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10.xml.rels" ContentType="application/vnd.openxmlformats-package.relationships+xml"/>
  <Override PartName="/xl/worksheets/_rels/sheet8.xml.rels" ContentType="application/vnd.openxmlformats-package.relationships+xml"/>
  <Override PartName="/xl/worksheets/_rels/sheet9.xml.rels" ContentType="application/vnd.openxmlformats-package.relationships+xml"/>
  <Override PartName="/xl/worksheets/_rels/sheet6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comments9.xml" ContentType="application/vnd.openxmlformats-officedocument.spreadsheetml.comments+xml"/>
  <Override PartName="/xl/sharedStrings.xml" ContentType="application/vnd.openxmlformats-officedocument.spreadsheetml.sharedStrings+xml"/>
  <Override PartName="/xl/comments10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drawings/vmlDrawing4.vml" ContentType="application/vnd.openxmlformats-officedocument.vmlDrawing"/>
  <Override PartName="/xl/drawings/vmlDrawing5.vml" ContentType="application/vnd.openxmlformats-officedocument.vmlDrawing"/>
  <Override PartName="/xl/drawings/vmlDrawing6.vml" ContentType="application/vnd.openxmlformats-officedocument.vmlDrawin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comments6.xml" ContentType="application/vnd.openxmlformats-officedocument.spreadsheetml.comments+xml"/>
  <Override PartName="/xl/comments8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12"/>
  </bookViews>
  <sheets>
    <sheet name="📖 README" sheetId="1" state="visible" r:id="rId3"/>
    <sheet name="🎚️ Escenario" sheetId="2" state="visible" r:id="rId4"/>
    <sheet name="㉔ Financial Statements" sheetId="3" state="visible" r:id="rId5"/>
    <sheet name="㉒ Returns" sheetId="4" state="visible" r:id="rId6"/>
    <sheet name="㉗ Comparables" sheetId="5" state="visible" r:id="rId7"/>
    <sheet name="㉕ Funding Gap" sheetId="6" state="visible" r:id="rId8"/>
    <sheet name="⑫ Roll-out Plan" sheetId="7" state="visible" r:id="rId9"/>
    <sheet name="⑮ Cohort Engine" sheetId="8" state="visible" r:id="rId10"/>
    <sheet name="⑯ Store P&amp;L" sheetId="9" state="visible" r:id="rId11"/>
    <sheet name="⑲ Corporate P&amp;L" sheetId="10" state="visible" r:id="rId12"/>
    <sheet name="⑳ Other Channels" sheetId="11" state="visible" r:id="rId13"/>
    <sheet name="㉓ Debt Schedule" sheetId="12" state="visible" r:id="rId14"/>
    <sheet name="EEFF a septiemrbe" sheetId="13" state="visible" r:id="rId15"/>
    <sheet name="Pnl por tienda" sheetId="14" state="visible" r:id="rId1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Unknown Author</author>
  </authors>
  <commentList>
    <comment ref="S11" authorId="0">
      <text>
        <r>
          <rPr>
            <sz val="10"/>
            <rFont val="Arial"/>
            <family val="2"/>
          </rPr>
          <t xml:space="preserve">Suavizado: 50% cohort + 50% Abr real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2</xdr:rowOff>
              </xdr:from>
              <xdr:to>
                <xdr:col>2</xdr:col>
                <xdr:colOff>-137</xdr:colOff>
                <xdr:row>3</xdr:row>
                <xdr:rowOff>16</xdr:rowOff>
              </xdr:to>
            </anchor>
          </commentPr>
        </mc:Choice>
        <mc:Fallback/>
      </mc:AlternateContent>
    </comment>
    <comment ref="S12" authorId="0">
      <text>
        <r>
          <rPr>
            <sz val="10"/>
            <rFont val="Arial"/>
            <family val="2"/>
          </rPr>
          <t xml:space="preserve">Diego Mariño:
Suavizado: 50% target + 50% Abr real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2</xdr:rowOff>
              </xdr:from>
              <xdr:to>
                <xdr:col>2</xdr:col>
                <xdr:colOff>-137</xdr:colOff>
                <xdr:row>3</xdr:row>
                <xdr:rowOff>16</xdr:rowOff>
              </xdr:to>
            </anchor>
          </commentPr>
        </mc:Choice>
        <mc:Fallback/>
      </mc:AlternateContent>
    </comment>
    <comment ref="S13" authorId="0">
      <text>
        <r>
          <rPr>
            <sz val="10"/>
            <rFont val="Arial"/>
            <family val="2"/>
          </rPr>
          <t xml:space="preserve">Diego Mariño:
Suavizado: 50% target + 50% Abr real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2</xdr:rowOff>
              </xdr:from>
              <xdr:to>
                <xdr:col>2</xdr:col>
                <xdr:colOff>-137</xdr:colOff>
                <xdr:row>3</xdr:row>
                <xdr:rowOff>16</xdr:rowOff>
              </xdr:to>
            </anchor>
          </commentPr>
        </mc:Choice>
        <mc:Fallback/>
      </mc:AlternateContent>
    </comment>
    <comment ref="T11" authorId="0">
      <text>
        <r>
          <rPr>
            <sz val="10"/>
            <rFont val="Arial"/>
            <family val="2"/>
          </rPr>
          <t xml:space="preserve">Suavizado: 60% cohort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2</xdr:rowOff>
              </xdr:from>
              <xdr:to>
                <xdr:col>2</xdr:col>
                <xdr:colOff>-137</xdr:colOff>
                <xdr:row>3</xdr:row>
                <xdr:rowOff>16</xdr:rowOff>
              </xdr:to>
            </anchor>
          </commentPr>
        </mc:Choice>
        <mc:Fallback/>
      </mc:AlternateContent>
    </comment>
    <comment ref="U11" authorId="0">
      <text>
        <r>
          <rPr>
            <sz val="10"/>
            <rFont val="Arial"/>
            <family val="2"/>
          </rPr>
          <t xml:space="preserve">Suavizado: 72% cohort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2</xdr:rowOff>
              </xdr:from>
              <xdr:to>
                <xdr:col>2</xdr:col>
                <xdr:colOff>-137</xdr:colOff>
                <xdr:row>3</xdr:row>
                <xdr:rowOff>16</xdr:rowOff>
              </xdr:to>
            </anchor>
          </commentPr>
        </mc:Choice>
        <mc:Fallback/>
      </mc:AlternateContent>
    </comment>
    <comment ref="V11" authorId="0">
      <text>
        <r>
          <rPr>
            <sz val="10"/>
            <rFont val="Arial"/>
            <family val="2"/>
          </rPr>
          <t xml:space="preserve">Suavizado: 84% cohort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2</xdr:rowOff>
              </xdr:from>
              <xdr:to>
                <xdr:col>2</xdr:col>
                <xdr:colOff>-137</xdr:colOff>
                <xdr:row>3</xdr:row>
                <xdr:rowOff>16</xdr:rowOff>
              </xdr:to>
            </anchor>
          </commentPr>
        </mc:Choice>
        <mc:Fallback/>
      </mc:AlternateContent>
    </comment>
    <comment ref="W11" authorId="0">
      <text>
        <r>
          <rPr>
            <sz val="10"/>
            <rFont val="Arial"/>
            <family val="2"/>
          </rPr>
          <t xml:space="preserve">Suavizado: 94% cohort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2</xdr:rowOff>
              </xdr:from>
              <xdr:to>
                <xdr:col>2</xdr:col>
                <xdr:colOff>-137</xdr:colOff>
                <xdr:row>3</xdr:row>
                <xdr:rowOff>16</xdr:rowOff>
              </xdr:to>
            </anchor>
          </commentPr>
        </mc:Choice>
        <mc:Fallback/>
      </mc:AlternateContent>
    </comment>
    <comment ref="X11" authorId="0">
      <text>
        <r>
          <rPr>
            <sz val="10"/>
            <rFont val="Arial"/>
            <family val="2"/>
          </rPr>
          <t xml:space="preserve">Oct-26: 100% cohort engine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2</xdr:rowOff>
              </xdr:from>
              <xdr:to>
                <xdr:col>2</xdr:col>
                <xdr:colOff>-137</xdr:colOff>
                <xdr:row>3</xdr:row>
                <xdr:rowOff>16</xdr:rowOff>
              </xdr:to>
            </anchor>
          </commentPr>
        </mc:Choice>
        <mc:Fallback/>
      </mc:AlternateContent>
    </comment>
    <comment ref="X12" authorId="0">
      <text>
        <r>
          <rPr>
            <sz val="10"/>
            <rFont val="Arial"/>
            <family val="2"/>
          </rPr>
          <t xml:space="preserve">Diego Mariño:
Oct-26: 100% target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2</xdr:rowOff>
              </xdr:from>
              <xdr:to>
                <xdr:col>2</xdr:col>
                <xdr:colOff>-137</xdr:colOff>
                <xdr:row>3</xdr:row>
                <xdr:rowOff>16</xdr:rowOff>
              </xdr:to>
            </anchor>
          </commentPr>
        </mc:Choice>
        <mc:Fallback/>
      </mc:AlternateContent>
    </comment>
    <comment ref="AZ117" authorId="0">
      <text>
        <r>
          <rPr>
            <sz val="10"/>
            <rFont val="Arial"/>
            <family val="2"/>
          </rPr>
          <t xml:space="preserve">Diego Mariño:
Capex tiendas 2030 + capex laboratorio Colombia $150K (input ⑲ E29)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2</xdr:rowOff>
              </xdr:from>
              <xdr:to>
                <xdr:col>2</xdr:col>
                <xdr:colOff>-137</xdr:colOff>
                <xdr:row>3</xdr:row>
                <xdr:rowOff>19</xdr:rowOff>
              </xdr:to>
            </anchor>
          </commentPr>
        </mc:Choice>
        <mc:Fallback/>
      </mc:AlternateContent>
    </comment>
    <comment ref="BD29" authorId="0">
      <text>
        <r>
          <rPr>
            <sz val="10"/>
            <rFont val="Arial"/>
            <family val="2"/>
          </rPr>
          <t xml:space="preserve">Diego Mariño:
Fix: rango completo ene-dic 2034 (12 meses). Antes DT:ED (11 meses).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2</xdr:rowOff>
              </xdr:from>
              <xdr:to>
                <xdr:col>2</xdr:col>
                <xdr:colOff>-137</xdr:colOff>
                <xdr:row>3</xdr:row>
                <xdr:rowOff>19</xdr:rowOff>
              </xdr:to>
            </anchor>
          </commentPr>
        </mc:Choice>
        <mc:Fallback/>
      </mc:AlternateContent>
    </comment>
    <comment ref="BE29" authorId="0">
      <text>
        <r>
          <rPr>
            <sz val="10"/>
            <rFont val="Arial"/>
            <family val="2"/>
          </rPr>
          <t xml:space="preserve">Diego Mariño:
Fix: 2035 no tiene bloque mensual en ⑲ — 12 × servicios corp/mes. Antes sumaba meses de 2034 (rango corrido).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2</xdr:rowOff>
              </xdr:from>
              <xdr:to>
                <xdr:col>2</xdr:col>
                <xdr:colOff>-137</xdr:colOff>
                <xdr:row>5</xdr:row>
                <xdr:rowOff>9</xdr:rowOff>
              </xdr:to>
            </anchor>
          </commentPr>
        </mc:Choice>
        <mc:Fallback/>
      </mc:AlternateContent>
    </comment>
    <comment ref="BF29" authorId="0">
      <text>
        <r>
          <rPr>
            <sz val="10"/>
            <rFont val="Arial"/>
            <family val="2"/>
          </rPr>
          <t xml:space="preserve">Diego Mariño:
Fix: 2036 no tiene bloque mensual en ⑲ — 12 × servicios corp/mes. Antes sumaba meses de 2034 (rango corrido).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2</xdr:rowOff>
              </xdr:from>
              <xdr:to>
                <xdr:col>2</xdr:col>
                <xdr:colOff>-137</xdr:colOff>
                <xdr:row>5</xdr:row>
                <xdr:rowOff>9</xdr:rowOff>
              </xdr:to>
            </anchor>
          </commentPr>
        </mc:Choice>
        <mc:Fallback/>
      </mc:AlternateContent>
    </comment>
  </commentList>
</comments>
</file>

<file path=xl/comments4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Unknown Author</author>
  </authors>
  <commentList>
    <comment ref="B98" authorId="0">
      <text>
        <r>
          <rPr>
            <sz val="10"/>
            <rFont val="Arial"/>
            <family val="2"/>
          </rPr>
          <t xml:space="preserve">Diego Mariño:
Difiere del MOIC fila 21 (L21): L21 suma solo los buckets con costo (sin tramo E); este incluye el 100% del equity al exit.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13</xdr:rowOff>
              </xdr:from>
              <xdr:to>
                <xdr:col>2</xdr:col>
                <xdr:colOff>-39</xdr:colOff>
                <xdr:row>6</xdr:row>
                <xdr:rowOff>1</xdr:rowOff>
              </xdr:to>
            </anchor>
          </commentPr>
        </mc:Choice>
        <mc:Fallback/>
      </mc:AlternateContent>
    </comment>
    <comment ref="C9" authorId="0">
      <text>
        <r>
          <rPr>
            <sz val="10"/>
            <rFont val="Arial"/>
            <family val="2"/>
          </rPr>
          <t xml:space="preserve">Diego Mariño:
CORREGIDO: (a) apuntaba a '</t>
        </r>
        <r>
          <rPr>
            <sz val="10"/>
            <rFont val="Noto Sans CJK SC"/>
            <family val="2"/>
          </rPr>
          <t xml:space="preserve">㉑ </t>
        </r>
        <r>
          <rPr>
            <sz val="10"/>
            <rFont val="Arial"/>
            <family val="2"/>
          </rPr>
          <t xml:space="preserve">Debt Schedule', hoja que no existe — el IFERROR lo silenciaba y daba 0; ahora apunta a </t>
        </r>
        <r>
          <rPr>
            <sz val="10"/>
            <rFont val="Noto Sans CJK SC"/>
            <family val="2"/>
          </rPr>
          <t xml:space="preserve">㉓</t>
        </r>
        <r>
          <rPr>
            <sz val="10"/>
            <rFont val="Arial"/>
            <family val="2"/>
          </rPr>
          <t xml:space="preserve">. (b) suma el saldo de la deuda del recap (</t>
        </r>
        <r>
          <rPr>
            <sz val="10"/>
            <rFont val="Noto Sans CJK SC"/>
            <family val="2"/>
          </rPr>
          <t xml:space="preserve">㉕ </t>
        </r>
        <r>
          <rPr>
            <sz val="10"/>
            <rFont val="Arial"/>
            <family val="2"/>
          </rPr>
          <t xml:space="preserve">fila 62), que antes no se deducía al exit. (c) resta la caja del </t>
        </r>
        <r>
          <rPr>
            <sz val="10"/>
            <rFont val="Noto Sans CJK SC"/>
            <family val="2"/>
          </rPr>
          <t xml:space="preserve">㉔ </t>
        </r>
        <r>
          <rPr>
            <sz val="10"/>
            <rFont val="Arial"/>
            <family val="2"/>
          </rPr>
          <t xml:space="preserve">FS, que ya está neta de dividendos pagados.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5</xdr:rowOff>
              </xdr:from>
              <xdr:to>
                <xdr:col>2</xdr:col>
                <xdr:colOff>-39</xdr:colOff>
                <xdr:row>12</xdr:row>
                <xdr:rowOff>3</xdr:rowOff>
              </xdr:to>
            </anchor>
          </commentPr>
        </mc:Choice>
        <mc:Fallback/>
      </mc:AlternateContent>
    </comment>
    <comment ref="C11" authorId="0">
      <text>
        <r>
          <rPr>
            <sz val="10"/>
            <rFont val="Arial"/>
            <family val="2"/>
          </rPr>
          <t xml:space="preserve">Diego Mariño:
FD al exit = cap table (H21, incl. longevidad extendida 27,266) + tramo E performance vesteado (C77)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8</xdr:rowOff>
              </xdr:from>
              <xdr:to>
                <xdr:col>2</xdr:col>
                <xdr:colOff>-39</xdr:colOff>
                <xdr:row>4</xdr:row>
                <xdr:rowOff>20</xdr:rowOff>
              </xdr:to>
            </anchor>
          </commentPr>
        </mc:Choice>
        <mc:Fallback/>
      </mc:AlternateContent>
    </comment>
    <comment ref="C35" authorId="0">
      <text>
        <r>
          <rPr>
            <sz val="10"/>
            <rFont val="Arial"/>
            <family val="2"/>
          </rPr>
          <t xml:space="preserve">Diego Mariño:
Plan original 13,633 + extensión longevidad 2030–2034 13,633 + ajuste §5.03 4,500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11</xdr:rowOff>
              </xdr:from>
              <xdr:to>
                <xdr:col>2</xdr:col>
                <xdr:colOff>-39</xdr:colOff>
                <xdr:row>4</xdr:row>
                <xdr:rowOff>8</xdr:rowOff>
              </xdr:to>
            </anchor>
          </commentPr>
        </mc:Choice>
        <mc:Fallback/>
      </mc:AlternateContent>
    </comment>
    <comment ref="C43" authorId="0">
      <text>
        <r>
          <rPr>
            <sz val="10"/>
            <rFont val="Arial"/>
            <family val="2"/>
          </rPr>
          <t xml:space="preserve">Diego Mariño:
% FD de Diego al exit incl. tramo E vesteado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11</xdr:rowOff>
              </xdr:from>
              <xdr:to>
                <xdr:col>2</xdr:col>
                <xdr:colOff>-39</xdr:colOff>
                <xdr:row>4</xdr:row>
                <xdr:rowOff>5</xdr:rowOff>
              </xdr:to>
            </anchor>
          </commentPr>
        </mc:Choice>
        <mc:Fallback/>
      </mc:AlternateContent>
    </comment>
    <comment ref="C44" authorId="0">
      <text>
        <r>
          <rPr>
            <sz val="10"/>
            <rFont val="Arial"/>
            <family val="2"/>
          </rPr>
          <t xml:space="preserve">Diego Mariño:
Exit ajustado × %FD + dividendos de longevidad emitida (col K flujos) + dividendos de su base 9,595 dentro del bucket actuales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11</xdr:rowOff>
              </xdr:from>
              <xdr:to>
                <xdr:col>2</xdr:col>
                <xdr:colOff>-39</xdr:colOff>
                <xdr:row>6</xdr:row>
                <xdr:rowOff>13</xdr:rowOff>
              </xdr:to>
            </anchor>
          </commentPr>
        </mc:Choice>
        <mc:Fallback/>
      </mc:AlternateContent>
    </comment>
    <comment ref="C85" authorId="0">
      <text>
        <r>
          <rPr>
            <sz val="10"/>
            <rFont val="Arial"/>
            <family val="2"/>
          </rPr>
          <t xml:space="preserve">Diego Mariño:
El cash-in de la ronda ahora sigue el calendario real de tramos (</t>
        </r>
        <r>
          <rPr>
            <sz val="10"/>
            <rFont val="Noto Sans CJK SC"/>
            <family val="2"/>
          </rPr>
          <t xml:space="preserve">㉕ </t>
        </r>
        <r>
          <rPr>
            <sz val="10"/>
            <rFont val="Arial"/>
            <family val="2"/>
          </rPr>
          <t xml:space="preserve">fila 39) en vez de asumir todo en 2026.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13</xdr:rowOff>
              </xdr:from>
              <xdr:to>
                <xdr:col>2</xdr:col>
                <xdr:colOff>-39</xdr:colOff>
                <xdr:row>6</xdr:row>
                <xdr:rowOff>5</xdr:rowOff>
              </xdr:to>
            </anchor>
          </commentPr>
        </mc:Choice>
        <mc:Fallback/>
      </mc:AlternateContent>
    </comment>
    <comment ref="C100" authorId="0">
      <text>
        <r>
          <rPr>
            <sz val="10"/>
            <rFont val="Arial"/>
            <family val="2"/>
          </rPr>
          <t xml:space="preserve">Diego Mariño:
SIMPLIFICADO: antes restaba a mano los dividendos y los intereses del recap porque vivan fuera del </t>
        </r>
        <r>
          <rPr>
            <sz val="10"/>
            <rFont val="Noto Sans CJK SC"/>
            <family val="2"/>
          </rPr>
          <t xml:space="preserve">㉔ </t>
        </r>
        <r>
          <rPr>
            <sz val="10"/>
            <rFont val="Arial"/>
            <family val="2"/>
          </rPr>
          <t xml:space="preserve">FS. Ahora que todo está integrado, la caja del balance ya está neta de dividendos y el saldo del recap ya se deduce en C9 — restarlos otra vez sería doble conteo.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16</xdr:rowOff>
              </xdr:from>
              <xdr:to>
                <xdr:col>2</xdr:col>
                <xdr:colOff>-39</xdr:colOff>
                <xdr:row>11</xdr:row>
                <xdr:rowOff>7</xdr:rowOff>
              </xdr:to>
            </anchor>
          </commentPr>
        </mc:Choice>
        <mc:Fallback/>
      </mc:AlternateContent>
    </comment>
    <comment ref="D77" authorId="0">
      <text>
        <r>
          <rPr>
            <sz val="10"/>
            <rFont val="Arial"/>
            <family val="2"/>
          </rPr>
          <t xml:space="preserve">Diego Mariño:
Valor del tramo E al exit (solo exit — no emitido, no recibe dividendos)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11</xdr:rowOff>
              </xdr:from>
              <xdr:to>
                <xdr:col>2</xdr:col>
                <xdr:colOff>-39</xdr:colOff>
                <xdr:row>4</xdr:row>
                <xdr:rowOff>8</xdr:rowOff>
              </xdr:to>
            </anchor>
          </commentPr>
        </mc:Choice>
        <mc:Fallback/>
      </mc:AlternateContent>
    </comment>
    <comment ref="E85" authorId="0">
      <text>
        <r>
          <rPr>
            <sz val="10"/>
            <rFont val="Arial"/>
            <family val="2"/>
          </rPr>
          <t xml:space="preserve">Diego Mariño:
Cash-in de inversionistas nuevos por tramo (</t>
        </r>
        <r>
          <rPr>
            <sz val="10"/>
            <rFont val="Noto Sans CJK SC"/>
            <family val="2"/>
          </rPr>
          <t xml:space="preserve">㉕ </t>
        </r>
        <r>
          <rPr>
            <sz val="10"/>
            <rFont val="Arial"/>
            <family val="2"/>
          </rPr>
          <t xml:space="preserve">fila 39): 2026 y 2028.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13</xdr:rowOff>
              </xdr:from>
              <xdr:to>
                <xdr:col>2</xdr:col>
                <xdr:colOff>-39</xdr:colOff>
                <xdr:row>4</xdr:row>
                <xdr:rowOff>15</xdr:rowOff>
              </xdr:to>
            </anchor>
          </commentPr>
        </mc:Choice>
        <mc:Fallback/>
      </mc:AlternateContent>
    </comment>
    <comment ref="G17" authorId="0">
      <text>
        <r>
          <rPr>
            <sz val="10"/>
            <rFont val="Arial"/>
            <family val="2"/>
          </rPr>
          <t xml:space="preserve">Diego Mariño:
36,133 originales + 13,633 extensión longevidad 2030–2034 (calendario §D)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8</xdr:rowOff>
              </xdr:from>
              <xdr:to>
                <xdr:col>2</xdr:col>
                <xdr:colOff>-39</xdr:colOff>
                <xdr:row>4</xdr:row>
                <xdr:rowOff>5</xdr:rowOff>
              </xdr:to>
            </anchor>
          </commentPr>
        </mc:Choice>
        <mc:Fallback/>
      </mc:AlternateContent>
    </comment>
    <comment ref="I21" authorId="0">
      <text>
        <r>
          <rPr>
            <sz val="10"/>
            <rFont val="Arial"/>
            <family val="2"/>
          </rPr>
          <t xml:space="preserve">Diego Mariño:
Puede ser &lt;100%: el resto es el tramo E performance (bloque E)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11</xdr:rowOff>
              </xdr:from>
              <xdr:to>
                <xdr:col>2</xdr:col>
                <xdr:colOff>-39</xdr:colOff>
                <xdr:row>4</xdr:row>
                <xdr:rowOff>8</xdr:rowOff>
              </xdr:to>
            </anchor>
          </commentPr>
        </mc:Choice>
        <mc:Fallback/>
      </mc:AlternateContent>
    </comment>
    <comment ref="L21" authorId="0">
      <text>
        <r>
          <rPr>
            <sz val="10"/>
            <rFont val="Arial"/>
            <family val="2"/>
          </rPr>
          <t xml:space="preserve">Diego Mariño:
MOIC de los buckets con cash-in (no incluye el valor del tramo E). El MOIC del bloque de flujos (C98) incluye el 100% del equity: sweat + tramo E sin costo — esa es la diferencia.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11</xdr:rowOff>
              </xdr:from>
              <xdr:to>
                <xdr:col>2</xdr:col>
                <xdr:colOff>-39</xdr:colOff>
                <xdr:row>7</xdr:row>
                <xdr:rowOff>20</xdr:rowOff>
              </xdr:to>
            </anchor>
          </commentPr>
        </mc:Choice>
        <mc:Fallback/>
      </mc:AlternateContent>
    </comment>
    <comment ref="P17" authorId="0">
      <text>
        <r>
          <rPr>
            <sz val="10"/>
            <rFont val="Arial"/>
            <family val="2"/>
          </rPr>
          <t xml:space="preserve">Plan B: ronda única de equity (</t>
        </r>
        <r>
          <rPr>
            <sz val="10"/>
            <rFont val="Noto Sans CJK SC"/>
            <family val="2"/>
          </rPr>
          <t xml:space="preserve">㉕ </t>
        </r>
        <r>
          <rPr>
            <sz val="10"/>
            <rFont val="Arial"/>
            <family val="2"/>
          </rPr>
          <t xml:space="preserve">C98), cierre nov-2026. NO incluye la deuda bancaria de $1.05M.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8</xdr:rowOff>
              </xdr:from>
              <xdr:to>
                <xdr:col>2</xdr:col>
                <xdr:colOff>-39</xdr:colOff>
                <xdr:row>4</xdr:row>
                <xdr:rowOff>9</xdr:rowOff>
              </xdr:to>
            </anchor>
          </commentPr>
        </mc:Choice>
        <mc:Fallback/>
      </mc:AlternateContent>
    </comment>
    <comment ref="P18" authorId="0">
      <text>
        <r>
          <rPr>
            <sz val="10"/>
            <rFont val="Arial"/>
            <family val="2"/>
          </rPr>
          <t xml:space="preserve">INPUT — fijado para que los nuevos queden en 25.0% exactos. Con una ronda de $2.4M, 25% implica pre-money = 3× la ronda = $7.2M. Equivale a 3.63× ingreso forward 2027, arriba del techo del rango de comps de </t>
        </r>
        <r>
          <rPr>
            <sz val="10"/>
            <rFont val="Noto Sans CJK SC"/>
            <family val="2"/>
          </rPr>
          <t xml:space="preserve">㉗ </t>
        </r>
        <r>
          <rPr>
            <sz val="10"/>
            <rFont val="Arial"/>
            <family val="2"/>
          </rPr>
          <t xml:space="preserve">(1.5×–3.0×). El costo: la TIR de los nuevos baja de 22.1% a 16.6%.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8</xdr:rowOff>
              </xdr:from>
              <xdr:to>
                <xdr:col>2</xdr:col>
                <xdr:colOff>-39</xdr:colOff>
                <xdr:row>11</xdr:row>
                <xdr:rowOff>13</xdr:rowOff>
              </xdr:to>
            </anchor>
          </commentPr>
        </mc:Choice>
        <mc:Fallback/>
      </mc:AlternateContent>
    </comment>
  </commentList>
</comments>
</file>

<file path=xl/comments6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Unknown Author</author>
  </authors>
  <commentList>
    <comment ref="B49" authorId="0">
      <text>
        <r>
          <rPr>
            <sz val="10"/>
            <rFont val="Arial"/>
            <family val="2"/>
          </rPr>
          <t xml:space="preserve">Diego Mariño:
El prepago de </t>
        </r>
        <r>
          <rPr>
            <sz val="10"/>
            <rFont val="Noto Sans CJK SC"/>
            <family val="2"/>
          </rPr>
          <t xml:space="preserve">㉓ </t>
        </r>
        <r>
          <rPr>
            <sz val="10"/>
            <rFont val="Arial"/>
            <family val="2"/>
          </rPr>
          <t xml:space="preserve">columna J NO entra aquí a propósito: el DSCR bancario se mide contra el servicio contractual, no contra amortizaciones voluntarias.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11</xdr:rowOff>
              </xdr:from>
              <xdr:to>
                <xdr:col>2</xdr:col>
                <xdr:colOff>-137</xdr:colOff>
                <xdr:row>7</xdr:row>
                <xdr:rowOff>16</xdr:rowOff>
              </xdr:to>
            </anchor>
          </commentPr>
        </mc:Choice>
        <mc:Fallback/>
      </mc:AlternateContent>
    </comment>
    <comment ref="C46" authorId="0">
      <text>
        <r>
          <rPr>
            <sz val="10"/>
            <rFont val="Arial"/>
            <family val="2"/>
          </rPr>
          <t xml:space="preserve">Diego Mariño:
CORREGIDO: antes sumaba C43 (equity + deuda), pero la caja del </t>
        </r>
        <r>
          <rPr>
            <sz val="10"/>
            <rFont val="Noto Sans CJK SC"/>
            <family val="2"/>
          </rPr>
          <t xml:space="preserve">㉔ </t>
        </r>
        <r>
          <rPr>
            <sz val="10"/>
            <rFont val="Arial"/>
            <family val="2"/>
          </rPr>
          <t xml:space="preserve">FS (fila 73) ya incorpora los giros y la amortización de deuda vía </t>
        </r>
        <r>
          <rPr>
            <sz val="10"/>
            <rFont val="Noto Sans CJK SC"/>
            <family val="2"/>
          </rPr>
          <t xml:space="preserve">㉓ </t>
        </r>
        <r>
          <rPr>
            <sz val="10"/>
            <rFont val="Arial"/>
            <family val="2"/>
          </rPr>
          <t xml:space="preserve">Debt Schedule. Sumar la deuda otra vez la contaba dos veces.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11</xdr:rowOff>
              </xdr:from>
              <xdr:to>
                <xdr:col>2</xdr:col>
                <xdr:colOff>-137</xdr:colOff>
                <xdr:row>9</xdr:row>
                <xdr:rowOff>10</xdr:rowOff>
              </xdr:to>
            </anchor>
          </commentPr>
        </mc:Choice>
        <mc:Fallback/>
      </mc:AlternateContent>
    </comment>
    <comment ref="C54" authorId="0">
      <text>
        <r>
          <rPr>
            <sz val="10"/>
            <rFont val="Arial"/>
            <family val="2"/>
          </rPr>
          <t xml:space="preserve">El recap arranca junto con los dividendos. Se autolimita: la capacidad (fila 61) resta el saldo BAC vigente, así que en 2029 da cero y solo empieza a girar en 2030 ($1.05M).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13</xdr:rowOff>
              </xdr:from>
              <xdr:to>
                <xdr:col>2</xdr:col>
                <xdr:colOff>-137</xdr:colOff>
                <xdr:row>7</xdr:row>
                <xdr:rowOff>14</xdr:rowOff>
              </xdr:to>
            </anchor>
          </commentPr>
        </mc:Choice>
        <mc:Fallback/>
      </mc:AlternateContent>
    </comment>
    <comment ref="C55" authorId="0">
      <text>
        <r>
          <rPr>
            <sz val="10"/>
            <rFont val="Arial"/>
            <family val="2"/>
          </rPr>
          <t xml:space="preserve">INPUT. Los dividendos arrancan en 2029 — el primer año con excedente sobre la caja mínima — CON la deuda BAC aún viva. Regla: se reparte todo lo que sobre por encima del piso, sin esperar a que la deuda quede en cero.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13</xdr:rowOff>
              </xdr:from>
              <xdr:to>
                <xdr:col>2</xdr:col>
                <xdr:colOff>-137</xdr:colOff>
                <xdr:row>9</xdr:row>
                <xdr:rowOff>4</xdr:rowOff>
              </xdr:to>
            </anchor>
          </commentPr>
        </mc:Choice>
        <mc:Fallback/>
      </mc:AlternateContent>
    </comment>
    <comment ref="C56" authorId="0">
      <text>
        <r>
          <rPr>
            <sz val="10"/>
            <rFont val="Arial"/>
            <family val="2"/>
          </rPr>
          <t xml:space="preserve">Diego Mariño:
INPUT. Subido de 80% a 100%: se reparte TODO el excedente sobre la caja mínima. Bajarlo vuelve a retener parte del excedente.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13</xdr:rowOff>
              </xdr:from>
              <xdr:to>
                <xdr:col>2</xdr:col>
                <xdr:colOff>-137</xdr:colOff>
                <xdr:row>6</xdr:row>
                <xdr:rowOff>20</xdr:rowOff>
              </xdr:to>
            </anchor>
          </commentPr>
        </mc:Choice>
        <mc:Fallback/>
      </mc:AlternateContent>
    </comment>
    <comment ref="C57" authorId="0">
      <text>
        <r>
          <rPr>
            <sz val="10"/>
            <rFont val="Arial"/>
            <family val="2"/>
          </rPr>
          <t xml:space="preserve">Diego Mariño:
INPUT. Bajado de 2 meses a 0: la única caja retenida es el mínimo del covenant (1 mes de OpEx, driver C9). Es el reparto máximo posible sin romper el piso. Subirlo a 1 deja un mes extra de colchón.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13</xdr:rowOff>
              </xdr:from>
              <xdr:to>
                <xdr:col>2</xdr:col>
                <xdr:colOff>-137</xdr:colOff>
                <xdr:row>9</xdr:row>
                <xdr:rowOff>19</xdr:rowOff>
              </xdr:to>
            </anchor>
          </commentPr>
        </mc:Choice>
        <mc:Fallback/>
      </mc:AlternateContent>
    </comment>
    <comment ref="C61" authorId="0">
      <text>
        <r>
          <rPr>
            <sz val="10"/>
            <rFont val="Arial"/>
            <family val="2"/>
          </rPr>
          <t xml:space="preserve">Diego Mariño:
Simplificado: se eliminó el override hardcodeado al año 2032 (D59), que ya no aplica — el recap ahora arranca en C54 (2034), cuando la deuda bancaria está en cero.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13</xdr:rowOff>
              </xdr:from>
              <xdr:to>
                <xdr:col>2</xdr:col>
                <xdr:colOff>-137</xdr:colOff>
                <xdr:row>8</xdr:row>
                <xdr:rowOff>9</xdr:rowOff>
              </xdr:to>
            </anchor>
          </commentPr>
        </mc:Choice>
        <mc:Fallback/>
      </mc:AlternateContent>
    </comment>
    <comment ref="C65" authorId="0">
      <text>
        <r>
          <rPr>
            <sz val="10"/>
            <rFont val="Arial"/>
            <family val="2"/>
          </rPr>
          <t xml:space="preserve">Diego Mariño:
Reconstruido desde componentes que NO dependen del dividendo (FCFE de ▶ OUTPUTS + giros/amortización BAC + equity), para romper la circularidad una vez que el dividendo entra al </t>
        </r>
        <r>
          <rPr>
            <sz val="10"/>
            <rFont val="Noto Sans CJK SC"/>
            <family val="2"/>
          </rPr>
          <t xml:space="preserve">㉔ </t>
        </r>
        <r>
          <rPr>
            <sz val="10"/>
            <rFont val="Arial"/>
            <family val="2"/>
          </rPr>
          <t xml:space="preserve">FS. El interés del recap ya viene dentro del FCFE (</t>
        </r>
        <r>
          <rPr>
            <sz val="10"/>
            <rFont val="Noto Sans CJK SC"/>
            <family val="2"/>
          </rPr>
          <t xml:space="preserve">㉔ </t>
        </r>
        <r>
          <rPr>
            <sz val="10"/>
            <rFont val="Arial"/>
            <family val="2"/>
          </rPr>
          <t xml:space="preserve">fila 47), por eso NO se resta otra vez la fila 64.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13</xdr:rowOff>
              </xdr:from>
              <xdr:to>
                <xdr:col>2</xdr:col>
                <xdr:colOff>-137</xdr:colOff>
                <xdr:row>13</xdr:row>
                <xdr:rowOff>8</xdr:rowOff>
              </xdr:to>
            </anchor>
          </commentPr>
        </mc:Choice>
        <mc:Fallback/>
      </mc:AlternateContent>
    </comment>
    <comment ref="C66" authorId="0">
      <text>
        <r>
          <rPr>
            <sz val="10"/>
            <rFont val="Arial"/>
            <family val="2"/>
          </rPr>
          <t xml:space="preserve">Diego Mariño:
2025 es histórico y sin dividendos: la caja pre-dividendo es la caja real de cierre.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16</xdr:rowOff>
              </xdr:from>
              <xdr:to>
                <xdr:col>2</xdr:col>
                <xdr:colOff>-137</xdr:colOff>
                <xdr:row>4</xdr:row>
                <xdr:rowOff>18</xdr:rowOff>
              </xdr:to>
            </anchor>
          </commentPr>
        </mc:Choice>
        <mc:Fallback/>
      </mc:AlternateContent>
    </comment>
    <comment ref="C71" authorId="0">
      <text>
        <r>
          <rPr>
            <sz val="10"/>
            <rFont val="Arial"/>
            <family val="2"/>
          </rPr>
          <t xml:space="preserve">Diego Mariño:
Amarre entre el overlay de </t>
        </r>
        <r>
          <rPr>
            <sz val="10"/>
            <rFont val="Noto Sans CJK SC"/>
            <family val="2"/>
          </rPr>
          <t xml:space="preserve">㉕ </t>
        </r>
        <r>
          <rPr>
            <sz val="10"/>
            <rFont val="Arial"/>
            <family val="2"/>
          </rPr>
          <t xml:space="preserve">y el </t>
        </r>
        <r>
          <rPr>
            <sz val="10"/>
            <rFont val="Noto Sans CJK SC"/>
            <family val="2"/>
          </rPr>
          <t xml:space="preserve">㉔ </t>
        </r>
        <r>
          <rPr>
            <sz val="10"/>
            <rFont val="Arial"/>
            <family val="2"/>
          </rPr>
          <t xml:space="preserve">FS. Una vez integrado el equity/dividendo/recap al FS, estas dos líneas tienen que ser idénticas año por año.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16</xdr:rowOff>
              </xdr:from>
              <xdr:to>
                <xdr:col>2</xdr:col>
                <xdr:colOff>-137</xdr:colOff>
                <xdr:row>8</xdr:row>
                <xdr:rowOff>2</xdr:rowOff>
              </xdr:to>
            </anchor>
          </commentPr>
        </mc:Choice>
        <mc:Fallback/>
      </mc:AlternateContent>
    </comment>
    <comment ref="C75" authorId="0">
      <text>
        <r>
          <rPr>
            <sz val="10"/>
            <rFont val="Arial"/>
            <family val="2"/>
          </rPr>
          <t xml:space="preserve">Diego Mariño:
INPUT. 0 = inversión estrictamente mínima (la caja toca justo el piso de 1 mes de OpEx en el año pico). Subirlo a 1 añade ~$0.5M al equity requerido.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19</xdr:rowOff>
              </xdr:from>
              <xdr:to>
                <xdr:col>2</xdr:col>
                <xdr:colOff>-137</xdr:colOff>
                <xdr:row>8</xdr:row>
                <xdr:rowOff>0</xdr:rowOff>
              </xdr:to>
            </anchor>
          </commentPr>
        </mc:Choice>
        <mc:Fallback/>
      </mc:AlternateContent>
    </comment>
    <comment ref="C80" authorId="0">
      <text>
        <r>
          <rPr>
            <sz val="10"/>
            <rFont val="Arial"/>
            <family val="2"/>
          </rPr>
          <t xml:space="preserve">Diego Mariño:
Caja de cierre RECONSTRUIDA sin financiamiento externo: se le quita a la caja del </t>
        </r>
        <r>
          <rPr>
            <sz val="10"/>
            <rFont val="Noto Sans CJK SC"/>
            <family val="2"/>
          </rPr>
          <t xml:space="preserve">㉔ </t>
        </r>
        <r>
          <rPr>
            <sz val="10"/>
            <rFont val="Arial"/>
            <family val="2"/>
          </rPr>
          <t xml:space="preserve">FS el equity acumulado y el saldo del recap, y se le devuelven los dividendos pagados y los intereses del recap. Así el solver mide la necesidad real subyacente aunque el FS ya tenga todo integrado.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19</xdr:rowOff>
              </xdr:from>
              <xdr:to>
                <xdr:col>2</xdr:col>
                <xdr:colOff>-137</xdr:colOff>
                <xdr:row>13</xdr:row>
                <xdr:rowOff>9</xdr:rowOff>
              </xdr:to>
            </anchor>
          </commentPr>
        </mc:Choice>
        <mc:Fallback/>
      </mc:AlternateContent>
    </comment>
    <comment ref="C96" authorId="0">
      <text>
        <r>
          <rPr>
            <sz val="10"/>
            <rFont val="Arial"/>
            <family val="2"/>
          </rPr>
          <t xml:space="preserve">Diego Mariño:
INPUT. Sobre-dimensiona la ronda vs el mínimo teórico para absorber desviaciones de ramp-up o capex.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19</xdr:rowOff>
              </xdr:from>
              <xdr:to>
                <xdr:col>2</xdr:col>
                <xdr:colOff>-137</xdr:colOff>
                <xdr:row>6</xdr:row>
                <xdr:rowOff>10</xdr:rowOff>
              </xdr:to>
            </anchor>
          </commentPr>
        </mc:Choice>
        <mc:Fallback/>
      </mc:AlternateContent>
    </comment>
    <comment ref="C98" authorId="0">
      <text>
        <r>
          <rPr>
            <sz val="10"/>
            <rFont val="Arial"/>
            <family val="2"/>
          </rPr>
          <t xml:space="preserve">INPUT HARDCODEADO A PROPÓSITO. La ronda es una decisión negociada, no una fórmula — y además, al estar el equity integrado al </t>
        </r>
        <r>
          <rPr>
            <sz val="10"/>
            <rFont val="Noto Sans CJK SC"/>
            <family val="2"/>
          </rPr>
          <t xml:space="preserve">㉔ </t>
        </r>
        <r>
          <rPr>
            <sz val="10"/>
            <rFont val="Arial"/>
            <family val="2"/>
          </rPr>
          <t xml:space="preserve">FS, ligarla al solver crearía una referencia circular (ronda → caja del FS → hueco → ronda). Dimensionada con C97. Si cambia el roll-out, revisar C97 y actualizar aquí a mano.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19</xdr:rowOff>
              </xdr:from>
              <xdr:to>
                <xdr:col>2</xdr:col>
                <xdr:colOff>-137</xdr:colOff>
                <xdr:row>14</xdr:row>
                <xdr:rowOff>4</xdr:rowOff>
              </xdr:to>
            </anchor>
          </commentPr>
        </mc:Choice>
        <mc:Fallback/>
      </mc:AlternateContent>
    </comment>
    <comment ref="C99" authorId="0">
      <text>
        <r>
          <rPr>
            <sz val="10"/>
            <rFont val="Arial"/>
            <family val="2"/>
          </rPr>
          <t xml:space="preserve">Diego Mariño:
INPUT.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19</xdr:rowOff>
              </xdr:from>
              <xdr:to>
                <xdr:col>2</xdr:col>
                <xdr:colOff>-137</xdr:colOff>
                <xdr:row>4</xdr:row>
                <xdr:rowOff>17</xdr:rowOff>
              </xdr:to>
            </anchor>
          </commentPr>
        </mc:Choice>
        <mc:Fallback/>
      </mc:AlternateContent>
    </comment>
    <comment ref="C100" authorId="0">
      <text>
        <r>
          <rPr>
            <sz val="10"/>
            <rFont val="Arial"/>
            <family val="2"/>
          </rPr>
          <t xml:space="preserve">Diego Mariño:
INPUT. Nov-2026: el capex de las tiendas que abren en enero-2027 pega en el Q4-2026 (ventana de 3 meses previos), así que la plata tiene que estar antes de diciembre.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19</xdr:rowOff>
              </xdr:from>
              <xdr:to>
                <xdr:col>2</xdr:col>
                <xdr:colOff>-137</xdr:colOff>
                <xdr:row>8</xdr:row>
                <xdr:rowOff>15</xdr:rowOff>
              </xdr:to>
            </anchor>
          </commentPr>
        </mc:Choice>
        <mc:Fallback/>
      </mc:AlternateContent>
    </comment>
    <comment ref="D39" authorId="0">
      <text>
        <r>
          <rPr>
            <sz val="10"/>
            <rFont val="Arial"/>
            <family val="2"/>
          </rPr>
          <t xml:space="preserve">Plan B: ronda única que entra en el año C99 (2026), mes C100 (nov). El monto es el input C98.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5</xdr:rowOff>
              </xdr:from>
              <xdr:to>
                <xdr:col>2</xdr:col>
                <xdr:colOff>-137</xdr:colOff>
                <xdr:row>4</xdr:row>
                <xdr:rowOff>6</xdr:rowOff>
              </xdr:to>
            </anchor>
          </commentPr>
        </mc:Choice>
        <mc:Fallback/>
      </mc:AlternateContent>
    </comment>
    <comment ref="D59" authorId="0">
      <text>
        <r>
          <rPr>
            <sz val="10"/>
            <rFont val="Arial"/>
            <family val="2"/>
          </rPr>
          <t xml:space="preserve">OBSOLETO. Era un override del % de capacidad usado en 2032; la fórmula de la fila 61 ya no lo lee. El recap ahora arranca en C54 (2034) usando C59 (70%) en todos los años.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13</xdr:rowOff>
              </xdr:from>
              <xdr:to>
                <xdr:col>2</xdr:col>
                <xdr:colOff>-137</xdr:colOff>
                <xdr:row>7</xdr:row>
                <xdr:rowOff>14</xdr:rowOff>
              </xdr:to>
            </anchor>
          </commentPr>
        </mc:Choice>
        <mc:Fallback/>
      </mc:AlternateContent>
    </comment>
    <comment ref="D66" authorId="0">
      <text>
        <r>
          <rPr>
            <sz val="10"/>
            <rFont val="Arial"/>
            <family val="2"/>
          </rPr>
          <t xml:space="preserve">Diego Mariño:
Usa la caja de cierre del AÑO ANTERIOR (fila 30), no la del año corriente — así el dividendo del año t no depende de la caja del año t, que es justo lo que lo haría circular.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16</xdr:rowOff>
              </xdr:from>
              <xdr:to>
                <xdr:col>2</xdr:col>
                <xdr:colOff>-137</xdr:colOff>
                <xdr:row>7</xdr:row>
                <xdr:rowOff>17</xdr:rowOff>
              </xdr:to>
            </anchor>
          </commentPr>
        </mc:Choice>
        <mc:Fallback/>
      </mc:AlternateContent>
    </comment>
    <comment ref="D71" authorId="0">
      <text>
        <r>
          <rPr>
            <sz val="10"/>
            <rFont val="Arial"/>
            <family val="2"/>
          </rPr>
          <t xml:space="preserve">Diego Mariño:
Amarre entre el overlay de </t>
        </r>
        <r>
          <rPr>
            <sz val="10"/>
            <rFont val="Noto Sans CJK SC"/>
            <family val="2"/>
          </rPr>
          <t xml:space="preserve">㉕ </t>
        </r>
        <r>
          <rPr>
            <sz val="10"/>
            <rFont val="Arial"/>
            <family val="2"/>
          </rPr>
          <t xml:space="preserve">y el </t>
        </r>
        <r>
          <rPr>
            <sz val="10"/>
            <rFont val="Noto Sans CJK SC"/>
            <family val="2"/>
          </rPr>
          <t xml:space="preserve">㉔ </t>
        </r>
        <r>
          <rPr>
            <sz val="10"/>
            <rFont val="Arial"/>
            <family val="2"/>
          </rPr>
          <t xml:space="preserve">FS. Una vez integrado el equity/dividendo/recap al FS, estas dos líneas tienen que ser idénticas año por año.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16</xdr:rowOff>
              </xdr:from>
              <xdr:to>
                <xdr:col>2</xdr:col>
                <xdr:colOff>-137</xdr:colOff>
                <xdr:row>8</xdr:row>
                <xdr:rowOff>2</xdr:rowOff>
              </xdr:to>
            </anchor>
          </commentPr>
        </mc:Choice>
        <mc:Fallback/>
      </mc:AlternateContent>
    </comment>
    <comment ref="E71" authorId="0">
      <text>
        <r>
          <rPr>
            <sz val="10"/>
            <rFont val="Arial"/>
            <family val="2"/>
          </rPr>
          <t xml:space="preserve">Diego Mariño:
Amarre entre el overlay de </t>
        </r>
        <r>
          <rPr>
            <sz val="10"/>
            <rFont val="Noto Sans CJK SC"/>
            <family val="2"/>
          </rPr>
          <t xml:space="preserve">㉕ </t>
        </r>
        <r>
          <rPr>
            <sz val="10"/>
            <rFont val="Arial"/>
            <family val="2"/>
          </rPr>
          <t xml:space="preserve">y el </t>
        </r>
        <r>
          <rPr>
            <sz val="10"/>
            <rFont val="Noto Sans CJK SC"/>
            <family val="2"/>
          </rPr>
          <t xml:space="preserve">㉔ </t>
        </r>
        <r>
          <rPr>
            <sz val="10"/>
            <rFont val="Arial"/>
            <family val="2"/>
          </rPr>
          <t xml:space="preserve">FS. Una vez integrado el equity/dividendo/recap al FS, estas dos líneas tienen que ser idénticas año por año.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16</xdr:rowOff>
              </xdr:from>
              <xdr:to>
                <xdr:col>2</xdr:col>
                <xdr:colOff>-137</xdr:colOff>
                <xdr:row>8</xdr:row>
                <xdr:rowOff>2</xdr:rowOff>
              </xdr:to>
            </anchor>
          </commentPr>
        </mc:Choice>
        <mc:Fallback/>
      </mc:AlternateContent>
    </comment>
    <comment ref="F39" authorId="0">
      <text>
        <r>
          <rPr>
            <sz val="10"/>
            <rFont val="Arial"/>
            <family val="2"/>
          </rPr>
          <t xml:space="preserve">Diego Mariño:
Plan B: Tramo 2 en 2028, condicionado al hito de 14 tiendas operando. Dimensionado por el solver (C100) = resto del equity mínimo + colchón.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5</xdr:rowOff>
              </xdr:from>
              <xdr:to>
                <xdr:col>2</xdr:col>
                <xdr:colOff>-137</xdr:colOff>
                <xdr:row>7</xdr:row>
                <xdr:rowOff>6</xdr:rowOff>
              </xdr:to>
            </anchor>
          </commentPr>
        </mc:Choice>
        <mc:Fallback/>
      </mc:AlternateContent>
    </comment>
    <comment ref="F71" authorId="0">
      <text>
        <r>
          <rPr>
            <sz val="10"/>
            <rFont val="Arial"/>
            <family val="2"/>
          </rPr>
          <t xml:space="preserve">Diego Mariño:
Amarre entre el overlay de </t>
        </r>
        <r>
          <rPr>
            <sz val="10"/>
            <rFont val="Noto Sans CJK SC"/>
            <family val="2"/>
          </rPr>
          <t xml:space="preserve">㉕ </t>
        </r>
        <r>
          <rPr>
            <sz val="10"/>
            <rFont val="Arial"/>
            <family val="2"/>
          </rPr>
          <t xml:space="preserve">y el </t>
        </r>
        <r>
          <rPr>
            <sz val="10"/>
            <rFont val="Noto Sans CJK SC"/>
            <family val="2"/>
          </rPr>
          <t xml:space="preserve">㉔ </t>
        </r>
        <r>
          <rPr>
            <sz val="10"/>
            <rFont val="Arial"/>
            <family val="2"/>
          </rPr>
          <t xml:space="preserve">FS. Una vez integrado el equity/dividendo/recap al FS, estas dos líneas tienen que ser idénticas año por año.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16</xdr:rowOff>
              </xdr:from>
              <xdr:to>
                <xdr:col>2</xdr:col>
                <xdr:colOff>-137</xdr:colOff>
                <xdr:row>8</xdr:row>
                <xdr:rowOff>2</xdr:rowOff>
              </xdr:to>
            </anchor>
          </commentPr>
        </mc:Choice>
        <mc:Fallback/>
      </mc:AlternateContent>
    </comment>
    <comment ref="G40" authorId="0">
      <text>
        <r>
          <rPr>
            <sz val="10"/>
            <rFont val="Arial"/>
            <family val="2"/>
          </rPr>
          <t xml:space="preserve">Plan B: giro 2029 = $550K, el máximo que aguanta DSCR 1.5x contra el EBITDA 2029 (capacidad G23). Es el año trough, así que cada dólar de deuda aquí reemplaza un dólar de equity.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5</xdr:rowOff>
              </xdr:from>
              <xdr:to>
                <xdr:col>2</xdr:col>
                <xdr:colOff>-137</xdr:colOff>
                <xdr:row>7</xdr:row>
                <xdr:rowOff>6</xdr:rowOff>
              </xdr:to>
            </anchor>
          </commentPr>
        </mc:Choice>
        <mc:Fallback/>
      </mc:AlternateContent>
    </comment>
    <comment ref="G71" authorId="0">
      <text>
        <r>
          <rPr>
            <sz val="10"/>
            <rFont val="Arial"/>
            <family val="2"/>
          </rPr>
          <t xml:space="preserve">Diego Mariño:
Amarre entre el overlay de </t>
        </r>
        <r>
          <rPr>
            <sz val="10"/>
            <rFont val="Noto Sans CJK SC"/>
            <family val="2"/>
          </rPr>
          <t xml:space="preserve">㉕ </t>
        </r>
        <r>
          <rPr>
            <sz val="10"/>
            <rFont val="Arial"/>
            <family val="2"/>
          </rPr>
          <t xml:space="preserve">y el </t>
        </r>
        <r>
          <rPr>
            <sz val="10"/>
            <rFont val="Noto Sans CJK SC"/>
            <family val="2"/>
          </rPr>
          <t xml:space="preserve">㉔ </t>
        </r>
        <r>
          <rPr>
            <sz val="10"/>
            <rFont val="Arial"/>
            <family val="2"/>
          </rPr>
          <t xml:space="preserve">FS. Una vez integrado el equity/dividendo/recap al FS, estas dos líneas tienen que ser idénticas año por año.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16</xdr:rowOff>
              </xdr:from>
              <xdr:to>
                <xdr:col>2</xdr:col>
                <xdr:colOff>-137</xdr:colOff>
                <xdr:row>8</xdr:row>
                <xdr:rowOff>2</xdr:rowOff>
              </xdr:to>
            </anchor>
          </commentPr>
        </mc:Choice>
        <mc:Fallback/>
      </mc:AlternateContent>
    </comment>
    <comment ref="H40" authorId="0">
      <text>
        <r>
          <rPr>
            <sz val="10"/>
            <rFont val="Arial"/>
            <family val="2"/>
          </rPr>
          <t xml:space="preserve">Plan B: giro 2030 = $500K. Capacidad DSCR 1.5x 2030 = $2.6M, así que sobra holgura. Sirve de colchón operativo, no de tapa-hueco.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5</xdr:rowOff>
              </xdr:from>
              <xdr:to>
                <xdr:col>2</xdr:col>
                <xdr:colOff>-137</xdr:colOff>
                <xdr:row>5</xdr:row>
                <xdr:rowOff>16</xdr:rowOff>
              </xdr:to>
            </anchor>
          </commentPr>
        </mc:Choice>
        <mc:Fallback/>
      </mc:AlternateContent>
    </comment>
    <comment ref="H71" authorId="0">
      <text>
        <r>
          <rPr>
            <sz val="10"/>
            <rFont val="Arial"/>
            <family val="2"/>
          </rPr>
          <t xml:space="preserve">Diego Mariño:
Amarre entre el overlay de </t>
        </r>
        <r>
          <rPr>
            <sz val="10"/>
            <rFont val="Noto Sans CJK SC"/>
            <family val="2"/>
          </rPr>
          <t xml:space="preserve">㉕ </t>
        </r>
        <r>
          <rPr>
            <sz val="10"/>
            <rFont val="Arial"/>
            <family val="2"/>
          </rPr>
          <t xml:space="preserve">y el </t>
        </r>
        <r>
          <rPr>
            <sz val="10"/>
            <rFont val="Noto Sans CJK SC"/>
            <family val="2"/>
          </rPr>
          <t xml:space="preserve">㉔ </t>
        </r>
        <r>
          <rPr>
            <sz val="10"/>
            <rFont val="Arial"/>
            <family val="2"/>
          </rPr>
          <t xml:space="preserve">FS. Una vez integrado el equity/dividendo/recap al FS, estas dos líneas tienen que ser idénticas año por año.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16</xdr:rowOff>
              </xdr:from>
              <xdr:to>
                <xdr:col>2</xdr:col>
                <xdr:colOff>-137</xdr:colOff>
                <xdr:row>8</xdr:row>
                <xdr:rowOff>2</xdr:rowOff>
              </xdr:to>
            </anchor>
          </commentPr>
        </mc:Choice>
        <mc:Fallback/>
      </mc:AlternateContent>
    </comment>
    <comment ref="I40" authorId="0">
      <text>
        <r>
          <rPr>
            <sz val="10"/>
            <rFont val="Arial"/>
            <family val="2"/>
          </rPr>
          <t xml:space="preserve">Plan B: sin giro en 2031 — la caja ya es positiva y todo endeudamiento extra solo agrega interés.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5</xdr:rowOff>
              </xdr:from>
              <xdr:to>
                <xdr:col>2</xdr:col>
                <xdr:colOff>-137</xdr:colOff>
                <xdr:row>4</xdr:row>
                <xdr:rowOff>6</xdr:rowOff>
              </xdr:to>
            </anchor>
          </commentPr>
        </mc:Choice>
        <mc:Fallback/>
      </mc:AlternateContent>
    </comment>
    <comment ref="I71" authorId="0">
      <text>
        <r>
          <rPr>
            <sz val="10"/>
            <rFont val="Arial"/>
            <family val="2"/>
          </rPr>
          <t xml:space="preserve">Diego Mariño:
Amarre entre el overlay de </t>
        </r>
        <r>
          <rPr>
            <sz val="10"/>
            <rFont val="Noto Sans CJK SC"/>
            <family val="2"/>
          </rPr>
          <t xml:space="preserve">㉕ </t>
        </r>
        <r>
          <rPr>
            <sz val="10"/>
            <rFont val="Arial"/>
            <family val="2"/>
          </rPr>
          <t xml:space="preserve">y el </t>
        </r>
        <r>
          <rPr>
            <sz val="10"/>
            <rFont val="Noto Sans CJK SC"/>
            <family val="2"/>
          </rPr>
          <t xml:space="preserve">㉔ </t>
        </r>
        <r>
          <rPr>
            <sz val="10"/>
            <rFont val="Arial"/>
            <family val="2"/>
          </rPr>
          <t xml:space="preserve">FS. Una vez integrado el equity/dividendo/recap al FS, estas dos líneas tienen que ser idénticas año por año.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16</xdr:rowOff>
              </xdr:from>
              <xdr:to>
                <xdr:col>2</xdr:col>
                <xdr:colOff>-137</xdr:colOff>
                <xdr:row>8</xdr:row>
                <xdr:rowOff>2</xdr:rowOff>
              </xdr:to>
            </anchor>
          </commentPr>
        </mc:Choice>
        <mc:Fallback/>
      </mc:AlternateContent>
    </comment>
    <comment ref="J40" authorId="0">
      <text>
        <r>
          <rPr>
            <sz val="10"/>
            <rFont val="Arial"/>
            <family val="2"/>
          </rPr>
          <t xml:space="preserve">Plan B: sin giros de deuda desde 2032 — la caja ya es holgada y el saldo original amortiza a dic-2033. El re-apalancamiento post-2033 se maneja en el overlay de recap (filas 60–64).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5</xdr:rowOff>
              </xdr:from>
              <xdr:to>
                <xdr:col>2</xdr:col>
                <xdr:colOff>-137</xdr:colOff>
                <xdr:row>7</xdr:row>
                <xdr:rowOff>6</xdr:rowOff>
              </xdr:to>
            </anchor>
          </commentPr>
        </mc:Choice>
        <mc:Fallback/>
      </mc:AlternateContent>
    </comment>
    <comment ref="J71" authorId="0">
      <text>
        <r>
          <rPr>
            <sz val="10"/>
            <rFont val="Arial"/>
            <family val="2"/>
          </rPr>
          <t xml:space="preserve">Diego Mariño:
Amarre entre el overlay de </t>
        </r>
        <r>
          <rPr>
            <sz val="10"/>
            <rFont val="Noto Sans CJK SC"/>
            <family val="2"/>
          </rPr>
          <t xml:space="preserve">㉕ </t>
        </r>
        <r>
          <rPr>
            <sz val="10"/>
            <rFont val="Arial"/>
            <family val="2"/>
          </rPr>
          <t xml:space="preserve">y el </t>
        </r>
        <r>
          <rPr>
            <sz val="10"/>
            <rFont val="Noto Sans CJK SC"/>
            <family val="2"/>
          </rPr>
          <t xml:space="preserve">㉔ </t>
        </r>
        <r>
          <rPr>
            <sz val="10"/>
            <rFont val="Arial"/>
            <family val="2"/>
          </rPr>
          <t xml:space="preserve">FS. Una vez integrado el equity/dividendo/recap al FS, estas dos líneas tienen que ser idénticas año por año.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16</xdr:rowOff>
              </xdr:from>
              <xdr:to>
                <xdr:col>2</xdr:col>
                <xdr:colOff>-137</xdr:colOff>
                <xdr:row>8</xdr:row>
                <xdr:rowOff>2</xdr:rowOff>
              </xdr:to>
            </anchor>
          </commentPr>
        </mc:Choice>
        <mc:Fallback/>
      </mc:AlternateContent>
    </comment>
    <comment ref="K71" authorId="0">
      <text>
        <r>
          <rPr>
            <sz val="10"/>
            <rFont val="Arial"/>
            <family val="2"/>
          </rPr>
          <t xml:space="preserve">Diego Mariño:
Amarre entre el overlay de </t>
        </r>
        <r>
          <rPr>
            <sz val="10"/>
            <rFont val="Noto Sans CJK SC"/>
            <family val="2"/>
          </rPr>
          <t xml:space="preserve">㉕ </t>
        </r>
        <r>
          <rPr>
            <sz val="10"/>
            <rFont val="Arial"/>
            <family val="2"/>
          </rPr>
          <t xml:space="preserve">y el </t>
        </r>
        <r>
          <rPr>
            <sz val="10"/>
            <rFont val="Noto Sans CJK SC"/>
            <family val="2"/>
          </rPr>
          <t xml:space="preserve">㉔ </t>
        </r>
        <r>
          <rPr>
            <sz val="10"/>
            <rFont val="Arial"/>
            <family val="2"/>
          </rPr>
          <t xml:space="preserve">FS. Una vez integrado el equity/dividendo/recap al FS, estas dos líneas tienen que ser idénticas año por año.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16</xdr:rowOff>
              </xdr:from>
              <xdr:to>
                <xdr:col>2</xdr:col>
                <xdr:colOff>-137</xdr:colOff>
                <xdr:row>8</xdr:row>
                <xdr:rowOff>2</xdr:rowOff>
              </xdr:to>
            </anchor>
          </commentPr>
        </mc:Choice>
        <mc:Fallback/>
      </mc:AlternateContent>
    </comment>
    <comment ref="L71" authorId="0">
      <text>
        <r>
          <rPr>
            <sz val="10"/>
            <rFont val="Arial"/>
            <family val="2"/>
          </rPr>
          <t xml:space="preserve">Diego Mariño:
Amarre entre el overlay de </t>
        </r>
        <r>
          <rPr>
            <sz val="10"/>
            <rFont val="Noto Sans CJK SC"/>
            <family val="2"/>
          </rPr>
          <t xml:space="preserve">㉕ </t>
        </r>
        <r>
          <rPr>
            <sz val="10"/>
            <rFont val="Arial"/>
            <family val="2"/>
          </rPr>
          <t xml:space="preserve">y el </t>
        </r>
        <r>
          <rPr>
            <sz val="10"/>
            <rFont val="Noto Sans CJK SC"/>
            <family val="2"/>
          </rPr>
          <t xml:space="preserve">㉔ </t>
        </r>
        <r>
          <rPr>
            <sz val="10"/>
            <rFont val="Arial"/>
            <family val="2"/>
          </rPr>
          <t xml:space="preserve">FS. Una vez integrado el equity/dividendo/recap al FS, estas dos líneas tienen que ser idénticas año por año.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16</xdr:rowOff>
              </xdr:from>
              <xdr:to>
                <xdr:col>2</xdr:col>
                <xdr:colOff>-137</xdr:colOff>
                <xdr:row>8</xdr:row>
                <xdr:rowOff>2</xdr:rowOff>
              </xdr:to>
            </anchor>
          </commentPr>
        </mc:Choice>
        <mc:Fallback/>
      </mc:AlternateContent>
    </comment>
    <comment ref="M71" authorId="0">
      <text>
        <r>
          <rPr>
            <sz val="10"/>
            <rFont val="Arial"/>
            <family val="2"/>
          </rPr>
          <t xml:space="preserve">Diego Mariño:
Amarre entre el overlay de </t>
        </r>
        <r>
          <rPr>
            <sz val="10"/>
            <rFont val="Noto Sans CJK SC"/>
            <family val="2"/>
          </rPr>
          <t xml:space="preserve">㉕ </t>
        </r>
        <r>
          <rPr>
            <sz val="10"/>
            <rFont val="Arial"/>
            <family val="2"/>
          </rPr>
          <t xml:space="preserve">y el </t>
        </r>
        <r>
          <rPr>
            <sz val="10"/>
            <rFont val="Noto Sans CJK SC"/>
            <family val="2"/>
          </rPr>
          <t xml:space="preserve">㉔ </t>
        </r>
        <r>
          <rPr>
            <sz val="10"/>
            <rFont val="Arial"/>
            <family val="2"/>
          </rPr>
          <t xml:space="preserve">FS. Una vez integrado el equity/dividendo/recap al FS, estas dos líneas tienen que ser idénticas año por año.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16</xdr:rowOff>
              </xdr:from>
              <xdr:to>
                <xdr:col>2</xdr:col>
                <xdr:colOff>-137</xdr:colOff>
                <xdr:row>8</xdr:row>
                <xdr:rowOff>2</xdr:rowOff>
              </xdr:to>
            </anchor>
          </commentPr>
        </mc:Choice>
        <mc:Fallback/>
      </mc:AlternateContent>
    </comment>
    <comment ref="N71" authorId="0">
      <text>
        <r>
          <rPr>
            <sz val="10"/>
            <rFont val="Arial"/>
            <family val="2"/>
          </rPr>
          <t xml:space="preserve">Diego Mariño:
Amarre entre el overlay de </t>
        </r>
        <r>
          <rPr>
            <sz val="10"/>
            <rFont val="Noto Sans CJK SC"/>
            <family val="2"/>
          </rPr>
          <t xml:space="preserve">㉕ </t>
        </r>
        <r>
          <rPr>
            <sz val="10"/>
            <rFont val="Arial"/>
            <family val="2"/>
          </rPr>
          <t xml:space="preserve">y el </t>
        </r>
        <r>
          <rPr>
            <sz val="10"/>
            <rFont val="Noto Sans CJK SC"/>
            <family val="2"/>
          </rPr>
          <t xml:space="preserve">㉔ </t>
        </r>
        <r>
          <rPr>
            <sz val="10"/>
            <rFont val="Arial"/>
            <family val="2"/>
          </rPr>
          <t xml:space="preserve">FS. Una vez integrado el equity/dividendo/recap al FS, estas dos líneas tienen que ser idénticas año por año.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16</xdr:rowOff>
              </xdr:from>
              <xdr:to>
                <xdr:col>2</xdr:col>
                <xdr:colOff>-137</xdr:colOff>
                <xdr:row>8</xdr:row>
                <xdr:rowOff>2</xdr:rowOff>
              </xdr:to>
            </anchor>
          </commentPr>
        </mc:Choice>
        <mc:Fallback/>
      </mc:AlternateContent>
    </comment>
  </commentList>
</comments>
</file>

<file path=xl/comments8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Unknown Author</author>
  </authors>
  <commentList>
    <comment ref="B1180" authorId="0">
      <text>
        <r>
          <rPr>
            <sz val="10"/>
            <rFont val="Arial"/>
            <family val="2"/>
          </rPr>
          <t xml:space="preserve">Diego Mariño:
Source: Screenshot 2026-10-08 at 3.22.47 PM.png (tabla '1) Clientes nuevos vs recurrentes por mes'), uploaded 2026-10-08. Uploaded file. Columnas C:D transcritas de la imagen; E:J son fórmulas.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2</xdr:rowOff>
              </xdr:from>
              <xdr:to>
                <xdr:col>2</xdr:col>
                <xdr:colOff>-100</xdr:colOff>
                <xdr:row>9</xdr:row>
                <xdr:rowOff>7</xdr:rowOff>
              </xdr:to>
            </anchor>
          </commentPr>
        </mc:Choice>
        <mc:Fallback/>
      </mc:AlternateContent>
    </comment>
    <comment ref="B1211" authorId="0">
      <text>
        <r>
          <rPr>
            <sz val="10"/>
            <rFont val="Arial"/>
            <family val="2"/>
          </rPr>
          <t xml:space="preserve">Diego Mariño:
Source: Screenshot 2026-10-08 at 3.28.48 PM.png ('Curva promedio de recompra acumulada (todas las cohortes)'), uploaded 2026-10-08. Uploaded file. Columnas C:D (m1-m20) transcritas de la imagen; E:F son fórmulas.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2</xdr:rowOff>
              </xdr:from>
              <xdr:to>
                <xdr:col>2</xdr:col>
                <xdr:colOff>-100</xdr:colOff>
                <xdr:row>9</xdr:row>
                <xdr:rowOff>7</xdr:rowOff>
              </xdr:to>
            </anchor>
          </commentPr>
        </mc:Choice>
        <mc:Fallback/>
      </mc:AlternateContent>
    </comment>
    <comment ref="C1167" authorId="0">
      <text>
        <r>
          <rPr>
            <sz val="10"/>
            <rFont val="Arial"/>
            <family val="2"/>
          </rPr>
          <t xml:space="preserve">Diego Mariño:
Toggle: 'Marca' (Y1-5: 20/35/50/62/70%) o 'Conservador' (20/28/38/45/45%). Decisión Validación BigDream §4.</t>
        </r>
      </text>
      <mc:AlternateContent>
        <mc:Choice Requires="v2">
          <commentPr autoFill="true" autoScale="false" colHidden="false" locked="false" rowHidden="true" textHAlign="justify" textVAlign="top">
            <anchor moveWithCells="false" sizeWithCells="false">
              <xdr:from>
                <xdr:col>1</xdr:col>
                <xdr:colOff>64</xdr:colOff>
                <xdr:row>0</xdr:row>
                <xdr:rowOff>2</xdr:rowOff>
              </xdr:from>
              <xdr:to>
                <xdr:col>2</xdr:col>
                <xdr:colOff>-100</xdr:colOff>
                <xdr:row>5</xdr:row>
                <xdr:rowOff>12</xdr:rowOff>
              </xdr:to>
            </anchor>
          </commentPr>
        </mc:Choice>
        <mc:Fallback/>
      </mc:AlternateContent>
    </comment>
  </commentList>
</comments>
</file>

<file path=xl/comments9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Unknown Author</author>
  </authors>
  <commentList>
    <comment ref="C53" authorId="0">
      <text>
        <r>
          <rPr>
            <sz val="10"/>
            <rFont val="Arial"/>
            <family val="2"/>
          </rPr>
          <t xml:space="preserve">Diego Mariño:
Incluye horas extras (domingos/vacaciones) flat $300/mes por tienda activa (decisión Validación BigDream §0-A7). Real ~$250/mes.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2</xdr:rowOff>
              </xdr:from>
              <xdr:to>
                <xdr:col>2</xdr:col>
                <xdr:colOff>-88</xdr:colOff>
                <xdr:row>6</xdr:row>
                <xdr:rowOff>8</xdr:rowOff>
              </xdr:to>
            </anchor>
          </commentPr>
        </mc:Choice>
        <mc:Fallback/>
      </mc:AlternateContent>
    </comment>
  </commentList>
</comments>
</file>

<file path=xl/comments10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Unknown Author</author>
  </authors>
  <commentList>
    <comment ref="E29" authorId="0">
      <text>
        <r>
          <rPr>
            <sz val="10"/>
            <rFont val="Arial"/>
            <family val="2"/>
          </rPr>
          <t xml:space="preserve">Diego Mariño:
Capex laboratorio Colombia (2030) — se resta en </t>
        </r>
        <r>
          <rPr>
            <sz val="10"/>
            <rFont val="Noto Sans CJK SC"/>
            <family val="2"/>
          </rPr>
          <t xml:space="preserve">㉕ </t>
        </r>
        <r>
          <rPr>
            <sz val="10"/>
            <rFont val="Arial"/>
            <family val="2"/>
          </rPr>
          <t xml:space="preserve">FS fila 120 (col AZ) y entra a D&amp;A automáticamente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64</xdr:colOff>
                <xdr:row>0</xdr:row>
                <xdr:rowOff>2</xdr:rowOff>
              </xdr:from>
              <xdr:to>
                <xdr:col>2</xdr:col>
                <xdr:colOff>-88</xdr:colOff>
                <xdr:row>5</xdr:row>
                <xdr:rowOff>3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<sst xmlns="http://schemas.openxmlformats.org/spreadsheetml/2006/main" count="3225" uniqueCount="1553">
  <si>
    <t xml:space="preserve">📖 OKIO VISION — MANUAL DEL MODELO (8-oct-2026)</t>
  </si>
  <si>
    <t xml:space="preserve">Business plan 2025–2036 · reales a sep-26 · 3 escenarios de expansión</t>
  </si>
  <si>
    <t xml:space="preserve">1. CÓMO SE USA</t>
  </si>
  <si>
    <t xml:space="preserve">1) Elige el escenario en 🎚️ Escenario!C4 (A / A slow / Primera Ola / 7 + Autofinanciado). Todo el modelo recalcula.</t>
  </si>
  <si>
    <t xml:space="preserve">2) Lee el resultado en 🎚️ Escenario: plata que entra, calendario año por año, P&amp;G anual, retorno y términos de la ronda.</t>
  </si>
  <si>
    <t xml:space="preserve">3) Inputs en azul petróleo con fondo terracota claro. Fórmulas en negro. No sobrescribir fórmulas.</t>
  </si>
  <si>
    <t xml:space="preserve">2. HOJAS (14)</t>
  </si>
  <si>
    <t xml:space="preserve">Hoja</t>
  </si>
  <si>
    <t xml:space="preserve">Qué hace</t>
  </si>
  <si>
    <t xml:space="preserve">🎚️ Escenario</t>
  </si>
  <si>
    <t xml:space="preserve">Selector + inputs globales + resumen del escenario activo + comparación de los 3 escenarios (snapshot)</t>
  </si>
  <si>
    <r>
      <rPr>
        <sz val="11"/>
        <color rgb="FF2A2420"/>
        <rFont val="Noto Sans CJK SC"/>
        <family val="2"/>
      </rPr>
      <t xml:space="preserve">㉔ </t>
    </r>
    <r>
      <rPr>
        <sz val="11"/>
        <color rgb="FF2A2420"/>
        <rFont val="Calibri"/>
        <family val="2"/>
        <charset val="1"/>
      </rPr>
      <t xml:space="preserve">Financial Statements</t>
    </r>
  </si>
  <si>
    <t xml:space="preserve">P&amp;G, Balance y Flujo. Mensual ene-25 a dic-28 (reales ene-25 a sep-26), anual 2029–2036. Calibración en filas 139–154</t>
  </si>
  <si>
    <r>
      <rPr>
        <sz val="11"/>
        <color rgb="FF2A2420"/>
        <rFont val="Noto Sans CJK SC"/>
        <family val="2"/>
      </rPr>
      <t xml:space="preserve">㉒ </t>
    </r>
    <r>
      <rPr>
        <sz val="11"/>
        <color rgb="FF2A2420"/>
        <rFont val="Calibri"/>
        <family val="2"/>
        <charset val="1"/>
      </rPr>
      <t xml:space="preserve">Returns</t>
    </r>
  </si>
  <si>
    <t xml:space="preserve">Valoración de salida, MOIC/TIR por bucket, compensación del founder</t>
  </si>
  <si>
    <r>
      <rPr>
        <sz val="11"/>
        <color rgb="FF2A2420"/>
        <rFont val="Noto Sans CJK SC"/>
        <family val="2"/>
      </rPr>
      <t xml:space="preserve">㉕ </t>
    </r>
    <r>
      <rPr>
        <sz val="11"/>
        <color rgb="FF2A2420"/>
        <rFont val="Calibri"/>
        <family val="2"/>
        <charset val="1"/>
      </rPr>
      <t xml:space="preserve">Funding Gap</t>
    </r>
  </si>
  <si>
    <t xml:space="preserve">Necesidad de caja, equity mínimo (solver), deuda por DSCR, dividendos y recap. Parámetros por escenario en filas 118–129</t>
  </si>
  <si>
    <r>
      <rPr>
        <sz val="11"/>
        <color rgb="FF2A2420"/>
        <rFont val="Noto Sans CJK SC"/>
        <family val="2"/>
      </rPr>
      <t xml:space="preserve">㉗ </t>
    </r>
    <r>
      <rPr>
        <sz val="11"/>
        <color rgb="FF2A2420"/>
        <rFont val="Calibri"/>
        <family val="2"/>
        <charset val="1"/>
      </rPr>
      <t xml:space="preserve">Comparables</t>
    </r>
  </si>
  <si>
    <t xml:space="preserve">Múltiplos EV/EBITDA de salida</t>
  </si>
  <si>
    <t xml:space="preserve">⑫ Roll-out Plan</t>
  </si>
  <si>
    <t xml:space="preserve">Calendario de aperturas por tienda (col. R = A, S = A slow, Q = Primera Ola, T = 7 + Autofinanciado) y capex</t>
  </si>
  <si>
    <t xml:space="preserve">⑮ Cohort Engine</t>
  </si>
  <si>
    <t xml:space="preserve">Motor de clientes por tienda: nuevos (curva de maduración) + recompra (curva real), ventas con tope por tier</t>
  </si>
  <si>
    <t xml:space="preserve">⑯ Store P&amp;L</t>
  </si>
  <si>
    <t xml:space="preserve">Costos de tiendas: COGS, personal, renta, otros</t>
  </si>
  <si>
    <t xml:space="preserve">⑲ Corporate P&amp;L</t>
  </si>
  <si>
    <t xml:space="preserve">Costos HQ: equipo actual con nombre, contrataciones por fecha/umbral/país, gerentes de zona, marketing (nuevos × CAC), tecnología, admin y servicios (base = real jul-sep 26)</t>
  </si>
  <si>
    <t xml:space="preserve">⑳ Other Channels</t>
  </si>
  <si>
    <t xml:space="preserve">Jornadas, online y laboratorio</t>
  </si>
  <si>
    <r>
      <rPr>
        <sz val="11"/>
        <color rgb="FF2A2420"/>
        <rFont val="Noto Sans CJK SC"/>
        <family val="2"/>
      </rPr>
      <t xml:space="preserve">㉓ </t>
    </r>
    <r>
      <rPr>
        <sz val="11"/>
        <color rgb="FF2A2420"/>
        <rFont val="Calibri"/>
        <family val="2"/>
        <charset val="1"/>
      </rPr>
      <t xml:space="preserve">Debt Schedule</t>
    </r>
  </si>
  <si>
    <r>
      <rPr>
        <sz val="11"/>
        <color theme="1"/>
        <rFont val="Calibri"/>
        <family val="2"/>
        <charset val="1"/>
      </rPr>
      <t xml:space="preserve">Deuda nueva (giros de </t>
    </r>
    <r>
      <rPr>
        <sz val="11"/>
        <color theme="1"/>
        <rFont val="Noto Sans CJK SC"/>
        <family val="2"/>
      </rPr>
      <t xml:space="preserve">㉕</t>
    </r>
    <r>
      <rPr>
        <sz val="11"/>
        <color theme="1"/>
        <rFont val="Calibri"/>
        <family val="2"/>
        <charset val="1"/>
      </rPr>
      <t xml:space="preserve">) y préstamo BAC actual</t>
    </r>
  </si>
  <si>
    <t xml:space="preserve">EEFF a septiemrbe</t>
  </si>
  <si>
    <r>
      <rPr>
        <sz val="11"/>
        <color theme="1"/>
        <rFont val="Calibri"/>
        <family val="2"/>
        <charset val="1"/>
      </rPr>
      <t xml:space="preserve">BASE: estados financieros reales (formato estándar mensual). Alimenta </t>
    </r>
    <r>
      <rPr>
        <sz val="11"/>
        <color theme="1"/>
        <rFont val="Noto Sans CJK SC"/>
        <family val="2"/>
      </rPr>
      <t xml:space="preserve">㉔</t>
    </r>
  </si>
  <si>
    <t xml:space="preserve">Pnl por tienda</t>
  </si>
  <si>
    <t xml:space="preserve">BASE: P&amp;L real por tienda. Alimenta ventas por tienda, 2025 y calibraciones</t>
  </si>
  <si>
    <t xml:space="preserve">3. ESCENARIOS</t>
  </si>
  <si>
    <t xml:space="preserve">Escenario</t>
  </si>
  <si>
    <t xml:space="preserve">Definición</t>
  </si>
  <si>
    <t xml:space="preserve">A</t>
  </si>
  <si>
    <r>
      <rPr>
        <sz val="11"/>
        <color theme="1"/>
        <rFont val="Calibri"/>
        <family val="2"/>
        <charset val="1"/>
      </rPr>
      <t xml:space="preserve">75 tiendas: Panamá 2027–2030 de corrido, Colombia desde 2030. Deuda BAC $300K (2030) + $750K (2031). Ronda $3.5M (</t>
    </r>
    <r>
      <rPr>
        <sz val="11"/>
        <color theme="1"/>
        <rFont val="Noto Sans CJK SC"/>
        <family val="2"/>
      </rPr>
      <t xml:space="preserve">㉕</t>
    </r>
    <r>
      <rPr>
        <sz val="11"/>
        <color theme="1"/>
        <rFont val="Calibri"/>
        <family val="2"/>
        <charset val="1"/>
      </rPr>
      <t xml:space="preserve">!C120)</t>
    </r>
  </si>
  <si>
    <t xml:space="preserve">A slow (recomendado)</t>
  </si>
  <si>
    <r>
      <rPr>
        <sz val="11"/>
        <color theme="1"/>
        <rFont val="Calibri"/>
        <family val="2"/>
        <charset val="1"/>
      </rPr>
      <t xml:space="preserve">Mismas 75 tiendas: Panamá 7 (2027) · 7 (2028) · 1 (ago-29) · 4 (2030) · 7 (2031); Colombia 2032–2036. Deuda BAC $300K (2030) + $500K (2031). Ronda $2.5M (</t>
    </r>
    <r>
      <rPr>
        <sz val="11"/>
        <color theme="1"/>
        <rFont val="Noto Sans CJK SC"/>
        <family val="2"/>
      </rPr>
      <t xml:space="preserve">㉕</t>
    </r>
    <r>
      <rPr>
        <sz val="11"/>
        <color theme="1"/>
        <rFont val="Calibri"/>
        <family val="2"/>
        <charset val="1"/>
      </rPr>
      <t xml:space="preserve">!D120)</t>
    </r>
  </si>
  <si>
    <t xml:space="preserve">Primera Ola</t>
  </si>
  <si>
    <r>
      <rPr>
        <sz val="11"/>
        <color theme="1"/>
        <rFont val="Calibri"/>
        <family val="2"/>
        <charset val="1"/>
      </rPr>
      <t xml:space="preserve">19 tiendas: Panamá 7 (2027) + 3 (2028), Colombia 5 (2028). Deuda al máximo DSCR 1.5x + recap 70%. Ronda $2.8M (</t>
    </r>
    <r>
      <rPr>
        <sz val="11"/>
        <color theme="1"/>
        <rFont val="Noto Sans CJK SC"/>
        <family val="2"/>
      </rPr>
      <t xml:space="preserve">㉕</t>
    </r>
    <r>
      <rPr>
        <sz val="11"/>
        <color theme="1"/>
        <rFont val="Calibri"/>
        <family val="2"/>
        <charset val="1"/>
      </rPr>
      <t xml:space="preserve">!E120); pre-money resuelto para 20% TIR a nuevos</t>
    </r>
  </si>
  <si>
    <t xml:space="preserve">7 + Autofinanciado</t>
  </si>
  <si>
    <r>
      <rPr>
        <sz val="11"/>
        <color theme="1"/>
        <rFont val="Calibri"/>
        <family val="2"/>
        <charset val="1"/>
      </rPr>
      <t xml:space="preserve">Solo las 7 tiendas de Panamá 2027 con la ronda ($1.65M, </t>
    </r>
    <r>
      <rPr>
        <sz val="11"/>
        <color theme="1"/>
        <rFont val="Noto Sans CJK SC"/>
        <family val="2"/>
      </rPr>
      <t xml:space="preserve">㉕</t>
    </r>
    <r>
      <rPr>
        <sz val="11"/>
        <color theme="1"/>
        <rFont val="Calibri"/>
        <family val="2"/>
        <charset val="1"/>
      </rPr>
      <t xml:space="preserve">!F120). Desde 2028 abre solo lo que permiten la caja propia y la deuda BAC al máximo DSCR 1.5x (máx. 12 por año, calendario en ⑫ col. T); dividendos después de 2036.</t>
    </r>
  </si>
  <si>
    <t xml:space="preserve">4. RESULTADO DEL ESCENARIO ACTIVO (vivo)</t>
  </si>
  <si>
    <t xml:space="preserve">Escenario activo</t>
  </si>
  <si>
    <t xml:space="preserve">Ronda de equity</t>
  </si>
  <si>
    <t xml:space="preserve">Equity mínimo que exige el plan</t>
  </si>
  <si>
    <t xml:space="preserve">Ventas 2036</t>
  </si>
  <si>
    <t xml:space="preserve">EBITDA 2036</t>
  </si>
  <si>
    <t xml:space="preserve">TIR inversionistas nuevos</t>
  </si>
  <si>
    <t xml:space="preserve">TIR deal total</t>
  </si>
  <si>
    <t xml:space="preserve">Exit equity (2036)</t>
  </si>
  <si>
    <t xml:space="preserve">5. LÓGICA DEL MODELO</t>
  </si>
  <si>
    <t xml:space="preserve">Ventas por tienda = (clientes nuevos + recompras) × ARPU, con tope mensual por tier (⑮ F14:F18).</t>
  </si>
  <si>
    <t xml:space="preserve">Clientes nuevos: curva de maduración de 36 meses estirada 1.25x (llega al 100% en el mes 45).</t>
  </si>
  <si>
    <r>
      <rPr>
        <sz val="11"/>
        <color rgb="FF2A2420"/>
        <rFont val="Calibri"/>
        <family val="2"/>
        <charset val="1"/>
      </rPr>
      <t xml:space="preserve">Tiendas actuales: arrancan en su real jul–sep 26 y convergen a la meta de su tier en el mes 45 (</t>
    </r>
    <r>
      <rPr>
        <sz val="11"/>
        <color rgb="FF2A2420"/>
        <rFont val="Noto Sans CJK SC"/>
        <family val="2"/>
      </rPr>
      <t xml:space="preserve">㉔ </t>
    </r>
    <r>
      <rPr>
        <sz val="11"/>
        <color rgb="FF2A2420"/>
        <rFont val="Calibri"/>
        <family val="2"/>
        <charset val="1"/>
      </rPr>
      <t xml:space="preserve">filas 151–154).</t>
    </r>
  </si>
  <si>
    <t xml:space="preserve">Recompra: curva real de cohortes m1–m16 (21.2% al m16), sube a 80% acumulado al mes 48, × 1.6 por segundas vueltas (⑮ B1205).</t>
  </si>
  <si>
    <t xml:space="preserve">Marketing = clientes nuevos × CAC $21 (los nuevos de las tiendas actuales, calibrados con el real).</t>
  </si>
  <si>
    <t xml:space="preserve">Personal de tiendas: optómetra + asesor #1 fijo; asesor #2 solo en tiendas que venden &gt; $20K/mes; prestaciones 34%; horas extras $100/tienda.</t>
  </si>
  <si>
    <t xml:space="preserve">Renta: real en las 4 actuales, supuesto por tier en las nuevas. Otros gastos de tienda: real jul-sep por tienda ($952/mes) en todas las tiendas. Descuentos 5.9% de la venta bruta (real ene-sep).</t>
  </si>
  <si>
    <t xml:space="preserve">HQ: equipo actual con nombre (⑲ C7:C12). Contrataciones por fecha (abr-27) o por número de tiendas en el mes exacto. Tecnología $3.3K, admin $2.9K y servicios $1.7K al mes = promedio real jul-sep 26 (⑲ C37:C39).</t>
  </si>
  <si>
    <t xml:space="preserve">Caja: equity mínimo = el que mantiene caja ≥ 1 mes de OpEx. Ronda = mínimo + ~10% de colchón.</t>
  </si>
  <si>
    <r>
      <rPr>
        <sz val="11"/>
        <color rgb="FF2A2420"/>
        <rFont val="Calibri"/>
        <family val="2"/>
        <charset val="1"/>
      </rPr>
      <t xml:space="preserve">Deuda nueva BAC al 13%, 60 meses, desembolso en enero del año del giro; giros fijos en A / A slow (</t>
    </r>
    <r>
      <rPr>
        <sz val="11"/>
        <color rgb="FF2A2420"/>
        <rFont val="Noto Sans CJK SC"/>
        <family val="2"/>
      </rPr>
      <t xml:space="preserve">㉕ </t>
    </r>
    <r>
      <rPr>
        <sz val="11"/>
        <color rgb="FF2A2420"/>
        <rFont val="Calibri"/>
        <family val="2"/>
        <charset val="1"/>
      </rPr>
      <t xml:space="preserve">filas 126-127), máximo por DSCR 1.5x en Primera Ola. Dividendos = 100% del excedente sobre el piso de caja; recap 70% de la capacidad.</t>
    </r>
  </si>
  <si>
    <t xml:space="preserve">6. INPUTS PRINCIPALES</t>
  </si>
  <si>
    <t xml:space="preserve">Celda</t>
  </si>
  <si>
    <t xml:space="preserve">Driver</t>
  </si>
  <si>
    <t xml:space="preserve">🎚️ Escenario!C4</t>
  </si>
  <si>
    <t xml:space="preserve">Selector de escenario</t>
  </si>
  <si>
    <t xml:space="preserve">🎚️ Escenario!C7:C11</t>
  </si>
  <si>
    <t xml:space="preserve">Factor HQ, branding por país, maduración primeras 4 tiendas, maduración global 1.25x</t>
  </si>
  <si>
    <t xml:space="preserve">⑮ B13:F18</t>
  </si>
  <si>
    <t xml:space="preserve">Tabla de tiers: nuevos/mes, venta madura, tope</t>
  </si>
  <si>
    <t xml:space="preserve">⑮ C5 · H1207:H1208</t>
  </si>
  <si>
    <t xml:space="preserve">ARPU $131 · meta de recompra 80% al mes 48</t>
  </si>
  <si>
    <t xml:space="preserve">⑯ C6, C12:C22</t>
  </si>
  <si>
    <t xml:space="preserve">COGS 30%, optómetra $2,600, asesores $700, prestaciones 34%, horas extras, umbral asesor #2, rentas</t>
  </si>
  <si>
    <t xml:space="preserve">⑲ C7:C39, D59</t>
  </si>
  <si>
    <t xml:space="preserve">Equipo HQ, contrataciones y triggers, CAC $21, tecnología/admin/servicios (real jul-sep), gerente de zona ($1,800 · 1 cada 11 tiendas)</t>
  </si>
  <si>
    <t xml:space="preserve">⑫ C7 · F:G</t>
  </si>
  <si>
    <t xml:space="preserve">Capex por tienda $100K · mes/año de apertura</t>
  </si>
  <si>
    <r>
      <rPr>
        <sz val="11"/>
        <color rgb="FF2A2420"/>
        <rFont val="Noto Sans CJK SC"/>
        <family val="2"/>
      </rPr>
      <t xml:space="preserve">㉕ </t>
    </r>
    <r>
      <rPr>
        <sz val="11"/>
        <color rgb="FF2A2420"/>
        <rFont val="Calibri"/>
        <family val="2"/>
        <charset val="1"/>
      </rPr>
      <t xml:space="preserve">C120:E122</t>
    </r>
  </si>
  <si>
    <t xml:space="preserve">Ronda, inicio de dividendos y pre-money por escenario</t>
  </si>
  <si>
    <r>
      <rPr>
        <sz val="11"/>
        <color rgb="FF2A2420"/>
        <rFont val="Noto Sans CJK SC"/>
        <family val="2"/>
      </rPr>
      <t xml:space="preserve">㉓ </t>
    </r>
    <r>
      <rPr>
        <sz val="11"/>
        <color rgb="FF2A2420"/>
        <rFont val="Calibri"/>
        <family val="2"/>
        <charset val="1"/>
      </rPr>
      <t xml:space="preserve">C11 · C96</t>
    </r>
  </si>
  <si>
    <t xml:space="preserve">Tasa deuda nueva 13% · préstamo BAC actual 11%</t>
  </si>
  <si>
    <t xml:space="preserve">7. ACTUALIZACIÓN MENSUAL</t>
  </si>
  <si>
    <t xml:space="preserve">1) Reemplaza 'EEFF a septiemrbe' y 'Pnl por tienda' con el mes nuevo, mismo formato y mismos nombres de hoja.</t>
  </si>
  <si>
    <r>
      <rPr>
        <sz val="11"/>
        <color rgb="FF2A2420"/>
        <rFont val="Calibri"/>
        <family val="2"/>
        <charset val="1"/>
      </rPr>
      <t xml:space="preserve">2) Mueve el inicio de la proyección en </t>
    </r>
    <r>
      <rPr>
        <sz val="11"/>
        <color rgb="FF2A2420"/>
        <rFont val="Noto Sans CJK SC"/>
        <family val="2"/>
      </rPr>
      <t xml:space="preserve">㉔ </t>
    </r>
    <r>
      <rPr>
        <sz val="11"/>
        <color rgb="FF2A2420"/>
        <rFont val="Calibri"/>
        <family val="2"/>
        <charset val="1"/>
      </rPr>
      <t xml:space="preserve">un mes (hoy real hasta sep-26, proyección desde oct-26).</t>
    </r>
  </si>
  <si>
    <r>
      <rPr>
        <sz val="11"/>
        <color rgb="FF2A2420"/>
        <rFont val="Calibri"/>
        <family val="2"/>
        <charset val="1"/>
      </rPr>
      <t xml:space="preserve">3) Revisa la calibración de </t>
    </r>
    <r>
      <rPr>
        <sz val="11"/>
        <color rgb="FF2A2420"/>
        <rFont val="Noto Sans CJK SC"/>
        <family val="2"/>
      </rPr>
      <t xml:space="preserve">㉔ </t>
    </r>
    <r>
      <rPr>
        <sz val="11"/>
        <color rgb="FF2A2420"/>
        <rFont val="Calibri"/>
        <family val="2"/>
        <charset val="1"/>
      </rPr>
      <t xml:space="preserve">filas 139–154 y que el check de balance (</t>
    </r>
    <r>
      <rPr>
        <sz val="11"/>
        <color rgb="FF2A2420"/>
        <rFont val="Noto Sans CJK SC"/>
        <family val="2"/>
      </rPr>
      <t xml:space="preserve">㉔ </t>
    </r>
    <r>
      <rPr>
        <sz val="11"/>
        <color rgb="FF2A2420"/>
        <rFont val="Calibri"/>
        <family val="2"/>
        <charset val="1"/>
      </rPr>
      <t xml:space="preserve">fila 105) dé 0.</t>
    </r>
  </si>
  <si>
    <r>
      <rPr>
        <sz val="11"/>
        <color rgb="FF2A2420"/>
        <rFont val="Calibri"/>
        <family val="2"/>
        <charset val="1"/>
      </rPr>
      <t xml:space="preserve">4) Re-dimensiona las rondas (</t>
    </r>
    <r>
      <rPr>
        <sz val="11"/>
        <color rgb="FF2A2420"/>
        <rFont val="Noto Sans CJK SC"/>
        <family val="2"/>
      </rPr>
      <t xml:space="preserve">㉕ </t>
    </r>
    <r>
      <rPr>
        <sz val="11"/>
        <color rgb="FF2A2420"/>
        <rFont val="Calibri"/>
        <family val="2"/>
        <charset val="1"/>
      </rPr>
      <t xml:space="preserve">fila 120 vs C88) y actualiza la comparación de 🎚️ Escenario (es snapshot, no fórmula).</t>
    </r>
  </si>
  <si>
    <t xml:space="preserve">8. FUENTES DE DATOS</t>
  </si>
  <si>
    <t xml:space="preserve">Reales: hoja 'EEFF a septiemrbe' (P&amp;G, balance, flujo, one-offs; Odoo, actualizada 8-oct-26) y 'Pnl por tienda' (ventas y costos por tienda ene-25 a sep-26). Curva de recompra: cohortes reales de clientes Odoo (⑮ filas 1205+). Nómina HQ: planilla sep-26.</t>
  </si>
  <si>
    <r>
      <rPr>
        <i val="true"/>
        <sz val="11"/>
        <color rgb="FF6B5D50"/>
        <rFont val="Calibri"/>
        <family val="2"/>
        <charset val="1"/>
      </rPr>
      <t xml:space="preserve">Hoja única de control: arriba los inputs, abajo el resultado del escenario activo. Todo son fórmulas vivas. Fuente: ⑫ Roll-out · </t>
    </r>
    <r>
      <rPr>
        <i val="true"/>
        <sz val="11"/>
        <color rgb="FF6B5D50"/>
        <rFont val="Noto Sans CJK SC"/>
        <family val="2"/>
      </rPr>
      <t xml:space="preserve">㉕ </t>
    </r>
    <r>
      <rPr>
        <i val="true"/>
        <sz val="11"/>
        <color rgb="FF6B5D50"/>
        <rFont val="Calibri"/>
        <family val="2"/>
        <charset val="1"/>
      </rPr>
      <t xml:space="preserve">Funding Gap · </t>
    </r>
    <r>
      <rPr>
        <i val="true"/>
        <sz val="11"/>
        <color rgb="FF6B5D50"/>
        <rFont val="Noto Sans CJK SC"/>
        <family val="2"/>
      </rPr>
      <t xml:space="preserve">㉔ </t>
    </r>
    <r>
      <rPr>
        <i val="true"/>
        <sz val="11"/>
        <color rgb="FF6B5D50"/>
        <rFont val="Calibri"/>
        <family val="2"/>
        <charset val="1"/>
      </rPr>
      <t xml:space="preserve">Financial Statements · </t>
    </r>
    <r>
      <rPr>
        <i val="true"/>
        <sz val="11"/>
        <color rgb="FF6B5D50"/>
        <rFont val="Noto Sans CJK SC"/>
        <family val="2"/>
      </rPr>
      <t xml:space="preserve">㉒ </t>
    </r>
    <r>
      <rPr>
        <i val="true"/>
        <sz val="11"/>
        <color rgb="FF6B5D50"/>
        <rFont val="Calibri"/>
        <family val="2"/>
        <charset val="1"/>
      </rPr>
      <t xml:space="preserve">Returns</t>
    </r>
  </si>
  <si>
    <t xml:space="preserve">0. CONTROLES DEL MODELO</t>
  </si>
  <si>
    <t xml:space="preserve">ESCENARIO ACTIVO →</t>
  </si>
  <si>
    <t xml:space="preserve">A slow</t>
  </si>
  <si>
    <t xml:space="preserve">← Click para cambiar (dropdown A / A slow / Primera Ola)</t>
  </si>
  <si>
    <t xml:space="preserve">AHORRO DE HQ AI-NATIVE — aplica mientras opere un solo país</t>
  </si>
  <si>
    <t xml:space="preserve">Factor sobre HQ, marketing, IT y admin (⑲ filas 48, 50, 51, 52)</t>
  </si>
  <si>
    <t xml:space="preserve">100% = sin ahorro (equipo HQ completo desde hoy)</t>
  </si>
  <si>
    <t xml:space="preserve">INEFICIENCIAS DE ENTRADA A PAÍS NUEVO</t>
  </si>
  <si>
    <t xml:space="preserve">Branding de entrada por país nuevo (one-time, $)</t>
  </si>
  <si>
    <t xml:space="preserve">Factor de maduración — primeras 4 tiendas del país (1.0 = normal)</t>
  </si>
  <si>
    <t xml:space="preserve">1.5x = el mes 12 rinde como el mes 8</t>
  </si>
  <si>
    <t xml:space="preserve">Factor de maduración GLOBAL — todas las tiendas (1.0 = curva original)</t>
  </si>
  <si>
    <t xml:space="preserve">1.25x = la tienda llega al 100% en el mes 45 (antes 36); el salto del año 2 pasa al mes 15. Calibrado con reales jul-sep 26</t>
  </si>
  <si>
    <t xml:space="preserve">1. LA PLATA QUE ENTRA</t>
  </si>
  <si>
    <t xml:space="preserve">Concepto</t>
  </si>
  <si>
    <t xml:space="preserve">Monto</t>
  </si>
  <si>
    <t xml:space="preserve">Cuándo</t>
  </si>
  <si>
    <t xml:space="preserve">Para qué</t>
  </si>
  <si>
    <t xml:space="preserve">Ronda de equity (única)</t>
  </si>
  <si>
    <t xml:space="preserve">Deuda bancaria BAC — primer giro</t>
  </si>
  <si>
    <t xml:space="preserve">Primer año con EBITDA que aguanta el giro a DSCR 1.5x</t>
  </si>
  <si>
    <t xml:space="preserve">Deuda bancaria BAC — giros siguientes</t>
  </si>
  <si>
    <t xml:space="preserve">siguientes</t>
  </si>
  <si>
    <r>
      <rPr>
        <sz val="11"/>
        <color rgb="FF2A2420"/>
        <rFont val="Calibri"/>
        <family val="2"/>
        <charset val="1"/>
      </rPr>
      <t xml:space="preserve">A / A slow: giros fijos (</t>
    </r>
    <r>
      <rPr>
        <sz val="11"/>
        <color rgb="FF2A2420"/>
        <rFont val="Noto Sans CJK SC"/>
        <family val="2"/>
      </rPr>
      <t xml:space="preserve">㉕ </t>
    </r>
    <r>
      <rPr>
        <sz val="11"/>
        <color rgb="FF2A2420"/>
        <rFont val="Calibri"/>
        <family val="2"/>
        <charset val="1"/>
      </rPr>
      <t xml:space="preserve">fila 126-127) · Primera Ola: giros anuales al tope DSCR 1.5x</t>
    </r>
  </si>
  <si>
    <t xml:space="preserve">TOTAL INVERSIÓN EXTERNA</t>
  </si>
  <si>
    <t xml:space="preserve">No entra un dólar más: el resto se financia con caja del negocio</t>
  </si>
  <si>
    <r>
      <rPr>
        <sz val="11"/>
        <color rgb="FF2A2420"/>
        <rFont val="Calibri"/>
        <family val="2"/>
        <charset val="1"/>
      </rPr>
      <t xml:space="preserve">Equity mínimo teórico (solver </t>
    </r>
    <r>
      <rPr>
        <sz val="11"/>
        <color rgb="FF2A2420"/>
        <rFont val="Noto Sans CJK SC"/>
        <family val="2"/>
      </rPr>
      <t xml:space="preserve">㉕</t>
    </r>
    <r>
      <rPr>
        <sz val="11"/>
        <color rgb="FF2A2420"/>
        <rFont val="Calibri"/>
        <family val="2"/>
        <charset val="1"/>
      </rPr>
      <t xml:space="preserve">)</t>
    </r>
  </si>
  <si>
    <t xml:space="preserve">2. CALENDARIO AÑO POR AÑO</t>
  </si>
  <si>
    <t xml:space="preserve">Año</t>
  </si>
  <si>
    <t xml:space="preserve">TOTAL</t>
  </si>
  <si>
    <t xml:space="preserve">Tiendas nuevas en el año</t>
  </si>
  <si>
    <t xml:space="preserve">Tiendas acumuladas</t>
  </si>
  <si>
    <t xml:space="preserve">  País que abre</t>
  </si>
  <si>
    <t xml:space="preserve">Capex del año</t>
  </si>
  <si>
    <t xml:space="preserve">(+) Equity que entra</t>
  </si>
  <si>
    <t xml:space="preserve">(+) Deuda bancaria que entra</t>
  </si>
  <si>
    <t xml:space="preserve">Ventas</t>
  </si>
  <si>
    <t xml:space="preserve">(−) Costo de venta</t>
  </si>
  <si>
    <t xml:space="preserve">Margen bruto</t>
  </si>
  <si>
    <t xml:space="preserve">  Margen bruto %</t>
  </si>
  <si>
    <t xml:space="preserve">(−) OpEx total</t>
  </si>
  <si>
    <t xml:space="preserve">EBITDA</t>
  </si>
  <si>
    <t xml:space="preserve">  Margen EBITDA %</t>
  </si>
  <si>
    <t xml:space="preserve">Utilidad neta</t>
  </si>
  <si>
    <t xml:space="preserve">Flujo de caja libre (al equity)</t>
  </si>
  <si>
    <t xml:space="preserve">Caja fin de año</t>
  </si>
  <si>
    <t xml:space="preserve">  Piso mínimo exigido (1 mes de OpEx)</t>
  </si>
  <si>
    <t xml:space="preserve">  ¿Caja sobre el piso?</t>
  </si>
  <si>
    <t xml:space="preserve">DIVIDENDO REPARTIDO</t>
  </si>
  <si>
    <t xml:space="preserve">DSCR (EBITDA / servicio de deuda)</t>
  </si>
  <si>
    <t xml:space="preserve">Saldo deuda recap (fin de año)</t>
  </si>
  <si>
    <t xml:space="preserve">3. RETORNO</t>
  </si>
  <si>
    <t xml:space="preserve">Bucket</t>
  </si>
  <si>
    <t xml:space="preserve">Invertido</t>
  </si>
  <si>
    <t xml:space="preserve">MOIC</t>
  </si>
  <si>
    <t xml:space="preserve">TIR</t>
  </si>
  <si>
    <t xml:space="preserve">Inversionistas actuales</t>
  </si>
  <si>
    <t xml:space="preserve">Inversionistas nuevos (la ronda)</t>
  </si>
  <si>
    <t xml:space="preserve">DEAL TOTAL</t>
  </si>
  <si>
    <t xml:space="preserve">4. LA RONDA — TÉRMINOS</t>
  </si>
  <si>
    <t xml:space="preserve">Pre-money</t>
  </si>
  <si>
    <t xml:space="preserve">(+) Ronda</t>
  </si>
  <si>
    <t xml:space="preserve">Post-money</t>
  </si>
  <si>
    <t xml:space="preserve">% para inversionistas nuevos</t>
  </si>
  <si>
    <t xml:space="preserve">Precio por acción</t>
  </si>
  <si>
    <t xml:space="preserve">Salida</t>
  </si>
  <si>
    <t xml:space="preserve">5. COMPARACIÓN DE LOS CUATRO ESCENARIOS (A / A slow / Primera Ola / 7 + Autofinanciado)</t>
  </si>
  <si>
    <t xml:space="preserve">⚠️ SNAPSHOT — valores congelados, NO fórmulas (medidos el 8-oct-26 con EEFF a sep-26). Si cambias supuestos, hay que volver a correr los tres.</t>
  </si>
  <si>
    <t xml:space="preserve">Métrica</t>
  </si>
  <si>
    <t xml:space="preserve">A — Panamá + Colombia (75)</t>
  </si>
  <si>
    <t xml:space="preserve">A slow — 7·7·1·4·7 (75)</t>
  </si>
  <si>
    <t xml:space="preserve">Primera Ola (19)</t>
  </si>
  <si>
    <t xml:space="preserve">7 + Autofinanciado (63)</t>
  </si>
  <si>
    <t xml:space="preserve">Tiendas al 2036</t>
  </si>
  <si>
    <t xml:space="preserve">Tiendas al cierre de 2032</t>
  </si>
  <si>
    <t xml:space="preserve">Equity MÍNIMO que exige el plan</t>
  </si>
  <si>
    <t xml:space="preserve">¿La ronda alcanza?</t>
  </si>
  <si>
    <t xml:space="preserve">✓ +$269K</t>
  </si>
  <si>
    <t xml:space="preserve">✓ +$138K</t>
  </si>
  <si>
    <t xml:space="preserve">✓ +$323K</t>
  </si>
  <si>
    <t xml:space="preserve">✓ +$12K</t>
  </si>
  <si>
    <t xml:space="preserve">Deuda bancaria BAC</t>
  </si>
  <si>
    <t xml:space="preserve">DSCR mínimo (BAC + recap)</t>
  </si>
  <si>
    <t xml:space="preserve">Primer año de dividendos</t>
  </si>
  <si>
    <t xml:space="preserve">Después de 2036</t>
  </si>
  <si>
    <t xml:space="preserve">Dividendos acumulados 2029–2036</t>
  </si>
  <si>
    <t xml:space="preserve">Exit equity (2036 a 10× EBITDA)</t>
  </si>
  <si>
    <t xml:space="preserve">Deuda recap al exit (financia dividendos)</t>
  </si>
  <si>
    <t xml:space="preserve">MOIC nuevos</t>
  </si>
  <si>
    <t xml:space="preserve">TIR NUEVOS</t>
  </si>
  <si>
    <t xml:space="preserve">MOIC actuales</t>
  </si>
  <si>
    <t xml:space="preserve">TIR actuales</t>
  </si>
  <si>
    <t xml:space="preserve">A ($3.5M): 75 tiendas, Panamá 2027-30 de corrido y Colombia desde 2030. Equity mínimo $3.23M. Deuda BAC $300K (2030) + $750K (2031). EBITDA 2036 $6.12M; nuevos 4.84x / 18.0%.</t>
  </si>
  <si>
    <t xml:space="preserve">A slow ($2.5M) — RECOMENDADO: 75 tiendas; Panamá 7 (2027) · 7 (2028, incl. sep-28) · 1 (ago-29) · 4 (2030) · 7 (2031); Colombia 2032-36. Equity mínimo $2.36M (+$138K). Deuda $300K (2030) + $500K (2031); dividendos desde 2032. Nuevos 5.02x / 18.1%.</t>
  </si>
  <si>
    <t xml:space="preserve">Primera Ola ($2.8M): 19 tiendas, deuda al máximo DSCR + recap 70%. Pre-money $0.95M para 20% de TIR a nuevos (74.7% de la compañía). DSCR 1.24x (bajo covenant 1.25x). EBITDA 2036 $1.11M.</t>
  </si>
  <si>
    <t xml:space="preserve">7 + Autofinanciado ($1.65M): solo las 7 tiendas de 2027 con la ronda; desde 2028 abre únicamente lo que la caja propia + deuda BAC (DSCR 1.5x) permiten, máx. 12 por año, sin dividendos hasta 2036. Llega a 63 tiendas en 2036 (Colombia desde 2034). Equity mínimo $1.64M. Pre-money $3.30M para 20% de TIR a nuevos (33.3% de la compañía).</t>
  </si>
  <si>
    <r>
      <rPr>
        <b val="true"/>
        <sz val="14"/>
        <color rgb="FFB5523A"/>
        <rFont val="Noto Sans CJK SC"/>
        <family val="2"/>
      </rPr>
      <t xml:space="preserve">㉔ </t>
    </r>
    <r>
      <rPr>
        <b val="true"/>
        <sz val="14"/>
        <color rgb="FFB5523A"/>
        <rFont val="Calibri"/>
        <family val="2"/>
        <charset val="1"/>
      </rPr>
      <t xml:space="preserve">ESTADOS FINANCIEROS — mensual (ene-25 a dic-28) + anual (2029-2036)</t>
    </r>
  </si>
  <si>
    <r>
      <rPr>
        <i val="true"/>
        <sz val="9"/>
        <color rgb="FF6B5D50"/>
        <rFont val="Calibri"/>
        <family val="2"/>
        <charset val="1"/>
      </rPr>
      <t xml:space="preserve">P&amp;G + Balance + Flujo de caja · reales ene-25 a sep-26 (hojas EEFF y Pnl por tienda) · proyección desde oct-26 (⑮ ⑯ ⑲ ⑳ </t>
    </r>
    <r>
      <rPr>
        <i val="true"/>
        <sz val="9"/>
        <color rgb="FF6B5D50"/>
        <rFont val="Noto Sans CJK SC"/>
        <family val="2"/>
      </rPr>
      <t xml:space="preserve">㉓</t>
    </r>
    <r>
      <rPr>
        <i val="true"/>
        <sz val="9"/>
        <color rgb="FF6B5D50"/>
        <rFont val="Calibri"/>
        <family val="2"/>
        <charset val="1"/>
      </rPr>
      <t xml:space="preserve">)</t>
    </r>
  </si>
  <si>
    <t xml:space="preserve">Period type</t>
  </si>
  <si>
    <t xml:space="preserve">Actual</t>
  </si>
  <si>
    <t xml:space="preserve">Estimate</t>
  </si>
  <si>
    <t xml:space="preserve">Annual</t>
  </si>
  <si>
    <t xml:space="preserve">Date</t>
  </si>
  <si>
    <t xml:space="preserve">2029E</t>
  </si>
  <si>
    <t xml:space="preserve">2030E</t>
  </si>
  <si>
    <t xml:space="preserve">2031E</t>
  </si>
  <si>
    <t xml:space="preserve">2032E</t>
  </si>
  <si>
    <t xml:space="preserve">2033E</t>
  </si>
  <si>
    <t xml:space="preserve">2034E</t>
  </si>
  <si>
    <t xml:space="preserve">2035E</t>
  </si>
  <si>
    <t xml:space="preserve">2036E</t>
  </si>
  <si>
    <t xml:space="preserve">INCOME STATEMENT</t>
  </si>
  <si>
    <t xml:space="preserve">Reales: 2026 ← hoja 'EEFF a septiemrbe' · ventas por tienda y P&amp;G 2025 ← 'Pnl por tienda' · Balance/flujo 2025 congelados (valores)</t>
  </si>
  <si>
    <t xml:space="preserve">Ventas Okio (gross)</t>
  </si>
  <si>
    <t xml:space="preserve">(-) Descuentos (% en C120)</t>
  </si>
  <si>
    <t xml:space="preserve">VENTA NETA</t>
  </si>
  <si>
    <t xml:space="preserve">  · Ventas tiendas</t>
  </si>
  <si>
    <t xml:space="preserve">  · Jornadas + Laboratorio</t>
  </si>
  <si>
    <t xml:space="preserve">  · Online</t>
  </si>
  <si>
    <t xml:space="preserve">  · Ajuste reconciliación</t>
  </si>
  <si>
    <t xml:space="preserve">(-) COGS</t>
  </si>
  <si>
    <t xml:space="preserve">  COGS % rev</t>
  </si>
  <si>
    <t xml:space="preserve">GROSS PROFIT</t>
  </si>
  <si>
    <t xml:space="preserve">  Gross margin</t>
  </si>
  <si>
    <t xml:space="preserve">OpEx TIENDAS</t>
  </si>
  <si>
    <t xml:space="preserve">  Personal</t>
  </si>
  <si>
    <t xml:space="preserve">  Otros gastos tiendas</t>
  </si>
  <si>
    <t xml:space="preserve">  Arrendamientos</t>
  </si>
  <si>
    <t xml:space="preserve">TOTAL OpEx TIENDAS</t>
  </si>
  <si>
    <t xml:space="preserve">CORPORATE OpEx</t>
  </si>
  <si>
    <t xml:space="preserve">  Servicios</t>
  </si>
  <si>
    <t xml:space="preserve">  Marketing (Anuncios + Servicios + Vallas + Eventos)</t>
  </si>
  <si>
    <t xml:space="preserve">  Tecnología</t>
  </si>
  <si>
    <t xml:space="preserve">  Admin</t>
  </si>
  <si>
    <t xml:space="preserve">TOTAL CORPORATE OpEx</t>
  </si>
  <si>
    <t xml:space="preserve">  Ajuste CEO al mes exacto (abr-27 $12K; el anual lo promedia)</t>
  </si>
  <si>
    <t xml:space="preserve">TOTAL OpEx</t>
  </si>
  <si>
    <t xml:space="preserve">  EBITDA margin</t>
  </si>
  <si>
    <t xml:space="preserve">(+) CEO addback (sueldo + prestaciones)</t>
  </si>
  <si>
    <t xml:space="preserve">EBITDA AJUSTADO (excl. C-suite)</t>
  </si>
  <si>
    <t xml:space="preserve">Otras G/P operativas</t>
  </si>
  <si>
    <t xml:space="preserve">(-) D&amp;A</t>
  </si>
  <si>
    <t xml:space="preserve">(-) Costos Financieros</t>
  </si>
  <si>
    <t xml:space="preserve">(-) ISR (~28% mezclado PA/CO/RD sobre EBT)</t>
  </si>
  <si>
    <t xml:space="preserve">NET INCOME</t>
  </si>
  <si>
    <t xml:space="preserve">CASH FLOW STATEMENT</t>
  </si>
  <si>
    <t xml:space="preserve">Net Income</t>
  </si>
  <si>
    <t xml:space="preserve">(+) D&amp;A</t>
  </si>
  <si>
    <t xml:space="preserve">(+) Stock-Based Compensation</t>
  </si>
  <si>
    <t xml:space="preserve">(±) Δ AR</t>
  </si>
  <si>
    <t xml:space="preserve">(±) Δ Inventory</t>
  </si>
  <si>
    <t xml:space="preserve">(±) Δ AP</t>
  </si>
  <si>
    <t xml:space="preserve">(±) Δ GAP (Otros gastos acumulados)</t>
  </si>
  <si>
    <t xml:space="preserve">Cash Flow from Operations (CFO)</t>
  </si>
  <si>
    <t xml:space="preserve">(-) Capex</t>
  </si>
  <si>
    <t xml:space="preserve">(±) Δ Investments</t>
  </si>
  <si>
    <t xml:space="preserve">Cash Flow from Investing (CFI)</t>
  </si>
  <si>
    <t xml:space="preserve">(±) Δ Debt</t>
  </si>
  <si>
    <t xml:space="preserve">(+) Equity Raised</t>
  </si>
  <si>
    <t xml:space="preserve">(-) Dividend Payment</t>
  </si>
  <si>
    <t xml:space="preserve">Cash Flow from Financing (CFF)</t>
  </si>
  <si>
    <t xml:space="preserve">Beginning Cash</t>
  </si>
  <si>
    <t xml:space="preserve">Δ Cash</t>
  </si>
  <si>
    <t xml:space="preserve">Ending Cash</t>
  </si>
  <si>
    <t xml:space="preserve">BALANCE SHEET</t>
  </si>
  <si>
    <t xml:space="preserve">ACTIVOS CORRIENTES</t>
  </si>
  <si>
    <t xml:space="preserve">  · Efectivo y equivalentes</t>
  </si>
  <si>
    <t xml:space="preserve">  · Cuentas por cobrar (AR)</t>
  </si>
  <si>
    <t xml:space="preserve">  · Inventarios</t>
  </si>
  <si>
    <t xml:space="preserve">  · Anticipos y créditos fiscales</t>
  </si>
  <si>
    <t xml:space="preserve">  · Inversiones financieras</t>
  </si>
  <si>
    <t xml:space="preserve">Total Activos Corrientes</t>
  </si>
  <si>
    <t xml:space="preserve">ACTIVOS NO CORRIENTES</t>
  </si>
  <si>
    <t xml:space="preserve">  · Propiedad, planta y equipo (PP&amp;E)</t>
  </si>
  <si>
    <t xml:space="preserve">  · Activos intangibles, neto</t>
  </si>
  <si>
    <t xml:space="preserve">Total Activos No Corrientes</t>
  </si>
  <si>
    <t xml:space="preserve">TOTAL ACTIVOS</t>
  </si>
  <si>
    <t xml:space="preserve">PASIVOS CORRIENTES</t>
  </si>
  <si>
    <t xml:space="preserve">  · Cuentas por pagar (AP)</t>
  </si>
  <si>
    <t xml:space="preserve">  · Obligaciones laborales</t>
  </si>
  <si>
    <t xml:space="preserve">  · Obligaciones financieras corrientes</t>
  </si>
  <si>
    <t xml:space="preserve">  · Impuestos por pagar</t>
  </si>
  <si>
    <t xml:space="preserve">  · Otros gastos acumulados (GAP)</t>
  </si>
  <si>
    <t xml:space="preserve">  · Anticipos recibidos de clientes</t>
  </si>
  <si>
    <t xml:space="preserve">Total Pasivos Corrientes</t>
  </si>
  <si>
    <t xml:space="preserve">TOTAL PASIVOS</t>
  </si>
  <si>
    <t xml:space="preserve">PATRIMONIO</t>
  </si>
  <si>
    <t xml:space="preserve">  · Capital aportado</t>
  </si>
  <si>
    <t xml:space="preserve">  · Pérdidas acumuladas</t>
  </si>
  <si>
    <t xml:space="preserve">TOTAL PATRIMONIO</t>
  </si>
  <si>
    <t xml:space="preserve">TOTAL PASIVOS + PATRIMONIO</t>
  </si>
  <si>
    <t xml:space="preserve">Check (TA - L - E)</t>
  </si>
  <si>
    <t xml:space="preserve">WORKING CAPITAL &amp; D&amp;A ASSUMPTIONS</t>
  </si>
  <si>
    <t xml:space="preserve">AR (días de venta) — real may-sep ~4</t>
  </si>
  <si>
    <t xml:space="preserve">Inventario (meses de COGS) — real jul-sep 4.4</t>
  </si>
  <si>
    <t xml:space="preserve">AP (días de COGS + OpEx no-personal) — real jul-sep ~28</t>
  </si>
  <si>
    <t xml:space="preserve">Gastos acumulados (meses de nómina) — real jul-sep ~2.2</t>
  </si>
  <si>
    <t xml:space="preserve">Vida útil capex nuevo (años)</t>
  </si>
  <si>
    <t xml:space="preserve">Interés tarjetas de crédito ($/mes)</t>
  </si>
  <si>
    <t xml:space="preserve">(Sin uso) Capex por tienda — ver ⑫ C7</t>
  </si>
  <si>
    <t xml:space="preserve">CAPEX SCHEDULE (mes anterior a apertura)</t>
  </si>
  <si>
    <t xml:space="preserve">Tiendas abriendo este mes (#)</t>
  </si>
  <si>
    <t xml:space="preserve">Capex schedule mensual (capex variable por tienda × ventana 3 meses)</t>
  </si>
  <si>
    <t xml:space="preserve">Año (auxiliar)</t>
  </si>
  <si>
    <t xml:space="preserve">AJUSTES PROYECCIÓN (desde oct-26)</t>
  </si>
  <si>
    <t xml:space="preserve">Descuentos (% venta bruta)</t>
  </si>
  <si>
    <t xml:space="preserve">Real ene-sep 26 (descuentos ÷ venta bruta). No hay devoluciones en los EEFF</t>
  </si>
  <si>
    <t xml:space="preserve">D&amp;A activos existentes ($/mes)</t>
  </si>
  <si>
    <t xml:space="preserve">Promedio real jul-sep; corre hasta agotar el PP&amp;E neto de sep-26</t>
  </si>
  <si>
    <t xml:space="preserve">Anticipos de clientes (% venta del mes)</t>
  </si>
  <si>
    <t xml:space="preserve">Real jul-sep 3.6–5.5%</t>
  </si>
  <si>
    <t xml:space="preserve">DEBT COVERAGE INDICATORS</t>
  </si>
  <si>
    <t xml:space="preserve">Interest pagado</t>
  </si>
  <si>
    <t xml:space="preserve">Principal pagado</t>
  </si>
  <si>
    <t xml:space="preserve">Total Debt Service</t>
  </si>
  <si>
    <t xml:space="preserve">DSCR (EBITDA / Debt Service)</t>
  </si>
  <si>
    <t xml:space="preserve">Interest Coverage</t>
  </si>
  <si>
    <t xml:space="preserve">Deuda / EBITDA anual (apalancamiento)</t>
  </si>
  <si>
    <t xml:space="preserve">CALIBRACIÓN — tiendas a sep-26; HQ al promedio jul-sep 26 (base permanente de la proyección desde oct-26)</t>
  </si>
  <si>
    <t xml:space="preserve">Factor personal tiendas</t>
  </si>
  <si>
    <t xml:space="preserve">Sin uso desde oct-26: personal de tiendas usa los supuestos de ⑯ (optómetra, asesores, extras)</t>
  </si>
  <si>
    <t xml:space="preserve">Factor renta tiendas</t>
  </si>
  <si>
    <t xml:space="preserve">Real sep-26 ÷ modelo sep-26. Solo tiendas actuales; nuevas a supuesto</t>
  </si>
  <si>
    <t xml:space="preserve">Otros gastos tienda ($/tienda/mes)</t>
  </si>
  <si>
    <t xml:space="preserve">Real jul-sep 26 ÷ tiendas activas. Aplica a todas las tiendas (actuales y nuevas)</t>
  </si>
  <si>
    <t xml:space="preserve">(Sin uso) Factor marketing corporativo — marketing = clientes nuevos × CAC $21</t>
  </si>
  <si>
    <t xml:space="preserve">Real jul-sep 26 ÷ modelo jul-sep 26 (sigue variable con clientes nuevos)</t>
  </si>
  <si>
    <t xml:space="preserve">Ajuste personal HQ ($/mes)</t>
  </si>
  <si>
    <t xml:space="preserve">Sin uso: el equipo de hoy está explícito en ⑲ C7:C11</t>
  </si>
  <si>
    <t xml:space="preserve">Ajuste servicios corp ($/mes)</t>
  </si>
  <si>
    <t xml:space="preserve">Promedio real jul-sep 26 − modelo</t>
  </si>
  <si>
    <t xml:space="preserve">Ajuste tecnología ($/mes)</t>
  </si>
  <si>
    <t xml:space="preserve">Ajuste admin corp ($/mes)</t>
  </si>
  <si>
    <t xml:space="preserve">(sin uso) Uplift CEO</t>
  </si>
  <si>
    <t xml:space="preserve">Reemplazado: CEO por fecha en ⑲ C7/C16/C33</t>
  </si>
  <si>
    <t xml:space="preserve">VENTAS TIENDAS ACTUALES — aprenden del real y convergen a su meta</t>
  </si>
  <si>
    <t xml:space="preserve">Factor real/modelo (jul-sep 26)</t>
  </si>
  <si>
    <t xml:space="preserve">Mes desde apertura (sep-26)</t>
  </si>
  <si>
    <t xml:space="preserve">Mes de madurez (36 × factor global)</t>
  </si>
  <si>
    <t xml:space="preserve">Factor por mes → (cols X:BF)</t>
  </si>
  <si>
    <t xml:space="preserve">  New York</t>
  </si>
  <si>
    <t xml:space="preserve">  Costa del Este</t>
  </si>
  <si>
    <t xml:space="preserve">  Brisas Capital</t>
  </si>
  <si>
    <t xml:space="preserve">  Albrook</t>
  </si>
  <si>
    <t xml:space="preserve">RETURNS — IRR / MOIC BY INVESTOR BUCKET</t>
  </si>
  <si>
    <t xml:space="preserve">Cap table real al 26 Feb 2026: $1.34M total invested, 88,863 shares + 39,946 ESOP reserved = 128,809 fully diluted.</t>
  </si>
  <si>
    <t xml:space="preserve">EXIT ASSUMPTIONS</t>
  </si>
  <si>
    <t xml:space="preserve">Año de salida</t>
  </si>
  <si>
    <t xml:space="preserve">Año de salida (editable) — escenario activo; tiendas maduras al 2036</t>
  </si>
  <si>
    <t xml:space="preserve">Exit EBITDA</t>
  </si>
  <si>
    <t xml:space="preserve">EBITDA del año de salida (hoja Escenario, P&amp;G anual)</t>
  </si>
  <si>
    <t xml:space="preserve">Exit Multiple (EV/EBITDA)</t>
  </si>
  <si>
    <r>
      <rPr>
        <sz val="11"/>
        <color rgb="FF2A2420"/>
        <rFont val="Calibri"/>
        <family val="2"/>
        <charset val="1"/>
      </rPr>
      <t xml:space="preserve">Múltiplo de salida ← </t>
    </r>
    <r>
      <rPr>
        <sz val="11"/>
        <color rgb="FF2A2420"/>
        <rFont val="Noto Sans CJK SC"/>
        <family val="2"/>
      </rPr>
      <t xml:space="preserve">㉗ </t>
    </r>
    <r>
      <rPr>
        <sz val="11"/>
        <color rgb="FF2A2420"/>
        <rFont val="Calibri"/>
        <family val="2"/>
        <charset val="1"/>
      </rPr>
      <t xml:space="preserve">Comparables — piso 8× / base 10× / upside 12×</t>
    </r>
  </si>
  <si>
    <t xml:space="preserve">Exit EV</t>
  </si>
  <si>
    <t xml:space="preserve">Calculated</t>
  </si>
  <si>
    <t xml:space="preserve">(-) Deuda neta al cierre (deuda − caja)</t>
  </si>
  <si>
    <r>
      <rPr>
        <sz val="11"/>
        <color rgb="FF2A2420"/>
        <rFont val="Calibri"/>
        <family val="2"/>
        <charset val="1"/>
      </rPr>
      <t xml:space="preserve">Deuda 0; suma la caja acumulada al cierre (</t>
    </r>
    <r>
      <rPr>
        <sz val="11"/>
        <color rgb="FF2A2420"/>
        <rFont val="Noto Sans CJK SC"/>
        <family val="2"/>
      </rPr>
      <t xml:space="preserve">㉔ </t>
    </r>
    <r>
      <rPr>
        <sz val="11"/>
        <color rgb="FF2A2420"/>
        <rFont val="Calibri"/>
        <family val="2"/>
        <charset val="1"/>
      </rPr>
      <t xml:space="preserve">BS)</t>
    </r>
  </si>
  <si>
    <t xml:space="preserve">Exit Equity Value</t>
  </si>
  <si>
    <t xml:space="preserve">EV − deuda + caja + ejercicio ESOP</t>
  </si>
  <si>
    <t xml:space="preserve">Total fully diluted shares</t>
  </si>
  <si>
    <t xml:space="preserve">From cap table (incl ESOP reserved)</t>
  </si>
  <si>
    <t xml:space="preserve">Price per share at exit</t>
  </si>
  <si>
    <t xml:space="preserve">Exit Equity / fully diluted</t>
  </si>
  <si>
    <t xml:space="preserve">Strike por opción ESOP ($/opción)</t>
  </si>
  <si>
    <t xml:space="preserve">Precio de ejercicio (≈ ronda temprana)</t>
  </si>
  <si>
    <t xml:space="preserve">(+) Ejercicio ESOP (opciones × strike) → cash a la empresa</t>
  </si>
  <si>
    <t xml:space="preserve">Las opciones in-the-money aportan su strike al equity</t>
  </si>
  <si>
    <t xml:space="preserve">INVESTOR BUCKETS — RETURNS BY GROUP</t>
  </si>
  <si>
    <t xml:space="preserve">Description</t>
  </si>
  <si>
    <t xml:space="preserve">$ Invested</t>
  </si>
  <si>
    <t xml:space="preserve"># Shares</t>
  </si>
  <si>
    <t xml:space="preserve">% at close</t>
  </si>
  <si>
    <t xml:space="preserve">Stock options</t>
  </si>
  <si>
    <t xml:space="preserve">Total shares at exit</t>
  </si>
  <si>
    <t xml:space="preserve">% at exit</t>
  </si>
  <si>
    <t xml:space="preserve">Avg $/share</t>
  </si>
  <si>
    <t xml:space="preserve">Valor total (exit aj. + dividendos)</t>
  </si>
  <si>
    <t xml:space="preserve">MOIC (con dividendos)</t>
  </si>
  <si>
    <t xml:space="preserve">TIR (flujos reales)</t>
  </si>
  <si>
    <t xml:space="preserve">NUEVA RONDA — SUPUESTOS</t>
  </si>
  <si>
    <t xml:space="preserve">Sweat Equity (opciones Founder)</t>
  </si>
  <si>
    <t xml:space="preserve">Stock options: 4,050 emitidas + 49,766 por ganar (incl. extensión 2030–34)</t>
  </si>
  <si>
    <t xml:space="preserve">n/a</t>
  </si>
  <si>
    <t xml:space="preserve">Monto a levantar</t>
  </si>
  <si>
    <t xml:space="preserve">← ronda única, cierre nov-2026</t>
  </si>
  <si>
    <t xml:space="preserve">Inversionistas actuales (equity)</t>
  </si>
  <si>
    <t xml:space="preserve">Anchor + pequeños + base Diego ($147,650 / 9,595 acc)</t>
  </si>
  <si>
    <t xml:space="preserve">Valoración pre-money</t>
  </si>
  <si>
    <t xml:space="preserve">Inversionistas nuevos</t>
  </si>
  <si>
    <t xml:space="preserve">Precio por acción (ronda nueva)</t>
  </si>
  <si>
    <t xml:space="preserve">ESOP (reserved, not issued)</t>
  </si>
  <si>
    <t xml:space="preserve">Reserved + granted (Diego ESOP + Amador + future)</t>
  </si>
  <si>
    <t xml:space="preserve">% nuevos inversionistas</t>
  </si>
  <si>
    <t xml:space="preserve">Entrada nuevos (año)</t>
  </si>
  <si>
    <t xml:space="preserve">FOUNDER (DIEGO) — STOCK COMP: PARTICIPACIÓN HOY vs EXIT</t>
  </si>
  <si>
    <t xml:space="preserve">MOIC inversionistas actuales (driver del performance) →</t>
  </si>
  <si>
    <t xml:space="preserve">El performance de Diego se amarra al MOIC de los actuales (tabla); a ≥7x da el máx</t>
  </si>
  <si>
    <t xml:space="preserve">A. PARTICIPACIÓN HOY (acciones emitidas)</t>
  </si>
  <si>
    <t xml:space="preserve">Acciones</t>
  </si>
  <si>
    <t xml:space="preserve">%</t>
  </si>
  <si>
    <t xml:space="preserve">Diego (9,595 base + 4,050 longevidad año 1)</t>
  </si>
  <si>
    <t xml:space="preserve">Resto (inversionistas + equipo)</t>
  </si>
  <si>
    <t xml:space="preserve">Total emitido hoy</t>
  </si>
  <si>
    <t xml:space="preserve">B. DESGLOSE DIEGO — fully diluted (plan ESOP completo)</t>
  </si>
  <si>
    <t xml:space="preserve">Estado</t>
  </si>
  <si>
    <t xml:space="preserve">Base comprada (cash in)</t>
  </si>
  <si>
    <t xml:space="preserve">emitida</t>
  </si>
  <si>
    <t xml:space="preserve">Longevidad año-1 (emitida)</t>
  </si>
  <si>
    <t xml:space="preserve">Longevidad fija (plan 13,633 + extensión 13,633 + ajuste §5.03 4,500)</t>
  </si>
  <si>
    <t xml:space="preserve">fija (no MOIC)</t>
  </si>
  <si>
    <t xml:space="preserve">Performance (amarrado a MOIC actuales, BUSCARV)</t>
  </si>
  <si>
    <t xml:space="preserve">contingente MOIC actuales</t>
  </si>
  <si>
    <t xml:space="preserve">Total por ganar (Founder 49,766 + Founding team 4,015)</t>
  </si>
  <si>
    <t xml:space="preserve">Diego total fully-diluted</t>
  </si>
  <si>
    <t xml:space="preserve">Por ganar (opciones):</t>
  </si>
  <si>
    <t xml:space="preserve">= Longevidad 13,633 + Ajuste 4,500 + Performance 18,000</t>
  </si>
  <si>
    <t xml:space="preserve">Resto fully-diluted (actuales 91,159 + nuevos + ESOP)</t>
  </si>
  <si>
    <t xml:space="preserve">Por ganar foundign team</t>
  </si>
  <si>
    <t xml:space="preserve">Total fully-diluted</t>
  </si>
  <si>
    <t xml:space="preserve">C. PARTICIPACIÓN Founder AL EXIT</t>
  </si>
  <si>
    <t xml:space="preserve">% fully-diluted al exit</t>
  </si>
  <si>
    <t xml:space="preserve">Valor total Founder (exit ajustado + dividendos)</t>
  </si>
  <si>
    <t xml:space="preserve">TABLA PERFORMANCE (base $765,000) — para BUSCARV(MOIC)</t>
  </si>
  <si>
    <t xml:space="preserve">Caja devuelta</t>
  </si>
  <si>
    <t xml:space="preserve">Pool founders</t>
  </si>
  <si>
    <t xml:space="preserve">Diego (90%)</t>
  </si>
  <si>
    <t xml:space="preserve">D. CALENDARIO DE LONGEVIDAD — Diego (total 27,266 ≈ 227/mes × 120 meses; 13,633 plan original 2025–29 + 13,633 extensión 2030–34; se emite cada julio)</t>
  </si>
  <si>
    <t xml:space="preserve">Fecha de cálculo</t>
  </si>
  <si>
    <t xml:space="preserve">Meses</t>
  </si>
  <si>
    <t xml:space="preserve">Tramo emitido</t>
  </si>
  <si>
    <t xml:space="preserve">Acum.</t>
  </si>
  <si>
    <t xml:space="preserve">Firma SHA (3-jul-2024)</t>
  </si>
  <si>
    <t xml:space="preserve">—</t>
  </si>
  <si>
    <t xml:space="preserve">Emisión año 1 (ene-2026)</t>
  </si>
  <si>
    <t xml:space="preserve">✅ emitido</t>
  </si>
  <si>
    <t xml:space="preserve">⏳ (solo 6 meses)</t>
  </si>
  <si>
    <t xml:space="preserve">⏳ vesting</t>
  </si>
  <si>
    <t xml:space="preserve">⏳ 100%</t>
  </si>
  <si>
    <t xml:space="preserve">⏳ vesting (extensión)</t>
  </si>
  <si>
    <t xml:space="preserve">⏳ 100% (extensión completa)</t>
  </si>
  <si>
    <t xml:space="preserve">E. TRAMO PERFORMANCE AUTOLIMITANTE — vestea solo si el MOIC de nuevos (c/div) se mantiene ≥ umbral contándolo en el FD</t>
  </si>
  <si>
    <t xml:space="preserve">Opciones performance adicionales (input)</t>
  </si>
  <si>
    <t xml:space="preserve">Umbral MOIC nuevos (con dividendos)</t>
  </si>
  <si>
    <t xml:space="preserve">MOIC nuevos TEST (tramo completo de 9,000 contado en el FD)</t>
  </si>
  <si>
    <t xml:space="preserve">→ Opciones vesteadas del tramo E</t>
  </si>
  <si>
    <t xml:space="preserve">Sin cálculo iterativo: el test cuenta las 9,000 opciones en el FD; si el MOIC test cae bajo el umbral no vestea nada (y sin ellas el MOIC solo mejora → autolimitante). Entra al FD vía C11 = H21 + C77.</t>
  </si>
  <si>
    <t xml:space="preserve">FLUJOS AL INVERSIONISTA — CON DIVIDENDOS + RECAP APALANCADO</t>
  </si>
  <si>
    <r>
      <rPr>
        <i val="true"/>
        <sz val="11"/>
        <color rgb="FF6B5D50"/>
        <rFont val="Calibri"/>
        <family val="2"/>
        <charset val="1"/>
      </rPr>
      <t xml:space="preserve">Dividendos pro-rata a acciones EMITIDAS de cada año (emisión de longevidad cada julio; nuevos desde 2026) — NO al % FD del exit. Interés recap sin escudo fiscal (conservador). Fuente: </t>
    </r>
    <r>
      <rPr>
        <i val="true"/>
        <sz val="11"/>
        <color rgb="FF6B5D50"/>
        <rFont val="Noto Sans CJK SC"/>
        <family val="2"/>
      </rPr>
      <t xml:space="preserve">㉕ </t>
    </r>
    <r>
      <rPr>
        <i val="true"/>
        <sz val="11"/>
        <color rgb="FF6B5D50"/>
        <rFont val="Calibri"/>
        <family val="2"/>
        <charset val="1"/>
      </rPr>
      <t xml:space="preserve">Funding Gap filas 61–70.</t>
    </r>
  </si>
  <si>
    <t xml:space="preserve">Deal total</t>
  </si>
  <si>
    <t xml:space="preserve">Inv. actuales</t>
  </si>
  <si>
    <t xml:space="preserve">Inv. nuevos</t>
  </si>
  <si>
    <t xml:space="preserve">Div. total año</t>
  </si>
  <si>
    <t xml:space="preserve">Emitidas sweat (long.)</t>
  </si>
  <si>
    <t xml:space="preserve">Emitidas actuales</t>
  </si>
  <si>
    <t xml:space="preserve">Emitidas nuevos</t>
  </si>
  <si>
    <t xml:space="preserve">Total emitidas</t>
  </si>
  <si>
    <t xml:space="preserve">Div → sweat</t>
  </si>
  <si>
    <t xml:space="preserve">Div → actuales</t>
  </si>
  <si>
    <t xml:space="preserve">Div → nuevos</t>
  </si>
  <si>
    <t xml:space="preserve">TIR con distribuciones (IRR flujos)</t>
  </si>
  <si>
    <t xml:space="preserve">MOIC con distribuciones (deal completo: incl. sweat y tramo E sin cash-in)</t>
  </si>
  <si>
    <r>
      <rPr>
        <sz val="11"/>
        <color rgb="FF2A2420"/>
        <rFont val="Calibri"/>
        <family val="2"/>
        <charset val="1"/>
      </rPr>
      <t xml:space="preserve">Σ Dividendos repartidos (overlay </t>
    </r>
    <r>
      <rPr>
        <sz val="11"/>
        <color rgb="FF2A2420"/>
        <rFont val="Noto Sans CJK SC"/>
        <family val="2"/>
      </rPr>
      <t xml:space="preserve">㉕</t>
    </r>
    <r>
      <rPr>
        <sz val="11"/>
        <color rgb="FF2A2420"/>
        <rFont val="Calibri"/>
        <family val="2"/>
        <charset val="1"/>
      </rPr>
      <t xml:space="preserve">, 2032–2036)</t>
    </r>
  </si>
  <si>
    <t xml:space="preserve">Exit equity al cierre (= C10; dividendos y recap ya están en caja y deuda neta)</t>
  </si>
  <si>
    <t xml:space="preserve">COMPARABLES DE VALORACIÓN — OKIO</t>
  </si>
  <si>
    <r>
      <rPr>
        <i val="true"/>
        <sz val="9"/>
        <color rgb="FF6B5D50"/>
        <rFont val="Calibri"/>
        <family val="2"/>
        <charset val="1"/>
      </rPr>
      <t xml:space="preserve">Para anclar el múltiplo de entrada (ronda) y salida (año de salida en </t>
    </r>
    <r>
      <rPr>
        <i val="true"/>
        <sz val="9"/>
        <color rgb="FF6B5D50"/>
        <rFont val="Noto Sans CJK SC"/>
        <family val="2"/>
      </rPr>
      <t xml:space="preserve">㉒ </t>
    </r>
    <r>
      <rPr>
        <i val="true"/>
        <sz val="9"/>
        <color rgb="FF6B5D50"/>
        <rFont val="Calibri"/>
        <family val="2"/>
        <charset val="1"/>
      </rPr>
      <t xml:space="preserve">Returns C5). Fuentes públicas jun-2026; re-verificar al usar.</t>
    </r>
  </si>
  <si>
    <t xml:space="preserve">1. COMPARABLES PÚBLICOS (eyewear D2C + óptica retail)</t>
  </si>
  <si>
    <t xml:space="preserve">Compañía</t>
  </si>
  <si>
    <t xml:space="preserve">Tipo</t>
  </si>
  <si>
    <t xml:space="preserve">Ticker</t>
  </si>
  <si>
    <t xml:space="preserve">Ingreso LTM</t>
  </si>
  <si>
    <t xml:space="preserve">EV/Ingreso</t>
  </si>
  <si>
    <t xml:space="preserve">EV/EBITDA</t>
  </si>
  <si>
    <t xml:space="preserve">P/E</t>
  </si>
  <si>
    <t xml:space="preserve">Notas</t>
  </si>
  <si>
    <t xml:space="preserve">Warby Parker</t>
  </si>
  <si>
    <t xml:space="preserve">D2C eyewear, EE.UU.</t>
  </si>
  <si>
    <t xml:space="preserve">WRBY</t>
  </si>
  <si>
    <t xml:space="preserve">~$0.9B</t>
  </si>
  <si>
    <t xml:space="preserve">Comp #1 de OKIO (EV/EBITDA fwd; ~60x TTM)</t>
  </si>
  <si>
    <t xml:space="preserve">Lenskart</t>
  </si>
  <si>
    <t xml:space="preserve">D2C eyewear, India</t>
  </si>
  <si>
    <t xml:space="preserve">IPO nov-25</t>
  </si>
  <si>
    <t xml:space="preserve">~$485M</t>
  </si>
  <si>
    <t xml:space="preserve">Valoración IPO ~$8.4B; growth caro</t>
  </si>
  <si>
    <t xml:space="preserve">EssilorLuxottica</t>
  </si>
  <si>
    <t xml:space="preserve">Integrado vertical</t>
  </si>
  <si>
    <t xml:space="preserve">EL</t>
  </si>
  <si>
    <t xml:space="preserve">$31.0B</t>
  </si>
  <si>
    <t xml:space="preserve">Gigante del sector; ancla maduro</t>
  </si>
  <si>
    <t xml:space="preserve">National Vision</t>
  </si>
  <si>
    <t xml:space="preserve">Óptica retail value, EE.UU.</t>
  </si>
  <si>
    <t xml:space="preserve">EYE</t>
  </si>
  <si>
    <t xml:space="preserve">~$1.9B</t>
  </si>
  <si>
    <t xml:space="preserve">Retail bajo precio → múltiplo bajo (2026)</t>
  </si>
  <si>
    <t xml:space="preserve">2. COMPARABLES PRIVADOS (D2C eyewear — los más parecidos a OKIO)</t>
  </si>
  <si>
    <t xml:space="preserve">País</t>
  </si>
  <si>
    <t xml:space="preserve">Ingreso</t>
  </si>
  <si>
    <t xml:space="preserve">Valoración</t>
  </si>
  <si>
    <t xml:space="preserve">Múltiplo impl.</t>
  </si>
  <si>
    <t xml:space="preserve">Ace &amp; Tate</t>
  </si>
  <si>
    <t xml:space="preserve">Países Bajos</t>
  </si>
  <si>
    <t xml:space="preserve">~$34M</t>
  </si>
  <si>
    <t xml:space="preserve">~$110M</t>
  </si>
  <si>
    <t xml:space="preserve">~3.2x ingreso</t>
  </si>
  <si>
    <t xml:space="preserve">D2C eyewear privada en expansión → ancla más honesta para OKIO</t>
  </si>
  <si>
    <t xml:space="preserve">Jimmy Fairly</t>
  </si>
  <si>
    <t xml:space="preserve">Francia</t>
  </si>
  <si>
    <t xml:space="preserve">~€150M</t>
  </si>
  <si>
    <t xml:space="preserve">privado (PE)</t>
  </si>
  <si>
    <t xml:space="preserve">n/d</t>
  </si>
  <si>
    <t xml:space="preserve">167 boutiques; retail D2C físico ≈ OKIO (HLD Group 2021)</t>
  </si>
  <si>
    <t xml:space="preserve">3. MÚLTIPLOS DE SALIDA / ADQUISICIÓN (mercado privado)</t>
  </si>
  <si>
    <t xml:space="preserve">Plataformas eye care / óptica:</t>
  </si>
  <si>
    <t xml:space="preserve">8x – doble dígito bajo EBITDA (prácticas chicas 5–8x)</t>
  </si>
  <si>
    <t xml:space="preserve">Retail especializado (genérico):</t>
  </si>
  <si>
    <t xml:space="preserve">~8–12x EBITDA</t>
  </si>
  <si>
    <t xml:space="preserve">El modelo usa:</t>
  </si>
  <si>
    <t xml:space="preserve">10x base · 8x conservador · 12x upside</t>
  </si>
  <si>
    <t xml:space="preserve">4. MÚLTIPLOS SELECCIONADOS PARA OKIO — supuesto + razón</t>
  </si>
  <si>
    <t xml:space="preserve">Castigo vs comps públicos por: tamaño chico, riesgo geográfico LatAm, iliquidez (privada), menor track record.</t>
  </si>
  <si>
    <t xml:space="preserve">Rango comps</t>
  </si>
  <si>
    <t xml:space="preserve">SELECCIONADO</t>
  </si>
  <si>
    <t xml:space="preserve">Razón del supuesto</t>
  </si>
  <si>
    <t xml:space="preserve">EV / Ingreso  (ENTRADA — ronda)</t>
  </si>
  <si>
    <t xml:space="preserve">1.1x–3.2x priv.</t>
  </si>
  <si>
    <t xml:space="preserve">Ancla en Ace&amp;Tate (3.2x) y National Vision (1.1x), NO Lenskart (10x growth). EBITDA chico/negativo al escalar → valorar sobre ingreso.</t>
  </si>
  <si>
    <t xml:space="preserve">EV / EBITDA  (SALIDA)</t>
  </si>
  <si>
    <t xml:space="preserve">8x–12x</t>
  </si>
  <si>
    <t xml:space="preserve">Piso conservador del rango eye-care privado (8x a doble dígito). Defendible; upside 10x/12x si OKIO escala con perfil growth D2C.</t>
  </si>
  <si>
    <t xml:space="preserve">→ ENTRADA (ronda):  2.5x EV/Ingreso  ·  rango 1.5x–3.0x</t>
  </si>
  <si>
    <t xml:space="preserve">EV/EBITDA salida →</t>
  </si>
  <si>
    <t xml:space="preserve">(conservador / base / upside)</t>
  </si>
  <si>
    <t xml:space="preserve">EV/Ingreso cross-check →</t>
  </si>
  <si>
    <t xml:space="preserve">Entrada (ronda) — cross-check:</t>
  </si>
  <si>
    <t xml:space="preserve">Pre-money = 2.5x × ingreso forward 2027</t>
  </si>
  <si>
    <r>
      <rPr>
        <sz val="11"/>
        <color rgb="FF2A2420"/>
        <rFont val="Calibri"/>
        <family val="2"/>
        <charset val="1"/>
      </rPr>
      <t xml:space="preserve">Referencia de mercado. El pre-money de cada escenario está en </t>
    </r>
    <r>
      <rPr>
        <sz val="11"/>
        <color rgb="FF2A2420"/>
        <rFont val="Noto Sans CJK SC"/>
        <family val="2"/>
      </rPr>
      <t xml:space="preserve">㉕ </t>
    </r>
    <r>
      <rPr>
        <sz val="11"/>
        <color rgb="FF2A2420"/>
        <rFont val="Calibri"/>
        <family val="2"/>
        <charset val="1"/>
      </rPr>
      <t xml:space="preserve">Funding Gap fila 122.</t>
    </r>
  </si>
  <si>
    <t xml:space="preserve">FUNDING GAP ANALYSIS — Debt Capacity &amp; Equity Need</t>
  </si>
  <si>
    <t xml:space="preserve">Quanto debt soporta el modelo según DSCR bancario, y cuánto equity falta para cerrar el funding gap</t>
  </si>
  <si>
    <t xml:space="preserve">COVENANTS BANCARIOS (editables)</t>
  </si>
  <si>
    <t xml:space="preserve">Covenant</t>
  </si>
  <si>
    <t xml:space="preserve">Target</t>
  </si>
  <si>
    <t xml:space="preserve">Type</t>
  </si>
  <si>
    <t xml:space="preserve">DSCR mínimo (banking)</t>
  </si>
  <si>
    <t xml:space="preserve">ratio</t>
  </si>
  <si>
    <t xml:space="preserve">EBITDA / (Interest + Principal) ≥ 1.25x</t>
  </si>
  <si>
    <t xml:space="preserve">DSCR target (saludable)</t>
  </si>
  <si>
    <t xml:space="preserve">Más conservador, easier approval</t>
  </si>
  <si>
    <t xml:space="preserve">Loan / EBITDA máximo</t>
  </si>
  <si>
    <t xml:space="preserve">Total debt ≤ 3.5× mature EBITDA</t>
  </si>
  <si>
    <t xml:space="preserve">Cash mínimo (months of OpEx)</t>
  </si>
  <si>
    <t xml:space="preserve">months</t>
  </si>
  <si>
    <t xml:space="preserve">Liquidez mínima requerida</t>
  </si>
  <si>
    <t xml:space="preserve">Tasa interés banco</t>
  </si>
  <si>
    <t xml:space="preserve">Plazo (años) nuevo loan</t>
  </si>
  <si>
    <t xml:space="preserve">años</t>
  </si>
  <si>
    <t xml:space="preserve">Std term loan</t>
  </si>
  <si>
    <t xml:space="preserve">EBITDA Y CAPACIDAD DE DEUDA POR AÑO</t>
  </si>
  <si>
    <t xml:space="preserve">Mature avg</t>
  </si>
  <si>
    <t xml:space="preserve">Servicio de deuda máximo anual @ DSCR 1.25x</t>
  </si>
  <si>
    <t xml:space="preserve">Servicio de deuda máximo anual @ DSCR 1.50x</t>
  </si>
  <si>
    <t xml:space="preserve">Max debt principal @ DSCR 1.25x (5yr term)</t>
  </si>
  <si>
    <t xml:space="preserve">Max debt principal @ DSCR 1.50x (5yr term)</t>
  </si>
  <si>
    <t xml:space="preserve">Max debt @ Loan/EBITDA 3.5x</t>
  </si>
  <si>
    <t xml:space="preserve">Máx deuda tomable 2030-2032 @ DSCR 1.50x (binding = año más bajo)</t>
  </si>
  <si>
    <r>
      <rPr>
        <b val="true"/>
        <sz val="11"/>
        <color rgb="FFFFFFFF"/>
        <rFont val="Calibri"/>
        <family val="2"/>
        <charset val="1"/>
      </rPr>
      <t xml:space="preserve">POSICIÓN DE CAJA (cierre de año, desde </t>
    </r>
    <r>
      <rPr>
        <b val="true"/>
        <sz val="11"/>
        <color rgb="FFFFFFFF"/>
        <rFont val="Noto Sans CJK SC"/>
        <family val="2"/>
      </rPr>
      <t xml:space="preserve">㉔</t>
    </r>
    <r>
      <rPr>
        <b val="true"/>
        <sz val="11"/>
        <color rgb="FFFFFFFF"/>
        <rFont val="Calibri"/>
        <family val="2"/>
        <charset val="1"/>
      </rPr>
      <t xml:space="preserve">)</t>
    </r>
  </si>
  <si>
    <t xml:space="preserve">End Cash</t>
  </si>
  <si>
    <t xml:space="preserve">OpEx total (anual)</t>
  </si>
  <si>
    <t xml:space="preserve">Cash mínimo requerido</t>
  </si>
  <si>
    <t xml:space="preserve">Hueco de caja residual (mínimo − caja fin, YA financiada)</t>
  </si>
  <si>
    <t xml:space="preserve">PLAN DE FINANCIAMIENTO (por año)</t>
  </si>
  <si>
    <t xml:space="preserve">Total</t>
  </si>
  <si>
    <t xml:space="preserve">Hueco residual por año (= fila 33; negativo = superávit)</t>
  </si>
  <si>
    <t xml:space="preserve">Equity raise (INPUT)</t>
  </si>
  <si>
    <r>
      <rPr>
        <sz val="11"/>
        <color rgb="FF2A2420"/>
        <rFont val="Calibri"/>
        <family val="2"/>
        <charset val="1"/>
      </rPr>
      <t xml:space="preserve">Deuda contratada (INPUT — ligar a </t>
    </r>
    <r>
      <rPr>
        <sz val="11"/>
        <color rgb="FF2A2420"/>
        <rFont val="Noto Sans CJK SC"/>
        <family val="2"/>
      </rPr>
      <t xml:space="preserve">㉓ </t>
    </r>
    <r>
      <rPr>
        <sz val="11"/>
        <color rgb="FF2A2420"/>
        <rFont val="Calibri"/>
        <family val="2"/>
        <charset val="1"/>
      </rPr>
      <t xml:space="preserve">Debt Schedule)</t>
    </r>
  </si>
  <si>
    <r>
      <rPr>
        <sz val="11"/>
        <color rgb="FF2A2420"/>
        <rFont val="Calibri"/>
        <family val="2"/>
        <charset val="1"/>
      </rPr>
      <t xml:space="preserve">Para deuda BAC: activar </t>
    </r>
    <r>
      <rPr>
        <sz val="11"/>
        <color rgb="FF2A2420"/>
        <rFont val="Noto Sans CJK SC"/>
        <family val="2"/>
      </rPr>
      <t xml:space="preserve">㉓ </t>
    </r>
    <r>
      <rPr>
        <sz val="11"/>
        <color rgb="FF2A2420"/>
        <rFont val="Calibri"/>
        <family val="2"/>
        <charset val="1"/>
      </rPr>
      <t xml:space="preserve">Debt Schedule (toggle C15 + principal C7); el servicio anual ya se liga en fila 49.</t>
    </r>
  </si>
  <si>
    <t xml:space="preserve">Max debt principal (capacidad, DSCR target)</t>
  </si>
  <si>
    <t xml:space="preserve">Total funding (equity + deuda)</t>
  </si>
  <si>
    <t xml:space="preserve">Cumulative funding (equity + deuda)</t>
  </si>
  <si>
    <r>
      <rPr>
        <b val="true"/>
        <sz val="11"/>
        <color rgb="FF2A2420"/>
        <rFont val="Calibri"/>
        <family val="2"/>
        <charset val="1"/>
      </rPr>
      <t xml:space="preserve">Caja fin de año (</t>
    </r>
    <r>
      <rPr>
        <b val="true"/>
        <sz val="11"/>
        <color rgb="FF2A2420"/>
        <rFont val="Noto Sans CJK SC"/>
        <family val="2"/>
      </rPr>
      <t xml:space="preserve">㉔ </t>
    </r>
    <r>
      <rPr>
        <b val="true"/>
        <sz val="11"/>
        <color rgb="FF2A2420"/>
        <rFont val="Calibri"/>
        <family val="2"/>
        <charset val="1"/>
      </rPr>
      <t xml:space="preserve">FS — ya incluye equity, deuda y dividendos)</t>
    </r>
  </si>
  <si>
    <t xml:space="preserve">Residual gap (after equity)</t>
  </si>
  <si>
    <r>
      <rPr>
        <sz val="11"/>
        <color rgb="FF2A2420"/>
        <rFont val="Calibri"/>
        <family val="2"/>
        <charset val="1"/>
      </rPr>
      <t xml:space="preserve">Caja fin de año (= fila 44; todo el financiamiento vive en el </t>
    </r>
    <r>
      <rPr>
        <sz val="11"/>
        <color rgb="FF2A2420"/>
        <rFont val="Noto Sans CJK SC"/>
        <family val="2"/>
      </rPr>
      <t xml:space="preserve">㉔ </t>
    </r>
    <r>
      <rPr>
        <sz val="11"/>
        <color rgb="FF2A2420"/>
        <rFont val="Calibri"/>
        <family val="2"/>
        <charset val="1"/>
      </rPr>
      <t xml:space="preserve">FS)</t>
    </r>
  </si>
  <si>
    <t xml:space="preserve">Residual gap after all funds (≈ equity gap)</t>
  </si>
  <si>
    <t xml:space="preserve">DSCR CHECK (después de deuda)</t>
  </si>
  <si>
    <t xml:space="preserve">Servicio de deuda programado del año (excluye prepago voluntario)</t>
  </si>
  <si>
    <t xml:space="preserve">DSCR (EBITDA / DS)</t>
  </si>
  <si>
    <t xml:space="preserve">Reserva: capex del año siguiente (⑫ Roll-out fila 103)</t>
  </si>
  <si>
    <r>
      <rPr>
        <b val="true"/>
        <sz val="11"/>
        <color rgb="FFFFFFFF"/>
        <rFont val="Calibri"/>
        <family val="2"/>
        <charset val="1"/>
      </rPr>
      <t xml:space="preserve">DIVIDENDOS + RECAP APALANCADO (overlay — no toca </t>
    </r>
    <r>
      <rPr>
        <b val="true"/>
        <sz val="11"/>
        <color rgb="FFFFFFFF"/>
        <rFont val="Noto Sans CJK SC"/>
        <family val="2"/>
      </rPr>
      <t xml:space="preserve">㉔ </t>
    </r>
    <r>
      <rPr>
        <b val="true"/>
        <sz val="11"/>
        <color rgb="FFFFFFFF"/>
        <rFont val="Calibri"/>
        <family val="2"/>
        <charset val="1"/>
      </rPr>
      <t xml:space="preserve">FS)</t>
    </r>
  </si>
  <si>
    <r>
      <rPr>
        <b val="true"/>
        <i val="true"/>
        <sz val="11"/>
        <color rgb="FF7A3628"/>
        <rFont val="Calibri"/>
        <family val="2"/>
        <charset val="1"/>
      </rPr>
      <t xml:space="preserve">✅ INTEGRADO: los dividendos, el recap y el equity ahora sí entran al </t>
    </r>
    <r>
      <rPr>
        <b val="true"/>
        <i val="true"/>
        <sz val="11"/>
        <color rgb="FF7A3628"/>
        <rFont val="Noto Sans CJK SC"/>
        <family val="2"/>
      </rPr>
      <t xml:space="preserve">㉔ </t>
    </r>
    <r>
      <rPr>
        <b val="true"/>
        <i val="true"/>
        <sz val="11"/>
        <color rgb="FF7A3628"/>
        <rFont val="Calibri"/>
        <family val="2"/>
        <charset val="1"/>
      </rPr>
      <t xml:space="preserve">Financial Statements (filas 66, 67, 68) y al balance (filas 95, 103, 104). El check de amarre está en la fila 71.</t>
    </r>
  </si>
  <si>
    <t xml:space="preserve">Año inicio recap (deuda → dividendo)</t>
  </si>
  <si>
    <t xml:space="preserve">Año inicio dividendos operativos (A espera a terminar la expansión)</t>
  </si>
  <si>
    <t xml:space="preserve">% payout del excedente sobre caja mínima</t>
  </si>
  <si>
    <t xml:space="preserve">Buffer adicional sobre caja mínima (meses de OpEx, dinámico)</t>
  </si>
  <si>
    <t xml:space="preserve">Tasa interés deuda recap</t>
  </si>
  <si>
    <t xml:space="preserve">% de capacidad DSCR utilizada en el recap (D59 = override año 2032)</t>
  </si>
  <si>
    <t xml:space="preserve">← DSCR con el que se dimensiona la capacidad del recap (covenant mínimo: C6)</t>
  </si>
  <si>
    <t xml:space="preserve">Capacidad deuda utilizable (× %, neta de BAC)</t>
  </si>
  <si>
    <t xml:space="preserve">Saldo deuda recap (fin de año, rolling al máximo)</t>
  </si>
  <si>
    <t xml:space="preserve">Δ Deuda recap (draw + / amortización −)</t>
  </si>
  <si>
    <t xml:space="preserve">Interés deuda recap</t>
  </si>
  <si>
    <r>
      <rPr>
        <sz val="11"/>
        <color rgb="FF2A2420"/>
        <rFont val="Calibri"/>
        <family val="2"/>
        <charset val="1"/>
      </rPr>
      <t xml:space="preserve">Δ Caja del año ANTES de dividendos (</t>
    </r>
    <r>
      <rPr>
        <sz val="11"/>
        <color rgb="FF2A2420"/>
        <rFont val="Noto Sans CJK SC"/>
        <family val="2"/>
      </rPr>
      <t xml:space="preserve">㉔ </t>
    </r>
    <r>
      <rPr>
        <sz val="11"/>
        <color rgb="FF2A2420"/>
        <rFont val="Calibri"/>
        <family val="2"/>
        <charset val="1"/>
      </rPr>
      <t xml:space="preserve">CFO + CFI + Δdeuda + equity)</t>
    </r>
  </si>
  <si>
    <t xml:space="preserve">Caja disponible pre-dividendo (caja fin año anterior + flujo + giro recap)</t>
  </si>
  <si>
    <t xml:space="preserve">Caja fin post-dividendos</t>
  </si>
  <si>
    <t xml:space="preserve">Check ≥ caja mínima</t>
  </si>
  <si>
    <t xml:space="preserve">DSCR post-recap (EBITDA / servicio total)</t>
  </si>
  <si>
    <r>
      <rPr>
        <b val="true"/>
        <sz val="11"/>
        <color rgb="FF2A2420"/>
        <rFont val="Calibri"/>
        <family val="2"/>
        <charset val="1"/>
      </rPr>
      <t xml:space="preserve">Check tie-out: caja post-dividendo (fila 68) = caja fin </t>
    </r>
    <r>
      <rPr>
        <b val="true"/>
        <sz val="11"/>
        <color rgb="FF2A2420"/>
        <rFont val="Noto Sans CJK SC"/>
        <family val="2"/>
      </rPr>
      <t xml:space="preserve">㉔ </t>
    </r>
    <r>
      <rPr>
        <b val="true"/>
        <sz val="11"/>
        <color rgb="FF2A2420"/>
        <rFont val="Calibri"/>
        <family val="2"/>
        <charset val="1"/>
      </rPr>
      <t xml:space="preserve">FS (fila 30)</t>
    </r>
  </si>
  <si>
    <t xml:space="preserve">INVERSIÓN MÍNIMA NECESARIA — Plan B (25 tiendas al cierre 2029)</t>
  </si>
  <si>
    <t xml:space="preserve">Cuánto equity hace falta como mínimo, dado que la deuda solo entra desde el primer año con EBITDA positivo. La caja del FS ya incluye giros y amortización de deuda.</t>
  </si>
  <si>
    <t xml:space="preserve">Colchón extra sobre la caja mínima (meses de OpEx)</t>
  </si>
  <si>
    <t xml:space="preserve">meses — input</t>
  </si>
  <si>
    <t xml:space="preserve">Primer año con capacidad de deuda (EBITDA &gt; 0)</t>
  </si>
  <si>
    <t xml:space="preserve">antes de ese año la capacidad DSCR es cero</t>
  </si>
  <si>
    <t xml:space="preserve">Capacidad de deuda en ese año (DSCR 1.5x)</t>
  </si>
  <si>
    <t xml:space="preserve">techo del giro en el año trough</t>
  </si>
  <si>
    <t xml:space="preserve">Caja fin de año SIN financiamiento externo (reconstruida)</t>
  </si>
  <si>
    <t xml:space="preserve">Piso de caja objetivo (mínimo + colchón)</t>
  </si>
  <si>
    <t xml:space="preserve">Equity acumulado REQUERIDO</t>
  </si>
  <si>
    <t xml:space="preserve">Equity acumulado planeado (fila 39)</t>
  </si>
  <si>
    <t xml:space="preserve">Caja fin con equity</t>
  </si>
  <si>
    <t xml:space="preserve">Holgura vs piso</t>
  </si>
  <si>
    <t xml:space="preserve">Check</t>
  </si>
  <si>
    <t xml:space="preserve">EQUITY MÍNIMO (pico del requerimiento acumulado)</t>
  </si>
  <si>
    <t xml:space="preserve">(+) Deuda total contratada (fila 40)</t>
  </si>
  <si>
    <t xml:space="preserve">INVERSIÓN MÍNIMA TOTAL (equity + deuda)</t>
  </si>
  <si>
    <t xml:space="preserve">Equity planeado hoy (fila 39)</t>
  </si>
  <si>
    <t xml:space="preserve">Colchón del plan vs el mínimo</t>
  </si>
  <si>
    <t xml:space="preserve">RONDA ÚNICA — DIMENSIONAMIENTO Y CIERRE</t>
  </si>
  <si>
    <t xml:space="preserve">Equity mínimo requerido (pico del solver)</t>
  </si>
  <si>
    <t xml:space="preserve">Colchón de seguridad sobre el mínimo (%)</t>
  </si>
  <si>
    <t xml:space="preserve">Ronda sugerida (redondeada a $50K)</t>
  </si>
  <si>
    <t xml:space="preserve">RONDA CONTRATADA — escenario activo (input en fila 120)</t>
  </si>
  <si>
    <t xml:space="preserve">Año de cierre de la ronda</t>
  </si>
  <si>
    <t xml:space="preserve">Mes de cierre de la ronda (1-12)</t>
  </si>
  <si>
    <t xml:space="preserve">INVERSIÓN TOTAL DEL PLAN (equity + deuda)</t>
  </si>
  <si>
    <t xml:space="preserve">Check: ronda contratada ≥ mínimo requerido</t>
  </si>
  <si>
    <t xml:space="preserve">PRIMERA OLA — DEUDA BAC AL MÁXIMO (DSCR 1.5x sobre plazo remanente, giro cada enero)</t>
  </si>
  <si>
    <t xml:space="preserve">Año primer giro (1er año con EBITDA &gt; 0)</t>
  </si>
  <si>
    <t xml:space="preserve">la deuda entra apenas el EBITDA lo permite</t>
  </si>
  <si>
    <t xml:space="preserve">Vencimiento de la línea (dic del año)</t>
  </si>
  <si>
    <r>
      <rPr>
        <sz val="11"/>
        <color rgb="FF2A2420"/>
        <rFont val="Calibri"/>
        <family val="2"/>
        <charset val="1"/>
      </rPr>
      <t xml:space="preserve">60 meses desde el primer giro (= </t>
    </r>
    <r>
      <rPr>
        <sz val="11"/>
        <color rgb="FF2A2420"/>
        <rFont val="Noto Sans CJK SC"/>
        <family val="2"/>
      </rPr>
      <t xml:space="preserve">㉓ </t>
    </r>
    <r>
      <rPr>
        <sz val="11"/>
        <color rgb="FF2A2420"/>
        <rFont val="Calibri"/>
        <family val="2"/>
        <charset val="1"/>
      </rPr>
      <t xml:space="preserve">Debt Schedule)</t>
    </r>
  </si>
  <si>
    <t xml:space="preserve">Meses remanentes al 1-ene</t>
  </si>
  <si>
    <t xml:space="preserve">Saldo inicial (1-ene, antes del giro)</t>
  </si>
  <si>
    <t xml:space="preserve">Saldo máximo @ DSCR 1.5x (plazo remanente)</t>
  </si>
  <si>
    <t xml:space="preserve">GIRO BAC Primera Ola (→ fila 40)</t>
  </si>
  <si>
    <t xml:space="preserve">Saldo fin de año</t>
  </si>
  <si>
    <t xml:space="preserve">PARÁMETROS POR ESCENARIO (inputs — el modelo toma la columna ACTIVO)</t>
  </si>
  <si>
    <t xml:space="preserve">Parámetro</t>
  </si>
  <si>
    <t xml:space="preserve">ACTIVO</t>
  </si>
  <si>
    <t xml:space="preserve">Ronda de equity (única, nov-2026)</t>
  </si>
  <si>
    <t xml:space="preserve">A = $3.5M · A slow = $2.5M · Primera Ola = $2.8M (≈ equity mínimo C88 + colchón ~10%)</t>
  </si>
  <si>
    <t xml:space="preserve">Año inicio dividendos operativos</t>
  </si>
  <si>
    <t xml:space="preserve">Primera Ola: año siguiente a la última apertura</t>
  </si>
  <si>
    <t xml:space="preserve">Primera Ola: calibrado para TIR nuevos ≈ 20%</t>
  </si>
  <si>
    <t xml:space="preserve">GIROS DE DEUDA BAC POR ESCENARIO</t>
  </si>
  <si>
    <t xml:space="preserve">Giros A (input)</t>
  </si>
  <si>
    <t xml:space="preserve">Giros A slow (input)</t>
  </si>
  <si>
    <t xml:space="preserve">Giros Primera Ola (= fila 114, máximo DSCR — se calcula con el EBITDA del escenario activo; solo aplica si Primera Ola está activo)</t>
  </si>
  <si>
    <t xml:space="preserve">Giros 7 + Autofinanciado (= fila 114, máximo DSCR 1.5x — solo aplica si este escenario está activo)</t>
  </si>
  <si>
    <t xml:space="preserve">GIRO ACTIVO (→ fila 40)</t>
  </si>
  <si>
    <t xml:space="preserve">PLAN DE APERTURAS — TIENDAS 2025-2036</t>
  </si>
  <si>
    <t xml:space="preserve">GLOBAL ASSUMPTIONS</t>
  </si>
  <si>
    <t xml:space="preserve">Blended CAC ($/new customer)</t>
  </si>
  <si>
    <t xml:space="preserve">Marketing spend per new acquired customer</t>
  </si>
  <si>
    <t xml:space="preserve">Avg Ticket ($/transaction)</t>
  </si>
  <si>
    <t xml:space="preserve">(Sin uso) Ticket promedio</t>
  </si>
  <si>
    <t xml:space="preserve">(Sin uso) Frecuencia de visita anual</t>
  </si>
  <si>
    <t xml:space="preserve">(Sin uso)</t>
  </si>
  <si>
    <t xml:space="preserve">Capex por tienda nueva ($, one-time)</t>
  </si>
  <si>
    <t xml:space="preserve">Aplica a todas las aperturas desde 2027 (filas 14-97); las 4 actuales mantienen su capex histórico</t>
  </si>
  <si>
    <t xml:space="preserve">#</t>
  </si>
  <si>
    <t xml:space="preserve">Store</t>
  </si>
  <si>
    <t xml:space="preserve">Location</t>
  </si>
  <si>
    <t xml:space="preserve">Format</t>
  </si>
  <si>
    <t xml:space="preserve">Open
Month (1-12)</t>
  </si>
  <si>
    <t xml:space="preserve">Open
Year</t>
  </si>
  <si>
    <t xml:space="preserve">Capex
($, one-time)</t>
  </si>
  <si>
    <t xml:space="preserve">Cap Mensual
($, mature)</t>
  </si>
  <si>
    <t xml:space="preserve">Ramp
(months)</t>
  </si>
  <si>
    <t xml:space="preserve">Status</t>
  </si>
  <si>
    <t xml:space="preserve">Scenario</t>
  </si>
  <si>
    <t xml:space="preserve">Notes</t>
  </si>
  <si>
    <t xml:space="preserve">Active A?</t>
  </si>
  <si>
    <t xml:space="preserve">Active Now</t>
  </si>
  <si>
    <t xml:space="preserve">Activa
Primera Ola? (1/0)</t>
  </si>
  <si>
    <t xml:space="preserve">Año apertura
Primera Ola</t>
  </si>
  <si>
    <t xml:space="preserve">Año base
(A)</t>
  </si>
  <si>
    <t xml:space="preserve">Año apertura
A slow</t>
  </si>
  <si>
    <t xml:space="preserve">Año apertura
7 + Autofin.</t>
  </si>
  <si>
    <t xml:space="preserve">Plaza Newyork</t>
  </si>
  <si>
    <t xml:space="preserve">San Francisco</t>
  </si>
  <si>
    <t xml:space="preserve">A — Mall</t>
  </si>
  <si>
    <t xml:space="preserve">Operating</t>
  </si>
  <si>
    <t xml:space="preserve">Base</t>
  </si>
  <si>
    <t xml:space="preserve">Existing — Tier B</t>
  </si>
  <si>
    <t xml:space="preserve">Y</t>
  </si>
  <si>
    <t xml:space="preserve">Costa del Este</t>
  </si>
  <si>
    <t xml:space="preserve">D — Kiosk</t>
  </si>
  <si>
    <t xml:space="preserve">Existing — Kiosko</t>
  </si>
  <si>
    <t xml:space="preserve">Brisas Capital</t>
  </si>
  <si>
    <t xml:space="preserve">Brisas del Golf</t>
  </si>
  <si>
    <t xml:space="preserve">B — Mall</t>
  </si>
  <si>
    <t xml:space="preserve">Existing — Tier A</t>
  </si>
  <si>
    <t xml:space="preserve">Allbrook Mall</t>
  </si>
  <si>
    <t xml:space="preserve">Albrook</t>
  </si>
  <si>
    <t xml:space="preserve">Existing — opened Dec 2025</t>
  </si>
  <si>
    <t xml:space="preserve">Multiplaza</t>
  </si>
  <si>
    <t xml:space="preserve">Punta Pacifica</t>
  </si>
  <si>
    <t xml:space="preserve">Planned</t>
  </si>
  <si>
    <t xml:space="preserve">Top luxury mall</t>
  </si>
  <si>
    <t xml:space="preserve">N</t>
  </si>
  <si>
    <t xml:space="preserve">Westland Mall</t>
  </si>
  <si>
    <t xml:space="preserve">Arraiján</t>
  </si>
  <si>
    <t xml:space="preserve">Mall A grande</t>
  </si>
  <si>
    <t xml:space="preserve">Metromall</t>
  </si>
  <si>
    <t xml:space="preserve">Vía Tocumen</t>
  </si>
  <si>
    <t xml:space="preserve">260 stores</t>
  </si>
  <si>
    <t xml:space="preserve">San Francisco Mall</t>
  </si>
  <si>
    <t xml:space="preserve">Tier B Q4 2026</t>
  </si>
  <si>
    <t xml:space="preserve">Altaplaza Mall</t>
  </si>
  <si>
    <t xml:space="preserve">Panamá Pacífico</t>
  </si>
  <si>
    <t xml:space="preserve">Contemporary, Howard</t>
  </si>
  <si>
    <t xml:space="preserve">Los Pueblos</t>
  </si>
  <si>
    <t xml:space="preserve">Tumba Muerto</t>
  </si>
  <si>
    <t xml:space="preserve">Mid-tier mall</t>
  </si>
  <si>
    <t xml:space="preserve">Plaza Edison</t>
  </si>
  <si>
    <t xml:space="preserve">Tier B</t>
  </si>
  <si>
    <t xml:space="preserve">El Dorado Mall</t>
  </si>
  <si>
    <t xml:space="preserve">El Dorado</t>
  </si>
  <si>
    <t xml:space="preserve">Multicentro</t>
  </si>
  <si>
    <t xml:space="preserve">Av. Balboa</t>
  </si>
  <si>
    <t xml:space="preserve">Cinta Costera</t>
  </si>
  <si>
    <t xml:space="preserve">Centennial Mall</t>
  </si>
  <si>
    <t xml:space="preserve">Vía Centenario</t>
  </si>
  <si>
    <t xml:space="preserve">Centenario</t>
  </si>
  <si>
    <t xml:space="preserve">Los Andes Mall</t>
  </si>
  <si>
    <t xml:space="preserve">Los Andes</t>
  </si>
  <si>
    <t xml:space="preserve">Local accessible</t>
  </si>
  <si>
    <t xml:space="preserve">CityMall</t>
  </si>
  <si>
    <t xml:space="preserve">San Miguelito</t>
  </si>
  <si>
    <t xml:space="preserve">Bull</t>
  </si>
  <si>
    <t xml:space="preserve">Suburban</t>
  </si>
  <si>
    <t xml:space="preserve">Federal Mall</t>
  </si>
  <si>
    <t xml:space="preserve">David</t>
  </si>
  <si>
    <t xml:space="preserve">Provincial — Chiriquí</t>
  </si>
  <si>
    <t xml:space="preserve">Plaza La Chorrera</t>
  </si>
  <si>
    <t xml:space="preserve">La Chorrera</t>
  </si>
  <si>
    <t xml:space="preserve">Suburb of PC</t>
  </si>
  <si>
    <t xml:space="preserve">Plaza Internacional</t>
  </si>
  <si>
    <t xml:space="preserve">Santiago</t>
  </si>
  <si>
    <t xml:space="preserve">Provincial — Veraguas</t>
  </si>
  <si>
    <t xml:space="preserve">Coronado</t>
  </si>
  <si>
    <t xml:space="preserve">C — Mall</t>
  </si>
  <si>
    <t xml:space="preserve">Beach community</t>
  </si>
  <si>
    <t xml:space="preserve">Panamá</t>
  </si>
  <si>
    <t xml:space="preserve">TBD</t>
  </si>
  <si>
    <t xml:space="preserve">Panamá — ubicación por definir</t>
  </si>
  <si>
    <t xml:space="preserve">Colombia</t>
  </si>
  <si>
    <t xml:space="preserve">Colombia — ubicación por definir</t>
  </si>
  <si>
    <t xml:space="preserve">C</t>
  </si>
  <si>
    <t xml:space="preserve">Rep. Dominicana</t>
  </si>
  <si>
    <t xml:space="preserve">Rep. Dominicana — ubicación por definir</t>
  </si>
  <si>
    <t xml:space="preserve">Guatemala</t>
  </si>
  <si>
    <t xml:space="preserve">Guatemala — ubicación por definir</t>
  </si>
  <si>
    <t xml:space="preserve">El Salvador</t>
  </si>
  <si>
    <t xml:space="preserve">El Salvador — ubicación por definir</t>
  </si>
  <si>
    <t xml:space="preserve">Growth</t>
  </si>
  <si>
    <t xml:space="preserve">Panamá — densificación a 30 tiendas (líder tiene 36)</t>
  </si>
  <si>
    <t xml:space="preserve">Colombia — ubicación por definir (ola 2)</t>
  </si>
  <si>
    <t xml:space="preserve">SUMMARY</t>
  </si>
  <si>
    <t xml:space="preserve">Aperturas nuevas</t>
  </si>
  <si>
    <t xml:space="preserve">Cumulative active</t>
  </si>
  <si>
    <t xml:space="preserve">Capex deployed</t>
  </si>
  <si>
    <t xml:space="preserve">MOTOR DE COHORTES — CLIENTES NUEVOS + RECOMPRA × TIENDA × MES</t>
  </si>
  <si>
    <t xml:space="preserve">Drives: New customers ramp + YoY step + cohort retention curve from ⑬ Cohort Curves. ARPU and CAC pulled from ⑬ Cohort Curves.</t>
  </si>
  <si>
    <t xml:space="preserve">🗺️  MAPA / LEYENDA DE ESTA HOJA</t>
  </si>
  <si>
    <t xml:space="preserve">ARPU per customer</t>
  </si>
  <si>
    <t xml:space="preserve">From ⑬ Cohort Curves C6</t>
  </si>
  <si>
    <t xml:space="preserve">⚠️ Las columnas significan cosas distintas según la fila:</t>
  </si>
  <si>
    <t xml:space="preserve">Crecimiento año 2 (una sola vez)</t>
  </si>
  <si>
    <t xml:space="preserve">+20% en el año 2, luego plano</t>
  </si>
  <si>
    <t xml:space="preserve">   • Cols C,D,E… en filas 21-23  =  meses de RAMPA (M1, M2, M3…)</t>
  </si>
  <si>
    <t xml:space="preserve">Crecimiento año 3+</t>
  </si>
  <si>
    <t xml:space="preserve">Flat after Y2 step</t>
  </si>
  <si>
    <t xml:space="preserve">   • Cols C,D,E… en filas 26-32  =  meses de RECURRENCIA (retención)</t>
  </si>
  <si>
    <t xml:space="preserve">(sin uso) Mes de inicio de recompra — reemplazado por curva real fila 1205+</t>
  </si>
  <si>
    <t xml:space="preserve">   • Cols C,D,E… en filas 547+    =  AÑOS (2025–2036)</t>
  </si>
  <si>
    <t xml:space="preserve">   • Cols AC → FP                       =  144 MESES calendario (ene-25 a dic-36)</t>
  </si>
  <si>
    <t xml:space="preserve">ZONAS (usa los botones +/- para colapsar):</t>
  </si>
  <si>
    <t xml:space="preserve">   Filas 4–38      Supuestos, tiers, curvas de rampa y retención</t>
  </si>
  <si>
    <t xml:space="preserve">Tier</t>
  </si>
  <si>
    <t xml:space="preserve">Nuevos/mes en régimen</t>
  </si>
  <si>
    <t xml:space="preserve">Mature Mo Rev (= tope)</t>
  </si>
  <si>
    <t xml:space="preserve">Implied ARPU</t>
  </si>
  <si>
    <t xml:space="preserve">Revenue Cap ($/mo)</t>
  </si>
  <si>
    <t xml:space="preserve">← Soft cap by tier</t>
  </si>
  <si>
    <t xml:space="preserve">   Filas 43–532    49 bloques de tienda (originales)</t>
  </si>
  <si>
    <t xml:space="preserve">   Filas 534–553   Consolidación + rollup anual</t>
  </si>
  <si>
    <t xml:space="preserve">B</t>
  </si>
  <si>
    <t xml:space="preserve">   Filas 558–666   Revenue por tienda + TOTAL</t>
  </si>
  <si>
    <t xml:space="preserve">   Filas 667–707   Validación / LTV</t>
  </si>
  <si>
    <t xml:space="preserve">D</t>
  </si>
  <si>
    <t xml:space="preserve">   Filas 710–906   15 bloques de tienda NUEVOS (expansión; activas según escenario)</t>
  </si>
  <si>
    <t xml:space="preserve">E</t>
  </si>
  <si>
    <t xml:space="preserve">Tip: las columnas de meses (AC:FP) están agrupadas → clic en [-] arriba para ver solo años.</t>
  </si>
  <si>
    <t xml:space="preserve">CURVA DE RAMPA DE CLIENTES NUEVOS — % del régimen (M1-M36; estirada × Escenario C10/C11)</t>
  </si>
  <si>
    <t xml:space="preserve">Meses desde apertura</t>
  </si>
  <si>
    <t xml:space="preserve">M1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</si>
  <si>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</si>
  <si>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</si>
  <si>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</si>
  <si>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</si>
  <si>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</si>
  <si>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M7</t>
  </si>
  <si>
    <t xml:space="preserve">M8</t>
  </si>
  <si>
    <t xml:space="preserve">M9</t>
  </si>
  <si>
    <t xml:space="preserve">M10</t>
  </si>
  <si>
    <t xml:space="preserve">M11</t>
  </si>
  <si>
    <t xml:space="preserve">M12</t>
  </si>
  <si>
    <t xml:space="preserve">M13</t>
  </si>
  <si>
    <t xml:space="preserve">M14</t>
  </si>
  <si>
    <t xml:space="preserve">M15</t>
  </si>
  <si>
    <t xml:space="preserve">M16</t>
  </si>
  <si>
    <t xml:space="preserve">M17</t>
  </si>
  <si>
    <t xml:space="preserve">M18</t>
  </si>
  <si>
    <t xml:space="preserve">M19</t>
  </si>
  <si>
    <t xml:space="preserve">M20</t>
  </si>
  <si>
    <t xml:space="preserve">M21</t>
  </si>
  <si>
    <t xml:space="preserve">M22</t>
  </si>
  <si>
    <t xml:space="preserve">M23</t>
  </si>
  <si>
    <t xml:space="preserve">M24</t>
  </si>
  <si>
    <t xml:space="preserve">M25</t>
  </si>
  <si>
    <t xml:space="preserve">M26</t>
  </si>
  <si>
    <t xml:space="preserve">M27</t>
  </si>
  <si>
    <t xml:space="preserve">M28</t>
  </si>
  <si>
    <t xml:space="preserve">M29</t>
  </si>
  <si>
    <t xml:space="preserve">M30</t>
  </si>
  <si>
    <t xml:space="preserve">M31</t>
  </si>
  <si>
    <t xml:space="preserve">M32</t>
  </si>
  <si>
    <t xml:space="preserve">M33</t>
  </si>
  <si>
    <t xml:space="preserve">M34</t>
  </si>
  <si>
    <t xml:space="preserve">M35</t>
  </si>
  <si>
    <t xml:space="preserve">M36</t>
  </si>
  <si>
    <t xml:space="preserve">% del régimen</t>
  </si>
  <si>
    <t xml:space="preserve">CURVA DE RECOMPRA MENSUAL (% de la cohorte que vuelve en el mes K)</t>
  </si>
  <si>
    <t xml:space="preserve">Month K</t>
  </si>
  <si>
    <t xml:space="preserve">M37</t>
  </si>
  <si>
    <t xml:space="preserve">M38</t>
  </si>
  <si>
    <t xml:space="preserve">M39</t>
  </si>
  <si>
    <t xml:space="preserve">M40</t>
  </si>
  <si>
    <t xml:space="preserve">M41</t>
  </si>
  <si>
    <t xml:space="preserve">M42</t>
  </si>
  <si>
    <t xml:space="preserve">M43</t>
  </si>
  <si>
    <t xml:space="preserve">M44</t>
  </si>
  <si>
    <t xml:space="preserve">M45</t>
  </si>
  <si>
    <t xml:space="preserve">M46</t>
  </si>
  <si>
    <t xml:space="preserve">M47</t>
  </si>
  <si>
    <t xml:space="preserve">M48</t>
  </si>
  <si>
    <t xml:space="preserve">M49</t>
  </si>
  <si>
    <t xml:space="preserve">M50</t>
  </si>
  <si>
    <t xml:space="preserve">M51</t>
  </si>
  <si>
    <t xml:space="preserve">M52</t>
  </si>
  <si>
    <t xml:space="preserve">M53</t>
  </si>
  <si>
    <t xml:space="preserve">M54</t>
  </si>
  <si>
    <t xml:space="preserve">M55</t>
  </si>
  <si>
    <t xml:space="preserve">M56</t>
  </si>
  <si>
    <t xml:space="preserve">M57</t>
  </si>
  <si>
    <t xml:space="preserve">M58</t>
  </si>
  <si>
    <t xml:space="preserve">M59</t>
  </si>
  <si>
    <t xml:space="preserve">M60</t>
  </si>
  <si>
    <t xml:space="preserve">(sin uso — la curva se calcula directo en la fila 30)</t>
  </si>
  <si>
    <t xml:space="preserve">Recompra mensual % (curva REAL — ver filas 1205+)</t>
  </si>
  <si>
    <t xml:space="preserve">Recompra mensual invertida (M24..M1)</t>
  </si>
  <si>
    <t xml:space="preserve">Y2+ Weight per month (uniforme)</t>
  </si>
  <si>
    <t xml:space="preserve">LÍNEA DE TIEMPO MENSUAL</t>
  </si>
  <si>
    <t xml:space="preserve">Month idx</t>
  </si>
  <si>
    <t xml:space="preserve">Estacional (índice, prom=100%)</t>
  </si>
  <si>
    <t xml:space="preserve">PROYECCIÓN DE COHORTES POR TIENDA (apertura, meses abiertos, régimen, rampa, escala, nuevos, recompra)</t>
  </si>
  <si>
    <t xml:space="preserve">#1 Plaza Newyork — Tier A</t>
  </si>
  <si>
    <t xml:space="preserve">Mes de apertura (índice)</t>
  </si>
  <si>
    <t xml:space="preserve">Nuevos/mes en régimen (tier)</t>
  </si>
  <si>
    <t xml:space="preserve">Rampa %</t>
  </si>
  <si>
    <t xml:space="preserve">Escala anual</t>
  </si>
  <si>
    <t xml:space="preserve">NEW customers</t>
  </si>
  <si>
    <t xml:space="preserve">REPEAT customers</t>
  </si>
  <si>
    <t xml:space="preserve">#2 Costa del Este — Tier D</t>
  </si>
  <si>
    <t xml:space="preserve">#3 Brisas Capital — Tier B</t>
  </si>
  <si>
    <t xml:space="preserve">#4 Allbrook Mall — Tier A</t>
  </si>
  <si>
    <t xml:space="preserve">#5 Multiplaza — Tier A</t>
  </si>
  <si>
    <t xml:space="preserve">#6 Westland Mall — Tier A</t>
  </si>
  <si>
    <t xml:space="preserve">#7 Metromall — Tier A</t>
  </si>
  <si>
    <t xml:space="preserve">#8 San Francisco Mall — Tier A</t>
  </si>
  <si>
    <t xml:space="preserve">#9 Altaplaza Mall — Tier A</t>
  </si>
  <si>
    <t xml:space="preserve">#10 Los Pueblos — Tier B</t>
  </si>
  <si>
    <t xml:space="preserve">#11 Plaza Edison — Tier B</t>
  </si>
  <si>
    <t xml:space="preserve">#12 El Dorado Mall — Tier B</t>
  </si>
  <si>
    <t xml:space="preserve">#13 Multicentro — Tier A</t>
  </si>
  <si>
    <t xml:space="preserve">#14 Centennial Mall — Tier B</t>
  </si>
  <si>
    <t xml:space="preserve">#15 Los Andes Mall — Tier B</t>
  </si>
  <si>
    <t xml:space="preserve">#16 CityMall — Tier B</t>
  </si>
  <si>
    <t xml:space="preserve">#17 Federal Mall — Tier B</t>
  </si>
  <si>
    <t xml:space="preserve">#18 Plaza La Chorrera — Tier B</t>
  </si>
  <si>
    <t xml:space="preserve">#19 Plaza Internacional — Tier B</t>
  </si>
  <si>
    <t xml:space="preserve">#20 Coronado — Tier C</t>
  </si>
  <si>
    <t xml:space="preserve">#21 Penonomé — Tier C</t>
  </si>
  <si>
    <t xml:space="preserve">#22 Bogotá — Andino — Tier A</t>
  </si>
  <si>
    <t xml:space="preserve">#23 Bogotá — Unicentro — Tier A</t>
  </si>
  <si>
    <t xml:space="preserve">#24 Bogotá — Titán — Tier B</t>
  </si>
  <si>
    <t xml:space="preserve">#25 Bogotá — Gran Estación — Tier B</t>
  </si>
  <si>
    <t xml:space="preserve">#26 Medellín — El Tesoro — Tier A</t>
  </si>
  <si>
    <t xml:space="preserve">#27 Medellín — Oviedo — Tier B</t>
  </si>
  <si>
    <t xml:space="preserve">#28 Cali — Chipichape — Tier B</t>
  </si>
  <si>
    <t xml:space="preserve">#29 Barranquilla — Buenavista — Tier C</t>
  </si>
  <si>
    <t xml:space="preserve">#30 Cartagena — Mall Plaza — Tier C</t>
  </si>
  <si>
    <t xml:space="preserve">#31 Pereira — Victoria — Tier C</t>
  </si>
  <si>
    <t xml:space="preserve">#32 Santo Domingo — Ágora — Tier A</t>
  </si>
  <si>
    <t xml:space="preserve">#33 Santo Domingo — Sambil — Tier B</t>
  </si>
  <si>
    <t xml:space="preserve">#34 Santiago — Colinas — Tier C</t>
  </si>
  <si>
    <t xml:space="preserve">#35 Bogotá — Calima — Tier B</t>
  </si>
  <si>
    <t xml:space="preserve">#36 Bogotá — Plaza Central — Tier B</t>
  </si>
  <si>
    <t xml:space="preserve">#37 Medellín — Premium Plaza — Tier B</t>
  </si>
  <si>
    <t xml:space="preserve">#38 Cali — Unicentro — Tier C</t>
  </si>
  <si>
    <t xml:space="preserve">#39 Bucaramanga — Cacique — Tier C</t>
  </si>
  <si>
    <t xml:space="preserve">#40 Colón — Cuatro Altos — Tier B</t>
  </si>
  <si>
    <t xml:space="preserve">#41 Chitré — Paseo Central — Tier C</t>
  </si>
  <si>
    <t xml:space="preserve">#42 Santa Marta — Buenavista — Tier C</t>
  </si>
  <si>
    <t xml:space="preserve">#43 Aguadulce — Tier C</t>
  </si>
  <si>
    <t xml:space="preserve">#44 Santo Domingo — Blue Mall — Tier B</t>
  </si>
  <si>
    <t xml:space="preserve">#45 Punta Cana — BlueMall — Tier B</t>
  </si>
  <si>
    <t xml:space="preserve">#46 San José — Multiplaza Escazú — Tier A</t>
  </si>
  <si>
    <t xml:space="preserve">#47 San José — Lincoln Plaza — Tier B</t>
  </si>
  <si>
    <t xml:space="preserve">#48 Heredia — Paseo de las Flores — Tier C</t>
  </si>
  <si>
    <t xml:space="preserve">#49 Bocas — Tier C</t>
  </si>
  <si>
    <t xml:space="preserve">#50 Penonomé — Paseo (A)</t>
  </si>
  <si>
    <t xml:space="preserve">#51 David — Terronal (B)</t>
  </si>
  <si>
    <t xml:space="preserve">#52 Santiago — Plaza (B)</t>
  </si>
  <si>
    <t xml:space="preserve">#53 La Chorrera — Mall (A)</t>
  </si>
  <si>
    <t xml:space="preserve">#54 Coronado — Plaza (B)</t>
  </si>
  <si>
    <t xml:space="preserve">#55 Las Tablas — Centro (B)</t>
  </si>
  <si>
    <t xml:space="preserve">#56 Metromall Fase 2 (A)</t>
  </si>
  <si>
    <t xml:space="preserve">#57 Albrook Fase 2 (B)</t>
  </si>
  <si>
    <t xml:space="preserve">#58 Soho Fase 2 (B)</t>
  </si>
  <si>
    <t xml:space="preserve">#59 Costa Verde — Mall (A)</t>
  </si>
  <si>
    <t xml:space="preserve">#60 Versalles — Plaza (B)</t>
  </si>
  <si>
    <t xml:space="preserve">#61 Chanis — Centro (A)</t>
  </si>
  <si>
    <t xml:space="preserve">#62 Tocumen — Mall (B)</t>
  </si>
  <si>
    <t xml:space="preserve">#63 Arraiján Oeste — Plaza (A)</t>
  </si>
  <si>
    <t xml:space="preserve">#64 Vista Alegre — Centro (B)</t>
  </si>
  <si>
    <t xml:space="preserve">#65 Regional TBD 1 (B)</t>
  </si>
  <si>
    <t xml:space="preserve">#66 Regional TBD 2 (C)</t>
  </si>
  <si>
    <t xml:space="preserve">#67 Regional TBD 3 (B)</t>
  </si>
  <si>
    <t xml:space="preserve">#68 Regional TBD 4 (A)</t>
  </si>
  <si>
    <t xml:space="preserve">#69 Regional TBD 5 (B)</t>
  </si>
  <si>
    <t xml:space="preserve">#70 Regional TBD 6 (C)</t>
  </si>
  <si>
    <t xml:space="preserve">#71 Regional TBD 7 (B)</t>
  </si>
  <si>
    <t xml:space="preserve">#72 Regional TBD 8 (B)</t>
  </si>
  <si>
    <t xml:space="preserve">#73 Regional TBD 9 (C)</t>
  </si>
  <si>
    <t xml:space="preserve">#74 Regional TBD 10 (A)</t>
  </si>
  <si>
    <t xml:space="preserve">#75 Regional TBD 11 (B)</t>
  </si>
  <si>
    <t xml:space="preserve">#76 Regional TBD 12 (C)</t>
  </si>
  <si>
    <t xml:space="preserve">#77 Regional TBD 13 (B)</t>
  </si>
  <si>
    <t xml:space="preserve">#78 Regional TBD 14 (C)</t>
  </si>
  <si>
    <t xml:space="preserve">#79 Regional TBD 15 (B)</t>
  </si>
  <si>
    <t xml:space="preserve">#80 Regional TBD 16 (A)</t>
  </si>
  <si>
    <t xml:space="preserve">#81 Regional TBD 17 (B)</t>
  </si>
  <si>
    <t xml:space="preserve">#82 Regional TBD 18 (C)</t>
  </si>
  <si>
    <t xml:space="preserve">#83 Regional TBD 19 (B)</t>
  </si>
  <si>
    <t xml:space="preserve">#84 Regional TBD 20 (B)</t>
  </si>
  <si>
    <t xml:space="preserve">#85 Regional TBD 21 (C)</t>
  </si>
  <si>
    <t xml:space="preserve">#86 Regional TBD 22 (A)</t>
  </si>
  <si>
    <t xml:space="preserve">#87 Regional TBD 23 (B)</t>
  </si>
  <si>
    <t xml:space="preserve">#88 Regional TBD 24 (C)</t>
  </si>
  <si>
    <t xml:space="preserve">CONSOLIDATED TOTALS — TODAS LAS TIENDAS</t>
  </si>
  <si>
    <t xml:space="preserve">TOTAL NEW customers</t>
  </si>
  <si>
    <t xml:space="preserve">TOTAL REPEAT customers</t>
  </si>
  <si>
    <t xml:space="preserve">RESUMEN ANUAL</t>
  </si>
  <si>
    <t xml:space="preserve">Metric</t>
  </si>
  <si>
    <t xml:space="preserve">Annual NEW customers</t>
  </si>
  <si>
    <t xml:space="preserve">Annual REPEAT customers</t>
  </si>
  <si>
    <t xml:space="preserve"># stores at year-end</t>
  </si>
  <si>
    <t xml:space="preserve">Annual NEW (orgánico)</t>
  </si>
  <si>
    <t xml:space="preserve">REVENUE PER STORE × MONTH (NEW + REPEAT) × ARPU</t>
  </si>
  <si>
    <t xml:space="preserve">#1 Plaza Newyork (B)</t>
  </si>
  <si>
    <t xml:space="preserve">#2 Costa del Este (D)</t>
  </si>
  <si>
    <t xml:space="preserve">#3 Brisas Capital (B)</t>
  </si>
  <si>
    <t xml:space="preserve">#4 Allbrook Mall (A)</t>
  </si>
  <si>
    <t xml:space="preserve">#5 Multiplaza (A)</t>
  </si>
  <si>
    <t xml:space="preserve">#6 Westland Mall (A)</t>
  </si>
  <si>
    <t xml:space="preserve">#7 Metromall (A)</t>
  </si>
  <si>
    <t xml:space="preserve">#8 San Francisco Mall (A)</t>
  </si>
  <si>
    <t xml:space="preserve">#9 Altaplaza Mall (A)</t>
  </si>
  <si>
    <t xml:space="preserve">#10 Los Pueblos (B)</t>
  </si>
  <si>
    <t xml:space="preserve">#11 Plaza Edison (B)</t>
  </si>
  <si>
    <t xml:space="preserve">#12 El Dorado Mall (B)</t>
  </si>
  <si>
    <t xml:space="preserve">#13 Multicentro (A)</t>
  </si>
  <si>
    <t xml:space="preserve">#14 Centennial Mall (B)</t>
  </si>
  <si>
    <t xml:space="preserve">#15 Los Andes Mall (B)</t>
  </si>
  <si>
    <t xml:space="preserve">#16 CityMall (B)</t>
  </si>
  <si>
    <t xml:space="preserve">#17 Federal Mall (B)</t>
  </si>
  <si>
    <t xml:space="preserve">#18 Plaza La Chorrera (B)</t>
  </si>
  <si>
    <t xml:space="preserve">#19 Plaza Internacional (B)</t>
  </si>
  <si>
    <t xml:space="preserve">#20 Coronado (C)</t>
  </si>
  <si>
    <t xml:space="preserve">#21 Penonomé (C)</t>
  </si>
  <si>
    <t xml:space="preserve">#22 Bogotá — Andino (A)</t>
  </si>
  <si>
    <t xml:space="preserve">#23 Bogotá — Unicentro (A)</t>
  </si>
  <si>
    <t xml:space="preserve">#24 Bogotá — Titán (B)</t>
  </si>
  <si>
    <t xml:space="preserve">#25 Bogotá — Gran Estación (B)</t>
  </si>
  <si>
    <t xml:space="preserve">#26 Medellín — El Tesoro (A)</t>
  </si>
  <si>
    <t xml:space="preserve">#27 Medellín — Oviedo (B)</t>
  </si>
  <si>
    <t xml:space="preserve">#28 Cali — Chipichape (B)</t>
  </si>
  <si>
    <t xml:space="preserve">#29 Barranquilla — Buenavista (C)</t>
  </si>
  <si>
    <t xml:space="preserve">#30 Cartagena — Mall Plaza (C)</t>
  </si>
  <si>
    <t xml:space="preserve">#31 Pereira — Victoria (C)</t>
  </si>
  <si>
    <t xml:space="preserve">#32 Santo Domingo — Ágora (A)</t>
  </si>
  <si>
    <t xml:space="preserve">#33 Santo Domingo — Sambil (B)</t>
  </si>
  <si>
    <t xml:space="preserve">#34 Santiago — Colinas (C)</t>
  </si>
  <si>
    <t xml:space="preserve">#35 Bogotá — Calima (B)</t>
  </si>
  <si>
    <t xml:space="preserve">#36 Bogotá — Plaza Central (B)</t>
  </si>
  <si>
    <t xml:space="preserve">#37 Medellín — Premium Plaza (B)</t>
  </si>
  <si>
    <t xml:space="preserve">#38 Cali — Unicentro (C)</t>
  </si>
  <si>
    <t xml:space="preserve">#39 Bucaramanga — Cacique (C)</t>
  </si>
  <si>
    <t xml:space="preserve">#40 Colón — Cuatro Altos (B)</t>
  </si>
  <si>
    <t xml:space="preserve">#41 Chitré — Paseo Central (C)</t>
  </si>
  <si>
    <t xml:space="preserve">#42 Santa Marta — Buenavista (C)</t>
  </si>
  <si>
    <t xml:space="preserve">#43 Aguadulce (C)</t>
  </si>
  <si>
    <t xml:space="preserve">#44 Santo Domingo — Blue Mall (B)</t>
  </si>
  <si>
    <t xml:space="preserve">#45 Punta Cana — BlueMall (B)</t>
  </si>
  <si>
    <t xml:space="preserve">#46 San José — Multiplaza Escazú (A)</t>
  </si>
  <si>
    <t xml:space="preserve">#47 San José — Lincoln Plaza (B)</t>
  </si>
  <si>
    <t xml:space="preserve">#48 Heredia — Paseo de las Flores (C)</t>
  </si>
  <si>
    <t xml:space="preserve">#49 Bocas (C)</t>
  </si>
  <si>
    <t xml:space="preserve">TOTAL all stores</t>
  </si>
  <si>
    <t xml:space="preserve">+ Boost Revenue (clientes extras de pauta floor × ARPU)</t>
  </si>
  <si>
    <t xml:space="preserve">TOTAL Revenue (mensual, todas las tiendas activas)</t>
  </si>
  <si>
    <t xml:space="preserve">ANNUAL REVENUE PER STORE (USD)</t>
  </si>
  <si>
    <t xml:space="preserve">10-Yr Total</t>
  </si>
  <si>
    <t xml:space="preserve">TOTAL (64 stores)</t>
  </si>
  <si>
    <t xml:space="preserve">Annual Boost Revenue</t>
  </si>
  <si>
    <t xml:space="preserve">TOTAL Annual Revenue (todas las tiendas activas)</t>
  </si>
  <si>
    <t xml:space="preserve">═══ MATURATION ANALYSIS — Real vs Modelo (validación) ═══</t>
  </si>
  <si>
    <t xml:space="preserve">Datos reales de NEW customers vs proyección modelo (Master Curve × Steady tier)</t>
  </si>
  <si>
    <t xml:space="preserve">Tienda / Mes desde apertura</t>
  </si>
  <si>
    <t xml:space="preserve">Plaza NY (B) — REAL</t>
  </si>
  <si>
    <t xml:space="preserve">    NEW orgánicos</t>
  </si>
  <si>
    <t xml:space="preserve">    NEW (orgánico)</t>
  </si>
  <si>
    <t xml:space="preserve">Brisas Capital (A) — REAL</t>
  </si>
  <si>
    <t xml:space="preserve">Costa del Este (D) — REAL</t>
  </si>
  <si>
    <t xml:space="preserve">Albrook Mall (A) — REAL</t>
  </si>
  <si>
    <t xml:space="preserve">Source: Warby Parker S-1 — eyewear category. Y4 = 2da vuelta de recompra. Y8 = 3ra vuelta.</t>
  </si>
  <si>
    <t xml:space="preserve">OKIO discount factor</t>
  </si>
  <si>
    <t xml:space="preserve">Haircut vs Warby (early stage, smaller brand)</t>
  </si>
  <si>
    <t xml:space="preserve">Avg Revenue Per Customer Y0</t>
  </si>
  <si>
    <t xml:space="preserve">From actuals — total/orders Ene2025-Abr2026</t>
  </si>
  <si>
    <t xml:space="preserve">CAC % of customer revenue</t>
  </si>
  <si>
    <t xml:space="preserve">Warby benchmark</t>
  </si>
  <si>
    <t xml:space="preserve">Implied CAC ($)</t>
  </si>
  <si>
    <t xml:space="preserve">Year of Sales Retention 100%</t>
  </si>
  <si>
    <t xml:space="preserve">When cohort has cumulative 100% retention</t>
  </si>
  <si>
    <t xml:space="preserve">Escenario retención →</t>
  </si>
  <si>
    <t xml:space="preserve">Marca</t>
  </si>
  <si>
    <t xml:space="preserve">SALES RETENTION RATE BY YEAR (% of cohort year-0 revenue)</t>
  </si>
  <si>
    <t xml:space="preserve">Source</t>
  </si>
  <si>
    <t xml:space="preserve">Y0</t>
  </si>
  <si>
    <t xml:space="preserve">Y1</t>
  </si>
  <si>
    <t xml:space="preserve">Y2</t>
  </si>
  <si>
    <t xml:space="preserve">Y3</t>
  </si>
  <si>
    <t xml:space="preserve">Y4</t>
  </si>
  <si>
    <t xml:space="preserve">Y5</t>
  </si>
  <si>
    <t xml:space="preserve">Y6</t>
  </si>
  <si>
    <t xml:space="preserve">Y7</t>
  </si>
  <si>
    <t xml:space="preserve">Y8</t>
  </si>
  <si>
    <t xml:space="preserve">Y9</t>
  </si>
  <si>
    <t xml:space="preserve">Y10</t>
  </si>
  <si>
    <t xml:space="preserve">Warby Parker (S-1)</t>
  </si>
  <si>
    <t xml:space="preserve">Benchmark Warby × 0.8 acumulado (referencia, ya no alimenta el modelo)</t>
  </si>
  <si>
    <t xml:space="preserve">Revenue/cust by year ($)</t>
  </si>
  <si>
    <t xml:space="preserve">Cumulative LTV ($)</t>
  </si>
  <si>
    <t xml:space="preserve">LTV / CAC Ratio</t>
  </si>
  <si>
    <t xml:space="preserve">═══ CLIENTES REALES — NUEVOS vs RECURRENTES POR MES (validación del motor) ═══</t>
  </si>
  <si>
    <t xml:space="preserve">Recurrente = compró ese mes y ya había comprado en un mes anterior. Oct-26 parcial (no se usa para calibrar).</t>
  </si>
  <si>
    <t xml:space="preserve">Mes</t>
  </si>
  <si>
    <t xml:space="preserve">Nuevos (real)</t>
  </si>
  <si>
    <t xml:space="preserve">Recurrentes (real)</t>
  </si>
  <si>
    <t xml:space="preserve">Total activos (real)</t>
  </si>
  <si>
    <t xml:space="preserve">% recurrentes (real)</t>
  </si>
  <si>
    <t xml:space="preserve">Nuevos (modelo)</t>
  </si>
  <si>
    <t xml:space="preserve">Recurrentes (modelo)</t>
  </si>
  <si>
    <t xml:space="preserve">% recurrentes (modelo)</t>
  </si>
  <si>
    <t xml:space="preserve">Nuevos real / modelo</t>
  </si>
  <si>
    <t xml:space="preserve">TOTAL ene-25 a sep-26</t>
  </si>
  <si>
    <t xml:space="preserve">═══ CURVA REAL DE RECOMPRA (promedio ponderado de todas las cohortes) → alimenta la fila 30 ═══</t>
  </si>
  <si>
    <t xml:space="preserve">Meses 1-16 = dato real (bases ≥600 clientes). Cola m17+ = pendiente real m6→m16. Se multiplica por las 2ª+ vueltas para cuadrar con los recurrentes reales por mes.</t>
  </si>
  <si>
    <t xml:space="preserve">Multiplicador por recompras repetidas (2ª, 3ª vuelta…)</t>
  </si>
  <si>
    <t xml:space="preserve">Recurrentes reales / predicción solo con 1ª vuelta: 1.70x últimos 6 meses, 1.55x últimos 12</t>
  </si>
  <si>
    <t xml:space="preserve">Meta de recompra acumulada</t>
  </si>
  <si>
    <t xml:space="preserve">Decisión: llegar a 80% de la cohorte que ya volvió</t>
  </si>
  <si>
    <t xml:space="preserve">Meses confiables de la curva real</t>
  </si>
  <si>
    <t xml:space="preserve">m17-m20 tienen bases de 27-379 clientes: no se usan</t>
  </si>
  <si>
    <t xml:space="preserve">Mes de la meta</t>
  </si>
  <si>
    <t xml:space="preserve">4 años desde la 1ª compra</t>
  </si>
  <si>
    <t xml:space="preserve">Nueva vuelta mensual hasta la meta (cola acelerada)</t>
  </si>
  <si>
    <t xml:space="preserve">Del último mes confiable a la meta: (80% − 21.2%) / 32 meses</t>
  </si>
  <si>
    <t xml:space="preserve">Nueva vuelta mensual DESPUÉS de la meta</t>
  </si>
  <si>
    <t xml:space="preserve">Ritmo real m6→m16; tope 100% acumulado</t>
  </si>
  <si>
    <t xml:space="preserve">Mes desde 1ª compra</t>
  </si>
  <si>
    <t xml:space="preserve">% que ya volvió (real, acumulado)</t>
  </si>
  <si>
    <t xml:space="preserve">Base (clientes)</t>
  </si>
  <si>
    <t xml:space="preserve">Nueva vuelta en el mes (incremental)</t>
  </si>
  <si>
    <t xml:space="preserve">Recompra usada en el modelo (% de la cohorte en el mes)</t>
  </si>
  <si>
    <t xml:space="preserve">Recompra acumulada del modelo (1ª vuelta)</t>
  </si>
  <si>
    <t xml:space="preserve">P&amp;G DE TIENDAS — VENTAS × SUPUESTOS DE COSTO = EBITDA (mensual + anual)</t>
  </si>
  <si>
    <t xml:space="preserve">SUPUESTOS DE COSTO — POR TIENDA Y VARIABLES</t>
  </si>
  <si>
    <t xml:space="preserve">Costos variables (% de la venta)</t>
  </si>
  <si>
    <t xml:space="preserve">COGS</t>
  </si>
  <si>
    <t xml:space="preserve">Cost of goods sold</t>
  </si>
  <si>
    <t xml:space="preserve">Optómetra commission</t>
  </si>
  <si>
    <t xml:space="preserve">1% on net revenue</t>
  </si>
  <si>
    <t xml:space="preserve">Asesor commission</t>
  </si>
  <si>
    <t xml:space="preserve">0.5% on net revenue</t>
  </si>
  <si>
    <t xml:space="preserve">Costos fijos por tienda ($/mes)</t>
  </si>
  <si>
    <t xml:space="preserve">Item</t>
  </si>
  <si>
    <t xml:space="preserve">$/mo</t>
  </si>
  <si>
    <t xml:space="preserve">×</t>
  </si>
  <si>
    <t xml:space="preserve">Optómetra base salary</t>
  </si>
  <si>
    <t xml:space="preserve">Per store</t>
  </si>
  <si>
    <t xml:space="preserve">Asesor #1 base salary</t>
  </si>
  <si>
    <t xml:space="preserve">Por tienda desde apertura</t>
  </si>
  <si>
    <t xml:space="preserve">Asesor #2 base salary</t>
  </si>
  <si>
    <t xml:space="preserve">Trigger: rev &gt; $20k/mo</t>
  </si>
  <si>
    <t xml:space="preserve">Prestaciones laborales</t>
  </si>
  <si>
    <t xml:space="preserve">Histórico ene-sep 26 (sin mar): cargas (CSS, XIII, vacaciones, prima antigüedad, riesgo, seguro educ.) ÷ sueldos = 34%</t>
  </si>
  <si>
    <t xml:space="preserve">Of base salaries (commission included)</t>
  </si>
  <si>
    <t xml:space="preserve">Horas extras / cobertura ($/tienda/mes)</t>
  </si>
  <si>
    <t xml:space="preserve">Real hoy ~$400/mes para 4 tiendas (vacaciones, domingos); crece proporcional a # tiendas</t>
  </si>
  <si>
    <t xml:space="preserve">$700 × stores/4 (rounded up)</t>
  </si>
  <si>
    <t xml:space="preserve">Trigger threshold (Asesor #2)</t>
  </si>
  <si>
    <t xml:space="preserve">Venta mensual por tienda</t>
  </si>
  <si>
    <t xml:space="preserve">Renta — Tier A</t>
  </si>
  <si>
    <t xml:space="preserve">30 × 100 m²</t>
  </si>
  <si>
    <t xml:space="preserve">Renta — Tier B</t>
  </si>
  <si>
    <t xml:space="preserve">30 × 70 m²</t>
  </si>
  <si>
    <t xml:space="preserve">Renta — Tier C</t>
  </si>
  <si>
    <t xml:space="preserve">Costa del Este actual</t>
  </si>
  <si>
    <t xml:space="preserve">Renta — Tier D (Kiosk)</t>
  </si>
  <si>
    <t xml:space="preserve">El Patio kiosk</t>
  </si>
  <si>
    <t xml:space="preserve">Renta — Tier E (Provincial)</t>
  </si>
  <si>
    <t xml:space="preserve">20 × 60 m²</t>
  </si>
  <si>
    <t xml:space="preserve">CAC ($ / new customer)</t>
  </si>
  <si>
    <t xml:space="preserve">$/new</t>
  </si>
  <si>
    <t xml:space="preserve">From ⑮ Cohort Engine new customers</t>
  </si>
  <si>
    <t xml:space="preserve">(Sin uso) Descuentos (% rev)</t>
  </si>
  <si>
    <t xml:space="preserve">Real OKIO ~1% descuentos (histórico fila 28). Devoluciones ~7% se manejan aparte.</t>
  </si>
  <si>
    <t xml:space="preserve">(Sin uso) G&amp;A (% rev) — corp allocation</t>
  </si>
  <si>
    <t xml:space="preserve">Admin /mo</t>
  </si>
  <si>
    <t xml:space="preserve">(Sin uso) Servicios en tienda — Tier A</t>
  </si>
  <si>
    <t xml:space="preserve">(Sin uso) Servicios en tienda — Tier B</t>
  </si>
  <si>
    <t xml:space="preserve">(Sin uso) Servicios en tienda — Tier C</t>
  </si>
  <si>
    <t xml:space="preserve">(Sin uso) Servicios en tienda — Tier D</t>
  </si>
  <si>
    <t xml:space="preserve">(Sin uso) Servicios en tienda — Tier E</t>
  </si>
  <si>
    <t xml:space="preserve">Optómetra Senior premium (Plaza NY only)</t>
  </si>
  <si>
    <t xml:space="preserve">$/mo extra</t>
  </si>
  <si>
    <t xml:space="preserve">Senior optometrist at Plaza NY ($2,500 vs $2,300 base)</t>
  </si>
  <si>
    <t xml:space="preserve">  Admin en tienda — Tier A</t>
  </si>
  <si>
    <t xml:space="preserve">  Admin en tienda — Tier B</t>
  </si>
  <si>
    <t xml:space="preserve">  Admin en tienda — Tier C</t>
  </si>
  <si>
    <t xml:space="preserve">  Admin en tienda — Tier D</t>
  </si>
  <si>
    <t xml:space="preserve">  Admin en tienda — Tier E</t>
  </si>
  <si>
    <t xml:space="preserve">TOTAL tiendas activas</t>
  </si>
  <si>
    <t xml:space="preserve">Colombia — Optómetra ($/mes, incl. prest.)</t>
  </si>
  <si>
    <t xml:space="preserve">Colombia — Personal tienda ($/mes)</t>
  </si>
  <si>
    <t xml:space="preserve">P&amp;G CONSOLIDADO DE TIENDAS (anual, USD)</t>
  </si>
  <si>
    <t xml:space="preserve">Line</t>
  </si>
  <si>
    <t xml:space="preserve">COGS % (= supuesto C6, plano)</t>
  </si>
  <si>
    <t xml:space="preserve">  COGS (30%)</t>
  </si>
  <si>
    <t xml:space="preserve">  Salarios — Optómetra</t>
  </si>
  <si>
    <t xml:space="preserve">  Salarios — Asesor #1</t>
  </si>
  <si>
    <t xml:space="preserve">  Salarios — Asesor #2 (por tienda que vende &gt; $20K/mes)</t>
  </si>
  <si>
    <t xml:space="preserve">  Horas extras / cobertura ($/tienda)</t>
  </si>
  <si>
    <t xml:space="preserve">  Comisión Optómetra (1%)</t>
  </si>
  <si>
    <t xml:space="preserve">  Comisión Asesor (0.5%)</t>
  </si>
  <si>
    <t xml:space="preserve">TOTAL SALARIOS</t>
  </si>
  <si>
    <t xml:space="preserve">(+) Ahorro mano de obra Colombia</t>
  </si>
  <si>
    <t xml:space="preserve">  Renta (por tienda según tier)</t>
  </si>
  <si>
    <t xml:space="preserve">  Marketing → see Corporate P&amp;L</t>
  </si>
  <si>
    <t xml:space="preserve">  Descuentos (2% rev)</t>
  </si>
  <si>
    <t xml:space="preserve">  Servicios en tienda (por tier)</t>
  </si>
  <si>
    <t xml:space="preserve">  G&amp;A → see Corporate P&amp;L (HQ)</t>
  </si>
  <si>
    <t xml:space="preserve">TOTAL COSTOS DIRECTOS TIENDA</t>
  </si>
  <si>
    <t xml:space="preserve">CONTRIBUCIÓN TIENDA</t>
  </si>
  <si>
    <t xml:space="preserve">D&amp;A (capex / 7yr)</t>
  </si>
  <si>
    <t xml:space="preserve">EBIT</t>
  </si>
  <si>
    <t xml:space="preserve">  Taxes (25% on EBIT)</t>
  </si>
  <si>
    <t xml:space="preserve">P&amp;G MENSUAL DE TIENDAS (USD)</t>
  </si>
  <si>
    <t xml:space="preserve">Índice mes</t>
  </si>
  <si>
    <t xml:space="preserve"># Stores active by tier</t>
  </si>
  <si>
    <t xml:space="preserve">  Tier A</t>
  </si>
  <si>
    <t xml:space="preserve">  Tier B</t>
  </si>
  <si>
    <t xml:space="preserve">  Tier C</t>
  </si>
  <si>
    <t xml:space="preserve">  Tier D</t>
  </si>
  <si>
    <t xml:space="preserve">  Tier E</t>
  </si>
  <si>
    <t xml:space="preserve">  TOTAL tiendas activas</t>
  </si>
  <si>
    <t xml:space="preserve">  Salario Optómetra</t>
  </si>
  <si>
    <t xml:space="preserve">  Salario Asesor #1</t>
  </si>
  <si>
    <t xml:space="preserve">  Salario Asesor #2 (por tienda &gt; $20K)</t>
  </si>
  <si>
    <t xml:space="preserve">  Horas extras / cobertura</t>
  </si>
  <si>
    <t xml:space="preserve">  Renta (per tier × stores)</t>
  </si>
  <si>
    <t xml:space="preserve">  Marketing + Descuentos</t>
  </si>
  <si>
    <t xml:space="preserve">  Utilities/Otros</t>
  </si>
  <si>
    <t xml:space="preserve">  G&amp;A</t>
  </si>
  <si>
    <t xml:space="preserve">  Admin en tienda (por tier × tiendas)</t>
  </si>
  <si>
    <t xml:space="preserve">TOTAL OpEx (excl COGS)</t>
  </si>
  <si>
    <t xml:space="preserve">P&amp;G CORPORATIVO — COSTOS DE HQ (mensual oct-26 a dic-28 · anual 2029-2036)</t>
  </si>
  <si>
    <t xml:space="preserve">Fuente: equipo actual y gastos reales jul-sep 26 (hoja EEFF); contrataciones según plan del founder. Inputs en color petróleo; el resto son fórmulas.</t>
  </si>
  <si>
    <t xml:space="preserve">SUPUESTOS CORPORATIVOS (editables)</t>
  </si>
  <si>
    <t xml:space="preserve">$/mes</t>
  </si>
  <si>
    <t xml:space="preserve">Cuándo entra / notas</t>
  </si>
  <si>
    <t xml:space="preserve">PERSONAS</t>
  </si>
  <si>
    <t xml:space="preserve">CEO — sueldo hasta mar-27</t>
  </si>
  <si>
    <t xml:space="preserve">Hasta mar-27. +19.35% prestaciones (C13) = $10,145/mes</t>
  </si>
  <si>
    <t xml:space="preserve">Mensajero (Jonathan García) — costo total</t>
  </si>
  <si>
    <t xml:space="preserve">Equipo actual. Salario 1,051 + prestaciones + CSS (30.4%)</t>
  </si>
  <si>
    <t xml:space="preserve">Gerente Ops y Supply Chain (Paula Niño) — costo total</t>
  </si>
  <si>
    <t xml:space="preserve">Equipo actual. Salario 3,065 + 36.2% cargas</t>
  </si>
  <si>
    <t xml:space="preserve">Tesorero (Brajhan García, externo) — costo total</t>
  </si>
  <si>
    <t xml:space="preserve">Equipo actual. Externo, sin cargas</t>
  </si>
  <si>
    <t xml:space="preserve">CX (Anggie Martínez, externa) — costo total</t>
  </si>
  <si>
    <t xml:space="preserve">Equipo actual. Externa (862.82 + 115.41 otros)</t>
  </si>
  <si>
    <t xml:space="preserve">Viáticos HQ ($/mes)</t>
  </si>
  <si>
    <t xml:space="preserve">Promedio anual; cubre ferias (ej. SILMO sep)</t>
  </si>
  <si>
    <t xml:space="preserve">CEO — carga prestaciones % (sin CSS)</t>
  </si>
  <si>
    <t xml:space="preserve">XIII 8.33% + vacaciones 9.09% + prima 1.92% (CEO sin CSS)</t>
  </si>
  <si>
    <t xml:space="preserve">Comercial Jornadas</t>
  </si>
  <si>
    <t xml:space="preserve">Desde abr-27 (arranque jornadas/lab) y con ≥7 tiendas activas</t>
  </si>
  <si>
    <t xml:space="preserve">Gte de tiendas + RRHH</t>
  </si>
  <si>
    <t xml:space="preserve">Cuando abre la tienda #8 (≥8 activas)</t>
  </si>
  <si>
    <t xml:space="preserve">CEO — sueldo desde abr-27</t>
  </si>
  <si>
    <t xml:space="preserve">Desde abr-27; +19.35% prestaciones</t>
  </si>
  <si>
    <t xml:space="preserve">Director de Laboratorio</t>
  </si>
  <si>
    <t xml:space="preserve">Desde abr-27 (arranque del laboratorio)</t>
  </si>
  <si>
    <t xml:space="preserve">(Sin uso) Director Supply Chain</t>
  </si>
  <si>
    <t xml:space="preserve">Lo cubre la Gerente de Ops y Supply Chain</t>
  </si>
  <si>
    <t xml:space="preserve">Country Manager Panamá</t>
  </si>
  <si>
    <t xml:space="preserve">Desde ene-2029</t>
  </si>
  <si>
    <t xml:space="preserve">Tech / eCommerce (analista)</t>
  </si>
  <si>
    <t xml:space="preserve">Desde abr-27</t>
  </si>
  <si>
    <t xml:space="preserve">EXPANSIÓN — contrataciones por país y por escala</t>
  </si>
  <si>
    <t xml:space="preserve">(Sin uso) Head de Expansión</t>
  </si>
  <si>
    <t xml:space="preserve">Eliminado del plan</t>
  </si>
  <si>
    <t xml:space="preserve">Country Manager Colombia ($/mes)</t>
  </si>
  <si>
    <t xml:space="preserve">Desde la 1ª tienda activa en Colombia (A / A slow: 2030 / 2032)</t>
  </si>
  <si>
    <t xml:space="preserve">(Sin uso) Country Manager Caribe/CA</t>
  </si>
  <si>
    <t xml:space="preserve">(Sin uso) RD/GT/SV no están en ningún escenario</t>
  </si>
  <si>
    <t xml:space="preserve">PM de aperturas ($/mes)</t>
  </si>
  <si>
    <t xml:space="preserve">Solo en años con ≥10 aperturas (⑫ fila 101)</t>
  </si>
  <si>
    <t xml:space="preserve">RRHH / Training ($/mes)</t>
  </si>
  <si>
    <t xml:space="preserve">Desde ≥25 tiendas activas (mes exacto)</t>
  </si>
  <si>
    <t xml:space="preserve">RRHH — uplift por país nuevo ($/mes por país)</t>
  </si>
  <si>
    <t xml:space="preserve">+1 por cada país nuevo con tienda activa</t>
  </si>
  <si>
    <t xml:space="preserve">Uplift Finanzas ($/mes)</t>
  </si>
  <si>
    <t xml:space="preserve">Desde 2030 — controller / consolidación</t>
  </si>
  <si>
    <t xml:space="preserve">Director Lab Colombia ($/mes)</t>
  </si>
  <si>
    <t xml:space="preserve">Desde 2030 y con tienda en Colombia; + capex de lab en E29</t>
  </si>
  <si>
    <t xml:space="preserve">Reserva estructura no asignada (% ventas)</t>
  </si>
  <si>
    <t xml:space="preserve">Desde 2031 y solo si ya hay un 2º país (legal, auditoría, entrada país)</t>
  </si>
  <si>
    <t xml:space="preserve">Cargas planilla HQ nuevos % (CSS 16.85% + prestaciones 19.35%)</t>
  </si>
  <si>
    <t xml:space="preserve">Personal nuevo en planilla: CSS 16.85% + prestaciones 19.35%</t>
  </si>
  <si>
    <t xml:space="preserve">(Sin uso) Décimo</t>
  </si>
  <si>
    <t xml:space="preserve">Incluido en C31 / C13</t>
  </si>
  <si>
    <t xml:space="preserve">CEO — sueldo desde ene-28</t>
  </si>
  <si>
    <t xml:space="preserve">+19.35% prestaciones; fijo en adelante</t>
  </si>
  <si>
    <t xml:space="preserve">CAC ($/cliente nuevo) — ÚNICA FUENTE</t>
  </si>
  <si>
    <t xml:space="preserve">Un solo CAC para todos los años (fila 55)</t>
  </si>
  <si>
    <t xml:space="preserve">GASTOS FIJOS CORPORATIVOS</t>
  </si>
  <si>
    <t xml:space="preserve">Tecnología ($/mes)</t>
  </si>
  <si>
    <t xml:space="preserve">Tecnología (web, apps, licencias). Base = promedio real jul-sep 26 (EEFF fila 24); fijo, ×1 en un país</t>
  </si>
  <si>
    <t xml:space="preserve">Administración corporativa ($/mes)</t>
  </si>
  <si>
    <t xml:space="preserve">Admin corporativo (seguros, bancos, oficina, otros). Base = promedio real jul-sep 26 (EEFF fila 26)</t>
  </si>
  <si>
    <t xml:space="preserve">Servicios y honorarios ($/mes)</t>
  </si>
  <si>
    <t xml:space="preserve">Servicios y honorarios (legal, contabilidad, auditoría). Base = promedio real jul-sep 26 (EEFF fila 25)</t>
  </si>
  <si>
    <t xml:space="preserve">(Sin uso) Recorte % sobre Tech/Admin</t>
  </si>
  <si>
    <t xml:space="preserve">(Sin uso) La base ya es el real post-eficiencias; se deja en 0</t>
  </si>
  <si>
    <t xml:space="preserve">P&amp;G CORPORATIVO ANUAL (manda desde 2029; 2025-2028 solo referencia — esos años usan el mensual)</t>
  </si>
  <si>
    <t xml:space="preserve">Línea</t>
  </si>
  <si>
    <t xml:space="preserve">  (detalle por persona en filas 7-33; la fórmula está en la fila 48)</t>
  </si>
  <si>
    <t xml:space="preserve">TOTAL PERSONAS HQ (equipo actual + CEO + contrataciones por fecha, umbral y país + cargas + reserva 0.5%)</t>
  </si>
  <si>
    <t xml:space="preserve">Marketing (clientes nuevos × CAC) + branding de entrada a país nuevo</t>
  </si>
  <si>
    <t xml:space="preserve">Tecnología</t>
  </si>
  <si>
    <t xml:space="preserve">Administración corporativa</t>
  </si>
  <si>
    <t xml:space="preserve">Gerentes de zona (1º desde mar-27 · +1 cada 11 tiendas)</t>
  </si>
  <si>
    <r>
      <rPr>
        <b val="true"/>
        <i val="true"/>
        <sz val="11"/>
        <color rgb="FF6B5D50"/>
        <rFont val="Calibri"/>
        <family val="2"/>
        <charset val="1"/>
      </rPr>
      <t xml:space="preserve">TOTAL OpEx CORPORATIVO (servicios se suman en </t>
    </r>
    <r>
      <rPr>
        <b val="true"/>
        <i val="true"/>
        <sz val="11"/>
        <color rgb="FF6B5D50"/>
        <rFont val="Noto Sans CJK SC"/>
        <family val="2"/>
      </rPr>
      <t xml:space="preserve">㉔ </t>
    </r>
    <r>
      <rPr>
        <b val="true"/>
        <i val="true"/>
        <sz val="11"/>
        <color rgb="FF6B5D50"/>
        <rFont val="Calibri"/>
        <family val="2"/>
        <charset val="1"/>
      </rPr>
      <t xml:space="preserve">fila 29)</t>
    </r>
  </si>
  <si>
    <t xml:space="preserve">CAC ($/cliente nuevo) por año</t>
  </si>
  <si>
    <t xml:space="preserve">LÍNEA DE TIEMPO DE PERSONAL</t>
  </si>
  <si>
    <t xml:space="preserve">FTEs corporativos (aprox.)</t>
  </si>
  <si>
    <t xml:space="preserve">Gerente de zona — sueldo base $/mes (C) · tiendas por gerente (D). 1º desde mar-27, +36.2% cargas</t>
  </si>
  <si>
    <t xml:space="preserve">Marketing % objetivo (semáforo)</t>
  </si>
  <si>
    <t xml:space="preserve">Marketing % de ventas (real)</t>
  </si>
  <si>
    <t xml:space="preserve">Índice de mes</t>
  </si>
  <si>
    <t xml:space="preserve">Tiendas activas (mes)</t>
  </si>
  <si>
    <t xml:space="preserve">(sin uso) Otros de nómina % HQ</t>
  </si>
  <si>
    <t xml:space="preserve">P&amp;G CORPORATIVO MENSUAL (oct-26 a dic-28)</t>
  </si>
  <si>
    <t xml:space="preserve">Multiplicador HQ (prestaciones + otros nómina × ahorro un país)</t>
  </si>
  <si>
    <t xml:space="preserve">Personas por umbral de tiendas ($/mes) — anual: al cierre del año · mensual: tiendas activas del mes</t>
  </si>
  <si>
    <t xml:space="preserve">Personas por umbral — promedio real de los meses del año (prorrateo)</t>
  </si>
  <si>
    <t xml:space="preserve">Gerentes de zona ($/mes) — según tiendas activas del mes</t>
  </si>
  <si>
    <t xml:space="preserve">TOTAL PERSONAS HQ (mensual: base anual ÷ 12 + contrataciones por umbral en el mes exacto)</t>
  </si>
  <si>
    <t xml:space="preserve">Marketing (clientes nuevos × CAC) — misma regla que el anual</t>
  </si>
  <si>
    <t xml:space="preserve">TOTAL OpEx CORPORATIVO</t>
  </si>
  <si>
    <t xml:space="preserve">Servicios y honorarios</t>
  </si>
  <si>
    <t xml:space="preserve">OTHER CHANNELS — JORNADAS + ONLINE</t>
  </si>
  <si>
    <t xml:space="preserve">Jornadas: $7k baseline 2025-26 → $15k from 2027 (Comercial). Online: % of stores rev, 1% → 5%.</t>
  </si>
  <si>
    <t xml:space="preserve">SUPUESTOS</t>
  </si>
  <si>
    <t xml:space="preserve">Value</t>
  </si>
  <si>
    <t xml:space="preserve">Jornadas baseline (2025-2026)</t>
  </si>
  <si>
    <t xml:space="preserve">Avg actual last 12mo ~$7k</t>
  </si>
  <si>
    <t xml:space="preserve">Jornadas plateau (2027+)</t>
  </si>
  <si>
    <t xml:space="preserve">Ajustado oct-26: sin step-up, se mantiene el real (~$7K/mes)</t>
  </si>
  <si>
    <t xml:space="preserve">Jornadas COGS %</t>
  </si>
  <si>
    <t xml:space="preserve">Productos vendidos</t>
  </si>
  <si>
    <t xml:space="preserve">Jornadas OpEx % (transp/mat)</t>
  </si>
  <si>
    <t xml:space="preserve">Variable per event</t>
  </si>
  <si>
    <t xml:space="preserve">Online — COGS %</t>
  </si>
  <si>
    <t xml:space="preserve">Same as stores</t>
  </si>
  <si>
    <t xml:space="preserve">Online — % de la venta de tiendas (rampa)</t>
  </si>
  <si>
    <t xml:space="preserve">Online %</t>
  </si>
  <si>
    <t xml:space="preserve">P&amp;G — JORNADAS + ONLINE (anual)</t>
  </si>
  <si>
    <t xml:space="preserve">JORNADAS</t>
  </si>
  <si>
    <t xml:space="preserve">Ventas jornadas</t>
  </si>
  <si>
    <t xml:space="preserve">  (-) COGS (30%)</t>
  </si>
  <si>
    <t xml:space="preserve">  (-) OpEx (30%)</t>
  </si>
  <si>
    <t xml:space="preserve">Contribución Jornadas</t>
  </si>
  <si>
    <t xml:space="preserve">ONLINE</t>
  </si>
  <si>
    <t xml:space="preserve">Ventas online</t>
  </si>
  <si>
    <t xml:space="preserve">Contribución Online</t>
  </si>
  <si>
    <t xml:space="preserve">TOTAL OTHER CHANNELS</t>
  </si>
  <si>
    <t xml:space="preserve">  Ventas</t>
  </si>
  <si>
    <t xml:space="preserve">  Contribución</t>
  </si>
  <si>
    <t xml:space="preserve">LABORATORIO PROPIO — beneficio neto intercompañía</t>
  </si>
  <si>
    <t xml:space="preserve">  Ingreso lab (= COGS cristales grupo, 11% ventas) — intercompañía</t>
  </si>
  <si>
    <t xml:space="preserve">  Margen bruto lab (42%)</t>
  </si>
  <si>
    <t xml:space="preserve">  (-) Técnico(s) lab + 44% CSS</t>
  </si>
  <si>
    <t xml:space="preserve">  (-) Renta + servicios + mantenimiento</t>
  </si>
  <si>
    <t xml:space="preserve">  (-) D&amp;A máquina(s)</t>
  </si>
  <si>
    <t xml:space="preserve">  (-) Interés financiamiento máquina</t>
  </si>
  <si>
    <t xml:space="preserve">  Contribución neta LAB</t>
  </si>
  <si>
    <t xml:space="preserve">DEBT SCHEDULE — BAC International Bank Loan</t>
  </si>
  <si>
    <r>
      <rPr>
        <i val="true"/>
        <sz val="9"/>
        <color rgb="FF6B5D50"/>
        <rFont val="Calibri"/>
        <family val="2"/>
        <charset val="1"/>
      </rPr>
      <t xml:space="preserve">Deuda nueva BAC: giros desde </t>
    </r>
    <r>
      <rPr>
        <i val="true"/>
        <sz val="9"/>
        <color rgb="FF6B5D50"/>
        <rFont val="Noto Sans CJK SC"/>
        <family val="2"/>
      </rPr>
      <t xml:space="preserve">㉕ </t>
    </r>
    <r>
      <rPr>
        <i val="true"/>
        <sz val="9"/>
        <color rgb="FF6B5D50"/>
        <rFont val="Calibri"/>
        <family val="2"/>
        <charset val="1"/>
      </rPr>
      <t xml:space="preserve">fila 40 · 60 meses · tasa en C11 · desembolso en enero del año del giro. Préstamo BAC existente (11%) en filas 93+</t>
    </r>
  </si>
  <si>
    <t xml:space="preserve">LOAN TERMS</t>
  </si>
  <si>
    <t xml:space="preserve">Lender</t>
  </si>
  <si>
    <t xml:space="preserve">Borrower</t>
  </si>
  <si>
    <t xml:space="preserve">OKIO VISION S.A.</t>
  </si>
  <si>
    <t xml:space="preserve">Principal total (suma de giros)</t>
  </si>
  <si>
    <t xml:space="preserve">USD</t>
  </si>
  <si>
    <t xml:space="preserve">raw principal</t>
  </si>
  <si>
    <t xml:space="preserve">Closing fees + legal (2.15%)</t>
  </si>
  <si>
    <t xml:space="preserve">% of principal, deducted at disbursement</t>
  </si>
  <si>
    <t xml:space="preserve">Net cash received</t>
  </si>
  <si>
    <t xml:space="preserve">Gross − fees</t>
  </si>
  <si>
    <t xml:space="preserve">Term (months)</t>
  </si>
  <si>
    <t xml:space="preserve">Tasa de interés anual</t>
  </si>
  <si>
    <t xml:space="preserve">13% nominal</t>
  </si>
  <si>
    <t xml:space="preserve">Tasa mensual</t>
  </si>
  <si>
    <t xml:space="preserve">Anual / 12</t>
  </si>
  <si>
    <t xml:space="preserve">Disbursement date</t>
  </si>
  <si>
    <r>
      <rPr>
        <i val="true"/>
        <sz val="11"/>
        <color rgb="FF6B5D50"/>
        <rFont val="Calibri"/>
        <family val="2"/>
        <charset val="1"/>
      </rPr>
      <t xml:space="preserve">Dinámico: enero del 1er año con draw en </t>
    </r>
    <r>
      <rPr>
        <i val="true"/>
        <sz val="11"/>
        <color rgb="FF6B5D50"/>
        <rFont val="Noto Sans CJK SC"/>
        <family val="2"/>
      </rPr>
      <t xml:space="preserve">㉕ </t>
    </r>
    <r>
      <rPr>
        <i val="true"/>
        <sz val="11"/>
        <color rgb="FF6B5D50"/>
        <rFont val="Calibri"/>
        <family val="2"/>
        <charset val="1"/>
      </rPr>
      <t xml:space="preserve">Funding Gap fila 40</t>
    </r>
  </si>
  <si>
    <t xml:space="preserve">DEUDA ACTIVA</t>
  </si>
  <si>
    <t xml:space="preserve">ON</t>
  </si>
  <si>
    <t xml:space="preserve">Toggle ON/OFF — apaga monto y cuota</t>
  </si>
  <si>
    <t xml:space="preserve">Fecha de prepago total (opcional)</t>
  </si>
  <si>
    <t xml:space="preserve">Vacío = la deuda amortiza al plazo original (dic-2033). Poner una fecha aquí la liquida anticipadamente.</t>
  </si>
  <si>
    <t xml:space="preserve">Month #</t>
  </si>
  <si>
    <t xml:space="preserve">Beg Balance</t>
  </si>
  <si>
    <t xml:space="preserve">Interest</t>
  </si>
  <si>
    <t xml:space="preserve">Principal</t>
  </si>
  <si>
    <t xml:space="preserve">End Balance</t>
  </si>
  <si>
    <t xml:space="preserve">Desembolso</t>
  </si>
  <si>
    <t xml:space="preserve">Cuota</t>
  </si>
  <si>
    <t xml:space="preserve">Prepago</t>
  </si>
  <si>
    <t xml:space="preserve">(+) Disbursement (net of fees)</t>
  </si>
  <si>
    <t xml:space="preserve">(-) Interest expense</t>
  </si>
  <si>
    <t xml:space="preserve">(-) Principal repayment</t>
  </si>
  <si>
    <t xml:space="preserve">(-) Closing fees + legal (2.15%)</t>
  </si>
  <si>
    <t xml:space="preserve">NET CASH FLOW from Debt</t>
  </si>
  <si>
    <t xml:space="preserve">Saldo final (cierre de año)</t>
  </si>
  <si>
    <t xml:space="preserve">PRÉSTAMO BAC ACTUAL (contrato 101190879, desembolsado 7-sep-26)</t>
  </si>
  <si>
    <t xml:space="preserve">Saldo a sep-26</t>
  </si>
  <si>
    <t xml:space="preserve">Fuente: EEFF sep-26, línea Obligaciones financieras (balance agrupado)</t>
  </si>
  <si>
    <t xml:space="preserve">Cuota mensual (retención ~$68.28/día sobre tarjetas)</t>
  </si>
  <si>
    <t xml:space="preserve">Retención diaria × 365/12</t>
  </si>
  <si>
    <t xml:space="preserve">Tasa anual (supuesto)</t>
  </si>
  <si>
    <t xml:space="preserve">Tasa confirmada por Diego (11%)</t>
  </si>
  <si>
    <t xml:space="preserve">⚠ Confirmar con contrato: el EEFF aún no separa el interés</t>
  </si>
  <si>
    <t xml:space="preserve">Fecha</t>
  </si>
  <si>
    <t xml:space="preserve">Saldo inicial</t>
  </si>
  <si>
    <t xml:space="preserve">Interés</t>
  </si>
  <si>
    <t xml:space="preserve">Capital</t>
  </si>
  <si>
    <t xml:space="preserve">Saldo final</t>
  </si>
  <si>
    <t xml:space="preserve">OKIO VISION — ESTADOS FINANCIEROS (EEFF) · ene-26 a sep-26</t>
  </si>
  <si>
    <t xml:space="preserve">USD · real desde Odoo · P&amp;G de gestión · EBITDA por capa: Tiendas → Corporativo (normalizado) → One-offs → Contable</t>
  </si>
  <si>
    <t xml:space="preserve">Sep-26 actualizado 8-oct: ventas cerradas y tarjetas conciliadas al 30-sep</t>
  </si>
  <si>
    <t xml:space="preserve">1 · ESTADO DE RESULTADOS (P&amp;G MENSUAL)</t>
  </si>
  <si>
    <t xml:space="preserve">Línea (USD)</t>
  </si>
  <si>
    <t xml:space="preserve">ene-26</t>
  </si>
  <si>
    <t xml:space="preserve">feb-26</t>
  </si>
  <si>
    <t xml:space="preserve">mar-26</t>
  </si>
  <si>
    <t xml:space="preserve">abr-26</t>
  </si>
  <si>
    <t xml:space="preserve">may-26</t>
  </si>
  <si>
    <t xml:space="preserve">jun-26</t>
  </si>
  <si>
    <t xml:space="preserve">jul-26</t>
  </si>
  <si>
    <t xml:space="preserve">ago-26</t>
  </si>
  <si>
    <t xml:space="preserve">sep-26</t>
  </si>
  <si>
    <t xml:space="preserve">YTD-26</t>
  </si>
  <si>
    <t xml:space="preserve">FY-25</t>
  </si>
  <si>
    <t xml:space="preserve">Ventas brutas</t>
  </si>
  <si>
    <t xml:space="preserve">(-) Descuentos reales</t>
  </si>
  <si>
    <t xml:space="preserve">  (memo) Regalos 2X/100% (ya en COGS)</t>
  </si>
  <si>
    <t xml:space="preserve">(-) Ajuste inventario</t>
  </si>
  <si>
    <t xml:space="preserve">UTILIDAD BRUTA</t>
  </si>
  <si>
    <t xml:space="preserve">Margen bruto %</t>
  </si>
  <si>
    <t xml:space="preserve">OPEX TIENDAS SIN ONE-OFFS (Plaza NY, Brisas, Costa, Albrook, Online, Jornadas PA y CO)</t>
  </si>
  <si>
    <t xml:space="preserve">  (-) Nómina tiendas (sin one-offs)</t>
  </si>
  <si>
    <t xml:space="preserve">  (-) Alquileres tiendas</t>
  </si>
  <si>
    <t xml:space="preserve">  (-) Otros gastos tiendas</t>
  </si>
  <si>
    <t xml:space="preserve">TOTAL OpEx TIENDAS (sin one-offs)</t>
  </si>
  <si>
    <t xml:space="preserve">EBITDA TIENDAS</t>
  </si>
  <si>
    <t xml:space="preserve">OPEX CORPORATIVO SIN ONE-OFFS</t>
  </si>
  <si>
    <t xml:space="preserve">  (-) Nómina corporativa (sin one-offs)</t>
  </si>
  <si>
    <t xml:space="preserve">  (-) Marketing</t>
  </si>
  <si>
    <t xml:space="preserve">  (-) Tecnología</t>
  </si>
  <si>
    <t xml:space="preserve">  (-) Servicios y honorarios (sin one-offs)</t>
  </si>
  <si>
    <t xml:space="preserve">  (-) Otros corporativo (sin one-offs)</t>
  </si>
  <si>
    <t xml:space="preserve">TOTAL OpEx CORPORATIVO (sin one-offs)</t>
  </si>
  <si>
    <t xml:space="preserve">EBITDA CORPORATIVO (normalizado)</t>
  </si>
  <si>
    <t xml:space="preserve">(±) One-offs (gastos no recurrentes, sección 4)</t>
  </si>
  <si>
    <t xml:space="preserve">EBITDA (contable) = EBITDA corporativo + one-offs</t>
  </si>
  <si>
    <t xml:space="preserve">(-) Financiamiento</t>
  </si>
  <si>
    <t xml:space="preserve">RESULTADO NETO</t>
  </si>
  <si>
    <t xml:space="preserve">2 · BALANCE GENERAL (saldo acumulado a fin de mes)</t>
  </si>
  <si>
    <t xml:space="preserve">Cuenta (USD) · FY-25 = cierre dic-25</t>
  </si>
  <si>
    <t xml:space="preserve">ACTIVOS</t>
  </si>
  <si>
    <t xml:space="preserve">  Efectivo y equivalentes</t>
  </si>
  <si>
    <t xml:space="preserve">  Cuentas por cobrar, neto</t>
  </si>
  <si>
    <t xml:space="preserve">  Inventarios</t>
  </si>
  <si>
    <t xml:space="preserve">  Anticipos y créditos fiscales</t>
  </si>
  <si>
    <t xml:space="preserve">  Inversiones financieras</t>
  </si>
  <si>
    <t xml:space="preserve">  Propiedad, planta y equipo, neto</t>
  </si>
  <si>
    <t xml:space="preserve">  Activos intangibles, neto</t>
  </si>
  <si>
    <t xml:space="preserve">  Otros activos</t>
  </si>
  <si>
    <t xml:space="preserve">PASIVOS</t>
  </si>
  <si>
    <t xml:space="preserve">  CxP proveedores</t>
  </si>
  <si>
    <t xml:space="preserve">  Obligaciones laborales</t>
  </si>
  <si>
    <t xml:space="preserve">  Obligaciones financieras</t>
  </si>
  <si>
    <t xml:space="preserve">  Impuestos por pagar</t>
  </si>
  <si>
    <t xml:space="preserve">  Anticipos recibidos de clientes</t>
  </si>
  <si>
    <t xml:space="preserve">  Otros pasivos</t>
  </si>
  <si>
    <t xml:space="preserve">  Capital aportado</t>
  </si>
  <si>
    <t xml:space="preserve">  Resultado / Pérdidas acumuladas</t>
  </si>
  <si>
    <t xml:space="preserve">  Otros patrimonio</t>
  </si>
  <si>
    <t xml:space="preserve">TOTAL PASIVO + PATRIMONIO</t>
  </si>
  <si>
    <t xml:space="preserve">Check (Activo − Pasivo − Patrimonio) = 0</t>
  </si>
  <si>
    <t xml:space="preserve">3 · FLUJO DE CAJA (método indirecto) — utilidad neta del P&amp;G + variaciones del balance (todo formulado)</t>
  </si>
  <si>
    <t xml:space="preserve">Concepto (USD)</t>
  </si>
  <si>
    <t xml:space="preserve">Caja inicial</t>
  </si>
  <si>
    <t xml:space="preserve">Utilidad neta (= Resultado neto del P&amp;G, sección 1)</t>
  </si>
  <si>
    <t xml:space="preserve">  (±) Partidas fuera del P&amp;G de gestión (impuesto de renta, arrendamientos)</t>
  </si>
  <si>
    <t xml:space="preserve">  (+) Depreciación y amortización</t>
  </si>
  <si>
    <t xml:space="preserve">  (±) Cuentas por cobrar</t>
  </si>
  <si>
    <t xml:space="preserve">  (±) Inventarios</t>
  </si>
  <si>
    <t xml:space="preserve">  (±) Anticipos y créditos fiscales</t>
  </si>
  <si>
    <t xml:space="preserve">  (±) CxP proveedores</t>
  </si>
  <si>
    <t xml:space="preserve">  (±) Impuestos por pagar</t>
  </si>
  <si>
    <t xml:space="preserve">  (±) Obligaciones laborales</t>
  </si>
  <si>
    <t xml:space="preserve">  (±) Anticipos de clientes</t>
  </si>
  <si>
    <t xml:space="preserve">  (±) Otros capital de trabajo</t>
  </si>
  <si>
    <t xml:space="preserve">FLUJO DE OPERACIÓN</t>
  </si>
  <si>
    <t xml:space="preserve">  (±) Capex (PP&amp;E, anticipos de obra y CxP de obra)</t>
  </si>
  <si>
    <t xml:space="preserve">  (±) Intangibles</t>
  </si>
  <si>
    <t xml:space="preserve">  (±) Inversiones financieras</t>
  </si>
  <si>
    <t xml:space="preserve">FLUJO DE INVERSIÓN</t>
  </si>
  <si>
    <t xml:space="preserve">  (±) Obligaciones financieras</t>
  </si>
  <si>
    <t xml:space="preserve">  (±) Aportes de capital</t>
  </si>
  <si>
    <t xml:space="preserve">  (±) Ajustes a patrimonio (no-cash: castigos a patrimonio, etc.)</t>
  </si>
  <si>
    <t xml:space="preserve">FLUJO DE FINANCIAMIENTO</t>
  </si>
  <si>
    <t xml:space="preserve">Δ CAJA DEL MES</t>
  </si>
  <si>
    <t xml:space="preserve">Caja final</t>
  </si>
  <si>
    <t xml:space="preserve">Efectivo y equivalentes del balance (sección 2)</t>
  </si>
  <si>
    <t xml:space="preserve">Check: Caja final (flujo) − Efectivo del balance = 0</t>
  </si>
  <si>
    <t xml:space="preserve">4 · ONE-OFFS (gastos no recurrentes · gasto en negativo, crédito en positivo)</t>
  </si>
  <si>
    <t xml:space="preserve">One-off (USD)</t>
  </si>
  <si>
    <t xml:space="preserve">  One-offs de personal (no recurrentes)</t>
  </si>
  <si>
    <t xml:space="preserve">  One-offs de otros gastos (no recurrentes)</t>
  </si>
  <si>
    <t xml:space="preserve">TOTAL ONE-OFFS (= línea One-offs del P&amp;G)</t>
  </si>
  <si>
    <t xml:space="preserve">OKIO · P&amp;G por tienda y canal, may-24 a sep-26 (USD, vista administración, EBITDA contable)</t>
  </si>
  <si>
    <t xml:space="preserve">Ventas brutas sin ITBMS. Margen y EBITDA % sobre venta neta. Reglas de asignación al final de la hoja.</t>
  </si>
  <si>
    <t xml:space="preserve">Resumen</t>
  </si>
  <si>
    <t xml:space="preserve">FY-24</t>
  </si>
  <si>
    <t xml:space="preserve">Total histórico</t>
  </si>
  <si>
    <t xml:space="preserve">Tienda / canal</t>
  </si>
  <si>
    <t xml:space="preserve">Venta bruta</t>
  </si>
  <si>
    <t xml:space="preserve">Venta neta</t>
  </si>
  <si>
    <t xml:space="preserve">EBITDA %</t>
  </si>
  <si>
    <t xml:space="preserve">Plaza New York</t>
  </si>
  <si>
    <t xml:space="preserve">Jornadas (Panamá + Colombia)</t>
  </si>
  <si>
    <t xml:space="preserve">Online</t>
  </si>
  <si>
    <t xml:space="preserve">Total tiendas y canales</t>
  </si>
  <si>
    <t xml:space="preserve">Corporativo</t>
  </si>
  <si>
    <t xml:space="preserve">EBITDA contable compañía</t>
  </si>
  <si>
    <t xml:space="preserve">may-24</t>
  </si>
  <si>
    <t xml:space="preserve">jun-24</t>
  </si>
  <si>
    <t xml:space="preserve">jul-24</t>
  </si>
  <si>
    <t xml:space="preserve">ago-24</t>
  </si>
  <si>
    <t xml:space="preserve">sep-24</t>
  </si>
  <si>
    <t xml:space="preserve">oct-24</t>
  </si>
  <si>
    <t xml:space="preserve">nov-24</t>
  </si>
  <si>
    <t xml:space="preserve">dic-24</t>
  </si>
  <si>
    <t xml:space="preserve">ene-25</t>
  </si>
  <si>
    <t xml:space="preserve">feb-25</t>
  </si>
  <si>
    <t xml:space="preserve">mar-25</t>
  </si>
  <si>
    <t xml:space="preserve">abr-25</t>
  </si>
  <si>
    <t xml:space="preserve">may-25</t>
  </si>
  <si>
    <t xml:space="preserve">jun-25</t>
  </si>
  <si>
    <t xml:space="preserve">jul-25</t>
  </si>
  <si>
    <t xml:space="preserve">ago-25</t>
  </si>
  <si>
    <t xml:space="preserve">sep-25</t>
  </si>
  <si>
    <t xml:space="preserve">oct-25</t>
  </si>
  <si>
    <t xml:space="preserve">nov-25</t>
  </si>
  <si>
    <t xml:space="preserve">dic-25</t>
  </si>
  <si>
    <t xml:space="preserve">Venta bruta (sin ITBMS)</t>
  </si>
  <si>
    <t xml:space="preserve">(−) Descuentos</t>
  </si>
  <si>
    <t xml:space="preserve">(−) Costo de venta (laboratorio, monturas, lentes de contacto, ajustes de inventario)</t>
  </si>
  <si>
    <t xml:space="preserve">Utilidad bruta</t>
  </si>
  <si>
    <t xml:space="preserve">(−) Nómina</t>
  </si>
  <si>
    <t xml:space="preserve">(−) Alquiler y mantenimiento</t>
  </si>
  <si>
    <t xml:space="preserve">(−) Otros gastos (servicios, caja, suministros)</t>
  </si>
  <si>
    <t xml:space="preserve">EBITDA % de la venta neta</t>
  </si>
  <si>
    <t xml:space="preserve">(−) Depreciación y amortización</t>
  </si>
  <si>
    <t xml:space="preserve">Resultado después de D&amp;A</t>
  </si>
  <si>
    <t xml:space="preserve">EBITDA tiendas y canales</t>
  </si>
  <si>
    <t xml:space="preserve">D&amp;A tiendas</t>
  </si>
  <si>
    <t xml:space="preserve">(−) One-offs de tiendas que el EEFF excluye (ej. refuerzo por décimo)</t>
  </si>
  <si>
    <t xml:space="preserve">EBITDA tiendas sin one-offs (= EBITDA TIENDAS del EEFF)</t>
  </si>
  <si>
    <t xml:space="preserve">Ventas y costo no asignables a tienda</t>
  </si>
  <si>
    <t xml:space="preserve">(−) Nómina corporativa</t>
  </si>
  <si>
    <t xml:space="preserve">(−) Marketing y pauta</t>
  </si>
  <si>
    <t xml:space="preserve">(−) Tecnología</t>
  </si>
  <si>
    <t xml:space="preserve">(−) Servicios y honorarios</t>
  </si>
  <si>
    <t xml:space="preserve">(−) Alquiler y otros corporativos</t>
  </si>
  <si>
    <t xml:space="preserve">EBITDA corporativo</t>
  </si>
  <si>
    <t xml:space="preserve">(−) D&amp;A corporativa</t>
  </si>
  <si>
    <t xml:space="preserve">Total compañía</t>
  </si>
  <si>
    <t xml:space="preserve">EBITDA contable (tiendas + corporativo)</t>
  </si>
  <si>
    <t xml:space="preserve">(−) D&amp;A</t>
  </si>
  <si>
    <t xml:space="preserve">(−) Financieros (incluye comisiones de tarjeta)</t>
  </si>
  <si>
    <t xml:space="preserve">Resultado neto</t>
  </si>
  <si>
    <t xml:space="preserve">Resultado neto según el GL (vista administración)</t>
  </si>
  <si>
    <t xml:space="preserve">Check (debe dar 0)</t>
  </si>
  <si>
    <t xml:space="preserve">Reglas de asignación</t>
  </si>
  <si>
    <t xml:space="preserve">Fuente: libro mayor de Odoo desde mayo 2024, P&amp;G de gestión. Venta bruta sin ITBMS.</t>
  </si>
  <si>
    <t xml:space="preserve">Ventas por tienda de facturación; costo de venta y laboratorio asignados a cada tienda; gastos de tienda a su tienda y el resto a corporativo. Financieros a nivel compañía.</t>
  </si>
  <si>
    <t xml:space="preserve">Jornadas = Jornadas Panamá + Jornadas Colombia. Su EBITDA está sobrestimado: casi no carga nómina (la gente de jornadas se paga desde tiendas o corporativo).</t>
  </si>
  <si>
    <t xml:space="preserve">EBITDA contable (sin sacar one-offs). El margen de un mes suelto por tienda oscila por el momento en que llegan las facturas de laboratorio: leer acumulado.</t>
  </si>
</sst>
</file>

<file path=xl/styles.xml><?xml version="1.0" encoding="utf-8"?>
<styleSheet xmlns="http://schemas.openxmlformats.org/spreadsheetml/2006/main">
  <numFmts count="36">
    <numFmt numFmtId="164" formatCode="General"/>
    <numFmt numFmtId="165" formatCode="_(* #,##0.00_);_(* \(#,##0.00\);_(* \-??_);_(@_)"/>
    <numFmt numFmtId="166" formatCode="0%"/>
    <numFmt numFmtId="167" formatCode="\$#,##0"/>
    <numFmt numFmtId="168" formatCode="0.0%"/>
    <numFmt numFmtId="169" formatCode="0.00\x"/>
    <numFmt numFmtId="170" formatCode="0"/>
    <numFmt numFmtId="171" formatCode="0;;\-"/>
    <numFmt numFmtId="172" formatCode="General"/>
    <numFmt numFmtId="173" formatCode="\$#,##0;&quot;($&quot;#,##0\);\-"/>
    <numFmt numFmtId="174" formatCode="0.0\x"/>
    <numFmt numFmtId="175" formatCode="\$#,##0.00"/>
    <numFmt numFmtId="176" formatCode="@"/>
    <numFmt numFmtId="177" formatCode="mmm\-yy"/>
    <numFmt numFmtId="178" formatCode="0.0%;\(0.0%\);\-"/>
    <numFmt numFmtId="179" formatCode="0.00\x"/>
    <numFmt numFmtId="180" formatCode="0000"/>
    <numFmt numFmtId="181" formatCode="\$#,##0_);&quot;($&quot;#,##0\);\–_)"/>
    <numFmt numFmtId="182" formatCode="#,##0"/>
    <numFmt numFmtId="183" formatCode="_(* #,##0_);_(* \(#,##0\);_(* \-??_);_(@_)"/>
    <numFmt numFmtId="184" formatCode="0.0%_);\(0.0%\);\–_)"/>
    <numFmt numFmtId="185" formatCode="\—"/>
    <numFmt numFmtId="186" formatCode="0\x"/>
    <numFmt numFmtId="187" formatCode="\$#,##0,,\M"/>
    <numFmt numFmtId="188" formatCode="0.0"/>
    <numFmt numFmtId="189" formatCode="0;\-0;\-"/>
    <numFmt numFmtId="190" formatCode="#,##0_);\(#,##0\);\–_)"/>
    <numFmt numFmtId="191" formatCode="0.00"/>
    <numFmt numFmtId="192" formatCode="0.00%"/>
    <numFmt numFmtId="193" formatCode="\$0.00"/>
    <numFmt numFmtId="194" formatCode="#,##0.00"/>
    <numFmt numFmtId="195" formatCode="\$#,##0.0"/>
    <numFmt numFmtId="196" formatCode="0.0000%"/>
    <numFmt numFmtId="197" formatCode="mmm\-yyyy"/>
    <numFmt numFmtId="198" formatCode="#,##0;\(#,##0\)"/>
    <numFmt numFmtId="199" formatCode="#,##0;\(#,##0\);\-"/>
  </numFmts>
  <fonts count="63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 val="true"/>
      <sz val="16"/>
      <color rgb="FFFFFFFF"/>
      <name val="Calibri"/>
      <family val="2"/>
      <charset val="1"/>
    </font>
    <font>
      <i val="true"/>
      <sz val="11"/>
      <color rgb="FFA09080"/>
      <name val="Calibri"/>
      <family val="2"/>
      <charset val="1"/>
    </font>
    <font>
      <b val="true"/>
      <sz val="13"/>
      <color rgb="FF2A2420"/>
      <name val="Calibri"/>
      <family val="2"/>
      <charset val="1"/>
    </font>
    <font>
      <b val="true"/>
      <sz val="13"/>
      <color rgb="FFB5523A"/>
      <name val="Calibri"/>
      <family val="2"/>
      <charset val="1"/>
    </font>
    <font>
      <sz val="11"/>
      <color rgb="FF2A2420"/>
      <name val="Calibri"/>
      <family val="2"/>
      <charset val="1"/>
    </font>
    <font>
      <b val="true"/>
      <sz val="11"/>
      <color rgb="FF2A242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1"/>
      <color rgb="FF2A2420"/>
      <name val="Noto Sans CJK SC"/>
      <family val="2"/>
    </font>
    <font>
      <sz val="11"/>
      <color theme="1"/>
      <name val="Noto Sans CJK SC"/>
      <family val="2"/>
    </font>
    <font>
      <b val="true"/>
      <sz val="14"/>
      <color rgb="FFFFFFFF"/>
      <name val="Calibri"/>
      <family val="2"/>
      <charset val="1"/>
    </font>
    <font>
      <i val="true"/>
      <sz val="11"/>
      <color rgb="FF6B5D50"/>
      <name val="Calibri"/>
      <family val="2"/>
      <charset val="1"/>
    </font>
    <font>
      <i val="true"/>
      <sz val="11"/>
      <color rgb="FF6B5D50"/>
      <name val="Noto Sans CJK SC"/>
      <family val="2"/>
    </font>
    <font>
      <b val="true"/>
      <sz val="14"/>
      <color rgb="FF2A2420"/>
      <name val="Calibri"/>
      <family val="2"/>
      <charset val="1"/>
    </font>
    <font>
      <b val="true"/>
      <sz val="18"/>
      <color rgb="FF3D5A6A"/>
      <name val="Calibri"/>
      <family val="2"/>
      <charset val="1"/>
    </font>
    <font>
      <b val="true"/>
      <sz val="11"/>
      <color rgb="FFB5523A"/>
      <name val="Calibri"/>
      <family val="2"/>
      <charset val="1"/>
    </font>
    <font>
      <sz val="11"/>
      <color rgb="FF3D5A6A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sz val="11"/>
      <color rgb="FF6B5D50"/>
      <name val="Calibri"/>
      <family val="2"/>
      <charset val="1"/>
    </font>
    <font>
      <i val="true"/>
      <sz val="9"/>
      <color rgb="FF6B5D50"/>
      <name val="Calibri"/>
      <family val="2"/>
      <charset val="1"/>
    </font>
    <font>
      <i val="true"/>
      <sz val="11"/>
      <color rgb="FF7A3628"/>
      <name val="Calibri"/>
      <family val="2"/>
      <charset val="1"/>
    </font>
    <font>
      <b val="true"/>
      <sz val="11"/>
      <color rgb="FF6B5D50"/>
      <name val="Calibri"/>
      <family val="2"/>
      <charset val="1"/>
    </font>
    <font>
      <b val="true"/>
      <sz val="14"/>
      <color rgb="FFB5523A"/>
      <name val="Noto Sans CJK SC"/>
      <family val="2"/>
    </font>
    <font>
      <b val="true"/>
      <sz val="14"/>
      <color rgb="FFB5523A"/>
      <name val="Calibri"/>
      <family val="2"/>
      <charset val="1"/>
    </font>
    <font>
      <i val="true"/>
      <sz val="9"/>
      <color rgb="FF6B5D50"/>
      <name val="Noto Sans CJK SC"/>
      <family val="2"/>
    </font>
    <font>
      <b val="true"/>
      <sz val="9"/>
      <color rgb="FFFFFFFF"/>
      <name val="Calibri"/>
      <family val="2"/>
      <charset val="1"/>
    </font>
    <font>
      <b val="true"/>
      <i val="true"/>
      <sz val="11"/>
      <color rgb="FF6B5D50"/>
      <name val="Calibri"/>
      <family val="2"/>
      <charset val="1"/>
    </font>
    <font>
      <i val="true"/>
      <sz val="9"/>
      <color rgb="FFA09080"/>
      <name val="Calibri"/>
      <family val="2"/>
      <charset val="1"/>
    </font>
    <font>
      <b val="true"/>
      <i val="true"/>
      <sz val="9"/>
      <color rgb="FFA09080"/>
      <name val="Calibri"/>
      <family val="2"/>
      <charset val="1"/>
    </font>
    <font>
      <b val="true"/>
      <sz val="11"/>
      <color rgb="FF3D5A6A"/>
      <name val="Calibri"/>
      <family val="2"/>
      <charset val="1"/>
    </font>
    <font>
      <i val="true"/>
      <sz val="11"/>
      <color rgb="FF2A2420"/>
      <name val="Calibri"/>
      <family val="2"/>
      <charset val="1"/>
    </font>
    <font>
      <sz val="10"/>
      <name val="Arial"/>
      <family val="2"/>
    </font>
    <font>
      <sz val="10"/>
      <name val="Noto Sans CJK SC"/>
      <family val="2"/>
    </font>
    <font>
      <b val="true"/>
      <sz val="12"/>
      <color rgb="FFFFFFFF"/>
      <name val="Calibri"/>
      <family val="2"/>
      <charset val="1"/>
    </font>
    <font>
      <b val="true"/>
      <sz val="11"/>
      <color rgb="FFFFFFFF"/>
      <name val="Noto Sans CJK SC"/>
      <family val="2"/>
    </font>
    <font>
      <b val="true"/>
      <sz val="11"/>
      <color rgb="FF2A2420"/>
      <name val="Noto Sans CJK SC"/>
      <family val="2"/>
    </font>
    <font>
      <b val="true"/>
      <sz val="11"/>
      <color rgb="FFA09080"/>
      <name val="Calibri"/>
      <family val="2"/>
      <charset val="1"/>
    </font>
    <font>
      <b val="true"/>
      <i val="true"/>
      <sz val="11"/>
      <color rgb="FF7A3628"/>
      <name val="Calibri"/>
      <family val="2"/>
      <charset val="1"/>
    </font>
    <font>
      <b val="true"/>
      <i val="true"/>
      <sz val="11"/>
      <color rgb="FF7A3628"/>
      <name val="Noto Sans CJK SC"/>
      <family val="2"/>
    </font>
    <font>
      <b val="true"/>
      <sz val="12"/>
      <color rgb="FFFFFFFF"/>
      <name val="Gotham"/>
      <family val="0"/>
      <charset val="1"/>
    </font>
    <font>
      <b val="true"/>
      <sz val="10"/>
      <color rgb="FFFFFFFF"/>
      <name val="Calibri"/>
      <family val="2"/>
      <charset val="1"/>
    </font>
    <font>
      <b val="true"/>
      <i val="true"/>
      <sz val="10"/>
      <color rgb="FFFFFFFF"/>
      <name val="Calibri"/>
      <family val="2"/>
      <charset val="1"/>
    </font>
    <font>
      <b val="true"/>
      <sz val="12"/>
      <color rgb="FFB5523A"/>
      <name val="Calibri"/>
      <family val="2"/>
      <charset val="1"/>
    </font>
    <font>
      <b val="true"/>
      <i val="true"/>
      <sz val="9"/>
      <color rgb="FF2A2420"/>
      <name val="Calibri"/>
      <family val="2"/>
      <charset val="1"/>
    </font>
    <font>
      <i val="true"/>
      <sz val="11"/>
      <color rgb="FF7A3B22"/>
      <name val="Calibri"/>
      <family val="2"/>
      <charset val="1"/>
    </font>
    <font>
      <b val="true"/>
      <i val="true"/>
      <sz val="11"/>
      <color rgb="FF2A2420"/>
      <name val="Calibri"/>
      <family val="2"/>
      <charset val="1"/>
    </font>
    <font>
      <sz val="11"/>
      <color rgb="FFA09080"/>
      <name val="Calibri"/>
      <family val="2"/>
      <charset val="1"/>
    </font>
    <font>
      <b val="true"/>
      <i val="true"/>
      <sz val="11"/>
      <color rgb="FFA09080"/>
      <name val="Calibri"/>
      <family val="2"/>
      <charset val="1"/>
    </font>
    <font>
      <i val="true"/>
      <sz val="11"/>
      <color rgb="FF3D5A6A"/>
      <name val="Calibri"/>
      <family val="2"/>
      <charset val="1"/>
    </font>
    <font>
      <b val="true"/>
      <i val="true"/>
      <sz val="11"/>
      <color rgb="FF3D5A6A"/>
      <name val="Calibri"/>
      <family val="2"/>
      <charset val="1"/>
    </font>
    <font>
      <b val="true"/>
      <i val="true"/>
      <sz val="11"/>
      <color rgb="FF6B5D50"/>
      <name val="Noto Sans CJK SC"/>
      <family val="2"/>
    </font>
    <font>
      <b val="true"/>
      <sz val="12"/>
      <name val="Calibri"/>
      <family val="2"/>
      <charset val="1"/>
    </font>
    <font>
      <sz val="10"/>
      <name val="Calibri"/>
      <family val="2"/>
      <charset val="1"/>
    </font>
    <font>
      <sz val="10"/>
      <color rgb="FF666666"/>
      <name val="Calibri"/>
      <family val="2"/>
      <charset val="1"/>
    </font>
    <font>
      <sz val="10"/>
      <color rgb="FFB5523A"/>
      <name val="Calibri"/>
      <family val="2"/>
      <charset val="1"/>
    </font>
    <font>
      <b val="true"/>
      <sz val="10"/>
      <name val="Calibri"/>
      <family val="2"/>
      <charset val="1"/>
    </font>
    <font>
      <b val="true"/>
      <sz val="10"/>
      <color rgb="FFB5523A"/>
      <name val="Calibri"/>
      <family val="2"/>
      <charset val="1"/>
    </font>
    <font>
      <i val="true"/>
      <sz val="9"/>
      <color rgb="FF666666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B5523A"/>
        <bgColor rgb="FFD4714E"/>
      </patternFill>
    </fill>
    <fill>
      <patternFill patternType="solid">
        <fgColor rgb="FFEDE4D8"/>
        <bgColor rgb="FFF3E3DC"/>
      </patternFill>
    </fill>
    <fill>
      <patternFill patternType="solid">
        <fgColor rgb="FFF3E3DC"/>
        <bgColor rgb="FFEDE4D8"/>
      </patternFill>
    </fill>
    <fill>
      <patternFill patternType="solid">
        <fgColor rgb="FFEEF3EA"/>
        <bgColor rgb="FFF5F1EA"/>
      </patternFill>
    </fill>
    <fill>
      <patternFill patternType="solid">
        <fgColor rgb="FF7A3628"/>
        <bgColor rgb="FF7A3B22"/>
      </patternFill>
    </fill>
    <fill>
      <patternFill patternType="solid">
        <fgColor rgb="FF8A9A7B"/>
        <bgColor rgb="FFA09080"/>
      </patternFill>
    </fill>
    <fill>
      <patternFill patternType="solid">
        <fgColor rgb="FFF5F1EA"/>
        <bgColor rgb="FFEEF3EA"/>
      </patternFill>
    </fill>
    <fill>
      <patternFill patternType="solid">
        <fgColor rgb="FFE8C4B0"/>
        <bgColor rgb="FFDDD0C0"/>
      </patternFill>
    </fill>
    <fill>
      <patternFill patternType="solid">
        <fgColor rgb="FFDDD0C0"/>
        <bgColor rgb="FFD9D9D9"/>
      </patternFill>
    </fill>
  </fills>
  <borders count="20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DD0C0"/>
      </bottom>
      <diagonal/>
    </border>
    <border diagonalUp="false" diagonalDown="false">
      <left style="thin">
        <color rgb="FF1F4E79"/>
      </left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>
        <color rgb="FF1F4E79"/>
      </left>
      <right/>
      <top style="thin"/>
      <bottom/>
      <diagonal/>
    </border>
    <border diagonalUp="false" diagonalDown="false">
      <left/>
      <right/>
      <top style="thin"/>
      <bottom style="double"/>
      <diagonal/>
    </border>
    <border diagonalUp="false" diagonalDown="false">
      <left style="thin">
        <color rgb="FF1F4E79"/>
      </left>
      <right/>
      <top style="thin"/>
      <bottom style="double"/>
      <diagonal/>
    </border>
    <border diagonalUp="false" diagonalDown="false">
      <left/>
      <right/>
      <top style="thick"/>
      <bottom/>
      <diagonal/>
    </border>
    <border diagonalUp="false" diagonalDown="false">
      <left style="thin">
        <color rgb="FF1F4E79"/>
      </left>
      <right/>
      <top style="thick"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808080"/>
      </bottom>
      <diagonal/>
    </border>
    <border diagonalUp="false" diagonalDown="false"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 diagonalUp="false" diagonalDown="false">
      <left/>
      <right/>
      <top/>
      <bottom style="double"/>
      <diagonal/>
    </border>
    <border diagonalUp="false" diagonalDown="false">
      <left/>
      <right/>
      <top/>
      <bottom style="thick">
        <color rgb="FFFFFFFF"/>
      </bottom>
      <diagonal/>
    </border>
    <border diagonalUp="false" diagonalDown="false">
      <left/>
      <right/>
      <top style="double"/>
      <bottom/>
      <diagonal/>
    </border>
    <border diagonalUp="false" diagonalDown="false">
      <left/>
      <right/>
      <top/>
      <bottom style="thin">
        <color rgb="FFD9D9D9"/>
      </bottom>
      <diagonal/>
    </border>
    <border diagonalUp="false" diagonalDown="false">
      <left/>
      <right/>
      <top style="thin">
        <color rgb="FFD9D9D9"/>
      </top>
      <bottom style="thin">
        <color rgb="FFD9D9D9"/>
      </bottom>
      <diagonal/>
    </border>
    <border diagonalUp="false" diagonalDown="false">
      <left/>
      <right/>
      <top style="thin">
        <color rgb="FFD9D9D9"/>
      </top>
      <bottom/>
      <diagonal/>
    </border>
    <border diagonalUp="false" diagonalDown="false">
      <left/>
      <right/>
      <top/>
      <bottom style="thin">
        <color rgb="FFC9B8B0"/>
      </bottom>
      <diagonal/>
    </border>
    <border diagonalUp="false" diagonalDown="false">
      <left/>
      <right/>
      <top style="thin">
        <color rgb="FFC9B8B0"/>
      </top>
      <bottom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2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1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1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1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2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2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4" fontId="11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1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2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1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6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0" fillId="7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0" fillId="7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0" fillId="6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6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6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7" fontId="22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7" fontId="22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6" fontId="22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6" fontId="22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3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22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22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1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3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3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3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3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1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2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3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3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1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1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8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1" fillId="8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1" fillId="8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32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3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9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0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2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2" fillId="2" borderId="0" xfId="19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81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19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10" fillId="0" borderId="0" xfId="1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3" fontId="10" fillId="0" borderId="0" xfId="1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4" fontId="1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10" fillId="0" borderId="0" xfId="19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11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11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5" xfId="19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3" fontId="11" fillId="0" borderId="5" xfId="1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11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4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4" fontId="11" fillId="4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34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1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11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4" fontId="1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1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8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8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82" fontId="1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7" fontId="1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7" fontId="22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2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4" fontId="2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1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82" fontId="11" fillId="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7" fontId="2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5" fontId="1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34" fillId="4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6" fontId="11" fillId="3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87" fontId="1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1" fillId="3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87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8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84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0" fontId="22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1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11" fillId="4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41" fillId="8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8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34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3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2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9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3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3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4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5" fillId="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6" fillId="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9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0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3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34" fillId="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81" fontId="21" fillId="9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4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1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0" fontId="22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3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90" fontId="3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10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3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2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34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0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91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92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8" fontId="3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90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0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91" fontId="3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90" fontId="1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93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11" fillId="4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3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9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9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1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0" fillId="1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0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8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5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2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4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0" fillId="8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3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7" fontId="3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5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3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3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9" fontId="3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12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11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9" fontId="11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9" fontId="2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92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5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84" fontId="5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5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3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0" fontId="3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1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4" fontId="1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3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95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4" fontId="3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11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4" fontId="11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5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11" fillId="5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4" fontId="11" fillId="5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92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1" fillId="9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2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4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3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2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2" fillId="2" borderId="0" xfId="19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34" fillId="6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22" fillId="6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22" fillId="6" borderId="0" xfId="19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7" fontId="22" fillId="6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3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11" fillId="4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96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9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97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1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1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1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1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3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0" fillId="4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60" fillId="4" borderId="1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0" fillId="4" borderId="1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98" fontId="5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98" fontId="6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0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98" fontId="60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98" fontId="57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0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0" fillId="4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99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99" fontId="6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6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0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0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99" fontId="60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 2" xfId="20"/>
    <cellStyle name="Normal 2" xfId="21"/>
    <cellStyle name="Normal 3" xfId="22"/>
    <cellStyle name="Normal 4" xfId="23"/>
    <cellStyle name="Normal 5" xfId="24"/>
    <cellStyle name="Percent 2" xfId="25"/>
  </cellStyles>
  <dxfs count="3">
    <dxf>
      <font>
        <color rgb="FF7A3628"/>
      </font>
      <fill>
        <patternFill>
          <bgColor rgb="FFF3E3DC"/>
        </patternFill>
      </fill>
    </dxf>
    <dxf>
      <font>
        <color rgb="FF7A3628"/>
      </font>
      <fill>
        <patternFill>
          <bgColor rgb="FFE8C4B0"/>
        </patternFill>
      </fill>
    </dxf>
    <dxf>
      <font>
        <color rgb="FF6B5D50"/>
      </font>
      <fill>
        <patternFill>
          <bgColor rgb="FFEEF3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B5D50"/>
      <rgbColor rgb="FF800080"/>
      <rgbColor rgb="FF008080"/>
      <rgbColor rgb="FFBFBFBF"/>
      <rgbColor rgb="FF808080"/>
      <rgbColor rgb="FF8A9A7B"/>
      <rgbColor rgb="FF7A3628"/>
      <rgbColor rgb="FFF5F1EA"/>
      <rgbColor rgb="FFEEF3EA"/>
      <rgbColor rgb="FF660066"/>
      <rgbColor rgb="FFD4714E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D0C0"/>
      <rgbColor rgb="FFEDE4D8"/>
      <rgbColor rgb="FFF3E3DC"/>
      <rgbColor rgb="FF99CCFF"/>
      <rgbColor rgb="FFFF99CC"/>
      <rgbColor rgb="FFC9B8B0"/>
      <rgbColor rgb="FFE8C4B0"/>
      <rgbColor rgb="FF3366FF"/>
      <rgbColor rgb="FF33CCCC"/>
      <rgbColor rgb="FF99CC00"/>
      <rgbColor rgb="FFFFCC00"/>
      <rgbColor rgb="FFFF9900"/>
      <rgbColor rgb="FFFF6600"/>
      <rgbColor rgb="FF666666"/>
      <rgbColor rgb="FFA09080"/>
      <rgbColor rgb="FF3D5A6A"/>
      <rgbColor rgb="FF339966"/>
      <rgbColor rgb="FF003300"/>
      <rgbColor rgb="FF333300"/>
      <rgbColor rgb="FF7A3B22"/>
      <rgbColor rgb="FFB5523A"/>
      <rgbColor rgb="FF1F4E79"/>
      <rgbColor rgb="FF2A24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2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3.v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4.v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5.v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6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4714E"/>
    <pageSetUpPr fitToPage="false"/>
  </sheetPr>
  <dimension ref="B1:H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9" activeCellId="0" sqref="C29"/>
    </sheetView>
  </sheetViews>
  <sheetFormatPr defaultColWidth="10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1.67"/>
    <col collapsed="false" customWidth="true" hidden="false" outlineLevel="0" max="3" min="3" style="0" width="93.33"/>
    <col collapsed="false" customWidth="true" hidden="false" outlineLevel="0" max="4" min="4" style="0" width="18.34"/>
    <col collapsed="false" customWidth="true" hidden="false" outlineLevel="0" max="8" min="5" style="0" width="16.67"/>
  </cols>
  <sheetData>
    <row r="1" customFormat="false" ht="21" hidden="false" customHeight="true" outlineLevel="0" collapsed="false">
      <c r="B1" s="1" t="s">
        <v>0</v>
      </c>
      <c r="C1" s="2"/>
      <c r="D1" s="1"/>
      <c r="E1" s="1"/>
      <c r="F1" s="1"/>
      <c r="G1" s="1"/>
      <c r="H1" s="1"/>
    </row>
    <row r="2" customFormat="false" ht="15" hidden="false" customHeight="false" outlineLevel="0" collapsed="false">
      <c r="B2" s="3" t="s">
        <v>1</v>
      </c>
      <c r="C2" s="4"/>
      <c r="D2" s="5"/>
      <c r="E2" s="5"/>
      <c r="F2" s="5"/>
      <c r="G2" s="5"/>
      <c r="H2" s="5"/>
    </row>
    <row r="3" customFormat="false" ht="15" hidden="false" customHeight="false" outlineLevel="0" collapsed="false">
      <c r="B3" s="5"/>
      <c r="C3" s="4"/>
      <c r="D3" s="5"/>
      <c r="E3" s="5"/>
      <c r="F3" s="5"/>
      <c r="G3" s="5"/>
      <c r="H3" s="5"/>
    </row>
    <row r="4" customFormat="false" ht="16.5" hidden="false" customHeight="true" outlineLevel="0" collapsed="false">
      <c r="B4" s="6" t="s">
        <v>2</v>
      </c>
      <c r="C4" s="7"/>
      <c r="D4" s="8"/>
      <c r="E4" s="8"/>
      <c r="F4" s="8"/>
      <c r="G4" s="8"/>
      <c r="H4" s="8"/>
    </row>
    <row r="5" customFormat="false" ht="15" hidden="false" customHeight="false" outlineLevel="0" collapsed="false">
      <c r="B5" s="9" t="s">
        <v>3</v>
      </c>
      <c r="C5" s="4"/>
      <c r="D5" s="5"/>
      <c r="E5" s="5"/>
      <c r="F5" s="5"/>
      <c r="G5" s="5"/>
      <c r="H5" s="5"/>
    </row>
    <row r="6" customFormat="false" ht="15" hidden="false" customHeight="false" outlineLevel="0" collapsed="false">
      <c r="B6" s="9" t="s">
        <v>4</v>
      </c>
      <c r="C6" s="4"/>
      <c r="D6" s="5"/>
      <c r="E6" s="5"/>
      <c r="F6" s="5"/>
      <c r="G6" s="5"/>
      <c r="H6" s="5"/>
    </row>
    <row r="7" customFormat="false" ht="15" hidden="false" customHeight="false" outlineLevel="0" collapsed="false">
      <c r="B7" s="9" t="s">
        <v>5</v>
      </c>
      <c r="C7" s="4"/>
      <c r="D7" s="5"/>
      <c r="E7" s="5"/>
      <c r="F7" s="5"/>
      <c r="G7" s="5"/>
      <c r="H7" s="5"/>
    </row>
    <row r="8" customFormat="false" ht="15" hidden="false" customHeight="false" outlineLevel="0" collapsed="false">
      <c r="B8" s="9"/>
      <c r="C8" s="4"/>
      <c r="D8" s="5"/>
      <c r="E8" s="5"/>
      <c r="F8" s="5"/>
      <c r="G8" s="5"/>
      <c r="H8" s="5"/>
    </row>
    <row r="9" customFormat="false" ht="16.5" hidden="false" customHeight="true" outlineLevel="0" collapsed="false">
      <c r="B9" s="6" t="s">
        <v>6</v>
      </c>
      <c r="C9" s="7"/>
      <c r="D9" s="8"/>
      <c r="E9" s="8"/>
      <c r="F9" s="8"/>
      <c r="G9" s="8"/>
      <c r="H9" s="8"/>
    </row>
    <row r="10" customFormat="false" ht="15.75" hidden="false" customHeight="true" outlineLevel="0" collapsed="false">
      <c r="B10" s="10" t="s">
        <v>7</v>
      </c>
      <c r="C10" s="11" t="s">
        <v>8</v>
      </c>
      <c r="D10" s="12"/>
      <c r="E10" s="12"/>
      <c r="F10" s="12"/>
      <c r="G10" s="12"/>
      <c r="H10" s="12"/>
    </row>
    <row r="11" customFormat="false" ht="15.75" hidden="false" customHeight="true" outlineLevel="0" collapsed="false">
      <c r="B11" s="9" t="s">
        <v>9</v>
      </c>
      <c r="C11" s="4" t="s">
        <v>10</v>
      </c>
      <c r="D11" s="5"/>
      <c r="E11" s="5"/>
      <c r="F11" s="5"/>
      <c r="G11" s="5"/>
      <c r="H11" s="5"/>
    </row>
    <row r="12" customFormat="false" ht="15.75" hidden="false" customHeight="true" outlineLevel="0" collapsed="false">
      <c r="B12" s="13" t="s">
        <v>11</v>
      </c>
      <c r="C12" s="4" t="s">
        <v>12</v>
      </c>
      <c r="D12" s="5"/>
      <c r="E12" s="5"/>
      <c r="F12" s="5"/>
      <c r="G12" s="5"/>
      <c r="H12" s="5"/>
    </row>
    <row r="13" customFormat="false" ht="15.75" hidden="false" customHeight="true" outlineLevel="0" collapsed="false">
      <c r="B13" s="13" t="s">
        <v>13</v>
      </c>
      <c r="C13" s="4" t="s">
        <v>14</v>
      </c>
      <c r="D13" s="5"/>
      <c r="E13" s="5"/>
      <c r="F13" s="5"/>
      <c r="G13" s="5"/>
      <c r="H13" s="5"/>
    </row>
    <row r="14" customFormat="false" ht="31.5" hidden="false" customHeight="true" outlineLevel="0" collapsed="false">
      <c r="B14" s="13" t="s">
        <v>15</v>
      </c>
      <c r="C14" s="4" t="s">
        <v>16</v>
      </c>
      <c r="D14" s="5"/>
      <c r="E14" s="5"/>
      <c r="F14" s="5"/>
      <c r="G14" s="5"/>
      <c r="H14" s="5"/>
    </row>
    <row r="15" customFormat="false" ht="15.75" hidden="false" customHeight="true" outlineLevel="0" collapsed="false">
      <c r="B15" s="13" t="s">
        <v>17</v>
      </c>
      <c r="C15" s="4" t="s">
        <v>18</v>
      </c>
      <c r="D15" s="5"/>
      <c r="E15" s="5"/>
      <c r="F15" s="5"/>
      <c r="G15" s="5"/>
      <c r="H15" s="5"/>
    </row>
    <row r="16" customFormat="false" ht="15.75" hidden="false" customHeight="true" outlineLevel="0" collapsed="false">
      <c r="B16" s="9" t="s">
        <v>19</v>
      </c>
      <c r="C16" s="4" t="s">
        <v>20</v>
      </c>
      <c r="D16" s="5"/>
      <c r="E16" s="5"/>
      <c r="F16" s="5"/>
      <c r="G16" s="5"/>
      <c r="H16" s="5"/>
    </row>
    <row r="17" customFormat="false" ht="15.75" hidden="false" customHeight="true" outlineLevel="0" collapsed="false">
      <c r="B17" s="9" t="s">
        <v>21</v>
      </c>
      <c r="C17" s="4" t="s">
        <v>22</v>
      </c>
      <c r="D17" s="5"/>
      <c r="E17" s="5"/>
      <c r="F17" s="5"/>
      <c r="G17" s="5"/>
      <c r="H17" s="5"/>
    </row>
    <row r="18" customFormat="false" ht="15.75" hidden="false" customHeight="true" outlineLevel="0" collapsed="false">
      <c r="B18" s="9" t="s">
        <v>23</v>
      </c>
      <c r="C18" s="4" t="s">
        <v>24</v>
      </c>
      <c r="D18" s="5"/>
      <c r="E18" s="5"/>
      <c r="F18" s="5"/>
      <c r="G18" s="5"/>
      <c r="H18" s="5"/>
    </row>
    <row r="19" customFormat="false" ht="31.5" hidden="false" customHeight="true" outlineLevel="0" collapsed="false">
      <c r="B19" s="9" t="s">
        <v>25</v>
      </c>
      <c r="C19" s="4" t="s">
        <v>26</v>
      </c>
      <c r="D19" s="5"/>
      <c r="E19" s="5"/>
      <c r="F19" s="5"/>
      <c r="G19" s="5"/>
      <c r="H19" s="5"/>
    </row>
    <row r="20" customFormat="false" ht="15.75" hidden="false" customHeight="true" outlineLevel="0" collapsed="false">
      <c r="B20" s="9" t="s">
        <v>27</v>
      </c>
      <c r="C20" s="4" t="s">
        <v>28</v>
      </c>
      <c r="D20" s="5"/>
      <c r="E20" s="5"/>
      <c r="F20" s="5"/>
      <c r="G20" s="5"/>
      <c r="H20" s="5"/>
    </row>
    <row r="21" customFormat="false" ht="15.75" hidden="false" customHeight="true" outlineLevel="0" collapsed="false">
      <c r="B21" s="13" t="s">
        <v>29</v>
      </c>
      <c r="C21" s="4" t="s">
        <v>30</v>
      </c>
      <c r="D21" s="5"/>
      <c r="E21" s="5"/>
      <c r="F21" s="5"/>
      <c r="G21" s="5"/>
      <c r="H21" s="5"/>
    </row>
    <row r="22" customFormat="false" ht="15.75" hidden="false" customHeight="true" outlineLevel="0" collapsed="false">
      <c r="B22" s="9" t="s">
        <v>31</v>
      </c>
      <c r="C22" s="4" t="s">
        <v>32</v>
      </c>
      <c r="D22" s="5"/>
      <c r="E22" s="5"/>
      <c r="F22" s="5"/>
      <c r="G22" s="5"/>
      <c r="H22" s="5"/>
    </row>
    <row r="23" customFormat="false" ht="15.75" hidden="false" customHeight="true" outlineLevel="0" collapsed="false">
      <c r="B23" s="9" t="s">
        <v>33</v>
      </c>
      <c r="C23" s="4" t="s">
        <v>34</v>
      </c>
      <c r="D23" s="5"/>
      <c r="E23" s="5"/>
      <c r="F23" s="5"/>
      <c r="G23" s="5"/>
      <c r="H23" s="5"/>
    </row>
    <row r="24" customFormat="false" ht="15" hidden="false" customHeight="false" outlineLevel="0" collapsed="false">
      <c r="B24" s="9"/>
      <c r="C24" s="4"/>
      <c r="D24" s="5"/>
      <c r="E24" s="5"/>
      <c r="F24" s="5"/>
      <c r="G24" s="5"/>
      <c r="H24" s="5"/>
    </row>
    <row r="25" customFormat="false" ht="16.5" hidden="false" customHeight="true" outlineLevel="0" collapsed="false">
      <c r="B25" s="6" t="s">
        <v>35</v>
      </c>
      <c r="C25" s="7"/>
      <c r="D25" s="8"/>
      <c r="E25" s="8"/>
      <c r="F25" s="8"/>
      <c r="G25" s="8"/>
      <c r="H25" s="8"/>
    </row>
    <row r="26" customFormat="false" ht="15.75" hidden="false" customHeight="true" outlineLevel="0" collapsed="false">
      <c r="B26" s="10" t="s">
        <v>36</v>
      </c>
      <c r="C26" s="11" t="s">
        <v>37</v>
      </c>
      <c r="D26" s="12"/>
      <c r="E26" s="12"/>
      <c r="F26" s="12"/>
      <c r="G26" s="12"/>
      <c r="H26" s="12"/>
    </row>
    <row r="27" customFormat="false" ht="31.5" hidden="false" customHeight="true" outlineLevel="0" collapsed="false">
      <c r="B27" s="9" t="s">
        <v>38</v>
      </c>
      <c r="C27" s="4" t="s">
        <v>39</v>
      </c>
      <c r="D27" s="5"/>
      <c r="E27" s="5"/>
      <c r="F27" s="5"/>
      <c r="G27" s="5"/>
      <c r="H27" s="5"/>
    </row>
    <row r="28" customFormat="false" ht="31.5" hidden="false" customHeight="true" outlineLevel="0" collapsed="false">
      <c r="B28" s="9" t="s">
        <v>40</v>
      </c>
      <c r="C28" s="4" t="s">
        <v>41</v>
      </c>
      <c r="D28" s="5"/>
      <c r="E28" s="5"/>
      <c r="F28" s="5"/>
      <c r="G28" s="5"/>
      <c r="H28" s="5"/>
    </row>
    <row r="29" customFormat="false" ht="31.5" hidden="false" customHeight="true" outlineLevel="0" collapsed="false">
      <c r="B29" s="9" t="s">
        <v>42</v>
      </c>
      <c r="C29" s="4" t="s">
        <v>43</v>
      </c>
      <c r="D29" s="5"/>
      <c r="E29" s="5"/>
      <c r="F29" s="5"/>
      <c r="G29" s="5"/>
      <c r="H29" s="5"/>
    </row>
    <row r="30" customFormat="false" ht="31.5" hidden="false" customHeight="true" outlineLevel="0" collapsed="false">
      <c r="B30" s="9" t="s">
        <v>44</v>
      </c>
      <c r="C30" s="4" t="s">
        <v>45</v>
      </c>
      <c r="D30" s="5"/>
      <c r="E30" s="5"/>
      <c r="F30" s="5"/>
      <c r="G30" s="5"/>
      <c r="H30" s="5"/>
    </row>
    <row r="31" customFormat="false" ht="15" hidden="false" customHeight="false" outlineLevel="0" collapsed="false">
      <c r="B31" s="9"/>
      <c r="C31" s="4"/>
      <c r="D31" s="5"/>
      <c r="E31" s="5"/>
      <c r="F31" s="5"/>
      <c r="G31" s="5"/>
      <c r="H31" s="5"/>
    </row>
    <row r="32" customFormat="false" ht="16.5" hidden="false" customHeight="true" outlineLevel="0" collapsed="false">
      <c r="B32" s="6" t="s">
        <v>46</v>
      </c>
      <c r="C32" s="7"/>
      <c r="D32" s="8"/>
      <c r="E32" s="8"/>
      <c r="F32" s="8"/>
      <c r="G32" s="8"/>
      <c r="H32" s="8"/>
    </row>
    <row r="33" customFormat="false" ht="15" hidden="false" customHeight="false" outlineLevel="0" collapsed="false">
      <c r="B33" s="9" t="s">
        <v>47</v>
      </c>
      <c r="C33" s="4"/>
      <c r="D33" s="14" t="str">
        <f aca="false">'🎚️ Escenario'!$C$4</f>
        <v>A slow</v>
      </c>
      <c r="E33" s="5"/>
      <c r="F33" s="5"/>
      <c r="G33" s="5"/>
      <c r="H33" s="5"/>
    </row>
    <row r="34" customFormat="false" ht="15" hidden="false" customHeight="false" outlineLevel="0" collapsed="false">
      <c r="B34" s="9" t="s">
        <v>48</v>
      </c>
      <c r="C34" s="4"/>
      <c r="D34" s="15" t="n">
        <f aca="false">'㉕ Funding Gap'!$G$120</f>
        <v>2500000</v>
      </c>
      <c r="E34" s="5"/>
      <c r="F34" s="5"/>
      <c r="G34" s="5"/>
      <c r="H34" s="5"/>
    </row>
    <row r="35" customFormat="false" ht="15" hidden="false" customHeight="false" outlineLevel="0" collapsed="false">
      <c r="B35" s="9" t="s">
        <v>49</v>
      </c>
      <c r="C35" s="4"/>
      <c r="D35" s="15" t="n">
        <f aca="false">'㉕ Funding Gap'!$C$88</f>
        <v>2361746.34923045</v>
      </c>
      <c r="E35" s="5"/>
      <c r="F35" s="5"/>
      <c r="G35" s="5"/>
      <c r="H35" s="5"/>
    </row>
    <row r="36" customFormat="false" ht="15" hidden="false" customHeight="false" outlineLevel="0" collapsed="false">
      <c r="B36" s="9" t="s">
        <v>50</v>
      </c>
      <c r="C36" s="4"/>
      <c r="D36" s="15" t="n">
        <f aca="false">'🎚️ Escenario'!$N$29</f>
        <v>21175732.9946998</v>
      </c>
      <c r="E36" s="5"/>
      <c r="F36" s="5"/>
      <c r="G36" s="5"/>
      <c r="H36" s="5"/>
    </row>
    <row r="37" customFormat="false" ht="15" hidden="false" customHeight="false" outlineLevel="0" collapsed="false">
      <c r="B37" s="9" t="s">
        <v>51</v>
      </c>
      <c r="C37" s="4"/>
      <c r="D37" s="15" t="n">
        <f aca="false">'🎚️ Escenario'!$N$34</f>
        <v>5475979.34317396</v>
      </c>
      <c r="E37" s="5"/>
      <c r="F37" s="5"/>
      <c r="G37" s="5"/>
      <c r="H37" s="5"/>
    </row>
    <row r="38" customFormat="false" ht="15" hidden="false" customHeight="false" outlineLevel="0" collapsed="false">
      <c r="B38" s="9" t="s">
        <v>52</v>
      </c>
      <c r="C38" s="4"/>
      <c r="D38" s="16" t="n">
        <f aca="false">'㉒ Returns'!$E$97</f>
        <v>0.181307033493337</v>
      </c>
      <c r="E38" s="5"/>
      <c r="F38" s="5"/>
      <c r="G38" s="5"/>
      <c r="H38" s="5"/>
    </row>
    <row r="39" customFormat="false" ht="15" hidden="false" customHeight="false" outlineLevel="0" collapsed="false">
      <c r="B39" s="9" t="s">
        <v>53</v>
      </c>
      <c r="C39" s="4"/>
      <c r="D39" s="16" t="n">
        <f aca="false">'㉒ Returns'!$C$97</f>
        <v>0.314141684460381</v>
      </c>
      <c r="E39" s="5"/>
      <c r="F39" s="5"/>
      <c r="G39" s="5"/>
      <c r="H39" s="5"/>
    </row>
    <row r="40" customFormat="false" ht="15" hidden="false" customHeight="false" outlineLevel="0" collapsed="false">
      <c r="B40" s="9" t="s">
        <v>54</v>
      </c>
      <c r="C40" s="4"/>
      <c r="D40" s="15" t="n">
        <f aca="false">'㉒ Returns'!$C$10</f>
        <v>46708722.0411762</v>
      </c>
      <c r="E40" s="5"/>
      <c r="F40" s="5"/>
      <c r="G40" s="5"/>
      <c r="H40" s="5"/>
    </row>
    <row r="41" customFormat="false" ht="15" hidden="false" customHeight="false" outlineLevel="0" collapsed="false">
      <c r="B41" s="9"/>
      <c r="C41" s="4"/>
      <c r="D41" s="5"/>
      <c r="E41" s="5"/>
      <c r="F41" s="5"/>
      <c r="G41" s="5"/>
      <c r="H41" s="5"/>
    </row>
    <row r="42" customFormat="false" ht="16.5" hidden="false" customHeight="true" outlineLevel="0" collapsed="false">
      <c r="B42" s="6" t="s">
        <v>55</v>
      </c>
      <c r="C42" s="7"/>
      <c r="D42" s="8"/>
      <c r="E42" s="8"/>
      <c r="F42" s="8"/>
      <c r="G42" s="8"/>
      <c r="H42" s="8"/>
    </row>
    <row r="43" customFormat="false" ht="15" hidden="false" customHeight="false" outlineLevel="0" collapsed="false">
      <c r="B43" s="9" t="s">
        <v>56</v>
      </c>
      <c r="C43" s="4"/>
      <c r="D43" s="5"/>
      <c r="E43" s="5"/>
      <c r="F43" s="5"/>
      <c r="G43" s="5"/>
      <c r="H43" s="5"/>
    </row>
    <row r="44" customFormat="false" ht="15" hidden="false" customHeight="false" outlineLevel="0" collapsed="false">
      <c r="B44" s="9" t="s">
        <v>57</v>
      </c>
      <c r="C44" s="4"/>
      <c r="D44" s="5"/>
      <c r="E44" s="5"/>
      <c r="F44" s="5"/>
      <c r="G44" s="5"/>
      <c r="H44" s="5"/>
    </row>
    <row r="45" customFormat="false" ht="17.15" hidden="false" customHeight="false" outlineLevel="0" collapsed="false">
      <c r="B45" s="9" t="s">
        <v>58</v>
      </c>
      <c r="C45" s="4"/>
      <c r="D45" s="5"/>
      <c r="E45" s="5"/>
      <c r="F45" s="5"/>
      <c r="G45" s="5"/>
      <c r="H45" s="5"/>
    </row>
    <row r="46" customFormat="false" ht="15" hidden="false" customHeight="false" outlineLevel="0" collapsed="false">
      <c r="B46" s="9" t="s">
        <v>59</v>
      </c>
      <c r="C46" s="4"/>
      <c r="D46" s="5"/>
      <c r="E46" s="5"/>
      <c r="F46" s="5"/>
      <c r="G46" s="5"/>
      <c r="H46" s="5"/>
    </row>
    <row r="47" customFormat="false" ht="15" hidden="false" customHeight="false" outlineLevel="0" collapsed="false">
      <c r="B47" s="9" t="s">
        <v>60</v>
      </c>
      <c r="C47" s="4"/>
      <c r="D47" s="5"/>
      <c r="E47" s="5"/>
      <c r="F47" s="5"/>
      <c r="G47" s="5"/>
      <c r="H47" s="5"/>
    </row>
    <row r="48" customFormat="false" ht="15" hidden="false" customHeight="false" outlineLevel="0" collapsed="false">
      <c r="B48" s="9" t="s">
        <v>61</v>
      </c>
      <c r="C48" s="4"/>
      <c r="D48" s="5"/>
      <c r="E48" s="5"/>
      <c r="F48" s="5"/>
      <c r="G48" s="5"/>
      <c r="H48" s="5"/>
    </row>
    <row r="49" customFormat="false" ht="15" hidden="false" customHeight="false" outlineLevel="0" collapsed="false">
      <c r="B49" s="9" t="s">
        <v>62</v>
      </c>
      <c r="C49" s="4"/>
      <c r="D49" s="5"/>
      <c r="E49" s="5"/>
      <c r="F49" s="5"/>
      <c r="G49" s="5"/>
      <c r="H49" s="5"/>
    </row>
    <row r="50" customFormat="false" ht="15" hidden="false" customHeight="false" outlineLevel="0" collapsed="false">
      <c r="B50" s="9" t="s">
        <v>63</v>
      </c>
      <c r="C50" s="4"/>
      <c r="D50" s="5"/>
      <c r="E50" s="5"/>
      <c r="F50" s="5"/>
      <c r="G50" s="5"/>
      <c r="H50" s="5"/>
    </row>
    <row r="51" customFormat="false" ht="15" hidden="false" customHeight="false" outlineLevel="0" collapsed="false">
      <c r="B51" s="9" t="s">
        <v>64</v>
      </c>
      <c r="C51" s="4"/>
      <c r="D51" s="5"/>
      <c r="E51" s="5"/>
      <c r="F51" s="5"/>
      <c r="G51" s="5"/>
      <c r="H51" s="5"/>
    </row>
    <row r="52" customFormat="false" ht="17.15" hidden="false" customHeight="false" outlineLevel="0" collapsed="false">
      <c r="B52" s="9" t="s">
        <v>65</v>
      </c>
      <c r="C52" s="4"/>
      <c r="D52" s="5"/>
      <c r="E52" s="5"/>
      <c r="F52" s="5"/>
      <c r="G52" s="5"/>
      <c r="H52" s="5"/>
    </row>
    <row r="53" customFormat="false" ht="15" hidden="false" customHeight="false" outlineLevel="0" collapsed="false">
      <c r="B53" s="9"/>
      <c r="C53" s="4"/>
      <c r="D53" s="5"/>
      <c r="E53" s="5"/>
      <c r="F53" s="5"/>
      <c r="G53" s="5"/>
      <c r="H53" s="5"/>
    </row>
    <row r="54" customFormat="false" ht="16.5" hidden="false" customHeight="true" outlineLevel="0" collapsed="false">
      <c r="B54" s="6" t="s">
        <v>66</v>
      </c>
      <c r="C54" s="7"/>
      <c r="D54" s="8"/>
      <c r="E54" s="8"/>
      <c r="F54" s="8"/>
      <c r="G54" s="8"/>
      <c r="H54" s="8"/>
    </row>
    <row r="55" customFormat="false" ht="15.75" hidden="false" customHeight="true" outlineLevel="0" collapsed="false">
      <c r="B55" s="10" t="s">
        <v>67</v>
      </c>
      <c r="C55" s="11" t="s">
        <v>68</v>
      </c>
      <c r="D55" s="12"/>
      <c r="E55" s="12"/>
      <c r="F55" s="12"/>
      <c r="G55" s="12"/>
      <c r="H55" s="12"/>
    </row>
    <row r="56" customFormat="false" ht="15.75" hidden="false" customHeight="true" outlineLevel="0" collapsed="false">
      <c r="B56" s="9" t="s">
        <v>69</v>
      </c>
      <c r="C56" s="4" t="s">
        <v>70</v>
      </c>
      <c r="D56" s="5"/>
      <c r="E56" s="5"/>
      <c r="F56" s="5"/>
      <c r="G56" s="5"/>
      <c r="H56" s="5"/>
    </row>
    <row r="57" customFormat="false" ht="15.75" hidden="false" customHeight="true" outlineLevel="0" collapsed="false">
      <c r="B57" s="9" t="s">
        <v>71</v>
      </c>
      <c r="C57" s="4" t="s">
        <v>72</v>
      </c>
      <c r="D57" s="5"/>
      <c r="E57" s="5"/>
      <c r="F57" s="5"/>
      <c r="G57" s="5"/>
      <c r="H57" s="5"/>
    </row>
    <row r="58" customFormat="false" ht="15.75" hidden="false" customHeight="true" outlineLevel="0" collapsed="false">
      <c r="B58" s="9" t="s">
        <v>73</v>
      </c>
      <c r="C58" s="4" t="s">
        <v>74</v>
      </c>
      <c r="D58" s="5"/>
      <c r="E58" s="5"/>
      <c r="F58" s="5"/>
      <c r="G58" s="5"/>
      <c r="H58" s="5"/>
    </row>
    <row r="59" customFormat="false" ht="15.75" hidden="false" customHeight="true" outlineLevel="0" collapsed="false">
      <c r="B59" s="9" t="s">
        <v>75</v>
      </c>
      <c r="C59" s="4" t="s">
        <v>76</v>
      </c>
      <c r="D59" s="5"/>
      <c r="E59" s="5"/>
      <c r="F59" s="5"/>
      <c r="G59" s="5"/>
      <c r="H59" s="5"/>
    </row>
    <row r="60" customFormat="false" ht="15.75" hidden="false" customHeight="true" outlineLevel="0" collapsed="false">
      <c r="B60" s="9" t="s">
        <v>77</v>
      </c>
      <c r="C60" s="4" t="s">
        <v>78</v>
      </c>
      <c r="D60" s="5"/>
      <c r="E60" s="5"/>
      <c r="F60" s="5"/>
      <c r="G60" s="5"/>
      <c r="H60" s="5"/>
    </row>
    <row r="61" customFormat="false" ht="31.5" hidden="false" customHeight="true" outlineLevel="0" collapsed="false">
      <c r="B61" s="9" t="s">
        <v>79</v>
      </c>
      <c r="C61" s="4" t="s">
        <v>80</v>
      </c>
      <c r="D61" s="5"/>
      <c r="E61" s="5"/>
      <c r="F61" s="5"/>
      <c r="G61" s="5"/>
      <c r="H61" s="5"/>
    </row>
    <row r="62" customFormat="false" ht="15.75" hidden="false" customHeight="true" outlineLevel="0" collapsed="false">
      <c r="B62" s="9" t="s">
        <v>81</v>
      </c>
      <c r="C62" s="4" t="s">
        <v>82</v>
      </c>
      <c r="D62" s="5"/>
      <c r="E62" s="5"/>
      <c r="F62" s="5"/>
      <c r="G62" s="5"/>
      <c r="H62" s="5"/>
    </row>
    <row r="63" customFormat="false" ht="15.75" hidden="false" customHeight="true" outlineLevel="0" collapsed="false">
      <c r="B63" s="13" t="s">
        <v>83</v>
      </c>
      <c r="C63" s="4" t="s">
        <v>84</v>
      </c>
      <c r="D63" s="5"/>
      <c r="E63" s="5"/>
      <c r="F63" s="5"/>
      <c r="G63" s="5"/>
      <c r="H63" s="5"/>
    </row>
    <row r="64" customFormat="false" ht="15.75" hidden="false" customHeight="true" outlineLevel="0" collapsed="false">
      <c r="B64" s="13" t="s">
        <v>85</v>
      </c>
      <c r="C64" s="4" t="s">
        <v>86</v>
      </c>
      <c r="D64" s="5"/>
      <c r="E64" s="5"/>
      <c r="F64" s="5"/>
      <c r="G64" s="5"/>
      <c r="H64" s="5"/>
    </row>
    <row r="65" customFormat="false" ht="15" hidden="false" customHeight="false" outlineLevel="0" collapsed="false">
      <c r="B65" s="9"/>
      <c r="C65" s="4"/>
      <c r="D65" s="5"/>
      <c r="E65" s="5"/>
      <c r="F65" s="5"/>
      <c r="G65" s="5"/>
      <c r="H65" s="5"/>
    </row>
    <row r="66" customFormat="false" ht="16.5" hidden="false" customHeight="true" outlineLevel="0" collapsed="false">
      <c r="B66" s="6" t="s">
        <v>87</v>
      </c>
      <c r="C66" s="7"/>
      <c r="D66" s="8"/>
      <c r="E66" s="8"/>
      <c r="F66" s="8"/>
      <c r="G66" s="8"/>
      <c r="H66" s="8"/>
    </row>
    <row r="67" customFormat="false" ht="15" hidden="false" customHeight="false" outlineLevel="0" collapsed="false">
      <c r="B67" s="9" t="s">
        <v>88</v>
      </c>
      <c r="C67" s="4"/>
      <c r="D67" s="5"/>
      <c r="E67" s="5"/>
      <c r="F67" s="5"/>
      <c r="G67" s="5"/>
      <c r="H67" s="5"/>
    </row>
    <row r="68" customFormat="false" ht="17.15" hidden="false" customHeight="false" outlineLevel="0" collapsed="false">
      <c r="B68" s="9" t="s">
        <v>89</v>
      </c>
      <c r="C68" s="4"/>
      <c r="D68" s="5"/>
      <c r="E68" s="5"/>
      <c r="F68" s="5"/>
      <c r="G68" s="5"/>
      <c r="H68" s="5"/>
    </row>
    <row r="69" customFormat="false" ht="17.15" hidden="false" customHeight="false" outlineLevel="0" collapsed="false">
      <c r="B69" s="9" t="s">
        <v>90</v>
      </c>
      <c r="C69" s="4"/>
      <c r="D69" s="5"/>
      <c r="E69" s="5"/>
      <c r="F69" s="5"/>
      <c r="G69" s="5"/>
      <c r="H69" s="5"/>
    </row>
    <row r="70" customFormat="false" ht="17.15" hidden="false" customHeight="false" outlineLevel="0" collapsed="false">
      <c r="B70" s="9" t="s">
        <v>91</v>
      </c>
      <c r="C70" s="4"/>
      <c r="D70" s="5"/>
      <c r="E70" s="5"/>
      <c r="F70" s="5"/>
      <c r="G70" s="5"/>
      <c r="H70" s="5"/>
    </row>
    <row r="71" customFormat="false" ht="16.5" hidden="false" customHeight="true" outlineLevel="0" collapsed="false">
      <c r="B71" s="6" t="s">
        <v>92</v>
      </c>
    </row>
    <row r="72" customFormat="false" ht="15" hidden="false" customHeight="false" outlineLevel="0" collapsed="false">
      <c r="B72" s="9" t="s">
        <v>93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4714E"/>
    <pageSetUpPr fitToPage="false"/>
  </sheetPr>
  <dimension ref="B1:O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0" topLeftCell="C1" activePane="topRight" state="frozen"/>
      <selection pane="topLeft" activeCell="A1" activeCellId="0" sqref="A1"/>
      <selection pane="topRight" activeCell="G17" activeCellId="0" sqref="G17"/>
    </sheetView>
  </sheetViews>
  <sheetFormatPr defaultColWidth="10.6796875" defaultRowHeight="15" zeroHeight="false" outlineLevelRow="0" outlineLevelCol="0"/>
  <cols>
    <col collapsed="false" customWidth="true" hidden="false" outlineLevel="0" max="2" min="2" style="0" width="38.33"/>
    <col collapsed="false" customWidth="true" hidden="false" outlineLevel="0" max="6" min="3" style="0" width="14.16"/>
    <col collapsed="false" customWidth="true" hidden="false" outlineLevel="0" max="7" min="7" style="0" width="24.83"/>
    <col collapsed="false" customWidth="true" hidden="false" outlineLevel="0" max="15" min="8" style="0" width="14.16"/>
  </cols>
  <sheetData>
    <row r="1" customFormat="false" ht="18.75" hidden="false" customHeight="true" outlineLevel="0" collapsed="false">
      <c r="B1" s="17" t="str">
        <f aca="false">"🎚️ ESCENARIO "&amp;$C$4</f>
        <v>🎚️ ESCENARIO A slow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9"/>
    </row>
    <row r="2" customFormat="false" ht="17.15" hidden="false" customHeight="false" outlineLevel="0" collapsed="false">
      <c r="B2" s="18" t="s">
        <v>94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customFormat="false" ht="15" hidden="false" customHeight="false" outlineLevel="0" collapsed="false">
      <c r="B3" s="18" t="s">
        <v>95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customFormat="false" ht="24" hidden="false" customHeight="true" outlineLevel="0" collapsed="false">
      <c r="B4" s="19" t="s">
        <v>96</v>
      </c>
      <c r="C4" s="20" t="s">
        <v>97</v>
      </c>
      <c r="D4" s="3" t="s">
        <v>98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customFormat="false" ht="15" hidden="false" customHeight="false" outlineLevel="0" collapsed="false">
      <c r="B5" s="1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customFormat="false" ht="15" hidden="false" customHeight="false" outlineLevel="0" collapsed="false">
      <c r="B6" s="21" t="s">
        <v>99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customFormat="false" ht="15" hidden="false" customHeight="false" outlineLevel="0" collapsed="false">
      <c r="B7" s="9" t="s">
        <v>100</v>
      </c>
      <c r="C7" s="22" t="n">
        <v>1</v>
      </c>
      <c r="D7" s="9" t="s">
        <v>101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customFormat="false" ht="15" hidden="false" customHeight="false" outlineLevel="0" collapsed="false">
      <c r="B8" s="21" t="s">
        <v>102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customFormat="false" ht="15" hidden="false" customHeight="false" outlineLevel="0" collapsed="false">
      <c r="B9" s="9" t="s">
        <v>103</v>
      </c>
      <c r="C9" s="23" t="n">
        <v>50000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customFormat="false" ht="15" hidden="false" customHeight="false" outlineLevel="0" collapsed="false">
      <c r="B10" s="21" t="s">
        <v>104</v>
      </c>
      <c r="C10" s="24" t="n">
        <v>1.5</v>
      </c>
      <c r="D10" s="18" t="s">
        <v>105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customFormat="false" ht="15" hidden="false" customHeight="false" outlineLevel="0" collapsed="false">
      <c r="B11" s="21" t="s">
        <v>106</v>
      </c>
      <c r="C11" s="24" t="n">
        <v>1.25</v>
      </c>
      <c r="D11" s="18" t="s">
        <v>107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customFormat="false" ht="15" hidden="false" customHeight="false" outlineLevel="0" collapsed="false">
      <c r="B12" s="1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customFormat="false" ht="15" hidden="false" customHeight="false" outlineLevel="0" collapsed="false">
      <c r="B13" s="21" t="s">
        <v>108</v>
      </c>
      <c r="C13" s="25"/>
      <c r="D13" s="25"/>
      <c r="E13" s="25"/>
      <c r="F13" s="25"/>
      <c r="G13" s="9"/>
      <c r="H13" s="9"/>
      <c r="I13" s="9"/>
      <c r="J13" s="9"/>
      <c r="K13" s="9"/>
      <c r="L13" s="9"/>
      <c r="M13" s="9"/>
      <c r="N13" s="9"/>
      <c r="O13" s="9"/>
    </row>
    <row r="14" customFormat="false" ht="15" hidden="false" customHeight="false" outlineLevel="0" collapsed="false">
      <c r="B14" s="26" t="s">
        <v>109</v>
      </c>
      <c r="C14" s="27" t="s">
        <v>110</v>
      </c>
      <c r="D14" s="27" t="s">
        <v>111</v>
      </c>
      <c r="E14" s="26" t="s">
        <v>112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customFormat="false" ht="15" hidden="false" customHeight="false" outlineLevel="0" collapsed="false">
      <c r="B15" s="9" t="s">
        <v>113</v>
      </c>
      <c r="C15" s="28" t="n">
        <f aca="false">'㉒ Returns'!$P$17</f>
        <v>2500000</v>
      </c>
      <c r="D15" s="29" t="str">
        <f aca="false">TEXT(DATE('㉕ Funding Gap'!$C$99,'㉕ Funding Gap'!$C$100,1),"mmm-yyyy")</f>
        <v>Nov-2026</v>
      </c>
      <c r="E15" s="9" t="str">
        <f aca="false">"Abrir las "&amp;TEXT(SUM('⑫ Roll-out Plan'!$E$101:$H$101),"0")&amp;" tiendas nuevas 2027-2030 y aguantar el ramp-up"</f>
        <v>Abrir las 19 tiendas nuevas 2027-2030 y aguantar el ramp-up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customFormat="false" ht="15" hidden="false" customHeight="false" outlineLevel="0" collapsed="false">
      <c r="B16" s="9" t="s">
        <v>114</v>
      </c>
      <c r="C16" s="28" t="n">
        <f aca="false" t="array" ref="C16:C16">IFERROR(INDEX('㉕ Funding Gap'!$C$40:$N$40,MATCH(TRUE(),INDEX('㉕ Funding Gap'!$C$40:$N$40&gt;0,0),0)),0)</f>
        <v>300000</v>
      </c>
      <c r="D16" s="29" t="n">
        <f aca="false" t="array" ref="D16:D16">IFERROR(INDEX('㉕ Funding Gap'!$C$37:$N$37,MATCH(TRUE(),INDEX('㉕ Funding Gap'!$C$40:$N$40&gt;0,0),0)),"—")</f>
        <v>2030</v>
      </c>
      <c r="E16" s="9" t="s">
        <v>115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customFormat="false" ht="17.15" hidden="false" customHeight="false" outlineLevel="0" collapsed="false">
      <c r="B17" s="9" t="s">
        <v>116</v>
      </c>
      <c r="C17" s="28" t="n">
        <f aca="false">'㉕ Funding Gap'!$C$89-C16</f>
        <v>500000</v>
      </c>
      <c r="D17" s="29" t="s">
        <v>117</v>
      </c>
      <c r="E17" s="9" t="s">
        <v>118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customFormat="false" ht="15" hidden="false" customHeight="false" outlineLevel="0" collapsed="false">
      <c r="B18" s="30" t="s">
        <v>119</v>
      </c>
      <c r="C18" s="31" t="n">
        <f aca="false">SUM(C15:C17)</f>
        <v>3300000</v>
      </c>
      <c r="D18" s="32"/>
      <c r="E18" s="30" t="s">
        <v>120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customFormat="false" ht="17.15" hidden="false" customHeight="false" outlineLevel="0" collapsed="false">
      <c r="B19" s="9" t="s">
        <v>121</v>
      </c>
      <c r="C19" s="33" t="n">
        <f aca="false">'㉕ Funding Gap'!$C$88</f>
        <v>2361746.34923045</v>
      </c>
      <c r="D19" s="34" t="str">
        <f aca="false">"pico "&amp;INDEX('㉕ Funding Gap'!$C$79:$N$79,MATCH('㉕ Funding Gap'!$C$88,'㉕ Funding Gap'!$C$82:$N$82,0))</f>
        <v>pico 2028</v>
      </c>
      <c r="E19" s="18" t="str">
        <f aca="false">"La ronda lleva "&amp;TEXT(C15-C19,"$#,##0")&amp;" de colchón sobre el mínimo"</f>
        <v>La ronda lleva $138,254 de colchón sobre el mínimo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customFormat="false" ht="15" hidden="false" customHeight="false" outlineLevel="0" collapsed="false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customFormat="false" ht="15" hidden="false" customHeight="false" outlineLevel="0" collapsed="false">
      <c r="B21" s="21" t="s">
        <v>122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customFormat="false" ht="15" hidden="false" customHeight="false" outlineLevel="0" collapsed="false">
      <c r="B22" s="26" t="s">
        <v>123</v>
      </c>
      <c r="C22" s="35" t="n">
        <f aca="false">'㉕ Funding Gap'!C$37</f>
        <v>2025</v>
      </c>
      <c r="D22" s="35" t="n">
        <f aca="false">'㉕ Funding Gap'!D$37</f>
        <v>2026</v>
      </c>
      <c r="E22" s="35" t="n">
        <f aca="false">'㉕ Funding Gap'!E$37</f>
        <v>2027</v>
      </c>
      <c r="F22" s="35" t="n">
        <f aca="false">'㉕ Funding Gap'!F$37</f>
        <v>2028</v>
      </c>
      <c r="G22" s="35" t="n">
        <f aca="false">'㉕ Funding Gap'!G$37</f>
        <v>2029</v>
      </c>
      <c r="H22" s="35" t="n">
        <f aca="false">'㉕ Funding Gap'!H$37</f>
        <v>2030</v>
      </c>
      <c r="I22" s="35" t="n">
        <f aca="false">'㉕ Funding Gap'!I$37</f>
        <v>2031</v>
      </c>
      <c r="J22" s="35" t="n">
        <f aca="false">'㉕ Funding Gap'!J$37</f>
        <v>2032</v>
      </c>
      <c r="K22" s="35" t="n">
        <f aca="false">'㉕ Funding Gap'!K$37</f>
        <v>2033</v>
      </c>
      <c r="L22" s="35" t="n">
        <f aca="false">'㉕ Funding Gap'!L$37</f>
        <v>2034</v>
      </c>
      <c r="M22" s="35" t="n">
        <f aca="false">'㉕ Funding Gap'!M$37</f>
        <v>2035</v>
      </c>
      <c r="N22" s="35" t="n">
        <f aca="false">'㉕ Funding Gap'!N$37</f>
        <v>2036</v>
      </c>
      <c r="O22" s="27" t="s">
        <v>124</v>
      </c>
    </row>
    <row r="23" customFormat="false" ht="15" hidden="false" customHeight="false" outlineLevel="0" collapsed="false">
      <c r="B23" s="36" t="s">
        <v>125</v>
      </c>
      <c r="C23" s="37" t="n">
        <f aca="false">'⑫ Roll-out Plan'!C101</f>
        <v>4</v>
      </c>
      <c r="D23" s="37" t="n">
        <f aca="false">'⑫ Roll-out Plan'!D101</f>
        <v>0</v>
      </c>
      <c r="E23" s="37" t="n">
        <f aca="false">'⑫ Roll-out Plan'!E101</f>
        <v>7</v>
      </c>
      <c r="F23" s="37" t="n">
        <f aca="false">'⑫ Roll-out Plan'!F101</f>
        <v>7</v>
      </c>
      <c r="G23" s="37" t="n">
        <f aca="false">'⑫ Roll-out Plan'!G101</f>
        <v>1</v>
      </c>
      <c r="H23" s="37" t="n">
        <f aca="false">'⑫ Roll-out Plan'!H101</f>
        <v>4</v>
      </c>
      <c r="I23" s="37" t="n">
        <f aca="false">'⑫ Roll-out Plan'!I101</f>
        <v>7</v>
      </c>
      <c r="J23" s="37" t="n">
        <f aca="false">'⑫ Roll-out Plan'!J101</f>
        <v>4</v>
      </c>
      <c r="K23" s="37" t="n">
        <f aca="false">'⑫ Roll-out Plan'!K101</f>
        <v>8</v>
      </c>
      <c r="L23" s="37" t="n">
        <f aca="false">'⑫ Roll-out Plan'!L101</f>
        <v>12</v>
      </c>
      <c r="M23" s="37" t="n">
        <f aca="false">'⑫ Roll-out Plan'!M101</f>
        <v>12</v>
      </c>
      <c r="N23" s="37" t="n">
        <f aca="false">'⑫ Roll-out Plan'!N101</f>
        <v>9</v>
      </c>
      <c r="O23" s="38" t="n">
        <f aca="false">SUM(C23:N23)</f>
        <v>75</v>
      </c>
    </row>
    <row r="24" customFormat="false" ht="15" hidden="false" customHeight="false" outlineLevel="0" collapsed="false">
      <c r="B24" s="36" t="s">
        <v>126</v>
      </c>
      <c r="C24" s="38" t="n">
        <f aca="false">'⑫ Roll-out Plan'!C102</f>
        <v>4</v>
      </c>
      <c r="D24" s="38" t="n">
        <f aca="false">'⑫ Roll-out Plan'!D102</f>
        <v>4</v>
      </c>
      <c r="E24" s="38" t="n">
        <f aca="false">'⑫ Roll-out Plan'!E102</f>
        <v>11</v>
      </c>
      <c r="F24" s="38" t="n">
        <f aca="false">'⑫ Roll-out Plan'!F102</f>
        <v>18</v>
      </c>
      <c r="G24" s="38" t="n">
        <f aca="false">'⑫ Roll-out Plan'!G102</f>
        <v>19</v>
      </c>
      <c r="H24" s="38" t="n">
        <f aca="false">'⑫ Roll-out Plan'!H102</f>
        <v>23</v>
      </c>
      <c r="I24" s="38" t="n">
        <f aca="false">'⑫ Roll-out Plan'!I102</f>
        <v>30</v>
      </c>
      <c r="J24" s="38" t="n">
        <f aca="false">'⑫ Roll-out Plan'!J102</f>
        <v>34</v>
      </c>
      <c r="K24" s="38" t="n">
        <f aca="false">'⑫ Roll-out Plan'!K102</f>
        <v>42</v>
      </c>
      <c r="L24" s="38" t="n">
        <f aca="false">'⑫ Roll-out Plan'!L102</f>
        <v>54</v>
      </c>
      <c r="M24" s="38" t="n">
        <f aca="false">'⑫ Roll-out Plan'!M102</f>
        <v>66</v>
      </c>
      <c r="N24" s="38" t="n">
        <f aca="false">'⑫ Roll-out Plan'!N102</f>
        <v>75</v>
      </c>
      <c r="O24" s="9"/>
    </row>
    <row r="25" customFormat="false" ht="15" hidden="false" customHeight="false" outlineLevel="0" collapsed="false">
      <c r="B25" s="9" t="s">
        <v>127</v>
      </c>
      <c r="C25" s="39" t="str">
        <f aca="false" t="array" ref="C25:C25">IF(C23=0,"—",IF(SUMPRODUCT(('⑫ Roll-out Plan'!$G$10:$G$97=C$22)*ISNUMBER(SEARCH("Colombia",'⑫ Roll-out Plan'!$C$10:$C$97))*'⑫ Roll-out Plan'!$O$10:$O$97)=0,"Panamá",IF(SUMPRODUCT(('⑫ Roll-out Plan'!$G$10:$G$97=C$22)*ISNUMBER(SEARCH("Colombia",'⑫ Roll-out Plan'!$C$10:$C$97))*'⑫ Roll-out Plan'!$O$10:$O$97)=C23,"Colombia","Panamá + Colombia")))</f>
        <v>Panamá</v>
      </c>
      <c r="D25" s="39" t="str">
        <f aca="false" t="array" ref="D25:D25">IF(D23=0,"—",IF(SUMPRODUCT(('⑫ Roll-out Plan'!$G$10:$G$97=D$22)*ISNUMBER(SEARCH("Colombia",'⑫ Roll-out Plan'!$C$10:$C$97))*'⑫ Roll-out Plan'!$O$10:$O$97)=0,"Panamá",IF(SUMPRODUCT(('⑫ Roll-out Plan'!$G$10:$G$97=D$22)*ISNUMBER(SEARCH("Colombia",'⑫ Roll-out Plan'!$C$10:$C$97))*'⑫ Roll-out Plan'!$O$10:$O$97)=D23,"Colombia","Panamá + Colombia")))</f>
        <v>—</v>
      </c>
      <c r="E25" s="39" t="str">
        <f aca="false" t="array" ref="E25:E25">IF(E23=0,"—",IF(SUMPRODUCT(('⑫ Roll-out Plan'!$G$10:$G$97=E$22)*ISNUMBER(SEARCH("Colombia",'⑫ Roll-out Plan'!$C$10:$C$97))*'⑫ Roll-out Plan'!$O$10:$O$97)=0,"Panamá",IF(SUMPRODUCT(('⑫ Roll-out Plan'!$G$10:$G$97=E$22)*ISNUMBER(SEARCH("Colombia",'⑫ Roll-out Plan'!$C$10:$C$97))*'⑫ Roll-out Plan'!$O$10:$O$97)=E23,"Colombia","Panamá + Colombia")))</f>
        <v>Panamá</v>
      </c>
      <c r="F25" s="39" t="str">
        <f aca="false" t="array" ref="F25:F25">IF(F23=0,"—",IF(SUMPRODUCT(('⑫ Roll-out Plan'!$G$10:$G$97=F$22)*ISNUMBER(SEARCH("Colombia",'⑫ Roll-out Plan'!$C$10:$C$97))*'⑫ Roll-out Plan'!$O$10:$O$97)=0,"Panamá",IF(SUMPRODUCT(('⑫ Roll-out Plan'!$G$10:$G$97=F$22)*ISNUMBER(SEARCH("Colombia",'⑫ Roll-out Plan'!$C$10:$C$97))*'⑫ Roll-out Plan'!$O$10:$O$97)=F23,"Colombia","Panamá + Colombia")))</f>
        <v>Panamá</v>
      </c>
      <c r="G25" s="39" t="str">
        <f aca="false" t="array" ref="G25:G25">IF(G23=0,"—",IF(SUMPRODUCT(('⑫ Roll-out Plan'!$G$10:$G$97=G$22)*ISNUMBER(SEARCH("Colombia",'⑫ Roll-out Plan'!$C$10:$C$97))*'⑫ Roll-out Plan'!$O$10:$O$97)=0,"Panamá",IF(SUMPRODUCT(('⑫ Roll-out Plan'!$G$10:$G$97=G$22)*ISNUMBER(SEARCH("Colombia",'⑫ Roll-out Plan'!$C$10:$C$97))*'⑫ Roll-out Plan'!$O$10:$O$97)=G23,"Colombia","Panamá + Colombia")))</f>
        <v>Panamá</v>
      </c>
      <c r="H25" s="39" t="str">
        <f aca="false" t="array" ref="H25:H25">IF(H23=0,"—",IF(SUMPRODUCT(('⑫ Roll-out Plan'!$G$10:$G$97=H$22)*ISNUMBER(SEARCH("Colombia",'⑫ Roll-out Plan'!$C$10:$C$97))*'⑫ Roll-out Plan'!$O$10:$O$97)=0,"Panamá",IF(SUMPRODUCT(('⑫ Roll-out Plan'!$G$10:$G$97=H$22)*ISNUMBER(SEARCH("Colombia",'⑫ Roll-out Plan'!$C$10:$C$97))*'⑫ Roll-out Plan'!$O$10:$O$97)=H23,"Colombia","Panamá + Colombia")))</f>
        <v>Panamá</v>
      </c>
      <c r="I25" s="39" t="str">
        <f aca="false" t="array" ref="I25:I25">IF(I23=0,"—",IF(SUMPRODUCT(('⑫ Roll-out Plan'!$G$10:$G$97=I$22)*ISNUMBER(SEARCH("Colombia",'⑫ Roll-out Plan'!$C$10:$C$97))*'⑫ Roll-out Plan'!$O$10:$O$97)=0,"Panamá",IF(SUMPRODUCT(('⑫ Roll-out Plan'!$G$10:$G$97=I$22)*ISNUMBER(SEARCH("Colombia",'⑫ Roll-out Plan'!$C$10:$C$97))*'⑫ Roll-out Plan'!$O$10:$O$97)=I23,"Colombia","Panamá + Colombia")))</f>
        <v>Panamá</v>
      </c>
      <c r="J25" s="39" t="str">
        <f aca="false" t="array" ref="J25:J25">IF(J23=0,"—",IF(SUMPRODUCT(('⑫ Roll-out Plan'!$G$10:$G$97=J$22)*ISNUMBER(SEARCH("Colombia",'⑫ Roll-out Plan'!$C$10:$C$97))*'⑫ Roll-out Plan'!$O$10:$O$97)=0,"Panamá",IF(SUMPRODUCT(('⑫ Roll-out Plan'!$G$10:$G$97=J$22)*ISNUMBER(SEARCH("Colombia",'⑫ Roll-out Plan'!$C$10:$C$97))*'⑫ Roll-out Plan'!$O$10:$O$97)=J23,"Colombia","Panamá + Colombia")))</f>
        <v>Colombia</v>
      </c>
      <c r="K25" s="39" t="str">
        <f aca="false" t="array" ref="K25:K25">IF(K23=0,"—",IF(SUMPRODUCT(('⑫ Roll-out Plan'!$G$10:$G$97=K$22)*ISNUMBER(SEARCH("Colombia",'⑫ Roll-out Plan'!$C$10:$C$97))*'⑫ Roll-out Plan'!$O$10:$O$97)=0,"Panamá",IF(SUMPRODUCT(('⑫ Roll-out Plan'!$G$10:$G$97=K$22)*ISNUMBER(SEARCH("Colombia",'⑫ Roll-out Plan'!$C$10:$C$97))*'⑫ Roll-out Plan'!$O$10:$O$97)=K23,"Colombia","Panamá + Colombia")))</f>
        <v>Colombia</v>
      </c>
      <c r="L25" s="39" t="str">
        <f aca="false" t="array" ref="L25:L25">IF(L23=0,"—",IF(SUMPRODUCT(('⑫ Roll-out Plan'!$G$10:$G$97=L$22)*ISNUMBER(SEARCH("Colombia",'⑫ Roll-out Plan'!$C$10:$C$97))*'⑫ Roll-out Plan'!$O$10:$O$97)=0,"Panamá",IF(SUMPRODUCT(('⑫ Roll-out Plan'!$G$10:$G$97=L$22)*ISNUMBER(SEARCH("Colombia",'⑫ Roll-out Plan'!$C$10:$C$97))*'⑫ Roll-out Plan'!$O$10:$O$97)=L23,"Colombia","Panamá + Colombia")))</f>
        <v>Colombia</v>
      </c>
      <c r="M25" s="39" t="str">
        <f aca="false" t="array" ref="M25:M25">IF(M23=0,"—",IF(SUMPRODUCT(('⑫ Roll-out Plan'!$G$10:$G$97=M$22)*ISNUMBER(SEARCH("Colombia",'⑫ Roll-out Plan'!$C$10:$C$97))*'⑫ Roll-out Plan'!$O$10:$O$97)=0,"Panamá",IF(SUMPRODUCT(('⑫ Roll-out Plan'!$G$10:$G$97=M$22)*ISNUMBER(SEARCH("Colombia",'⑫ Roll-out Plan'!$C$10:$C$97))*'⑫ Roll-out Plan'!$O$10:$O$97)=M23,"Colombia","Panamá + Colombia")))</f>
        <v>Colombia</v>
      </c>
      <c r="N25" s="39" t="str">
        <f aca="false" t="array" ref="N25:N25">IF(N23=0,"—",IF(SUMPRODUCT(('⑫ Roll-out Plan'!$G$10:$G$97=N$22)*ISNUMBER(SEARCH("Colombia",'⑫ Roll-out Plan'!$C$10:$C$97))*'⑫ Roll-out Plan'!$O$10:$O$97)=0,"Panamá",IF(SUMPRODUCT(('⑫ Roll-out Plan'!$G$10:$G$97=N$22)*ISNUMBER(SEARCH("Colombia",'⑫ Roll-out Plan'!$C$10:$C$97))*'⑫ Roll-out Plan'!$O$10:$O$97)=N23,"Colombia","Panamá + Colombia")))</f>
        <v>Colombia</v>
      </c>
      <c r="O25" s="9"/>
    </row>
    <row r="26" customFormat="false" ht="15" hidden="false" customHeight="false" outlineLevel="0" collapsed="false">
      <c r="B26" s="9" t="s">
        <v>128</v>
      </c>
      <c r="C26" s="40" t="n">
        <f aca="false">-'⑫ Roll-out Plan'!C103</f>
        <v>-285000</v>
      </c>
      <c r="D26" s="40" t="n">
        <f aca="false">-'⑫ Roll-out Plan'!D103</f>
        <v>-0</v>
      </c>
      <c r="E26" s="40" t="n">
        <f aca="false">-'⑫ Roll-out Plan'!E103</f>
        <v>-700000</v>
      </c>
      <c r="F26" s="40" t="n">
        <f aca="false">-'⑫ Roll-out Plan'!F103</f>
        <v>-700000</v>
      </c>
      <c r="G26" s="40" t="n">
        <f aca="false">-'⑫ Roll-out Plan'!G103</f>
        <v>-100000</v>
      </c>
      <c r="H26" s="40" t="n">
        <f aca="false">-'⑫ Roll-out Plan'!H103</f>
        <v>-400000</v>
      </c>
      <c r="I26" s="40" t="n">
        <f aca="false">-'⑫ Roll-out Plan'!I103</f>
        <v>-700000</v>
      </c>
      <c r="J26" s="40" t="n">
        <f aca="false">-'⑫ Roll-out Plan'!J103</f>
        <v>-400000</v>
      </c>
      <c r="K26" s="40" t="n">
        <f aca="false">-'⑫ Roll-out Plan'!K103</f>
        <v>-800000</v>
      </c>
      <c r="L26" s="40" t="n">
        <f aca="false">-'⑫ Roll-out Plan'!L103</f>
        <v>-1200000</v>
      </c>
      <c r="M26" s="40" t="n">
        <f aca="false">-'⑫ Roll-out Plan'!M103</f>
        <v>-1200000</v>
      </c>
      <c r="N26" s="40" t="n">
        <f aca="false">-'⑫ Roll-out Plan'!N103</f>
        <v>-900000</v>
      </c>
      <c r="O26" s="40" t="n">
        <f aca="false">SUM(C26:N26)</f>
        <v>-7385000</v>
      </c>
    </row>
    <row r="27" customFormat="false" ht="15" hidden="false" customHeight="false" outlineLevel="0" collapsed="false">
      <c r="B27" s="41" t="s">
        <v>129</v>
      </c>
      <c r="C27" s="42" t="n">
        <f aca="false">N('㉕ Funding Gap'!C39)</f>
        <v>0</v>
      </c>
      <c r="D27" s="42" t="n">
        <f aca="false">N('㉕ Funding Gap'!D39)</f>
        <v>2500000</v>
      </c>
      <c r="E27" s="42" t="n">
        <f aca="false">N('㉕ Funding Gap'!E39)</f>
        <v>0</v>
      </c>
      <c r="F27" s="42" t="n">
        <f aca="false">N('㉕ Funding Gap'!F39)</f>
        <v>0</v>
      </c>
      <c r="G27" s="42" t="n">
        <f aca="false">N('㉕ Funding Gap'!G39)</f>
        <v>0</v>
      </c>
      <c r="H27" s="42" t="n">
        <f aca="false">N('㉕ Funding Gap'!H39)</f>
        <v>0</v>
      </c>
      <c r="I27" s="42" t="n">
        <f aca="false">N('㉕ Funding Gap'!I39)</f>
        <v>0</v>
      </c>
      <c r="J27" s="42" t="n">
        <f aca="false">N('㉕ Funding Gap'!J39)</f>
        <v>0</v>
      </c>
      <c r="K27" s="42" t="n">
        <f aca="false">N('㉕ Funding Gap'!K39)</f>
        <v>0</v>
      </c>
      <c r="L27" s="42" t="n">
        <f aca="false">N('㉕ Funding Gap'!L39)</f>
        <v>0</v>
      </c>
      <c r="M27" s="42" t="n">
        <f aca="false">N('㉕ Funding Gap'!M39)</f>
        <v>0</v>
      </c>
      <c r="N27" s="42" t="n">
        <f aca="false">N('㉕ Funding Gap'!N39)</f>
        <v>0</v>
      </c>
      <c r="O27" s="42" t="n">
        <f aca="false">SUM(C27:N27)</f>
        <v>2500000</v>
      </c>
    </row>
    <row r="28" customFormat="false" ht="15" hidden="false" customHeight="false" outlineLevel="0" collapsed="false">
      <c r="B28" s="41" t="s">
        <v>130</v>
      </c>
      <c r="C28" s="42" t="n">
        <f aca="false">N('㉕ Funding Gap'!C40)</f>
        <v>0</v>
      </c>
      <c r="D28" s="42" t="n">
        <f aca="false">N('㉕ Funding Gap'!D40)</f>
        <v>0</v>
      </c>
      <c r="E28" s="42" t="n">
        <f aca="false">N('㉕ Funding Gap'!E40)</f>
        <v>0</v>
      </c>
      <c r="F28" s="42" t="n">
        <f aca="false">N('㉕ Funding Gap'!F40)</f>
        <v>0</v>
      </c>
      <c r="G28" s="42" t="n">
        <f aca="false">N('㉕ Funding Gap'!G40)</f>
        <v>0</v>
      </c>
      <c r="H28" s="42" t="n">
        <f aca="false">N('㉕ Funding Gap'!H40)</f>
        <v>300000</v>
      </c>
      <c r="I28" s="42" t="n">
        <f aca="false">N('㉕ Funding Gap'!I40)</f>
        <v>500000</v>
      </c>
      <c r="J28" s="42" t="n">
        <f aca="false">N('㉕ Funding Gap'!J40)</f>
        <v>0</v>
      </c>
      <c r="K28" s="42" t="n">
        <f aca="false">N('㉕ Funding Gap'!K40)</f>
        <v>0</v>
      </c>
      <c r="L28" s="42" t="n">
        <f aca="false">N('㉕ Funding Gap'!L40)</f>
        <v>0</v>
      </c>
      <c r="M28" s="42" t="n">
        <f aca="false">N('㉕ Funding Gap'!M40)</f>
        <v>0</v>
      </c>
      <c r="N28" s="42" t="n">
        <f aca="false">N('㉕ Funding Gap'!N40)</f>
        <v>0</v>
      </c>
      <c r="O28" s="42" t="n">
        <f aca="false">SUM(C28:N28)</f>
        <v>800000</v>
      </c>
    </row>
    <row r="29" customFormat="false" ht="15" hidden="false" customHeight="false" outlineLevel="0" collapsed="false">
      <c r="B29" s="9" t="s">
        <v>131</v>
      </c>
      <c r="C29" s="40" t="n">
        <f aca="false">SUM('㉔ Financial Statements'!C10:N10)</f>
        <v>361378.17</v>
      </c>
      <c r="D29" s="40" t="n">
        <f aca="false">SUM('㉔ Financial Statements'!O10:Z10)</f>
        <v>710463.389108292</v>
      </c>
      <c r="E29" s="40" t="n">
        <f aca="false">SUM('㉔ Financial Statements'!AA10:AL10)</f>
        <v>1664271.37246315</v>
      </c>
      <c r="F29" s="40" t="n">
        <f aca="false">SUM('㉔ Financial Statements'!AM10:AX10)</f>
        <v>3415856.55544379</v>
      </c>
      <c r="G29" s="40" t="n">
        <f aca="false">'㉔ Financial Statements'!AY10</f>
        <v>5522273.98454848</v>
      </c>
      <c r="H29" s="40" t="n">
        <f aca="false">'㉔ Financial Statements'!AZ10</f>
        <v>7119271.63831783</v>
      </c>
      <c r="I29" s="40" t="n">
        <f aca="false">'㉔ Financial Statements'!BA10</f>
        <v>8570864.01703284</v>
      </c>
      <c r="J29" s="40" t="n">
        <f aca="false">'㉔ Financial Statements'!BB10</f>
        <v>10324136.4872945</v>
      </c>
      <c r="K29" s="40" t="n">
        <f aca="false">'㉔ Financial Statements'!BC10</f>
        <v>12003535.9954223</v>
      </c>
      <c r="L29" s="40" t="n">
        <f aca="false">'㉔ Financial Statements'!BD10</f>
        <v>14454255.5051057</v>
      </c>
      <c r="M29" s="40" t="n">
        <f aca="false">'㉔ Financial Statements'!BE10</f>
        <v>17644432.8347431</v>
      </c>
      <c r="N29" s="40" t="n">
        <f aca="false">'㉔ Financial Statements'!BF10</f>
        <v>21175732.9946998</v>
      </c>
      <c r="O29" s="42"/>
    </row>
    <row r="30" customFormat="false" ht="15" hidden="false" customHeight="false" outlineLevel="0" collapsed="false">
      <c r="B30" s="9" t="s">
        <v>132</v>
      </c>
      <c r="C30" s="40" t="n">
        <f aca="false">SUM('㉔ Financial Statements'!C16:N16)</f>
        <v>-123221.11</v>
      </c>
      <c r="D30" s="40" t="n">
        <f aca="false">SUM('㉔ Financial Statements'!O16:Z16)</f>
        <v>-228154.379732487</v>
      </c>
      <c r="E30" s="40" t="n">
        <f aca="false">SUM('㉔ Financial Statements'!AA16:AL16)</f>
        <v>-480449.480996512</v>
      </c>
      <c r="F30" s="40" t="n">
        <f aca="false">SUM('㉔ Financial Statements'!AM16:AX16)</f>
        <v>-983204.095934946</v>
      </c>
      <c r="G30" s="40" t="n">
        <f aca="false">'㉔ Financial Statements'!AY16</f>
        <v>-1524465.78924512</v>
      </c>
      <c r="H30" s="40" t="n">
        <f aca="false">'㉔ Financial Statements'!AZ16</f>
        <v>-1933607.27923421</v>
      </c>
      <c r="I30" s="40" t="n">
        <f aca="false">'㉔ Financial Statements'!BA16</f>
        <v>-2306110.59204551</v>
      </c>
      <c r="J30" s="40" t="n">
        <f aca="false">'㉔ Financial Statements'!BB16</f>
        <v>-2812315.12253953</v>
      </c>
      <c r="K30" s="40" t="n">
        <f aca="false">'㉔ Financial Statements'!BC16</f>
        <v>-3243396.33775979</v>
      </c>
      <c r="L30" s="40" t="n">
        <f aca="false">'㉔ Financial Statements'!BD16</f>
        <v>-3927713.40930705</v>
      </c>
      <c r="M30" s="40" t="n">
        <f aca="false">'㉔ Financial Statements'!BE16</f>
        <v>-4744398.80569423</v>
      </c>
      <c r="N30" s="40" t="n">
        <f aca="false">'㉔ Financial Statements'!BF16</f>
        <v>-5648411.64664314</v>
      </c>
      <c r="O30" s="42"/>
    </row>
    <row r="31" customFormat="false" ht="15" hidden="false" customHeight="false" outlineLevel="0" collapsed="false">
      <c r="B31" s="36" t="s">
        <v>133</v>
      </c>
      <c r="C31" s="43" t="n">
        <f aca="false">SUM('㉔ Financial Statements'!C18:N18)</f>
        <v>238157.06</v>
      </c>
      <c r="D31" s="43" t="n">
        <f aca="false">SUM('㉔ Financial Statements'!O18:Z18)</f>
        <v>482309.009375804</v>
      </c>
      <c r="E31" s="43" t="n">
        <f aca="false">SUM('㉔ Financial Statements'!AA18:AL18)</f>
        <v>1183821.89146664</v>
      </c>
      <c r="F31" s="43" t="n">
        <f aca="false">SUM('㉔ Financial Statements'!AM18:AX18)</f>
        <v>2432652.45950884</v>
      </c>
      <c r="G31" s="43" t="n">
        <f aca="false">'㉔ Financial Statements'!AY18</f>
        <v>3997808.19530336</v>
      </c>
      <c r="H31" s="43" t="n">
        <f aca="false">'㉔ Financial Statements'!AZ18</f>
        <v>5185664.35908363</v>
      </c>
      <c r="I31" s="43" t="n">
        <f aca="false">'㉔ Financial Statements'!BA18</f>
        <v>6264753.42498733</v>
      </c>
      <c r="J31" s="43" t="n">
        <f aca="false">'㉔ Financial Statements'!BB18</f>
        <v>7511821.36475493</v>
      </c>
      <c r="K31" s="43" t="n">
        <f aca="false">'㉔ Financial Statements'!BC18</f>
        <v>8760139.65766251</v>
      </c>
      <c r="L31" s="43" t="n">
        <f aca="false">'㉔ Financial Statements'!BD18</f>
        <v>10526542.0957986</v>
      </c>
      <c r="M31" s="43" t="n">
        <f aca="false">'㉔ Financial Statements'!BE18</f>
        <v>12900034.0290489</v>
      </c>
      <c r="N31" s="43" t="n">
        <f aca="false">'㉔ Financial Statements'!BF18</f>
        <v>15527321.3480566</v>
      </c>
      <c r="O31" s="42"/>
    </row>
    <row r="32" customFormat="false" ht="15" hidden="false" customHeight="false" outlineLevel="0" collapsed="false">
      <c r="B32" s="44" t="s">
        <v>134</v>
      </c>
      <c r="C32" s="45" t="n">
        <f aca="false">IFERROR((SUM('㉔ Financial Statements'!C18:N18))/(SUM('㉔ Financial Statements'!C10:N10)),0)</f>
        <v>0.659024478429342</v>
      </c>
      <c r="D32" s="45" t="n">
        <f aca="false">IFERROR((SUM('㉔ Financial Statements'!O18:Z18))/(SUM('㉔ Financial Statements'!O10:Z10)),0)</f>
        <v>0.678865395134792</v>
      </c>
      <c r="E32" s="45" t="n">
        <f aca="false">IFERROR((SUM('㉔ Financial Statements'!AA18:AL18))/(SUM('㉔ Financial Statements'!AA10:AL10)),0)</f>
        <v>0.711315420702431</v>
      </c>
      <c r="F32" s="45" t="n">
        <f aca="false">IFERROR((SUM('㉔ Financial Statements'!AM18:AX18))/(SUM('㉔ Financial Statements'!AM10:AX10)),0)</f>
        <v>0.712164700134134</v>
      </c>
      <c r="G32" s="45" t="n">
        <f aca="false">IFERROR(('㉔ Financial Statements'!AY18)/('㉔ Financial Statements'!AY10),0)</f>
        <v>0.72394238433105</v>
      </c>
      <c r="H32" s="45" t="n">
        <f aca="false">IFERROR(('㉔ Financial Statements'!AZ18)/('㉔ Financial Statements'!AZ10),0)</f>
        <v>0.72839815960568</v>
      </c>
      <c r="I32" s="45" t="n">
        <f aca="false">IFERROR(('㉔ Financial Statements'!BA18)/('㉔ Financial Statements'!BA10),0)</f>
        <v>0.730936042450028</v>
      </c>
      <c r="J32" s="45" t="n">
        <f aca="false">IFERROR(('㉔ Financial Statements'!BB18)/('㉔ Financial Statements'!BB10),0)</f>
        <v>0.727598029530068</v>
      </c>
      <c r="K32" s="45" t="n">
        <f aca="false">IFERROR(('㉔ Financial Statements'!BC18)/('㉔ Financial Statements'!BC10),0)</f>
        <v>0.729796591687924</v>
      </c>
      <c r="L32" s="45" t="n">
        <f aca="false">IFERROR(('㉔ Financial Statements'!BD18)/('㉔ Financial Statements'!BD10),0)</f>
        <v>0.728265948535387</v>
      </c>
      <c r="M32" s="45" t="n">
        <f aca="false">IFERROR(('㉔ Financial Statements'!BE18)/('㉔ Financial Statements'!BE10),0)</f>
        <v>0.731110721997695</v>
      </c>
      <c r="N32" s="45" t="n">
        <f aca="false">IFERROR(('㉔ Financial Statements'!BF18)/('㉔ Financial Statements'!BF10),0)</f>
        <v>0.733260159256026</v>
      </c>
      <c r="O32" s="42"/>
    </row>
    <row r="33" customFormat="false" ht="15" hidden="false" customHeight="false" outlineLevel="0" collapsed="false">
      <c r="B33" s="9" t="s">
        <v>135</v>
      </c>
      <c r="C33" s="40" t="n">
        <f aca="false">SUM('㉔ Financial Statements'!C35:N35)</f>
        <v>-756196.94</v>
      </c>
      <c r="D33" s="40" t="n">
        <f aca="false">SUM('㉔ Financial Statements'!O35:Z35)</f>
        <v>-885000.324377472</v>
      </c>
      <c r="E33" s="40" t="n">
        <f aca="false">SUM('㉔ Financial Statements'!AA35:AL35)</f>
        <v>-1633899.96587406</v>
      </c>
      <c r="F33" s="40" t="n">
        <f aca="false">SUM('㉔ Financial Statements'!AM35:AX35)</f>
        <v>-2628139.84557175</v>
      </c>
      <c r="G33" s="40" t="n">
        <f aca="false">'㉔ Financial Statements'!AY35</f>
        <v>-3593987.27754403</v>
      </c>
      <c r="H33" s="40" t="n">
        <f aca="false">'㉔ Financial Statements'!AZ35</f>
        <v>-4411533.76449905</v>
      </c>
      <c r="I33" s="40" t="n">
        <f aca="false">'㉔ Financial Statements'!BA35</f>
        <v>-5434642.37989664</v>
      </c>
      <c r="J33" s="40" t="n">
        <f aca="false">'㉔ Financial Statements'!BB35</f>
        <v>-6359148.52702734</v>
      </c>
      <c r="K33" s="40" t="n">
        <f aca="false">'㉔ Financial Statements'!BC35</f>
        <v>-7198092.26216094</v>
      </c>
      <c r="L33" s="40" t="n">
        <f aca="false">'㉔ Financial Statements'!BD35</f>
        <v>-8576305.64687407</v>
      </c>
      <c r="M33" s="40" t="n">
        <f aca="false">'㉔ Financial Statements'!BE35</f>
        <v>-9306120.41890781</v>
      </c>
      <c r="N33" s="40" t="n">
        <f aca="false">'㉔ Financial Statements'!BF35</f>
        <v>-10051342.0048827</v>
      </c>
      <c r="O33" s="42"/>
    </row>
    <row r="34" customFormat="false" ht="15" hidden="false" customHeight="false" outlineLevel="0" collapsed="false">
      <c r="B34" s="10" t="s">
        <v>136</v>
      </c>
      <c r="C34" s="46" t="n">
        <f aca="false">SUM('㉔ Financial Statements'!C37:N37)</f>
        <v>-518039.88</v>
      </c>
      <c r="D34" s="46" t="n">
        <f aca="false">SUM('㉔ Financial Statements'!O37:Z37)</f>
        <v>-402691.315001668</v>
      </c>
      <c r="E34" s="46" t="n">
        <f aca="false">SUM('㉔ Financial Statements'!AA37:AL37)</f>
        <v>-450078.074407425</v>
      </c>
      <c r="F34" s="46" t="n">
        <f aca="false">SUM('㉔ Financial Statements'!AM37:AX37)</f>
        <v>-195487.386062907</v>
      </c>
      <c r="G34" s="46" t="n">
        <f aca="false">'㉔ Financial Statements'!AY37</f>
        <v>403820.917759329</v>
      </c>
      <c r="H34" s="46" t="n">
        <f aca="false">'㉔ Financial Statements'!AZ37</f>
        <v>774130.594584581</v>
      </c>
      <c r="I34" s="46" t="n">
        <f aca="false">'㉔ Financial Statements'!BA37</f>
        <v>830111.045090691</v>
      </c>
      <c r="J34" s="46" t="n">
        <f aca="false">'㉔ Financial Statements'!BB37</f>
        <v>1152672.8377276</v>
      </c>
      <c r="K34" s="46" t="n">
        <f aca="false">'㉔ Financial Statements'!BC37</f>
        <v>1562047.39550157</v>
      </c>
      <c r="L34" s="46" t="n">
        <f aca="false">'㉔ Financial Statements'!BD37</f>
        <v>1950236.44892455</v>
      </c>
      <c r="M34" s="46" t="n">
        <f aca="false">'㉔ Financial Statements'!BE37</f>
        <v>3593913.61014104</v>
      </c>
      <c r="N34" s="46" t="n">
        <f aca="false">'㉔ Financial Statements'!BF37</f>
        <v>5475979.34317396</v>
      </c>
      <c r="O34" s="42"/>
    </row>
    <row r="35" customFormat="false" ht="15" hidden="false" customHeight="false" outlineLevel="0" collapsed="false">
      <c r="B35" s="44" t="s">
        <v>137</v>
      </c>
      <c r="C35" s="45" t="n">
        <f aca="false">IFERROR((SUM('㉔ Financial Statements'!C37:N37))/(SUM('㉔ Financial Statements'!C10:N10)),0)</f>
        <v>-1.43351182502252</v>
      </c>
      <c r="D35" s="45" t="n">
        <f aca="false">IFERROR((SUM('㉔ Financial Statements'!O37:Z37))/(SUM('㉔ Financial Statements'!O10:Z10)),0)</f>
        <v>-0.566800937493892</v>
      </c>
      <c r="E35" s="45" t="n">
        <f aca="false">IFERROR((SUM('㉔ Financial Statements'!AA37:AL37))/(SUM('㉔ Financial Statements'!AA10:AL10)),0)</f>
        <v>-0.270435508207595</v>
      </c>
      <c r="F35" s="45" t="n">
        <f aca="false">IFERROR((SUM('㉔ Financial Statements'!AM37:AX37))/(SUM('㉔ Financial Statements'!AM10:AX10)),0)</f>
        <v>-0.057229389726967</v>
      </c>
      <c r="G35" s="45" t="n">
        <f aca="false">IFERROR(('㉔ Financial Statements'!AY37)/('㉔ Financial Statements'!AY10),0)</f>
        <v>0.0731258389006475</v>
      </c>
      <c r="H35" s="45" t="n">
        <f aca="false">IFERROR(('㉔ Financial Statements'!AZ37)/('㉔ Financial Statements'!AZ10),0)</f>
        <v>0.108737330714845</v>
      </c>
      <c r="I35" s="45" t="n">
        <f aca="false">IFERROR(('㉔ Financial Statements'!BA37)/('㉔ Financial Statements'!BA10),0)</f>
        <v>0.0968526677638352</v>
      </c>
      <c r="J35" s="45" t="n">
        <f aca="false">IFERROR(('㉔ Financial Statements'!BB37)/('㉔ Financial Statements'!BB10),0)</f>
        <v>0.111648353268687</v>
      </c>
      <c r="K35" s="45" t="n">
        <f aca="false">IFERROR(('㉔ Financial Statements'!BC37)/('㉔ Financial Statements'!BC10),0)</f>
        <v>0.130132270699007</v>
      </c>
      <c r="L35" s="45" t="n">
        <f aca="false">IFERROR(('㉔ Financial Statements'!BD37)/('㉔ Financial Statements'!BD10),0)</f>
        <v>0.134924724987438</v>
      </c>
      <c r="M35" s="45" t="n">
        <f aca="false">IFERROR(('㉔ Financial Statements'!BE37)/('㉔ Financial Statements'!BE10),0)</f>
        <v>0.203685414192763</v>
      </c>
      <c r="N35" s="45" t="n">
        <f aca="false">IFERROR(('㉔ Financial Statements'!BF37)/('㉔ Financial Statements'!BF10),0)</f>
        <v>0.258596920566791</v>
      </c>
      <c r="O35" s="42"/>
    </row>
    <row r="36" customFormat="false" ht="15" hidden="false" customHeight="false" outlineLevel="0" collapsed="false">
      <c r="B36" s="47" t="s">
        <v>138</v>
      </c>
      <c r="C36" s="48" t="n">
        <f aca="false">SUM('㉔ Financial Statements'!C47:N47)</f>
        <v>-583537.8</v>
      </c>
      <c r="D36" s="48" t="n">
        <f aca="false">SUM('㉔ Financial Statements'!O47:Z47)</f>
        <v>-533300.895135181</v>
      </c>
      <c r="E36" s="48" t="n">
        <f aca="false">SUM('㉔ Financial Statements'!AA47:AL47)</f>
        <v>-674052.915894807</v>
      </c>
      <c r="F36" s="48" t="n">
        <f aca="false">SUM('㉔ Financial Statements'!AM47:AX47)</f>
        <v>-521613.926413014</v>
      </c>
      <c r="G36" s="48" t="n">
        <f aca="false">'㉔ Financial Statements'!AY47</f>
        <v>39216.2277912941</v>
      </c>
      <c r="H36" s="48" t="n">
        <f aca="false">'㉔ Financial Statements'!AZ47</f>
        <v>230635.105959378</v>
      </c>
      <c r="I36" s="48" t="n">
        <f aca="false">'㉔ Financial Statements'!BA47</f>
        <v>135704.823044522</v>
      </c>
      <c r="J36" s="48" t="n">
        <f aca="false">'㉔ Financial Statements'!BB47</f>
        <v>341481.719021527</v>
      </c>
      <c r="K36" s="48" t="n">
        <f aca="false">'㉔ Financial Statements'!BC47</f>
        <v>582648.838627274</v>
      </c>
      <c r="L36" s="48" t="n">
        <f aca="false">'㉔ Financial Statements'!BD47</f>
        <v>672265.173706726</v>
      </c>
      <c r="M36" s="48" t="n">
        <f aca="false">'㉔ Financial Statements'!BE47</f>
        <v>1612011.32900697</v>
      </c>
      <c r="N36" s="48" t="n">
        <f aca="false">'㉔ Financial Statements'!BF47</f>
        <v>2753012.59746147</v>
      </c>
      <c r="O36" s="42"/>
    </row>
    <row r="37" customFormat="false" ht="15" hidden="false" customHeight="false" outlineLevel="0" collapsed="false">
      <c r="B37" s="30" t="s">
        <v>139</v>
      </c>
      <c r="C37" s="49" t="n">
        <f aca="false">(SUM('㉔ Financial Statements'!C57:N57))+(SUM('㉔ Financial Statements'!C59:N59))</f>
        <v>-756857.04</v>
      </c>
      <c r="D37" s="49" t="n">
        <f aca="false">(SUM('㉔ Financial Statements'!O57:Z57))+(SUM('㉔ Financial Statements'!O59:Z59))</f>
        <v>-517113.914149014</v>
      </c>
      <c r="E37" s="49" t="n">
        <f aca="false">(SUM('㉔ Financial Statements'!AA57:AL57))+(SUM('㉔ Financial Statements'!AA59:AL59))</f>
        <v>-1085585.77818219</v>
      </c>
      <c r="F37" s="49" t="n">
        <f aca="false">(SUM('㉔ Financial Statements'!AM57:AX57))+(SUM('㉔ Financial Statements'!AM59:AX59))</f>
        <v>-902155.167078029</v>
      </c>
      <c r="G37" s="49" t="n">
        <f aca="false">('㉔ Financial Statements'!AY57)+('㉔ Financial Statements'!AY59)</f>
        <v>253597.783684925</v>
      </c>
      <c r="H37" s="49" t="n">
        <f aca="false">('㉔ Financial Statements'!AZ57)+('㉔ Financial Statements'!AZ59)</f>
        <v>65098.5413035911</v>
      </c>
      <c r="I37" s="49" t="n">
        <f aca="false">('㉔ Financial Statements'!BA57)+('㉔ Financial Statements'!BA59)</f>
        <v>-10332.0930255511</v>
      </c>
      <c r="J37" s="49" t="n">
        <f aca="false">('㉔ Financial Statements'!BB57)+('㉔ Financial Statements'!BB59)</f>
        <v>407491.808348687</v>
      </c>
      <c r="K37" s="49" t="n">
        <f aca="false">('㉔ Financial Statements'!BC57)+('㉔ Financial Statements'!BC59)</f>
        <v>300263.462134697</v>
      </c>
      <c r="L37" s="49" t="n">
        <f aca="false">('㉔ Financial Statements'!BD57)+('㉔ Financial Statements'!BD59)</f>
        <v>219439.91007548</v>
      </c>
      <c r="M37" s="49" t="n">
        <f aca="false">('㉔ Financial Statements'!BE57)+('㉔ Financial Statements'!BE59)</f>
        <v>1108296.05989019</v>
      </c>
      <c r="N37" s="49" t="n">
        <f aca="false">('㉔ Financial Statements'!BF57)+('㉔ Financial Statements'!BF59)</f>
        <v>2567255.30022853</v>
      </c>
      <c r="O37" s="42"/>
    </row>
    <row r="38" customFormat="false" ht="15" hidden="false" customHeight="false" outlineLevel="0" collapsed="false">
      <c r="B38" s="44" t="s">
        <v>140</v>
      </c>
      <c r="C38" s="50" t="n">
        <f aca="false">'㉔ Financial Statements'!N70</f>
        <v>56347.05</v>
      </c>
      <c r="D38" s="50" t="n">
        <f aca="false">'㉔ Financial Statements'!Z70</f>
        <v>2458701.44042895</v>
      </c>
      <c r="E38" s="50" t="n">
        <f aca="false">'㉔ Financial Statements'!AL70</f>
        <v>1358103.49928969</v>
      </c>
      <c r="F38" s="50" t="n">
        <f aca="false">'㉔ Financial Statements'!AX70</f>
        <v>439198.979228438</v>
      </c>
      <c r="G38" s="50" t="n">
        <f aca="false">'㉔ Financial Statements'!AY70</f>
        <v>674109.194295895</v>
      </c>
      <c r="H38" s="50" t="n">
        <f aca="false">'㉔ Financial Statements'!AZ70</f>
        <v>972795.197836835</v>
      </c>
      <c r="I38" s="50" t="n">
        <f aca="false">'㉔ Financial Statements'!BA70</f>
        <v>1291510.87401834</v>
      </c>
      <c r="J38" s="50" t="n">
        <f aca="false">'㉔ Financial Statements'!BB70</f>
        <v>1564288.63746391</v>
      </c>
      <c r="K38" s="50" t="n">
        <f aca="false">'㉔ Financial Statements'!BC70</f>
        <v>2070124.04999339</v>
      </c>
      <c r="L38" s="50" t="n">
        <f aca="false">'㉔ Financial Statements'!BD70</f>
        <v>2242001.58801509</v>
      </c>
      <c r="M38" s="50" t="n">
        <f aca="false">'㉔ Financial Statements'!BE70</f>
        <v>2070876.60205017</v>
      </c>
      <c r="N38" s="50" t="n">
        <f aca="false">'㉔ Financial Statements'!BF70</f>
        <v>1308312.80429382</v>
      </c>
      <c r="O38" s="42"/>
    </row>
    <row r="39" customFormat="false" ht="15" hidden="false" customHeight="false" outlineLevel="0" collapsed="false">
      <c r="B39" s="9" t="s">
        <v>141</v>
      </c>
      <c r="C39" s="51" t="n">
        <f aca="false">'㉕ Funding Gap'!C32</f>
        <v>73284.8375</v>
      </c>
      <c r="D39" s="51" t="n">
        <f aca="false">'㉕ Funding Gap'!D32</f>
        <v>92762.8920091633</v>
      </c>
      <c r="E39" s="51" t="n">
        <f aca="false">'㉕ Funding Gap'!E32</f>
        <v>176195.787239215</v>
      </c>
      <c r="F39" s="51" t="n">
        <f aca="false">'㉕ Funding Gap'!F32</f>
        <v>300945.328458891</v>
      </c>
      <c r="G39" s="51" t="n">
        <f aca="false">'㉕ Funding Gap'!G32</f>
        <v>426537.755565763</v>
      </c>
      <c r="H39" s="51" t="n">
        <f aca="false">'㉕ Funding Gap'!H32</f>
        <v>528761.753644438</v>
      </c>
      <c r="I39" s="51" t="n">
        <f aca="false">'㉕ Funding Gap'!I32</f>
        <v>645062.747661845</v>
      </c>
      <c r="J39" s="51" t="n">
        <f aca="false">'㉕ Funding Gap'!J32</f>
        <v>764288.637463906</v>
      </c>
      <c r="K39" s="51" t="n">
        <f aca="false">'㉕ Funding Gap'!K32</f>
        <v>870124.049993394</v>
      </c>
      <c r="L39" s="51" t="n">
        <f aca="false">'㉕ Funding Gap'!L32</f>
        <v>1042001.58801509</v>
      </c>
      <c r="M39" s="51" t="n">
        <f aca="false">'㉕ Funding Gap'!M32</f>
        <v>1170876.60205017</v>
      </c>
      <c r="N39" s="51" t="n">
        <f aca="false">'㉕ Funding Gap'!N32</f>
        <v>1308312.80429382</v>
      </c>
      <c r="O39" s="9"/>
    </row>
    <row r="40" customFormat="false" ht="15" hidden="false" customHeight="false" outlineLevel="0" collapsed="false">
      <c r="B40" s="36" t="s">
        <v>142</v>
      </c>
      <c r="C40" s="29" t="str">
        <f aca="false">'㉕ Funding Gap'!C69</f>
        <v>✗</v>
      </c>
      <c r="D40" s="29" t="str">
        <f aca="false">'㉕ Funding Gap'!D69</f>
        <v>✓</v>
      </c>
      <c r="E40" s="29" t="str">
        <f aca="false">'㉕ Funding Gap'!E69</f>
        <v>✓</v>
      </c>
      <c r="F40" s="29" t="str">
        <f aca="false">'㉕ Funding Gap'!F69</f>
        <v>✓</v>
      </c>
      <c r="G40" s="29" t="str">
        <f aca="false">'㉕ Funding Gap'!G69</f>
        <v>✓</v>
      </c>
      <c r="H40" s="29" t="str">
        <f aca="false">'㉕ Funding Gap'!H69</f>
        <v>✓</v>
      </c>
      <c r="I40" s="29" t="str">
        <f aca="false">'㉕ Funding Gap'!I69</f>
        <v>✓</v>
      </c>
      <c r="J40" s="29" t="str">
        <f aca="false">'㉕ Funding Gap'!J69</f>
        <v>✓</v>
      </c>
      <c r="K40" s="29" t="str">
        <f aca="false">'㉕ Funding Gap'!K69</f>
        <v>✓</v>
      </c>
      <c r="L40" s="29" t="str">
        <f aca="false">'㉕ Funding Gap'!L69</f>
        <v>✓</v>
      </c>
      <c r="M40" s="29" t="str">
        <f aca="false">'㉕ Funding Gap'!M69</f>
        <v>✓</v>
      </c>
      <c r="N40" s="29" t="str">
        <f aca="false">'㉕ Funding Gap'!N69</f>
        <v>✓</v>
      </c>
      <c r="O40" s="9"/>
    </row>
    <row r="41" customFormat="false" ht="15" hidden="false" customHeight="false" outlineLevel="0" collapsed="false">
      <c r="B41" s="47" t="s">
        <v>143</v>
      </c>
      <c r="C41" s="48" t="n">
        <f aca="false">'㉕ Funding Gap'!C67</f>
        <v>0</v>
      </c>
      <c r="D41" s="48" t="n">
        <f aca="false">'㉕ Funding Gap'!D67</f>
        <v>0</v>
      </c>
      <c r="E41" s="48" t="n">
        <f aca="false">'㉕ Funding Gap'!E67</f>
        <v>0</v>
      </c>
      <c r="F41" s="48" t="n">
        <f aca="false">'㉕ Funding Gap'!F67</f>
        <v>0</v>
      </c>
      <c r="G41" s="48" t="n">
        <f aca="false">'㉕ Funding Gap'!G67</f>
        <v>0</v>
      </c>
      <c r="H41" s="48" t="n">
        <f aca="false">'㉕ Funding Gap'!H67</f>
        <v>0</v>
      </c>
      <c r="I41" s="48" t="n">
        <f aca="false">'㉕ Funding Gap'!I67</f>
        <v>0</v>
      </c>
      <c r="J41" s="48" t="n">
        <f aca="false">'㉕ Funding Gap'!J67</f>
        <v>1504137.36428201</v>
      </c>
      <c r="K41" s="48" t="n">
        <f aca="false">'㉕ Funding Gap'!K67</f>
        <v>494119.104974607</v>
      </c>
      <c r="L41" s="48" t="n">
        <f aca="false">'㉕ Funding Gap'!L67</f>
        <v>711043.781229023</v>
      </c>
      <c r="M41" s="48" t="n">
        <f aca="false">'㉕ Funding Gap'!M67</f>
        <v>4088746.11449583</v>
      </c>
      <c r="N41" s="48" t="n">
        <f aca="false">'㉕ Funding Gap'!N67</f>
        <v>6546590.96133905</v>
      </c>
      <c r="O41" s="48" t="n">
        <f aca="false">SUM(C41:N41)</f>
        <v>13344637.3263205</v>
      </c>
    </row>
    <row r="42" customFormat="false" ht="15" hidden="false" customHeight="false" outlineLevel="0" collapsed="false">
      <c r="B42" s="9" t="s">
        <v>144</v>
      </c>
      <c r="C42" s="52" t="str">
        <f aca="false">'㉕ Funding Gap'!C70</f>
        <v>n/a</v>
      </c>
      <c r="D42" s="52" t="str">
        <f aca="false">'㉕ Funding Gap'!D70</f>
        <v>n/a</v>
      </c>
      <c r="E42" s="52" t="str">
        <f aca="false">'㉕ Funding Gap'!E70</f>
        <v>n/a</v>
      </c>
      <c r="F42" s="52" t="str">
        <f aca="false">'㉕ Funding Gap'!F70</f>
        <v>n/a</v>
      </c>
      <c r="G42" s="52" t="str">
        <f aca="false">'㉕ Funding Gap'!G70</f>
        <v>n/a</v>
      </c>
      <c r="H42" s="52" t="n">
        <f aca="false">'㉕ Funding Gap'!H70</f>
        <v>9.45086739956134</v>
      </c>
      <c r="I42" s="52" t="n">
        <f aca="false">'㉕ Funding Gap'!I70</f>
        <v>3.417838378897</v>
      </c>
      <c r="J42" s="52" t="n">
        <f aca="false">'㉕ Funding Gap'!J70</f>
        <v>3.14570638816977</v>
      </c>
      <c r="K42" s="52" t="n">
        <f aca="false">'㉕ Funding Gap'!K70</f>
        <v>3.56361567864719</v>
      </c>
      <c r="L42" s="52" t="n">
        <f aca="false">'㉕ Funding Gap'!L70</f>
        <v>3.82745260884909</v>
      </c>
      <c r="M42" s="52" t="n">
        <f aca="false">'㉕ Funding Gap'!M70</f>
        <v>7.31348776421491</v>
      </c>
      <c r="N42" s="52" t="n">
        <f aca="false">'㉕ Funding Gap'!N70</f>
        <v>7.3134877642149</v>
      </c>
      <c r="O42" s="9"/>
    </row>
    <row r="43" customFormat="false" ht="15" hidden="false" customHeight="false" outlineLevel="0" collapsed="false">
      <c r="B43" s="9" t="s">
        <v>145</v>
      </c>
      <c r="C43" s="51" t="n">
        <f aca="false">'㉕ Funding Gap'!C62</f>
        <v>0</v>
      </c>
      <c r="D43" s="51" t="n">
        <f aca="false">'㉕ Funding Gap'!D62</f>
        <v>0</v>
      </c>
      <c r="E43" s="51" t="n">
        <f aca="false">'㉕ Funding Gap'!E62</f>
        <v>0</v>
      </c>
      <c r="F43" s="51" t="n">
        <f aca="false">'㉕ Funding Gap'!F62</f>
        <v>0</v>
      </c>
      <c r="G43" s="51" t="n">
        <f aca="false">'㉕ Funding Gap'!G62</f>
        <v>0</v>
      </c>
      <c r="H43" s="51" t="n">
        <f aca="false">'㉕ Funding Gap'!H62</f>
        <v>0</v>
      </c>
      <c r="I43" s="51" t="n">
        <f aca="false">'㉕ Funding Gap'!I62</f>
        <v>0</v>
      </c>
      <c r="J43" s="51" t="n">
        <f aca="false">'㉕ Funding Gap'!J62</f>
        <v>1544391.32458054</v>
      </c>
      <c r="K43" s="51" t="n">
        <f aca="false">'㉕ Funding Gap'!K62</f>
        <v>2443201.6531126</v>
      </c>
      <c r="L43" s="51" t="n">
        <f aca="false">'㉕ Funding Gap'!L62</f>
        <v>3333287.26286231</v>
      </c>
      <c r="M43" s="51" t="n">
        <f aca="false">'㉕ Funding Gap'!M62</f>
        <v>6142612.33150303</v>
      </c>
      <c r="N43" s="51" t="n">
        <f aca="false">'㉕ Funding Gap'!N62</f>
        <v>9359384.19485719</v>
      </c>
      <c r="O43" s="9"/>
    </row>
    <row r="44" customFormat="false" ht="15" hidden="false" customHeight="false" outlineLevel="0" collapsed="false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customFormat="false" ht="15" hidden="false" customHeight="false" outlineLevel="0" collapsed="false">
      <c r="B45" s="21" t="s">
        <v>146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customFormat="false" ht="15" hidden="false" customHeight="false" outlineLevel="0" collapsed="false">
      <c r="B46" s="26" t="s">
        <v>147</v>
      </c>
      <c r="C46" s="27" t="s">
        <v>148</v>
      </c>
      <c r="D46" s="27" t="s">
        <v>149</v>
      </c>
      <c r="E46" s="27" t="s">
        <v>150</v>
      </c>
      <c r="F46" s="9"/>
      <c r="G46" s="9"/>
      <c r="H46" s="9"/>
      <c r="I46" s="9"/>
      <c r="J46" s="9"/>
      <c r="K46" s="9"/>
      <c r="L46" s="9"/>
      <c r="M46" s="9"/>
      <c r="N46" s="9"/>
      <c r="O46" s="9"/>
    </row>
    <row r="47" customFormat="false" ht="15" hidden="false" customHeight="false" outlineLevel="0" collapsed="false">
      <c r="B47" s="9" t="s">
        <v>151</v>
      </c>
      <c r="C47" s="28" t="n">
        <f aca="false">'㉒ Returns'!D18</f>
        <v>1340545</v>
      </c>
      <c r="D47" s="53" t="n">
        <f aca="false">'㉒ Returns'!L18</f>
        <v>24.1011912033</v>
      </c>
      <c r="E47" s="54" t="n">
        <f aca="false">'㉒ Returns'!M18</f>
        <v>0.348942121450419</v>
      </c>
      <c r="F47" s="9"/>
      <c r="G47" s="9"/>
      <c r="H47" s="9"/>
      <c r="I47" s="9"/>
      <c r="J47" s="9"/>
      <c r="K47" s="9"/>
      <c r="L47" s="9"/>
      <c r="M47" s="9"/>
      <c r="N47" s="9"/>
      <c r="O47" s="9"/>
    </row>
    <row r="48" customFormat="false" ht="15" hidden="false" customHeight="false" outlineLevel="0" collapsed="false">
      <c r="B48" s="36" t="s">
        <v>152</v>
      </c>
      <c r="C48" s="55" t="n">
        <f aca="false">'㉒ Returns'!D19</f>
        <v>2500000</v>
      </c>
      <c r="D48" s="56" t="n">
        <f aca="false">'㉒ Returns'!L19</f>
        <v>5.02318943609513</v>
      </c>
      <c r="E48" s="57" t="n">
        <f aca="false">'㉒ Returns'!M19</f>
        <v>0.181307033493337</v>
      </c>
      <c r="F48" s="9"/>
      <c r="G48" s="9"/>
      <c r="H48" s="9"/>
      <c r="I48" s="9"/>
      <c r="J48" s="9"/>
      <c r="K48" s="9"/>
      <c r="L48" s="9"/>
      <c r="M48" s="9"/>
      <c r="N48" s="9"/>
      <c r="O48" s="9"/>
    </row>
    <row r="49" customFormat="false" ht="15" hidden="false" customHeight="false" outlineLevel="0" collapsed="false">
      <c r="B49" s="30" t="s">
        <v>153</v>
      </c>
      <c r="C49" s="31" t="n">
        <f aca="false">'㉒ Returns'!D21</f>
        <v>3840545</v>
      </c>
      <c r="D49" s="58" t="n">
        <f aca="false">'㉒ Returns'!L21</f>
        <v>15.6366764007443</v>
      </c>
      <c r="E49" s="59" t="n">
        <f aca="false">'㉒ Returns'!M21</f>
        <v>0.314141684460381</v>
      </c>
      <c r="F49" s="9"/>
      <c r="G49" s="9"/>
      <c r="H49" s="9"/>
      <c r="I49" s="9"/>
      <c r="J49" s="9"/>
      <c r="K49" s="9"/>
      <c r="L49" s="9"/>
      <c r="M49" s="9"/>
      <c r="N49" s="9"/>
      <c r="O49" s="9"/>
    </row>
    <row r="50" customFormat="false" ht="15" hidden="false" customHeight="false" outlineLevel="0" collapsed="false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customFormat="false" ht="15" hidden="false" customHeight="false" outlineLevel="0" collapsed="false">
      <c r="B51" s="21" t="s">
        <v>154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customFormat="false" ht="15" hidden="false" customHeight="false" outlineLevel="0" collapsed="false">
      <c r="B52" s="9" t="s">
        <v>155</v>
      </c>
      <c r="C52" s="28" t="n">
        <f aca="false">'㉒ Returns'!P18</f>
        <v>6500000</v>
      </c>
      <c r="D52" s="18" t="str">
        <f aca="false">TEXT(C52/'🎚️ Escenario'!E29,"0.00")&amp;"x ingreso fwd 2027"</f>
        <v>3.91x ingreso fwd 2027</v>
      </c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customFormat="false" ht="15" hidden="false" customHeight="false" outlineLevel="0" collapsed="false">
      <c r="B53" s="9" t="s">
        <v>156</v>
      </c>
      <c r="C53" s="28" t="n">
        <f aca="false">'㉒ Returns'!P17</f>
        <v>2500000</v>
      </c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customFormat="false" ht="15" hidden="false" customHeight="false" outlineLevel="0" collapsed="false">
      <c r="B54" s="36" t="s">
        <v>157</v>
      </c>
      <c r="C54" s="55" t="n">
        <f aca="false">'㉒ Returns'!P20</f>
        <v>9000000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customFormat="false" ht="15" hidden="false" customHeight="false" outlineLevel="0" collapsed="false">
      <c r="B55" s="36" t="s">
        <v>158</v>
      </c>
      <c r="C55" s="60" t="n">
        <f aca="false">'㉒ Returns'!P21</f>
        <v>0.277777777777778</v>
      </c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customFormat="false" ht="15" hidden="false" customHeight="false" outlineLevel="0" collapsed="false">
      <c r="B56" s="9" t="s">
        <v>159</v>
      </c>
      <c r="C56" s="61" t="n">
        <f aca="false">'㉒ Returns'!P19</f>
        <v>64.4911647104347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customFormat="false" ht="15" hidden="false" customHeight="false" outlineLevel="0" collapsed="false">
      <c r="B57" s="9" t="s">
        <v>160</v>
      </c>
      <c r="C57" s="9" t="str">
        <f aca="false">TEXT('㉒ Returns'!C5,"0")&amp;" a "&amp;TEXT('㉒ Returns'!C7,"0.0")&amp;"x EBITDA"</f>
        <v>2036 a 10.0x EBITDA</v>
      </c>
      <c r="D57" s="18" t="str">
        <f aca="false">"EV "&amp;TEXT('㉒ Returns'!C8,"$#,##0")&amp;"  ·  equity "&amp;TEXT('㉒ Returns'!C10,"$#,##0")</f>
        <v>EV $54,759,793  ·  equity $46,708,722</v>
      </c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customFormat="false" ht="15" hidden="false" customHeight="false" outlineLevel="0" collapsed="false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customFormat="false" ht="15" hidden="false" customHeight="false" outlineLevel="0" collapsed="false">
      <c r="B59" s="62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customFormat="false" ht="15" hidden="false" customHeight="false" outlineLevel="0" collapsed="false">
      <c r="B60" s="21" t="s">
        <v>161</v>
      </c>
      <c r="C60" s="25"/>
      <c r="D60" s="25"/>
      <c r="E60" s="25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customFormat="false" ht="15" hidden="false" customHeight="false" outlineLevel="0" collapsed="false">
      <c r="B61" s="62" t="s">
        <v>162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customFormat="false" ht="15" hidden="false" customHeight="false" outlineLevel="0" collapsed="false">
      <c r="B62" s="26" t="s">
        <v>163</v>
      </c>
      <c r="C62" s="27" t="s">
        <v>164</v>
      </c>
      <c r="D62" s="27" t="s">
        <v>165</v>
      </c>
      <c r="E62" s="27" t="s">
        <v>166</v>
      </c>
      <c r="F62" s="27" t="s">
        <v>167</v>
      </c>
      <c r="G62" s="9"/>
      <c r="H62" s="9"/>
      <c r="I62" s="9"/>
      <c r="J62" s="9"/>
      <c r="K62" s="9"/>
      <c r="L62" s="9"/>
      <c r="M62" s="9"/>
      <c r="N62" s="9"/>
      <c r="O62" s="9"/>
    </row>
    <row r="63" customFormat="false" ht="15" hidden="false" customHeight="false" outlineLevel="0" collapsed="false">
      <c r="B63" s="36" t="s">
        <v>168</v>
      </c>
      <c r="C63" s="38" t="n">
        <v>75</v>
      </c>
      <c r="D63" s="38" t="n">
        <v>75</v>
      </c>
      <c r="E63" s="38" t="n">
        <v>19</v>
      </c>
      <c r="F63" s="38" t="n">
        <v>63</v>
      </c>
      <c r="G63" s="9"/>
      <c r="H63" s="9"/>
      <c r="I63" s="9"/>
      <c r="J63" s="9"/>
      <c r="K63" s="9"/>
      <c r="L63" s="9"/>
      <c r="M63" s="9"/>
      <c r="N63" s="9"/>
      <c r="O63" s="9"/>
    </row>
    <row r="64" customFormat="false" ht="15" hidden="false" customHeight="false" outlineLevel="0" collapsed="false">
      <c r="B64" s="9" t="s">
        <v>169</v>
      </c>
      <c r="C64" s="63" t="n">
        <v>42</v>
      </c>
      <c r="D64" s="63" t="n">
        <v>34</v>
      </c>
      <c r="E64" s="63" t="n">
        <v>19</v>
      </c>
      <c r="F64" s="63" t="n">
        <v>27</v>
      </c>
      <c r="G64" s="9"/>
      <c r="H64" s="9"/>
      <c r="I64" s="9"/>
      <c r="J64" s="9"/>
      <c r="K64" s="9"/>
      <c r="L64" s="9"/>
      <c r="M64" s="9"/>
      <c r="N64" s="9"/>
      <c r="O64" s="9"/>
    </row>
    <row r="65" customFormat="false" ht="15" hidden="false" customHeight="false" outlineLevel="0" collapsed="false">
      <c r="B65" s="36" t="s">
        <v>50</v>
      </c>
      <c r="C65" s="55" t="n">
        <v>24274008.6417282</v>
      </c>
      <c r="D65" s="55" t="n">
        <v>21175732.9946998</v>
      </c>
      <c r="E65" s="55" t="n">
        <v>7253400</v>
      </c>
      <c r="F65" s="55" t="n">
        <v>16491893.0785221</v>
      </c>
      <c r="G65" s="9"/>
      <c r="H65" s="9"/>
      <c r="I65" s="9"/>
      <c r="J65" s="9"/>
      <c r="K65" s="9"/>
      <c r="L65" s="9"/>
      <c r="M65" s="9"/>
      <c r="N65" s="9"/>
      <c r="O65" s="9"/>
    </row>
    <row r="66" customFormat="false" ht="15" hidden="false" customHeight="false" outlineLevel="0" collapsed="false">
      <c r="B66" s="9" t="s">
        <v>51</v>
      </c>
      <c r="C66" s="28" t="n">
        <v>6116686.17059715</v>
      </c>
      <c r="D66" s="28" t="n">
        <v>5475979.34317395</v>
      </c>
      <c r="E66" s="28" t="n">
        <v>1105354.71399446</v>
      </c>
      <c r="F66" s="28" t="n">
        <v>4056194.75357942</v>
      </c>
      <c r="G66" s="9"/>
      <c r="H66" s="9"/>
      <c r="I66" s="9"/>
      <c r="J66" s="9"/>
      <c r="K66" s="9"/>
      <c r="L66" s="9"/>
      <c r="M66" s="9"/>
      <c r="N66" s="9"/>
      <c r="O66" s="9"/>
    </row>
    <row r="67" customFormat="false" ht="15" hidden="false" customHeight="false" outlineLevel="0" collapsed="false">
      <c r="B67" s="9" t="s">
        <v>48</v>
      </c>
      <c r="C67" s="28" t="n">
        <v>3500000</v>
      </c>
      <c r="D67" s="28" t="n">
        <v>2500000</v>
      </c>
      <c r="E67" s="28" t="n">
        <v>2800000</v>
      </c>
      <c r="F67" s="28" t="n">
        <v>1650000</v>
      </c>
      <c r="G67" s="9"/>
      <c r="H67" s="9"/>
      <c r="I67" s="9"/>
      <c r="J67" s="9"/>
      <c r="K67" s="9"/>
      <c r="L67" s="9"/>
      <c r="M67" s="9"/>
      <c r="N67" s="9"/>
      <c r="O67" s="9"/>
    </row>
    <row r="68" customFormat="false" ht="15" hidden="false" customHeight="false" outlineLevel="0" collapsed="false">
      <c r="B68" s="36" t="s">
        <v>170</v>
      </c>
      <c r="C68" s="55" t="n">
        <v>3230797.59627568</v>
      </c>
      <c r="D68" s="55" t="n">
        <v>2361746.34923045</v>
      </c>
      <c r="E68" s="55" t="n">
        <v>2477363.98577516</v>
      </c>
      <c r="F68" s="55" t="n">
        <v>1638281.00806215</v>
      </c>
      <c r="G68" s="9"/>
      <c r="H68" s="9"/>
      <c r="I68" s="9"/>
      <c r="J68" s="9"/>
      <c r="K68" s="9"/>
      <c r="L68" s="9"/>
      <c r="M68" s="9"/>
      <c r="N68" s="9"/>
      <c r="O68" s="9"/>
    </row>
    <row r="69" customFormat="false" ht="15" hidden="false" customHeight="false" outlineLevel="0" collapsed="false">
      <c r="B69" s="36" t="s">
        <v>171</v>
      </c>
      <c r="C69" s="64" t="s">
        <v>172</v>
      </c>
      <c r="D69" s="64" t="s">
        <v>173</v>
      </c>
      <c r="E69" s="64" t="s">
        <v>174</v>
      </c>
      <c r="F69" s="64" t="s">
        <v>175</v>
      </c>
      <c r="G69" s="9"/>
      <c r="H69" s="9"/>
      <c r="I69" s="9"/>
      <c r="J69" s="9"/>
      <c r="K69" s="9"/>
      <c r="L69" s="9"/>
      <c r="M69" s="9"/>
      <c r="N69" s="9"/>
      <c r="O69" s="9"/>
    </row>
    <row r="70" customFormat="false" ht="15" hidden="false" customHeight="false" outlineLevel="0" collapsed="false">
      <c r="B70" s="36" t="s">
        <v>155</v>
      </c>
      <c r="C70" s="65" t="n">
        <v>7500000</v>
      </c>
      <c r="D70" s="65" t="n">
        <v>6500000</v>
      </c>
      <c r="E70" s="65" t="n">
        <v>950000</v>
      </c>
      <c r="F70" s="65" t="n">
        <v>3300000</v>
      </c>
      <c r="G70" s="9"/>
      <c r="H70" s="9"/>
      <c r="I70" s="9"/>
      <c r="J70" s="9"/>
      <c r="K70" s="9"/>
      <c r="L70" s="9"/>
      <c r="M70" s="9"/>
      <c r="N70" s="9"/>
      <c r="O70" s="9"/>
    </row>
    <row r="71" customFormat="false" ht="15" hidden="false" customHeight="false" outlineLevel="0" collapsed="false">
      <c r="B71" s="36" t="s">
        <v>158</v>
      </c>
      <c r="C71" s="66" t="n">
        <v>0.318181818181818</v>
      </c>
      <c r="D71" s="66" t="n">
        <v>0.277777777777778</v>
      </c>
      <c r="E71" s="66" t="n">
        <v>0.746666666666667</v>
      </c>
      <c r="F71" s="66" t="n">
        <v>0.333333333333333</v>
      </c>
      <c r="G71" s="9"/>
      <c r="H71" s="9"/>
      <c r="I71" s="9"/>
      <c r="J71" s="9"/>
      <c r="K71" s="9"/>
      <c r="L71" s="9"/>
      <c r="M71" s="9"/>
      <c r="N71" s="9"/>
      <c r="O71" s="9"/>
    </row>
    <row r="72" customFormat="false" ht="15" hidden="false" customHeight="false" outlineLevel="0" collapsed="false">
      <c r="B72" s="36" t="s">
        <v>176</v>
      </c>
      <c r="C72" s="28" t="n">
        <v>1050000</v>
      </c>
      <c r="D72" s="28" t="n">
        <v>800000</v>
      </c>
      <c r="E72" s="28" t="n">
        <v>2434149.9015552</v>
      </c>
      <c r="F72" s="28" t="n">
        <v>1824064.85018554</v>
      </c>
      <c r="G72" s="9"/>
      <c r="H72" s="9"/>
      <c r="I72" s="9"/>
      <c r="J72" s="9"/>
      <c r="K72" s="9"/>
      <c r="L72" s="9"/>
      <c r="M72" s="9"/>
      <c r="N72" s="9"/>
      <c r="O72" s="9"/>
    </row>
    <row r="73" customFormat="false" ht="15" hidden="false" customHeight="false" outlineLevel="0" collapsed="false">
      <c r="B73" s="36" t="s">
        <v>177</v>
      </c>
      <c r="C73" s="67" t="n">
        <v>2.84075175941716</v>
      </c>
      <c r="D73" s="67" t="n">
        <v>3.14570638816977</v>
      </c>
      <c r="E73" s="67" t="n">
        <v>1.23691178513528</v>
      </c>
      <c r="F73" s="67" t="n">
        <v>1.5</v>
      </c>
      <c r="G73" s="9"/>
      <c r="H73" s="9"/>
      <c r="I73" s="9"/>
      <c r="J73" s="9"/>
      <c r="K73" s="9"/>
      <c r="L73" s="9"/>
      <c r="M73" s="9"/>
      <c r="N73" s="9"/>
      <c r="O73" s="9"/>
    </row>
    <row r="74" customFormat="false" ht="15" hidden="false" customHeight="false" outlineLevel="0" collapsed="false">
      <c r="B74" s="36" t="s">
        <v>178</v>
      </c>
      <c r="C74" s="68" t="n">
        <v>2030</v>
      </c>
      <c r="D74" s="68" t="n">
        <v>2032</v>
      </c>
      <c r="E74" s="68" t="n">
        <v>2029</v>
      </c>
      <c r="F74" s="68" t="s">
        <v>179</v>
      </c>
      <c r="G74" s="9"/>
      <c r="H74" s="9"/>
      <c r="I74" s="9"/>
      <c r="J74" s="9"/>
      <c r="K74" s="9"/>
      <c r="L74" s="9"/>
      <c r="M74" s="9"/>
      <c r="N74" s="9"/>
      <c r="O74" s="9"/>
    </row>
    <row r="75" customFormat="false" ht="15" hidden="false" customHeight="false" outlineLevel="0" collapsed="false">
      <c r="B75" s="36" t="s">
        <v>180</v>
      </c>
      <c r="C75" s="69" t="n">
        <v>17124024.7412539</v>
      </c>
      <c r="D75" s="69" t="n">
        <v>13344637.3263205</v>
      </c>
      <c r="E75" s="69" t="n">
        <v>6726213.77558889</v>
      </c>
      <c r="F75" s="69" t="n">
        <v>0</v>
      </c>
      <c r="G75" s="9"/>
      <c r="H75" s="9"/>
      <c r="I75" s="9"/>
      <c r="J75" s="9"/>
      <c r="K75" s="9"/>
      <c r="L75" s="9"/>
      <c r="M75" s="9"/>
      <c r="N75" s="9"/>
      <c r="O75" s="9"/>
    </row>
    <row r="76" customFormat="false" ht="15" hidden="false" customHeight="false" outlineLevel="0" collapsed="false">
      <c r="B76" s="30" t="s">
        <v>181</v>
      </c>
      <c r="C76" s="70" t="n">
        <v>52225510.2928371</v>
      </c>
      <c r="D76" s="70" t="n">
        <v>46708722.0411761</v>
      </c>
      <c r="E76" s="70" t="n">
        <v>9676644.2059186</v>
      </c>
      <c r="F76" s="70" t="n">
        <v>43768083.8844234</v>
      </c>
      <c r="G76" s="9"/>
      <c r="H76" s="9"/>
      <c r="I76" s="9"/>
      <c r="J76" s="9"/>
      <c r="K76" s="9"/>
      <c r="L76" s="9"/>
      <c r="M76" s="9"/>
      <c r="N76" s="9"/>
      <c r="O76" s="9"/>
    </row>
    <row r="77" customFormat="false" ht="15" hidden="false" customHeight="false" outlineLevel="0" collapsed="false">
      <c r="B77" s="36" t="s">
        <v>182</v>
      </c>
      <c r="C77" s="69" t="n">
        <v>10454461.619062</v>
      </c>
      <c r="D77" s="69" t="n">
        <v>9359384.1948572</v>
      </c>
      <c r="E77" s="69" t="n">
        <v>1889240.04119312</v>
      </c>
      <c r="F77" s="69" t="n">
        <v>0</v>
      </c>
      <c r="G77" s="9"/>
      <c r="H77" s="9"/>
      <c r="I77" s="9"/>
      <c r="J77" s="9"/>
      <c r="K77" s="9"/>
      <c r="L77" s="9"/>
      <c r="M77" s="9"/>
      <c r="N77" s="9"/>
      <c r="O77" s="9"/>
    </row>
    <row r="78" customFormat="false" ht="15" hidden="false" customHeight="false" outlineLevel="0" collapsed="false">
      <c r="B78" s="36" t="s">
        <v>183</v>
      </c>
      <c r="C78" s="52" t="n">
        <v>4.83603001565075</v>
      </c>
      <c r="D78" s="52" t="n">
        <v>5.02318943609512</v>
      </c>
      <c r="E78" s="52" t="n">
        <v>3.99468682596724</v>
      </c>
      <c r="F78" s="52" t="n">
        <v>6.2476257660516</v>
      </c>
      <c r="G78" s="9"/>
      <c r="H78" s="9"/>
      <c r="I78" s="9"/>
      <c r="J78" s="9"/>
      <c r="K78" s="9"/>
      <c r="L78" s="9"/>
      <c r="M78" s="9"/>
      <c r="N78" s="9"/>
      <c r="O78" s="9"/>
    </row>
    <row r="79" customFormat="false" ht="15" hidden="false" customHeight="false" outlineLevel="0" collapsed="false">
      <c r="B79" s="36" t="s">
        <v>184</v>
      </c>
      <c r="C79" s="54" t="n">
        <v>0.180442928368106</v>
      </c>
      <c r="D79" s="54" t="n">
        <v>0.181307033493342</v>
      </c>
      <c r="E79" s="54" t="n">
        <v>0.201608690497225</v>
      </c>
      <c r="F79" s="54" t="n">
        <v>0.201078798173163</v>
      </c>
      <c r="G79" s="9"/>
      <c r="H79" s="9"/>
      <c r="I79" s="9"/>
      <c r="J79" s="9"/>
      <c r="K79" s="9"/>
      <c r="L79" s="9"/>
      <c r="M79" s="9"/>
      <c r="N79" s="9"/>
      <c r="O79" s="9"/>
    </row>
    <row r="80" customFormat="false" ht="15" hidden="false" customHeight="false" outlineLevel="0" collapsed="false">
      <c r="B80" s="36" t="s">
        <v>185</v>
      </c>
      <c r="C80" s="52" t="n">
        <v>26.7449890913063</v>
      </c>
      <c r="D80" s="52" t="n">
        <v>24.1011912033</v>
      </c>
      <c r="E80" s="52" t="n">
        <v>2.78132043259041</v>
      </c>
      <c r="F80" s="52" t="n">
        <v>15.374348126185</v>
      </c>
      <c r="G80" s="9"/>
      <c r="H80" s="9"/>
      <c r="I80" s="9"/>
      <c r="J80" s="9"/>
      <c r="K80" s="9"/>
      <c r="L80" s="9"/>
      <c r="M80" s="9"/>
      <c r="N80" s="9"/>
      <c r="O80" s="9"/>
    </row>
    <row r="81" customFormat="false" ht="15" hidden="false" customHeight="false" outlineLevel="0" collapsed="false">
      <c r="B81" s="36" t="s">
        <v>186</v>
      </c>
      <c r="C81" s="54" t="n">
        <v>0.373748445696352</v>
      </c>
      <c r="D81" s="54" t="n">
        <v>0.348942121450419</v>
      </c>
      <c r="E81" s="54" t="n">
        <v>0.122382765899589</v>
      </c>
      <c r="F81" s="54" t="n">
        <v>0.282007630371744</v>
      </c>
      <c r="G81" s="9"/>
      <c r="H81" s="9"/>
      <c r="I81" s="9"/>
      <c r="J81" s="9"/>
      <c r="K81" s="9"/>
      <c r="L81" s="9"/>
      <c r="M81" s="9"/>
      <c r="N81" s="9"/>
      <c r="O81" s="9"/>
    </row>
    <row r="82" customFormat="false" ht="15" hidden="false" customHeight="false" outlineLevel="0" collapsed="false">
      <c r="B82" s="36" t="s">
        <v>53</v>
      </c>
      <c r="C82" s="54" t="n">
        <v>0.312981886953416</v>
      </c>
      <c r="D82" s="54" t="n">
        <v>0.314141684460381</v>
      </c>
      <c r="E82" s="54" t="n">
        <v>0.186524260877528</v>
      </c>
      <c r="F82" s="54" t="n">
        <v>0.291819126915268</v>
      </c>
      <c r="G82" s="9"/>
      <c r="H82" s="9"/>
      <c r="I82" s="9"/>
      <c r="J82" s="9"/>
      <c r="K82" s="9"/>
      <c r="L82" s="9"/>
      <c r="M82" s="9"/>
      <c r="N82" s="9"/>
      <c r="O82" s="9"/>
    </row>
    <row r="83" customFormat="false" ht="15" hidden="false" customHeight="false" outlineLevel="0" collapsed="false">
      <c r="B83" s="62" t="s">
        <v>187</v>
      </c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</row>
    <row r="84" customFormat="false" ht="15" hidden="false" customHeight="false" outlineLevel="0" collapsed="false">
      <c r="B84" s="62" t="s">
        <v>188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</row>
    <row r="85" customFormat="false" ht="15" hidden="false" customHeight="false" outlineLevel="0" collapsed="false">
      <c r="B85" s="62" t="s">
        <v>189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</row>
    <row r="86" customFormat="false" ht="15" hidden="false" customHeight="false" outlineLevel="0" collapsed="false">
      <c r="B86" s="62" t="s">
        <v>190</v>
      </c>
    </row>
  </sheetData>
  <mergeCells count="1">
    <mergeCell ref="B1:N1"/>
  </mergeCells>
  <dataValidations count="1">
    <dataValidation allowBlank="true" errorStyle="stop" operator="between" showDropDown="false" showErrorMessage="true" showInputMessage="true" sqref="C4" type="list">
      <formula1>"A,A slow,Primera Ola,7 + Autofinanciado"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5523A"/>
    <pageSetUpPr fitToPage="false"/>
  </sheetPr>
  <dimension ref="B1:BF15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5" topLeftCell="Q73" activePane="bottomRight" state="frozen"/>
      <selection pane="topLeft" activeCell="A1" activeCellId="0" sqref="A1"/>
      <selection pane="topRight" activeCell="Q1" activeCellId="0" sqref="Q1"/>
      <selection pane="bottomLeft" activeCell="A73" activeCellId="0" sqref="A73"/>
      <selection pane="bottomRight" activeCell="X70" activeCellId="0" sqref="X70"/>
    </sheetView>
  </sheetViews>
  <sheetFormatPr defaultColWidth="10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.67"/>
    <col collapsed="false" customWidth="true" hidden="false" outlineLevel="0" max="58" min="3" style="0" width="12.5"/>
  </cols>
  <sheetData>
    <row r="1" customFormat="false" ht="18.75" hidden="false" customHeight="true" outlineLevel="0" collapsed="false">
      <c r="B1" s="71" t="s">
        <v>191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</row>
    <row r="2" customFormat="false" ht="15" hidden="false" customHeight="false" outlineLevel="0" collapsed="false">
      <c r="B2" s="44" t="s">
        <v>192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</row>
    <row r="3" customFormat="false" ht="15" hidden="false" customHeight="false" outlineLevel="0" collapsed="false"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72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72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72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72"/>
      <c r="AZ3" s="36"/>
      <c r="BA3" s="36"/>
      <c r="BB3" s="36"/>
      <c r="BC3" s="36"/>
      <c r="BD3" s="36"/>
      <c r="BE3" s="36"/>
      <c r="BF3" s="36"/>
    </row>
    <row r="4" customFormat="false" ht="15" hidden="false" customHeight="false" outlineLevel="0" collapsed="false">
      <c r="B4" s="73" t="s">
        <v>193</v>
      </c>
      <c r="C4" s="74" t="s">
        <v>194</v>
      </c>
      <c r="D4" s="74" t="s">
        <v>194</v>
      </c>
      <c r="E4" s="74" t="s">
        <v>194</v>
      </c>
      <c r="F4" s="74" t="s">
        <v>194</v>
      </c>
      <c r="G4" s="74" t="s">
        <v>194</v>
      </c>
      <c r="H4" s="74" t="s">
        <v>194</v>
      </c>
      <c r="I4" s="74" t="s">
        <v>194</v>
      </c>
      <c r="J4" s="74" t="s">
        <v>194</v>
      </c>
      <c r="K4" s="74" t="s">
        <v>194</v>
      </c>
      <c r="L4" s="74" t="s">
        <v>194</v>
      </c>
      <c r="M4" s="74" t="s">
        <v>194</v>
      </c>
      <c r="N4" s="74" t="s">
        <v>194</v>
      </c>
      <c r="O4" s="75" t="s">
        <v>194</v>
      </c>
      <c r="P4" s="74" t="s">
        <v>194</v>
      </c>
      <c r="Q4" s="74" t="s">
        <v>194</v>
      </c>
      <c r="R4" s="74" t="s">
        <v>194</v>
      </c>
      <c r="S4" s="73" t="s">
        <v>194</v>
      </c>
      <c r="T4" s="73" t="s">
        <v>194</v>
      </c>
      <c r="U4" s="73" t="s">
        <v>194</v>
      </c>
      <c r="V4" s="73" t="s">
        <v>194</v>
      </c>
      <c r="W4" s="73" t="s">
        <v>194</v>
      </c>
      <c r="X4" s="73" t="s">
        <v>195</v>
      </c>
      <c r="Y4" s="73" t="s">
        <v>195</v>
      </c>
      <c r="Z4" s="73" t="s">
        <v>195</v>
      </c>
      <c r="AA4" s="76" t="s">
        <v>195</v>
      </c>
      <c r="AB4" s="73" t="s">
        <v>195</v>
      </c>
      <c r="AC4" s="73" t="s">
        <v>195</v>
      </c>
      <c r="AD4" s="73" t="s">
        <v>195</v>
      </c>
      <c r="AE4" s="73" t="s">
        <v>195</v>
      </c>
      <c r="AF4" s="73" t="s">
        <v>195</v>
      </c>
      <c r="AG4" s="73" t="s">
        <v>195</v>
      </c>
      <c r="AH4" s="73" t="s">
        <v>195</v>
      </c>
      <c r="AI4" s="73" t="s">
        <v>195</v>
      </c>
      <c r="AJ4" s="77" t="s">
        <v>195</v>
      </c>
      <c r="AK4" s="77" t="s">
        <v>195</v>
      </c>
      <c r="AL4" s="77" t="s">
        <v>195</v>
      </c>
      <c r="AM4" s="78" t="s">
        <v>195</v>
      </c>
      <c r="AN4" s="77" t="s">
        <v>195</v>
      </c>
      <c r="AO4" s="77" t="s">
        <v>195</v>
      </c>
      <c r="AP4" s="77" t="s">
        <v>195</v>
      </c>
      <c r="AQ4" s="77" t="s">
        <v>195</v>
      </c>
      <c r="AR4" s="77" t="s">
        <v>195</v>
      </c>
      <c r="AS4" s="77" t="s">
        <v>195</v>
      </c>
      <c r="AT4" s="77" t="s">
        <v>195</v>
      </c>
      <c r="AU4" s="77" t="s">
        <v>195</v>
      </c>
      <c r="AV4" s="77" t="s">
        <v>195</v>
      </c>
      <c r="AW4" s="77" t="s">
        <v>195</v>
      </c>
      <c r="AX4" s="77" t="s">
        <v>195</v>
      </c>
      <c r="AY4" s="79" t="s">
        <v>196</v>
      </c>
      <c r="AZ4" s="27" t="s">
        <v>196</v>
      </c>
      <c r="BA4" s="27" t="s">
        <v>196</v>
      </c>
      <c r="BB4" s="27" t="s">
        <v>196</v>
      </c>
      <c r="BC4" s="27" t="s">
        <v>196</v>
      </c>
      <c r="BD4" s="27" t="s">
        <v>196</v>
      </c>
      <c r="BE4" s="27" t="s">
        <v>196</v>
      </c>
      <c r="BF4" s="27" t="s">
        <v>196</v>
      </c>
    </row>
    <row r="5" customFormat="false" ht="15" hidden="false" customHeight="false" outlineLevel="0" collapsed="false">
      <c r="B5" s="27" t="s">
        <v>197</v>
      </c>
      <c r="C5" s="80" t="n">
        <f aca="false">DATE(2025,1,1)</f>
        <v>45658</v>
      </c>
      <c r="D5" s="80" t="n">
        <f aca="false">DATE(2025,2,1)</f>
        <v>45689</v>
      </c>
      <c r="E5" s="80" t="n">
        <f aca="false">DATE(2025,3,1)</f>
        <v>45717</v>
      </c>
      <c r="F5" s="80" t="n">
        <f aca="false">DATE(2025,4,1)</f>
        <v>45748</v>
      </c>
      <c r="G5" s="80" t="n">
        <f aca="false">DATE(2025,5,1)</f>
        <v>45778</v>
      </c>
      <c r="H5" s="80" t="n">
        <f aca="false">DATE(2025,6,1)</f>
        <v>45809</v>
      </c>
      <c r="I5" s="80" t="n">
        <f aca="false">DATE(2025,7,1)</f>
        <v>45839</v>
      </c>
      <c r="J5" s="80" t="n">
        <f aca="false">DATE(2025,8,1)</f>
        <v>45870</v>
      </c>
      <c r="K5" s="80" t="n">
        <f aca="false">DATE(2025,9,1)</f>
        <v>45901</v>
      </c>
      <c r="L5" s="80" t="n">
        <f aca="false">DATE(2025,10,1)</f>
        <v>45931</v>
      </c>
      <c r="M5" s="80" t="n">
        <f aca="false">DATE(2025,11,1)</f>
        <v>45962</v>
      </c>
      <c r="N5" s="80" t="n">
        <f aca="false">DATE(2025,12,1)</f>
        <v>45992</v>
      </c>
      <c r="O5" s="81" t="n">
        <f aca="false">DATE(2026,1,1)</f>
        <v>46023</v>
      </c>
      <c r="P5" s="80" t="n">
        <f aca="false">DATE(2026,2,1)</f>
        <v>46054</v>
      </c>
      <c r="Q5" s="80" t="n">
        <f aca="false">DATE(2026,3,1)</f>
        <v>46082</v>
      </c>
      <c r="R5" s="80" t="n">
        <f aca="false">DATE(2026,4,1)</f>
        <v>46113</v>
      </c>
      <c r="S5" s="80" t="n">
        <f aca="false">DATE(2026,5,1)</f>
        <v>46143</v>
      </c>
      <c r="T5" s="80" t="n">
        <f aca="false">DATE(2026,6,1)</f>
        <v>46174</v>
      </c>
      <c r="U5" s="80" t="n">
        <f aca="false">DATE(2026,7,1)</f>
        <v>46204</v>
      </c>
      <c r="V5" s="80" t="n">
        <f aca="false">DATE(2026,8,1)</f>
        <v>46235</v>
      </c>
      <c r="W5" s="80" t="n">
        <f aca="false">DATE(2026,9,1)</f>
        <v>46266</v>
      </c>
      <c r="X5" s="80" t="n">
        <f aca="false">DATE(2026,10,1)</f>
        <v>46296</v>
      </c>
      <c r="Y5" s="80" t="n">
        <f aca="false">DATE(2026,11,1)</f>
        <v>46327</v>
      </c>
      <c r="Z5" s="80" t="n">
        <f aca="false">DATE(2026,12,1)</f>
        <v>46357</v>
      </c>
      <c r="AA5" s="81" t="n">
        <f aca="false">DATE(2027,1,1)</f>
        <v>46388</v>
      </c>
      <c r="AB5" s="80" t="n">
        <f aca="false">DATE(2027,2,1)</f>
        <v>46419</v>
      </c>
      <c r="AC5" s="80" t="n">
        <f aca="false">DATE(2027,3,1)</f>
        <v>46447</v>
      </c>
      <c r="AD5" s="80" t="n">
        <f aca="false">DATE(2027,4,1)</f>
        <v>46478</v>
      </c>
      <c r="AE5" s="80" t="n">
        <f aca="false">DATE(2027,5,1)</f>
        <v>46508</v>
      </c>
      <c r="AF5" s="80" t="n">
        <f aca="false">DATE(2027,6,1)</f>
        <v>46539</v>
      </c>
      <c r="AG5" s="80" t="n">
        <f aca="false">DATE(2027,7,1)</f>
        <v>46569</v>
      </c>
      <c r="AH5" s="80" t="n">
        <f aca="false">DATE(2027,8,1)</f>
        <v>46600</v>
      </c>
      <c r="AI5" s="80" t="n">
        <f aca="false">DATE(2027,9,1)</f>
        <v>46631</v>
      </c>
      <c r="AJ5" s="80" t="n">
        <f aca="false">DATE(2027,10,1)</f>
        <v>46661</v>
      </c>
      <c r="AK5" s="80" t="n">
        <f aca="false">DATE(2027,11,1)</f>
        <v>46692</v>
      </c>
      <c r="AL5" s="80" t="n">
        <f aca="false">DATE(2027,12,1)</f>
        <v>46722</v>
      </c>
      <c r="AM5" s="81" t="n">
        <f aca="false">DATE(2028,1,1)</f>
        <v>46753</v>
      </c>
      <c r="AN5" s="80" t="n">
        <f aca="false">DATE(2028,2,1)</f>
        <v>46784</v>
      </c>
      <c r="AO5" s="80" t="n">
        <f aca="false">DATE(2028,3,1)</f>
        <v>46813</v>
      </c>
      <c r="AP5" s="80" t="n">
        <f aca="false">DATE(2028,4,1)</f>
        <v>46844</v>
      </c>
      <c r="AQ5" s="80" t="n">
        <f aca="false">DATE(2028,5,1)</f>
        <v>46874</v>
      </c>
      <c r="AR5" s="80" t="n">
        <f aca="false">DATE(2028,6,1)</f>
        <v>46905</v>
      </c>
      <c r="AS5" s="80" t="n">
        <f aca="false">DATE(2028,7,1)</f>
        <v>46935</v>
      </c>
      <c r="AT5" s="80" t="n">
        <f aca="false">DATE(2028,8,1)</f>
        <v>46966</v>
      </c>
      <c r="AU5" s="80" t="n">
        <f aca="false">DATE(2028,9,1)</f>
        <v>46997</v>
      </c>
      <c r="AV5" s="80" t="n">
        <f aca="false">DATE(2028,10,1)</f>
        <v>47027</v>
      </c>
      <c r="AW5" s="80" t="n">
        <f aca="false">DATE(2028,11,1)</f>
        <v>47058</v>
      </c>
      <c r="AX5" s="80" t="n">
        <f aca="false">DATE(2028,12,1)</f>
        <v>47088</v>
      </c>
      <c r="AY5" s="82" t="s">
        <v>198</v>
      </c>
      <c r="AZ5" s="83" t="s">
        <v>199</v>
      </c>
      <c r="BA5" s="83" t="s">
        <v>200</v>
      </c>
      <c r="BB5" s="83" t="s">
        <v>201</v>
      </c>
      <c r="BC5" s="83" t="s">
        <v>202</v>
      </c>
      <c r="BD5" s="83" t="s">
        <v>203</v>
      </c>
      <c r="BE5" s="83" t="s">
        <v>204</v>
      </c>
      <c r="BF5" s="83" t="s">
        <v>205</v>
      </c>
    </row>
    <row r="6" customFormat="false" ht="15" hidden="false" customHeight="false" outlineLevel="0" collapsed="false">
      <c r="B6" s="9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84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84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84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84"/>
      <c r="AZ6" s="40"/>
      <c r="BA6" s="40"/>
      <c r="BB6" s="40"/>
      <c r="BC6" s="40"/>
      <c r="BD6" s="40"/>
      <c r="BE6" s="40"/>
      <c r="BF6" s="40"/>
    </row>
    <row r="7" customFormat="false" ht="15" hidden="false" customHeight="false" outlineLevel="0" collapsed="false">
      <c r="B7" s="26" t="s">
        <v>206</v>
      </c>
      <c r="C7" s="85" t="s">
        <v>207</v>
      </c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7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7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7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7"/>
      <c r="AZ7" s="86"/>
      <c r="BA7" s="86"/>
      <c r="BB7" s="86"/>
      <c r="BC7" s="86"/>
      <c r="BD7" s="86"/>
      <c r="BE7" s="86"/>
      <c r="BF7" s="86"/>
    </row>
    <row r="8" customFormat="false" ht="15" hidden="false" customHeight="false" outlineLevel="0" collapsed="false">
      <c r="B8" s="9" t="s">
        <v>208</v>
      </c>
      <c r="C8" s="40" t="n">
        <f aca="false">'Pnl por tienda'!J110</f>
        <v>5317.36</v>
      </c>
      <c r="D8" s="40" t="n">
        <f aca="false">'Pnl por tienda'!K110</f>
        <v>16169.05</v>
      </c>
      <c r="E8" s="40" t="n">
        <f aca="false">'Pnl por tienda'!L110</f>
        <v>17805.3</v>
      </c>
      <c r="F8" s="40" t="n">
        <f aca="false">'Pnl por tienda'!M110</f>
        <v>20093.72</v>
      </c>
      <c r="G8" s="40" t="n">
        <f aca="false">'Pnl por tienda'!N110</f>
        <v>36517.5</v>
      </c>
      <c r="H8" s="40" t="n">
        <f aca="false">'Pnl por tienda'!O110</f>
        <v>24075.79</v>
      </c>
      <c r="I8" s="40" t="n">
        <f aca="false">'Pnl por tienda'!P110</f>
        <v>37910.45</v>
      </c>
      <c r="J8" s="40" t="n">
        <f aca="false">'Pnl por tienda'!Q110</f>
        <v>47761.09</v>
      </c>
      <c r="K8" s="40" t="n">
        <f aca="false">'Pnl por tienda'!R110</f>
        <v>55411.4</v>
      </c>
      <c r="L8" s="40" t="n">
        <f aca="false">'Pnl por tienda'!S110</f>
        <v>52086.23</v>
      </c>
      <c r="M8" s="40" t="n">
        <f aca="false">'Pnl por tienda'!T110</f>
        <v>32799.83</v>
      </c>
      <c r="N8" s="40" t="n">
        <f aca="false">'Pnl por tienda'!U110</f>
        <v>47589.7</v>
      </c>
      <c r="O8" s="84" t="n">
        <f aca="false">'EEFF a septiemrbe'!B7</f>
        <v>55876.98</v>
      </c>
      <c r="P8" s="40" t="n">
        <f aca="false">'EEFF a septiemrbe'!C7</f>
        <v>55564.7</v>
      </c>
      <c r="Q8" s="40" t="n">
        <f aca="false">'EEFF a septiemrbe'!D7</f>
        <v>51452.64</v>
      </c>
      <c r="R8" s="40" t="n">
        <f aca="false">'EEFF a septiemrbe'!E7</f>
        <v>56089.3</v>
      </c>
      <c r="S8" s="40" t="n">
        <f aca="false">'EEFF a septiemrbe'!F7</f>
        <v>57868.78</v>
      </c>
      <c r="T8" s="40" t="n">
        <f aca="false">'EEFF a septiemrbe'!G7</f>
        <v>50692.17</v>
      </c>
      <c r="U8" s="40" t="n">
        <f aca="false">'EEFF a septiemrbe'!H7</f>
        <v>68327.13</v>
      </c>
      <c r="V8" s="40" t="n">
        <f aca="false">'EEFF a septiemrbe'!I7</f>
        <v>83843.68</v>
      </c>
      <c r="W8" s="40" t="n">
        <f aca="false">'EEFF a septiemrbe'!J7</f>
        <v>58154.54</v>
      </c>
      <c r="X8" s="40" t="n">
        <f aca="false">X10/(1-$C$120)</f>
        <v>73154.6147467092</v>
      </c>
      <c r="Y8" s="40" t="n">
        <f aca="false">Y10/(1-$C$120)</f>
        <v>62844.3459724268</v>
      </c>
      <c r="Z8" s="40" t="n">
        <f aca="false">Z10/(1-$C$120)</f>
        <v>81285.809896236</v>
      </c>
      <c r="AA8" s="84" t="n">
        <f aca="false">AA10/(1-$C$120)</f>
        <v>95126.1777606519</v>
      </c>
      <c r="AB8" s="40" t="n">
        <f aca="false">AB10/(1-$C$120)</f>
        <v>90705.9155934939</v>
      </c>
      <c r="AC8" s="40" t="n">
        <f aca="false">AC10/(1-$C$120)</f>
        <v>120492.704854445</v>
      </c>
      <c r="AD8" s="40" t="n">
        <f aca="false">AD10/(1-$C$120)</f>
        <v>132115.243384021</v>
      </c>
      <c r="AE8" s="40" t="n">
        <f aca="false">AE10/(1-$C$120)</f>
        <v>128216.544790967</v>
      </c>
      <c r="AF8" s="40" t="n">
        <f aca="false">AF10/(1-$C$120)</f>
        <v>129531.956005439</v>
      </c>
      <c r="AG8" s="40" t="n">
        <f aca="false">AG10/(1-$C$120)</f>
        <v>137432.331886007</v>
      </c>
      <c r="AH8" s="40" t="n">
        <f aca="false">AH10/(1-$C$120)</f>
        <v>187089.18202907</v>
      </c>
      <c r="AI8" s="40" t="n">
        <f aca="false">AI10/(1-$C$120)</f>
        <v>187593.241221333</v>
      </c>
      <c r="AJ8" s="40" t="n">
        <f aca="false">AJ10/(1-$C$120)</f>
        <v>185824.134852174</v>
      </c>
      <c r="AK8" s="40" t="n">
        <f aca="false">AK10/(1-$C$120)</f>
        <v>169358.706997695</v>
      </c>
      <c r="AL8" s="40" t="n">
        <f aca="false">AL10/(1-$C$120)</f>
        <v>205475.291487214</v>
      </c>
      <c r="AM8" s="84" t="n">
        <f aca="false">AM10/(1-$C$120)</f>
        <v>226687.096028401</v>
      </c>
      <c r="AN8" s="40" t="n">
        <f aca="false">AN10/(1-$C$120)</f>
        <v>211957.469923781</v>
      </c>
      <c r="AO8" s="40" t="n">
        <f aca="false">AO10/(1-$C$120)</f>
        <v>258427.661049711</v>
      </c>
      <c r="AP8" s="40" t="n">
        <f aca="false">AP10/(1-$C$120)</f>
        <v>271720.235096336</v>
      </c>
      <c r="AQ8" s="40" t="n">
        <f aca="false">AQ10/(1-$C$120)</f>
        <v>268513.830643329</v>
      </c>
      <c r="AR8" s="40" t="n">
        <f aca="false">AR10/(1-$C$120)</f>
        <v>264438.753838164</v>
      </c>
      <c r="AS8" s="40" t="n">
        <f aca="false">AS10/(1-$C$120)</f>
        <v>284515.610900469</v>
      </c>
      <c r="AT8" s="40" t="n">
        <f aca="false">AT10/(1-$C$120)</f>
        <v>370366.839825152</v>
      </c>
      <c r="AU8" s="40" t="n">
        <f aca="false">AU10/(1-$C$120)</f>
        <v>380158.124752677</v>
      </c>
      <c r="AV8" s="40" t="n">
        <f aca="false">AV10/(1-$C$120)</f>
        <v>361971.59194439</v>
      </c>
      <c r="AW8" s="40" t="n">
        <f aca="false">AW10/(1-$C$120)</f>
        <v>330700.987417562</v>
      </c>
      <c r="AX8" s="40" t="n">
        <f aca="false">AX10/(1-$C$120)</f>
        <v>401270.897162003</v>
      </c>
      <c r="AY8" s="84" t="n">
        <f aca="false">AY10/(1-$C$120)</f>
        <v>5869649.53609931</v>
      </c>
      <c r="AZ8" s="40" t="n">
        <f aca="false">AZ10/(1-$C$120)</f>
        <v>7567105.43267873</v>
      </c>
      <c r="BA8" s="40" t="n">
        <f aca="false">BA10/(1-$C$120)</f>
        <v>9110009.4168291</v>
      </c>
      <c r="BB8" s="40" t="n">
        <f aca="false">BB10/(1-$C$120)</f>
        <v>10973570.5096908</v>
      </c>
      <c r="BC8" s="40" t="n">
        <f aca="false">BC10/(1-$C$120)</f>
        <v>12758611.7031176</v>
      </c>
      <c r="BD8" s="40" t="n">
        <f aca="false">BD10/(1-$C$120)</f>
        <v>15363492.3507225</v>
      </c>
      <c r="BE8" s="40" t="n">
        <f aca="false">BE10/(1-$C$120)</f>
        <v>18754345.9982189</v>
      </c>
      <c r="BF8" s="40" t="n">
        <f aca="false">BF10/(1-$C$120)</f>
        <v>22507780.6165869</v>
      </c>
    </row>
    <row r="9" customFormat="false" ht="15" hidden="false" customHeight="false" outlineLevel="0" collapsed="false">
      <c r="B9" s="9" t="s">
        <v>209</v>
      </c>
      <c r="C9" s="40" t="n">
        <f aca="false">C10-C8</f>
        <v>-1280.39</v>
      </c>
      <c r="D9" s="40" t="n">
        <f aca="false">D10-D8</f>
        <v>-1801.02</v>
      </c>
      <c r="E9" s="40" t="n">
        <f aca="false">E10-E8</f>
        <v>-1510.34</v>
      </c>
      <c r="F9" s="40" t="n">
        <f aca="false">F10-F8</f>
        <v>-1240.3</v>
      </c>
      <c r="G9" s="40" t="n">
        <f aca="false">G10-G8</f>
        <v>-9261.99</v>
      </c>
      <c r="H9" s="40" t="n">
        <f aca="false">H10-H8</f>
        <v>-2312.14</v>
      </c>
      <c r="I9" s="40" t="n">
        <f aca="false">I10-I8</f>
        <v>-5132.89999999999</v>
      </c>
      <c r="J9" s="40" t="n">
        <f aca="false">J10-J8</f>
        <v>-3503.95</v>
      </c>
      <c r="K9" s="40" t="n">
        <f aca="false">K10-K8</f>
        <v>-2561.19</v>
      </c>
      <c r="L9" s="40" t="n">
        <f aca="false">L10-L8</f>
        <v>-1513.87</v>
      </c>
      <c r="M9" s="40" t="n">
        <f aca="false">M10-M8</f>
        <v>-680.68</v>
      </c>
      <c r="N9" s="40" t="n">
        <f aca="false">N10-N8</f>
        <v>-1360.48</v>
      </c>
      <c r="O9" s="84" t="n">
        <f aca="false">'EEFF a septiemrbe'!B8</f>
        <v>-1223.39</v>
      </c>
      <c r="P9" s="40" t="n">
        <f aca="false">'EEFF a septiemrbe'!C8</f>
        <v>-1968.55</v>
      </c>
      <c r="Q9" s="40" t="n">
        <f aca="false">'EEFF a septiemrbe'!D8</f>
        <v>-3292.68</v>
      </c>
      <c r="R9" s="40" t="n">
        <f aca="false">'EEFF a septiemrbe'!E8</f>
        <v>-3017.39</v>
      </c>
      <c r="S9" s="40" t="n">
        <f aca="false">'EEFF a septiemrbe'!F8</f>
        <v>-3915.83</v>
      </c>
      <c r="T9" s="40" t="n">
        <f aca="false">'EEFF a septiemrbe'!G8</f>
        <v>-4324.69</v>
      </c>
      <c r="U9" s="40" t="n">
        <f aca="false">'EEFF a septiemrbe'!H8</f>
        <v>-5322.38</v>
      </c>
      <c r="V9" s="40" t="n">
        <f aca="false">'EEFF a septiemrbe'!I8</f>
        <v>-5781.4</v>
      </c>
      <c r="W9" s="40" t="n">
        <f aca="false">'EEFF a septiemrbe'!J8</f>
        <v>-2985.72</v>
      </c>
      <c r="X9" s="40" t="n">
        <f aca="false">-X8*$C$120</f>
        <v>-4329.41089409813</v>
      </c>
      <c r="Y9" s="40" t="n">
        <f aca="false">-Y8*$C$120</f>
        <v>-3719.23216365152</v>
      </c>
      <c r="Z9" s="40" t="n">
        <f aca="false">-Z8*$C$120</f>
        <v>-4810.6284493308</v>
      </c>
      <c r="AA9" s="84" t="n">
        <f aca="false">-AA8*$C$120</f>
        <v>-5629.72427285468</v>
      </c>
      <c r="AB9" s="40" t="n">
        <f aca="false">-AB8*$C$120</f>
        <v>-5368.12585903589</v>
      </c>
      <c r="AC9" s="40" t="n">
        <f aca="false">-AC8*$C$120</f>
        <v>-7130.95723164412</v>
      </c>
      <c r="AD9" s="40" t="n">
        <f aca="false">-AD8*$C$120</f>
        <v>-7818.79825303756</v>
      </c>
      <c r="AE9" s="40" t="n">
        <f aca="false">-AE8*$C$120</f>
        <v>-7588.06683274351</v>
      </c>
      <c r="AF9" s="40" t="n">
        <f aca="false">-AF8*$C$120</f>
        <v>-7665.91504043172</v>
      </c>
      <c r="AG9" s="40" t="n">
        <f aca="false">-AG8*$C$120</f>
        <v>-8133.47233019712</v>
      </c>
      <c r="AH9" s="40" t="n">
        <f aca="false">-AH8*$C$120</f>
        <v>-11072.2467153858</v>
      </c>
      <c r="AI9" s="40" t="n">
        <f aca="false">-AI8*$C$120</f>
        <v>-11102.0777706898</v>
      </c>
      <c r="AJ9" s="40" t="n">
        <f aca="false">-AJ8*$C$120</f>
        <v>-10997.3791346028</v>
      </c>
      <c r="AK9" s="40" t="n">
        <f aca="false">-AK8*$C$120</f>
        <v>-10022.9279263504</v>
      </c>
      <c r="AL9" s="40" t="n">
        <f aca="false">-AL8*$C$120</f>
        <v>-12160.3670323853</v>
      </c>
      <c r="AM9" s="84" t="n">
        <f aca="false">-AM8*$C$120</f>
        <v>-13415.7166502059</v>
      </c>
      <c r="AN9" s="40" t="n">
        <f aca="false">-AN8*$C$120</f>
        <v>-12543.9930556776</v>
      </c>
      <c r="AO9" s="40" t="n">
        <f aca="false">-AO8*$C$120</f>
        <v>-15294.1756983998</v>
      </c>
      <c r="AP9" s="40" t="n">
        <f aca="false">-AP8*$C$120</f>
        <v>-16080.852179266</v>
      </c>
      <c r="AQ9" s="40" t="n">
        <f aca="false">-AQ8*$C$120</f>
        <v>-15891.0918693006</v>
      </c>
      <c r="AR9" s="40" t="n">
        <f aca="false">-AR8*$C$120</f>
        <v>-15649.9220951769</v>
      </c>
      <c r="AS9" s="40" t="n">
        <f aca="false">-AS8*$C$120</f>
        <v>-16838.1036471645</v>
      </c>
      <c r="AT9" s="40" t="n">
        <f aca="false">-AT8*$C$120</f>
        <v>-21918.9211330491</v>
      </c>
      <c r="AU9" s="40" t="n">
        <f aca="false">-AU8*$C$120</f>
        <v>-22498.385542495</v>
      </c>
      <c r="AV9" s="40" t="n">
        <f aca="false">-AV8*$C$120</f>
        <v>-21422.0765011763</v>
      </c>
      <c r="AW9" s="40" t="n">
        <f aca="false">-AW8*$C$120</f>
        <v>-19571.4304910478</v>
      </c>
      <c r="AX9" s="40" t="n">
        <f aca="false">-AX8*$C$120</f>
        <v>-23747.8742752296</v>
      </c>
      <c r="AY9" s="84" t="n">
        <f aca="false">-AY8*$C$120</f>
        <v>-347375.551550827</v>
      </c>
      <c r="AZ9" s="40" t="n">
        <f aca="false">-AZ8*$C$120</f>
        <v>-447833.794360897</v>
      </c>
      <c r="BA9" s="40" t="n">
        <f aca="false">-BA8*$C$120</f>
        <v>-539145.399796268</v>
      </c>
      <c r="BB9" s="40" t="n">
        <f aca="false">-BB8*$C$120</f>
        <v>-649434.022396331</v>
      </c>
      <c r="BC9" s="40" t="n">
        <f aca="false">-BC8*$C$120</f>
        <v>-755075.707695253</v>
      </c>
      <c r="BD9" s="40" t="n">
        <f aca="false">-BD8*$C$120</f>
        <v>-909236.845616815</v>
      </c>
      <c r="BE9" s="40" t="n">
        <f aca="false">-BE8*$C$120</f>
        <v>-1109913.16347582</v>
      </c>
      <c r="BF9" s="40" t="n">
        <f aca="false">-BF8*$C$120</f>
        <v>-1332047.62188711</v>
      </c>
    </row>
    <row r="10" customFormat="false" ht="15" hidden="false" customHeight="false" outlineLevel="0" collapsed="false">
      <c r="B10" s="10" t="s">
        <v>210</v>
      </c>
      <c r="C10" s="46" t="n">
        <f aca="false">SUM(C11:C14)</f>
        <v>4036.97</v>
      </c>
      <c r="D10" s="46" t="n">
        <f aca="false">SUM(D11:D14)</f>
        <v>14368.03</v>
      </c>
      <c r="E10" s="46" t="n">
        <f aca="false">SUM(E11:E14)</f>
        <v>16294.96</v>
      </c>
      <c r="F10" s="46" t="n">
        <f aca="false">SUM(F11:F14)</f>
        <v>18853.42</v>
      </c>
      <c r="G10" s="46" t="n">
        <f aca="false">SUM(G11:G14)</f>
        <v>27255.51</v>
      </c>
      <c r="H10" s="46" t="n">
        <f aca="false">SUM(H11:H14)</f>
        <v>21763.65</v>
      </c>
      <c r="I10" s="46" t="n">
        <f aca="false">SUM(I11:I14)</f>
        <v>32777.55</v>
      </c>
      <c r="J10" s="46" t="n">
        <f aca="false">SUM(J11:J14)</f>
        <v>44257.14</v>
      </c>
      <c r="K10" s="46" t="n">
        <f aca="false">SUM(K11:K14)</f>
        <v>52850.21</v>
      </c>
      <c r="L10" s="46" t="n">
        <f aca="false">SUM(L11:L14)</f>
        <v>50572.36</v>
      </c>
      <c r="M10" s="46" t="n">
        <f aca="false">SUM(M11:M14)</f>
        <v>32119.15</v>
      </c>
      <c r="N10" s="46" t="n">
        <f aca="false">SUM(N11:N14)</f>
        <v>46229.22</v>
      </c>
      <c r="O10" s="88" t="n">
        <f aca="false">'EEFF a septiemrbe'!B10</f>
        <v>54653.59</v>
      </c>
      <c r="P10" s="46" t="n">
        <f aca="false">'EEFF a septiemrbe'!C10</f>
        <v>53596.15</v>
      </c>
      <c r="Q10" s="46" t="n">
        <f aca="false">'EEFF a septiemrbe'!D10</f>
        <v>48159.96</v>
      </c>
      <c r="R10" s="46" t="n">
        <f aca="false">'EEFF a septiemrbe'!E10</f>
        <v>53071.91</v>
      </c>
      <c r="S10" s="46" t="n">
        <f aca="false">'EEFF a septiemrbe'!F10</f>
        <v>53952.95</v>
      </c>
      <c r="T10" s="46" t="n">
        <f aca="false">'EEFF a septiemrbe'!G10</f>
        <v>46367.48</v>
      </c>
      <c r="U10" s="46" t="n">
        <f aca="false">'EEFF a septiemrbe'!H10</f>
        <v>63004.75</v>
      </c>
      <c r="V10" s="46" t="n">
        <f aca="false">'EEFF a septiemrbe'!I10</f>
        <v>78062.28</v>
      </c>
      <c r="W10" s="46" t="n">
        <f aca="false">'EEFF a septiemrbe'!J10</f>
        <v>55168.82</v>
      </c>
      <c r="X10" s="46" t="n">
        <f aca="false">X11+X12+X13+X14</f>
        <v>68825.2038526111</v>
      </c>
      <c r="Y10" s="46" t="n">
        <f aca="false">Y11+Y12+Y13+Y14</f>
        <v>59125.1138087753</v>
      </c>
      <c r="Z10" s="46" t="n">
        <f aca="false">Z11+Z12+Z13+Z14</f>
        <v>76475.1814469052</v>
      </c>
      <c r="AA10" s="88" t="n">
        <f aca="false">AA11+AA12+AA13+AA14</f>
        <v>89496.4534877973</v>
      </c>
      <c r="AB10" s="46" t="n">
        <f aca="false">AB11+AB12+AB13+AB14</f>
        <v>85337.789734458</v>
      </c>
      <c r="AC10" s="46" t="n">
        <f aca="false">AC11+AC12+AC13+AC14</f>
        <v>113361.747622801</v>
      </c>
      <c r="AD10" s="46" t="n">
        <f aca="false">AD11+AD12+AD13+AD14</f>
        <v>124296.445130983</v>
      </c>
      <c r="AE10" s="46" t="n">
        <f aca="false">AE11+AE12+AE13+AE14</f>
        <v>120628.477958223</v>
      </c>
      <c r="AF10" s="46" t="n">
        <f aca="false">AF11+AF12+AF13+AF14</f>
        <v>121866.040965007</v>
      </c>
      <c r="AG10" s="46" t="n">
        <f aca="false">AG11+AG12+AG13+AG14</f>
        <v>129298.85955581</v>
      </c>
      <c r="AH10" s="46" t="n">
        <f aca="false">AH11+AH12+AH13+AH14</f>
        <v>176016.935313684</v>
      </c>
      <c r="AI10" s="46" t="n">
        <f aca="false">AI11+AI12+AI13+AI14</f>
        <v>176491.163450643</v>
      </c>
      <c r="AJ10" s="46" t="n">
        <f aca="false">AJ11+AJ12+AJ13+AJ14</f>
        <v>174826.755717572</v>
      </c>
      <c r="AK10" s="46" t="n">
        <f aca="false">AK11+AK12+AK13+AK14</f>
        <v>159335.779071345</v>
      </c>
      <c r="AL10" s="46" t="n">
        <f aca="false">AL11+AL12+AL13+AL14</f>
        <v>193314.924454829</v>
      </c>
      <c r="AM10" s="88" t="n">
        <f aca="false">AM11+AM12+AM13+AM14</f>
        <v>213271.379378195</v>
      </c>
      <c r="AN10" s="46" t="n">
        <f aca="false">AN11+AN12+AN13+AN14</f>
        <v>199413.476868103</v>
      </c>
      <c r="AO10" s="46" t="n">
        <f aca="false">AO11+AO12+AO13+AO14</f>
        <v>243133.485351312</v>
      </c>
      <c r="AP10" s="46" t="n">
        <f aca="false">AP11+AP12+AP13+AP14</f>
        <v>255639.38291707</v>
      </c>
      <c r="AQ10" s="46" t="n">
        <f aca="false">AQ11+AQ12+AQ13+AQ14</f>
        <v>252622.738774028</v>
      </c>
      <c r="AR10" s="46" t="n">
        <f aca="false">AR11+AR12+AR13+AR14</f>
        <v>248788.831742987</v>
      </c>
      <c r="AS10" s="46" t="n">
        <f aca="false">AS11+AS12+AS13+AS14</f>
        <v>267677.507253305</v>
      </c>
      <c r="AT10" s="46" t="n">
        <f aca="false">AT11+AT12+AT13+AT14</f>
        <v>348447.918692103</v>
      </c>
      <c r="AU10" s="46" t="n">
        <f aca="false">AU11+AU12+AU13+AU14</f>
        <v>357659.739210182</v>
      </c>
      <c r="AV10" s="46" t="n">
        <f aca="false">AV11+AV12+AV13+AV14</f>
        <v>340549.515443214</v>
      </c>
      <c r="AW10" s="46" t="n">
        <f aca="false">AW11+AW12+AW13+AW14</f>
        <v>311129.556926514</v>
      </c>
      <c r="AX10" s="46" t="n">
        <f aca="false">AX11+AX12+AX13+AX14</f>
        <v>377523.022886774</v>
      </c>
      <c r="AY10" s="88" t="n">
        <f aca="false">AY11+AY12+AY13+AY14</f>
        <v>5522273.98454848</v>
      </c>
      <c r="AZ10" s="46" t="n">
        <f aca="false">AZ11+AZ12+AZ13+AZ14</f>
        <v>7119271.63831783</v>
      </c>
      <c r="BA10" s="46" t="n">
        <f aca="false">BA11+BA12+BA13+BA14</f>
        <v>8570864.01703284</v>
      </c>
      <c r="BB10" s="46" t="n">
        <f aca="false">BB11+BB12+BB13+BB14</f>
        <v>10324136.4872945</v>
      </c>
      <c r="BC10" s="46" t="n">
        <f aca="false">BC11+BC12+BC13+BC14</f>
        <v>12003535.9954223</v>
      </c>
      <c r="BD10" s="46" t="n">
        <f aca="false">BD11+BD12+BD13+BD14</f>
        <v>14454255.5051057</v>
      </c>
      <c r="BE10" s="46" t="n">
        <f aca="false">BE11+BE12+BE13+BE14</f>
        <v>17644432.8347431</v>
      </c>
      <c r="BF10" s="46" t="n">
        <f aca="false">BF11+BF12+BF13+BF14</f>
        <v>21175732.9946998</v>
      </c>
    </row>
    <row r="11" customFormat="false" ht="15" hidden="false" customHeight="false" outlineLevel="0" collapsed="false">
      <c r="B11" s="9" t="s">
        <v>211</v>
      </c>
      <c r="C11" s="40" t="n">
        <f aca="false">'Pnl por tienda'!J22+'Pnl por tienda'!J37+'Pnl por tienda'!J52+'Pnl por tienda'!J67</f>
        <v>4036.97</v>
      </c>
      <c r="D11" s="40" t="n">
        <f aca="false">'Pnl por tienda'!K22+'Pnl por tienda'!K37+'Pnl por tienda'!K52+'Pnl por tienda'!K67</f>
        <v>14368.03</v>
      </c>
      <c r="E11" s="40" t="n">
        <f aca="false">'Pnl por tienda'!L22+'Pnl por tienda'!L37+'Pnl por tienda'!L52+'Pnl por tienda'!L67</f>
        <v>16294.96</v>
      </c>
      <c r="F11" s="40" t="n">
        <f aca="false">'Pnl por tienda'!M22+'Pnl por tienda'!M37+'Pnl por tienda'!M52+'Pnl por tienda'!M67</f>
        <v>18853.42</v>
      </c>
      <c r="G11" s="40" t="n">
        <f aca="false">'Pnl por tienda'!N22+'Pnl por tienda'!N37+'Pnl por tienda'!N52+'Pnl por tienda'!N67</f>
        <v>16171.99</v>
      </c>
      <c r="H11" s="40" t="n">
        <f aca="false">'Pnl por tienda'!O22+'Pnl por tienda'!O37+'Pnl por tienda'!O52+'Pnl por tienda'!O67</f>
        <v>20969.38</v>
      </c>
      <c r="I11" s="40" t="n">
        <f aca="false">'Pnl por tienda'!P22+'Pnl por tienda'!P37+'Pnl por tienda'!P52+'Pnl por tienda'!P67</f>
        <v>25999.77</v>
      </c>
      <c r="J11" s="40" t="n">
        <f aca="false">'Pnl por tienda'!Q22+'Pnl por tienda'!Q37+'Pnl por tienda'!Q52+'Pnl por tienda'!Q67</f>
        <v>39791.94</v>
      </c>
      <c r="K11" s="40" t="n">
        <f aca="false">'Pnl por tienda'!R22+'Pnl por tienda'!R37+'Pnl por tienda'!R52+'Pnl por tienda'!R67</f>
        <v>31761.52</v>
      </c>
      <c r="L11" s="40" t="n">
        <f aca="false">'Pnl por tienda'!S22+'Pnl por tienda'!S37+'Pnl por tienda'!S52+'Pnl por tienda'!S67</f>
        <v>26443.06</v>
      </c>
      <c r="M11" s="40" t="n">
        <f aca="false">'Pnl por tienda'!T22+'Pnl por tienda'!T37+'Pnl por tienda'!T52+'Pnl por tienda'!T67</f>
        <v>29963.36</v>
      </c>
      <c r="N11" s="40" t="n">
        <f aca="false">'Pnl por tienda'!U22+'Pnl por tienda'!U37+'Pnl por tienda'!U52+'Pnl por tienda'!U67</f>
        <v>46219.06</v>
      </c>
      <c r="O11" s="84" t="n">
        <f aca="false">'Pnl por tienda'!V22+'Pnl por tienda'!V37+'Pnl por tienda'!V52+'Pnl por tienda'!V67</f>
        <v>49110.3</v>
      </c>
      <c r="P11" s="40" t="n">
        <f aca="false">'Pnl por tienda'!W22+'Pnl por tienda'!W37+'Pnl por tienda'!W52+'Pnl por tienda'!W67</f>
        <v>51098.33</v>
      </c>
      <c r="Q11" s="40" t="n">
        <f aca="false">'Pnl por tienda'!X22+'Pnl por tienda'!X37+'Pnl por tienda'!X52+'Pnl por tienda'!X67</f>
        <v>47103.08</v>
      </c>
      <c r="R11" s="40" t="n">
        <f aca="false">'Pnl por tienda'!Y22+'Pnl por tienda'!Y37+'Pnl por tienda'!Y52+'Pnl por tienda'!Y67</f>
        <v>50186.44</v>
      </c>
      <c r="S11" s="40" t="n">
        <f aca="false">'Pnl por tienda'!Z22+'Pnl por tienda'!Z37+'Pnl por tienda'!Z52+'Pnl por tienda'!Z67</f>
        <v>49740.65</v>
      </c>
      <c r="T11" s="40" t="n">
        <f aca="false">'Pnl por tienda'!AA22+'Pnl por tienda'!AA37+'Pnl por tienda'!AA52+'Pnl por tienda'!AA67</f>
        <v>46026.54</v>
      </c>
      <c r="U11" s="40" t="n">
        <f aca="false">'Pnl por tienda'!AB22+'Pnl por tienda'!AB37+'Pnl por tienda'!AB52+'Pnl por tienda'!AB67</f>
        <v>61067.85</v>
      </c>
      <c r="V11" s="40" t="n">
        <f aca="false">'Pnl por tienda'!AC22+'Pnl por tienda'!AC37+'Pnl por tienda'!AC52+'Pnl por tienda'!AC67</f>
        <v>68285.71</v>
      </c>
      <c r="W11" s="40" t="n">
        <f aca="false">'Pnl por tienda'!AD22+'Pnl por tienda'!AD37+'Pnl por tienda'!AD52+'Pnl por tienda'!AD67</f>
        <v>48474.68</v>
      </c>
      <c r="X11" s="40" t="n">
        <f aca="false">'⑮ Cohort Engine'!AX1040-((1-X151)*'⑮ Cohort Engine'!AX950+(1-X152)*'⑮ Cohort Engine'!AX951+(1-X153)*'⑮ Cohort Engine'!AX952+(1-X154)*'⑮ Cohort Engine'!AX953)</f>
        <v>60818.2169936656</v>
      </c>
      <c r="Y11" s="40" t="n">
        <f aca="false">'⑮ Cohort Engine'!AY1040-((1-Y151)*'⑮ Cohort Engine'!AY950+(1-Y152)*'⑮ Cohort Engine'!AY951+(1-Y153)*'⑮ Cohort Engine'!AY952+(1-Y154)*'⑮ Cohort Engine'!AY953)</f>
        <v>51118.1269498298</v>
      </c>
      <c r="Z11" s="40" t="n">
        <f aca="false">'⑮ Cohort Engine'!AZ1040-((1-Z151)*'⑮ Cohort Engine'!AZ950+(1-Z152)*'⑮ Cohort Engine'!AZ951+(1-Z153)*'⑮ Cohort Engine'!AZ952+(1-Z154)*'⑮ Cohort Engine'!AZ953)</f>
        <v>68468.1945879597</v>
      </c>
      <c r="AA11" s="84" t="n">
        <f aca="false">'⑮ Cohort Engine'!BA1040-((1-AA151)*'⑮ Cohort Engine'!BA950+(1-AA152)*'⑮ Cohort Engine'!BA951+(1-AA153)*'⑮ Cohort Engine'!BA952+(1-AA154)*'⑮ Cohort Engine'!BA953)</f>
        <v>79572.8877955205</v>
      </c>
      <c r="AB11" s="40" t="n">
        <f aca="false">'⑮ Cohort Engine'!BB1040-((1-AB151)*'⑮ Cohort Engine'!BB950+(1-AB152)*'⑮ Cohort Engine'!BB951+(1-AB153)*'⑮ Cohort Engine'!BB952+(1-AB154)*'⑮ Cohort Engine'!BB953)</f>
        <v>75414.2240421813</v>
      </c>
      <c r="AC11" s="40" t="n">
        <f aca="false">'⑮ Cohort Engine'!BC1040-((1-AC151)*'⑮ Cohort Engine'!BC950+(1-AC152)*'⑮ Cohort Engine'!BC951+(1-AC153)*'⑮ Cohort Engine'!BC952+(1-AC154)*'⑮ Cohort Engine'!BC953)</f>
        <v>103438.181930524</v>
      </c>
      <c r="AD11" s="40" t="n">
        <f aca="false">'⑮ Cohort Engine'!BD1040-((1-AD151)*'⑮ Cohort Engine'!BD950+(1-AD152)*'⑮ Cohort Engine'!BD951+(1-AD153)*'⑮ Cohort Engine'!BD952+(1-AD154)*'⑮ Cohort Engine'!BD953)</f>
        <v>114372.879438707</v>
      </c>
      <c r="AE11" s="40" t="n">
        <f aca="false">'⑮ Cohort Engine'!BE1040-((1-AE151)*'⑮ Cohort Engine'!BE950+(1-AE152)*'⑮ Cohort Engine'!BE951+(1-AE153)*'⑮ Cohort Engine'!BE952+(1-AE154)*'⑮ Cohort Engine'!BE953)</f>
        <v>110704.912265947</v>
      </c>
      <c r="AF11" s="40" t="n">
        <f aca="false">'⑮ Cohort Engine'!BF1040-((1-AF151)*'⑮ Cohort Engine'!BF950+(1-AF152)*'⑮ Cohort Engine'!BF951+(1-AF153)*'⑮ Cohort Engine'!BF952+(1-AF154)*'⑮ Cohort Engine'!BF953)</f>
        <v>111942.47527273</v>
      </c>
      <c r="AG11" s="40" t="n">
        <f aca="false">'⑮ Cohort Engine'!BG1040-((1-AG151)*'⑮ Cohort Engine'!BG950+(1-AG152)*'⑮ Cohort Engine'!BG951+(1-AG153)*'⑮ Cohort Engine'!BG952+(1-AG154)*'⑮ Cohort Engine'!BG953)</f>
        <v>119375.293863533</v>
      </c>
      <c r="AH11" s="40" t="n">
        <f aca="false">'⑮ Cohort Engine'!BH1040-((1-AH151)*'⑮ Cohort Engine'!BH950+(1-AH152)*'⑮ Cohort Engine'!BH951+(1-AH153)*'⑮ Cohort Engine'!BH952+(1-AH154)*'⑮ Cohort Engine'!BH953)</f>
        <v>166093.369621408</v>
      </c>
      <c r="AI11" s="40" t="n">
        <f aca="false">'⑮ Cohort Engine'!BI1040-((1-AI151)*'⑮ Cohort Engine'!BI950+(1-AI152)*'⑮ Cohort Engine'!BI951+(1-AI153)*'⑮ Cohort Engine'!BI952+(1-AI154)*'⑮ Cohort Engine'!BI953)</f>
        <v>166567.597758366</v>
      </c>
      <c r="AJ11" s="40" t="n">
        <f aca="false">'⑮ Cohort Engine'!BJ1040-((1-AJ151)*'⑮ Cohort Engine'!BJ950+(1-AJ152)*'⑮ Cohort Engine'!BJ951+(1-AJ153)*'⑮ Cohort Engine'!BJ952+(1-AJ154)*'⑮ Cohort Engine'!BJ953)</f>
        <v>164903.190025295</v>
      </c>
      <c r="AK11" s="40" t="n">
        <f aca="false">'⑮ Cohort Engine'!BK1040-((1-AK151)*'⑮ Cohort Engine'!BK950+(1-AK152)*'⑮ Cohort Engine'!BK951+(1-AK153)*'⑮ Cohort Engine'!BK952+(1-AK154)*'⑮ Cohort Engine'!BK953)</f>
        <v>149412.213379068</v>
      </c>
      <c r="AL11" s="40" t="n">
        <f aca="false">'⑮ Cohort Engine'!BL1040-((1-AL151)*'⑮ Cohort Engine'!BL950+(1-AL152)*'⑮ Cohort Engine'!BL951+(1-AL153)*'⑮ Cohort Engine'!BL952+(1-AL154)*'⑮ Cohort Engine'!BL953)</f>
        <v>183391.358762552</v>
      </c>
      <c r="AM11" s="84" t="n">
        <f aca="false">'⑮ Cohort Engine'!BM1040-((1-AM151)*'⑮ Cohort Engine'!BM950+(1-AM152)*'⑮ Cohort Engine'!BM951+(1-AM153)*'⑮ Cohort Engine'!BM952+(1-AM154)*'⑮ Cohort Engine'!BM953)</f>
        <v>199353.230446999</v>
      </c>
      <c r="AN11" s="40" t="n">
        <f aca="false">'⑮ Cohort Engine'!BN1040-((1-AN151)*'⑮ Cohort Engine'!BN950+(1-AN152)*'⑮ Cohort Engine'!BN951+(1-AN153)*'⑮ Cohort Engine'!BN952+(1-AN154)*'⑮ Cohort Engine'!BN953)</f>
        <v>185495.327936908</v>
      </c>
      <c r="AO11" s="40" t="n">
        <f aca="false">'⑮ Cohort Engine'!BO1040-((1-AO151)*'⑮ Cohort Engine'!BO950+(1-AO152)*'⑮ Cohort Engine'!BO951+(1-AO153)*'⑮ Cohort Engine'!BO952+(1-AO154)*'⑮ Cohort Engine'!BO953)</f>
        <v>229215.336420116</v>
      </c>
      <c r="AP11" s="40" t="n">
        <f aca="false">'⑮ Cohort Engine'!BP1040-((1-AP151)*'⑮ Cohort Engine'!BP950+(1-AP152)*'⑮ Cohort Engine'!BP951+(1-AP153)*'⑮ Cohort Engine'!BP952+(1-AP154)*'⑮ Cohort Engine'!BP953)</f>
        <v>241721.233985874</v>
      </c>
      <c r="AQ11" s="40" t="n">
        <f aca="false">'⑮ Cohort Engine'!BQ1040-((1-AQ151)*'⑮ Cohort Engine'!BQ950+(1-AQ152)*'⑮ Cohort Engine'!BQ951+(1-AQ153)*'⑮ Cohort Engine'!BQ952+(1-AQ154)*'⑮ Cohort Engine'!BQ953)</f>
        <v>238704.589842833</v>
      </c>
      <c r="AR11" s="40" t="n">
        <f aca="false">'⑮ Cohort Engine'!BR1040-((1-AR151)*'⑮ Cohort Engine'!BR950+(1-AR152)*'⑮ Cohort Engine'!BR951+(1-AR153)*'⑮ Cohort Engine'!BR952+(1-AR154)*'⑮ Cohort Engine'!BR953)</f>
        <v>234870.682811791</v>
      </c>
      <c r="AS11" s="40" t="n">
        <f aca="false">'⑮ Cohort Engine'!BS1040-((1-AS151)*'⑮ Cohort Engine'!BS950+(1-AS152)*'⑮ Cohort Engine'!BS951+(1-AS153)*'⑮ Cohort Engine'!BS952+(1-AS154)*'⑮ Cohort Engine'!BS953)</f>
        <v>253759.358322109</v>
      </c>
      <c r="AT11" s="40" t="n">
        <f aca="false">'⑮ Cohort Engine'!BT1040-((1-AT151)*'⑮ Cohort Engine'!BT950+(1-AT152)*'⑮ Cohort Engine'!BT951+(1-AT153)*'⑮ Cohort Engine'!BT952+(1-AT154)*'⑮ Cohort Engine'!BT953)</f>
        <v>334529.769760908</v>
      </c>
      <c r="AU11" s="40" t="n">
        <f aca="false">'⑮ Cohort Engine'!BU1040-((1-AU151)*'⑮ Cohort Engine'!BU950+(1-AU152)*'⑮ Cohort Engine'!BU951+(1-AU153)*'⑮ Cohort Engine'!BU952+(1-AU154)*'⑮ Cohort Engine'!BU953)</f>
        <v>343741.590278986</v>
      </c>
      <c r="AV11" s="40" t="n">
        <f aca="false">'⑮ Cohort Engine'!BV1040-((1-AV151)*'⑮ Cohort Engine'!BV950+(1-AV152)*'⑮ Cohort Engine'!BV951+(1-AV153)*'⑮ Cohort Engine'!BV952+(1-AV154)*'⑮ Cohort Engine'!BV953)</f>
        <v>326631.366512019</v>
      </c>
      <c r="AW11" s="40" t="n">
        <f aca="false">'⑮ Cohort Engine'!BW1040-((1-AW151)*'⑮ Cohort Engine'!BW950+(1-AW152)*'⑮ Cohort Engine'!BW951+(1-AW153)*'⑮ Cohort Engine'!BW952+(1-AW154)*'⑮ Cohort Engine'!BW953)</f>
        <v>297211.407995318</v>
      </c>
      <c r="AX11" s="40" t="n">
        <f aca="false">'⑮ Cohort Engine'!BX1040-((1-AX151)*'⑮ Cohort Engine'!BX950+(1-AX152)*'⑮ Cohort Engine'!BX951+(1-AX153)*'⑮ Cohort Engine'!BX952+(1-AX154)*'⑮ Cohort Engine'!BX953)</f>
        <v>363604.873955578</v>
      </c>
      <c r="AY11" s="84" t="n">
        <f aca="false">'⑮ Cohort Engine'!G1134-((1-AY151)*'⑮ Cohort Engine'!G1044+(1-AY152)*'⑮ Cohort Engine'!G1045+(1-AY153)*'⑮ Cohort Engine'!G1046+(1-AY154)*'⑮ Cohort Engine'!G1047)</f>
        <v>5279780.21434106</v>
      </c>
      <c r="AZ11" s="40" t="n">
        <f aca="false">'⑮ Cohort Engine'!H1134-((1-AZ151)*'⑮ Cohort Engine'!H1044+(1-AZ152)*'⑮ Cohort Engine'!H1045+(1-AZ153)*'⑮ Cohort Engine'!H1046+(1-AZ154)*'⑮ Cohort Engine'!H1047)</f>
        <v>6797363.90175636</v>
      </c>
      <c r="BA11" s="40" t="n">
        <f aca="false">'⑮ Cohort Engine'!I1134-((1-BA151)*'⑮ Cohort Engine'!I1044+(1-BA152)*'⑮ Cohort Engine'!I1045+(1-BA153)*'⑮ Cohort Engine'!I1046+(1-BA154)*'⑮ Cohort Engine'!I1047)</f>
        <v>8160446.17022388</v>
      </c>
      <c r="BB11" s="40" t="n">
        <f aca="false">'⑮ Cohort Engine'!J1134-((1-BB151)*'⑮ Cohort Engine'!J1044+(1-BB152)*'⑮ Cohort Engine'!J1045+(1-BB153)*'⑮ Cohort Engine'!J1046+(1-BB154)*'⑮ Cohort Engine'!J1047)</f>
        <v>9799173.67205212</v>
      </c>
      <c r="BC11" s="40" t="n">
        <f aca="false">'⑮ Cohort Engine'!K1134-((1-BC151)*'⑮ Cohort Engine'!K1044+(1-BC152)*'⑮ Cohort Engine'!K1045+(1-BC153)*'⑮ Cohort Engine'!K1046+(1-BC154)*'⑮ Cohort Engine'!K1047)</f>
        <v>11373603.0490671</v>
      </c>
      <c r="BD11" s="40" t="n">
        <f aca="false">'⑮ Cohort Engine'!L1134-((1-BD151)*'⑮ Cohort Engine'!L1044+(1-BD152)*'⑮ Cohort Engine'!L1045+(1-BD153)*'⑮ Cohort Engine'!L1046+(1-BD154)*'⑮ Cohort Engine'!L1047)</f>
        <v>13685957.6239102</v>
      </c>
      <c r="BE11" s="40" t="n">
        <f aca="false">'⑮ Cohort Engine'!M1134-((1-BE151)*'⑮ Cohort Engine'!M1044+(1-BE152)*'⑮ Cohort Engine'!M1045+(1-BE153)*'⑮ Cohort Engine'!M1046+(1-BE154)*'⑮ Cohort Engine'!M1047)</f>
        <v>16724221.7473744</v>
      </c>
      <c r="BF11" s="40" t="n">
        <f aca="false">'⑮ Cohort Engine'!N1134-((1-BF151)*'⑮ Cohort Engine'!N1044+(1-BF152)*'⑮ Cohort Engine'!N1045+(1-BF153)*'⑮ Cohort Engine'!N1046+(1-BF154)*'⑮ Cohort Engine'!N1047)</f>
        <v>20087364.7568569</v>
      </c>
    </row>
    <row r="12" customFormat="false" ht="15" hidden="false" customHeight="false" outlineLevel="0" collapsed="false">
      <c r="B12" s="9" t="s">
        <v>212</v>
      </c>
      <c r="C12" s="40" t="n">
        <f aca="false">'Pnl por tienda'!J82</f>
        <v>0</v>
      </c>
      <c r="D12" s="40" t="n">
        <f aca="false">'Pnl por tienda'!K82</f>
        <v>0</v>
      </c>
      <c r="E12" s="40" t="n">
        <f aca="false">'Pnl por tienda'!L82</f>
        <v>0</v>
      </c>
      <c r="F12" s="40" t="n">
        <f aca="false">'Pnl por tienda'!M82</f>
        <v>0</v>
      </c>
      <c r="G12" s="40" t="n">
        <f aca="false">'Pnl por tienda'!N82</f>
        <v>11083.52</v>
      </c>
      <c r="H12" s="40" t="n">
        <f aca="false">'Pnl por tienda'!O82</f>
        <v>794.27</v>
      </c>
      <c r="I12" s="40" t="n">
        <f aca="false">'Pnl por tienda'!P82</f>
        <v>6777.78</v>
      </c>
      <c r="J12" s="40" t="n">
        <f aca="false">'Pnl por tienda'!Q82</f>
        <v>4465.2</v>
      </c>
      <c r="K12" s="40" t="n">
        <f aca="false">'Pnl por tienda'!R82</f>
        <v>21088.69</v>
      </c>
      <c r="L12" s="40" t="n">
        <f aca="false">'Pnl por tienda'!S82</f>
        <v>24129.3</v>
      </c>
      <c r="M12" s="40" t="n">
        <f aca="false">'Pnl por tienda'!T82</f>
        <v>2155.79</v>
      </c>
      <c r="N12" s="40" t="n">
        <f aca="false">'Pnl por tienda'!U82</f>
        <v>10.16</v>
      </c>
      <c r="O12" s="84" t="n">
        <f aca="false">'Pnl por tienda'!V82</f>
        <v>5543.27</v>
      </c>
      <c r="P12" s="40" t="n">
        <f aca="false">'Pnl por tienda'!W82</f>
        <v>2497.82</v>
      </c>
      <c r="Q12" s="40" t="n">
        <f aca="false">'Pnl por tienda'!X82</f>
        <v>1056.87</v>
      </c>
      <c r="R12" s="40" t="n">
        <f aca="false">'Pnl por tienda'!Y82</f>
        <v>2885.47</v>
      </c>
      <c r="S12" s="40" t="n">
        <f aca="false">'Pnl por tienda'!Z82</f>
        <v>4212.29</v>
      </c>
      <c r="T12" s="40" t="n">
        <f aca="false">'Pnl por tienda'!AA82</f>
        <v>340.94</v>
      </c>
      <c r="U12" s="40" t="n">
        <f aca="false">'Pnl por tienda'!AB82</f>
        <v>1936.9</v>
      </c>
      <c r="V12" s="40" t="n">
        <f aca="false">'Pnl por tienda'!AC82</f>
        <v>9776.56</v>
      </c>
      <c r="W12" s="40" t="n">
        <f aca="false">'Pnl por tienda'!AD82</f>
        <v>6694.17</v>
      </c>
      <c r="X12" s="40" t="n">
        <f aca="false">'⑳ Other Channels'!$D$21/12</f>
        <v>7000</v>
      </c>
      <c r="Y12" s="40" t="n">
        <f aca="false">'⑳ Other Channels'!D21/12</f>
        <v>7000</v>
      </c>
      <c r="Z12" s="40" t="n">
        <f aca="false">'⑳ Other Channels'!D21/12</f>
        <v>7000</v>
      </c>
      <c r="AA12" s="84" t="n">
        <f aca="false">'⑳ Other Channels'!E21/12</f>
        <v>7000</v>
      </c>
      <c r="AB12" s="40" t="n">
        <f aca="false">'⑳ Other Channels'!E21/12</f>
        <v>7000</v>
      </c>
      <c r="AC12" s="40" t="n">
        <f aca="false">'⑳ Other Channels'!E21/12</f>
        <v>7000</v>
      </c>
      <c r="AD12" s="40" t="n">
        <f aca="false">'⑳ Other Channels'!E21/12</f>
        <v>7000</v>
      </c>
      <c r="AE12" s="40" t="n">
        <f aca="false">'⑳ Other Channels'!E21/12</f>
        <v>7000</v>
      </c>
      <c r="AF12" s="40" t="n">
        <f aca="false">'⑳ Other Channels'!E21/12</f>
        <v>7000</v>
      </c>
      <c r="AG12" s="40" t="n">
        <f aca="false">'⑳ Other Channels'!E21/12</f>
        <v>7000</v>
      </c>
      <c r="AH12" s="40" t="n">
        <f aca="false">'⑳ Other Channels'!E21/12</f>
        <v>7000</v>
      </c>
      <c r="AI12" s="40" t="n">
        <f aca="false">'⑳ Other Channels'!E21/12</f>
        <v>7000</v>
      </c>
      <c r="AJ12" s="40" t="n">
        <f aca="false">'⑳ Other Channels'!E21/12</f>
        <v>7000</v>
      </c>
      <c r="AK12" s="40" t="n">
        <f aca="false">'⑳ Other Channels'!E21/12</f>
        <v>7000</v>
      </c>
      <c r="AL12" s="40" t="n">
        <f aca="false">'⑳ Other Channels'!E21/12</f>
        <v>7000</v>
      </c>
      <c r="AM12" s="84" t="n">
        <f aca="false">'⑳ Other Channels'!F21/12</f>
        <v>7000</v>
      </c>
      <c r="AN12" s="40" t="n">
        <f aca="false">'⑳ Other Channels'!F21/12</f>
        <v>7000</v>
      </c>
      <c r="AO12" s="40" t="n">
        <f aca="false">'⑳ Other Channels'!F21/12</f>
        <v>7000</v>
      </c>
      <c r="AP12" s="40" t="n">
        <f aca="false">'⑳ Other Channels'!F21/12</f>
        <v>7000</v>
      </c>
      <c r="AQ12" s="40" t="n">
        <f aca="false">'⑳ Other Channels'!F21/12</f>
        <v>7000</v>
      </c>
      <c r="AR12" s="40" t="n">
        <f aca="false">'⑳ Other Channels'!F21/12</f>
        <v>7000</v>
      </c>
      <c r="AS12" s="40" t="n">
        <f aca="false">'⑳ Other Channels'!F21/12</f>
        <v>7000</v>
      </c>
      <c r="AT12" s="40" t="n">
        <f aca="false">'⑳ Other Channels'!F21/12</f>
        <v>7000</v>
      </c>
      <c r="AU12" s="40" t="n">
        <f aca="false">'⑳ Other Channels'!F21/12</f>
        <v>7000</v>
      </c>
      <c r="AV12" s="40" t="n">
        <f aca="false">'⑳ Other Channels'!F21/12</f>
        <v>7000</v>
      </c>
      <c r="AW12" s="40" t="n">
        <f aca="false">'⑳ Other Channels'!F21/12</f>
        <v>7000</v>
      </c>
      <c r="AX12" s="40" t="n">
        <f aca="false">'⑳ Other Channels'!F21/12</f>
        <v>7000</v>
      </c>
      <c r="AY12" s="84" t="n">
        <f aca="false">'⑳ Other Channels'!G21</f>
        <v>84000</v>
      </c>
      <c r="AZ12" s="40" t="n">
        <f aca="false">'⑳ Other Channels'!H21</f>
        <v>84000</v>
      </c>
      <c r="BA12" s="40" t="n">
        <f aca="false">'⑳ Other Channels'!I21</f>
        <v>84000</v>
      </c>
      <c r="BB12" s="40" t="n">
        <f aca="false">'⑳ Other Channels'!J21</f>
        <v>84000</v>
      </c>
      <c r="BC12" s="40" t="n">
        <f aca="false">'⑳ Other Channels'!K21</f>
        <v>84000</v>
      </c>
      <c r="BD12" s="40" t="n">
        <f aca="false">'⑳ Other Channels'!L21</f>
        <v>84000</v>
      </c>
      <c r="BE12" s="40" t="n">
        <f aca="false">'⑳ Other Channels'!M21</f>
        <v>84000</v>
      </c>
      <c r="BF12" s="40" t="n">
        <f aca="false">'⑳ Other Channels'!N21</f>
        <v>84000</v>
      </c>
    </row>
    <row r="13" customFormat="false" ht="15" hidden="false" customHeight="false" outlineLevel="0" collapsed="false">
      <c r="B13" s="9" t="s">
        <v>213</v>
      </c>
      <c r="C13" s="40" t="n">
        <f aca="false">'Pnl por tienda'!J97</f>
        <v>0</v>
      </c>
      <c r="D13" s="40" t="n">
        <f aca="false">'Pnl por tienda'!K97</f>
        <v>0</v>
      </c>
      <c r="E13" s="40" t="n">
        <f aca="false">'Pnl por tienda'!L97</f>
        <v>0</v>
      </c>
      <c r="F13" s="40" t="n">
        <f aca="false">'Pnl por tienda'!M97</f>
        <v>0</v>
      </c>
      <c r="G13" s="40" t="n">
        <f aca="false">'Pnl por tienda'!N97</f>
        <v>0</v>
      </c>
      <c r="H13" s="40" t="n">
        <f aca="false">'Pnl por tienda'!O97</f>
        <v>0</v>
      </c>
      <c r="I13" s="40" t="n">
        <f aca="false">'Pnl por tienda'!P97</f>
        <v>0</v>
      </c>
      <c r="J13" s="40" t="n">
        <f aca="false">'Pnl por tienda'!Q97</f>
        <v>0</v>
      </c>
      <c r="K13" s="40" t="n">
        <f aca="false">'Pnl por tienda'!R97</f>
        <v>0</v>
      </c>
      <c r="L13" s="40" t="n">
        <f aca="false">'Pnl por tienda'!S97</f>
        <v>0</v>
      </c>
      <c r="M13" s="40" t="n">
        <f aca="false">'Pnl por tienda'!T97</f>
        <v>0</v>
      </c>
      <c r="N13" s="40" t="n">
        <f aca="false">'Pnl por tienda'!U97</f>
        <v>0</v>
      </c>
      <c r="O13" s="84" t="n">
        <f aca="false">'Pnl por tienda'!V97</f>
        <v>0</v>
      </c>
      <c r="P13" s="40" t="n">
        <f aca="false">'Pnl por tienda'!W97</f>
        <v>0</v>
      </c>
      <c r="Q13" s="40" t="n">
        <f aca="false">'Pnl por tienda'!X97</f>
        <v>0</v>
      </c>
      <c r="R13" s="40" t="n">
        <f aca="false">'Pnl por tienda'!Y97</f>
        <v>0</v>
      </c>
      <c r="S13" s="40" t="n">
        <f aca="false">'Pnl por tienda'!Z97</f>
        <v>0</v>
      </c>
      <c r="T13" s="40" t="n">
        <f aca="false">'Pnl por tienda'!AA97</f>
        <v>0</v>
      </c>
      <c r="U13" s="40" t="n">
        <f aca="false">'Pnl por tienda'!AB97</f>
        <v>0</v>
      </c>
      <c r="V13" s="40" t="n">
        <f aca="false">'Pnl por tienda'!AC97</f>
        <v>0</v>
      </c>
      <c r="W13" s="40" t="n">
        <f aca="false">'Pnl por tienda'!AD97</f>
        <v>0</v>
      </c>
      <c r="X13" s="40" t="n">
        <f aca="false">'⑳ Other Channels'!$D$27/12</f>
        <v>1006.9868589455</v>
      </c>
      <c r="Y13" s="40" t="n">
        <f aca="false">'⑳ Other Channels'!D27/12</f>
        <v>1006.9868589455</v>
      </c>
      <c r="Z13" s="40" t="n">
        <f aca="false">'⑳ Other Channels'!D27/12</f>
        <v>1006.9868589455</v>
      </c>
      <c r="AA13" s="84" t="n">
        <f aca="false">'⑳ Other Channels'!E27/12</f>
        <v>2923.56569227673</v>
      </c>
      <c r="AB13" s="40" t="n">
        <f aca="false">'⑳ Other Channels'!E27/12</f>
        <v>2923.56569227673</v>
      </c>
      <c r="AC13" s="40" t="n">
        <f aca="false">'⑳ Other Channels'!E27/12</f>
        <v>2923.56569227673</v>
      </c>
      <c r="AD13" s="40" t="n">
        <f aca="false">'⑳ Other Channels'!E27/12</f>
        <v>2923.56569227673</v>
      </c>
      <c r="AE13" s="40" t="n">
        <f aca="false">'⑳ Other Channels'!E27/12</f>
        <v>2923.56569227673</v>
      </c>
      <c r="AF13" s="40" t="n">
        <f aca="false">'⑳ Other Channels'!E27/12</f>
        <v>2923.56569227673</v>
      </c>
      <c r="AG13" s="40" t="n">
        <f aca="false">'⑳ Other Channels'!E27/12</f>
        <v>2923.56569227673</v>
      </c>
      <c r="AH13" s="40" t="n">
        <f aca="false">'⑳ Other Channels'!E27/12</f>
        <v>2923.56569227673</v>
      </c>
      <c r="AI13" s="40" t="n">
        <f aca="false">'⑳ Other Channels'!E27/12</f>
        <v>2923.56569227673</v>
      </c>
      <c r="AJ13" s="40" t="n">
        <f aca="false">'⑳ Other Channels'!E27/12</f>
        <v>2923.56569227673</v>
      </c>
      <c r="AK13" s="40" t="n">
        <f aca="false">'⑳ Other Channels'!E27/12</f>
        <v>2923.56569227673</v>
      </c>
      <c r="AL13" s="40" t="n">
        <f aca="false">'⑳ Other Channels'!E27/12</f>
        <v>2923.56569227673</v>
      </c>
      <c r="AM13" s="84" t="n">
        <f aca="false">'⑳ Other Channels'!F27/12</f>
        <v>6918.14893119542</v>
      </c>
      <c r="AN13" s="40" t="n">
        <f aca="false">'⑳ Other Channels'!F27/12</f>
        <v>6918.14893119542</v>
      </c>
      <c r="AO13" s="40" t="n">
        <f aca="false">'⑳ Other Channels'!F27/12</f>
        <v>6918.14893119542</v>
      </c>
      <c r="AP13" s="40" t="n">
        <f aca="false">'⑳ Other Channels'!F27/12</f>
        <v>6918.14893119542</v>
      </c>
      <c r="AQ13" s="40" t="n">
        <f aca="false">'⑳ Other Channels'!F27/12</f>
        <v>6918.14893119542</v>
      </c>
      <c r="AR13" s="40" t="n">
        <f aca="false">'⑳ Other Channels'!F27/12</f>
        <v>6918.14893119542</v>
      </c>
      <c r="AS13" s="40" t="n">
        <f aca="false">'⑳ Other Channels'!F27/12</f>
        <v>6918.14893119542</v>
      </c>
      <c r="AT13" s="40" t="n">
        <f aca="false">'⑳ Other Channels'!F27/12</f>
        <v>6918.14893119542</v>
      </c>
      <c r="AU13" s="40" t="n">
        <f aca="false">'⑳ Other Channels'!F27/12</f>
        <v>6918.14893119542</v>
      </c>
      <c r="AV13" s="40" t="n">
        <f aca="false">'⑳ Other Channels'!F27/12</f>
        <v>6918.14893119542</v>
      </c>
      <c r="AW13" s="40" t="n">
        <f aca="false">'⑳ Other Channels'!F27/12</f>
        <v>6918.14893119542</v>
      </c>
      <c r="AX13" s="40" t="n">
        <f aca="false">'⑳ Other Channels'!F27/12</f>
        <v>6918.14893119542</v>
      </c>
      <c r="AY13" s="84" t="n">
        <f aca="false">'⑳ Other Channels'!G27</f>
        <v>158493.770207416</v>
      </c>
      <c r="AZ13" s="40" t="n">
        <f aca="false">'⑳ Other Channels'!H27</f>
        <v>237907.736561473</v>
      </c>
      <c r="BA13" s="40" t="n">
        <f aca="false">'⑳ Other Channels'!I27</f>
        <v>326417.846808955</v>
      </c>
      <c r="BB13" s="40" t="n">
        <f aca="false">'⑳ Other Channels'!J27</f>
        <v>440962.815242345</v>
      </c>
      <c r="BC13" s="40" t="n">
        <f aca="false">'⑳ Other Channels'!K27</f>
        <v>545932.94635522</v>
      </c>
      <c r="BD13" s="40" t="n">
        <f aca="false">'⑳ Other Channels'!L27</f>
        <v>684297.881195508</v>
      </c>
      <c r="BE13" s="40" t="n">
        <f aca="false">'⑳ Other Channels'!M27</f>
        <v>836211.087368718</v>
      </c>
      <c r="BF13" s="40" t="n">
        <f aca="false">'⑳ Other Channels'!N27</f>
        <v>1004368.23784285</v>
      </c>
    </row>
    <row r="14" customFormat="false" ht="15" hidden="false" customHeight="false" outlineLevel="0" collapsed="false">
      <c r="B14" s="9" t="s">
        <v>214</v>
      </c>
      <c r="C14" s="40" t="n">
        <f aca="false">'Pnl por tienda'!J121</f>
        <v>0</v>
      </c>
      <c r="D14" s="40" t="n">
        <f aca="false">'Pnl por tienda'!K121</f>
        <v>0</v>
      </c>
      <c r="E14" s="40" t="n">
        <f aca="false">'Pnl por tienda'!L121</f>
        <v>0</v>
      </c>
      <c r="F14" s="40" t="n">
        <f aca="false">'Pnl por tienda'!M121</f>
        <v>0</v>
      </c>
      <c r="G14" s="40" t="n">
        <f aca="false">'Pnl por tienda'!N121</f>
        <v>0</v>
      </c>
      <c r="H14" s="40" t="n">
        <f aca="false">'Pnl por tienda'!O121</f>
        <v>0</v>
      </c>
      <c r="I14" s="40" t="n">
        <f aca="false">'Pnl por tienda'!P121</f>
        <v>0</v>
      </c>
      <c r="J14" s="40" t="n">
        <f aca="false">'Pnl por tienda'!Q121</f>
        <v>0</v>
      </c>
      <c r="K14" s="40" t="n">
        <f aca="false">'Pnl por tienda'!R121</f>
        <v>0</v>
      </c>
      <c r="L14" s="40" t="n">
        <f aca="false">'Pnl por tienda'!S121</f>
        <v>0</v>
      </c>
      <c r="M14" s="40" t="n">
        <f aca="false">'Pnl por tienda'!T121</f>
        <v>0</v>
      </c>
      <c r="N14" s="40" t="n">
        <f aca="false">'Pnl por tienda'!U121</f>
        <v>0</v>
      </c>
      <c r="O14" s="84" t="n">
        <f aca="false">O10-SUM(O11:O13)</f>
        <v>0.0199999999895226</v>
      </c>
      <c r="P14" s="40" t="n">
        <f aca="false">P10-SUM(P11:P13)</f>
        <v>0</v>
      </c>
      <c r="Q14" s="40" t="n">
        <f aca="false">Q10-SUM(Q11:Q13)</f>
        <v>0.00999999999476131</v>
      </c>
      <c r="R14" s="40" t="n">
        <f aca="false">R10-SUM(R11:R13)</f>
        <v>0</v>
      </c>
      <c r="S14" s="40" t="n">
        <f aca="false">S10-SUM(S11:S13)</f>
        <v>0.00999999999476131</v>
      </c>
      <c r="T14" s="40" t="n">
        <f aca="false">T10-SUM(T11:T13)</f>
        <v>0</v>
      </c>
      <c r="U14" s="40" t="n">
        <f aca="false">U10-SUM(U11:U13)</f>
        <v>0</v>
      </c>
      <c r="V14" s="40" t="n">
        <f aca="false">V10-SUM(V11:V13)</f>
        <v>0.00999999999476131</v>
      </c>
      <c r="W14" s="40" t="n">
        <f aca="false">W10-SUM(W11:W13)</f>
        <v>-0.0299999999988358</v>
      </c>
      <c r="X14" s="40" t="n">
        <v>0</v>
      </c>
      <c r="Y14" s="40" t="n">
        <v>0</v>
      </c>
      <c r="Z14" s="40" t="n">
        <v>0</v>
      </c>
      <c r="AA14" s="84" t="n">
        <v>0</v>
      </c>
      <c r="AB14" s="40" t="n">
        <v>0</v>
      </c>
      <c r="AC14" s="40" t="n">
        <v>0</v>
      </c>
      <c r="AD14" s="40" t="n">
        <v>0</v>
      </c>
      <c r="AE14" s="40" t="n">
        <v>0</v>
      </c>
      <c r="AF14" s="40" t="n">
        <v>0</v>
      </c>
      <c r="AG14" s="40" t="n">
        <v>0</v>
      </c>
      <c r="AH14" s="40" t="n">
        <v>0</v>
      </c>
      <c r="AI14" s="40" t="n">
        <v>0</v>
      </c>
      <c r="AJ14" s="40" t="n">
        <v>0</v>
      </c>
      <c r="AK14" s="40" t="n">
        <v>0</v>
      </c>
      <c r="AL14" s="40" t="n">
        <v>0</v>
      </c>
      <c r="AM14" s="84" t="n">
        <v>0</v>
      </c>
      <c r="AN14" s="40" t="n">
        <v>0</v>
      </c>
      <c r="AO14" s="40" t="n">
        <v>0</v>
      </c>
      <c r="AP14" s="40" t="n">
        <v>0</v>
      </c>
      <c r="AQ14" s="40" t="n">
        <v>0</v>
      </c>
      <c r="AR14" s="40" t="n">
        <v>0</v>
      </c>
      <c r="AS14" s="40" t="n">
        <v>0</v>
      </c>
      <c r="AT14" s="40" t="n">
        <v>0</v>
      </c>
      <c r="AU14" s="40" t="n">
        <v>0</v>
      </c>
      <c r="AV14" s="40" t="n">
        <v>0</v>
      </c>
      <c r="AW14" s="40" t="n">
        <v>0</v>
      </c>
      <c r="AX14" s="40" t="n">
        <v>0</v>
      </c>
      <c r="AY14" s="84"/>
      <c r="AZ14" s="40"/>
      <c r="BA14" s="40"/>
      <c r="BB14" s="40"/>
      <c r="BC14" s="40"/>
      <c r="BD14" s="40"/>
      <c r="BE14" s="40"/>
      <c r="BF14" s="40"/>
    </row>
    <row r="15" customFormat="false" ht="15" hidden="false" customHeight="false" outlineLevel="0" collapsed="false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8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8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8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89"/>
      <c r="AZ15" s="9"/>
      <c r="BA15" s="9"/>
      <c r="BB15" s="9"/>
      <c r="BC15" s="9"/>
      <c r="BD15" s="9"/>
      <c r="BE15" s="9"/>
      <c r="BF15" s="9"/>
    </row>
    <row r="16" customFormat="false" ht="15" hidden="false" customHeight="false" outlineLevel="0" collapsed="false">
      <c r="B16" s="9" t="s">
        <v>215</v>
      </c>
      <c r="C16" s="40" t="n">
        <f aca="false">'Pnl por tienda'!J23+'Pnl por tienda'!J38+'Pnl por tienda'!J53+'Pnl por tienda'!J68+'Pnl por tienda'!J83+'Pnl por tienda'!J98</f>
        <v>-821.45</v>
      </c>
      <c r="D16" s="40" t="n">
        <f aca="false">'Pnl por tienda'!K23+'Pnl por tienda'!K38+'Pnl por tienda'!K53+'Pnl por tienda'!K68+'Pnl por tienda'!K83+'Pnl por tienda'!K98</f>
        <v>-2639.34</v>
      </c>
      <c r="E16" s="40" t="n">
        <f aca="false">'Pnl por tienda'!L23+'Pnl por tienda'!L38+'Pnl por tienda'!L53+'Pnl por tienda'!L68+'Pnl por tienda'!L83+'Pnl por tienda'!L98</f>
        <v>-4448.27</v>
      </c>
      <c r="F16" s="40" t="n">
        <f aca="false">'Pnl por tienda'!M23+'Pnl por tienda'!M38+'Pnl por tienda'!M53+'Pnl por tienda'!M68+'Pnl por tienda'!M83+'Pnl por tienda'!M98</f>
        <v>-6675.91</v>
      </c>
      <c r="G16" s="40" t="n">
        <f aca="false">'Pnl por tienda'!N23+'Pnl por tienda'!N38+'Pnl por tienda'!N53+'Pnl por tienda'!N68+'Pnl por tienda'!N83+'Pnl por tienda'!N98</f>
        <v>-10034.9</v>
      </c>
      <c r="H16" s="40" t="n">
        <f aca="false">'Pnl por tienda'!O23+'Pnl por tienda'!O38+'Pnl por tienda'!O53+'Pnl por tienda'!O68+'Pnl por tienda'!O83+'Pnl por tienda'!O98</f>
        <v>-6875.26</v>
      </c>
      <c r="I16" s="40" t="n">
        <f aca="false">'Pnl por tienda'!P23+'Pnl por tienda'!P38+'Pnl por tienda'!P53+'Pnl por tienda'!P68+'Pnl por tienda'!P83+'Pnl por tienda'!P98</f>
        <v>-11807.76</v>
      </c>
      <c r="J16" s="40" t="n">
        <f aca="false">'Pnl por tienda'!Q23+'Pnl por tienda'!Q38+'Pnl por tienda'!Q53+'Pnl por tienda'!Q68+'Pnl por tienda'!Q83+'Pnl por tienda'!Q98</f>
        <v>-15156.61</v>
      </c>
      <c r="K16" s="40" t="n">
        <f aca="false">'Pnl por tienda'!R23+'Pnl por tienda'!R38+'Pnl por tienda'!R53+'Pnl por tienda'!R68+'Pnl por tienda'!R83+'Pnl por tienda'!R98</f>
        <v>-19694.2</v>
      </c>
      <c r="L16" s="40" t="n">
        <f aca="false">'Pnl por tienda'!S23+'Pnl por tienda'!S38+'Pnl por tienda'!S53+'Pnl por tienda'!S68+'Pnl por tienda'!S83+'Pnl por tienda'!S98</f>
        <v>-18799.22</v>
      </c>
      <c r="M16" s="40" t="n">
        <f aca="false">'Pnl por tienda'!T23+'Pnl por tienda'!T38+'Pnl por tienda'!T53+'Pnl por tienda'!T68+'Pnl por tienda'!T83+'Pnl por tienda'!T98</f>
        <v>-12597.26</v>
      </c>
      <c r="N16" s="40" t="n">
        <f aca="false">'Pnl por tienda'!U23+'Pnl por tienda'!U38+'Pnl por tienda'!U53+'Pnl por tienda'!U68+'Pnl por tienda'!U83+'Pnl por tienda'!U98</f>
        <v>-13670.93</v>
      </c>
      <c r="O16" s="84" t="n">
        <f aca="false">'EEFF a septiemrbe'!B11+'EEFF a septiemrbe'!B12</f>
        <v>-21860.16</v>
      </c>
      <c r="P16" s="40" t="n">
        <f aca="false">'EEFF a septiemrbe'!C11+'EEFF a septiemrbe'!C12</f>
        <v>-15342.99</v>
      </c>
      <c r="Q16" s="40" t="n">
        <f aca="false">'EEFF a septiemrbe'!D11+'EEFF a septiemrbe'!D12</f>
        <v>-18830.96</v>
      </c>
      <c r="R16" s="40" t="n">
        <f aca="false">'EEFF a septiemrbe'!E11+'EEFF a septiemrbe'!E12</f>
        <v>-20464.94</v>
      </c>
      <c r="S16" s="40" t="n">
        <f aca="false">'EEFF a septiemrbe'!F11+'EEFF a septiemrbe'!F12</f>
        <v>-17482.55</v>
      </c>
      <c r="T16" s="40" t="n">
        <f aca="false">'EEFF a septiemrbe'!G11+'EEFF a septiemrbe'!G12</f>
        <v>-17409.8</v>
      </c>
      <c r="U16" s="40" t="n">
        <f aca="false">'EEFF a septiemrbe'!H11+'EEFF a septiemrbe'!H12</f>
        <v>-16973.43</v>
      </c>
      <c r="V16" s="40" t="n">
        <f aca="false">'EEFF a septiemrbe'!I11+'EEFF a septiemrbe'!I12</f>
        <v>-22614.97</v>
      </c>
      <c r="W16" s="40" t="n">
        <f aca="false">'EEFF a septiemrbe'!J11+'EEFF a septiemrbe'!J12</f>
        <v>-15846.93</v>
      </c>
      <c r="X16" s="40" t="n">
        <f aca="false">-X10*'⑯ Store P&amp;L'!$C$6+IF(X$5&gt;=DATE(2027,4,1),'⑳ Other Channels'!$E$42/12,0)</f>
        <v>-20647.5611557833</v>
      </c>
      <c r="Y16" s="40" t="n">
        <f aca="false">-Y10*'⑯ Store P&amp;L'!$C$6+IF(Y$5&gt;=DATE(2027,4,1),'⑳ Other Channels'!$E$42/12,0)</f>
        <v>-17737.5341426326</v>
      </c>
      <c r="Z16" s="40" t="n">
        <f aca="false">-Z10*'⑯ Store P&amp;L'!$C$6+IF(Z$5&gt;=DATE(2027,4,1),'⑳ Other Channels'!$E$42/12,0)</f>
        <v>-22942.5544340716</v>
      </c>
      <c r="AA16" s="84" t="n">
        <f aca="false">-AA10*'⑯ Store P&amp;L'!$C$6+IF(AA$5&gt;=DATE(2027,4,1),'⑳ Other Channels'!$E$42/12,0)</f>
        <v>-26848.9360463392</v>
      </c>
      <c r="AB16" s="40" t="n">
        <f aca="false">-AB10*'⑯ Store P&amp;L'!$C$6+IF(AB$5&gt;=DATE(2027,4,1),'⑳ Other Channels'!$E$42/12,0)</f>
        <v>-25601.3369203374</v>
      </c>
      <c r="AC16" s="40" t="n">
        <f aca="false">-AC10*'⑯ Store P&amp;L'!$C$6+IF(AC$5&gt;=DATE(2027,4,1),'⑳ Other Channels'!$E$42/12,0)</f>
        <v>-34008.5242868403</v>
      </c>
      <c r="AD16" s="40" t="n">
        <f aca="false">-AD10*'⑯ Store P&amp;L'!$C$6+IF(AD$5&gt;=DATE(2027,4,1),'⑳ Other Channels'!$E$42/12,0)</f>
        <v>-35196.4967901357</v>
      </c>
      <c r="AE16" s="40" t="n">
        <f aca="false">-AE10*'⑯ Store P&amp;L'!$C$6+IF(AE$5&gt;=DATE(2027,4,1),'⑳ Other Channels'!$E$42/12,0)</f>
        <v>-34096.1066383078</v>
      </c>
      <c r="AF16" s="40" t="n">
        <f aca="false">-AF10*'⑯ Store P&amp;L'!$C$6+IF(AF$5&gt;=DATE(2027,4,1),'⑳ Other Channels'!$E$42/12,0)</f>
        <v>-34467.3755403429</v>
      </c>
      <c r="AG16" s="40" t="n">
        <f aca="false">-AG10*'⑯ Store P&amp;L'!$C$6+IF(AG$5&gt;=DATE(2027,4,1),'⑳ Other Channels'!$E$42/12,0)</f>
        <v>-36697.2211175838</v>
      </c>
      <c r="AH16" s="40" t="n">
        <f aca="false">-AH10*'⑯ Store P&amp;L'!$C$6+IF(AH$5&gt;=DATE(2027,4,1),'⑳ Other Channels'!$E$42/12,0)</f>
        <v>-50712.6438449461</v>
      </c>
      <c r="AI16" s="40" t="n">
        <f aca="false">-AI10*'⑯ Store P&amp;L'!$C$6+IF(AI$5&gt;=DATE(2027,4,1),'⑳ Other Channels'!$E$42/12,0)</f>
        <v>-50854.9122860336</v>
      </c>
      <c r="AJ16" s="40" t="n">
        <f aca="false">-AJ10*'⑯ Store P&amp;L'!$C$6+IF(AJ$5&gt;=DATE(2027,4,1),'⑳ Other Channels'!$E$42/12,0)</f>
        <v>-50355.5899661122</v>
      </c>
      <c r="AK16" s="40" t="n">
        <f aca="false">-AK10*'⑯ Store P&amp;L'!$C$6+IF(AK$5&gt;=DATE(2027,4,1),'⑳ Other Channels'!$E$42/12,0)</f>
        <v>-45708.2969722441</v>
      </c>
      <c r="AL16" s="40" t="n">
        <f aca="false">-AL10*'⑯ Store P&amp;L'!$C$6+IF(AL$5&gt;=DATE(2027,4,1),'⑳ Other Channels'!$E$42/12,0)</f>
        <v>-55902.0405872893</v>
      </c>
      <c r="AM16" s="84" t="n">
        <f aca="false">-AM10*'⑯ Store P&amp;L'!$C$6+IF(AM$5&gt;=DATE(2027,4,1),'⑳ Other Channels'!$F$42/12,0)</f>
        <v>-60518.6745886093</v>
      </c>
      <c r="AN16" s="40" t="n">
        <f aca="false">-AN10*'⑯ Store P&amp;L'!$C$6+IF(AN$5&gt;=DATE(2027,4,1),'⑳ Other Channels'!$F$42/12,0)</f>
        <v>-56361.3038355818</v>
      </c>
      <c r="AO16" s="40" t="n">
        <f aca="false">-AO10*'⑯ Store P&amp;L'!$C$6+IF(AO$5&gt;=DATE(2027,4,1),'⑳ Other Channels'!$F$42/12,0)</f>
        <v>-69477.3063805443</v>
      </c>
      <c r="AP16" s="40" t="n">
        <f aca="false">-AP10*'⑯ Store P&amp;L'!$C$6+IF(AP$5&gt;=DATE(2027,4,1),'⑳ Other Channels'!$F$42/12,0)</f>
        <v>-73229.0756502718</v>
      </c>
      <c r="AQ16" s="40" t="n">
        <f aca="false">-AQ10*'⑯ Store P&amp;L'!$C$6+IF(AQ$5&gt;=DATE(2027,4,1),'⑳ Other Channels'!$F$42/12,0)</f>
        <v>-72324.0824073594</v>
      </c>
      <c r="AR16" s="40" t="n">
        <f aca="false">-AR10*'⑯ Store P&amp;L'!$C$6+IF(AR$5&gt;=DATE(2027,4,1),'⑳ Other Channels'!$F$42/12,0)</f>
        <v>-71173.9102980469</v>
      </c>
      <c r="AS16" s="40" t="n">
        <f aca="false">-AS10*'⑯ Store P&amp;L'!$C$6+IF(AS$5&gt;=DATE(2027,4,1),'⑳ Other Channels'!$F$42/12,0)</f>
        <v>-76840.5129511423</v>
      </c>
      <c r="AT16" s="40" t="n">
        <f aca="false">-AT10*'⑯ Store P&amp;L'!$C$6+IF(AT$5&gt;=DATE(2027,4,1),'⑳ Other Channels'!$F$42/12,0)</f>
        <v>-101071.636382782</v>
      </c>
      <c r="AU16" s="40" t="n">
        <f aca="false">-AU10*'⑯ Store P&amp;L'!$C$6+IF(AU$5&gt;=DATE(2027,4,1),'⑳ Other Channels'!$F$42/12,0)</f>
        <v>-103835.182538205</v>
      </c>
      <c r="AV16" s="40" t="n">
        <f aca="false">-AV10*'⑯ Store P&amp;L'!$C$6+IF(AV$5&gt;=DATE(2027,4,1),'⑳ Other Channels'!$F$42/12,0)</f>
        <v>-98702.1154081151</v>
      </c>
      <c r="AW16" s="40" t="n">
        <f aca="false">-AW10*'⑯ Store P&amp;L'!$C$6+IF(AW$5&gt;=DATE(2027,4,1),'⑳ Other Channels'!$F$42/12,0)</f>
        <v>-89876.1278531051</v>
      </c>
      <c r="AX16" s="40" t="n">
        <f aca="false">-AX10*'⑯ Store P&amp;L'!$C$6+IF(AX$5&gt;=DATE(2027,4,1),'⑳ Other Channels'!$F$42/12,0)</f>
        <v>-109794.167641183</v>
      </c>
      <c r="AY16" s="84" t="n">
        <f aca="false">-AY10*'⑯ Store P&amp;L'!G42+'⑳ Other Channels'!$G$42</f>
        <v>-1524465.78924512</v>
      </c>
      <c r="AZ16" s="40" t="n">
        <f aca="false">-AZ10*'⑯ Store P&amp;L'!H42+'⑳ Other Channels'!$H$42</f>
        <v>-1933607.27923421</v>
      </c>
      <c r="BA16" s="40" t="n">
        <f aca="false">-BA10*'⑯ Store P&amp;L'!I42+'⑳ Other Channels'!$I$42</f>
        <v>-2306110.59204551</v>
      </c>
      <c r="BB16" s="40" t="n">
        <f aca="false">-BB10*'⑯ Store P&amp;L'!J42+'⑳ Other Channels'!$J$42</f>
        <v>-2812315.12253953</v>
      </c>
      <c r="BC16" s="40" t="n">
        <f aca="false">-BC10*'⑯ Store P&amp;L'!K42+'⑳ Other Channels'!$K$42</f>
        <v>-3243396.33775979</v>
      </c>
      <c r="BD16" s="40" t="n">
        <f aca="false">-BD10*'⑯ Store P&amp;L'!L42+'⑳ Other Channels'!$L$42</f>
        <v>-3927713.40930705</v>
      </c>
      <c r="BE16" s="40" t="n">
        <f aca="false">-BE10*'⑯ Store P&amp;L'!M42+'⑳ Other Channels'!$M$42</f>
        <v>-4744398.80569423</v>
      </c>
      <c r="BF16" s="40" t="n">
        <f aca="false">-BF10*'⑯ Store P&amp;L'!N42+'⑳ Other Channels'!$N$42</f>
        <v>-5648411.64664314</v>
      </c>
    </row>
    <row r="17" customFormat="false" ht="15" hidden="false" customHeight="false" outlineLevel="0" collapsed="false">
      <c r="B17" s="90" t="s">
        <v>216</v>
      </c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2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2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2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2"/>
      <c r="AZ17" s="91"/>
      <c r="BA17" s="91"/>
      <c r="BB17" s="91"/>
      <c r="BC17" s="91"/>
      <c r="BD17" s="91"/>
      <c r="BE17" s="91"/>
      <c r="BF17" s="91"/>
    </row>
    <row r="18" customFormat="false" ht="15" hidden="false" customHeight="false" outlineLevel="0" collapsed="false">
      <c r="B18" s="10" t="s">
        <v>217</v>
      </c>
      <c r="C18" s="46" t="n">
        <f aca="false">C10+C16</f>
        <v>3215.52</v>
      </c>
      <c r="D18" s="46" t="n">
        <f aca="false">D10+D16</f>
        <v>11728.69</v>
      </c>
      <c r="E18" s="46" t="n">
        <f aca="false">E10+E16</f>
        <v>11846.69</v>
      </c>
      <c r="F18" s="46" t="n">
        <f aca="false">F10+F16</f>
        <v>12177.51</v>
      </c>
      <c r="G18" s="46" t="n">
        <f aca="false">G10+G16</f>
        <v>17220.61</v>
      </c>
      <c r="H18" s="46" t="n">
        <f aca="false">H10+H16</f>
        <v>14888.39</v>
      </c>
      <c r="I18" s="46" t="n">
        <f aca="false">I10+I16</f>
        <v>20969.79</v>
      </c>
      <c r="J18" s="46" t="n">
        <f aca="false">J10+J16</f>
        <v>29100.53</v>
      </c>
      <c r="K18" s="46" t="n">
        <f aca="false">K10+K16</f>
        <v>33156.01</v>
      </c>
      <c r="L18" s="46" t="n">
        <f aca="false">L10+L16</f>
        <v>31773.14</v>
      </c>
      <c r="M18" s="46" t="n">
        <f aca="false">M10+M16</f>
        <v>19521.89</v>
      </c>
      <c r="N18" s="46" t="n">
        <f aca="false">N10+N16</f>
        <v>32558.29</v>
      </c>
      <c r="O18" s="88" t="n">
        <f aca="false">'EEFF a septiemrbe'!B13</f>
        <v>32793.43</v>
      </c>
      <c r="P18" s="46" t="n">
        <f aca="false">'EEFF a septiemrbe'!C13</f>
        <v>38253.16</v>
      </c>
      <c r="Q18" s="46" t="n">
        <f aca="false">'EEFF a septiemrbe'!D13</f>
        <v>29329</v>
      </c>
      <c r="R18" s="46" t="n">
        <f aca="false">'EEFF a septiemrbe'!E13</f>
        <v>32606.97</v>
      </c>
      <c r="S18" s="46" t="n">
        <f aca="false">'EEFF a septiemrbe'!F13</f>
        <v>36470.4</v>
      </c>
      <c r="T18" s="46" t="n">
        <f aca="false">'EEFF a septiemrbe'!G13</f>
        <v>28957.68</v>
      </c>
      <c r="U18" s="46" t="n">
        <f aca="false">'EEFF a septiemrbe'!H13</f>
        <v>46031.32</v>
      </c>
      <c r="V18" s="46" t="n">
        <f aca="false">'EEFF a septiemrbe'!I13</f>
        <v>55447.31</v>
      </c>
      <c r="W18" s="46" t="n">
        <f aca="false">'EEFF a septiemrbe'!J13</f>
        <v>39321.89</v>
      </c>
      <c r="X18" s="46" t="n">
        <f aca="false">X10+X16</f>
        <v>48177.6426968277</v>
      </c>
      <c r="Y18" s="46" t="n">
        <f aca="false">Y10+Y16</f>
        <v>41387.5796661427</v>
      </c>
      <c r="Z18" s="46" t="n">
        <f aca="false">Z10+Z16</f>
        <v>53532.6270128337</v>
      </c>
      <c r="AA18" s="88" t="n">
        <f aca="false">AA10+AA16</f>
        <v>62647.5174414581</v>
      </c>
      <c r="AB18" s="46" t="n">
        <f aca="false">AB10+AB16</f>
        <v>59736.4528141206</v>
      </c>
      <c r="AC18" s="46" t="n">
        <f aca="false">AC10+AC16</f>
        <v>79353.2233359608</v>
      </c>
      <c r="AD18" s="46" t="n">
        <f aca="false">AD10+AD16</f>
        <v>89099.9483408476</v>
      </c>
      <c r="AE18" s="46" t="n">
        <f aca="false">AE10+AE16</f>
        <v>86532.3713199157</v>
      </c>
      <c r="AF18" s="46" t="n">
        <f aca="false">AF10+AF16</f>
        <v>87398.6654246642</v>
      </c>
      <c r="AG18" s="46" t="n">
        <f aca="false">AG10+AG16</f>
        <v>92601.6384382263</v>
      </c>
      <c r="AH18" s="46" t="n">
        <f aca="false">AH10+AH16</f>
        <v>125304.291468738</v>
      </c>
      <c r="AI18" s="46" t="n">
        <f aca="false">AI10+AI16</f>
        <v>125636.251164609</v>
      </c>
      <c r="AJ18" s="46" t="n">
        <f aca="false">AJ10+AJ16</f>
        <v>124471.165751459</v>
      </c>
      <c r="AK18" s="46" t="n">
        <f aca="false">AK10+AK16</f>
        <v>113627.4820991</v>
      </c>
      <c r="AL18" s="46" t="n">
        <f aca="false">AL10+AL16</f>
        <v>137412.883867539</v>
      </c>
      <c r="AM18" s="88" t="n">
        <f aca="false">AM10+AM16</f>
        <v>152752.704789586</v>
      </c>
      <c r="AN18" s="46" t="n">
        <f aca="false">AN10+AN16</f>
        <v>143052.173032521</v>
      </c>
      <c r="AO18" s="46" t="n">
        <f aca="false">AO10+AO16</f>
        <v>173656.178970767</v>
      </c>
      <c r="AP18" s="46" t="n">
        <f aca="false">AP10+AP16</f>
        <v>182410.307266798</v>
      </c>
      <c r="AQ18" s="46" t="n">
        <f aca="false">AQ10+AQ16</f>
        <v>180298.656366669</v>
      </c>
      <c r="AR18" s="46" t="n">
        <f aca="false">AR10+AR16</f>
        <v>177614.92144494</v>
      </c>
      <c r="AS18" s="46" t="n">
        <f aca="false">AS10+AS16</f>
        <v>190836.994302163</v>
      </c>
      <c r="AT18" s="46" t="n">
        <f aca="false">AT10+AT16</f>
        <v>247376.282309321</v>
      </c>
      <c r="AU18" s="46" t="n">
        <f aca="false">AU10+AU16</f>
        <v>253824.556671976</v>
      </c>
      <c r="AV18" s="46" t="n">
        <f aca="false">AV10+AV16</f>
        <v>241847.400035099</v>
      </c>
      <c r="AW18" s="46" t="n">
        <f aca="false">AW10+AW16</f>
        <v>221253.429073409</v>
      </c>
      <c r="AX18" s="46" t="n">
        <f aca="false">AX10+AX16</f>
        <v>267728.855245591</v>
      </c>
      <c r="AY18" s="88" t="n">
        <f aca="false">AY10+AY16</f>
        <v>3997808.19530336</v>
      </c>
      <c r="AZ18" s="46" t="n">
        <f aca="false">AZ10+AZ16</f>
        <v>5185664.35908363</v>
      </c>
      <c r="BA18" s="46" t="n">
        <f aca="false">BA10+BA16</f>
        <v>6264753.42498733</v>
      </c>
      <c r="BB18" s="46" t="n">
        <f aca="false">BB10+BB16</f>
        <v>7511821.36475493</v>
      </c>
      <c r="BC18" s="46" t="n">
        <f aca="false">BC10+BC16</f>
        <v>8760139.65766251</v>
      </c>
      <c r="BD18" s="46" t="n">
        <f aca="false">BD10+BD16</f>
        <v>10526542.0957986</v>
      </c>
      <c r="BE18" s="46" t="n">
        <f aca="false">BE10+BE16</f>
        <v>12900034.0290489</v>
      </c>
      <c r="BF18" s="46" t="n">
        <f aca="false">BF10+BF16</f>
        <v>15527321.3480566</v>
      </c>
    </row>
    <row r="19" customFormat="false" ht="15" hidden="false" customHeight="false" outlineLevel="0" collapsed="false">
      <c r="B19" s="90" t="s">
        <v>218</v>
      </c>
      <c r="C19" s="93" t="n">
        <f aca="false">IFERROR(C18/C10,0)</f>
        <v>0.796518180714744</v>
      </c>
      <c r="D19" s="93" t="n">
        <f aca="false">IFERROR(D18/D10,0)</f>
        <v>0.81630467085606</v>
      </c>
      <c r="E19" s="93" t="n">
        <f aca="false">IFERROR(E18/E10,0)</f>
        <v>0.727015592551316</v>
      </c>
      <c r="F19" s="93" t="n">
        <f aca="false">IFERROR(F18/F10,0)</f>
        <v>0.64590456267351</v>
      </c>
      <c r="G19" s="93" t="n">
        <f aca="false">IFERROR(G18/G10,0)</f>
        <v>0.631821235412583</v>
      </c>
      <c r="H19" s="93" t="n">
        <f aca="false">IFERROR(H18/H10,0)</f>
        <v>0.684094349982655</v>
      </c>
      <c r="I19" s="93" t="n">
        <f aca="false">IFERROR(I18/I10,0)</f>
        <v>0.639760750879794</v>
      </c>
      <c r="J19" s="93" t="n">
        <f aca="false">IFERROR(J18/J10,0)</f>
        <v>0.657532999195158</v>
      </c>
      <c r="K19" s="93" t="n">
        <f aca="false">IFERROR(K18/K10,0)</f>
        <v>0.627358150516337</v>
      </c>
      <c r="L19" s="93" t="n">
        <f aca="false">IFERROR(L18/L10,0)</f>
        <v>0.628270857836178</v>
      </c>
      <c r="M19" s="93" t="n">
        <f aca="false">IFERROR(M18/M10,0)</f>
        <v>0.607795972184818</v>
      </c>
      <c r="N19" s="93" t="n">
        <f aca="false">IFERROR(N18/N10,0)</f>
        <v>0.704279457883996</v>
      </c>
      <c r="O19" s="93" t="n">
        <f aca="false">IFERROR(O18/O10,0)</f>
        <v>0.6000233470482</v>
      </c>
      <c r="P19" s="93" t="n">
        <f aca="false">IFERROR(P18/P10,0)</f>
        <v>0.713729624236069</v>
      </c>
      <c r="Q19" s="93" t="n">
        <f aca="false">IFERROR(Q18/Q10,0)</f>
        <v>0.608991369594161</v>
      </c>
      <c r="R19" s="93" t="n">
        <f aca="false">IFERROR(R18/R10,0)</f>
        <v>0.614392246293755</v>
      </c>
      <c r="S19" s="93" t="n">
        <f aca="false">IFERROR(S18/S10,0)</f>
        <v>0.675966745099202</v>
      </c>
      <c r="T19" s="93" t="n">
        <f aca="false">IFERROR(T18/T10,0)</f>
        <v>0.624525637364808</v>
      </c>
      <c r="U19" s="93" t="n">
        <f aca="false">IFERROR(U18/U10,0)</f>
        <v>0.730600788035823</v>
      </c>
      <c r="V19" s="93" t="n">
        <f aca="false">IFERROR(V18/V10,0)</f>
        <v>0.710295804836856</v>
      </c>
      <c r="W19" s="93" t="n">
        <f aca="false">IFERROR(W18/W10,0)</f>
        <v>0.712755683373326</v>
      </c>
      <c r="X19" s="93" t="n">
        <f aca="false">IFERROR(X18/X10,0)</f>
        <v>0.7</v>
      </c>
      <c r="Y19" s="93" t="n">
        <f aca="false">IFERROR(Y18/Y10,0)</f>
        <v>0.7</v>
      </c>
      <c r="Z19" s="93" t="n">
        <f aca="false">IFERROR(Z18/Z10,0)</f>
        <v>0.7</v>
      </c>
      <c r="AA19" s="94" t="n">
        <f aca="false">IFERROR(AA18/AA10,0)</f>
        <v>0.7</v>
      </c>
      <c r="AB19" s="93" t="n">
        <f aca="false">IFERROR(AB18/AB10,0)</f>
        <v>0.7</v>
      </c>
      <c r="AC19" s="93" t="n">
        <f aca="false">IFERROR(AC18/AC10,0)</f>
        <v>0.7</v>
      </c>
      <c r="AD19" s="93" t="n">
        <f aca="false">IFERROR(AD18/AD10,0)</f>
        <v>0.716834244510809</v>
      </c>
      <c r="AE19" s="93" t="n">
        <f aca="false">IFERROR(AE18/AE10,0)</f>
        <v>0.717346125762143</v>
      </c>
      <c r="AF19" s="93" t="n">
        <f aca="false">IFERROR(AF18/AF10,0)</f>
        <v>0.717169973953286</v>
      </c>
      <c r="AG19" s="93" t="n">
        <f aca="false">IFERROR(AG18/AG10,0)</f>
        <v>0.716182948220484</v>
      </c>
      <c r="AH19" s="93" t="n">
        <f aca="false">IFERROR(AH18/AH10,0)</f>
        <v>0.71188770129096</v>
      </c>
      <c r="AI19" s="93" t="n">
        <f aca="false">IFERROR(AI18/AI10,0)</f>
        <v>0.711855759281367</v>
      </c>
      <c r="AJ19" s="93" t="n">
        <f aca="false">IFERROR(AJ18/AJ10,0)</f>
        <v>0.711968629976407</v>
      </c>
      <c r="AK19" s="93" t="n">
        <f aca="false">IFERROR(AK18/AK10,0)</f>
        <v>0.713132246638857</v>
      </c>
      <c r="AL19" s="93" t="n">
        <f aca="false">IFERROR(AL18/AL10,0)</f>
        <v>0.710823979343862</v>
      </c>
      <c r="AM19" s="94" t="n">
        <f aca="false">IFERROR(AM18/AM10,0)</f>
        <v>0.716236305288337</v>
      </c>
      <c r="AN19" s="93" t="n">
        <f aca="false">IFERROR(AN18/AN10,0)</f>
        <v>0.717364619880428</v>
      </c>
      <c r="AO19" s="93" t="n">
        <f aca="false">IFERROR(AO18/AO10,0)</f>
        <v>0.714242132135134</v>
      </c>
      <c r="AP19" s="93" t="n">
        <f aca="false">IFERROR(AP18/AP10,0)</f>
        <v>0.713545405975152</v>
      </c>
      <c r="AQ19" s="93" t="n">
        <f aca="false">IFERROR(AQ18/AQ10,0)</f>
        <v>0.713707155743991</v>
      </c>
      <c r="AR19" s="93" t="n">
        <f aca="false">IFERROR(AR18/AR10,0)</f>
        <v>0.713918386933166</v>
      </c>
      <c r="AS19" s="93" t="n">
        <f aca="false">IFERROR(AS18/AS10,0)</f>
        <v>0.712936235324294</v>
      </c>
      <c r="AT19" s="93" t="n">
        <f aca="false">IFERROR(AT18/AT10,0)</f>
        <v>0.7099376091493</v>
      </c>
      <c r="AU19" s="93" t="n">
        <f aca="false">IFERROR(AU18/AU10,0)</f>
        <v>0.709681657858656</v>
      </c>
      <c r="AV19" s="93" t="n">
        <f aca="false">IFERROR(AV18/AV10,0)</f>
        <v>0.710168093237022</v>
      </c>
      <c r="AW19" s="93" t="n">
        <f aca="false">IFERROR(AW18/AW10,0)</f>
        <v>0.71112957334898</v>
      </c>
      <c r="AX19" s="93" t="n">
        <f aca="false">IFERROR(AX18/AX10,0)</f>
        <v>0.709172259742918</v>
      </c>
      <c r="AY19" s="94" t="n">
        <f aca="false">IFERROR(AY18/AY10,0)</f>
        <v>0.72394238433105</v>
      </c>
      <c r="AZ19" s="93" t="n">
        <f aca="false">IFERROR(AZ18/AZ10,0)</f>
        <v>0.72839815960568</v>
      </c>
      <c r="BA19" s="93" t="n">
        <f aca="false">IFERROR(BA18/BA10,0)</f>
        <v>0.730936042450028</v>
      </c>
      <c r="BB19" s="93" t="n">
        <f aca="false">IFERROR(BB18/BB10,0)</f>
        <v>0.727598029530068</v>
      </c>
      <c r="BC19" s="93" t="n">
        <f aca="false">IFERROR(BC18/BC10,0)</f>
        <v>0.729796591687924</v>
      </c>
      <c r="BD19" s="93" t="n">
        <f aca="false">IFERROR(BD18/BD10,0)</f>
        <v>0.728265948535387</v>
      </c>
      <c r="BE19" s="93" t="n">
        <f aca="false">IFERROR(BE18/BE10,0)</f>
        <v>0.731110721997695</v>
      </c>
      <c r="BF19" s="93" t="n">
        <f aca="false">IFERROR(BF18/BF10,0)</f>
        <v>0.733260159256026</v>
      </c>
    </row>
    <row r="20" customFormat="false" ht="15" hidden="false" customHeight="false" outlineLevel="0" collapsed="false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8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8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8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89"/>
      <c r="AZ20" s="9"/>
      <c r="BA20" s="9"/>
      <c r="BB20" s="9"/>
      <c r="BC20" s="9"/>
      <c r="BD20" s="9"/>
      <c r="BE20" s="9"/>
      <c r="BF20" s="9"/>
    </row>
    <row r="21" customFormat="false" ht="15" hidden="false" customHeight="false" outlineLevel="0" collapsed="false">
      <c r="B21" s="26" t="s">
        <v>219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95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95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95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95"/>
      <c r="AZ21" s="26"/>
      <c r="BA21" s="26"/>
      <c r="BB21" s="26"/>
      <c r="BC21" s="26"/>
      <c r="BD21" s="26"/>
      <c r="BE21" s="26"/>
      <c r="BF21" s="26"/>
    </row>
    <row r="22" customFormat="false" ht="15" hidden="false" customHeight="false" outlineLevel="0" collapsed="false">
      <c r="B22" s="9" t="s">
        <v>220</v>
      </c>
      <c r="C22" s="40" t="n">
        <f aca="false">'Pnl por tienda'!J26+'Pnl por tienda'!J41+'Pnl por tienda'!J56+'Pnl por tienda'!J71+'Pnl por tienda'!J86+'Pnl por tienda'!J101</f>
        <v>-8878.65</v>
      </c>
      <c r="D22" s="40" t="n">
        <f aca="false">'Pnl por tienda'!K26+'Pnl por tienda'!K41+'Pnl por tienda'!K56+'Pnl por tienda'!K71+'Pnl por tienda'!K86+'Pnl por tienda'!K101</f>
        <v>-8997.86</v>
      </c>
      <c r="E22" s="40" t="n">
        <f aca="false">'Pnl por tienda'!L26+'Pnl por tienda'!L41+'Pnl por tienda'!L56+'Pnl por tienda'!L71+'Pnl por tienda'!L86+'Pnl por tienda'!L101</f>
        <v>-10917.5</v>
      </c>
      <c r="F22" s="40" t="n">
        <f aca="false">'Pnl por tienda'!M26+'Pnl por tienda'!M41+'Pnl por tienda'!M56+'Pnl por tienda'!M71+'Pnl por tienda'!M86+'Pnl por tienda'!M101</f>
        <v>-11113.41</v>
      </c>
      <c r="G22" s="40" t="n">
        <f aca="false">'Pnl por tienda'!N26+'Pnl por tienda'!N41+'Pnl por tienda'!N56+'Pnl por tienda'!N71+'Pnl por tienda'!N86+'Pnl por tienda'!N101</f>
        <v>-12469.98</v>
      </c>
      <c r="H22" s="40" t="n">
        <f aca="false">'Pnl por tienda'!O26+'Pnl por tienda'!O41+'Pnl por tienda'!O56+'Pnl por tienda'!O71+'Pnl por tienda'!O86+'Pnl por tienda'!O101</f>
        <v>-12439.09</v>
      </c>
      <c r="I22" s="40" t="n">
        <f aca="false">'Pnl por tienda'!P26+'Pnl por tienda'!P41+'Pnl por tienda'!P56+'Pnl por tienda'!P71+'Pnl por tienda'!P86+'Pnl por tienda'!P101</f>
        <v>-13093.78</v>
      </c>
      <c r="J22" s="40" t="n">
        <f aca="false">'Pnl por tienda'!Q26+'Pnl por tienda'!Q41+'Pnl por tienda'!Q56+'Pnl por tienda'!Q71+'Pnl por tienda'!Q86+'Pnl por tienda'!Q101</f>
        <v>-15073.61</v>
      </c>
      <c r="K22" s="40" t="n">
        <f aca="false">'Pnl por tienda'!R26+'Pnl por tienda'!R41+'Pnl por tienda'!R56+'Pnl por tienda'!R71+'Pnl por tienda'!R86+'Pnl por tienda'!R101</f>
        <v>-12225.98</v>
      </c>
      <c r="L22" s="40" t="n">
        <f aca="false">'Pnl por tienda'!S26+'Pnl por tienda'!S41+'Pnl por tienda'!S56+'Pnl por tienda'!S71+'Pnl por tienda'!S86+'Pnl por tienda'!S101</f>
        <v>-17666.67</v>
      </c>
      <c r="M22" s="40" t="n">
        <f aca="false">'Pnl por tienda'!T26+'Pnl por tienda'!T41+'Pnl por tienda'!T56+'Pnl por tienda'!T71+'Pnl por tienda'!T86+'Pnl por tienda'!T101</f>
        <v>-17099.92</v>
      </c>
      <c r="N22" s="40" t="n">
        <f aca="false">'Pnl por tienda'!U26+'Pnl por tienda'!U41+'Pnl por tienda'!U56+'Pnl por tienda'!U71+'Pnl por tienda'!U86+'Pnl por tienda'!U101</f>
        <v>-19028.04</v>
      </c>
      <c r="O22" s="84" t="n">
        <f aca="false">'EEFF a septiemrbe'!B16</f>
        <v>-22610.19</v>
      </c>
      <c r="P22" s="40" t="n">
        <f aca="false">'EEFF a septiemrbe'!C16</f>
        <v>-20423.06</v>
      </c>
      <c r="Q22" s="40" t="n">
        <f aca="false">'EEFF a septiemrbe'!D16</f>
        <v>-23222.78</v>
      </c>
      <c r="R22" s="40" t="n">
        <f aca="false">'EEFF a septiemrbe'!E16</f>
        <v>-19193.54</v>
      </c>
      <c r="S22" s="40" t="n">
        <f aca="false">'EEFF a septiemrbe'!F16</f>
        <v>-20206.65</v>
      </c>
      <c r="T22" s="40" t="n">
        <f aca="false">'EEFF a septiemrbe'!G16</f>
        <v>-17980.72</v>
      </c>
      <c r="U22" s="40" t="n">
        <f aca="false">'EEFF a septiemrbe'!H16</f>
        <v>-17614.62</v>
      </c>
      <c r="V22" s="40" t="n">
        <f aca="false">'EEFF a septiemrbe'!I16</f>
        <v>-19394.2</v>
      </c>
      <c r="W22" s="40" t="n">
        <f aca="false">'EEFF a septiemrbe'!J16</f>
        <v>-15677.61</v>
      </c>
      <c r="X22" s="40" t="n">
        <f aca="false">('⑯ Store P&amp;L'!AX98)</f>
        <v>-20516.4461615727</v>
      </c>
      <c r="Y22" s="40" t="n">
        <f aca="false">('⑯ Store P&amp;L'!AY98)</f>
        <v>-20321.4743516916</v>
      </c>
      <c r="Z22" s="40" t="n">
        <f aca="false">('⑯ Store P&amp;L'!AZ98)</f>
        <v>-20670.210711218</v>
      </c>
      <c r="AA22" s="84" t="n">
        <f aca="false">('⑯ Store P&amp;L'!BA98)</f>
        <v>-25415.41504469</v>
      </c>
      <c r="AB22" s="40" t="n">
        <f aca="false">('⑯ Store P&amp;L'!BB98)</f>
        <v>-29853.8259032478</v>
      </c>
      <c r="AC22" s="40" t="n">
        <f aca="false">('⑯ Store P&amp;L'!BC98)</f>
        <v>-35877.1074568035</v>
      </c>
      <c r="AD22" s="40" t="n">
        <f aca="false">('⑯ Store P&amp;L'!BD98)</f>
        <v>-41556.894876718</v>
      </c>
      <c r="AE22" s="40" t="n">
        <f aca="false">('⑯ Store P&amp;L'!BE98)</f>
        <v>-41483.1687365455</v>
      </c>
      <c r="AF22" s="40" t="n">
        <f aca="false">('⑯ Store P&amp;L'!BF98)</f>
        <v>-46030.0437529819</v>
      </c>
      <c r="AG22" s="40" t="n">
        <f aca="false">('⑯ Store P&amp;L'!BG98)</f>
        <v>-46179.443406657</v>
      </c>
      <c r="AH22" s="40" t="n">
        <f aca="false">('⑯ Store P&amp;L'!BH98)</f>
        <v>-51640.4767293903</v>
      </c>
      <c r="AI22" s="40" t="n">
        <f aca="false">('⑯ Store P&amp;L'!BI98)</f>
        <v>-51650.0087149432</v>
      </c>
      <c r="AJ22" s="40" t="n">
        <f aca="false">('⑯ Store P&amp;L'!BJ98)</f>
        <v>-56138.5541195084</v>
      </c>
      <c r="AK22" s="40" t="n">
        <f aca="false">('⑯ Store P&amp;L'!BK98)</f>
        <v>-55827.1854889193</v>
      </c>
      <c r="AL22" s="40" t="n">
        <f aca="false">('⑯ Store P&amp;L'!BL98)</f>
        <v>-56510.1663111273</v>
      </c>
      <c r="AM22" s="84" t="n">
        <f aca="false">('⑯ Store P&amp;L'!BM98)</f>
        <v>-56830.9999319847</v>
      </c>
      <c r="AN22" s="40" t="n">
        <f aca="false">('⑯ Store P&amp;L'!BN98)</f>
        <v>-56552.4560915318</v>
      </c>
      <c r="AO22" s="40" t="n">
        <f aca="false">('⑯ Store P&amp;L'!BO98)</f>
        <v>-63829.2282620443</v>
      </c>
      <c r="AP22" s="40" t="n">
        <f aca="false">('⑯ Store P&amp;L'!BP98)</f>
        <v>-65018.5968031161</v>
      </c>
      <c r="AQ22" s="40" t="n">
        <f aca="false">('⑯ Store P&amp;L'!BQ98)</f>
        <v>-68541.962255841</v>
      </c>
      <c r="AR22" s="40" t="n">
        <f aca="false">('⑯ Store P&amp;L'!BR98)</f>
        <v>-68464.900724517</v>
      </c>
      <c r="AS22" s="40" t="n">
        <f aca="false">('⑯ Store P&amp;L'!BS98)</f>
        <v>-74304.5631022744</v>
      </c>
      <c r="AT22" s="40" t="n">
        <f aca="false">('⑯ Store P&amp;L'!BT98)</f>
        <v>-79680.0483721943</v>
      </c>
      <c r="AU22" s="40" t="n">
        <f aca="false">('⑯ Store P&amp;L'!BU98)</f>
        <v>-87971.2059646076</v>
      </c>
      <c r="AV22" s="40" t="n">
        <f aca="false">('⑯ Store P&amp;L'!BV98)</f>
        <v>-87627.2904668916</v>
      </c>
      <c r="AW22" s="40" t="n">
        <f aca="false">('⑯ Store P&amp;L'!BW98)</f>
        <v>-90619.9493007059</v>
      </c>
      <c r="AX22" s="40" t="n">
        <f aca="false">('⑯ Store P&amp;L'!BX98)</f>
        <v>-98352.4579665071</v>
      </c>
      <c r="AY22" s="84" t="n">
        <f aca="false">('⑯ Store P&amp;L'!G53)</f>
        <v>-1264171.58230826</v>
      </c>
      <c r="AZ22" s="40" t="n">
        <f aca="false">('⑯ Store P&amp;L'!H53)</f>
        <v>-1579267.0144253</v>
      </c>
      <c r="BA22" s="40" t="n">
        <f aca="false">('⑯ Store P&amp;L'!I53)</f>
        <v>-2020280.9680215</v>
      </c>
      <c r="BB22" s="40" t="n">
        <f aca="false">('⑯ Store P&amp;L'!J53)</f>
        <v>-2315299.39080825</v>
      </c>
      <c r="BC22" s="40" t="n">
        <f aca="false">('⑯ Store P&amp;L'!K53)</f>
        <v>-2826081.42128625</v>
      </c>
      <c r="BD22" s="40" t="n">
        <f aca="false">('⑯ Store P&amp;L'!L53)</f>
        <v>-3602519.74824059</v>
      </c>
      <c r="BE22" s="40" t="n">
        <f aca="false">('⑯ Store P&amp;L'!M53)</f>
        <v>-3731124.85712222</v>
      </c>
      <c r="BF22" s="40" t="n">
        <f aca="false">('⑯ Store P&amp;L'!N53)</f>
        <v>-3922540.03161282</v>
      </c>
    </row>
    <row r="23" customFormat="false" ht="15" hidden="false" customHeight="false" outlineLevel="0" collapsed="false">
      <c r="B23" s="9" t="s">
        <v>221</v>
      </c>
      <c r="C23" s="40" t="n">
        <f aca="false">('Pnl por tienda'!J28+'Pnl por tienda'!J43+'Pnl por tienda'!J58+'Pnl por tienda'!J73+'Pnl por tienda'!J88+'Pnl por tienda'!J103)</f>
        <v>-1211.13</v>
      </c>
      <c r="D23" s="40" t="n">
        <f aca="false">('Pnl por tienda'!K28+'Pnl por tienda'!K43+'Pnl por tienda'!K58+'Pnl por tienda'!K73+'Pnl por tienda'!K88+'Pnl por tienda'!K103)</f>
        <v>-1990.02</v>
      </c>
      <c r="E23" s="40" t="n">
        <f aca="false">('Pnl por tienda'!L28+'Pnl por tienda'!L43+'Pnl por tienda'!L58+'Pnl por tienda'!L73+'Pnl por tienda'!L88+'Pnl por tienda'!L103)</f>
        <v>-1657.99</v>
      </c>
      <c r="F23" s="40" t="n">
        <f aca="false">('Pnl por tienda'!M28+'Pnl por tienda'!M43+'Pnl por tienda'!M58+'Pnl por tienda'!M73+'Pnl por tienda'!M88+'Pnl por tienda'!M103)</f>
        <v>-1602.08</v>
      </c>
      <c r="G23" s="40" t="n">
        <f aca="false">('Pnl por tienda'!N28+'Pnl por tienda'!N43+'Pnl por tienda'!N58+'Pnl por tienda'!N73+'Pnl por tienda'!N88+'Pnl por tienda'!N103)</f>
        <v>-2778.39</v>
      </c>
      <c r="H23" s="40" t="n">
        <f aca="false">('Pnl por tienda'!O28+'Pnl por tienda'!O43+'Pnl por tienda'!O58+'Pnl por tienda'!O73+'Pnl por tienda'!O88+'Pnl por tienda'!O103)</f>
        <v>-2735.29</v>
      </c>
      <c r="I23" s="40" t="n">
        <f aca="false">('Pnl por tienda'!P28+'Pnl por tienda'!P43+'Pnl por tienda'!P58+'Pnl por tienda'!P73+'Pnl por tienda'!P88+'Pnl por tienda'!P103)</f>
        <v>-3560.21</v>
      </c>
      <c r="J23" s="40" t="n">
        <f aca="false">('Pnl por tienda'!Q28+'Pnl por tienda'!Q43+'Pnl por tienda'!Q58+'Pnl por tienda'!Q73+'Pnl por tienda'!Q88+'Pnl por tienda'!Q103)</f>
        <v>-5324.46</v>
      </c>
      <c r="K23" s="40" t="n">
        <f aca="false">('Pnl por tienda'!R28+'Pnl por tienda'!R43+'Pnl por tienda'!R58+'Pnl por tienda'!R73+'Pnl por tienda'!R88+'Pnl por tienda'!R103)</f>
        <v>-4522.66</v>
      </c>
      <c r="L23" s="40" t="n">
        <f aca="false">('Pnl por tienda'!S28+'Pnl por tienda'!S43+'Pnl por tienda'!S58+'Pnl por tienda'!S73+'Pnl por tienda'!S88+'Pnl por tienda'!S103)</f>
        <v>-4966.8</v>
      </c>
      <c r="M23" s="40" t="n">
        <f aca="false">('Pnl por tienda'!T28+'Pnl por tienda'!T43+'Pnl por tienda'!T58+'Pnl por tienda'!T73+'Pnl por tienda'!T88+'Pnl por tienda'!T103)</f>
        <v>-3794.08</v>
      </c>
      <c r="N23" s="40" t="n">
        <f aca="false">('Pnl por tienda'!U28+'Pnl por tienda'!U43+'Pnl por tienda'!U58+'Pnl por tienda'!U73+'Pnl por tienda'!U88+'Pnl por tienda'!U103)</f>
        <v>-4738.31</v>
      </c>
      <c r="O23" s="84" t="n">
        <f aca="false">('EEFF a septiemrbe'!B18)</f>
        <v>-5685.79</v>
      </c>
      <c r="P23" s="40" t="n">
        <f aca="false">('EEFF a septiemrbe'!C18)</f>
        <v>-6239.65</v>
      </c>
      <c r="Q23" s="40" t="n">
        <f aca="false">('EEFF a septiemrbe'!D18)</f>
        <v>-4798.87</v>
      </c>
      <c r="R23" s="40" t="n">
        <f aca="false">('EEFF a septiemrbe'!E18)</f>
        <v>-5931.16</v>
      </c>
      <c r="S23" s="40" t="n">
        <f aca="false">('EEFF a septiemrbe'!F18)</f>
        <v>-7665.14</v>
      </c>
      <c r="T23" s="40" t="n">
        <f aca="false">('EEFF a septiemrbe'!G18)</f>
        <v>-5286.32</v>
      </c>
      <c r="U23" s="40" t="n">
        <f aca="false">('EEFF a septiemrbe'!H18)</f>
        <v>-5390.56</v>
      </c>
      <c r="V23" s="40" t="n">
        <f aca="false">('EEFF a septiemrbe'!I18)</f>
        <v>-3476.14</v>
      </c>
      <c r="W23" s="40" t="n">
        <f aca="false">('EEFF a septiemrbe'!J18)</f>
        <v>-2563.22</v>
      </c>
      <c r="X23" s="40" t="n">
        <f aca="false">-$C$142*'⑯ Store P&amp;L'!AX85</f>
        <v>-3809.97333333333</v>
      </c>
      <c r="Y23" s="40" t="n">
        <f aca="false">-$C$142*'⑯ Store P&amp;L'!AY85</f>
        <v>-3809.97333333333</v>
      </c>
      <c r="Z23" s="40" t="n">
        <f aca="false">-$C$142*'⑯ Store P&amp;L'!AZ85</f>
        <v>-3809.97333333333</v>
      </c>
      <c r="AA23" s="84" t="n">
        <f aca="false">-$C$142*'⑯ Store P&amp;L'!BA85</f>
        <v>-4762.46666666667</v>
      </c>
      <c r="AB23" s="40" t="n">
        <f aca="false">-$C$142*'⑯ Store P&amp;L'!BB85</f>
        <v>-5714.96</v>
      </c>
      <c r="AC23" s="40" t="n">
        <f aca="false">-$C$142*'⑯ Store P&amp;L'!BC85</f>
        <v>-6667.45333333333</v>
      </c>
      <c r="AD23" s="40" t="n">
        <f aca="false">-$C$142*'⑯ Store P&amp;L'!BD85</f>
        <v>-7619.94666666667</v>
      </c>
      <c r="AE23" s="40" t="n">
        <f aca="false">-$C$142*'⑯ Store P&amp;L'!BE85</f>
        <v>-7619.94666666667</v>
      </c>
      <c r="AF23" s="40" t="n">
        <f aca="false">-$C$142*'⑯ Store P&amp;L'!BF85</f>
        <v>-8572.44</v>
      </c>
      <c r="AG23" s="40" t="n">
        <f aca="false">-$C$142*'⑯ Store P&amp;L'!BG85</f>
        <v>-8572.44</v>
      </c>
      <c r="AH23" s="40" t="n">
        <f aca="false">-$C$142*'⑯ Store P&amp;L'!BH85</f>
        <v>-9524.93333333333</v>
      </c>
      <c r="AI23" s="40" t="n">
        <f aca="false">-$C$142*'⑯ Store P&amp;L'!BI85</f>
        <v>-9524.93333333333</v>
      </c>
      <c r="AJ23" s="40" t="n">
        <f aca="false">-$C$142*'⑯ Store P&amp;L'!BJ85</f>
        <v>-10477.4266666667</v>
      </c>
      <c r="AK23" s="40" t="n">
        <f aca="false">-$C$142*'⑯ Store P&amp;L'!BK85</f>
        <v>-10477.4266666667</v>
      </c>
      <c r="AL23" s="40" t="n">
        <f aca="false">-$C$142*'⑯ Store P&amp;L'!BL85</f>
        <v>-10477.4266666667</v>
      </c>
      <c r="AM23" s="84" t="n">
        <f aca="false">-$C$142*'⑯ Store P&amp;L'!BM85</f>
        <v>-10477.4266666667</v>
      </c>
      <c r="AN23" s="40" t="n">
        <f aca="false">-$C$142*'⑯ Store P&amp;L'!BN85</f>
        <v>-10477.4266666667</v>
      </c>
      <c r="AO23" s="40" t="n">
        <f aca="false">-$C$142*'⑯ Store P&amp;L'!BO85</f>
        <v>-11429.92</v>
      </c>
      <c r="AP23" s="40" t="n">
        <f aca="false">-$C$142*'⑯ Store P&amp;L'!BP85</f>
        <v>-11429.92</v>
      </c>
      <c r="AQ23" s="40" t="n">
        <f aca="false">-$C$142*'⑯ Store P&amp;L'!BQ85</f>
        <v>-12382.4133333333</v>
      </c>
      <c r="AR23" s="40" t="n">
        <f aca="false">-$C$142*'⑯ Store P&amp;L'!BR85</f>
        <v>-12382.4133333333</v>
      </c>
      <c r="AS23" s="40" t="n">
        <f aca="false">-$C$142*'⑯ Store P&amp;L'!BS85</f>
        <v>-13334.9066666667</v>
      </c>
      <c r="AT23" s="40" t="n">
        <f aca="false">-$C$142*'⑯ Store P&amp;L'!BT85</f>
        <v>-13334.9066666667</v>
      </c>
      <c r="AU23" s="40" t="n">
        <f aca="false">-$C$142*'⑯ Store P&amp;L'!BU85</f>
        <v>-15239.8933333333</v>
      </c>
      <c r="AV23" s="40" t="n">
        <f aca="false">-$C$142*'⑯ Store P&amp;L'!BV85</f>
        <v>-15239.8933333333</v>
      </c>
      <c r="AW23" s="40" t="n">
        <f aca="false">-$C$142*'⑯ Store P&amp;L'!BW85</f>
        <v>-16192.3866666667</v>
      </c>
      <c r="AX23" s="40" t="n">
        <f aca="false">-$C$142*'⑯ Store P&amp;L'!BX85</f>
        <v>-17144.88</v>
      </c>
      <c r="AY23" s="84" t="n">
        <f aca="false">-$C$142*12*AVERAGE('⑯ Store P&amp;L'!F37,'⑯ Store P&amp;L'!G37)</f>
        <v>-211453.52</v>
      </c>
      <c r="AZ23" s="40" t="n">
        <f aca="false">-$C$142*12*AVERAGE('⑯ Store P&amp;L'!G37,'⑯ Store P&amp;L'!H37)</f>
        <v>-240028.32</v>
      </c>
      <c r="BA23" s="40" t="n">
        <f aca="false">-$C$142*12*AVERAGE('⑯ Store P&amp;L'!H37,'⑯ Store P&amp;L'!I37)</f>
        <v>-302892.88</v>
      </c>
      <c r="BB23" s="40" t="n">
        <f aca="false">-$C$142*12*AVERAGE('⑯ Store P&amp;L'!I37,'⑯ Store P&amp;L'!J37)</f>
        <v>-365757.44</v>
      </c>
      <c r="BC23" s="40" t="n">
        <f aca="false">-$C$142*12*AVERAGE('⑯ Store P&amp;L'!J37,'⑯ Store P&amp;L'!K37)</f>
        <v>-434336.96</v>
      </c>
      <c r="BD23" s="40" t="n">
        <f aca="false">-$C$142*12*AVERAGE('⑯ Store P&amp;L'!K37,'⑯ Store P&amp;L'!L37)</f>
        <v>-548636.16</v>
      </c>
      <c r="BE23" s="40" t="n">
        <f aca="false">-$C$142*12*AVERAGE('⑯ Store P&amp;L'!L37,'⑯ Store P&amp;L'!M37)</f>
        <v>-617215.68</v>
      </c>
      <c r="BF23" s="40" t="n">
        <f aca="false">-$C$142*12*AVERAGE('⑯ Store P&amp;L'!M37,'⑯ Store P&amp;L'!N37)</f>
        <v>-617215.68</v>
      </c>
    </row>
    <row r="24" customFormat="false" ht="15" hidden="false" customHeight="false" outlineLevel="0" collapsed="false">
      <c r="B24" s="9" t="s">
        <v>222</v>
      </c>
      <c r="C24" s="40" t="n">
        <f aca="false">'Pnl por tienda'!J27+'Pnl por tienda'!J42+'Pnl por tienda'!J57+'Pnl por tienda'!J72+'Pnl por tienda'!J87+'Pnl por tienda'!J102</f>
        <v>-4502.96</v>
      </c>
      <c r="D24" s="40" t="n">
        <f aca="false">'Pnl por tienda'!K27+'Pnl por tienda'!K42+'Pnl por tienda'!K57+'Pnl por tienda'!K72+'Pnl por tienda'!K87+'Pnl por tienda'!K102</f>
        <v>-3298.74</v>
      </c>
      <c r="E24" s="40" t="n">
        <f aca="false">'Pnl por tienda'!L27+'Pnl por tienda'!L42+'Pnl por tienda'!L57+'Pnl por tienda'!L72+'Pnl por tienda'!L87+'Pnl por tienda'!L102</f>
        <v>-4788.91</v>
      </c>
      <c r="F24" s="40" t="n">
        <f aca="false">'Pnl por tienda'!M27+'Pnl por tienda'!M42+'Pnl por tienda'!M57+'Pnl por tienda'!M72+'Pnl por tienda'!M87+'Pnl por tienda'!M102</f>
        <v>-4988.91</v>
      </c>
      <c r="G24" s="40" t="n">
        <f aca="false">'Pnl por tienda'!N27+'Pnl por tienda'!N42+'Pnl por tienda'!N57+'Pnl por tienda'!N72+'Pnl por tienda'!N87+'Pnl por tienda'!N102</f>
        <v>-6326.38</v>
      </c>
      <c r="H24" s="40" t="n">
        <f aca="false">'Pnl por tienda'!O27+'Pnl por tienda'!O42+'Pnl por tienda'!O57+'Pnl por tienda'!O72+'Pnl por tienda'!O87+'Pnl por tienda'!O102</f>
        <v>-4626.23</v>
      </c>
      <c r="I24" s="40" t="n">
        <f aca="false">'Pnl por tienda'!P27+'Pnl por tienda'!P42+'Pnl por tienda'!P57+'Pnl por tienda'!P72+'Pnl por tienda'!P87+'Pnl por tienda'!P102</f>
        <v>-4623.66</v>
      </c>
      <c r="J24" s="40" t="n">
        <f aca="false">'Pnl por tienda'!Q27+'Pnl por tienda'!Q42+'Pnl por tienda'!Q57+'Pnl por tienda'!Q72+'Pnl por tienda'!Q87+'Pnl por tienda'!Q102</f>
        <v>-5508.14</v>
      </c>
      <c r="K24" s="40" t="n">
        <f aca="false">'Pnl por tienda'!R27+'Pnl por tienda'!R42+'Pnl por tienda'!R57+'Pnl por tienda'!R72+'Pnl por tienda'!R87+'Pnl por tienda'!R102</f>
        <v>-5253.54</v>
      </c>
      <c r="L24" s="40" t="n">
        <f aca="false">'Pnl por tienda'!S27+'Pnl por tienda'!S42+'Pnl por tienda'!S57+'Pnl por tienda'!S72+'Pnl por tienda'!S87+'Pnl por tienda'!S102</f>
        <v>-6321.44</v>
      </c>
      <c r="M24" s="40" t="n">
        <f aca="false">'Pnl por tienda'!T27+'Pnl por tienda'!T42+'Pnl por tienda'!T57+'Pnl por tienda'!T72+'Pnl por tienda'!T87+'Pnl por tienda'!T102</f>
        <v>-8433.78</v>
      </c>
      <c r="N24" s="40" t="n">
        <f aca="false">'Pnl por tienda'!U27+'Pnl por tienda'!U42+'Pnl por tienda'!U57+'Pnl por tienda'!U72+'Pnl por tienda'!U87+'Pnl por tienda'!U102</f>
        <v>-7075.02</v>
      </c>
      <c r="O24" s="84" t="n">
        <f aca="false">'EEFF a septiemrbe'!B17</f>
        <v>-8150.76</v>
      </c>
      <c r="P24" s="40" t="n">
        <f aca="false">'EEFF a septiemrbe'!C17</f>
        <v>-9189.83</v>
      </c>
      <c r="Q24" s="40" t="n">
        <f aca="false">'EEFF a septiemrbe'!D17</f>
        <v>-8258.91</v>
      </c>
      <c r="R24" s="40" t="n">
        <f aca="false">'EEFF a septiemrbe'!E17</f>
        <v>-8224.93</v>
      </c>
      <c r="S24" s="40" t="n">
        <f aca="false">'EEFF a septiemrbe'!F17</f>
        <v>-8328.76</v>
      </c>
      <c r="T24" s="40" t="n">
        <f aca="false">'EEFF a septiemrbe'!G17</f>
        <v>-8289.91</v>
      </c>
      <c r="U24" s="40" t="n">
        <f aca="false">'EEFF a septiemrbe'!H17</f>
        <v>-8224.91</v>
      </c>
      <c r="V24" s="40" t="n">
        <f aca="false">'EEFF a septiemrbe'!I17</f>
        <v>-8676.15</v>
      </c>
      <c r="W24" s="40" t="n">
        <f aca="false">'EEFF a septiemrbe'!J17</f>
        <v>-8541.36</v>
      </c>
      <c r="X24" s="40" t="n">
        <f aca="false">('⑯ Store P&amp;L'!AX100)*(1-(1-$C$141)*MIN(1,4/MAX(1,'⑯ Store P&amp;L'!AX85)))</f>
        <v>-8541.36</v>
      </c>
      <c r="Y24" s="40" t="n">
        <f aca="false">('⑯ Store P&amp;L'!AY100)*(1-(1-$C$141)*MIN(1,4/MAX(1,'⑯ Store P&amp;L'!AY85)))</f>
        <v>-8541.36</v>
      </c>
      <c r="Z24" s="40" t="n">
        <f aca="false">('⑯ Store P&amp;L'!AZ100)*(1-(1-$C$141)*MIN(1,4/MAX(1,'⑯ Store P&amp;L'!AZ85)))</f>
        <v>-8541.36</v>
      </c>
      <c r="AA24" s="84" t="n">
        <f aca="false">('⑯ Store P&amp;L'!BA100)*(1-(1-$C$141)*MIN(1,4/MAX(1,'⑯ Store P&amp;L'!BA85)))</f>
        <v>-11031.2690526316</v>
      </c>
      <c r="AB24" s="40" t="n">
        <f aca="false">('⑯ Store P&amp;L'!BB100)*(1-(1-$C$141)*MIN(1,4/MAX(1,'⑯ Store P&amp;L'!BB85)))</f>
        <v>-13990.9052631579</v>
      </c>
      <c r="AC24" s="40" t="n">
        <f aca="false">('⑯ Store P&amp;L'!BC100)*(1-(1-$C$141)*MIN(1,4/MAX(1,'⑯ Store P&amp;L'!BC85)))</f>
        <v>-16490.9052631579</v>
      </c>
      <c r="AD24" s="40" t="n">
        <f aca="false">('⑯ Store P&amp;L'!BD100)*(1-(1-$C$141)*MIN(1,4/MAX(1,'⑯ Store P&amp;L'!BD85)))</f>
        <v>-19465.6778947368</v>
      </c>
      <c r="AE24" s="40" t="n">
        <f aca="false">('⑯ Store P&amp;L'!BE100)*(1-(1-$C$141)*MIN(1,4/MAX(1,'⑯ Store P&amp;L'!BE85)))</f>
        <v>-19465.6778947368</v>
      </c>
      <c r="AF24" s="40" t="n">
        <f aca="false">('⑯ Store P&amp;L'!BF100)*(1-(1-$C$141)*MIN(1,4/MAX(1,'⑯ Store P&amp;L'!BF85)))</f>
        <v>-22446.0566081871</v>
      </c>
      <c r="AG24" s="40" t="n">
        <f aca="false">('⑯ Store P&amp;L'!BG100)*(1-(1-$C$141)*MIN(1,4/MAX(1,'⑯ Store P&amp;L'!BG85)))</f>
        <v>-22446.0566081871</v>
      </c>
      <c r="AH24" s="40" t="n">
        <f aca="false">('⑯ Store P&amp;L'!BH100)*(1-(1-$C$141)*MIN(1,4/MAX(1,'⑯ Store P&amp;L'!BH85)))</f>
        <v>-25430.3595789474</v>
      </c>
      <c r="AI24" s="40" t="n">
        <f aca="false">('⑯ Store P&amp;L'!BI100)*(1-(1-$C$141)*MIN(1,4/MAX(1,'⑯ Store P&amp;L'!BI85)))</f>
        <v>-25430.3595789474</v>
      </c>
      <c r="AJ24" s="40" t="n">
        <f aca="false">('⑯ Store P&amp;L'!BJ100)*(1-(1-$C$141)*MIN(1,4/MAX(1,'⑯ Store P&amp;L'!BJ85)))</f>
        <v>-28417.5165550239</v>
      </c>
      <c r="AK24" s="40" t="n">
        <f aca="false">('⑯ Store P&amp;L'!BK100)*(1-(1-$C$141)*MIN(1,4/MAX(1,'⑯ Store P&amp;L'!BK85)))</f>
        <v>-28417.5165550239</v>
      </c>
      <c r="AL24" s="40" t="n">
        <f aca="false">('⑯ Store P&amp;L'!BL100)*(1-(1-$C$141)*MIN(1,4/MAX(1,'⑯ Store P&amp;L'!BL85)))</f>
        <v>-28417.5165550239</v>
      </c>
      <c r="AM24" s="84" t="n">
        <f aca="false">('⑯ Store P&amp;L'!BM100)*(1-(1-$C$141)*MIN(1,4/MAX(1,'⑯ Store P&amp;L'!BM85)))</f>
        <v>-28417.5165550239</v>
      </c>
      <c r="AN24" s="40" t="n">
        <f aca="false">('⑯ Store P&amp;L'!BN100)*(1-(1-$C$141)*MIN(1,4/MAX(1,'⑯ Store P&amp;L'!BN85)))</f>
        <v>-28417.5165550239</v>
      </c>
      <c r="AO24" s="40" t="n">
        <f aca="false">('⑯ Store P&amp;L'!BO100)*(1-(1-$C$141)*MIN(1,4/MAX(1,'⑯ Store P&amp;L'!BO85)))</f>
        <v>-30923.6322807018</v>
      </c>
      <c r="AP24" s="40" t="n">
        <f aca="false">('⑯ Store P&amp;L'!BP100)*(1-(1-$C$141)*MIN(1,4/MAX(1,'⑯ Store P&amp;L'!BP85)))</f>
        <v>-30923.6322807018</v>
      </c>
      <c r="AQ24" s="40" t="n">
        <f aca="false">('⑯ Store P&amp;L'!BQ100)*(1-(1-$C$141)*MIN(1,4/MAX(1,'⑯ Store P&amp;L'!BQ85)))</f>
        <v>-33428.8071255061</v>
      </c>
      <c r="AR24" s="40" t="n">
        <f aca="false">('⑯ Store P&amp;L'!BR100)*(1-(1-$C$141)*MIN(1,4/MAX(1,'⑯ Store P&amp;L'!BR85)))</f>
        <v>-33428.8071255061</v>
      </c>
      <c r="AS24" s="40" t="n">
        <f aca="false">('⑯ Store P&amp;L'!BS100)*(1-(1-$C$141)*MIN(1,4/MAX(1,'⑯ Store P&amp;L'!BS85)))</f>
        <v>-35933.2427067669</v>
      </c>
      <c r="AT24" s="40" t="n">
        <f aca="false">('⑯ Store P&amp;L'!BT100)*(1-(1-$C$141)*MIN(1,4/MAX(1,'⑯ Store P&amp;L'!BT85)))</f>
        <v>-35933.2427067669</v>
      </c>
      <c r="AU24" s="40" t="n">
        <f aca="false">('⑯ Store P&amp;L'!BU100)*(1-(1-$C$141)*MIN(1,4/MAX(1,'⑯ Store P&amp;L'!BU85)))</f>
        <v>-41427.8368421053</v>
      </c>
      <c r="AV24" s="40" t="n">
        <f aca="false">('⑯ Store P&amp;L'!BV100)*(1-(1-$C$141)*MIN(1,4/MAX(1,'⑯ Store P&amp;L'!BV85)))</f>
        <v>-41427.8368421053</v>
      </c>
      <c r="AW24" s="40" t="n">
        <f aca="false">('⑯ Store P&amp;L'!BW100)*(1-(1-$C$141)*MIN(1,4/MAX(1,'⑯ Store P&amp;L'!BW85)))</f>
        <v>-44419.6750464396</v>
      </c>
      <c r="AX24" s="40" t="n">
        <f aca="false">('⑯ Store P&amp;L'!BX100)*(1-(1-$C$141)*MIN(1,4/MAX(1,'⑯ Store P&amp;L'!BX85)))</f>
        <v>-46923.6322807018</v>
      </c>
      <c r="AY24" s="84" t="n">
        <f aca="false">('⑯ Store P&amp;L'!G55)*(1-(1-$C$141)*MIN(1,4/MAX(1,'⑯ Store P&amp;L'!G37)))</f>
        <v>-584904.52600554</v>
      </c>
      <c r="AZ24" s="40" t="n">
        <f aca="false">('⑯ Store P&amp;L'!H55)*(1-(1-$C$141)*MIN(1,4/MAX(1,'⑯ Store P&amp;L'!H37)))</f>
        <v>-702648.616421053</v>
      </c>
      <c r="BA24" s="40" t="n">
        <f aca="false">('⑯ Store P&amp;L'!I55)*(1-(1-$C$141)*MIN(1,4/MAX(1,'⑯ Store P&amp;L'!I37)))</f>
        <v>-902097.116968421</v>
      </c>
      <c r="BB24" s="40" t="n">
        <f aca="false">('⑯ Store P&amp;L'!J55)*(1-(1-$C$141)*MIN(1,4/MAX(1,'⑯ Store P&amp;L'!J37)))</f>
        <v>-1028048.68042105</v>
      </c>
      <c r="BC24" s="40" t="n">
        <f aca="false">('⑯ Store P&amp;L'!K55)*(1-(1-$C$141)*MIN(1,4/MAX(1,'⑯ Store P&amp;L'!K37)))</f>
        <v>-1240760.05822556</v>
      </c>
      <c r="BD24" s="40" t="n">
        <f aca="false">('⑯ Store P&amp;L'!L55)*(1-(1-$C$141)*MIN(1,4/MAX(1,'⑯ Store P&amp;L'!L37)))</f>
        <v>-1556676.56159064</v>
      </c>
      <c r="BE24" s="40" t="n">
        <f aca="false">('⑯ Store P&amp;L'!M55)*(1-(1-$C$141)*MIN(1,4/MAX(1,'⑯ Store P&amp;L'!M37)))</f>
        <v>-1556676.56159064</v>
      </c>
      <c r="BF24" s="40" t="n">
        <f aca="false">('⑯ Store P&amp;L'!N55)*(1-(1-$C$141)*MIN(1,4/MAX(1,'⑯ Store P&amp;L'!N37)))</f>
        <v>-1556676.56159064</v>
      </c>
    </row>
    <row r="25" customFormat="false" ht="15" hidden="false" customHeight="false" outlineLevel="0" collapsed="false">
      <c r="B25" s="10" t="s">
        <v>223</v>
      </c>
      <c r="C25" s="46" t="n">
        <f aca="false">SUM(C22:C24)</f>
        <v>-14592.74</v>
      </c>
      <c r="D25" s="46" t="n">
        <f aca="false">SUM(D22:D24)</f>
        <v>-14286.62</v>
      </c>
      <c r="E25" s="46" t="n">
        <f aca="false">SUM(E22:E24)</f>
        <v>-17364.4</v>
      </c>
      <c r="F25" s="46" t="n">
        <f aca="false">SUM(F22:F24)</f>
        <v>-17704.4</v>
      </c>
      <c r="G25" s="46" t="n">
        <f aca="false">SUM(G22:G24)</f>
        <v>-21574.75</v>
      </c>
      <c r="H25" s="46" t="n">
        <f aca="false">SUM(H22:H24)</f>
        <v>-19800.61</v>
      </c>
      <c r="I25" s="46" t="n">
        <f aca="false">SUM(I22:I24)</f>
        <v>-21277.65</v>
      </c>
      <c r="J25" s="46" t="n">
        <f aca="false">SUM(J22:J24)</f>
        <v>-25906.21</v>
      </c>
      <c r="K25" s="46" t="n">
        <f aca="false">SUM(K22:K24)</f>
        <v>-22002.18</v>
      </c>
      <c r="L25" s="46" t="n">
        <f aca="false">SUM(L22:L24)</f>
        <v>-28954.91</v>
      </c>
      <c r="M25" s="46" t="n">
        <f aca="false">SUM(M22:M24)</f>
        <v>-29327.78</v>
      </c>
      <c r="N25" s="46" t="n">
        <f aca="false">SUM(N22:N24)</f>
        <v>-30841.37</v>
      </c>
      <c r="O25" s="88" t="n">
        <f aca="false">SUM(O22:O24)</f>
        <v>-36446.74</v>
      </c>
      <c r="P25" s="46" t="n">
        <f aca="false">SUM(P22:P24)</f>
        <v>-35852.54</v>
      </c>
      <c r="Q25" s="46" t="n">
        <f aca="false">SUM(Q22:Q24)</f>
        <v>-36280.56</v>
      </c>
      <c r="R25" s="46" t="n">
        <f aca="false">SUM(R22:R24)</f>
        <v>-33349.63</v>
      </c>
      <c r="S25" s="46" t="n">
        <f aca="false">SUM(S22:S24)</f>
        <v>-36200.55</v>
      </c>
      <c r="T25" s="46" t="n">
        <f aca="false">SUM(T22:T24)</f>
        <v>-31556.95</v>
      </c>
      <c r="U25" s="46" t="n">
        <f aca="false">SUM(U22:U24)</f>
        <v>-31230.09</v>
      </c>
      <c r="V25" s="46" t="n">
        <f aca="false">SUM(V22:V24)</f>
        <v>-31546.49</v>
      </c>
      <c r="W25" s="46" t="n">
        <f aca="false">SUM(W22:W24)</f>
        <v>-26782.19</v>
      </c>
      <c r="X25" s="46" t="n">
        <f aca="false">SUM(X22:X24)</f>
        <v>-32867.779494906</v>
      </c>
      <c r="Y25" s="46" t="n">
        <f aca="false">SUM(Y22:Y24)</f>
        <v>-32672.8076850249</v>
      </c>
      <c r="Z25" s="46" t="n">
        <f aca="false">SUM(Z22:Z24)</f>
        <v>-33021.5440445513</v>
      </c>
      <c r="AA25" s="88" t="n">
        <f aca="false">SUM(AA22:AA24)</f>
        <v>-41209.1507639882</v>
      </c>
      <c r="AB25" s="46" t="n">
        <f aca="false">SUM(AB22:AB24)</f>
        <v>-49559.6911664057</v>
      </c>
      <c r="AC25" s="46" t="n">
        <f aca="false">SUM(AC22:AC24)</f>
        <v>-59035.4660532948</v>
      </c>
      <c r="AD25" s="46" t="n">
        <f aca="false">SUM(AD22:AD24)</f>
        <v>-68642.5194381215</v>
      </c>
      <c r="AE25" s="46" t="n">
        <f aca="false">SUM(AE22:AE24)</f>
        <v>-68568.793297949</v>
      </c>
      <c r="AF25" s="46" t="n">
        <f aca="false">SUM(AF22:AF24)</f>
        <v>-77048.540361169</v>
      </c>
      <c r="AG25" s="46" t="n">
        <f aca="false">SUM(AG22:AG24)</f>
        <v>-77197.9400148442</v>
      </c>
      <c r="AH25" s="46" t="n">
        <f aca="false">SUM(AH22:AH24)</f>
        <v>-86595.769641671</v>
      </c>
      <c r="AI25" s="46" t="n">
        <f aca="false">SUM(AI22:AI24)</f>
        <v>-86605.3016272239</v>
      </c>
      <c r="AJ25" s="46" t="n">
        <f aca="false">SUM(AJ22:AJ24)</f>
        <v>-95033.497341199</v>
      </c>
      <c r="AK25" s="46" t="n">
        <f aca="false">SUM(AK22:AK24)</f>
        <v>-94722.1287106099</v>
      </c>
      <c r="AL25" s="46" t="n">
        <f aca="false">SUM(AL22:AL24)</f>
        <v>-95405.1095328179</v>
      </c>
      <c r="AM25" s="88" t="n">
        <f aca="false">SUM(AM22:AM24)+'⑯ Store P&amp;L'!$F$54/12</f>
        <v>-95725.9431536753</v>
      </c>
      <c r="AN25" s="88" t="n">
        <f aca="false">SUM(AN22:AN24)+'⑯ Store P&amp;L'!$F$54/12</f>
        <v>-95447.3993132224</v>
      </c>
      <c r="AO25" s="88" t="n">
        <f aca="false">SUM(AO22:AO24)+'⑯ Store P&amp;L'!$F$54/12</f>
        <v>-106182.780542746</v>
      </c>
      <c r="AP25" s="88" t="n">
        <f aca="false">SUM(AP22:AP24)+'⑯ Store P&amp;L'!$F$54/12</f>
        <v>-107372.149083818</v>
      </c>
      <c r="AQ25" s="88" t="n">
        <f aca="false">SUM(AQ22:AQ24)+'⑯ Store P&amp;L'!$F$54/12</f>
        <v>-114353.18271468</v>
      </c>
      <c r="AR25" s="88" t="n">
        <f aca="false">SUM(AR22:AR24)+'⑯ Store P&amp;L'!$F$54/12</f>
        <v>-114276.121183356</v>
      </c>
      <c r="AS25" s="88" t="n">
        <f aca="false">SUM(AS22:AS24)+'⑯ Store P&amp;L'!$F$54/12</f>
        <v>-123572.712475708</v>
      </c>
      <c r="AT25" s="88" t="n">
        <f aca="false">SUM(AT22:AT24)+'⑯ Store P&amp;L'!$F$54/12</f>
        <v>-128948.197745628</v>
      </c>
      <c r="AU25" s="88" t="n">
        <f aca="false">SUM(AU22:AU24)+'⑯ Store P&amp;L'!$F$54/12</f>
        <v>-144638.936140046</v>
      </c>
      <c r="AV25" s="88" t="n">
        <f aca="false">SUM(AV22:AV24)+'⑯ Store P&amp;L'!$F$54/12</f>
        <v>-144295.02064233</v>
      </c>
      <c r="AW25" s="88" t="n">
        <f aca="false">SUM(AW22:AW24)+'⑯ Store P&amp;L'!$F$54/12</f>
        <v>-151232.011013812</v>
      </c>
      <c r="AX25" s="88" t="n">
        <f aca="false">SUM(AX22:AX24)+'⑯ Store P&amp;L'!$F$54/12</f>
        <v>-162420.970247209</v>
      </c>
      <c r="AY25" s="88" t="n">
        <f aca="false">SUM(AY22:AY24)+'⑯ Store P&amp;L'!$G$54</f>
        <v>-2060529.6283138</v>
      </c>
      <c r="AZ25" s="46" t="n">
        <f aca="false">SUM(AZ22:AZ24)+'⑯ Store P&amp;L'!$H$54</f>
        <v>-2521943.95084636</v>
      </c>
      <c r="BA25" s="46" t="n">
        <f aca="false">SUM(BA22:BA24)+'⑯ Store P&amp;L'!$I$54</f>
        <v>-3225270.96498992</v>
      </c>
      <c r="BB25" s="46" t="n">
        <f aca="false">SUM(BB22:BB24)+'⑯ Store P&amp;L'!$J$54</f>
        <v>-3602449.5112293</v>
      </c>
      <c r="BC25" s="46" t="n">
        <f aca="false">SUM(BC22:BC24)+'⑯ Store P&amp;L'!$K$54</f>
        <v>-4181210.43951181</v>
      </c>
      <c r="BD25" s="46" t="n">
        <f aca="false">SUM(BD22:BD24)+'⑯ Store P&amp;L'!$L$54</f>
        <v>-5067896.46983124</v>
      </c>
      <c r="BE25" s="46" t="n">
        <f aca="false">SUM(BE22:BE24)+'⑯ Store P&amp;L'!$L$54</f>
        <v>-5265081.09871287</v>
      </c>
      <c r="BF25" s="46" t="n">
        <f aca="false">SUM(BF22:BF24)+'⑯ Store P&amp;L'!$L$54</f>
        <v>-5456496.27320347</v>
      </c>
    </row>
    <row r="26" customFormat="false" ht="15" hidden="false" customHeight="false" outlineLevel="0" collapsed="false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8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8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8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89"/>
      <c r="AZ26" s="9"/>
      <c r="BA26" s="9"/>
      <c r="BB26" s="9"/>
      <c r="BC26" s="9"/>
      <c r="BD26" s="9"/>
      <c r="BE26" s="9"/>
      <c r="BF26" s="9"/>
    </row>
    <row r="27" customFormat="false" ht="15" hidden="false" customHeight="false" outlineLevel="0" collapsed="false">
      <c r="B27" s="26" t="s">
        <v>224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95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95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95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95"/>
      <c r="AZ27" s="26"/>
      <c r="BA27" s="26"/>
      <c r="BB27" s="26"/>
      <c r="BC27" s="26"/>
      <c r="BD27" s="26"/>
      <c r="BE27" s="26"/>
      <c r="BF27" s="26"/>
    </row>
    <row r="28" customFormat="false" ht="15" hidden="false" customHeight="false" outlineLevel="0" collapsed="false">
      <c r="B28" s="9" t="s">
        <v>220</v>
      </c>
      <c r="C28" s="40" t="n">
        <f aca="false">'Pnl por tienda'!J122</f>
        <v>-13858.95</v>
      </c>
      <c r="D28" s="40" t="n">
        <f aca="false">'Pnl por tienda'!K122</f>
        <v>-30706.78</v>
      </c>
      <c r="E28" s="40" t="n">
        <f aca="false">'Pnl por tienda'!L122</f>
        <v>-20499.85</v>
      </c>
      <c r="F28" s="40" t="n">
        <f aca="false">'Pnl por tienda'!M122</f>
        <v>-24266.29</v>
      </c>
      <c r="G28" s="40" t="n">
        <f aca="false">'Pnl por tienda'!N122</f>
        <v>-19670.73</v>
      </c>
      <c r="H28" s="40" t="n">
        <f aca="false">'Pnl por tienda'!O122</f>
        <v>-19423.13</v>
      </c>
      <c r="I28" s="40" t="n">
        <f aca="false">'Pnl por tienda'!P122</f>
        <v>-19082.91</v>
      </c>
      <c r="J28" s="40" t="n">
        <f aca="false">'Pnl por tienda'!Q122</f>
        <v>-26853.37</v>
      </c>
      <c r="K28" s="40" t="n">
        <f aca="false">'Pnl por tienda'!R122</f>
        <v>-27878.39</v>
      </c>
      <c r="L28" s="40" t="n">
        <f aca="false">'Pnl por tienda'!S122</f>
        <v>-30270.03</v>
      </c>
      <c r="M28" s="40" t="n">
        <f aca="false">'Pnl por tienda'!T122</f>
        <v>-27299.17</v>
      </c>
      <c r="N28" s="40" t="n">
        <f aca="false">'Pnl por tienda'!U122</f>
        <v>-31490.31</v>
      </c>
      <c r="O28" s="84" t="n">
        <f aca="false">'EEFF a septiemrbe'!B22+'EEFF a septiemrbe'!B97</f>
        <v>-26001.05</v>
      </c>
      <c r="P28" s="40" t="n">
        <f aca="false">'EEFF a septiemrbe'!C22+'EEFF a septiemrbe'!C97</f>
        <v>-36385.94</v>
      </c>
      <c r="Q28" s="40" t="n">
        <f aca="false">'EEFF a septiemrbe'!D22+'EEFF a septiemrbe'!D97</f>
        <v>-72008.32</v>
      </c>
      <c r="R28" s="40" t="n">
        <f aca="false">'EEFF a septiemrbe'!E22+'EEFF a septiemrbe'!E97</f>
        <v>-23614.43</v>
      </c>
      <c r="S28" s="40" t="n">
        <f aca="false">'EEFF a septiemrbe'!F22+'EEFF a septiemrbe'!F97</f>
        <v>-20696.31</v>
      </c>
      <c r="T28" s="40" t="n">
        <f aca="false">'EEFF a septiemrbe'!G22+'EEFF a septiemrbe'!G97</f>
        <v>-20654.45</v>
      </c>
      <c r="U28" s="40" t="n">
        <f aca="false">'EEFF a septiemrbe'!H22+'EEFF a septiemrbe'!H97</f>
        <v>-16478.61</v>
      </c>
      <c r="V28" s="40" t="n">
        <f aca="false">'EEFF a septiemrbe'!I22+'EEFF a septiemrbe'!I97</f>
        <v>-18887.3</v>
      </c>
      <c r="W28" s="40" t="n">
        <f aca="false">'EEFF a septiemrbe'!J22+'EEFF a septiemrbe'!J97</f>
        <v>-12835.4</v>
      </c>
      <c r="X28" s="40" t="n">
        <f aca="false">'⑲ Corporate P&amp;L'!AK70-'⑲ Corporate P&amp;L'!AK69+$C$144</f>
        <v>-18261.05</v>
      </c>
      <c r="Y28" s="40" t="n">
        <f aca="false">'⑲ Corporate P&amp;L'!AL70-'⑲ Corporate P&amp;L'!AL69+$C$144</f>
        <v>-18261.05</v>
      </c>
      <c r="Z28" s="40" t="n">
        <f aca="false">'⑲ Corporate P&amp;L'!AM70-'⑲ Corporate P&amp;L'!AM69+$C$144</f>
        <v>-18261.05</v>
      </c>
      <c r="AA28" s="84" t="n">
        <f aca="false">'⑲ Corporate P&amp;L'!AN70-'⑲ Corporate P&amp;L'!AN69+$C$144</f>
        <v>-21393.9875</v>
      </c>
      <c r="AB28" s="40" t="n">
        <f aca="false">'⑲ Corporate P&amp;L'!AO70-'⑲ Corporate P&amp;L'!AO69+$C$144</f>
        <v>-21393.9875</v>
      </c>
      <c r="AC28" s="40" t="n">
        <f aca="false">'⑲ Corporate P&amp;L'!AP70-'⑲ Corporate P&amp;L'!AP69+$C$144</f>
        <v>-23845.5875</v>
      </c>
      <c r="AD28" s="40" t="n">
        <f aca="false">'⑲ Corporate P&amp;L'!AQ70-'⑲ Corporate P&amp;L'!AQ69+$C$144</f>
        <v>-34741.5875</v>
      </c>
      <c r="AE28" s="40" t="n">
        <f aca="false">'⑲ Corporate P&amp;L'!AR70-'⑲ Corporate P&amp;L'!AR69+$C$144</f>
        <v>-34741.5875</v>
      </c>
      <c r="AF28" s="40" t="n">
        <f aca="false">'⑲ Corporate P&amp;L'!AS70-'⑲ Corporate P&amp;L'!AS69+$C$144</f>
        <v>-34741.5875</v>
      </c>
      <c r="AG28" s="40" t="n">
        <f aca="false">'⑲ Corporate P&amp;L'!AT70-'⑲ Corporate P&amp;L'!AT69+$C$144</f>
        <v>-34741.5875</v>
      </c>
      <c r="AH28" s="40" t="n">
        <f aca="false">'⑲ Corporate P&amp;L'!AU70-'⑲ Corporate P&amp;L'!AU69+$C$144</f>
        <v>-34741.5875</v>
      </c>
      <c r="AI28" s="40" t="n">
        <f aca="false">'⑲ Corporate P&amp;L'!AV70-'⑲ Corporate P&amp;L'!AV69+$C$144</f>
        <v>-34741.5875</v>
      </c>
      <c r="AJ28" s="40" t="n">
        <f aca="false">'⑲ Corporate P&amp;L'!AW70-'⑲ Corporate P&amp;L'!AW69+$C$144</f>
        <v>-37193.1875</v>
      </c>
      <c r="AK28" s="40" t="n">
        <f aca="false">'⑲ Corporate P&amp;L'!AX70-'⑲ Corporate P&amp;L'!AX69+$C$144</f>
        <v>-37193.1875</v>
      </c>
      <c r="AL28" s="40" t="n">
        <f aca="false">'⑲ Corporate P&amp;L'!AY70-'⑲ Corporate P&amp;L'!AY69+$C$144</f>
        <v>-37193.1875</v>
      </c>
      <c r="AM28" s="84" t="n">
        <f aca="false">'⑲ Corporate P&amp;L'!AZ70-'⑲ Corporate P&amp;L'!AZ69+$C$144</f>
        <v>-41818</v>
      </c>
      <c r="AN28" s="40" t="n">
        <f aca="false">'⑲ Corporate P&amp;L'!BA70-'⑲ Corporate P&amp;L'!BA69+$C$144</f>
        <v>-41818</v>
      </c>
      <c r="AO28" s="40" t="n">
        <f aca="false">'⑲ Corporate P&amp;L'!BB70-'⑲ Corporate P&amp;L'!BB69+$C$144</f>
        <v>-41818</v>
      </c>
      <c r="AP28" s="40" t="n">
        <f aca="false">'⑲ Corporate P&amp;L'!BC70-'⑲ Corporate P&amp;L'!BC69+$C$144</f>
        <v>-41818</v>
      </c>
      <c r="AQ28" s="40" t="n">
        <f aca="false">'⑲ Corporate P&amp;L'!BD70-'⑲ Corporate P&amp;L'!BD69+$C$144</f>
        <v>-41818</v>
      </c>
      <c r="AR28" s="40" t="n">
        <f aca="false">'⑲ Corporate P&amp;L'!BE70-'⑲ Corporate P&amp;L'!BE69+$C$144</f>
        <v>-41818</v>
      </c>
      <c r="AS28" s="40" t="n">
        <f aca="false">'⑲ Corporate P&amp;L'!BF70-'⑲ Corporate P&amp;L'!BF69+$C$144</f>
        <v>-41818</v>
      </c>
      <c r="AT28" s="40" t="n">
        <f aca="false">'⑲ Corporate P&amp;L'!BG70-'⑲ Corporate P&amp;L'!BG69+$C$144</f>
        <v>-41818</v>
      </c>
      <c r="AU28" s="40" t="n">
        <f aca="false">'⑲ Corporate P&amp;L'!BH70-'⑲ Corporate P&amp;L'!BH69+$C$144</f>
        <v>-41818</v>
      </c>
      <c r="AV28" s="40" t="n">
        <f aca="false">'⑲ Corporate P&amp;L'!BI70-'⑲ Corporate P&amp;L'!BI69+$C$144</f>
        <v>-41818</v>
      </c>
      <c r="AW28" s="40" t="n">
        <f aca="false">'⑲ Corporate P&amp;L'!BJ70-'⑲ Corporate P&amp;L'!BJ69+$C$144</f>
        <v>-41818</v>
      </c>
      <c r="AX28" s="40" t="n">
        <f aca="false">'⑲ Corporate P&amp;L'!BK70-'⑲ Corporate P&amp;L'!BK69+$C$144</f>
        <v>-41818</v>
      </c>
      <c r="AY28" s="84" t="n">
        <f aca="false">'⑲ Corporate P&amp;L'!G48+'⑲ Corporate P&amp;L'!G53+$C$144*12</f>
        <v>-550848</v>
      </c>
      <c r="AZ28" s="40" t="n">
        <f aca="false">'⑲ Corporate P&amp;L'!H48+'⑲ Corporate P&amp;L'!H53+$C$144*12</f>
        <v>-613772.4</v>
      </c>
      <c r="BA28" s="40" t="n">
        <f aca="false">'⑲ Corporate P&amp;L'!I48+'⑲ Corporate P&amp;L'!I53+$C$144*12</f>
        <v>-651091.2</v>
      </c>
      <c r="BB28" s="40" t="n">
        <f aca="false">'⑲ Corporate P&amp;L'!J48+'⑲ Corporate P&amp;L'!J53+$C$144*12</f>
        <v>-848445.882436472</v>
      </c>
      <c r="BC28" s="40" t="n">
        <f aca="false">'⑲ Corporate P&amp;L'!K48+'⑲ Corporate P&amp;L'!K53+$C$144*12</f>
        <v>-874004.079977112</v>
      </c>
      <c r="BD28" s="40" t="n">
        <f aca="false">'⑲ Corporate P&amp;L'!L48+'⑲ Corporate P&amp;L'!L53+$C$144*12</f>
        <v>-956536.877525528</v>
      </c>
      <c r="BE28" s="40" t="n">
        <f aca="false">'⑲ Corporate P&amp;L'!M48+'⑲ Corporate P&amp;L'!M53+$C$144*12</f>
        <v>-972487.764173715</v>
      </c>
      <c r="BF28" s="40" t="n">
        <f aca="false">'⑲ Corporate P&amp;L'!N48+'⑲ Corporate P&amp;L'!N53+$C$144*12</f>
        <v>-949284.264973499</v>
      </c>
    </row>
    <row r="29" customFormat="false" ht="15" hidden="false" customHeight="false" outlineLevel="0" collapsed="false">
      <c r="B29" s="9" t="s">
        <v>225</v>
      </c>
      <c r="C29" s="40" t="n">
        <f aca="false">'Pnl por tienda'!J125</f>
        <v>-837</v>
      </c>
      <c r="D29" s="40" t="n">
        <f aca="false">'Pnl por tienda'!K125</f>
        <v>-842</v>
      </c>
      <c r="E29" s="40" t="n">
        <f aca="false">'Pnl por tienda'!L125</f>
        <v>-750.75</v>
      </c>
      <c r="F29" s="40" t="n">
        <f aca="false">'Pnl por tienda'!M125</f>
        <v>-2540.7</v>
      </c>
      <c r="G29" s="40" t="n">
        <f aca="false">'Pnl por tienda'!N125</f>
        <v>-1768.85</v>
      </c>
      <c r="H29" s="40" t="n">
        <f aca="false">'Pnl por tienda'!O125</f>
        <v>-1187.75</v>
      </c>
      <c r="I29" s="40" t="n">
        <f aca="false">'Pnl por tienda'!P125</f>
        <v>-780.25</v>
      </c>
      <c r="J29" s="40" t="n">
        <f aca="false">'Pnl por tienda'!Q125</f>
        <v>-1120.25</v>
      </c>
      <c r="K29" s="40" t="n">
        <f aca="false">'Pnl por tienda'!R125</f>
        <v>-923</v>
      </c>
      <c r="L29" s="40" t="n">
        <f aca="false">'Pnl por tienda'!S125</f>
        <v>-4461.92</v>
      </c>
      <c r="M29" s="40" t="n">
        <f aca="false">'Pnl por tienda'!T125</f>
        <v>-2492.2</v>
      </c>
      <c r="N29" s="40" t="n">
        <f aca="false">'Pnl por tienda'!U125</f>
        <v>-3060.5</v>
      </c>
      <c r="O29" s="84" t="n">
        <f aca="false">'EEFF a septiemrbe'!B25</f>
        <v>-2910.38</v>
      </c>
      <c r="P29" s="40" t="n">
        <f aca="false">'EEFF a septiemrbe'!C25</f>
        <v>-1421.29</v>
      </c>
      <c r="Q29" s="40" t="n">
        <f aca="false">'EEFF a septiemrbe'!D25</f>
        <v>338.77</v>
      </c>
      <c r="R29" s="40" t="n">
        <f aca="false">'EEFF a septiemrbe'!E25</f>
        <v>-1751.7</v>
      </c>
      <c r="S29" s="40" t="n">
        <f aca="false">'EEFF a septiemrbe'!F25</f>
        <v>-2733.77</v>
      </c>
      <c r="T29" s="40" t="n">
        <f aca="false">'EEFF a septiemrbe'!G25</f>
        <v>-2103.61</v>
      </c>
      <c r="U29" s="40" t="n">
        <f aca="false">'EEFF a septiemrbe'!H25</f>
        <v>-2082.18</v>
      </c>
      <c r="V29" s="40" t="n">
        <f aca="false">'EEFF a septiemrbe'!I25</f>
        <v>-1415.09</v>
      </c>
      <c r="W29" s="40" t="n">
        <f aca="false">'EEFF a septiemrbe'!J25</f>
        <v>-1571.57</v>
      </c>
      <c r="X29" s="40" t="n">
        <f aca="false">'⑲ Corporate P&amp;L'!AK75+$C$145</f>
        <v>-1689.61333333333</v>
      </c>
      <c r="Y29" s="40" t="n">
        <f aca="false">'⑲ Corporate P&amp;L'!AL75+$C$145</f>
        <v>-1689.61333333333</v>
      </c>
      <c r="Z29" s="40" t="n">
        <f aca="false">'⑲ Corporate P&amp;L'!AM75+$C$145</f>
        <v>-1689.61333333333</v>
      </c>
      <c r="AA29" s="84" t="n">
        <f aca="false">'⑲ Corporate P&amp;L'!AN75+$C$145</f>
        <v>-1689.61333333333</v>
      </c>
      <c r="AB29" s="40" t="n">
        <f aca="false">'⑲ Corporate P&amp;L'!AO75+$C$145</f>
        <v>-1689.61333333333</v>
      </c>
      <c r="AC29" s="40" t="n">
        <f aca="false">'⑲ Corporate P&amp;L'!AP75+$C$145</f>
        <v>-1689.61333333333</v>
      </c>
      <c r="AD29" s="40" t="n">
        <f aca="false">'⑲ Corporate P&amp;L'!AQ75+$C$145</f>
        <v>-1689.61333333333</v>
      </c>
      <c r="AE29" s="40" t="n">
        <f aca="false">'⑲ Corporate P&amp;L'!AR75+$C$145</f>
        <v>-1689.61333333333</v>
      </c>
      <c r="AF29" s="40" t="n">
        <f aca="false">'⑲ Corporate P&amp;L'!AS75+$C$145</f>
        <v>-1689.61333333333</v>
      </c>
      <c r="AG29" s="40" t="n">
        <f aca="false">'⑲ Corporate P&amp;L'!AT75+$C$145</f>
        <v>-1689.61333333333</v>
      </c>
      <c r="AH29" s="40" t="n">
        <f aca="false">'⑲ Corporate P&amp;L'!AU75+$C$145</f>
        <v>-1689.61333333333</v>
      </c>
      <c r="AI29" s="40" t="n">
        <f aca="false">'⑲ Corporate P&amp;L'!AV75+$C$145</f>
        <v>-1689.61333333333</v>
      </c>
      <c r="AJ29" s="40" t="n">
        <f aca="false">'⑲ Corporate P&amp;L'!AW75+$C$145</f>
        <v>-1689.61333333333</v>
      </c>
      <c r="AK29" s="40" t="n">
        <f aca="false">'⑲ Corporate P&amp;L'!AX75+$C$145</f>
        <v>-1689.61333333333</v>
      </c>
      <c r="AL29" s="40" t="n">
        <f aca="false">'⑲ Corporate P&amp;L'!AY75+$C$145</f>
        <v>-1689.61333333333</v>
      </c>
      <c r="AM29" s="84" t="n">
        <f aca="false">'⑲ Corporate P&amp;L'!AZ75+$C$145</f>
        <v>-1689.61333333333</v>
      </c>
      <c r="AN29" s="40" t="n">
        <f aca="false">'⑲ Corporate P&amp;L'!BA75+$C$145</f>
        <v>-1689.61333333333</v>
      </c>
      <c r="AO29" s="40" t="n">
        <f aca="false">'⑲ Corporate P&amp;L'!BB75+$C$145</f>
        <v>-1689.61333333333</v>
      </c>
      <c r="AP29" s="40" t="n">
        <f aca="false">'⑲ Corporate P&amp;L'!BC75+$C$145</f>
        <v>-1689.61333333333</v>
      </c>
      <c r="AQ29" s="40" t="n">
        <f aca="false">'⑲ Corporate P&amp;L'!BD75+$C$145</f>
        <v>-1689.61333333333</v>
      </c>
      <c r="AR29" s="40" t="n">
        <f aca="false">'⑲ Corporate P&amp;L'!BE75+$C$145</f>
        <v>-1689.61333333333</v>
      </c>
      <c r="AS29" s="40" t="n">
        <f aca="false">'⑲ Corporate P&amp;L'!BF75+$C$145</f>
        <v>-1689.61333333333</v>
      </c>
      <c r="AT29" s="40" t="n">
        <f aca="false">'⑲ Corporate P&amp;L'!BG75+$C$145</f>
        <v>-1689.61333333333</v>
      </c>
      <c r="AU29" s="40" t="n">
        <f aca="false">'⑲ Corporate P&amp;L'!BH75+$C$145</f>
        <v>-1689.61333333333</v>
      </c>
      <c r="AV29" s="40" t="n">
        <f aca="false">'⑲ Corporate P&amp;L'!BI75+$C$145</f>
        <v>-1689.61333333333</v>
      </c>
      <c r="AW29" s="40" t="n">
        <f aca="false">'⑲ Corporate P&amp;L'!BJ75+$C$145</f>
        <v>-1689.61333333333</v>
      </c>
      <c r="AX29" s="40" t="n">
        <f aca="false">'⑲ Corporate P&amp;L'!BK75+$C$145</f>
        <v>-1689.61333333333</v>
      </c>
      <c r="AY29" s="84" t="n">
        <f aca="false">SUM('⑲ Corporate P&amp;L'!BL75:BW75)+$C$145*12</f>
        <v>-20275.36</v>
      </c>
      <c r="AZ29" s="40" t="n">
        <f aca="false">SUM('⑲ Corporate P&amp;L'!BX75:CI75)+$C$145*12</f>
        <v>-20275.36</v>
      </c>
      <c r="BA29" s="40" t="n">
        <f aca="false">SUM('⑲ Corporate P&amp;L'!CJ75:CU75)+$C$145*12</f>
        <v>-20275.36</v>
      </c>
      <c r="BB29" s="40" t="n">
        <f aca="false">SUM('⑲ Corporate P&amp;L'!CV75:DG75)+$C$145*12</f>
        <v>-20275.36</v>
      </c>
      <c r="BC29" s="40" t="n">
        <f aca="false">SUM('⑲ Corporate P&amp;L'!DH75:DS75)+$C$145*12</f>
        <v>-20275.36</v>
      </c>
      <c r="BD29" s="40" t="n">
        <f aca="false">SUM('⑲ Corporate P&amp;L'!DT75:EE75)+$C$145*12</f>
        <v>-20275.36</v>
      </c>
      <c r="BE29" s="40" t="n">
        <f aca="false">-12*'⑲ Corporate P&amp;L'!$C$39+$C$145*12</f>
        <v>-20275.36</v>
      </c>
      <c r="BF29" s="40" t="n">
        <f aca="false">-12*'⑲ Corporate P&amp;L'!$C$39+$C$145*12</f>
        <v>-20275.36</v>
      </c>
    </row>
    <row r="30" customFormat="false" ht="15" hidden="false" customHeight="false" outlineLevel="0" collapsed="false">
      <c r="B30" s="9" t="s">
        <v>226</v>
      </c>
      <c r="C30" s="40" t="n">
        <f aca="false">'Pnl por tienda'!J123</f>
        <v>-5688.22</v>
      </c>
      <c r="D30" s="40" t="n">
        <f aca="false">'Pnl por tienda'!K123</f>
        <v>-3067.94</v>
      </c>
      <c r="E30" s="40" t="n">
        <f aca="false">'Pnl por tienda'!L123</f>
        <v>-14645.81</v>
      </c>
      <c r="F30" s="40" t="n">
        <f aca="false">'Pnl por tienda'!M123</f>
        <v>-6968.47</v>
      </c>
      <c r="G30" s="40" t="n">
        <f aca="false">'Pnl por tienda'!N123</f>
        <v>-11165.89</v>
      </c>
      <c r="H30" s="40" t="n">
        <f aca="false">'Pnl por tienda'!O123</f>
        <v>-5790.99</v>
      </c>
      <c r="I30" s="40" t="n">
        <f aca="false">'Pnl por tienda'!P123</f>
        <v>-6267.11</v>
      </c>
      <c r="J30" s="40" t="n">
        <f aca="false">'Pnl por tienda'!Q123</f>
        <v>-7414.98</v>
      </c>
      <c r="K30" s="40" t="n">
        <f aca="false">'Pnl por tienda'!R123</f>
        <v>-9183.83</v>
      </c>
      <c r="L30" s="40" t="n">
        <f aca="false">'Pnl por tienda'!S123</f>
        <v>-9500.8</v>
      </c>
      <c r="M30" s="40" t="n">
        <f aca="false">'Pnl por tienda'!T123</f>
        <v>-7549.69</v>
      </c>
      <c r="N30" s="40" t="n">
        <f aca="false">'Pnl por tienda'!U123</f>
        <v>-11147.05</v>
      </c>
      <c r="O30" s="84" t="n">
        <f aca="false">'EEFF a septiemrbe'!B23</f>
        <v>-7238.69</v>
      </c>
      <c r="P30" s="40" t="n">
        <f aca="false">'EEFF a septiemrbe'!C23</f>
        <v>-3942.63</v>
      </c>
      <c r="Q30" s="40" t="n">
        <f aca="false">'EEFF a septiemrbe'!D23</f>
        <v>-5437.84</v>
      </c>
      <c r="R30" s="40" t="n">
        <f aca="false">'EEFF a septiemrbe'!E23</f>
        <v>-6848.11</v>
      </c>
      <c r="S30" s="40" t="n">
        <f aca="false">'EEFF a septiemrbe'!F23</f>
        <v>-8371.05</v>
      </c>
      <c r="T30" s="40" t="n">
        <f aca="false">'EEFF a septiemrbe'!G23</f>
        <v>-10366.96</v>
      </c>
      <c r="U30" s="40" t="n">
        <f aca="false">'EEFF a septiemrbe'!H23</f>
        <v>-7519.94</v>
      </c>
      <c r="V30" s="40" t="n">
        <f aca="false">'EEFF a septiemrbe'!I23</f>
        <v>-8614.97</v>
      </c>
      <c r="W30" s="40" t="n">
        <f aca="false">'EEFF a septiemrbe'!J23</f>
        <v>-10721.51</v>
      </c>
      <c r="X30" s="40" t="n">
        <f aca="false">('⑲ Corporate P&amp;L'!AK71)</f>
        <v>-7540.82746755566</v>
      </c>
      <c r="Y30" s="40" t="n">
        <f aca="false">('⑲ Corporate P&amp;L'!AL71)</f>
        <v>-5967.8064860103</v>
      </c>
      <c r="Z30" s="40" t="n">
        <f aca="false">('⑲ Corporate P&amp;L'!AM71)</f>
        <v>-8837.3730434798</v>
      </c>
      <c r="AA30" s="84" t="n">
        <f aca="false">('⑲ Corporate P&amp;L'!AN71)</f>
        <v>-10588.679888417</v>
      </c>
      <c r="AB30" s="40" t="n">
        <f aca="false">('⑲ Corporate P&amp;L'!AO71)</f>
        <v>-9014.57049752581</v>
      </c>
      <c r="AC30" s="40" t="n">
        <f aca="false">('⑲ Corporate P&amp;L'!AP71)</f>
        <v>-14886.8314000982</v>
      </c>
      <c r="AD30" s="40" t="n">
        <f aca="false">('⑲ Corporate P&amp;L'!AQ71)</f>
        <v>-15893.8559716755</v>
      </c>
      <c r="AE30" s="40" t="n">
        <f aca="false">('⑲ Corporate P&amp;L'!AR71)</f>
        <v>-13883.1454198752</v>
      </c>
      <c r="AF30" s="40" t="n">
        <f aca="false">('⑲ Corporate P&amp;L'!AS71)</f>
        <v>-13287.4339916178</v>
      </c>
      <c r="AG30" s="40" t="n">
        <f aca="false">('⑲ Corporate P&amp;L'!AT71)</f>
        <v>-14626.8108730049</v>
      </c>
      <c r="AH30" s="40" t="n">
        <f aca="false">('⑲ Corporate P&amp;L'!AU71)</f>
        <v>-27378.926826509</v>
      </c>
      <c r="AI30" s="40" t="n">
        <f aca="false">('⑲ Corporate P&amp;L'!AV71)</f>
        <v>-23839.855481134</v>
      </c>
      <c r="AJ30" s="40" t="n">
        <f aca="false">('⑲ Corporate P&amp;L'!AW71)</f>
        <v>-21477.7199081551</v>
      </c>
      <c r="AK30" s="40" t="n">
        <f aca="false">('⑲ Corporate P&amp;L'!AX71)</f>
        <v>-16983.4512434406</v>
      </c>
      <c r="AL30" s="40" t="n">
        <f aca="false">('⑲ Corporate P&amp;L'!AY71)</f>
        <v>-25216.3888986425</v>
      </c>
      <c r="AM30" s="84" t="n">
        <f aca="false">('⑲ Corporate P&amp;L'!AZ71)</f>
        <v>-28089.28373151</v>
      </c>
      <c r="AN30" s="40" t="n">
        <f aca="false">('⑲ Corporate P&amp;L'!BA71)</f>
        <v>-22484.36792625</v>
      </c>
      <c r="AO30" s="40" t="n">
        <f aca="false">('⑲ Corporate P&amp;L'!BB71)</f>
        <v>-34070.9395126832</v>
      </c>
      <c r="AP30" s="40" t="n">
        <f aca="false">('⑲ Corporate P&amp;L'!BC71)</f>
        <v>-34385.948686826</v>
      </c>
      <c r="AQ30" s="40" t="n">
        <f aca="false">('⑲ Corporate P&amp;L'!BD71)</f>
        <v>-31065.280577937</v>
      </c>
      <c r="AR30" s="40" t="n">
        <f aca="false">('⑲ Corporate P&amp;L'!BE71)</f>
        <v>-28616.9988687991</v>
      </c>
      <c r="AS30" s="40" t="n">
        <f aca="false">('⑲ Corporate P&amp;L'!BF71)</f>
        <v>-32278.7120479824</v>
      </c>
      <c r="AT30" s="40" t="n">
        <f aca="false">('⑲ Corporate P&amp;L'!BG71)</f>
        <v>-56532.8960012699</v>
      </c>
      <c r="AU30" s="40" t="n">
        <f aca="false">('⑲ Corporate P&amp;L'!BH71)</f>
        <v>-50350.8820039849</v>
      </c>
      <c r="AV30" s="40" t="n">
        <f aca="false">('⑲ Corporate P&amp;L'!BI71)</f>
        <v>-42996.2650155749</v>
      </c>
      <c r="AW30" s="40" t="n">
        <f aca="false">('⑲ Corporate P&amp;L'!BJ71)</f>
        <v>-34359.9856815784</v>
      </c>
      <c r="AX30" s="40" t="n">
        <f aca="false">('⑲ Corporate P&amp;L'!BK71)</f>
        <v>-50981.6182130361</v>
      </c>
      <c r="AY30" s="84" t="n">
        <f aca="false">('⑲ Corporate P&amp;L'!G50)</f>
        <v>-730036.1628</v>
      </c>
      <c r="AZ30" s="40" t="n">
        <f aca="false">('⑲ Corporate P&amp;L'!H50)</f>
        <v>-977716.4166</v>
      </c>
      <c r="BA30" s="40" t="n">
        <f aca="false">('⑲ Corporate P&amp;L'!I50)</f>
        <v>-1219286.7498</v>
      </c>
      <c r="BB30" s="40" t="n">
        <f aca="false">('⑲ Corporate P&amp;L'!J50)</f>
        <v>-1520097.8432</v>
      </c>
      <c r="BC30" s="40" t="n">
        <f aca="false">('⑲ Corporate P&amp;L'!K50)</f>
        <v>-1707489.5712</v>
      </c>
      <c r="BD30" s="40" t="n">
        <f aca="false">('⑲ Corporate P&amp;L'!L50)</f>
        <v>-2047113.4908</v>
      </c>
      <c r="BE30" s="40" t="n">
        <f aca="false">('⑲ Corporate P&amp;L'!M50)</f>
        <v>-2472644.8236</v>
      </c>
      <c r="BF30" s="40" t="n">
        <f aca="false">('⑲ Corporate P&amp;L'!N50)</f>
        <v>-2948760.444</v>
      </c>
    </row>
    <row r="31" customFormat="false" ht="15" hidden="false" customHeight="false" outlineLevel="0" collapsed="false">
      <c r="B31" s="9" t="s">
        <v>227</v>
      </c>
      <c r="C31" s="40" t="n">
        <f aca="false">'Pnl por tienda'!J124</f>
        <v>-9479.76</v>
      </c>
      <c r="D31" s="40" t="n">
        <f aca="false">'Pnl por tienda'!K124</f>
        <v>-6341.68</v>
      </c>
      <c r="E31" s="40" t="n">
        <f aca="false">'Pnl por tienda'!L124</f>
        <v>-2804.65</v>
      </c>
      <c r="F31" s="40" t="n">
        <f aca="false">'Pnl por tienda'!M124</f>
        <v>-1220.6</v>
      </c>
      <c r="G31" s="40" t="n">
        <f aca="false">'Pnl por tienda'!N124</f>
        <v>-2223.3</v>
      </c>
      <c r="H31" s="40" t="n">
        <f aca="false">'Pnl por tienda'!O124</f>
        <v>-2015.49</v>
      </c>
      <c r="I31" s="40" t="n">
        <f aca="false">'Pnl por tienda'!P124</f>
        <v>-793.14</v>
      </c>
      <c r="J31" s="40" t="n">
        <f aca="false">'Pnl por tienda'!Q124</f>
        <v>-1957.76</v>
      </c>
      <c r="K31" s="40" t="n">
        <f aca="false">'Pnl por tienda'!R124</f>
        <v>-2612.97</v>
      </c>
      <c r="L31" s="40" t="n">
        <f aca="false">'Pnl por tienda'!S124</f>
        <v>2276.63</v>
      </c>
      <c r="M31" s="40" t="n">
        <f aca="false">'Pnl por tienda'!T124</f>
        <v>-7142.22</v>
      </c>
      <c r="N31" s="40" t="n">
        <f aca="false">'Pnl por tienda'!U124</f>
        <v>-2253.12</v>
      </c>
      <c r="O31" s="84" t="n">
        <f aca="false">'EEFF a septiemrbe'!B24</f>
        <v>-1387.68</v>
      </c>
      <c r="P31" s="40" t="n">
        <f aca="false">'EEFF a septiemrbe'!C24</f>
        <v>-2471.23</v>
      </c>
      <c r="Q31" s="40" t="n">
        <f aca="false">'EEFF a septiemrbe'!D24</f>
        <v>-4684.11</v>
      </c>
      <c r="R31" s="40" t="n">
        <f aca="false">'EEFF a septiemrbe'!E24</f>
        <v>-2813.42</v>
      </c>
      <c r="S31" s="40" t="n">
        <f aca="false">'EEFF a septiemrbe'!F24</f>
        <v>-2450.28</v>
      </c>
      <c r="T31" s="40" t="n">
        <f aca="false">'EEFF a septiemrbe'!G24</f>
        <v>-1524.82</v>
      </c>
      <c r="U31" s="40" t="n">
        <f aca="false">'EEFF a septiemrbe'!H24</f>
        <v>-3876.23</v>
      </c>
      <c r="V31" s="40" t="n">
        <f aca="false">'EEFF a septiemrbe'!I24</f>
        <v>-2341.07</v>
      </c>
      <c r="W31" s="40" t="n">
        <f aca="false">'EEFF a septiemrbe'!J24</f>
        <v>-3705.7</v>
      </c>
      <c r="X31" s="40" t="n">
        <f aca="false">'⑲ Corporate P&amp;L'!AK72+$C$146</f>
        <v>-3307.66666666667</v>
      </c>
      <c r="Y31" s="40" t="n">
        <f aca="false">'⑲ Corporate P&amp;L'!AL72+$C$146</f>
        <v>-3307.66666666667</v>
      </c>
      <c r="Z31" s="40" t="n">
        <f aca="false">'⑲ Corporate P&amp;L'!AM72+$C$146</f>
        <v>-3307.66666666667</v>
      </c>
      <c r="AA31" s="84" t="n">
        <f aca="false">'⑲ Corporate P&amp;L'!AN72+$C$146</f>
        <v>-3307.66666666667</v>
      </c>
      <c r="AB31" s="40" t="n">
        <f aca="false">'⑲ Corporate P&amp;L'!AO72+$C$146</f>
        <v>-3307.66666666667</v>
      </c>
      <c r="AC31" s="40" t="n">
        <f aca="false">'⑲ Corporate P&amp;L'!AP72+$C$146</f>
        <v>-3307.66666666667</v>
      </c>
      <c r="AD31" s="40" t="n">
        <f aca="false">'⑲ Corporate P&amp;L'!AQ72+$C$146</f>
        <v>-3307.66666666667</v>
      </c>
      <c r="AE31" s="40" t="n">
        <f aca="false">'⑲ Corporate P&amp;L'!AR72+$C$146</f>
        <v>-3307.66666666667</v>
      </c>
      <c r="AF31" s="40" t="n">
        <f aca="false">'⑲ Corporate P&amp;L'!AS72+$C$146</f>
        <v>-3307.66666666667</v>
      </c>
      <c r="AG31" s="40" t="n">
        <f aca="false">'⑲ Corporate P&amp;L'!AT72+$C$146</f>
        <v>-3307.66666666667</v>
      </c>
      <c r="AH31" s="40" t="n">
        <f aca="false">'⑲ Corporate P&amp;L'!AU72+$C$146</f>
        <v>-3307.66666666667</v>
      </c>
      <c r="AI31" s="40" t="n">
        <f aca="false">'⑲ Corporate P&amp;L'!AV72+$C$146</f>
        <v>-3307.66666666667</v>
      </c>
      <c r="AJ31" s="40" t="n">
        <f aca="false">'⑲ Corporate P&amp;L'!AW72+$C$146</f>
        <v>-3307.66666666667</v>
      </c>
      <c r="AK31" s="40" t="n">
        <f aca="false">'⑲ Corporate P&amp;L'!AX72+$C$146</f>
        <v>-3307.66666666667</v>
      </c>
      <c r="AL31" s="40" t="n">
        <f aca="false">'⑲ Corporate P&amp;L'!AY72+$C$146</f>
        <v>-3307.66666666667</v>
      </c>
      <c r="AM31" s="84" t="n">
        <f aca="false">'⑲ Corporate P&amp;L'!AZ72+$C$146</f>
        <v>-3307.66666666667</v>
      </c>
      <c r="AN31" s="40" t="n">
        <f aca="false">'⑲ Corporate P&amp;L'!BA72+$C$146</f>
        <v>-3307.66666666667</v>
      </c>
      <c r="AO31" s="40" t="n">
        <f aca="false">'⑲ Corporate P&amp;L'!BB72+$C$146</f>
        <v>-3307.66666666667</v>
      </c>
      <c r="AP31" s="40" t="n">
        <f aca="false">'⑲ Corporate P&amp;L'!BC72+$C$146</f>
        <v>-3307.66666666667</v>
      </c>
      <c r="AQ31" s="40" t="n">
        <f aca="false">'⑲ Corporate P&amp;L'!BD72+$C$146</f>
        <v>-3307.66666666667</v>
      </c>
      <c r="AR31" s="40" t="n">
        <f aca="false">'⑲ Corporate P&amp;L'!BE72+$C$146</f>
        <v>-3307.66666666667</v>
      </c>
      <c r="AS31" s="40" t="n">
        <f aca="false">'⑲ Corporate P&amp;L'!BF72+$C$146</f>
        <v>-3307.66666666667</v>
      </c>
      <c r="AT31" s="40" t="n">
        <f aca="false">'⑲ Corporate P&amp;L'!BG72+$C$146</f>
        <v>-3307.66666666667</v>
      </c>
      <c r="AU31" s="40" t="n">
        <f aca="false">'⑲ Corporate P&amp;L'!BH72+$C$146</f>
        <v>-3307.66666666667</v>
      </c>
      <c r="AV31" s="40" t="n">
        <f aca="false">'⑲ Corporate P&amp;L'!BI72+$C$146</f>
        <v>-3307.66666666667</v>
      </c>
      <c r="AW31" s="40" t="n">
        <f aca="false">'⑲ Corporate P&amp;L'!BJ72+$C$146</f>
        <v>-3307.66666666667</v>
      </c>
      <c r="AX31" s="40" t="n">
        <f aca="false">'⑲ Corporate P&amp;L'!BK72+$C$146</f>
        <v>-3307.66666666667</v>
      </c>
      <c r="AY31" s="84" t="n">
        <f aca="false">'⑲ Corporate P&amp;L'!G51+$C$146*12</f>
        <v>-39692</v>
      </c>
      <c r="AZ31" s="40" t="n">
        <f aca="false">'⑲ Corporate P&amp;L'!H51+$C$146*12</f>
        <v>-39692</v>
      </c>
      <c r="BA31" s="40" t="n">
        <f aca="false">'⑲ Corporate P&amp;L'!I51+$C$146*12</f>
        <v>-39692</v>
      </c>
      <c r="BB31" s="40" t="n">
        <f aca="false">'⑲ Corporate P&amp;L'!J51+$C$146*12</f>
        <v>-39692</v>
      </c>
      <c r="BC31" s="40" t="n">
        <f aca="false">'⑲ Corporate P&amp;L'!K51+$C$146*12</f>
        <v>-39692</v>
      </c>
      <c r="BD31" s="40" t="n">
        <f aca="false">'⑲ Corporate P&amp;L'!L51+$C$146*12</f>
        <v>-39692</v>
      </c>
      <c r="BE31" s="40" t="n">
        <f aca="false">'⑲ Corporate P&amp;L'!M51+$C$146*12</f>
        <v>-39692</v>
      </c>
      <c r="BF31" s="40" t="n">
        <f aca="false">'⑲ Corporate P&amp;L'!N51+$C$146*12</f>
        <v>-39692</v>
      </c>
    </row>
    <row r="32" customFormat="false" ht="15" hidden="false" customHeight="false" outlineLevel="0" collapsed="false">
      <c r="B32" s="9" t="s">
        <v>228</v>
      </c>
      <c r="C32" s="40" t="n">
        <f aca="false">'Pnl por tienda'!J126</f>
        <v>-8385.36</v>
      </c>
      <c r="D32" s="40" t="n">
        <f aca="false">'Pnl por tienda'!K126</f>
        <v>-976.37</v>
      </c>
      <c r="E32" s="40" t="n">
        <f aca="false">'Pnl por tienda'!L126</f>
        <v>-4621.27</v>
      </c>
      <c r="F32" s="40" t="n">
        <f aca="false">'Pnl por tienda'!M126</f>
        <v>-2318.72</v>
      </c>
      <c r="G32" s="40" t="n">
        <f aca="false">'Pnl por tienda'!N126</f>
        <v>-2291.55</v>
      </c>
      <c r="H32" s="40" t="n">
        <f aca="false">'Pnl por tienda'!O126</f>
        <v>-3382.89</v>
      </c>
      <c r="I32" s="40" t="n">
        <f aca="false">'Pnl por tienda'!P126</f>
        <v>2390.19</v>
      </c>
      <c r="J32" s="40" t="n">
        <f aca="false">'Pnl por tienda'!Q126</f>
        <v>-2077.24</v>
      </c>
      <c r="K32" s="40" t="n">
        <f aca="false">'Pnl por tienda'!R126</f>
        <v>-9027.71</v>
      </c>
      <c r="L32" s="40" t="n">
        <f aca="false">'Pnl por tienda'!S126</f>
        <v>-1126.08</v>
      </c>
      <c r="M32" s="40" t="n">
        <f aca="false">'Pnl por tienda'!T126</f>
        <v>-3076.94</v>
      </c>
      <c r="N32" s="40" t="n">
        <f aca="false">'Pnl por tienda'!U126</f>
        <v>-10645.46</v>
      </c>
      <c r="O32" s="84" t="n">
        <f aca="false">'EEFF a septiemrbe'!B26+'EEFF a septiemrbe'!B98</f>
        <v>-1802.3</v>
      </c>
      <c r="P32" s="40" t="n">
        <f aca="false">'EEFF a septiemrbe'!C26+'EEFF a septiemrbe'!C98</f>
        <v>-1365.75</v>
      </c>
      <c r="Q32" s="40" t="n">
        <f aca="false">'EEFF a septiemrbe'!D26+'EEFF a septiemrbe'!D98</f>
        <v>-2680.79</v>
      </c>
      <c r="R32" s="40" t="n">
        <f aca="false">'EEFF a septiemrbe'!E26+'EEFF a septiemrbe'!E98</f>
        <v>-997.35</v>
      </c>
      <c r="S32" s="40" t="n">
        <f aca="false">'EEFF a septiemrbe'!F26+'EEFF a septiemrbe'!F98</f>
        <v>-4490.44</v>
      </c>
      <c r="T32" s="40" t="n">
        <f aca="false">'EEFF a septiemrbe'!G26+'EEFF a septiemrbe'!G98</f>
        <v>-837.46</v>
      </c>
      <c r="U32" s="40" t="n">
        <f aca="false">'EEFF a septiemrbe'!H26+'EEFF a septiemrbe'!H98</f>
        <v>-1822.01</v>
      </c>
      <c r="V32" s="40" t="n">
        <f aca="false">'EEFF a septiemrbe'!I26+'EEFF a septiemrbe'!I98</f>
        <v>-6397.26</v>
      </c>
      <c r="W32" s="40" t="n">
        <f aca="false">'EEFF a septiemrbe'!J26+'EEFF a septiemrbe'!J98</f>
        <v>-3183.91</v>
      </c>
      <c r="X32" s="40" t="n">
        <f aca="false">'⑲ Corporate P&amp;L'!AK73+$C$147</f>
        <v>-2851.06</v>
      </c>
      <c r="Y32" s="40" t="n">
        <f aca="false">'⑲ Corporate P&amp;L'!AL73+$C$147</f>
        <v>-2851.06</v>
      </c>
      <c r="Z32" s="40" t="n">
        <f aca="false">'⑲ Corporate P&amp;L'!AM73+$C$147</f>
        <v>-2851.06</v>
      </c>
      <c r="AA32" s="84" t="n">
        <f aca="false">'⑲ Corporate P&amp;L'!AN73+$C$147</f>
        <v>-2851.06</v>
      </c>
      <c r="AB32" s="40" t="n">
        <f aca="false">'⑲ Corporate P&amp;L'!AO73+$C$147</f>
        <v>-2851.06</v>
      </c>
      <c r="AC32" s="40" t="n">
        <f aca="false">'⑲ Corporate P&amp;L'!AP73+$C$147</f>
        <v>-2851.06</v>
      </c>
      <c r="AD32" s="40" t="n">
        <f aca="false">'⑲ Corporate P&amp;L'!AQ73+$C$147</f>
        <v>-2851.06</v>
      </c>
      <c r="AE32" s="40" t="n">
        <f aca="false">'⑲ Corporate P&amp;L'!AR73+$C$147</f>
        <v>-2851.06</v>
      </c>
      <c r="AF32" s="40" t="n">
        <f aca="false">'⑲ Corporate P&amp;L'!AS73+$C$147</f>
        <v>-2851.06</v>
      </c>
      <c r="AG32" s="40" t="n">
        <f aca="false">'⑲ Corporate P&amp;L'!AT73+$C$147</f>
        <v>-2851.06</v>
      </c>
      <c r="AH32" s="40" t="n">
        <f aca="false">'⑲ Corporate P&amp;L'!AU73+$C$147</f>
        <v>-2851.06</v>
      </c>
      <c r="AI32" s="40" t="n">
        <f aca="false">'⑲ Corporate P&amp;L'!AV73+$C$147</f>
        <v>-2851.06</v>
      </c>
      <c r="AJ32" s="40" t="n">
        <f aca="false">'⑲ Corporate P&amp;L'!AW73+$C$147</f>
        <v>-2851.06</v>
      </c>
      <c r="AK32" s="40" t="n">
        <f aca="false">'⑲ Corporate P&amp;L'!AX73+$C$147</f>
        <v>-2851.06</v>
      </c>
      <c r="AL32" s="40" t="n">
        <f aca="false">'⑲ Corporate P&amp;L'!AY73+$C$147</f>
        <v>-2851.06</v>
      </c>
      <c r="AM32" s="84" t="n">
        <f aca="false">'⑲ Corporate P&amp;L'!AZ73+$C$147</f>
        <v>-2851.06</v>
      </c>
      <c r="AN32" s="40" t="n">
        <f aca="false">'⑲ Corporate P&amp;L'!BA73+$C$147</f>
        <v>-2851.06</v>
      </c>
      <c r="AO32" s="40" t="n">
        <f aca="false">'⑲ Corporate P&amp;L'!BB73+$C$147</f>
        <v>-2851.06</v>
      </c>
      <c r="AP32" s="40" t="n">
        <f aca="false">'⑲ Corporate P&amp;L'!BC73+$C$147</f>
        <v>-2851.06</v>
      </c>
      <c r="AQ32" s="40" t="n">
        <f aca="false">'⑲ Corporate P&amp;L'!BD73+$C$147</f>
        <v>-2851.06</v>
      </c>
      <c r="AR32" s="40" t="n">
        <f aca="false">'⑲ Corporate P&amp;L'!BE73+$C$147</f>
        <v>-2851.06</v>
      </c>
      <c r="AS32" s="40" t="n">
        <f aca="false">'⑲ Corporate P&amp;L'!BF73+$C$147</f>
        <v>-2851.06</v>
      </c>
      <c r="AT32" s="40" t="n">
        <f aca="false">'⑲ Corporate P&amp;L'!BG73+$C$147</f>
        <v>-2851.06</v>
      </c>
      <c r="AU32" s="40" t="n">
        <f aca="false">'⑲ Corporate P&amp;L'!BH73+$C$147</f>
        <v>-2851.06</v>
      </c>
      <c r="AV32" s="40" t="n">
        <f aca="false">'⑲ Corporate P&amp;L'!BI73+$C$147</f>
        <v>-2851.06</v>
      </c>
      <c r="AW32" s="40" t="n">
        <f aca="false">'⑲ Corporate P&amp;L'!BJ73+$C$147</f>
        <v>-2851.06</v>
      </c>
      <c r="AX32" s="40" t="n">
        <f aca="false">'⑲ Corporate P&amp;L'!BK73+$C$147</f>
        <v>-2851.06</v>
      </c>
      <c r="AY32" s="84" t="n">
        <f aca="false">'⑲ Corporate P&amp;L'!G52+$C$147*12</f>
        <v>-34212.72</v>
      </c>
      <c r="AZ32" s="40" t="n">
        <f aca="false">'⑲ Corporate P&amp;L'!H52+$C$147*12</f>
        <v>-34212.72</v>
      </c>
      <c r="BA32" s="40" t="n">
        <f aca="false">'⑲ Corporate P&amp;L'!I52+$C$147*12</f>
        <v>-34212.72</v>
      </c>
      <c r="BB32" s="40" t="n">
        <f aca="false">'⑲ Corporate P&amp;L'!J52+$C$147*12</f>
        <v>-34212.72</v>
      </c>
      <c r="BC32" s="40" t="n">
        <f aca="false">'⑲ Corporate P&amp;L'!K52+$C$147*12</f>
        <v>-34212.72</v>
      </c>
      <c r="BD32" s="40" t="n">
        <f aca="false">'⑲ Corporate P&amp;L'!L52+$C$147*12</f>
        <v>-34212.72</v>
      </c>
      <c r="BE32" s="40" t="n">
        <f aca="false">'⑲ Corporate P&amp;L'!M52+$C$147*12</f>
        <v>-34212.72</v>
      </c>
      <c r="BF32" s="40" t="n">
        <f aca="false">'⑲ Corporate P&amp;L'!N52+$C$147*12</f>
        <v>-34212.72</v>
      </c>
    </row>
    <row r="33" customFormat="false" ht="15" hidden="false" customHeight="false" outlineLevel="0" collapsed="false">
      <c r="B33" s="10" t="s">
        <v>229</v>
      </c>
      <c r="C33" s="46" t="n">
        <f aca="false">SUM(C28:C32)</f>
        <v>-38249.29</v>
      </c>
      <c r="D33" s="46" t="n">
        <f aca="false">SUM(D28:D32)</f>
        <v>-41934.77</v>
      </c>
      <c r="E33" s="46" t="n">
        <f aca="false">SUM(E28:E32)</f>
        <v>-43322.33</v>
      </c>
      <c r="F33" s="46" t="n">
        <f aca="false">SUM(F28:F32)</f>
        <v>-37314.78</v>
      </c>
      <c r="G33" s="46" t="n">
        <f aca="false">SUM(G28:G32)</f>
        <v>-37120.32</v>
      </c>
      <c r="H33" s="46" t="n">
        <f aca="false">SUM(H28:H32)</f>
        <v>-31800.25</v>
      </c>
      <c r="I33" s="46" t="n">
        <f aca="false">SUM(I28:I32)</f>
        <v>-24533.22</v>
      </c>
      <c r="J33" s="46" t="n">
        <f aca="false">SUM(J28:J32)</f>
        <v>-39423.6</v>
      </c>
      <c r="K33" s="46" t="n">
        <f aca="false">SUM(K28:K32)</f>
        <v>-49625.9</v>
      </c>
      <c r="L33" s="46" t="n">
        <f aca="false">SUM(L28:L32)</f>
        <v>-43082.2</v>
      </c>
      <c r="M33" s="46" t="n">
        <f aca="false">SUM(M28:M32)</f>
        <v>-47560.22</v>
      </c>
      <c r="N33" s="46" t="n">
        <f aca="false">SUM(N28:N32)</f>
        <v>-58596.44</v>
      </c>
      <c r="O33" s="88" t="n">
        <f aca="false">SUM(O28:O32)</f>
        <v>-39340.1</v>
      </c>
      <c r="P33" s="46" t="n">
        <f aca="false">SUM(P28:P32)</f>
        <v>-45586.84</v>
      </c>
      <c r="Q33" s="46" t="n">
        <f aca="false">SUM(Q28:Q32)</f>
        <v>-84472.29</v>
      </c>
      <c r="R33" s="46" t="n">
        <f aca="false">SUM(R28:R32)</f>
        <v>-36025.01</v>
      </c>
      <c r="S33" s="46" t="n">
        <f aca="false">SUM(S28:S32)</f>
        <v>-38741.85</v>
      </c>
      <c r="T33" s="46" t="n">
        <f aca="false">SUM(T28:T32)</f>
        <v>-35487.3</v>
      </c>
      <c r="U33" s="46" t="n">
        <f aca="false">SUM(U28:U32)</f>
        <v>-31778.97</v>
      </c>
      <c r="V33" s="46" t="n">
        <f aca="false">SUM(V28:V32)</f>
        <v>-37655.69</v>
      </c>
      <c r="W33" s="46" t="n">
        <f aca="false">SUM(W28:W32)</f>
        <v>-32018.09</v>
      </c>
      <c r="X33" s="46" t="n">
        <f aca="false">SUM(X28:X32)-0.03*X11+X34</f>
        <v>-35474.7639773656</v>
      </c>
      <c r="Y33" s="46" t="n">
        <f aca="false">SUM(Y28:Y32)-0.03*Y11+Y34</f>
        <v>-33610.7402945052</v>
      </c>
      <c r="Z33" s="46" t="n">
        <f aca="false">SUM(Z28:Z32)-0.03*Z11+Z34</f>
        <v>-37000.8088811186</v>
      </c>
      <c r="AA33" s="88" t="n">
        <f aca="false">SUM(AA28:AA32)-0.03*AA11+AA34</f>
        <v>-39085.2565222826</v>
      </c>
      <c r="AB33" s="46" t="n">
        <f aca="false">SUM(AB28:AB32)-0.03*AB11+AB34</f>
        <v>-37386.3872187912</v>
      </c>
      <c r="AC33" s="46" t="n">
        <f aca="false">SUM(AC28:AC32)-0.03*AC11+AC34</f>
        <v>-46550.966858014</v>
      </c>
      <c r="AD33" s="46" t="n">
        <f aca="false">SUM(AD28:AD32)-0.03*AD11+AD34</f>
        <v>-62959.2823548367</v>
      </c>
      <c r="AE33" s="46" t="n">
        <f aca="false">SUM(AE28:AE32)-0.03*AE11+AE34</f>
        <v>-60838.5327878536</v>
      </c>
      <c r="AF33" s="46" t="n">
        <f aca="false">SUM(AF28:AF32)-0.03*AF11+AF34</f>
        <v>-60279.9482497997</v>
      </c>
      <c r="AG33" s="46" t="n">
        <f aca="false">SUM(AG28:AG32)-0.03*AG11+AG34</f>
        <v>-61842.3096889109</v>
      </c>
      <c r="AH33" s="46" t="n">
        <f aca="false">SUM(AH28:AH32)-0.03*AH11+AH34</f>
        <v>-75995.9679151512</v>
      </c>
      <c r="AI33" s="46" t="n">
        <f aca="false">SUM(AI28:AI32)-0.03*AI11+AI34</f>
        <v>-72471.123413885</v>
      </c>
      <c r="AJ33" s="46" t="n">
        <f aca="false">SUM(AJ28:AJ32)-0.03*AJ11+AJ34</f>
        <v>-72510.655608914</v>
      </c>
      <c r="AK33" s="46" t="n">
        <f aca="false">SUM(AK28:AK32)-0.03*AK11+AK34</f>
        <v>-67551.6576448127</v>
      </c>
      <c r="AL33" s="46" t="n">
        <f aca="false">SUM(AL28:AL32)-0.03*AL11+AL34</f>
        <v>-76803.969661519</v>
      </c>
      <c r="AM33" s="88" t="n">
        <f aca="false">SUM(AM28:AM32)-0.03*AM11+AM34</f>
        <v>-83736.22064492</v>
      </c>
      <c r="AN33" s="88" t="n">
        <f aca="false">SUM(AN28:AN32)-0.03*AN11+AN34</f>
        <v>-77715.5677643572</v>
      </c>
      <c r="AO33" s="88" t="n">
        <f aca="false">SUM(AO28:AO32)-0.03*AO11+AO34</f>
        <v>-90613.7396052866</v>
      </c>
      <c r="AP33" s="88" t="n">
        <f aca="false">SUM(AP28:AP32)-0.03*AP11+AP34</f>
        <v>-91303.9257064022</v>
      </c>
      <c r="AQ33" s="88" t="n">
        <f aca="false">SUM(AQ28:AQ32)-0.03*AQ11+AQ34</f>
        <v>-87892.758273222</v>
      </c>
      <c r="AR33" s="88" t="n">
        <f aca="false">SUM(AR28:AR32)-0.03*AR11+AR34</f>
        <v>-85329.4593531529</v>
      </c>
      <c r="AS33" s="88" t="n">
        <f aca="false">SUM(AS28:AS32)-0.03*AS11+AS34</f>
        <v>-89557.8327976457</v>
      </c>
      <c r="AT33" s="88" t="n">
        <f aca="false">SUM(AT28:AT32)-0.03*AT11+AT34</f>
        <v>-116235.129094097</v>
      </c>
      <c r="AU33" s="88" t="n">
        <f aca="false">SUM(AU28:AU32)-0.03*AU11+AU34</f>
        <v>-110329.469712355</v>
      </c>
      <c r="AV33" s="88" t="n">
        <f aca="false">SUM(AV28:AV32)-0.03*AV11+AV34</f>
        <v>-102461.546010935</v>
      </c>
      <c r="AW33" s="88" t="n">
        <f aca="false">SUM(AW28:AW32)-0.03*AW11+AW34</f>
        <v>-92942.6679214379</v>
      </c>
      <c r="AX33" s="88" t="n">
        <f aca="false">SUM(AX28:AX32)-0.03*AX11+AX34</f>
        <v>-111556.104431703</v>
      </c>
      <c r="AY33" s="88" t="n">
        <f aca="false">SUM(AY28:AY32)-0.03*AY11+AY34</f>
        <v>-1533457.64923023</v>
      </c>
      <c r="AZ33" s="46" t="n">
        <f aca="false">SUM(AZ28:AZ32)-0.03*AZ11+AZ34</f>
        <v>-1889589.81365269</v>
      </c>
      <c r="BA33" s="46" t="n">
        <f aca="false">SUM(BA28:BA32)-0.03*BA11+BA34</f>
        <v>-2209371.41490672</v>
      </c>
      <c r="BB33" s="46" t="n">
        <f aca="false">SUM(BB28:BB32)-0.03*BB11+BB34</f>
        <v>-2756699.01579804</v>
      </c>
      <c r="BC33" s="46" t="n">
        <f aca="false">SUM(BC28:BC32)-0.03*BC11+BC34</f>
        <v>-3016881.82264912</v>
      </c>
      <c r="BD33" s="46" t="n">
        <f aca="false">SUM(BD28:BD32)-0.03*BD11+BD34</f>
        <v>-3508409.17704283</v>
      </c>
      <c r="BE33" s="46" t="n">
        <f aca="false">SUM(BE28:BE32)-0.03*BE11+BE34</f>
        <v>-4041039.32019495</v>
      </c>
      <c r="BF33" s="46" t="n">
        <f aca="false">SUM(BF28:BF32)-0.03*BF11+BF34</f>
        <v>-4594845.73167921</v>
      </c>
    </row>
    <row r="34" customFormat="false" ht="15" hidden="false" customHeight="false" outlineLevel="0" collapsed="false">
      <c r="B34" s="9" t="s">
        <v>230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89"/>
      <c r="P34" s="9"/>
      <c r="Q34" s="9"/>
      <c r="R34" s="9"/>
      <c r="S34" s="9"/>
      <c r="T34" s="9"/>
      <c r="U34" s="9"/>
      <c r="V34" s="9"/>
      <c r="W34" s="9"/>
      <c r="X34" s="9" t="n">
        <f aca="false">-(IF(X$5&gt;=DATE(2028,1,1),'⑲ Corporate P&amp;L'!$C$33,IF(X$5&gt;=DATE(2027,4,1),'⑲ Corporate P&amp;L'!$C$16,'⑲ Corporate P&amp;L'!$C$7))-IF(YEAR(X$5)&gt;=2028,'⑲ Corporate P&amp;L'!$C$33,IF(YEAR(X$5)=2027,(3*'⑲ Corporate P&amp;L'!$C$7+9*'⑲ Corporate P&amp;L'!$C$16)/12,'⑲ Corporate P&amp;L'!$C$7)))*(1+'⑲ Corporate P&amp;L'!$C$13)</f>
        <v>-0</v>
      </c>
      <c r="Y34" s="9" t="n">
        <f aca="false">-(IF(Y$5&gt;=DATE(2028,1,1),'⑲ Corporate P&amp;L'!$C$33,IF(Y$5&gt;=DATE(2027,4,1),'⑲ Corporate P&amp;L'!$C$16,'⑲ Corporate P&amp;L'!$C$7))-IF(YEAR(Y$5)&gt;=2028,'⑲ Corporate P&amp;L'!$C$33,IF(YEAR(Y$5)=2027,(3*'⑲ Corporate P&amp;L'!$C$7+9*'⑲ Corporate P&amp;L'!$C$16)/12,'⑲ Corporate P&amp;L'!$C$7)))*(1+'⑲ Corporate P&amp;L'!$C$13)</f>
        <v>-0</v>
      </c>
      <c r="Z34" s="9" t="n">
        <f aca="false">-(IF(Z$5&gt;=DATE(2028,1,1),'⑲ Corporate P&amp;L'!$C$33,IF(Z$5&gt;=DATE(2027,4,1),'⑲ Corporate P&amp;L'!$C$16,'⑲ Corporate P&amp;L'!$C$7))-IF(YEAR(Z$5)&gt;=2028,'⑲ Corporate P&amp;L'!$C$33,IF(YEAR(Z$5)=2027,(3*'⑲ Corporate P&amp;L'!$C$7+9*'⑲ Corporate P&amp;L'!$C$16)/12,'⑲ Corporate P&amp;L'!$C$7)))*(1+'⑲ Corporate P&amp;L'!$C$13)</f>
        <v>-0</v>
      </c>
      <c r="AA34" s="89" t="n">
        <f aca="false">-(IF(AA$5&gt;=DATE(2028,1,1),'⑲ Corporate P&amp;L'!$C$33,IF(AA$5&gt;=DATE(2027,4,1),'⑲ Corporate P&amp;L'!$C$16,'⑲ Corporate P&amp;L'!$C$7))-IF(YEAR(AA$5)&gt;=2028,'⑲ Corporate P&amp;L'!$C$33,IF(YEAR(AA$5)=2027,(3*'⑲ Corporate P&amp;L'!$C$7+9*'⑲ Corporate P&amp;L'!$C$16)/12,'⑲ Corporate P&amp;L'!$C$7)))*(1+'⑲ Corporate P&amp;L'!$C$13)</f>
        <v>3132.9375</v>
      </c>
      <c r="AB34" s="9" t="n">
        <f aca="false">-(IF(AB$5&gt;=DATE(2028,1,1),'⑲ Corporate P&amp;L'!$C$33,IF(AB$5&gt;=DATE(2027,4,1),'⑲ Corporate P&amp;L'!$C$16,'⑲ Corporate P&amp;L'!$C$7))-IF(YEAR(AB$5)&gt;=2028,'⑲ Corporate P&amp;L'!$C$33,IF(YEAR(AB$5)=2027,(3*'⑲ Corporate P&amp;L'!$C$7+9*'⑲ Corporate P&amp;L'!$C$16)/12,'⑲ Corporate P&amp;L'!$C$7)))*(1+'⑲ Corporate P&amp;L'!$C$13)</f>
        <v>3132.9375</v>
      </c>
      <c r="AC34" s="9" t="n">
        <f aca="false">-(IF(AC$5&gt;=DATE(2028,1,1),'⑲ Corporate P&amp;L'!$C$33,IF(AC$5&gt;=DATE(2027,4,1),'⑲ Corporate P&amp;L'!$C$16,'⑲ Corporate P&amp;L'!$C$7))-IF(YEAR(AC$5)&gt;=2028,'⑲ Corporate P&amp;L'!$C$33,IF(YEAR(AC$5)=2027,(3*'⑲ Corporate P&amp;L'!$C$7+9*'⑲ Corporate P&amp;L'!$C$16)/12,'⑲ Corporate P&amp;L'!$C$7)))*(1+'⑲ Corporate P&amp;L'!$C$13)</f>
        <v>3132.9375</v>
      </c>
      <c r="AD34" s="9" t="n">
        <f aca="false">-(IF(AD$5&gt;=DATE(2028,1,1),'⑲ Corporate P&amp;L'!$C$33,IF(AD$5&gt;=DATE(2027,4,1),'⑲ Corporate P&amp;L'!$C$16,'⑲ Corporate P&amp;L'!$C$7))-IF(YEAR(AD$5)&gt;=2028,'⑲ Corporate P&amp;L'!$C$33,IF(YEAR(AD$5)=2027,(3*'⑲ Corporate P&amp;L'!$C$7+9*'⑲ Corporate P&amp;L'!$C$16)/12,'⑲ Corporate P&amp;L'!$C$7)))*(1+'⑲ Corporate P&amp;L'!$C$13)</f>
        <v>-1044.3125</v>
      </c>
      <c r="AE34" s="9" t="n">
        <f aca="false">-(IF(AE$5&gt;=DATE(2028,1,1),'⑲ Corporate P&amp;L'!$C$33,IF(AE$5&gt;=DATE(2027,4,1),'⑲ Corporate P&amp;L'!$C$16,'⑲ Corporate P&amp;L'!$C$7))-IF(YEAR(AE$5)&gt;=2028,'⑲ Corporate P&amp;L'!$C$33,IF(YEAR(AE$5)=2027,(3*'⑲ Corporate P&amp;L'!$C$7+9*'⑲ Corporate P&amp;L'!$C$16)/12,'⑲ Corporate P&amp;L'!$C$7)))*(1+'⑲ Corporate P&amp;L'!$C$13)</f>
        <v>-1044.3125</v>
      </c>
      <c r="AF34" s="9" t="n">
        <f aca="false">-(IF(AF$5&gt;=DATE(2028,1,1),'⑲ Corporate P&amp;L'!$C$33,IF(AF$5&gt;=DATE(2027,4,1),'⑲ Corporate P&amp;L'!$C$16,'⑲ Corporate P&amp;L'!$C$7))-IF(YEAR(AF$5)&gt;=2028,'⑲ Corporate P&amp;L'!$C$33,IF(YEAR(AF$5)=2027,(3*'⑲ Corporate P&amp;L'!$C$7+9*'⑲ Corporate P&amp;L'!$C$16)/12,'⑲ Corporate P&amp;L'!$C$7)))*(1+'⑲ Corporate P&amp;L'!$C$13)</f>
        <v>-1044.3125</v>
      </c>
      <c r="AG34" s="9" t="n">
        <f aca="false">-(IF(AG$5&gt;=DATE(2028,1,1),'⑲ Corporate P&amp;L'!$C$33,IF(AG$5&gt;=DATE(2027,4,1),'⑲ Corporate P&amp;L'!$C$16,'⑲ Corporate P&amp;L'!$C$7))-IF(YEAR(AG$5)&gt;=2028,'⑲ Corporate P&amp;L'!$C$33,IF(YEAR(AG$5)=2027,(3*'⑲ Corporate P&amp;L'!$C$7+9*'⑲ Corporate P&amp;L'!$C$16)/12,'⑲ Corporate P&amp;L'!$C$7)))*(1+'⑲ Corporate P&amp;L'!$C$13)</f>
        <v>-1044.3125</v>
      </c>
      <c r="AH34" s="9" t="n">
        <f aca="false">-(IF(AH$5&gt;=DATE(2028,1,1),'⑲ Corporate P&amp;L'!$C$33,IF(AH$5&gt;=DATE(2027,4,1),'⑲ Corporate P&amp;L'!$C$16,'⑲ Corporate P&amp;L'!$C$7))-IF(YEAR(AH$5)&gt;=2028,'⑲ Corporate P&amp;L'!$C$33,IF(YEAR(AH$5)=2027,(3*'⑲ Corporate P&amp;L'!$C$7+9*'⑲ Corporate P&amp;L'!$C$16)/12,'⑲ Corporate P&amp;L'!$C$7)))*(1+'⑲ Corporate P&amp;L'!$C$13)</f>
        <v>-1044.3125</v>
      </c>
      <c r="AI34" s="9" t="n">
        <f aca="false">-(IF(AI$5&gt;=DATE(2028,1,1),'⑲ Corporate P&amp;L'!$C$33,IF(AI$5&gt;=DATE(2027,4,1),'⑲ Corporate P&amp;L'!$C$16,'⑲ Corporate P&amp;L'!$C$7))-IF(YEAR(AI$5)&gt;=2028,'⑲ Corporate P&amp;L'!$C$33,IF(YEAR(AI$5)=2027,(3*'⑲ Corporate P&amp;L'!$C$7+9*'⑲ Corporate P&amp;L'!$C$16)/12,'⑲ Corporate P&amp;L'!$C$7)))*(1+'⑲ Corporate P&amp;L'!$C$13)</f>
        <v>-1044.3125</v>
      </c>
      <c r="AJ34" s="9" t="n">
        <f aca="false">-(IF(AJ$5&gt;=DATE(2028,1,1),'⑲ Corporate P&amp;L'!$C$33,IF(AJ$5&gt;=DATE(2027,4,1),'⑲ Corporate P&amp;L'!$C$16,'⑲ Corporate P&amp;L'!$C$7))-IF(YEAR(AJ$5)&gt;=2028,'⑲ Corporate P&amp;L'!$C$33,IF(YEAR(AJ$5)=2027,(3*'⑲ Corporate P&amp;L'!$C$7+9*'⑲ Corporate P&amp;L'!$C$16)/12,'⑲ Corporate P&amp;L'!$C$7)))*(1+'⑲ Corporate P&amp;L'!$C$13)</f>
        <v>-1044.3125</v>
      </c>
      <c r="AK34" s="9" t="n">
        <f aca="false">-(IF(AK$5&gt;=DATE(2028,1,1),'⑲ Corporate P&amp;L'!$C$33,IF(AK$5&gt;=DATE(2027,4,1),'⑲ Corporate P&amp;L'!$C$16,'⑲ Corporate P&amp;L'!$C$7))-IF(YEAR(AK$5)&gt;=2028,'⑲ Corporate P&amp;L'!$C$33,IF(YEAR(AK$5)=2027,(3*'⑲ Corporate P&amp;L'!$C$7+9*'⑲ Corporate P&amp;L'!$C$16)/12,'⑲ Corporate P&amp;L'!$C$7)))*(1+'⑲ Corporate P&amp;L'!$C$13)</f>
        <v>-1044.3125</v>
      </c>
      <c r="AL34" s="9" t="n">
        <f aca="false">-(IF(AL$5&gt;=DATE(2028,1,1),'⑲ Corporate P&amp;L'!$C$33,IF(AL$5&gt;=DATE(2027,4,1),'⑲ Corporate P&amp;L'!$C$16,'⑲ Corporate P&amp;L'!$C$7))-IF(YEAR(AL$5)&gt;=2028,'⑲ Corporate P&amp;L'!$C$33,IF(YEAR(AL$5)=2027,(3*'⑲ Corporate P&amp;L'!$C$7+9*'⑲ Corporate P&amp;L'!$C$16)/12,'⑲ Corporate P&amp;L'!$C$7)))*(1+'⑲ Corporate P&amp;L'!$C$13)</f>
        <v>-1044.3125</v>
      </c>
      <c r="AM34" s="89" t="n">
        <f aca="false">-(IF(AM$5&gt;=DATE(2028,1,1),'⑲ Corporate P&amp;L'!$C$33,IF(AM$5&gt;=DATE(2027,4,1),'⑲ Corporate P&amp;L'!$C$16,'⑲ Corporate P&amp;L'!$C$7))-IF(YEAR(AM$5)&gt;=2028,'⑲ Corporate P&amp;L'!$C$33,IF(YEAR(AM$5)=2027,(3*'⑲ Corporate P&amp;L'!$C$7+9*'⑲ Corporate P&amp;L'!$C$16)/12,'⑲ Corporate P&amp;L'!$C$7)))*(1+'⑲ Corporate P&amp;L'!$C$13)</f>
        <v>-0</v>
      </c>
      <c r="AN34" s="9" t="n">
        <f aca="false">-(IF(AN$5&gt;=DATE(2028,1,1),'⑲ Corporate P&amp;L'!$C$33,IF(AN$5&gt;=DATE(2027,4,1),'⑲ Corporate P&amp;L'!$C$16,'⑲ Corporate P&amp;L'!$C$7))-IF(YEAR(AN$5)&gt;=2028,'⑲ Corporate P&amp;L'!$C$33,IF(YEAR(AN$5)=2027,(3*'⑲ Corporate P&amp;L'!$C$7+9*'⑲ Corporate P&amp;L'!$C$16)/12,'⑲ Corporate P&amp;L'!$C$7)))*(1+'⑲ Corporate P&amp;L'!$C$13)</f>
        <v>-0</v>
      </c>
      <c r="AO34" s="9" t="n">
        <f aca="false">-(IF(AO$5&gt;=DATE(2028,1,1),'⑲ Corporate P&amp;L'!$C$33,IF(AO$5&gt;=DATE(2027,4,1),'⑲ Corporate P&amp;L'!$C$16,'⑲ Corporate P&amp;L'!$C$7))-IF(YEAR(AO$5)&gt;=2028,'⑲ Corporate P&amp;L'!$C$33,IF(YEAR(AO$5)=2027,(3*'⑲ Corporate P&amp;L'!$C$7+9*'⑲ Corporate P&amp;L'!$C$16)/12,'⑲ Corporate P&amp;L'!$C$7)))*(1+'⑲ Corporate P&amp;L'!$C$13)</f>
        <v>-0</v>
      </c>
      <c r="AP34" s="9" t="n">
        <f aca="false">-(IF(AP$5&gt;=DATE(2028,1,1),'⑲ Corporate P&amp;L'!$C$33,IF(AP$5&gt;=DATE(2027,4,1),'⑲ Corporate P&amp;L'!$C$16,'⑲ Corporate P&amp;L'!$C$7))-IF(YEAR(AP$5)&gt;=2028,'⑲ Corporate P&amp;L'!$C$33,IF(YEAR(AP$5)=2027,(3*'⑲ Corporate P&amp;L'!$C$7+9*'⑲ Corporate P&amp;L'!$C$16)/12,'⑲ Corporate P&amp;L'!$C$7)))*(1+'⑲ Corporate P&amp;L'!$C$13)</f>
        <v>-0</v>
      </c>
      <c r="AQ34" s="9" t="n">
        <f aca="false">-(IF(AQ$5&gt;=DATE(2028,1,1),'⑲ Corporate P&amp;L'!$C$33,IF(AQ$5&gt;=DATE(2027,4,1),'⑲ Corporate P&amp;L'!$C$16,'⑲ Corporate P&amp;L'!$C$7))-IF(YEAR(AQ$5)&gt;=2028,'⑲ Corporate P&amp;L'!$C$33,IF(YEAR(AQ$5)=2027,(3*'⑲ Corporate P&amp;L'!$C$7+9*'⑲ Corporate P&amp;L'!$C$16)/12,'⑲ Corporate P&amp;L'!$C$7)))*(1+'⑲ Corporate P&amp;L'!$C$13)</f>
        <v>-0</v>
      </c>
      <c r="AR34" s="9" t="n">
        <f aca="false">-(IF(AR$5&gt;=DATE(2028,1,1),'⑲ Corporate P&amp;L'!$C$33,IF(AR$5&gt;=DATE(2027,4,1),'⑲ Corporate P&amp;L'!$C$16,'⑲ Corporate P&amp;L'!$C$7))-IF(YEAR(AR$5)&gt;=2028,'⑲ Corporate P&amp;L'!$C$33,IF(YEAR(AR$5)=2027,(3*'⑲ Corporate P&amp;L'!$C$7+9*'⑲ Corporate P&amp;L'!$C$16)/12,'⑲ Corporate P&amp;L'!$C$7)))*(1+'⑲ Corporate P&amp;L'!$C$13)</f>
        <v>-0</v>
      </c>
      <c r="AS34" s="9" t="n">
        <f aca="false">-(IF(AS$5&gt;=DATE(2028,1,1),'⑲ Corporate P&amp;L'!$C$33,IF(AS$5&gt;=DATE(2027,4,1),'⑲ Corporate P&amp;L'!$C$16,'⑲ Corporate P&amp;L'!$C$7))-IF(YEAR(AS$5)&gt;=2028,'⑲ Corporate P&amp;L'!$C$33,IF(YEAR(AS$5)=2027,(3*'⑲ Corporate P&amp;L'!$C$7+9*'⑲ Corporate P&amp;L'!$C$16)/12,'⑲ Corporate P&amp;L'!$C$7)))*(1+'⑲ Corporate P&amp;L'!$C$13)</f>
        <v>-0</v>
      </c>
      <c r="AT34" s="9" t="n">
        <f aca="false">-(IF(AT$5&gt;=DATE(2028,1,1),'⑲ Corporate P&amp;L'!$C$33,IF(AT$5&gt;=DATE(2027,4,1),'⑲ Corporate P&amp;L'!$C$16,'⑲ Corporate P&amp;L'!$C$7))-IF(YEAR(AT$5)&gt;=2028,'⑲ Corporate P&amp;L'!$C$33,IF(YEAR(AT$5)=2027,(3*'⑲ Corporate P&amp;L'!$C$7+9*'⑲ Corporate P&amp;L'!$C$16)/12,'⑲ Corporate P&amp;L'!$C$7)))*(1+'⑲ Corporate P&amp;L'!$C$13)</f>
        <v>-0</v>
      </c>
      <c r="AU34" s="9" t="n">
        <f aca="false">-(IF(AU$5&gt;=DATE(2028,1,1),'⑲ Corporate P&amp;L'!$C$33,IF(AU$5&gt;=DATE(2027,4,1),'⑲ Corporate P&amp;L'!$C$16,'⑲ Corporate P&amp;L'!$C$7))-IF(YEAR(AU$5)&gt;=2028,'⑲ Corporate P&amp;L'!$C$33,IF(YEAR(AU$5)=2027,(3*'⑲ Corporate P&amp;L'!$C$7+9*'⑲ Corporate P&amp;L'!$C$16)/12,'⑲ Corporate P&amp;L'!$C$7)))*(1+'⑲ Corporate P&amp;L'!$C$13)</f>
        <v>-0</v>
      </c>
      <c r="AV34" s="9" t="n">
        <f aca="false">-(IF(AV$5&gt;=DATE(2028,1,1),'⑲ Corporate P&amp;L'!$C$33,IF(AV$5&gt;=DATE(2027,4,1),'⑲ Corporate P&amp;L'!$C$16,'⑲ Corporate P&amp;L'!$C$7))-IF(YEAR(AV$5)&gt;=2028,'⑲ Corporate P&amp;L'!$C$33,IF(YEAR(AV$5)=2027,(3*'⑲ Corporate P&amp;L'!$C$7+9*'⑲ Corporate P&amp;L'!$C$16)/12,'⑲ Corporate P&amp;L'!$C$7)))*(1+'⑲ Corporate P&amp;L'!$C$13)</f>
        <v>-0</v>
      </c>
      <c r="AW34" s="9" t="n">
        <f aca="false">-(IF(AW$5&gt;=DATE(2028,1,1),'⑲ Corporate P&amp;L'!$C$33,IF(AW$5&gt;=DATE(2027,4,1),'⑲ Corporate P&amp;L'!$C$16,'⑲ Corporate P&amp;L'!$C$7))-IF(YEAR(AW$5)&gt;=2028,'⑲ Corporate P&amp;L'!$C$33,IF(YEAR(AW$5)=2027,(3*'⑲ Corporate P&amp;L'!$C$7+9*'⑲ Corporate P&amp;L'!$C$16)/12,'⑲ Corporate P&amp;L'!$C$7)))*(1+'⑲ Corporate P&amp;L'!$C$13)</f>
        <v>-0</v>
      </c>
      <c r="AX34" s="9" t="n">
        <f aca="false">-(IF(AX$5&gt;=DATE(2028,1,1),'⑲ Corporate P&amp;L'!$C$33,IF(AX$5&gt;=DATE(2027,4,1),'⑲ Corporate P&amp;L'!$C$16,'⑲ Corporate P&amp;L'!$C$7))-IF(YEAR(AX$5)&gt;=2028,'⑲ Corporate P&amp;L'!$C$33,IF(YEAR(AX$5)=2027,(3*'⑲ Corporate P&amp;L'!$C$7+9*'⑲ Corporate P&amp;L'!$C$16)/12,'⑲ Corporate P&amp;L'!$C$7)))*(1+'⑲ Corporate P&amp;L'!$C$13)</f>
        <v>-0</v>
      </c>
      <c r="AY34" s="89" t="n">
        <v>0</v>
      </c>
      <c r="AZ34" s="9" t="n">
        <v>0</v>
      </c>
      <c r="BA34" s="9" t="n">
        <v>0</v>
      </c>
      <c r="BB34" s="9" t="n">
        <v>0</v>
      </c>
      <c r="BC34" s="9" t="n">
        <v>0</v>
      </c>
      <c r="BD34" s="9" t="n">
        <v>0</v>
      </c>
      <c r="BE34" s="9" t="n">
        <v>0</v>
      </c>
      <c r="BF34" s="9" t="n">
        <v>0</v>
      </c>
    </row>
    <row r="35" customFormat="false" ht="15" hidden="false" customHeight="false" outlineLevel="0" collapsed="false">
      <c r="B35" s="10" t="s">
        <v>231</v>
      </c>
      <c r="C35" s="46" t="n">
        <f aca="false">C25+C33</f>
        <v>-52842.03</v>
      </c>
      <c r="D35" s="46" t="n">
        <f aca="false">D25+D33</f>
        <v>-56221.39</v>
      </c>
      <c r="E35" s="46" t="n">
        <f aca="false">E25+E33</f>
        <v>-60686.73</v>
      </c>
      <c r="F35" s="46" t="n">
        <f aca="false">F25+F33</f>
        <v>-55019.18</v>
      </c>
      <c r="G35" s="46" t="n">
        <f aca="false">G25+G33</f>
        <v>-58695.07</v>
      </c>
      <c r="H35" s="46" t="n">
        <f aca="false">H25+H33</f>
        <v>-51600.86</v>
      </c>
      <c r="I35" s="46" t="n">
        <f aca="false">I25+I33</f>
        <v>-45810.87</v>
      </c>
      <c r="J35" s="46" t="n">
        <f aca="false">J25+J33</f>
        <v>-65329.81</v>
      </c>
      <c r="K35" s="46" t="n">
        <f aca="false">K25+K33</f>
        <v>-71628.08</v>
      </c>
      <c r="L35" s="46" t="n">
        <f aca="false">L25+L33</f>
        <v>-72037.11</v>
      </c>
      <c r="M35" s="46" t="n">
        <f aca="false">M25+M33</f>
        <v>-76888</v>
      </c>
      <c r="N35" s="46" t="n">
        <f aca="false">N25+N33</f>
        <v>-89437.81</v>
      </c>
      <c r="O35" s="88" t="n">
        <f aca="false">O25+O33</f>
        <v>-75786.84</v>
      </c>
      <c r="P35" s="46" t="n">
        <f aca="false">P25+P33</f>
        <v>-81439.38</v>
      </c>
      <c r="Q35" s="46" t="n">
        <f aca="false">Q25+Q33</f>
        <v>-120752.85</v>
      </c>
      <c r="R35" s="46" t="n">
        <f aca="false">R25+R33</f>
        <v>-69374.64</v>
      </c>
      <c r="S35" s="46" t="n">
        <f aca="false">S25+S33</f>
        <v>-74942.4</v>
      </c>
      <c r="T35" s="46" t="n">
        <f aca="false">T25+T33</f>
        <v>-67044.25</v>
      </c>
      <c r="U35" s="46" t="n">
        <f aca="false">U25+U33</f>
        <v>-63009.06</v>
      </c>
      <c r="V35" s="46" t="n">
        <f aca="false">V25+V33</f>
        <v>-69202.18</v>
      </c>
      <c r="W35" s="46" t="n">
        <f aca="false">W25+W33</f>
        <v>-58800.28</v>
      </c>
      <c r="X35" s="46" t="n">
        <f aca="false">X25+X33</f>
        <v>-68342.5434722717</v>
      </c>
      <c r="Y35" s="46" t="n">
        <f aca="false">Y25+Y33</f>
        <v>-66283.5479795301</v>
      </c>
      <c r="Z35" s="46" t="n">
        <f aca="false">Z25+Z33</f>
        <v>-70022.3529256699</v>
      </c>
      <c r="AA35" s="88" t="n">
        <f aca="false">AA25+AA33</f>
        <v>-80294.4072862708</v>
      </c>
      <c r="AB35" s="46" t="n">
        <f aca="false">AB25+AB33</f>
        <v>-86946.078385197</v>
      </c>
      <c r="AC35" s="46" t="n">
        <f aca="false">AC25+AC33</f>
        <v>-105586.432911309</v>
      </c>
      <c r="AD35" s="46" t="n">
        <f aca="false">AD25+AD33</f>
        <v>-131601.801792958</v>
      </c>
      <c r="AE35" s="46" t="n">
        <f aca="false">AE25+AE33</f>
        <v>-129407.326085803</v>
      </c>
      <c r="AF35" s="46" t="n">
        <f aca="false">AF25+AF33</f>
        <v>-137328.488610969</v>
      </c>
      <c r="AG35" s="46" t="n">
        <f aca="false">AG25+AG33</f>
        <v>-139040.249703755</v>
      </c>
      <c r="AH35" s="46" t="n">
        <f aca="false">AH25+AH33</f>
        <v>-162591.737556822</v>
      </c>
      <c r="AI35" s="46" t="n">
        <f aca="false">AI25+AI33</f>
        <v>-159076.425041109</v>
      </c>
      <c r="AJ35" s="46" t="n">
        <f aca="false">AJ25+AJ33</f>
        <v>-167544.152950113</v>
      </c>
      <c r="AK35" s="46" t="n">
        <f aca="false">AK25+AK33</f>
        <v>-162273.786355423</v>
      </c>
      <c r="AL35" s="46" t="n">
        <f aca="false">AL25+AL33</f>
        <v>-172209.079194337</v>
      </c>
      <c r="AM35" s="88" t="n">
        <f aca="false">AM25+AM33</f>
        <v>-179462.163798595</v>
      </c>
      <c r="AN35" s="46" t="n">
        <f aca="false">AN25+AN33</f>
        <v>-173162.96707758</v>
      </c>
      <c r="AO35" s="46" t="n">
        <f aca="false">AO25+AO33</f>
        <v>-196796.520148033</v>
      </c>
      <c r="AP35" s="46" t="n">
        <f aca="false">AP25+AP33</f>
        <v>-198676.07479022</v>
      </c>
      <c r="AQ35" s="46" t="n">
        <f aca="false">AQ25+AQ33</f>
        <v>-202245.940987902</v>
      </c>
      <c r="AR35" s="46" t="n">
        <f aca="false">AR25+AR33</f>
        <v>-199605.580536509</v>
      </c>
      <c r="AS35" s="46" t="n">
        <f aca="false">AS25+AS33</f>
        <v>-213130.545273354</v>
      </c>
      <c r="AT35" s="46" t="n">
        <f aca="false">AT25+AT33</f>
        <v>-245183.326839725</v>
      </c>
      <c r="AU35" s="46" t="n">
        <f aca="false">AU25+AU33</f>
        <v>-254968.405852401</v>
      </c>
      <c r="AV35" s="46" t="n">
        <f aca="false">AV25+AV33</f>
        <v>-246756.566653266</v>
      </c>
      <c r="AW35" s="46" t="n">
        <f aca="false">AW25+AW33</f>
        <v>-244174.67893525</v>
      </c>
      <c r="AX35" s="46" t="n">
        <f aca="false">AX25+AX33</f>
        <v>-273977.074678912</v>
      </c>
      <c r="AY35" s="88" t="n">
        <f aca="false">AY25+AY33</f>
        <v>-3593987.27754403</v>
      </c>
      <c r="AZ35" s="46" t="n">
        <f aca="false">AZ25+AZ33</f>
        <v>-4411533.76449905</v>
      </c>
      <c r="BA35" s="46" t="n">
        <f aca="false">BA25+BA33</f>
        <v>-5434642.37989664</v>
      </c>
      <c r="BB35" s="46" t="n">
        <f aca="false">BB25+BB33</f>
        <v>-6359148.52702734</v>
      </c>
      <c r="BC35" s="46" t="n">
        <f aca="false">BC25+BC33</f>
        <v>-7198092.26216094</v>
      </c>
      <c r="BD35" s="46" t="n">
        <f aca="false">BD25+BD33</f>
        <v>-8576305.64687407</v>
      </c>
      <c r="BE35" s="46" t="n">
        <f aca="false">BE25+BE33</f>
        <v>-9306120.41890781</v>
      </c>
      <c r="BF35" s="46" t="n">
        <f aca="false">BF25+BF33</f>
        <v>-10051342.0048827</v>
      </c>
    </row>
    <row r="36" customFormat="false" ht="15" hidden="false" customHeight="false" outlineLevel="0" collapsed="false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8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8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8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89"/>
      <c r="AZ36" s="9"/>
      <c r="BA36" s="9"/>
      <c r="BB36" s="9"/>
      <c r="BC36" s="9"/>
      <c r="BD36" s="9"/>
      <c r="BE36" s="9"/>
      <c r="BF36" s="9"/>
    </row>
    <row r="37" customFormat="false" ht="15" hidden="false" customHeight="false" outlineLevel="0" collapsed="false">
      <c r="B37" s="47" t="s">
        <v>136</v>
      </c>
      <c r="C37" s="48" t="n">
        <f aca="false">C18+C35</f>
        <v>-49626.51</v>
      </c>
      <c r="D37" s="48" t="n">
        <f aca="false">D18+D35</f>
        <v>-44492.7</v>
      </c>
      <c r="E37" s="48" t="n">
        <f aca="false">E18+E35</f>
        <v>-48840.04</v>
      </c>
      <c r="F37" s="48" t="n">
        <f aca="false">F18+F35</f>
        <v>-42841.67</v>
      </c>
      <c r="G37" s="48" t="n">
        <f aca="false">G18+G35</f>
        <v>-41474.46</v>
      </c>
      <c r="H37" s="48" t="n">
        <f aca="false">H18+H35</f>
        <v>-36712.47</v>
      </c>
      <c r="I37" s="48" t="n">
        <f aca="false">I18+I35</f>
        <v>-24841.08</v>
      </c>
      <c r="J37" s="48" t="n">
        <f aca="false">J18+J35</f>
        <v>-36229.28</v>
      </c>
      <c r="K37" s="48" t="n">
        <f aca="false">K18+K35</f>
        <v>-38472.07</v>
      </c>
      <c r="L37" s="48" t="n">
        <f aca="false">L18+L35</f>
        <v>-40263.97</v>
      </c>
      <c r="M37" s="48" t="n">
        <f aca="false">M18+M35</f>
        <v>-57366.11</v>
      </c>
      <c r="N37" s="48" t="n">
        <f aca="false">N18+N35</f>
        <v>-56879.52</v>
      </c>
      <c r="O37" s="96" t="n">
        <f aca="false">O18+O35</f>
        <v>-42993.41</v>
      </c>
      <c r="P37" s="48" t="n">
        <f aca="false">P18+P35</f>
        <v>-43186.22</v>
      </c>
      <c r="Q37" s="48" t="n">
        <f aca="false">Q18+Q35</f>
        <v>-91423.85</v>
      </c>
      <c r="R37" s="48" t="n">
        <f aca="false">R18+R35</f>
        <v>-36767.67</v>
      </c>
      <c r="S37" s="48" t="n">
        <f aca="false">S18+S35</f>
        <v>-38472</v>
      </c>
      <c r="T37" s="48" t="n">
        <f aca="false">T18+T35</f>
        <v>-38086.57</v>
      </c>
      <c r="U37" s="48" t="n">
        <f aca="false">U18+U35</f>
        <v>-16977.74</v>
      </c>
      <c r="V37" s="48" t="n">
        <f aca="false">V18+V35</f>
        <v>-13754.87</v>
      </c>
      <c r="W37" s="48" t="n">
        <f aca="false">W18+W35</f>
        <v>-19478.39</v>
      </c>
      <c r="X37" s="48" t="n">
        <f aca="false">X18+X35</f>
        <v>-20164.9007754439</v>
      </c>
      <c r="Y37" s="48" t="n">
        <f aca="false">Y18+Y35</f>
        <v>-24895.9683133874</v>
      </c>
      <c r="Z37" s="48" t="n">
        <f aca="false">Z18+Z35</f>
        <v>-16489.7259128363</v>
      </c>
      <c r="AA37" s="96" t="n">
        <f aca="false">AA18+AA35</f>
        <v>-17646.8898448127</v>
      </c>
      <c r="AB37" s="48" t="n">
        <f aca="false">AB18+AB35</f>
        <v>-27209.6255710764</v>
      </c>
      <c r="AC37" s="48" t="n">
        <f aca="false">AC18+AC35</f>
        <v>-26233.2095753479</v>
      </c>
      <c r="AD37" s="48" t="n">
        <f aca="false">AD18+AD35</f>
        <v>-42501.8534521107</v>
      </c>
      <c r="AE37" s="48" t="n">
        <f aca="false">AE18+AE35</f>
        <v>-42874.9547658869</v>
      </c>
      <c r="AF37" s="48" t="n">
        <f aca="false">AF18+AF35</f>
        <v>-49929.8231863046</v>
      </c>
      <c r="AG37" s="48" t="n">
        <f aca="false">AG18+AG35</f>
        <v>-46438.6112655287</v>
      </c>
      <c r="AH37" s="48" t="n">
        <f aca="false">AH18+AH35</f>
        <v>-37287.4460880838</v>
      </c>
      <c r="AI37" s="48" t="n">
        <f aca="false">AI18+AI35</f>
        <v>-33440.1738764997</v>
      </c>
      <c r="AJ37" s="48" t="n">
        <f aca="false">AJ18+AJ35</f>
        <v>-43072.9871986536</v>
      </c>
      <c r="AK37" s="48" t="n">
        <f aca="false">AK18+AK35</f>
        <v>-48646.3042563221</v>
      </c>
      <c r="AL37" s="48" t="n">
        <f aca="false">AL18+AL35</f>
        <v>-34796.1953267976</v>
      </c>
      <c r="AM37" s="96" t="n">
        <f aca="false">AM18+AM35</f>
        <v>-26709.4590090097</v>
      </c>
      <c r="AN37" s="48" t="n">
        <f aca="false">AN18+AN35</f>
        <v>-30110.7940450585</v>
      </c>
      <c r="AO37" s="48" t="n">
        <f aca="false">AO18+AO35</f>
        <v>-23140.3411772655</v>
      </c>
      <c r="AP37" s="48" t="n">
        <f aca="false">AP18+AP35</f>
        <v>-16265.767523422</v>
      </c>
      <c r="AQ37" s="48" t="n">
        <f aca="false">AQ18+AQ35</f>
        <v>-21947.2846212334</v>
      </c>
      <c r="AR37" s="48" t="n">
        <f aca="false">AR18+AR35</f>
        <v>-21990.6590915695</v>
      </c>
      <c r="AS37" s="48" t="n">
        <f aca="false">AS18+AS35</f>
        <v>-22293.5509711911</v>
      </c>
      <c r="AT37" s="48" t="n">
        <f aca="false">AT18+AT35</f>
        <v>2192.95546959649</v>
      </c>
      <c r="AU37" s="48" t="n">
        <f aca="false">AU18+AU35</f>
        <v>-1143.84918042447</v>
      </c>
      <c r="AV37" s="48" t="n">
        <f aca="false">AV18+AV35</f>
        <v>-4909.1666181667</v>
      </c>
      <c r="AW37" s="48" t="n">
        <f aca="false">AW18+AW35</f>
        <v>-22921.2498618413</v>
      </c>
      <c r="AX37" s="48" t="n">
        <f aca="false">AX18+AX35</f>
        <v>-6248.21943332156</v>
      </c>
      <c r="AY37" s="96" t="n">
        <f aca="false">AY18+AY35</f>
        <v>403820.917759329</v>
      </c>
      <c r="AZ37" s="48" t="n">
        <f aca="false">AZ18+AZ35</f>
        <v>774130.594584581</v>
      </c>
      <c r="BA37" s="48" t="n">
        <f aca="false">BA18+BA35</f>
        <v>830111.045090691</v>
      </c>
      <c r="BB37" s="48" t="n">
        <f aca="false">BB18+BB35</f>
        <v>1152672.8377276</v>
      </c>
      <c r="BC37" s="48" t="n">
        <f aca="false">BC18+BC35</f>
        <v>1562047.39550157</v>
      </c>
      <c r="BD37" s="48" t="n">
        <f aca="false">BD18+BD35</f>
        <v>1950236.44892455</v>
      </c>
      <c r="BE37" s="48" t="n">
        <f aca="false">BE18+BE35</f>
        <v>3593913.61014104</v>
      </c>
      <c r="BF37" s="48" t="n">
        <f aca="false">BF18+BF35</f>
        <v>5475979.34317396</v>
      </c>
    </row>
    <row r="38" customFormat="false" ht="15" hidden="false" customHeight="false" outlineLevel="0" collapsed="false">
      <c r="B38" s="90" t="s">
        <v>232</v>
      </c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2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2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2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2"/>
      <c r="AZ38" s="91"/>
      <c r="BA38" s="91"/>
      <c r="BB38" s="91"/>
      <c r="BC38" s="91"/>
      <c r="BD38" s="91"/>
      <c r="BE38" s="91"/>
      <c r="BF38" s="91"/>
    </row>
    <row r="39" customFormat="false" ht="15" hidden="false" customHeight="false" outlineLevel="0" collapsed="false">
      <c r="B39" s="90" t="s">
        <v>233</v>
      </c>
      <c r="C39" s="50" t="n">
        <f aca="false">'⑲ Corporate P&amp;L'!$C$7*(1+'⑲ Corporate P&amp;L'!$C$13)</f>
        <v>10144.75</v>
      </c>
      <c r="D39" s="50" t="n">
        <f aca="false">('⑲ Corporate P&amp;L'!$C$7+'⑲ Corporate P&amp;L'!$C$8)*(1+'⑲ Corporate P&amp;L'!$C$31+'⑲ Corporate P&amp;L'!$C$32)</f>
        <v>13444.05684</v>
      </c>
      <c r="E39" s="50" t="n">
        <f aca="false">('⑲ Corporate P&amp;L'!$C$7+'⑲ Corporate P&amp;L'!$C$8)*(1+'⑲ Corporate P&amp;L'!$C$31+'⑲ Corporate P&amp;L'!$C$32)</f>
        <v>13444.05684</v>
      </c>
      <c r="F39" s="50" t="n">
        <f aca="false">('⑲ Corporate P&amp;L'!$C$7+'⑲ Corporate P&amp;L'!$C$8)*(1+'⑲ Corporate P&amp;L'!$C$31+'⑲ Corporate P&amp;L'!$C$32)</f>
        <v>13444.05684</v>
      </c>
      <c r="G39" s="50" t="n">
        <f aca="false">('⑲ Corporate P&amp;L'!$C$7+'⑲ Corporate P&amp;L'!$C$8)*(1+'⑲ Corporate P&amp;L'!$C$31+'⑲ Corporate P&amp;L'!$C$32)</f>
        <v>13444.05684</v>
      </c>
      <c r="H39" s="50" t="n">
        <f aca="false">('⑲ Corporate P&amp;L'!$C$7+'⑲ Corporate P&amp;L'!$C$8)*(1+'⑲ Corporate P&amp;L'!$C$31+'⑲ Corporate P&amp;L'!$C$32)</f>
        <v>13444.05684</v>
      </c>
      <c r="I39" s="50" t="n">
        <f aca="false">('⑲ Corporate P&amp;L'!$C$7+'⑲ Corporate P&amp;L'!$C$8)*(1+'⑲ Corporate P&amp;L'!$C$31+'⑲ Corporate P&amp;L'!$C$32)</f>
        <v>13444.05684</v>
      </c>
      <c r="J39" s="50" t="n">
        <f aca="false">('⑲ Corporate P&amp;L'!$C$7+'⑲ Corporate P&amp;L'!$C$8)*(1+'⑲ Corporate P&amp;L'!$C$31+'⑲ Corporate P&amp;L'!$C$32)</f>
        <v>13444.05684</v>
      </c>
      <c r="K39" s="50" t="n">
        <f aca="false">('⑲ Corporate P&amp;L'!$C$7+'⑲ Corporate P&amp;L'!$C$8)*(1+'⑲ Corporate P&amp;L'!$C$31+'⑲ Corporate P&amp;L'!$C$32)</f>
        <v>13444.05684</v>
      </c>
      <c r="L39" s="50" t="n">
        <f aca="false">('⑲ Corporate P&amp;L'!$C$7+'⑲ Corporate P&amp;L'!$C$8)*(1+'⑲ Corporate P&amp;L'!$C$31+'⑲ Corporate P&amp;L'!$C$32)</f>
        <v>13444.05684</v>
      </c>
      <c r="M39" s="50" t="n">
        <f aca="false">('⑲ Corporate P&amp;L'!$C$7+'⑲ Corporate P&amp;L'!$C$8)*(1+'⑲ Corporate P&amp;L'!$C$31+'⑲ Corporate P&amp;L'!$C$32)</f>
        <v>13444.05684</v>
      </c>
      <c r="N39" s="50" t="n">
        <f aca="false">('⑲ Corporate P&amp;L'!$C$7+'⑲ Corporate P&amp;L'!$C$8)*(1+'⑲ Corporate P&amp;L'!$C$31+'⑲ Corporate P&amp;L'!$C$32)</f>
        <v>13444.05684</v>
      </c>
      <c r="O39" s="97" t="n">
        <f aca="false">('⑲ Corporate P&amp;L'!$C$7+'⑲ Corporate P&amp;L'!$C$8)*(1+'⑲ Corporate P&amp;L'!$C$31+'⑲ Corporate P&amp;L'!$C$32)</f>
        <v>13444.05684</v>
      </c>
      <c r="P39" s="50" t="n">
        <f aca="false">('⑲ Corporate P&amp;L'!$C$7+'⑲ Corporate P&amp;L'!$C$8)*(1+'⑲ Corporate P&amp;L'!$C$31+'⑲ Corporate P&amp;L'!$C$32)</f>
        <v>13444.05684</v>
      </c>
      <c r="Q39" s="50" t="n">
        <f aca="false">('⑲ Corporate P&amp;L'!$C$7+'⑲ Corporate P&amp;L'!$C$8)*(1+'⑲ Corporate P&amp;L'!$C$31+'⑲ Corporate P&amp;L'!$C$32)</f>
        <v>13444.05684</v>
      </c>
      <c r="R39" s="50" t="n">
        <f aca="false">('⑲ Corporate P&amp;L'!$C$7+'⑲ Corporate P&amp;L'!$C$8)*(1+'⑲ Corporate P&amp;L'!$C$31+'⑲ Corporate P&amp;L'!$C$32)</f>
        <v>13444.05684</v>
      </c>
      <c r="S39" s="50" t="n">
        <f aca="false">('⑲ Corporate P&amp;L'!$C$7+'⑲ Corporate P&amp;L'!$C$8)*(1+'⑲ Corporate P&amp;L'!$C$31+'⑲ Corporate P&amp;L'!$C$32)</f>
        <v>13444.05684</v>
      </c>
      <c r="T39" s="50" t="n">
        <f aca="false">('⑲ Corporate P&amp;L'!$C$7+'⑲ Corporate P&amp;L'!$C$8)*(1+'⑲ Corporate P&amp;L'!$C$31+'⑲ Corporate P&amp;L'!$C$32)</f>
        <v>13444.05684</v>
      </c>
      <c r="U39" s="50" t="n">
        <f aca="false">('⑲ Corporate P&amp;L'!$C$7+'⑲ Corporate P&amp;L'!$C$8)*(1+'⑲ Corporate P&amp;L'!$C$31+'⑲ Corporate P&amp;L'!$C$32)</f>
        <v>13444.05684</v>
      </c>
      <c r="V39" s="50" t="n">
        <f aca="false">('⑲ Corporate P&amp;L'!$C$7+'⑲ Corporate P&amp;L'!$C$8)*(1+'⑲ Corporate P&amp;L'!$C$31+'⑲ Corporate P&amp;L'!$C$32)</f>
        <v>13444.05684</v>
      </c>
      <c r="W39" s="50" t="n">
        <f aca="false">('⑲ Corporate P&amp;L'!$C$7+'⑲ Corporate P&amp;L'!$C$8)*(1+'⑲ Corporate P&amp;L'!$C$31+'⑲ Corporate P&amp;L'!$C$32)</f>
        <v>13444.05684</v>
      </c>
      <c r="X39" s="50" t="n">
        <f aca="false">('⑲ Corporate P&amp;L'!$C$7+'⑲ Corporate P&amp;L'!$C$8)*(1+'⑲ Corporate P&amp;L'!$C$31+'⑲ Corporate P&amp;L'!$C$32)</f>
        <v>13444.05684</v>
      </c>
      <c r="Y39" s="50" t="n">
        <f aca="false">('⑲ Corporate P&amp;L'!$C$7+'⑲ Corporate P&amp;L'!$C$8)*(1+'⑲ Corporate P&amp;L'!$C$31+'⑲ Corporate P&amp;L'!$C$32)</f>
        <v>13444.05684</v>
      </c>
      <c r="Z39" s="50" t="n">
        <f aca="false">('⑲ Corporate P&amp;L'!$C$7+'⑲ Corporate P&amp;L'!$C$8)*(1+'⑲ Corporate P&amp;L'!$C$31+'⑲ Corporate P&amp;L'!$C$32)</f>
        <v>13444.05684</v>
      </c>
      <c r="AA39" s="97" t="n">
        <f aca="false">('⑲ Corporate P&amp;L'!$C$7+'⑲ Corporate P&amp;L'!$C$8)*(1+'⑲ Corporate P&amp;L'!$C$31+'⑲ Corporate P&amp;L'!$C$32)</f>
        <v>13444.05684</v>
      </c>
      <c r="AB39" s="50" t="n">
        <f aca="false">('⑲ Corporate P&amp;L'!$C$7+'⑲ Corporate P&amp;L'!$C$8)*(1+'⑲ Corporate P&amp;L'!$C$31+'⑲ Corporate P&amp;L'!$C$32)</f>
        <v>13444.05684</v>
      </c>
      <c r="AC39" s="50" t="n">
        <f aca="false">('⑲ Corporate P&amp;L'!$C$7+'⑲ Corporate P&amp;L'!$C$8)*(1+'⑲ Corporate P&amp;L'!$C$31+'⑲ Corporate P&amp;L'!$C$32)</f>
        <v>13444.05684</v>
      </c>
      <c r="AD39" s="50" t="n">
        <f aca="false">('⑲ Corporate P&amp;L'!$C$7+'⑲ Corporate P&amp;L'!$C$8)*(1+'⑲ Corporate P&amp;L'!$C$31+'⑲ Corporate P&amp;L'!$C$32)</f>
        <v>13444.05684</v>
      </c>
      <c r="AE39" s="50" t="n">
        <f aca="false">('⑲ Corporate P&amp;L'!$C$7+'⑲ Corporate P&amp;L'!$C$8)*(1+'⑲ Corporate P&amp;L'!$C$31+'⑲ Corporate P&amp;L'!$C$32)</f>
        <v>13444.05684</v>
      </c>
      <c r="AF39" s="50" t="n">
        <f aca="false">('⑲ Corporate P&amp;L'!$C$7+'⑲ Corporate P&amp;L'!$C$8)*(1+'⑲ Corporate P&amp;L'!$C$31+'⑲ Corporate P&amp;L'!$C$32)</f>
        <v>13444.05684</v>
      </c>
      <c r="AG39" s="50" t="n">
        <f aca="false">('⑲ Corporate P&amp;L'!$C$7+'⑲ Corporate P&amp;L'!$C$8)*(1+'⑲ Corporate P&amp;L'!$C$31+'⑲ Corporate P&amp;L'!$C$32)</f>
        <v>13444.05684</v>
      </c>
      <c r="AH39" s="50" t="n">
        <f aca="false">('⑲ Corporate P&amp;L'!$C$7+'⑲ Corporate P&amp;L'!$C$8)*(1+'⑲ Corporate P&amp;L'!$C$31+'⑲ Corporate P&amp;L'!$C$32)</f>
        <v>13444.05684</v>
      </c>
      <c r="AI39" s="50" t="n">
        <f aca="false">('⑲ Corporate P&amp;L'!$C$7+'⑲ Corporate P&amp;L'!$C$8)*(1+'⑲ Corporate P&amp;L'!$C$31+'⑲ Corporate P&amp;L'!$C$32)</f>
        <v>13444.05684</v>
      </c>
      <c r="AJ39" s="50" t="n">
        <f aca="false">('⑲ Corporate P&amp;L'!$C$7+'⑲ Corporate P&amp;L'!$C$8)*(1+'⑲ Corporate P&amp;L'!$C$31+'⑲ Corporate P&amp;L'!$C$32)</f>
        <v>13444.05684</v>
      </c>
      <c r="AK39" s="50" t="n">
        <f aca="false">('⑲ Corporate P&amp;L'!$C$7+'⑲ Corporate P&amp;L'!$C$8)*(1+'⑲ Corporate P&amp;L'!$C$31+'⑲ Corporate P&amp;L'!$C$32)</f>
        <v>13444.05684</v>
      </c>
      <c r="AL39" s="50" t="n">
        <f aca="false">('⑲ Corporate P&amp;L'!$C$7+'⑲ Corporate P&amp;L'!$C$8)*(1+'⑲ Corporate P&amp;L'!$C$31+'⑲ Corporate P&amp;L'!$C$32)</f>
        <v>13444.05684</v>
      </c>
      <c r="AM39" s="97" t="n">
        <f aca="false">('⑲ Corporate P&amp;L'!$C$7+'⑲ Corporate P&amp;L'!$C$8)*(1+'⑲ Corporate P&amp;L'!$C$31+'⑲ Corporate P&amp;L'!$C$32)</f>
        <v>13444.05684</v>
      </c>
      <c r="AN39" s="50" t="n">
        <f aca="false">('⑲ Corporate P&amp;L'!$C$7+'⑲ Corporate P&amp;L'!$C$8)*(1+'⑲ Corporate P&amp;L'!$C$31+'⑲ Corporate P&amp;L'!$C$32)</f>
        <v>13444.05684</v>
      </c>
      <c r="AO39" s="50" t="n">
        <f aca="false">('⑲ Corporate P&amp;L'!$C$7+'⑲ Corporate P&amp;L'!$C$8)*(1+'⑲ Corporate P&amp;L'!$C$31+'⑲ Corporate P&amp;L'!$C$32)</f>
        <v>13444.05684</v>
      </c>
      <c r="AP39" s="50" t="n">
        <f aca="false">('⑲ Corporate P&amp;L'!$C$7+'⑲ Corporate P&amp;L'!$C$8)*(1+'⑲ Corporate P&amp;L'!$C$31+'⑲ Corporate P&amp;L'!$C$32)</f>
        <v>13444.05684</v>
      </c>
      <c r="AQ39" s="50" t="n">
        <f aca="false">('⑲ Corporate P&amp;L'!$C$7+'⑲ Corporate P&amp;L'!$C$8)*(1+'⑲ Corporate P&amp;L'!$C$31+'⑲ Corporate P&amp;L'!$C$32)</f>
        <v>13444.05684</v>
      </c>
      <c r="AR39" s="50" t="n">
        <f aca="false">('⑲ Corporate P&amp;L'!$C$7+'⑲ Corporate P&amp;L'!$C$8)*(1+'⑲ Corporate P&amp;L'!$C$31+'⑲ Corporate P&amp;L'!$C$32)</f>
        <v>13444.05684</v>
      </c>
      <c r="AS39" s="50" t="n">
        <f aca="false">('⑲ Corporate P&amp;L'!$C$7+'⑲ Corporate P&amp;L'!$C$8)*(1+'⑲ Corporate P&amp;L'!$C$31+'⑲ Corporate P&amp;L'!$C$32)</f>
        <v>13444.05684</v>
      </c>
      <c r="AT39" s="50" t="n">
        <f aca="false">('⑲ Corporate P&amp;L'!$C$7+'⑲ Corporate P&amp;L'!$C$8)*(1+'⑲ Corporate P&amp;L'!$C$31+'⑲ Corporate P&amp;L'!$C$32)</f>
        <v>13444.05684</v>
      </c>
      <c r="AU39" s="50" t="n">
        <f aca="false">('⑲ Corporate P&amp;L'!$C$7+'⑲ Corporate P&amp;L'!$C$8)*(1+'⑲ Corporate P&amp;L'!$C$31+'⑲ Corporate P&amp;L'!$C$32)</f>
        <v>13444.05684</v>
      </c>
      <c r="AV39" s="50" t="n">
        <f aca="false">('⑲ Corporate P&amp;L'!$C$7+'⑲ Corporate P&amp;L'!$C$8)*(1+'⑲ Corporate P&amp;L'!$C$31+'⑲ Corporate P&amp;L'!$C$32)</f>
        <v>13444.05684</v>
      </c>
      <c r="AW39" s="50" t="n">
        <f aca="false">('⑲ Corporate P&amp;L'!$C$7+'⑲ Corporate P&amp;L'!$C$8)*(1+'⑲ Corporate P&amp;L'!$C$31+'⑲ Corporate P&amp;L'!$C$32)</f>
        <v>13444.05684</v>
      </c>
      <c r="AX39" s="50" t="n">
        <f aca="false">('⑲ Corporate P&amp;L'!$C$7+'⑲ Corporate P&amp;L'!$C$8)*(1+'⑲ Corporate P&amp;L'!$C$31+'⑲ Corporate P&amp;L'!$C$32)</f>
        <v>13444.05684</v>
      </c>
      <c r="AY39" s="97" t="n">
        <f aca="false">('⑲ Corporate P&amp;L'!$C$7+'⑲ Corporate P&amp;L'!$C$8)*(1+'⑲ Corporate P&amp;L'!$C$31+'⑲ Corporate P&amp;L'!$C$32)</f>
        <v>13444.05684</v>
      </c>
      <c r="AZ39" s="50" t="n">
        <f aca="false">('⑲ Corporate P&amp;L'!$C$7+'⑲ Corporate P&amp;L'!$C$8)*(1+'⑲ Corporate P&amp;L'!$C$31+'⑲ Corporate P&amp;L'!$C$32)</f>
        <v>13444.05684</v>
      </c>
      <c r="BA39" s="50" t="n">
        <f aca="false">('⑲ Corporate P&amp;L'!$C$7+'⑲ Corporate P&amp;L'!$C$8)*(1+'⑲ Corporate P&amp;L'!$C$31+'⑲ Corporate P&amp;L'!$C$32)</f>
        <v>13444.05684</v>
      </c>
      <c r="BB39" s="50" t="n">
        <f aca="false">('⑲ Corporate P&amp;L'!$C$7+'⑲ Corporate P&amp;L'!$C$8)*(1+'⑲ Corporate P&amp;L'!$C$31+'⑲ Corporate P&amp;L'!$C$32)</f>
        <v>13444.05684</v>
      </c>
      <c r="BC39" s="50" t="n">
        <f aca="false">('⑲ Corporate P&amp;L'!$C$7+'⑲ Corporate P&amp;L'!$C$8)*(1+'⑲ Corporate P&amp;L'!$C$31+'⑲ Corporate P&amp;L'!$C$32)</f>
        <v>13444.05684</v>
      </c>
      <c r="BD39" s="50" t="n">
        <f aca="false">('⑲ Corporate P&amp;L'!$C$7+'⑲ Corporate P&amp;L'!$C$8)*(1+'⑲ Corporate P&amp;L'!$C$31+'⑲ Corporate P&amp;L'!$C$32)</f>
        <v>13444.05684</v>
      </c>
      <c r="BE39" s="50" t="n">
        <f aca="false">('⑲ Corporate P&amp;L'!$C$7+'⑲ Corporate P&amp;L'!$C$8)*(1+'⑲ Corporate P&amp;L'!$C$31+'⑲ Corporate P&amp;L'!$C$32)</f>
        <v>13444.05684</v>
      </c>
      <c r="BF39" s="50" t="n">
        <f aca="false">('⑲ Corporate P&amp;L'!$C$7+'⑲ Corporate P&amp;L'!$C$8)*(1+'⑲ Corporate P&amp;L'!$C$31+'⑲ Corporate P&amp;L'!$C$32)</f>
        <v>13444.05684</v>
      </c>
    </row>
    <row r="40" customFormat="false" ht="15" hidden="false" customHeight="false" outlineLevel="0" collapsed="false">
      <c r="B40" s="98" t="s">
        <v>234</v>
      </c>
      <c r="C40" s="99" t="n">
        <f aca="false">C37+C39</f>
        <v>-39481.76</v>
      </c>
      <c r="D40" s="99" t="n">
        <f aca="false">D37+D39</f>
        <v>-31048.64316</v>
      </c>
      <c r="E40" s="99" t="n">
        <f aca="false">E37+E39</f>
        <v>-35395.98316</v>
      </c>
      <c r="F40" s="99" t="n">
        <f aca="false">F37+F39</f>
        <v>-29397.61316</v>
      </c>
      <c r="G40" s="99" t="n">
        <f aca="false">G37+G39</f>
        <v>-28030.40316</v>
      </c>
      <c r="H40" s="99" t="n">
        <f aca="false">H37+H39</f>
        <v>-23268.41316</v>
      </c>
      <c r="I40" s="99" t="n">
        <f aca="false">I37+I39</f>
        <v>-11397.02316</v>
      </c>
      <c r="J40" s="99" t="n">
        <f aca="false">J37+J39</f>
        <v>-22785.22316</v>
      </c>
      <c r="K40" s="99" t="n">
        <f aca="false">K37+K39</f>
        <v>-25028.01316</v>
      </c>
      <c r="L40" s="99" t="n">
        <f aca="false">L37+L39</f>
        <v>-26819.91316</v>
      </c>
      <c r="M40" s="99" t="n">
        <f aca="false">M37+M39</f>
        <v>-43922.05316</v>
      </c>
      <c r="N40" s="99" t="n">
        <f aca="false">N37+N39</f>
        <v>-43435.46316</v>
      </c>
      <c r="O40" s="100" t="n">
        <f aca="false">O37+O39</f>
        <v>-29549.35316</v>
      </c>
      <c r="P40" s="99" t="n">
        <f aca="false">P37+P39</f>
        <v>-29742.16316</v>
      </c>
      <c r="Q40" s="99" t="n">
        <f aca="false">Q37+Q39</f>
        <v>-77979.79316</v>
      </c>
      <c r="R40" s="99" t="n">
        <f aca="false">R37+R39</f>
        <v>-23323.61316</v>
      </c>
      <c r="S40" s="99" t="n">
        <f aca="false">S37+S39</f>
        <v>-25027.94316</v>
      </c>
      <c r="T40" s="99" t="n">
        <f aca="false">T37+T39</f>
        <v>-24642.51316</v>
      </c>
      <c r="U40" s="99" t="n">
        <f aca="false">U37+U39</f>
        <v>-3533.68316</v>
      </c>
      <c r="V40" s="99" t="n">
        <f aca="false">V37+V39</f>
        <v>-310.813159999994</v>
      </c>
      <c r="W40" s="99" t="n">
        <f aca="false">W37+W39</f>
        <v>-6034.33316</v>
      </c>
      <c r="X40" s="99" t="n">
        <f aca="false">X37+X39</f>
        <v>-6720.84393544391</v>
      </c>
      <c r="Y40" s="99" t="n">
        <f aca="false">Y37+Y39</f>
        <v>-11451.9114733874</v>
      </c>
      <c r="Z40" s="99" t="n">
        <f aca="false">Z37+Z39</f>
        <v>-3045.66907283627</v>
      </c>
      <c r="AA40" s="100" t="n">
        <f aca="false">AA37+AA39</f>
        <v>-4202.83300481274</v>
      </c>
      <c r="AB40" s="99" t="n">
        <f aca="false">AB37+AB39</f>
        <v>-13765.5687310764</v>
      </c>
      <c r="AC40" s="99" t="n">
        <f aca="false">AC37+AC39</f>
        <v>-12789.1527353479</v>
      </c>
      <c r="AD40" s="99" t="n">
        <f aca="false">AD37+AD39</f>
        <v>-29057.7966121107</v>
      </c>
      <c r="AE40" s="99" t="n">
        <f aca="false">AE37+AE39</f>
        <v>-29430.8979258869</v>
      </c>
      <c r="AF40" s="99" t="n">
        <f aca="false">AF37+AF39</f>
        <v>-36485.7663463046</v>
      </c>
      <c r="AG40" s="99" t="n">
        <f aca="false">AG37+AG39</f>
        <v>-32994.5544255287</v>
      </c>
      <c r="AH40" s="99" t="n">
        <f aca="false">AH37+AH39</f>
        <v>-23843.3892480838</v>
      </c>
      <c r="AI40" s="99" t="n">
        <f aca="false">AI37+AI39</f>
        <v>-19996.1170364997</v>
      </c>
      <c r="AJ40" s="99" t="n">
        <f aca="false">AJ37+AJ39</f>
        <v>-29628.9303586536</v>
      </c>
      <c r="AK40" s="99" t="n">
        <f aca="false">AK37+AK39</f>
        <v>-35202.2474163221</v>
      </c>
      <c r="AL40" s="99" t="n">
        <f aca="false">AL37+AL39</f>
        <v>-21352.1384867976</v>
      </c>
      <c r="AM40" s="100" t="n">
        <f aca="false">AM37+AM39</f>
        <v>-13265.4021690097</v>
      </c>
      <c r="AN40" s="99" t="n">
        <f aca="false">AN37+AN39</f>
        <v>-16666.7372050585</v>
      </c>
      <c r="AO40" s="99" t="n">
        <f aca="false">AO37+AO39</f>
        <v>-9696.28433726554</v>
      </c>
      <c r="AP40" s="99" t="n">
        <f aca="false">AP37+AP39</f>
        <v>-2821.71068342202</v>
      </c>
      <c r="AQ40" s="99" t="n">
        <f aca="false">AQ37+AQ39</f>
        <v>-8503.22778123344</v>
      </c>
      <c r="AR40" s="99" t="n">
        <f aca="false">AR37+AR39</f>
        <v>-8546.60225156954</v>
      </c>
      <c r="AS40" s="99" t="n">
        <f aca="false">AS37+AS39</f>
        <v>-8849.49413119114</v>
      </c>
      <c r="AT40" s="99" t="n">
        <f aca="false">AT37+AT39</f>
        <v>15637.0123095965</v>
      </c>
      <c r="AU40" s="99" t="n">
        <f aca="false">AU37+AU39</f>
        <v>12300.2076595755</v>
      </c>
      <c r="AV40" s="99" t="n">
        <f aca="false">AV37+AV39</f>
        <v>8534.89022183331</v>
      </c>
      <c r="AW40" s="99" t="n">
        <f aca="false">AW37+AW39</f>
        <v>-9477.19302184129</v>
      </c>
      <c r="AX40" s="99" t="n">
        <f aca="false">AX37+AX39</f>
        <v>7195.83740667844</v>
      </c>
      <c r="AY40" s="100" t="n">
        <f aca="false">AY37+AY39</f>
        <v>417264.974599329</v>
      </c>
      <c r="AZ40" s="99" t="n">
        <f aca="false">AZ37+AZ39</f>
        <v>787574.651424581</v>
      </c>
      <c r="BA40" s="99" t="n">
        <f aca="false">BA37+BA39</f>
        <v>843555.101930691</v>
      </c>
      <c r="BB40" s="99" t="n">
        <f aca="false">BB37+BB39</f>
        <v>1166116.8945676</v>
      </c>
      <c r="BC40" s="99" t="n">
        <f aca="false">BC37+BC39</f>
        <v>1575491.45234157</v>
      </c>
      <c r="BD40" s="99" t="n">
        <f aca="false">BD37+BD39</f>
        <v>1963680.50576455</v>
      </c>
      <c r="BE40" s="99" t="n">
        <f aca="false">BE37+BE39</f>
        <v>3607357.66698104</v>
      </c>
      <c r="BF40" s="99" t="n">
        <f aca="false">BF37+BF39</f>
        <v>5489423.40001395</v>
      </c>
    </row>
    <row r="41" customFormat="false" ht="15" hidden="false" customHeight="false" outlineLevel="0" collapsed="false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8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8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8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89"/>
      <c r="AZ41" s="9"/>
      <c r="BA41" s="9"/>
      <c r="BB41" s="9"/>
      <c r="BC41" s="9"/>
      <c r="BD41" s="9"/>
      <c r="BE41" s="9"/>
      <c r="BF41" s="9"/>
    </row>
    <row r="42" customFormat="false" ht="15" hidden="false" customHeight="false" outlineLevel="0" collapsed="false">
      <c r="B42" s="9" t="s">
        <v>235</v>
      </c>
      <c r="C42" s="40" t="n">
        <v>0</v>
      </c>
      <c r="D42" s="40" t="n">
        <v>0</v>
      </c>
      <c r="E42" s="40" t="n">
        <v>0</v>
      </c>
      <c r="F42" s="40" t="n">
        <v>0</v>
      </c>
      <c r="G42" s="40" t="n">
        <v>0</v>
      </c>
      <c r="H42" s="40" t="n">
        <v>0</v>
      </c>
      <c r="I42" s="40" t="n">
        <v>0</v>
      </c>
      <c r="J42" s="40" t="n">
        <v>0</v>
      </c>
      <c r="K42" s="40" t="n">
        <v>0</v>
      </c>
      <c r="L42" s="40" t="n">
        <v>0</v>
      </c>
      <c r="M42" s="40" t="n">
        <v>0</v>
      </c>
      <c r="N42" s="40" t="n">
        <v>0</v>
      </c>
      <c r="O42" s="84" t="n">
        <v>0</v>
      </c>
      <c r="P42" s="40" t="n">
        <v>0</v>
      </c>
      <c r="Q42" s="40" t="n">
        <v>0</v>
      </c>
      <c r="R42" s="40" t="n">
        <v>0</v>
      </c>
      <c r="S42" s="40" t="n">
        <v>0</v>
      </c>
      <c r="T42" s="40" t="n">
        <v>0</v>
      </c>
      <c r="U42" s="40" t="n">
        <v>0</v>
      </c>
      <c r="V42" s="40" t="n">
        <v>0</v>
      </c>
      <c r="W42" s="40" t="n">
        <v>0</v>
      </c>
      <c r="X42" s="40" t="n">
        <v>0</v>
      </c>
      <c r="Y42" s="40" t="n">
        <v>0</v>
      </c>
      <c r="Z42" s="40" t="n">
        <v>0</v>
      </c>
      <c r="AA42" s="84" t="n">
        <v>0</v>
      </c>
      <c r="AB42" s="40" t="n">
        <v>0</v>
      </c>
      <c r="AC42" s="40" t="n">
        <v>0</v>
      </c>
      <c r="AD42" s="40" t="n">
        <v>0</v>
      </c>
      <c r="AE42" s="40" t="n">
        <v>0</v>
      </c>
      <c r="AF42" s="40" t="n">
        <v>0</v>
      </c>
      <c r="AG42" s="40" t="n">
        <v>0</v>
      </c>
      <c r="AH42" s="40" t="n">
        <v>0</v>
      </c>
      <c r="AI42" s="40" t="n">
        <v>0</v>
      </c>
      <c r="AJ42" s="40" t="n">
        <v>0</v>
      </c>
      <c r="AK42" s="40" t="n">
        <v>0</v>
      </c>
      <c r="AL42" s="40" t="n">
        <v>0</v>
      </c>
      <c r="AM42" s="84" t="n">
        <v>0</v>
      </c>
      <c r="AN42" s="40" t="n">
        <v>0</v>
      </c>
      <c r="AO42" s="40" t="n">
        <v>0</v>
      </c>
      <c r="AP42" s="40" t="n">
        <v>0</v>
      </c>
      <c r="AQ42" s="40" t="n">
        <v>0</v>
      </c>
      <c r="AR42" s="40" t="n">
        <v>0</v>
      </c>
      <c r="AS42" s="40" t="n">
        <v>0</v>
      </c>
      <c r="AT42" s="40" t="n">
        <v>0</v>
      </c>
      <c r="AU42" s="40" t="n">
        <v>0</v>
      </c>
      <c r="AV42" s="40" t="n">
        <v>0</v>
      </c>
      <c r="AW42" s="40" t="n">
        <v>0</v>
      </c>
      <c r="AX42" s="40" t="n">
        <v>0</v>
      </c>
      <c r="AY42" s="84" t="n">
        <v>0</v>
      </c>
      <c r="AZ42" s="40" t="n">
        <v>0</v>
      </c>
      <c r="BA42" s="40" t="n">
        <v>0</v>
      </c>
      <c r="BB42" s="40" t="n">
        <v>0</v>
      </c>
      <c r="BC42" s="40" t="n">
        <v>0</v>
      </c>
      <c r="BD42" s="40" t="n">
        <v>0</v>
      </c>
      <c r="BE42" s="40" t="n">
        <v>0</v>
      </c>
      <c r="BF42" s="40" t="n">
        <v>0</v>
      </c>
    </row>
    <row r="43" customFormat="false" ht="15" hidden="false" customHeight="false" outlineLevel="0" collapsed="false">
      <c r="B43" s="9" t="s">
        <v>236</v>
      </c>
      <c r="C43" s="40" t="n">
        <f aca="false">'Pnl por tienda'!J132</f>
        <v>-2444.04</v>
      </c>
      <c r="D43" s="40" t="n">
        <f aca="false">'Pnl por tienda'!K132</f>
        <v>-2608.67</v>
      </c>
      <c r="E43" s="40" t="n">
        <f aca="false">'Pnl por tienda'!L132</f>
        <v>-3991.91</v>
      </c>
      <c r="F43" s="40" t="n">
        <f aca="false">'Pnl por tienda'!M132</f>
        <v>-4513.7</v>
      </c>
      <c r="G43" s="40" t="n">
        <f aca="false">'Pnl por tienda'!N132</f>
        <v>-4688.12</v>
      </c>
      <c r="H43" s="40" t="n">
        <f aca="false">'Pnl por tienda'!O132</f>
        <v>-4697.25</v>
      </c>
      <c r="I43" s="40" t="n">
        <f aca="false">'Pnl por tienda'!P132</f>
        <v>-4715.31</v>
      </c>
      <c r="J43" s="40" t="n">
        <f aca="false">'Pnl por tienda'!Q132</f>
        <v>-4842.53</v>
      </c>
      <c r="K43" s="40" t="n">
        <f aca="false">'Pnl por tienda'!R132</f>
        <v>-5073.9</v>
      </c>
      <c r="L43" s="40" t="n">
        <f aca="false">'Pnl por tienda'!S132</f>
        <v>-5087.16</v>
      </c>
      <c r="M43" s="40" t="n">
        <f aca="false">'Pnl por tienda'!T132</f>
        <v>-5349.81</v>
      </c>
      <c r="N43" s="40" t="n">
        <f aca="false">'Pnl por tienda'!U132</f>
        <v>-7156.88</v>
      </c>
      <c r="O43" s="84" t="n">
        <f aca="false">'EEFF a septiemrbe'!B31</f>
        <v>-9139.25</v>
      </c>
      <c r="P43" s="40" t="n">
        <f aca="false">'EEFF a septiemrbe'!C31</f>
        <v>-9139.02</v>
      </c>
      <c r="Q43" s="40" t="n">
        <f aca="false">'EEFF a septiemrbe'!D31</f>
        <v>-9140.85</v>
      </c>
      <c r="R43" s="40" t="n">
        <f aca="false">'EEFF a septiemrbe'!E31</f>
        <v>-9152.55</v>
      </c>
      <c r="S43" s="40" t="n">
        <f aca="false">'EEFF a septiemrbe'!F31</f>
        <v>-9194.6</v>
      </c>
      <c r="T43" s="40" t="n">
        <f aca="false">'EEFF a septiemrbe'!G31</f>
        <v>-9447.33</v>
      </c>
      <c r="U43" s="40" t="n">
        <f aca="false">'EEFF a septiemrbe'!H31</f>
        <v>-9934.5</v>
      </c>
      <c r="V43" s="40" t="n">
        <f aca="false">'EEFF a septiemrbe'!I31</f>
        <v>-9541.22</v>
      </c>
      <c r="W43" s="40" t="n">
        <f aca="false">'EEFF a septiemrbe'!J31</f>
        <v>-9529.37</v>
      </c>
      <c r="X43" s="40" t="n">
        <f aca="false">-MIN($C$121,MAX(0,$W$83-$C$121*(((YEAR(X5)-2026)*12+MONTH(X5)-9)-1)))+SUM($X$117:X117)/($C$112*12)</f>
        <v>-9668.36333333333</v>
      </c>
      <c r="Y43" s="40" t="n">
        <f aca="false">-MIN($C$121,MAX(0,$W$83-$C$121*(((YEAR(Y5)-2026)*12+MONTH(Y5)-9)-1)))+SUM($X$117:Y117)/($C$112*12)</f>
        <v>-9668.36333333333</v>
      </c>
      <c r="Z43" s="40" t="n">
        <f aca="false">-MIN($C$121,MAX(0,$W$83-$C$121*(((YEAR(Z5)-2026)*12+MONTH(Z5)-9)-1)))+SUM($X$117:Z117)/($C$112*12)</f>
        <v>-10223.9188888889</v>
      </c>
      <c r="AA43" s="84" t="n">
        <f aca="false">-MIN($C$121,MAX(0,$W$83-$C$121*(((YEAR(AA5)-2026)*12+MONTH(AA5)-9)-1)))+SUM($X$117:AA117)/($C$112*12)</f>
        <v>-11335.03</v>
      </c>
      <c r="AB43" s="40" t="n">
        <f aca="false">-MIN($C$121,MAX(0,$W$83-$C$121*(((YEAR(AB5)-2026)*12+MONTH(AB5)-9)-1)))+SUM($X$117:AB117)/($C$112*12)</f>
        <v>-13001.6966666667</v>
      </c>
      <c r="AC43" s="40" t="n">
        <f aca="false">-MIN($C$121,MAX(0,$W$83-$C$121*(((YEAR(AC5)-2026)*12+MONTH(AC5)-9)-1)))+SUM($X$117:AC117)/($C$112*12)</f>
        <v>-14668.3633333333</v>
      </c>
      <c r="AD43" s="40" t="n">
        <f aca="false">-MIN($C$121,MAX(0,$W$83-$C$121*(((YEAR(AD5)-2026)*12+MONTH(AD5)-9)-1)))+SUM($X$117:AD117)/($C$112*12)</f>
        <v>-15779.4744444444</v>
      </c>
      <c r="AE43" s="40" t="n">
        <f aca="false">-MIN($C$121,MAX(0,$W$83-$C$121*(((YEAR(AE5)-2026)*12+MONTH(AE5)-9)-1)))+SUM($X$117:AE117)/($C$112*12)</f>
        <v>-16890.5855555556</v>
      </c>
      <c r="AF43" s="40" t="n">
        <f aca="false">-MIN($C$121,MAX(0,$W$83-$C$121*(((YEAR(AF5)-2026)*12+MONTH(AF5)-9)-1)))+SUM($X$117:AF117)/($C$112*12)</f>
        <v>-17446.1411111111</v>
      </c>
      <c r="AG43" s="40" t="n">
        <f aca="false">-MIN($C$121,MAX(0,$W$83-$C$121*(((YEAR(AG5)-2026)*12+MONTH(AG5)-9)-1)))+SUM($X$117:AG117)/($C$112*12)</f>
        <v>-18557.2522222222</v>
      </c>
      <c r="AH43" s="40" t="n">
        <f aca="false">-MIN($C$121,MAX(0,$W$83-$C$121*(((YEAR(AH5)-2026)*12+MONTH(AH5)-9)-1)))+SUM($X$117:AH117)/($C$112*12)</f>
        <v>-19112.8077777778</v>
      </c>
      <c r="AI43" s="40" t="n">
        <f aca="false">-MIN($C$121,MAX(0,$W$83-$C$121*(((YEAR(AI5)-2026)*12+MONTH(AI5)-9)-1)))+SUM($X$117:AI117)/($C$112*12)</f>
        <v>-20223.9188888889</v>
      </c>
      <c r="AJ43" s="40" t="n">
        <f aca="false">-MIN($C$121,MAX(0,$W$83-$C$121*(((YEAR(AJ5)-2026)*12+MONTH(AJ5)-9)-1)))+SUM($X$117:AJ117)/($C$112*12)</f>
        <v>-20779.4744444444</v>
      </c>
      <c r="AK43" s="40" t="n">
        <f aca="false">-MIN($C$121,MAX(0,$W$83-$C$121*(((YEAR(AK5)-2026)*12+MONTH(AK5)-9)-1)))+SUM($X$117:AK117)/($C$112*12)</f>
        <v>-21335.03</v>
      </c>
      <c r="AL43" s="40" t="n">
        <f aca="false">-MIN($C$121,MAX(0,$W$83-$C$121*(((YEAR(AL5)-2026)*12+MONTH(AL5)-9)-1)))+SUM($X$117:AL117)/($C$112*12)</f>
        <v>-21335.03</v>
      </c>
      <c r="AM43" s="84" t="n">
        <f aca="false">-MIN($C$121,MAX(0,$W$83-$C$121*(((YEAR(AM5)-2026)*12+MONTH(AM5)-9)-1)))+SUM($X$117:AM117)/($C$112*12)</f>
        <v>-21335.03</v>
      </c>
      <c r="AN43" s="40" t="n">
        <f aca="false">-MIN($C$121,MAX(0,$W$83-$C$121*(((YEAR(AN5)-2026)*12+MONTH(AN5)-9)-1)))+SUM($X$117:AN117)/($C$112*12)</f>
        <v>-21890.5855555556</v>
      </c>
      <c r="AO43" s="40" t="n">
        <f aca="false">-MIN($C$121,MAX(0,$W$83-$C$121*(((YEAR(AO5)-2026)*12+MONTH(AO5)-9)-1)))+SUM($X$117:AO117)/($C$112*12)</f>
        <v>-22446.1411111111</v>
      </c>
      <c r="AP43" s="40" t="n">
        <f aca="false">-MIN($C$121,MAX(0,$W$83-$C$121*(((YEAR(AP5)-2026)*12+MONTH(AP5)-9)-1)))+SUM($X$117:AP117)/($C$112*12)</f>
        <v>-23557.2522222222</v>
      </c>
      <c r="AQ43" s="40" t="n">
        <f aca="false">-MIN($C$121,MAX(0,$W$83-$C$121*(((YEAR(AQ5)-2026)*12+MONTH(AQ5)-9)-1)))+SUM($X$117:AQ117)/($C$112*12)</f>
        <v>-24112.8077777778</v>
      </c>
      <c r="AR43" s="40" t="n">
        <f aca="false">-MIN($C$121,MAX(0,$W$83-$C$121*(((YEAR(AR5)-2026)*12+MONTH(AR5)-9)-1)))+SUM($X$117:AR117)/($C$112*12)</f>
        <v>-25223.9188888889</v>
      </c>
      <c r="AS43" s="40" t="n">
        <f aca="false">-MIN($C$121,MAX(0,$W$83-$C$121*(((YEAR(AS5)-2026)*12+MONTH(AS5)-9)-1)))+SUM($X$117:AS117)/($C$112*12)</f>
        <v>-25779.4744444444</v>
      </c>
      <c r="AT43" s="40" t="n">
        <f aca="false">-MIN($C$121,MAX(0,$W$83-$C$121*(((YEAR(AT5)-2026)*12+MONTH(AT5)-9)-1)))+SUM($X$117:AT117)/($C$112*12)</f>
        <v>-27446.1411111111</v>
      </c>
      <c r="AU43" s="40" t="n">
        <f aca="false">-MIN($C$121,MAX(0,$W$83-$C$121*(((YEAR(AU5)-2026)*12+MONTH(AU5)-9)-1)))+SUM($X$117:AU117)/($C$112*12)</f>
        <v>-28557.2522222222</v>
      </c>
      <c r="AV43" s="40" t="n">
        <f aca="false">-MIN($C$121,MAX(0,$W$83-$C$121*(((YEAR(AV5)-2026)*12+MONTH(AV5)-9)-1)))+SUM($X$117:AV117)/($C$112*12)</f>
        <v>-30223.9188888889</v>
      </c>
      <c r="AW43" s="40" t="n">
        <f aca="false">-MIN($C$121,MAX(0,$W$83-$C$121*(((YEAR(AW5)-2026)*12+MONTH(AW5)-9)-1)))+SUM($X$117:AW117)/($C$112*12)</f>
        <v>-31335.03</v>
      </c>
      <c r="AX43" s="40" t="n">
        <f aca="false">-MIN($C$121,MAX(0,$W$83-$C$121*(((YEAR(AX5)-2026)*12+MONTH(AX5)-9)-1)))+SUM($X$117:AX117)/($C$112*12)</f>
        <v>-32446.1411111111</v>
      </c>
      <c r="AY43" s="84" t="n">
        <f aca="false">-MIN(12*$C$121,MAX(0,$W$83-$C$121*((VALUE(LEFT(AY5,4))-2026)*12-9)))+SUMIFS($X$117:$BF$117,$X$118:$BF$118,"&gt;="&amp;(AY118-$C$112+1),$X$118:$BF$118,"&lt;="&amp;AY118)/$C$112</f>
        <v>-339519.303333333</v>
      </c>
      <c r="AZ43" s="40" t="n">
        <f aca="false">-MIN(12*$C$121,MAX(0,$W$83-$C$121*((VALUE(LEFT(AZ5,4))-2026)*12-9)))+SUMIFS($X$117:$BF$117,$X$118:$BF$118,"&gt;="&amp;(AZ118-$C$112+1),$X$118:$BF$118,"&lt;="&amp;AZ118)/$C$112</f>
        <v>-403333.333333333</v>
      </c>
      <c r="BA43" s="40" t="n">
        <f aca="false">-MIN(12*$C$121,MAX(0,$W$83-$C$121*((VALUE(LEFT(BA5,4))-2026)*12-9)))+SUMIFS($X$117:$BF$117,$X$118:$BF$118,"&gt;="&amp;(BA118-$C$112+1),$X$118:$BF$118,"&lt;="&amp;BA118)/$C$112</f>
        <v>-536666.666666667</v>
      </c>
      <c r="BB43" s="40" t="n">
        <f aca="false">-MIN(12*$C$121,MAX(0,$W$83-$C$121*((VALUE(LEFT(BB5,4))-2026)*12-9)))+SUMIFS($X$117:$BF$117,$X$118:$BF$118,"&gt;="&amp;(BB118-$C$112+1),$X$118:$BF$118,"&lt;="&amp;BB118)/$C$112</f>
        <v>-483333.333333333</v>
      </c>
      <c r="BC43" s="40" t="n">
        <f aca="false">-MIN(12*$C$121,MAX(0,$W$83-$C$121*((VALUE(LEFT(BC5,4))-2026)*12-9)))+SUMIFS($X$117:$BF$117,$X$118:$BF$118,"&gt;="&amp;(BC118-$C$112+1),$X$118:$BF$118,"&lt;="&amp;BC118)/$C$112</f>
        <v>-510000</v>
      </c>
      <c r="BD43" s="40" t="n">
        <f aca="false">-MIN(12*$C$121,MAX(0,$W$83-$C$121*((VALUE(LEFT(BD5,4))-2026)*12-9)))+SUMIFS($X$117:$BF$117,$X$118:$BF$118,"&gt;="&amp;(BD118-$C$112+1),$X$118:$BF$118,"&lt;="&amp;BD118)/$C$112</f>
        <v>-730000</v>
      </c>
      <c r="BE43" s="40" t="n">
        <f aca="false">-MIN(12*$C$121,MAX(0,$W$83-$C$121*((VALUE(LEFT(BE5,4))-2026)*12-9)))+SUMIFS($X$117:$BF$117,$X$118:$BF$118,"&gt;="&amp;(BE118-$C$112+1),$X$118:$BF$118,"&lt;="&amp;BE118)/$C$112</f>
        <v>-860000</v>
      </c>
      <c r="BF43" s="40" t="n">
        <f aca="false">-MIN(12*$C$121,MAX(0,$W$83-$C$121*((VALUE(LEFT(BF5,4))-2026)*12-9)))+SUMIFS($X$117:$BF$117,$X$118:$BF$118,"&gt;="&amp;(BF118-$C$112+1),$X$118:$BF$118,"&lt;="&amp;BF118)/$C$112</f>
        <v>-900000</v>
      </c>
    </row>
    <row r="44" customFormat="false" ht="15" hidden="false" customHeight="false" outlineLevel="0" collapsed="false">
      <c r="B44" s="9" t="s">
        <v>237</v>
      </c>
      <c r="C44" s="40" t="n">
        <f aca="false">'Pnl por tienda'!J133</f>
        <v>-468.49</v>
      </c>
      <c r="D44" s="40" t="n">
        <f aca="false">'Pnl por tienda'!K133</f>
        <v>-518.37</v>
      </c>
      <c r="E44" s="40" t="n">
        <f aca="false">'Pnl por tienda'!L133</f>
        <v>-442.52</v>
      </c>
      <c r="F44" s="40" t="n">
        <f aca="false">'Pnl por tienda'!M133</f>
        <v>-522.01</v>
      </c>
      <c r="G44" s="40" t="n">
        <f aca="false">'Pnl por tienda'!N133</f>
        <v>-315.55</v>
      </c>
      <c r="H44" s="40" t="n">
        <f aca="false">'Pnl por tienda'!O133</f>
        <v>-403</v>
      </c>
      <c r="I44" s="40" t="n">
        <f aca="false">'Pnl por tienda'!P133</f>
        <v>-480.44</v>
      </c>
      <c r="J44" s="40" t="n">
        <f aca="false">'Pnl por tienda'!Q133</f>
        <v>-433.53</v>
      </c>
      <c r="K44" s="40" t="n">
        <f aca="false">'Pnl por tienda'!R133</f>
        <v>-383.41</v>
      </c>
      <c r="L44" s="40" t="n">
        <f aca="false">'Pnl por tienda'!S133</f>
        <v>-2060.52</v>
      </c>
      <c r="M44" s="40" t="n">
        <f aca="false">'Pnl por tienda'!T133</f>
        <v>-2156.76</v>
      </c>
      <c r="N44" s="40" t="n">
        <f aca="false">'Pnl por tienda'!U133</f>
        <v>-2144.04</v>
      </c>
      <c r="O44" s="84" t="n">
        <f aca="false">'EEFF a septiemrbe'!B32</f>
        <v>-2018.81</v>
      </c>
      <c r="P44" s="40" t="n">
        <f aca="false">'EEFF a septiemrbe'!C32</f>
        <v>-1817.17</v>
      </c>
      <c r="Q44" s="40" t="n">
        <f aca="false">'EEFF a septiemrbe'!D32</f>
        <v>-1279.95</v>
      </c>
      <c r="R44" s="40" t="n">
        <f aca="false">'EEFF a septiemrbe'!E32</f>
        <v>-925.48</v>
      </c>
      <c r="S44" s="40" t="n">
        <f aca="false">'EEFF a septiemrbe'!F32</f>
        <v>-1136.97</v>
      </c>
      <c r="T44" s="40" t="n">
        <f aca="false">'EEFF a septiemrbe'!G32</f>
        <v>-920.3</v>
      </c>
      <c r="U44" s="40" t="n">
        <f aca="false">'EEFF a septiemrbe'!H32</f>
        <v>-425.8</v>
      </c>
      <c r="V44" s="40" t="n">
        <f aca="false">'EEFF a septiemrbe'!I32</f>
        <v>-716.87</v>
      </c>
      <c r="W44" s="40" t="n">
        <f aca="false">'EEFF a septiemrbe'!J32</f>
        <v>-3961.49</v>
      </c>
      <c r="X44" s="40" t="n">
        <f aca="false">-SUMIFS('㉓ Debt Schedule'!$E$18:$E$77,'㉓ Debt Schedule'!$C$18:$C$77,X$5)-SUMIFS('㉓ Debt Schedule'!$H$18:$H$77,'㉓ Debt Schedule'!$C$18:$C$77,X$5)*'㉓ Debt Schedule'!$C$8-SUMIFS('㉕ Funding Gap'!$C$64:$N$64,'㉕ Funding Gap'!$C$60:$N$60,YEAR(X$5))/12-SUMIFS('㉓ Debt Schedule'!$E$98:$E$157,'㉓ Debt Schedule'!$C$98:$C$157,X$5)-$C$113</f>
        <v>-1219.7738</v>
      </c>
      <c r="Y44" s="40" t="n">
        <f aca="false">-SUMIFS('㉓ Debt Schedule'!$E$18:$E$77,'㉓ Debt Schedule'!$C$18:$C$77,Y$5)-SUMIFS('㉓ Debt Schedule'!$H$18:$H$77,'㉓ Debt Schedule'!$C$18:$C$77,Y$5)*'㉓ Debt Schedule'!$C$8-SUMIFS('㉕ Funding Gap'!$C$64:$N$64,'㉕ Funding Gap'!$C$60:$N$60,YEAR(Y$5))/12-SUMIFS('㉓ Debt Schedule'!$E$98:$E$157,'㉓ Debt Schedule'!$C$98:$C$157,Y$5)-$C$113</f>
        <v>-1209.16726816667</v>
      </c>
      <c r="Z44" s="40" t="n">
        <f aca="false">-SUMIFS('㉓ Debt Schedule'!$E$18:$E$77,'㉓ Debt Schedule'!$C$18:$C$77,Z$5)-SUMIFS('㉓ Debt Schedule'!$H$18:$H$77,'㉓ Debt Schedule'!$C$18:$C$77,Z$5)*'㉓ Debt Schedule'!$C$8-SUMIFS('㉕ Funding Gap'!$C$64:$N$64,'㉕ Funding Gap'!$C$60:$N$60,YEAR(Z$5))/12-SUMIFS('㉓ Debt Schedule'!$E$98:$E$157,'㉓ Debt Schedule'!$C$98:$C$157,Z$5)-$C$113</f>
        <v>-1198.46350979153</v>
      </c>
      <c r="AA44" s="84" t="n">
        <f aca="false">-SUMIFS('㉓ Debt Schedule'!$E$18:$E$77,'㉓ Debt Schedule'!$C$18:$C$77,AA$5)-SUMIFS('㉓ Debt Schedule'!$H$18:$H$77,'㉓ Debt Schedule'!$C$18:$C$77,AA$5)*'㉓ Debt Schedule'!$C$8-SUMIFS('㉕ Funding Gap'!$C$64:$N$64,'㉕ Funding Gap'!$C$60:$N$60,YEAR(AA$5))/12-SUMIFS('㉓ Debt Schedule'!$E$98:$E$157,'㉓ Debt Schedule'!$C$98:$C$157,AA$5)-$C$113</f>
        <v>-1187.66163363128</v>
      </c>
      <c r="AB44" s="40" t="n">
        <f aca="false">-SUMIFS('㉓ Debt Schedule'!$E$18:$E$77,'㉓ Debt Schedule'!$C$18:$C$77,AB$5)-SUMIFS('㉓ Debt Schedule'!$H$18:$H$77,'㉓ Debt Schedule'!$C$18:$C$77,AB$5)*'㉓ Debt Schedule'!$C$8-SUMIFS('㉕ Funding Gap'!$C$64:$N$64,'㉕ Funding Gap'!$C$60:$N$60,YEAR(AB$5))/12-SUMIFS('㉓ Debt Schedule'!$E$98:$E$157,'㉓ Debt Schedule'!$C$98:$C$157,AB$5)-$C$113</f>
        <v>-1176.7607402729</v>
      </c>
      <c r="AC44" s="40" t="n">
        <f aca="false">-SUMIFS('㉓ Debt Schedule'!$E$18:$E$77,'㉓ Debt Schedule'!$C$18:$C$77,AC$5)-SUMIFS('㉓ Debt Schedule'!$H$18:$H$77,'㉓ Debt Schedule'!$C$18:$C$77,AC$5)*'㉓ Debt Schedule'!$C$8-SUMIFS('㉕ Funding Gap'!$C$64:$N$64,'㉕ Funding Gap'!$C$60:$N$60,YEAR(AC$5))/12-SUMIFS('㉓ Debt Schedule'!$E$98:$E$157,'㉓ Debt Schedule'!$C$98:$C$157,AC$5)-$C$113</f>
        <v>-1165.75992205874</v>
      </c>
      <c r="AD44" s="40" t="n">
        <f aca="false">-SUMIFS('㉓ Debt Schedule'!$E$18:$E$77,'㉓ Debt Schedule'!$C$18:$C$77,AD$5)-SUMIFS('㉓ Debt Schedule'!$H$18:$H$77,'㉓ Debt Schedule'!$C$18:$C$77,AD$5)*'㉓ Debt Schedule'!$C$8-SUMIFS('㉕ Funding Gap'!$C$64:$N$64,'㉕ Funding Gap'!$C$60:$N$60,YEAR(AD$5))/12-SUMIFS('㉓ Debt Schedule'!$E$98:$E$157,'㉓ Debt Schedule'!$C$98:$C$157,AD$5)-$C$113</f>
        <v>-1154.65826301094</v>
      </c>
      <c r="AE44" s="40" t="n">
        <f aca="false">-SUMIFS('㉓ Debt Schedule'!$E$18:$E$77,'㉓ Debt Schedule'!$C$18:$C$77,AE$5)-SUMIFS('㉓ Debt Schedule'!$H$18:$H$77,'㉓ Debt Schedule'!$C$18:$C$77,AE$5)*'㉓ Debt Schedule'!$C$8-SUMIFS('㉕ Funding Gap'!$C$64:$N$64,'㉕ Funding Gap'!$C$60:$N$60,YEAR(AE$5))/12-SUMIFS('㉓ Debt Schedule'!$E$98:$E$157,'㉓ Debt Schedule'!$C$98:$C$157,AE$5)-$C$113</f>
        <v>-1143.45483875521</v>
      </c>
      <c r="AF44" s="40" t="n">
        <f aca="false">-SUMIFS('㉓ Debt Schedule'!$E$18:$E$77,'㉓ Debt Schedule'!$C$18:$C$77,AF$5)-SUMIFS('㉓ Debt Schedule'!$H$18:$H$77,'㉓ Debt Schedule'!$C$18:$C$77,AF$5)*'㉓ Debt Schedule'!$C$8-SUMIFS('㉕ Funding Gap'!$C$64:$N$64,'㉕ Funding Gap'!$C$60:$N$60,YEAR(AF$5))/12-SUMIFS('㉓ Debt Schedule'!$E$98:$E$157,'㉓ Debt Schedule'!$C$98:$C$157,AF$5)-$C$113</f>
        <v>-1132.1487164438</v>
      </c>
      <c r="AG44" s="40" t="n">
        <f aca="false">-SUMIFS('㉓ Debt Schedule'!$E$18:$E$77,'㉓ Debt Schedule'!$C$18:$C$77,AG$5)-SUMIFS('㉓ Debt Schedule'!$H$18:$H$77,'㉓ Debt Schedule'!$C$18:$C$77,AG$5)*'㉓ Debt Schedule'!$C$8-SUMIFS('㉕ Funding Gap'!$C$64:$N$64,'㉕ Funding Gap'!$C$60:$N$60,YEAR(AG$5))/12-SUMIFS('㉓ Debt Schedule'!$E$98:$E$157,'㉓ Debt Schedule'!$C$98:$C$157,AG$5)-$C$113</f>
        <v>-1120.73895467787</v>
      </c>
      <c r="AH44" s="40" t="n">
        <f aca="false">-SUMIFS('㉓ Debt Schedule'!$E$18:$E$77,'㉓ Debt Schedule'!$C$18:$C$77,AH$5)-SUMIFS('㉓ Debt Schedule'!$H$18:$H$77,'㉓ Debt Schedule'!$C$18:$C$77,AH$5)*'㉓ Debt Schedule'!$C$8-SUMIFS('㉕ Funding Gap'!$C$64:$N$64,'㉕ Funding Gap'!$C$60:$N$60,YEAR(AH$5))/12-SUMIFS('㉓ Debt Schedule'!$E$98:$E$157,'㉓ Debt Schedule'!$C$98:$C$157,AH$5)-$C$113</f>
        <v>-1109.22460342908</v>
      </c>
      <c r="AI44" s="40" t="n">
        <f aca="false">-SUMIFS('㉓ Debt Schedule'!$E$18:$E$77,'㉓ Debt Schedule'!$C$18:$C$77,AI$5)-SUMIFS('㉓ Debt Schedule'!$H$18:$H$77,'㉓ Debt Schedule'!$C$18:$C$77,AI$5)*'㉓ Debt Schedule'!$C$8-SUMIFS('㉕ Funding Gap'!$C$64:$N$64,'㉕ Funding Gap'!$C$60:$N$60,YEAR(AI$5))/12-SUMIFS('㉓ Debt Schedule'!$E$98:$E$157,'㉓ Debt Schedule'!$C$98:$C$157,AI$5)-$C$113</f>
        <v>-1097.60470396052</v>
      </c>
      <c r="AJ44" s="40" t="n">
        <f aca="false">-SUMIFS('㉓ Debt Schedule'!$E$18:$E$77,'㉓ Debt Schedule'!$C$18:$C$77,AJ$5)-SUMIFS('㉓ Debt Schedule'!$H$18:$H$77,'㉓ Debt Schedule'!$C$18:$C$77,AJ$5)*'㉓ Debt Schedule'!$C$8-SUMIFS('㉕ Funding Gap'!$C$64:$N$64,'㉕ Funding Gap'!$C$60:$N$60,YEAR(AJ$5))/12-SUMIFS('㉓ Debt Schedule'!$E$98:$E$157,'㉓ Debt Schedule'!$C$98:$C$157,AJ$5)-$C$113</f>
        <v>-1085.87828874682</v>
      </c>
      <c r="AK44" s="40" t="n">
        <f aca="false">-SUMIFS('㉓ Debt Schedule'!$E$18:$E$77,'㉓ Debt Schedule'!$C$18:$C$77,AK$5)-SUMIFS('㉓ Debt Schedule'!$H$18:$H$77,'㉓ Debt Schedule'!$C$18:$C$77,AK$5)*'㉓ Debt Schedule'!$C$8-SUMIFS('㉕ Funding Gap'!$C$64:$N$64,'㉕ Funding Gap'!$C$60:$N$60,YEAR(AK$5))/12-SUMIFS('㉓ Debt Schedule'!$E$98:$E$157,'㉓ Debt Schedule'!$C$98:$C$157,AK$5)-$C$113</f>
        <v>-1074.04438139367</v>
      </c>
      <c r="AL44" s="40" t="n">
        <f aca="false">-SUMIFS('㉓ Debt Schedule'!$E$18:$E$77,'㉓ Debt Schedule'!$C$18:$C$77,AL$5)-SUMIFS('㉓ Debt Schedule'!$H$18:$H$77,'㉓ Debt Schedule'!$C$18:$C$77,AL$5)*'㉓ Debt Schedule'!$C$8-SUMIFS('㉕ Funding Gap'!$C$64:$N$64,'㉕ Funding Gap'!$C$60:$N$60,YEAR(AL$5))/12-SUMIFS('㉓ Debt Schedule'!$E$98:$E$157,'㉓ Debt Schedule'!$C$98:$C$157,AL$5)-$C$113</f>
        <v>-1062.10199655644</v>
      </c>
      <c r="AM44" s="84" t="n">
        <f aca="false">-SUMIFS('㉓ Debt Schedule'!$E$18:$E$77,'㉓ Debt Schedule'!$C$18:$C$77,AM$5)-SUMIFS('㉓ Debt Schedule'!$H$18:$H$77,'㉓ Debt Schedule'!$C$18:$C$77,AM$5)*'㉓ Debt Schedule'!$C$8-SUMIFS('㉕ Funding Gap'!$C$64:$N$64,'㉕ Funding Gap'!$C$60:$N$60,YEAR(AM$5))/12-SUMIFS('㉓ Debt Schedule'!$E$98:$E$157,'㉓ Debt Schedule'!$C$98:$C$157,AM$5)-$C$113</f>
        <v>-1050.05013985821</v>
      </c>
      <c r="AN44" s="40" t="n">
        <f aca="false">-SUMIFS('㉓ Debt Schedule'!$E$18:$E$77,'㉓ Debt Schedule'!$C$18:$C$77,AN$5)-SUMIFS('㉓ Debt Schedule'!$H$18:$H$77,'㉓ Debt Schedule'!$C$18:$C$77,AN$5)*'㉓ Debt Schedule'!$C$8-SUMIFS('㉕ Funding Gap'!$C$64:$N$64,'㉕ Funding Gap'!$C$60:$N$60,YEAR(AN$5))/12-SUMIFS('㉓ Debt Schedule'!$E$98:$E$157,'㉓ Debt Schedule'!$C$98:$C$157,AN$5)-$C$113</f>
        <v>-1037.88780780691</v>
      </c>
      <c r="AO44" s="40" t="n">
        <f aca="false">-SUMIFS('㉓ Debt Schedule'!$E$18:$E$77,'㉓ Debt Schedule'!$C$18:$C$77,AO$5)-SUMIFS('㉓ Debt Schedule'!$H$18:$H$77,'㉓ Debt Schedule'!$C$18:$C$77,AO$5)*'㉓ Debt Schedule'!$C$8-SUMIFS('㉕ Funding Gap'!$C$64:$N$64,'㉕ Funding Gap'!$C$60:$N$60,YEAR(AO$5))/12-SUMIFS('㉓ Debt Schedule'!$E$98:$E$157,'㉓ Debt Schedule'!$C$98:$C$157,AO$5)-$C$113</f>
        <v>-1025.61398771181</v>
      </c>
      <c r="AP44" s="40" t="n">
        <f aca="false">-SUMIFS('㉓ Debt Schedule'!$E$18:$E$77,'㉓ Debt Schedule'!$C$18:$C$77,AP$5)-SUMIFS('㉓ Debt Schedule'!$H$18:$H$77,'㉓ Debt Schedule'!$C$18:$C$77,AP$5)*'㉓ Debt Schedule'!$C$8-SUMIFS('㉕ Funding Gap'!$C$64:$N$64,'㉕ Funding Gap'!$C$60:$N$60,YEAR(AP$5))/12-SUMIFS('㉓ Debt Schedule'!$E$98:$E$157,'㉓ Debt Schedule'!$C$98:$C$157,AP$5)-$C$113</f>
        <v>-1013.22765759916</v>
      </c>
      <c r="AQ44" s="40" t="n">
        <f aca="false">-SUMIFS('㉓ Debt Schedule'!$E$18:$E$77,'㉓ Debt Schedule'!$C$18:$C$77,AQ$5)-SUMIFS('㉓ Debt Schedule'!$H$18:$H$77,'㉓ Debt Schedule'!$C$18:$C$77,AQ$5)*'㉓ Debt Schedule'!$C$8-SUMIFS('㉕ Funding Gap'!$C$64:$N$64,'㉕ Funding Gap'!$C$60:$N$60,YEAR(AQ$5))/12-SUMIFS('㉓ Debt Schedule'!$E$98:$E$157,'㉓ Debt Schedule'!$C$98:$C$157,AQ$5)-$C$113</f>
        <v>-1000.72778612716</v>
      </c>
      <c r="AR44" s="40" t="n">
        <f aca="false">-SUMIFS('㉓ Debt Schedule'!$E$18:$E$77,'㉓ Debt Schedule'!$C$18:$C$77,AR$5)-SUMIFS('㉓ Debt Schedule'!$H$18:$H$77,'㉓ Debt Schedule'!$C$18:$C$77,AR$5)*'㉓ Debt Schedule'!$C$8-SUMIFS('㉕ Funding Gap'!$C$64:$N$64,'㉕ Funding Gap'!$C$60:$N$60,YEAR(AR$5))/12-SUMIFS('㉓ Debt Schedule'!$E$98:$E$157,'㉓ Debt Schedule'!$C$98:$C$157,AR$5)-$C$113</f>
        <v>-988.113332499988</v>
      </c>
      <c r="AS44" s="40" t="n">
        <f aca="false">-SUMIFS('㉓ Debt Schedule'!$E$18:$E$77,'㉓ Debt Schedule'!$C$18:$C$77,AS$5)-SUMIFS('㉓ Debt Schedule'!$H$18:$H$77,'㉓ Debt Schedule'!$C$18:$C$77,AS$5)*'㉓ Debt Schedule'!$C$8-SUMIFS('㉕ Funding Gap'!$C$64:$N$64,'㉕ Funding Gap'!$C$60:$N$60,YEAR(AS$5))/12-SUMIFS('㉓ Debt Schedule'!$E$98:$E$157,'㉓ Debt Schedule'!$C$98:$C$157,AS$5)-$C$113</f>
        <v>-975.383246381238</v>
      </c>
      <c r="AT44" s="40" t="n">
        <f aca="false">-SUMIFS('㉓ Debt Schedule'!$E$18:$E$77,'㉓ Debt Schedule'!$C$18:$C$77,AT$5)-SUMIFS('㉓ Debt Schedule'!$H$18:$H$77,'㉓ Debt Schedule'!$C$18:$C$77,AT$5)*'㉓ Debt Schedule'!$C$8-SUMIFS('㉕ Funding Gap'!$C$64:$N$64,'㉕ Funding Gap'!$C$60:$N$60,YEAR(AT$5))/12-SUMIFS('㉓ Debt Schedule'!$E$98:$E$157,'㉓ Debt Schedule'!$C$98:$C$157,AT$5)-$C$113</f>
        <v>-962.536467806399</v>
      </c>
      <c r="AU44" s="40" t="n">
        <f aca="false">-SUMIFS('㉓ Debt Schedule'!$E$18:$E$77,'㉓ Debt Schedule'!$C$18:$C$77,AU$5)-SUMIFS('㉓ Debt Schedule'!$H$18:$H$77,'㉓ Debt Schedule'!$C$18:$C$77,AU$5)*'㉓ Debt Schedule'!$C$8-SUMIFS('㉕ Funding Gap'!$C$64:$N$64,'㉕ Funding Gap'!$C$60:$N$60,YEAR(AU$5))/12-SUMIFS('㉓ Debt Schedule'!$E$98:$E$157,'㉓ Debt Schedule'!$C$98:$C$157,AU$5)-$C$113</f>
        <v>-949.571927094625</v>
      </c>
      <c r="AV44" s="40" t="n">
        <f aca="false">-SUMIFS('㉓ Debt Schedule'!$E$18:$E$77,'㉓ Debt Schedule'!$C$18:$C$77,AV$5)-SUMIFS('㉓ Debt Schedule'!$H$18:$H$77,'㉓ Debt Schedule'!$C$18:$C$77,AV$5)*'㉓ Debt Schedule'!$C$8-SUMIFS('㉕ Funding Gap'!$C$64:$N$64,'㉕ Funding Gap'!$C$60:$N$60,YEAR(AV$5))/12-SUMIFS('㉓ Debt Schedule'!$E$98:$E$157,'㉓ Debt Schedule'!$C$98:$C$157,AV$5)-$C$113</f>
        <v>-936.488544759659</v>
      </c>
      <c r="AW44" s="40" t="n">
        <f aca="false">-SUMIFS('㉓ Debt Schedule'!$E$18:$E$77,'㉓ Debt Schedule'!$C$18:$C$77,AW$5)-SUMIFS('㉓ Debt Schedule'!$H$18:$H$77,'㉓ Debt Schedule'!$C$18:$C$77,AW$5)*'㉓ Debt Schedule'!$C$8-SUMIFS('㉕ Funding Gap'!$C$64:$N$64,'㉕ Funding Gap'!$C$60:$N$60,YEAR(AW$5))/12-SUMIFS('㉓ Debt Schedule'!$E$98:$E$157,'㉓ Debt Schedule'!$C$98:$C$157,AW$5)-$C$113</f>
        <v>-923.285231419956</v>
      </c>
      <c r="AX44" s="40" t="n">
        <f aca="false">-SUMIFS('㉓ Debt Schedule'!$E$18:$E$77,'㉓ Debt Schedule'!$C$18:$C$77,AX$5)-SUMIFS('㉓ Debt Schedule'!$H$18:$H$77,'㉓ Debt Schedule'!$C$18:$C$77,AX$5)*'㉓ Debt Schedule'!$C$8-SUMIFS('㉕ Funding Gap'!$C$64:$N$64,'㉕ Funding Gap'!$C$60:$N$60,YEAR(AX$5))/12-SUMIFS('㉓ Debt Schedule'!$E$98:$E$157,'㉓ Debt Schedule'!$C$98:$C$157,AX$5)-$C$113</f>
        <v>-909.960887707972</v>
      </c>
      <c r="AY44" s="84" t="n">
        <f aca="false">-SUMIFS('㉓ Debt Schedule'!$E$18:$E$77,'㉓ Debt Schedule'!$C$18:$C$77,"&gt;="&amp;DATE(VALUE(LEFT(AY$5,4)),1,1),'㉓ Debt Schedule'!$C$18:$C$77,"&lt;="&amp;DATE(VALUE(LEFT(AY$5,4)),12,31))-SUMIFS('㉓ Debt Schedule'!$H$18:$H$77,'㉓ Debt Schedule'!$C$18:$C$77,"&gt;="&amp;DATE(VALUE(LEFT(AY$5,4)),1,1),'㉓ Debt Schedule'!$C$18:$C$77,"&lt;="&amp;DATE(VALUE(LEFT(AY$5,4)),12,31))*'㉓ Debt Schedule'!$C$8-SUMIFS('㉕ Funding Gap'!$C$64:$N$64,'㉕ Funding Gap'!$C$60:$N$60,VALUE(LEFT(AY$5,4)))-SUMIFS('㉓ Debt Schedule'!$E$98:$E$157,'㉓ Debt Schedule'!$C$98:$C$157,"&gt;="&amp;DATE(AY118,1,1),'㉓ Debt Schedule'!$C$98:$C$157,"&lt;="&amp;DATE(AY118,12,31))-12*$C$113</f>
        <v>-9834.63138253123</v>
      </c>
      <c r="AZ44" s="40" t="n">
        <f aca="false">-SUMIFS('㉓ Debt Schedule'!$E$18:$E$77,'㉓ Debt Schedule'!$C$18:$C$77,"&gt;="&amp;DATE(VALUE(LEFT(AZ$5,4)),1,1),'㉓ Debt Schedule'!$C$18:$C$77,"&lt;="&amp;DATE(VALUE(LEFT(AZ$5,4)),12,31))-SUMIFS('㉓ Debt Schedule'!$H$18:$H$77,'㉓ Debt Schedule'!$C$18:$C$77,"&gt;="&amp;DATE(VALUE(LEFT(AZ$5,4)),1,1),'㉓ Debt Schedule'!$C$18:$C$77,"&lt;="&amp;DATE(VALUE(LEFT(AZ$5,4)),12,31))*'㉓ Debt Schedule'!$C$8-SUMIFS('㉕ Funding Gap'!$C$64:$N$64,'㉕ Funding Gap'!$C$60:$N$60,VALUE(LEFT(AZ$5,4)))-SUMIFS('㉓ Debt Schedule'!$E$98:$E$157,'㉓ Debt Schedule'!$C$98:$C$157,"&gt;="&amp;DATE(AZ118,1,1),'㉓ Debt Schedule'!$C$98:$C$157,"&lt;="&amp;DATE(AZ118,12,31))-12*$C$113</f>
        <v>-50470.725196555</v>
      </c>
      <c r="BA44" s="40" t="n">
        <f aca="false">-SUMIFS('㉓ Debt Schedule'!$E$18:$E$77,'㉓ Debt Schedule'!$C$18:$C$77,"&gt;="&amp;DATE(VALUE(LEFT(BA$5,4)),1,1),'㉓ Debt Schedule'!$C$18:$C$77,"&lt;="&amp;DATE(VALUE(LEFT(BA$5,4)),12,31))-SUMIFS('㉓ Debt Schedule'!$H$18:$H$77,'㉓ Debt Schedule'!$C$18:$C$77,"&gt;="&amp;DATE(VALUE(LEFT(BA$5,4)),1,1),'㉓ Debt Schedule'!$C$18:$C$77,"&lt;="&amp;DATE(VALUE(LEFT(BA$5,4)),12,31))*'㉓ Debt Schedule'!$C$8-SUMIFS('㉕ Funding Gap'!$C$64:$N$64,'㉕ Funding Gap'!$C$60:$N$60,VALUE(LEFT(BA$5,4)))-SUMIFS('㉓ Debt Schedule'!$E$98:$E$157,'㉓ Debt Schedule'!$C$98:$C$157,"&gt;="&amp;DATE(BA118,1,1),'㉓ Debt Schedule'!$C$98:$C$157,"&lt;="&amp;DATE(BA118,12,31))-12*$C$113</f>
        <v>-104965.457528855</v>
      </c>
      <c r="BB44" s="40" t="n">
        <f aca="false">-SUMIFS('㉓ Debt Schedule'!$E$18:$E$77,'㉓ Debt Schedule'!$C$18:$C$77,"&gt;="&amp;DATE(VALUE(LEFT(BB$5,4)),1,1),'㉓ Debt Schedule'!$C$18:$C$77,"&lt;="&amp;DATE(VALUE(LEFT(BB$5,4)),12,31))-SUMIFS('㉓ Debt Schedule'!$H$18:$H$77,'㉓ Debt Schedule'!$C$18:$C$77,"&gt;="&amp;DATE(VALUE(LEFT(BB$5,4)),1,1),'㉓ Debt Schedule'!$C$18:$C$77,"&lt;="&amp;DATE(VALUE(LEFT(BB$5,4)),12,31))*'㉓ Debt Schedule'!$C$8-SUMIFS('㉕ Funding Gap'!$C$64:$N$64,'㉕ Funding Gap'!$C$60:$N$60,VALUE(LEFT(BB$5,4)))-SUMIFS('㉓ Debt Schedule'!$E$98:$E$157,'㉓ Debt Schedule'!$C$98:$C$157,"&gt;="&amp;DATE(BB118,1,1),'㉓ Debt Schedule'!$C$98:$C$157,"&lt;="&amp;DATE(BB118,12,31))-12*$C$113</f>
        <v>-195059.339086586</v>
      </c>
      <c r="BC44" s="40" t="n">
        <f aca="false">-SUMIFS('㉓ Debt Schedule'!$E$18:$E$77,'㉓ Debt Schedule'!$C$18:$C$77,"&gt;="&amp;DATE(VALUE(LEFT(BC$5,4)),1,1),'㉓ Debt Schedule'!$C$18:$C$77,"&lt;="&amp;DATE(VALUE(LEFT(BC$5,4)),12,31))-SUMIFS('㉓ Debt Schedule'!$H$18:$H$77,'㉓ Debt Schedule'!$C$18:$C$77,"&gt;="&amp;DATE(VALUE(LEFT(BC$5,4)),1,1),'㉓ Debt Schedule'!$C$18:$C$77,"&lt;="&amp;DATE(VALUE(LEFT(BC$5,4)),12,31))*'㉓ Debt Schedule'!$C$8-SUMIFS('㉕ Funding Gap'!$C$64:$N$64,'㉕ Funding Gap'!$C$60:$N$60,VALUE(LEFT(BC$5,4)))-SUMIFS('㉓ Debt Schedule'!$E$98:$E$157,'㉓ Debt Schedule'!$C$98:$C$157,"&gt;="&amp;DATE(BC118,1,1),'㉓ Debt Schedule'!$C$98:$C$157,"&lt;="&amp;DATE(BC118,12,31))-12*$C$113</f>
        <v>-242812.897408137</v>
      </c>
      <c r="BD44" s="40" t="n">
        <f aca="false">-SUMIFS('㉓ Debt Schedule'!$E$18:$E$77,'㉓ Debt Schedule'!$C$18:$C$77,"&gt;="&amp;DATE(VALUE(LEFT(BD$5,4)),1,1),'㉓ Debt Schedule'!$C$18:$C$77,"&lt;="&amp;DATE(VALUE(LEFT(BD$5,4)),12,31))-SUMIFS('㉓ Debt Schedule'!$H$18:$H$77,'㉓ Debt Schedule'!$C$18:$C$77,"&gt;="&amp;DATE(VALUE(LEFT(BD$5,4)),1,1),'㉓ Debt Schedule'!$C$18:$C$77,"&lt;="&amp;DATE(VALUE(LEFT(BD$5,4)),12,31))*'㉓ Debt Schedule'!$C$8-SUMIFS('㉕ Funding Gap'!$C$64:$N$64,'㉕ Funding Gap'!$C$60:$N$60,VALUE(LEFT(BD$5,4)))-SUMIFS('㉓ Debt Schedule'!$E$98:$E$157,'㉓ Debt Schedule'!$C$98:$C$157,"&gt;="&amp;DATE(BD118,1,1),'㉓ Debt Schedule'!$C$98:$C$157,"&lt;="&amp;DATE(BD118,12,31))-12*$C$113</f>
        <v>-286534.818776319</v>
      </c>
      <c r="BE44" s="40" t="n">
        <f aca="false">-SUMIFS('㉓ Debt Schedule'!$E$18:$E$77,'㉓ Debt Schedule'!$C$18:$C$77,"&gt;="&amp;DATE(VALUE(LEFT(BE$5,4)),1,1),'㉓ Debt Schedule'!$C$18:$C$77,"&lt;="&amp;DATE(VALUE(LEFT(BE$5,4)),12,31))-SUMIFS('㉓ Debt Schedule'!$H$18:$H$77,'㉓ Debt Schedule'!$C$18:$C$77,"&gt;="&amp;DATE(VALUE(LEFT(BE$5,4)),1,1),'㉓ Debt Schedule'!$C$18:$C$77,"&lt;="&amp;DATE(VALUE(LEFT(BE$5,4)),12,31))*'㉓ Debt Schedule'!$C$8-SUMIFS('㉕ Funding Gap'!$C$64:$N$64,'㉕ Funding Gap'!$C$60:$N$60,VALUE(LEFT(BE$5,4)))-SUMIFS('㉓ Debt Schedule'!$E$98:$E$157,'㉓ Debt Schedule'!$C$98:$C$157,"&gt;="&amp;DATE(BE118,1,1),'㉓ Debt Schedule'!$C$98:$C$157,"&lt;="&amp;DATE(BE118,12,31))-12*$C$113</f>
        <v>-495008.986520242</v>
      </c>
      <c r="BF44" s="40" t="n">
        <f aca="false">-SUMIFS('㉓ Debt Schedule'!$E$18:$E$77,'㉓ Debt Schedule'!$C$18:$C$77,"&gt;="&amp;DATE(VALUE(LEFT(BF$5,4)),1,1),'㉓ Debt Schedule'!$C$18:$C$77,"&lt;="&amp;DATE(VALUE(LEFT(BF$5,4)),12,31))-SUMIFS('㉓ Debt Schedule'!$H$18:$H$77,'㉓ Debt Schedule'!$C$18:$C$77,"&gt;="&amp;DATE(VALUE(LEFT(BF$5,4)),1,1),'㉓ Debt Schedule'!$C$18:$C$77,"&lt;="&amp;DATE(VALUE(LEFT(BF$5,4)),12,31))*'㉓ Debt Schedule'!$C$8-SUMIFS('㉕ Funding Gap'!$C$64:$N$64,'㉕ Funding Gap'!$C$60:$N$60,VALUE(LEFT(BF$5,4)))-SUMIFS('㉓ Debt Schedule'!$E$98:$E$157,'㉓ Debt Schedule'!$C$98:$C$157,"&gt;="&amp;DATE(BF118,1,1),'㉓ Debt Schedule'!$C$98:$C$157,"&lt;="&amp;DATE(BF118,12,31))-12*$C$113</f>
        <v>-752350.735588575</v>
      </c>
    </row>
    <row r="45" customFormat="false" ht="15" hidden="false" customHeight="false" outlineLevel="0" collapsed="false">
      <c r="B45" s="9" t="s">
        <v>238</v>
      </c>
      <c r="C45" s="40" t="n">
        <v>0</v>
      </c>
      <c r="D45" s="40" t="n">
        <v>0</v>
      </c>
      <c r="E45" s="40" t="n">
        <v>0</v>
      </c>
      <c r="F45" s="40" t="n">
        <v>0</v>
      </c>
      <c r="G45" s="40" t="n">
        <v>0</v>
      </c>
      <c r="H45" s="40" t="n">
        <v>0</v>
      </c>
      <c r="I45" s="40" t="n">
        <v>0</v>
      </c>
      <c r="J45" s="40" t="n">
        <v>0</v>
      </c>
      <c r="K45" s="40" t="n">
        <v>0</v>
      </c>
      <c r="L45" s="40" t="n">
        <v>0</v>
      </c>
      <c r="M45" s="40" t="n">
        <v>0</v>
      </c>
      <c r="N45" s="40" t="n">
        <v>0</v>
      </c>
      <c r="O45" s="84" t="n">
        <v>0</v>
      </c>
      <c r="P45" s="40" t="n">
        <v>0</v>
      </c>
      <c r="Q45" s="40" t="n">
        <v>0</v>
      </c>
      <c r="R45" s="40" t="n">
        <v>0</v>
      </c>
      <c r="S45" s="40" t="n">
        <v>0</v>
      </c>
      <c r="T45" s="40" t="n">
        <v>0</v>
      </c>
      <c r="U45" s="40" t="n">
        <v>0</v>
      </c>
      <c r="V45" s="40" t="n">
        <v>0</v>
      </c>
      <c r="W45" s="40" t="n">
        <v>0</v>
      </c>
      <c r="X45" s="40" t="n">
        <f aca="false">-0.28*MAX(0,X37+X42+X43+X44)</f>
        <v>-0</v>
      </c>
      <c r="Y45" s="40" t="n">
        <f aca="false">-0.28*MAX(0,Y37+Y42+Y43+Y44)</f>
        <v>-0</v>
      </c>
      <c r="Z45" s="40" t="n">
        <f aca="false">-0.28*MAX(0,Z37+Z42+Z43+Z44)</f>
        <v>-0</v>
      </c>
      <c r="AA45" s="84" t="n">
        <f aca="false">-0.28*MAX(0,AA37+AA42+AA43+AA44)</f>
        <v>-0</v>
      </c>
      <c r="AB45" s="40" t="n">
        <f aca="false">-0.28*MAX(0,AB37+AB42+AB43+AB44)</f>
        <v>-0</v>
      </c>
      <c r="AC45" s="40" t="n">
        <f aca="false">-0.28*MAX(0,AC37+AC42+AC43+AC44)</f>
        <v>-0</v>
      </c>
      <c r="AD45" s="40" t="n">
        <f aca="false">-0.28*MAX(0,AD37+AD42+AD43+AD44)</f>
        <v>-0</v>
      </c>
      <c r="AE45" s="40" t="n">
        <f aca="false">-0.28*MAX(0,AE37+AE42+AE43+AE44)</f>
        <v>-0</v>
      </c>
      <c r="AF45" s="40" t="n">
        <f aca="false">-0.28*MAX(0,AF37+AF42+AF43+AF44)</f>
        <v>-0</v>
      </c>
      <c r="AG45" s="40" t="n">
        <f aca="false">-0.28*MAX(0,AG37+AG42+AG43+AG44)</f>
        <v>-0</v>
      </c>
      <c r="AH45" s="40" t="n">
        <f aca="false">-0.28*MAX(0,AH37+AH42+AH43+AH44)</f>
        <v>-0</v>
      </c>
      <c r="AI45" s="40" t="n">
        <f aca="false">-0.28*MAX(0,AI37+AI42+AI43+AI44)</f>
        <v>-0</v>
      </c>
      <c r="AJ45" s="40" t="n">
        <f aca="false">-0.28*MAX(0,AJ37+AJ42+AJ43+AJ44)</f>
        <v>-0</v>
      </c>
      <c r="AK45" s="40" t="n">
        <f aca="false">-0.28*MAX(0,AK37+AK42+AK43+AK44)</f>
        <v>-0</v>
      </c>
      <c r="AL45" s="40" t="n">
        <f aca="false">-0.28*MAX(0,AL37+AL42+AL43+AL44)</f>
        <v>-0</v>
      </c>
      <c r="AM45" s="84" t="n">
        <f aca="false">-0.28*MAX(0,AM37+AM42+AM43+AM44)</f>
        <v>-0</v>
      </c>
      <c r="AN45" s="40" t="n">
        <f aca="false">-0.28*MAX(0,AN37+AN42+AN43+AN44)</f>
        <v>-0</v>
      </c>
      <c r="AO45" s="40" t="n">
        <f aca="false">-0.28*MAX(0,AO37+AO42+AO43+AO44)</f>
        <v>-0</v>
      </c>
      <c r="AP45" s="40" t="n">
        <f aca="false">-0.28*MAX(0,AP37+AP42+AP43+AP44)</f>
        <v>-0</v>
      </c>
      <c r="AQ45" s="40" t="n">
        <f aca="false">-0.28*MAX(0,AQ37+AQ42+AQ43+AQ44)</f>
        <v>-0</v>
      </c>
      <c r="AR45" s="40" t="n">
        <f aca="false">-0.28*MAX(0,AR37+AR42+AR43+AR44)</f>
        <v>-0</v>
      </c>
      <c r="AS45" s="40" t="n">
        <f aca="false">-0.28*MAX(0,AS37+AS42+AS43+AS44)</f>
        <v>-0</v>
      </c>
      <c r="AT45" s="40" t="n">
        <f aca="false">-0.28*MAX(0,AT37+AT42+AT43+AT44)</f>
        <v>-0</v>
      </c>
      <c r="AU45" s="40" t="n">
        <f aca="false">-0.28*MAX(0,AU37+AU42+AU43+AU44)</f>
        <v>-0</v>
      </c>
      <c r="AV45" s="40" t="n">
        <f aca="false">-0.28*MAX(0,AV37+AV42+AV43+AV44)</f>
        <v>-0</v>
      </c>
      <c r="AW45" s="40" t="n">
        <f aca="false">-0.28*MAX(0,AW37+AW42+AW43+AW44)</f>
        <v>-0</v>
      </c>
      <c r="AX45" s="40" t="n">
        <f aca="false">-0.28*MAX(0,AX37+AX42+AX43+AX44)</f>
        <v>-0</v>
      </c>
      <c r="AY45" s="84" t="n">
        <f aca="false">-0.28*MAX(0,AY37+AY42+AY43+AY44)</f>
        <v>-15250.7552521699</v>
      </c>
      <c r="AZ45" s="40" t="n">
        <f aca="false">-0.28*MAX(0,AZ37+AZ42+AZ43+AZ44)</f>
        <v>-89691.4300953138</v>
      </c>
      <c r="BA45" s="40" t="n">
        <f aca="false">-0.28*MAX(0,BA37+BA42+BA43+BA44)</f>
        <v>-52774.0978506474</v>
      </c>
      <c r="BB45" s="40" t="n">
        <f aca="false">-0.28*MAX(0,BB37+BB42+BB43+BB44)</f>
        <v>-132798.44628615</v>
      </c>
      <c r="BC45" s="40" t="n">
        <f aca="false">-0.28*MAX(0,BC37+BC42+BC43+BC44)</f>
        <v>-226585.659466162</v>
      </c>
      <c r="BD45" s="40" t="n">
        <f aca="false">-0.28*MAX(0,BD37+BD42+BD43+BD44)</f>
        <v>-261436.456441505</v>
      </c>
      <c r="BE45" s="40" t="n">
        <f aca="false">-0.28*MAX(0,BE37+BE42+BE43+BE44)</f>
        <v>-626893.294613823</v>
      </c>
      <c r="BF45" s="40" t="n">
        <f aca="false">-0.28*MAX(0,BF37+BF42+BF43+BF44)</f>
        <v>-1070616.01012391</v>
      </c>
    </row>
    <row r="46" customFormat="false" ht="15" hidden="false" customHeight="false" outlineLevel="0" collapsed="false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8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8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8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89"/>
      <c r="AZ46" s="9"/>
      <c r="BA46" s="9"/>
      <c r="BB46" s="9"/>
      <c r="BC46" s="9"/>
      <c r="BD46" s="9"/>
      <c r="BE46" s="9"/>
      <c r="BF46" s="9"/>
    </row>
    <row r="47" customFormat="false" ht="15" hidden="false" customHeight="false" outlineLevel="0" collapsed="false">
      <c r="B47" s="47" t="s">
        <v>239</v>
      </c>
      <c r="C47" s="48" t="n">
        <f aca="false">'Pnl por tienda'!J134</f>
        <v>-52539.04</v>
      </c>
      <c r="D47" s="48" t="n">
        <f aca="false">'Pnl por tienda'!K134</f>
        <v>-47619.74</v>
      </c>
      <c r="E47" s="48" t="n">
        <f aca="false">'Pnl por tienda'!L134</f>
        <v>-53274.47</v>
      </c>
      <c r="F47" s="48" t="n">
        <f aca="false">'Pnl por tienda'!M134</f>
        <v>-47877.38</v>
      </c>
      <c r="G47" s="48" t="n">
        <f aca="false">'Pnl por tienda'!N134</f>
        <v>-46478.13</v>
      </c>
      <c r="H47" s="48" t="n">
        <f aca="false">'Pnl por tienda'!O134</f>
        <v>-41812.72</v>
      </c>
      <c r="I47" s="48" t="n">
        <f aca="false">'Pnl por tienda'!P134</f>
        <v>-30036.83</v>
      </c>
      <c r="J47" s="48" t="n">
        <f aca="false">'Pnl por tienda'!Q134</f>
        <v>-41505.34</v>
      </c>
      <c r="K47" s="48" t="n">
        <f aca="false">'Pnl por tienda'!R134</f>
        <v>-43929.38</v>
      </c>
      <c r="L47" s="48" t="n">
        <f aca="false">'Pnl por tienda'!S134</f>
        <v>-47411.65</v>
      </c>
      <c r="M47" s="48" t="n">
        <f aca="false">'Pnl por tienda'!T134</f>
        <v>-64872.68</v>
      </c>
      <c r="N47" s="48" t="n">
        <f aca="false">'Pnl por tienda'!U134</f>
        <v>-66180.44</v>
      </c>
      <c r="O47" s="96" t="n">
        <f aca="false">'EEFF a septiemrbe'!B33</f>
        <v>-54151.47</v>
      </c>
      <c r="P47" s="48" t="n">
        <f aca="false">'EEFF a septiemrbe'!C33</f>
        <v>-54142.41</v>
      </c>
      <c r="Q47" s="48" t="n">
        <f aca="false">'EEFF a septiemrbe'!D33</f>
        <v>-101844.65</v>
      </c>
      <c r="R47" s="48" t="n">
        <f aca="false">'EEFF a septiemrbe'!E33</f>
        <v>-46845.7</v>
      </c>
      <c r="S47" s="48" t="n">
        <f aca="false">'EEFF a septiemrbe'!F33</f>
        <v>-48803.57</v>
      </c>
      <c r="T47" s="48" t="n">
        <f aca="false">'EEFF a septiemrbe'!G33</f>
        <v>-48454.2</v>
      </c>
      <c r="U47" s="48" t="n">
        <f aca="false">'EEFF a septiemrbe'!H33</f>
        <v>-27338.04</v>
      </c>
      <c r="V47" s="48" t="n">
        <f aca="false">'EEFF a septiemrbe'!I33</f>
        <v>-24012.96</v>
      </c>
      <c r="W47" s="48" t="n">
        <f aca="false">'EEFF a septiemrbe'!J33</f>
        <v>-32969.25</v>
      </c>
      <c r="X47" s="48" t="n">
        <f aca="false">X37+X42+X43+X44+X45</f>
        <v>-31053.0379087772</v>
      </c>
      <c r="Y47" s="48" t="n">
        <f aca="false">Y37+Y42+Y43+Y44+Y45</f>
        <v>-35773.4989148874</v>
      </c>
      <c r="Z47" s="48" t="n">
        <f aca="false">Z37+Z42+Z43+Z44+Z45</f>
        <v>-27912.1083115167</v>
      </c>
      <c r="AA47" s="96" t="n">
        <f aca="false">AA37+AA42+AA43+AA44+AA45</f>
        <v>-30169.581478444</v>
      </c>
      <c r="AB47" s="48" t="n">
        <f aca="false">AB37+AB42+AB43+AB44+AB45</f>
        <v>-41388.0829780159</v>
      </c>
      <c r="AC47" s="48" t="n">
        <f aca="false">AC37+AC42+AC43+AC44+AC45</f>
        <v>-42067.33283074</v>
      </c>
      <c r="AD47" s="48" t="n">
        <f aca="false">AD37+AD42+AD43+AD44+AD45</f>
        <v>-59435.9861595661</v>
      </c>
      <c r="AE47" s="48" t="n">
        <f aca="false">AE37+AE42+AE43+AE44+AE45</f>
        <v>-60908.9951601977</v>
      </c>
      <c r="AF47" s="48" t="n">
        <f aca="false">AF37+AF42+AF43+AF44+AF45</f>
        <v>-68508.1130138595</v>
      </c>
      <c r="AG47" s="48" t="n">
        <f aca="false">AG37+AG42+AG43+AG44+AG45</f>
        <v>-66116.6024424288</v>
      </c>
      <c r="AH47" s="48" t="n">
        <f aca="false">AH37+AH42+AH43+AH44+AH45</f>
        <v>-57509.4784692907</v>
      </c>
      <c r="AI47" s="48" t="n">
        <f aca="false">AI37+AI42+AI43+AI44+AI45</f>
        <v>-54761.6974693491</v>
      </c>
      <c r="AJ47" s="48" t="n">
        <f aca="false">AJ37+AJ42+AJ43+AJ44+AJ45</f>
        <v>-64938.3399318449</v>
      </c>
      <c r="AK47" s="48" t="n">
        <f aca="false">AK37+AK42+AK43+AK44+AK45</f>
        <v>-71055.3786377158</v>
      </c>
      <c r="AL47" s="48" t="n">
        <f aca="false">AL37+AL42+AL43+AL44+AL45</f>
        <v>-57193.327323354</v>
      </c>
      <c r="AM47" s="96" t="n">
        <f aca="false">AM37+AM42+AM43+AM44+AM45</f>
        <v>-49094.5391488679</v>
      </c>
      <c r="AN47" s="48" t="n">
        <f aca="false">AN37+AN42+AN43+AN44+AN45</f>
        <v>-53039.2674084209</v>
      </c>
      <c r="AO47" s="48" t="n">
        <f aca="false">AO37+AO42+AO43+AO44+AO45</f>
        <v>-46612.0962760885</v>
      </c>
      <c r="AP47" s="48" t="n">
        <f aca="false">AP37+AP42+AP43+AP44+AP45</f>
        <v>-40836.2474032434</v>
      </c>
      <c r="AQ47" s="48" t="n">
        <f aca="false">AQ37+AQ42+AQ43+AQ44+AQ45</f>
        <v>-47060.8201851384</v>
      </c>
      <c r="AR47" s="48" t="n">
        <f aca="false">AR37+AR42+AR43+AR44+AR45</f>
        <v>-48202.6913129584</v>
      </c>
      <c r="AS47" s="48" t="n">
        <f aca="false">AS37+AS42+AS43+AS44+AS45</f>
        <v>-49048.4086620168</v>
      </c>
      <c r="AT47" s="48" t="n">
        <f aca="false">AT37+AT42+AT43+AT44+AT45</f>
        <v>-26215.722109321</v>
      </c>
      <c r="AU47" s="48" t="n">
        <f aca="false">AU37+AU42+AU43+AU44+AU45</f>
        <v>-30650.6733297413</v>
      </c>
      <c r="AV47" s="48" t="n">
        <f aca="false">AV37+AV42+AV43+AV44+AV45</f>
        <v>-36069.5740518152</v>
      </c>
      <c r="AW47" s="48" t="n">
        <f aca="false">AW37+AW42+AW43+AW44+AW45</f>
        <v>-55179.5650932613</v>
      </c>
      <c r="AX47" s="48" t="n">
        <f aca="false">AX37+AX42+AX43+AX44+AX45</f>
        <v>-39604.3214321406</v>
      </c>
      <c r="AY47" s="96" t="n">
        <f aca="false">AY37+AY42+AY43+AY44+AY45</f>
        <v>39216.2277912941</v>
      </c>
      <c r="AZ47" s="48" t="n">
        <f aca="false">AZ37+AZ42+AZ43+AZ44+AZ45</f>
        <v>230635.105959378</v>
      </c>
      <c r="BA47" s="48" t="n">
        <f aca="false">BA37+BA42+BA43+BA44+BA45</f>
        <v>135704.823044522</v>
      </c>
      <c r="BB47" s="48" t="n">
        <f aca="false">BB37+BB42+BB43+BB44+BB45</f>
        <v>341481.719021527</v>
      </c>
      <c r="BC47" s="48" t="n">
        <f aca="false">BC37+BC42+BC43+BC44+BC45</f>
        <v>582648.838627274</v>
      </c>
      <c r="BD47" s="48" t="n">
        <f aca="false">BD37+BD42+BD43+BD44+BD45</f>
        <v>672265.173706726</v>
      </c>
      <c r="BE47" s="48" t="n">
        <f aca="false">BE37+BE42+BE43+BE44+BE45</f>
        <v>1612011.32900697</v>
      </c>
      <c r="BF47" s="48" t="n">
        <f aca="false">BF37+BF42+BF43+BF44+BF45</f>
        <v>2753012.59746147</v>
      </c>
    </row>
    <row r="48" customFormat="false" ht="15" hidden="false" customHeight="false" outlineLevel="0" collapsed="false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8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8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8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89"/>
      <c r="AZ48" s="9"/>
      <c r="BA48" s="9"/>
      <c r="BB48" s="9"/>
      <c r="BC48" s="9"/>
      <c r="BD48" s="9"/>
      <c r="BE48" s="9"/>
      <c r="BF48" s="9"/>
    </row>
    <row r="49" customFormat="false" ht="15" hidden="false" customHeight="false" outlineLevel="0" collapsed="false">
      <c r="B49" s="26" t="s">
        <v>240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95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95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95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95"/>
      <c r="AZ49" s="26"/>
      <c r="BA49" s="26"/>
      <c r="BB49" s="26"/>
      <c r="BC49" s="26"/>
      <c r="BD49" s="26"/>
      <c r="BE49" s="26"/>
      <c r="BF49" s="26"/>
    </row>
    <row r="50" customFormat="false" ht="15" hidden="false" customHeight="false" outlineLevel="0" collapsed="false">
      <c r="B50" s="9" t="s">
        <v>241</v>
      </c>
      <c r="C50" s="40" t="n">
        <v>-54224.51</v>
      </c>
      <c r="D50" s="40" t="n">
        <v>-48891.22</v>
      </c>
      <c r="E50" s="40" t="n">
        <v>-56252.54</v>
      </c>
      <c r="F50" s="40" t="n">
        <v>-49148.85</v>
      </c>
      <c r="G50" s="40" t="n">
        <v>-47924.32</v>
      </c>
      <c r="H50" s="40" t="n">
        <v>-43084.19</v>
      </c>
      <c r="I50" s="40" t="n">
        <v>-31308.27</v>
      </c>
      <c r="J50" s="40" t="n">
        <v>-42776.82</v>
      </c>
      <c r="K50" s="40" t="n">
        <v>-45133.55</v>
      </c>
      <c r="L50" s="40" t="n">
        <v>-48488.66</v>
      </c>
      <c r="M50" s="40" t="n">
        <v>-73706.92</v>
      </c>
      <c r="N50" s="40" t="n">
        <v>-94483.8</v>
      </c>
      <c r="O50" s="84" t="n">
        <f aca="false">'EEFF a septiemrbe'!B69+'EEFF a septiemrbe'!B70</f>
        <v>-55168.27</v>
      </c>
      <c r="P50" s="40" t="n">
        <f aca="false">'EEFF a septiemrbe'!C69+'EEFF a septiemrbe'!C70</f>
        <v>-55085.04</v>
      </c>
      <c r="Q50" s="40" t="n">
        <f aca="false">'EEFF a septiemrbe'!D69+'EEFF a septiemrbe'!D70</f>
        <v>-102744.65</v>
      </c>
      <c r="R50" s="40" t="n">
        <f aca="false">'EEFF a septiemrbe'!E69+'EEFF a septiemrbe'!E70</f>
        <v>-47555.48</v>
      </c>
      <c r="S50" s="40" t="n">
        <f aca="false">'EEFF a septiemrbe'!F69+'EEFF a septiemrbe'!F70</f>
        <v>-49470.72</v>
      </c>
      <c r="T50" s="40" t="n">
        <f aca="false">'EEFF a septiemrbe'!G69+'EEFF a septiemrbe'!G70</f>
        <v>-49121.35</v>
      </c>
      <c r="U50" s="40" t="n">
        <f aca="false">'EEFF a septiemrbe'!H69+'EEFF a septiemrbe'!H70</f>
        <v>-27544.03</v>
      </c>
      <c r="V50" s="40" t="n">
        <f aca="false">'EEFF a septiemrbe'!I69+'EEFF a septiemrbe'!I70</f>
        <v>-22886.81</v>
      </c>
      <c r="W50" s="40" t="n">
        <f aca="false">'EEFF a septiemrbe'!J69+'EEFF a septiemrbe'!J70</f>
        <v>-32252</v>
      </c>
      <c r="X50" s="40" t="n">
        <f aca="false">X47</f>
        <v>-31053.0379087772</v>
      </c>
      <c r="Y50" s="40" t="n">
        <f aca="false">Y47</f>
        <v>-35773.4989148874</v>
      </c>
      <c r="Z50" s="40" t="n">
        <f aca="false">Z47</f>
        <v>-27912.1083115167</v>
      </c>
      <c r="AA50" s="84" t="n">
        <f aca="false">AA47</f>
        <v>-30169.581478444</v>
      </c>
      <c r="AB50" s="40" t="n">
        <f aca="false">AB47</f>
        <v>-41388.0829780159</v>
      </c>
      <c r="AC50" s="40" t="n">
        <f aca="false">AC47</f>
        <v>-42067.33283074</v>
      </c>
      <c r="AD50" s="40" t="n">
        <f aca="false">AD47</f>
        <v>-59435.9861595661</v>
      </c>
      <c r="AE50" s="40" t="n">
        <f aca="false">AE47</f>
        <v>-60908.9951601977</v>
      </c>
      <c r="AF50" s="40" t="n">
        <f aca="false">AF47</f>
        <v>-68508.1130138595</v>
      </c>
      <c r="AG50" s="40" t="n">
        <f aca="false">AG47</f>
        <v>-66116.6024424288</v>
      </c>
      <c r="AH50" s="40" t="n">
        <f aca="false">AH47</f>
        <v>-57509.4784692907</v>
      </c>
      <c r="AI50" s="40" t="n">
        <f aca="false">AI47</f>
        <v>-54761.6974693491</v>
      </c>
      <c r="AJ50" s="40" t="n">
        <f aca="false">AJ47</f>
        <v>-64938.3399318449</v>
      </c>
      <c r="AK50" s="40" t="n">
        <f aca="false">AK47</f>
        <v>-71055.3786377158</v>
      </c>
      <c r="AL50" s="40" t="n">
        <f aca="false">AL47</f>
        <v>-57193.327323354</v>
      </c>
      <c r="AM50" s="84" t="n">
        <f aca="false">AM47</f>
        <v>-49094.5391488679</v>
      </c>
      <c r="AN50" s="40" t="n">
        <f aca="false">AN47</f>
        <v>-53039.2674084209</v>
      </c>
      <c r="AO50" s="40" t="n">
        <f aca="false">AO47</f>
        <v>-46612.0962760885</v>
      </c>
      <c r="AP50" s="40" t="n">
        <f aca="false">AP47</f>
        <v>-40836.2474032434</v>
      </c>
      <c r="AQ50" s="40" t="n">
        <f aca="false">AQ47</f>
        <v>-47060.8201851384</v>
      </c>
      <c r="AR50" s="40" t="n">
        <f aca="false">AR47</f>
        <v>-48202.6913129584</v>
      </c>
      <c r="AS50" s="40" t="n">
        <f aca="false">AS47</f>
        <v>-49048.4086620168</v>
      </c>
      <c r="AT50" s="40" t="n">
        <f aca="false">AT47</f>
        <v>-26215.722109321</v>
      </c>
      <c r="AU50" s="40" t="n">
        <f aca="false">AU47</f>
        <v>-30650.6733297413</v>
      </c>
      <c r="AV50" s="40" t="n">
        <f aca="false">AV47</f>
        <v>-36069.5740518152</v>
      </c>
      <c r="AW50" s="40" t="n">
        <f aca="false">AW47</f>
        <v>-55179.5650932613</v>
      </c>
      <c r="AX50" s="40" t="n">
        <f aca="false">AX47</f>
        <v>-39604.3214321406</v>
      </c>
      <c r="AY50" s="84" t="n">
        <f aca="false">AY47</f>
        <v>39216.2277912941</v>
      </c>
      <c r="AZ50" s="40" t="n">
        <f aca="false">AZ47</f>
        <v>230635.105959378</v>
      </c>
      <c r="BA50" s="40" t="n">
        <f aca="false">BA47</f>
        <v>135704.823044522</v>
      </c>
      <c r="BB50" s="40" t="n">
        <f aca="false">BB47</f>
        <v>341481.719021527</v>
      </c>
      <c r="BC50" s="40" t="n">
        <f aca="false">BC47</f>
        <v>582648.838627274</v>
      </c>
      <c r="BD50" s="40" t="n">
        <f aca="false">BD47</f>
        <v>672265.173706726</v>
      </c>
      <c r="BE50" s="40" t="n">
        <f aca="false">BE47</f>
        <v>1612011.32900697</v>
      </c>
      <c r="BF50" s="40" t="n">
        <f aca="false">BF47</f>
        <v>2753012.59746147</v>
      </c>
    </row>
    <row r="51" customFormat="false" ht="15" hidden="false" customHeight="false" outlineLevel="0" collapsed="false">
      <c r="B51" s="9" t="s">
        <v>242</v>
      </c>
      <c r="C51" s="40" t="n">
        <v>2444.04</v>
      </c>
      <c r="D51" s="40" t="n">
        <v>2608.67</v>
      </c>
      <c r="E51" s="40" t="n">
        <v>3991.91</v>
      </c>
      <c r="F51" s="40" t="n">
        <v>4513.7</v>
      </c>
      <c r="G51" s="40" t="n">
        <v>4688.12</v>
      </c>
      <c r="H51" s="40" t="n">
        <v>4697.25</v>
      </c>
      <c r="I51" s="40" t="n">
        <v>4715.3</v>
      </c>
      <c r="J51" s="40" t="n">
        <v>4842.53</v>
      </c>
      <c r="K51" s="40" t="n">
        <v>5073.9</v>
      </c>
      <c r="L51" s="40" t="n">
        <v>5087.16</v>
      </c>
      <c r="M51" s="40" t="n">
        <v>5349.82</v>
      </c>
      <c r="N51" s="40" t="n">
        <v>7156.88</v>
      </c>
      <c r="O51" s="84" t="n">
        <f aca="false">'EEFF a septiemrbe'!B71</f>
        <v>9139.25</v>
      </c>
      <c r="P51" s="40" t="n">
        <f aca="false">'EEFF a septiemrbe'!C71</f>
        <v>9139.02</v>
      </c>
      <c r="Q51" s="40" t="n">
        <f aca="false">'EEFF a septiemrbe'!D71</f>
        <v>9140.85</v>
      </c>
      <c r="R51" s="40" t="n">
        <f aca="false">'EEFF a septiemrbe'!E71</f>
        <v>9152.55</v>
      </c>
      <c r="S51" s="40" t="n">
        <f aca="false">'EEFF a septiemrbe'!F71</f>
        <v>9194.6</v>
      </c>
      <c r="T51" s="40" t="n">
        <f aca="false">'EEFF a septiemrbe'!G71</f>
        <v>9447.33</v>
      </c>
      <c r="U51" s="40" t="n">
        <f aca="false">'EEFF a septiemrbe'!H71</f>
        <v>9934.5</v>
      </c>
      <c r="V51" s="40" t="n">
        <f aca="false">'EEFF a septiemrbe'!I71</f>
        <v>9541.22</v>
      </c>
      <c r="W51" s="40" t="n">
        <f aca="false">'EEFF a septiemrbe'!J71</f>
        <v>9529.37</v>
      </c>
      <c r="X51" s="40" t="n">
        <f aca="false">-X43</f>
        <v>9668.36333333333</v>
      </c>
      <c r="Y51" s="40" t="n">
        <f aca="false">-Y43</f>
        <v>9668.36333333333</v>
      </c>
      <c r="Z51" s="40" t="n">
        <f aca="false">-Z43</f>
        <v>10223.9188888889</v>
      </c>
      <c r="AA51" s="84" t="n">
        <f aca="false">-AA43</f>
        <v>11335.03</v>
      </c>
      <c r="AB51" s="40" t="n">
        <f aca="false">-AB43</f>
        <v>13001.6966666667</v>
      </c>
      <c r="AC51" s="40" t="n">
        <f aca="false">-AC43</f>
        <v>14668.3633333333</v>
      </c>
      <c r="AD51" s="40" t="n">
        <f aca="false">-AD43</f>
        <v>15779.4744444444</v>
      </c>
      <c r="AE51" s="40" t="n">
        <f aca="false">-AE43</f>
        <v>16890.5855555556</v>
      </c>
      <c r="AF51" s="40" t="n">
        <f aca="false">-AF43</f>
        <v>17446.1411111111</v>
      </c>
      <c r="AG51" s="40" t="n">
        <f aca="false">-AG43</f>
        <v>18557.2522222222</v>
      </c>
      <c r="AH51" s="40" t="n">
        <f aca="false">-AH43</f>
        <v>19112.8077777778</v>
      </c>
      <c r="AI51" s="40" t="n">
        <f aca="false">-AI43</f>
        <v>20223.9188888889</v>
      </c>
      <c r="AJ51" s="40" t="n">
        <f aca="false">-AJ43</f>
        <v>20779.4744444444</v>
      </c>
      <c r="AK51" s="40" t="n">
        <f aca="false">-AK43</f>
        <v>21335.03</v>
      </c>
      <c r="AL51" s="40" t="n">
        <f aca="false">-AL43</f>
        <v>21335.03</v>
      </c>
      <c r="AM51" s="84" t="n">
        <f aca="false">-AM43</f>
        <v>21335.03</v>
      </c>
      <c r="AN51" s="40" t="n">
        <f aca="false">-AN43</f>
        <v>21890.5855555556</v>
      </c>
      <c r="AO51" s="40" t="n">
        <f aca="false">-AO43</f>
        <v>22446.1411111111</v>
      </c>
      <c r="AP51" s="40" t="n">
        <f aca="false">-AP43</f>
        <v>23557.2522222222</v>
      </c>
      <c r="AQ51" s="40" t="n">
        <f aca="false">-AQ43</f>
        <v>24112.8077777778</v>
      </c>
      <c r="AR51" s="40" t="n">
        <f aca="false">-AR43</f>
        <v>25223.9188888889</v>
      </c>
      <c r="AS51" s="40" t="n">
        <f aca="false">-AS43</f>
        <v>25779.4744444444</v>
      </c>
      <c r="AT51" s="40" t="n">
        <f aca="false">-AT43</f>
        <v>27446.1411111111</v>
      </c>
      <c r="AU51" s="40" t="n">
        <f aca="false">-AU43</f>
        <v>28557.2522222222</v>
      </c>
      <c r="AV51" s="40" t="n">
        <f aca="false">-AV43</f>
        <v>30223.9188888889</v>
      </c>
      <c r="AW51" s="40" t="n">
        <f aca="false">-AW43</f>
        <v>31335.03</v>
      </c>
      <c r="AX51" s="40" t="n">
        <f aca="false">-AX43</f>
        <v>32446.1411111111</v>
      </c>
      <c r="AY51" s="84" t="n">
        <f aca="false">-AY43</f>
        <v>339519.303333333</v>
      </c>
      <c r="AZ51" s="40" t="n">
        <f aca="false">-AZ43</f>
        <v>403333.333333333</v>
      </c>
      <c r="BA51" s="40" t="n">
        <f aca="false">-BA43</f>
        <v>536666.666666667</v>
      </c>
      <c r="BB51" s="40" t="n">
        <f aca="false">-BB43</f>
        <v>483333.333333333</v>
      </c>
      <c r="BC51" s="40" t="n">
        <f aca="false">-BC43</f>
        <v>510000</v>
      </c>
      <c r="BD51" s="40" t="n">
        <f aca="false">-BD43</f>
        <v>730000</v>
      </c>
      <c r="BE51" s="40" t="n">
        <f aca="false">-BE43</f>
        <v>860000</v>
      </c>
      <c r="BF51" s="40" t="n">
        <f aca="false">-BF43</f>
        <v>900000</v>
      </c>
    </row>
    <row r="52" customFormat="false" ht="15" hidden="false" customHeight="false" outlineLevel="0" collapsed="false">
      <c r="B52" s="9" t="s">
        <v>243</v>
      </c>
      <c r="C52" s="40" t="n">
        <v>0</v>
      </c>
      <c r="D52" s="40" t="n">
        <v>0</v>
      </c>
      <c r="E52" s="40" t="n">
        <v>0</v>
      </c>
      <c r="F52" s="40" t="n">
        <v>0</v>
      </c>
      <c r="G52" s="40" t="n">
        <v>0</v>
      </c>
      <c r="H52" s="40" t="n">
        <v>0</v>
      </c>
      <c r="I52" s="40" t="n">
        <v>0</v>
      </c>
      <c r="J52" s="40" t="n">
        <v>0</v>
      </c>
      <c r="K52" s="40" t="n">
        <v>0</v>
      </c>
      <c r="L52" s="40" t="n">
        <v>0</v>
      </c>
      <c r="M52" s="40" t="n">
        <v>0</v>
      </c>
      <c r="N52" s="40" t="n">
        <v>0</v>
      </c>
      <c r="O52" s="84" t="n">
        <v>0</v>
      </c>
      <c r="P52" s="40" t="n">
        <v>0</v>
      </c>
      <c r="Q52" s="40" t="n">
        <v>0</v>
      </c>
      <c r="R52" s="40" t="n">
        <v>0</v>
      </c>
      <c r="S52" s="40" t="n">
        <v>0</v>
      </c>
      <c r="T52" s="40" t="n">
        <v>0</v>
      </c>
      <c r="U52" s="40" t="n">
        <v>0</v>
      </c>
      <c r="V52" s="40" t="n">
        <v>0</v>
      </c>
      <c r="W52" s="40" t="n">
        <v>0</v>
      </c>
      <c r="X52" s="40" t="n">
        <v>0</v>
      </c>
      <c r="Y52" s="40" t="n">
        <v>0</v>
      </c>
      <c r="Z52" s="40" t="n">
        <v>0</v>
      </c>
      <c r="AA52" s="84" t="n">
        <v>0</v>
      </c>
      <c r="AB52" s="40" t="n">
        <v>0</v>
      </c>
      <c r="AC52" s="40" t="n">
        <v>0</v>
      </c>
      <c r="AD52" s="40" t="n">
        <v>0</v>
      </c>
      <c r="AE52" s="40" t="n">
        <v>0</v>
      </c>
      <c r="AF52" s="40" t="n">
        <v>0</v>
      </c>
      <c r="AG52" s="40" t="n">
        <v>0</v>
      </c>
      <c r="AH52" s="40" t="n">
        <v>0</v>
      </c>
      <c r="AI52" s="40" t="n">
        <v>0</v>
      </c>
      <c r="AJ52" s="40" t="n">
        <v>0</v>
      </c>
      <c r="AK52" s="40" t="n">
        <v>0</v>
      </c>
      <c r="AL52" s="40" t="n">
        <v>0</v>
      </c>
      <c r="AM52" s="84" t="n">
        <v>0</v>
      </c>
      <c r="AN52" s="40" t="n">
        <v>0</v>
      </c>
      <c r="AO52" s="40" t="n">
        <v>0</v>
      </c>
      <c r="AP52" s="40" t="n">
        <v>0</v>
      </c>
      <c r="AQ52" s="40" t="n">
        <v>0</v>
      </c>
      <c r="AR52" s="40" t="n">
        <v>0</v>
      </c>
      <c r="AS52" s="40" t="n">
        <v>0</v>
      </c>
      <c r="AT52" s="40" t="n">
        <v>0</v>
      </c>
      <c r="AU52" s="40" t="n">
        <v>0</v>
      </c>
      <c r="AV52" s="40" t="n">
        <v>0</v>
      </c>
      <c r="AW52" s="40" t="n">
        <v>0</v>
      </c>
      <c r="AX52" s="40" t="n">
        <v>0</v>
      </c>
      <c r="AY52" s="84" t="n">
        <v>0</v>
      </c>
      <c r="AZ52" s="40" t="n">
        <v>0</v>
      </c>
      <c r="BA52" s="40" t="n">
        <v>0</v>
      </c>
      <c r="BB52" s="40" t="n">
        <v>0</v>
      </c>
      <c r="BC52" s="40" t="n">
        <v>0</v>
      </c>
      <c r="BD52" s="40" t="n">
        <v>0</v>
      </c>
      <c r="BE52" s="40" t="n">
        <v>0</v>
      </c>
      <c r="BF52" s="40" t="n">
        <v>0</v>
      </c>
    </row>
    <row r="53" customFormat="false" ht="15" hidden="false" customHeight="false" outlineLevel="0" collapsed="false">
      <c r="B53" s="9" t="s">
        <v>244</v>
      </c>
      <c r="C53" s="40" t="n">
        <v>304.45</v>
      </c>
      <c r="D53" s="40" t="n">
        <v>-677.09</v>
      </c>
      <c r="E53" s="40" t="n">
        <v>-95.7</v>
      </c>
      <c r="F53" s="40" t="n">
        <v>210.73</v>
      </c>
      <c r="G53" s="40" t="n">
        <v>-6344.11</v>
      </c>
      <c r="H53" s="40" t="n">
        <v>4891.67</v>
      </c>
      <c r="I53" s="40" t="n">
        <v>-6526.75</v>
      </c>
      <c r="J53" s="40" t="n">
        <v>-162.84</v>
      </c>
      <c r="K53" s="40" t="n">
        <v>-22871.48</v>
      </c>
      <c r="L53" s="40" t="n">
        <v>-17717.94</v>
      </c>
      <c r="M53" s="40" t="n">
        <v>11048.4</v>
      </c>
      <c r="N53" s="40" t="n">
        <v>6216.69</v>
      </c>
      <c r="O53" s="84" t="n">
        <f aca="false">'EEFF a septiemrbe'!B72</f>
        <v>8394.77</v>
      </c>
      <c r="P53" s="40" t="n">
        <f aca="false">'EEFF a septiemrbe'!C72</f>
        <v>1691.97</v>
      </c>
      <c r="Q53" s="40" t="n">
        <f aca="false">'EEFF a septiemrbe'!D72</f>
        <v>594.68</v>
      </c>
      <c r="R53" s="40" t="n">
        <f aca="false">'EEFF a septiemrbe'!E72</f>
        <v>-2466.22</v>
      </c>
      <c r="S53" s="40" t="n">
        <f aca="false">'EEFF a septiemrbe'!F72</f>
        <v>13261.58</v>
      </c>
      <c r="T53" s="40" t="n">
        <f aca="false">'EEFF a septiemrbe'!G72</f>
        <v>5444.06</v>
      </c>
      <c r="U53" s="40" t="n">
        <f aca="false">'EEFF a septiemrbe'!H72</f>
        <v>109.440000000001</v>
      </c>
      <c r="V53" s="40" t="n">
        <f aca="false">'EEFF a septiemrbe'!I72</f>
        <v>-399.03</v>
      </c>
      <c r="W53" s="40" t="n">
        <f aca="false">'EEFF a septiemrbe'!J72</f>
        <v>-4145.18</v>
      </c>
      <c r="X53" s="40" t="n">
        <f aca="false">-(X76-W76)</f>
        <v>729.176152985194</v>
      </c>
      <c r="Y53" s="40" t="n">
        <f aca="false">-(Y76-X76)</f>
        <v>1293.3453391781</v>
      </c>
      <c r="Z53" s="40" t="n">
        <f aca="false">-(Z76-Y76)</f>
        <v>-2313.34235175066</v>
      </c>
      <c r="AA53" s="84" t="n">
        <f aca="false">-(AA76-Z76)</f>
        <v>-1736.16960545227</v>
      </c>
      <c r="AB53" s="40" t="n">
        <f aca="false">-(AB76-AA76)</f>
        <v>554.48850044523</v>
      </c>
      <c r="AC53" s="40" t="n">
        <f aca="false">-(AC76-AB76)</f>
        <v>-3736.52771844575</v>
      </c>
      <c r="AD53" s="40" t="n">
        <f aca="false">-(AD76-AC76)</f>
        <v>-1457.95966775762</v>
      </c>
      <c r="AE53" s="40" t="n">
        <f aca="false">-(AE76-AD76)</f>
        <v>489.062289701313</v>
      </c>
      <c r="AF53" s="40" t="n">
        <f aca="false">-(AF76-AE76)</f>
        <v>-165.008400904479</v>
      </c>
      <c r="AG53" s="40" t="n">
        <f aca="false">-(AG76-AF76)</f>
        <v>-991.042478773734</v>
      </c>
      <c r="AH53" s="40" t="n">
        <f aca="false">-(AH76-AG76)</f>
        <v>-6229.07676771659</v>
      </c>
      <c r="AI53" s="40" t="n">
        <f aca="false">-(AI76-AH76)</f>
        <v>-63.2304182611151</v>
      </c>
      <c r="AJ53" s="40" t="n">
        <f aca="false">-(AJ76-AI76)</f>
        <v>221.921031076166</v>
      </c>
      <c r="AK53" s="40" t="n">
        <f aca="false">-(AK76-AJ76)</f>
        <v>2065.46355283027</v>
      </c>
      <c r="AL53" s="40" t="n">
        <f aca="false">-(AL76-AK76)</f>
        <v>-4530.55271779788</v>
      </c>
      <c r="AM53" s="84" t="n">
        <f aca="false">-(AM76-AL76)</f>
        <v>-2660.86065644883</v>
      </c>
      <c r="AN53" s="40" t="n">
        <f aca="false">-(AN76-AM76)</f>
        <v>1847.72033467892</v>
      </c>
      <c r="AO53" s="40" t="n">
        <f aca="false">-(AO76-AN76)</f>
        <v>-5829.33446442781</v>
      </c>
      <c r="AP53" s="40" t="n">
        <f aca="false">-(AP76-AO76)</f>
        <v>-1667.45300876779</v>
      </c>
      <c r="AQ53" s="40" t="n">
        <f aca="false">-(AQ76-AP76)</f>
        <v>402.21921907222</v>
      </c>
      <c r="AR53" s="40" t="n">
        <f aca="false">-(AR76-AQ76)</f>
        <v>511.18760413889</v>
      </c>
      <c r="AS53" s="40" t="n">
        <f aca="false">-(AS76-AR76)</f>
        <v>-2518.49006804244</v>
      </c>
      <c r="AT53" s="40" t="n">
        <f aca="false">-(AT76-AS76)</f>
        <v>-10769.3881918398</v>
      </c>
      <c r="AU53" s="40" t="n">
        <f aca="false">-(AU76-AT76)</f>
        <v>-1228.24273574378</v>
      </c>
      <c r="AV53" s="40" t="n">
        <f aca="false">-(AV76-AU76)</f>
        <v>2281.36316892901</v>
      </c>
      <c r="AW53" s="40" t="n">
        <f aca="false">-(AW76-AV76)</f>
        <v>3922.66113556002</v>
      </c>
      <c r="AX53" s="40" t="n">
        <f aca="false">-(AX76-AW76)</f>
        <v>-8852.46212803466</v>
      </c>
      <c r="AY53" s="84" t="n">
        <f aca="false">-(AY76-AX76)</f>
        <v>-11022.1967767466</v>
      </c>
      <c r="AZ53" s="40" t="n">
        <f aca="false">-(AZ76-AY76)</f>
        <v>-17744.418375215</v>
      </c>
      <c r="BA53" s="40" t="n">
        <f aca="false">-(BA76-AZ76)</f>
        <v>-16128.8042079445</v>
      </c>
      <c r="BB53" s="40" t="n">
        <f aca="false">-(BB76-BA76)</f>
        <v>-19480.8052251292</v>
      </c>
      <c r="BC53" s="40" t="n">
        <f aca="false">-(BC76-BB76)</f>
        <v>-18659.9945347537</v>
      </c>
      <c r="BD53" s="40" t="n">
        <f aca="false">-(BD76-BC76)</f>
        <v>-27230.2167742597</v>
      </c>
      <c r="BE53" s="40" t="n">
        <f aca="false">-(BE76-BD76)</f>
        <v>-35446.414773749</v>
      </c>
      <c r="BF53" s="40" t="n">
        <f aca="false">-(BF76-BE76)</f>
        <v>-39236.6684439632</v>
      </c>
    </row>
    <row r="54" customFormat="false" ht="15" hidden="false" customHeight="false" outlineLevel="0" collapsed="false">
      <c r="B54" s="9" t="s">
        <v>245</v>
      </c>
      <c r="C54" s="40" t="n">
        <v>-23649.62</v>
      </c>
      <c r="D54" s="40" t="n">
        <v>-3106.44</v>
      </c>
      <c r="E54" s="40" t="n">
        <v>-1245.45</v>
      </c>
      <c r="F54" s="40" t="n">
        <v>2286.53</v>
      </c>
      <c r="G54" s="40" t="n">
        <v>-5697.95</v>
      </c>
      <c r="H54" s="40" t="n">
        <v>758.78</v>
      </c>
      <c r="I54" s="40" t="n">
        <v>-2140.69</v>
      </c>
      <c r="J54" s="40" t="n">
        <v>-1255.74</v>
      </c>
      <c r="K54" s="40" t="n">
        <v>-203.89</v>
      </c>
      <c r="L54" s="40" t="n">
        <v>1770.74</v>
      </c>
      <c r="M54" s="40" t="n">
        <v>-1567.48</v>
      </c>
      <c r="N54" s="40" t="n">
        <v>-5625.22</v>
      </c>
      <c r="O54" s="84" t="n">
        <f aca="false">'EEFF a septiemrbe'!B73</f>
        <v>2476.17000000002</v>
      </c>
      <c r="P54" s="40" t="n">
        <f aca="false">'EEFF a septiemrbe'!C73</f>
        <v>3710.23</v>
      </c>
      <c r="Q54" s="40" t="n">
        <f aca="false">'EEFF a septiemrbe'!D73</f>
        <v>-5101.07</v>
      </c>
      <c r="R54" s="40" t="n">
        <f aca="false">'EEFF a septiemrbe'!E73</f>
        <v>1844.27</v>
      </c>
      <c r="S54" s="40" t="n">
        <f aca="false">'EEFF a septiemrbe'!F73</f>
        <v>-29436.89</v>
      </c>
      <c r="T54" s="40" t="n">
        <f aca="false">'EEFF a septiemrbe'!G73</f>
        <v>6453.64999999999</v>
      </c>
      <c r="U54" s="40" t="n">
        <f aca="false">'EEFF a septiemrbe'!H73</f>
        <v>2531.81</v>
      </c>
      <c r="V54" s="40" t="n">
        <f aca="false">'EEFF a septiemrbe'!I73</f>
        <v>3294.98999999999</v>
      </c>
      <c r="W54" s="40" t="n">
        <f aca="false">'EEFF a septiemrbe'!J73</f>
        <v>3728.07000000001</v>
      </c>
      <c r="X54" s="40" t="n">
        <f aca="false">-(X77-W77)</f>
        <v>-4315.06964331662</v>
      </c>
      <c r="Y54" s="40" t="n">
        <f aca="false">-(Y77-X77)</f>
        <v>-8268.49985407449</v>
      </c>
      <c r="Z54" s="40" t="n">
        <f aca="false">-(Z77-Y77)</f>
        <v>-10485.0703702731</v>
      </c>
      <c r="AA54" s="84" t="n">
        <f aca="false">-(AA77-Z77)</f>
        <v>-14754.6264703583</v>
      </c>
      <c r="AB54" s="40" t="n">
        <f aca="false">-(AB77-AA77)</f>
        <v>-11130.0809917288</v>
      </c>
      <c r="AC54" s="40" t="n">
        <f aca="false">-(AC77-AB77)</f>
        <v>-11326.3596239605</v>
      </c>
      <c r="AD54" s="40" t="n">
        <f aca="false">-(AD77-AC77)</f>
        <v>-611.801671336696</v>
      </c>
      <c r="AE54" s="40" t="n">
        <f aca="false">-(AE77-AD77)</f>
        <v>-2000.96576993068</v>
      </c>
      <c r="AF54" s="40" t="n">
        <f aca="false">-(AF77-AE77)</f>
        <v>-22155.3829421844</v>
      </c>
      <c r="AG54" s="40" t="n">
        <f aca="false">-(AG77-AF77)</f>
        <v>-21850.0489942543</v>
      </c>
      <c r="AH54" s="40" t="n">
        <f aca="false">-(AH77-AG77)</f>
        <v>-18211.1584647046</v>
      </c>
      <c r="AI54" s="40" t="n">
        <f aca="false">-(AI77-AH77)</f>
        <v>6672.46249693594</v>
      </c>
      <c r="AJ54" s="40" t="n">
        <f aca="false">-(AJ77-AI77)</f>
        <v>-6729.50440167429</v>
      </c>
      <c r="AK54" s="40" t="n">
        <f aca="false">-(AK77-AJ77)</f>
        <v>-13550.7794966628</v>
      </c>
      <c r="AL54" s="40" t="n">
        <f aca="false">-(AL77-AK77)</f>
        <v>-14204.0091511169</v>
      </c>
      <c r="AM54" s="84" t="n">
        <f aca="false">-(AM77-AL77)</f>
        <v>-18100.3543910067</v>
      </c>
      <c r="AN54" s="40" t="n">
        <f aca="false">-(AN77-AM77)</f>
        <v>-16947.2014155501</v>
      </c>
      <c r="AO54" s="40" t="n">
        <f aca="false">-(AO77-AN77)</f>
        <v>-21283.7047623702</v>
      </c>
      <c r="AP54" s="40" t="n">
        <f aca="false">-(AP77-AO77)</f>
        <v>-2262.13855667005</v>
      </c>
      <c r="AQ54" s="40" t="n">
        <f aca="false">-(AQ77-AP77)</f>
        <v>-4815.24973449396</v>
      </c>
      <c r="AR54" s="40" t="n">
        <f aca="false">-(AR77-AQ77)</f>
        <v>-38330.07196723</v>
      </c>
      <c r="AS54" s="40" t="n">
        <f aca="false">-(AS77-AR77)</f>
        <v>-43548.362986878</v>
      </c>
      <c r="AT54" s="40" t="n">
        <f aca="false">-(AT77-AS77)</f>
        <v>-29148.8032759636</v>
      </c>
      <c r="AU54" s="40" t="n">
        <f aca="false">-(AU77-AT77)</f>
        <v>14927.3447062357</v>
      </c>
      <c r="AV54" s="40" t="n">
        <f aca="false">-(AV77-AU77)</f>
        <v>-7945.31347063684</v>
      </c>
      <c r="AW54" s="40" t="n">
        <f aca="false">-(AW77-AV77)</f>
        <v>-1510.7097853719</v>
      </c>
      <c r="AX54" s="40" t="n">
        <f aca="false">-(AX77-AW77)</f>
        <v>-39836.0795761559</v>
      </c>
      <c r="AY54" s="84" t="n">
        <f aca="false">-(AY77-AX77)</f>
        <v>-68978.5925169758</v>
      </c>
      <c r="AZ54" s="40" t="n">
        <f aca="false">-(AZ77-AY77)</f>
        <v>-136380.496663028</v>
      </c>
      <c r="BA54" s="40" t="n">
        <f aca="false">-(BA77-AZ77)</f>
        <v>-124167.770937101</v>
      </c>
      <c r="BB54" s="40" t="n">
        <f aca="false">-(BB77-BA77)</f>
        <v>-168734.843498008</v>
      </c>
      <c r="BC54" s="40" t="n">
        <f aca="false">-(BC77-BB77)</f>
        <v>-143693.738406753</v>
      </c>
      <c r="BD54" s="40" t="n">
        <f aca="false">-(BD77-BC77)</f>
        <v>-228105.690515753</v>
      </c>
      <c r="BE54" s="40" t="n">
        <f aca="false">-(BE77-BD77)</f>
        <v>-272228.465462393</v>
      </c>
      <c r="BF54" s="40" t="n">
        <f aca="false">-(BF77-BE77)</f>
        <v>-301337.613649637</v>
      </c>
    </row>
    <row r="55" customFormat="false" ht="15" hidden="false" customHeight="false" outlineLevel="0" collapsed="false">
      <c r="B55" s="9" t="s">
        <v>246</v>
      </c>
      <c r="C55" s="40" t="n">
        <v>30154.88</v>
      </c>
      <c r="D55" s="40" t="n">
        <v>-24303.7</v>
      </c>
      <c r="E55" s="40" t="n">
        <v>37689.98</v>
      </c>
      <c r="F55" s="40" t="n">
        <v>-33477.4</v>
      </c>
      <c r="G55" s="40" t="n">
        <v>5468.02</v>
      </c>
      <c r="H55" s="40" t="n">
        <v>8150.29</v>
      </c>
      <c r="I55" s="40" t="n">
        <v>-11619.37</v>
      </c>
      <c r="J55" s="40" t="n">
        <v>9709.11</v>
      </c>
      <c r="K55" s="40" t="n">
        <v>37576.04</v>
      </c>
      <c r="L55" s="40" t="n">
        <v>-44793.17</v>
      </c>
      <c r="M55" s="40" t="n">
        <v>22317.5</v>
      </c>
      <c r="N55" s="40" t="n">
        <v>31213.78</v>
      </c>
      <c r="O55" s="84" t="n">
        <f aca="false">'EEFF a septiemrbe'!B75</f>
        <v>14085.43</v>
      </c>
      <c r="P55" s="40" t="n">
        <f aca="false">'EEFF a septiemrbe'!C75</f>
        <v>-46361.08</v>
      </c>
      <c r="Q55" s="40" t="n">
        <f aca="false">'EEFF a septiemrbe'!D75</f>
        <v>8622.29</v>
      </c>
      <c r="R55" s="40" t="n">
        <f aca="false">'EEFF a septiemrbe'!E75</f>
        <v>-12095.24</v>
      </c>
      <c r="S55" s="40" t="n">
        <f aca="false">'EEFF a septiemrbe'!F75</f>
        <v>-651.420000000002</v>
      </c>
      <c r="T55" s="40" t="n">
        <f aca="false">'EEFF a septiemrbe'!G75</f>
        <v>58.1299999999974</v>
      </c>
      <c r="U55" s="40" t="n">
        <f aca="false">'EEFF a septiemrbe'!H75</f>
        <v>-4850.85</v>
      </c>
      <c r="V55" s="40" t="n">
        <f aca="false">'EEFF a septiemrbe'!I75</f>
        <v>25996.63</v>
      </c>
      <c r="W55" s="40" t="n">
        <f aca="false">'EEFF a septiemrbe'!J75</f>
        <v>-5163.27</v>
      </c>
      <c r="X55" s="40" t="n">
        <f aca="false">X90-W90</f>
        <v>-3188.56804332769</v>
      </c>
      <c r="Y55" s="40" t="n">
        <f aca="false">Y90-X90</f>
        <v>-4483.04799469608</v>
      </c>
      <c r="Z55" s="40" t="n">
        <f aca="false">Z90-Y90</f>
        <v>8074.58684890848</v>
      </c>
      <c r="AA55" s="84" t="n">
        <f aca="false">AA90-Z90</f>
        <v>9100.0908431697</v>
      </c>
      <c r="AB55" s="40" t="n">
        <f aca="false">AB90-AA90</f>
        <v>1090.4210269667</v>
      </c>
      <c r="AC55" s="40" t="n">
        <f aca="false">AC90-AB90</f>
        <v>17731.9416024087</v>
      </c>
      <c r="AD55" s="40" t="n">
        <f aca="false">AD90-AC90</f>
        <v>6122.263039785</v>
      </c>
      <c r="AE55" s="40" t="n">
        <f aca="false">AE90-AD90</f>
        <v>-3111.10070362836</v>
      </c>
      <c r="AF55" s="40" t="n">
        <f aca="false">AF90-AE90</f>
        <v>3708.42952056133</v>
      </c>
      <c r="AG55" s="40" t="n">
        <f aca="false">AG90-AF90</f>
        <v>3569.22245862799</v>
      </c>
      <c r="AH55" s="40" t="n">
        <f aca="false">AH90-AG90</f>
        <v>30704.33498496</v>
      </c>
      <c r="AI55" s="40" t="n">
        <f aca="false">AI90-AH90</f>
        <v>-3396.80290428744</v>
      </c>
      <c r="AJ55" s="40" t="n">
        <f aca="false">AJ90-AI90</f>
        <v>1078.19241650961</v>
      </c>
      <c r="AK55" s="40" t="n">
        <f aca="false">AK90-AJ90</f>
        <v>-9141.56165858258</v>
      </c>
      <c r="AL55" s="40" t="n">
        <f aca="false">AL90-AK90</f>
        <v>18426.6812702471</v>
      </c>
      <c r="AM55" s="84" t="n">
        <f aca="false">AM90-AL90</f>
        <v>7489.52883418751</v>
      </c>
      <c r="AN55" s="40" t="n">
        <f aca="false">AN90-AM90</f>
        <v>-9762.28655828757</v>
      </c>
      <c r="AO55" s="40" t="n">
        <f aca="false">AO90-AN90</f>
        <v>28161.1831904069</v>
      </c>
      <c r="AP55" s="40" t="n">
        <f aca="false">AP90-AO90</f>
        <v>4066.77844387037</v>
      </c>
      <c r="AQ55" s="40" t="n">
        <f aca="false">AQ90-AP90</f>
        <v>-767.993173663825</v>
      </c>
      <c r="AR55" s="40" t="n">
        <f aca="false">AR90-AQ90</f>
        <v>-3598.45381845036</v>
      </c>
      <c r="AS55" s="40" t="n">
        <f aca="false">AS90-AR90</f>
        <v>12785.2447468729</v>
      </c>
      <c r="AT55" s="40" t="n">
        <f aca="false">AT90-AS90</f>
        <v>48485.3073849271</v>
      </c>
      <c r="AU55" s="40" t="n">
        <f aca="false">AU90-AT90</f>
        <v>3981.11296014351</v>
      </c>
      <c r="AV55" s="40" t="n">
        <f aca="false">AV90-AU90</f>
        <v>-12487.6841185002</v>
      </c>
      <c r="AW55" s="40" t="n">
        <f aca="false">AW90-AV90</f>
        <v>-13517.9353513389</v>
      </c>
      <c r="AX55" s="40" t="n">
        <f aca="false">AX90-AW90</f>
        <v>39996.1228871312</v>
      </c>
      <c r="AY55" s="84" t="n">
        <f aca="false">AY90-AX90</f>
        <v>29394.0350359678</v>
      </c>
      <c r="AZ55" s="40" t="n">
        <f aca="false">AZ90-AY90</f>
        <v>66928.3861837163</v>
      </c>
      <c r="BA55" s="40" t="n">
        <f aca="false">BA90-AZ90</f>
        <v>73032.2255465558</v>
      </c>
      <c r="BB55" s="40" t="n">
        <f aca="false">BB90-BA90</f>
        <v>82985.9789455546</v>
      </c>
      <c r="BC55" s="40" t="n">
        <f aca="false">BC90-BB90</f>
        <v>74980.3200853976</v>
      </c>
      <c r="BD55" s="40" t="n">
        <f aca="false">BD90-BC90</f>
        <v>121179.724542695</v>
      </c>
      <c r="BE55" s="40" t="n">
        <f aca="false">BE90-BD90</f>
        <v>109233.020765598</v>
      </c>
      <c r="BF55" s="40" t="n">
        <f aca="false">BF90-BE90</f>
        <v>115010.705112409</v>
      </c>
    </row>
    <row r="56" customFormat="false" ht="15" hidden="false" customHeight="false" outlineLevel="0" collapsed="false">
      <c r="B56" s="9" t="s">
        <v>247</v>
      </c>
      <c r="C56" s="40" t="n">
        <v>92131.99</v>
      </c>
      <c r="D56" s="40" t="n">
        <v>-19584.2</v>
      </c>
      <c r="E56" s="40" t="n">
        <v>8707.51</v>
      </c>
      <c r="F56" s="40" t="n">
        <v>41361.45</v>
      </c>
      <c r="G56" s="40" t="n">
        <v>9389.62</v>
      </c>
      <c r="H56" s="40" t="n">
        <v>8446.85</v>
      </c>
      <c r="I56" s="40" t="n">
        <v>-23226.85</v>
      </c>
      <c r="J56" s="40" t="n">
        <v>4516.58</v>
      </c>
      <c r="K56" s="40" t="n">
        <v>-638.96</v>
      </c>
      <c r="L56" s="40" t="n">
        <v>-30092.18</v>
      </c>
      <c r="M56" s="40" t="n">
        <v>-7917.89</v>
      </c>
      <c r="N56" s="40" t="n">
        <v>86726.38</v>
      </c>
      <c r="O56" s="84" t="n">
        <f aca="false">'EEFF a septiemrbe'!B74+'EEFF a septiemrbe'!B76+'EEFF a septiemrbe'!B77+'EEFF a septiemrbe'!B78+'EEFF a septiemrbe'!B79</f>
        <v>9621.94999999999</v>
      </c>
      <c r="P56" s="40" t="n">
        <f aca="false">'EEFF a septiemrbe'!C74+'EEFF a septiemrbe'!C76+'EEFF a septiemrbe'!C77+'EEFF a septiemrbe'!C78+'EEFF a septiemrbe'!C79</f>
        <v>10012.93</v>
      </c>
      <c r="Q56" s="40" t="n">
        <f aca="false">'EEFF a septiemrbe'!D74+'EEFF a septiemrbe'!D76+'EEFF a septiemrbe'!D77+'EEFF a septiemrbe'!D78+'EEFF a septiemrbe'!D79</f>
        <v>-9897.71000000001</v>
      </c>
      <c r="R56" s="40" t="n">
        <f aca="false">'EEFF a septiemrbe'!E74+'EEFF a septiemrbe'!E76+'EEFF a septiemrbe'!E77+'EEFF a septiemrbe'!E78+'EEFF a septiemrbe'!E79</f>
        <v>548.39999999999</v>
      </c>
      <c r="S56" s="40" t="n">
        <f aca="false">'EEFF a septiemrbe'!F74+'EEFF a septiemrbe'!F76+'EEFF a septiemrbe'!F77+'EEFF a septiemrbe'!F78+'EEFF a septiemrbe'!F79</f>
        <v>24416.25</v>
      </c>
      <c r="T56" s="40" t="n">
        <f aca="false">'EEFF a septiemrbe'!G74+'EEFF a septiemrbe'!G76+'EEFF a septiemrbe'!G77+'EEFF a septiemrbe'!G78+'EEFF a septiemrbe'!G79</f>
        <v>2776.72</v>
      </c>
      <c r="U56" s="40" t="n">
        <f aca="false">'EEFF a septiemrbe'!H74+'EEFF a septiemrbe'!H76+'EEFF a septiemrbe'!H77+'EEFF a septiemrbe'!H78+'EEFF a septiemrbe'!H79</f>
        <v>4762.16000000001</v>
      </c>
      <c r="V56" s="40" t="n">
        <f aca="false">'EEFF a septiemrbe'!I74+'EEFF a septiemrbe'!I76+'EEFF a septiemrbe'!I77+'EEFF a septiemrbe'!I78+'EEFF a septiemrbe'!I79</f>
        <v>-13283.59</v>
      </c>
      <c r="W56" s="40" t="n">
        <f aca="false">'EEFF a septiemrbe'!J74+'EEFF a septiemrbe'!J76+'EEFF a septiemrbe'!J77+'EEFF a septiemrbe'!J78+'EEFF a septiemrbe'!J79</f>
        <v>-7235.59999999999</v>
      </c>
      <c r="X56" s="40" t="n">
        <f aca="false">(X91-W91)+(X93-W93)+(X94-W94)+(X95-W95)</f>
        <v>7232.94047724979</v>
      </c>
      <c r="Y56" s="40" t="n">
        <f aca="false">(Y91-X91)+(Y93-X93)+(Y94-X94)+(Y95-X95)</f>
        <v>-777.947221515629</v>
      </c>
      <c r="Z56" s="40" t="n">
        <f aca="false">(Z91-Y91)+(Z93-Y93)+(Z94-Y94)+(Z95-Y95)</f>
        <v>1391.47542457802</v>
      </c>
      <c r="AA56" s="40" t="n">
        <f aca="false">(AA91-Z91)+(AA93-Z93)+(AA94-Z94)+(AA95-Z95)</f>
        <v>16277.1345485796</v>
      </c>
      <c r="AB56" s="40" t="n">
        <f aca="false">(AB91-AA91)+(AB93-AA93)+(AB94-AA94)+(AB95-AA95)</f>
        <v>8710.47516698219</v>
      </c>
      <c r="AC56" s="40" t="n">
        <f aca="false">(AC91-AB91)+(AC93-AB93)+(AC94-AB94)+(AC95-AB95)</f>
        <v>18070.7214226451</v>
      </c>
      <c r="AD56" s="40" t="n">
        <f aca="false">(AD91-AC91)+(AD93-AC93)+(AD94-AC94)+(AD95-AC95)</f>
        <v>33588.9627401562</v>
      </c>
      <c r="AE56" s="40" t="n">
        <f aca="false">(AE91-AD91)+(AE93-AD93)+(AE94-AD94)+(AE95-AD95)</f>
        <v>-294.170967255332</v>
      </c>
      <c r="AF56" s="40" t="n">
        <f aca="false">(AF91-AE91)+(AF93-AE93)+(AF94-AE94)+(AF95-AE95)</f>
        <v>9143.25255314403</v>
      </c>
      <c r="AG56" s="40" t="n">
        <f aca="false">(AG91-AF91)+(AG93-AF93)+(AG94-AF94)+(AG95-AF95)</f>
        <v>596.112050982393</v>
      </c>
      <c r="AH56" s="40" t="n">
        <f aca="false">(AH91-AG91)+(AH93-AG93)+(AH94-AG94)+(AH95-AG95)</f>
        <v>12790.7896757815</v>
      </c>
      <c r="AI56" s="40" t="n">
        <f aca="false">(AI91-AH91)+(AI93-AH93)+(AI94-AH94)+(AI95-AH95)</f>
        <v>38.033096584064</v>
      </c>
      <c r="AJ56" s="40" t="n">
        <f aca="false">(AJ91-AI91)+(AJ93-AI93)+(AJ94-AI94)+(AJ95-AI95)</f>
        <v>13813.7144998077</v>
      </c>
      <c r="AK56" s="40" t="n">
        <f aca="false">(AK91-AJ91)+(AK93-AJ93)+(AK94-AJ94)+(AK95-AJ95)</f>
        <v>-1242.3763270274</v>
      </c>
      <c r="AL56" s="40" t="n">
        <f aca="false">(AL91-AK91)+(AL93-AK93)+(AL94-AK94)+(AL95-AK95)</f>
        <v>2725.12745975543</v>
      </c>
      <c r="AM56" s="40" t="n">
        <f aca="false">(AM91-AL91)+(AM93-AL93)+(AM94-AL94)+(AM95-AL95)</f>
        <v>10689.5504386495</v>
      </c>
      <c r="AN56" s="40" t="n">
        <f aca="false">(AN91-AM91)+(AN93-AM93)+(AN94-AM94)+(AN95-AM95)</f>
        <v>-1111.40378130939</v>
      </c>
      <c r="AO56" s="40" t="n">
        <f aca="false">(AO91-AN91)+(AO93-AN93)+(AO94-AN94)+(AO95-AN95)</f>
        <v>16302.3446803533</v>
      </c>
      <c r="AP56" s="40" t="n">
        <f aca="false">(AP91-AO91)+(AP93-AO93)+(AP94-AO94)+(AP95-AO95)</f>
        <v>2878.97298477385</v>
      </c>
      <c r="AQ56" s="40" t="n">
        <f aca="false">(AQ91-AP91)+(AQ93-AP93)+(AQ94-AP94)+(AQ95-AP95)</f>
        <v>6926.06513972805</v>
      </c>
      <c r="AR56" s="40" t="n">
        <f aca="false">(AR91-AQ91)+(AR93-AQ93)+(AR94-AQ94)+(AR95-AQ95)</f>
        <v>-307.479343889576</v>
      </c>
      <c r="AS56" s="40" t="n">
        <f aca="false">(AS91-AR91)+(AS93-AR93)+(AS94-AR94)+(AS95-AR95)</f>
        <v>12434.8717759276</v>
      </c>
      <c r="AT56" s="40" t="n">
        <f aca="false">(AT91-AS91)+(AT93-AS93)+(AT94-AS94)+(AT95-AS95)</f>
        <v>13981.7869973916</v>
      </c>
      <c r="AU56" s="40" t="n">
        <f aca="false">(AU91-AT91)+(AU93-AT93)+(AU94-AT94)+(AU95-AT95)</f>
        <v>16950.7880055499</v>
      </c>
      <c r="AV56" s="40" t="n">
        <f aca="false">(AV91-AU91)+(AV93-AU93)+(AV94-AU94)+(AV95-AU95)</f>
        <v>-1372.2399461108</v>
      </c>
      <c r="AW56" s="40" t="n">
        <f aca="false">(AW91-AV91)+(AW93-AV93)+(AW94-AV94)+(AW95-AV95)</f>
        <v>4808.51932696069</v>
      </c>
      <c r="AX56" s="40" t="n">
        <f aca="false">(AX91-AW91)+(AX93-AW93)+(AX94-AW94)+(AX95-AW95)</f>
        <v>18120.7559700128</v>
      </c>
      <c r="AY56" s="40" t="n">
        <f aca="false">(AY91-AX91)+(AY93-AX93)+(AY94-AX94)+(AY95-AX95)</f>
        <v>25469.0068180523</v>
      </c>
      <c r="AZ56" s="40" t="n">
        <f aca="false">(AZ91-AY91)+(AZ93-AY93)+(AZ94-AY94)+(AZ95-AY95)</f>
        <v>68326.6308654057</v>
      </c>
      <c r="BA56" s="40" t="n">
        <f aca="false">(BA91-AZ91)+(BA93-AZ93)+(BA94-AZ94)+(BA95-AZ95)</f>
        <v>84560.7668617496</v>
      </c>
      <c r="BB56" s="40" t="n">
        <f aca="false">(BB91-BA91)+(BB93-BA93)+(BB94-BA94)+(BB95-BA95)</f>
        <v>87906.4257714087</v>
      </c>
      <c r="BC56" s="40" t="n">
        <f aca="false">(BC91-BB91)+(BC93-BB93)+(BC94-BB94)+(BC95-BB95)</f>
        <v>94988.0363635327</v>
      </c>
      <c r="BD56" s="40" t="n">
        <f aca="false">(BD91-BC91)+(BD93-BC93)+(BD94-BC94)+(BD95-BC95)</f>
        <v>151330.919116072</v>
      </c>
      <c r="BE56" s="40" t="n">
        <f aca="false">(BE91-BD91)+(BE93-BD93)+(BE94-BD94)+(BE95-BD95)</f>
        <v>34726.5903537609</v>
      </c>
      <c r="BF56" s="40" t="n">
        <f aca="false">(BF91-BE91)+(BF93-BE93)+(BF94-BE94)+(BF95-BE95)</f>
        <v>39806.2797482529</v>
      </c>
    </row>
    <row r="57" customFormat="false" ht="15" hidden="false" customHeight="false" outlineLevel="0" collapsed="false">
      <c r="B57" s="10" t="s">
        <v>248</v>
      </c>
      <c r="C57" s="46" t="n">
        <v>47161.23</v>
      </c>
      <c r="D57" s="46" t="n">
        <v>-93953.98</v>
      </c>
      <c r="E57" s="46" t="n">
        <v>-7204.29</v>
      </c>
      <c r="F57" s="46" t="n">
        <v>-34253.84</v>
      </c>
      <c r="G57" s="46" t="n">
        <v>-40420.62</v>
      </c>
      <c r="H57" s="46" t="n">
        <v>-16139.35</v>
      </c>
      <c r="I57" s="46" t="n">
        <v>-70106.63</v>
      </c>
      <c r="J57" s="46" t="n">
        <v>-25127.18</v>
      </c>
      <c r="K57" s="46" t="n">
        <v>-26197.94</v>
      </c>
      <c r="L57" s="46" t="n">
        <v>-134234.05</v>
      </c>
      <c r="M57" s="46" t="n">
        <v>-44476.57</v>
      </c>
      <c r="N57" s="46" t="n">
        <v>31204.71</v>
      </c>
      <c r="O57" s="88" t="n">
        <f aca="false">SUM(O50:O56)</f>
        <v>-11450.7</v>
      </c>
      <c r="P57" s="46" t="n">
        <f aca="false">SUM(P50:P56)</f>
        <v>-76891.97</v>
      </c>
      <c r="Q57" s="46" t="n">
        <f aca="false">SUM(Q50:Q56)</f>
        <v>-99385.61</v>
      </c>
      <c r="R57" s="46" t="n">
        <f aca="false">SUM(R50:R56)</f>
        <v>-50571.72</v>
      </c>
      <c r="S57" s="46" t="n">
        <f aca="false">SUM(S50:S56)</f>
        <v>-32686.6</v>
      </c>
      <c r="T57" s="46" t="n">
        <f aca="false">SUM(T50:T56)</f>
        <v>-24941.46</v>
      </c>
      <c r="U57" s="46" t="n">
        <f aca="false">SUM(U50:U56)</f>
        <v>-15056.97</v>
      </c>
      <c r="V57" s="46" t="n">
        <f aca="false">SUM(V50:V56)</f>
        <v>2263.40999999999</v>
      </c>
      <c r="W57" s="46" t="n">
        <f aca="false">SUM(W50:W56)</f>
        <v>-35538.61</v>
      </c>
      <c r="X57" s="46" t="n">
        <f aca="false">SUM(X50:X56)</f>
        <v>-20926.1956318532</v>
      </c>
      <c r="Y57" s="46" t="n">
        <f aca="false">SUM(Y50:Y56)</f>
        <v>-38341.2853126622</v>
      </c>
      <c r="Z57" s="46" t="n">
        <f aca="false">SUM(Z50:Z56)</f>
        <v>-21020.5398711651</v>
      </c>
      <c r="AA57" s="88" t="n">
        <f aca="false">SUM(AA50:AA56)</f>
        <v>-9948.12216250533</v>
      </c>
      <c r="AB57" s="46" t="n">
        <f aca="false">SUM(AB50:AB56)</f>
        <v>-29161.0826086839</v>
      </c>
      <c r="AC57" s="46" t="n">
        <f aca="false">SUM(AC50:AC56)</f>
        <v>-6659.19381475907</v>
      </c>
      <c r="AD57" s="46" t="n">
        <f aca="false">SUM(AD50:AD56)</f>
        <v>-6015.04727427473</v>
      </c>
      <c r="AE57" s="46" t="n">
        <f aca="false">SUM(AE50:AE56)</f>
        <v>-48935.5847557552</v>
      </c>
      <c r="AF57" s="46" t="n">
        <f aca="false">SUM(AF50:AF56)</f>
        <v>-60530.6811721319</v>
      </c>
      <c r="AG57" s="46" t="n">
        <f aca="false">SUM(AG50:AG56)</f>
        <v>-66235.1071836243</v>
      </c>
      <c r="AH57" s="46" t="n">
        <f aca="false">SUM(AH50:AH56)</f>
        <v>-19341.7812631926</v>
      </c>
      <c r="AI57" s="46" t="n">
        <f aca="false">SUM(AI50:AI56)</f>
        <v>-31287.3163094887</v>
      </c>
      <c r="AJ57" s="46" t="n">
        <f aca="false">SUM(AJ50:AJ56)</f>
        <v>-35774.5419416813</v>
      </c>
      <c r="AK57" s="46" t="n">
        <f aca="false">SUM(AK50:AK56)</f>
        <v>-71589.6025671583</v>
      </c>
      <c r="AL57" s="46" t="n">
        <f aca="false">SUM(AL50:AL56)</f>
        <v>-33441.0504622663</v>
      </c>
      <c r="AM57" s="88" t="n">
        <f aca="false">SUM(AM50:AM56)</f>
        <v>-30341.6449234864</v>
      </c>
      <c r="AN57" s="46" t="n">
        <f aca="false">SUM(AN50:AN56)</f>
        <v>-57121.8532733335</v>
      </c>
      <c r="AO57" s="46" t="n">
        <f aca="false">SUM(AO50:AO56)</f>
        <v>-6815.4665210151</v>
      </c>
      <c r="AP57" s="46" t="n">
        <f aca="false">SUM(AP50:AP56)</f>
        <v>-14262.8353178148</v>
      </c>
      <c r="AQ57" s="46" t="n">
        <f aca="false">SUM(AQ50:AQ56)</f>
        <v>-21202.9709567181</v>
      </c>
      <c r="AR57" s="46" t="n">
        <f aca="false">SUM(AR50:AR56)</f>
        <v>-64703.5899495006</v>
      </c>
      <c r="AS57" s="46" t="n">
        <f aca="false">SUM(AS50:AS56)</f>
        <v>-44115.6707496924</v>
      </c>
      <c r="AT57" s="46" t="n">
        <f aca="false">SUM(AT50:AT56)</f>
        <v>23779.3219163054</v>
      </c>
      <c r="AU57" s="46" t="n">
        <f aca="false">SUM(AU50:AU56)</f>
        <v>32537.5818286662</v>
      </c>
      <c r="AV57" s="46" t="n">
        <f aca="false">SUM(AV50:AV56)</f>
        <v>-25369.5295292452</v>
      </c>
      <c r="AW57" s="46" t="n">
        <f aca="false">SUM(AW50:AW56)</f>
        <v>-30141.9997674514</v>
      </c>
      <c r="AX57" s="46" t="n">
        <f aca="false">SUM(AX50:AX56)</f>
        <v>2270.15683192386</v>
      </c>
      <c r="AY57" s="88" t="n">
        <f aca="false">SUM(AY50:AY56)</f>
        <v>353597.783684925</v>
      </c>
      <c r="AZ57" s="46" t="n">
        <f aca="false">SUM(AZ50:AZ56)</f>
        <v>615098.541303591</v>
      </c>
      <c r="BA57" s="46" t="n">
        <f aca="false">SUM(BA50:BA56)</f>
        <v>689667.906974449</v>
      </c>
      <c r="BB57" s="46" t="n">
        <f aca="false">SUM(BB50:BB56)</f>
        <v>807491.808348687</v>
      </c>
      <c r="BC57" s="46" t="n">
        <f aca="false">SUM(BC50:BC56)</f>
        <v>1100263.4621347</v>
      </c>
      <c r="BD57" s="46" t="n">
        <f aca="false">SUM(BD50:BD56)</f>
        <v>1419439.91007548</v>
      </c>
      <c r="BE57" s="46" t="n">
        <f aca="false">SUM(BE50:BE56)</f>
        <v>2308296.05989019</v>
      </c>
      <c r="BF57" s="46" t="n">
        <f aca="false">SUM(BF50:BF56)</f>
        <v>3467255.30022853</v>
      </c>
    </row>
    <row r="58" customFormat="false" ht="15" hidden="false" customHeight="false" outlineLevel="0" collapsed="false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8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8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8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89"/>
      <c r="AZ58" s="9"/>
      <c r="BA58" s="9"/>
      <c r="BB58" s="9"/>
      <c r="BC58" s="9"/>
      <c r="BD58" s="9"/>
      <c r="BE58" s="9"/>
      <c r="BF58" s="9"/>
    </row>
    <row r="59" customFormat="false" ht="15" hidden="false" customHeight="false" outlineLevel="0" collapsed="false">
      <c r="B59" s="9" t="s">
        <v>249</v>
      </c>
      <c r="C59" s="40" t="n">
        <v>-105127.35</v>
      </c>
      <c r="D59" s="40" t="n">
        <v>-2958.26</v>
      </c>
      <c r="E59" s="40" t="n">
        <v>-42239.98</v>
      </c>
      <c r="F59" s="40" t="n">
        <v>-55400.56</v>
      </c>
      <c r="G59" s="40" t="n">
        <v>-9666.45</v>
      </c>
      <c r="H59" s="40" t="n">
        <v>-118.8</v>
      </c>
      <c r="I59" s="40" t="n">
        <v>-9985.71</v>
      </c>
      <c r="J59" s="40" t="n">
        <v>-17016.68</v>
      </c>
      <c r="K59" s="40" t="n">
        <v>-3871.43</v>
      </c>
      <c r="L59" s="40" t="n">
        <v>-11220.89</v>
      </c>
      <c r="M59" s="40" t="n">
        <v>-18922.22</v>
      </c>
      <c r="N59" s="40" t="n">
        <v>-66580.2</v>
      </c>
      <c r="O59" s="84" t="n">
        <f aca="false">'EEFF a septiemrbe'!B81+'EEFF a septiemrbe'!B82</f>
        <v>-4736.70999999993</v>
      </c>
      <c r="P59" s="40" t="n">
        <f aca="false">'EEFF a septiemrbe'!C81+'EEFF a septiemrbe'!C82</f>
        <v>-8972.90000000011</v>
      </c>
      <c r="Q59" s="40" t="n">
        <f aca="false">'EEFF a septiemrbe'!D81+'EEFF a septiemrbe'!D82</f>
        <v>3520.01000000003</v>
      </c>
      <c r="R59" s="40" t="n">
        <f aca="false">'EEFF a septiemrbe'!E81+'EEFF a septiemrbe'!E82</f>
        <v>-3670.42000000001</v>
      </c>
      <c r="S59" s="40" t="n">
        <f aca="false">'EEFF a septiemrbe'!F81+'EEFF a septiemrbe'!F82</f>
        <v>-1013.19000000003</v>
      </c>
      <c r="T59" s="40" t="n">
        <f aca="false">'EEFF a septiemrbe'!G81+'EEFF a septiemrbe'!G82</f>
        <v>-331.729999999965</v>
      </c>
      <c r="U59" s="40" t="n">
        <f aca="false">'EEFF a septiemrbe'!H81+'EEFF a septiemrbe'!H82</f>
        <v>-145.98000000004</v>
      </c>
      <c r="V59" s="40" t="n">
        <f aca="false">'EEFF a septiemrbe'!I81+'EEFF a septiemrbe'!I82</f>
        <v>2103.32999999992</v>
      </c>
      <c r="W59" s="40" t="n">
        <f aca="false">'EEFF a septiemrbe'!J81+'EEFF a septiemrbe'!J82</f>
        <v>-45984.7399999999</v>
      </c>
      <c r="X59" s="40" t="n">
        <f aca="false">X117</f>
        <v>-0</v>
      </c>
      <c r="Y59" s="40" t="n">
        <f aca="false">Y117</f>
        <v>-0</v>
      </c>
      <c r="Z59" s="40" t="n">
        <f aca="false">Z117</f>
        <v>-33333.3333333333</v>
      </c>
      <c r="AA59" s="84" t="n">
        <f aca="false">AA117</f>
        <v>-66666.6666666667</v>
      </c>
      <c r="AB59" s="40" t="n">
        <f aca="false">AB117</f>
        <v>-100000</v>
      </c>
      <c r="AC59" s="40" t="n">
        <f aca="false">AC117</f>
        <v>-100000</v>
      </c>
      <c r="AD59" s="40" t="n">
        <f aca="false">AD117</f>
        <v>-66666.6666666667</v>
      </c>
      <c r="AE59" s="40" t="n">
        <f aca="false">AE117</f>
        <v>-66666.6666666667</v>
      </c>
      <c r="AF59" s="40" t="n">
        <f aca="false">AF117</f>
        <v>-33333.3333333333</v>
      </c>
      <c r="AG59" s="40" t="n">
        <f aca="false">AG117</f>
        <v>-66666.6666666667</v>
      </c>
      <c r="AH59" s="40" t="n">
        <f aca="false">AH117</f>
        <v>-33333.3333333333</v>
      </c>
      <c r="AI59" s="40" t="n">
        <f aca="false">AI117</f>
        <v>-66666.6666666667</v>
      </c>
      <c r="AJ59" s="40" t="n">
        <f aca="false">AJ117</f>
        <v>-33333.3333333333</v>
      </c>
      <c r="AK59" s="40" t="n">
        <f aca="false">AK117</f>
        <v>-33333.3333333333</v>
      </c>
      <c r="AL59" s="40" t="n">
        <f aca="false">AL117</f>
        <v>-0</v>
      </c>
      <c r="AM59" s="84" t="n">
        <f aca="false">AM117</f>
        <v>-0</v>
      </c>
      <c r="AN59" s="40" t="n">
        <f aca="false">AN117</f>
        <v>-33333.3333333333</v>
      </c>
      <c r="AO59" s="40" t="n">
        <f aca="false">AO117</f>
        <v>-33333.3333333333</v>
      </c>
      <c r="AP59" s="40" t="n">
        <f aca="false">AP117</f>
        <v>-66666.6666666667</v>
      </c>
      <c r="AQ59" s="40" t="n">
        <f aca="false">AQ117</f>
        <v>-33333.3333333333</v>
      </c>
      <c r="AR59" s="40" t="n">
        <f aca="false">AR117</f>
        <v>-66666.6666666667</v>
      </c>
      <c r="AS59" s="40" t="n">
        <f aca="false">AS117</f>
        <v>-33333.3333333333</v>
      </c>
      <c r="AT59" s="40" t="n">
        <f aca="false">AT117</f>
        <v>-100000</v>
      </c>
      <c r="AU59" s="40" t="n">
        <f aca="false">AU117</f>
        <v>-66666.6666666667</v>
      </c>
      <c r="AV59" s="40" t="n">
        <f aca="false">AV117</f>
        <v>-100000</v>
      </c>
      <c r="AW59" s="40" t="n">
        <f aca="false">AW117</f>
        <v>-66666.6666666667</v>
      </c>
      <c r="AX59" s="40" t="n">
        <f aca="false">AX117</f>
        <v>-66666.6666666667</v>
      </c>
      <c r="AY59" s="84" t="n">
        <f aca="false">AY117</f>
        <v>-100000</v>
      </c>
      <c r="AZ59" s="40" t="n">
        <f aca="false">AZ117</f>
        <v>-550000</v>
      </c>
      <c r="BA59" s="40" t="n">
        <f aca="false">BA117</f>
        <v>-700000</v>
      </c>
      <c r="BB59" s="40" t="n">
        <f aca="false">BB117</f>
        <v>-400000</v>
      </c>
      <c r="BC59" s="40" t="n">
        <f aca="false">BC117</f>
        <v>-800000</v>
      </c>
      <c r="BD59" s="40" t="n">
        <f aca="false">BD117</f>
        <v>-1200000</v>
      </c>
      <c r="BE59" s="40" t="n">
        <f aca="false">BE117</f>
        <v>-1200000</v>
      </c>
      <c r="BF59" s="40" t="n">
        <f aca="false">BF117</f>
        <v>-900000</v>
      </c>
    </row>
    <row r="60" customFormat="false" ht="15" hidden="false" customHeight="false" outlineLevel="0" collapsed="false">
      <c r="B60" s="9" t="s">
        <v>250</v>
      </c>
      <c r="C60" s="40" t="n">
        <v>118.8</v>
      </c>
      <c r="D60" s="40" t="n">
        <v>406352.13</v>
      </c>
      <c r="E60" s="40" t="n">
        <v>118.8</v>
      </c>
      <c r="F60" s="40" t="n">
        <v>118.8</v>
      </c>
      <c r="G60" s="40" t="n">
        <v>118.8</v>
      </c>
      <c r="H60" s="40" t="n">
        <v>118.8</v>
      </c>
      <c r="I60" s="40" t="n">
        <v>0</v>
      </c>
      <c r="J60" s="40" t="n">
        <v>-152.18</v>
      </c>
      <c r="K60" s="40" t="n">
        <v>12.75</v>
      </c>
      <c r="L60" s="40" t="n">
        <v>12.75</v>
      </c>
      <c r="M60" s="40" t="n">
        <v>12.75</v>
      </c>
      <c r="N60" s="40" t="n">
        <v>12.75</v>
      </c>
      <c r="O60" s="84" t="n">
        <f aca="false">'EEFF a septiemrbe'!B83</f>
        <v>0</v>
      </c>
      <c r="P60" s="40" t="n">
        <f aca="false">'EEFF a septiemrbe'!C83</f>
        <v>0</v>
      </c>
      <c r="Q60" s="40" t="n">
        <f aca="false">'EEFF a septiemrbe'!D83</f>
        <v>0</v>
      </c>
      <c r="R60" s="40" t="n">
        <f aca="false">'EEFF a septiemrbe'!E83</f>
        <v>0</v>
      </c>
      <c r="S60" s="40" t="n">
        <f aca="false">'EEFF a septiemrbe'!F83</f>
        <v>0</v>
      </c>
      <c r="T60" s="40" t="n">
        <f aca="false">'EEFF a septiemrbe'!G83</f>
        <v>0</v>
      </c>
      <c r="U60" s="40" t="n">
        <f aca="false">'EEFF a septiemrbe'!H83</f>
        <v>0</v>
      </c>
      <c r="V60" s="40" t="n">
        <f aca="false">'EEFF a septiemrbe'!I83</f>
        <v>0</v>
      </c>
      <c r="W60" s="40" t="n">
        <f aca="false">'EEFF a septiemrbe'!J83</f>
        <v>0</v>
      </c>
      <c r="X60" s="40" t="n">
        <v>0</v>
      </c>
      <c r="Y60" s="40" t="n">
        <v>0</v>
      </c>
      <c r="Z60" s="40" t="n">
        <v>0</v>
      </c>
      <c r="AA60" s="84" t="n">
        <v>0</v>
      </c>
      <c r="AB60" s="40" t="n">
        <v>0</v>
      </c>
      <c r="AC60" s="40" t="n">
        <v>0</v>
      </c>
      <c r="AD60" s="40" t="n">
        <v>0</v>
      </c>
      <c r="AE60" s="40" t="n">
        <v>0</v>
      </c>
      <c r="AF60" s="40" t="n">
        <v>0</v>
      </c>
      <c r="AG60" s="40" t="n">
        <v>0</v>
      </c>
      <c r="AH60" s="40" t="n">
        <v>0</v>
      </c>
      <c r="AI60" s="40" t="n">
        <v>0</v>
      </c>
      <c r="AJ60" s="40" t="n">
        <v>0</v>
      </c>
      <c r="AK60" s="40" t="n">
        <v>0</v>
      </c>
      <c r="AL60" s="40" t="n">
        <v>0</v>
      </c>
      <c r="AM60" s="84" t="n">
        <v>0</v>
      </c>
      <c r="AN60" s="40" t="n">
        <v>0</v>
      </c>
      <c r="AO60" s="40" t="n">
        <v>0</v>
      </c>
      <c r="AP60" s="40" t="n">
        <v>0</v>
      </c>
      <c r="AQ60" s="40" t="n">
        <v>0</v>
      </c>
      <c r="AR60" s="40" t="n">
        <v>0</v>
      </c>
      <c r="AS60" s="40" t="n">
        <v>0</v>
      </c>
      <c r="AT60" s="40" t="n">
        <v>0</v>
      </c>
      <c r="AU60" s="40" t="n">
        <v>0</v>
      </c>
      <c r="AV60" s="40" t="n">
        <v>0</v>
      </c>
      <c r="AW60" s="40" t="n">
        <v>0</v>
      </c>
      <c r="AX60" s="40" t="n">
        <v>0</v>
      </c>
      <c r="AY60" s="84" t="n">
        <v>0</v>
      </c>
      <c r="AZ60" s="40" t="n">
        <v>0</v>
      </c>
      <c r="BA60" s="40" t="n">
        <v>0</v>
      </c>
      <c r="BB60" s="40" t="n">
        <v>0</v>
      </c>
      <c r="BC60" s="40" t="n">
        <v>0</v>
      </c>
      <c r="BD60" s="40" t="n">
        <v>0</v>
      </c>
      <c r="BE60" s="40" t="n">
        <v>0</v>
      </c>
      <c r="BF60" s="40" t="n">
        <v>0</v>
      </c>
    </row>
    <row r="61" customFormat="false" ht="15" hidden="false" customHeight="false" outlineLevel="0" collapsed="false">
      <c r="B61" s="10" t="s">
        <v>251</v>
      </c>
      <c r="C61" s="46" t="n">
        <v>-105008.55</v>
      </c>
      <c r="D61" s="46" t="n">
        <v>403393.87</v>
      </c>
      <c r="E61" s="46" t="n">
        <v>-42121.18</v>
      </c>
      <c r="F61" s="46" t="n">
        <v>-55281.76</v>
      </c>
      <c r="G61" s="46" t="n">
        <v>-9547.65</v>
      </c>
      <c r="H61" s="46" t="n">
        <v>0</v>
      </c>
      <c r="I61" s="46" t="n">
        <v>-9985.71</v>
      </c>
      <c r="J61" s="46" t="n">
        <v>-17168.86</v>
      </c>
      <c r="K61" s="46" t="n">
        <v>-3858.68</v>
      </c>
      <c r="L61" s="46" t="n">
        <v>-11208.14</v>
      </c>
      <c r="M61" s="46" t="n">
        <v>-18909.47</v>
      </c>
      <c r="N61" s="46" t="n">
        <v>-66567.45</v>
      </c>
      <c r="O61" s="88" t="n">
        <f aca="false">O59+O60</f>
        <v>-4736.70999999993</v>
      </c>
      <c r="P61" s="46" t="n">
        <f aca="false">P59+P60</f>
        <v>-8972.90000000011</v>
      </c>
      <c r="Q61" s="46" t="n">
        <f aca="false">Q59+Q60</f>
        <v>3520.01000000003</v>
      </c>
      <c r="R61" s="46" t="n">
        <f aca="false">R59+R60</f>
        <v>-3670.42000000001</v>
      </c>
      <c r="S61" s="46" t="n">
        <f aca="false">S59+S60</f>
        <v>-1013.19000000003</v>
      </c>
      <c r="T61" s="46" t="n">
        <f aca="false">T59+T60</f>
        <v>-331.729999999965</v>
      </c>
      <c r="U61" s="46" t="n">
        <f aca="false">U59+U60</f>
        <v>-145.98000000004</v>
      </c>
      <c r="V61" s="46" t="n">
        <f aca="false">V59+V60</f>
        <v>2103.32999999992</v>
      </c>
      <c r="W61" s="46" t="n">
        <f aca="false">W59+W60</f>
        <v>-45984.7399999999</v>
      </c>
      <c r="X61" s="46" t="n">
        <f aca="false">X59+X60</f>
        <v>0</v>
      </c>
      <c r="Y61" s="46" t="n">
        <f aca="false">Y59+Y60</f>
        <v>0</v>
      </c>
      <c r="Z61" s="46" t="n">
        <f aca="false">Z59+Z60</f>
        <v>-33333.3333333333</v>
      </c>
      <c r="AA61" s="88" t="n">
        <f aca="false">AA59+AA60</f>
        <v>-66666.6666666667</v>
      </c>
      <c r="AB61" s="46" t="n">
        <f aca="false">AB59+AB60</f>
        <v>-100000</v>
      </c>
      <c r="AC61" s="46" t="n">
        <f aca="false">AC59+AC60</f>
        <v>-100000</v>
      </c>
      <c r="AD61" s="46" t="n">
        <f aca="false">AD59+AD60</f>
        <v>-66666.6666666667</v>
      </c>
      <c r="AE61" s="46" t="n">
        <f aca="false">AE59+AE60</f>
        <v>-66666.6666666667</v>
      </c>
      <c r="AF61" s="46" t="n">
        <f aca="false">AF59+AF60</f>
        <v>-33333.3333333333</v>
      </c>
      <c r="AG61" s="46" t="n">
        <f aca="false">AG59+AG60</f>
        <v>-66666.6666666667</v>
      </c>
      <c r="AH61" s="46" t="n">
        <f aca="false">AH59+AH60</f>
        <v>-33333.3333333333</v>
      </c>
      <c r="AI61" s="46" t="n">
        <f aca="false">AI59+AI60</f>
        <v>-66666.6666666667</v>
      </c>
      <c r="AJ61" s="46" t="n">
        <f aca="false">AJ59+AJ60</f>
        <v>-33333.3333333333</v>
      </c>
      <c r="AK61" s="46" t="n">
        <f aca="false">AK59+AK60</f>
        <v>-33333.3333333333</v>
      </c>
      <c r="AL61" s="46" t="n">
        <f aca="false">AL59+AL60</f>
        <v>0</v>
      </c>
      <c r="AM61" s="88" t="n">
        <f aca="false">AM59+AM60</f>
        <v>0</v>
      </c>
      <c r="AN61" s="46" t="n">
        <f aca="false">AN59+AN60</f>
        <v>-33333.3333333333</v>
      </c>
      <c r="AO61" s="46" t="n">
        <f aca="false">AO59+AO60</f>
        <v>-33333.3333333333</v>
      </c>
      <c r="AP61" s="46" t="n">
        <f aca="false">AP59+AP60</f>
        <v>-66666.6666666667</v>
      </c>
      <c r="AQ61" s="46" t="n">
        <f aca="false">AQ59+AQ60</f>
        <v>-33333.3333333333</v>
      </c>
      <c r="AR61" s="46" t="n">
        <f aca="false">AR59+AR60</f>
        <v>-66666.6666666667</v>
      </c>
      <c r="AS61" s="46" t="n">
        <f aca="false">AS59+AS60</f>
        <v>-33333.3333333333</v>
      </c>
      <c r="AT61" s="46" t="n">
        <f aca="false">AT59+AT60</f>
        <v>-100000</v>
      </c>
      <c r="AU61" s="46" t="n">
        <f aca="false">AU59+AU60</f>
        <v>-66666.6666666667</v>
      </c>
      <c r="AV61" s="46" t="n">
        <f aca="false">AV59+AV60</f>
        <v>-100000</v>
      </c>
      <c r="AW61" s="46" t="n">
        <f aca="false">AW59+AW60</f>
        <v>-66666.6666666667</v>
      </c>
      <c r="AX61" s="46" t="n">
        <f aca="false">AX59+AX60</f>
        <v>-66666.6666666667</v>
      </c>
      <c r="AY61" s="88" t="n">
        <f aca="false">AY59+AY60</f>
        <v>-100000</v>
      </c>
      <c r="AZ61" s="46" t="n">
        <f aca="false">AZ59+AZ60</f>
        <v>-550000</v>
      </c>
      <c r="BA61" s="46" t="n">
        <f aca="false">BA59+BA60</f>
        <v>-700000</v>
      </c>
      <c r="BB61" s="46" t="n">
        <f aca="false">BB59+BB60</f>
        <v>-400000</v>
      </c>
      <c r="BC61" s="46" t="n">
        <f aca="false">BC59+BC60</f>
        <v>-800000</v>
      </c>
      <c r="BD61" s="46" t="n">
        <f aca="false">BD59+BD60</f>
        <v>-1200000</v>
      </c>
      <c r="BE61" s="46" t="n">
        <f aca="false">BE59+BE60</f>
        <v>-1200000</v>
      </c>
      <c r="BF61" s="46" t="n">
        <f aca="false">BF59+BF60</f>
        <v>-900000</v>
      </c>
    </row>
    <row r="62" customFormat="false" ht="15" hidden="false" customHeight="false" outlineLevel="0" collapsed="false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8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8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8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89"/>
      <c r="AZ62" s="9"/>
      <c r="BA62" s="9"/>
      <c r="BB62" s="9"/>
      <c r="BC62" s="9"/>
      <c r="BD62" s="9"/>
      <c r="BE62" s="9"/>
      <c r="BF62" s="9"/>
    </row>
    <row r="63" customFormat="false" ht="15" hidden="false" customHeight="false" outlineLevel="0" collapsed="false">
      <c r="B63" s="9" t="s">
        <v>252</v>
      </c>
      <c r="C63" s="40" t="n">
        <v>40562.72</v>
      </c>
      <c r="D63" s="40" t="n">
        <v>-43995.44</v>
      </c>
      <c r="E63" s="40" t="n">
        <v>2248.54</v>
      </c>
      <c r="F63" s="40" t="n">
        <v>-1926.15</v>
      </c>
      <c r="G63" s="40" t="n">
        <v>-4947.87</v>
      </c>
      <c r="H63" s="40" t="n">
        <v>7552.83</v>
      </c>
      <c r="I63" s="40" t="n">
        <v>-8854.22</v>
      </c>
      <c r="J63" s="40" t="n">
        <v>1766.72</v>
      </c>
      <c r="K63" s="40" t="n">
        <v>7078.46</v>
      </c>
      <c r="L63" s="40" t="n">
        <v>166133.67</v>
      </c>
      <c r="M63" s="40" t="n">
        <v>20958.13</v>
      </c>
      <c r="N63" s="40" t="n">
        <v>4852.37</v>
      </c>
      <c r="O63" s="84" t="n">
        <f aca="false">'EEFF a septiemrbe'!B85</f>
        <v>-182325.17</v>
      </c>
      <c r="P63" s="40" t="n">
        <f aca="false">'EEFF a septiemrbe'!C85</f>
        <v>-1992.55</v>
      </c>
      <c r="Q63" s="40" t="n">
        <f aca="false">'EEFF a septiemrbe'!D85</f>
        <v>2668.25</v>
      </c>
      <c r="R63" s="40" t="n">
        <f aca="false">'EEFF a septiemrbe'!E85</f>
        <v>331.769999999997</v>
      </c>
      <c r="S63" s="40" t="n">
        <f aca="false">'EEFF a septiemrbe'!F85</f>
        <v>3322.73</v>
      </c>
      <c r="T63" s="40" t="n">
        <f aca="false">'EEFF a septiemrbe'!G85</f>
        <v>-197.599999999999</v>
      </c>
      <c r="U63" s="40" t="n">
        <f aca="false">'EEFF a septiemrbe'!H85</f>
        <v>-769.820000000003</v>
      </c>
      <c r="V63" s="40" t="n">
        <f aca="false">'EEFF a septiemrbe'!I85</f>
        <v>3136.67</v>
      </c>
      <c r="W63" s="40" t="n">
        <f aca="false">'EEFF a septiemrbe'!J85</f>
        <v>74912.85</v>
      </c>
      <c r="X63" s="40" t="n">
        <f aca="false">SUMIFS('㉓ Debt Schedule'!$H$18:$H$77,'㉓ Debt Schedule'!$C$18:$C$77,X$5)-X131+IF(MONTH(X$5)=1,SUMIFS('㉕ Funding Gap'!$C$63:$N$63,'㉕ Funding Gap'!$C$60:$N$60,YEAR(X$5)),0)-SUMIFS('㉓ Debt Schedule'!$F$98:$F$157,'㉓ Debt Schedule'!$C$98:$C$157,X$5)</f>
        <v>-1157.0762</v>
      </c>
      <c r="Y63" s="40" t="n">
        <f aca="false">SUMIFS('㉓ Debt Schedule'!$H$18:$H$77,'㉓ Debt Schedule'!$C$18:$C$77,Y$5)-Y131+IF(MONTH(Y$5)=1,SUMIFS('㉕ Funding Gap'!$C$63:$N$63,'㉕ Funding Gap'!$C$60:$N$60,YEAR(Y$5)),0)-SUMIFS('㉓ Debt Schedule'!$F$98:$F$157,'㉓ Debt Schedule'!$C$98:$C$157,Y$5)</f>
        <v>-1167.68273183333</v>
      </c>
      <c r="Z63" s="40" t="n">
        <f aca="false">SUMIFS('㉓ Debt Schedule'!$H$18:$H$77,'㉓ Debt Schedule'!$C$18:$C$77,Z$5)-Z131+IF(MONTH(Z$5)=1,SUMIFS('㉕ Funding Gap'!$C$63:$N$63,'㉕ Funding Gap'!$C$60:$N$60,YEAR(Z$5)),0)-SUMIFS('㉓ Debt Schedule'!$F$98:$F$157,'㉓ Debt Schedule'!$C$98:$C$157,Z$5)</f>
        <v>-1178.38649020847</v>
      </c>
      <c r="AA63" s="84" t="n">
        <f aca="false">SUMIFS('㉓ Debt Schedule'!$H$18:$H$77,'㉓ Debt Schedule'!$C$18:$C$77,AA$5)-AA131+IF(MONTH(AA$5)=1,SUMIFS('㉕ Funding Gap'!$C$63:$N$63,'㉕ Funding Gap'!$C$60:$N$60,YEAR(AA$5)),0)-SUMIFS('㉓ Debt Schedule'!$F$98:$F$157,'㉓ Debt Schedule'!$C$98:$C$157,AA$5)</f>
        <v>-1189.18836636872</v>
      </c>
      <c r="AB63" s="40" t="n">
        <f aca="false">SUMIFS('㉓ Debt Schedule'!$H$18:$H$77,'㉓ Debt Schedule'!$C$18:$C$77,AB$5)-AB131+IF(MONTH(AB$5)=1,SUMIFS('㉕ Funding Gap'!$C$63:$N$63,'㉕ Funding Gap'!$C$60:$N$60,YEAR(AB$5)),0)-SUMIFS('㉓ Debt Schedule'!$F$98:$F$157,'㉓ Debt Schedule'!$C$98:$C$157,AB$5)</f>
        <v>-1200.0892597271</v>
      </c>
      <c r="AC63" s="40" t="n">
        <f aca="false">SUMIFS('㉓ Debt Schedule'!$H$18:$H$77,'㉓ Debt Schedule'!$C$18:$C$77,AC$5)-AC131+IF(MONTH(AC$5)=1,SUMIFS('㉕ Funding Gap'!$C$63:$N$63,'㉕ Funding Gap'!$C$60:$N$60,YEAR(AC$5)),0)-SUMIFS('㉓ Debt Schedule'!$F$98:$F$157,'㉓ Debt Schedule'!$C$98:$C$157,AC$5)</f>
        <v>-1211.09007794126</v>
      </c>
      <c r="AD63" s="40" t="n">
        <f aca="false">SUMIFS('㉓ Debt Schedule'!$H$18:$H$77,'㉓ Debt Schedule'!$C$18:$C$77,AD$5)-AD131+IF(MONTH(AD$5)=1,SUMIFS('㉕ Funding Gap'!$C$63:$N$63,'㉕ Funding Gap'!$C$60:$N$60,YEAR(AD$5)),0)-SUMIFS('㉓ Debt Schedule'!$F$98:$F$157,'㉓ Debt Schedule'!$C$98:$C$157,AD$5)</f>
        <v>-1222.19173698906</v>
      </c>
      <c r="AE63" s="40" t="n">
        <f aca="false">SUMIFS('㉓ Debt Schedule'!$H$18:$H$77,'㉓ Debt Schedule'!$C$18:$C$77,AE$5)-AE131+IF(MONTH(AE$5)=1,SUMIFS('㉕ Funding Gap'!$C$63:$N$63,'㉕ Funding Gap'!$C$60:$N$60,YEAR(AE$5)),0)-SUMIFS('㉓ Debt Schedule'!$F$98:$F$157,'㉓ Debt Schedule'!$C$98:$C$157,AE$5)</f>
        <v>-1233.39516124479</v>
      </c>
      <c r="AF63" s="40" t="n">
        <f aca="false">SUMIFS('㉓ Debt Schedule'!$H$18:$H$77,'㉓ Debt Schedule'!$C$18:$C$77,AF$5)-AF131+IF(MONTH(AF$5)=1,SUMIFS('㉕ Funding Gap'!$C$63:$N$63,'㉕ Funding Gap'!$C$60:$N$60,YEAR(AF$5)),0)-SUMIFS('㉓ Debt Schedule'!$F$98:$F$157,'㉓ Debt Schedule'!$C$98:$C$157,AF$5)</f>
        <v>-1244.7012835562</v>
      </c>
      <c r="AG63" s="40" t="n">
        <f aca="false">SUMIFS('㉓ Debt Schedule'!$H$18:$H$77,'㉓ Debt Schedule'!$C$18:$C$77,AG$5)-AG131+IF(MONTH(AG$5)=1,SUMIFS('㉕ Funding Gap'!$C$63:$N$63,'㉕ Funding Gap'!$C$60:$N$60,YEAR(AG$5)),0)-SUMIFS('㉓ Debt Schedule'!$F$98:$F$157,'㉓ Debt Schedule'!$C$98:$C$157,AG$5)</f>
        <v>-1256.11104532213</v>
      </c>
      <c r="AH63" s="40" t="n">
        <f aca="false">SUMIFS('㉓ Debt Schedule'!$H$18:$H$77,'㉓ Debt Schedule'!$C$18:$C$77,AH$5)-AH131+IF(MONTH(AH$5)=1,SUMIFS('㉕ Funding Gap'!$C$63:$N$63,'㉕ Funding Gap'!$C$60:$N$60,YEAR(AH$5)),0)-SUMIFS('㉓ Debt Schedule'!$F$98:$F$157,'㉓ Debt Schedule'!$C$98:$C$157,AH$5)</f>
        <v>-1267.62539657092</v>
      </c>
      <c r="AI63" s="40" t="n">
        <f aca="false">SUMIFS('㉓ Debt Schedule'!$H$18:$H$77,'㉓ Debt Schedule'!$C$18:$C$77,AI$5)-AI131+IF(MONTH(AI$5)=1,SUMIFS('㉕ Funding Gap'!$C$63:$N$63,'㉕ Funding Gap'!$C$60:$N$60,YEAR(AI$5)),0)-SUMIFS('㉓ Debt Schedule'!$F$98:$F$157,'㉓ Debt Schedule'!$C$98:$C$157,AI$5)</f>
        <v>-1279.24529603948</v>
      </c>
      <c r="AJ63" s="40" t="n">
        <f aca="false">SUMIFS('㉓ Debt Schedule'!$H$18:$H$77,'㉓ Debt Schedule'!$C$18:$C$77,AJ$5)-AJ131+IF(MONTH(AJ$5)=1,SUMIFS('㉕ Funding Gap'!$C$63:$N$63,'㉕ Funding Gap'!$C$60:$N$60,YEAR(AJ$5)),0)-SUMIFS('㉓ Debt Schedule'!$F$98:$F$157,'㉓ Debt Schedule'!$C$98:$C$157,AJ$5)</f>
        <v>-1290.97171125318</v>
      </c>
      <c r="AK63" s="40" t="n">
        <f aca="false">SUMIFS('㉓ Debt Schedule'!$H$18:$H$77,'㉓ Debt Schedule'!$C$18:$C$77,AK$5)-AK131+IF(MONTH(AK$5)=1,SUMIFS('㉕ Funding Gap'!$C$63:$N$63,'㉕ Funding Gap'!$C$60:$N$60,YEAR(AK$5)),0)-SUMIFS('㉓ Debt Schedule'!$F$98:$F$157,'㉓ Debt Schedule'!$C$98:$C$157,AK$5)</f>
        <v>-1302.80561860633</v>
      </c>
      <c r="AL63" s="40" t="n">
        <f aca="false">SUMIFS('㉓ Debt Schedule'!$H$18:$H$77,'㉓ Debt Schedule'!$C$18:$C$77,AL$5)-AL131+IF(MONTH(AL$5)=1,SUMIFS('㉕ Funding Gap'!$C$63:$N$63,'㉕ Funding Gap'!$C$60:$N$60,YEAR(AL$5)),0)-SUMIFS('㉓ Debt Schedule'!$F$98:$F$157,'㉓ Debt Schedule'!$C$98:$C$157,AL$5)</f>
        <v>-1314.74800344356</v>
      </c>
      <c r="AM63" s="84" t="n">
        <f aca="false">SUMIFS('㉓ Debt Schedule'!$H$18:$H$77,'㉓ Debt Schedule'!$C$18:$C$77,AM$5)-AM131+IF(MONTH(AM$5)=1,SUMIFS('㉕ Funding Gap'!$C$63:$N$63,'㉕ Funding Gap'!$C$60:$N$60,YEAR(AM$5)),0)-SUMIFS('㉓ Debt Schedule'!$F$98:$F$157,'㉓ Debt Schedule'!$C$98:$C$157,AM$5)</f>
        <v>-1326.79986014179</v>
      </c>
      <c r="AN63" s="40" t="n">
        <f aca="false">SUMIFS('㉓ Debt Schedule'!$H$18:$H$77,'㉓ Debt Schedule'!$C$18:$C$77,AN$5)-AN131+IF(MONTH(AN$5)=1,SUMIFS('㉕ Funding Gap'!$C$63:$N$63,'㉕ Funding Gap'!$C$60:$N$60,YEAR(AN$5)),0)-SUMIFS('㉓ Debt Schedule'!$F$98:$F$157,'㉓ Debt Schedule'!$C$98:$C$157,AN$5)</f>
        <v>-1338.96219219309</v>
      </c>
      <c r="AO63" s="40" t="n">
        <f aca="false">SUMIFS('㉓ Debt Schedule'!$H$18:$H$77,'㉓ Debt Schedule'!$C$18:$C$77,AO$5)-AO131+IF(MONTH(AO$5)=1,SUMIFS('㉕ Funding Gap'!$C$63:$N$63,'㉕ Funding Gap'!$C$60:$N$60,YEAR(AO$5)),0)-SUMIFS('㉓ Debt Schedule'!$F$98:$F$157,'㉓ Debt Schedule'!$C$98:$C$157,AO$5)</f>
        <v>-1351.23601228819</v>
      </c>
      <c r="AP63" s="40" t="n">
        <f aca="false">SUMIFS('㉓ Debt Schedule'!$H$18:$H$77,'㉓ Debt Schedule'!$C$18:$C$77,AP$5)-AP131+IF(MONTH(AP$5)=1,SUMIFS('㉕ Funding Gap'!$C$63:$N$63,'㉕ Funding Gap'!$C$60:$N$60,YEAR(AP$5)),0)-SUMIFS('㉓ Debt Schedule'!$F$98:$F$157,'㉓ Debt Schedule'!$C$98:$C$157,AP$5)</f>
        <v>-1363.62234240084</v>
      </c>
      <c r="AQ63" s="40" t="n">
        <f aca="false">SUMIFS('㉓ Debt Schedule'!$H$18:$H$77,'㉓ Debt Schedule'!$C$18:$C$77,AQ$5)-AQ131+IF(MONTH(AQ$5)=1,SUMIFS('㉕ Funding Gap'!$C$63:$N$63,'㉕ Funding Gap'!$C$60:$N$60,YEAR(AQ$5)),0)-SUMIFS('㉓ Debt Schedule'!$F$98:$F$157,'㉓ Debt Schedule'!$C$98:$C$157,AQ$5)</f>
        <v>-1376.12221387284</v>
      </c>
      <c r="AR63" s="40" t="n">
        <f aca="false">SUMIFS('㉓ Debt Schedule'!$H$18:$H$77,'㉓ Debt Schedule'!$C$18:$C$77,AR$5)-AR131+IF(MONTH(AR$5)=1,SUMIFS('㉕ Funding Gap'!$C$63:$N$63,'㉕ Funding Gap'!$C$60:$N$60,YEAR(AR$5)),0)-SUMIFS('㉓ Debt Schedule'!$F$98:$F$157,'㉓ Debt Schedule'!$C$98:$C$157,AR$5)</f>
        <v>-1388.73666750001</v>
      </c>
      <c r="AS63" s="40" t="n">
        <f aca="false">SUMIFS('㉓ Debt Schedule'!$H$18:$H$77,'㉓ Debt Schedule'!$C$18:$C$77,AS$5)-AS131+IF(MONTH(AS$5)=1,SUMIFS('㉕ Funding Gap'!$C$63:$N$63,'㉕ Funding Gap'!$C$60:$N$60,YEAR(AS$5)),0)-SUMIFS('㉓ Debt Schedule'!$F$98:$F$157,'㉓ Debt Schedule'!$C$98:$C$157,AS$5)</f>
        <v>-1401.46675361876</v>
      </c>
      <c r="AT63" s="40" t="n">
        <f aca="false">SUMIFS('㉓ Debt Schedule'!$H$18:$H$77,'㉓ Debt Schedule'!$C$18:$C$77,AT$5)-AT131+IF(MONTH(AT$5)=1,SUMIFS('㉕ Funding Gap'!$C$63:$N$63,'㉕ Funding Gap'!$C$60:$N$60,YEAR(AT$5)),0)-SUMIFS('㉓ Debt Schedule'!$F$98:$F$157,'㉓ Debt Schedule'!$C$98:$C$157,AT$5)</f>
        <v>-1414.3135321936</v>
      </c>
      <c r="AU63" s="40" t="n">
        <f aca="false">SUMIFS('㉓ Debt Schedule'!$H$18:$H$77,'㉓ Debt Schedule'!$C$18:$C$77,AU$5)-AU131+IF(MONTH(AU$5)=1,SUMIFS('㉕ Funding Gap'!$C$63:$N$63,'㉕ Funding Gap'!$C$60:$N$60,YEAR(AU$5)),0)-SUMIFS('㉓ Debt Schedule'!$F$98:$F$157,'㉓ Debt Schedule'!$C$98:$C$157,AU$5)</f>
        <v>-1427.27807290538</v>
      </c>
      <c r="AV63" s="40" t="n">
        <f aca="false">SUMIFS('㉓ Debt Schedule'!$H$18:$H$77,'㉓ Debt Schedule'!$C$18:$C$77,AV$5)-AV131+IF(MONTH(AV$5)=1,SUMIFS('㉕ Funding Gap'!$C$63:$N$63,'㉕ Funding Gap'!$C$60:$N$60,YEAR(AV$5)),0)-SUMIFS('㉓ Debt Schedule'!$F$98:$F$157,'㉓ Debt Schedule'!$C$98:$C$157,AV$5)</f>
        <v>-1440.36145524034</v>
      </c>
      <c r="AW63" s="40" t="n">
        <f aca="false">SUMIFS('㉓ Debt Schedule'!$H$18:$H$77,'㉓ Debt Schedule'!$C$18:$C$77,AW$5)-AW131+IF(MONTH(AW$5)=1,SUMIFS('㉕ Funding Gap'!$C$63:$N$63,'㉕ Funding Gap'!$C$60:$N$60,YEAR(AW$5)),0)-SUMIFS('㉓ Debt Schedule'!$F$98:$F$157,'㉓ Debt Schedule'!$C$98:$C$157,AW$5)</f>
        <v>-1453.56476858004</v>
      </c>
      <c r="AX63" s="40" t="n">
        <f aca="false">SUMIFS('㉓ Debt Schedule'!$H$18:$H$77,'㉓ Debt Schedule'!$C$18:$C$77,AX$5)-AX131+IF(MONTH(AX$5)=1,SUMIFS('㉕ Funding Gap'!$C$63:$N$63,'㉕ Funding Gap'!$C$60:$N$60,YEAR(AX$5)),0)-SUMIFS('㉓ Debt Schedule'!$F$98:$F$157,'㉓ Debt Schedule'!$C$98:$C$157,AX$5)</f>
        <v>-1466.88911229203</v>
      </c>
      <c r="AY63" s="84" t="n">
        <f aca="false">SUMIFS('㉓ Debt Schedule'!$H$18:$H$77,'㉓ Debt Schedule'!$C$18:$C$77,"&gt;="&amp;DATE(VALUE(LEFT(AY$5,4)),1,1),'㉓ Debt Schedule'!$C$18:$C$77,"&lt;="&amp;DATE(VALUE(LEFT(AY$5,4)),12,31))-AY131+SUMIFS('㉕ Funding Gap'!$C$63:$N$63,'㉕ Funding Gap'!$C$60:$N$60,VALUE(LEFT(AY$5,4)))-SUMIFS('㉓ Debt Schedule'!$F$98:$F$157,'㉓ Debt Schedule'!$C$98:$C$157,"&gt;="&amp;DATE(AY118,1,1),'㉓ Debt Schedule'!$C$98:$C$157,"&lt;="&amp;DATE(AY118,12,31))</f>
        <v>-18687.5686174688</v>
      </c>
      <c r="AZ63" s="40" t="n">
        <f aca="false">SUMIFS('㉓ Debt Schedule'!$H$18:$H$77,'㉓ Debt Schedule'!$C$18:$C$77,"&gt;="&amp;DATE(VALUE(LEFT(AZ$5,4)),1,1),'㉓ Debt Schedule'!$C$18:$C$77,"&lt;="&amp;DATE(VALUE(LEFT(AZ$5,4)),12,31))-AZ131+SUMIFS('㉕ Funding Gap'!$C$63:$N$63,'㉕ Funding Gap'!$C$60:$N$60,VALUE(LEFT(AZ$5,4)))-SUMIFS('㉓ Debt Schedule'!$F$98:$F$157,'㉓ Debt Schedule'!$C$98:$C$157,"&gt;="&amp;DATE(AZ118,1,1),'㉓ Debt Schedule'!$C$98:$C$157,"&lt;="&amp;DATE(AZ118,12,31))</f>
        <v>233587.462237349</v>
      </c>
      <c r="BA63" s="40" t="n">
        <f aca="false">SUMIFS('㉓ Debt Schedule'!$H$18:$H$77,'㉓ Debt Schedule'!$C$18:$C$77,"&gt;="&amp;DATE(VALUE(LEFT(BA$5,4)),1,1),'㉓ Debt Schedule'!$C$18:$C$77,"&lt;="&amp;DATE(VALUE(LEFT(BA$5,4)),12,31))-BA131+SUMIFS('㉕ Funding Gap'!$C$63:$N$63,'㉕ Funding Gap'!$C$60:$N$60,VALUE(LEFT(BA$5,4)))-SUMIFS('㉓ Debt Schedule'!$F$98:$F$157,'㉓ Debt Schedule'!$C$98:$C$157,"&gt;="&amp;DATE(BA118,1,1),'㉓ Debt Schedule'!$C$98:$C$157,"&lt;="&amp;DATE(BA118,12,31))</f>
        <v>329047.769207059</v>
      </c>
      <c r="BB63" s="40" t="n">
        <f aca="false">SUMIFS('㉓ Debt Schedule'!$H$18:$H$77,'㉓ Debt Schedule'!$C$18:$C$77,"&gt;="&amp;DATE(VALUE(LEFT(BB$5,4)),1,1),'㉓ Debt Schedule'!$C$18:$C$77,"&lt;="&amp;DATE(VALUE(LEFT(BB$5,4)),12,31))-BB131+SUMIFS('㉕ Funding Gap'!$C$63:$N$63,'㉕ Funding Gap'!$C$60:$N$60,VALUE(LEFT(BB$5,4)))-SUMIFS('㉓ Debt Schedule'!$F$98:$F$157,'㉓ Debt Schedule'!$C$98:$C$157,"&gt;="&amp;DATE(BB118,1,1),'㉓ Debt Schedule'!$C$98:$C$157,"&lt;="&amp;DATE(BB118,12,31))</f>
        <v>1369423.31937888</v>
      </c>
      <c r="BC63" s="40" t="n">
        <f aca="false">SUMIFS('㉓ Debt Schedule'!$H$18:$H$77,'㉓ Debt Schedule'!$C$18:$C$77,"&gt;="&amp;DATE(VALUE(LEFT(BC$5,4)),1,1),'㉓ Debt Schedule'!$C$18:$C$77,"&lt;="&amp;DATE(VALUE(LEFT(BC$5,4)),12,31))-BC131+SUMIFS('㉕ Funding Gap'!$C$63:$N$63,'㉕ Funding Gap'!$C$60:$N$60,VALUE(LEFT(BC$5,4)))-SUMIFS('㉓ Debt Schedule'!$F$98:$F$157,'㉓ Debt Schedule'!$C$98:$C$157,"&gt;="&amp;DATE(BC118,1,1),'㉓ Debt Schedule'!$C$98:$C$157,"&lt;="&amp;DATE(BC118,12,31))</f>
        <v>699691.055369398</v>
      </c>
      <c r="BD63" s="40" t="n">
        <f aca="false">SUMIFS('㉓ Debt Schedule'!$H$18:$H$77,'㉓ Debt Schedule'!$C$18:$C$77,"&gt;="&amp;DATE(VALUE(LEFT(BD$5,4)),1,1),'㉓ Debt Schedule'!$C$18:$C$77,"&lt;="&amp;DATE(VALUE(LEFT(BD$5,4)),12,31))-BD131+SUMIFS('㉕ Funding Gap'!$C$63:$N$63,'㉕ Funding Gap'!$C$60:$N$60,VALUE(LEFT(BD$5,4)))-SUMIFS('㉓ Debt Schedule'!$F$98:$F$157,'㉓ Debt Schedule'!$C$98:$C$157,"&gt;="&amp;DATE(BD118,1,1),'㉓ Debt Schedule'!$C$98:$C$157,"&lt;="&amp;DATE(BD118,12,31))</f>
        <v>663481.409175243</v>
      </c>
      <c r="BE63" s="40" t="n">
        <f aca="false">SUMIFS('㉓ Debt Schedule'!$H$18:$H$77,'㉓ Debt Schedule'!$C$18:$C$77,"&gt;="&amp;DATE(VALUE(LEFT(BE$5,4)),1,1),'㉓ Debt Schedule'!$C$18:$C$77,"&lt;="&amp;DATE(VALUE(LEFT(BE$5,4)),12,31))-BE131+SUMIFS('㉕ Funding Gap'!$C$63:$N$63,'㉕ Funding Gap'!$C$60:$N$60,VALUE(LEFT(BE$5,4)))-SUMIFS('㉓ Debt Schedule'!$F$98:$F$157,'㉓ Debt Schedule'!$C$98:$C$157,"&gt;="&amp;DATE(BE118,1,1),'㉓ Debt Schedule'!$C$98:$C$157,"&lt;="&amp;DATE(BE118,12,31))</f>
        <v>2809325.06864072</v>
      </c>
      <c r="BF63" s="40" t="n">
        <f aca="false">SUMIFS('㉓ Debt Schedule'!$H$18:$H$77,'㉓ Debt Schedule'!$C$18:$C$77,"&gt;="&amp;DATE(VALUE(LEFT(BF$5,4)),1,1),'㉓ Debt Schedule'!$C$18:$C$77,"&lt;="&amp;DATE(VALUE(LEFT(BF$5,4)),12,31))-BF131+SUMIFS('㉕ Funding Gap'!$C$63:$N$63,'㉕ Funding Gap'!$C$60:$N$60,VALUE(LEFT(BF$5,4)))-SUMIFS('㉓ Debt Schedule'!$F$98:$F$157,'㉓ Debt Schedule'!$C$98:$C$157,"&gt;="&amp;DATE(BF118,1,1),'㉓ Debt Schedule'!$C$98:$C$157,"&lt;="&amp;DATE(BF118,12,31))</f>
        <v>3216771.86335417</v>
      </c>
    </row>
    <row r="64" customFormat="false" ht="15" hidden="false" customHeight="false" outlineLevel="0" collapsed="false">
      <c r="B64" s="9" t="s">
        <v>253</v>
      </c>
      <c r="C64" s="40" t="n">
        <v>0</v>
      </c>
      <c r="D64" s="40" t="n">
        <v>0</v>
      </c>
      <c r="E64" s="40" t="n">
        <v>0</v>
      </c>
      <c r="F64" s="40" t="n">
        <v>0</v>
      </c>
      <c r="G64" s="40" t="n">
        <v>0</v>
      </c>
      <c r="H64" s="40" t="n">
        <v>15000</v>
      </c>
      <c r="I64" s="40" t="n">
        <v>160074</v>
      </c>
      <c r="J64" s="40" t="n">
        <v>3750</v>
      </c>
      <c r="K64" s="40" t="n">
        <v>-1900</v>
      </c>
      <c r="L64" s="40" t="n">
        <v>-1900</v>
      </c>
      <c r="M64" s="40" t="n">
        <v>0</v>
      </c>
      <c r="N64" s="40" t="n">
        <v>1900</v>
      </c>
      <c r="O64" s="84" t="n">
        <f aca="false">'EEFF a septiemrbe'!B86+'EEFF a septiemrbe'!B87</f>
        <v>183535.19</v>
      </c>
      <c r="P64" s="40" t="n">
        <f aca="false">'EEFF a septiemrbe'!C86+'EEFF a septiemrbe'!C87</f>
        <v>181268</v>
      </c>
      <c r="Q64" s="40" t="n">
        <f aca="false">'EEFF a septiemrbe'!D86+'EEFF a septiemrbe'!D87</f>
        <v>36400.0000000001</v>
      </c>
      <c r="R64" s="40" t="n">
        <f aca="false">'EEFF a septiemrbe'!E86+'EEFF a septiemrbe'!E87</f>
        <v>7.21456672181375E-010</v>
      </c>
      <c r="S64" s="40" t="n">
        <f aca="false">'EEFF a septiemrbe'!F86+'EEFF a septiemrbe'!F87</f>
        <v>88576.0999999996</v>
      </c>
      <c r="T64" s="40" t="n">
        <f aca="false">'EEFF a septiemrbe'!G86+'EEFF a septiemrbe'!G87</f>
        <v>-9175.44999999958</v>
      </c>
      <c r="U64" s="40" t="n">
        <f aca="false">'EEFF a septiemrbe'!H86+'EEFF a septiemrbe'!H87</f>
        <v>-2.70802047452889E-010</v>
      </c>
      <c r="V64" s="40" t="n">
        <f aca="false">'EEFF a septiemrbe'!I86+'EEFF a septiemrbe'!I87</f>
        <v>-933.710000000489</v>
      </c>
      <c r="W64" s="40" t="n">
        <f aca="false">'EEFF a septiemrbe'!J86+'EEFF a septiemrbe'!J87</f>
        <v>44214.1900000004</v>
      </c>
      <c r="X64" s="40" t="n">
        <f aca="false">IF(MONTH(X$5)='㉕ Funding Gap'!$C$100,SUMIFS('㉕ Funding Gap'!$C$39:$N$39,'㉕ Funding Gap'!$C$37:$N$37,YEAR(X$5)),0)</f>
        <v>0</v>
      </c>
      <c r="Y64" s="40" t="n">
        <f aca="false">IF(MONTH(Y$5)='㉕ Funding Gap'!$C$100,SUMIFS('㉕ Funding Gap'!$C$39:$N$39,'㉕ Funding Gap'!$C$37:$N$37,YEAR(Y$5)),0)</f>
        <v>2500000</v>
      </c>
      <c r="Z64" s="40" t="n">
        <f aca="false">IF(MONTH(Z$5)='㉕ Funding Gap'!$C$100,SUMIFS('㉕ Funding Gap'!$C$39:$N$39,'㉕ Funding Gap'!$C$37:$N$37,YEAR(Z$5)),0)</f>
        <v>0</v>
      </c>
      <c r="AA64" s="84" t="n">
        <f aca="false">IF(MONTH(AA$5)='㉕ Funding Gap'!$C$100,SUMIFS('㉕ Funding Gap'!$C$39:$N$39,'㉕ Funding Gap'!$C$37:$N$37,YEAR(AA$5)),0)</f>
        <v>0</v>
      </c>
      <c r="AB64" s="40" t="n">
        <f aca="false">IF(MONTH(AB$5)='㉕ Funding Gap'!$C$100,SUMIFS('㉕ Funding Gap'!$C$39:$N$39,'㉕ Funding Gap'!$C$37:$N$37,YEAR(AB$5)),0)</f>
        <v>0</v>
      </c>
      <c r="AC64" s="40" t="n">
        <f aca="false">IF(MONTH(AC$5)='㉕ Funding Gap'!$C$100,SUMIFS('㉕ Funding Gap'!$C$39:$N$39,'㉕ Funding Gap'!$C$37:$N$37,YEAR(AC$5)),0)</f>
        <v>0</v>
      </c>
      <c r="AD64" s="40" t="n">
        <f aca="false">IF(MONTH(AD$5)='㉕ Funding Gap'!$C$100,SUMIFS('㉕ Funding Gap'!$C$39:$N$39,'㉕ Funding Gap'!$C$37:$N$37,YEAR(AD$5)),0)</f>
        <v>0</v>
      </c>
      <c r="AE64" s="40" t="n">
        <f aca="false">IF(MONTH(AE$5)='㉕ Funding Gap'!$C$100,SUMIFS('㉕ Funding Gap'!$C$39:$N$39,'㉕ Funding Gap'!$C$37:$N$37,YEAR(AE$5)),0)</f>
        <v>0</v>
      </c>
      <c r="AF64" s="40" t="n">
        <f aca="false">IF(MONTH(AF$5)='㉕ Funding Gap'!$C$100,SUMIFS('㉕ Funding Gap'!$C$39:$N$39,'㉕ Funding Gap'!$C$37:$N$37,YEAR(AF$5)),0)</f>
        <v>0</v>
      </c>
      <c r="AG64" s="40" t="n">
        <f aca="false">IF(MONTH(AG$5)='㉕ Funding Gap'!$C$100,SUMIFS('㉕ Funding Gap'!$C$39:$N$39,'㉕ Funding Gap'!$C$37:$N$37,YEAR(AG$5)),0)</f>
        <v>0</v>
      </c>
      <c r="AH64" s="40" t="n">
        <f aca="false">IF(MONTH(AH$5)='㉕ Funding Gap'!$C$100,SUMIFS('㉕ Funding Gap'!$C$39:$N$39,'㉕ Funding Gap'!$C$37:$N$37,YEAR(AH$5)),0)</f>
        <v>0</v>
      </c>
      <c r="AI64" s="40" t="n">
        <f aca="false">IF(MONTH(AI$5)='㉕ Funding Gap'!$C$100,SUMIFS('㉕ Funding Gap'!$C$39:$N$39,'㉕ Funding Gap'!$C$37:$N$37,YEAR(AI$5)),0)</f>
        <v>0</v>
      </c>
      <c r="AJ64" s="40" t="n">
        <f aca="false">IF(MONTH(AJ$5)='㉕ Funding Gap'!$C$100,SUMIFS('㉕ Funding Gap'!$C$39:$N$39,'㉕ Funding Gap'!$C$37:$N$37,YEAR(AJ$5)),0)</f>
        <v>0</v>
      </c>
      <c r="AK64" s="40" t="n">
        <f aca="false">IF(MONTH(AK$5)='㉕ Funding Gap'!$C$100,SUMIFS('㉕ Funding Gap'!$C$39:$N$39,'㉕ Funding Gap'!$C$37:$N$37,YEAR(AK$5)),0)</f>
        <v>0</v>
      </c>
      <c r="AL64" s="40" t="n">
        <f aca="false">IF(MONTH(AL$5)='㉕ Funding Gap'!$C$100,SUMIFS('㉕ Funding Gap'!$C$39:$N$39,'㉕ Funding Gap'!$C$37:$N$37,YEAR(AL$5)),0)</f>
        <v>0</v>
      </c>
      <c r="AM64" s="84" t="n">
        <f aca="false">IF(MONTH(AM$5)='㉕ Funding Gap'!$C$100,SUMIFS('㉕ Funding Gap'!$C$39:$N$39,'㉕ Funding Gap'!$C$37:$N$37,YEAR(AM$5)),0)</f>
        <v>0</v>
      </c>
      <c r="AN64" s="40" t="n">
        <f aca="false">IF(MONTH(AN$5)='㉕ Funding Gap'!$C$100,SUMIFS('㉕ Funding Gap'!$C$39:$N$39,'㉕ Funding Gap'!$C$37:$N$37,YEAR(AN$5)),0)</f>
        <v>0</v>
      </c>
      <c r="AO64" s="40" t="n">
        <f aca="false">IF(MONTH(AO$5)='㉕ Funding Gap'!$C$100,SUMIFS('㉕ Funding Gap'!$C$39:$N$39,'㉕ Funding Gap'!$C$37:$N$37,YEAR(AO$5)),0)</f>
        <v>0</v>
      </c>
      <c r="AP64" s="40" t="n">
        <f aca="false">IF(MONTH(AP$5)='㉕ Funding Gap'!$C$100,SUMIFS('㉕ Funding Gap'!$C$39:$N$39,'㉕ Funding Gap'!$C$37:$N$37,YEAR(AP$5)),0)</f>
        <v>0</v>
      </c>
      <c r="AQ64" s="40" t="n">
        <f aca="false">IF(MONTH(AQ$5)='㉕ Funding Gap'!$C$100,SUMIFS('㉕ Funding Gap'!$C$39:$N$39,'㉕ Funding Gap'!$C$37:$N$37,YEAR(AQ$5)),0)</f>
        <v>0</v>
      </c>
      <c r="AR64" s="40" t="n">
        <f aca="false">IF(MONTH(AR$5)='㉕ Funding Gap'!$C$100,SUMIFS('㉕ Funding Gap'!$C$39:$N$39,'㉕ Funding Gap'!$C$37:$N$37,YEAR(AR$5)),0)</f>
        <v>0</v>
      </c>
      <c r="AS64" s="40" t="n">
        <f aca="false">IF(MONTH(AS$5)='㉕ Funding Gap'!$C$100,SUMIFS('㉕ Funding Gap'!$C$39:$N$39,'㉕ Funding Gap'!$C$37:$N$37,YEAR(AS$5)),0)</f>
        <v>0</v>
      </c>
      <c r="AT64" s="40" t="n">
        <f aca="false">IF(MONTH(AT$5)='㉕ Funding Gap'!$C$100,SUMIFS('㉕ Funding Gap'!$C$39:$N$39,'㉕ Funding Gap'!$C$37:$N$37,YEAR(AT$5)),0)</f>
        <v>0</v>
      </c>
      <c r="AU64" s="40" t="n">
        <f aca="false">IF(MONTH(AU$5)='㉕ Funding Gap'!$C$100,SUMIFS('㉕ Funding Gap'!$C$39:$N$39,'㉕ Funding Gap'!$C$37:$N$37,YEAR(AU$5)),0)</f>
        <v>0</v>
      </c>
      <c r="AV64" s="40" t="n">
        <f aca="false">IF(MONTH(AV$5)='㉕ Funding Gap'!$C$100,SUMIFS('㉕ Funding Gap'!$C$39:$N$39,'㉕ Funding Gap'!$C$37:$N$37,YEAR(AV$5)),0)</f>
        <v>0</v>
      </c>
      <c r="AW64" s="40" t="n">
        <f aca="false">IF(MONTH(AW$5)='㉕ Funding Gap'!$C$100,SUMIFS('㉕ Funding Gap'!$C$39:$N$39,'㉕ Funding Gap'!$C$37:$N$37,YEAR(AW$5)),0)</f>
        <v>0</v>
      </c>
      <c r="AX64" s="40" t="n">
        <f aca="false">IF(MONTH(AX$5)='㉕ Funding Gap'!$C$100,SUMIFS('㉕ Funding Gap'!$C$39:$N$39,'㉕ Funding Gap'!$C$37:$N$37,YEAR(AX$5)),0)</f>
        <v>0</v>
      </c>
      <c r="AY64" s="84" t="n">
        <f aca="false">SUMIFS('㉕ Funding Gap'!$C$39:$N$39,'㉕ Funding Gap'!$C$37:$N$37,VALUE(LEFT(AY$5,4)))</f>
        <v>0</v>
      </c>
      <c r="AZ64" s="40" t="n">
        <f aca="false">SUMIFS('㉕ Funding Gap'!$C$39:$N$39,'㉕ Funding Gap'!$C$37:$N$37,VALUE(LEFT(AZ$5,4)))</f>
        <v>0</v>
      </c>
      <c r="BA64" s="40" t="n">
        <f aca="false">SUMIFS('㉕ Funding Gap'!$C$39:$N$39,'㉕ Funding Gap'!$C$37:$N$37,VALUE(LEFT(BA$5,4)))</f>
        <v>0</v>
      </c>
      <c r="BB64" s="40" t="n">
        <f aca="false">SUMIFS('㉕ Funding Gap'!$C$39:$N$39,'㉕ Funding Gap'!$C$37:$N$37,VALUE(LEFT(BB$5,4)))</f>
        <v>0</v>
      </c>
      <c r="BC64" s="40" t="n">
        <f aca="false">SUMIFS('㉕ Funding Gap'!$C$39:$N$39,'㉕ Funding Gap'!$C$37:$N$37,VALUE(LEFT(BC$5,4)))</f>
        <v>0</v>
      </c>
      <c r="BD64" s="40" t="n">
        <f aca="false">SUMIFS('㉕ Funding Gap'!$C$39:$N$39,'㉕ Funding Gap'!$C$37:$N$37,VALUE(LEFT(BD$5,4)))</f>
        <v>0</v>
      </c>
      <c r="BE64" s="40" t="n">
        <f aca="false">SUMIFS('㉕ Funding Gap'!$C$39:$N$39,'㉕ Funding Gap'!$C$37:$N$37,VALUE(LEFT(BE$5,4)))</f>
        <v>0</v>
      </c>
      <c r="BF64" s="40" t="n">
        <f aca="false">SUMIFS('㉕ Funding Gap'!$C$39:$N$39,'㉕ Funding Gap'!$C$37:$N$37,VALUE(LEFT(BF$5,4)))</f>
        <v>0</v>
      </c>
    </row>
    <row r="65" customFormat="false" ht="15" hidden="false" customHeight="false" outlineLevel="0" collapsed="false">
      <c r="B65" s="9" t="s">
        <v>254</v>
      </c>
      <c r="C65" s="40" t="n">
        <v>0</v>
      </c>
      <c r="D65" s="40" t="n">
        <v>0</v>
      </c>
      <c r="E65" s="40" t="n">
        <v>0</v>
      </c>
      <c r="F65" s="40" t="n">
        <v>0</v>
      </c>
      <c r="G65" s="40" t="n">
        <v>0</v>
      </c>
      <c r="H65" s="40" t="n">
        <v>0</v>
      </c>
      <c r="I65" s="40" t="n">
        <v>0</v>
      </c>
      <c r="J65" s="40" t="n">
        <v>0</v>
      </c>
      <c r="K65" s="40" t="n">
        <v>0</v>
      </c>
      <c r="L65" s="40" t="n">
        <v>0</v>
      </c>
      <c r="M65" s="40" t="n">
        <v>0</v>
      </c>
      <c r="N65" s="40" t="n">
        <v>0</v>
      </c>
      <c r="O65" s="84" t="n">
        <v>0</v>
      </c>
      <c r="P65" s="40" t="n">
        <v>0</v>
      </c>
      <c r="Q65" s="40" t="n">
        <v>0</v>
      </c>
      <c r="R65" s="40" t="n">
        <v>0</v>
      </c>
      <c r="S65" s="40" t="n">
        <v>0</v>
      </c>
      <c r="T65" s="40" t="n">
        <v>0</v>
      </c>
      <c r="U65" s="40" t="n">
        <v>0</v>
      </c>
      <c r="V65" s="40" t="n">
        <v>0</v>
      </c>
      <c r="W65" s="40" t="n">
        <v>0</v>
      </c>
      <c r="X65" s="40" t="n">
        <f aca="false">-SUMIFS('㉕ Funding Gap'!$C$67:$N$67,'㉕ Funding Gap'!$C$60:$N$60,YEAR(X$5))/12</f>
        <v>-0</v>
      </c>
      <c r="Y65" s="40" t="n">
        <f aca="false">-SUMIFS('㉕ Funding Gap'!$C$67:$N$67,'㉕ Funding Gap'!$C$60:$N$60,YEAR(Y$5))/12</f>
        <v>-0</v>
      </c>
      <c r="Z65" s="40" t="n">
        <f aca="false">-SUMIFS('㉕ Funding Gap'!$C$67:$N$67,'㉕ Funding Gap'!$C$60:$N$60,YEAR(Z$5))/12</f>
        <v>-0</v>
      </c>
      <c r="AA65" s="84" t="n">
        <f aca="false">-SUMIFS('㉕ Funding Gap'!$C$67:$N$67,'㉕ Funding Gap'!$C$60:$N$60,YEAR(AA$5))/12</f>
        <v>-0</v>
      </c>
      <c r="AB65" s="40" t="n">
        <f aca="false">-SUMIFS('㉕ Funding Gap'!$C$67:$N$67,'㉕ Funding Gap'!$C$60:$N$60,YEAR(AB$5))/12</f>
        <v>-0</v>
      </c>
      <c r="AC65" s="40" t="n">
        <f aca="false">-SUMIFS('㉕ Funding Gap'!$C$67:$N$67,'㉕ Funding Gap'!$C$60:$N$60,YEAR(AC$5))/12</f>
        <v>-0</v>
      </c>
      <c r="AD65" s="40" t="n">
        <f aca="false">-SUMIFS('㉕ Funding Gap'!$C$67:$N$67,'㉕ Funding Gap'!$C$60:$N$60,YEAR(AD$5))/12</f>
        <v>-0</v>
      </c>
      <c r="AE65" s="40" t="n">
        <f aca="false">-SUMIFS('㉕ Funding Gap'!$C$67:$N$67,'㉕ Funding Gap'!$C$60:$N$60,YEAR(AE$5))/12</f>
        <v>-0</v>
      </c>
      <c r="AF65" s="40" t="n">
        <f aca="false">-SUMIFS('㉕ Funding Gap'!$C$67:$N$67,'㉕ Funding Gap'!$C$60:$N$60,YEAR(AF$5))/12</f>
        <v>-0</v>
      </c>
      <c r="AG65" s="40" t="n">
        <f aca="false">-SUMIFS('㉕ Funding Gap'!$C$67:$N$67,'㉕ Funding Gap'!$C$60:$N$60,YEAR(AG$5))/12</f>
        <v>-0</v>
      </c>
      <c r="AH65" s="40" t="n">
        <f aca="false">-SUMIFS('㉕ Funding Gap'!$C$67:$N$67,'㉕ Funding Gap'!$C$60:$N$60,YEAR(AH$5))/12</f>
        <v>-0</v>
      </c>
      <c r="AI65" s="40" t="n">
        <f aca="false">-SUMIFS('㉕ Funding Gap'!$C$67:$N$67,'㉕ Funding Gap'!$C$60:$N$60,YEAR(AI$5))/12</f>
        <v>-0</v>
      </c>
      <c r="AJ65" s="40" t="n">
        <f aca="false">-SUMIFS('㉕ Funding Gap'!$C$67:$N$67,'㉕ Funding Gap'!$C$60:$N$60,YEAR(AJ$5))/12</f>
        <v>-0</v>
      </c>
      <c r="AK65" s="40" t="n">
        <f aca="false">-SUMIFS('㉕ Funding Gap'!$C$67:$N$67,'㉕ Funding Gap'!$C$60:$N$60,YEAR(AK$5))/12</f>
        <v>-0</v>
      </c>
      <c r="AL65" s="40" t="n">
        <f aca="false">-SUMIFS('㉕ Funding Gap'!$C$67:$N$67,'㉕ Funding Gap'!$C$60:$N$60,YEAR(AL$5))/12</f>
        <v>-0</v>
      </c>
      <c r="AM65" s="84" t="n">
        <f aca="false">-SUMIFS('㉕ Funding Gap'!$C$67:$N$67,'㉕ Funding Gap'!$C$60:$N$60,YEAR(AM$5))/12</f>
        <v>-0</v>
      </c>
      <c r="AN65" s="40" t="n">
        <f aca="false">-SUMIFS('㉕ Funding Gap'!$C$67:$N$67,'㉕ Funding Gap'!$C$60:$N$60,YEAR(AN$5))/12</f>
        <v>-0</v>
      </c>
      <c r="AO65" s="40" t="n">
        <f aca="false">-SUMIFS('㉕ Funding Gap'!$C$67:$N$67,'㉕ Funding Gap'!$C$60:$N$60,YEAR(AO$5))/12</f>
        <v>-0</v>
      </c>
      <c r="AP65" s="40" t="n">
        <f aca="false">-SUMIFS('㉕ Funding Gap'!$C$67:$N$67,'㉕ Funding Gap'!$C$60:$N$60,YEAR(AP$5))/12</f>
        <v>-0</v>
      </c>
      <c r="AQ65" s="40" t="n">
        <f aca="false">-SUMIFS('㉕ Funding Gap'!$C$67:$N$67,'㉕ Funding Gap'!$C$60:$N$60,YEAR(AQ$5))/12</f>
        <v>-0</v>
      </c>
      <c r="AR65" s="40" t="n">
        <f aca="false">-SUMIFS('㉕ Funding Gap'!$C$67:$N$67,'㉕ Funding Gap'!$C$60:$N$60,YEAR(AR$5))/12</f>
        <v>-0</v>
      </c>
      <c r="AS65" s="40" t="n">
        <f aca="false">-SUMIFS('㉕ Funding Gap'!$C$67:$N$67,'㉕ Funding Gap'!$C$60:$N$60,YEAR(AS$5))/12</f>
        <v>-0</v>
      </c>
      <c r="AT65" s="40" t="n">
        <f aca="false">-SUMIFS('㉕ Funding Gap'!$C$67:$N$67,'㉕ Funding Gap'!$C$60:$N$60,YEAR(AT$5))/12</f>
        <v>-0</v>
      </c>
      <c r="AU65" s="40" t="n">
        <f aca="false">-SUMIFS('㉕ Funding Gap'!$C$67:$N$67,'㉕ Funding Gap'!$C$60:$N$60,YEAR(AU$5))/12</f>
        <v>-0</v>
      </c>
      <c r="AV65" s="40" t="n">
        <f aca="false">-SUMIFS('㉕ Funding Gap'!$C$67:$N$67,'㉕ Funding Gap'!$C$60:$N$60,YEAR(AV$5))/12</f>
        <v>-0</v>
      </c>
      <c r="AW65" s="40" t="n">
        <f aca="false">-SUMIFS('㉕ Funding Gap'!$C$67:$N$67,'㉕ Funding Gap'!$C$60:$N$60,YEAR(AW$5))/12</f>
        <v>-0</v>
      </c>
      <c r="AX65" s="40" t="n">
        <f aca="false">-SUMIFS('㉕ Funding Gap'!$C$67:$N$67,'㉕ Funding Gap'!$C$60:$N$60,YEAR(AX$5))/12</f>
        <v>-0</v>
      </c>
      <c r="AY65" s="84" t="n">
        <f aca="false">-SUMIFS('㉕ Funding Gap'!$C$67:$N$67,'㉕ Funding Gap'!$C$60:$N$60,VALUE(LEFT(AY$5,4)))</f>
        <v>-0</v>
      </c>
      <c r="AZ65" s="40" t="n">
        <f aca="false">-SUMIFS('㉕ Funding Gap'!$C$67:$N$67,'㉕ Funding Gap'!$C$60:$N$60,VALUE(LEFT(AZ$5,4)))</f>
        <v>-0</v>
      </c>
      <c r="BA65" s="40" t="n">
        <f aca="false">-SUMIFS('㉕ Funding Gap'!$C$67:$N$67,'㉕ Funding Gap'!$C$60:$N$60,VALUE(LEFT(BA$5,4)))</f>
        <v>-0</v>
      </c>
      <c r="BB65" s="40" t="n">
        <f aca="false">-SUMIFS('㉕ Funding Gap'!$C$67:$N$67,'㉕ Funding Gap'!$C$60:$N$60,VALUE(LEFT(BB$5,4)))</f>
        <v>-1504137.36428201</v>
      </c>
      <c r="BC65" s="40" t="n">
        <f aca="false">-SUMIFS('㉕ Funding Gap'!$C$67:$N$67,'㉕ Funding Gap'!$C$60:$N$60,VALUE(LEFT(BC$5,4)))</f>
        <v>-494119.104974607</v>
      </c>
      <c r="BD65" s="40" t="n">
        <f aca="false">-SUMIFS('㉕ Funding Gap'!$C$67:$N$67,'㉕ Funding Gap'!$C$60:$N$60,VALUE(LEFT(BD$5,4)))</f>
        <v>-711043.781229023</v>
      </c>
      <c r="BE65" s="40" t="n">
        <f aca="false">-SUMIFS('㉕ Funding Gap'!$C$67:$N$67,'㉕ Funding Gap'!$C$60:$N$60,VALUE(LEFT(BE$5,4)))</f>
        <v>-4088746.11449583</v>
      </c>
      <c r="BF65" s="40" t="n">
        <f aca="false">-SUMIFS('㉕ Funding Gap'!$C$67:$N$67,'㉕ Funding Gap'!$C$60:$N$60,VALUE(LEFT(BF$5,4)))</f>
        <v>-6546590.96133905</v>
      </c>
    </row>
    <row r="66" customFormat="false" ht="15" hidden="false" customHeight="false" outlineLevel="0" collapsed="false">
      <c r="B66" s="10" t="s">
        <v>255</v>
      </c>
      <c r="C66" s="46" t="n">
        <v>40562.72</v>
      </c>
      <c r="D66" s="46" t="n">
        <v>-43995.44</v>
      </c>
      <c r="E66" s="46" t="n">
        <v>2248.54</v>
      </c>
      <c r="F66" s="46" t="n">
        <v>-1926.15</v>
      </c>
      <c r="G66" s="46" t="n">
        <v>-4947.87</v>
      </c>
      <c r="H66" s="46" t="n">
        <v>22552.83</v>
      </c>
      <c r="I66" s="46" t="n">
        <v>151219.78</v>
      </c>
      <c r="J66" s="46" t="n">
        <v>5516.72</v>
      </c>
      <c r="K66" s="46" t="n">
        <v>5178.46</v>
      </c>
      <c r="L66" s="46" t="n">
        <v>164233.67</v>
      </c>
      <c r="M66" s="46" t="n">
        <v>20958.13</v>
      </c>
      <c r="N66" s="46" t="n">
        <v>6752.37</v>
      </c>
      <c r="O66" s="88" t="n">
        <f aca="false">SUM(O63:O65)</f>
        <v>1210.02000000008</v>
      </c>
      <c r="P66" s="46" t="n">
        <f aca="false">SUM(P63:P65)</f>
        <v>179275.45</v>
      </c>
      <c r="Q66" s="46" t="n">
        <f aca="false">SUM(Q63:Q65)</f>
        <v>39068.2500000001</v>
      </c>
      <c r="R66" s="46" t="n">
        <f aca="false">SUM(R63:R65)</f>
        <v>331.770000000719</v>
      </c>
      <c r="S66" s="46" t="n">
        <f aca="false">SUM(S63:S65)</f>
        <v>91898.8299999996</v>
      </c>
      <c r="T66" s="46" t="n">
        <f aca="false">SUM(T63:T65)</f>
        <v>-9373.04999999958</v>
      </c>
      <c r="U66" s="46" t="n">
        <f aca="false">SUM(U63:U65)</f>
        <v>-769.820000000274</v>
      </c>
      <c r="V66" s="46" t="n">
        <f aca="false">SUM(V63:V65)</f>
        <v>2202.95999999951</v>
      </c>
      <c r="W66" s="46" t="n">
        <f aca="false">SUM(W63:W65)</f>
        <v>119127.04</v>
      </c>
      <c r="X66" s="46" t="n">
        <f aca="false">SUM(X63:X65)</f>
        <v>-1157.0762</v>
      </c>
      <c r="Y66" s="46" t="n">
        <f aca="false">SUM(Y63:Y65)</f>
        <v>2498832.31726817</v>
      </c>
      <c r="Z66" s="46" t="n">
        <f aca="false">SUM(Z63:Z65)</f>
        <v>-1178.38649020847</v>
      </c>
      <c r="AA66" s="88" t="n">
        <f aca="false">SUM(AA63:AA65)</f>
        <v>-1189.18836636872</v>
      </c>
      <c r="AB66" s="46" t="n">
        <f aca="false">SUM(AB63:AB65)</f>
        <v>-1200.0892597271</v>
      </c>
      <c r="AC66" s="46" t="n">
        <f aca="false">SUM(AC63:AC65)</f>
        <v>-1211.09007794126</v>
      </c>
      <c r="AD66" s="46" t="n">
        <f aca="false">SUM(AD63:AD65)</f>
        <v>-1222.19173698906</v>
      </c>
      <c r="AE66" s="46" t="n">
        <f aca="false">SUM(AE63:AE65)</f>
        <v>-1233.39516124479</v>
      </c>
      <c r="AF66" s="46" t="n">
        <f aca="false">SUM(AF63:AF65)</f>
        <v>-1244.7012835562</v>
      </c>
      <c r="AG66" s="46" t="n">
        <f aca="false">SUM(AG63:AG65)</f>
        <v>-1256.11104532213</v>
      </c>
      <c r="AH66" s="46" t="n">
        <f aca="false">SUM(AH63:AH65)</f>
        <v>-1267.62539657092</v>
      </c>
      <c r="AI66" s="46" t="n">
        <f aca="false">SUM(AI63:AI65)</f>
        <v>-1279.24529603948</v>
      </c>
      <c r="AJ66" s="46" t="n">
        <f aca="false">SUM(AJ63:AJ65)</f>
        <v>-1290.97171125318</v>
      </c>
      <c r="AK66" s="46" t="n">
        <f aca="false">SUM(AK63:AK65)</f>
        <v>-1302.80561860633</v>
      </c>
      <c r="AL66" s="46" t="n">
        <f aca="false">SUM(AL63:AL65)</f>
        <v>-1314.74800344356</v>
      </c>
      <c r="AM66" s="88" t="n">
        <f aca="false">SUM(AM63:AM65)</f>
        <v>-1326.79986014179</v>
      </c>
      <c r="AN66" s="46" t="n">
        <f aca="false">SUM(AN63:AN65)</f>
        <v>-1338.96219219309</v>
      </c>
      <c r="AO66" s="46" t="n">
        <f aca="false">SUM(AO63:AO65)</f>
        <v>-1351.23601228819</v>
      </c>
      <c r="AP66" s="46" t="n">
        <f aca="false">SUM(AP63:AP65)</f>
        <v>-1363.62234240084</v>
      </c>
      <c r="AQ66" s="46" t="n">
        <f aca="false">SUM(AQ63:AQ65)</f>
        <v>-1376.12221387284</v>
      </c>
      <c r="AR66" s="46" t="n">
        <f aca="false">SUM(AR63:AR65)</f>
        <v>-1388.73666750001</v>
      </c>
      <c r="AS66" s="46" t="n">
        <f aca="false">SUM(AS63:AS65)</f>
        <v>-1401.46675361876</v>
      </c>
      <c r="AT66" s="46" t="n">
        <f aca="false">SUM(AT63:AT65)</f>
        <v>-1414.3135321936</v>
      </c>
      <c r="AU66" s="46" t="n">
        <f aca="false">SUM(AU63:AU65)</f>
        <v>-1427.27807290538</v>
      </c>
      <c r="AV66" s="46" t="n">
        <f aca="false">SUM(AV63:AV65)</f>
        <v>-1440.36145524034</v>
      </c>
      <c r="AW66" s="46" t="n">
        <f aca="false">SUM(AW63:AW65)</f>
        <v>-1453.56476858004</v>
      </c>
      <c r="AX66" s="46" t="n">
        <f aca="false">SUM(AX63:AX65)</f>
        <v>-1466.88911229203</v>
      </c>
      <c r="AY66" s="88" t="n">
        <f aca="false">SUM(AY63:AY65)</f>
        <v>-18687.5686174688</v>
      </c>
      <c r="AZ66" s="46" t="n">
        <f aca="false">SUM(AZ63:AZ65)</f>
        <v>233587.462237349</v>
      </c>
      <c r="BA66" s="46" t="n">
        <f aca="false">SUM(BA63:BA65)</f>
        <v>329047.769207059</v>
      </c>
      <c r="BB66" s="46" t="n">
        <f aca="false">SUM(BB63:BB65)</f>
        <v>-134714.044903124</v>
      </c>
      <c r="BC66" s="46" t="n">
        <f aca="false">SUM(BC63:BC65)</f>
        <v>205571.950394791</v>
      </c>
      <c r="BD66" s="46" t="n">
        <f aca="false">SUM(BD63:BD65)</f>
        <v>-47562.37205378</v>
      </c>
      <c r="BE66" s="46" t="n">
        <f aca="false">SUM(BE63:BE65)</f>
        <v>-1279421.04585511</v>
      </c>
      <c r="BF66" s="46" t="n">
        <f aca="false">SUM(BF63:BF65)</f>
        <v>-3329819.09798489</v>
      </c>
    </row>
    <row r="67" customFormat="false" ht="15" hidden="false" customHeight="false" outlineLevel="0" collapsed="false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8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8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8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89"/>
      <c r="AZ67" s="9"/>
      <c r="BA67" s="9"/>
      <c r="BB67" s="9"/>
      <c r="BC67" s="9"/>
      <c r="BD67" s="9"/>
      <c r="BE67" s="9"/>
      <c r="BF67" s="9"/>
    </row>
    <row r="68" customFormat="false" ht="15" hidden="false" customHeight="false" outlineLevel="0" collapsed="false">
      <c r="B68" s="9" t="s">
        <v>256</v>
      </c>
      <c r="C68" s="40" t="n">
        <v>38005.38</v>
      </c>
      <c r="D68" s="40" t="n">
        <v>20720.78</v>
      </c>
      <c r="E68" s="40" t="n">
        <v>286165.23</v>
      </c>
      <c r="F68" s="40" t="n">
        <v>239088.3</v>
      </c>
      <c r="G68" s="40" t="n">
        <v>147626.55</v>
      </c>
      <c r="H68" s="40" t="n">
        <v>92710.41</v>
      </c>
      <c r="I68" s="40" t="n">
        <v>99123.89</v>
      </c>
      <c r="J68" s="40" t="n">
        <v>170251.33</v>
      </c>
      <c r="K68" s="40" t="n">
        <v>133472.01</v>
      </c>
      <c r="L68" s="40" t="n">
        <v>108593.85</v>
      </c>
      <c r="M68" s="40" t="n">
        <v>127385.33</v>
      </c>
      <c r="N68" s="40" t="n">
        <v>84957.42</v>
      </c>
      <c r="O68" s="40" t="n">
        <f aca="false">'EEFF a septiemrbe'!B68</f>
        <v>56347.05</v>
      </c>
      <c r="P68" s="40" t="n">
        <f aca="false">'EEFF a septiemrbe'!C68</f>
        <v>41369.6600000001</v>
      </c>
      <c r="Q68" s="40" t="n">
        <f aca="false">'EEFF a septiemrbe'!D68</f>
        <v>134780.24</v>
      </c>
      <c r="R68" s="40" t="n">
        <f aca="false">'EEFF a septiemrbe'!E68</f>
        <v>77982.8899999999</v>
      </c>
      <c r="S68" s="40" t="n">
        <f aca="false">'EEFF a septiemrbe'!F68</f>
        <v>24072.5200000005</v>
      </c>
      <c r="T68" s="40" t="n">
        <f aca="false">'EEFF a septiemrbe'!G68</f>
        <v>82271.5600000001</v>
      </c>
      <c r="U68" s="40" t="n">
        <f aca="false">'EEFF a septiemrbe'!H68</f>
        <v>47625.3200000005</v>
      </c>
      <c r="V68" s="40" t="n">
        <f aca="false">'EEFF a septiemrbe'!I68</f>
        <v>31652.5500000002</v>
      </c>
      <c r="W68" s="40" t="n">
        <f aca="false">'EEFF a septiemrbe'!J68</f>
        <v>38222.2499999997</v>
      </c>
      <c r="X68" s="40" t="n">
        <f aca="false">W70</f>
        <v>75825.9400000002</v>
      </c>
      <c r="Y68" s="40" t="n">
        <f aca="false">X70</f>
        <v>53742.668168147</v>
      </c>
      <c r="Z68" s="40" t="n">
        <f aca="false">Y70</f>
        <v>2514233.70012365</v>
      </c>
      <c r="AA68" s="84" t="n">
        <f aca="false">Z70</f>
        <v>2458701.44042895</v>
      </c>
      <c r="AB68" s="40" t="n">
        <f aca="false">AA70</f>
        <v>2380897.4632334</v>
      </c>
      <c r="AC68" s="40" t="n">
        <f aca="false">AB70</f>
        <v>2250536.29136499</v>
      </c>
      <c r="AD68" s="40" t="n">
        <f aca="false">AC70</f>
        <v>2142666.00747229</v>
      </c>
      <c r="AE68" s="40" t="n">
        <f aca="false">AD70</f>
        <v>2068762.10179436</v>
      </c>
      <c r="AF68" s="40" t="n">
        <f aca="false">AE70</f>
        <v>1951926.4552107</v>
      </c>
      <c r="AG68" s="40" t="n">
        <f aca="false">AF70</f>
        <v>1856817.73942167</v>
      </c>
      <c r="AH68" s="40" t="n">
        <f aca="false">AG70</f>
        <v>1722659.85452606</v>
      </c>
      <c r="AI68" s="40" t="n">
        <f aca="false">AH70</f>
        <v>1668717.11453296</v>
      </c>
      <c r="AJ68" s="40" t="n">
        <f aca="false">AI70</f>
        <v>1569483.88626077</v>
      </c>
      <c r="AK68" s="40" t="n">
        <f aca="false">AJ70</f>
        <v>1499085.0392745</v>
      </c>
      <c r="AL68" s="40" t="n">
        <f aca="false">AK70</f>
        <v>1392859.2977554</v>
      </c>
      <c r="AM68" s="84" t="n">
        <f aca="false">AL70</f>
        <v>1358103.49928969</v>
      </c>
      <c r="AN68" s="40" t="n">
        <f aca="false">AM70</f>
        <v>1326435.05450607</v>
      </c>
      <c r="AO68" s="40" t="n">
        <f aca="false">AN70</f>
        <v>1234640.90570721</v>
      </c>
      <c r="AP68" s="40" t="n">
        <f aca="false">AO70</f>
        <v>1193140.86984057</v>
      </c>
      <c r="AQ68" s="40" t="n">
        <f aca="false">AP70</f>
        <v>1110847.74551369</v>
      </c>
      <c r="AR68" s="40" t="n">
        <f aca="false">AQ70</f>
        <v>1054935.31900976</v>
      </c>
      <c r="AS68" s="40" t="n">
        <f aca="false">AR70</f>
        <v>922176.325726096</v>
      </c>
      <c r="AT68" s="40" t="n">
        <f aca="false">AS70</f>
        <v>843325.854889451</v>
      </c>
      <c r="AU68" s="40" t="n">
        <f aca="false">AT70</f>
        <v>765690.863273563</v>
      </c>
      <c r="AV68" s="40" t="n">
        <f aca="false">AU70</f>
        <v>730134.500362657</v>
      </c>
      <c r="AW68" s="40" t="n">
        <f aca="false">AV70</f>
        <v>603324.609378171</v>
      </c>
      <c r="AX68" s="40" t="n">
        <f aca="false">AW70</f>
        <v>505062.378175473</v>
      </c>
      <c r="AY68" s="84" t="n">
        <f aca="false">AX70</f>
        <v>439198.979228438</v>
      </c>
      <c r="AZ68" s="40" t="n">
        <f aca="false">AY70</f>
        <v>674109.194295895</v>
      </c>
      <c r="BA68" s="40" t="n">
        <f aca="false">AZ70</f>
        <v>972795.197836835</v>
      </c>
      <c r="BB68" s="40" t="n">
        <f aca="false">BA70</f>
        <v>1291510.87401834</v>
      </c>
      <c r="BC68" s="40" t="n">
        <f aca="false">BB70</f>
        <v>1564288.63746391</v>
      </c>
      <c r="BD68" s="40" t="n">
        <f aca="false">BC70</f>
        <v>2070124.04999339</v>
      </c>
      <c r="BE68" s="40" t="n">
        <f aca="false">BD70</f>
        <v>2242001.58801509</v>
      </c>
      <c r="BF68" s="40" t="n">
        <f aca="false">BE70</f>
        <v>2070876.60205017</v>
      </c>
    </row>
    <row r="69" customFormat="false" ht="15" hidden="false" customHeight="false" outlineLevel="0" collapsed="false">
      <c r="B69" s="9" t="s">
        <v>257</v>
      </c>
      <c r="C69" s="40" t="n">
        <v>-17284.6</v>
      </c>
      <c r="D69" s="40" t="n">
        <v>265444.45</v>
      </c>
      <c r="E69" s="40" t="n">
        <v>-47076.93</v>
      </c>
      <c r="F69" s="40" t="n">
        <v>-91461.75</v>
      </c>
      <c r="G69" s="40" t="n">
        <v>-54916.14</v>
      </c>
      <c r="H69" s="40" t="n">
        <v>6413.48</v>
      </c>
      <c r="I69" s="40" t="n">
        <v>71127.44</v>
      </c>
      <c r="J69" s="40" t="n">
        <v>-36779.32</v>
      </c>
      <c r="K69" s="40" t="n">
        <v>-24878.16</v>
      </c>
      <c r="L69" s="40" t="n">
        <v>18791.48</v>
      </c>
      <c r="M69" s="40" t="n">
        <v>-42427.91</v>
      </c>
      <c r="N69" s="40" t="n">
        <v>-28610.37</v>
      </c>
      <c r="O69" s="40" t="n">
        <f aca="false">O57+O61+O66</f>
        <v>-14977.3899999998</v>
      </c>
      <c r="P69" s="40" t="n">
        <f aca="false">P57+P61+P66</f>
        <v>93410.5799999996</v>
      </c>
      <c r="Q69" s="40" t="n">
        <f aca="false">Q57+Q61+Q66</f>
        <v>-56797.3499999999</v>
      </c>
      <c r="R69" s="40" t="n">
        <f aca="false">R57+R61+R66</f>
        <v>-53910.3699999993</v>
      </c>
      <c r="S69" s="40" t="n">
        <f aca="false">S57+S61+S66</f>
        <v>58199.0399999995</v>
      </c>
      <c r="T69" s="40" t="n">
        <f aca="false">T57+T61+T66</f>
        <v>-34646.2399999996</v>
      </c>
      <c r="U69" s="40" t="n">
        <f aca="false">U57+U61+U66</f>
        <v>-15972.7700000003</v>
      </c>
      <c r="V69" s="40" t="n">
        <f aca="false">V57+V61+V66</f>
        <v>6569.69999999942</v>
      </c>
      <c r="W69" s="40" t="n">
        <f aca="false">W57+W61+W66</f>
        <v>37603.6900000005</v>
      </c>
      <c r="X69" s="40" t="n">
        <f aca="false">X57+X61+X66</f>
        <v>-22083.2718318532</v>
      </c>
      <c r="Y69" s="40" t="n">
        <f aca="false">Y57+Y61+Y66</f>
        <v>2460491.0319555</v>
      </c>
      <c r="Z69" s="40" t="n">
        <f aca="false">Z57+Z61+Z66</f>
        <v>-55532.2596947069</v>
      </c>
      <c r="AA69" s="84" t="n">
        <f aca="false">AA57+AA61+AA66</f>
        <v>-77803.9771955407</v>
      </c>
      <c r="AB69" s="40" t="n">
        <f aca="false">AB57+AB61+AB66</f>
        <v>-130361.171868411</v>
      </c>
      <c r="AC69" s="40" t="n">
        <f aca="false">AC57+AC61+AC66</f>
        <v>-107870.2838927</v>
      </c>
      <c r="AD69" s="40" t="n">
        <f aca="false">AD57+AD61+AD66</f>
        <v>-73903.9056779305</v>
      </c>
      <c r="AE69" s="40" t="n">
        <f aca="false">AE57+AE61+AE66</f>
        <v>-116835.646583667</v>
      </c>
      <c r="AF69" s="40" t="n">
        <f aca="false">AF57+AF61+AF66</f>
        <v>-95108.7157890214</v>
      </c>
      <c r="AG69" s="40" t="n">
        <f aca="false">AG57+AG61+AG66</f>
        <v>-134157.884895613</v>
      </c>
      <c r="AH69" s="40" t="n">
        <f aca="false">AH57+AH61+AH66</f>
        <v>-53942.7399930969</v>
      </c>
      <c r="AI69" s="40" t="n">
        <f aca="false">AI57+AI61+AI66</f>
        <v>-99233.2282721949</v>
      </c>
      <c r="AJ69" s="40" t="n">
        <f aca="false">AJ57+AJ61+AJ66</f>
        <v>-70398.8469862678</v>
      </c>
      <c r="AK69" s="40" t="n">
        <f aca="false">AK57+AK61+AK66</f>
        <v>-106225.741519098</v>
      </c>
      <c r="AL69" s="40" t="n">
        <f aca="false">AL57+AL61+AL66</f>
        <v>-34755.7984657098</v>
      </c>
      <c r="AM69" s="84" t="n">
        <f aca="false">AM57+AM61+AM66</f>
        <v>-31668.4447836282</v>
      </c>
      <c r="AN69" s="40" t="n">
        <f aca="false">AN57+AN61+AN66</f>
        <v>-91794.1487988599</v>
      </c>
      <c r="AO69" s="40" t="n">
        <f aca="false">AO57+AO61+AO66</f>
        <v>-41500.0358666366</v>
      </c>
      <c r="AP69" s="40" t="n">
        <f aca="false">AP57+AP61+AP66</f>
        <v>-82293.1243268823</v>
      </c>
      <c r="AQ69" s="40" t="n">
        <f aca="false">AQ57+AQ61+AQ66</f>
        <v>-55912.4265039243</v>
      </c>
      <c r="AR69" s="40" t="n">
        <f aca="false">AR57+AR61+AR66</f>
        <v>-132758.993283667</v>
      </c>
      <c r="AS69" s="40" t="n">
        <f aca="false">AS57+AS61+AS66</f>
        <v>-78850.4708366445</v>
      </c>
      <c r="AT69" s="40" t="n">
        <f aca="false">AT57+AT61+AT66</f>
        <v>-77634.9916158882</v>
      </c>
      <c r="AU69" s="40" t="n">
        <f aca="false">AU57+AU61+AU66</f>
        <v>-35556.3629109059</v>
      </c>
      <c r="AV69" s="40" t="n">
        <f aca="false">AV57+AV61+AV66</f>
        <v>-126809.890984486</v>
      </c>
      <c r="AW69" s="40" t="n">
        <f aca="false">AW57+AW61+AW66</f>
        <v>-98262.2312026981</v>
      </c>
      <c r="AX69" s="40" t="n">
        <f aca="false">AX57+AX61+AX66</f>
        <v>-65863.3989470349</v>
      </c>
      <c r="AY69" s="84" t="n">
        <f aca="false">AY57+AY61+AY66</f>
        <v>234910.215067456</v>
      </c>
      <c r="AZ69" s="40" t="n">
        <f aca="false">AZ57+AZ61+AZ66</f>
        <v>298686.00354094</v>
      </c>
      <c r="BA69" s="40" t="n">
        <f aca="false">BA57+BA61+BA66</f>
        <v>318715.676181508</v>
      </c>
      <c r="BB69" s="40" t="n">
        <f aca="false">BB57+BB61+BB66</f>
        <v>272777.763445563</v>
      </c>
      <c r="BC69" s="40" t="n">
        <f aca="false">BC57+BC61+BC66</f>
        <v>505835.412529488</v>
      </c>
      <c r="BD69" s="40" t="n">
        <f aca="false">BD57+BD61+BD66</f>
        <v>171877.5380217</v>
      </c>
      <c r="BE69" s="40" t="n">
        <f aca="false">BE57+BE61+BE66</f>
        <v>-171124.985964924</v>
      </c>
      <c r="BF69" s="40" t="n">
        <f aca="false">BF57+BF61+BF66</f>
        <v>-762563.797756353</v>
      </c>
    </row>
    <row r="70" customFormat="false" ht="15" hidden="false" customHeight="false" outlineLevel="0" collapsed="false">
      <c r="B70" s="10" t="s">
        <v>258</v>
      </c>
      <c r="C70" s="46" t="n">
        <v>20720.78</v>
      </c>
      <c r="D70" s="46" t="n">
        <v>286165.23</v>
      </c>
      <c r="E70" s="46" t="n">
        <v>239088.3</v>
      </c>
      <c r="F70" s="46" t="n">
        <v>147626.55</v>
      </c>
      <c r="G70" s="46" t="n">
        <v>92710.41</v>
      </c>
      <c r="H70" s="46" t="n">
        <v>99123.89</v>
      </c>
      <c r="I70" s="46" t="n">
        <v>170251.33</v>
      </c>
      <c r="J70" s="46" t="n">
        <v>133472.01</v>
      </c>
      <c r="K70" s="46" t="n">
        <v>108593.85</v>
      </c>
      <c r="L70" s="46" t="n">
        <v>127385.33</v>
      </c>
      <c r="M70" s="46" t="n">
        <v>84957.42</v>
      </c>
      <c r="N70" s="46" t="n">
        <v>56347.05</v>
      </c>
      <c r="O70" s="46" t="n">
        <f aca="false">O68+O69</f>
        <v>41369.6600000002</v>
      </c>
      <c r="P70" s="46" t="n">
        <f aca="false">P68+P69</f>
        <v>134780.24</v>
      </c>
      <c r="Q70" s="46" t="n">
        <f aca="false">Q68+Q69</f>
        <v>77982.8900000001</v>
      </c>
      <c r="R70" s="46" t="n">
        <f aca="false">R68+R69</f>
        <v>24072.5200000006</v>
      </c>
      <c r="S70" s="46" t="n">
        <f aca="false">S68+S69</f>
        <v>82271.56</v>
      </c>
      <c r="T70" s="46" t="n">
        <f aca="false">T68+T69</f>
        <v>47625.3200000005</v>
      </c>
      <c r="U70" s="46" t="n">
        <f aca="false">U68+U69</f>
        <v>31652.5500000002</v>
      </c>
      <c r="V70" s="46" t="n">
        <f aca="false">V68+V69</f>
        <v>38222.2499999996</v>
      </c>
      <c r="W70" s="46" t="n">
        <f aca="false">W68+W69</f>
        <v>75825.9400000002</v>
      </c>
      <c r="X70" s="46" t="n">
        <f aca="false">X68+X69</f>
        <v>53742.668168147</v>
      </c>
      <c r="Y70" s="46" t="n">
        <f aca="false">Y68+Y69</f>
        <v>2514233.70012365</v>
      </c>
      <c r="Z70" s="46" t="n">
        <f aca="false">Z68+Z69</f>
        <v>2458701.44042895</v>
      </c>
      <c r="AA70" s="88" t="n">
        <f aca="false">AA68+AA69</f>
        <v>2380897.4632334</v>
      </c>
      <c r="AB70" s="46" t="n">
        <f aca="false">AB68+AB69</f>
        <v>2250536.29136499</v>
      </c>
      <c r="AC70" s="46" t="n">
        <f aca="false">AC68+AC69</f>
        <v>2142666.00747229</v>
      </c>
      <c r="AD70" s="46" t="n">
        <f aca="false">AD68+AD69</f>
        <v>2068762.10179436</v>
      </c>
      <c r="AE70" s="46" t="n">
        <f aca="false">AE68+AE69</f>
        <v>1951926.4552107</v>
      </c>
      <c r="AF70" s="46" t="n">
        <f aca="false">AF68+AF69</f>
        <v>1856817.73942167</v>
      </c>
      <c r="AG70" s="46" t="n">
        <f aca="false">AG68+AG69</f>
        <v>1722659.85452606</v>
      </c>
      <c r="AH70" s="46" t="n">
        <f aca="false">AH68+AH69</f>
        <v>1668717.11453296</v>
      </c>
      <c r="AI70" s="46" t="n">
        <f aca="false">AI68+AI69</f>
        <v>1569483.88626077</v>
      </c>
      <c r="AJ70" s="46" t="n">
        <f aca="false">AJ68+AJ69</f>
        <v>1499085.0392745</v>
      </c>
      <c r="AK70" s="46" t="n">
        <f aca="false">AK68+AK69</f>
        <v>1392859.2977554</v>
      </c>
      <c r="AL70" s="46" t="n">
        <f aca="false">AL68+AL69</f>
        <v>1358103.49928969</v>
      </c>
      <c r="AM70" s="88" t="n">
        <f aca="false">AM68+AM69</f>
        <v>1326435.05450607</v>
      </c>
      <c r="AN70" s="46" t="n">
        <f aca="false">AN68+AN69</f>
        <v>1234640.90570721</v>
      </c>
      <c r="AO70" s="46" t="n">
        <f aca="false">AO68+AO69</f>
        <v>1193140.86984057</v>
      </c>
      <c r="AP70" s="46" t="n">
        <f aca="false">AP68+AP69</f>
        <v>1110847.74551369</v>
      </c>
      <c r="AQ70" s="46" t="n">
        <f aca="false">AQ68+AQ69</f>
        <v>1054935.31900976</v>
      </c>
      <c r="AR70" s="46" t="n">
        <f aca="false">AR68+AR69</f>
        <v>922176.325726096</v>
      </c>
      <c r="AS70" s="46" t="n">
        <f aca="false">AS68+AS69</f>
        <v>843325.854889451</v>
      </c>
      <c r="AT70" s="46" t="n">
        <f aca="false">AT68+AT69</f>
        <v>765690.863273563</v>
      </c>
      <c r="AU70" s="46" t="n">
        <f aca="false">AU68+AU69</f>
        <v>730134.500362657</v>
      </c>
      <c r="AV70" s="46" t="n">
        <f aca="false">AV68+AV69</f>
        <v>603324.609378171</v>
      </c>
      <c r="AW70" s="46" t="n">
        <f aca="false">AW68+AW69</f>
        <v>505062.378175473</v>
      </c>
      <c r="AX70" s="46" t="n">
        <f aca="false">AX68+AX69</f>
        <v>439198.979228438</v>
      </c>
      <c r="AY70" s="88" t="n">
        <f aca="false">AY68+AY69</f>
        <v>674109.194295895</v>
      </c>
      <c r="AZ70" s="46" t="n">
        <f aca="false">AZ68+AZ69</f>
        <v>972795.197836835</v>
      </c>
      <c r="BA70" s="46" t="n">
        <f aca="false">BA68+BA69</f>
        <v>1291510.87401834</v>
      </c>
      <c r="BB70" s="46" t="n">
        <f aca="false">BB68+BB69</f>
        <v>1564288.63746391</v>
      </c>
      <c r="BC70" s="46" t="n">
        <f aca="false">BC68+BC69</f>
        <v>2070124.04999339</v>
      </c>
      <c r="BD70" s="46" t="n">
        <f aca="false">BD68+BD69</f>
        <v>2242001.58801509</v>
      </c>
      <c r="BE70" s="46" t="n">
        <f aca="false">BE68+BE69</f>
        <v>2070876.60205017</v>
      </c>
      <c r="BF70" s="46" t="n">
        <f aca="false">BF68+BF69</f>
        <v>1308312.80429382</v>
      </c>
    </row>
    <row r="71" customFormat="false" ht="15" hidden="false" customHeight="false" outlineLevel="0" collapsed="false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8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8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8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89"/>
      <c r="AZ71" s="9"/>
      <c r="BA71" s="9"/>
      <c r="BB71" s="9"/>
      <c r="BC71" s="9"/>
      <c r="BD71" s="9"/>
      <c r="BE71" s="9"/>
      <c r="BF71" s="9"/>
    </row>
    <row r="72" customFormat="false" ht="15" hidden="false" customHeight="false" outlineLevel="0" collapsed="false">
      <c r="B72" s="26" t="s">
        <v>259</v>
      </c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</row>
    <row r="73" customFormat="false" ht="15" hidden="false" customHeight="false" outlineLevel="0" collapsed="false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</row>
    <row r="74" customFormat="false" ht="15" hidden="false" customHeight="false" outlineLevel="0" collapsed="false">
      <c r="B74" s="21" t="s">
        <v>260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</row>
    <row r="75" customFormat="false" ht="15" hidden="false" customHeight="false" outlineLevel="0" collapsed="false">
      <c r="B75" s="9" t="s">
        <v>261</v>
      </c>
      <c r="C75" s="40" t="n">
        <v>20720.78</v>
      </c>
      <c r="D75" s="40" t="n">
        <v>286165.23</v>
      </c>
      <c r="E75" s="40" t="n">
        <v>239088.3</v>
      </c>
      <c r="F75" s="40" t="n">
        <v>147626.55</v>
      </c>
      <c r="G75" s="40" t="n">
        <v>92710.41</v>
      </c>
      <c r="H75" s="40" t="n">
        <v>99123.89</v>
      </c>
      <c r="I75" s="40" t="n">
        <v>170251.33</v>
      </c>
      <c r="J75" s="40" t="n">
        <v>133472.01</v>
      </c>
      <c r="K75" s="40" t="n">
        <v>108593.85</v>
      </c>
      <c r="L75" s="40" t="n">
        <v>127385.33</v>
      </c>
      <c r="M75" s="40" t="n">
        <v>84957.42</v>
      </c>
      <c r="N75" s="40" t="n">
        <v>56347.05</v>
      </c>
      <c r="O75" s="40" t="n">
        <f aca="false">'EEFF a septiemrbe'!B40</f>
        <v>41369.66</v>
      </c>
      <c r="P75" s="40" t="n">
        <f aca="false">'EEFF a septiemrbe'!C40</f>
        <v>134780.24</v>
      </c>
      <c r="Q75" s="40" t="n">
        <f aca="false">'EEFF a septiemrbe'!D40</f>
        <v>77982.89</v>
      </c>
      <c r="R75" s="40" t="n">
        <f aca="false">'EEFF a septiemrbe'!E40</f>
        <v>24072.52</v>
      </c>
      <c r="S75" s="40" t="n">
        <f aca="false">'EEFF a septiemrbe'!F40</f>
        <v>82271.56</v>
      </c>
      <c r="T75" s="40" t="n">
        <f aca="false">'EEFF a septiemrbe'!G40</f>
        <v>47625.32</v>
      </c>
      <c r="U75" s="40" t="n">
        <f aca="false">'EEFF a septiemrbe'!H40</f>
        <v>31652.55</v>
      </c>
      <c r="V75" s="40" t="n">
        <f aca="false">'EEFF a septiemrbe'!I40</f>
        <v>38222.25</v>
      </c>
      <c r="W75" s="40" t="n">
        <f aca="false">'EEFF a septiemrbe'!J40</f>
        <v>75825.94</v>
      </c>
      <c r="X75" s="40" t="n">
        <f aca="false">X70</f>
        <v>53742.668168147</v>
      </c>
      <c r="Y75" s="40" t="n">
        <f aca="false">Y70</f>
        <v>2514233.70012365</v>
      </c>
      <c r="Z75" s="40" t="n">
        <f aca="false">Z70</f>
        <v>2458701.44042895</v>
      </c>
      <c r="AA75" s="40" t="n">
        <f aca="false">AA70</f>
        <v>2380897.4632334</v>
      </c>
      <c r="AB75" s="40" t="n">
        <f aca="false">AB70</f>
        <v>2250536.29136499</v>
      </c>
      <c r="AC75" s="40" t="n">
        <f aca="false">AC70</f>
        <v>2142666.00747229</v>
      </c>
      <c r="AD75" s="40" t="n">
        <f aca="false">AD70</f>
        <v>2068762.10179436</v>
      </c>
      <c r="AE75" s="40" t="n">
        <f aca="false">AE70</f>
        <v>1951926.4552107</v>
      </c>
      <c r="AF75" s="40" t="n">
        <f aca="false">AF70</f>
        <v>1856817.73942167</v>
      </c>
      <c r="AG75" s="40" t="n">
        <f aca="false">AG70</f>
        <v>1722659.85452606</v>
      </c>
      <c r="AH75" s="40" t="n">
        <f aca="false">AH70</f>
        <v>1668717.11453296</v>
      </c>
      <c r="AI75" s="40" t="n">
        <f aca="false">AI70</f>
        <v>1569483.88626077</v>
      </c>
      <c r="AJ75" s="40" t="n">
        <f aca="false">AJ70</f>
        <v>1499085.0392745</v>
      </c>
      <c r="AK75" s="40" t="n">
        <f aca="false">AK70</f>
        <v>1392859.2977554</v>
      </c>
      <c r="AL75" s="40" t="n">
        <f aca="false">AL70</f>
        <v>1358103.49928969</v>
      </c>
      <c r="AM75" s="40" t="n">
        <f aca="false">AM70</f>
        <v>1326435.05450607</v>
      </c>
      <c r="AN75" s="40" t="n">
        <f aca="false">AN70</f>
        <v>1234640.90570721</v>
      </c>
      <c r="AO75" s="40" t="n">
        <f aca="false">AO70</f>
        <v>1193140.86984057</v>
      </c>
      <c r="AP75" s="40" t="n">
        <f aca="false">AP70</f>
        <v>1110847.74551369</v>
      </c>
      <c r="AQ75" s="40" t="n">
        <f aca="false">AQ70</f>
        <v>1054935.31900976</v>
      </c>
      <c r="AR75" s="40" t="n">
        <f aca="false">AR70</f>
        <v>922176.325726096</v>
      </c>
      <c r="AS75" s="40" t="n">
        <f aca="false">AS70</f>
        <v>843325.854889451</v>
      </c>
      <c r="AT75" s="40" t="n">
        <f aca="false">AT70</f>
        <v>765690.863273563</v>
      </c>
      <c r="AU75" s="40" t="n">
        <f aca="false">AU70</f>
        <v>730134.500362657</v>
      </c>
      <c r="AV75" s="40" t="n">
        <f aca="false">AV70</f>
        <v>603324.609378171</v>
      </c>
      <c r="AW75" s="40" t="n">
        <f aca="false">AW70</f>
        <v>505062.378175473</v>
      </c>
      <c r="AX75" s="40" t="n">
        <f aca="false">AX70</f>
        <v>439198.979228438</v>
      </c>
      <c r="AY75" s="40" t="n">
        <f aca="false">AY70</f>
        <v>674109.194295895</v>
      </c>
      <c r="AZ75" s="40" t="n">
        <f aca="false">AZ70</f>
        <v>972795.197836835</v>
      </c>
      <c r="BA75" s="40" t="n">
        <f aca="false">BA70</f>
        <v>1291510.87401834</v>
      </c>
      <c r="BB75" s="40" t="n">
        <f aca="false">BB70</f>
        <v>1564288.63746391</v>
      </c>
      <c r="BC75" s="40" t="n">
        <f aca="false">BC70</f>
        <v>2070124.04999339</v>
      </c>
      <c r="BD75" s="40" t="n">
        <f aca="false">BD70</f>
        <v>2242001.58801509</v>
      </c>
      <c r="BE75" s="40" t="n">
        <f aca="false">BE70</f>
        <v>2070876.60205017</v>
      </c>
      <c r="BF75" s="40" t="n">
        <f aca="false">BF70</f>
        <v>1308312.80429382</v>
      </c>
    </row>
    <row r="76" customFormat="false" ht="15" hidden="false" customHeight="false" outlineLevel="0" collapsed="false">
      <c r="B76" s="9" t="s">
        <v>262</v>
      </c>
      <c r="C76" s="40" t="n">
        <v>363.52</v>
      </c>
      <c r="D76" s="40" t="n">
        <v>1040.61</v>
      </c>
      <c r="E76" s="40" t="n">
        <v>1136.31</v>
      </c>
      <c r="F76" s="40" t="n">
        <v>925.58</v>
      </c>
      <c r="G76" s="40" t="n">
        <v>7269.69</v>
      </c>
      <c r="H76" s="40" t="n">
        <v>2378.02</v>
      </c>
      <c r="I76" s="40" t="n">
        <v>8904.77</v>
      </c>
      <c r="J76" s="40" t="n">
        <v>9067.61</v>
      </c>
      <c r="K76" s="40" t="n">
        <v>31939.09</v>
      </c>
      <c r="L76" s="40" t="n">
        <v>49657.03</v>
      </c>
      <c r="M76" s="40" t="n">
        <v>38608.63</v>
      </c>
      <c r="N76" s="40" t="n">
        <v>32391.94</v>
      </c>
      <c r="O76" s="40" t="n">
        <f aca="false">'EEFF a septiemrbe'!B41</f>
        <v>23997.17</v>
      </c>
      <c r="P76" s="40" t="n">
        <f aca="false">'EEFF a septiemrbe'!C41</f>
        <v>22305.2</v>
      </c>
      <c r="Q76" s="40" t="n">
        <f aca="false">'EEFF a septiemrbe'!D41</f>
        <v>21710.52</v>
      </c>
      <c r="R76" s="40" t="n">
        <f aca="false">'EEFF a septiemrbe'!E41</f>
        <v>24176.74</v>
      </c>
      <c r="S76" s="40" t="n">
        <f aca="false">'EEFF a septiemrbe'!F41</f>
        <v>10915.16</v>
      </c>
      <c r="T76" s="40" t="n">
        <f aca="false">'EEFF a septiemrbe'!G41</f>
        <v>5471.1</v>
      </c>
      <c r="U76" s="40" t="n">
        <f aca="false">'EEFF a septiemrbe'!H41</f>
        <v>5361.66</v>
      </c>
      <c r="V76" s="40" t="n">
        <f aca="false">'EEFF a septiemrbe'!I41</f>
        <v>5760.69</v>
      </c>
      <c r="W76" s="40" t="n">
        <f aca="false">'EEFF a septiemrbe'!J41</f>
        <v>9905.87</v>
      </c>
      <c r="X76" s="40" t="n">
        <f aca="false">X10*$C$108/30</f>
        <v>9176.69384701481</v>
      </c>
      <c r="Y76" s="40" t="n">
        <f aca="false">Y10*$C$108/30</f>
        <v>7883.34850783671</v>
      </c>
      <c r="Z76" s="40" t="n">
        <f aca="false">Z10*$C$108/30</f>
        <v>10196.6908595874</v>
      </c>
      <c r="AA76" s="40" t="n">
        <f aca="false">AA10*$C$108/30</f>
        <v>11932.8604650396</v>
      </c>
      <c r="AB76" s="40" t="n">
        <f aca="false">AB10*$C$108/30</f>
        <v>11378.3719645944</v>
      </c>
      <c r="AC76" s="40" t="n">
        <f aca="false">AC10*$C$108/30</f>
        <v>15114.8996830402</v>
      </c>
      <c r="AD76" s="40" t="n">
        <f aca="false">AD10*$C$108/30</f>
        <v>16572.8593507978</v>
      </c>
      <c r="AE76" s="40" t="n">
        <f aca="false">AE10*$C$108/30</f>
        <v>16083.7970610965</v>
      </c>
      <c r="AF76" s="40" t="n">
        <f aca="false">AF10*$C$108/30</f>
        <v>16248.8054620009</v>
      </c>
      <c r="AG76" s="40" t="n">
        <f aca="false">AG10*$C$108/30</f>
        <v>17239.8479407747</v>
      </c>
      <c r="AH76" s="40" t="n">
        <f aca="false">AH10*$C$108/30</f>
        <v>23468.9247084913</v>
      </c>
      <c r="AI76" s="40" t="n">
        <f aca="false">AI10*$C$108/30</f>
        <v>23532.1551267524</v>
      </c>
      <c r="AJ76" s="40" t="n">
        <f aca="false">AJ10*$C$108/30</f>
        <v>23310.2340956762</v>
      </c>
      <c r="AK76" s="40" t="n">
        <f aca="false">AK10*$C$108/30</f>
        <v>21244.7705428459</v>
      </c>
      <c r="AL76" s="40" t="n">
        <f aca="false">AL10*$C$108/30</f>
        <v>25775.3232606438</v>
      </c>
      <c r="AM76" s="40" t="n">
        <f aca="false">AM10*$C$108/30</f>
        <v>28436.1839170926</v>
      </c>
      <c r="AN76" s="40" t="n">
        <f aca="false">AN10*$C$108/30</f>
        <v>26588.4635824137</v>
      </c>
      <c r="AO76" s="40" t="n">
        <f aca="false">AO10*$C$108/30</f>
        <v>32417.7980468415</v>
      </c>
      <c r="AP76" s="40" t="n">
        <f aca="false">AP10*$C$108/30</f>
        <v>34085.2510556093</v>
      </c>
      <c r="AQ76" s="40" t="n">
        <f aca="false">AQ10*$C$108/30</f>
        <v>33683.0318365371</v>
      </c>
      <c r="AR76" s="40" t="n">
        <f aca="false">AR10*$C$108/30</f>
        <v>33171.8442323982</v>
      </c>
      <c r="AS76" s="40" t="n">
        <f aca="false">AS10*$C$108/30</f>
        <v>35690.3343004407</v>
      </c>
      <c r="AT76" s="40" t="n">
        <f aca="false">AT10*$C$108/30</f>
        <v>46459.7224922804</v>
      </c>
      <c r="AU76" s="40" t="n">
        <f aca="false">AU10*$C$108/30</f>
        <v>47687.9652280242</v>
      </c>
      <c r="AV76" s="40" t="n">
        <f aca="false">AV10*$C$108/30</f>
        <v>45406.6020590952</v>
      </c>
      <c r="AW76" s="40" t="n">
        <f aca="false">AW10*$C$108/30</f>
        <v>41483.9409235352</v>
      </c>
      <c r="AX76" s="40" t="n">
        <f aca="false">AX10*$C$108/30</f>
        <v>50336.4030515698</v>
      </c>
      <c r="AY76" s="40" t="n">
        <f aca="false">AY10/12*$C$108/30</f>
        <v>61358.5998283164</v>
      </c>
      <c r="AZ76" s="40" t="n">
        <f aca="false">AZ10/12*$C$108/30</f>
        <v>79103.0182035315</v>
      </c>
      <c r="BA76" s="40" t="n">
        <f aca="false">BA10/12*$C$108/30</f>
        <v>95231.822411476</v>
      </c>
      <c r="BB76" s="40" t="n">
        <f aca="false">BB10/12*$C$108/30</f>
        <v>114712.627636605</v>
      </c>
      <c r="BC76" s="40" t="n">
        <f aca="false">BC10/12*$C$108/30</f>
        <v>133372.622171359</v>
      </c>
      <c r="BD76" s="40" t="n">
        <f aca="false">BD10/12*$C$108/30</f>
        <v>160602.838945619</v>
      </c>
      <c r="BE76" s="40" t="n">
        <f aca="false">BE10/12*$C$108/30</f>
        <v>196049.253719368</v>
      </c>
      <c r="BF76" s="40" t="n">
        <f aca="false">BF10/12*$C$108/30</f>
        <v>235285.922163331</v>
      </c>
    </row>
    <row r="77" customFormat="false" ht="15" hidden="false" customHeight="false" outlineLevel="0" collapsed="false">
      <c r="B77" s="9" t="s">
        <v>263</v>
      </c>
      <c r="C77" s="40" t="n">
        <v>50929.55</v>
      </c>
      <c r="D77" s="40" t="n">
        <v>54035.99</v>
      </c>
      <c r="E77" s="40" t="n">
        <v>55281.44</v>
      </c>
      <c r="F77" s="40" t="n">
        <v>52994.91</v>
      </c>
      <c r="G77" s="40" t="n">
        <v>58692.86</v>
      </c>
      <c r="H77" s="40" t="n">
        <v>57934.08</v>
      </c>
      <c r="I77" s="40" t="n">
        <v>60074.77</v>
      </c>
      <c r="J77" s="40" t="n">
        <v>61330.51</v>
      </c>
      <c r="K77" s="40" t="n">
        <v>61534.4</v>
      </c>
      <c r="L77" s="40" t="n">
        <v>59763.66</v>
      </c>
      <c r="M77" s="40" t="n">
        <v>61331.14</v>
      </c>
      <c r="N77" s="40" t="n">
        <v>66956.36</v>
      </c>
      <c r="O77" s="40" t="n">
        <f aca="false">'EEFF a septiemrbe'!B42</f>
        <v>64480.19</v>
      </c>
      <c r="P77" s="40" t="n">
        <f aca="false">'EEFF a septiemrbe'!C42</f>
        <v>60769.96</v>
      </c>
      <c r="Q77" s="40" t="n">
        <f aca="false">'EEFF a septiemrbe'!D42</f>
        <v>65871.03</v>
      </c>
      <c r="R77" s="40" t="n">
        <f aca="false">'EEFF a septiemrbe'!E42</f>
        <v>64026.76</v>
      </c>
      <c r="S77" s="40" t="n">
        <f aca="false">'EEFF a septiemrbe'!F42</f>
        <v>93463.65</v>
      </c>
      <c r="T77" s="40" t="n">
        <f aca="false">'EEFF a septiemrbe'!G42</f>
        <v>87010</v>
      </c>
      <c r="U77" s="40" t="n">
        <f aca="false">'EEFF a septiemrbe'!H42</f>
        <v>84478.19</v>
      </c>
      <c r="V77" s="40" t="n">
        <f aca="false">'EEFF a septiemrbe'!I42</f>
        <v>81183.2</v>
      </c>
      <c r="W77" s="40" t="n">
        <f aca="false">'EEFF a septiemrbe'!J42</f>
        <v>77455.13</v>
      </c>
      <c r="X77" s="40" t="n">
        <f aca="false">-AVERAGE(X16:Z16)*$C$109</f>
        <v>81770.1996433166</v>
      </c>
      <c r="Y77" s="40" t="n">
        <f aca="false">-AVERAGE(Y16:AA16)*$C$109</f>
        <v>90038.6994973911</v>
      </c>
      <c r="Z77" s="40" t="n">
        <f aca="false">-AVERAGE(Z16:AB16)*$C$109</f>
        <v>100523.769867664</v>
      </c>
      <c r="AA77" s="40" t="n">
        <f aca="false">-AVERAGE(AA16:AC16)*$C$109</f>
        <v>115278.396338023</v>
      </c>
      <c r="AB77" s="40" t="n">
        <f aca="false">-AVERAGE(AB16:AD16)*$C$109</f>
        <v>126408.477329751</v>
      </c>
      <c r="AC77" s="40" t="n">
        <f aca="false">-AVERAGE(AC16:AE16)*$C$109</f>
        <v>137734.836953712</v>
      </c>
      <c r="AD77" s="40" t="n">
        <f aca="false">-AVERAGE(AD16:AF16)*$C$109</f>
        <v>138346.638625048</v>
      </c>
      <c r="AE77" s="40" t="n">
        <f aca="false">-AVERAGE(AE16:AG16)*$C$109</f>
        <v>140347.604394979</v>
      </c>
      <c r="AF77" s="40" t="n">
        <f aca="false">-AVERAGE(AF16:AH16)*$C$109</f>
        <v>162502.987337164</v>
      </c>
      <c r="AG77" s="40" t="n">
        <f aca="false">-AVERAGE(AG16:AI16)*$C$109</f>
        <v>184353.036331418</v>
      </c>
      <c r="AH77" s="40" t="n">
        <f aca="false">-AVERAGE(AH16:AJ16)*$C$109</f>
        <v>202564.194796122</v>
      </c>
      <c r="AI77" s="40" t="n">
        <f aca="false">-AVERAGE(AI16:AK16)*$C$109</f>
        <v>195891.732299187</v>
      </c>
      <c r="AJ77" s="40" t="n">
        <f aca="false">-AVERAGE(AJ16:AL16)*$C$109</f>
        <v>202621.236700861</v>
      </c>
      <c r="AK77" s="40" t="n">
        <f aca="false">-AVERAGE(AK16:AM16)*$C$109</f>
        <v>216172.016197524</v>
      </c>
      <c r="AL77" s="40" t="n">
        <f aca="false">-AVERAGE(AL16:AN16)*$C$109</f>
        <v>230376.025348641</v>
      </c>
      <c r="AM77" s="40" t="n">
        <f aca="false">-AVERAGE(AM16:AO16)*$C$109</f>
        <v>248476.379739647</v>
      </c>
      <c r="AN77" s="40" t="n">
        <f aca="false">-AVERAGE(AN16:AP16)*$C$109</f>
        <v>265423.581155197</v>
      </c>
      <c r="AO77" s="40" t="n">
        <f aca="false">-AVERAGE(AO16:AQ16)*$C$109</f>
        <v>286707.285917567</v>
      </c>
      <c r="AP77" s="40" t="n">
        <f aca="false">-AVERAGE(AP16:AR16)*$C$109</f>
        <v>288969.424474237</v>
      </c>
      <c r="AQ77" s="40" t="n">
        <f aca="false">-AVERAGE(AQ16:AS16)*$C$109</f>
        <v>293784.674208731</v>
      </c>
      <c r="AR77" s="40" t="n">
        <f aca="false">-AVERAGE(AR16:AT16)*$C$109</f>
        <v>332114.746175961</v>
      </c>
      <c r="AS77" s="40" t="n">
        <f aca="false">-AVERAGE(AS16:AU16)*$C$109</f>
        <v>375663.109162839</v>
      </c>
      <c r="AT77" s="40" t="n">
        <f aca="false">-AVERAGE(AT16:AV16)*$C$109</f>
        <v>404811.912438803</v>
      </c>
      <c r="AU77" s="40" t="n">
        <f aca="false">-AVERAGE(AU16:AW16)*$C$109</f>
        <v>389884.567732567</v>
      </c>
      <c r="AV77" s="40" t="n">
        <f aca="false">-AVERAGE(AV16:AX16)*$C$109</f>
        <v>397829.881203204</v>
      </c>
      <c r="AW77" s="40" t="n">
        <f aca="false">-AVERAGE(AW16:AX16)*$C$109</f>
        <v>399340.590988576</v>
      </c>
      <c r="AX77" s="40" t="n">
        <f aca="false">-AVERAGE(AX16:AX16)*$C$109</f>
        <v>439176.670564732</v>
      </c>
      <c r="AY77" s="40" t="n">
        <f aca="false">-AY16/12*$C$109</f>
        <v>508155.263081708</v>
      </c>
      <c r="AZ77" s="40" t="n">
        <f aca="false">-AZ16/12*$C$109</f>
        <v>644535.759744735</v>
      </c>
      <c r="BA77" s="40" t="n">
        <f aca="false">-BA16/12*$C$109</f>
        <v>768703.530681836</v>
      </c>
      <c r="BB77" s="40" t="n">
        <f aca="false">-BB16/12*$C$109</f>
        <v>937438.374179844</v>
      </c>
      <c r="BC77" s="40" t="n">
        <f aca="false">-BC16/12*$C$109</f>
        <v>1081132.1125866</v>
      </c>
      <c r="BD77" s="40" t="n">
        <f aca="false">-BD16/12*$C$109</f>
        <v>1309237.80310235</v>
      </c>
      <c r="BE77" s="40" t="n">
        <f aca="false">-BE16/12*$C$109</f>
        <v>1581466.26856474</v>
      </c>
      <c r="BF77" s="40" t="n">
        <f aca="false">-BF16/12*$C$109</f>
        <v>1882803.88221438</v>
      </c>
    </row>
    <row r="78" customFormat="false" ht="15" hidden="false" customHeight="false" outlineLevel="0" collapsed="false">
      <c r="B78" s="9" t="s">
        <v>264</v>
      </c>
      <c r="C78" s="40" t="n">
        <v>43586.38</v>
      </c>
      <c r="D78" s="40" t="n">
        <v>71124.75</v>
      </c>
      <c r="E78" s="40" t="n">
        <v>63911.09</v>
      </c>
      <c r="F78" s="40" t="n">
        <v>18487.58</v>
      </c>
      <c r="G78" s="40" t="n">
        <v>13421.83</v>
      </c>
      <c r="H78" s="40" t="n">
        <v>13058.51</v>
      </c>
      <c r="I78" s="40" t="n">
        <v>38681.22</v>
      </c>
      <c r="J78" s="40" t="n">
        <v>36642.45</v>
      </c>
      <c r="K78" s="40" t="n">
        <v>38578.55</v>
      </c>
      <c r="L78" s="40" t="n">
        <v>74284.26</v>
      </c>
      <c r="M78" s="40" t="n">
        <v>98863.02</v>
      </c>
      <c r="N78" s="40" t="n">
        <v>46374.64</v>
      </c>
      <c r="O78" s="40" t="n">
        <f aca="false">'EEFF a septiemrbe'!B43+'EEFF a septiemrbe'!B47</f>
        <v>47848.38</v>
      </c>
      <c r="P78" s="40" t="n">
        <f aca="false">'EEFF a septiemrbe'!C43+'EEFF a septiemrbe'!C47</f>
        <v>41503.1</v>
      </c>
      <c r="Q78" s="40" t="n">
        <f aca="false">'EEFF a septiemrbe'!D43+'EEFF a septiemrbe'!D47</f>
        <v>55107.14</v>
      </c>
      <c r="R78" s="40" t="n">
        <f aca="false">'EEFF a septiemrbe'!E43+'EEFF a septiemrbe'!E47</f>
        <v>52354.31</v>
      </c>
      <c r="S78" s="40" t="n">
        <f aca="false">'EEFF a septiemrbe'!F43+'EEFF a septiemrbe'!F47</f>
        <v>26866.2</v>
      </c>
      <c r="T78" s="40" t="n">
        <f aca="false">'EEFF a septiemrbe'!G43+'EEFF a septiemrbe'!G47</f>
        <v>23866.59</v>
      </c>
      <c r="U78" s="40" t="n">
        <f aca="false">'EEFF a septiemrbe'!H43+'EEFF a septiemrbe'!H47</f>
        <v>26385.56</v>
      </c>
      <c r="V78" s="40" t="n">
        <f aca="false">'EEFF a septiemrbe'!I43+'EEFF a septiemrbe'!I47</f>
        <v>26083.92</v>
      </c>
      <c r="W78" s="40" t="n">
        <f aca="false">'EEFF a septiemrbe'!J43+'EEFF a septiemrbe'!J47</f>
        <v>25317.06</v>
      </c>
      <c r="X78" s="40" t="n">
        <f aca="false">W78</f>
        <v>25317.06</v>
      </c>
      <c r="Y78" s="40" t="n">
        <f aca="false">X78</f>
        <v>25317.06</v>
      </c>
      <c r="Z78" s="40" t="n">
        <f aca="false">Y78</f>
        <v>25317.06</v>
      </c>
      <c r="AA78" s="40" t="n">
        <f aca="false">Z78</f>
        <v>25317.06</v>
      </c>
      <c r="AB78" s="40" t="n">
        <f aca="false">AA78</f>
        <v>25317.06</v>
      </c>
      <c r="AC78" s="40" t="n">
        <f aca="false">AB78</f>
        <v>25317.06</v>
      </c>
      <c r="AD78" s="40" t="n">
        <f aca="false">AC78</f>
        <v>25317.06</v>
      </c>
      <c r="AE78" s="40" t="n">
        <f aca="false">AD78</f>
        <v>25317.06</v>
      </c>
      <c r="AF78" s="40" t="n">
        <f aca="false">AE78</f>
        <v>25317.06</v>
      </c>
      <c r="AG78" s="40" t="n">
        <f aca="false">AF78</f>
        <v>25317.06</v>
      </c>
      <c r="AH78" s="40" t="n">
        <f aca="false">AG78</f>
        <v>25317.06</v>
      </c>
      <c r="AI78" s="40" t="n">
        <f aca="false">AH78</f>
        <v>25317.06</v>
      </c>
      <c r="AJ78" s="40" t="n">
        <f aca="false">AI78</f>
        <v>25317.06</v>
      </c>
      <c r="AK78" s="40" t="n">
        <f aca="false">AJ78</f>
        <v>25317.06</v>
      </c>
      <c r="AL78" s="40" t="n">
        <f aca="false">AK78</f>
        <v>25317.06</v>
      </c>
      <c r="AM78" s="40" t="n">
        <f aca="false">AL78</f>
        <v>25317.06</v>
      </c>
      <c r="AN78" s="40" t="n">
        <f aca="false">AM78</f>
        <v>25317.06</v>
      </c>
      <c r="AO78" s="40" t="n">
        <f aca="false">AN78</f>
        <v>25317.06</v>
      </c>
      <c r="AP78" s="40" t="n">
        <f aca="false">AO78</f>
        <v>25317.06</v>
      </c>
      <c r="AQ78" s="40" t="n">
        <f aca="false">AP78</f>
        <v>25317.06</v>
      </c>
      <c r="AR78" s="40" t="n">
        <f aca="false">AQ78</f>
        <v>25317.06</v>
      </c>
      <c r="AS78" s="40" t="n">
        <f aca="false">AR78</f>
        <v>25317.06</v>
      </c>
      <c r="AT78" s="40" t="n">
        <f aca="false">AS78</f>
        <v>25317.06</v>
      </c>
      <c r="AU78" s="40" t="n">
        <f aca="false">AT78</f>
        <v>25317.06</v>
      </c>
      <c r="AV78" s="40" t="n">
        <f aca="false">AU78</f>
        <v>25317.06</v>
      </c>
      <c r="AW78" s="40" t="n">
        <f aca="false">AV78</f>
        <v>25317.06</v>
      </c>
      <c r="AX78" s="40" t="n">
        <f aca="false">AW78</f>
        <v>25317.06</v>
      </c>
      <c r="AY78" s="40" t="n">
        <f aca="false">AX78</f>
        <v>25317.06</v>
      </c>
      <c r="AZ78" s="40" t="n">
        <f aca="false">AY78</f>
        <v>25317.06</v>
      </c>
      <c r="BA78" s="40" t="n">
        <f aca="false">AZ78</f>
        <v>25317.06</v>
      </c>
      <c r="BB78" s="40" t="n">
        <f aca="false">BA78</f>
        <v>25317.06</v>
      </c>
      <c r="BC78" s="40" t="n">
        <f aca="false">BB78</f>
        <v>25317.06</v>
      </c>
      <c r="BD78" s="40" t="n">
        <f aca="false">BC78</f>
        <v>25317.06</v>
      </c>
      <c r="BE78" s="40" t="n">
        <f aca="false">BD78</f>
        <v>25317.06</v>
      </c>
      <c r="BF78" s="40" t="n">
        <f aca="false">BE78</f>
        <v>25317.06</v>
      </c>
    </row>
    <row r="79" customFormat="false" ht="15" hidden="false" customHeight="false" outlineLevel="0" collapsed="false">
      <c r="B79" s="9" t="s">
        <v>265</v>
      </c>
      <c r="C79" s="40" t="n">
        <v>406233.33</v>
      </c>
      <c r="D79" s="40" t="n">
        <v>0</v>
      </c>
      <c r="E79" s="40" t="n">
        <v>0</v>
      </c>
      <c r="F79" s="40" t="n">
        <v>0</v>
      </c>
      <c r="G79" s="40" t="n">
        <v>0</v>
      </c>
      <c r="H79" s="40" t="n">
        <v>0</v>
      </c>
      <c r="I79" s="40" t="n">
        <v>0</v>
      </c>
      <c r="J79" s="40" t="n">
        <v>0</v>
      </c>
      <c r="K79" s="40" t="n">
        <v>0</v>
      </c>
      <c r="L79" s="40" t="n">
        <v>0</v>
      </c>
      <c r="M79" s="40" t="n">
        <v>0</v>
      </c>
      <c r="N79" s="40" t="n">
        <v>0</v>
      </c>
      <c r="O79" s="40" t="n">
        <f aca="false">'EEFF a septiemrbe'!B44</f>
        <v>0</v>
      </c>
      <c r="P79" s="40" t="n">
        <f aca="false">'EEFF a septiemrbe'!C44</f>
        <v>0</v>
      </c>
      <c r="Q79" s="40" t="n">
        <f aca="false">'EEFF a septiemrbe'!D44</f>
        <v>0</v>
      </c>
      <c r="R79" s="40" t="n">
        <f aca="false">'EEFF a septiemrbe'!E44</f>
        <v>0</v>
      </c>
      <c r="S79" s="40" t="n">
        <f aca="false">'EEFF a septiemrbe'!F44</f>
        <v>0</v>
      </c>
      <c r="T79" s="40" t="n">
        <f aca="false">'EEFF a septiemrbe'!G44</f>
        <v>0</v>
      </c>
      <c r="U79" s="40" t="n">
        <f aca="false">'EEFF a septiemrbe'!H44</f>
        <v>0</v>
      </c>
      <c r="V79" s="40" t="n">
        <f aca="false">'EEFF a septiemrbe'!I44</f>
        <v>0</v>
      </c>
      <c r="W79" s="40" t="n">
        <f aca="false">'EEFF a septiemrbe'!J44</f>
        <v>0</v>
      </c>
      <c r="X79" s="40" t="n">
        <f aca="false">W79</f>
        <v>0</v>
      </c>
      <c r="Y79" s="40" t="n">
        <f aca="false">X79</f>
        <v>0</v>
      </c>
      <c r="Z79" s="40" t="n">
        <f aca="false">Y79</f>
        <v>0</v>
      </c>
      <c r="AA79" s="40" t="n">
        <f aca="false">Z79</f>
        <v>0</v>
      </c>
      <c r="AB79" s="40" t="n">
        <f aca="false">AA79</f>
        <v>0</v>
      </c>
      <c r="AC79" s="40" t="n">
        <f aca="false">AB79</f>
        <v>0</v>
      </c>
      <c r="AD79" s="40" t="n">
        <f aca="false">AC79</f>
        <v>0</v>
      </c>
      <c r="AE79" s="40" t="n">
        <f aca="false">AD79</f>
        <v>0</v>
      </c>
      <c r="AF79" s="40" t="n">
        <f aca="false">AE79</f>
        <v>0</v>
      </c>
      <c r="AG79" s="40" t="n">
        <f aca="false">AF79</f>
        <v>0</v>
      </c>
      <c r="AH79" s="40" t="n">
        <f aca="false">AG79</f>
        <v>0</v>
      </c>
      <c r="AI79" s="40" t="n">
        <f aca="false">AH79</f>
        <v>0</v>
      </c>
      <c r="AJ79" s="40" t="n">
        <f aca="false">AI79</f>
        <v>0</v>
      </c>
      <c r="AK79" s="40" t="n">
        <f aca="false">AJ79</f>
        <v>0</v>
      </c>
      <c r="AL79" s="40" t="n">
        <f aca="false">AK79</f>
        <v>0</v>
      </c>
      <c r="AM79" s="40" t="n">
        <f aca="false">AL79</f>
        <v>0</v>
      </c>
      <c r="AN79" s="40" t="n">
        <f aca="false">AM79</f>
        <v>0</v>
      </c>
      <c r="AO79" s="40" t="n">
        <f aca="false">AN79</f>
        <v>0</v>
      </c>
      <c r="AP79" s="40" t="n">
        <f aca="false">AO79</f>
        <v>0</v>
      </c>
      <c r="AQ79" s="40" t="n">
        <f aca="false">AP79</f>
        <v>0</v>
      </c>
      <c r="AR79" s="40" t="n">
        <f aca="false">AQ79</f>
        <v>0</v>
      </c>
      <c r="AS79" s="40" t="n">
        <f aca="false">AR79</f>
        <v>0</v>
      </c>
      <c r="AT79" s="40" t="n">
        <f aca="false">AS79</f>
        <v>0</v>
      </c>
      <c r="AU79" s="40" t="n">
        <f aca="false">AT79</f>
        <v>0</v>
      </c>
      <c r="AV79" s="40" t="n">
        <f aca="false">AU79</f>
        <v>0</v>
      </c>
      <c r="AW79" s="40" t="n">
        <f aca="false">AV79</f>
        <v>0</v>
      </c>
      <c r="AX79" s="40" t="n">
        <f aca="false">AW79</f>
        <v>0</v>
      </c>
      <c r="AY79" s="40" t="n">
        <f aca="false">AX79</f>
        <v>0</v>
      </c>
      <c r="AZ79" s="40" t="n">
        <f aca="false">AY79</f>
        <v>0</v>
      </c>
      <c r="BA79" s="40" t="n">
        <f aca="false">AZ79</f>
        <v>0</v>
      </c>
      <c r="BB79" s="40" t="n">
        <f aca="false">BA79</f>
        <v>0</v>
      </c>
      <c r="BC79" s="40" t="n">
        <f aca="false">BB79</f>
        <v>0</v>
      </c>
      <c r="BD79" s="40" t="n">
        <f aca="false">BC79</f>
        <v>0</v>
      </c>
      <c r="BE79" s="40" t="n">
        <f aca="false">BD79</f>
        <v>0</v>
      </c>
      <c r="BF79" s="40" t="n">
        <f aca="false">BE79</f>
        <v>0</v>
      </c>
    </row>
    <row r="80" customFormat="false" ht="15" hidden="false" customHeight="false" outlineLevel="0" collapsed="false">
      <c r="B80" s="101" t="s">
        <v>266</v>
      </c>
      <c r="C80" s="102" t="n">
        <v>521833.56</v>
      </c>
      <c r="D80" s="102" t="n">
        <v>412366.58</v>
      </c>
      <c r="E80" s="102" t="n">
        <v>359417.14</v>
      </c>
      <c r="F80" s="102" t="n">
        <v>220034.62</v>
      </c>
      <c r="G80" s="102" t="n">
        <v>172094.79</v>
      </c>
      <c r="H80" s="102" t="n">
        <v>172494.5</v>
      </c>
      <c r="I80" s="102" t="n">
        <v>277912.09</v>
      </c>
      <c r="J80" s="102" t="n">
        <v>240512.58</v>
      </c>
      <c r="K80" s="102" t="n">
        <v>240645.89</v>
      </c>
      <c r="L80" s="102" t="n">
        <v>311090.28</v>
      </c>
      <c r="M80" s="102" t="n">
        <v>283760.21</v>
      </c>
      <c r="N80" s="102" t="n">
        <v>202069.99</v>
      </c>
      <c r="O80" s="103" t="n">
        <f aca="false">SUM(O75:O79)</f>
        <v>177695.4</v>
      </c>
      <c r="P80" s="102" t="n">
        <f aca="false">SUM(P75:P79)</f>
        <v>259358.5</v>
      </c>
      <c r="Q80" s="102" t="n">
        <f aca="false">SUM(Q75:Q79)</f>
        <v>220671.58</v>
      </c>
      <c r="R80" s="102" t="n">
        <f aca="false">SUM(R75:R79)</f>
        <v>164630.33</v>
      </c>
      <c r="S80" s="102" t="n">
        <f aca="false">SUM(S75:S79)</f>
        <v>213516.57</v>
      </c>
      <c r="T80" s="102" t="n">
        <f aca="false">SUM(T75:T79)</f>
        <v>163973.01</v>
      </c>
      <c r="U80" s="102" t="n">
        <f aca="false">SUM(U75:U79)</f>
        <v>147877.96</v>
      </c>
      <c r="V80" s="102" t="n">
        <f aca="false">SUM(V75:V79)</f>
        <v>151250.06</v>
      </c>
      <c r="W80" s="102" t="n">
        <f aca="false">SUM(W75:W79)</f>
        <v>188504</v>
      </c>
      <c r="X80" s="102" t="n">
        <f aca="false">SUM(X75:X79)</f>
        <v>170006.621658478</v>
      </c>
      <c r="Y80" s="102" t="n">
        <f aca="false">SUM(Y75:Y79)</f>
        <v>2637472.80812888</v>
      </c>
      <c r="Z80" s="102" t="n">
        <f aca="false">SUM(Z75:Z79)</f>
        <v>2594738.9611562</v>
      </c>
      <c r="AA80" s="103" t="n">
        <f aca="false">SUM(AA75:AA79)</f>
        <v>2533425.78003647</v>
      </c>
      <c r="AB80" s="102" t="n">
        <f aca="false">SUM(AB75:AB79)</f>
        <v>2413640.20065934</v>
      </c>
      <c r="AC80" s="102" t="n">
        <f aca="false">SUM(AC75:AC79)</f>
        <v>2320832.80410904</v>
      </c>
      <c r="AD80" s="102" t="n">
        <f aca="false">SUM(AD75:AD79)</f>
        <v>2248998.65977021</v>
      </c>
      <c r="AE80" s="102" t="n">
        <f aca="false">SUM(AE75:AE79)</f>
        <v>2133674.91666677</v>
      </c>
      <c r="AF80" s="102" t="n">
        <f aca="false">SUM(AF75:AF79)</f>
        <v>2060886.59222084</v>
      </c>
      <c r="AG80" s="102" t="n">
        <f aca="false">SUM(AG75:AG79)</f>
        <v>1949569.79879825</v>
      </c>
      <c r="AH80" s="102" t="n">
        <f aca="false">SUM(AH75:AH79)</f>
        <v>1920067.29403758</v>
      </c>
      <c r="AI80" s="102" t="n">
        <f aca="false">SUM(AI75:AI79)</f>
        <v>1814224.83368671</v>
      </c>
      <c r="AJ80" s="102" t="n">
        <f aca="false">SUM(AJ75:AJ79)</f>
        <v>1750333.57007104</v>
      </c>
      <c r="AK80" s="102" t="n">
        <f aca="false">SUM(AK75:AK79)</f>
        <v>1655593.14449577</v>
      </c>
      <c r="AL80" s="102" t="n">
        <f aca="false">SUM(AL75:AL79)</f>
        <v>1639571.90789898</v>
      </c>
      <c r="AM80" s="103" t="n">
        <f aca="false">SUM(AM75:AM79)</f>
        <v>1628664.67816281</v>
      </c>
      <c r="AN80" s="102" t="n">
        <f aca="false">SUM(AN75:AN79)</f>
        <v>1551970.01044482</v>
      </c>
      <c r="AO80" s="102" t="n">
        <f aca="false">SUM(AO75:AO79)</f>
        <v>1537583.01380498</v>
      </c>
      <c r="AP80" s="102" t="n">
        <f aca="false">SUM(AP75:AP79)</f>
        <v>1459219.48104353</v>
      </c>
      <c r="AQ80" s="102" t="n">
        <f aca="false">SUM(AQ75:AQ79)</f>
        <v>1407720.08505503</v>
      </c>
      <c r="AR80" s="102" t="n">
        <f aca="false">SUM(AR75:AR79)</f>
        <v>1312779.97613446</v>
      </c>
      <c r="AS80" s="102" t="n">
        <f aca="false">SUM(AS75:AS79)</f>
        <v>1279996.35835273</v>
      </c>
      <c r="AT80" s="102" t="n">
        <f aca="false">SUM(AT75:AT79)</f>
        <v>1242279.55820465</v>
      </c>
      <c r="AU80" s="102" t="n">
        <f aca="false">SUM(AU75:AU79)</f>
        <v>1193024.09332325</v>
      </c>
      <c r="AV80" s="102" t="n">
        <f aca="false">SUM(AV75:AV79)</f>
        <v>1071878.15264047</v>
      </c>
      <c r="AW80" s="102" t="n">
        <f aca="false">SUM(AW75:AW79)</f>
        <v>971203.970087585</v>
      </c>
      <c r="AX80" s="102" t="n">
        <f aca="false">SUM(AX75:AX79)</f>
        <v>954029.11284474</v>
      </c>
      <c r="AY80" s="103" t="n">
        <f aca="false">SUM(AY75:AY79)</f>
        <v>1268940.11720592</v>
      </c>
      <c r="AZ80" s="102" t="n">
        <f aca="false">SUM(AZ75:AZ79)</f>
        <v>1721751.0357851</v>
      </c>
      <c r="BA80" s="102" t="n">
        <f aca="false">SUM(BA75:BA79)</f>
        <v>2180763.28711165</v>
      </c>
      <c r="BB80" s="102" t="n">
        <f aca="false">SUM(BB75:BB79)</f>
        <v>2641756.69928035</v>
      </c>
      <c r="BC80" s="102" t="n">
        <f aca="false">SUM(BC75:BC79)</f>
        <v>3309945.84475135</v>
      </c>
      <c r="BD80" s="102" t="n">
        <f aca="false">SUM(BD75:BD79)</f>
        <v>3737159.29006306</v>
      </c>
      <c r="BE80" s="102" t="n">
        <f aca="false">SUM(BE75:BE79)</f>
        <v>3873709.18433428</v>
      </c>
      <c r="BF80" s="102" t="n">
        <f aca="false">SUM(BF75:BF79)</f>
        <v>3451719.66867153</v>
      </c>
    </row>
    <row r="81" customFormat="false" ht="15" hidden="false" customHeight="false" outlineLevel="0" collapsed="false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8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8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8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89"/>
      <c r="AZ81" s="9"/>
      <c r="BA81" s="9"/>
      <c r="BB81" s="9"/>
      <c r="BC81" s="9"/>
      <c r="BD81" s="9"/>
      <c r="BE81" s="9"/>
      <c r="BF81" s="9"/>
    </row>
    <row r="82" customFormat="false" ht="15" hidden="false" customHeight="false" outlineLevel="0" collapsed="false">
      <c r="B82" s="21" t="s">
        <v>267</v>
      </c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104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104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104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104"/>
      <c r="AZ82" s="21"/>
      <c r="BA82" s="21"/>
      <c r="BB82" s="21"/>
      <c r="BC82" s="21"/>
      <c r="BD82" s="21"/>
      <c r="BE82" s="21"/>
      <c r="BF82" s="21"/>
    </row>
    <row r="83" customFormat="false" ht="15" hidden="false" customHeight="false" outlineLevel="0" collapsed="false">
      <c r="B83" s="9" t="s">
        <v>268</v>
      </c>
      <c r="C83" s="40" t="n">
        <v>141280.29</v>
      </c>
      <c r="D83" s="40" t="n">
        <v>141629.88</v>
      </c>
      <c r="E83" s="40" t="n">
        <v>179877.95</v>
      </c>
      <c r="F83" s="40" t="n">
        <v>230764.81</v>
      </c>
      <c r="G83" s="40" t="n">
        <v>235743.14</v>
      </c>
      <c r="H83" s="40" t="n">
        <v>231164.69</v>
      </c>
      <c r="I83" s="40" t="n">
        <v>236435.1</v>
      </c>
      <c r="J83" s="40" t="n">
        <v>248609.25</v>
      </c>
      <c r="K83" s="40" t="n">
        <v>247406.78</v>
      </c>
      <c r="L83" s="40" t="n">
        <v>253540.51</v>
      </c>
      <c r="M83" s="40" t="n">
        <v>267112.91</v>
      </c>
      <c r="N83" s="40" t="n">
        <v>326536.23</v>
      </c>
      <c r="O83" s="84" t="n">
        <f aca="false">'EEFF a septiemrbe'!B45</f>
        <v>336143.08</v>
      </c>
      <c r="P83" s="40" t="n">
        <f aca="false">'EEFF a septiemrbe'!C45</f>
        <v>330681.63</v>
      </c>
      <c r="Q83" s="40" t="n">
        <f aca="false">'EEFF a septiemrbe'!D45</f>
        <v>315012.78</v>
      </c>
      <c r="R83" s="40" t="n">
        <f aca="false">'EEFF a septiemrbe'!E45</f>
        <v>306292.98</v>
      </c>
      <c r="S83" s="40" t="n">
        <f aca="false">'EEFF a septiemrbe'!F45</f>
        <v>298124.32</v>
      </c>
      <c r="T83" s="40" t="n">
        <f aca="false">'EEFF a septiemrbe'!G45</f>
        <v>289021.47</v>
      </c>
      <c r="U83" s="40" t="n">
        <f aca="false">'EEFF a septiemrbe'!H45</f>
        <v>279245.7</v>
      </c>
      <c r="V83" s="40" t="n">
        <f aca="false">'EEFF a septiemrbe'!I45</f>
        <v>270776.41</v>
      </c>
      <c r="W83" s="40" t="n">
        <f aca="false">'EEFF a septiemrbe'!J45</f>
        <v>307231.78</v>
      </c>
      <c r="X83" s="40" t="n">
        <f aca="false">W83+(-X59)+X43</f>
        <v>297563.416666667</v>
      </c>
      <c r="Y83" s="40" t="n">
        <f aca="false">X83+(-Y59)+Y43</f>
        <v>287895.053333333</v>
      </c>
      <c r="Z83" s="40" t="n">
        <f aca="false">Y83+(-Z59)+Z43</f>
        <v>311004.467777778</v>
      </c>
      <c r="AA83" s="84" t="n">
        <f aca="false">Z83+(-AA59)+AA43</f>
        <v>366336.104444444</v>
      </c>
      <c r="AB83" s="40" t="n">
        <f aca="false">AA83+(-AB59)+AB43</f>
        <v>453334.407777778</v>
      </c>
      <c r="AC83" s="40" t="n">
        <f aca="false">AB83+(-AC59)+AC43</f>
        <v>538666.044444445</v>
      </c>
      <c r="AD83" s="40" t="n">
        <f aca="false">AC83+(-AD59)+AD43</f>
        <v>589553.236666667</v>
      </c>
      <c r="AE83" s="40" t="n">
        <f aca="false">AD83+(-AE59)+AE43</f>
        <v>639329.317777778</v>
      </c>
      <c r="AF83" s="40" t="n">
        <f aca="false">AE83+(-AF59)+AF43</f>
        <v>655216.51</v>
      </c>
      <c r="AG83" s="40" t="n">
        <f aca="false">AF83+(-AG59)+AG43</f>
        <v>703325.924444444</v>
      </c>
      <c r="AH83" s="40" t="n">
        <f aca="false">AG83+(-AH59)+AH43</f>
        <v>717546.45</v>
      </c>
      <c r="AI83" s="40" t="n">
        <f aca="false">AH83+(-AI59)+AI43</f>
        <v>763989.197777778</v>
      </c>
      <c r="AJ83" s="40" t="n">
        <f aca="false">AI83+(-AJ59)+AJ43</f>
        <v>776543.056666667</v>
      </c>
      <c r="AK83" s="40" t="n">
        <f aca="false">AJ83+(-AK59)+AK43</f>
        <v>788541.36</v>
      </c>
      <c r="AL83" s="40" t="n">
        <f aca="false">AK83+(-AL59)+AL43</f>
        <v>767206.33</v>
      </c>
      <c r="AM83" s="84" t="n">
        <f aca="false">AL83+(-AM59)+AM43</f>
        <v>745871.3</v>
      </c>
      <c r="AN83" s="40" t="n">
        <f aca="false">AM83+(-AN59)+AN43</f>
        <v>757314.047777778</v>
      </c>
      <c r="AO83" s="40" t="n">
        <f aca="false">AN83+(-AO59)+AO43</f>
        <v>768201.24</v>
      </c>
      <c r="AP83" s="40" t="n">
        <f aca="false">AO83+(-AP59)+AP43</f>
        <v>811310.654444444</v>
      </c>
      <c r="AQ83" s="40" t="n">
        <f aca="false">AP83+(-AQ59)+AQ43</f>
        <v>820531.18</v>
      </c>
      <c r="AR83" s="40" t="n">
        <f aca="false">AQ83+(-AR59)+AR43</f>
        <v>861973.927777778</v>
      </c>
      <c r="AS83" s="40" t="n">
        <f aca="false">AR83+(-AS59)+AS43</f>
        <v>869527.786666667</v>
      </c>
      <c r="AT83" s="40" t="n">
        <f aca="false">AS83+(-AT59)+AT43</f>
        <v>942081.645555556</v>
      </c>
      <c r="AU83" s="40" t="n">
        <f aca="false">AT83+(-AU59)+AU43</f>
        <v>980191.06</v>
      </c>
      <c r="AV83" s="40" t="n">
        <f aca="false">AU83+(-AV59)+AV43</f>
        <v>1049967.14111111</v>
      </c>
      <c r="AW83" s="40" t="n">
        <f aca="false">AV83+(-AW59)+AW43</f>
        <v>1085298.77777778</v>
      </c>
      <c r="AX83" s="40" t="n">
        <f aca="false">AW83+(-AX59)+AX43</f>
        <v>1119519.30333333</v>
      </c>
      <c r="AY83" s="84" t="n">
        <f aca="false">AX83+(-AY59)+AY43</f>
        <v>880000</v>
      </c>
      <c r="AZ83" s="40" t="n">
        <f aca="false">AY83+(-AZ59)+AZ43</f>
        <v>1026666.66666667</v>
      </c>
      <c r="BA83" s="40" t="n">
        <f aca="false">AZ83+(-BA59)+BA43</f>
        <v>1190000</v>
      </c>
      <c r="BB83" s="40" t="n">
        <f aca="false">BA83+(-BB59)+BB43</f>
        <v>1106666.66666667</v>
      </c>
      <c r="BC83" s="40" t="n">
        <f aca="false">BB83+(-BC59)+BC43</f>
        <v>1396666.66666667</v>
      </c>
      <c r="BD83" s="40" t="n">
        <f aca="false">BC83+(-BD59)+BD43</f>
        <v>1866666.66666667</v>
      </c>
      <c r="BE83" s="40" t="n">
        <f aca="false">BD83+(-BE59)+BE43</f>
        <v>2206666.66666667</v>
      </c>
      <c r="BF83" s="40" t="n">
        <f aca="false">BE83+(-BF59)+BF43</f>
        <v>2206666.66666667</v>
      </c>
    </row>
    <row r="84" customFormat="false" ht="15" hidden="false" customHeight="false" outlineLevel="0" collapsed="false">
      <c r="B84" s="9" t="s">
        <v>269</v>
      </c>
      <c r="C84" s="40" t="n">
        <v>1059</v>
      </c>
      <c r="D84" s="40" t="n">
        <v>940.2</v>
      </c>
      <c r="E84" s="40" t="n">
        <v>821.4</v>
      </c>
      <c r="F84" s="40" t="n">
        <v>702.6</v>
      </c>
      <c r="G84" s="40" t="n">
        <v>583.8</v>
      </c>
      <c r="H84" s="40" t="n">
        <v>465</v>
      </c>
      <c r="I84" s="40" t="n">
        <v>465</v>
      </c>
      <c r="J84" s="40" t="n">
        <v>617.18</v>
      </c>
      <c r="K84" s="40" t="n">
        <v>604.43</v>
      </c>
      <c r="L84" s="40" t="n">
        <v>591.68</v>
      </c>
      <c r="M84" s="40" t="n">
        <v>578.93</v>
      </c>
      <c r="N84" s="40" t="n">
        <v>566.18</v>
      </c>
      <c r="O84" s="84" t="n">
        <f aca="false">'EEFF a septiemrbe'!B46</f>
        <v>553.43</v>
      </c>
      <c r="P84" s="40" t="n">
        <f aca="false">'EEFF a septiemrbe'!C46</f>
        <v>540.68</v>
      </c>
      <c r="Q84" s="40" t="n">
        <f aca="false">'EEFF a septiemrbe'!D46</f>
        <v>527.93</v>
      </c>
      <c r="R84" s="40" t="n">
        <f aca="false">'EEFF a septiemrbe'!E46</f>
        <v>515.18</v>
      </c>
      <c r="S84" s="40" t="n">
        <f aca="false">'EEFF a septiemrbe'!F46</f>
        <v>502.43</v>
      </c>
      <c r="T84" s="40" t="n">
        <f aca="false">'EEFF a septiemrbe'!G46</f>
        <v>489.68</v>
      </c>
      <c r="U84" s="40" t="n">
        <f aca="false">'EEFF a septiemrbe'!H46</f>
        <v>476.93</v>
      </c>
      <c r="V84" s="40" t="n">
        <f aca="false">'EEFF a septiemrbe'!I46</f>
        <v>465</v>
      </c>
      <c r="W84" s="40" t="n">
        <f aca="false">'EEFF a septiemrbe'!J46</f>
        <v>465</v>
      </c>
      <c r="X84" s="40" t="n">
        <f aca="false">W84</f>
        <v>465</v>
      </c>
      <c r="Y84" s="40" t="n">
        <f aca="false">X84</f>
        <v>465</v>
      </c>
      <c r="Z84" s="40" t="n">
        <f aca="false">Y84</f>
        <v>465</v>
      </c>
      <c r="AA84" s="40" t="n">
        <f aca="false">Z84</f>
        <v>465</v>
      </c>
      <c r="AB84" s="40" t="n">
        <f aca="false">AA84</f>
        <v>465</v>
      </c>
      <c r="AC84" s="40" t="n">
        <f aca="false">AB84</f>
        <v>465</v>
      </c>
      <c r="AD84" s="40" t="n">
        <f aca="false">AC84</f>
        <v>465</v>
      </c>
      <c r="AE84" s="40" t="n">
        <f aca="false">AD84</f>
        <v>465</v>
      </c>
      <c r="AF84" s="40" t="n">
        <f aca="false">AE84</f>
        <v>465</v>
      </c>
      <c r="AG84" s="40" t="n">
        <f aca="false">AF84</f>
        <v>465</v>
      </c>
      <c r="AH84" s="40" t="n">
        <f aca="false">AG84</f>
        <v>465</v>
      </c>
      <c r="AI84" s="40" t="n">
        <f aca="false">AH84</f>
        <v>465</v>
      </c>
      <c r="AJ84" s="40" t="n">
        <f aca="false">AI84</f>
        <v>465</v>
      </c>
      <c r="AK84" s="40" t="n">
        <f aca="false">AJ84</f>
        <v>465</v>
      </c>
      <c r="AL84" s="40" t="n">
        <f aca="false">AK84</f>
        <v>465</v>
      </c>
      <c r="AM84" s="40" t="n">
        <f aca="false">AL84</f>
        <v>465</v>
      </c>
      <c r="AN84" s="40" t="n">
        <f aca="false">AM84</f>
        <v>465</v>
      </c>
      <c r="AO84" s="40" t="n">
        <f aca="false">AN84</f>
        <v>465</v>
      </c>
      <c r="AP84" s="40" t="n">
        <f aca="false">AO84</f>
        <v>465</v>
      </c>
      <c r="AQ84" s="40" t="n">
        <f aca="false">AP84</f>
        <v>465</v>
      </c>
      <c r="AR84" s="40" t="n">
        <f aca="false">AQ84</f>
        <v>465</v>
      </c>
      <c r="AS84" s="40" t="n">
        <f aca="false">AR84</f>
        <v>465</v>
      </c>
      <c r="AT84" s="40" t="n">
        <f aca="false">AS84</f>
        <v>465</v>
      </c>
      <c r="AU84" s="40" t="n">
        <f aca="false">AT84</f>
        <v>465</v>
      </c>
      <c r="AV84" s="40" t="n">
        <f aca="false">AU84</f>
        <v>465</v>
      </c>
      <c r="AW84" s="40" t="n">
        <f aca="false">AV84</f>
        <v>465</v>
      </c>
      <c r="AX84" s="40" t="n">
        <f aca="false">AW84</f>
        <v>465</v>
      </c>
      <c r="AY84" s="40" t="n">
        <f aca="false">AX84</f>
        <v>465</v>
      </c>
      <c r="AZ84" s="40" t="n">
        <f aca="false">AY84</f>
        <v>465</v>
      </c>
      <c r="BA84" s="40" t="n">
        <f aca="false">AZ84</f>
        <v>465</v>
      </c>
      <c r="BB84" s="40" t="n">
        <f aca="false">BA84</f>
        <v>465</v>
      </c>
      <c r="BC84" s="40" t="n">
        <f aca="false">BB84</f>
        <v>465</v>
      </c>
      <c r="BD84" s="40" t="n">
        <f aca="false">BC84</f>
        <v>465</v>
      </c>
      <c r="BE84" s="40" t="n">
        <f aca="false">BD84</f>
        <v>465</v>
      </c>
      <c r="BF84" s="40" t="n">
        <f aca="false">BE84</f>
        <v>465</v>
      </c>
    </row>
    <row r="85" customFormat="false" ht="15" hidden="false" customHeight="false" outlineLevel="0" collapsed="false">
      <c r="B85" s="101" t="s">
        <v>270</v>
      </c>
      <c r="C85" s="102" t="n">
        <v>185323.15</v>
      </c>
      <c r="D85" s="102" t="n">
        <v>185645.22</v>
      </c>
      <c r="E85" s="102" t="n">
        <v>223894.91</v>
      </c>
      <c r="F85" s="102" t="n">
        <v>278938.71</v>
      </c>
      <c r="G85" s="102" t="n">
        <v>283182.08</v>
      </c>
      <c r="H85" s="102" t="n">
        <v>277893.71</v>
      </c>
      <c r="I85" s="102" t="n">
        <v>282347.32</v>
      </c>
      <c r="J85" s="102" t="n">
        <v>299184.44</v>
      </c>
      <c r="K85" s="102" t="n">
        <v>300495.37</v>
      </c>
      <c r="L85" s="102" t="n">
        <v>306980.43</v>
      </c>
      <c r="M85" s="102" t="n">
        <v>320991.37</v>
      </c>
      <c r="N85" s="102" t="n">
        <v>341694.44</v>
      </c>
      <c r="O85" s="103" t="n">
        <f aca="false">O83+O84</f>
        <v>336696.51</v>
      </c>
      <c r="P85" s="102" t="n">
        <f aca="false">P83+P84</f>
        <v>331222.31</v>
      </c>
      <c r="Q85" s="102" t="n">
        <f aca="false">Q83+Q84</f>
        <v>315540.71</v>
      </c>
      <c r="R85" s="102" t="n">
        <f aca="false">R83+R84</f>
        <v>306808.16</v>
      </c>
      <c r="S85" s="102" t="n">
        <f aca="false">S83+S84</f>
        <v>298626.75</v>
      </c>
      <c r="T85" s="102" t="n">
        <f aca="false">T83+T84</f>
        <v>289511.15</v>
      </c>
      <c r="U85" s="102" t="n">
        <f aca="false">U83+U84</f>
        <v>279722.63</v>
      </c>
      <c r="V85" s="102" t="n">
        <f aca="false">V83+V84</f>
        <v>271241.41</v>
      </c>
      <c r="W85" s="102" t="n">
        <f aca="false">W83+W84</f>
        <v>307696.78</v>
      </c>
      <c r="X85" s="102" t="n">
        <f aca="false">X83+X84+($W$85-$W$83-$W$84)</f>
        <v>298028.416666667</v>
      </c>
      <c r="Y85" s="102" t="n">
        <f aca="false">Y83+Y84+($W$85-$W$83-$W$84)</f>
        <v>288360.053333333</v>
      </c>
      <c r="Z85" s="102" t="n">
        <f aca="false">Z83+Z84+($W$85-$W$83-$W$84)</f>
        <v>311469.467777778</v>
      </c>
      <c r="AA85" s="102" t="n">
        <f aca="false">AA83+AA84+($W$85-$W$83-$W$84)</f>
        <v>366801.104444444</v>
      </c>
      <c r="AB85" s="102" t="n">
        <f aca="false">AB83+AB84+($W$85-$W$83-$W$84)</f>
        <v>453799.407777778</v>
      </c>
      <c r="AC85" s="102" t="n">
        <f aca="false">AC83+AC84+($W$85-$W$83-$W$84)</f>
        <v>539131.044444445</v>
      </c>
      <c r="AD85" s="102" t="n">
        <f aca="false">AD83+AD84+($W$85-$W$83-$W$84)</f>
        <v>590018.236666667</v>
      </c>
      <c r="AE85" s="102" t="n">
        <f aca="false">AE83+AE84+($W$85-$W$83-$W$84)</f>
        <v>639794.317777778</v>
      </c>
      <c r="AF85" s="102" t="n">
        <f aca="false">AF83+AF84+($W$85-$W$83-$W$84)</f>
        <v>655681.51</v>
      </c>
      <c r="AG85" s="102" t="n">
        <f aca="false">AG83+AG84+($W$85-$W$83-$W$84)</f>
        <v>703790.924444444</v>
      </c>
      <c r="AH85" s="102" t="n">
        <f aca="false">AH83+AH84+($W$85-$W$83-$W$84)</f>
        <v>718011.45</v>
      </c>
      <c r="AI85" s="102" t="n">
        <f aca="false">AI83+AI84+($W$85-$W$83-$W$84)</f>
        <v>764454.197777778</v>
      </c>
      <c r="AJ85" s="102" t="n">
        <f aca="false">AJ83+AJ84+($W$85-$W$83-$W$84)</f>
        <v>777008.056666667</v>
      </c>
      <c r="AK85" s="102" t="n">
        <f aca="false">AK83+AK84+($W$85-$W$83-$W$84)</f>
        <v>789006.36</v>
      </c>
      <c r="AL85" s="102" t="n">
        <f aca="false">AL83+AL84+($W$85-$W$83-$W$84)</f>
        <v>767671.33</v>
      </c>
      <c r="AM85" s="102" t="n">
        <f aca="false">AM83+AM84+($W$85-$W$83-$W$84)</f>
        <v>746336.3</v>
      </c>
      <c r="AN85" s="102" t="n">
        <f aca="false">AN83+AN84+($W$85-$W$83-$W$84)</f>
        <v>757779.047777778</v>
      </c>
      <c r="AO85" s="102" t="n">
        <f aca="false">AO83+AO84+($W$85-$W$83-$W$84)</f>
        <v>768666.24</v>
      </c>
      <c r="AP85" s="102" t="n">
        <f aca="false">AP83+AP84+($W$85-$W$83-$W$84)</f>
        <v>811775.654444444</v>
      </c>
      <c r="AQ85" s="102" t="n">
        <f aca="false">AQ83+AQ84+($W$85-$W$83-$W$84)</f>
        <v>820996.18</v>
      </c>
      <c r="AR85" s="102" t="n">
        <f aca="false">AR83+AR84+($W$85-$W$83-$W$84)</f>
        <v>862438.927777778</v>
      </c>
      <c r="AS85" s="102" t="n">
        <f aca="false">AS83+AS84+($W$85-$W$83-$W$84)</f>
        <v>869992.786666667</v>
      </c>
      <c r="AT85" s="102" t="n">
        <f aca="false">AT83+AT84+($W$85-$W$83-$W$84)</f>
        <v>942546.645555556</v>
      </c>
      <c r="AU85" s="102" t="n">
        <f aca="false">AU83+AU84+($W$85-$W$83-$W$84)</f>
        <v>980656.06</v>
      </c>
      <c r="AV85" s="102" t="n">
        <f aca="false">AV83+AV84+($W$85-$W$83-$W$84)</f>
        <v>1050432.14111111</v>
      </c>
      <c r="AW85" s="102" t="n">
        <f aca="false">AW83+AW84+($W$85-$W$83-$W$84)</f>
        <v>1085763.77777778</v>
      </c>
      <c r="AX85" s="102" t="n">
        <f aca="false">AX83+AX84+($W$85-$W$83-$W$84)</f>
        <v>1119984.30333333</v>
      </c>
      <c r="AY85" s="102" t="n">
        <f aca="false">AY83+AY84+($W$85-$W$83-$W$84)</f>
        <v>880465</v>
      </c>
      <c r="AZ85" s="102" t="n">
        <f aca="false">AZ83+AZ84+($W$85-$W$83-$W$84)</f>
        <v>1027131.66666667</v>
      </c>
      <c r="BA85" s="102" t="n">
        <f aca="false">BA83+BA84+($W$85-$W$83-$W$84)</f>
        <v>1190465</v>
      </c>
      <c r="BB85" s="102" t="n">
        <f aca="false">BB83+BB84+($W$85-$W$83-$W$84)</f>
        <v>1107131.66666667</v>
      </c>
      <c r="BC85" s="102" t="n">
        <f aca="false">BC83+BC84+($W$85-$W$83-$W$84)</f>
        <v>1397131.66666667</v>
      </c>
      <c r="BD85" s="102" t="n">
        <f aca="false">BD83+BD84+($W$85-$W$83-$W$84)</f>
        <v>1867131.66666667</v>
      </c>
      <c r="BE85" s="102" t="n">
        <f aca="false">BE83+BE84+($W$85-$W$83-$W$84)</f>
        <v>2207131.66666667</v>
      </c>
      <c r="BF85" s="102" t="n">
        <f aca="false">BF83+BF84+($W$85-$W$83-$W$84)</f>
        <v>2207131.66666667</v>
      </c>
    </row>
    <row r="86" customFormat="false" ht="15" hidden="false" customHeight="false" outlineLevel="0" collapsed="false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8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8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8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89"/>
      <c r="AZ86" s="9"/>
      <c r="BA86" s="9"/>
      <c r="BB86" s="9"/>
      <c r="BC86" s="9"/>
      <c r="BD86" s="9"/>
      <c r="BE86" s="9"/>
      <c r="BF86" s="9"/>
    </row>
    <row r="87" customFormat="false" ht="15.75" hidden="false" customHeight="true" outlineLevel="0" collapsed="false">
      <c r="B87" s="105" t="s">
        <v>271</v>
      </c>
      <c r="C87" s="106" t="n">
        <v>707156.71</v>
      </c>
      <c r="D87" s="106" t="n">
        <v>598011.8</v>
      </c>
      <c r="E87" s="106" t="n">
        <v>583312.05</v>
      </c>
      <c r="F87" s="106" t="n">
        <v>498973.33</v>
      </c>
      <c r="G87" s="106" t="n">
        <v>455276.87</v>
      </c>
      <c r="H87" s="106" t="n">
        <v>450388.21</v>
      </c>
      <c r="I87" s="106" t="n">
        <v>560259.41</v>
      </c>
      <c r="J87" s="106" t="n">
        <v>539697.02</v>
      </c>
      <c r="K87" s="106" t="n">
        <v>541141.26</v>
      </c>
      <c r="L87" s="106" t="n">
        <v>618070.71</v>
      </c>
      <c r="M87" s="106" t="n">
        <v>604751.58</v>
      </c>
      <c r="N87" s="106" t="n">
        <v>543764.43</v>
      </c>
      <c r="O87" s="107" t="n">
        <f aca="false">O80+O85</f>
        <v>514391.91</v>
      </c>
      <c r="P87" s="106" t="n">
        <f aca="false">P80+P85</f>
        <v>590580.81</v>
      </c>
      <c r="Q87" s="106" t="n">
        <f aca="false">Q80+Q85</f>
        <v>536212.29</v>
      </c>
      <c r="R87" s="106" t="n">
        <f aca="false">R80+R85</f>
        <v>471438.49</v>
      </c>
      <c r="S87" s="106" t="n">
        <f aca="false">S80+S85</f>
        <v>512143.32</v>
      </c>
      <c r="T87" s="106" t="n">
        <f aca="false">T80+T85</f>
        <v>453484.16</v>
      </c>
      <c r="U87" s="106" t="n">
        <f aca="false">U80+U85</f>
        <v>427600.59</v>
      </c>
      <c r="V87" s="106" t="n">
        <f aca="false">V80+V85</f>
        <v>422491.47</v>
      </c>
      <c r="W87" s="106" t="n">
        <f aca="false">W80+W85</f>
        <v>496200.78</v>
      </c>
      <c r="X87" s="106" t="n">
        <f aca="false">X80+X85</f>
        <v>468035.038325145</v>
      </c>
      <c r="Y87" s="106" t="n">
        <f aca="false">Y80+Y85</f>
        <v>2925832.86146221</v>
      </c>
      <c r="Z87" s="106" t="n">
        <f aca="false">Z80+Z85</f>
        <v>2906208.42893397</v>
      </c>
      <c r="AA87" s="107" t="n">
        <f aca="false">AA80+AA85</f>
        <v>2900226.88448091</v>
      </c>
      <c r="AB87" s="106" t="n">
        <f aca="false">AB80+AB85</f>
        <v>2867439.60843712</v>
      </c>
      <c r="AC87" s="106" t="n">
        <f aca="false">AC80+AC85</f>
        <v>2859963.84855349</v>
      </c>
      <c r="AD87" s="106" t="n">
        <f aca="false">AD80+AD85</f>
        <v>2839016.89643688</v>
      </c>
      <c r="AE87" s="106" t="n">
        <f aca="false">AE80+AE85</f>
        <v>2773469.23444455</v>
      </c>
      <c r="AF87" s="106" t="n">
        <f aca="false">AF80+AF85</f>
        <v>2716568.10222084</v>
      </c>
      <c r="AG87" s="106" t="n">
        <f aca="false">AG80+AG85</f>
        <v>2653360.7232427</v>
      </c>
      <c r="AH87" s="106" t="n">
        <f aca="false">AH80+AH85</f>
        <v>2638078.74403758</v>
      </c>
      <c r="AI87" s="106" t="n">
        <f aca="false">AI80+AI85</f>
        <v>2578679.03146449</v>
      </c>
      <c r="AJ87" s="106" t="n">
        <f aca="false">AJ80+AJ85</f>
        <v>2527341.62673771</v>
      </c>
      <c r="AK87" s="106" t="n">
        <f aca="false">AK80+AK85</f>
        <v>2444599.50449577</v>
      </c>
      <c r="AL87" s="106" t="n">
        <f aca="false">AL80+AL85</f>
        <v>2407243.23789898</v>
      </c>
      <c r="AM87" s="107" t="n">
        <f aca="false">AM80+AM85</f>
        <v>2375000.97816281</v>
      </c>
      <c r="AN87" s="106" t="n">
        <f aca="false">AN80+AN85</f>
        <v>2309749.05822259</v>
      </c>
      <c r="AO87" s="106" t="n">
        <f aca="false">AO80+AO85</f>
        <v>2306249.25380498</v>
      </c>
      <c r="AP87" s="106" t="n">
        <f aca="false">AP80+AP85</f>
        <v>2270995.13548798</v>
      </c>
      <c r="AQ87" s="106" t="n">
        <f aca="false">AQ80+AQ85</f>
        <v>2228716.26505503</v>
      </c>
      <c r="AR87" s="106" t="n">
        <f aca="false">AR80+AR85</f>
        <v>2175218.90391223</v>
      </c>
      <c r="AS87" s="106" t="n">
        <f aca="false">AS80+AS85</f>
        <v>2149989.1450194</v>
      </c>
      <c r="AT87" s="106" t="n">
        <f aca="false">AT80+AT85</f>
        <v>2184826.2037602</v>
      </c>
      <c r="AU87" s="106" t="n">
        <f aca="false">AU80+AU85</f>
        <v>2173680.15332325</v>
      </c>
      <c r="AV87" s="106" t="n">
        <f aca="false">AV80+AV85</f>
        <v>2122310.29375158</v>
      </c>
      <c r="AW87" s="106" t="n">
        <f aca="false">AW80+AW85</f>
        <v>2056967.74786536</v>
      </c>
      <c r="AX87" s="106" t="n">
        <f aca="false">AX80+AX85</f>
        <v>2074013.41617807</v>
      </c>
      <c r="AY87" s="107" t="n">
        <f aca="false">AY80+AY85</f>
        <v>2149405.11720592</v>
      </c>
      <c r="AZ87" s="106" t="n">
        <f aca="false">AZ80+AZ85</f>
        <v>2748882.70245177</v>
      </c>
      <c r="BA87" s="106" t="n">
        <f aca="false">BA80+BA85</f>
        <v>3371228.28711165</v>
      </c>
      <c r="BB87" s="106" t="n">
        <f aca="false">BB80+BB85</f>
        <v>3748888.36594702</v>
      </c>
      <c r="BC87" s="106" t="n">
        <f aca="false">BC80+BC85</f>
        <v>4707077.51141802</v>
      </c>
      <c r="BD87" s="106" t="n">
        <f aca="false">BD80+BD85</f>
        <v>5604290.95672973</v>
      </c>
      <c r="BE87" s="106" t="n">
        <f aca="false">BE80+BE85</f>
        <v>6080840.85100095</v>
      </c>
      <c r="BF87" s="106" t="n">
        <f aca="false">BF80+BF85</f>
        <v>5658851.33533819</v>
      </c>
    </row>
    <row r="88" customFormat="false" ht="15.75" hidden="false" customHeight="true" outlineLevel="0" collapsed="false"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8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8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8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89"/>
      <c r="AZ88" s="9"/>
      <c r="BA88" s="9"/>
      <c r="BB88" s="9"/>
      <c r="BC88" s="9"/>
      <c r="BD88" s="9"/>
      <c r="BE88" s="9"/>
      <c r="BF88" s="9"/>
    </row>
    <row r="89" customFormat="false" ht="15" hidden="false" customHeight="false" outlineLevel="0" collapsed="false">
      <c r="B89" s="21" t="s">
        <v>272</v>
      </c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104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104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104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104"/>
      <c r="AZ89" s="21"/>
      <c r="BA89" s="21"/>
      <c r="BB89" s="21"/>
      <c r="BC89" s="21"/>
      <c r="BD89" s="21"/>
      <c r="BE89" s="21"/>
      <c r="BF89" s="21"/>
    </row>
    <row r="90" customFormat="false" ht="15" hidden="false" customHeight="false" outlineLevel="0" collapsed="false">
      <c r="B90" s="9" t="s">
        <v>273</v>
      </c>
      <c r="C90" s="40" t="n">
        <v>82247.12</v>
      </c>
      <c r="D90" s="40" t="n">
        <v>17943.42</v>
      </c>
      <c r="E90" s="40" t="n">
        <v>55633.4</v>
      </c>
      <c r="F90" s="40" t="n">
        <v>22156</v>
      </c>
      <c r="G90" s="40" t="n">
        <v>27624.02</v>
      </c>
      <c r="H90" s="40" t="n">
        <v>35774.31</v>
      </c>
      <c r="I90" s="40" t="n">
        <v>24154.94</v>
      </c>
      <c r="J90" s="40" t="n">
        <v>33864.05</v>
      </c>
      <c r="K90" s="40" t="n">
        <v>71440.09</v>
      </c>
      <c r="L90" s="40" t="n">
        <v>26646.92</v>
      </c>
      <c r="M90" s="40" t="n">
        <v>48964.42</v>
      </c>
      <c r="N90" s="40" t="n">
        <v>80178.2</v>
      </c>
      <c r="O90" s="84" t="n">
        <f aca="false">'EEFF a septiemrbe'!B50</f>
        <v>94437.35</v>
      </c>
      <c r="P90" s="40" t="n">
        <f aca="false">'EEFF a septiemrbe'!C50</f>
        <v>42768.19</v>
      </c>
      <c r="Q90" s="40" t="n">
        <f aca="false">'EEFF a septiemrbe'!D50</f>
        <v>48369.74</v>
      </c>
      <c r="R90" s="40" t="n">
        <f aca="false">'EEFF a septiemrbe'!E50</f>
        <v>33024.08</v>
      </c>
      <c r="S90" s="40" t="n">
        <f aca="false">'EEFF a septiemrbe'!F50</f>
        <v>32372.66</v>
      </c>
      <c r="T90" s="40" t="n">
        <f aca="false">'EEFF a septiemrbe'!G50</f>
        <v>32430.79</v>
      </c>
      <c r="U90" s="40" t="n">
        <f aca="false">'EEFF a septiemrbe'!H50</f>
        <v>27579.94</v>
      </c>
      <c r="V90" s="40" t="n">
        <f aca="false">'EEFF a septiemrbe'!I50</f>
        <v>56739.9</v>
      </c>
      <c r="W90" s="40" t="n">
        <f aca="false">'EEFF a septiemrbe'!J50</f>
        <v>51576.63</v>
      </c>
      <c r="X90" s="40" t="n">
        <f aca="false">-(X16+X23+X24+X29+X30+X31+X32)*$C$110/30</f>
        <v>48388.0619566723</v>
      </c>
      <c r="Y90" s="40" t="n">
        <f aca="false">-(Y16+Y23+Y24+Y29+Y30+Y31+Y32)*$C$110/30</f>
        <v>43905.0139619762</v>
      </c>
      <c r="Z90" s="40" t="n">
        <f aca="false">-(Z16+Z23+Z24+Z29+Z30+Z31+Z32)*$C$110/30</f>
        <v>51979.6008108847</v>
      </c>
      <c r="AA90" s="84" t="n">
        <f aca="false">-(AA16+AA23+AA24+AA29+AA30+AA31+AA32)*$C$110/30</f>
        <v>61079.6916540544</v>
      </c>
      <c r="AB90" s="40" t="n">
        <f aca="false">-(AB16+AB23+AB24+AB29+AB30+AB31+AB32)*$C$110/30</f>
        <v>62170.1126810211</v>
      </c>
      <c r="AC90" s="40" t="n">
        <f aca="false">-(AC16+AC23+AC24+AC29+AC30+AC31+AC32)*$C$110/30</f>
        <v>79902.0542834298</v>
      </c>
      <c r="AD90" s="40" t="n">
        <f aca="false">-(AD16+AD23+AD24+AD29+AD30+AD31+AD32)*$C$110/30</f>
        <v>86024.3173232148</v>
      </c>
      <c r="AE90" s="40" t="n">
        <f aca="false">-(AE16+AE23+AE24+AE29+AE30+AE31+AE32)*$C$110/30</f>
        <v>82913.2166195864</v>
      </c>
      <c r="AF90" s="40" t="n">
        <f aca="false">-(AF16+AF23+AF24+AF29+AF30+AF31+AF32)*$C$110/30</f>
        <v>86621.6461401478</v>
      </c>
      <c r="AG90" s="40" t="n">
        <f aca="false">-(AG16+AG23+AG24+AG29+AG30+AG31+AG32)*$C$110/30</f>
        <v>90190.8685987758</v>
      </c>
      <c r="AH90" s="40" t="n">
        <f aca="false">-(AH16+AH23+AH24+AH29+AH30+AH31+AH32)*$C$110/30</f>
        <v>120895.203583736</v>
      </c>
      <c r="AI90" s="40" t="n">
        <f aca="false">-(AI16+AI23+AI24+AI29+AI30+AI31+AI32)*$C$110/30</f>
        <v>117498.400679448</v>
      </c>
      <c r="AJ90" s="40" t="n">
        <f aca="false">-(AJ16+AJ23+AJ24+AJ29+AJ30+AJ31+AJ32)*$C$110/30</f>
        <v>118576.593095958</v>
      </c>
      <c r="AK90" s="40" t="n">
        <f aca="false">-(AK16+AK23+AK24+AK29+AK30+AK31+AK32)*$C$110/30</f>
        <v>109435.031437375</v>
      </c>
      <c r="AL90" s="40" t="n">
        <f aca="false">-(AL16+AL23+AL24+AL29+AL30+AL31+AL32)*$C$110/30</f>
        <v>127861.712707622</v>
      </c>
      <c r="AM90" s="84" t="n">
        <f aca="false">-(AM16+AM23+AM24+AM29+AM30+AM31+AM32)*$C$110/30</f>
        <v>135351.24154181</v>
      </c>
      <c r="AN90" s="40" t="n">
        <f aca="false">-(AN16+AN23+AN24+AN29+AN30+AN31+AN32)*$C$110/30</f>
        <v>125588.954983522</v>
      </c>
      <c r="AO90" s="40" t="n">
        <f aca="false">-(AO16+AO23+AO24+AO29+AO30+AO31+AO32)*$C$110/30</f>
        <v>153750.138173929</v>
      </c>
      <c r="AP90" s="40" t="n">
        <f aca="false">-(AP16+AP23+AP24+AP29+AP30+AP31+AP32)*$C$110/30</f>
        <v>157816.9166178</v>
      </c>
      <c r="AQ90" s="40" t="n">
        <f aca="false">-(AQ16+AQ23+AQ24+AQ29+AQ30+AQ31+AQ32)*$C$110/30</f>
        <v>157048.923444136</v>
      </c>
      <c r="AR90" s="40" t="n">
        <f aca="false">-(AR16+AR23+AR24+AR29+AR30+AR31+AR32)*$C$110/30</f>
        <v>153450.469625685</v>
      </c>
      <c r="AS90" s="40" t="n">
        <f aca="false">-(AS16+AS23+AS24+AS29+AS30+AS31+AS32)*$C$110/30</f>
        <v>166235.714372558</v>
      </c>
      <c r="AT90" s="40" t="n">
        <f aca="false">-(AT16+AT23+AT24+AT29+AT30+AT31+AT32)*$C$110/30</f>
        <v>214721.021757485</v>
      </c>
      <c r="AU90" s="40" t="n">
        <f aca="false">-(AU16+AU23+AU24+AU29+AU30+AU31+AU32)*$C$110/30</f>
        <v>218702.134717629</v>
      </c>
      <c r="AV90" s="40" t="n">
        <f aca="false">-(AV16+AV23+AV24+AV29+AV30+AV31+AV32)*$C$110/30</f>
        <v>206214.450599129</v>
      </c>
      <c r="AW90" s="40" t="n">
        <f aca="false">-(AW16+AW23+AW24+AW29+AW30+AW31+AW32)*$C$110/30</f>
        <v>192696.51524779</v>
      </c>
      <c r="AX90" s="40" t="n">
        <f aca="false">-(AX16+AX23+AX24+AX29+AX30+AX31+AX32)*$C$110/30</f>
        <v>232692.638134921</v>
      </c>
      <c r="AY90" s="84" t="n">
        <f aca="false">-(AY16+AY23+AY24+AY29+AY30+AY31+AY32)/12*$C$110/30</f>
        <v>262086.673170889</v>
      </c>
      <c r="AZ90" s="40" t="n">
        <f aca="false">-(AZ16+AZ23+AZ24+AZ29+AZ30+AZ31+AZ32)/12*$C$110/30</f>
        <v>329015.059354605</v>
      </c>
      <c r="BA90" s="40" t="n">
        <f aca="false">-(BA16+BA23+BA24+BA29+BA30+BA31+BA32)/12*$C$110/30</f>
        <v>402047.284901161</v>
      </c>
      <c r="BB90" s="40" t="n">
        <f aca="false">-(BB16+BB23+BB24+BB29+BB30+BB31+BB32)/12*$C$110/30</f>
        <v>485033.263846715</v>
      </c>
      <c r="BC90" s="40" t="n">
        <f aca="false">-(BC16+BC23+BC24+BC29+BC30+BC31+BC32)/12*$C$110/30</f>
        <v>560013.583932113</v>
      </c>
      <c r="BD90" s="40" t="n">
        <f aca="false">-(BD16+BD23+BD24+BD29+BD30+BD31+BD32)/12*$C$110/30</f>
        <v>681193.308474808</v>
      </c>
      <c r="BE90" s="40" t="n">
        <f aca="false">-(BE16+BE23+BE24+BE29+BE30+BE31+BE32)/12*$C$110/30</f>
        <v>790426.329240406</v>
      </c>
      <c r="BF90" s="40" t="n">
        <f aca="false">-(BF16+BF23+BF24+BF29+BF30+BF31+BF32)/12*$C$110/30</f>
        <v>905437.034352815</v>
      </c>
    </row>
    <row r="91" customFormat="false" ht="15" hidden="false" customHeight="false" outlineLevel="0" collapsed="false">
      <c r="B91" s="9" t="s">
        <v>274</v>
      </c>
      <c r="C91" s="40" t="n">
        <v>19403.44</v>
      </c>
      <c r="D91" s="40" t="n">
        <v>19973.54</v>
      </c>
      <c r="E91" s="40" t="n">
        <v>20694.2</v>
      </c>
      <c r="F91" s="40" t="n">
        <v>19032.55</v>
      </c>
      <c r="G91" s="40" t="n">
        <v>22185.27</v>
      </c>
      <c r="H91" s="40" t="n">
        <v>27990.69</v>
      </c>
      <c r="I91" s="40" t="n">
        <v>26607.67</v>
      </c>
      <c r="J91" s="40" t="n">
        <v>29131.73</v>
      </c>
      <c r="K91" s="40" t="n">
        <v>45150.56</v>
      </c>
      <c r="L91" s="40" t="n">
        <v>34618.38</v>
      </c>
      <c r="M91" s="40" t="n">
        <v>42209.55</v>
      </c>
      <c r="N91" s="40" t="n">
        <v>40519.54</v>
      </c>
      <c r="O91" s="84" t="n">
        <f aca="false">'EEFF a septiemrbe'!B51</f>
        <v>0</v>
      </c>
      <c r="P91" s="40" t="n">
        <f aca="false">'EEFF a septiemrbe'!C51</f>
        <v>0</v>
      </c>
      <c r="Q91" s="40" t="n">
        <f aca="false">'EEFF a septiemrbe'!D51</f>
        <v>0</v>
      </c>
      <c r="R91" s="40" t="n">
        <f aca="false">'EEFF a septiemrbe'!E51</f>
        <v>0</v>
      </c>
      <c r="S91" s="40" t="n">
        <f aca="false">'EEFF a septiemrbe'!F51</f>
        <v>0</v>
      </c>
      <c r="T91" s="40" t="n">
        <f aca="false">'EEFF a septiemrbe'!G51</f>
        <v>0</v>
      </c>
      <c r="U91" s="40" t="n">
        <f aca="false">'EEFF a septiemrbe'!H51</f>
        <v>0</v>
      </c>
      <c r="V91" s="40" t="n">
        <f aca="false">'EEFF a septiemrbe'!I51</f>
        <v>0</v>
      </c>
      <c r="W91" s="40" t="n">
        <f aca="false">'EEFF a septiemrbe'!J51</f>
        <v>0</v>
      </c>
      <c r="X91" s="40" t="n">
        <v>0</v>
      </c>
      <c r="Y91" s="40" t="n">
        <v>0</v>
      </c>
      <c r="Z91" s="40" t="n">
        <v>0</v>
      </c>
      <c r="AA91" s="84" t="n">
        <v>0</v>
      </c>
      <c r="AB91" s="40" t="n">
        <v>0</v>
      </c>
      <c r="AC91" s="40" t="n">
        <v>0</v>
      </c>
      <c r="AD91" s="40" t="n">
        <v>0</v>
      </c>
      <c r="AE91" s="40" t="n">
        <v>0</v>
      </c>
      <c r="AF91" s="40" t="n">
        <v>0</v>
      </c>
      <c r="AG91" s="40" t="n">
        <v>0</v>
      </c>
      <c r="AH91" s="40" t="n">
        <v>0</v>
      </c>
      <c r="AI91" s="40" t="n">
        <v>0</v>
      </c>
      <c r="AJ91" s="40" t="n">
        <v>0</v>
      </c>
      <c r="AK91" s="40" t="n">
        <v>0</v>
      </c>
      <c r="AL91" s="40" t="n">
        <v>0</v>
      </c>
      <c r="AM91" s="84" t="n">
        <v>0</v>
      </c>
      <c r="AN91" s="40" t="n">
        <v>0</v>
      </c>
      <c r="AO91" s="40" t="n">
        <v>0</v>
      </c>
      <c r="AP91" s="40" t="n">
        <v>0</v>
      </c>
      <c r="AQ91" s="40" t="n">
        <v>0</v>
      </c>
      <c r="AR91" s="40" t="n">
        <v>0</v>
      </c>
      <c r="AS91" s="40" t="n">
        <v>0</v>
      </c>
      <c r="AT91" s="40" t="n">
        <v>0</v>
      </c>
      <c r="AU91" s="40" t="n">
        <v>0</v>
      </c>
      <c r="AV91" s="40" t="n">
        <v>0</v>
      </c>
      <c r="AW91" s="40" t="n">
        <v>0</v>
      </c>
      <c r="AX91" s="40" t="n">
        <v>0</v>
      </c>
      <c r="AY91" s="84" t="n">
        <v>0</v>
      </c>
      <c r="AZ91" s="40" t="n">
        <v>0</v>
      </c>
      <c r="BA91" s="40" t="n">
        <v>0</v>
      </c>
      <c r="BB91" s="40" t="n">
        <v>0</v>
      </c>
      <c r="BC91" s="40" t="n">
        <v>0</v>
      </c>
      <c r="BD91" s="40" t="n">
        <v>0</v>
      </c>
      <c r="BE91" s="40" t="n">
        <v>0</v>
      </c>
      <c r="BF91" s="40" t="n">
        <v>0</v>
      </c>
    </row>
    <row r="92" customFormat="false" ht="15" hidden="false" customHeight="false" outlineLevel="0" collapsed="false">
      <c r="B92" s="9" t="s">
        <v>275</v>
      </c>
      <c r="C92" s="40" t="n">
        <v>50384.79</v>
      </c>
      <c r="D92" s="40" t="n">
        <v>6389.35</v>
      </c>
      <c r="E92" s="40" t="n">
        <v>8637.89</v>
      </c>
      <c r="F92" s="40" t="n">
        <v>6711.74</v>
      </c>
      <c r="G92" s="40" t="n">
        <v>1763.87</v>
      </c>
      <c r="H92" s="40" t="n">
        <v>9316.7</v>
      </c>
      <c r="I92" s="40" t="n">
        <v>462.48</v>
      </c>
      <c r="J92" s="40" t="n">
        <v>2229.2</v>
      </c>
      <c r="K92" s="40" t="n">
        <v>9307.66</v>
      </c>
      <c r="L92" s="40" t="n">
        <v>175441.33</v>
      </c>
      <c r="M92" s="40" t="n">
        <v>196399.46</v>
      </c>
      <c r="N92" s="40" t="n">
        <v>201251.83</v>
      </c>
      <c r="O92" s="84" t="n">
        <f aca="false">'EEFF a septiemrbe'!B52</f>
        <v>18926.66</v>
      </c>
      <c r="P92" s="40" t="n">
        <f aca="false">'EEFF a septiemrbe'!C52</f>
        <v>16934.11</v>
      </c>
      <c r="Q92" s="40" t="n">
        <f aca="false">'EEFF a septiemrbe'!D52</f>
        <v>19602.36</v>
      </c>
      <c r="R92" s="40" t="n">
        <f aca="false">'EEFF a septiemrbe'!E52</f>
        <v>19934.13</v>
      </c>
      <c r="S92" s="40" t="n">
        <f aca="false">'EEFF a septiemrbe'!F52</f>
        <v>23256.86</v>
      </c>
      <c r="T92" s="40" t="n">
        <f aca="false">'EEFF a septiemrbe'!G52</f>
        <v>23059.26</v>
      </c>
      <c r="U92" s="40" t="n">
        <f aca="false">'EEFF a septiemrbe'!H52</f>
        <v>22289.44</v>
      </c>
      <c r="V92" s="40" t="n">
        <f aca="false">'EEFF a septiemrbe'!I52</f>
        <v>25426.11</v>
      </c>
      <c r="W92" s="40" t="n">
        <f aca="false">'EEFF a septiemrbe'!J52</f>
        <v>100338.96</v>
      </c>
      <c r="X92" s="40" t="n">
        <f aca="false">W92+X63</f>
        <v>99181.8838</v>
      </c>
      <c r="Y92" s="40" t="n">
        <f aca="false">X92+Y63</f>
        <v>98014.2010681667</v>
      </c>
      <c r="Z92" s="40" t="n">
        <f aca="false">Y92+Z63</f>
        <v>96835.8145779582</v>
      </c>
      <c r="AA92" s="40" t="n">
        <f aca="false">Z92+AA63</f>
        <v>95646.6262115895</v>
      </c>
      <c r="AB92" s="40" t="n">
        <f aca="false">AA92+AB63</f>
        <v>94446.5369518624</v>
      </c>
      <c r="AC92" s="40" t="n">
        <f aca="false">AB92+AC63</f>
        <v>93235.4468739211</v>
      </c>
      <c r="AD92" s="40" t="n">
        <f aca="false">AC92+AD63</f>
        <v>92013.2551369321</v>
      </c>
      <c r="AE92" s="40" t="n">
        <f aca="false">AD92+AE63</f>
        <v>90779.8599756873</v>
      </c>
      <c r="AF92" s="40" t="n">
        <f aca="false">AE92+AF63</f>
        <v>89535.1586921311</v>
      </c>
      <c r="AG92" s="40" t="n">
        <f aca="false">AF92+AG63</f>
        <v>88279.0476468089</v>
      </c>
      <c r="AH92" s="40" t="n">
        <f aca="false">AG92+AH63</f>
        <v>87011.422250238</v>
      </c>
      <c r="AI92" s="40" t="n">
        <f aca="false">AH92+AI63</f>
        <v>85732.1769541985</v>
      </c>
      <c r="AJ92" s="40" t="n">
        <f aca="false">AI92+AJ63</f>
        <v>84441.2052429454</v>
      </c>
      <c r="AK92" s="40" t="n">
        <f aca="false">AJ92+AK63</f>
        <v>83138.399624339</v>
      </c>
      <c r="AL92" s="40" t="n">
        <f aca="false">AK92+AL63</f>
        <v>81823.6516208955</v>
      </c>
      <c r="AM92" s="40" t="n">
        <f aca="false">AL92+AM63</f>
        <v>80496.8517607537</v>
      </c>
      <c r="AN92" s="40" t="n">
        <f aca="false">AM92+AN63</f>
        <v>79157.8895685606</v>
      </c>
      <c r="AO92" s="40" t="n">
        <f aca="false">AN92+AO63</f>
        <v>77806.6535562724</v>
      </c>
      <c r="AP92" s="40" t="n">
        <f aca="false">AO92+AP63</f>
        <v>76443.0312138715</v>
      </c>
      <c r="AQ92" s="40" t="n">
        <f aca="false">AP92+AQ63</f>
        <v>75066.9089999987</v>
      </c>
      <c r="AR92" s="40" t="n">
        <f aca="false">AQ92+AR63</f>
        <v>73678.1723324987</v>
      </c>
      <c r="AS92" s="40" t="n">
        <f aca="false">AR92+AS63</f>
        <v>72276.7055788799</v>
      </c>
      <c r="AT92" s="40" t="n">
        <f aca="false">AS92+AT63</f>
        <v>70862.3920466863</v>
      </c>
      <c r="AU92" s="40" t="n">
        <f aca="false">AT92+AU63</f>
        <v>69435.1139737809</v>
      </c>
      <c r="AV92" s="40" t="n">
        <f aca="false">AU92+AV63</f>
        <v>67994.7525185406</v>
      </c>
      <c r="AW92" s="40" t="n">
        <f aca="false">AV92+AW63</f>
        <v>66541.1877499606</v>
      </c>
      <c r="AX92" s="40" t="n">
        <f aca="false">AW92+AX63</f>
        <v>65074.2986376685</v>
      </c>
      <c r="AY92" s="40" t="n">
        <f aca="false">AX92+AY63</f>
        <v>46386.7300201998</v>
      </c>
      <c r="AZ92" s="40" t="n">
        <f aca="false">AY92+AZ63</f>
        <v>279974.192257548</v>
      </c>
      <c r="BA92" s="40" t="n">
        <f aca="false">AZ92+BA63</f>
        <v>609021.961464608</v>
      </c>
      <c r="BB92" s="40" t="n">
        <f aca="false">BA92+BB63</f>
        <v>1978445.28084349</v>
      </c>
      <c r="BC92" s="40" t="n">
        <f aca="false">BB92+BC63</f>
        <v>2678136.33621289</v>
      </c>
      <c r="BD92" s="40" t="n">
        <f aca="false">BC92+BD63</f>
        <v>3341617.74538813</v>
      </c>
      <c r="BE92" s="40" t="n">
        <f aca="false">BD92+BE63</f>
        <v>6150942.81402885</v>
      </c>
      <c r="BF92" s="40" t="n">
        <f aca="false">BE92+BF63</f>
        <v>9367714.67738302</v>
      </c>
    </row>
    <row r="93" customFormat="false" ht="15" hidden="false" customHeight="false" outlineLevel="0" collapsed="false">
      <c r="B93" s="9" t="s">
        <v>276</v>
      </c>
      <c r="C93" s="40" t="n">
        <v>37.96</v>
      </c>
      <c r="D93" s="40" t="n">
        <v>45.26</v>
      </c>
      <c r="E93" s="40" t="n">
        <v>45.26</v>
      </c>
      <c r="F93" s="40" t="n">
        <v>0</v>
      </c>
      <c r="G93" s="40" t="n">
        <v>0</v>
      </c>
      <c r="H93" s="40" t="n">
        <v>0</v>
      </c>
      <c r="I93" s="40" t="n">
        <v>0</v>
      </c>
      <c r="J93" s="40" t="n">
        <v>0</v>
      </c>
      <c r="K93" s="40" t="n">
        <v>0</v>
      </c>
      <c r="L93" s="40" t="n">
        <v>0</v>
      </c>
      <c r="M93" s="40" t="n">
        <v>0</v>
      </c>
      <c r="N93" s="40" t="n">
        <v>7530.99</v>
      </c>
      <c r="O93" s="84" t="n">
        <f aca="false">'EEFF a septiemrbe'!B53</f>
        <v>6587.45</v>
      </c>
      <c r="P93" s="40" t="n">
        <f aca="false">'EEFF a septiemrbe'!C53</f>
        <v>6627.23</v>
      </c>
      <c r="Q93" s="40" t="n">
        <f aca="false">'EEFF a septiemrbe'!D53</f>
        <v>2952.55</v>
      </c>
      <c r="R93" s="40" t="n">
        <f aca="false">'EEFF a septiemrbe'!E53</f>
        <v>2952.55</v>
      </c>
      <c r="S93" s="40" t="n">
        <f aca="false">'EEFF a septiemrbe'!F53</f>
        <v>-903.76</v>
      </c>
      <c r="T93" s="40" t="n">
        <f aca="false">'EEFF a septiemrbe'!G53</f>
        <v>-922.66</v>
      </c>
      <c r="U93" s="40" t="n">
        <f aca="false">'EEFF a septiemrbe'!H53</f>
        <v>1599.63</v>
      </c>
      <c r="V93" s="40" t="n">
        <f aca="false">'EEFF a septiemrbe'!I53</f>
        <v>143.16</v>
      </c>
      <c r="W93" s="40" t="n">
        <f aca="false">'EEFF a septiemrbe'!J53</f>
        <v>1804.77</v>
      </c>
      <c r="X93" s="40" t="n">
        <f aca="false">$W$93</f>
        <v>1804.77</v>
      </c>
      <c r="Y93" s="40" t="n">
        <f aca="false">$W$93</f>
        <v>1804.77</v>
      </c>
      <c r="Z93" s="40" t="n">
        <f aca="false">$W$93</f>
        <v>1804.77</v>
      </c>
      <c r="AA93" s="84" t="n">
        <f aca="false">$W$93</f>
        <v>1804.77</v>
      </c>
      <c r="AB93" s="40" t="n">
        <f aca="false">$W$93</f>
        <v>1804.77</v>
      </c>
      <c r="AC93" s="40" t="n">
        <f aca="false">$W$93</f>
        <v>1804.77</v>
      </c>
      <c r="AD93" s="40" t="n">
        <f aca="false">$W$93</f>
        <v>1804.77</v>
      </c>
      <c r="AE93" s="40" t="n">
        <f aca="false">$W$93</f>
        <v>1804.77</v>
      </c>
      <c r="AF93" s="40" t="n">
        <f aca="false">$W$93</f>
        <v>1804.77</v>
      </c>
      <c r="AG93" s="40" t="n">
        <f aca="false">$W$93</f>
        <v>1804.77</v>
      </c>
      <c r="AH93" s="40" t="n">
        <f aca="false">$W$93</f>
        <v>1804.77</v>
      </c>
      <c r="AI93" s="40" t="n">
        <f aca="false">$W$93</f>
        <v>1804.77</v>
      </c>
      <c r="AJ93" s="40" t="n">
        <f aca="false">$W$93</f>
        <v>1804.77</v>
      </c>
      <c r="AK93" s="40" t="n">
        <f aca="false">$W$93</f>
        <v>1804.77</v>
      </c>
      <c r="AL93" s="40" t="n">
        <f aca="false">$W$93</f>
        <v>1804.77</v>
      </c>
      <c r="AM93" s="84" t="n">
        <f aca="false">$W$93</f>
        <v>1804.77</v>
      </c>
      <c r="AN93" s="40" t="n">
        <f aca="false">$W$93</f>
        <v>1804.77</v>
      </c>
      <c r="AO93" s="40" t="n">
        <f aca="false">$W$93</f>
        <v>1804.77</v>
      </c>
      <c r="AP93" s="40" t="n">
        <f aca="false">$W$93</f>
        <v>1804.77</v>
      </c>
      <c r="AQ93" s="40" t="n">
        <f aca="false">$W$93</f>
        <v>1804.77</v>
      </c>
      <c r="AR93" s="40" t="n">
        <f aca="false">$W$93</f>
        <v>1804.77</v>
      </c>
      <c r="AS93" s="40" t="n">
        <f aca="false">$W$93</f>
        <v>1804.77</v>
      </c>
      <c r="AT93" s="40" t="n">
        <f aca="false">$W$93</f>
        <v>1804.77</v>
      </c>
      <c r="AU93" s="40" t="n">
        <f aca="false">$W$93</f>
        <v>1804.77</v>
      </c>
      <c r="AV93" s="40" t="n">
        <f aca="false">$W$93</f>
        <v>1804.77</v>
      </c>
      <c r="AW93" s="40" t="n">
        <f aca="false">$W$93</f>
        <v>1804.77</v>
      </c>
      <c r="AX93" s="40" t="n">
        <f aca="false">$W$93</f>
        <v>1804.77</v>
      </c>
      <c r="AY93" s="84" t="n">
        <f aca="false">$W$93</f>
        <v>1804.77</v>
      </c>
      <c r="AZ93" s="40" t="n">
        <f aca="false">$W$93</f>
        <v>1804.77</v>
      </c>
      <c r="BA93" s="40" t="n">
        <f aca="false">$W$93</f>
        <v>1804.77</v>
      </c>
      <c r="BB93" s="40" t="n">
        <f aca="false">$W$93</f>
        <v>1804.77</v>
      </c>
      <c r="BC93" s="40" t="n">
        <f aca="false">$W$93</f>
        <v>1804.77</v>
      </c>
      <c r="BD93" s="40" t="n">
        <f aca="false">$W$93</f>
        <v>1804.77</v>
      </c>
      <c r="BE93" s="40" t="n">
        <f aca="false">$W$93</f>
        <v>1804.77</v>
      </c>
      <c r="BF93" s="40" t="n">
        <f aca="false">$W$93</f>
        <v>1804.77</v>
      </c>
    </row>
    <row r="94" customFormat="false" ht="15" hidden="false" customHeight="false" outlineLevel="0" collapsed="false">
      <c r="B94" s="9" t="s">
        <v>277</v>
      </c>
      <c r="C94" s="40" t="n">
        <v>-33035.77</v>
      </c>
      <c r="D94" s="40" t="n">
        <v>14432.24</v>
      </c>
      <c r="E94" s="40" t="n">
        <v>15325.85</v>
      </c>
      <c r="F94" s="40" t="n">
        <v>17246.44</v>
      </c>
      <c r="G94" s="40" t="n">
        <v>17751.43</v>
      </c>
      <c r="H94" s="40" t="n">
        <v>19193.56</v>
      </c>
      <c r="I94" s="40" t="n">
        <v>21269.43</v>
      </c>
      <c r="J94" s="40" t="n">
        <v>22539.67</v>
      </c>
      <c r="K94" s="40" t="n">
        <v>7801.31</v>
      </c>
      <c r="L94" s="40" t="n">
        <v>24578.47</v>
      </c>
      <c r="M94" s="40" t="n">
        <v>33002.27</v>
      </c>
      <c r="N94" s="40" t="n">
        <v>17345.19</v>
      </c>
      <c r="O94" s="84" t="n">
        <f aca="false">'EEFF a septiemrbe'!B55</f>
        <v>69665.65</v>
      </c>
      <c r="P94" s="40" t="n">
        <f aca="false">'EEFF a septiemrbe'!C55</f>
        <v>75854.63</v>
      </c>
      <c r="Q94" s="40" t="n">
        <f aca="false">'EEFF a septiemrbe'!D55</f>
        <v>84801.92</v>
      </c>
      <c r="R94" s="40" t="n">
        <f aca="false">'EEFF a septiemrbe'!E55</f>
        <v>80423.22</v>
      </c>
      <c r="S94" s="40" t="n">
        <f aca="false">'EEFF a septiemrbe'!F55</f>
        <v>84036.83</v>
      </c>
      <c r="T94" s="40" t="n">
        <f aca="false">'EEFF a septiemrbe'!G55</f>
        <v>87537.52</v>
      </c>
      <c r="U94" s="40" t="n">
        <f aca="false">'EEFF a septiemrbe'!H55</f>
        <v>91356.2</v>
      </c>
      <c r="V94" s="40" t="n">
        <f aca="false">'EEFF a septiemrbe'!I55</f>
        <v>79091.76</v>
      </c>
      <c r="W94" s="40" t="n">
        <f aca="false">'EEFF a septiemrbe'!J55</f>
        <v>71048.96</v>
      </c>
      <c r="X94" s="40" t="n">
        <f aca="false">-(X22+X28)*$C$111</f>
        <v>77554.9923231454</v>
      </c>
      <c r="Y94" s="40" t="n">
        <f aca="false">-(Y22+Y28)*$C$111</f>
        <v>77165.0487033832</v>
      </c>
      <c r="Z94" s="40" t="n">
        <f aca="false">-(Z22+Z28)*$C$111</f>
        <v>77862.521422436</v>
      </c>
      <c r="AA94" s="84" t="n">
        <f aca="false">-(AA22+AA28)*$C$111</f>
        <v>93618.8050893799</v>
      </c>
      <c r="AB94" s="40" t="n">
        <f aca="false">-(AB22+AB28)*$C$111</f>
        <v>102495.626806496</v>
      </c>
      <c r="AC94" s="40" t="n">
        <f aca="false">-(AC22+AC28)*$C$111</f>
        <v>119445.389913607</v>
      </c>
      <c r="AD94" s="40" t="n">
        <f aca="false">-(AD22+AD28)*$C$111</f>
        <v>152596.964753436</v>
      </c>
      <c r="AE94" s="40" t="n">
        <f aca="false">-(AE22+AE28)*$C$111</f>
        <v>152449.512473091</v>
      </c>
      <c r="AF94" s="40" t="n">
        <f aca="false">-(AF22+AF28)*$C$111</f>
        <v>161543.262505964</v>
      </c>
      <c r="AG94" s="40" t="n">
        <f aca="false">-(AG22+AG28)*$C$111</f>
        <v>161842.061813314</v>
      </c>
      <c r="AH94" s="40" t="n">
        <f aca="false">-(AH22+AH28)*$C$111</f>
        <v>172764.128458781</v>
      </c>
      <c r="AI94" s="40" t="n">
        <f aca="false">-(AI22+AI28)*$C$111</f>
        <v>172783.192429886</v>
      </c>
      <c r="AJ94" s="40" t="n">
        <f aca="false">-(AJ22+AJ28)*$C$111</f>
        <v>186663.483239017</v>
      </c>
      <c r="AK94" s="40" t="n">
        <f aca="false">-(AK22+AK28)*$C$111</f>
        <v>186040.745977839</v>
      </c>
      <c r="AL94" s="40" t="n">
        <f aca="false">-(AL22+AL28)*$C$111</f>
        <v>187406.707622255</v>
      </c>
      <c r="AM94" s="84" t="n">
        <f aca="false">-(AM22+AM28)*$C$111</f>
        <v>197297.999863969</v>
      </c>
      <c r="AN94" s="40" t="n">
        <f aca="false">-(AN22+AN28)*$C$111</f>
        <v>196740.912183064</v>
      </c>
      <c r="AO94" s="40" t="n">
        <f aca="false">-(AO22+AO28)*$C$111</f>
        <v>211294.456524089</v>
      </c>
      <c r="AP94" s="40" t="n">
        <f aca="false">-(AP22+AP28)*$C$111</f>
        <v>213673.193606232</v>
      </c>
      <c r="AQ94" s="40" t="n">
        <f aca="false">-(AQ22+AQ28)*$C$111</f>
        <v>220719.924511682</v>
      </c>
      <c r="AR94" s="40" t="n">
        <f aca="false">-(AR22+AR28)*$C$111</f>
        <v>220565.801449034</v>
      </c>
      <c r="AS94" s="40" t="n">
        <f aca="false">-(AS22+AS28)*$C$111</f>
        <v>232245.126204549</v>
      </c>
      <c r="AT94" s="40" t="n">
        <f aca="false">-(AT22+AT28)*$C$111</f>
        <v>242996.096744389</v>
      </c>
      <c r="AU94" s="40" t="n">
        <f aca="false">-(AU22+AU28)*$C$111</f>
        <v>259578.411929215</v>
      </c>
      <c r="AV94" s="40" t="n">
        <f aca="false">-(AV22+AV28)*$C$111</f>
        <v>258890.580933783</v>
      </c>
      <c r="AW94" s="40" t="n">
        <f aca="false">-(AW22+AW28)*$C$111</f>
        <v>264875.898601412</v>
      </c>
      <c r="AX94" s="40" t="n">
        <f aca="false">-(AX22+AX28)*$C$111</f>
        <v>280340.915933014</v>
      </c>
      <c r="AY94" s="84" t="n">
        <f aca="false">-(AY22+AY28)/12*$C$111</f>
        <v>302503.263718043</v>
      </c>
      <c r="AZ94" s="40" t="n">
        <f aca="false">-(AZ22+AZ28)/12*$C$111</f>
        <v>365506.569070884</v>
      </c>
      <c r="BA94" s="40" t="n">
        <f aca="false">-(BA22+BA28)/12*$C$111</f>
        <v>445228.69467025</v>
      </c>
      <c r="BB94" s="40" t="n">
        <f aca="false">-(BB22+BB28)/12*$C$111</f>
        <v>527290.87887412</v>
      </c>
      <c r="BC94" s="40" t="n">
        <f aca="false">-(BC22+BC28)/12*$C$111</f>
        <v>616680.916877227</v>
      </c>
      <c r="BD94" s="40" t="n">
        <f aca="false">-(BD22+BD28)/12*$C$111</f>
        <v>759842.770961021</v>
      </c>
      <c r="BE94" s="40" t="n">
        <f aca="false">-(BE22+BE28)/12*$C$111</f>
        <v>783935.436882657</v>
      </c>
      <c r="BF94" s="40" t="n">
        <f aca="false">-(BF22+BF28)/12*$C$111</f>
        <v>811970.716097721</v>
      </c>
    </row>
    <row r="95" customFormat="false" ht="15" hidden="false" customHeight="false" outlineLevel="0" collapsed="false">
      <c r="B95" s="9" t="s">
        <v>278</v>
      </c>
      <c r="C95" s="40" t="n">
        <v>-0.04</v>
      </c>
      <c r="D95" s="40" t="n">
        <v>0</v>
      </c>
      <c r="E95" s="40" t="n">
        <v>0</v>
      </c>
      <c r="F95" s="40" t="n">
        <v>0</v>
      </c>
      <c r="G95" s="40" t="n">
        <v>50</v>
      </c>
      <c r="H95" s="40" t="n">
        <v>294.86</v>
      </c>
      <c r="I95" s="40" t="n">
        <v>1181.07</v>
      </c>
      <c r="J95" s="40" t="n">
        <v>4375.37</v>
      </c>
      <c r="K95" s="40" t="n">
        <v>6918.19</v>
      </c>
      <c r="L95" s="40" t="n">
        <v>6650.82</v>
      </c>
      <c r="M95" s="40" t="n">
        <v>7748.01</v>
      </c>
      <c r="N95" s="40" t="n">
        <v>13094.61</v>
      </c>
      <c r="O95" s="84" t="n">
        <f aca="false">'EEFF a septiemrbe'!B54</f>
        <v>9058.49</v>
      </c>
      <c r="P95" s="40" t="n">
        <f aca="false">'EEFF a septiemrbe'!C54</f>
        <v>6497.38</v>
      </c>
      <c r="Q95" s="40" t="n">
        <f aca="false">'EEFF a septiemrbe'!D54</f>
        <v>4931.1</v>
      </c>
      <c r="R95" s="40" t="n">
        <f aca="false">'EEFF a septiemrbe'!E54</f>
        <v>7105.37</v>
      </c>
      <c r="S95" s="40" t="n">
        <f aca="false">'EEFF a septiemrbe'!F54</f>
        <v>6276.21</v>
      </c>
      <c r="T95" s="40" t="n">
        <f aca="false">'EEFF a septiemrbe'!G54</f>
        <v>2571.53</v>
      </c>
      <c r="U95" s="40" t="n">
        <f aca="false">'EEFF a septiemrbe'!H54</f>
        <v>3511.69</v>
      </c>
      <c r="V95" s="40" t="n">
        <f aca="false">'EEFF a septiemrbe'!I54</f>
        <v>3647.37</v>
      </c>
      <c r="W95" s="40" t="n">
        <f aca="false">'EEFF a septiemrbe'!J54</f>
        <v>2026.1</v>
      </c>
      <c r="X95" s="40" t="n">
        <f aca="false">X10*$C$122</f>
        <v>2753.00815410444</v>
      </c>
      <c r="Y95" s="40" t="n">
        <f aca="false">Y10*$C$122</f>
        <v>2365.00455235101</v>
      </c>
      <c r="Z95" s="40" t="n">
        <f aca="false">Z10*$C$122</f>
        <v>3059.00725787621</v>
      </c>
      <c r="AA95" s="84" t="n">
        <f aca="false">AA10*$C$122</f>
        <v>3579.85813951189</v>
      </c>
      <c r="AB95" s="40" t="n">
        <f aca="false">AB10*$C$122</f>
        <v>3413.51158937832</v>
      </c>
      <c r="AC95" s="40" t="n">
        <f aca="false">AC10*$C$122</f>
        <v>4534.46990491205</v>
      </c>
      <c r="AD95" s="40" t="n">
        <f aca="false">AD10*$C$122</f>
        <v>4971.85780523933</v>
      </c>
      <c r="AE95" s="40" t="n">
        <f aca="false">AE10*$C$122</f>
        <v>4825.13911832894</v>
      </c>
      <c r="AF95" s="40" t="n">
        <f aca="false">AF10*$C$122</f>
        <v>4874.64163860028</v>
      </c>
      <c r="AG95" s="40" t="n">
        <f aca="false">AG10*$C$122</f>
        <v>5171.9543822324</v>
      </c>
      <c r="AH95" s="40" t="n">
        <f aca="false">AH10*$C$122</f>
        <v>7040.67741254738</v>
      </c>
      <c r="AI95" s="40" t="n">
        <f aca="false">AI10*$C$122</f>
        <v>7059.64653802571</v>
      </c>
      <c r="AJ95" s="40" t="n">
        <f aca="false">AJ10*$C$122</f>
        <v>6993.07022870286</v>
      </c>
      <c r="AK95" s="40" t="n">
        <f aca="false">AK10*$C$122</f>
        <v>6373.43116285378</v>
      </c>
      <c r="AL95" s="40" t="n">
        <f aca="false">AL10*$C$122</f>
        <v>7732.59697819314</v>
      </c>
      <c r="AM95" s="84" t="n">
        <f aca="false">AM10*$C$122</f>
        <v>8530.8551751278</v>
      </c>
      <c r="AN95" s="40" t="n">
        <f aca="false">AN10*$C$122</f>
        <v>7976.53907472412</v>
      </c>
      <c r="AO95" s="40" t="n">
        <f aca="false">AO10*$C$122</f>
        <v>9725.33941405246</v>
      </c>
      <c r="AP95" s="40" t="n">
        <f aca="false">AP10*$C$122</f>
        <v>10225.5753166828</v>
      </c>
      <c r="AQ95" s="40" t="n">
        <f aca="false">AQ10*$C$122</f>
        <v>10104.9095509611</v>
      </c>
      <c r="AR95" s="40" t="n">
        <f aca="false">AR10*$C$122</f>
        <v>9951.55326971946</v>
      </c>
      <c r="AS95" s="40" t="n">
        <f aca="false">AS10*$C$122</f>
        <v>10707.1002901322</v>
      </c>
      <c r="AT95" s="40" t="n">
        <f aca="false">AT10*$C$122</f>
        <v>13937.9167476841</v>
      </c>
      <c r="AU95" s="40" t="n">
        <f aca="false">AU10*$C$122</f>
        <v>14306.3895684073</v>
      </c>
      <c r="AV95" s="40" t="n">
        <f aca="false">AV10*$C$122</f>
        <v>13621.9806177286</v>
      </c>
      <c r="AW95" s="40" t="n">
        <f aca="false">AW10*$C$122</f>
        <v>12445.1822770606</v>
      </c>
      <c r="AX95" s="40" t="n">
        <f aca="false">AX10*$C$122</f>
        <v>15100.920915471</v>
      </c>
      <c r="AY95" s="84" t="n">
        <f aca="false">AY10/12*$C$122</f>
        <v>18407.5799484949</v>
      </c>
      <c r="AZ95" s="40" t="n">
        <f aca="false">AZ10/12*$C$122</f>
        <v>23730.9054610594</v>
      </c>
      <c r="BA95" s="40" t="n">
        <f aca="false">BA10/12*$C$122</f>
        <v>28569.5467234428</v>
      </c>
      <c r="BB95" s="40" t="n">
        <f aca="false">BB10/12*$C$122</f>
        <v>34413.7882909815</v>
      </c>
      <c r="BC95" s="40" t="n">
        <f aca="false">BC10/12*$C$122</f>
        <v>40011.7866514077</v>
      </c>
      <c r="BD95" s="40" t="n">
        <f aca="false">BD10/12*$C$122</f>
        <v>48180.8516836856</v>
      </c>
      <c r="BE95" s="40" t="n">
        <f aca="false">BE10/12*$C$122</f>
        <v>58814.7761158103</v>
      </c>
      <c r="BF95" s="40" t="n">
        <f aca="false">BF10/12*$C$122</f>
        <v>70585.7766489992</v>
      </c>
    </row>
    <row r="96" customFormat="false" ht="15" hidden="false" customHeight="false" outlineLevel="0" collapsed="false">
      <c r="B96" s="101" t="s">
        <v>279</v>
      </c>
      <c r="C96" s="102" t="n">
        <v>119037.5</v>
      </c>
      <c r="D96" s="102" t="n">
        <v>58783.81</v>
      </c>
      <c r="E96" s="102" t="n">
        <v>100336.6</v>
      </c>
      <c r="F96" s="102" t="n">
        <v>65146.73</v>
      </c>
      <c r="G96" s="102" t="n">
        <v>69374.59</v>
      </c>
      <c r="H96" s="102" t="n">
        <v>92570.12</v>
      </c>
      <c r="I96" s="102" t="n">
        <v>73675.59</v>
      </c>
      <c r="J96" s="102" t="n">
        <v>92140.02</v>
      </c>
      <c r="K96" s="102" t="n">
        <v>140617.81</v>
      </c>
      <c r="L96" s="102" t="n">
        <v>267935.92</v>
      </c>
      <c r="M96" s="102" t="n">
        <v>328323.71</v>
      </c>
      <c r="N96" s="102" t="n">
        <v>359920.36</v>
      </c>
      <c r="O96" s="103" t="n">
        <f aca="false">SUM(O90:O95)</f>
        <v>198675.6</v>
      </c>
      <c r="P96" s="102" t="n">
        <f aca="false">SUM(P90:P95)</f>
        <v>148681.54</v>
      </c>
      <c r="Q96" s="102" t="n">
        <f aca="false">SUM(Q90:Q95)</f>
        <v>160657.67</v>
      </c>
      <c r="R96" s="102" t="n">
        <f aca="false">SUM(R90:R95)</f>
        <v>143439.35</v>
      </c>
      <c r="S96" s="102" t="n">
        <f aca="false">SUM(S90:S95)</f>
        <v>145038.8</v>
      </c>
      <c r="T96" s="102" t="n">
        <f aca="false">SUM(T90:T95)</f>
        <v>144676.44</v>
      </c>
      <c r="U96" s="102" t="n">
        <f aca="false">SUM(U90:U95)</f>
        <v>146336.9</v>
      </c>
      <c r="V96" s="102" t="n">
        <f aca="false">SUM(V90:V95)</f>
        <v>165048.3</v>
      </c>
      <c r="W96" s="102" t="n">
        <f aca="false">SUM(W90:W95)</f>
        <v>226795.42</v>
      </c>
      <c r="X96" s="102" t="n">
        <f aca="false">SUM(X90:X95)</f>
        <v>229682.716233922</v>
      </c>
      <c r="Y96" s="102" t="n">
        <f aca="false">SUM(Y90:Y95)</f>
        <v>223254.038285877</v>
      </c>
      <c r="Z96" s="102" t="n">
        <f aca="false">SUM(Z90:Z95)</f>
        <v>231541.714069155</v>
      </c>
      <c r="AA96" s="103" t="n">
        <f aca="false">SUM(AA90:AA95)</f>
        <v>255729.751094536</v>
      </c>
      <c r="AB96" s="102" t="n">
        <f aca="false">SUM(AB90:AB95)</f>
        <v>264330.558028757</v>
      </c>
      <c r="AC96" s="102" t="n">
        <f aca="false">SUM(AC90:AC95)</f>
        <v>298922.13097587</v>
      </c>
      <c r="AD96" s="102" t="n">
        <f aca="false">SUM(AD90:AD95)</f>
        <v>337411.165018822</v>
      </c>
      <c r="AE96" s="102" t="n">
        <f aca="false">SUM(AE90:AE95)</f>
        <v>332772.498186694</v>
      </c>
      <c r="AF96" s="102" t="n">
        <f aca="false">SUM(AF90:AF95)</f>
        <v>344379.478976843</v>
      </c>
      <c r="AG96" s="102" t="n">
        <f aca="false">SUM(AG90:AG95)</f>
        <v>347288.702441131</v>
      </c>
      <c r="AH96" s="102" t="n">
        <f aca="false">SUM(AH90:AH95)</f>
        <v>389516.201705302</v>
      </c>
      <c r="AI96" s="102" t="n">
        <f aca="false">SUM(AI90:AI95)</f>
        <v>384878.186601559</v>
      </c>
      <c r="AJ96" s="102" t="n">
        <f aca="false">SUM(AJ90:AJ95)</f>
        <v>398479.121806623</v>
      </c>
      <c r="AK96" s="102" t="n">
        <f aca="false">SUM(AK90:AK95)</f>
        <v>386792.378202407</v>
      </c>
      <c r="AL96" s="102" t="n">
        <f aca="false">SUM(AL90:AL95)</f>
        <v>406629.438928966</v>
      </c>
      <c r="AM96" s="103" t="n">
        <f aca="false">SUM(AM90:AM95)</f>
        <v>423481.718341661</v>
      </c>
      <c r="AN96" s="102" t="n">
        <f aca="false">SUM(AN90:AN95)</f>
        <v>411269.065809871</v>
      </c>
      <c r="AO96" s="102" t="n">
        <f aca="false">SUM(AO90:AO95)</f>
        <v>454381.357668343</v>
      </c>
      <c r="AP96" s="102" t="n">
        <f aca="false">SUM(AP90:AP95)</f>
        <v>459963.486754586</v>
      </c>
      <c r="AQ96" s="102" t="n">
        <f aca="false">SUM(AQ90:AQ95)</f>
        <v>464745.436506777</v>
      </c>
      <c r="AR96" s="102" t="n">
        <f aca="false">SUM(AR90:AR95)</f>
        <v>459450.766676938</v>
      </c>
      <c r="AS96" s="102" t="n">
        <f aca="false">SUM(AS90:AS95)</f>
        <v>483269.416446119</v>
      </c>
      <c r="AT96" s="102" t="n">
        <f aca="false">SUM(AT90:AT95)</f>
        <v>544322.197296244</v>
      </c>
      <c r="AU96" s="102" t="n">
        <f aca="false">SUM(AU90:AU95)</f>
        <v>563826.820189032</v>
      </c>
      <c r="AV96" s="102" t="n">
        <f aca="false">SUM(AV90:AV95)</f>
        <v>548526.534669181</v>
      </c>
      <c r="AW96" s="102" t="n">
        <f aca="false">SUM(AW90:AW95)</f>
        <v>538363.553876223</v>
      </c>
      <c r="AX96" s="102" t="n">
        <f aca="false">SUM(AX90:AX95)</f>
        <v>595013.543621075</v>
      </c>
      <c r="AY96" s="103" t="n">
        <f aca="false">SUM(AY90:AY95)</f>
        <v>631189.016857626</v>
      </c>
      <c r="AZ96" s="102" t="n">
        <f aca="false">SUM(AZ90:AZ95)</f>
        <v>1000031.4961441</v>
      </c>
      <c r="BA96" s="102" t="n">
        <f aca="false">SUM(BA90:BA95)</f>
        <v>1486672.25775946</v>
      </c>
      <c r="BB96" s="102" t="n">
        <f aca="false">SUM(BB90:BB95)</f>
        <v>3026987.98185531</v>
      </c>
      <c r="BC96" s="102" t="n">
        <f aca="false">SUM(BC90:BC95)</f>
        <v>3896647.39367364</v>
      </c>
      <c r="BD96" s="102" t="n">
        <f aca="false">SUM(BD90:BD95)</f>
        <v>4832639.44650765</v>
      </c>
      <c r="BE96" s="102" t="n">
        <f aca="false">SUM(BE90:BE95)</f>
        <v>7785924.12626772</v>
      </c>
      <c r="BF96" s="102" t="n">
        <f aca="false">SUM(BF90:BF95)</f>
        <v>11157512.9744826</v>
      </c>
    </row>
    <row r="97" customFormat="false" ht="15.75" hidden="false" customHeight="true" outlineLevel="0" collapsed="false">
      <c r="B97" s="105" t="s">
        <v>280</v>
      </c>
      <c r="C97" s="106" t="n">
        <v>119037.5</v>
      </c>
      <c r="D97" s="106" t="n">
        <v>58783.81</v>
      </c>
      <c r="E97" s="106" t="n">
        <v>100336.6</v>
      </c>
      <c r="F97" s="106" t="n">
        <v>65146.73</v>
      </c>
      <c r="G97" s="106" t="n">
        <v>69374.59</v>
      </c>
      <c r="H97" s="106" t="n">
        <v>92570.12</v>
      </c>
      <c r="I97" s="106" t="n">
        <v>73675.59</v>
      </c>
      <c r="J97" s="106" t="n">
        <v>92140.02</v>
      </c>
      <c r="K97" s="106" t="n">
        <v>140617.81</v>
      </c>
      <c r="L97" s="106" t="n">
        <v>267935.92</v>
      </c>
      <c r="M97" s="106" t="n">
        <v>328323.71</v>
      </c>
      <c r="N97" s="106" t="n">
        <v>359920.36</v>
      </c>
      <c r="O97" s="107" t="n">
        <f aca="false">O96</f>
        <v>198675.6</v>
      </c>
      <c r="P97" s="106" t="n">
        <f aca="false">P96</f>
        <v>148681.54</v>
      </c>
      <c r="Q97" s="106" t="n">
        <f aca="false">Q96</f>
        <v>160657.67</v>
      </c>
      <c r="R97" s="106" t="n">
        <f aca="false">R96</f>
        <v>143439.35</v>
      </c>
      <c r="S97" s="106" t="n">
        <f aca="false">S96</f>
        <v>145038.8</v>
      </c>
      <c r="T97" s="106" t="n">
        <f aca="false">T96</f>
        <v>144676.44</v>
      </c>
      <c r="U97" s="106" t="n">
        <f aca="false">U96</f>
        <v>146336.9</v>
      </c>
      <c r="V97" s="106" t="n">
        <f aca="false">V96</f>
        <v>165048.3</v>
      </c>
      <c r="W97" s="106" t="n">
        <f aca="false">W96</f>
        <v>226795.42</v>
      </c>
      <c r="X97" s="106" t="n">
        <f aca="false">X96</f>
        <v>229682.716233922</v>
      </c>
      <c r="Y97" s="106" t="n">
        <f aca="false">Y96</f>
        <v>223254.038285877</v>
      </c>
      <c r="Z97" s="106" t="n">
        <f aca="false">Z96</f>
        <v>231541.714069155</v>
      </c>
      <c r="AA97" s="107" t="n">
        <f aca="false">AA96</f>
        <v>255729.751094536</v>
      </c>
      <c r="AB97" s="106" t="n">
        <f aca="false">AB96</f>
        <v>264330.558028757</v>
      </c>
      <c r="AC97" s="106" t="n">
        <f aca="false">AC96</f>
        <v>298922.13097587</v>
      </c>
      <c r="AD97" s="106" t="n">
        <f aca="false">AD96</f>
        <v>337411.165018822</v>
      </c>
      <c r="AE97" s="106" t="n">
        <f aca="false">AE96</f>
        <v>332772.498186694</v>
      </c>
      <c r="AF97" s="106" t="n">
        <f aca="false">AF96</f>
        <v>344379.478976843</v>
      </c>
      <c r="AG97" s="106" t="n">
        <f aca="false">AG96</f>
        <v>347288.702441131</v>
      </c>
      <c r="AH97" s="106" t="n">
        <f aca="false">AH96</f>
        <v>389516.201705302</v>
      </c>
      <c r="AI97" s="106" t="n">
        <f aca="false">AI96</f>
        <v>384878.186601559</v>
      </c>
      <c r="AJ97" s="106" t="n">
        <f aca="false">AJ96</f>
        <v>398479.121806623</v>
      </c>
      <c r="AK97" s="106" t="n">
        <f aca="false">AK96</f>
        <v>386792.378202407</v>
      </c>
      <c r="AL97" s="106" t="n">
        <f aca="false">AL96</f>
        <v>406629.438928966</v>
      </c>
      <c r="AM97" s="107" t="n">
        <f aca="false">AM96</f>
        <v>423481.718341661</v>
      </c>
      <c r="AN97" s="106" t="n">
        <f aca="false">AN96</f>
        <v>411269.065809871</v>
      </c>
      <c r="AO97" s="106" t="n">
        <f aca="false">AO96</f>
        <v>454381.357668343</v>
      </c>
      <c r="AP97" s="106" t="n">
        <f aca="false">AP96</f>
        <v>459963.486754586</v>
      </c>
      <c r="AQ97" s="106" t="n">
        <f aca="false">AQ96</f>
        <v>464745.436506777</v>
      </c>
      <c r="AR97" s="106" t="n">
        <f aca="false">AR96</f>
        <v>459450.766676938</v>
      </c>
      <c r="AS97" s="106" t="n">
        <f aca="false">AS96</f>
        <v>483269.416446119</v>
      </c>
      <c r="AT97" s="106" t="n">
        <f aca="false">AT96</f>
        <v>544322.197296244</v>
      </c>
      <c r="AU97" s="106" t="n">
        <f aca="false">AU96</f>
        <v>563826.820189032</v>
      </c>
      <c r="AV97" s="106" t="n">
        <f aca="false">AV96</f>
        <v>548526.534669181</v>
      </c>
      <c r="AW97" s="106" t="n">
        <f aca="false">AW96</f>
        <v>538363.553876223</v>
      </c>
      <c r="AX97" s="106" t="n">
        <f aca="false">AX96</f>
        <v>595013.543621075</v>
      </c>
      <c r="AY97" s="107" t="n">
        <f aca="false">AY96</f>
        <v>631189.016857626</v>
      </c>
      <c r="AZ97" s="106" t="n">
        <f aca="false">AZ96</f>
        <v>1000031.4961441</v>
      </c>
      <c r="BA97" s="106" t="n">
        <f aca="false">BA96</f>
        <v>1486672.25775946</v>
      </c>
      <c r="BB97" s="106" t="n">
        <f aca="false">BB96</f>
        <v>3026987.98185531</v>
      </c>
      <c r="BC97" s="106" t="n">
        <f aca="false">BC96</f>
        <v>3896647.39367364</v>
      </c>
      <c r="BD97" s="106" t="n">
        <f aca="false">BD96</f>
        <v>4832639.44650765</v>
      </c>
      <c r="BE97" s="106" t="n">
        <f aca="false">BE96</f>
        <v>7785924.12626772</v>
      </c>
      <c r="BF97" s="106" t="n">
        <f aca="false">BF96</f>
        <v>11157512.9744826</v>
      </c>
    </row>
    <row r="98" customFormat="false" ht="15.75" hidden="false" customHeight="true" outlineLevel="0" collapsed="false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8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8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8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89"/>
      <c r="AZ98" s="9"/>
      <c r="BA98" s="9"/>
      <c r="BB98" s="9"/>
      <c r="BC98" s="9"/>
      <c r="BD98" s="9"/>
      <c r="BE98" s="9"/>
      <c r="BF98" s="9"/>
    </row>
    <row r="99" customFormat="false" ht="15" hidden="false" customHeight="false" outlineLevel="0" collapsed="false">
      <c r="B99" s="21" t="s">
        <v>281</v>
      </c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104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104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104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104"/>
      <c r="AZ99" s="21"/>
      <c r="BA99" s="21"/>
      <c r="BB99" s="21"/>
      <c r="BC99" s="21"/>
      <c r="BD99" s="21"/>
      <c r="BE99" s="21"/>
      <c r="BF99" s="21"/>
    </row>
    <row r="100" customFormat="false" ht="15" hidden="false" customHeight="false" outlineLevel="0" collapsed="false">
      <c r="B100" s="9" t="s">
        <v>282</v>
      </c>
      <c r="C100" s="40" t="n">
        <v>762597</v>
      </c>
      <c r="D100" s="40" t="n">
        <v>762597</v>
      </c>
      <c r="E100" s="40" t="n">
        <v>762597</v>
      </c>
      <c r="F100" s="40" t="n">
        <v>762597</v>
      </c>
      <c r="G100" s="40" t="n">
        <v>762597</v>
      </c>
      <c r="H100" s="40" t="n">
        <v>777597</v>
      </c>
      <c r="I100" s="40" t="n">
        <v>937671</v>
      </c>
      <c r="J100" s="40" t="n">
        <v>941421</v>
      </c>
      <c r="K100" s="40" t="n">
        <v>939521</v>
      </c>
      <c r="L100" s="40" t="n">
        <v>937621</v>
      </c>
      <c r="M100" s="40" t="n">
        <v>937621</v>
      </c>
      <c r="N100" s="40" t="n">
        <v>939521</v>
      </c>
      <c r="O100" s="84" t="n">
        <f aca="false">'EEFF a septiemrbe'!B58+'EEFF a septiemrbe'!B60</f>
        <v>1123056.19</v>
      </c>
      <c r="P100" s="40" t="n">
        <f aca="false">'EEFF a septiemrbe'!C58+'EEFF a septiemrbe'!C60</f>
        <v>1304324.19</v>
      </c>
      <c r="Q100" s="40" t="n">
        <f aca="false">'EEFF a septiemrbe'!D58+'EEFF a septiemrbe'!D60</f>
        <v>1340724.19</v>
      </c>
      <c r="R100" s="40" t="n">
        <f aca="false">'EEFF a septiemrbe'!E58+'EEFF a septiemrbe'!E60</f>
        <v>1340724.19</v>
      </c>
      <c r="S100" s="40" t="n">
        <f aca="false">'EEFF a septiemrbe'!F58+'EEFF a septiemrbe'!F60</f>
        <v>1432037.19</v>
      </c>
      <c r="T100" s="40" t="n">
        <f aca="false">'EEFF a septiemrbe'!G58+'EEFF a septiemrbe'!G60</f>
        <v>1432037.19</v>
      </c>
      <c r="U100" s="40" t="n">
        <f aca="false">'EEFF a septiemrbe'!H58+'EEFF a septiemrbe'!H60</f>
        <v>1432037.19</v>
      </c>
      <c r="V100" s="40" t="n">
        <f aca="false">'EEFF a septiemrbe'!I58+'EEFF a septiemrbe'!I60</f>
        <v>1432037.19</v>
      </c>
      <c r="W100" s="40" t="n">
        <f aca="false">'EEFF a septiemrbe'!J58+'EEFF a septiemrbe'!J60</f>
        <v>1476209.19</v>
      </c>
      <c r="X100" s="40" t="n">
        <f aca="false">W100+X64</f>
        <v>1476209.19</v>
      </c>
      <c r="Y100" s="40" t="n">
        <f aca="false">X100+Y64</f>
        <v>3976209.19</v>
      </c>
      <c r="Z100" s="40" t="n">
        <f aca="false">Y100+Z64</f>
        <v>3976209.19</v>
      </c>
      <c r="AA100" s="84" t="n">
        <f aca="false">Z100+AA64</f>
        <v>3976209.19</v>
      </c>
      <c r="AB100" s="40" t="n">
        <f aca="false">AA100+AB64</f>
        <v>3976209.19</v>
      </c>
      <c r="AC100" s="40" t="n">
        <f aca="false">AB100+AC64</f>
        <v>3976209.19</v>
      </c>
      <c r="AD100" s="40" t="n">
        <f aca="false">AC100+AD64</f>
        <v>3976209.19</v>
      </c>
      <c r="AE100" s="40" t="n">
        <f aca="false">AD100+AE64</f>
        <v>3976209.19</v>
      </c>
      <c r="AF100" s="40" t="n">
        <f aca="false">AE100+AF64</f>
        <v>3976209.19</v>
      </c>
      <c r="AG100" s="40" t="n">
        <f aca="false">AF100+AG64</f>
        <v>3976209.19</v>
      </c>
      <c r="AH100" s="40" t="n">
        <f aca="false">AG100+AH64</f>
        <v>3976209.19</v>
      </c>
      <c r="AI100" s="40" t="n">
        <f aca="false">AH100+AI64</f>
        <v>3976209.19</v>
      </c>
      <c r="AJ100" s="40" t="n">
        <f aca="false">AI100+AJ64</f>
        <v>3976209.19</v>
      </c>
      <c r="AK100" s="40" t="n">
        <f aca="false">AJ100+AK64</f>
        <v>3976209.19</v>
      </c>
      <c r="AL100" s="40" t="n">
        <f aca="false">AK100+AL64</f>
        <v>3976209.19</v>
      </c>
      <c r="AM100" s="84" t="n">
        <f aca="false">AL100+AM64</f>
        <v>3976209.19</v>
      </c>
      <c r="AN100" s="40" t="n">
        <f aca="false">AM100+AN64</f>
        <v>3976209.19</v>
      </c>
      <c r="AO100" s="40" t="n">
        <f aca="false">AN100+AO64</f>
        <v>3976209.19</v>
      </c>
      <c r="AP100" s="40" t="n">
        <f aca="false">AO100+AP64</f>
        <v>3976209.19</v>
      </c>
      <c r="AQ100" s="40" t="n">
        <f aca="false">AP100+AQ64</f>
        <v>3976209.19</v>
      </c>
      <c r="AR100" s="40" t="n">
        <f aca="false">AQ100+AR64</f>
        <v>3976209.19</v>
      </c>
      <c r="AS100" s="40" t="n">
        <f aca="false">AR100+AS64</f>
        <v>3976209.19</v>
      </c>
      <c r="AT100" s="40" t="n">
        <f aca="false">AS100+AT64</f>
        <v>3976209.19</v>
      </c>
      <c r="AU100" s="40" t="n">
        <f aca="false">AT100+AU64</f>
        <v>3976209.19</v>
      </c>
      <c r="AV100" s="40" t="n">
        <f aca="false">AU100+AV64</f>
        <v>3976209.19</v>
      </c>
      <c r="AW100" s="40" t="n">
        <f aca="false">AV100+AW64</f>
        <v>3976209.19</v>
      </c>
      <c r="AX100" s="40" t="n">
        <f aca="false">AW100+AX64</f>
        <v>3976209.19</v>
      </c>
      <c r="AY100" s="84" t="n">
        <f aca="false">AX100+AY64</f>
        <v>3976209.19</v>
      </c>
      <c r="AZ100" s="40" t="n">
        <f aca="false">AY100+AZ64</f>
        <v>3976209.19</v>
      </c>
      <c r="BA100" s="40" t="n">
        <f aca="false">AZ100+BA64</f>
        <v>3976209.19</v>
      </c>
      <c r="BB100" s="40" t="n">
        <f aca="false">BA100+BB64</f>
        <v>3976209.19</v>
      </c>
      <c r="BC100" s="40" t="n">
        <f aca="false">BB100+BC64</f>
        <v>3976209.19</v>
      </c>
      <c r="BD100" s="40" t="n">
        <f aca="false">BC100+BD64</f>
        <v>3976209.19</v>
      </c>
      <c r="BE100" s="40" t="n">
        <f aca="false">BD100+BE64</f>
        <v>3976209.19</v>
      </c>
      <c r="BF100" s="40" t="n">
        <f aca="false">BE100+BF64</f>
        <v>3976209.19</v>
      </c>
    </row>
    <row r="101" customFormat="false" ht="15" hidden="false" customHeight="false" outlineLevel="0" collapsed="false">
      <c r="B101" s="9" t="s">
        <v>283</v>
      </c>
      <c r="C101" s="40" t="n">
        <v>-174477.79</v>
      </c>
      <c r="D101" s="40" t="n">
        <v>-223369.01</v>
      </c>
      <c r="E101" s="40" t="n">
        <v>-279621.55</v>
      </c>
      <c r="F101" s="40" t="n">
        <v>-328770.4</v>
      </c>
      <c r="G101" s="40" t="n">
        <v>-376694.72</v>
      </c>
      <c r="H101" s="40" t="n">
        <v>-419778.91</v>
      </c>
      <c r="I101" s="40" t="n">
        <v>-451087.18</v>
      </c>
      <c r="J101" s="40" t="n">
        <v>-493864</v>
      </c>
      <c r="K101" s="40" t="n">
        <v>-538997.55</v>
      </c>
      <c r="L101" s="40" t="n">
        <v>-587486.21</v>
      </c>
      <c r="M101" s="40" t="n">
        <v>-661193.13</v>
      </c>
      <c r="N101" s="40" t="n">
        <v>-755676.93</v>
      </c>
      <c r="O101" s="84" t="n">
        <f aca="false">'EEFF a septiemrbe'!B59</f>
        <v>-807339.88</v>
      </c>
      <c r="P101" s="40" t="n">
        <f aca="false">'EEFF a septiemrbe'!C59</f>
        <v>-862424.920000001</v>
      </c>
      <c r="Q101" s="40" t="n">
        <f aca="false">'EEFF a septiemrbe'!D59</f>
        <v>-965169.57</v>
      </c>
      <c r="R101" s="40" t="n">
        <f aca="false">'EEFF a septiemrbe'!E59</f>
        <v>-1012725.05</v>
      </c>
      <c r="S101" s="40" t="n">
        <f aca="false">'EEFF a septiemrbe'!F59</f>
        <v>-1064932.67</v>
      </c>
      <c r="T101" s="40" t="n">
        <f aca="false">'EEFF a septiemrbe'!G59</f>
        <v>-1123229.47</v>
      </c>
      <c r="U101" s="40" t="n">
        <f aca="false">'EEFF a septiemrbe'!H59</f>
        <v>-1150773.5</v>
      </c>
      <c r="V101" s="40" t="n">
        <f aca="false">'EEFF a septiemrbe'!I59</f>
        <v>-1174594.02</v>
      </c>
      <c r="W101" s="40" t="n">
        <f aca="false">'EEFF a septiemrbe'!J59</f>
        <v>-1206803.83</v>
      </c>
      <c r="X101" s="40" t="n">
        <f aca="false">W101+X47+X65</f>
        <v>-1237856.86790878</v>
      </c>
      <c r="Y101" s="40" t="n">
        <f aca="false">X101+Y47+Y65</f>
        <v>-1273630.36682366</v>
      </c>
      <c r="Z101" s="40" t="n">
        <f aca="false">Y101+Z47+Z65</f>
        <v>-1301542.47513518</v>
      </c>
      <c r="AA101" s="84" t="n">
        <f aca="false">Z101+AA47+AA65</f>
        <v>-1331712.05661363</v>
      </c>
      <c r="AB101" s="40" t="n">
        <f aca="false">AA101+AB47+AB65</f>
        <v>-1373100.13959164</v>
      </c>
      <c r="AC101" s="40" t="n">
        <f aca="false">AB101+AC47+AC65</f>
        <v>-1415167.47242238</v>
      </c>
      <c r="AD101" s="40" t="n">
        <f aca="false">AC101+AD47+AD65</f>
        <v>-1474603.45858195</v>
      </c>
      <c r="AE101" s="40" t="n">
        <f aca="false">AD101+AE47+AE65</f>
        <v>-1535512.45374214</v>
      </c>
      <c r="AF101" s="40" t="n">
        <f aca="false">AE101+AF47+AF65</f>
        <v>-1604020.566756</v>
      </c>
      <c r="AG101" s="40" t="n">
        <f aca="false">AF101+AG47+AG65</f>
        <v>-1670137.16919843</v>
      </c>
      <c r="AH101" s="40" t="n">
        <f aca="false">AG101+AH47+AH65</f>
        <v>-1727646.64766772</v>
      </c>
      <c r="AI101" s="40" t="n">
        <f aca="false">AH101+AI47+AI65</f>
        <v>-1782408.34513707</v>
      </c>
      <c r="AJ101" s="40" t="n">
        <f aca="false">AI101+AJ47+AJ65</f>
        <v>-1847346.68506892</v>
      </c>
      <c r="AK101" s="40" t="n">
        <f aca="false">AJ101+AK47+AK65</f>
        <v>-1918402.06370663</v>
      </c>
      <c r="AL101" s="40" t="n">
        <f aca="false">AK101+AL47+AL65</f>
        <v>-1975595.39102999</v>
      </c>
      <c r="AM101" s="84" t="n">
        <f aca="false">AL101+AM47+AM65</f>
        <v>-2024689.93017886</v>
      </c>
      <c r="AN101" s="40" t="n">
        <f aca="false">AM101+AN47+AN65</f>
        <v>-2077729.19758728</v>
      </c>
      <c r="AO101" s="40" t="n">
        <f aca="false">AN101+AO47+AO65</f>
        <v>-2124341.29386337</v>
      </c>
      <c r="AP101" s="40" t="n">
        <f aca="false">AO101+AP47+AP65</f>
        <v>-2165177.54126661</v>
      </c>
      <c r="AQ101" s="40" t="n">
        <f aca="false">AP101+AQ47+AQ65</f>
        <v>-2212238.36145175</v>
      </c>
      <c r="AR101" s="40" t="n">
        <f aca="false">AQ101+AR47+AR65</f>
        <v>-2260441.05276471</v>
      </c>
      <c r="AS101" s="40" t="n">
        <f aca="false">AR101+AS47+AS65</f>
        <v>-2309489.46142672</v>
      </c>
      <c r="AT101" s="40" t="n">
        <f aca="false">AS101+AT47+AT65</f>
        <v>-2335705.18353604</v>
      </c>
      <c r="AU101" s="40" t="n">
        <f aca="false">AT101+AU47+AU65</f>
        <v>-2366355.85686578</v>
      </c>
      <c r="AV101" s="40" t="n">
        <f aca="false">AU101+AV47+AV65</f>
        <v>-2402425.4309176</v>
      </c>
      <c r="AW101" s="40" t="n">
        <f aca="false">AV101+AW47+AW65</f>
        <v>-2457604.99601086</v>
      </c>
      <c r="AX101" s="40" t="n">
        <f aca="false">AW101+AX47+AX65</f>
        <v>-2497209.317443</v>
      </c>
      <c r="AY101" s="84" t="n">
        <f aca="false">AX101+AY47+AY65</f>
        <v>-2457993.08965171</v>
      </c>
      <c r="AZ101" s="40" t="n">
        <f aca="false">AY101+AZ47+AZ65</f>
        <v>-2227357.98369233</v>
      </c>
      <c r="BA101" s="40" t="n">
        <f aca="false">AZ101+BA47+BA65</f>
        <v>-2091653.16064781</v>
      </c>
      <c r="BB101" s="40" t="n">
        <f aca="false">BA101+BB47+BB65</f>
        <v>-3254308.80590829</v>
      </c>
      <c r="BC101" s="40" t="n">
        <f aca="false">BB101+BC47+BC65</f>
        <v>-3165779.07225562</v>
      </c>
      <c r="BD101" s="40" t="n">
        <f aca="false">BC101+BD47+BD65</f>
        <v>-3204557.67977792</v>
      </c>
      <c r="BE101" s="40" t="n">
        <f aca="false">BD101+BE47+BE65</f>
        <v>-5681292.46526678</v>
      </c>
      <c r="BF101" s="40" t="n">
        <f aca="false">BE101+BF47+BF65</f>
        <v>-9474870.82914436</v>
      </c>
    </row>
    <row r="102" customFormat="false" ht="15" hidden="false" customHeight="false" outlineLevel="0" collapsed="false">
      <c r="B102" s="101" t="s">
        <v>284</v>
      </c>
      <c r="C102" s="102" t="n">
        <v>588119.21</v>
      </c>
      <c r="D102" s="102" t="n">
        <v>539227.99</v>
      </c>
      <c r="E102" s="102" t="n">
        <v>482975.45</v>
      </c>
      <c r="F102" s="102" t="n">
        <v>433826.6</v>
      </c>
      <c r="G102" s="102" t="n">
        <v>385902.28</v>
      </c>
      <c r="H102" s="102" t="n">
        <v>357818.09</v>
      </c>
      <c r="I102" s="102" t="n">
        <v>486583.82</v>
      </c>
      <c r="J102" s="102" t="n">
        <v>447557</v>
      </c>
      <c r="K102" s="102" t="n">
        <v>400523.45</v>
      </c>
      <c r="L102" s="102" t="n">
        <v>350134.79</v>
      </c>
      <c r="M102" s="102" t="n">
        <v>276427.87</v>
      </c>
      <c r="N102" s="102" t="n">
        <v>183844.07</v>
      </c>
      <c r="O102" s="103" t="n">
        <f aca="false">O100+O101</f>
        <v>315716.31</v>
      </c>
      <c r="P102" s="102" t="n">
        <f aca="false">P100+P101</f>
        <v>441899.269999999</v>
      </c>
      <c r="Q102" s="102" t="n">
        <f aca="false">Q100+Q101</f>
        <v>375554.62</v>
      </c>
      <c r="R102" s="102" t="n">
        <f aca="false">R100+R101</f>
        <v>327999.14</v>
      </c>
      <c r="S102" s="102" t="n">
        <f aca="false">S100+S101</f>
        <v>367104.52</v>
      </c>
      <c r="T102" s="102" t="n">
        <f aca="false">T100+T101</f>
        <v>308807.72</v>
      </c>
      <c r="U102" s="102" t="n">
        <f aca="false">U100+U101</f>
        <v>281263.69</v>
      </c>
      <c r="V102" s="102" t="n">
        <f aca="false">V100+V101</f>
        <v>257443.17</v>
      </c>
      <c r="W102" s="102" t="n">
        <f aca="false">W100+W101</f>
        <v>269405.36</v>
      </c>
      <c r="X102" s="102" t="n">
        <f aca="false">SUM(X100:X101)</f>
        <v>238352.322091223</v>
      </c>
      <c r="Y102" s="102" t="n">
        <f aca="false">SUM(Y100:Y101)</f>
        <v>2702578.82317634</v>
      </c>
      <c r="Z102" s="102" t="n">
        <f aca="false">SUM(Z100:Z101)</f>
        <v>2674666.71486482</v>
      </c>
      <c r="AA102" s="103" t="n">
        <f aca="false">SUM(AA100:AA101)</f>
        <v>2644497.13338637</v>
      </c>
      <c r="AB102" s="102" t="n">
        <f aca="false">SUM(AB100:AB101)</f>
        <v>2603109.05040836</v>
      </c>
      <c r="AC102" s="102" t="n">
        <f aca="false">SUM(AC100:AC101)</f>
        <v>2561041.71757762</v>
      </c>
      <c r="AD102" s="102" t="n">
        <f aca="false">SUM(AD100:AD101)</f>
        <v>2501605.73141805</v>
      </c>
      <c r="AE102" s="102" t="n">
        <f aca="false">SUM(AE100:AE101)</f>
        <v>2440696.73625786</v>
      </c>
      <c r="AF102" s="102" t="n">
        <f aca="false">SUM(AF100:AF101)</f>
        <v>2372188.623244</v>
      </c>
      <c r="AG102" s="102" t="n">
        <f aca="false">SUM(AG100:AG101)</f>
        <v>2306072.02080157</v>
      </c>
      <c r="AH102" s="102" t="n">
        <f aca="false">SUM(AH100:AH101)</f>
        <v>2248562.54233228</v>
      </c>
      <c r="AI102" s="102" t="n">
        <f aca="false">SUM(AI100:AI101)</f>
        <v>2193800.84486293</v>
      </c>
      <c r="AJ102" s="102" t="n">
        <f aca="false">SUM(AJ100:AJ101)</f>
        <v>2128862.50493108</v>
      </c>
      <c r="AK102" s="102" t="n">
        <f aca="false">SUM(AK100:AK101)</f>
        <v>2057807.12629337</v>
      </c>
      <c r="AL102" s="102" t="n">
        <f aca="false">SUM(AL100:AL101)</f>
        <v>2000613.79897001</v>
      </c>
      <c r="AM102" s="103" t="n">
        <f aca="false">SUM(AM100:AM101)</f>
        <v>1951519.25982114</v>
      </c>
      <c r="AN102" s="102" t="n">
        <f aca="false">SUM(AN100:AN101)</f>
        <v>1898479.99241272</v>
      </c>
      <c r="AO102" s="102" t="n">
        <f aca="false">SUM(AO100:AO101)</f>
        <v>1851867.89613664</v>
      </c>
      <c r="AP102" s="102" t="n">
        <f aca="false">SUM(AP100:AP101)</f>
        <v>1811031.64873339</v>
      </c>
      <c r="AQ102" s="102" t="n">
        <f aca="false">SUM(AQ100:AQ101)</f>
        <v>1763970.82854825</v>
      </c>
      <c r="AR102" s="102" t="n">
        <f aca="false">SUM(AR100:AR101)</f>
        <v>1715768.13723529</v>
      </c>
      <c r="AS102" s="102" t="n">
        <f aca="false">SUM(AS100:AS101)</f>
        <v>1666719.72857328</v>
      </c>
      <c r="AT102" s="102" t="n">
        <f aca="false">SUM(AT100:AT101)</f>
        <v>1640504.00646396</v>
      </c>
      <c r="AU102" s="102" t="n">
        <f aca="false">SUM(AU100:AU101)</f>
        <v>1609853.33313422</v>
      </c>
      <c r="AV102" s="102" t="n">
        <f aca="false">SUM(AV100:AV101)</f>
        <v>1573783.7590824</v>
      </c>
      <c r="AW102" s="102" t="n">
        <f aca="false">SUM(AW100:AW101)</f>
        <v>1518604.19398914</v>
      </c>
      <c r="AX102" s="102" t="n">
        <f aca="false">SUM(AX100:AX101)</f>
        <v>1478999.872557</v>
      </c>
      <c r="AY102" s="103" t="n">
        <f aca="false">SUM(AY100:AY101)</f>
        <v>1518216.10034829</v>
      </c>
      <c r="AZ102" s="102" t="n">
        <f aca="false">SUM(AZ100:AZ101)</f>
        <v>1748851.20630767</v>
      </c>
      <c r="BA102" s="102" t="n">
        <f aca="false">SUM(BA100:BA101)</f>
        <v>1884556.02935219</v>
      </c>
      <c r="BB102" s="102" t="n">
        <f aca="false">SUM(BB100:BB101)</f>
        <v>721900.384091713</v>
      </c>
      <c r="BC102" s="102" t="n">
        <f aca="false">SUM(BC100:BC101)</f>
        <v>810430.117744379</v>
      </c>
      <c r="BD102" s="102" t="n">
        <f aca="false">SUM(BD100:BD101)</f>
        <v>771651.510222082</v>
      </c>
      <c r="BE102" s="102" t="n">
        <f aca="false">SUM(BE100:BE101)</f>
        <v>-1705083.27526678</v>
      </c>
      <c r="BF102" s="102" t="n">
        <f aca="false">SUM(BF100:BF101)</f>
        <v>-5498661.63914436</v>
      </c>
    </row>
    <row r="103" customFormat="false" ht="15" hidden="false" customHeight="false" outlineLevel="0" collapsed="false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8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8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8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89"/>
      <c r="AZ103" s="9"/>
      <c r="BA103" s="9"/>
      <c r="BB103" s="9"/>
      <c r="BC103" s="9"/>
      <c r="BD103" s="9"/>
      <c r="BE103" s="9"/>
      <c r="BF103" s="9"/>
    </row>
    <row r="104" customFormat="false" ht="15.75" hidden="false" customHeight="true" outlineLevel="0" collapsed="false">
      <c r="B104" s="105" t="s">
        <v>285</v>
      </c>
      <c r="C104" s="106" t="n">
        <v>707156.71</v>
      </c>
      <c r="D104" s="106" t="n">
        <v>598011.8</v>
      </c>
      <c r="E104" s="106" t="n">
        <v>583312.05</v>
      </c>
      <c r="F104" s="106" t="n">
        <v>498973.33</v>
      </c>
      <c r="G104" s="106" t="n">
        <v>455276.87</v>
      </c>
      <c r="H104" s="106" t="n">
        <v>450388.21</v>
      </c>
      <c r="I104" s="106" t="n">
        <v>560259.41</v>
      </c>
      <c r="J104" s="106" t="n">
        <v>539697.02</v>
      </c>
      <c r="K104" s="106" t="n">
        <v>541141.26</v>
      </c>
      <c r="L104" s="106" t="n">
        <v>618070.71</v>
      </c>
      <c r="M104" s="106" t="n">
        <v>604751.58</v>
      </c>
      <c r="N104" s="106" t="n">
        <v>543764.43</v>
      </c>
      <c r="O104" s="107" t="n">
        <f aca="false">O97+O102</f>
        <v>514391.91</v>
      </c>
      <c r="P104" s="106" t="n">
        <f aca="false">P97+P102</f>
        <v>590580.809999999</v>
      </c>
      <c r="Q104" s="106" t="n">
        <f aca="false">Q97+Q102</f>
        <v>536212.29</v>
      </c>
      <c r="R104" s="106" t="n">
        <f aca="false">R97+R102</f>
        <v>471438.49</v>
      </c>
      <c r="S104" s="106" t="n">
        <f aca="false">S97+S102</f>
        <v>512143.32</v>
      </c>
      <c r="T104" s="106" t="n">
        <f aca="false">T97+T102</f>
        <v>453484.16</v>
      </c>
      <c r="U104" s="106" t="n">
        <f aca="false">U97+U102</f>
        <v>427600.59</v>
      </c>
      <c r="V104" s="106" t="n">
        <f aca="false">V97+V102</f>
        <v>422491.47</v>
      </c>
      <c r="W104" s="106" t="n">
        <f aca="false">W97+W102</f>
        <v>496200.78</v>
      </c>
      <c r="X104" s="106" t="n">
        <f aca="false">X97+X102</f>
        <v>468035.038325145</v>
      </c>
      <c r="Y104" s="106" t="n">
        <f aca="false">Y97+Y102</f>
        <v>2925832.86146221</v>
      </c>
      <c r="Z104" s="106" t="n">
        <f aca="false">Z97+Z102</f>
        <v>2906208.42893397</v>
      </c>
      <c r="AA104" s="107" t="n">
        <f aca="false">AA97+AA102</f>
        <v>2900226.88448091</v>
      </c>
      <c r="AB104" s="106" t="n">
        <f aca="false">AB97+AB102</f>
        <v>2867439.60843712</v>
      </c>
      <c r="AC104" s="106" t="n">
        <f aca="false">AC97+AC102</f>
        <v>2859963.84855349</v>
      </c>
      <c r="AD104" s="106" t="n">
        <f aca="false">AD97+AD102</f>
        <v>2839016.89643687</v>
      </c>
      <c r="AE104" s="106" t="n">
        <f aca="false">AE97+AE102</f>
        <v>2773469.23444455</v>
      </c>
      <c r="AF104" s="106" t="n">
        <f aca="false">AF97+AF102</f>
        <v>2716568.10222084</v>
      </c>
      <c r="AG104" s="106" t="n">
        <f aca="false">AG97+AG102</f>
        <v>2653360.7232427</v>
      </c>
      <c r="AH104" s="106" t="n">
        <f aca="false">AH97+AH102</f>
        <v>2638078.74403758</v>
      </c>
      <c r="AI104" s="106" t="n">
        <f aca="false">AI97+AI102</f>
        <v>2578679.03146449</v>
      </c>
      <c r="AJ104" s="106" t="n">
        <f aca="false">AJ97+AJ102</f>
        <v>2527341.62673771</v>
      </c>
      <c r="AK104" s="106" t="n">
        <f aca="false">AK97+AK102</f>
        <v>2444599.50449577</v>
      </c>
      <c r="AL104" s="106" t="n">
        <f aca="false">AL97+AL102</f>
        <v>2407243.23789898</v>
      </c>
      <c r="AM104" s="107" t="n">
        <f aca="false">AM97+AM102</f>
        <v>2375000.97816281</v>
      </c>
      <c r="AN104" s="106" t="n">
        <f aca="false">AN97+AN102</f>
        <v>2309749.05822259</v>
      </c>
      <c r="AO104" s="106" t="n">
        <f aca="false">AO97+AO102</f>
        <v>2306249.25380498</v>
      </c>
      <c r="AP104" s="106" t="n">
        <f aca="false">AP97+AP102</f>
        <v>2270995.13548798</v>
      </c>
      <c r="AQ104" s="106" t="n">
        <f aca="false">AQ97+AQ102</f>
        <v>2228716.26505503</v>
      </c>
      <c r="AR104" s="106" t="n">
        <f aca="false">AR97+AR102</f>
        <v>2175218.90391223</v>
      </c>
      <c r="AS104" s="106" t="n">
        <f aca="false">AS97+AS102</f>
        <v>2149989.1450194</v>
      </c>
      <c r="AT104" s="106" t="n">
        <f aca="false">AT97+AT102</f>
        <v>2184826.2037602</v>
      </c>
      <c r="AU104" s="106" t="n">
        <f aca="false">AU97+AU102</f>
        <v>2173680.15332325</v>
      </c>
      <c r="AV104" s="106" t="n">
        <f aca="false">AV97+AV102</f>
        <v>2122310.29375158</v>
      </c>
      <c r="AW104" s="106" t="n">
        <f aca="false">AW97+AW102</f>
        <v>2056967.74786536</v>
      </c>
      <c r="AX104" s="106" t="n">
        <f aca="false">AX97+AX102</f>
        <v>2074013.41617807</v>
      </c>
      <c r="AY104" s="107" t="n">
        <f aca="false">AY97+AY102</f>
        <v>2149405.11720592</v>
      </c>
      <c r="AZ104" s="106" t="n">
        <f aca="false">AZ97+AZ102</f>
        <v>2748882.70245177</v>
      </c>
      <c r="BA104" s="106" t="n">
        <f aca="false">BA97+BA102</f>
        <v>3371228.28711165</v>
      </c>
      <c r="BB104" s="106" t="n">
        <f aca="false">BB97+BB102</f>
        <v>3748888.36594702</v>
      </c>
      <c r="BC104" s="106" t="n">
        <f aca="false">BC97+BC102</f>
        <v>4707077.51141802</v>
      </c>
      <c r="BD104" s="106" t="n">
        <f aca="false">BD97+BD102</f>
        <v>5604290.95672973</v>
      </c>
      <c r="BE104" s="106" t="n">
        <f aca="false">BE97+BE102</f>
        <v>6080840.85100094</v>
      </c>
      <c r="BF104" s="106" t="n">
        <f aca="false">BF97+BF102</f>
        <v>5658851.33533819</v>
      </c>
    </row>
    <row r="105" customFormat="false" ht="15.75" hidden="false" customHeight="true" outlineLevel="0" collapsed="false">
      <c r="B105" s="108" t="s">
        <v>286</v>
      </c>
      <c r="C105" s="109" t="n">
        <v>0</v>
      </c>
      <c r="D105" s="109" t="n">
        <v>0</v>
      </c>
      <c r="E105" s="109" t="n">
        <v>0</v>
      </c>
      <c r="F105" s="109" t="n">
        <v>0</v>
      </c>
      <c r="G105" s="109" t="n">
        <v>0</v>
      </c>
      <c r="H105" s="109" t="n">
        <v>0</v>
      </c>
      <c r="I105" s="109" t="n">
        <v>0</v>
      </c>
      <c r="J105" s="109" t="n">
        <v>0</v>
      </c>
      <c r="K105" s="109" t="n">
        <v>0</v>
      </c>
      <c r="L105" s="109" t="n">
        <v>0</v>
      </c>
      <c r="M105" s="109" t="n">
        <v>0</v>
      </c>
      <c r="N105" s="109" t="n">
        <v>0</v>
      </c>
      <c r="O105" s="110" t="n">
        <f aca="false">O87-O104</f>
        <v>0</v>
      </c>
      <c r="P105" s="109" t="n">
        <f aca="false">P87-P104</f>
        <v>0</v>
      </c>
      <c r="Q105" s="109" t="n">
        <f aca="false">Q87-Q104</f>
        <v>0</v>
      </c>
      <c r="R105" s="109" t="n">
        <f aca="false">R87-R104</f>
        <v>0</v>
      </c>
      <c r="S105" s="109" t="n">
        <f aca="false">S87-S104</f>
        <v>0</v>
      </c>
      <c r="T105" s="109" t="n">
        <f aca="false">T87-T104</f>
        <v>0</v>
      </c>
      <c r="U105" s="109" t="n">
        <f aca="false">U87-U104</f>
        <v>0</v>
      </c>
      <c r="V105" s="109" t="n">
        <f aca="false">V87-V104</f>
        <v>0</v>
      </c>
      <c r="W105" s="109" t="n">
        <f aca="false">W87-W104</f>
        <v>0</v>
      </c>
      <c r="X105" s="109" t="n">
        <f aca="false">X87-X104</f>
        <v>0</v>
      </c>
      <c r="Y105" s="109" t="n">
        <f aca="false">Y87-Y104</f>
        <v>0</v>
      </c>
      <c r="Z105" s="109" t="n">
        <f aca="false">Z87-Z104</f>
        <v>0</v>
      </c>
      <c r="AA105" s="110" t="n">
        <f aca="false">AA87-AA104</f>
        <v>0</v>
      </c>
      <c r="AB105" s="109" t="n">
        <f aca="false">AB87-AB104</f>
        <v>0</v>
      </c>
      <c r="AC105" s="109" t="n">
        <f aca="false">AC87-AC104</f>
        <v>0</v>
      </c>
      <c r="AD105" s="109" t="n">
        <f aca="false">AD87-AD104</f>
        <v>0</v>
      </c>
      <c r="AE105" s="109" t="n">
        <f aca="false">AE87-AE104</f>
        <v>0</v>
      </c>
      <c r="AF105" s="109" t="n">
        <f aca="false">AF87-AF104</f>
        <v>0</v>
      </c>
      <c r="AG105" s="109" t="n">
        <f aca="false">AG87-AG104</f>
        <v>0</v>
      </c>
      <c r="AH105" s="109" t="n">
        <f aca="false">AH87-AH104</f>
        <v>0</v>
      </c>
      <c r="AI105" s="109" t="n">
        <f aca="false">AI87-AI104</f>
        <v>0</v>
      </c>
      <c r="AJ105" s="109" t="n">
        <f aca="false">AJ87-AJ104</f>
        <v>0</v>
      </c>
      <c r="AK105" s="109" t="n">
        <f aca="false">AK87-AK104</f>
        <v>0</v>
      </c>
      <c r="AL105" s="109" t="n">
        <f aca="false">AL87-AL104</f>
        <v>0</v>
      </c>
      <c r="AM105" s="110" t="n">
        <f aca="false">AM87-AM104</f>
        <v>0</v>
      </c>
      <c r="AN105" s="109" t="n">
        <f aca="false">AN87-AN104</f>
        <v>0</v>
      </c>
      <c r="AO105" s="109" t="n">
        <f aca="false">AO87-AO104</f>
        <v>0</v>
      </c>
      <c r="AP105" s="109" t="n">
        <f aca="false">AP87-AP104</f>
        <v>0</v>
      </c>
      <c r="AQ105" s="109" t="n">
        <f aca="false">AQ87-AQ104</f>
        <v>0</v>
      </c>
      <c r="AR105" s="109" t="n">
        <f aca="false">AR87-AR104</f>
        <v>0</v>
      </c>
      <c r="AS105" s="109" t="n">
        <f aca="false">AS87-AS104</f>
        <v>0</v>
      </c>
      <c r="AT105" s="109" t="n">
        <f aca="false">AT87-AT104</f>
        <v>0</v>
      </c>
      <c r="AU105" s="109" t="n">
        <f aca="false">AU87-AU104</f>
        <v>0</v>
      </c>
      <c r="AV105" s="109" t="n">
        <f aca="false">AV87-AV104</f>
        <v>0</v>
      </c>
      <c r="AW105" s="109" t="n">
        <f aca="false">AW87-AW104</f>
        <v>0</v>
      </c>
      <c r="AX105" s="109" t="n">
        <f aca="false">AX87-AX104</f>
        <v>0</v>
      </c>
      <c r="AY105" s="110" t="n">
        <f aca="false">AY87-AY104</f>
        <v>0</v>
      </c>
      <c r="AZ105" s="109" t="n">
        <f aca="false">AZ87-AZ104</f>
        <v>0</v>
      </c>
      <c r="BA105" s="109" t="n">
        <f aca="false">BA87-BA104</f>
        <v>0</v>
      </c>
      <c r="BB105" s="109" t="n">
        <f aca="false">BB87-BB104</f>
        <v>0</v>
      </c>
      <c r="BC105" s="109" t="n">
        <f aca="false">BC87-BC104</f>
        <v>0</v>
      </c>
      <c r="BD105" s="109" t="n">
        <f aca="false">BD87-BD104</f>
        <v>0</v>
      </c>
      <c r="BE105" s="109" t="n">
        <f aca="false">BE87-BE104</f>
        <v>0</v>
      </c>
      <c r="BF105" s="109" t="n">
        <f aca="false">BF87-BF104</f>
        <v>0</v>
      </c>
    </row>
    <row r="106" customFormat="false" ht="15" hidden="false" customHeight="false" outlineLevel="0" collapsed="false"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</row>
    <row r="107" customFormat="false" ht="15" hidden="false" customHeight="false" outlineLevel="0" collapsed="false">
      <c r="B107" s="26" t="s">
        <v>287</v>
      </c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</row>
    <row r="108" customFormat="false" ht="15" hidden="false" customHeight="false" outlineLevel="0" collapsed="false">
      <c r="B108" s="9" t="s">
        <v>288</v>
      </c>
      <c r="C108" s="111" t="n">
        <v>4</v>
      </c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</row>
    <row r="109" customFormat="false" ht="15" hidden="false" customHeight="false" outlineLevel="0" collapsed="false">
      <c r="B109" s="9" t="s">
        <v>289</v>
      </c>
      <c r="C109" s="111" t="n">
        <v>4</v>
      </c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</row>
    <row r="110" customFormat="false" ht="15" hidden="false" customHeight="false" outlineLevel="0" collapsed="false">
      <c r="B110" s="9" t="s">
        <v>290</v>
      </c>
      <c r="C110" s="111" t="n">
        <v>30</v>
      </c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</row>
    <row r="111" customFormat="false" ht="15" hidden="false" customHeight="false" outlineLevel="0" collapsed="false">
      <c r="B111" s="9" t="s">
        <v>291</v>
      </c>
      <c r="C111" s="111" t="n">
        <v>2</v>
      </c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</row>
    <row r="112" customFormat="false" ht="15" hidden="false" customHeight="false" outlineLevel="0" collapsed="false">
      <c r="B112" s="9" t="s">
        <v>292</v>
      </c>
      <c r="C112" s="111" t="n">
        <v>5</v>
      </c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</row>
    <row r="113" customFormat="false" ht="15" hidden="false" customHeight="false" outlineLevel="0" collapsed="false">
      <c r="B113" s="9" t="s">
        <v>293</v>
      </c>
      <c r="C113" s="111" t="n">
        <v>300</v>
      </c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</row>
    <row r="114" customFormat="false" ht="15" hidden="false" customHeight="false" outlineLevel="0" collapsed="false">
      <c r="B114" s="9" t="s">
        <v>294</v>
      </c>
      <c r="C114" s="111" t="n">
        <v>80000</v>
      </c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</row>
    <row r="115" customFormat="false" ht="15" hidden="false" customHeight="false" outlineLevel="0" collapsed="false">
      <c r="B115" s="26" t="s">
        <v>295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</row>
    <row r="116" customFormat="false" ht="15" hidden="false" customHeight="false" outlineLevel="0" collapsed="false">
      <c r="B116" s="112" t="s">
        <v>296</v>
      </c>
      <c r="C116" s="111" t="n">
        <v>1</v>
      </c>
      <c r="D116" s="41" t="n">
        <v>1</v>
      </c>
      <c r="E116" s="9" t="n">
        <v>0</v>
      </c>
      <c r="F116" s="9" t="n">
        <v>0</v>
      </c>
      <c r="G116" s="41" t="n">
        <v>1</v>
      </c>
      <c r="H116" s="9" t="n">
        <v>0</v>
      </c>
      <c r="I116" s="9" t="n">
        <v>0</v>
      </c>
      <c r="J116" s="9" t="n">
        <v>0</v>
      </c>
      <c r="K116" s="9" t="n">
        <v>0</v>
      </c>
      <c r="L116" s="9" t="n">
        <v>0</v>
      </c>
      <c r="M116" s="9" t="n">
        <v>0</v>
      </c>
      <c r="N116" s="41" t="n">
        <v>1</v>
      </c>
      <c r="O116" s="9" t="n">
        <v>0</v>
      </c>
      <c r="P116" s="9" t="n">
        <v>0</v>
      </c>
      <c r="Q116" s="9" t="n">
        <v>0</v>
      </c>
      <c r="R116" s="9" t="n">
        <v>0</v>
      </c>
      <c r="S116" s="9" t="n">
        <v>0</v>
      </c>
      <c r="T116" s="9" t="n">
        <v>0</v>
      </c>
      <c r="U116" s="9" t="n">
        <v>0</v>
      </c>
      <c r="V116" s="9" t="n">
        <v>0</v>
      </c>
      <c r="W116" s="9" t="n">
        <v>0</v>
      </c>
      <c r="X116" s="9" t="n">
        <v>0</v>
      </c>
      <c r="Y116" s="41" t="n">
        <v>1</v>
      </c>
      <c r="Z116" s="9" t="n">
        <v>0</v>
      </c>
      <c r="AA116" s="9" t="n">
        <v>0</v>
      </c>
      <c r="AB116" s="41" t="n">
        <v>1</v>
      </c>
      <c r="AC116" s="9" t="n">
        <v>0</v>
      </c>
      <c r="AD116" s="9" t="n">
        <v>0</v>
      </c>
      <c r="AE116" s="41" t="n">
        <v>1</v>
      </c>
      <c r="AF116" s="9" t="n">
        <v>0</v>
      </c>
      <c r="AG116" s="9" t="n">
        <v>0</v>
      </c>
      <c r="AH116" s="41" t="n">
        <v>1</v>
      </c>
      <c r="AI116" s="9" t="n">
        <v>0</v>
      </c>
      <c r="AJ116" s="9" t="n">
        <v>0</v>
      </c>
      <c r="AK116" s="41" t="n">
        <v>1</v>
      </c>
      <c r="AL116" s="9" t="n">
        <v>0</v>
      </c>
      <c r="AM116" s="41" t="n">
        <v>1</v>
      </c>
      <c r="AN116" s="9" t="n">
        <v>0</v>
      </c>
      <c r="AO116" s="41" t="n">
        <v>0</v>
      </c>
      <c r="AP116" s="41" t="n">
        <v>1</v>
      </c>
      <c r="AQ116" s="41" t="n">
        <v>0</v>
      </c>
      <c r="AR116" s="41" t="n">
        <v>0</v>
      </c>
      <c r="AS116" s="41" t="n">
        <v>1</v>
      </c>
      <c r="AT116" s="41" t="n">
        <v>0</v>
      </c>
      <c r="AU116" s="41" t="n">
        <v>0</v>
      </c>
      <c r="AV116" s="41" t="n">
        <v>1</v>
      </c>
      <c r="AW116" s="41" t="n">
        <v>0</v>
      </c>
      <c r="AX116" s="41" t="n">
        <v>0</v>
      </c>
      <c r="AY116" s="41" t="n">
        <v>5</v>
      </c>
      <c r="AZ116" s="41" t="n">
        <v>4</v>
      </c>
      <c r="BA116" s="41" t="n">
        <v>0</v>
      </c>
      <c r="BB116" s="41" t="n">
        <v>0</v>
      </c>
      <c r="BC116" s="41" t="n">
        <v>0</v>
      </c>
      <c r="BD116" s="41" t="n">
        <v>0</v>
      </c>
      <c r="BE116" s="41" t="n">
        <v>0</v>
      </c>
      <c r="BF116" s="41" t="n">
        <v>0</v>
      </c>
    </row>
    <row r="117" customFormat="false" ht="15" hidden="false" customHeight="false" outlineLevel="0" collapsed="false">
      <c r="B117" s="112" t="s">
        <v>297</v>
      </c>
      <c r="C117" s="40" t="n">
        <f aca="false" t="array" ref="C117:C117">-(SUMPRODUCT(((('⑫ Roll-out Plan'!$G$10:$G$97-2025)*12+'⑫ Roll-out Plan'!$F$10:$F$97)=0)*'⑫ Roll-out Plan'!$H$10:$H$97*'⑫ Roll-out Plan'!$O$10:$O$97)+SUMPRODUCT(((('⑫ Roll-out Plan'!$G$10:$G$97-2025)*12+'⑫ Roll-out Plan'!$F$10:$F$97)=1)*'⑫ Roll-out Plan'!$H$10:$H$97*'⑫ Roll-out Plan'!$O$10:$O$97)+SUMPRODUCT(((('⑫ Roll-out Plan'!$G$10:$G$97-2025)*12+'⑫ Roll-out Plan'!$F$10:$F$97)=2)*'⑫ Roll-out Plan'!$H$10:$H$97*'⑫ Roll-out Plan'!$O$10:$O$97))/3</f>
        <v>-38333.3333333333</v>
      </c>
      <c r="D117" s="40" t="n">
        <f aca="false" t="array" ref="D117:D117">-(SUMPRODUCT(((('⑫ Roll-out Plan'!$G$10:$G$97-2025)*12+'⑫ Roll-out Plan'!$F$10:$F$97)=1)*'⑫ Roll-out Plan'!$H$10:$H$97*'⑫ Roll-out Plan'!$O$10:$O$97)+SUMPRODUCT(((('⑫ Roll-out Plan'!$G$10:$G$97-2025)*12+'⑫ Roll-out Plan'!$F$10:$F$97)=2)*'⑫ Roll-out Plan'!$H$10:$H$97*'⑫ Roll-out Plan'!$O$10:$O$97)+SUMPRODUCT(((('⑫ Roll-out Plan'!$G$10:$G$97-2025)*12+'⑫ Roll-out Plan'!$F$10:$F$97)=3)*'⑫ Roll-out Plan'!$H$10:$H$97*'⑫ Roll-out Plan'!$O$10:$O$97))/3</f>
        <v>-38333.3333333333</v>
      </c>
      <c r="E117" s="40" t="n">
        <f aca="false" t="array" ref="E117:E117">-(SUMPRODUCT(((('⑫ Roll-out Plan'!$G$10:$G$97-2025)*12+'⑫ Roll-out Plan'!$F$10:$F$97)=2)*'⑫ Roll-out Plan'!$H$10:$H$97*'⑫ Roll-out Plan'!$O$10:$O$97)+SUMPRODUCT(((('⑫ Roll-out Plan'!$G$10:$G$97-2025)*12+'⑫ Roll-out Plan'!$F$10:$F$97)=3)*'⑫ Roll-out Plan'!$H$10:$H$97*'⑫ Roll-out Plan'!$O$10:$O$97)+SUMPRODUCT(((('⑫ Roll-out Plan'!$G$10:$G$97-2025)*12+'⑫ Roll-out Plan'!$F$10:$F$97)=4)*'⑫ Roll-out Plan'!$H$10:$H$97*'⑫ Roll-out Plan'!$O$10:$O$97))/3</f>
        <v>-10000</v>
      </c>
      <c r="F117" s="40" t="n">
        <f aca="false" t="array" ref="F117:F117">-(SUMPRODUCT(((('⑫ Roll-out Plan'!$G$10:$G$97-2025)*12+'⑫ Roll-out Plan'!$F$10:$F$97)=3)*'⑫ Roll-out Plan'!$H$10:$H$97*'⑫ Roll-out Plan'!$O$10:$O$97)+SUMPRODUCT(((('⑫ Roll-out Plan'!$G$10:$G$97-2025)*12+'⑫ Roll-out Plan'!$F$10:$F$97)=4)*'⑫ Roll-out Plan'!$H$10:$H$97*'⑫ Roll-out Plan'!$O$10:$O$97)+SUMPRODUCT(((('⑫ Roll-out Plan'!$G$10:$G$97-2025)*12+'⑫ Roll-out Plan'!$F$10:$F$97)=5)*'⑫ Roll-out Plan'!$H$10:$H$97*'⑫ Roll-out Plan'!$O$10:$O$97))/3</f>
        <v>-28333.3333333333</v>
      </c>
      <c r="G117" s="40" t="n">
        <f aca="false" t="array" ref="G117:G117">-(SUMPRODUCT(((('⑫ Roll-out Plan'!$G$10:$G$97-2025)*12+'⑫ Roll-out Plan'!$F$10:$F$97)=4)*'⑫ Roll-out Plan'!$H$10:$H$97*'⑫ Roll-out Plan'!$O$10:$O$97)+SUMPRODUCT(((('⑫ Roll-out Plan'!$G$10:$G$97-2025)*12+'⑫ Roll-out Plan'!$F$10:$F$97)=5)*'⑫ Roll-out Plan'!$H$10:$H$97*'⑫ Roll-out Plan'!$O$10:$O$97)+SUMPRODUCT(((('⑫ Roll-out Plan'!$G$10:$G$97-2025)*12+'⑫ Roll-out Plan'!$F$10:$F$97)=6)*'⑫ Roll-out Plan'!$H$10:$H$97*'⑫ Roll-out Plan'!$O$10:$O$97))/3</f>
        <v>-28333.3333333333</v>
      </c>
      <c r="H117" s="40" t="n">
        <f aca="false" t="array" ref="H117:H117">-(SUMPRODUCT(((('⑫ Roll-out Plan'!$G$10:$G$97-2025)*12+'⑫ Roll-out Plan'!$F$10:$F$97)=5)*'⑫ Roll-out Plan'!$H$10:$H$97*'⑫ Roll-out Plan'!$O$10:$O$97)+SUMPRODUCT(((('⑫ Roll-out Plan'!$G$10:$G$97-2025)*12+'⑫ Roll-out Plan'!$F$10:$F$97)=6)*'⑫ Roll-out Plan'!$H$10:$H$97*'⑫ Roll-out Plan'!$O$10:$O$97)+SUMPRODUCT(((('⑫ Roll-out Plan'!$G$10:$G$97-2025)*12+'⑫ Roll-out Plan'!$F$10:$F$97)=7)*'⑫ Roll-out Plan'!$H$10:$H$97*'⑫ Roll-out Plan'!$O$10:$O$97))/3</f>
        <v>-28333.3333333333</v>
      </c>
      <c r="I117" s="40" t="n">
        <f aca="false" t="array" ref="I117:I117">-(SUMPRODUCT(((('⑫ Roll-out Plan'!$G$10:$G$97-2025)*12+'⑫ Roll-out Plan'!$F$10:$F$97)=6)*'⑫ Roll-out Plan'!$H$10:$H$97*'⑫ Roll-out Plan'!$O$10:$O$97)+SUMPRODUCT(((('⑫ Roll-out Plan'!$G$10:$G$97-2025)*12+'⑫ Roll-out Plan'!$F$10:$F$97)=7)*'⑫ Roll-out Plan'!$H$10:$H$97*'⑫ Roll-out Plan'!$O$10:$O$97)+SUMPRODUCT(((('⑫ Roll-out Plan'!$G$10:$G$97-2025)*12+'⑫ Roll-out Plan'!$F$10:$F$97)=8)*'⑫ Roll-out Plan'!$H$10:$H$97*'⑫ Roll-out Plan'!$O$10:$O$97))/3</f>
        <v>-0</v>
      </c>
      <c r="J117" s="40" t="n">
        <f aca="false" t="array" ref="J117:J117">-(SUMPRODUCT(((('⑫ Roll-out Plan'!$G$10:$G$97-2025)*12+'⑫ Roll-out Plan'!$F$10:$F$97)=7)*'⑫ Roll-out Plan'!$H$10:$H$97*'⑫ Roll-out Plan'!$O$10:$O$97)+SUMPRODUCT(((('⑫ Roll-out Plan'!$G$10:$G$97-2025)*12+'⑫ Roll-out Plan'!$F$10:$F$97)=8)*'⑫ Roll-out Plan'!$H$10:$H$97*'⑫ Roll-out Plan'!$O$10:$O$97)+SUMPRODUCT(((('⑫ Roll-out Plan'!$G$10:$G$97-2025)*12+'⑫ Roll-out Plan'!$F$10:$F$97)=9)*'⑫ Roll-out Plan'!$H$10:$H$97*'⑫ Roll-out Plan'!$O$10:$O$97))/3</f>
        <v>-0</v>
      </c>
      <c r="K117" s="40" t="n">
        <f aca="false" t="array" ref="K117:K117">-(SUMPRODUCT(((('⑫ Roll-out Plan'!$G$10:$G$97-2025)*12+'⑫ Roll-out Plan'!$F$10:$F$97)=8)*'⑫ Roll-out Plan'!$H$10:$H$97*'⑫ Roll-out Plan'!$O$10:$O$97)+SUMPRODUCT(((('⑫ Roll-out Plan'!$G$10:$G$97-2025)*12+'⑫ Roll-out Plan'!$F$10:$F$97)=9)*'⑫ Roll-out Plan'!$H$10:$H$97*'⑫ Roll-out Plan'!$O$10:$O$97)+SUMPRODUCT(((('⑫ Roll-out Plan'!$G$10:$G$97-2025)*12+'⑫ Roll-out Plan'!$F$10:$F$97)=10)*'⑫ Roll-out Plan'!$H$10:$H$97*'⑫ Roll-out Plan'!$O$10:$O$97))/3</f>
        <v>-0</v>
      </c>
      <c r="L117" s="40" t="n">
        <f aca="false" t="array" ref="L117:L117">-(SUMPRODUCT(((('⑫ Roll-out Plan'!$G$10:$G$97-2025)*12+'⑫ Roll-out Plan'!$F$10:$F$97)=9)*'⑫ Roll-out Plan'!$H$10:$H$97*'⑫ Roll-out Plan'!$O$10:$O$97)+SUMPRODUCT(((('⑫ Roll-out Plan'!$G$10:$G$97-2025)*12+'⑫ Roll-out Plan'!$F$10:$F$97)=10)*'⑫ Roll-out Plan'!$H$10:$H$97*'⑫ Roll-out Plan'!$O$10:$O$97)+SUMPRODUCT(((('⑫ Roll-out Plan'!$G$10:$G$97-2025)*12+'⑫ Roll-out Plan'!$F$10:$F$97)=11)*'⑫ Roll-out Plan'!$H$10:$H$97*'⑫ Roll-out Plan'!$O$10:$O$97))/3</f>
        <v>-0</v>
      </c>
      <c r="M117" s="40" t="n">
        <f aca="false" t="array" ref="M117:M117">-(SUMPRODUCT(((('⑫ Roll-out Plan'!$G$10:$G$97-2025)*12+'⑫ Roll-out Plan'!$F$10:$F$97)=10)*'⑫ Roll-out Plan'!$H$10:$H$97*'⑫ Roll-out Plan'!$O$10:$O$97)+SUMPRODUCT(((('⑫ Roll-out Plan'!$G$10:$G$97-2025)*12+'⑫ Roll-out Plan'!$F$10:$F$97)=11)*'⑫ Roll-out Plan'!$H$10:$H$97*'⑫ Roll-out Plan'!$O$10:$O$97)+SUMPRODUCT(((('⑫ Roll-out Plan'!$G$10:$G$97-2025)*12+'⑫ Roll-out Plan'!$F$10:$F$97)=12)*'⑫ Roll-out Plan'!$H$10:$H$97*'⑫ Roll-out Plan'!$O$10:$O$97))/3</f>
        <v>-28333.3333333333</v>
      </c>
      <c r="N117" s="40" t="n">
        <f aca="false" t="array" ref="N117:N117">-(SUMPRODUCT(((('⑫ Roll-out Plan'!$G$10:$G$97-2025)*12+'⑫ Roll-out Plan'!$F$10:$F$97)=11)*'⑫ Roll-out Plan'!$H$10:$H$97*'⑫ Roll-out Plan'!$O$10:$O$97)+SUMPRODUCT(((('⑫ Roll-out Plan'!$G$10:$G$97-2025)*12+'⑫ Roll-out Plan'!$F$10:$F$97)=12)*'⑫ Roll-out Plan'!$H$10:$H$97*'⑫ Roll-out Plan'!$O$10:$O$97)+SUMPRODUCT(((('⑫ Roll-out Plan'!$G$10:$G$97-2025)*12+'⑫ Roll-out Plan'!$F$10:$F$97)=13)*'⑫ Roll-out Plan'!$H$10:$H$97*'⑫ Roll-out Plan'!$O$10:$O$97))/3</f>
        <v>-28333.3333333333</v>
      </c>
      <c r="O117" s="40" t="n">
        <f aca="false" t="array" ref="O117:O117">-(SUMPRODUCT(((('⑫ Roll-out Plan'!$G$10:$G$97-2025)*12+'⑫ Roll-out Plan'!$F$10:$F$97)=12)*'⑫ Roll-out Plan'!$H$10:$H$97*'⑫ Roll-out Plan'!$O$10:$O$97)+SUMPRODUCT(((('⑫ Roll-out Plan'!$G$10:$G$97-2025)*12+'⑫ Roll-out Plan'!$F$10:$F$97)=13)*'⑫ Roll-out Plan'!$H$10:$H$97*'⑫ Roll-out Plan'!$O$10:$O$97)+SUMPRODUCT(((('⑫ Roll-out Plan'!$G$10:$G$97-2025)*12+'⑫ Roll-out Plan'!$F$10:$F$97)=14)*'⑫ Roll-out Plan'!$H$10:$H$97*'⑫ Roll-out Plan'!$O$10:$O$97))/3</f>
        <v>-28333.3333333333</v>
      </c>
      <c r="P117" s="40" t="n">
        <f aca="false" t="array" ref="P117:P117">-(SUMPRODUCT(((('⑫ Roll-out Plan'!$G$10:$G$97-2025)*12+'⑫ Roll-out Plan'!$F$10:$F$97)=13)*'⑫ Roll-out Plan'!$H$10:$H$97*'⑫ Roll-out Plan'!$O$10:$O$97)+SUMPRODUCT(((('⑫ Roll-out Plan'!$G$10:$G$97-2025)*12+'⑫ Roll-out Plan'!$F$10:$F$97)=14)*'⑫ Roll-out Plan'!$H$10:$H$97*'⑫ Roll-out Plan'!$O$10:$O$97)+SUMPRODUCT(((('⑫ Roll-out Plan'!$G$10:$G$97-2025)*12+'⑫ Roll-out Plan'!$F$10:$F$97)=15)*'⑫ Roll-out Plan'!$H$10:$H$97*'⑫ Roll-out Plan'!$O$10:$O$97))/3</f>
        <v>-0</v>
      </c>
      <c r="Q117" s="40" t="n">
        <f aca="false" t="array" ref="Q117:Q117">-(SUMPRODUCT(((('⑫ Roll-out Plan'!$G$10:$G$97-2025)*12+'⑫ Roll-out Plan'!$F$10:$F$97)=14)*'⑫ Roll-out Plan'!$H$10:$H$97*'⑫ Roll-out Plan'!$O$10:$O$97)+SUMPRODUCT(((('⑫ Roll-out Plan'!$G$10:$G$97-2025)*12+'⑫ Roll-out Plan'!$F$10:$F$97)=15)*'⑫ Roll-out Plan'!$H$10:$H$97*'⑫ Roll-out Plan'!$O$10:$O$97)+SUMPRODUCT(((('⑫ Roll-out Plan'!$G$10:$G$97-2025)*12+'⑫ Roll-out Plan'!$F$10:$F$97)=16)*'⑫ Roll-out Plan'!$H$10:$H$97*'⑫ Roll-out Plan'!$O$10:$O$97))/3</f>
        <v>-0</v>
      </c>
      <c r="R117" s="40" t="n">
        <f aca="false" t="array" ref="R117:R117">-(SUMPRODUCT(((('⑫ Roll-out Plan'!$G$10:$G$97-2025)*12+'⑫ Roll-out Plan'!$F$10:$F$97)=15)*'⑫ Roll-out Plan'!$H$10:$H$97*'⑫ Roll-out Plan'!$O$10:$O$97)+SUMPRODUCT(((('⑫ Roll-out Plan'!$G$10:$G$97-2025)*12+'⑫ Roll-out Plan'!$F$10:$F$97)=16)*'⑫ Roll-out Plan'!$H$10:$H$97*'⑫ Roll-out Plan'!$O$10:$O$97)+SUMPRODUCT(((('⑫ Roll-out Plan'!$G$10:$G$97-2025)*12+'⑫ Roll-out Plan'!$F$10:$F$97)=17)*'⑫ Roll-out Plan'!$H$10:$H$97*'⑫ Roll-out Plan'!$O$10:$O$97))/3</f>
        <v>-0</v>
      </c>
      <c r="S117" s="40" t="n">
        <f aca="false" t="array" ref="S117:S117">-(SUMPRODUCT(((('⑫ Roll-out Plan'!$G$10:$G$97-2025)*12+'⑫ Roll-out Plan'!$F$10:$F$97)=16)*'⑫ Roll-out Plan'!$H$10:$H$97*'⑫ Roll-out Plan'!$O$10:$O$97)+SUMPRODUCT(((('⑫ Roll-out Plan'!$G$10:$G$97-2025)*12+'⑫ Roll-out Plan'!$F$10:$F$97)=17)*'⑫ Roll-out Plan'!$H$10:$H$97*'⑫ Roll-out Plan'!$O$10:$O$97)+SUMPRODUCT(((('⑫ Roll-out Plan'!$G$10:$G$97-2025)*12+'⑫ Roll-out Plan'!$F$10:$F$97)=18)*'⑫ Roll-out Plan'!$H$10:$H$97*'⑫ Roll-out Plan'!$O$10:$O$97))/3</f>
        <v>-0</v>
      </c>
      <c r="T117" s="40" t="n">
        <f aca="false" t="array" ref="T117:T117">-(SUMPRODUCT(((('⑫ Roll-out Plan'!$G$10:$G$97-2025)*12+'⑫ Roll-out Plan'!$F$10:$F$97)=17)*'⑫ Roll-out Plan'!$H$10:$H$97*'⑫ Roll-out Plan'!$O$10:$O$97)+SUMPRODUCT(((('⑫ Roll-out Plan'!$G$10:$G$97-2025)*12+'⑫ Roll-out Plan'!$F$10:$F$97)=18)*'⑫ Roll-out Plan'!$H$10:$H$97*'⑫ Roll-out Plan'!$O$10:$O$97)+SUMPRODUCT(((('⑫ Roll-out Plan'!$G$10:$G$97-2025)*12+'⑫ Roll-out Plan'!$F$10:$F$97)=19)*'⑫ Roll-out Plan'!$H$10:$H$97*'⑫ Roll-out Plan'!$O$10:$O$97))/3</f>
        <v>-0</v>
      </c>
      <c r="U117" s="40" t="n">
        <f aca="false" t="array" ref="U117:U117">-(SUMPRODUCT(((('⑫ Roll-out Plan'!$G$10:$G$97-2025)*12+'⑫ Roll-out Plan'!$F$10:$F$97)=18)*'⑫ Roll-out Plan'!$H$10:$H$97*'⑫ Roll-out Plan'!$O$10:$O$97)+SUMPRODUCT(((('⑫ Roll-out Plan'!$G$10:$G$97-2025)*12+'⑫ Roll-out Plan'!$F$10:$F$97)=19)*'⑫ Roll-out Plan'!$H$10:$H$97*'⑫ Roll-out Plan'!$O$10:$O$97)+SUMPRODUCT(((('⑫ Roll-out Plan'!$G$10:$G$97-2025)*12+'⑫ Roll-out Plan'!$F$10:$F$97)=20)*'⑫ Roll-out Plan'!$H$10:$H$97*'⑫ Roll-out Plan'!$O$10:$O$97))/3</f>
        <v>-0</v>
      </c>
      <c r="V117" s="40" t="n">
        <f aca="false" t="array" ref="V117:V117">-(SUMPRODUCT(((('⑫ Roll-out Plan'!$G$10:$G$97-2025)*12+'⑫ Roll-out Plan'!$F$10:$F$97)=19)*'⑫ Roll-out Plan'!$H$10:$H$97*'⑫ Roll-out Plan'!$O$10:$O$97)+SUMPRODUCT(((('⑫ Roll-out Plan'!$G$10:$G$97-2025)*12+'⑫ Roll-out Plan'!$F$10:$F$97)=20)*'⑫ Roll-out Plan'!$H$10:$H$97*'⑫ Roll-out Plan'!$O$10:$O$97)+SUMPRODUCT(((('⑫ Roll-out Plan'!$G$10:$G$97-2025)*12+'⑫ Roll-out Plan'!$F$10:$F$97)=21)*'⑫ Roll-out Plan'!$H$10:$H$97*'⑫ Roll-out Plan'!$O$10:$O$97))/3</f>
        <v>-0</v>
      </c>
      <c r="W117" s="40" t="n">
        <f aca="false" t="array" ref="W117:W117">-(SUMPRODUCT(((('⑫ Roll-out Plan'!$G$10:$G$97-2025)*12+'⑫ Roll-out Plan'!$F$10:$F$97)=20)*'⑫ Roll-out Plan'!$H$10:$H$97*'⑫ Roll-out Plan'!$O$10:$O$97)+SUMPRODUCT(((('⑫ Roll-out Plan'!$G$10:$G$97-2025)*12+'⑫ Roll-out Plan'!$F$10:$F$97)=21)*'⑫ Roll-out Plan'!$H$10:$H$97*'⑫ Roll-out Plan'!$O$10:$O$97)+SUMPRODUCT(((('⑫ Roll-out Plan'!$G$10:$G$97-2025)*12+'⑫ Roll-out Plan'!$F$10:$F$97)=22)*'⑫ Roll-out Plan'!$H$10:$H$97*'⑫ Roll-out Plan'!$O$10:$O$97))/3</f>
        <v>-0</v>
      </c>
      <c r="X117" s="40" t="n">
        <f aca="false" t="array" ref="X117:X117">-(SUMPRODUCT(((('⑫ Roll-out Plan'!$G$10:$G$97-2025)*12+'⑫ Roll-out Plan'!$F$10:$F$97)=21)*'⑫ Roll-out Plan'!$H$10:$H$97*'⑫ Roll-out Plan'!$O$10:$O$97)+SUMPRODUCT(((('⑫ Roll-out Plan'!$G$10:$G$97-2025)*12+'⑫ Roll-out Plan'!$F$10:$F$97)=22)*'⑫ Roll-out Plan'!$H$10:$H$97*'⑫ Roll-out Plan'!$O$10:$O$97)+SUMPRODUCT(((('⑫ Roll-out Plan'!$G$10:$G$97-2025)*12+'⑫ Roll-out Plan'!$F$10:$F$97)=23)*'⑫ Roll-out Plan'!$H$10:$H$97*'⑫ Roll-out Plan'!$O$10:$O$97))/3</f>
        <v>-0</v>
      </c>
      <c r="Y117" s="40" t="n">
        <f aca="false" t="array" ref="Y117:Y117">-(SUMPRODUCT(((('⑫ Roll-out Plan'!$G$10:$G$97-2025)*12+'⑫ Roll-out Plan'!$F$10:$F$97)=22)*'⑫ Roll-out Plan'!$H$10:$H$97*'⑫ Roll-out Plan'!$O$10:$O$97)+SUMPRODUCT(((('⑫ Roll-out Plan'!$G$10:$G$97-2025)*12+'⑫ Roll-out Plan'!$F$10:$F$97)=23)*'⑫ Roll-out Plan'!$H$10:$H$97*'⑫ Roll-out Plan'!$O$10:$O$97)+SUMPRODUCT(((('⑫ Roll-out Plan'!$G$10:$G$97-2025)*12+'⑫ Roll-out Plan'!$F$10:$F$97)=24)*'⑫ Roll-out Plan'!$H$10:$H$97*'⑫ Roll-out Plan'!$O$10:$O$97))/3</f>
        <v>-0</v>
      </c>
      <c r="Z117" s="40" t="n">
        <f aca="false" t="array" ref="Z117:Z117">-(SUMPRODUCT(((('⑫ Roll-out Plan'!$G$10:$G$97-2025)*12+'⑫ Roll-out Plan'!$F$10:$F$97)=23)*'⑫ Roll-out Plan'!$H$10:$H$97*'⑫ Roll-out Plan'!$O$10:$O$97)+SUMPRODUCT(((('⑫ Roll-out Plan'!$G$10:$G$97-2025)*12+'⑫ Roll-out Plan'!$F$10:$F$97)=24)*'⑫ Roll-out Plan'!$H$10:$H$97*'⑫ Roll-out Plan'!$O$10:$O$97)+SUMPRODUCT(((('⑫ Roll-out Plan'!$G$10:$G$97-2025)*12+'⑫ Roll-out Plan'!$F$10:$F$97)=25)*'⑫ Roll-out Plan'!$H$10:$H$97*'⑫ Roll-out Plan'!$O$10:$O$97))/3</f>
        <v>-33333.3333333333</v>
      </c>
      <c r="AA117" s="40" t="n">
        <f aca="false" t="array" ref="AA117:AA117">-(SUMPRODUCT(((('⑫ Roll-out Plan'!$G$10:$G$97-2025)*12+'⑫ Roll-out Plan'!$F$10:$F$97)=24)*'⑫ Roll-out Plan'!$H$10:$H$97*'⑫ Roll-out Plan'!$O$10:$O$97)+SUMPRODUCT(((('⑫ Roll-out Plan'!$G$10:$G$97-2025)*12+'⑫ Roll-out Plan'!$F$10:$F$97)=25)*'⑫ Roll-out Plan'!$H$10:$H$97*'⑫ Roll-out Plan'!$O$10:$O$97)+SUMPRODUCT(((('⑫ Roll-out Plan'!$G$10:$G$97-2025)*12+'⑫ Roll-out Plan'!$F$10:$F$97)=26)*'⑫ Roll-out Plan'!$H$10:$H$97*'⑫ Roll-out Plan'!$O$10:$O$97))/3</f>
        <v>-66666.6666666667</v>
      </c>
      <c r="AB117" s="40" t="n">
        <f aca="false" t="array" ref="AB117:AB117">-(SUMPRODUCT(((('⑫ Roll-out Plan'!$G$10:$G$97-2025)*12+'⑫ Roll-out Plan'!$F$10:$F$97)=25)*'⑫ Roll-out Plan'!$H$10:$H$97*'⑫ Roll-out Plan'!$O$10:$O$97)+SUMPRODUCT(((('⑫ Roll-out Plan'!$G$10:$G$97-2025)*12+'⑫ Roll-out Plan'!$F$10:$F$97)=26)*'⑫ Roll-out Plan'!$H$10:$H$97*'⑫ Roll-out Plan'!$O$10:$O$97)+SUMPRODUCT(((('⑫ Roll-out Plan'!$G$10:$G$97-2025)*12+'⑫ Roll-out Plan'!$F$10:$F$97)=27)*'⑫ Roll-out Plan'!$H$10:$H$97*'⑫ Roll-out Plan'!$O$10:$O$97))/3</f>
        <v>-100000</v>
      </c>
      <c r="AC117" s="40" t="n">
        <f aca="false" t="array" ref="AC117:AC117">-(SUMPRODUCT(((('⑫ Roll-out Plan'!$G$10:$G$97-2025)*12+'⑫ Roll-out Plan'!$F$10:$F$97)=26)*'⑫ Roll-out Plan'!$H$10:$H$97*'⑫ Roll-out Plan'!$O$10:$O$97)+SUMPRODUCT(((('⑫ Roll-out Plan'!$G$10:$G$97-2025)*12+'⑫ Roll-out Plan'!$F$10:$F$97)=27)*'⑫ Roll-out Plan'!$H$10:$H$97*'⑫ Roll-out Plan'!$O$10:$O$97)+SUMPRODUCT(((('⑫ Roll-out Plan'!$G$10:$G$97-2025)*12+'⑫ Roll-out Plan'!$F$10:$F$97)=28)*'⑫ Roll-out Plan'!$H$10:$H$97*'⑫ Roll-out Plan'!$O$10:$O$97))/3</f>
        <v>-100000</v>
      </c>
      <c r="AD117" s="40" t="n">
        <f aca="false" t="array" ref="AD117:AD117">-(SUMPRODUCT(((('⑫ Roll-out Plan'!$G$10:$G$97-2025)*12+'⑫ Roll-out Plan'!$F$10:$F$97)=27)*'⑫ Roll-out Plan'!$H$10:$H$97*'⑫ Roll-out Plan'!$O$10:$O$97)+SUMPRODUCT(((('⑫ Roll-out Plan'!$G$10:$G$97-2025)*12+'⑫ Roll-out Plan'!$F$10:$F$97)=28)*'⑫ Roll-out Plan'!$H$10:$H$97*'⑫ Roll-out Plan'!$O$10:$O$97)+SUMPRODUCT(((('⑫ Roll-out Plan'!$G$10:$G$97-2025)*12+'⑫ Roll-out Plan'!$F$10:$F$97)=29)*'⑫ Roll-out Plan'!$H$10:$H$97*'⑫ Roll-out Plan'!$O$10:$O$97))/3</f>
        <v>-66666.6666666667</v>
      </c>
      <c r="AE117" s="40" t="n">
        <f aca="false" t="array" ref="AE117:AE117">-(SUMPRODUCT(((('⑫ Roll-out Plan'!$G$10:$G$97-2025)*12+'⑫ Roll-out Plan'!$F$10:$F$97)=28)*'⑫ Roll-out Plan'!$H$10:$H$97*'⑫ Roll-out Plan'!$O$10:$O$97)+SUMPRODUCT(((('⑫ Roll-out Plan'!$G$10:$G$97-2025)*12+'⑫ Roll-out Plan'!$F$10:$F$97)=29)*'⑫ Roll-out Plan'!$H$10:$H$97*'⑫ Roll-out Plan'!$O$10:$O$97)+SUMPRODUCT(((('⑫ Roll-out Plan'!$G$10:$G$97-2025)*12+'⑫ Roll-out Plan'!$F$10:$F$97)=30)*'⑫ Roll-out Plan'!$H$10:$H$97*'⑫ Roll-out Plan'!$O$10:$O$97))/3</f>
        <v>-66666.6666666667</v>
      </c>
      <c r="AF117" s="40" t="n">
        <f aca="false" t="array" ref="AF117:AF117">-(SUMPRODUCT(((('⑫ Roll-out Plan'!$G$10:$G$97-2025)*12+'⑫ Roll-out Plan'!$F$10:$F$97)=29)*'⑫ Roll-out Plan'!$H$10:$H$97*'⑫ Roll-out Plan'!$O$10:$O$97)+SUMPRODUCT(((('⑫ Roll-out Plan'!$G$10:$G$97-2025)*12+'⑫ Roll-out Plan'!$F$10:$F$97)=30)*'⑫ Roll-out Plan'!$H$10:$H$97*'⑫ Roll-out Plan'!$O$10:$O$97)+SUMPRODUCT(((('⑫ Roll-out Plan'!$G$10:$G$97-2025)*12+'⑫ Roll-out Plan'!$F$10:$F$97)=31)*'⑫ Roll-out Plan'!$H$10:$H$97*'⑫ Roll-out Plan'!$O$10:$O$97))/3</f>
        <v>-33333.3333333333</v>
      </c>
      <c r="AG117" s="40" t="n">
        <f aca="false" t="array" ref="AG117:AG117">-(SUMPRODUCT(((('⑫ Roll-out Plan'!$G$10:$G$97-2025)*12+'⑫ Roll-out Plan'!$F$10:$F$97)=30)*'⑫ Roll-out Plan'!$H$10:$H$97*'⑫ Roll-out Plan'!$O$10:$O$97)+SUMPRODUCT(((('⑫ Roll-out Plan'!$G$10:$G$97-2025)*12+'⑫ Roll-out Plan'!$F$10:$F$97)=31)*'⑫ Roll-out Plan'!$H$10:$H$97*'⑫ Roll-out Plan'!$O$10:$O$97)+SUMPRODUCT(((('⑫ Roll-out Plan'!$G$10:$G$97-2025)*12+'⑫ Roll-out Plan'!$F$10:$F$97)=32)*'⑫ Roll-out Plan'!$H$10:$H$97*'⑫ Roll-out Plan'!$O$10:$O$97))/3</f>
        <v>-66666.6666666667</v>
      </c>
      <c r="AH117" s="40" t="n">
        <f aca="false" t="array" ref="AH117:AH117">-(SUMPRODUCT(((('⑫ Roll-out Plan'!$G$10:$G$97-2025)*12+'⑫ Roll-out Plan'!$F$10:$F$97)=31)*'⑫ Roll-out Plan'!$H$10:$H$97*'⑫ Roll-out Plan'!$O$10:$O$97)+SUMPRODUCT(((('⑫ Roll-out Plan'!$G$10:$G$97-2025)*12+'⑫ Roll-out Plan'!$F$10:$F$97)=32)*'⑫ Roll-out Plan'!$H$10:$H$97*'⑫ Roll-out Plan'!$O$10:$O$97)+SUMPRODUCT(((('⑫ Roll-out Plan'!$G$10:$G$97-2025)*12+'⑫ Roll-out Plan'!$F$10:$F$97)=33)*'⑫ Roll-out Plan'!$H$10:$H$97*'⑫ Roll-out Plan'!$O$10:$O$97))/3</f>
        <v>-33333.3333333333</v>
      </c>
      <c r="AI117" s="40" t="n">
        <f aca="false" t="array" ref="AI117:AI117">-(SUMPRODUCT(((('⑫ Roll-out Plan'!$G$10:$G$97-2025)*12+'⑫ Roll-out Plan'!$F$10:$F$97)=32)*'⑫ Roll-out Plan'!$H$10:$H$97*'⑫ Roll-out Plan'!$O$10:$O$97)+SUMPRODUCT(((('⑫ Roll-out Plan'!$G$10:$G$97-2025)*12+'⑫ Roll-out Plan'!$F$10:$F$97)=33)*'⑫ Roll-out Plan'!$H$10:$H$97*'⑫ Roll-out Plan'!$O$10:$O$97)+SUMPRODUCT(((('⑫ Roll-out Plan'!$G$10:$G$97-2025)*12+'⑫ Roll-out Plan'!$F$10:$F$97)=34)*'⑫ Roll-out Plan'!$H$10:$H$97*'⑫ Roll-out Plan'!$O$10:$O$97))/3</f>
        <v>-66666.6666666667</v>
      </c>
      <c r="AJ117" s="40" t="n">
        <f aca="false" t="array" ref="AJ117:AJ117">-(SUMPRODUCT(((('⑫ Roll-out Plan'!$G$10:$G$97-2025)*12+'⑫ Roll-out Plan'!$F$10:$F$97)=33)*'⑫ Roll-out Plan'!$H$10:$H$97*'⑫ Roll-out Plan'!$O$10:$O$97)+SUMPRODUCT(((('⑫ Roll-out Plan'!$G$10:$G$97-2025)*12+'⑫ Roll-out Plan'!$F$10:$F$97)=34)*'⑫ Roll-out Plan'!$H$10:$H$97*'⑫ Roll-out Plan'!$O$10:$O$97)+SUMPRODUCT(((('⑫ Roll-out Plan'!$G$10:$G$97-2025)*12+'⑫ Roll-out Plan'!$F$10:$F$97)=35)*'⑫ Roll-out Plan'!$H$10:$H$97*'⑫ Roll-out Plan'!$O$10:$O$97))/3</f>
        <v>-33333.3333333333</v>
      </c>
      <c r="AK117" s="40" t="n">
        <f aca="false" t="array" ref="AK117:AK117">-(SUMPRODUCT(((('⑫ Roll-out Plan'!$G$10:$G$97-2025)*12+'⑫ Roll-out Plan'!$F$10:$F$97)=34)*'⑫ Roll-out Plan'!$H$10:$H$97*'⑫ Roll-out Plan'!$O$10:$O$97)+SUMPRODUCT(((('⑫ Roll-out Plan'!$G$10:$G$97-2025)*12+'⑫ Roll-out Plan'!$F$10:$F$97)=35)*'⑫ Roll-out Plan'!$H$10:$H$97*'⑫ Roll-out Plan'!$O$10:$O$97)+SUMPRODUCT(((('⑫ Roll-out Plan'!$G$10:$G$97-2025)*12+'⑫ Roll-out Plan'!$F$10:$F$97)=36)*'⑫ Roll-out Plan'!$H$10:$H$97*'⑫ Roll-out Plan'!$O$10:$O$97))/3</f>
        <v>-33333.3333333333</v>
      </c>
      <c r="AL117" s="40" t="n">
        <f aca="false" t="array" ref="AL117:AL117">-(SUMPRODUCT(((('⑫ Roll-out Plan'!$G$10:$G$97-2025)*12+'⑫ Roll-out Plan'!$F$10:$F$97)=35)*'⑫ Roll-out Plan'!$H$10:$H$97*'⑫ Roll-out Plan'!$O$10:$O$97)+SUMPRODUCT(((('⑫ Roll-out Plan'!$G$10:$G$97-2025)*12+'⑫ Roll-out Plan'!$F$10:$F$97)=36)*'⑫ Roll-out Plan'!$H$10:$H$97*'⑫ Roll-out Plan'!$O$10:$O$97)+SUMPRODUCT(((('⑫ Roll-out Plan'!$G$10:$G$97-2025)*12+'⑫ Roll-out Plan'!$F$10:$F$97)=37)*'⑫ Roll-out Plan'!$H$10:$H$97*'⑫ Roll-out Plan'!$O$10:$O$97))/3</f>
        <v>-0</v>
      </c>
      <c r="AM117" s="40" t="n">
        <f aca="false" t="array" ref="AM117:AM117">-(SUMPRODUCT(((('⑫ Roll-out Plan'!$G$10:$G$97-2025)*12+'⑫ Roll-out Plan'!$F$10:$F$97)=36)*'⑫ Roll-out Plan'!$H$10:$H$97*'⑫ Roll-out Plan'!$O$10:$O$97)+SUMPRODUCT(((('⑫ Roll-out Plan'!$G$10:$G$97-2025)*12+'⑫ Roll-out Plan'!$F$10:$F$97)=37)*'⑫ Roll-out Plan'!$H$10:$H$97*'⑫ Roll-out Plan'!$O$10:$O$97)+SUMPRODUCT(((('⑫ Roll-out Plan'!$G$10:$G$97-2025)*12+'⑫ Roll-out Plan'!$F$10:$F$97)=38)*'⑫ Roll-out Plan'!$H$10:$H$97*'⑫ Roll-out Plan'!$O$10:$O$97))/3</f>
        <v>-0</v>
      </c>
      <c r="AN117" s="40" t="n">
        <f aca="false" t="array" ref="AN117:AN117">-(SUMPRODUCT(((('⑫ Roll-out Plan'!$G$10:$G$97-2025)*12+'⑫ Roll-out Plan'!$F$10:$F$97)=37)*'⑫ Roll-out Plan'!$H$10:$H$97*'⑫ Roll-out Plan'!$O$10:$O$97)+SUMPRODUCT(((('⑫ Roll-out Plan'!$G$10:$G$97-2025)*12+'⑫ Roll-out Plan'!$F$10:$F$97)=38)*'⑫ Roll-out Plan'!$H$10:$H$97*'⑫ Roll-out Plan'!$O$10:$O$97)+SUMPRODUCT(((('⑫ Roll-out Plan'!$G$10:$G$97-2025)*12+'⑫ Roll-out Plan'!$F$10:$F$97)=39)*'⑫ Roll-out Plan'!$H$10:$H$97*'⑫ Roll-out Plan'!$O$10:$O$97))/3</f>
        <v>-33333.3333333333</v>
      </c>
      <c r="AO117" s="40" t="n">
        <f aca="false" t="array" ref="AO117:AO117">-(SUMPRODUCT(((('⑫ Roll-out Plan'!$G$10:$G$97-2025)*12+'⑫ Roll-out Plan'!$F$10:$F$97)=38)*'⑫ Roll-out Plan'!$H$10:$H$97*'⑫ Roll-out Plan'!$O$10:$O$97)+SUMPRODUCT(((('⑫ Roll-out Plan'!$G$10:$G$97-2025)*12+'⑫ Roll-out Plan'!$F$10:$F$97)=39)*'⑫ Roll-out Plan'!$H$10:$H$97*'⑫ Roll-out Plan'!$O$10:$O$97)+SUMPRODUCT(((('⑫ Roll-out Plan'!$G$10:$G$97-2025)*12+'⑫ Roll-out Plan'!$F$10:$F$97)=40)*'⑫ Roll-out Plan'!$H$10:$H$97*'⑫ Roll-out Plan'!$O$10:$O$97))/3</f>
        <v>-33333.3333333333</v>
      </c>
      <c r="AP117" s="40" t="n">
        <f aca="false" t="array" ref="AP117:AP117">-(SUMPRODUCT(((('⑫ Roll-out Plan'!$G$10:$G$97-2025)*12+'⑫ Roll-out Plan'!$F$10:$F$97)=39)*'⑫ Roll-out Plan'!$H$10:$H$97*'⑫ Roll-out Plan'!$O$10:$O$97)+SUMPRODUCT(((('⑫ Roll-out Plan'!$G$10:$G$97-2025)*12+'⑫ Roll-out Plan'!$F$10:$F$97)=40)*'⑫ Roll-out Plan'!$H$10:$H$97*'⑫ Roll-out Plan'!$O$10:$O$97)+SUMPRODUCT(((('⑫ Roll-out Plan'!$G$10:$G$97-2025)*12+'⑫ Roll-out Plan'!$F$10:$F$97)=41)*'⑫ Roll-out Plan'!$H$10:$H$97*'⑫ Roll-out Plan'!$O$10:$O$97))/3</f>
        <v>-66666.6666666667</v>
      </c>
      <c r="AQ117" s="40" t="n">
        <f aca="false" t="array" ref="AQ117:AQ117">-(SUMPRODUCT(((('⑫ Roll-out Plan'!$G$10:$G$97-2025)*12+'⑫ Roll-out Plan'!$F$10:$F$97)=40)*'⑫ Roll-out Plan'!$H$10:$H$97*'⑫ Roll-out Plan'!$O$10:$O$97)+SUMPRODUCT(((('⑫ Roll-out Plan'!$G$10:$G$97-2025)*12+'⑫ Roll-out Plan'!$F$10:$F$97)=41)*'⑫ Roll-out Plan'!$H$10:$H$97*'⑫ Roll-out Plan'!$O$10:$O$97)+SUMPRODUCT(((('⑫ Roll-out Plan'!$G$10:$G$97-2025)*12+'⑫ Roll-out Plan'!$F$10:$F$97)=42)*'⑫ Roll-out Plan'!$H$10:$H$97*'⑫ Roll-out Plan'!$O$10:$O$97))/3</f>
        <v>-33333.3333333333</v>
      </c>
      <c r="AR117" s="40" t="n">
        <f aca="false" t="array" ref="AR117:AR117">-(SUMPRODUCT(((('⑫ Roll-out Plan'!$G$10:$G$97-2025)*12+'⑫ Roll-out Plan'!$F$10:$F$97)=41)*'⑫ Roll-out Plan'!$H$10:$H$97*'⑫ Roll-out Plan'!$O$10:$O$97)+SUMPRODUCT(((('⑫ Roll-out Plan'!$G$10:$G$97-2025)*12+'⑫ Roll-out Plan'!$F$10:$F$97)=42)*'⑫ Roll-out Plan'!$H$10:$H$97*'⑫ Roll-out Plan'!$O$10:$O$97)+SUMPRODUCT(((('⑫ Roll-out Plan'!$G$10:$G$97-2025)*12+'⑫ Roll-out Plan'!$F$10:$F$97)=43)*'⑫ Roll-out Plan'!$H$10:$H$97*'⑫ Roll-out Plan'!$O$10:$O$97))/3</f>
        <v>-66666.6666666667</v>
      </c>
      <c r="AS117" s="40" t="n">
        <f aca="false" t="array" ref="AS117:AS117">-(SUMPRODUCT(((('⑫ Roll-out Plan'!$G$10:$G$97-2025)*12+'⑫ Roll-out Plan'!$F$10:$F$97)=42)*'⑫ Roll-out Plan'!$H$10:$H$97*'⑫ Roll-out Plan'!$O$10:$O$97)+SUMPRODUCT(((('⑫ Roll-out Plan'!$G$10:$G$97-2025)*12+'⑫ Roll-out Plan'!$F$10:$F$97)=43)*'⑫ Roll-out Plan'!$H$10:$H$97*'⑫ Roll-out Plan'!$O$10:$O$97)+SUMPRODUCT(((('⑫ Roll-out Plan'!$G$10:$G$97-2025)*12+'⑫ Roll-out Plan'!$F$10:$F$97)=44)*'⑫ Roll-out Plan'!$H$10:$H$97*'⑫ Roll-out Plan'!$O$10:$O$97))/3</f>
        <v>-33333.3333333333</v>
      </c>
      <c r="AT117" s="40" t="n">
        <f aca="false" t="array" ref="AT117:AT117">-(SUMPRODUCT(((('⑫ Roll-out Plan'!$G$10:$G$97-2025)*12+'⑫ Roll-out Plan'!$F$10:$F$97)=43)*'⑫ Roll-out Plan'!$H$10:$H$97*'⑫ Roll-out Plan'!$O$10:$O$97)+SUMPRODUCT(((('⑫ Roll-out Plan'!$G$10:$G$97-2025)*12+'⑫ Roll-out Plan'!$F$10:$F$97)=44)*'⑫ Roll-out Plan'!$H$10:$H$97*'⑫ Roll-out Plan'!$O$10:$O$97)+SUMPRODUCT(((('⑫ Roll-out Plan'!$G$10:$G$97-2025)*12+'⑫ Roll-out Plan'!$F$10:$F$97)=45)*'⑫ Roll-out Plan'!$H$10:$H$97*'⑫ Roll-out Plan'!$O$10:$O$97))/3</f>
        <v>-100000</v>
      </c>
      <c r="AU117" s="40" t="n">
        <f aca="false" t="array" ref="AU117:AU117">-(SUMPRODUCT(((('⑫ Roll-out Plan'!$G$10:$G$97-2025)*12+'⑫ Roll-out Plan'!$F$10:$F$97)=44)*'⑫ Roll-out Plan'!$H$10:$H$97*'⑫ Roll-out Plan'!$O$10:$O$97)+SUMPRODUCT(((('⑫ Roll-out Plan'!$G$10:$G$97-2025)*12+'⑫ Roll-out Plan'!$F$10:$F$97)=45)*'⑫ Roll-out Plan'!$H$10:$H$97*'⑫ Roll-out Plan'!$O$10:$O$97)+SUMPRODUCT(((('⑫ Roll-out Plan'!$G$10:$G$97-2025)*12+'⑫ Roll-out Plan'!$F$10:$F$97)=46)*'⑫ Roll-out Plan'!$H$10:$H$97*'⑫ Roll-out Plan'!$O$10:$O$97))/3</f>
        <v>-66666.6666666667</v>
      </c>
      <c r="AV117" s="40" t="n">
        <f aca="false" t="array" ref="AV117:AV117">-(SUMPRODUCT(((('⑫ Roll-out Plan'!$G$10:$G$97-2025)*12+'⑫ Roll-out Plan'!$F$10:$F$97)=45)*'⑫ Roll-out Plan'!$H$10:$H$97*'⑫ Roll-out Plan'!$O$10:$O$97)+SUMPRODUCT(((('⑫ Roll-out Plan'!$G$10:$G$97-2025)*12+'⑫ Roll-out Plan'!$F$10:$F$97)=46)*'⑫ Roll-out Plan'!$H$10:$H$97*'⑫ Roll-out Plan'!$O$10:$O$97)+SUMPRODUCT(((('⑫ Roll-out Plan'!$G$10:$G$97-2025)*12+'⑫ Roll-out Plan'!$F$10:$F$97)=47)*'⑫ Roll-out Plan'!$H$10:$H$97*'⑫ Roll-out Plan'!$O$10:$O$97))/3</f>
        <v>-100000</v>
      </c>
      <c r="AW117" s="40" t="n">
        <f aca="false" t="array" ref="AW117:AW117">-(SUMPRODUCT(((('⑫ Roll-out Plan'!$G$10:$G$97-2025)*12+'⑫ Roll-out Plan'!$F$10:$F$97)=46)*'⑫ Roll-out Plan'!$H$10:$H$97*'⑫ Roll-out Plan'!$O$10:$O$97)+SUMPRODUCT(((('⑫ Roll-out Plan'!$G$10:$G$97-2025)*12+'⑫ Roll-out Plan'!$F$10:$F$97)=47)*'⑫ Roll-out Plan'!$H$10:$H$97*'⑫ Roll-out Plan'!$O$10:$O$97)+SUMPRODUCT(((('⑫ Roll-out Plan'!$G$10:$G$97-2025)*12+'⑫ Roll-out Plan'!$F$10:$F$97)=48)*'⑫ Roll-out Plan'!$H$10:$H$97*'⑫ Roll-out Plan'!$O$10:$O$97))/3</f>
        <v>-66666.6666666667</v>
      </c>
      <c r="AX117" s="40" t="n">
        <f aca="false" t="array" ref="AX117:AX117">-(SUMPRODUCT(((('⑫ Roll-out Plan'!$G$10:$G$97-2025)*12+'⑫ Roll-out Plan'!$F$10:$F$97)=47)*'⑫ Roll-out Plan'!$H$10:$H$97*'⑫ Roll-out Plan'!$O$10:$O$97)+SUMPRODUCT(((('⑫ Roll-out Plan'!$G$10:$G$97-2025)*12+'⑫ Roll-out Plan'!$F$10:$F$97)=48)*'⑫ Roll-out Plan'!$H$10:$H$97*'⑫ Roll-out Plan'!$O$10:$O$97)+SUMPRODUCT(((('⑫ Roll-out Plan'!$G$10:$G$97-2025)*12+'⑫ Roll-out Plan'!$F$10:$F$97)=49)*'⑫ Roll-out Plan'!$H$10:$H$97*'⑫ Roll-out Plan'!$O$10:$O$97))/3</f>
        <v>-66666.6666666667</v>
      </c>
      <c r="AY117" s="40" t="n">
        <f aca="false" t="array" ref="AY117:AY117">-SUMPRODUCT(('⑫ Roll-out Plan'!$G$10:$G$97=2029)*'⑫ Roll-out Plan'!$H$10:$H$97*'⑫ Roll-out Plan'!$O$10:$O$97)</f>
        <v>-100000</v>
      </c>
      <c r="AZ117" s="40" t="n">
        <f aca="false" t="array" ref="AZ117:AZ117">-SUMPRODUCT(('⑫ Roll-out Plan'!$G$10:$G$97=2030)*'⑫ Roll-out Plan'!$H$10:$H$97*'⑫ Roll-out Plan'!$O$10:$O$97)-'⑲ Corporate P&amp;L'!$E$29</f>
        <v>-550000</v>
      </c>
      <c r="BA117" s="40" t="n">
        <f aca="false" t="array" ref="BA117:BA117">-SUMPRODUCT(('⑫ Roll-out Plan'!$G$10:$G$97=2031)*'⑫ Roll-out Plan'!$H$10:$H$97*'⑫ Roll-out Plan'!$O$10:$O$97)</f>
        <v>-700000</v>
      </c>
      <c r="BB117" s="40" t="n">
        <f aca="false" t="array" ref="BB117:BB117">-SUMPRODUCT(('⑫ Roll-out Plan'!$G$10:$G$97=2032)*'⑫ Roll-out Plan'!$H$10:$H$97*'⑫ Roll-out Plan'!$O$10:$O$97)</f>
        <v>-400000</v>
      </c>
      <c r="BC117" s="40" t="n">
        <f aca="false" t="array" ref="BC117:BC117">-SUMPRODUCT(('⑫ Roll-out Plan'!$G$10:$G$97=2033)*'⑫ Roll-out Plan'!$H$10:$H$97*'⑫ Roll-out Plan'!$O$10:$O$97)</f>
        <v>-800000</v>
      </c>
      <c r="BD117" s="40" t="n">
        <f aca="false" t="array" ref="BD117:BD117">-SUMPRODUCT(('⑫ Roll-out Plan'!$G$10:$G$97=2034)*'⑫ Roll-out Plan'!$H$10:$H$97*'⑫ Roll-out Plan'!$O$10:$O$97)</f>
        <v>-1200000</v>
      </c>
      <c r="BE117" s="40" t="n">
        <f aca="false" t="array" ref="BE117:BE117">-SUMPRODUCT(('⑫ Roll-out Plan'!$G$10:$G$97=2035)*'⑫ Roll-out Plan'!$H$10:$H$97*'⑫ Roll-out Plan'!$O$10:$O$97)</f>
        <v>-1200000</v>
      </c>
      <c r="BF117" s="40" t="n">
        <f aca="false" t="array" ref="BF117:BF117">-SUMPRODUCT(('⑫ Roll-out Plan'!$G$10:$G$97=2036)*'⑫ Roll-out Plan'!$H$10:$H$97*'⑫ Roll-out Plan'!$O$10:$O$97)</f>
        <v>-900000</v>
      </c>
    </row>
    <row r="118" customFormat="false" ht="15" hidden="false" customHeight="false" outlineLevel="0" collapsed="false">
      <c r="B118" s="9" t="s">
        <v>298</v>
      </c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 t="n">
        <f aca="false">YEAR(X5)</f>
        <v>2026</v>
      </c>
      <c r="Y118" s="9" t="n">
        <f aca="false">YEAR(Y5)</f>
        <v>2026</v>
      </c>
      <c r="Z118" s="9" t="n">
        <f aca="false">YEAR(Z5)</f>
        <v>2026</v>
      </c>
      <c r="AA118" s="9" t="n">
        <f aca="false">YEAR(AA5)</f>
        <v>2027</v>
      </c>
      <c r="AB118" s="9" t="n">
        <f aca="false">YEAR(AB5)</f>
        <v>2027</v>
      </c>
      <c r="AC118" s="9" t="n">
        <f aca="false">YEAR(AC5)</f>
        <v>2027</v>
      </c>
      <c r="AD118" s="9" t="n">
        <f aca="false">YEAR(AD5)</f>
        <v>2027</v>
      </c>
      <c r="AE118" s="9" t="n">
        <f aca="false">YEAR(AE5)</f>
        <v>2027</v>
      </c>
      <c r="AF118" s="9" t="n">
        <f aca="false">YEAR(AF5)</f>
        <v>2027</v>
      </c>
      <c r="AG118" s="9" t="n">
        <f aca="false">YEAR(AG5)</f>
        <v>2027</v>
      </c>
      <c r="AH118" s="9" t="n">
        <f aca="false">YEAR(AH5)</f>
        <v>2027</v>
      </c>
      <c r="AI118" s="9" t="n">
        <f aca="false">YEAR(AI5)</f>
        <v>2027</v>
      </c>
      <c r="AJ118" s="9" t="n">
        <f aca="false">YEAR(AJ5)</f>
        <v>2027</v>
      </c>
      <c r="AK118" s="9" t="n">
        <f aca="false">YEAR(AK5)</f>
        <v>2027</v>
      </c>
      <c r="AL118" s="9" t="n">
        <f aca="false">YEAR(AL5)</f>
        <v>2027</v>
      </c>
      <c r="AM118" s="9" t="n">
        <f aca="false">YEAR(AM5)</f>
        <v>2028</v>
      </c>
      <c r="AN118" s="9" t="n">
        <f aca="false">YEAR(AN5)</f>
        <v>2028</v>
      </c>
      <c r="AO118" s="9" t="n">
        <f aca="false">YEAR(AO5)</f>
        <v>2028</v>
      </c>
      <c r="AP118" s="9" t="n">
        <f aca="false">YEAR(AP5)</f>
        <v>2028</v>
      </c>
      <c r="AQ118" s="9" t="n">
        <f aca="false">YEAR(AQ5)</f>
        <v>2028</v>
      </c>
      <c r="AR118" s="9" t="n">
        <f aca="false">YEAR(AR5)</f>
        <v>2028</v>
      </c>
      <c r="AS118" s="9" t="n">
        <f aca="false">YEAR(AS5)</f>
        <v>2028</v>
      </c>
      <c r="AT118" s="9" t="n">
        <f aca="false">YEAR(AT5)</f>
        <v>2028</v>
      </c>
      <c r="AU118" s="9" t="n">
        <f aca="false">YEAR(AU5)</f>
        <v>2028</v>
      </c>
      <c r="AV118" s="9" t="n">
        <f aca="false">YEAR(AV5)</f>
        <v>2028</v>
      </c>
      <c r="AW118" s="9" t="n">
        <f aca="false">YEAR(AW5)</f>
        <v>2028</v>
      </c>
      <c r="AX118" s="9" t="n">
        <f aca="false">YEAR(AX5)</f>
        <v>2028</v>
      </c>
      <c r="AY118" s="9" t="n">
        <f aca="false">VALUE(LEFT(AY5,4))</f>
        <v>2029</v>
      </c>
      <c r="AZ118" s="9" t="n">
        <f aca="false">VALUE(LEFT(AZ5,4))</f>
        <v>2030</v>
      </c>
      <c r="BA118" s="9" t="n">
        <f aca="false">VALUE(LEFT(BA5,4))</f>
        <v>2031</v>
      </c>
      <c r="BB118" s="9" t="n">
        <f aca="false">VALUE(LEFT(BB5,4))</f>
        <v>2032</v>
      </c>
      <c r="BC118" s="9" t="n">
        <f aca="false">VALUE(LEFT(BC5,4))</f>
        <v>2033</v>
      </c>
      <c r="BD118" s="9" t="n">
        <f aca="false">VALUE(LEFT(BD5,4))</f>
        <v>2034</v>
      </c>
      <c r="BE118" s="9" t="n">
        <f aca="false">VALUE(LEFT(BE5,4))</f>
        <v>2035</v>
      </c>
      <c r="BF118" s="9" t="n">
        <f aca="false">VALUE(LEFT(BF5,4))</f>
        <v>2036</v>
      </c>
    </row>
    <row r="119" customFormat="false" ht="15" hidden="false" customHeight="false" outlineLevel="0" collapsed="false">
      <c r="B119" s="36" t="s">
        <v>299</v>
      </c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</row>
    <row r="120" customFormat="false" ht="15" hidden="false" customHeight="false" outlineLevel="0" collapsed="false">
      <c r="B120" s="9" t="s">
        <v>300</v>
      </c>
      <c r="C120" s="22" t="n">
        <f aca="false">-SUM('EEFF a septiemrbe'!B8:J8)/SUM('EEFF a septiemrbe'!B7:J7)</f>
        <v>0.0591816512066709</v>
      </c>
      <c r="D120" s="9" t="s">
        <v>301</v>
      </c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</row>
    <row r="121" customFormat="false" ht="15" hidden="false" customHeight="false" outlineLevel="0" collapsed="false">
      <c r="B121" s="9" t="s">
        <v>302</v>
      </c>
      <c r="C121" s="28" t="n">
        <f aca="false">-AVERAGE(U43:W43)</f>
        <v>9668.36333333333</v>
      </c>
      <c r="D121" s="9" t="s">
        <v>303</v>
      </c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</row>
    <row r="122" customFormat="false" ht="15" hidden="false" customHeight="false" outlineLevel="0" collapsed="false">
      <c r="B122" s="9" t="s">
        <v>304</v>
      </c>
      <c r="C122" s="22" t="n">
        <v>0.04</v>
      </c>
      <c r="D122" s="9" t="s">
        <v>305</v>
      </c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</row>
    <row r="123" customFormat="false" ht="15" hidden="false" customHeight="false" outlineLevel="0" collapsed="false"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</row>
    <row r="124" customFormat="false" ht="15" hidden="false" customHeight="false" outlineLevel="0" collapsed="false"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</row>
    <row r="125" customFormat="false" ht="15" hidden="false" customHeight="false" outlineLevel="0" collapsed="false"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</row>
    <row r="126" customFormat="false" ht="15" hidden="false" customHeight="false" outlineLevel="0" collapsed="false"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</row>
    <row r="127" customFormat="false" ht="15" hidden="false" customHeight="false" outlineLevel="0" collapsed="false"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</row>
    <row r="128" customFormat="false" ht="15" hidden="false" customHeight="false" outlineLevel="0" collapsed="false"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</row>
    <row r="129" customFormat="false" ht="15" hidden="false" customHeight="false" outlineLevel="0" collapsed="false">
      <c r="B129" s="26" t="s">
        <v>306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</row>
    <row r="130" customFormat="false" ht="15" hidden="false" customHeight="false" outlineLevel="0" collapsed="false">
      <c r="B130" s="9" t="s">
        <v>307</v>
      </c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40" t="n">
        <f aca="false">-R44</f>
        <v>925.48</v>
      </c>
      <c r="S130" s="40" t="n">
        <f aca="false">-S44</f>
        <v>1136.97</v>
      </c>
      <c r="T130" s="40" t="n">
        <f aca="false">-T44</f>
        <v>920.3</v>
      </c>
      <c r="U130" s="40" t="n">
        <f aca="false">-U44</f>
        <v>425.8</v>
      </c>
      <c r="V130" s="40" t="n">
        <f aca="false">-V44</f>
        <v>716.87</v>
      </c>
      <c r="W130" s="40" t="n">
        <f aca="false">-W44</f>
        <v>3961.49</v>
      </c>
      <c r="X130" s="40" t="n">
        <f aca="false">-X44</f>
        <v>1219.7738</v>
      </c>
      <c r="Y130" s="40" t="n">
        <f aca="false">-Y44</f>
        <v>1209.16726816667</v>
      </c>
      <c r="Z130" s="40" t="n">
        <f aca="false">-Z44</f>
        <v>1198.46350979153</v>
      </c>
      <c r="AA130" s="40" t="n">
        <f aca="false">-AA44</f>
        <v>1187.66163363128</v>
      </c>
      <c r="AB130" s="40" t="n">
        <f aca="false">-AB44</f>
        <v>1176.7607402729</v>
      </c>
      <c r="AC130" s="40" t="n">
        <f aca="false">-AC44</f>
        <v>1165.75992205874</v>
      </c>
      <c r="AD130" s="40" t="n">
        <f aca="false">-AD44</f>
        <v>1154.65826301094</v>
      </c>
      <c r="AE130" s="40" t="n">
        <f aca="false">-AE44</f>
        <v>1143.45483875521</v>
      </c>
      <c r="AF130" s="40" t="n">
        <f aca="false">-AF44</f>
        <v>1132.1487164438</v>
      </c>
      <c r="AG130" s="40" t="n">
        <f aca="false">-AG44</f>
        <v>1120.73895467787</v>
      </c>
      <c r="AH130" s="40" t="n">
        <f aca="false">-AH44</f>
        <v>1109.22460342908</v>
      </c>
      <c r="AI130" s="40" t="n">
        <f aca="false">-AI44</f>
        <v>1097.60470396052</v>
      </c>
      <c r="AJ130" s="40" t="n">
        <f aca="false">-AJ44</f>
        <v>1085.87828874682</v>
      </c>
      <c r="AK130" s="40" t="n">
        <f aca="false">-AK44</f>
        <v>1074.04438139367</v>
      </c>
      <c r="AL130" s="40" t="n">
        <f aca="false">-AL44</f>
        <v>1062.10199655644</v>
      </c>
      <c r="AM130" s="40" t="n">
        <f aca="false">-AM44</f>
        <v>1050.05013985821</v>
      </c>
      <c r="AN130" s="40" t="n">
        <f aca="false">-AN44</f>
        <v>1037.88780780691</v>
      </c>
      <c r="AO130" s="40" t="n">
        <f aca="false">-AO44</f>
        <v>1025.61398771181</v>
      </c>
      <c r="AP130" s="40" t="n">
        <f aca="false">-AP44</f>
        <v>1013.22765759916</v>
      </c>
      <c r="AQ130" s="40" t="n">
        <f aca="false">-AQ44</f>
        <v>1000.72778612716</v>
      </c>
      <c r="AR130" s="40" t="n">
        <f aca="false">-AR44</f>
        <v>988.113332499988</v>
      </c>
      <c r="AS130" s="40" t="n">
        <f aca="false">-AS44</f>
        <v>975.383246381238</v>
      </c>
      <c r="AT130" s="40" t="n">
        <f aca="false">-AT44</f>
        <v>962.536467806399</v>
      </c>
      <c r="AU130" s="40" t="n">
        <f aca="false">-AU44</f>
        <v>949.571927094625</v>
      </c>
      <c r="AV130" s="40" t="n">
        <f aca="false">-AV44</f>
        <v>936.488544759659</v>
      </c>
      <c r="AW130" s="40" t="n">
        <f aca="false">-AW44</f>
        <v>923.285231419956</v>
      </c>
      <c r="AX130" s="40" t="n">
        <f aca="false">-AX44</f>
        <v>909.960887707972</v>
      </c>
      <c r="AY130" s="40" t="n">
        <f aca="false">-AY44</f>
        <v>9834.63138253123</v>
      </c>
      <c r="AZ130" s="40" t="n">
        <f aca="false">-AZ44</f>
        <v>50470.725196555</v>
      </c>
      <c r="BA130" s="40" t="n">
        <f aca="false">-BA44</f>
        <v>104965.457528855</v>
      </c>
      <c r="BB130" s="40" t="n">
        <f aca="false">-BB44</f>
        <v>195059.339086586</v>
      </c>
      <c r="BC130" s="40" t="n">
        <f aca="false">-BC44</f>
        <v>242812.897408137</v>
      </c>
      <c r="BD130" s="40" t="n">
        <f aca="false">-BD44</f>
        <v>286534.818776319</v>
      </c>
      <c r="BE130" s="40" t="n">
        <f aca="false">-BE44</f>
        <v>495008.986520242</v>
      </c>
      <c r="BF130" s="40" t="n">
        <f aca="false">-BF44</f>
        <v>752350.735588575</v>
      </c>
    </row>
    <row r="131" customFormat="false" ht="15" hidden="false" customHeight="false" outlineLevel="0" collapsed="false">
      <c r="B131" s="9" t="s">
        <v>308</v>
      </c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40" t="n">
        <v>0</v>
      </c>
      <c r="S131" s="40" t="n">
        <f aca="false">SUMIFS('㉓ Debt Schedule'!$F$18:$F$77,'㉓ Debt Schedule'!$C$18:$C$77,S$5)+SUMIFS('㉓ Debt Schedule'!$J$18:$J$77,'㉓ Debt Schedule'!$C$18:$C$77,S$5)</f>
        <v>0</v>
      </c>
      <c r="T131" s="40" t="n">
        <f aca="false">SUMIFS('㉓ Debt Schedule'!$F$18:$F$77,'㉓ Debt Schedule'!$C$18:$C$77,T$5)+SUMIFS('㉓ Debt Schedule'!$J$18:$J$77,'㉓ Debt Schedule'!$C$18:$C$77,T$5)</f>
        <v>0</v>
      </c>
      <c r="U131" s="40" t="n">
        <f aca="false">SUMIFS('㉓ Debt Schedule'!$F$18:$F$77,'㉓ Debt Schedule'!$C$18:$C$77,U$5)+SUMIFS('㉓ Debt Schedule'!$J$18:$J$77,'㉓ Debt Schedule'!$C$18:$C$77,U$5)</f>
        <v>0</v>
      </c>
      <c r="V131" s="40" t="n">
        <f aca="false">SUMIFS('㉓ Debt Schedule'!$F$18:$F$77,'㉓ Debt Schedule'!$C$18:$C$77,V$5)+SUMIFS('㉓ Debt Schedule'!$J$18:$J$77,'㉓ Debt Schedule'!$C$18:$C$77,V$5)</f>
        <v>0</v>
      </c>
      <c r="W131" s="40" t="n">
        <f aca="false">SUMIFS('㉓ Debt Schedule'!$F$18:$F$77,'㉓ Debt Schedule'!$C$18:$C$77,W$5)+SUMIFS('㉓ Debt Schedule'!$J$18:$J$77,'㉓ Debt Schedule'!$C$18:$C$77,W$5)</f>
        <v>0</v>
      </c>
      <c r="X131" s="40" t="n">
        <f aca="false">SUMIFS('㉓ Debt Schedule'!$F$18:$F$77,'㉓ Debt Schedule'!$C$18:$C$77,X$5)+SUMIFS('㉓ Debt Schedule'!$J$18:$J$77,'㉓ Debt Schedule'!$C$18:$C$77,X$5)</f>
        <v>0</v>
      </c>
      <c r="Y131" s="40" t="n">
        <f aca="false">SUMIFS('㉓ Debt Schedule'!$F$18:$F$77,'㉓ Debt Schedule'!$C$18:$C$77,Y$5)+SUMIFS('㉓ Debt Schedule'!$J$18:$J$77,'㉓ Debt Schedule'!$C$18:$C$77,Y$5)</f>
        <v>0</v>
      </c>
      <c r="Z131" s="40" t="n">
        <f aca="false">SUMIFS('㉓ Debt Schedule'!$F$18:$F$77,'㉓ Debt Schedule'!$C$18:$C$77,Z$5)+SUMIFS('㉓ Debt Schedule'!$J$18:$J$77,'㉓ Debt Schedule'!$C$18:$C$77,Z$5)</f>
        <v>0</v>
      </c>
      <c r="AA131" s="40" t="n">
        <f aca="false">SUMIFS('㉓ Debt Schedule'!$F$18:$F$77,'㉓ Debt Schedule'!$C$18:$C$77,AA$5)+SUMIFS('㉓ Debt Schedule'!$J$18:$J$77,'㉓ Debt Schedule'!$C$18:$C$77,AA$5)</f>
        <v>0</v>
      </c>
      <c r="AB131" s="40" t="n">
        <f aca="false">SUMIFS('㉓ Debt Schedule'!$F$18:$F$77,'㉓ Debt Schedule'!$C$18:$C$77,AB$5)+SUMIFS('㉓ Debt Schedule'!$J$18:$J$77,'㉓ Debt Schedule'!$C$18:$C$77,AB$5)</f>
        <v>0</v>
      </c>
      <c r="AC131" s="40" t="n">
        <f aca="false">SUMIFS('㉓ Debt Schedule'!$F$18:$F$77,'㉓ Debt Schedule'!$C$18:$C$77,AC$5)+SUMIFS('㉓ Debt Schedule'!$J$18:$J$77,'㉓ Debt Schedule'!$C$18:$C$77,AC$5)</f>
        <v>0</v>
      </c>
      <c r="AD131" s="40" t="n">
        <f aca="false">SUMIFS('㉓ Debt Schedule'!$F$18:$F$77,'㉓ Debt Schedule'!$C$18:$C$77,AD$5)+SUMIFS('㉓ Debt Schedule'!$J$18:$J$77,'㉓ Debt Schedule'!$C$18:$C$77,AD$5)</f>
        <v>0</v>
      </c>
      <c r="AE131" s="40" t="n">
        <f aca="false">SUMIFS('㉓ Debt Schedule'!$F$18:$F$77,'㉓ Debt Schedule'!$C$18:$C$77,AE$5)+SUMIFS('㉓ Debt Schedule'!$J$18:$J$77,'㉓ Debt Schedule'!$C$18:$C$77,AE$5)</f>
        <v>0</v>
      </c>
      <c r="AF131" s="40" t="n">
        <f aca="false">SUMIFS('㉓ Debt Schedule'!$F$18:$F$77,'㉓ Debt Schedule'!$C$18:$C$77,AF$5)+SUMIFS('㉓ Debt Schedule'!$J$18:$J$77,'㉓ Debt Schedule'!$C$18:$C$77,AF$5)</f>
        <v>0</v>
      </c>
      <c r="AG131" s="40" t="n">
        <f aca="false">SUMIFS('㉓ Debt Schedule'!$F$18:$F$77,'㉓ Debt Schedule'!$C$18:$C$77,AG$5)+SUMIFS('㉓ Debt Schedule'!$J$18:$J$77,'㉓ Debt Schedule'!$C$18:$C$77,AG$5)</f>
        <v>0</v>
      </c>
      <c r="AH131" s="40" t="n">
        <f aca="false">SUMIFS('㉓ Debt Schedule'!$F$18:$F$77,'㉓ Debt Schedule'!$C$18:$C$77,AH$5)+SUMIFS('㉓ Debt Schedule'!$J$18:$J$77,'㉓ Debt Schedule'!$C$18:$C$77,AH$5)</f>
        <v>0</v>
      </c>
      <c r="AI131" s="40" t="n">
        <f aca="false">SUMIFS('㉓ Debt Schedule'!$F$18:$F$77,'㉓ Debt Schedule'!$C$18:$C$77,AI$5)+SUMIFS('㉓ Debt Schedule'!$J$18:$J$77,'㉓ Debt Schedule'!$C$18:$C$77,AI$5)</f>
        <v>0</v>
      </c>
      <c r="AJ131" s="40" t="n">
        <f aca="false">SUMIFS('㉓ Debt Schedule'!$F$18:$F$77,'㉓ Debt Schedule'!$C$18:$C$77,AJ$5)+SUMIFS('㉓ Debt Schedule'!$J$18:$J$77,'㉓ Debt Schedule'!$C$18:$C$77,AJ$5)</f>
        <v>0</v>
      </c>
      <c r="AK131" s="40" t="n">
        <f aca="false">SUMIFS('㉓ Debt Schedule'!$F$18:$F$77,'㉓ Debt Schedule'!$C$18:$C$77,AK$5)+SUMIFS('㉓ Debt Schedule'!$J$18:$J$77,'㉓ Debt Schedule'!$C$18:$C$77,AK$5)</f>
        <v>0</v>
      </c>
      <c r="AL131" s="40" t="n">
        <f aca="false">SUMIFS('㉓ Debt Schedule'!$F$18:$F$77,'㉓ Debt Schedule'!$C$18:$C$77,AL$5)+SUMIFS('㉓ Debt Schedule'!$J$18:$J$77,'㉓ Debt Schedule'!$C$18:$C$77,AL$5)</f>
        <v>0</v>
      </c>
      <c r="AM131" s="40" t="n">
        <f aca="false">SUMIFS('㉓ Debt Schedule'!$F$18:$F$77,'㉓ Debt Schedule'!$C$18:$C$77,AM$5)+SUMIFS('㉓ Debt Schedule'!$J$18:$J$77,'㉓ Debt Schedule'!$C$18:$C$77,AM$5)</f>
        <v>0</v>
      </c>
      <c r="AN131" s="40" t="n">
        <f aca="false">SUMIFS('㉓ Debt Schedule'!$F$18:$F$77,'㉓ Debt Schedule'!$C$18:$C$77,AN$5)+SUMIFS('㉓ Debt Schedule'!$J$18:$J$77,'㉓ Debt Schedule'!$C$18:$C$77,AN$5)</f>
        <v>0</v>
      </c>
      <c r="AO131" s="40" t="n">
        <f aca="false">SUMIFS('㉓ Debt Schedule'!$F$18:$F$77,'㉓ Debt Schedule'!$C$18:$C$77,AO$5)+SUMIFS('㉓ Debt Schedule'!$J$18:$J$77,'㉓ Debt Schedule'!$C$18:$C$77,AO$5)</f>
        <v>0</v>
      </c>
      <c r="AP131" s="40" t="n">
        <f aca="false">SUMIFS('㉓ Debt Schedule'!$F$18:$F$77,'㉓ Debt Schedule'!$C$18:$C$77,AP$5)+SUMIFS('㉓ Debt Schedule'!$J$18:$J$77,'㉓ Debt Schedule'!$C$18:$C$77,AP$5)</f>
        <v>0</v>
      </c>
      <c r="AQ131" s="40" t="n">
        <f aca="false">SUMIFS('㉓ Debt Schedule'!$F$18:$F$77,'㉓ Debt Schedule'!$C$18:$C$77,AQ$5)+SUMIFS('㉓ Debt Schedule'!$J$18:$J$77,'㉓ Debt Schedule'!$C$18:$C$77,AQ$5)</f>
        <v>0</v>
      </c>
      <c r="AR131" s="40" t="n">
        <f aca="false">SUMIFS('㉓ Debt Schedule'!$F$18:$F$77,'㉓ Debt Schedule'!$C$18:$C$77,AR$5)+SUMIFS('㉓ Debt Schedule'!$J$18:$J$77,'㉓ Debt Schedule'!$C$18:$C$77,AR$5)</f>
        <v>0</v>
      </c>
      <c r="AS131" s="40" t="n">
        <f aca="false">SUMIFS('㉓ Debt Schedule'!$F$18:$F$77,'㉓ Debt Schedule'!$C$18:$C$77,AS$5)+SUMIFS('㉓ Debt Schedule'!$J$18:$J$77,'㉓ Debt Schedule'!$C$18:$C$77,AS$5)</f>
        <v>0</v>
      </c>
      <c r="AT131" s="40" t="n">
        <f aca="false">SUMIFS('㉓ Debt Schedule'!$F$18:$F$77,'㉓ Debt Schedule'!$C$18:$C$77,AT$5)+SUMIFS('㉓ Debt Schedule'!$J$18:$J$77,'㉓ Debt Schedule'!$C$18:$C$77,AT$5)</f>
        <v>0</v>
      </c>
      <c r="AU131" s="40" t="n">
        <f aca="false">SUMIFS('㉓ Debt Schedule'!$F$18:$F$77,'㉓ Debt Schedule'!$C$18:$C$77,AU$5)+SUMIFS('㉓ Debt Schedule'!$J$18:$J$77,'㉓ Debt Schedule'!$C$18:$C$77,AU$5)</f>
        <v>0</v>
      </c>
      <c r="AV131" s="40" t="n">
        <f aca="false">SUMIFS('㉓ Debt Schedule'!$F$18:$F$77,'㉓ Debt Schedule'!$C$18:$C$77,AV$5)+SUMIFS('㉓ Debt Schedule'!$J$18:$J$77,'㉓ Debt Schedule'!$C$18:$C$77,AV$5)</f>
        <v>0</v>
      </c>
      <c r="AW131" s="40" t="n">
        <f aca="false">SUMIFS('㉓ Debt Schedule'!$F$18:$F$77,'㉓ Debt Schedule'!$C$18:$C$77,AW$5)+SUMIFS('㉓ Debt Schedule'!$J$18:$J$77,'㉓ Debt Schedule'!$C$18:$C$77,AW$5)</f>
        <v>0</v>
      </c>
      <c r="AX131" s="40" t="n">
        <f aca="false">SUMIFS('㉓ Debt Schedule'!$F$18:$F$77,'㉓ Debt Schedule'!$C$18:$C$77,AX$5)+SUMIFS('㉓ Debt Schedule'!$J$18:$J$77,'㉓ Debt Schedule'!$C$18:$C$77,AX$5)</f>
        <v>0</v>
      </c>
      <c r="AY131" s="40" t="n">
        <f aca="false">SUMIFS('㉓ Debt Schedule'!$F$18:$F$77,'㉓ Debt Schedule'!$C$18:$C$77,"&gt;="&amp;DATE(VALUE(LEFT(AY$5,4)),1,1),'㉓ Debt Schedule'!$C$18:$C$77,"&lt;="&amp;DATE(VALUE(LEFT(AY$5,4)),12,31))+SUMIFS('㉓ Debt Schedule'!$J$18:$J$77,'㉓ Debt Schedule'!$C$18:$C$77,"&gt;="&amp;DATE(VALUE(LEFT(AY$5,4)),1,1),'㉓ Debt Schedule'!$C$18:$C$77,"&lt;="&amp;DATE(VALUE(LEFT(AY$5,4)),12,31))</f>
        <v>0</v>
      </c>
      <c r="AZ131" s="40" t="n">
        <f aca="false">SUMIFS('㉓ Debt Schedule'!$F$18:$F$77,'㉓ Debt Schedule'!$C$18:$C$77,"&gt;="&amp;DATE(VALUE(LEFT(AZ$5,4)),1,1),'㉓ Debt Schedule'!$C$18:$C$77,"&lt;="&amp;DATE(VALUE(LEFT(AZ$5,4)),12,31))+SUMIFS('㉓ Debt Schedule'!$J$18:$J$77,'㉓ Debt Schedule'!$C$18:$C$77,"&gt;="&amp;DATE(VALUE(LEFT(AZ$5,4)),1,1),'㉓ Debt Schedule'!$C$18:$C$77,"&lt;="&amp;DATE(VALUE(LEFT(AZ$5,4)),12,31))</f>
        <v>45562.4654534511</v>
      </c>
      <c r="BA131" s="40" t="n">
        <f aca="false">SUMIFS('㉓ Debt Schedule'!$F$18:$F$77,'㉓ Debt Schedule'!$C$18:$C$77,"&gt;="&amp;DATE(VALUE(LEFT(BA$5,4)),1,1),'㉓ Debt Schedule'!$C$18:$C$77,"&lt;="&amp;DATE(VALUE(LEFT(BA$5,4)),12,31))+SUMIFS('㉓ Debt Schedule'!$J$18:$J$77,'㉓ Debt Schedule'!$C$18:$C$77,"&gt;="&amp;DATE(VALUE(LEFT(BA$5,4)),1,1),'㉓ Debt Schedule'!$C$18:$C$77,"&lt;="&amp;DATE(VALUE(LEFT(BA$5,4)),12,31))</f>
        <v>153746.055607767</v>
      </c>
      <c r="BB131" s="40" t="n">
        <f aca="false">SUMIFS('㉓ Debt Schedule'!$F$18:$F$77,'㉓ Debt Schedule'!$C$18:$C$77,"&gt;="&amp;DATE(VALUE(LEFT(BB$5,4)),1,1),'㉓ Debt Schedule'!$C$18:$C$77,"&lt;="&amp;DATE(VALUE(LEFT(BB$5,4)),12,31))+SUMIFS('㉓ Debt Schedule'!$J$18:$J$77,'㉓ Debt Schedule'!$C$18:$C$77,"&gt;="&amp;DATE(VALUE(LEFT(BB$5,4)),1,1),'㉓ Debt Schedule'!$C$18:$C$77,"&lt;="&amp;DATE(VALUE(LEFT(BB$5,4)),12,31))</f>
        <v>174968.005201653</v>
      </c>
      <c r="BC131" s="40" t="n">
        <f aca="false">SUMIFS('㉓ Debt Schedule'!$F$18:$F$77,'㉓ Debt Schedule'!$C$18:$C$77,"&gt;="&amp;DATE(VALUE(LEFT(BC$5,4)),1,1),'㉓ Debt Schedule'!$C$18:$C$77,"&lt;="&amp;DATE(VALUE(LEFT(BC$5,4)),12,31))+SUMIFS('㉓ Debt Schedule'!$J$18:$J$77,'㉓ Debt Schedule'!$C$18:$C$77,"&gt;="&amp;DATE(VALUE(LEFT(BC$5,4)),1,1),'㉓ Debt Schedule'!$C$18:$C$77,"&lt;="&amp;DATE(VALUE(LEFT(BC$5,4)),12,31))</f>
        <v>199119.273162667</v>
      </c>
      <c r="BD131" s="40" t="n">
        <f aca="false">SUMIFS('㉓ Debt Schedule'!$F$18:$F$77,'㉓ Debt Schedule'!$C$18:$C$77,"&gt;="&amp;DATE(VALUE(LEFT(BD$5,4)),1,1),'㉓ Debt Schedule'!$C$18:$C$77,"&lt;="&amp;DATE(VALUE(LEFT(BD$5,4)),12,31))+SUMIFS('㉓ Debt Schedule'!$J$18:$J$77,'㉓ Debt Schedule'!$C$18:$C$77,"&gt;="&amp;DATE(VALUE(LEFT(BD$5,4)),1,1),'㉓ Debt Schedule'!$C$18:$C$77,"&lt;="&amp;DATE(VALUE(LEFT(BD$5,4)),12,31))</f>
        <v>226604.200574462</v>
      </c>
      <c r="BE131" s="40" t="n">
        <f aca="false">SUMIFS('㉓ Debt Schedule'!$F$18:$F$77,'㉓ Debt Schedule'!$C$18:$C$77,"&gt;="&amp;DATE(VALUE(LEFT(BE$5,4)),1,1),'㉓ Debt Schedule'!$C$18:$C$77,"&lt;="&amp;DATE(VALUE(LEFT(BE$5,4)),12,31))+SUMIFS('㉓ Debt Schedule'!$J$18:$J$77,'㉓ Debt Schedule'!$C$18:$C$77,"&gt;="&amp;DATE(VALUE(LEFT(BE$5,4)),1,1),'㉓ Debt Schedule'!$C$18:$C$77,"&lt;="&amp;DATE(VALUE(LEFT(BE$5,4)),12,31))</f>
        <v>0</v>
      </c>
      <c r="BF131" s="40" t="n">
        <f aca="false">SUMIFS('㉓ Debt Schedule'!$F$18:$F$77,'㉓ Debt Schedule'!$C$18:$C$77,"&gt;="&amp;DATE(VALUE(LEFT(BF$5,4)),1,1),'㉓ Debt Schedule'!$C$18:$C$77,"&lt;="&amp;DATE(VALUE(LEFT(BF$5,4)),12,31))+SUMIFS('㉓ Debt Schedule'!$J$18:$J$77,'㉓ Debt Schedule'!$C$18:$C$77,"&gt;="&amp;DATE(VALUE(LEFT(BF$5,4)),1,1),'㉓ Debt Schedule'!$C$18:$C$77,"&lt;="&amp;DATE(VALUE(LEFT(BF$5,4)),12,31))</f>
        <v>0</v>
      </c>
    </row>
    <row r="132" customFormat="false" ht="15" hidden="false" customHeight="false" outlineLevel="0" collapsed="false">
      <c r="B132" s="10" t="s">
        <v>309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46" t="n">
        <f aca="false">R130+R131</f>
        <v>925.48</v>
      </c>
      <c r="S132" s="46" t="n">
        <f aca="false">S130+S131</f>
        <v>1136.97</v>
      </c>
      <c r="T132" s="46" t="n">
        <f aca="false">T130+T131</f>
        <v>920.3</v>
      </c>
      <c r="U132" s="46" t="n">
        <f aca="false">U130+U131</f>
        <v>425.8</v>
      </c>
      <c r="V132" s="46" t="n">
        <f aca="false">V130+V131</f>
        <v>716.87</v>
      </c>
      <c r="W132" s="46" t="n">
        <f aca="false">W130+W131</f>
        <v>3961.49</v>
      </c>
      <c r="X132" s="46" t="n">
        <f aca="false">X130+X131</f>
        <v>1219.7738</v>
      </c>
      <c r="Y132" s="46" t="n">
        <f aca="false">Y130+Y131</f>
        <v>1209.16726816667</v>
      </c>
      <c r="Z132" s="46" t="n">
        <f aca="false">Z130+Z131</f>
        <v>1198.46350979153</v>
      </c>
      <c r="AA132" s="46" t="n">
        <f aca="false">AA130+AA131</f>
        <v>1187.66163363128</v>
      </c>
      <c r="AB132" s="46" t="n">
        <f aca="false">AB130+AB131</f>
        <v>1176.7607402729</v>
      </c>
      <c r="AC132" s="46" t="n">
        <f aca="false">AC130+AC131</f>
        <v>1165.75992205874</v>
      </c>
      <c r="AD132" s="46" t="n">
        <f aca="false">AD130+AD131</f>
        <v>1154.65826301094</v>
      </c>
      <c r="AE132" s="46" t="n">
        <f aca="false">AE130+AE131</f>
        <v>1143.45483875521</v>
      </c>
      <c r="AF132" s="46" t="n">
        <f aca="false">AF130+AF131</f>
        <v>1132.1487164438</v>
      </c>
      <c r="AG132" s="46" t="n">
        <f aca="false">AG130+AG131</f>
        <v>1120.73895467787</v>
      </c>
      <c r="AH132" s="46" t="n">
        <f aca="false">AH130+AH131</f>
        <v>1109.22460342908</v>
      </c>
      <c r="AI132" s="46" t="n">
        <f aca="false">AI130+AI131</f>
        <v>1097.60470396052</v>
      </c>
      <c r="AJ132" s="46" t="n">
        <f aca="false">AJ130+AJ131</f>
        <v>1085.87828874682</v>
      </c>
      <c r="AK132" s="46" t="n">
        <f aca="false">AK130+AK131</f>
        <v>1074.04438139367</v>
      </c>
      <c r="AL132" s="46" t="n">
        <f aca="false">AL130+AL131</f>
        <v>1062.10199655644</v>
      </c>
      <c r="AM132" s="46" t="n">
        <f aca="false">AM130+AM131</f>
        <v>1050.05013985821</v>
      </c>
      <c r="AN132" s="46" t="n">
        <f aca="false">AN130+AN131</f>
        <v>1037.88780780691</v>
      </c>
      <c r="AO132" s="46" t="n">
        <f aca="false">AO130+AO131</f>
        <v>1025.61398771181</v>
      </c>
      <c r="AP132" s="46" t="n">
        <f aca="false">AP130+AP131</f>
        <v>1013.22765759916</v>
      </c>
      <c r="AQ132" s="46" t="n">
        <f aca="false">AQ130+AQ131</f>
        <v>1000.72778612716</v>
      </c>
      <c r="AR132" s="46" t="n">
        <f aca="false">AR130+AR131</f>
        <v>988.113332499988</v>
      </c>
      <c r="AS132" s="46" t="n">
        <f aca="false">AS130+AS131</f>
        <v>975.383246381238</v>
      </c>
      <c r="AT132" s="46" t="n">
        <f aca="false">AT130+AT131</f>
        <v>962.536467806399</v>
      </c>
      <c r="AU132" s="46" t="n">
        <f aca="false">AU130+AU131</f>
        <v>949.571927094625</v>
      </c>
      <c r="AV132" s="46" t="n">
        <f aca="false">AV130+AV131</f>
        <v>936.488544759659</v>
      </c>
      <c r="AW132" s="46" t="n">
        <f aca="false">AW130+AW131</f>
        <v>923.285231419956</v>
      </c>
      <c r="AX132" s="46" t="n">
        <f aca="false">AX130+AX131</f>
        <v>909.960887707972</v>
      </c>
      <c r="AY132" s="46" t="n">
        <f aca="false">AY130+AY131</f>
        <v>9834.63138253123</v>
      </c>
      <c r="AZ132" s="46" t="n">
        <f aca="false">AZ130+AZ131</f>
        <v>96033.190650006</v>
      </c>
      <c r="BA132" s="46" t="n">
        <f aca="false">BA130+BA131</f>
        <v>258711.513136623</v>
      </c>
      <c r="BB132" s="46" t="n">
        <f aca="false">BB130+BB131</f>
        <v>370027.344288239</v>
      </c>
      <c r="BC132" s="46" t="n">
        <f aca="false">BC130+BC131</f>
        <v>441932.170570804</v>
      </c>
      <c r="BD132" s="46" t="n">
        <f aca="false">BD130+BD131</f>
        <v>513139.01935078</v>
      </c>
      <c r="BE132" s="46" t="n">
        <f aca="false">BE130+BE131</f>
        <v>495008.986520242</v>
      </c>
      <c r="BF132" s="46" t="n">
        <f aca="false">BF130+BF131</f>
        <v>752350.735588575</v>
      </c>
    </row>
    <row r="133" customFormat="false" ht="15" hidden="false" customHeight="false" outlineLevel="0" collapsed="false">
      <c r="B133" s="9" t="s">
        <v>136</v>
      </c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40" t="n">
        <f aca="false">R37</f>
        <v>-36767.67</v>
      </c>
      <c r="S133" s="40" t="n">
        <f aca="false">S37</f>
        <v>-38472</v>
      </c>
      <c r="T133" s="40" t="n">
        <f aca="false">T37</f>
        <v>-38086.57</v>
      </c>
      <c r="U133" s="40" t="n">
        <f aca="false">U37</f>
        <v>-16977.74</v>
      </c>
      <c r="V133" s="40" t="n">
        <f aca="false">V37</f>
        <v>-13754.87</v>
      </c>
      <c r="W133" s="40" t="n">
        <f aca="false">W37</f>
        <v>-19478.39</v>
      </c>
      <c r="X133" s="40" t="n">
        <f aca="false">X37</f>
        <v>-20164.9007754439</v>
      </c>
      <c r="Y133" s="40" t="n">
        <f aca="false">Y37</f>
        <v>-24895.9683133874</v>
      </c>
      <c r="Z133" s="40" t="n">
        <f aca="false">Z37</f>
        <v>-16489.7259128363</v>
      </c>
      <c r="AA133" s="40" t="n">
        <f aca="false">AA37</f>
        <v>-17646.8898448127</v>
      </c>
      <c r="AB133" s="40" t="n">
        <f aca="false">AB37</f>
        <v>-27209.6255710764</v>
      </c>
      <c r="AC133" s="40" t="n">
        <f aca="false">AC37</f>
        <v>-26233.2095753479</v>
      </c>
      <c r="AD133" s="40" t="n">
        <f aca="false">AD37</f>
        <v>-42501.8534521107</v>
      </c>
      <c r="AE133" s="40" t="n">
        <f aca="false">AE37</f>
        <v>-42874.9547658869</v>
      </c>
      <c r="AF133" s="40" t="n">
        <f aca="false">AF37</f>
        <v>-49929.8231863046</v>
      </c>
      <c r="AG133" s="40" t="n">
        <f aca="false">AG37</f>
        <v>-46438.6112655287</v>
      </c>
      <c r="AH133" s="40" t="n">
        <f aca="false">AH37</f>
        <v>-37287.4460880838</v>
      </c>
      <c r="AI133" s="40" t="n">
        <f aca="false">AI37</f>
        <v>-33440.1738764997</v>
      </c>
      <c r="AJ133" s="40" t="n">
        <f aca="false">AJ37</f>
        <v>-43072.9871986536</v>
      </c>
      <c r="AK133" s="40" t="n">
        <f aca="false">AK37</f>
        <v>-48646.3042563221</v>
      </c>
      <c r="AL133" s="40" t="n">
        <f aca="false">AL37</f>
        <v>-34796.1953267976</v>
      </c>
      <c r="AM133" s="40" t="n">
        <f aca="false">AM37</f>
        <v>-26709.4590090097</v>
      </c>
      <c r="AN133" s="40" t="n">
        <f aca="false">AN37</f>
        <v>-30110.7940450585</v>
      </c>
      <c r="AO133" s="40" t="n">
        <f aca="false">AO37</f>
        <v>-23140.3411772655</v>
      </c>
      <c r="AP133" s="40" t="n">
        <f aca="false">AP37</f>
        <v>-16265.767523422</v>
      </c>
      <c r="AQ133" s="40" t="n">
        <f aca="false">AQ37</f>
        <v>-21947.2846212334</v>
      </c>
      <c r="AR133" s="40" t="n">
        <f aca="false">AR37</f>
        <v>-21990.6590915695</v>
      </c>
      <c r="AS133" s="40" t="n">
        <f aca="false">AS37</f>
        <v>-22293.5509711911</v>
      </c>
      <c r="AT133" s="40" t="n">
        <f aca="false">AT37</f>
        <v>2192.95546959649</v>
      </c>
      <c r="AU133" s="40" t="n">
        <f aca="false">AU37</f>
        <v>-1143.84918042447</v>
      </c>
      <c r="AV133" s="40" t="n">
        <f aca="false">AV37</f>
        <v>-4909.1666181667</v>
      </c>
      <c r="AW133" s="40" t="n">
        <f aca="false">AW37</f>
        <v>-22921.2498618413</v>
      </c>
      <c r="AX133" s="40" t="n">
        <f aca="false">AX37</f>
        <v>-6248.21943332156</v>
      </c>
      <c r="AY133" s="40" t="n">
        <f aca="false">AY37</f>
        <v>403820.917759329</v>
      </c>
      <c r="AZ133" s="40" t="n">
        <f aca="false">AZ37</f>
        <v>774130.594584581</v>
      </c>
      <c r="BA133" s="40" t="n">
        <f aca="false">BA37</f>
        <v>830111.045090691</v>
      </c>
      <c r="BB133" s="40" t="n">
        <f aca="false">BB37</f>
        <v>1152672.8377276</v>
      </c>
      <c r="BC133" s="40" t="n">
        <f aca="false">BC37</f>
        <v>1562047.39550157</v>
      </c>
      <c r="BD133" s="40" t="n">
        <f aca="false">BD37</f>
        <v>1950236.44892455</v>
      </c>
      <c r="BE133" s="40" t="n">
        <f aca="false">BE37</f>
        <v>3593913.61014104</v>
      </c>
      <c r="BF133" s="40" t="n">
        <f aca="false">BF37</f>
        <v>5475979.34317396</v>
      </c>
    </row>
    <row r="134" customFormat="false" ht="15" hidden="false" customHeight="false" outlineLevel="0" collapsed="false">
      <c r="B134" s="30" t="s">
        <v>310</v>
      </c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113" t="n">
        <f aca="false">IFERROR(R133/R132,"-")</f>
        <v>-39.7282167091672</v>
      </c>
      <c r="S134" s="113" t="n">
        <f aca="false">IFERROR(S133/S132,"-")</f>
        <v>-33.8373044143645</v>
      </c>
      <c r="T134" s="113" t="n">
        <f aca="false">IFERROR(T133/T132,"-")</f>
        <v>-41.3849505596001</v>
      </c>
      <c r="U134" s="113" t="n">
        <f aca="false">IFERROR(U133/U132,"-")</f>
        <v>-39.8725692813527</v>
      </c>
      <c r="V134" s="113" t="n">
        <f aca="false">IFERROR(V133/V132,"-")</f>
        <v>-19.1873979940575</v>
      </c>
      <c r="W134" s="113" t="n">
        <f aca="false">IFERROR(W133/W132,"-")</f>
        <v>-4.91693529454826</v>
      </c>
      <c r="X134" s="113" t="n">
        <f aca="false">IFERROR(X133/X132,"-")</f>
        <v>-16.531672327643</v>
      </c>
      <c r="Y134" s="113" t="n">
        <f aca="false">IFERROR(Y133/Y132,"-")</f>
        <v>-20.5893501824066</v>
      </c>
      <c r="Z134" s="113" t="n">
        <f aca="false">IFERROR(Z133/Z132,"-")</f>
        <v>-13.7590554723728</v>
      </c>
      <c r="AA134" s="113" t="n">
        <f aca="false">IFERROR(AA133/AA132,"-")</f>
        <v>-14.8585163864031</v>
      </c>
      <c r="AB134" s="113" t="n">
        <f aca="false">IFERROR(AB133/AB132,"-")</f>
        <v>-23.1224790561641</v>
      </c>
      <c r="AC134" s="113" t="n">
        <f aca="false">IFERROR(AC133/AC132,"-")</f>
        <v>-22.5030978325451</v>
      </c>
      <c r="AD134" s="113" t="n">
        <f aca="false">IFERROR(AD133/AD132,"-")</f>
        <v>-36.8090324329216</v>
      </c>
      <c r="AE134" s="113" t="n">
        <f aca="false">IFERROR(AE133/AE132,"-")</f>
        <v>-37.4959756281775</v>
      </c>
      <c r="AF134" s="113" t="n">
        <f aca="false">IFERROR(AF133/AF132,"-")</f>
        <v>-44.1018237808364</v>
      </c>
      <c r="AG134" s="113" t="n">
        <f aca="false">IFERROR(AG133/AG132,"-")</f>
        <v>-41.435707281966</v>
      </c>
      <c r="AH134" s="113" t="n">
        <f aca="false">IFERROR(AH133/AH132,"-")</f>
        <v>-33.6157762574077</v>
      </c>
      <c r="AI134" s="113" t="n">
        <f aca="false">IFERROR(AI133/AI132,"-")</f>
        <v>-30.4665001487663</v>
      </c>
      <c r="AJ134" s="113" t="n">
        <f aca="false">IFERROR(AJ133/AJ132,"-")</f>
        <v>-39.6664963698306</v>
      </c>
      <c r="AK134" s="113" t="n">
        <f aca="false">IFERROR(AK133/AK132,"-")</f>
        <v>-45.2926388322979</v>
      </c>
      <c r="AL134" s="113" t="n">
        <f aca="false">IFERROR(AL133/AL132,"-")</f>
        <v>-32.7616325358715</v>
      </c>
      <c r="AM134" s="113" t="n">
        <f aca="false">IFERROR(AM133/AM132,"-")</f>
        <v>-25.4363653650066</v>
      </c>
      <c r="AN134" s="113" t="n">
        <f aca="false">IFERROR(AN133/AN132,"-")</f>
        <v>-29.011607823666</v>
      </c>
      <c r="AO134" s="113" t="n">
        <f aca="false">IFERROR(AO133/AO132,"-")</f>
        <v>-22.5624274381171</v>
      </c>
      <c r="AP134" s="113" t="n">
        <f aca="false">IFERROR(AP133/AP132,"-")</f>
        <v>-16.0534184015107</v>
      </c>
      <c r="AQ134" s="113" t="n">
        <f aca="false">IFERROR(AQ133/AQ132,"-")</f>
        <v>-21.9313233083794</v>
      </c>
      <c r="AR134" s="113" t="n">
        <f aca="false">IFERROR(AR133/AR132,"-")</f>
        <v>-22.2551992451431</v>
      </c>
      <c r="AS134" s="113" t="n">
        <f aca="false">IFERROR(AS133/AS132,"-")</f>
        <v>-22.8561963247803</v>
      </c>
      <c r="AT134" s="113" t="n">
        <f aca="false">IFERROR(AT133/AT132,"-")</f>
        <v>2.27830897108157</v>
      </c>
      <c r="AU134" s="113" t="n">
        <f aca="false">IFERROR(AU133/AU132,"-")</f>
        <v>-1.20459456286189</v>
      </c>
      <c r="AV134" s="113" t="n">
        <f aca="false">IFERROR(AV133/AV132,"-")</f>
        <v>-5.24210001888127</v>
      </c>
      <c r="AW134" s="113" t="n">
        <f aca="false">IFERROR(AW133/AW132,"-")</f>
        <v>-24.8257516548703</v>
      </c>
      <c r="AX134" s="113" t="n">
        <f aca="false">IFERROR(AX133/AX132,"-")</f>
        <v>-6.86647032605951</v>
      </c>
      <c r="AY134" s="113" t="n">
        <f aca="false">IFERROR(AY133/AY132,"-")</f>
        <v>41.061113736974</v>
      </c>
      <c r="AZ134" s="113" t="n">
        <f aca="false">IFERROR(AZ133/AZ132,"-")</f>
        <v>8.06107335750103</v>
      </c>
      <c r="BA134" s="113" t="n">
        <f aca="false">IFERROR(BA133/BA132,"-")</f>
        <v>3.20863588568754</v>
      </c>
      <c r="BB134" s="113" t="n">
        <f aca="false">IFERROR(BB133/BB132,"-")</f>
        <v>3.11510177699112</v>
      </c>
      <c r="BC134" s="113" t="n">
        <f aca="false">IFERROR(BC133/BC132,"-")</f>
        <v>3.53458629971205</v>
      </c>
      <c r="BD134" s="113" t="n">
        <f aca="false">IFERROR(BD133/BD132,"-")</f>
        <v>3.80060056900754</v>
      </c>
      <c r="BE134" s="113" t="n">
        <f aca="false">IFERROR(BE133/BE132,"-")</f>
        <v>7.26029972790014</v>
      </c>
      <c r="BF134" s="113" t="n">
        <f aca="false">IFERROR(BF133/BF132,"-")</f>
        <v>7.27849270844404</v>
      </c>
    </row>
    <row r="135" customFormat="false" ht="15" hidden="false" customHeight="false" outlineLevel="0" collapsed="false">
      <c r="B135" s="9" t="s">
        <v>311</v>
      </c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67" t="n">
        <f aca="false">IFERROR(R133/R130,"-")</f>
        <v>-39.7282167091672</v>
      </c>
      <c r="S135" s="67" t="n">
        <f aca="false">IFERROR(S133/S130,"-")</f>
        <v>-33.8373044143645</v>
      </c>
      <c r="T135" s="67" t="n">
        <f aca="false">IFERROR(T133/T130,"-")</f>
        <v>-41.3849505596001</v>
      </c>
      <c r="U135" s="67" t="n">
        <f aca="false">IFERROR(U133/U130,"-")</f>
        <v>-39.8725692813527</v>
      </c>
      <c r="V135" s="67" t="n">
        <f aca="false">IFERROR(V133/V130,"-")</f>
        <v>-19.1873979940575</v>
      </c>
      <c r="W135" s="67" t="n">
        <f aca="false">IFERROR(W133/W130,"-")</f>
        <v>-4.91693529454826</v>
      </c>
      <c r="X135" s="67" t="n">
        <f aca="false">IFERROR(X133/X130,"-")</f>
        <v>-16.531672327643</v>
      </c>
      <c r="Y135" s="67" t="n">
        <f aca="false">IFERROR(Y133/Y130,"-")</f>
        <v>-20.5893501824066</v>
      </c>
      <c r="Z135" s="67" t="n">
        <f aca="false">IFERROR(Z133/Z130,"-")</f>
        <v>-13.7590554723728</v>
      </c>
      <c r="AA135" s="67" t="n">
        <f aca="false">IFERROR(AA133/AA130,"-")</f>
        <v>-14.8585163864031</v>
      </c>
      <c r="AB135" s="67" t="n">
        <f aca="false">IFERROR(AB133/AB130,"-")</f>
        <v>-23.1224790561641</v>
      </c>
      <c r="AC135" s="67" t="n">
        <f aca="false">IFERROR(AC133/AC130,"-")</f>
        <v>-22.5030978325451</v>
      </c>
      <c r="AD135" s="67" t="n">
        <f aca="false">IFERROR(AD133/AD130,"-")</f>
        <v>-36.8090324329216</v>
      </c>
      <c r="AE135" s="67" t="n">
        <f aca="false">IFERROR(AE133/AE130,"-")</f>
        <v>-37.4959756281775</v>
      </c>
      <c r="AF135" s="67" t="n">
        <f aca="false">IFERROR(AF133/AF130,"-")</f>
        <v>-44.1018237808364</v>
      </c>
      <c r="AG135" s="67" t="n">
        <f aca="false">IFERROR(AG133/AG130,"-")</f>
        <v>-41.435707281966</v>
      </c>
      <c r="AH135" s="67" t="n">
        <f aca="false">IFERROR(AH133/AH130,"-")</f>
        <v>-33.6157762574077</v>
      </c>
      <c r="AI135" s="67" t="n">
        <f aca="false">IFERROR(AI133/AI130,"-")</f>
        <v>-30.4665001487663</v>
      </c>
      <c r="AJ135" s="67" t="n">
        <f aca="false">IFERROR(AJ133/AJ130,"-")</f>
        <v>-39.6664963698306</v>
      </c>
      <c r="AK135" s="67" t="n">
        <f aca="false">IFERROR(AK133/AK130,"-")</f>
        <v>-45.2926388322979</v>
      </c>
      <c r="AL135" s="67" t="n">
        <f aca="false">IFERROR(AL133/AL130,"-")</f>
        <v>-32.7616325358715</v>
      </c>
      <c r="AM135" s="67" t="n">
        <f aca="false">IFERROR(AM133/AM130,"-")</f>
        <v>-25.4363653650066</v>
      </c>
      <c r="AN135" s="67" t="n">
        <f aca="false">IFERROR(AN133/AN130,"-")</f>
        <v>-29.011607823666</v>
      </c>
      <c r="AO135" s="67" t="n">
        <f aca="false">IFERROR(AO133/AO130,"-")</f>
        <v>-22.5624274381171</v>
      </c>
      <c r="AP135" s="67" t="n">
        <f aca="false">IFERROR(AP133/AP130,"-")</f>
        <v>-16.0534184015107</v>
      </c>
      <c r="AQ135" s="67" t="n">
        <f aca="false">IFERROR(AQ133/AQ130,"-")</f>
        <v>-21.9313233083794</v>
      </c>
      <c r="AR135" s="67" t="n">
        <f aca="false">IFERROR(AR133/AR130,"-")</f>
        <v>-22.2551992451431</v>
      </c>
      <c r="AS135" s="67" t="n">
        <f aca="false">IFERROR(AS133/AS130,"-")</f>
        <v>-22.8561963247803</v>
      </c>
      <c r="AT135" s="67" t="n">
        <f aca="false">IFERROR(AT133/AT130,"-")</f>
        <v>2.27830897108157</v>
      </c>
      <c r="AU135" s="67" t="n">
        <f aca="false">IFERROR(AU133/AU130,"-")</f>
        <v>-1.20459456286189</v>
      </c>
      <c r="AV135" s="67" t="n">
        <f aca="false">IFERROR(AV133/AV130,"-")</f>
        <v>-5.24210001888127</v>
      </c>
      <c r="AW135" s="67" t="n">
        <f aca="false">IFERROR(AW133/AW130,"-")</f>
        <v>-24.8257516548703</v>
      </c>
      <c r="AX135" s="67" t="n">
        <f aca="false">IFERROR(AX133/AX130,"-")</f>
        <v>-6.86647032605951</v>
      </c>
      <c r="AY135" s="67" t="n">
        <f aca="false">IFERROR(AY133/AY130,"-")</f>
        <v>41.061113736974</v>
      </c>
      <c r="AZ135" s="67" t="n">
        <f aca="false">IFERROR(AZ133/AZ130,"-")</f>
        <v>15.3382102509877</v>
      </c>
      <c r="BA135" s="67" t="n">
        <f aca="false">IFERROR(BA133/BA130,"-")</f>
        <v>7.90842115714584</v>
      </c>
      <c r="BB135" s="67" t="n">
        <f aca="false">IFERROR(BB133/BB130,"-")</f>
        <v>5.90934452626198</v>
      </c>
      <c r="BC135" s="67" t="n">
        <f aca="false">IFERROR(BC133/BC130,"-")</f>
        <v>6.43313189775078</v>
      </c>
      <c r="BD135" s="67" t="n">
        <f aca="false">IFERROR(BD133/BD130,"-")</f>
        <v>6.80628084661148</v>
      </c>
      <c r="BE135" s="67" t="n">
        <f aca="false">IFERROR(BE133/BE130,"-")</f>
        <v>7.26029972790014</v>
      </c>
      <c r="BF135" s="67" t="n">
        <f aca="false">IFERROR(BF133/BF130,"-")</f>
        <v>7.27849270844404</v>
      </c>
    </row>
    <row r="136" customFormat="false" ht="15" hidden="false" customHeight="false" outlineLevel="0" collapsed="false">
      <c r="B136" s="9" t="s">
        <v>312</v>
      </c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67" t="n">
        <f aca="false">IFERROR(R92/(R133*12),"-")</f>
        <v>-0.0451803853766094</v>
      </c>
      <c r="S136" s="67" t="n">
        <f aca="false">IFERROR(S92/(S133*12),"-")</f>
        <v>-0.0503761610175366</v>
      </c>
      <c r="T136" s="67" t="n">
        <f aca="false">IFERROR(T92/(T133*12),"-")</f>
        <v>-0.05045361133859</v>
      </c>
      <c r="U136" s="67" t="n">
        <f aca="false">IFERROR(U92/(U133*12),"-")</f>
        <v>-0.109405217262918</v>
      </c>
      <c r="V136" s="67" t="n">
        <f aca="false">IFERROR(V92/(V133*12),"-")</f>
        <v>-0.154043077106509</v>
      </c>
      <c r="W136" s="67" t="n">
        <f aca="false">IFERROR(W92/(W133*12),"-")</f>
        <v>-0.429274698781573</v>
      </c>
      <c r="X136" s="67" t="n">
        <f aca="false">IFERROR(X92/(X133*12),"-")</f>
        <v>-0.409878385982357</v>
      </c>
      <c r="Y136" s="67" t="n">
        <f aca="false">IFERROR(Y92/(Y133*12),"-")</f>
        <v>-0.328079228981897</v>
      </c>
      <c r="Z136" s="67" t="n">
        <f aca="false">IFERROR(Z92/(Z133*12),"-")</f>
        <v>-0.489374490363609</v>
      </c>
      <c r="AA136" s="67" t="n">
        <f aca="false">IFERROR(AA92/(AA133*12),"-")</f>
        <v>-0.451668948715178</v>
      </c>
      <c r="AB136" s="67" t="n">
        <f aca="false">IFERROR(AB92/(AB133*12),"-")</f>
        <v>-0.289255900469092</v>
      </c>
      <c r="AC136" s="67" t="n">
        <f aca="false">IFERROR(AC92/(AC133*12),"-")</f>
        <v>-0.296174989587553</v>
      </c>
      <c r="AD136" s="67" t="n">
        <f aca="false">IFERROR(AD92/(AD133*12),"-")</f>
        <v>-0.180410279519944</v>
      </c>
      <c r="AE136" s="67" t="n">
        <f aca="false">IFERROR(AE92/(AE133*12),"-")</f>
        <v>-0.176443062683445</v>
      </c>
      <c r="AF136" s="67" t="n">
        <f aca="false">IFERROR(AF92/(AF133*12),"-")</f>
        <v>-0.149435001932689</v>
      </c>
      <c r="AG136" s="67" t="n">
        <f aca="false">IFERROR(AG92/(AG133*12),"-")</f>
        <v>-0.158415316552791</v>
      </c>
      <c r="AH136" s="67" t="n">
        <f aca="false">IFERROR(AH92/(AH133*12),"-")</f>
        <v>-0.194460941011021</v>
      </c>
      <c r="AI136" s="67" t="n">
        <f aca="false">IFERROR(AI92/(AI133*12),"-")</f>
        <v>-0.213645661828849</v>
      </c>
      <c r="AJ136" s="67" t="n">
        <f aca="false">IFERROR(AJ92/(AJ133*12),"-")</f>
        <v>-0.163368448794253</v>
      </c>
      <c r="AK136" s="67" t="n">
        <f aca="false">IFERROR(AK92/(AK133*12),"-")</f>
        <v>-0.142419862610519</v>
      </c>
      <c r="AL136" s="67" t="n">
        <f aca="false">IFERROR(AL92/(AL133*12),"-")</f>
        <v>-0.19595928724493</v>
      </c>
      <c r="AM136" s="67" t="n">
        <f aca="false">IFERROR(AM92/(AM133*12),"-")</f>
        <v>-0.251149638702904</v>
      </c>
      <c r="AN136" s="67" t="n">
        <f aca="false">IFERROR(AN92/(AN133*12),"-")</f>
        <v>-0.21907395691754</v>
      </c>
      <c r="AO136" s="67" t="n">
        <f aca="false">IFERROR(AO92/(AO133*12),"-")</f>
        <v>-0.280198452852812</v>
      </c>
      <c r="AP136" s="67" t="n">
        <f aca="false">IFERROR(AP92/(AP133*12),"-")</f>
        <v>-0.391635537147759</v>
      </c>
      <c r="AQ136" s="67" t="n">
        <f aca="false">IFERROR(AQ92/(AQ133*12),"-")</f>
        <v>-0.28502732150964</v>
      </c>
      <c r="AR136" s="67" t="n">
        <f aca="false">IFERROR(AR92/(AR133*12),"-")</f>
        <v>-0.279202531802637</v>
      </c>
      <c r="AS136" s="67" t="n">
        <f aca="false">IFERROR(AS92/(AS133*12),"-")</f>
        <v>-0.270170454497056</v>
      </c>
      <c r="AT136" s="67" t="n">
        <f aca="false">IFERROR(AT92/(AT133*12),"-")</f>
        <v>2.69280403505431</v>
      </c>
      <c r="AU136" s="67" t="n">
        <f aca="false">IFERROR(AU92/(AU133*12),"-")</f>
        <v>-5.05858604162121</v>
      </c>
      <c r="AV136" s="67" t="n">
        <f aca="false">IFERROR(AV92/(AV133*12),"-")</f>
        <v>-1.15421410949402</v>
      </c>
      <c r="AW136" s="67" t="n">
        <f aca="false">IFERROR(AW92/(AW133*12),"-")</f>
        <v>-0.241919572998273</v>
      </c>
      <c r="AX136" s="67" t="n">
        <f aca="false">IFERROR(AX92/(AX133*12),"-")</f>
        <v>-0.867904573082977</v>
      </c>
      <c r="AY136" s="67" t="n">
        <f aca="false">IFERROR(AY92/AY133,"-")</f>
        <v>0.114869557222505</v>
      </c>
      <c r="AZ136" s="67" t="n">
        <f aca="false">IFERROR(AZ92/AZ133,"-")</f>
        <v>0.361662740390451</v>
      </c>
      <c r="BA136" s="67" t="n">
        <f aca="false">IFERROR(BA92/BA133,"-")</f>
        <v>0.733663243088244</v>
      </c>
      <c r="BB136" s="67" t="n">
        <f aca="false">IFERROR(BB92/BB133,"-")</f>
        <v>1.71639793711444</v>
      </c>
      <c r="BC136" s="67" t="n">
        <f aca="false">IFERROR(BC92/BC133,"-")</f>
        <v>1.71450389016714</v>
      </c>
      <c r="BD136" s="67" t="n">
        <f aca="false">IFERROR(BD92/BD133,"-")</f>
        <v>1.71344236091519</v>
      </c>
      <c r="BE136" s="67" t="n">
        <f aca="false">IFERROR(BE92/BE133,"-")</f>
        <v>1.71148877832583</v>
      </c>
      <c r="BF136" s="67" t="n">
        <f aca="false">IFERROR(BF92/BF133,"-")</f>
        <v>1.71069211374223</v>
      </c>
    </row>
    <row r="137" customFormat="false" ht="15" hidden="false" customHeight="false" outlineLevel="0" collapsed="false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</row>
    <row r="138" customFormat="false" ht="15" hidden="false" customHeight="false" outlineLevel="0" collapsed="false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</row>
    <row r="139" customFormat="false" ht="15" hidden="false" customHeight="false" outlineLevel="0" collapsed="false">
      <c r="B139" s="36" t="s">
        <v>313</v>
      </c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</row>
    <row r="140" customFormat="false" ht="15" hidden="false" customHeight="false" outlineLevel="0" collapsed="false">
      <c r="B140" s="9" t="s">
        <v>314</v>
      </c>
      <c r="C140" s="114" t="n">
        <f aca="false">'EEFF a septiemrbe'!J16/'⑯ Store P&amp;L'!AW98</f>
        <v>0.710377395209662</v>
      </c>
      <c r="D140" s="18" t="s">
        <v>315</v>
      </c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</row>
    <row r="141" customFormat="false" ht="15" hidden="false" customHeight="false" outlineLevel="0" collapsed="false">
      <c r="B141" s="9" t="s">
        <v>316</v>
      </c>
      <c r="C141" s="114" t="n">
        <f aca="false">'EEFF a septiemrbe'!J17/'⑯ Store P&amp;L'!AW100</f>
        <v>0.89909052631579</v>
      </c>
      <c r="D141" s="18" t="s">
        <v>317</v>
      </c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</row>
    <row r="142" customFormat="false" ht="15" hidden="false" customHeight="false" outlineLevel="0" collapsed="false">
      <c r="B142" s="9" t="s">
        <v>318</v>
      </c>
      <c r="C142" s="28" t="n">
        <f aca="false">-AVERAGE(U23:W23)/AVERAGE('⑯ Store P&amp;L'!AU85:AW85)</f>
        <v>952.493333333333</v>
      </c>
      <c r="D142" s="18" t="s">
        <v>319</v>
      </c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</row>
    <row r="143" customFormat="false" ht="15" hidden="false" customHeight="false" outlineLevel="0" collapsed="false">
      <c r="B143" s="9" t="s">
        <v>320</v>
      </c>
      <c r="C143" s="114" t="n">
        <v>1</v>
      </c>
      <c r="D143" s="18" t="s">
        <v>321</v>
      </c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</row>
    <row r="144" customFormat="false" ht="15" hidden="false" customHeight="false" outlineLevel="0" collapsed="false">
      <c r="B144" s="9" t="s">
        <v>322</v>
      </c>
      <c r="C144" s="40" t="n">
        <v>0</v>
      </c>
      <c r="D144" s="18" t="s">
        <v>323</v>
      </c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</row>
    <row r="145" customFormat="false" ht="15" hidden="false" customHeight="false" outlineLevel="0" collapsed="false">
      <c r="B145" s="9" t="s">
        <v>324</v>
      </c>
      <c r="C145" s="40" t="n">
        <f aca="false">AVERAGE('EEFF a septiemrbe'!H25:J25)-AVERAGE('⑲ Corporate P&amp;L'!AH75:AJ75)</f>
        <v>0</v>
      </c>
      <c r="D145" s="18" t="s">
        <v>325</v>
      </c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</row>
    <row r="146" customFormat="false" ht="15" hidden="false" customHeight="false" outlineLevel="0" collapsed="false">
      <c r="B146" s="9" t="s">
        <v>326</v>
      </c>
      <c r="C146" s="40" t="n">
        <f aca="false">AVERAGE('EEFF a septiemrbe'!H24:J24)-AVERAGE('⑲ Corporate P&amp;L'!AH72:AJ72)</f>
        <v>0</v>
      </c>
      <c r="D146" s="18" t="s">
        <v>325</v>
      </c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</row>
    <row r="147" customFormat="false" ht="15" hidden="false" customHeight="false" outlineLevel="0" collapsed="false">
      <c r="B147" s="9" t="s">
        <v>327</v>
      </c>
      <c r="C147" s="40" t="n">
        <f aca="false">AVERAGE('EEFF a septiemrbe'!H26:J26)-AVERAGE('⑲ Corporate P&amp;L'!AH73:AJ73)</f>
        <v>0</v>
      </c>
      <c r="D147" s="18" t="s">
        <v>325</v>
      </c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</row>
    <row r="148" customFormat="false" ht="15" hidden="false" customHeight="false" outlineLevel="0" collapsed="false">
      <c r="B148" s="9" t="s">
        <v>328</v>
      </c>
      <c r="C148" s="40" t="n">
        <v>0</v>
      </c>
      <c r="D148" s="18" t="s">
        <v>329</v>
      </c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</row>
    <row r="149" customFormat="false" ht="15" hidden="false" customHeight="false" outlineLevel="0" collapsed="false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</row>
    <row r="150" customFormat="false" ht="15" hidden="false" customHeight="false" outlineLevel="0" collapsed="false">
      <c r="B150" s="36" t="s">
        <v>330</v>
      </c>
      <c r="C150" s="112" t="s">
        <v>331</v>
      </c>
      <c r="D150" s="112" t="s">
        <v>332</v>
      </c>
      <c r="E150" s="112" t="s">
        <v>333</v>
      </c>
      <c r="F150" s="112" t="s">
        <v>334</v>
      </c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</row>
    <row r="151" customFormat="false" ht="15" hidden="false" customHeight="false" outlineLevel="0" collapsed="false">
      <c r="B151" s="9" t="s">
        <v>335</v>
      </c>
      <c r="C151" s="114" t="n">
        <f aca="false">SUM('Pnl por tienda'!AB22:AD22)/SUM('⑮ Cohort Engine'!AU950:AW950)</f>
        <v>0.745859713787937</v>
      </c>
      <c r="D151" s="63" t="n">
        <f aca="false">'⑮ Cohort Engine'!AW46</f>
        <v>21</v>
      </c>
      <c r="E151" s="63" t="n">
        <f aca="false">36*'🎚️ Escenario'!$C$11</f>
        <v>45</v>
      </c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114" t="n">
        <f aca="false">IF($E151&lt;=$D151,1,$C151+(1-$C151)*MIN(1,MAX(0,('⑮ Cohort Engine'!AX46-$D151)/($E151-$D151))))</f>
        <v>0.756448892380106</v>
      </c>
      <c r="Y151" s="114" t="n">
        <f aca="false">IF($E151&lt;=$D151,1,$C151+(1-$C151)*MIN(1,MAX(0,('⑮ Cohort Engine'!AY46-$D151)/($E151-$D151))))</f>
        <v>0.767038070972275</v>
      </c>
      <c r="Z151" s="114" t="n">
        <f aca="false">IF($E151&lt;=$D151,1,$C151+(1-$C151)*MIN(1,MAX(0,('⑮ Cohort Engine'!AZ46-$D151)/($E151-$D151))))</f>
        <v>0.777627249564445</v>
      </c>
      <c r="AA151" s="114" t="n">
        <f aca="false">IF($E151&lt;=$D151,1,$C151+(1-$C151)*MIN(1,MAX(0,('⑮ Cohort Engine'!BA46-$D151)/($E151-$D151))))</f>
        <v>0.788216428156614</v>
      </c>
      <c r="AB151" s="114" t="n">
        <f aca="false">IF($E151&lt;=$D151,1,$C151+(1-$C151)*MIN(1,MAX(0,('⑮ Cohort Engine'!BB46-$D151)/($E151-$D151))))</f>
        <v>0.798805606748783</v>
      </c>
      <c r="AC151" s="114" t="n">
        <f aca="false">IF($E151&lt;=$D151,1,$C151+(1-$C151)*MIN(1,MAX(0,('⑮ Cohort Engine'!BC46-$D151)/($E151-$D151))))</f>
        <v>0.809394785340953</v>
      </c>
      <c r="AD151" s="114" t="n">
        <f aca="false">IF($E151&lt;=$D151,1,$C151+(1-$C151)*MIN(1,MAX(0,('⑮ Cohort Engine'!BD46-$D151)/($E151-$D151))))</f>
        <v>0.819983963933122</v>
      </c>
      <c r="AE151" s="114" t="n">
        <f aca="false">IF($E151&lt;=$D151,1,$C151+(1-$C151)*MIN(1,MAX(0,('⑮ Cohort Engine'!BE46-$D151)/($E151-$D151))))</f>
        <v>0.830573142525291</v>
      </c>
      <c r="AF151" s="114" t="n">
        <f aca="false">IF($E151&lt;=$D151,1,$C151+(1-$C151)*MIN(1,MAX(0,('⑮ Cohort Engine'!BF46-$D151)/($E151-$D151))))</f>
        <v>0.841162321117461</v>
      </c>
      <c r="AG151" s="114" t="n">
        <f aca="false">IF($E151&lt;=$D151,1,$C151+(1-$C151)*MIN(1,MAX(0,('⑮ Cohort Engine'!BG46-$D151)/($E151-$D151))))</f>
        <v>0.85175149970963</v>
      </c>
      <c r="AH151" s="114" t="n">
        <f aca="false">IF($E151&lt;=$D151,1,$C151+(1-$C151)*MIN(1,MAX(0,('⑮ Cohort Engine'!BH46-$D151)/($E151-$D151))))</f>
        <v>0.862340678301799</v>
      </c>
      <c r="AI151" s="114" t="n">
        <f aca="false">IF($E151&lt;=$D151,1,$C151+(1-$C151)*MIN(1,MAX(0,('⑮ Cohort Engine'!BI46-$D151)/($E151-$D151))))</f>
        <v>0.872929856893968</v>
      </c>
      <c r="AJ151" s="114" t="n">
        <f aca="false">IF($E151&lt;=$D151,1,$C151+(1-$C151)*MIN(1,MAX(0,('⑮ Cohort Engine'!BJ46-$D151)/($E151-$D151))))</f>
        <v>0.883519035486138</v>
      </c>
      <c r="AK151" s="114" t="n">
        <f aca="false">IF($E151&lt;=$D151,1,$C151+(1-$C151)*MIN(1,MAX(0,('⑮ Cohort Engine'!BK46-$D151)/($E151-$D151))))</f>
        <v>0.894108214078307</v>
      </c>
      <c r="AL151" s="114" t="n">
        <f aca="false">IF($E151&lt;=$D151,1,$C151+(1-$C151)*MIN(1,MAX(0,('⑮ Cohort Engine'!BL46-$D151)/($E151-$D151))))</f>
        <v>0.904697392670476</v>
      </c>
      <c r="AM151" s="114" t="n">
        <f aca="false">IF($E151&lt;=$D151,1,$C151+(1-$C151)*MIN(1,MAX(0,('⑮ Cohort Engine'!BM46-$D151)/($E151-$D151))))</f>
        <v>0.915286571262646</v>
      </c>
      <c r="AN151" s="114" t="n">
        <f aca="false">IF($E151&lt;=$D151,1,$C151+(1-$C151)*MIN(1,MAX(0,('⑮ Cohort Engine'!BN46-$D151)/($E151-$D151))))</f>
        <v>0.925875749854815</v>
      </c>
      <c r="AO151" s="114" t="n">
        <f aca="false">IF($E151&lt;=$D151,1,$C151+(1-$C151)*MIN(1,MAX(0,('⑮ Cohort Engine'!BO46-$D151)/($E151-$D151))))</f>
        <v>0.936464928446984</v>
      </c>
      <c r="AP151" s="114" t="n">
        <f aca="false">IF($E151&lt;=$D151,1,$C151+(1-$C151)*MIN(1,MAX(0,('⑮ Cohort Engine'!BP46-$D151)/($E151-$D151))))</f>
        <v>0.947054107039154</v>
      </c>
      <c r="AQ151" s="114" t="n">
        <f aca="false">IF($E151&lt;=$D151,1,$C151+(1-$C151)*MIN(1,MAX(0,('⑮ Cohort Engine'!BQ46-$D151)/($E151-$D151))))</f>
        <v>0.957643285631323</v>
      </c>
      <c r="AR151" s="114" t="n">
        <f aca="false">IF($E151&lt;=$D151,1,$C151+(1-$C151)*MIN(1,MAX(0,('⑮ Cohort Engine'!BR46-$D151)/($E151-$D151))))</f>
        <v>0.968232464223492</v>
      </c>
      <c r="AS151" s="114" t="n">
        <f aca="false">IF($E151&lt;=$D151,1,$C151+(1-$C151)*MIN(1,MAX(0,('⑮ Cohort Engine'!BS46-$D151)/($E151-$D151))))</f>
        <v>0.978821642815661</v>
      </c>
      <c r="AT151" s="114" t="n">
        <f aca="false">IF($E151&lt;=$D151,1,$C151+(1-$C151)*MIN(1,MAX(0,('⑮ Cohort Engine'!BT46-$D151)/($E151-$D151))))</f>
        <v>0.989410821407831</v>
      </c>
      <c r="AU151" s="114" t="n">
        <f aca="false">IF($E151&lt;=$D151,1,$C151+(1-$C151)*MIN(1,MAX(0,('⑮ Cohort Engine'!BU46-$D151)/($E151-$D151))))</f>
        <v>1</v>
      </c>
      <c r="AV151" s="114" t="n">
        <f aca="false">IF($E151&lt;=$D151,1,$C151+(1-$C151)*MIN(1,MAX(0,('⑮ Cohort Engine'!BV46-$D151)/($E151-$D151))))</f>
        <v>1</v>
      </c>
      <c r="AW151" s="114" t="n">
        <f aca="false">IF($E151&lt;=$D151,1,$C151+(1-$C151)*MIN(1,MAX(0,('⑮ Cohort Engine'!BW46-$D151)/($E151-$D151))))</f>
        <v>1</v>
      </c>
      <c r="AX151" s="114" t="n">
        <f aca="false">IF($E151&lt;=$D151,1,$C151+(1-$C151)*MIN(1,MAX(0,('⑮ Cohort Engine'!BX46-$D151)/($E151-$D151))))</f>
        <v>1</v>
      </c>
      <c r="AY151" s="114" t="n">
        <f aca="false">IF($E151&lt;=$D151,1,$C151+(1-$C151)*MIN(1,MAX(0,(($D151+33)-$D151)/($E151-$D151))))</f>
        <v>1</v>
      </c>
      <c r="AZ151" s="114" t="n">
        <f aca="false">IF($E151&lt;=$D151,1,$C151+(1-$C151)*MIN(1,MAX(0,(($D151+45)-$D151)/($E151-$D151))))</f>
        <v>1</v>
      </c>
      <c r="BA151" s="114" t="n">
        <f aca="false">IF($E151&lt;=$D151,1,$C151+(1-$C151)*MIN(1,MAX(0,(($D151+57)-$D151)/($E151-$D151))))</f>
        <v>1</v>
      </c>
      <c r="BB151" s="114" t="n">
        <f aca="false">IF($E151&lt;=$D151,1,$C151+(1-$C151)*MIN(1,MAX(0,(($D151+69)-$D151)/($E151-$D151))))</f>
        <v>1</v>
      </c>
      <c r="BC151" s="114" t="n">
        <f aca="false">IF($E151&lt;=$D151,1,$C151+(1-$C151)*MIN(1,MAX(0,(($D151+81)-$D151)/($E151-$D151))))</f>
        <v>1</v>
      </c>
      <c r="BD151" s="114" t="n">
        <f aca="false">IF($E151&lt;=$D151,1,$C151+(1-$C151)*MIN(1,MAX(0,(($D151+93)-$D151)/($E151-$D151))))</f>
        <v>1</v>
      </c>
      <c r="BE151" s="114" t="n">
        <f aca="false">IF($E151&lt;=$D151,1,$C151+(1-$C151)*MIN(1,MAX(0,(($D151+105)-$D151)/($E151-$D151))))</f>
        <v>1</v>
      </c>
      <c r="BF151" s="114" t="n">
        <f aca="false">IF($E151&lt;=$D151,1,$C151+(1-$C151)*MIN(1,MAX(0,(($D151+117)-$D151)/($E151-$D151))))</f>
        <v>1</v>
      </c>
    </row>
    <row r="152" customFormat="false" ht="15" hidden="false" customHeight="false" outlineLevel="0" collapsed="false">
      <c r="B152" s="9" t="s">
        <v>336</v>
      </c>
      <c r="C152" s="114" t="n">
        <f aca="false">SUM('Pnl por tienda'!AB52:AD52)/SUM('⑮ Cohort Engine'!AU951:AW951)</f>
        <v>0.599945405979123</v>
      </c>
      <c r="D152" s="63" t="n">
        <f aca="false">'⑮ Cohort Engine'!AW56</f>
        <v>20</v>
      </c>
      <c r="E152" s="63" t="n">
        <f aca="false">36*'🎚️ Escenario'!$C$11</f>
        <v>45</v>
      </c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114" t="n">
        <f aca="false">IF($E152&lt;=$D152,1,$C152+(1-$C152)*MIN(1,MAX(0,('⑮ Cohort Engine'!AX56-$D152)/($E152-$D152))))</f>
        <v>0.615947589739958</v>
      </c>
      <c r="Y152" s="114" t="n">
        <f aca="false">IF($E152&lt;=$D152,1,$C152+(1-$C152)*MIN(1,MAX(0,('⑮ Cohort Engine'!AY56-$D152)/($E152-$D152))))</f>
        <v>0.631949773500794</v>
      </c>
      <c r="Z152" s="114" t="n">
        <f aca="false">IF($E152&lt;=$D152,1,$C152+(1-$C152)*MIN(1,MAX(0,('⑮ Cohort Engine'!AZ56-$D152)/($E152-$D152))))</f>
        <v>0.647951957261629</v>
      </c>
      <c r="AA152" s="114" t="n">
        <f aca="false">IF($E152&lt;=$D152,1,$C152+(1-$C152)*MIN(1,MAX(0,('⑮ Cohort Engine'!BA56-$D152)/($E152-$D152))))</f>
        <v>0.663954141022464</v>
      </c>
      <c r="AB152" s="114" t="n">
        <f aca="false">IF($E152&lt;=$D152,1,$C152+(1-$C152)*MIN(1,MAX(0,('⑮ Cohort Engine'!BB56-$D152)/($E152-$D152))))</f>
        <v>0.679956324783299</v>
      </c>
      <c r="AC152" s="114" t="n">
        <f aca="false">IF($E152&lt;=$D152,1,$C152+(1-$C152)*MIN(1,MAX(0,('⑮ Cohort Engine'!BC56-$D152)/($E152-$D152))))</f>
        <v>0.695958508544134</v>
      </c>
      <c r="AD152" s="114" t="n">
        <f aca="false">IF($E152&lt;=$D152,1,$C152+(1-$C152)*MIN(1,MAX(0,('⑮ Cohort Engine'!BD56-$D152)/($E152-$D152))))</f>
        <v>0.711960692304969</v>
      </c>
      <c r="AE152" s="114" t="n">
        <f aca="false">IF($E152&lt;=$D152,1,$C152+(1-$C152)*MIN(1,MAX(0,('⑮ Cohort Engine'!BE56-$D152)/($E152-$D152))))</f>
        <v>0.727962876065804</v>
      </c>
      <c r="AF152" s="114" t="n">
        <f aca="false">IF($E152&lt;=$D152,1,$C152+(1-$C152)*MIN(1,MAX(0,('⑮ Cohort Engine'!BF56-$D152)/($E152-$D152))))</f>
        <v>0.743965059826639</v>
      </c>
      <c r="AG152" s="114" t="n">
        <f aca="false">IF($E152&lt;=$D152,1,$C152+(1-$C152)*MIN(1,MAX(0,('⑮ Cohort Engine'!BG56-$D152)/($E152-$D152))))</f>
        <v>0.759967243587474</v>
      </c>
      <c r="AH152" s="114" t="n">
        <f aca="false">IF($E152&lt;=$D152,1,$C152+(1-$C152)*MIN(1,MAX(0,('⑮ Cohort Engine'!BH56-$D152)/($E152-$D152))))</f>
        <v>0.775969427348309</v>
      </c>
      <c r="AI152" s="114" t="n">
        <f aca="false">IF($E152&lt;=$D152,1,$C152+(1-$C152)*MIN(1,MAX(0,('⑮ Cohort Engine'!BI56-$D152)/($E152-$D152))))</f>
        <v>0.791971611109144</v>
      </c>
      <c r="AJ152" s="114" t="n">
        <f aca="false">IF($E152&lt;=$D152,1,$C152+(1-$C152)*MIN(1,MAX(0,('⑮ Cohort Engine'!BJ56-$D152)/($E152-$D152))))</f>
        <v>0.807973794869979</v>
      </c>
      <c r="AK152" s="114" t="n">
        <f aca="false">IF($E152&lt;=$D152,1,$C152+(1-$C152)*MIN(1,MAX(0,('⑮ Cohort Engine'!BK56-$D152)/($E152-$D152))))</f>
        <v>0.823975978630814</v>
      </c>
      <c r="AL152" s="114" t="n">
        <f aca="false">IF($E152&lt;=$D152,1,$C152+(1-$C152)*MIN(1,MAX(0,('⑮ Cohort Engine'!BL56-$D152)/($E152-$D152))))</f>
        <v>0.839978162391649</v>
      </c>
      <c r="AM152" s="114" t="n">
        <f aca="false">IF($E152&lt;=$D152,1,$C152+(1-$C152)*MIN(1,MAX(0,('⑮ Cohort Engine'!BM56-$D152)/($E152-$D152))))</f>
        <v>0.855980346152484</v>
      </c>
      <c r="AN152" s="114" t="n">
        <f aca="false">IF($E152&lt;=$D152,1,$C152+(1-$C152)*MIN(1,MAX(0,('⑮ Cohort Engine'!BN56-$D152)/($E152-$D152))))</f>
        <v>0.87198252991332</v>
      </c>
      <c r="AO152" s="114" t="n">
        <f aca="false">IF($E152&lt;=$D152,1,$C152+(1-$C152)*MIN(1,MAX(0,('⑮ Cohort Engine'!BO56-$D152)/($E152-$D152))))</f>
        <v>0.887984713674155</v>
      </c>
      <c r="AP152" s="114" t="n">
        <f aca="false">IF($E152&lt;=$D152,1,$C152+(1-$C152)*MIN(1,MAX(0,('⑮ Cohort Engine'!BP56-$D152)/($E152-$D152))))</f>
        <v>0.90398689743499</v>
      </c>
      <c r="AQ152" s="114" t="n">
        <f aca="false">IF($E152&lt;=$D152,1,$C152+(1-$C152)*MIN(1,MAX(0,('⑮ Cohort Engine'!BQ56-$D152)/($E152-$D152))))</f>
        <v>0.919989081195825</v>
      </c>
      <c r="AR152" s="114" t="n">
        <f aca="false">IF($E152&lt;=$D152,1,$C152+(1-$C152)*MIN(1,MAX(0,('⑮ Cohort Engine'!BR56-$D152)/($E152-$D152))))</f>
        <v>0.93599126495666</v>
      </c>
      <c r="AS152" s="114" t="n">
        <f aca="false">IF($E152&lt;=$D152,1,$C152+(1-$C152)*MIN(1,MAX(0,('⑮ Cohort Engine'!BS56-$D152)/($E152-$D152))))</f>
        <v>0.951993448717495</v>
      </c>
      <c r="AT152" s="114" t="n">
        <f aca="false">IF($E152&lt;=$D152,1,$C152+(1-$C152)*MIN(1,MAX(0,('⑮ Cohort Engine'!BT56-$D152)/($E152-$D152))))</f>
        <v>0.96799563247833</v>
      </c>
      <c r="AU152" s="114" t="n">
        <f aca="false">IF($E152&lt;=$D152,1,$C152+(1-$C152)*MIN(1,MAX(0,('⑮ Cohort Engine'!BU56-$D152)/($E152-$D152))))</f>
        <v>0.983997816239165</v>
      </c>
      <c r="AV152" s="114" t="n">
        <f aca="false">IF($E152&lt;=$D152,1,$C152+(1-$C152)*MIN(1,MAX(0,('⑮ Cohort Engine'!BV56-$D152)/($E152-$D152))))</f>
        <v>1</v>
      </c>
      <c r="AW152" s="114" t="n">
        <f aca="false">IF($E152&lt;=$D152,1,$C152+(1-$C152)*MIN(1,MAX(0,('⑮ Cohort Engine'!BW56-$D152)/($E152-$D152))))</f>
        <v>1</v>
      </c>
      <c r="AX152" s="114" t="n">
        <f aca="false">IF($E152&lt;=$D152,1,$C152+(1-$C152)*MIN(1,MAX(0,('⑮ Cohort Engine'!BX56-$D152)/($E152-$D152))))</f>
        <v>1</v>
      </c>
      <c r="AY152" s="114" t="n">
        <f aca="false">IF($E152&lt;=$D152,1,$C152+(1-$C152)*MIN(1,MAX(0,(($D152+33)-$D152)/($E152-$D152))))</f>
        <v>1</v>
      </c>
      <c r="AZ152" s="114" t="n">
        <f aca="false">IF($E152&lt;=$D152,1,$C152+(1-$C152)*MIN(1,MAX(0,(($D152+45)-$D152)/($E152-$D152))))</f>
        <v>1</v>
      </c>
      <c r="BA152" s="114" t="n">
        <f aca="false">IF($E152&lt;=$D152,1,$C152+(1-$C152)*MIN(1,MAX(0,(($D152+57)-$D152)/($E152-$D152))))</f>
        <v>1</v>
      </c>
      <c r="BB152" s="114" t="n">
        <f aca="false">IF($E152&lt;=$D152,1,$C152+(1-$C152)*MIN(1,MAX(0,(($D152+69)-$D152)/($E152-$D152))))</f>
        <v>1</v>
      </c>
      <c r="BC152" s="114" t="n">
        <f aca="false">IF($E152&lt;=$D152,1,$C152+(1-$C152)*MIN(1,MAX(0,(($D152+81)-$D152)/($E152-$D152))))</f>
        <v>1</v>
      </c>
      <c r="BD152" s="114" t="n">
        <f aca="false">IF($E152&lt;=$D152,1,$C152+(1-$C152)*MIN(1,MAX(0,(($D152+93)-$D152)/($E152-$D152))))</f>
        <v>1</v>
      </c>
      <c r="BE152" s="114" t="n">
        <f aca="false">IF($E152&lt;=$D152,1,$C152+(1-$C152)*MIN(1,MAX(0,(($D152+105)-$D152)/($E152-$D152))))</f>
        <v>1</v>
      </c>
      <c r="BF152" s="114" t="n">
        <f aca="false">IF($E152&lt;=$D152,1,$C152+(1-$C152)*MIN(1,MAX(0,(($D152+117)-$D152)/($E152-$D152))))</f>
        <v>1</v>
      </c>
    </row>
    <row r="153" customFormat="false" ht="15" hidden="false" customHeight="false" outlineLevel="0" collapsed="false">
      <c r="B153" s="9" t="s">
        <v>337</v>
      </c>
      <c r="C153" s="114" t="n">
        <f aca="false">SUM('Pnl por tienda'!AB37:AD37)/SUM('⑮ Cohort Engine'!AU952:AW952)</f>
        <v>0.663405439659623</v>
      </c>
      <c r="D153" s="63" t="n">
        <f aca="false">'⑮ Cohort Engine'!AW66</f>
        <v>17</v>
      </c>
      <c r="E153" s="63" t="n">
        <f aca="false">36*'🎚️ Escenario'!$C$11</f>
        <v>45</v>
      </c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114" t="n">
        <f aca="false">IF($E153&lt;=$D153,1,$C153+(1-$C153)*MIN(1,MAX(0,('⑮ Cohort Engine'!AX66-$D153)/($E153-$D153))))</f>
        <v>0.675426673957493</v>
      </c>
      <c r="Y153" s="114" t="n">
        <f aca="false">IF($E153&lt;=$D153,1,$C153+(1-$C153)*MIN(1,MAX(0,('⑮ Cohort Engine'!AY66-$D153)/($E153-$D153))))</f>
        <v>0.687447908255364</v>
      </c>
      <c r="Z153" s="114" t="n">
        <f aca="false">IF($E153&lt;=$D153,1,$C153+(1-$C153)*MIN(1,MAX(0,('⑮ Cohort Engine'!AZ66-$D153)/($E153-$D153))))</f>
        <v>0.699469142553234</v>
      </c>
      <c r="AA153" s="114" t="n">
        <f aca="false">IF($E153&lt;=$D153,1,$C153+(1-$C153)*MIN(1,MAX(0,('⑮ Cohort Engine'!BA66-$D153)/($E153-$D153))))</f>
        <v>0.711490376851105</v>
      </c>
      <c r="AB153" s="114" t="n">
        <f aca="false">IF($E153&lt;=$D153,1,$C153+(1-$C153)*MIN(1,MAX(0,('⑮ Cohort Engine'!BB66-$D153)/($E153-$D153))))</f>
        <v>0.723511611148976</v>
      </c>
      <c r="AC153" s="114" t="n">
        <f aca="false">IF($E153&lt;=$D153,1,$C153+(1-$C153)*MIN(1,MAX(0,('⑮ Cohort Engine'!BC66-$D153)/($E153-$D153))))</f>
        <v>0.735532845446846</v>
      </c>
      <c r="AD153" s="114" t="n">
        <f aca="false">IF($E153&lt;=$D153,1,$C153+(1-$C153)*MIN(1,MAX(0,('⑮ Cohort Engine'!BD66-$D153)/($E153-$D153))))</f>
        <v>0.747554079744717</v>
      </c>
      <c r="AE153" s="114" t="n">
        <f aca="false">IF($E153&lt;=$D153,1,$C153+(1-$C153)*MIN(1,MAX(0,('⑮ Cohort Engine'!BE66-$D153)/($E153-$D153))))</f>
        <v>0.759575314042588</v>
      </c>
      <c r="AF153" s="114" t="n">
        <f aca="false">IF($E153&lt;=$D153,1,$C153+(1-$C153)*MIN(1,MAX(0,('⑮ Cohort Engine'!BF66-$D153)/($E153-$D153))))</f>
        <v>0.771596548340458</v>
      </c>
      <c r="AG153" s="114" t="n">
        <f aca="false">IF($E153&lt;=$D153,1,$C153+(1-$C153)*MIN(1,MAX(0,('⑮ Cohort Engine'!BG66-$D153)/($E153-$D153))))</f>
        <v>0.783617782638329</v>
      </c>
      <c r="AH153" s="114" t="n">
        <f aca="false">IF($E153&lt;=$D153,1,$C153+(1-$C153)*MIN(1,MAX(0,('⑮ Cohort Engine'!BH66-$D153)/($E153-$D153))))</f>
        <v>0.795639016936199</v>
      </c>
      <c r="AI153" s="114" t="n">
        <f aca="false">IF($E153&lt;=$D153,1,$C153+(1-$C153)*MIN(1,MAX(0,('⑮ Cohort Engine'!BI66-$D153)/($E153-$D153))))</f>
        <v>0.80766025123407</v>
      </c>
      <c r="AJ153" s="114" t="n">
        <f aca="false">IF($E153&lt;=$D153,1,$C153+(1-$C153)*MIN(1,MAX(0,('⑮ Cohort Engine'!BJ66-$D153)/($E153-$D153))))</f>
        <v>0.819681485531941</v>
      </c>
      <c r="AK153" s="114" t="n">
        <f aca="false">IF($E153&lt;=$D153,1,$C153+(1-$C153)*MIN(1,MAX(0,('⑮ Cohort Engine'!BK66-$D153)/($E153-$D153))))</f>
        <v>0.831702719829811</v>
      </c>
      <c r="AL153" s="114" t="n">
        <f aca="false">IF($E153&lt;=$D153,1,$C153+(1-$C153)*MIN(1,MAX(0,('⑮ Cohort Engine'!BL66-$D153)/($E153-$D153))))</f>
        <v>0.843723954127682</v>
      </c>
      <c r="AM153" s="114" t="n">
        <f aca="false">IF($E153&lt;=$D153,1,$C153+(1-$C153)*MIN(1,MAX(0,('⑮ Cohort Engine'!BM66-$D153)/($E153-$D153))))</f>
        <v>0.855745188425553</v>
      </c>
      <c r="AN153" s="114" t="n">
        <f aca="false">IF($E153&lt;=$D153,1,$C153+(1-$C153)*MIN(1,MAX(0,('⑮ Cohort Engine'!BN66-$D153)/($E153-$D153))))</f>
        <v>0.867766422723423</v>
      </c>
      <c r="AO153" s="114" t="n">
        <f aca="false">IF($E153&lt;=$D153,1,$C153+(1-$C153)*MIN(1,MAX(0,('⑮ Cohort Engine'!BO66-$D153)/($E153-$D153))))</f>
        <v>0.879787657021294</v>
      </c>
      <c r="AP153" s="114" t="n">
        <f aca="false">IF($E153&lt;=$D153,1,$C153+(1-$C153)*MIN(1,MAX(0,('⑮ Cohort Engine'!BP66-$D153)/($E153-$D153))))</f>
        <v>0.891808891319164</v>
      </c>
      <c r="AQ153" s="114" t="n">
        <f aca="false">IF($E153&lt;=$D153,1,$C153+(1-$C153)*MIN(1,MAX(0,('⑮ Cohort Engine'!BQ66-$D153)/($E153-$D153))))</f>
        <v>0.903830125617035</v>
      </c>
      <c r="AR153" s="114" t="n">
        <f aca="false">IF($E153&lt;=$D153,1,$C153+(1-$C153)*MIN(1,MAX(0,('⑮ Cohort Engine'!BR66-$D153)/($E153-$D153))))</f>
        <v>0.915851359914906</v>
      </c>
      <c r="AS153" s="114" t="n">
        <f aca="false">IF($E153&lt;=$D153,1,$C153+(1-$C153)*MIN(1,MAX(0,('⑮ Cohort Engine'!BS66-$D153)/($E153-$D153))))</f>
        <v>0.927872594212776</v>
      </c>
      <c r="AT153" s="114" t="n">
        <f aca="false">IF($E153&lt;=$D153,1,$C153+(1-$C153)*MIN(1,MAX(0,('⑮ Cohort Engine'!BT66-$D153)/($E153-$D153))))</f>
        <v>0.939893828510647</v>
      </c>
      <c r="AU153" s="114" t="n">
        <f aca="false">IF($E153&lt;=$D153,1,$C153+(1-$C153)*MIN(1,MAX(0,('⑮ Cohort Engine'!BU66-$D153)/($E153-$D153))))</f>
        <v>0.951915062808518</v>
      </c>
      <c r="AV153" s="114" t="n">
        <f aca="false">IF($E153&lt;=$D153,1,$C153+(1-$C153)*MIN(1,MAX(0,('⑮ Cohort Engine'!BV66-$D153)/($E153-$D153))))</f>
        <v>0.963936297106388</v>
      </c>
      <c r="AW153" s="114" t="n">
        <f aca="false">IF($E153&lt;=$D153,1,$C153+(1-$C153)*MIN(1,MAX(0,('⑮ Cohort Engine'!BW66-$D153)/($E153-$D153))))</f>
        <v>0.975957531404259</v>
      </c>
      <c r="AX153" s="114" t="n">
        <f aca="false">IF($E153&lt;=$D153,1,$C153+(1-$C153)*MIN(1,MAX(0,('⑮ Cohort Engine'!BX66-$D153)/($E153-$D153))))</f>
        <v>0.987978765702129</v>
      </c>
      <c r="AY153" s="114" t="n">
        <f aca="false">IF($E153&lt;=$D153,1,$C153+(1-$C153)*MIN(1,MAX(0,(($D153+33)-$D153)/($E153-$D153))))</f>
        <v>1</v>
      </c>
      <c r="AZ153" s="114" t="n">
        <f aca="false">IF($E153&lt;=$D153,1,$C153+(1-$C153)*MIN(1,MAX(0,(($D153+45)-$D153)/($E153-$D153))))</f>
        <v>1</v>
      </c>
      <c r="BA153" s="114" t="n">
        <f aca="false">IF($E153&lt;=$D153,1,$C153+(1-$C153)*MIN(1,MAX(0,(($D153+57)-$D153)/($E153-$D153))))</f>
        <v>1</v>
      </c>
      <c r="BB153" s="114" t="n">
        <f aca="false">IF($E153&lt;=$D153,1,$C153+(1-$C153)*MIN(1,MAX(0,(($D153+69)-$D153)/($E153-$D153))))</f>
        <v>1</v>
      </c>
      <c r="BC153" s="114" t="n">
        <f aca="false">IF($E153&lt;=$D153,1,$C153+(1-$C153)*MIN(1,MAX(0,(($D153+81)-$D153)/($E153-$D153))))</f>
        <v>1</v>
      </c>
      <c r="BD153" s="114" t="n">
        <f aca="false">IF($E153&lt;=$D153,1,$C153+(1-$C153)*MIN(1,MAX(0,(($D153+93)-$D153)/($E153-$D153))))</f>
        <v>1</v>
      </c>
      <c r="BE153" s="114" t="n">
        <f aca="false">IF($E153&lt;=$D153,1,$C153+(1-$C153)*MIN(1,MAX(0,(($D153+105)-$D153)/($E153-$D153))))</f>
        <v>1</v>
      </c>
      <c r="BF153" s="114" t="n">
        <f aca="false">IF($E153&lt;=$D153,1,$C153+(1-$C153)*MIN(1,MAX(0,(($D153+117)-$D153)/($E153-$D153))))</f>
        <v>1</v>
      </c>
    </row>
    <row r="154" customFormat="false" ht="15" hidden="false" customHeight="false" outlineLevel="0" collapsed="false">
      <c r="B154" s="9" t="s">
        <v>338</v>
      </c>
      <c r="C154" s="114" t="n">
        <f aca="false">SUM('Pnl por tienda'!AB67:AD67)/SUM('⑮ Cohort Engine'!AU953:AW953)</f>
        <v>0.860605865022614</v>
      </c>
      <c r="D154" s="63" t="n">
        <f aca="false">'⑮ Cohort Engine'!AW76</f>
        <v>10</v>
      </c>
      <c r="E154" s="63" t="n">
        <f aca="false">36*'🎚️ Escenario'!$C$11</f>
        <v>45</v>
      </c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114" t="n">
        <f aca="false">IF($E154&lt;=$D154,1,$C154+(1-$C154)*MIN(1,MAX(0,('⑮ Cohort Engine'!AX76-$D154)/($E154-$D154))))</f>
        <v>0.864588554593396</v>
      </c>
      <c r="Y154" s="114" t="n">
        <f aca="false">IF($E154&lt;=$D154,1,$C154+(1-$C154)*MIN(1,MAX(0,('⑮ Cohort Engine'!AY76-$D154)/($E154-$D154))))</f>
        <v>0.868571244164179</v>
      </c>
      <c r="Z154" s="114" t="n">
        <f aca="false">IF($E154&lt;=$D154,1,$C154+(1-$C154)*MIN(1,MAX(0,('⑮ Cohort Engine'!AZ76-$D154)/($E154-$D154))))</f>
        <v>0.872553933734961</v>
      </c>
      <c r="AA154" s="114" t="n">
        <f aca="false">IF($E154&lt;=$D154,1,$C154+(1-$C154)*MIN(1,MAX(0,('⑮ Cohort Engine'!BA76-$D154)/($E154-$D154))))</f>
        <v>0.876536623305744</v>
      </c>
      <c r="AB154" s="114" t="n">
        <f aca="false">IF($E154&lt;=$D154,1,$C154+(1-$C154)*MIN(1,MAX(0,('⑮ Cohort Engine'!BB76-$D154)/($E154-$D154))))</f>
        <v>0.880519312876526</v>
      </c>
      <c r="AC154" s="114" t="n">
        <f aca="false">IF($E154&lt;=$D154,1,$C154+(1-$C154)*MIN(1,MAX(0,('⑮ Cohort Engine'!BC76-$D154)/($E154-$D154))))</f>
        <v>0.884502002447309</v>
      </c>
      <c r="AD154" s="114" t="n">
        <f aca="false">IF($E154&lt;=$D154,1,$C154+(1-$C154)*MIN(1,MAX(0,('⑮ Cohort Engine'!BD76-$D154)/($E154-$D154))))</f>
        <v>0.888484692018091</v>
      </c>
      <c r="AE154" s="114" t="n">
        <f aca="false">IF($E154&lt;=$D154,1,$C154+(1-$C154)*MIN(1,MAX(0,('⑮ Cohort Engine'!BE76-$D154)/($E154-$D154))))</f>
        <v>0.892467381588873</v>
      </c>
      <c r="AF154" s="114" t="n">
        <f aca="false">IF($E154&lt;=$D154,1,$C154+(1-$C154)*MIN(1,MAX(0,('⑮ Cohort Engine'!BF76-$D154)/($E154-$D154))))</f>
        <v>0.896450071159656</v>
      </c>
      <c r="AG154" s="114" t="n">
        <f aca="false">IF($E154&lt;=$D154,1,$C154+(1-$C154)*MIN(1,MAX(0,('⑮ Cohort Engine'!BG76-$D154)/($E154-$D154))))</f>
        <v>0.900432760730438</v>
      </c>
      <c r="AH154" s="114" t="n">
        <f aca="false">IF($E154&lt;=$D154,1,$C154+(1-$C154)*MIN(1,MAX(0,('⑮ Cohort Engine'!BH76-$D154)/($E154-$D154))))</f>
        <v>0.904415450301221</v>
      </c>
      <c r="AI154" s="114" t="n">
        <f aca="false">IF($E154&lt;=$D154,1,$C154+(1-$C154)*MIN(1,MAX(0,('⑮ Cohort Engine'!BI76-$D154)/($E154-$D154))))</f>
        <v>0.908398139872003</v>
      </c>
      <c r="AJ154" s="114" t="n">
        <f aca="false">IF($E154&lt;=$D154,1,$C154+(1-$C154)*MIN(1,MAX(0,('⑮ Cohort Engine'!BJ76-$D154)/($E154-$D154))))</f>
        <v>0.912380829442786</v>
      </c>
      <c r="AK154" s="114" t="n">
        <f aca="false">IF($E154&lt;=$D154,1,$C154+(1-$C154)*MIN(1,MAX(0,('⑮ Cohort Engine'!BK76-$D154)/($E154-$D154))))</f>
        <v>0.916363519013568</v>
      </c>
      <c r="AL154" s="114" t="n">
        <f aca="false">IF($E154&lt;=$D154,1,$C154+(1-$C154)*MIN(1,MAX(0,('⑮ Cohort Engine'!BL76-$D154)/($E154-$D154))))</f>
        <v>0.920346208584351</v>
      </c>
      <c r="AM154" s="114" t="n">
        <f aca="false">IF($E154&lt;=$D154,1,$C154+(1-$C154)*MIN(1,MAX(0,('⑮ Cohort Engine'!BM76-$D154)/($E154-$D154))))</f>
        <v>0.924328898155133</v>
      </c>
      <c r="AN154" s="114" t="n">
        <f aca="false">IF($E154&lt;=$D154,1,$C154+(1-$C154)*MIN(1,MAX(0,('⑮ Cohort Engine'!BN76-$D154)/($E154-$D154))))</f>
        <v>0.928311587725916</v>
      </c>
      <c r="AO154" s="114" t="n">
        <f aca="false">IF($E154&lt;=$D154,1,$C154+(1-$C154)*MIN(1,MAX(0,('⑮ Cohort Engine'!BO76-$D154)/($E154-$D154))))</f>
        <v>0.932294277296698</v>
      </c>
      <c r="AP154" s="114" t="n">
        <f aca="false">IF($E154&lt;=$D154,1,$C154+(1-$C154)*MIN(1,MAX(0,('⑮ Cohort Engine'!BP76-$D154)/($E154-$D154))))</f>
        <v>0.936276966867481</v>
      </c>
      <c r="AQ154" s="114" t="n">
        <f aca="false">IF($E154&lt;=$D154,1,$C154+(1-$C154)*MIN(1,MAX(0,('⑮ Cohort Engine'!BQ76-$D154)/($E154-$D154))))</f>
        <v>0.940259656438263</v>
      </c>
      <c r="AR154" s="114" t="n">
        <f aca="false">IF($E154&lt;=$D154,1,$C154+(1-$C154)*MIN(1,MAX(0,('⑮ Cohort Engine'!BR76-$D154)/($E154-$D154))))</f>
        <v>0.944242346009045</v>
      </c>
      <c r="AS154" s="114" t="n">
        <f aca="false">IF($E154&lt;=$D154,1,$C154+(1-$C154)*MIN(1,MAX(0,('⑮ Cohort Engine'!BS76-$D154)/($E154-$D154))))</f>
        <v>0.948225035579828</v>
      </c>
      <c r="AT154" s="114" t="n">
        <f aca="false">IF($E154&lt;=$D154,1,$C154+(1-$C154)*MIN(1,MAX(0,('⑮ Cohort Engine'!BT76-$D154)/($E154-$D154))))</f>
        <v>0.952207725150611</v>
      </c>
      <c r="AU154" s="114" t="n">
        <f aca="false">IF($E154&lt;=$D154,1,$C154+(1-$C154)*MIN(1,MAX(0,('⑮ Cohort Engine'!BU76-$D154)/($E154-$D154))))</f>
        <v>0.956190414721393</v>
      </c>
      <c r="AV154" s="114" t="n">
        <f aca="false">IF($E154&lt;=$D154,1,$C154+(1-$C154)*MIN(1,MAX(0,('⑮ Cohort Engine'!BV76-$D154)/($E154-$D154))))</f>
        <v>0.960173104292175</v>
      </c>
      <c r="AW154" s="114" t="n">
        <f aca="false">IF($E154&lt;=$D154,1,$C154+(1-$C154)*MIN(1,MAX(0,('⑮ Cohort Engine'!BW76-$D154)/($E154-$D154))))</f>
        <v>0.964155793862958</v>
      </c>
      <c r="AX154" s="114" t="n">
        <f aca="false">IF($E154&lt;=$D154,1,$C154+(1-$C154)*MIN(1,MAX(0,('⑮ Cohort Engine'!BX76-$D154)/($E154-$D154))))</f>
        <v>0.96813848343374</v>
      </c>
      <c r="AY154" s="114" t="n">
        <f aca="false">IF($E154&lt;=$D154,1,$C154+(1-$C154)*MIN(1,MAX(0,(($D154+33)-$D154)/($E154-$D154))))</f>
        <v>0.992034620858435</v>
      </c>
      <c r="AZ154" s="114" t="n">
        <f aca="false">IF($E154&lt;=$D154,1,$C154+(1-$C154)*MIN(1,MAX(0,(($D154+45)-$D154)/($E154-$D154))))</f>
        <v>1</v>
      </c>
      <c r="BA154" s="114" t="n">
        <f aca="false">IF($E154&lt;=$D154,1,$C154+(1-$C154)*MIN(1,MAX(0,(($D154+57)-$D154)/($E154-$D154))))</f>
        <v>1</v>
      </c>
      <c r="BB154" s="114" t="n">
        <f aca="false">IF($E154&lt;=$D154,1,$C154+(1-$C154)*MIN(1,MAX(0,(($D154+69)-$D154)/($E154-$D154))))</f>
        <v>1</v>
      </c>
      <c r="BC154" s="114" t="n">
        <f aca="false">IF($E154&lt;=$D154,1,$C154+(1-$C154)*MIN(1,MAX(0,(($D154+81)-$D154)/($E154-$D154))))</f>
        <v>1</v>
      </c>
      <c r="BD154" s="114" t="n">
        <f aca="false">IF($E154&lt;=$D154,1,$C154+(1-$C154)*MIN(1,MAX(0,(($D154+93)-$D154)/($E154-$D154))))</f>
        <v>1</v>
      </c>
      <c r="BE154" s="114" t="n">
        <f aca="false">IF($E154&lt;=$D154,1,$C154+(1-$C154)*MIN(1,MAX(0,(($D154+105)-$D154)/($E154-$D154))))</f>
        <v>1</v>
      </c>
      <c r="BF154" s="114" t="n">
        <f aca="false">IF($E154&lt;=$D154,1,$C154+(1-$C154)*MIN(1,MAX(0,(($D154+117)-$D154)/($E154-$D154))))</f>
        <v>1</v>
      </c>
    </row>
  </sheetData>
  <mergeCells count="2">
    <mergeCell ref="B1:AI1"/>
    <mergeCell ref="B2:AI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5523A"/>
    <pageSetUpPr fitToPage="false"/>
  </sheetPr>
  <dimension ref="B1:S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1" activeCellId="0" sqref="E21"/>
    </sheetView>
  </sheetViews>
  <sheetFormatPr defaultColWidth="10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3.33"/>
    <col collapsed="false" customWidth="true" hidden="false" outlineLevel="0" max="3" min="3" style="0" width="44"/>
    <col collapsed="false" customWidth="true" hidden="false" outlineLevel="0" max="13" min="4" style="0" width="15"/>
    <col collapsed="false" customWidth="true" hidden="false" outlineLevel="0" max="15" min="15" style="0" width="38.33"/>
    <col collapsed="false" customWidth="true" hidden="false" outlineLevel="0" max="16" min="16" style="0" width="15.83"/>
  </cols>
  <sheetData>
    <row r="1" customFormat="false" ht="18.75" hidden="false" customHeight="true" outlineLevel="0" collapsed="false">
      <c r="B1" s="17" t="s">
        <v>339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9"/>
    </row>
    <row r="2" customFormat="false" ht="15" hidden="false" customHeight="false" outlineLevel="0" collapsed="false">
      <c r="B2" s="44" t="s">
        <v>340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9"/>
    </row>
    <row r="3" customFormat="false" ht="15" hidden="false" customHeight="false" outlineLevel="0" collapsed="false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customFormat="false" ht="15" hidden="false" customHeight="false" outlineLevel="0" collapsed="false">
      <c r="B4" s="21" t="s">
        <v>341</v>
      </c>
      <c r="C4" s="21"/>
      <c r="D4" s="21"/>
      <c r="E4" s="21"/>
      <c r="F4" s="21"/>
      <c r="G4" s="21"/>
      <c r="H4" s="21"/>
      <c r="I4" s="21"/>
      <c r="J4" s="9"/>
      <c r="K4" s="9"/>
      <c r="L4" s="9"/>
      <c r="M4" s="9"/>
      <c r="N4" s="9"/>
      <c r="O4" s="9"/>
      <c r="P4" s="9"/>
      <c r="Q4" s="9"/>
      <c r="R4" s="9"/>
      <c r="S4" s="9"/>
    </row>
    <row r="5" customFormat="false" ht="15" hidden="false" customHeight="false" outlineLevel="0" collapsed="false">
      <c r="B5" s="36" t="s">
        <v>342</v>
      </c>
      <c r="C5" s="115" t="n">
        <v>2036</v>
      </c>
      <c r="D5" s="9" t="s">
        <v>343</v>
      </c>
      <c r="E5" s="18"/>
      <c r="F5" s="18"/>
      <c r="G5" s="18"/>
      <c r="H5" s="18"/>
      <c r="I5" s="18"/>
      <c r="J5" s="9"/>
      <c r="K5" s="9"/>
      <c r="L5" s="9"/>
      <c r="M5" s="9"/>
      <c r="N5" s="9"/>
      <c r="O5" s="9"/>
      <c r="P5" s="9"/>
      <c r="Q5" s="9"/>
      <c r="R5" s="9"/>
      <c r="S5" s="9"/>
    </row>
    <row r="6" customFormat="false" ht="15" hidden="false" customHeight="false" outlineLevel="0" collapsed="false">
      <c r="B6" s="36" t="s">
        <v>344</v>
      </c>
      <c r="C6" s="51" t="n">
        <f aca="false" t="array" ref="C6:C6">INDEX('🎚️ Escenario'!$C$34:$N$34,$C$5-2024)</f>
        <v>5475979.34317396</v>
      </c>
      <c r="D6" s="9" t="s">
        <v>345</v>
      </c>
      <c r="E6" s="18"/>
      <c r="F6" s="18"/>
      <c r="G6" s="18"/>
      <c r="H6" s="18"/>
      <c r="I6" s="18"/>
      <c r="J6" s="9"/>
      <c r="K6" s="9"/>
      <c r="L6" s="9"/>
      <c r="M6" s="9"/>
      <c r="N6" s="9"/>
      <c r="O6" s="9"/>
      <c r="P6" s="9"/>
      <c r="Q6" s="9"/>
      <c r="R6" s="9"/>
      <c r="S6" s="9"/>
    </row>
    <row r="7" customFormat="false" ht="17.15" hidden="false" customHeight="false" outlineLevel="0" collapsed="false">
      <c r="B7" s="36" t="s">
        <v>346</v>
      </c>
      <c r="C7" s="24" t="n">
        <f aca="false">'㉗ Comparables'!F27</f>
        <v>10</v>
      </c>
      <c r="D7" s="9" t="s">
        <v>347</v>
      </c>
      <c r="E7" s="18"/>
      <c r="F7" s="18"/>
      <c r="G7" s="18"/>
      <c r="H7" s="18"/>
      <c r="I7" s="18"/>
      <c r="J7" s="9"/>
      <c r="K7" s="9"/>
      <c r="L7" s="9"/>
      <c r="M7" s="9"/>
      <c r="N7" s="9"/>
      <c r="O7" s="9"/>
      <c r="P7" s="9"/>
      <c r="Q7" s="9"/>
      <c r="R7" s="9"/>
      <c r="S7" s="9"/>
    </row>
    <row r="8" customFormat="false" ht="15" hidden="false" customHeight="false" outlineLevel="0" collapsed="false">
      <c r="B8" s="36" t="s">
        <v>348</v>
      </c>
      <c r="C8" s="43" t="n">
        <f aca="false">C6*C7</f>
        <v>54759793.4317396</v>
      </c>
      <c r="D8" s="9" t="s">
        <v>349</v>
      </c>
      <c r="E8" s="18"/>
      <c r="F8" s="18"/>
      <c r="G8" s="18"/>
      <c r="H8" s="18"/>
      <c r="I8" s="18"/>
      <c r="J8" s="9"/>
      <c r="K8" s="9"/>
      <c r="L8" s="9"/>
      <c r="M8" s="9"/>
      <c r="N8" s="9"/>
      <c r="O8" s="9"/>
      <c r="P8" s="9"/>
      <c r="Q8" s="9"/>
      <c r="R8" s="9"/>
      <c r="S8" s="9"/>
    </row>
    <row r="9" customFormat="false" ht="17.15" hidden="false" customHeight="false" outlineLevel="0" collapsed="false">
      <c r="B9" s="36" t="s">
        <v>350</v>
      </c>
      <c r="C9" s="116" t="n">
        <f aca="false" t="array" ref="C9:C9">IFERROR(LOOKUP(DATE($C$5,12,1),'㉓ Debt Schedule'!$C$18:$C$77,'㉓ Debt Schedule'!$G$18:$G$77),0)+INDEX('㉕ Funding Gap'!$C$62:$N$62,$C$5-2024)-INDEX('🎚️ Escenario'!$C$38:$N$38,$C$5-2024)</f>
        <v>8051071.39056337</v>
      </c>
      <c r="D9" s="9" t="s">
        <v>351</v>
      </c>
      <c r="E9" s="18"/>
      <c r="F9" s="18"/>
      <c r="G9" s="18"/>
      <c r="H9" s="18"/>
      <c r="I9" s="18"/>
      <c r="J9" s="9"/>
      <c r="K9" s="9"/>
      <c r="L9" s="9"/>
      <c r="M9" s="9"/>
      <c r="N9" s="9"/>
      <c r="O9" s="9"/>
      <c r="P9" s="9"/>
      <c r="Q9" s="9"/>
      <c r="R9" s="9"/>
      <c r="S9" s="9"/>
    </row>
    <row r="10" customFormat="false" ht="15" hidden="false" customHeight="false" outlineLevel="0" collapsed="false">
      <c r="B10" s="36" t="s">
        <v>352</v>
      </c>
      <c r="C10" s="49" t="n">
        <f aca="false">C8-C9+C14</f>
        <v>46708722.0411762</v>
      </c>
      <c r="D10" s="9" t="s">
        <v>353</v>
      </c>
      <c r="E10" s="18"/>
      <c r="F10" s="18"/>
      <c r="G10" s="18"/>
      <c r="H10" s="18"/>
      <c r="I10" s="18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customFormat="false" ht="15" hidden="false" customHeight="false" outlineLevel="0" collapsed="false">
      <c r="B11" s="36" t="s">
        <v>354</v>
      </c>
      <c r="C11" s="117" t="n">
        <f aca="false">H21+C77</f>
        <v>193335</v>
      </c>
      <c r="D11" s="9" t="s">
        <v>355</v>
      </c>
      <c r="E11" s="18"/>
      <c r="F11" s="18"/>
      <c r="G11" s="18"/>
      <c r="H11" s="18"/>
      <c r="I11" s="18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customFormat="false" ht="15" hidden="false" customHeight="false" outlineLevel="0" collapsed="false">
      <c r="B12" s="36" t="s">
        <v>356</v>
      </c>
      <c r="C12" s="118" t="n">
        <f aca="false">C10/C11</f>
        <v>241.594755430606</v>
      </c>
      <c r="D12" s="9" t="s">
        <v>357</v>
      </c>
      <c r="E12" s="18"/>
      <c r="F12" s="18"/>
      <c r="G12" s="18"/>
      <c r="H12" s="18"/>
      <c r="I12" s="18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customFormat="false" ht="15" hidden="false" customHeight="false" outlineLevel="0" collapsed="false">
      <c r="B13" s="36" t="s">
        <v>358</v>
      </c>
      <c r="C13" s="119" t="n">
        <v>12</v>
      </c>
      <c r="D13" s="9" t="s">
        <v>359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customFormat="false" ht="15" hidden="false" customHeight="false" outlineLevel="0" collapsed="false">
      <c r="B14" s="36" t="s">
        <v>360</v>
      </c>
      <c r="C14" s="28" t="n">
        <f aca="false">E20*C13</f>
        <v>0</v>
      </c>
      <c r="D14" s="9" t="s">
        <v>361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customFormat="false" ht="15" hidden="false" customHeight="false" outlineLevel="0" collapsed="false">
      <c r="B15" s="26" t="s">
        <v>362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9"/>
      <c r="O15" s="9"/>
      <c r="P15" s="9"/>
      <c r="Q15" s="9"/>
      <c r="R15" s="9"/>
      <c r="S15" s="9"/>
    </row>
    <row r="16" customFormat="false" ht="15" hidden="false" customHeight="false" outlineLevel="0" collapsed="false">
      <c r="B16" s="27" t="s">
        <v>147</v>
      </c>
      <c r="C16" s="27" t="s">
        <v>363</v>
      </c>
      <c r="D16" s="27" t="s">
        <v>364</v>
      </c>
      <c r="E16" s="27" t="s">
        <v>365</v>
      </c>
      <c r="F16" s="120" t="s">
        <v>366</v>
      </c>
      <c r="G16" s="27" t="s">
        <v>367</v>
      </c>
      <c r="H16" s="27" t="s">
        <v>368</v>
      </c>
      <c r="I16" s="120" t="s">
        <v>369</v>
      </c>
      <c r="J16" s="27" t="s">
        <v>370</v>
      </c>
      <c r="K16" s="27" t="s">
        <v>371</v>
      </c>
      <c r="L16" s="27" t="s">
        <v>372</v>
      </c>
      <c r="M16" s="27" t="s">
        <v>373</v>
      </c>
      <c r="N16" s="9"/>
      <c r="O16" s="27" t="s">
        <v>374</v>
      </c>
      <c r="P16" s="9"/>
      <c r="Q16" s="9"/>
      <c r="R16" s="9"/>
      <c r="S16" s="9"/>
    </row>
    <row r="17" customFormat="false" ht="15" hidden="false" customHeight="false" outlineLevel="0" collapsed="false">
      <c r="B17" s="36" t="s">
        <v>375</v>
      </c>
      <c r="C17" s="18" t="s">
        <v>376</v>
      </c>
      <c r="D17" s="121" t="n">
        <v>0</v>
      </c>
      <c r="E17" s="122" t="n">
        <v>4050</v>
      </c>
      <c r="F17" s="123" t="n">
        <f aca="false">+E17/$E$21</f>
        <v>0.0290210241196956</v>
      </c>
      <c r="G17" s="124" t="n">
        <v>49766</v>
      </c>
      <c r="H17" s="125" t="n">
        <f aca="false">+E17+G17</f>
        <v>53816</v>
      </c>
      <c r="I17" s="123" t="n">
        <f aca="false">+H17/$C$11</f>
        <v>0.27835622106706</v>
      </c>
      <c r="J17" s="61" t="n">
        <v>10.5011417638709</v>
      </c>
      <c r="K17" s="121" t="n">
        <f aca="false">H17*$C$100/$C$11+SUM(K85:K96)</f>
        <v>15186654.4156311</v>
      </c>
      <c r="L17" s="113" t="str">
        <f aca="false">IFERROR(K17/D17,"n/a")</f>
        <v>n/a</v>
      </c>
      <c r="M17" s="126" t="s">
        <v>377</v>
      </c>
      <c r="N17" s="9"/>
      <c r="O17" s="9" t="s">
        <v>378</v>
      </c>
      <c r="P17" s="23" t="n">
        <f aca="false">'㉕ Funding Gap'!$G$120</f>
        <v>2500000</v>
      </c>
      <c r="Q17" s="18" t="s">
        <v>379</v>
      </c>
      <c r="R17" s="9"/>
      <c r="S17" s="9"/>
    </row>
    <row r="18" customFormat="false" ht="17.15" hidden="false" customHeight="false" outlineLevel="0" collapsed="false">
      <c r="B18" s="36" t="s">
        <v>380</v>
      </c>
      <c r="C18" s="18" t="s">
        <v>381</v>
      </c>
      <c r="D18" s="121" t="n">
        <v>1340545</v>
      </c>
      <c r="E18" s="124" t="n">
        <v>96739</v>
      </c>
      <c r="F18" s="123" t="n">
        <f aca="false">+E18/$E$21</f>
        <v>0.693201198102527</v>
      </c>
      <c r="G18" s="124" t="n">
        <v>4015</v>
      </c>
      <c r="H18" s="125" t="n">
        <f aca="false">+E18+G18</f>
        <v>100754</v>
      </c>
      <c r="I18" s="123" t="n">
        <f aca="false">+H18/$C$11</f>
        <v>0.521136886750976</v>
      </c>
      <c r="J18" s="61" t="n">
        <v>15.3975833816105</v>
      </c>
      <c r="K18" s="121" t="n">
        <f aca="false">H18*$C$100/$C$11+SUM(L85:L96)</f>
        <v>32308731.3616278</v>
      </c>
      <c r="L18" s="113" t="n">
        <f aca="false">IFERROR(K18/D18,"n/a")</f>
        <v>24.1011912033</v>
      </c>
      <c r="M18" s="126" t="n">
        <f aca="false">D97</f>
        <v>0.348942121450419</v>
      </c>
      <c r="N18" s="9"/>
      <c r="O18" s="9" t="s">
        <v>382</v>
      </c>
      <c r="P18" s="33" t="n">
        <f aca="false">'㉕ Funding Gap'!$G$122</f>
        <v>6500000</v>
      </c>
      <c r="Q18" s="62" t="str">
        <f aca="false">"= "&amp;TEXT($P$18/'🎚️ Escenario'!E29,"0.00")&amp;"x ingreso fwd 2027  (comps ㉗ sugieren 2.5x = "&amp;TEXT('㉗ Comparables'!$F$38,"$#,##0")&amp;")"</f>
        <v>= 3.91x ingreso fwd 2027  (comps ㉗ sugieren 2.5x = $4,160,678)</v>
      </c>
      <c r="R18" s="9"/>
      <c r="S18" s="9"/>
    </row>
    <row r="19" customFormat="false" ht="15" hidden="false" customHeight="false" outlineLevel="0" collapsed="false">
      <c r="B19" s="36" t="s">
        <v>383</v>
      </c>
      <c r="C19" s="18" t="str">
        <f aca="false">"Ronda única "&amp;TEXT($P$17,"$#,##0")&amp;" — cierre nov-2026 · escenario "&amp;'🎚️ Escenario'!$C$4</f>
        <v>Ronda única $2,500,000 — cierre nov-2026 · escenario A slow</v>
      </c>
      <c r="D19" s="121" t="n">
        <f aca="false">P17</f>
        <v>2500000</v>
      </c>
      <c r="E19" s="122" t="n">
        <f aca="false">P17/P19</f>
        <v>38765</v>
      </c>
      <c r="F19" s="123" t="n">
        <f aca="false">+E19/$E$21</f>
        <v>0.277777777777778</v>
      </c>
      <c r="G19" s="127"/>
      <c r="H19" s="125" t="n">
        <f aca="false">+E19+G19</f>
        <v>38765</v>
      </c>
      <c r="I19" s="123" t="n">
        <f aca="false">+H19/$C$11</f>
        <v>0.200506892181964</v>
      </c>
      <c r="J19" s="61" t="n">
        <v>14.8238394900294</v>
      </c>
      <c r="K19" s="121" t="n">
        <f aca="false">H19*$C$100/$C$11+SUM(M85:M96)</f>
        <v>12557973.5902378</v>
      </c>
      <c r="L19" s="113" t="n">
        <f aca="false">IFERROR(K19/D19,"n/a")</f>
        <v>5.02318943609513</v>
      </c>
      <c r="M19" s="126" t="n">
        <f aca="false">E97</f>
        <v>0.181307033493337</v>
      </c>
      <c r="N19" s="9"/>
      <c r="O19" s="9" t="s">
        <v>384</v>
      </c>
      <c r="P19" s="61" t="n">
        <f aca="false">P18/(E17+E18+E20)</f>
        <v>64.4911647104347</v>
      </c>
      <c r="Q19" s="9"/>
      <c r="R19" s="9"/>
      <c r="S19" s="9"/>
    </row>
    <row r="20" customFormat="false" ht="15" hidden="false" customHeight="false" outlineLevel="0" collapsed="false">
      <c r="B20" s="36" t="s">
        <v>385</v>
      </c>
      <c r="C20" s="18" t="s">
        <v>386</v>
      </c>
      <c r="D20" s="121" t="n">
        <v>0</v>
      </c>
      <c r="E20" s="122"/>
      <c r="F20" s="123" t="n">
        <f aca="false">+E20/$E$21</f>
        <v>0</v>
      </c>
      <c r="G20" s="127"/>
      <c r="H20" s="125" t="n">
        <f aca="false">+E20+G20</f>
        <v>0</v>
      </c>
      <c r="I20" s="123" t="n">
        <f aca="false">+H20/$C$11</f>
        <v>0</v>
      </c>
      <c r="J20" s="61" t="s">
        <v>377</v>
      </c>
      <c r="K20" s="121" t="n">
        <f aca="false">E20*$C$100/$C$11</f>
        <v>0</v>
      </c>
      <c r="L20" s="113" t="str">
        <f aca="false">IFERROR(K20/D20,"n/a")</f>
        <v>n/a</v>
      </c>
      <c r="M20" s="126" t="s">
        <v>377</v>
      </c>
      <c r="N20" s="9"/>
      <c r="O20" s="9" t="s">
        <v>157</v>
      </c>
      <c r="P20" s="28" t="n">
        <f aca="false">P18+P17</f>
        <v>9000000</v>
      </c>
      <c r="Q20" s="9"/>
      <c r="R20" s="9"/>
      <c r="S20" s="9"/>
    </row>
    <row r="21" customFormat="false" ht="15.75" hidden="false" customHeight="true" outlineLevel="0" collapsed="false">
      <c r="B21" s="128" t="s">
        <v>124</v>
      </c>
      <c r="C21" s="128"/>
      <c r="D21" s="129" t="n">
        <f aca="false">SUM(D17:D20)</f>
        <v>3840545</v>
      </c>
      <c r="E21" s="130" t="n">
        <f aca="false">SUM(E17:E20)</f>
        <v>139554</v>
      </c>
      <c r="F21" s="131" t="n">
        <f aca="false">+E21/$E$21</f>
        <v>1</v>
      </c>
      <c r="G21" s="130" t="n">
        <f aca="false">SUM(G17:G20)</f>
        <v>53781</v>
      </c>
      <c r="H21" s="132" t="n">
        <f aca="false">+E21+G21</f>
        <v>193335</v>
      </c>
      <c r="I21" s="131" t="n">
        <f aca="false">+H21/$C$11</f>
        <v>1</v>
      </c>
      <c r="J21" s="133" t="n">
        <f aca="false">IFERROR(D21/E21,0)</f>
        <v>27.5201355747596</v>
      </c>
      <c r="K21" s="129" t="n">
        <f aca="false">SUM(K17:K20)</f>
        <v>60053359.3674967</v>
      </c>
      <c r="L21" s="134" t="n">
        <f aca="false">IFERROR(K21/D21,0)</f>
        <v>15.6366764007443</v>
      </c>
      <c r="M21" s="135" t="n">
        <f aca="false">C97</f>
        <v>0.314141684460381</v>
      </c>
      <c r="N21" s="9"/>
      <c r="O21" s="9" t="s">
        <v>387</v>
      </c>
      <c r="P21" s="66" t="n">
        <f aca="false">E19/E21</f>
        <v>0.277777777777778</v>
      </c>
      <c r="Q21" s="18" t="str">
        <f aca="false">"Nuevos: "&amp;TEXT($P$21,"0.0%")&amp;" · TIR "&amp;TEXT($M$19,"0.0%")&amp;" · MOIC "&amp;TEXT($L$19,"0.00")&amp;"x"</f>
        <v>Nuevos: 27.8% · TIR 18.1% · MOIC 5.02x</v>
      </c>
      <c r="R21" s="9"/>
      <c r="S21" s="9"/>
    </row>
    <row r="22" customFormat="false" ht="15.75" hidden="false" customHeight="true" outlineLevel="0" collapsed="false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 t="s">
        <v>388</v>
      </c>
      <c r="P22" s="136" t="n">
        <v>2026</v>
      </c>
      <c r="Q22" s="9"/>
      <c r="R22" s="9"/>
      <c r="S22" s="9"/>
    </row>
    <row r="23" customFormat="false" ht="15" hidden="false" customHeight="false" outlineLevel="0" collapsed="false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customFormat="false" ht="15" hidden="false" customHeight="false" outlineLevel="0" collapsed="false">
      <c r="B24" s="26" t="s">
        <v>389</v>
      </c>
      <c r="C24" s="26"/>
      <c r="D24" s="26"/>
      <c r="E24" s="26"/>
      <c r="F24" s="26"/>
      <c r="G24" s="26"/>
      <c r="H24" s="26"/>
      <c r="I24" s="26"/>
      <c r="J24" s="26"/>
      <c r="K24" s="9"/>
      <c r="L24" s="9"/>
      <c r="M24" s="9"/>
      <c r="N24" s="9"/>
    </row>
    <row r="25" customFormat="false" ht="15" hidden="false" customHeight="false" outlineLevel="0" collapsed="false">
      <c r="B25" s="9" t="s">
        <v>390</v>
      </c>
      <c r="C25" s="137" t="n">
        <f aca="false">L18</f>
        <v>24.1011912033</v>
      </c>
      <c r="D25" s="9"/>
      <c r="E25" s="44" t="s">
        <v>391</v>
      </c>
      <c r="F25" s="44"/>
      <c r="G25" s="44"/>
      <c r="H25" s="44"/>
      <c r="I25" s="44"/>
      <c r="J25" s="9"/>
      <c r="K25" s="9"/>
      <c r="L25" s="9"/>
      <c r="M25" s="9"/>
      <c r="N25" s="9"/>
    </row>
    <row r="26" customFormat="false" ht="15" hidden="false" customHeight="false" outlineLevel="0" collapsed="false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customFormat="false" ht="15" hidden="false" customHeight="false" outlineLevel="0" collapsed="false">
      <c r="B27" s="10" t="s">
        <v>392</v>
      </c>
      <c r="C27" s="10" t="s">
        <v>393</v>
      </c>
      <c r="D27" s="10" t="s">
        <v>394</v>
      </c>
      <c r="E27" s="10"/>
      <c r="F27" s="10"/>
      <c r="G27" s="10"/>
      <c r="H27" s="10"/>
      <c r="I27" s="10"/>
      <c r="J27" s="10"/>
      <c r="K27" s="9"/>
      <c r="L27" s="9"/>
      <c r="M27" s="9"/>
      <c r="N27" s="9"/>
    </row>
    <row r="28" customFormat="false" ht="15" hidden="false" customHeight="false" outlineLevel="0" collapsed="false">
      <c r="B28" s="138" t="s">
        <v>395</v>
      </c>
      <c r="C28" s="139" t="n">
        <v>13645</v>
      </c>
      <c r="D28" s="140" t="n">
        <f aca="false">C28/C30</f>
        <v>0.135380494096637</v>
      </c>
      <c r="E28" s="9"/>
      <c r="F28" s="9"/>
      <c r="G28" s="9"/>
      <c r="H28" s="9"/>
      <c r="I28" s="9"/>
      <c r="J28" s="9"/>
      <c r="K28" s="9"/>
      <c r="L28" s="9"/>
      <c r="M28" s="9"/>
      <c r="N28" s="9"/>
    </row>
    <row r="29" customFormat="false" ht="15" hidden="false" customHeight="false" outlineLevel="0" collapsed="false">
      <c r="B29" s="138" t="s">
        <v>396</v>
      </c>
      <c r="C29" s="139" t="n">
        <v>87145</v>
      </c>
      <c r="D29" s="141" t="n">
        <f aca="false">C29/C30</f>
        <v>0.864619505903364</v>
      </c>
      <c r="E29" s="9"/>
      <c r="F29" s="9"/>
      <c r="G29" s="9"/>
      <c r="H29" s="9"/>
      <c r="I29" s="9"/>
      <c r="J29" s="9"/>
      <c r="K29" s="9"/>
      <c r="L29" s="9"/>
      <c r="M29" s="9"/>
      <c r="N29" s="9"/>
    </row>
    <row r="30" customFormat="false" ht="15" hidden="false" customHeight="false" outlineLevel="0" collapsed="false">
      <c r="B30" s="138" t="s">
        <v>397</v>
      </c>
      <c r="C30" s="142" t="n">
        <f aca="false">C28+C29</f>
        <v>100790</v>
      </c>
      <c r="D30" s="143" t="n">
        <f aca="false">C30/C30</f>
        <v>1</v>
      </c>
      <c r="E30" s="9"/>
      <c r="F30" s="9"/>
      <c r="G30" s="9"/>
      <c r="H30" s="9"/>
      <c r="I30" s="9"/>
      <c r="J30" s="9"/>
      <c r="K30" s="9"/>
      <c r="L30" s="9"/>
      <c r="M30" s="9"/>
      <c r="N30" s="9"/>
    </row>
    <row r="31" customFormat="false" ht="15" hidden="false" customHeight="false" outlineLevel="0" collapsed="false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customFormat="false" ht="15" hidden="false" customHeight="false" outlineLevel="0" collapsed="false">
      <c r="B32" s="10" t="s">
        <v>398</v>
      </c>
      <c r="C32" s="10" t="s">
        <v>393</v>
      </c>
      <c r="D32" s="10" t="s">
        <v>399</v>
      </c>
      <c r="E32" s="10"/>
      <c r="F32" s="10"/>
      <c r="G32" s="10"/>
      <c r="H32" s="10"/>
      <c r="I32" s="10"/>
      <c r="J32" s="10"/>
      <c r="K32" s="9"/>
      <c r="L32" s="9"/>
      <c r="M32" s="9"/>
      <c r="N32" s="9"/>
      <c r="O32" s="9"/>
      <c r="P32" s="9"/>
      <c r="Q32" s="9"/>
      <c r="R32" s="9"/>
      <c r="S32" s="9"/>
    </row>
    <row r="33" customFormat="false" ht="15" hidden="false" customHeight="false" outlineLevel="0" collapsed="false">
      <c r="B33" s="138" t="s">
        <v>400</v>
      </c>
      <c r="C33" s="139" t="n">
        <v>9595</v>
      </c>
      <c r="D33" s="138" t="s">
        <v>401</v>
      </c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customFormat="false" ht="15" hidden="false" customHeight="false" outlineLevel="0" collapsed="false">
      <c r="B34" s="138" t="s">
        <v>402</v>
      </c>
      <c r="C34" s="139" t="n">
        <v>4050</v>
      </c>
      <c r="D34" s="138" t="s">
        <v>401</v>
      </c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customFormat="false" ht="15" hidden="false" customHeight="false" outlineLevel="0" collapsed="false">
      <c r="B35" s="138" t="s">
        <v>403</v>
      </c>
      <c r="C35" s="139" t="n">
        <v>31766</v>
      </c>
      <c r="D35" s="138" t="s">
        <v>404</v>
      </c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customFormat="false" ht="15" hidden="false" customHeight="false" outlineLevel="0" collapsed="false">
      <c r="B36" s="138" t="s">
        <v>405</v>
      </c>
      <c r="C36" s="139" t="n">
        <f aca="false">VLOOKUP(C25,C50:F57,4,TRUE())</f>
        <v>18000</v>
      </c>
      <c r="D36" s="138" t="s">
        <v>406</v>
      </c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customFormat="false" ht="15" hidden="false" customHeight="false" outlineLevel="0" collapsed="false">
      <c r="B37" s="9" t="s">
        <v>407</v>
      </c>
      <c r="C37" s="144" t="n">
        <f aca="false">J38+J39</f>
        <v>53781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customFormat="false" ht="15" hidden="false" customHeight="false" outlineLevel="0" collapsed="false">
      <c r="B38" s="138" t="s">
        <v>408</v>
      </c>
      <c r="C38" s="142" t="n">
        <f aca="false">SUM(C33:C36)</f>
        <v>63411</v>
      </c>
      <c r="D38" s="138"/>
      <c r="E38" s="9"/>
      <c r="F38" s="9"/>
      <c r="G38" s="9"/>
      <c r="H38" s="9"/>
      <c r="I38" s="9" t="s">
        <v>409</v>
      </c>
      <c r="J38" s="144" t="n">
        <f aca="false">C38-C28</f>
        <v>49766</v>
      </c>
      <c r="K38" s="44" t="s">
        <v>410</v>
      </c>
      <c r="L38" s="9"/>
      <c r="M38" s="9"/>
      <c r="N38" s="9"/>
      <c r="O38" s="9"/>
      <c r="P38" s="9"/>
      <c r="Q38" s="9"/>
      <c r="R38" s="9"/>
      <c r="S38" s="9"/>
    </row>
    <row r="39" customFormat="false" ht="15" hidden="false" customHeight="false" outlineLevel="0" collapsed="false">
      <c r="B39" s="138" t="s">
        <v>411</v>
      </c>
      <c r="C39" s="139" t="n">
        <f aca="false">H18+H19+H20-C33</f>
        <v>129924</v>
      </c>
      <c r="D39" s="138"/>
      <c r="E39" s="9"/>
      <c r="F39" s="9"/>
      <c r="G39" s="9"/>
      <c r="H39" s="9"/>
      <c r="I39" s="9" t="s">
        <v>412</v>
      </c>
      <c r="J39" s="122" t="n">
        <v>4015</v>
      </c>
      <c r="K39" s="9"/>
      <c r="L39" s="9"/>
      <c r="M39" s="9"/>
      <c r="N39" s="9"/>
      <c r="O39" s="9"/>
      <c r="P39" s="9"/>
      <c r="Q39" s="9"/>
      <c r="R39" s="9"/>
      <c r="S39" s="9"/>
    </row>
    <row r="40" customFormat="false" ht="15" hidden="false" customHeight="false" outlineLevel="0" collapsed="false">
      <c r="B40" s="138" t="s">
        <v>413</v>
      </c>
      <c r="C40" s="142" t="n">
        <f aca="false">C38+C39</f>
        <v>193335</v>
      </c>
      <c r="D40" s="13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customFormat="false" ht="15" hidden="false" customHeight="false" outlineLevel="0" collapsed="false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customFormat="false" ht="15" hidden="false" customHeight="false" outlineLevel="0" collapsed="false">
      <c r="B42" s="10" t="s">
        <v>414</v>
      </c>
      <c r="C42" s="10"/>
      <c r="D42" s="10"/>
      <c r="E42" s="10"/>
      <c r="F42" s="10"/>
      <c r="G42" s="10"/>
      <c r="H42" s="10"/>
      <c r="I42" s="10"/>
      <c r="J42" s="10"/>
      <c r="K42" s="9"/>
      <c r="L42" s="9"/>
      <c r="M42" s="9"/>
      <c r="N42" s="9"/>
      <c r="O42" s="9"/>
      <c r="P42" s="9"/>
      <c r="Q42" s="9"/>
      <c r="R42" s="9"/>
      <c r="S42" s="9"/>
    </row>
    <row r="43" customFormat="false" ht="15" hidden="false" customHeight="false" outlineLevel="0" collapsed="false">
      <c r="B43" s="9" t="s">
        <v>415</v>
      </c>
      <c r="C43" s="145" t="n">
        <f aca="false">(C38+C77)/C11</f>
        <v>0.327985103576693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customFormat="false" ht="15" hidden="false" customHeight="false" outlineLevel="0" collapsed="false">
      <c r="B44" s="9" t="s">
        <v>416</v>
      </c>
      <c r="C44" s="146" t="n">
        <f aca="false">C43*$C$100+SUM($K$85:$K$96)+SUM($L$85:$L$96)*$C$33/$E$18</f>
        <v>18294967.4969759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customFormat="false" ht="15" hidden="false" customHeight="false" outlineLevel="0" collapsed="false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customFormat="false" ht="15" hidden="false" customHeight="false" outlineLevel="0" collapsed="false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customFormat="false" ht="15" hidden="false" customHeight="false" outlineLevel="0" collapsed="false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customFormat="false" ht="15" hidden="false" customHeight="false" outlineLevel="0" collapsed="false">
      <c r="B48" s="10" t="s">
        <v>417</v>
      </c>
      <c r="C48" s="10"/>
      <c r="D48" s="10"/>
      <c r="E48" s="10"/>
      <c r="F48" s="10"/>
      <c r="G48" s="10"/>
      <c r="H48" s="10"/>
      <c r="I48" s="10"/>
      <c r="J48" s="10"/>
      <c r="K48" s="9"/>
      <c r="L48" s="9"/>
      <c r="M48" s="9"/>
      <c r="N48" s="9"/>
      <c r="O48" s="9"/>
      <c r="P48" s="9"/>
      <c r="Q48" s="9"/>
      <c r="R48" s="9"/>
      <c r="S48" s="9"/>
    </row>
    <row r="49" customFormat="false" ht="15" hidden="false" customHeight="false" outlineLevel="0" collapsed="false">
      <c r="B49" s="9"/>
      <c r="C49" s="147" t="s">
        <v>149</v>
      </c>
      <c r="D49" s="147" t="s">
        <v>418</v>
      </c>
      <c r="E49" s="147" t="s">
        <v>419</v>
      </c>
      <c r="F49" s="147" t="s">
        <v>420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customFormat="false" ht="15" hidden="false" customHeight="false" outlineLevel="0" collapsed="false">
      <c r="B50" s="9"/>
      <c r="C50" s="148" t="n">
        <v>0</v>
      </c>
      <c r="D50" s="149" t="n">
        <v>0</v>
      </c>
      <c r="E50" s="150" t="n">
        <v>0</v>
      </c>
      <c r="F50" s="150" t="n">
        <v>0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customFormat="false" ht="15" hidden="false" customHeight="false" outlineLevel="0" collapsed="false">
      <c r="B51" s="9"/>
      <c r="C51" s="151" t="n">
        <v>1</v>
      </c>
      <c r="D51" s="152" t="n">
        <v>765000</v>
      </c>
      <c r="E51" s="139" t="n">
        <v>8573</v>
      </c>
      <c r="F51" s="139" t="n">
        <v>7716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customFormat="false" ht="15" hidden="false" customHeight="false" outlineLevel="0" collapsed="false">
      <c r="B52" s="9"/>
      <c r="C52" s="151" t="n">
        <v>2</v>
      </c>
      <c r="D52" s="152" t="n">
        <v>1530000</v>
      </c>
      <c r="E52" s="139" t="n">
        <v>10245</v>
      </c>
      <c r="F52" s="139" t="n">
        <v>9221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customFormat="false" ht="15" hidden="false" customHeight="false" outlineLevel="0" collapsed="false">
      <c r="B53" s="9"/>
      <c r="C53" s="151" t="n">
        <v>3</v>
      </c>
      <c r="D53" s="152" t="n">
        <v>2295000</v>
      </c>
      <c r="E53" s="139" t="n">
        <v>12001</v>
      </c>
      <c r="F53" s="139" t="n">
        <v>10801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customFormat="false" ht="15" hidden="false" customHeight="false" outlineLevel="0" collapsed="false">
      <c r="B54" s="9"/>
      <c r="C54" s="151" t="n">
        <v>4</v>
      </c>
      <c r="D54" s="152" t="n">
        <v>3060000</v>
      </c>
      <c r="E54" s="139" t="n">
        <v>13847</v>
      </c>
      <c r="F54" s="139" t="n">
        <v>12462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customFormat="false" ht="15" hidden="false" customHeight="false" outlineLevel="0" collapsed="false">
      <c r="B55" s="9"/>
      <c r="C55" s="151" t="n">
        <v>5</v>
      </c>
      <c r="D55" s="152" t="n">
        <v>3825000</v>
      </c>
      <c r="E55" s="139" t="n">
        <v>15790</v>
      </c>
      <c r="F55" s="139" t="n">
        <v>14211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customFormat="false" ht="15" hidden="false" customHeight="false" outlineLevel="0" collapsed="false">
      <c r="B56" s="9"/>
      <c r="C56" s="151" t="n">
        <v>6</v>
      </c>
      <c r="D56" s="152" t="n">
        <v>4590000</v>
      </c>
      <c r="E56" s="139" t="n">
        <v>17838</v>
      </c>
      <c r="F56" s="139" t="n">
        <v>16054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customFormat="false" ht="15" hidden="false" customHeight="false" outlineLevel="0" collapsed="false">
      <c r="B57" s="9"/>
      <c r="C57" s="151" t="n">
        <v>7</v>
      </c>
      <c r="D57" s="152" t="n">
        <v>5355000</v>
      </c>
      <c r="E57" s="139" t="n">
        <v>20000</v>
      </c>
      <c r="F57" s="139" t="n">
        <v>18000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customFormat="false" ht="15" hidden="false" customHeight="false" outlineLevel="0" collapsed="false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customFormat="false" ht="15" hidden="false" customHeight="false" outlineLevel="0" collapsed="false">
      <c r="B59" s="10" t="s">
        <v>421</v>
      </c>
      <c r="C59" s="10"/>
      <c r="D59" s="10"/>
      <c r="E59" s="10"/>
      <c r="F59" s="10"/>
      <c r="G59" s="10"/>
      <c r="H59" s="10"/>
      <c r="I59" s="10"/>
      <c r="J59" s="10"/>
      <c r="K59" s="9"/>
      <c r="L59" s="9"/>
      <c r="M59" s="9"/>
      <c r="N59" s="9"/>
      <c r="O59" s="9"/>
      <c r="P59" s="9"/>
      <c r="Q59" s="9"/>
      <c r="R59" s="9"/>
      <c r="S59" s="9"/>
    </row>
    <row r="60" customFormat="false" ht="15" hidden="false" customHeight="false" outlineLevel="0" collapsed="false">
      <c r="B60" s="153" t="s">
        <v>422</v>
      </c>
      <c r="C60" s="153" t="s">
        <v>423</v>
      </c>
      <c r="D60" s="153" t="s">
        <v>424</v>
      </c>
      <c r="E60" s="153" t="s">
        <v>425</v>
      </c>
      <c r="F60" s="154" t="s">
        <v>123</v>
      </c>
      <c r="G60" s="153"/>
      <c r="H60" s="153"/>
      <c r="I60" s="153"/>
      <c r="J60" s="153" t="s">
        <v>399</v>
      </c>
      <c r="K60" s="9"/>
      <c r="L60" s="9"/>
      <c r="M60" s="9"/>
      <c r="N60" s="9"/>
      <c r="O60" s="9"/>
      <c r="P60" s="9"/>
      <c r="Q60" s="9"/>
      <c r="R60" s="9"/>
      <c r="S60" s="9"/>
    </row>
    <row r="61" customFormat="false" ht="15" hidden="false" customHeight="false" outlineLevel="0" collapsed="false">
      <c r="B61" s="138" t="s">
        <v>426</v>
      </c>
      <c r="C61" s="155" t="n">
        <v>0</v>
      </c>
      <c r="D61" s="139" t="s">
        <v>427</v>
      </c>
      <c r="E61" s="139" t="n">
        <v>0</v>
      </c>
      <c r="F61" s="156" t="n">
        <v>2024</v>
      </c>
      <c r="G61" s="139"/>
      <c r="H61" s="139"/>
      <c r="I61" s="139"/>
      <c r="J61" s="138" t="s">
        <v>427</v>
      </c>
      <c r="K61" s="9"/>
      <c r="L61" s="9"/>
      <c r="M61" s="9"/>
      <c r="N61" s="9"/>
      <c r="O61" s="9"/>
      <c r="P61" s="9"/>
      <c r="Q61" s="9"/>
      <c r="R61" s="9"/>
      <c r="S61" s="9"/>
    </row>
    <row r="62" customFormat="false" ht="15" hidden="false" customHeight="false" outlineLevel="0" collapsed="false">
      <c r="B62" s="138" t="s">
        <v>428</v>
      </c>
      <c r="C62" s="155" t="n">
        <v>18</v>
      </c>
      <c r="D62" s="139" t="n">
        <v>4050</v>
      </c>
      <c r="E62" s="139" t="n">
        <v>4050</v>
      </c>
      <c r="F62" s="156" t="n">
        <v>2026</v>
      </c>
      <c r="G62" s="139"/>
      <c r="H62" s="139"/>
      <c r="I62" s="139"/>
      <c r="J62" s="138" t="s">
        <v>429</v>
      </c>
      <c r="K62" s="9"/>
      <c r="L62" s="9"/>
      <c r="M62" s="9"/>
      <c r="N62" s="9"/>
      <c r="O62" s="9"/>
      <c r="P62" s="9"/>
      <c r="Q62" s="9"/>
      <c r="R62" s="9"/>
      <c r="S62" s="9"/>
    </row>
    <row r="63" customFormat="false" ht="15" hidden="false" customHeight="false" outlineLevel="0" collapsed="false">
      <c r="B63" s="157" t="n">
        <v>46204</v>
      </c>
      <c r="C63" s="155" t="n">
        <v>24</v>
      </c>
      <c r="D63" s="139" t="n">
        <v>1369</v>
      </c>
      <c r="E63" s="139" t="n">
        <v>5419</v>
      </c>
      <c r="F63" s="156" t="n">
        <v>2026</v>
      </c>
      <c r="G63" s="139"/>
      <c r="H63" s="139"/>
      <c r="I63" s="139"/>
      <c r="J63" s="138" t="s">
        <v>430</v>
      </c>
      <c r="K63" s="9"/>
      <c r="L63" s="9"/>
      <c r="M63" s="9"/>
      <c r="N63" s="9"/>
      <c r="O63" s="9"/>
      <c r="P63" s="9"/>
      <c r="Q63" s="9"/>
      <c r="R63" s="9"/>
      <c r="S63" s="9"/>
    </row>
    <row r="64" customFormat="false" ht="15" hidden="false" customHeight="false" outlineLevel="0" collapsed="false">
      <c r="B64" s="157" t="n">
        <v>46569</v>
      </c>
      <c r="C64" s="155" t="n">
        <v>36</v>
      </c>
      <c r="D64" s="139" t="n">
        <v>2738</v>
      </c>
      <c r="E64" s="139" t="n">
        <v>8157</v>
      </c>
      <c r="F64" s="156" t="n">
        <v>2027</v>
      </c>
      <c r="G64" s="139"/>
      <c r="H64" s="139"/>
      <c r="I64" s="139"/>
      <c r="J64" s="138" t="s">
        <v>431</v>
      </c>
      <c r="K64" s="9"/>
      <c r="L64" s="9"/>
      <c r="M64" s="9"/>
      <c r="N64" s="9"/>
      <c r="O64" s="9"/>
      <c r="P64" s="9"/>
      <c r="Q64" s="9"/>
      <c r="R64" s="9"/>
      <c r="S64" s="9"/>
    </row>
    <row r="65" customFormat="false" ht="15" hidden="false" customHeight="false" outlineLevel="0" collapsed="false">
      <c r="B65" s="157" t="n">
        <v>46935</v>
      </c>
      <c r="C65" s="155" t="n">
        <v>48</v>
      </c>
      <c r="D65" s="139" t="n">
        <v>2738</v>
      </c>
      <c r="E65" s="139" t="n">
        <v>10895</v>
      </c>
      <c r="F65" s="156" t="n">
        <v>2028</v>
      </c>
      <c r="G65" s="139"/>
      <c r="H65" s="139"/>
      <c r="I65" s="139"/>
      <c r="J65" s="138" t="s">
        <v>431</v>
      </c>
      <c r="K65" s="9"/>
      <c r="L65" s="9"/>
      <c r="M65" s="9"/>
      <c r="N65" s="9"/>
      <c r="O65" s="9"/>
      <c r="P65" s="9"/>
      <c r="Q65" s="9"/>
      <c r="R65" s="9"/>
      <c r="S65" s="9"/>
    </row>
    <row r="66" customFormat="false" ht="15" hidden="false" customHeight="false" outlineLevel="0" collapsed="false">
      <c r="B66" s="157" t="n">
        <v>47300</v>
      </c>
      <c r="C66" s="155" t="n">
        <v>60</v>
      </c>
      <c r="D66" s="139" t="n">
        <v>2738</v>
      </c>
      <c r="E66" s="139" t="n">
        <v>13633</v>
      </c>
      <c r="F66" s="156" t="n">
        <v>2029</v>
      </c>
      <c r="G66" s="139"/>
      <c r="H66" s="139"/>
      <c r="I66" s="139"/>
      <c r="J66" s="138" t="s">
        <v>432</v>
      </c>
      <c r="K66" s="9"/>
      <c r="L66" s="9"/>
      <c r="M66" s="9"/>
      <c r="N66" s="9"/>
      <c r="O66" s="9"/>
      <c r="P66" s="9"/>
      <c r="Q66" s="9"/>
      <c r="R66" s="9"/>
      <c r="S66" s="9"/>
    </row>
    <row r="67" customFormat="false" ht="15" hidden="false" customHeight="false" outlineLevel="0" collapsed="false">
      <c r="B67" s="158" t="n">
        <f aca="false">DATE(2030,7,1)</f>
        <v>47665</v>
      </c>
      <c r="C67" s="29" t="n">
        <v>72</v>
      </c>
      <c r="D67" s="122" t="n">
        <v>2727</v>
      </c>
      <c r="E67" s="122" t="n">
        <f aca="false">E66+D67</f>
        <v>16360</v>
      </c>
      <c r="F67" s="159" t="n">
        <v>2030</v>
      </c>
      <c r="G67" s="122"/>
      <c r="H67" s="122"/>
      <c r="I67" s="122"/>
      <c r="J67" s="9" t="s">
        <v>433</v>
      </c>
      <c r="K67" s="9"/>
      <c r="L67" s="9"/>
      <c r="M67" s="9"/>
      <c r="N67" s="9"/>
      <c r="O67" s="9"/>
      <c r="P67" s="9"/>
      <c r="Q67" s="9"/>
      <c r="R67" s="9"/>
      <c r="S67" s="9"/>
    </row>
    <row r="68" customFormat="false" ht="15" hidden="false" customHeight="false" outlineLevel="0" collapsed="false">
      <c r="B68" s="158" t="n">
        <f aca="false">DATE(2031,7,1)</f>
        <v>48030</v>
      </c>
      <c r="C68" s="29" t="n">
        <v>84</v>
      </c>
      <c r="D68" s="122" t="n">
        <v>2727</v>
      </c>
      <c r="E68" s="122" t="n">
        <f aca="false">E67+D68</f>
        <v>19087</v>
      </c>
      <c r="F68" s="159" t="n">
        <v>2031</v>
      </c>
      <c r="G68" s="122"/>
      <c r="H68" s="122"/>
      <c r="I68" s="122"/>
      <c r="J68" s="9" t="s">
        <v>433</v>
      </c>
      <c r="K68" s="9"/>
      <c r="L68" s="9"/>
      <c r="M68" s="9"/>
      <c r="N68" s="9"/>
      <c r="O68" s="9"/>
      <c r="P68" s="9"/>
      <c r="Q68" s="9"/>
      <c r="R68" s="9"/>
      <c r="S68" s="9"/>
    </row>
    <row r="69" customFormat="false" ht="15" hidden="false" customHeight="false" outlineLevel="0" collapsed="false">
      <c r="B69" s="158" t="n">
        <f aca="false">DATE(2032,7,1)</f>
        <v>48396</v>
      </c>
      <c r="C69" s="29" t="n">
        <v>96</v>
      </c>
      <c r="D69" s="122" t="n">
        <v>2727</v>
      </c>
      <c r="E69" s="122" t="n">
        <f aca="false">E68+D69</f>
        <v>21814</v>
      </c>
      <c r="F69" s="159" t="n">
        <v>2032</v>
      </c>
      <c r="G69" s="122"/>
      <c r="H69" s="122"/>
      <c r="I69" s="122"/>
      <c r="J69" s="9" t="s">
        <v>433</v>
      </c>
      <c r="K69" s="9"/>
      <c r="L69" s="9"/>
      <c r="M69" s="9"/>
      <c r="N69" s="9"/>
      <c r="O69" s="9"/>
      <c r="P69" s="9"/>
      <c r="Q69" s="9"/>
      <c r="R69" s="9"/>
      <c r="S69" s="9"/>
    </row>
    <row r="70" customFormat="false" ht="15" hidden="false" customHeight="false" outlineLevel="0" collapsed="false">
      <c r="B70" s="158" t="n">
        <f aca="false">DATE(2033,7,1)</f>
        <v>48761</v>
      </c>
      <c r="C70" s="29" t="n">
        <v>108</v>
      </c>
      <c r="D70" s="122" t="n">
        <v>2726</v>
      </c>
      <c r="E70" s="122" t="n">
        <f aca="false">E69+D70</f>
        <v>24540</v>
      </c>
      <c r="F70" s="159" t="n">
        <v>2033</v>
      </c>
      <c r="G70" s="122"/>
      <c r="H70" s="122"/>
      <c r="I70" s="122"/>
      <c r="J70" s="9" t="s">
        <v>433</v>
      </c>
      <c r="K70" s="9"/>
      <c r="L70" s="9"/>
      <c r="M70" s="9"/>
      <c r="N70" s="9"/>
      <c r="O70" s="9"/>
      <c r="P70" s="9"/>
      <c r="Q70" s="9"/>
      <c r="R70" s="9"/>
      <c r="S70" s="9"/>
    </row>
    <row r="71" customFormat="false" ht="15" hidden="false" customHeight="false" outlineLevel="0" collapsed="false">
      <c r="B71" s="158" t="n">
        <f aca="false">DATE(2034,7,1)</f>
        <v>49126</v>
      </c>
      <c r="C71" s="29" t="n">
        <v>120</v>
      </c>
      <c r="D71" s="122" t="n">
        <v>2726</v>
      </c>
      <c r="E71" s="122" t="n">
        <f aca="false">E70+D71</f>
        <v>27266</v>
      </c>
      <c r="F71" s="159" t="n">
        <v>2034</v>
      </c>
      <c r="G71" s="122"/>
      <c r="H71" s="122"/>
      <c r="I71" s="122"/>
      <c r="J71" s="9" t="s">
        <v>434</v>
      </c>
      <c r="K71" s="9"/>
      <c r="L71" s="9"/>
      <c r="M71" s="9"/>
      <c r="N71" s="9"/>
      <c r="O71" s="9"/>
      <c r="P71" s="9"/>
      <c r="Q71" s="9"/>
      <c r="R71" s="9"/>
      <c r="S71" s="9"/>
    </row>
    <row r="72" customFormat="false" ht="15" hidden="false" customHeight="false" outlineLevel="0" collapsed="false">
      <c r="B72" s="158"/>
      <c r="C72" s="29"/>
      <c r="D72" s="122"/>
      <c r="E72" s="122"/>
      <c r="F72" s="122"/>
      <c r="G72" s="122"/>
      <c r="H72" s="122"/>
      <c r="I72" s="122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customFormat="false" ht="15" hidden="false" customHeight="false" outlineLevel="0" collapsed="false">
      <c r="B73" s="160" t="s">
        <v>435</v>
      </c>
      <c r="C73" s="29"/>
      <c r="D73" s="122"/>
      <c r="E73" s="122"/>
      <c r="F73" s="122"/>
      <c r="G73" s="122"/>
      <c r="H73" s="122"/>
      <c r="I73" s="122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customFormat="false" ht="15" hidden="false" customHeight="false" outlineLevel="0" collapsed="false">
      <c r="B74" s="161" t="s">
        <v>436</v>
      </c>
      <c r="C74" s="162" t="n">
        <v>9000</v>
      </c>
      <c r="D74" s="122"/>
      <c r="E74" s="122"/>
      <c r="F74" s="122"/>
      <c r="G74" s="122"/>
      <c r="H74" s="122"/>
      <c r="I74" s="122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customFormat="false" ht="15" hidden="false" customHeight="false" outlineLevel="0" collapsed="false">
      <c r="B75" s="161" t="s">
        <v>437</v>
      </c>
      <c r="C75" s="163" t="n">
        <v>5</v>
      </c>
      <c r="D75" s="122"/>
      <c r="E75" s="122"/>
      <c r="F75" s="122"/>
      <c r="G75" s="122"/>
      <c r="H75" s="122"/>
      <c r="I75" s="122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customFormat="false" ht="15" hidden="false" customHeight="false" outlineLevel="0" collapsed="false">
      <c r="B76" s="161" t="s">
        <v>438</v>
      </c>
      <c r="C76" s="164" t="n">
        <f aca="false">(($H$19*$C$100/($H$21+$C$74))+SUM($M$85:$M$96))/$D$19</f>
        <v>4.85655729385892</v>
      </c>
      <c r="D76" s="122"/>
      <c r="E76" s="122"/>
      <c r="F76" s="122"/>
      <c r="G76" s="122"/>
      <c r="H76" s="122"/>
      <c r="I76" s="122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customFormat="false" ht="15" hidden="false" customHeight="false" outlineLevel="0" collapsed="false">
      <c r="B77" s="161" t="s">
        <v>439</v>
      </c>
      <c r="C77" s="165" t="n">
        <f aca="false">IF($C$76&gt;=$C$75,$C$74,0)</f>
        <v>0</v>
      </c>
      <c r="D77" s="28" t="n">
        <f aca="false">C77*$C$100/$C$11</f>
        <v>0</v>
      </c>
      <c r="E77" s="122"/>
      <c r="F77" s="122"/>
      <c r="G77" s="122"/>
      <c r="H77" s="122"/>
      <c r="I77" s="122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customFormat="false" ht="15" hidden="false" customHeight="false" outlineLevel="0" collapsed="false">
      <c r="B78" s="166" t="s">
        <v>440</v>
      </c>
      <c r="C78" s="29"/>
      <c r="D78" s="122"/>
      <c r="E78" s="122"/>
      <c r="F78" s="122"/>
      <c r="G78" s="122"/>
      <c r="H78" s="122"/>
      <c r="I78" s="122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customFormat="false" ht="15" hidden="false" customHeight="false" outlineLevel="0" collapsed="false">
      <c r="B79" s="158"/>
      <c r="C79" s="29"/>
      <c r="D79" s="122"/>
      <c r="E79" s="122"/>
      <c r="F79" s="122"/>
      <c r="G79" s="122"/>
      <c r="H79" s="122"/>
      <c r="I79" s="122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customFormat="false" ht="15" hidden="false" customHeight="false" outlineLevel="0" collapsed="false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customFormat="false" ht="15" hidden="false" customHeight="false" outlineLevel="0" collapsed="false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customFormat="false" ht="15" hidden="false" customHeight="false" outlineLevel="0" collapsed="false">
      <c r="B82" s="26" t="s">
        <v>441</v>
      </c>
      <c r="C82" s="167"/>
      <c r="D82" s="167"/>
      <c r="E82" s="167"/>
      <c r="F82" s="167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customFormat="false" ht="17.15" hidden="false" customHeight="false" outlineLevel="0" collapsed="false">
      <c r="B83" s="18" t="s">
        <v>442</v>
      </c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  <row r="84" customFormat="false" ht="15" hidden="false" customHeight="false" outlineLevel="0" collapsed="false">
      <c r="B84" s="10" t="s">
        <v>123</v>
      </c>
      <c r="C84" s="10" t="s">
        <v>443</v>
      </c>
      <c r="D84" s="10" t="s">
        <v>444</v>
      </c>
      <c r="E84" s="10" t="s">
        <v>445</v>
      </c>
      <c r="F84" s="10" t="s">
        <v>446</v>
      </c>
      <c r="G84" s="10" t="s">
        <v>447</v>
      </c>
      <c r="H84" s="10" t="s">
        <v>448</v>
      </c>
      <c r="I84" s="10" t="s">
        <v>449</v>
      </c>
      <c r="J84" s="10" t="s">
        <v>450</v>
      </c>
      <c r="K84" s="10" t="s">
        <v>451</v>
      </c>
      <c r="L84" s="10" t="s">
        <v>452</v>
      </c>
      <c r="M84" s="10" t="s">
        <v>453</v>
      </c>
      <c r="N84" s="9"/>
      <c r="O84" s="9"/>
      <c r="P84" s="9"/>
      <c r="Q84" s="9"/>
      <c r="R84" s="9"/>
      <c r="S84" s="9"/>
    </row>
    <row r="85" customFormat="false" ht="15" hidden="false" customHeight="false" outlineLevel="0" collapsed="false">
      <c r="B85" s="9" t="n">
        <f aca="false">2025</f>
        <v>2025</v>
      </c>
      <c r="C85" s="121" t="n">
        <f aca="false" t="array" ref="C85:C85">IF($B85=2025,-$D$18,0)-INDEX('㉕ Funding Gap'!$C$39:$N$39,$B85-2024)+$F85+IF($B85=$C$5,$C$100,0)</f>
        <v>-1340545</v>
      </c>
      <c r="D85" s="121" t="n">
        <f aca="false">IF($B85=2025,-$D$18,0)+$L85+IF($B85=$C$5,$C$100*$I$18,0)</f>
        <v>-1340545</v>
      </c>
      <c r="E85" s="121" t="n">
        <f aca="false" t="array" ref="E85:E85">-INDEX('㉕ Funding Gap'!$C$39:$N$39,$B85-2024)+$M85+IF($B85=$C$5,$C$100*$I$19,0)</f>
        <v>0</v>
      </c>
      <c r="F85" s="121" t="n">
        <f aca="false" t="array" ref="F85:F85">INDEX('㉕ Funding Gap'!$C$67:$N$67,$B85-2024)</f>
        <v>0</v>
      </c>
      <c r="G85" s="122" t="n">
        <f aca="false" t="array" ref="G85:G85">SUMPRODUCT(($F$62:$F$71&lt;=$B85)*$D$62:$D$71)</f>
        <v>0</v>
      </c>
      <c r="H85" s="122" t="n">
        <f aca="false">$E$18</f>
        <v>96739</v>
      </c>
      <c r="I85" s="122" t="n">
        <f aca="false">IF($B85&gt;=$P$22,$E$19,0)</f>
        <v>0</v>
      </c>
      <c r="J85" s="122" t="n">
        <f aca="false">G85+H85+I85</f>
        <v>96739</v>
      </c>
      <c r="K85" s="121" t="n">
        <f aca="false">IF($J85=0,0,$F85*G85/$J85)</f>
        <v>0</v>
      </c>
      <c r="L85" s="121" t="n">
        <f aca="false">IF($J85=0,0,$F85*H85/$J85)</f>
        <v>0</v>
      </c>
      <c r="M85" s="121" t="n">
        <f aca="false">IF($J85=0,0,$F85*I85/$J85)</f>
        <v>0</v>
      </c>
      <c r="N85" s="9"/>
      <c r="O85" s="9"/>
      <c r="P85" s="9"/>
      <c r="Q85" s="9"/>
      <c r="R85" s="9"/>
      <c r="S85" s="9"/>
    </row>
    <row r="86" customFormat="false" ht="15" hidden="false" customHeight="false" outlineLevel="0" collapsed="false">
      <c r="B86" s="9" t="n">
        <f aca="false">B85+1</f>
        <v>2026</v>
      </c>
      <c r="C86" s="121" t="n">
        <f aca="false" t="array" ref="C86:C86">IF($B86=2025,-$D$18,0)-INDEX('㉕ Funding Gap'!$C$39:$N$39,$B86-2024)+$F86+IF($B86=$C$5,$C$100,0)</f>
        <v>-2500000</v>
      </c>
      <c r="D86" s="121" t="n">
        <f aca="false">IF($B86=2025,-$D$18,0)+$L86+IF($B86=$C$5,$C$100*$I$18,0)</f>
        <v>0</v>
      </c>
      <c r="E86" s="121" t="n">
        <f aca="false" t="array" ref="E86:E86">-INDEX('㉕ Funding Gap'!$C$39:$N$39,$B86-2024)+$M86+IF($B86=$C$5,$C$100*$I$19,0)</f>
        <v>-2500000</v>
      </c>
      <c r="F86" s="121" t="n">
        <f aca="false" t="array" ref="F86:F86">INDEX('㉕ Funding Gap'!$C$67:$N$67,$B86-2024)</f>
        <v>0</v>
      </c>
      <c r="G86" s="122" t="n">
        <f aca="false" t="array" ref="G86:G86">SUMPRODUCT(($F$62:$F$71&lt;=$B86)*$D$62:$D$71)</f>
        <v>5419</v>
      </c>
      <c r="H86" s="122" t="n">
        <f aca="false">$E$18</f>
        <v>96739</v>
      </c>
      <c r="I86" s="122" t="n">
        <f aca="false">IF($B86&gt;=$P$22,$E$19,0)</f>
        <v>38765</v>
      </c>
      <c r="J86" s="122" t="n">
        <f aca="false">G86+H86+I86</f>
        <v>140923</v>
      </c>
      <c r="K86" s="121" t="n">
        <f aca="false">IF($J86=0,0,$F86*G86/$J86)</f>
        <v>0</v>
      </c>
      <c r="L86" s="121" t="n">
        <f aca="false">IF($J86=0,0,$F86*H86/$J86)</f>
        <v>0</v>
      </c>
      <c r="M86" s="121" t="n">
        <f aca="false">IF($J86=0,0,$F86*I86/$J86)</f>
        <v>0</v>
      </c>
      <c r="N86" s="9"/>
      <c r="O86" s="9"/>
      <c r="P86" s="9"/>
      <c r="Q86" s="9"/>
      <c r="R86" s="9"/>
      <c r="S86" s="9"/>
    </row>
    <row r="87" customFormat="false" ht="15" hidden="false" customHeight="false" outlineLevel="0" collapsed="false">
      <c r="B87" s="9" t="n">
        <f aca="false">B86+1</f>
        <v>2027</v>
      </c>
      <c r="C87" s="121" t="n">
        <f aca="false" t="array" ref="C87:C87">IF($B87=2025,-$D$18,0)-INDEX('㉕ Funding Gap'!$C$39:$N$39,$B87-2024)+$F87+IF($B87=$C$5,$C$100,0)</f>
        <v>0</v>
      </c>
      <c r="D87" s="121" t="n">
        <f aca="false">IF($B87=2025,-$D$18,0)+$L87+IF($B87=$C$5,$C$100*$I$18,0)</f>
        <v>0</v>
      </c>
      <c r="E87" s="121" t="n">
        <f aca="false" t="array" ref="E87:E87">-INDEX('㉕ Funding Gap'!$C$39:$N$39,$B87-2024)+$M87+IF($B87=$C$5,$C$100*$I$19,0)</f>
        <v>0</v>
      </c>
      <c r="F87" s="121" t="n">
        <f aca="false" t="array" ref="F87:F87">INDEX('㉕ Funding Gap'!$C$67:$N$67,$B87-2024)</f>
        <v>0</v>
      </c>
      <c r="G87" s="122" t="n">
        <f aca="false" t="array" ref="G87:G87">SUMPRODUCT(($F$62:$F$71&lt;=$B87)*$D$62:$D$71)</f>
        <v>8157</v>
      </c>
      <c r="H87" s="122" t="n">
        <f aca="false">$E$18</f>
        <v>96739</v>
      </c>
      <c r="I87" s="122" t="n">
        <f aca="false">IF($B87&gt;=$P$22,$E$19,0)</f>
        <v>38765</v>
      </c>
      <c r="J87" s="122" t="n">
        <f aca="false">G87+H87+I87</f>
        <v>143661</v>
      </c>
      <c r="K87" s="121" t="n">
        <f aca="false">IF($J87=0,0,$F87*G87/$J87)</f>
        <v>0</v>
      </c>
      <c r="L87" s="121" t="n">
        <f aca="false">IF($J87=0,0,$F87*H87/$J87)</f>
        <v>0</v>
      </c>
      <c r="M87" s="121" t="n">
        <f aca="false">IF($J87=0,0,$F87*I87/$J87)</f>
        <v>0</v>
      </c>
      <c r="N87" s="9"/>
      <c r="O87" s="9"/>
      <c r="P87" s="9"/>
      <c r="Q87" s="9"/>
      <c r="R87" s="9"/>
      <c r="S87" s="9"/>
    </row>
    <row r="88" customFormat="false" ht="15" hidden="false" customHeight="false" outlineLevel="0" collapsed="false">
      <c r="B88" s="9" t="n">
        <f aca="false">B87+1</f>
        <v>2028</v>
      </c>
      <c r="C88" s="121" t="n">
        <f aca="false" t="array" ref="C88:C88">IF($B88=2025,-$D$18,0)-INDEX('㉕ Funding Gap'!$C$39:$N$39,$B88-2024)+$F88+IF($B88=$C$5,$C$100,0)</f>
        <v>0</v>
      </c>
      <c r="D88" s="121" t="n">
        <f aca="false">IF($B88=2025,-$D$18,0)+$L88+IF($B88=$C$5,$C$100*$I$18,0)</f>
        <v>0</v>
      </c>
      <c r="E88" s="121" t="n">
        <f aca="false" t="array" ref="E88:E88">-INDEX('㉕ Funding Gap'!$C$39:$N$39,$B88-2024)+$M88+IF($B88=$C$5,$C$100*$I$19,0)</f>
        <v>0</v>
      </c>
      <c r="F88" s="121" t="n">
        <f aca="false" t="array" ref="F88:F88">INDEX('㉕ Funding Gap'!$C$67:$N$67,$B88-2024)</f>
        <v>0</v>
      </c>
      <c r="G88" s="122" t="n">
        <f aca="false" t="array" ref="G88:G88">SUMPRODUCT(($F$62:$F$71&lt;=$B88)*$D$62:$D$71)</f>
        <v>10895</v>
      </c>
      <c r="H88" s="122" t="n">
        <f aca="false">$E$18</f>
        <v>96739</v>
      </c>
      <c r="I88" s="122" t="n">
        <f aca="false">IF($B88&gt;=$P$22,$E$19,0)</f>
        <v>38765</v>
      </c>
      <c r="J88" s="122" t="n">
        <f aca="false">G88+H88+I88</f>
        <v>146399</v>
      </c>
      <c r="K88" s="121" t="n">
        <f aca="false">IF($J88=0,0,$F88*G88/$J88)</f>
        <v>0</v>
      </c>
      <c r="L88" s="121" t="n">
        <f aca="false">IF($J88=0,0,$F88*H88/$J88)</f>
        <v>0</v>
      </c>
      <c r="M88" s="121" t="n">
        <f aca="false">IF($J88=0,0,$F88*I88/$J88)</f>
        <v>0</v>
      </c>
      <c r="N88" s="9"/>
      <c r="O88" s="9"/>
      <c r="P88" s="9"/>
      <c r="Q88" s="9"/>
      <c r="R88" s="9"/>
      <c r="S88" s="9"/>
    </row>
    <row r="89" customFormat="false" ht="15" hidden="false" customHeight="false" outlineLevel="0" collapsed="false">
      <c r="B89" s="9" t="n">
        <f aca="false">B88+1</f>
        <v>2029</v>
      </c>
      <c r="C89" s="121" t="n">
        <f aca="false" t="array" ref="C89:C89">IF($B89=2025,-$D$18,0)-INDEX('㉕ Funding Gap'!$C$39:$N$39,$B89-2024)+$F89+IF($B89=$C$5,$C$100,0)</f>
        <v>0</v>
      </c>
      <c r="D89" s="121" t="n">
        <f aca="false">IF($B89=2025,-$D$18,0)+$L89+IF($B89=$C$5,$C$100*$I$18,0)</f>
        <v>0</v>
      </c>
      <c r="E89" s="121" t="n">
        <f aca="false" t="array" ref="E89:E89">-INDEX('㉕ Funding Gap'!$C$39:$N$39,$B89-2024)+$M89+IF($B89=$C$5,$C$100*$I$19,0)</f>
        <v>0</v>
      </c>
      <c r="F89" s="121" t="n">
        <f aca="false" t="array" ref="F89:F89">INDEX('㉕ Funding Gap'!$C$67:$N$67,$B89-2024)</f>
        <v>0</v>
      </c>
      <c r="G89" s="122" t="n">
        <f aca="false" t="array" ref="G89:G89">SUMPRODUCT(($F$62:$F$71&lt;=$B89)*$D$62:$D$71)</f>
        <v>13633</v>
      </c>
      <c r="H89" s="122" t="n">
        <f aca="false">$E$18</f>
        <v>96739</v>
      </c>
      <c r="I89" s="122" t="n">
        <f aca="false">IF($B89&gt;=$P$22,$E$19,0)</f>
        <v>38765</v>
      </c>
      <c r="J89" s="122" t="n">
        <f aca="false">G89+H89+I89</f>
        <v>149137</v>
      </c>
      <c r="K89" s="121" t="n">
        <f aca="false">IF($J89=0,0,$F89*G89/$J89)</f>
        <v>0</v>
      </c>
      <c r="L89" s="121" t="n">
        <f aca="false">IF($J89=0,0,$F89*H89/$J89)</f>
        <v>0</v>
      </c>
      <c r="M89" s="121" t="n">
        <f aca="false">IF($J89=0,0,$F89*I89/$J89)</f>
        <v>0</v>
      </c>
      <c r="N89" s="9"/>
      <c r="O89" s="9"/>
      <c r="P89" s="9"/>
      <c r="Q89" s="9"/>
      <c r="R89" s="9"/>
      <c r="S89" s="9"/>
    </row>
    <row r="90" customFormat="false" ht="15" hidden="false" customHeight="false" outlineLevel="0" collapsed="false">
      <c r="B90" s="9" t="n">
        <f aca="false">B89+1</f>
        <v>2030</v>
      </c>
      <c r="C90" s="121" t="n">
        <f aca="false" t="array" ref="C90:C90">IF($B90=2025,-$D$18,0)-INDEX('㉕ Funding Gap'!$C$39:$N$39,$B90-2024)+$F90+IF($B90=$C$5,$C$100,0)</f>
        <v>0</v>
      </c>
      <c r="D90" s="121" t="n">
        <f aca="false">IF($B90=2025,-$D$18,0)+$L90+IF($B90=$C$5,$C$100*$I$18,0)</f>
        <v>0</v>
      </c>
      <c r="E90" s="121" t="n">
        <f aca="false" t="array" ref="E90:E90">-INDEX('㉕ Funding Gap'!$C$39:$N$39,$B90-2024)+$M90+IF($B90=$C$5,$C$100*$I$19,0)</f>
        <v>0</v>
      </c>
      <c r="F90" s="121" t="n">
        <f aca="false" t="array" ref="F90:F90">INDEX('㉕ Funding Gap'!$C$67:$N$67,$B90-2024)</f>
        <v>0</v>
      </c>
      <c r="G90" s="122" t="n">
        <f aca="false" t="array" ref="G90:G90">SUMPRODUCT(($F$62:$F$71&lt;=$B90)*$D$62:$D$71)</f>
        <v>16360</v>
      </c>
      <c r="H90" s="122" t="n">
        <f aca="false">$E$18</f>
        <v>96739</v>
      </c>
      <c r="I90" s="122" t="n">
        <f aca="false">IF($B90&gt;=$P$22,$E$19,0)</f>
        <v>38765</v>
      </c>
      <c r="J90" s="122" t="n">
        <f aca="false">G90+H90+I90</f>
        <v>151864</v>
      </c>
      <c r="K90" s="121" t="n">
        <f aca="false">IF($J90=0,0,$F90*G90/$J90)</f>
        <v>0</v>
      </c>
      <c r="L90" s="121" t="n">
        <f aca="false">IF($J90=0,0,$F90*H90/$J90)</f>
        <v>0</v>
      </c>
      <c r="M90" s="121" t="n">
        <f aca="false">IF($J90=0,0,$F90*I90/$J90)</f>
        <v>0</v>
      </c>
      <c r="N90" s="9"/>
      <c r="O90" s="9"/>
      <c r="P90" s="9"/>
      <c r="Q90" s="9"/>
      <c r="R90" s="9"/>
      <c r="S90" s="9"/>
    </row>
    <row r="91" customFormat="false" ht="15" hidden="false" customHeight="false" outlineLevel="0" collapsed="false">
      <c r="B91" s="9" t="n">
        <f aca="false">B90+1</f>
        <v>2031</v>
      </c>
      <c r="C91" s="121" t="n">
        <f aca="false" t="array" ref="C91:C91">IF($B91=2025,-$D$18,0)-INDEX('㉕ Funding Gap'!$C$39:$N$39,$B91-2024)+$F91+IF($B91=$C$5,$C$100,0)</f>
        <v>0</v>
      </c>
      <c r="D91" s="121" t="n">
        <f aca="false">IF($B91=2025,-$D$18,0)+$L91+IF($B91=$C$5,$C$100*$I$18,0)</f>
        <v>0</v>
      </c>
      <c r="E91" s="121" t="n">
        <f aca="false" t="array" ref="E91:E91">-INDEX('㉕ Funding Gap'!$C$39:$N$39,$B91-2024)+$M91+IF($B91=$C$5,$C$100*$I$19,0)</f>
        <v>0</v>
      </c>
      <c r="F91" s="121" t="n">
        <f aca="false" t="array" ref="F91:F91">INDEX('㉕ Funding Gap'!$C$67:$N$67,$B91-2024)</f>
        <v>0</v>
      </c>
      <c r="G91" s="122" t="n">
        <f aca="false" t="array" ref="G91:G91">SUMPRODUCT(($F$62:$F$71&lt;=$B91)*$D$62:$D$71)</f>
        <v>19087</v>
      </c>
      <c r="H91" s="122" t="n">
        <f aca="false">$E$18</f>
        <v>96739</v>
      </c>
      <c r="I91" s="122" t="n">
        <f aca="false">IF($B91&gt;=$P$22,$E$19,0)</f>
        <v>38765</v>
      </c>
      <c r="J91" s="122" t="n">
        <f aca="false">G91+H91+I91</f>
        <v>154591</v>
      </c>
      <c r="K91" s="121" t="n">
        <f aca="false">IF($J91=0,0,$F91*G91/$J91)</f>
        <v>0</v>
      </c>
      <c r="L91" s="121" t="n">
        <f aca="false">IF($J91=0,0,$F91*H91/$J91)</f>
        <v>0</v>
      </c>
      <c r="M91" s="121" t="n">
        <f aca="false">IF($J91=0,0,$F91*I91/$J91)</f>
        <v>0</v>
      </c>
      <c r="N91" s="9"/>
      <c r="O91" s="9"/>
      <c r="P91" s="9"/>
      <c r="Q91" s="9"/>
      <c r="R91" s="9"/>
      <c r="S91" s="9"/>
    </row>
    <row r="92" customFormat="false" ht="15" hidden="false" customHeight="false" outlineLevel="0" collapsed="false">
      <c r="B92" s="9" t="n">
        <f aca="false">B91+1</f>
        <v>2032</v>
      </c>
      <c r="C92" s="121" t="n">
        <f aca="false" t="array" ref="C92:C92">IF($B92=2025,-$D$18,0)-INDEX('㉕ Funding Gap'!$C$39:$N$39,$B92-2024)+$F92+IF($B92=$C$5,$C$100,0)</f>
        <v>1504137.36428201</v>
      </c>
      <c r="D92" s="121" t="n">
        <f aca="false">IF($B92=2025,-$D$18,0)+$L92+IF($B92=$C$5,$C$100*$I$18,0)</f>
        <v>924933.856795008</v>
      </c>
      <c r="E92" s="121" t="n">
        <f aca="false" t="array" ref="E92:E92">-INDEX('㉕ Funding Gap'!$C$39:$N$39,$B92-2024)+$M92+IF($B92=$C$5,$C$100*$I$19,0)</f>
        <v>370637.084926023</v>
      </c>
      <c r="F92" s="121" t="n">
        <f aca="false" t="array" ref="F92:F92">INDEX('㉕ Funding Gap'!$C$67:$N$67,$B92-2024)</f>
        <v>1504137.36428201</v>
      </c>
      <c r="G92" s="122" t="n">
        <f aca="false" t="array" ref="G92:G92">SUMPRODUCT(($F$62:$F$71&lt;=$B92)*$D$62:$D$71)</f>
        <v>21814</v>
      </c>
      <c r="H92" s="122" t="n">
        <f aca="false">$E$18</f>
        <v>96739</v>
      </c>
      <c r="I92" s="122" t="n">
        <f aca="false">IF($B92&gt;=$P$22,$E$19,0)</f>
        <v>38765</v>
      </c>
      <c r="J92" s="122" t="n">
        <f aca="false">G92+H92+I92</f>
        <v>157318</v>
      </c>
      <c r="K92" s="121" t="n">
        <f aca="false">IF($J92=0,0,$F92*G92/$J92)</f>
        <v>208566.422560977</v>
      </c>
      <c r="L92" s="121" t="n">
        <f aca="false">IF($J92=0,0,$F92*H92/$J92)</f>
        <v>924933.856795008</v>
      </c>
      <c r="M92" s="121" t="n">
        <f aca="false">IF($J92=0,0,$F92*I92/$J92)</f>
        <v>370637.084926023</v>
      </c>
      <c r="N92" s="9"/>
      <c r="O92" s="9"/>
      <c r="P92" s="9"/>
      <c r="Q92" s="9"/>
      <c r="R92" s="9"/>
      <c r="S92" s="9"/>
    </row>
    <row r="93" customFormat="false" ht="15" hidden="false" customHeight="false" outlineLevel="0" collapsed="false">
      <c r="B93" s="9" t="n">
        <f aca="false">B92+1</f>
        <v>2033</v>
      </c>
      <c r="C93" s="121" t="n">
        <f aca="false" t="array" ref="C93:C93">IF($B93=2025,-$D$18,0)-INDEX('㉕ Funding Gap'!$C$39:$N$39,$B93-2024)+$F93+IF($B93=$C$5,$C$100,0)</f>
        <v>494119.104974607</v>
      </c>
      <c r="D93" s="121" t="n">
        <f aca="false">IF($B93=2025,-$D$18,0)+$L93+IF($B93=$C$5,$C$100*$I$18,0)</f>
        <v>298671.540927111</v>
      </c>
      <c r="E93" s="121" t="n">
        <f aca="false" t="array" ref="E93:E93">-INDEX('㉕ Funding Gap'!$C$39:$N$39,$B93-2024)+$M93+IF($B93=$C$5,$C$100*$I$19,0)</f>
        <v>119682.881609686</v>
      </c>
      <c r="F93" s="121" t="n">
        <f aca="false" t="array" ref="F93:F93">INDEX('㉕ Funding Gap'!$C$67:$N$67,$B93-2024)</f>
        <v>494119.104974607</v>
      </c>
      <c r="G93" s="122" t="n">
        <f aca="false" t="array" ref="G93:G93">SUMPRODUCT(($F$62:$F$71&lt;=$B93)*$D$62:$D$71)</f>
        <v>24540</v>
      </c>
      <c r="H93" s="122" t="n">
        <f aca="false">$E$18</f>
        <v>96739</v>
      </c>
      <c r="I93" s="122" t="n">
        <f aca="false">IF($B93&gt;=$P$22,$E$19,0)</f>
        <v>38765</v>
      </c>
      <c r="J93" s="122" t="n">
        <f aca="false">G93+H93+I93</f>
        <v>160044</v>
      </c>
      <c r="K93" s="121" t="n">
        <f aca="false">IF($J93=0,0,$F93*G93/$J93)</f>
        <v>75764.68243781</v>
      </c>
      <c r="L93" s="121" t="n">
        <f aca="false">IF($J93=0,0,$F93*H93/$J93)</f>
        <v>298671.540927111</v>
      </c>
      <c r="M93" s="121" t="n">
        <f aca="false">IF($J93=0,0,$F93*I93/$J93)</f>
        <v>119682.881609686</v>
      </c>
      <c r="N93" s="9"/>
      <c r="O93" s="9"/>
      <c r="P93" s="9"/>
      <c r="Q93" s="9"/>
      <c r="R93" s="9"/>
      <c r="S93" s="9"/>
    </row>
    <row r="94" customFormat="false" ht="15" hidden="false" customHeight="false" outlineLevel="0" collapsed="false">
      <c r="B94" s="9" t="n">
        <f aca="false">B93+1</f>
        <v>2034</v>
      </c>
      <c r="C94" s="121" t="n">
        <f aca="false" t="array" ref="C94:C94">IF($B94=2025,-$D$18,0)-INDEX('㉕ Funding Gap'!$C$39:$N$39,$B94-2024)+$F94+IF($B94=$C$5,$C$100,0)</f>
        <v>711043.781229023</v>
      </c>
      <c r="D94" s="121" t="n">
        <f aca="false">IF($B94=2025,-$D$18,0)+$L94+IF($B94=$C$5,$C$100*$I$18,0)</f>
        <v>422594.239431802</v>
      </c>
      <c r="E94" s="121" t="n">
        <f aca="false" t="array" ref="E94:E94">-INDEX('㉕ Funding Gap'!$C$39:$N$39,$B94-2024)+$M94+IF($B94=$C$5,$C$100*$I$19,0)</f>
        <v>169340.862439904</v>
      </c>
      <c r="F94" s="121" t="n">
        <f aca="false" t="array" ref="F94:F94">INDEX('㉕ Funding Gap'!$C$67:$N$67,$B94-2024)</f>
        <v>711043.781229023</v>
      </c>
      <c r="G94" s="122" t="n">
        <f aca="false" t="array" ref="G94:G94">SUMPRODUCT(($F$62:$F$71&lt;=$B94)*$D$62:$D$71)</f>
        <v>27266</v>
      </c>
      <c r="H94" s="122" t="n">
        <f aca="false">$E$18</f>
        <v>96739</v>
      </c>
      <c r="I94" s="122" t="n">
        <f aca="false">IF($B94&gt;=$P$22,$E$19,0)</f>
        <v>38765</v>
      </c>
      <c r="J94" s="122" t="n">
        <f aca="false">G94+H94+I94</f>
        <v>162770</v>
      </c>
      <c r="K94" s="121" t="n">
        <f aca="false">IF($J94=0,0,$F94*G94/$J94)</f>
        <v>119108.679357317</v>
      </c>
      <c r="L94" s="121" t="n">
        <f aca="false">IF($J94=0,0,$F94*H94/$J94)</f>
        <v>422594.239431802</v>
      </c>
      <c r="M94" s="121" t="n">
        <f aca="false">IF($J94=0,0,$F94*I94/$J94)</f>
        <v>169340.862439904</v>
      </c>
      <c r="N94" s="9"/>
      <c r="O94" s="9"/>
      <c r="P94" s="9"/>
      <c r="Q94" s="9"/>
      <c r="R94" s="9"/>
      <c r="S94" s="9"/>
    </row>
    <row r="95" customFormat="false" ht="15" hidden="false" customHeight="false" outlineLevel="0" collapsed="false">
      <c r="B95" s="9" t="n">
        <f aca="false">B94+1</f>
        <v>2035</v>
      </c>
      <c r="C95" s="121" t="n">
        <f aca="false" t="array" ref="C95:C95">IF($B95=2025,-$D$18,0)-INDEX('㉕ Funding Gap'!$C$39:$N$39,$B95-2024)+$F95+IF($B95=$C$5,$C$100,0)</f>
        <v>4088746.11449583</v>
      </c>
      <c r="D95" s="121" t="n">
        <f aca="false">IF($B95=2025,-$D$18,0)+$L95+IF($B95=$C$5,$C$100*$I$18,0)</f>
        <v>2430062.11445729</v>
      </c>
      <c r="E95" s="121" t="n">
        <f aca="false" t="array" ref="E95:E95">-INDEX('㉕ Funding Gap'!$C$39:$N$39,$B95-2024)+$M95+IF($B95=$C$5,$C$100*$I$19,0)</f>
        <v>973768.158311918</v>
      </c>
      <c r="F95" s="121" t="n">
        <f aca="false" t="array" ref="F95:F95">INDEX('㉕ Funding Gap'!$C$67:$N$67,$B95-2024)</f>
        <v>4088746.11449583</v>
      </c>
      <c r="G95" s="122" t="n">
        <f aca="false" t="array" ref="G95:G95">SUMPRODUCT(($F$62:$F$71&lt;=$B95)*$D$62:$D$71)</f>
        <v>27266</v>
      </c>
      <c r="H95" s="122" t="n">
        <f aca="false">$E$18</f>
        <v>96739</v>
      </c>
      <c r="I95" s="122" t="n">
        <f aca="false">IF($B95&gt;=$P$22,$E$19,0)</f>
        <v>38765</v>
      </c>
      <c r="J95" s="122" t="n">
        <f aca="false">G95+H95+I95</f>
        <v>162770</v>
      </c>
      <c r="K95" s="121" t="n">
        <f aca="false">IF($J95=0,0,$F95*G95/$J95)</f>
        <v>684915.841726629</v>
      </c>
      <c r="L95" s="121" t="n">
        <f aca="false">IF($J95=0,0,$F95*H95/$J95)</f>
        <v>2430062.11445729</v>
      </c>
      <c r="M95" s="121" t="n">
        <f aca="false">IF($J95=0,0,$F95*I95/$J95)</f>
        <v>973768.158311918</v>
      </c>
      <c r="N95" s="9"/>
      <c r="O95" s="9"/>
      <c r="P95" s="9"/>
      <c r="Q95" s="9"/>
      <c r="R95" s="9"/>
      <c r="S95" s="9"/>
    </row>
    <row r="96" customFormat="false" ht="15" hidden="false" customHeight="false" outlineLevel="0" collapsed="false">
      <c r="B96" s="9" t="n">
        <f aca="false">B95+1</f>
        <v>2036</v>
      </c>
      <c r="C96" s="121" t="n">
        <f aca="false" t="array" ref="C96:C96">IF($B96=2025,-$D$18,0)-INDEX('㉕ Funding Gap'!$C$39:$N$39,$B96-2024)+$F96+IF($B96=$C$5,$C$100,0)</f>
        <v>53255313.0025152</v>
      </c>
      <c r="D96" s="121" t="n">
        <f aca="false">IF($B96=2025,-$D$18,0)+$L96+IF($B96=$C$5,$C$100*$I$18,0)</f>
        <v>28232469.6100166</v>
      </c>
      <c r="E96" s="121" t="n">
        <f aca="false" t="array" ref="E96:E96">-INDEX('㉕ Funding Gap'!$C$39:$N$39,$B96-2024)+$M96+IF($B96=$C$5,$C$100*$I$19,0)</f>
        <v>10924544.6029503</v>
      </c>
      <c r="F96" s="121" t="n">
        <f aca="false" t="array" ref="F96:F96">INDEX('㉕ Funding Gap'!$C$67:$N$67,$B96-2024)</f>
        <v>6546590.96133905</v>
      </c>
      <c r="G96" s="122" t="n">
        <f aca="false" t="array" ref="G96:G96">SUMPRODUCT(($F$62:$F$71&lt;=$B96)*$D$62:$D$71)</f>
        <v>27266</v>
      </c>
      <c r="H96" s="122" t="n">
        <f aca="false">$E$18</f>
        <v>96739</v>
      </c>
      <c r="I96" s="122" t="n">
        <f aca="false">IF($B96&gt;=$P$22,$E$19,0)</f>
        <v>38765</v>
      </c>
      <c r="J96" s="122" t="n">
        <f aca="false">G96+H96+I96</f>
        <v>162770</v>
      </c>
      <c r="K96" s="121" t="n">
        <f aca="false">IF($J96=0,0,$F96*G96/$J96)</f>
        <v>1096635.4312949</v>
      </c>
      <c r="L96" s="121" t="n">
        <f aca="false">IF($J96=0,0,$F96*H96/$J96)</f>
        <v>3890831.6213613</v>
      </c>
      <c r="M96" s="121" t="n">
        <f aca="false">IF($J96=0,0,$F96*I96/$J96)</f>
        <v>1559123.90868286</v>
      </c>
      <c r="N96" s="9"/>
      <c r="O96" s="9"/>
      <c r="P96" s="9"/>
      <c r="Q96" s="9"/>
      <c r="R96" s="9"/>
      <c r="S96" s="9"/>
    </row>
    <row r="97" customFormat="false" ht="15" hidden="false" customHeight="false" outlineLevel="0" collapsed="false">
      <c r="B97" s="36" t="s">
        <v>454</v>
      </c>
      <c r="C97" s="168" t="n">
        <f aca="false">IRR(C85:C96)</f>
        <v>0.314141684460381</v>
      </c>
      <c r="D97" s="168" t="n">
        <f aca="false">IRR(D85:D96)</f>
        <v>0.348942121450419</v>
      </c>
      <c r="E97" s="168" t="n">
        <f aca="false">IRR(E85:E96)</f>
        <v>0.181307033493337</v>
      </c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</row>
    <row r="98" customFormat="false" ht="15" hidden="false" customHeight="false" outlineLevel="0" collapsed="false">
      <c r="B98" s="36" t="s">
        <v>455</v>
      </c>
      <c r="C98" s="113" t="n">
        <f aca="false">SUMIF(C85:C96,"&gt;0")/-SUMIF(C85:C96,"&lt;0")</f>
        <v>15.6366764007443</v>
      </c>
      <c r="D98" s="113" t="n">
        <f aca="false">SUMIF(D85:D96,"&gt;0")/-SUMIF(D85:D96,"&lt;0")</f>
        <v>24.1011912033</v>
      </c>
      <c r="E98" s="113" t="n">
        <f aca="false">SUMIF(E85:E96,"&gt;0")/-SUMIF(E85:E96,"&lt;0")</f>
        <v>5.02318943609513</v>
      </c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</row>
    <row r="99" customFormat="false" ht="17.15" hidden="false" customHeight="false" outlineLevel="0" collapsed="false">
      <c r="B99" s="9" t="s">
        <v>456</v>
      </c>
      <c r="C99" s="28" t="n">
        <f aca="false">SUM('㉕ Funding Gap'!C67:N67)</f>
        <v>13344637.3263205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</row>
    <row r="100" customFormat="false" ht="15" hidden="false" customHeight="false" outlineLevel="0" collapsed="false">
      <c r="B100" s="9" t="s">
        <v>457</v>
      </c>
      <c r="C100" s="28" t="n">
        <f aca="false">C10</f>
        <v>46708722.0411762</v>
      </c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</row>
  </sheetData>
  <mergeCells count="5">
    <mergeCell ref="B1:R1"/>
    <mergeCell ref="B2:R2"/>
    <mergeCell ref="B4:E4"/>
    <mergeCell ref="B15:M15"/>
    <mergeCell ref="B24:J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5523A"/>
    <pageSetUpPr fitToPage="false"/>
  </sheetPr>
  <dimension ref="B1:I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38" activeCellId="0" sqref="H38"/>
    </sheetView>
  </sheetViews>
  <sheetFormatPr defaultColWidth="10.6796875" defaultRowHeight="15" zeroHeight="false" outlineLevelRow="0" outlineLevelCol="0"/>
  <cols>
    <col collapsed="false" customWidth="true" hidden="false" outlineLevel="0" max="2" min="2" style="0" width="28.33"/>
    <col collapsed="false" customWidth="true" hidden="false" outlineLevel="0" max="3" min="3" style="0" width="21.67"/>
    <col collapsed="false" customWidth="true" hidden="false" outlineLevel="0" max="4" min="4" style="0" width="11.67"/>
    <col collapsed="false" customWidth="true" hidden="false" outlineLevel="0" max="5" min="5" style="0" width="13.34"/>
    <col collapsed="false" customWidth="true" hidden="false" outlineLevel="0" max="7" min="6" style="0" width="12.5"/>
    <col collapsed="false" customWidth="true" hidden="false" outlineLevel="0" max="8" min="8" style="0" width="9.16"/>
    <col collapsed="false" customWidth="true" hidden="false" outlineLevel="0" max="9" min="9" style="0" width="43.33"/>
  </cols>
  <sheetData>
    <row r="1" customFormat="false" ht="6" hidden="false" customHeight="true" outlineLevel="0" collapsed="false"/>
    <row r="2" customFormat="false" ht="18.75" hidden="false" customHeight="true" outlineLevel="0" collapsed="false">
      <c r="B2" s="19" t="s">
        <v>458</v>
      </c>
      <c r="C2" s="9"/>
      <c r="D2" s="9"/>
      <c r="E2" s="9"/>
      <c r="F2" s="9"/>
      <c r="G2" s="9"/>
      <c r="H2" s="9"/>
      <c r="I2" s="9"/>
    </row>
    <row r="3" customFormat="false" ht="15" hidden="false" customHeight="false" outlineLevel="0" collapsed="false">
      <c r="B3" s="44" t="s">
        <v>459</v>
      </c>
      <c r="C3" s="9"/>
      <c r="D3" s="9"/>
      <c r="E3" s="9"/>
      <c r="F3" s="9"/>
      <c r="G3" s="9"/>
      <c r="H3" s="9"/>
      <c r="I3" s="9"/>
    </row>
    <row r="4" customFormat="false" ht="15" hidden="false" customHeight="false" outlineLevel="0" collapsed="false">
      <c r="B4" s="9"/>
      <c r="C4" s="9"/>
      <c r="D4" s="9"/>
      <c r="E4" s="9"/>
      <c r="F4" s="9"/>
      <c r="G4" s="9"/>
      <c r="H4" s="9"/>
      <c r="I4" s="9"/>
    </row>
    <row r="5" customFormat="false" ht="15" hidden="false" customHeight="false" outlineLevel="0" collapsed="false">
      <c r="B5" s="26" t="s">
        <v>460</v>
      </c>
      <c r="C5" s="26"/>
      <c r="D5" s="26"/>
      <c r="E5" s="26"/>
      <c r="F5" s="26"/>
      <c r="G5" s="26"/>
      <c r="H5" s="26"/>
      <c r="I5" s="26"/>
    </row>
    <row r="6" customFormat="false" ht="15" hidden="false" customHeight="false" outlineLevel="0" collapsed="false">
      <c r="B6" s="169" t="s">
        <v>461</v>
      </c>
      <c r="C6" s="169" t="s">
        <v>462</v>
      </c>
      <c r="D6" s="169" t="s">
        <v>463</v>
      </c>
      <c r="E6" s="169" t="s">
        <v>464</v>
      </c>
      <c r="F6" s="169" t="s">
        <v>465</v>
      </c>
      <c r="G6" s="169" t="s">
        <v>466</v>
      </c>
      <c r="H6" s="169" t="s">
        <v>467</v>
      </c>
      <c r="I6" s="169" t="s">
        <v>468</v>
      </c>
    </row>
    <row r="7" customFormat="false" ht="15" hidden="false" customHeight="false" outlineLevel="0" collapsed="false">
      <c r="B7" s="138" t="s">
        <v>469</v>
      </c>
      <c r="C7" s="138" t="s">
        <v>470</v>
      </c>
      <c r="D7" s="138" t="s">
        <v>471</v>
      </c>
      <c r="E7" s="138" t="s">
        <v>472</v>
      </c>
      <c r="F7" s="151" t="n">
        <v>3</v>
      </c>
      <c r="G7" s="151" t="n">
        <v>28</v>
      </c>
      <c r="H7" s="151" t="n">
        <v>46</v>
      </c>
      <c r="I7" s="138" t="s">
        <v>473</v>
      </c>
    </row>
    <row r="8" customFormat="false" ht="15" hidden="false" customHeight="false" outlineLevel="0" collapsed="false">
      <c r="B8" s="138" t="s">
        <v>474</v>
      </c>
      <c r="C8" s="138" t="s">
        <v>475</v>
      </c>
      <c r="D8" s="138" t="s">
        <v>476</v>
      </c>
      <c r="E8" s="138" t="s">
        <v>477</v>
      </c>
      <c r="F8" s="151" t="n">
        <v>10</v>
      </c>
      <c r="G8" s="151" t="n">
        <v>65</v>
      </c>
      <c r="H8" s="151" t="n">
        <v>260</v>
      </c>
      <c r="I8" s="138" t="s">
        <v>478</v>
      </c>
    </row>
    <row r="9" customFormat="false" ht="15" hidden="false" customHeight="false" outlineLevel="0" collapsed="false">
      <c r="B9" s="138" t="s">
        <v>479</v>
      </c>
      <c r="C9" s="138" t="s">
        <v>480</v>
      </c>
      <c r="D9" s="138" t="s">
        <v>481</v>
      </c>
      <c r="E9" s="138" t="s">
        <v>482</v>
      </c>
      <c r="F9" s="151" t="n">
        <v>4.6</v>
      </c>
      <c r="G9" s="151" t="n">
        <v>18.6</v>
      </c>
      <c r="H9" s="170" t="s">
        <v>427</v>
      </c>
      <c r="I9" s="138" t="s">
        <v>483</v>
      </c>
    </row>
    <row r="10" customFormat="false" ht="15" hidden="false" customHeight="false" outlineLevel="0" collapsed="false">
      <c r="B10" s="138" t="s">
        <v>484</v>
      </c>
      <c r="C10" s="138" t="s">
        <v>485</v>
      </c>
      <c r="D10" s="138" t="s">
        <v>486</v>
      </c>
      <c r="E10" s="138" t="s">
        <v>487</v>
      </c>
      <c r="F10" s="151" t="n">
        <v>1.1</v>
      </c>
      <c r="G10" s="151" t="n">
        <v>12</v>
      </c>
      <c r="H10" s="170" t="s">
        <v>427</v>
      </c>
      <c r="I10" s="138" t="s">
        <v>488</v>
      </c>
    </row>
    <row r="11" customFormat="false" ht="15" hidden="false" customHeight="false" outlineLevel="0" collapsed="false">
      <c r="B11" s="9"/>
      <c r="C11" s="9"/>
      <c r="D11" s="9"/>
      <c r="E11" s="9"/>
      <c r="F11" s="9"/>
      <c r="G11" s="9"/>
      <c r="H11" s="9"/>
      <c r="I11" s="9"/>
    </row>
    <row r="12" customFormat="false" ht="15" hidden="false" customHeight="false" outlineLevel="0" collapsed="false">
      <c r="B12" s="26" t="s">
        <v>489</v>
      </c>
      <c r="C12" s="26"/>
      <c r="D12" s="26"/>
      <c r="E12" s="26"/>
      <c r="F12" s="26"/>
      <c r="G12" s="26"/>
      <c r="H12" s="26"/>
      <c r="I12" s="26"/>
    </row>
    <row r="13" customFormat="false" ht="15" hidden="false" customHeight="false" outlineLevel="0" collapsed="false">
      <c r="B13" s="169" t="s">
        <v>461</v>
      </c>
      <c r="C13" s="169" t="s">
        <v>490</v>
      </c>
      <c r="D13" s="169"/>
      <c r="E13" s="169" t="s">
        <v>491</v>
      </c>
      <c r="F13" s="169" t="s">
        <v>492</v>
      </c>
      <c r="G13" s="169" t="s">
        <v>493</v>
      </c>
      <c r="H13" s="169"/>
      <c r="I13" s="169" t="s">
        <v>468</v>
      </c>
    </row>
    <row r="14" customFormat="false" ht="15" hidden="false" customHeight="false" outlineLevel="0" collapsed="false">
      <c r="B14" s="138" t="s">
        <v>494</v>
      </c>
      <c r="C14" s="138" t="s">
        <v>495</v>
      </c>
      <c r="D14" s="138"/>
      <c r="E14" s="138" t="s">
        <v>496</v>
      </c>
      <c r="F14" s="138" t="s">
        <v>497</v>
      </c>
      <c r="G14" s="138" t="s">
        <v>498</v>
      </c>
      <c r="H14" s="138"/>
      <c r="I14" s="138" t="s">
        <v>499</v>
      </c>
    </row>
    <row r="15" customFormat="false" ht="15" hidden="false" customHeight="false" outlineLevel="0" collapsed="false">
      <c r="B15" s="138" t="s">
        <v>500</v>
      </c>
      <c r="C15" s="138" t="s">
        <v>501</v>
      </c>
      <c r="D15" s="138"/>
      <c r="E15" s="138" t="s">
        <v>502</v>
      </c>
      <c r="F15" s="138" t="s">
        <v>503</v>
      </c>
      <c r="G15" s="138" t="s">
        <v>504</v>
      </c>
      <c r="H15" s="138"/>
      <c r="I15" s="138" t="s">
        <v>505</v>
      </c>
    </row>
    <row r="16" customFormat="false" ht="15" hidden="false" customHeight="false" outlineLevel="0" collapsed="false">
      <c r="B16" s="9"/>
      <c r="C16" s="9"/>
      <c r="D16" s="9"/>
      <c r="E16" s="9"/>
      <c r="F16" s="9"/>
      <c r="G16" s="9"/>
      <c r="H16" s="9"/>
      <c r="I16" s="9"/>
    </row>
    <row r="17" customFormat="false" ht="15" hidden="false" customHeight="false" outlineLevel="0" collapsed="false">
      <c r="B17" s="26" t="s">
        <v>506</v>
      </c>
      <c r="C17" s="26"/>
      <c r="D17" s="26"/>
      <c r="E17" s="26"/>
      <c r="F17" s="26"/>
      <c r="G17" s="26"/>
      <c r="H17" s="26"/>
      <c r="I17" s="26"/>
    </row>
    <row r="18" customFormat="false" ht="15" hidden="false" customHeight="false" outlineLevel="0" collapsed="false">
      <c r="B18" s="9" t="s">
        <v>507</v>
      </c>
      <c r="C18" s="9"/>
      <c r="D18" s="9"/>
      <c r="E18" s="9"/>
      <c r="F18" s="9" t="s">
        <v>508</v>
      </c>
      <c r="G18" s="9"/>
      <c r="H18" s="9"/>
      <c r="I18" s="9"/>
    </row>
    <row r="19" customFormat="false" ht="15" hidden="false" customHeight="false" outlineLevel="0" collapsed="false">
      <c r="B19" s="9" t="s">
        <v>509</v>
      </c>
      <c r="C19" s="9"/>
      <c r="D19" s="9"/>
      <c r="E19" s="9"/>
      <c r="F19" s="9" t="s">
        <v>510</v>
      </c>
      <c r="G19" s="9"/>
      <c r="H19" s="9"/>
      <c r="I19" s="9"/>
    </row>
    <row r="20" customFormat="false" ht="15" hidden="false" customHeight="false" outlineLevel="0" collapsed="false">
      <c r="B20" s="9" t="s">
        <v>511</v>
      </c>
      <c r="C20" s="9"/>
      <c r="D20" s="9"/>
      <c r="E20" s="9"/>
      <c r="F20" s="9" t="s">
        <v>512</v>
      </c>
      <c r="G20" s="9"/>
      <c r="H20" s="9"/>
      <c r="I20" s="9"/>
    </row>
    <row r="21" customFormat="false" ht="15" hidden="false" customHeight="false" outlineLevel="0" collapsed="false">
      <c r="B21" s="9"/>
      <c r="C21" s="9"/>
      <c r="D21" s="9"/>
      <c r="E21" s="9"/>
      <c r="F21" s="9"/>
      <c r="G21" s="9"/>
      <c r="H21" s="9"/>
      <c r="I21" s="9"/>
    </row>
    <row r="22" customFormat="false" ht="15" hidden="false" customHeight="false" outlineLevel="0" collapsed="false">
      <c r="B22" s="26" t="s">
        <v>513</v>
      </c>
      <c r="C22" s="26"/>
      <c r="D22" s="26"/>
      <c r="E22" s="26"/>
      <c r="F22" s="26"/>
      <c r="G22" s="26"/>
      <c r="H22" s="26"/>
      <c r="I22" s="26"/>
    </row>
    <row r="23" customFormat="false" ht="15" hidden="false" customHeight="false" outlineLevel="0" collapsed="false">
      <c r="B23" s="9" t="s">
        <v>514</v>
      </c>
      <c r="C23" s="9"/>
      <c r="D23" s="9"/>
      <c r="E23" s="9"/>
      <c r="F23" s="9"/>
      <c r="G23" s="9"/>
      <c r="H23" s="9"/>
      <c r="I23" s="9"/>
    </row>
    <row r="24" customFormat="false" ht="15" hidden="false" customHeight="false" outlineLevel="0" collapsed="false">
      <c r="B24" s="9"/>
      <c r="C24" s="9"/>
      <c r="D24" s="9"/>
      <c r="E24" s="9"/>
      <c r="F24" s="9"/>
      <c r="G24" s="9"/>
      <c r="H24" s="9"/>
      <c r="I24" s="9"/>
    </row>
    <row r="25" customFormat="false" ht="15" hidden="false" customHeight="false" outlineLevel="0" collapsed="false">
      <c r="B25" s="169" t="s">
        <v>163</v>
      </c>
      <c r="C25" s="169"/>
      <c r="D25" s="169" t="s">
        <v>515</v>
      </c>
      <c r="E25" s="169"/>
      <c r="F25" s="169" t="s">
        <v>516</v>
      </c>
      <c r="G25" s="169"/>
      <c r="H25" s="169" t="s">
        <v>517</v>
      </c>
      <c r="I25" s="169"/>
    </row>
    <row r="26" customFormat="false" ht="15" hidden="false" customHeight="false" outlineLevel="0" collapsed="false">
      <c r="B26" s="138" t="s">
        <v>518</v>
      </c>
      <c r="C26" s="138"/>
      <c r="D26" s="138" t="s">
        <v>519</v>
      </c>
      <c r="E26" s="138"/>
      <c r="F26" s="171" t="n">
        <v>2.5</v>
      </c>
      <c r="G26" s="138"/>
      <c r="H26" s="138" t="s">
        <v>520</v>
      </c>
      <c r="I26" s="138"/>
    </row>
    <row r="27" customFormat="false" ht="15" hidden="false" customHeight="false" outlineLevel="0" collapsed="false">
      <c r="B27" s="138" t="s">
        <v>521</v>
      </c>
      <c r="C27" s="138"/>
      <c r="D27" s="138" t="s">
        <v>522</v>
      </c>
      <c r="E27" s="138"/>
      <c r="F27" s="171" t="n">
        <v>10</v>
      </c>
      <c r="G27" s="138"/>
      <c r="H27" s="138" t="s">
        <v>523</v>
      </c>
      <c r="I27" s="138"/>
    </row>
    <row r="28" customFormat="false" ht="15" hidden="false" customHeight="false" outlineLevel="0" collapsed="false">
      <c r="B28" s="9"/>
      <c r="C28" s="9"/>
      <c r="D28" s="9"/>
      <c r="E28" s="9"/>
      <c r="F28" s="9"/>
      <c r="G28" s="9"/>
      <c r="H28" s="9"/>
      <c r="I28" s="9"/>
    </row>
    <row r="29" customFormat="false" ht="15" hidden="false" customHeight="false" outlineLevel="0" collapsed="false">
      <c r="B29" s="47" t="s">
        <v>524</v>
      </c>
      <c r="C29" s="47"/>
      <c r="D29" s="47"/>
      <c r="E29" s="47"/>
      <c r="F29" s="47"/>
      <c r="G29" s="47"/>
      <c r="H29" s="47"/>
      <c r="I29" s="47"/>
    </row>
    <row r="30" customFormat="false" ht="15" hidden="false" customHeight="false" outlineLevel="0" collapsed="false">
      <c r="B30" s="47" t="str">
        <f aca="false">"→ SALIDA ("&amp;'㉒ Returns'!$C$5&amp;"):  "&amp;TEXT(F27,"0.0")&amp;"x EV/EBITDA base  ·  sensibilidad 8x / 10x / 12x"</f>
        <v>→ SALIDA (2036):  10.0x EV/EBITDA base  ·  sensibilidad 8x / 10x / 12x</v>
      </c>
      <c r="C30" s="47"/>
      <c r="D30" s="47"/>
      <c r="E30" s="47"/>
      <c r="F30" s="47"/>
      <c r="G30" s="47"/>
      <c r="H30" s="47"/>
      <c r="I30" s="47"/>
    </row>
    <row r="31" customFormat="false" ht="15" hidden="false" customHeight="false" outlineLevel="0" collapsed="false">
      <c r="B31" s="9"/>
      <c r="C31" s="9"/>
      <c r="D31" s="9"/>
      <c r="E31" s="9"/>
      <c r="F31" s="9"/>
      <c r="G31" s="9"/>
      <c r="H31" s="9"/>
      <c r="I31" s="9"/>
    </row>
    <row r="32" customFormat="false" ht="15" hidden="false" customHeight="false" outlineLevel="0" collapsed="false">
      <c r="B32" s="26" t="str">
        <f aca="false">"5. CHEQUEO DE VALORACIÓN (con cifras del modelo, "&amp;'㉒ Returns'!$C$5&amp;")"</f>
        <v>5. CHEQUEO DE VALORACIÓN (con cifras del modelo, 2036)</v>
      </c>
      <c r="C32" s="26"/>
      <c r="D32" s="26"/>
      <c r="E32" s="26"/>
      <c r="F32" s="26"/>
      <c r="G32" s="26"/>
      <c r="H32" s="26"/>
      <c r="I32" s="26"/>
    </row>
    <row r="33" customFormat="false" ht="15" hidden="false" customHeight="false" outlineLevel="0" collapsed="false">
      <c r="B33" s="169" t="s">
        <v>525</v>
      </c>
      <c r="C33" s="169"/>
      <c r="D33" s="172" t="n">
        <v>8</v>
      </c>
      <c r="E33" s="172" t="n">
        <v>10</v>
      </c>
      <c r="F33" s="172" t="n">
        <v>12</v>
      </c>
      <c r="G33" s="10"/>
      <c r="H33" s="10"/>
      <c r="I33" s="10"/>
    </row>
    <row r="34" customFormat="false" ht="15" hidden="false" customHeight="false" outlineLevel="0" collapsed="false">
      <c r="B34" s="138" t="str">
        <f aca="false">"EBITDA "&amp;'㉒ Returns'!$C$5&amp;" × múltiplo = EV"</f>
        <v>EBITDA 2036 × múltiplo = EV</v>
      </c>
      <c r="C34" s="138"/>
      <c r="D34" s="173" t="n">
        <f aca="false" t="array" ref="D34:D34">INDEX('🎚️ Escenario'!$C$34:$N$34,'㉒ Returns'!$C$5-2024)*D33</f>
        <v>43807834.7453916</v>
      </c>
      <c r="E34" s="173" t="n">
        <f aca="false" t="array" ref="E34:E34">INDEX('🎚️ Escenario'!$C$34:$N$34,'㉒ Returns'!$C$5-2024)*E33</f>
        <v>54759793.4317396</v>
      </c>
      <c r="F34" s="173" t="n">
        <f aca="false" t="array" ref="F34:F34">INDEX('🎚️ Escenario'!$C$34:$N$34,'㉒ Returns'!$C$5-2024)*F33</f>
        <v>65711752.1180875</v>
      </c>
      <c r="G34" s="9" t="s">
        <v>526</v>
      </c>
      <c r="H34" s="9"/>
      <c r="I34" s="9"/>
    </row>
    <row r="35" customFormat="false" ht="15" hidden="false" customHeight="false" outlineLevel="0" collapsed="false">
      <c r="B35" s="169" t="s">
        <v>527</v>
      </c>
      <c r="C35" s="169"/>
      <c r="D35" s="174" t="n">
        <v>1.5</v>
      </c>
      <c r="E35" s="174" t="n">
        <v>2</v>
      </c>
      <c r="F35" s="174" t="n">
        <v>3</v>
      </c>
      <c r="G35" s="10"/>
      <c r="H35" s="10"/>
      <c r="I35" s="10"/>
    </row>
    <row r="36" customFormat="false" ht="15" hidden="false" customHeight="false" outlineLevel="0" collapsed="false">
      <c r="B36" s="138" t="str">
        <f aca="false">"Ingreso "&amp;'㉒ Returns'!$C$5&amp;" × múltiplo = EV"</f>
        <v>Ingreso 2036 × múltiplo = EV</v>
      </c>
      <c r="C36" s="138"/>
      <c r="D36" s="173" t="n">
        <f aca="false" t="array" ref="D36:D36">INDEX('🎚️ Escenario'!$C$29:$N$29,'㉒ Returns'!$C$5-2024)*D35</f>
        <v>31763599.4920497</v>
      </c>
      <c r="E36" s="173" t="n">
        <f aca="false" t="array" ref="E36:E36">INDEX('🎚️ Escenario'!$C$29:$N$29,'㉒ Returns'!$C$5-2024)*E35</f>
        <v>42351465.9893995</v>
      </c>
      <c r="F36" s="173" t="n">
        <f aca="false" t="array" ref="F36:F36">INDEX('🎚️ Escenario'!$C$29:$N$29,'㉒ Returns'!$C$5-2024)*F35</f>
        <v>63527198.9840993</v>
      </c>
      <c r="G36" s="9"/>
      <c r="H36" s="9"/>
      <c r="I36" s="9"/>
    </row>
    <row r="37" customFormat="false" ht="15" hidden="false" customHeight="false" outlineLevel="0" collapsed="false">
      <c r="B37" s="9"/>
      <c r="C37" s="9"/>
      <c r="D37" s="9"/>
      <c r="E37" s="9"/>
      <c r="F37" s="9"/>
      <c r="G37" s="9"/>
      <c r="H37" s="9"/>
      <c r="I37" s="9"/>
    </row>
    <row r="38" customFormat="false" ht="17.15" hidden="false" customHeight="false" outlineLevel="0" collapsed="false">
      <c r="B38" s="9" t="s">
        <v>528</v>
      </c>
      <c r="C38" s="9" t="s">
        <v>529</v>
      </c>
      <c r="D38" s="9"/>
      <c r="E38" s="9"/>
      <c r="F38" s="175" t="n">
        <f aca="false">'🎚️ Escenario'!E29*F26</f>
        <v>4160678.43115788</v>
      </c>
      <c r="G38" s="9" t="s">
        <v>530</v>
      </c>
      <c r="H38" s="9"/>
      <c r="I38" s="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5523A"/>
    <pageSetUpPr fitToPage="false"/>
  </sheetPr>
  <dimension ref="B1:Q130"/>
  <sheetViews>
    <sheetView showFormulas="false" showGridLines="true" showRowColHeaders="true" showZeros="true" rightToLeft="false" tabSelected="false" showOutlineSymbols="true" defaultGridColor="true" view="normal" topLeftCell="B25" colorId="64" zoomScale="120" zoomScaleNormal="120" zoomScalePageLayoutView="100" workbookViewId="0">
      <selection pane="topLeft" activeCell="F47" activeCellId="0" sqref="F47"/>
    </sheetView>
  </sheetViews>
  <sheetFormatPr defaultColWidth="10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.67"/>
    <col collapsed="false" customWidth="true" hidden="false" outlineLevel="0" max="14" min="3" style="0" width="15"/>
    <col collapsed="false" customWidth="true" hidden="false" outlineLevel="0" max="15" min="15" style="0" width="18.34"/>
  </cols>
  <sheetData>
    <row r="1" customFormat="false" ht="15.75" hidden="false" customHeight="true" outlineLevel="0" collapsed="false">
      <c r="B1" s="176" t="s">
        <v>531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</row>
    <row r="2" customFormat="false" ht="15" hidden="false" customHeight="false" outlineLevel="0" collapsed="false">
      <c r="B2" s="44" t="s">
        <v>532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customFormat="false" ht="15" hidden="false" customHeight="false" outlineLevel="0" collapsed="false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customFormat="false" ht="15" hidden="false" customHeight="false" outlineLevel="0" collapsed="false">
      <c r="B4" s="21" t="s">
        <v>533</v>
      </c>
      <c r="C4" s="21"/>
      <c r="D4" s="21"/>
      <c r="E4" s="21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customFormat="false" ht="15" hidden="false" customHeight="false" outlineLevel="0" collapsed="false">
      <c r="B5" s="26" t="s">
        <v>534</v>
      </c>
      <c r="C5" s="26" t="s">
        <v>535</v>
      </c>
      <c r="D5" s="26" t="s">
        <v>536</v>
      </c>
      <c r="E5" s="26" t="s">
        <v>468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customFormat="false" ht="15" hidden="false" customHeight="false" outlineLevel="0" collapsed="false">
      <c r="B6" s="36" t="s">
        <v>537</v>
      </c>
      <c r="C6" s="24" t="n">
        <v>1.25</v>
      </c>
      <c r="D6" s="18" t="s">
        <v>538</v>
      </c>
      <c r="E6" s="18" t="s">
        <v>539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customFormat="false" ht="15" hidden="false" customHeight="false" outlineLevel="0" collapsed="false">
      <c r="B7" s="36" t="s">
        <v>540</v>
      </c>
      <c r="C7" s="24" t="n">
        <v>1.5</v>
      </c>
      <c r="D7" s="18" t="s">
        <v>538</v>
      </c>
      <c r="E7" s="18" t="s">
        <v>541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customFormat="false" ht="15" hidden="false" customHeight="false" outlineLevel="0" collapsed="false">
      <c r="B8" s="36" t="s">
        <v>542</v>
      </c>
      <c r="C8" s="24" t="n">
        <v>3.5</v>
      </c>
      <c r="D8" s="18" t="s">
        <v>538</v>
      </c>
      <c r="E8" s="18" t="s">
        <v>543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customFormat="false" ht="15" hidden="false" customHeight="false" outlineLevel="0" collapsed="false">
      <c r="B9" s="36" t="s">
        <v>544</v>
      </c>
      <c r="C9" s="136" t="n">
        <v>1</v>
      </c>
      <c r="D9" s="18" t="s">
        <v>545</v>
      </c>
      <c r="E9" s="18" t="s">
        <v>546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customFormat="false" ht="15" hidden="false" customHeight="false" outlineLevel="0" collapsed="false">
      <c r="B10" s="36" t="s">
        <v>547</v>
      </c>
      <c r="C10" s="177" t="n">
        <v>0.13</v>
      </c>
      <c r="D10" s="18" t="s">
        <v>394</v>
      </c>
      <c r="E10" s="18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customFormat="false" ht="15" hidden="false" customHeight="false" outlineLevel="0" collapsed="false">
      <c r="B11" s="36" t="s">
        <v>548</v>
      </c>
      <c r="C11" s="136" t="n">
        <v>5</v>
      </c>
      <c r="D11" s="18" t="s">
        <v>549</v>
      </c>
      <c r="E11" s="18" t="s">
        <v>550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customFormat="false" ht="15" hidden="false" customHeight="false" outlineLevel="0" collapsed="false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customFormat="false" ht="15" hidden="false" customHeight="false" outlineLevel="0" collapsed="false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customFormat="false" ht="15" hidden="false" customHeight="false" outlineLevel="0" collapsed="false">
      <c r="B14" s="26" t="s">
        <v>551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Format="false" ht="15" hidden="false" customHeight="false" outlineLevel="0" collapsed="false">
      <c r="B15" s="26" t="s">
        <v>123</v>
      </c>
      <c r="C15" s="178" t="n">
        <v>2025</v>
      </c>
      <c r="D15" s="178" t="n">
        <v>2026</v>
      </c>
      <c r="E15" s="178" t="n">
        <v>2027</v>
      </c>
      <c r="F15" s="178" t="n">
        <v>2028</v>
      </c>
      <c r="G15" s="178" t="n">
        <v>2029</v>
      </c>
      <c r="H15" s="178" t="n">
        <v>2030</v>
      </c>
      <c r="I15" s="178" t="n">
        <v>2031</v>
      </c>
      <c r="J15" s="178" t="n">
        <v>2032</v>
      </c>
      <c r="K15" s="178" t="n">
        <v>2033</v>
      </c>
      <c r="L15" s="178" t="n">
        <v>2034</v>
      </c>
      <c r="M15" s="178" t="n">
        <v>2035</v>
      </c>
      <c r="N15" s="178" t="n">
        <v>2036</v>
      </c>
      <c r="O15" s="26" t="s">
        <v>552</v>
      </c>
      <c r="P15" s="9"/>
    </row>
    <row r="16" customFormat="false" ht="15" hidden="false" customHeight="false" outlineLevel="0" collapsed="false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customFormat="false" ht="15" hidden="false" customHeight="false" outlineLevel="0" collapsed="false">
      <c r="B17" s="36" t="s">
        <v>136</v>
      </c>
      <c r="C17" s="43" t="n">
        <f aca="false">'🎚️ Escenario'!C34</f>
        <v>-518039.88</v>
      </c>
      <c r="D17" s="43" t="n">
        <f aca="false">'🎚️ Escenario'!D34</f>
        <v>-402691.315001668</v>
      </c>
      <c r="E17" s="43" t="n">
        <f aca="false">'🎚️ Escenario'!E34</f>
        <v>-450078.074407425</v>
      </c>
      <c r="F17" s="43" t="n">
        <f aca="false">'🎚️ Escenario'!F34</f>
        <v>-195487.386062907</v>
      </c>
      <c r="G17" s="43" t="n">
        <f aca="false">'🎚️ Escenario'!G34</f>
        <v>403820.917759329</v>
      </c>
      <c r="H17" s="43" t="n">
        <f aca="false">'🎚️ Escenario'!H34</f>
        <v>774130.594584581</v>
      </c>
      <c r="I17" s="43" t="n">
        <f aca="false">'🎚️ Escenario'!I34</f>
        <v>830111.045090691</v>
      </c>
      <c r="J17" s="43" t="n">
        <f aca="false">'🎚️ Escenario'!J34</f>
        <v>1152672.8377276</v>
      </c>
      <c r="K17" s="43" t="n">
        <f aca="false">'🎚️ Escenario'!K34</f>
        <v>1562047.39550157</v>
      </c>
      <c r="L17" s="43" t="n">
        <f aca="false">'🎚️ Escenario'!L34</f>
        <v>1950236.44892455</v>
      </c>
      <c r="M17" s="43" t="n">
        <f aca="false">'🎚️ Escenario'!M34</f>
        <v>3593913.61014104</v>
      </c>
      <c r="N17" s="43" t="n">
        <f aca="false">'🎚️ Escenario'!N34</f>
        <v>5475979.34317396</v>
      </c>
      <c r="O17" s="179" t="n">
        <f aca="false">AVERAGE(I17:N17)</f>
        <v>2427493.4467599</v>
      </c>
      <c r="P17" s="9"/>
    </row>
    <row r="18" customFormat="false" ht="15" hidden="false" customHeight="false" outlineLevel="0" collapsed="false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customFormat="false" ht="15" hidden="false" customHeight="false" outlineLevel="0" collapsed="false">
      <c r="B19" s="18" t="s">
        <v>553</v>
      </c>
      <c r="C19" s="180" t="n">
        <f aca="false">MAX(0,C17/$C$6)</f>
        <v>0</v>
      </c>
      <c r="D19" s="180" t="n">
        <f aca="false">MAX(0,D17/$C$6)</f>
        <v>0</v>
      </c>
      <c r="E19" s="180" t="n">
        <f aca="false">MAX(0,E17/$C$6)</f>
        <v>0</v>
      </c>
      <c r="F19" s="180" t="n">
        <f aca="false">MAX(0,F17/$C$6)</f>
        <v>0</v>
      </c>
      <c r="G19" s="180" t="n">
        <f aca="false">MAX(0,G17/$C$6)</f>
        <v>323056.734207463</v>
      </c>
      <c r="H19" s="180" t="n">
        <f aca="false">MAX(0,H17/$C$6)</f>
        <v>619304.475667664</v>
      </c>
      <c r="I19" s="180" t="n">
        <f aca="false">MAX(0,I17/$C$6)</f>
        <v>664088.836072553</v>
      </c>
      <c r="J19" s="180" t="n">
        <f aca="false">MAX(0,J17/$C$6)</f>
        <v>922138.270182077</v>
      </c>
      <c r="K19" s="180" t="n">
        <f aca="false">MAX(0,K17/$C$6)</f>
        <v>1249637.91640126</v>
      </c>
      <c r="L19" s="180" t="n">
        <f aca="false">MAX(0,L17/$C$6)</f>
        <v>1560189.15913964</v>
      </c>
      <c r="M19" s="180" t="n">
        <f aca="false">MAX(0,M17/$C$6)</f>
        <v>2875130.88811283</v>
      </c>
      <c r="N19" s="180" t="n">
        <f aca="false">MAX(0,N17/$C$6)</f>
        <v>4380783.47453916</v>
      </c>
      <c r="O19" s="180" t="n">
        <f aca="false">AVERAGE(I19:N19)</f>
        <v>1941994.75740792</v>
      </c>
      <c r="P19" s="9"/>
    </row>
    <row r="20" customFormat="false" ht="15" hidden="false" customHeight="false" outlineLevel="0" collapsed="false">
      <c r="B20" s="18" t="s">
        <v>554</v>
      </c>
      <c r="C20" s="180" t="n">
        <f aca="false">MAX(0,C17/$C$7)</f>
        <v>0</v>
      </c>
      <c r="D20" s="180" t="n">
        <f aca="false">MAX(0,D17/$C$7)</f>
        <v>0</v>
      </c>
      <c r="E20" s="180" t="n">
        <f aca="false">MAX(0,E17/$C$7)</f>
        <v>0</v>
      </c>
      <c r="F20" s="180" t="n">
        <f aca="false">MAX(0,F17/$C$7)</f>
        <v>0</v>
      </c>
      <c r="G20" s="180" t="n">
        <f aca="false">MAX(0,G17/$C$7)</f>
        <v>269213.945172886</v>
      </c>
      <c r="H20" s="180" t="n">
        <f aca="false">MAX(0,H17/$C$7)</f>
        <v>516087.063056387</v>
      </c>
      <c r="I20" s="180" t="n">
        <f aca="false">MAX(0,I17/$C$7)</f>
        <v>553407.363393794</v>
      </c>
      <c r="J20" s="180" t="n">
        <f aca="false">MAX(0,J17/$C$7)</f>
        <v>768448.558485064</v>
      </c>
      <c r="K20" s="180" t="n">
        <f aca="false">MAX(0,K17/$C$7)</f>
        <v>1041364.93033438</v>
      </c>
      <c r="L20" s="180" t="n">
        <f aca="false">MAX(0,L17/$C$7)</f>
        <v>1300157.63261637</v>
      </c>
      <c r="M20" s="180" t="n">
        <f aca="false">MAX(0,M17/$C$7)</f>
        <v>2395942.40676069</v>
      </c>
      <c r="N20" s="180" t="n">
        <f aca="false">MAX(0,N17/$C$7)</f>
        <v>3650652.8954493</v>
      </c>
      <c r="O20" s="180" t="n">
        <f aca="false">AVERAGE(I20:N20)</f>
        <v>1618328.9645066</v>
      </c>
      <c r="P20" s="9"/>
    </row>
    <row r="21" customFormat="false" ht="15" hidden="false" customHeight="false" outlineLevel="0" collapsed="false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customFormat="false" ht="15" hidden="false" customHeight="false" outlineLevel="0" collapsed="false">
      <c r="B22" s="18" t="s">
        <v>555</v>
      </c>
      <c r="C22" s="180" t="n">
        <f aca="false">IF(C19=0,0,PV($C$10/12,$C$11*12,-C19/12))</f>
        <v>0</v>
      </c>
      <c r="D22" s="180" t="n">
        <f aca="false">IF(D19=0,0,PV($C$10/12,$C$11*12,-D19/12))</f>
        <v>0</v>
      </c>
      <c r="E22" s="180" t="n">
        <f aca="false">IF(E19=0,0,PV($C$10/12,$C$11*12,-E19/12))</f>
        <v>0</v>
      </c>
      <c r="F22" s="180" t="n">
        <f aca="false">IF(F19=0,0,PV($C$10/12,$C$11*12,-F19/12))</f>
        <v>0</v>
      </c>
      <c r="G22" s="180" t="n">
        <f aca="false">IF(G19=0,0,PV($C$10/12,$C$11*12,-G19/12))</f>
        <v>1183198.17569093</v>
      </c>
      <c r="H22" s="180" t="n">
        <f aca="false">IF(H19=0,0,PV($C$10/12,$C$11*12,-H19/12))</f>
        <v>2268208.17589471</v>
      </c>
      <c r="I22" s="180" t="n">
        <f aca="false">IF(I19=0,0,PV($C$10/12,$C$11*12,-I19/12))</f>
        <v>2432231.29604586</v>
      </c>
      <c r="J22" s="180" t="n">
        <f aca="false">IF(J19=0,0,PV($C$10/12,$C$11*12,-J19/12))</f>
        <v>3377339.65425885</v>
      </c>
      <c r="K22" s="180" t="n">
        <f aca="false">IF(K19=0,0,PV($C$10/12,$C$11*12,-K19/12))</f>
        <v>4576810.03489211</v>
      </c>
      <c r="L22" s="180" t="n">
        <f aca="false">IF(L19=0,0,PV($C$10/12,$C$11*12,-L19/12))</f>
        <v>5714206.73633538</v>
      </c>
      <c r="M22" s="180" t="n">
        <f aca="false">IF(M19=0,0,PV($C$10/12,$C$11*12,-M19/12))</f>
        <v>10530192.5682909</v>
      </c>
      <c r="N22" s="180" t="n">
        <f aca="false">IF(N19=0,0,PV($C$10/12,$C$11*12,-N19/12))</f>
        <v>16044658.6197552</v>
      </c>
      <c r="O22" s="180" t="n">
        <f aca="false">PV($C$10/12,$C$11*12,-O19/12)</f>
        <v>7112573.15159638</v>
      </c>
      <c r="P22" s="9"/>
    </row>
    <row r="23" customFormat="false" ht="15" hidden="false" customHeight="false" outlineLevel="0" collapsed="false">
      <c r="B23" s="30" t="s">
        <v>556</v>
      </c>
      <c r="C23" s="181" t="n">
        <f aca="false">IF(C20=0,0,PV($C$10/12,$C$11*12,-C20/12))</f>
        <v>0</v>
      </c>
      <c r="D23" s="181" t="n">
        <f aca="false">IF(D20=0,0,PV($C$10/12,$C$11*12,-D20/12))</f>
        <v>0</v>
      </c>
      <c r="E23" s="181" t="n">
        <f aca="false">IF(E20=0,0,PV($C$10/12,$C$11*12,-E20/12))</f>
        <v>0</v>
      </c>
      <c r="F23" s="181" t="n">
        <f aca="false">IF(F20=0,0,PV($C$10/12,$C$11*12,-F20/12))</f>
        <v>0</v>
      </c>
      <c r="G23" s="181" t="n">
        <f aca="false">IF(G20=0,0,PV($C$10/12,$C$11*12,-G20/12))</f>
        <v>985998.479742445</v>
      </c>
      <c r="H23" s="181" t="n">
        <f aca="false">IF(H20=0,0,PV($C$10/12,$C$11*12,-H20/12))</f>
        <v>1890173.47991226</v>
      </c>
      <c r="I23" s="181" t="n">
        <f aca="false">IF(I20=0,0,PV($C$10/12,$C$11*12,-I20/12))</f>
        <v>2026859.41337155</v>
      </c>
      <c r="J23" s="181" t="n">
        <f aca="false">IF(J20=0,0,PV($C$10/12,$C$11*12,-J20/12))</f>
        <v>2814449.71188238</v>
      </c>
      <c r="K23" s="181" t="n">
        <f aca="false">IF(K20=0,0,PV($C$10/12,$C$11*12,-K20/12))</f>
        <v>3814008.36241009</v>
      </c>
      <c r="L23" s="181" t="n">
        <f aca="false">IF(L20=0,0,PV($C$10/12,$C$11*12,-L20/12))</f>
        <v>4761838.94694615</v>
      </c>
      <c r="M23" s="181" t="n">
        <f aca="false">IF(M20=0,0,PV($C$10/12,$C$11*12,-M20/12))</f>
        <v>8775160.47357575</v>
      </c>
      <c r="N23" s="181" t="n">
        <f aca="false">IF(N20=0,0,PV($C$10/12,$C$11*12,-N20/12))</f>
        <v>13370548.849796</v>
      </c>
      <c r="O23" s="181" t="n">
        <f aca="false">PV($C$10/12,$C$11*12,-O20/12)</f>
        <v>5927144.29299699</v>
      </c>
      <c r="P23" s="9"/>
    </row>
    <row r="24" customFormat="false" ht="15" hidden="false" customHeight="false" outlineLevel="0" collapsed="false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customFormat="false" ht="15" hidden="false" customHeight="false" outlineLevel="0" collapsed="false">
      <c r="B25" s="18" t="s">
        <v>557</v>
      </c>
      <c r="C25" s="180" t="n">
        <f aca="false">MAX(0,C17*$C$8)</f>
        <v>0</v>
      </c>
      <c r="D25" s="180" t="n">
        <f aca="false">MAX(0,D17*$C$8)</f>
        <v>0</v>
      </c>
      <c r="E25" s="180" t="n">
        <f aca="false">MAX(0,E17*$C$8)</f>
        <v>0</v>
      </c>
      <c r="F25" s="180" t="n">
        <f aca="false">MAX(0,F17*$C$8)</f>
        <v>0</v>
      </c>
      <c r="G25" s="180" t="n">
        <f aca="false">MAX(0,G17*$C$8)</f>
        <v>1413373.21215765</v>
      </c>
      <c r="H25" s="180" t="n">
        <f aca="false">MAX(0,H17*$C$8)</f>
        <v>2709457.08104603</v>
      </c>
      <c r="I25" s="180" t="n">
        <f aca="false">MAX(0,I17*$C$8)</f>
        <v>2905388.65781742</v>
      </c>
      <c r="J25" s="180" t="n">
        <f aca="false">MAX(0,J17*$C$8)</f>
        <v>4034354.93204659</v>
      </c>
      <c r="K25" s="180" t="n">
        <f aca="false">MAX(0,K17*$C$8)</f>
        <v>5467165.8842555</v>
      </c>
      <c r="L25" s="180" t="n">
        <f aca="false">MAX(0,L17*$C$8)</f>
        <v>6825827.57123592</v>
      </c>
      <c r="M25" s="180" t="n">
        <f aca="false">MAX(0,M17*$C$8)</f>
        <v>12578697.6354936</v>
      </c>
      <c r="N25" s="180" t="n">
        <f aca="false">MAX(0,N17*$C$8)</f>
        <v>19165927.7011088</v>
      </c>
      <c r="O25" s="180" t="n">
        <f aca="false">AVERAGE(I25:N25)</f>
        <v>8496227.06365965</v>
      </c>
      <c r="P25" s="9"/>
    </row>
    <row r="26" customFormat="false" ht="15" hidden="false" customHeight="false" outlineLevel="0" collapsed="false">
      <c r="B26" s="36" t="s">
        <v>558</v>
      </c>
      <c r="C26" s="31" t="n">
        <f aca="false">MIN(H23,I23,J23)</f>
        <v>1890173.47991226</v>
      </c>
      <c r="D26" s="9" t="str">
        <f aca="false">"Si se gira en 2032 la capacidad sube a "&amp;TEXT(J23,"$#,##0")</f>
        <v>Si se gira en 2032 la capacidad sube a $2,814,450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customFormat="false" ht="15" hidden="false" customHeight="false" outlineLevel="0" collapsed="false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customFormat="false" ht="17.15" hidden="false" customHeight="false" outlineLevel="0" collapsed="false">
      <c r="B28" s="26" t="s">
        <v>559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customFormat="false" ht="15" hidden="false" customHeight="false" outlineLevel="0" collapsed="false">
      <c r="B29" s="26" t="s">
        <v>123</v>
      </c>
      <c r="C29" s="178" t="n">
        <v>2025</v>
      </c>
      <c r="D29" s="178" t="n">
        <v>2026</v>
      </c>
      <c r="E29" s="178" t="n">
        <v>2027</v>
      </c>
      <c r="F29" s="178" t="n">
        <v>2028</v>
      </c>
      <c r="G29" s="178" t="n">
        <v>2029</v>
      </c>
      <c r="H29" s="178" t="n">
        <v>2030</v>
      </c>
      <c r="I29" s="178" t="n">
        <v>2031</v>
      </c>
      <c r="J29" s="178" t="n">
        <v>2032</v>
      </c>
      <c r="K29" s="178" t="n">
        <v>2033</v>
      </c>
      <c r="L29" s="178" t="n">
        <v>2034</v>
      </c>
      <c r="M29" s="178" t="n">
        <v>2035</v>
      </c>
      <c r="N29" s="178" t="n">
        <v>2036</v>
      </c>
      <c r="O29" s="26"/>
      <c r="P29" s="9"/>
    </row>
    <row r="30" customFormat="false" ht="15" hidden="false" customHeight="false" outlineLevel="0" collapsed="false">
      <c r="B30" s="36" t="s">
        <v>560</v>
      </c>
      <c r="C30" s="43" t="n">
        <f aca="false">'🎚️ Escenario'!C38</f>
        <v>56347.05</v>
      </c>
      <c r="D30" s="43" t="n">
        <f aca="false">'🎚️ Escenario'!D38</f>
        <v>2458701.44042895</v>
      </c>
      <c r="E30" s="43" t="n">
        <f aca="false">'🎚️ Escenario'!E38</f>
        <v>1358103.49928969</v>
      </c>
      <c r="F30" s="43" t="n">
        <f aca="false">'🎚️ Escenario'!F38</f>
        <v>439198.979228438</v>
      </c>
      <c r="G30" s="43" t="n">
        <f aca="false">'🎚️ Escenario'!G38</f>
        <v>674109.194295895</v>
      </c>
      <c r="H30" s="43" t="n">
        <f aca="false">'🎚️ Escenario'!H38</f>
        <v>972795.197836835</v>
      </c>
      <c r="I30" s="43" t="n">
        <f aca="false">'🎚️ Escenario'!I38</f>
        <v>1291510.87401834</v>
      </c>
      <c r="J30" s="43" t="n">
        <f aca="false">'🎚️ Escenario'!J38</f>
        <v>1564288.63746391</v>
      </c>
      <c r="K30" s="43" t="n">
        <f aca="false">'🎚️ Escenario'!K38</f>
        <v>2070124.04999339</v>
      </c>
      <c r="L30" s="43" t="n">
        <f aca="false">'🎚️ Escenario'!L38</f>
        <v>2242001.58801509</v>
      </c>
      <c r="M30" s="43" t="n">
        <f aca="false">'🎚️ Escenario'!M38</f>
        <v>2070876.60205017</v>
      </c>
      <c r="N30" s="43" t="n">
        <f aca="false">'🎚️ Escenario'!N38</f>
        <v>1308312.80429382</v>
      </c>
      <c r="O30" s="9"/>
      <c r="P30" s="9"/>
    </row>
    <row r="31" customFormat="false" ht="15" hidden="false" customHeight="false" outlineLevel="0" collapsed="false">
      <c r="B31" s="18" t="s">
        <v>561</v>
      </c>
      <c r="C31" s="182" t="n">
        <f aca="false">-('🎚️ Escenario'!C33+'🎚️ Escenario'!C30)</f>
        <v>879418.05</v>
      </c>
      <c r="D31" s="182" t="n">
        <f aca="false">-('🎚️ Escenario'!D33+'🎚️ Escenario'!D30)</f>
        <v>1113154.70410996</v>
      </c>
      <c r="E31" s="182" t="n">
        <f aca="false">-('🎚️ Escenario'!E33+'🎚️ Escenario'!E30)</f>
        <v>2114349.44687058</v>
      </c>
      <c r="F31" s="182" t="n">
        <f aca="false">-('🎚️ Escenario'!F33+'🎚️ Escenario'!F30)</f>
        <v>3611343.94150669</v>
      </c>
      <c r="G31" s="182" t="n">
        <f aca="false">-('🎚️ Escenario'!G33+'🎚️ Escenario'!G30)</f>
        <v>5118453.06678915</v>
      </c>
      <c r="H31" s="182" t="n">
        <f aca="false">-('🎚️ Escenario'!H33+'🎚️ Escenario'!H30)</f>
        <v>6345141.04373325</v>
      </c>
      <c r="I31" s="182" t="n">
        <f aca="false">-('🎚️ Escenario'!I33+'🎚️ Escenario'!I30)</f>
        <v>7740752.97194214</v>
      </c>
      <c r="J31" s="182" t="n">
        <f aca="false">-('🎚️ Escenario'!J33+'🎚️ Escenario'!J30)</f>
        <v>9171463.64956687</v>
      </c>
      <c r="K31" s="182" t="n">
        <f aca="false">-('🎚️ Escenario'!K33+'🎚️ Escenario'!K30)</f>
        <v>10441488.5999207</v>
      </c>
      <c r="L31" s="182" t="n">
        <f aca="false">-('🎚️ Escenario'!L33+'🎚️ Escenario'!L30)</f>
        <v>12504019.0561811</v>
      </c>
      <c r="M31" s="182" t="n">
        <f aca="false">-('🎚️ Escenario'!M33+'🎚️ Escenario'!M30)</f>
        <v>14050519.224602</v>
      </c>
      <c r="N31" s="182" t="n">
        <f aca="false">-('🎚️ Escenario'!N33+'🎚️ Escenario'!N30)</f>
        <v>15699753.6515258</v>
      </c>
      <c r="O31" s="9"/>
      <c r="P31" s="9"/>
    </row>
    <row r="32" customFormat="false" ht="15" hidden="false" customHeight="false" outlineLevel="0" collapsed="false">
      <c r="B32" s="18" t="s">
        <v>562</v>
      </c>
      <c r="C32" s="180" t="n">
        <f aca="false">C31/12*$C$9</f>
        <v>73284.8375</v>
      </c>
      <c r="D32" s="180" t="n">
        <f aca="false">D31/12*$C$9</f>
        <v>92762.8920091633</v>
      </c>
      <c r="E32" s="180" t="n">
        <f aca="false">E31/12*$C$9</f>
        <v>176195.787239215</v>
      </c>
      <c r="F32" s="180" t="n">
        <f aca="false">F31/12*$C$9</f>
        <v>300945.328458891</v>
      </c>
      <c r="G32" s="180" t="n">
        <f aca="false">G31/12*$C$9</f>
        <v>426537.755565763</v>
      </c>
      <c r="H32" s="180" t="n">
        <f aca="false">H31/12*$C$9</f>
        <v>528761.753644438</v>
      </c>
      <c r="I32" s="180" t="n">
        <f aca="false">I31/12*$C$9</f>
        <v>645062.747661845</v>
      </c>
      <c r="J32" s="180" t="n">
        <f aca="false">J31/12*$C$9</f>
        <v>764288.637463906</v>
      </c>
      <c r="K32" s="180" t="n">
        <f aca="false">K31/12*$C$9</f>
        <v>870124.049993394</v>
      </c>
      <c r="L32" s="180" t="n">
        <f aca="false">L31/12*$C$9</f>
        <v>1042001.58801509</v>
      </c>
      <c r="M32" s="180" t="n">
        <f aca="false">M31/12*$C$9</f>
        <v>1170876.60205017</v>
      </c>
      <c r="N32" s="180" t="n">
        <f aca="false">N31/12*$C$9</f>
        <v>1308312.80429382</v>
      </c>
      <c r="O32" s="9"/>
      <c r="P32" s="9"/>
    </row>
    <row r="33" customFormat="false" ht="15.75" hidden="false" customHeight="true" outlineLevel="0" collapsed="false">
      <c r="B33" s="183" t="s">
        <v>563</v>
      </c>
      <c r="C33" s="184" t="n">
        <f aca="false">C32-C30</f>
        <v>16937.7875</v>
      </c>
      <c r="D33" s="184" t="n">
        <f aca="false">D32-D30</f>
        <v>-2365938.54841978</v>
      </c>
      <c r="E33" s="184" t="n">
        <f aca="false">E32-E30</f>
        <v>-1181907.71205048</v>
      </c>
      <c r="F33" s="184" t="n">
        <f aca="false">F32-F30</f>
        <v>-138253.650769547</v>
      </c>
      <c r="G33" s="184" t="n">
        <f aca="false">G32-G30</f>
        <v>-247571.438730132</v>
      </c>
      <c r="H33" s="184" t="n">
        <f aca="false">H32-H30</f>
        <v>-444033.444192397</v>
      </c>
      <c r="I33" s="184" t="n">
        <f aca="false">I32-I30</f>
        <v>-646448.126356497</v>
      </c>
      <c r="J33" s="184" t="n">
        <f aca="false">J32-J30</f>
        <v>-800000</v>
      </c>
      <c r="K33" s="184" t="n">
        <f aca="false">K32-K30</f>
        <v>-1200000</v>
      </c>
      <c r="L33" s="184" t="n">
        <f aca="false">L32-L30</f>
        <v>-1200000</v>
      </c>
      <c r="M33" s="181" t="n">
        <f aca="false">M32-M30</f>
        <v>-900000</v>
      </c>
      <c r="N33" s="181" t="n">
        <f aca="false">N32-N30</f>
        <v>0</v>
      </c>
      <c r="O33" s="9"/>
      <c r="P33" s="9"/>
    </row>
    <row r="34" customFormat="false" ht="15.75" hidden="false" customHeight="true" outlineLevel="0" collapsed="false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customFormat="false" ht="15" hidden="false" customHeight="false" outlineLevel="0" collapsed="false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customFormat="false" ht="15" hidden="false" customHeight="false" outlineLevel="0" collapsed="false">
      <c r="B36" s="26" t="s">
        <v>564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</row>
    <row r="37" customFormat="false" ht="15" hidden="false" customHeight="false" outlineLevel="0" collapsed="false">
      <c r="B37" s="26" t="s">
        <v>123</v>
      </c>
      <c r="C37" s="178" t="n">
        <v>2025</v>
      </c>
      <c r="D37" s="178" t="n">
        <v>2026</v>
      </c>
      <c r="E37" s="178" t="n">
        <v>2027</v>
      </c>
      <c r="F37" s="178" t="n">
        <v>2028</v>
      </c>
      <c r="G37" s="178" t="n">
        <v>2029</v>
      </c>
      <c r="H37" s="178" t="n">
        <v>2030</v>
      </c>
      <c r="I37" s="178" t="n">
        <v>2031</v>
      </c>
      <c r="J37" s="178" t="n">
        <v>2032</v>
      </c>
      <c r="K37" s="178" t="n">
        <v>2033</v>
      </c>
      <c r="L37" s="178" t="n">
        <v>2034</v>
      </c>
      <c r="M37" s="178" t="n">
        <v>2035</v>
      </c>
      <c r="N37" s="178" t="n">
        <v>2036</v>
      </c>
      <c r="O37" s="178" t="s">
        <v>565</v>
      </c>
      <c r="P37" s="9"/>
    </row>
    <row r="38" customFormat="false" ht="15" hidden="false" customHeight="false" outlineLevel="0" collapsed="false">
      <c r="B38" s="9" t="s">
        <v>566</v>
      </c>
      <c r="C38" s="28" t="n">
        <f aca="false">C33</f>
        <v>16937.7875</v>
      </c>
      <c r="D38" s="28" t="n">
        <f aca="false">D33</f>
        <v>-2365938.54841978</v>
      </c>
      <c r="E38" s="28" t="n">
        <f aca="false">E33</f>
        <v>-1181907.71205048</v>
      </c>
      <c r="F38" s="28" t="n">
        <f aca="false">F33</f>
        <v>-138253.650769547</v>
      </c>
      <c r="G38" s="28" t="n">
        <f aca="false">G33</f>
        <v>-247571.438730132</v>
      </c>
      <c r="H38" s="28" t="n">
        <f aca="false">H33</f>
        <v>-444033.444192397</v>
      </c>
      <c r="I38" s="28" t="n">
        <f aca="false">I33</f>
        <v>-646448.126356497</v>
      </c>
      <c r="J38" s="28" t="n">
        <f aca="false">J33</f>
        <v>-800000</v>
      </c>
      <c r="K38" s="28" t="n">
        <f aca="false">K33</f>
        <v>-1200000</v>
      </c>
      <c r="L38" s="28" t="n">
        <f aca="false">L33</f>
        <v>-1200000</v>
      </c>
      <c r="M38" s="28" t="n">
        <f aca="false">M33</f>
        <v>-900000</v>
      </c>
      <c r="N38" s="28" t="n">
        <f aca="false">N33</f>
        <v>0</v>
      </c>
      <c r="O38" s="28"/>
      <c r="P38" s="9"/>
    </row>
    <row r="39" customFormat="false" ht="15" hidden="false" customHeight="false" outlineLevel="0" collapsed="false">
      <c r="B39" s="9" t="s">
        <v>567</v>
      </c>
      <c r="C39" s="23" t="n">
        <v>0</v>
      </c>
      <c r="D39" s="28" t="n">
        <f aca="false">IF($C$99=D$37,$G$120,0)</f>
        <v>2500000</v>
      </c>
      <c r="E39" s="23" t="n">
        <f aca="false">IF($C$99=E$37,$G$120,0)</f>
        <v>0</v>
      </c>
      <c r="F39" s="23" t="n">
        <f aca="false">IF($C$99=F$37,$G$120,0)</f>
        <v>0</v>
      </c>
      <c r="G39" s="23" t="n">
        <f aca="false">IF($C$99=G$37,$G$120,0)</f>
        <v>0</v>
      </c>
      <c r="H39" s="23" t="n">
        <f aca="false">IF($C$99=H$37,$G$120,0)</f>
        <v>0</v>
      </c>
      <c r="I39" s="23" t="n">
        <f aca="false">IF($C$99=I$37,$G$120,0)</f>
        <v>0</v>
      </c>
      <c r="J39" s="23" t="n">
        <f aca="false">IF($C$99=J$37,$G$120,0)</f>
        <v>0</v>
      </c>
      <c r="K39" s="23" t="n">
        <f aca="false">IF($C$99=K$37,$G$120,0)</f>
        <v>0</v>
      </c>
      <c r="L39" s="23" t="n">
        <f aca="false">IF($C$99=L$37,$G$120,0)</f>
        <v>0</v>
      </c>
      <c r="M39" s="23" t="n">
        <f aca="false">IF($C$99=M$37,$G$120,0)</f>
        <v>0</v>
      </c>
      <c r="N39" s="23" t="n">
        <f aca="false">IF($C$99=N$37,$G$120,0)</f>
        <v>0</v>
      </c>
      <c r="O39" s="23" t="n">
        <f aca="false">SUM(C39:N39)</f>
        <v>2500000</v>
      </c>
      <c r="P39" s="9"/>
    </row>
    <row r="40" customFormat="false" ht="17.15" hidden="false" customHeight="false" outlineLevel="0" collapsed="false">
      <c r="B40" s="9" t="s">
        <v>568</v>
      </c>
      <c r="C40" s="23" t="n">
        <f aca="false">C130</f>
        <v>0</v>
      </c>
      <c r="D40" s="23" t="n">
        <f aca="false">D130</f>
        <v>0</v>
      </c>
      <c r="E40" s="23" t="n">
        <f aca="false">E130</f>
        <v>0</v>
      </c>
      <c r="F40" s="23" t="n">
        <f aca="false">F130</f>
        <v>0</v>
      </c>
      <c r="G40" s="23" t="n">
        <f aca="false">G130</f>
        <v>0</v>
      </c>
      <c r="H40" s="23" t="n">
        <f aca="false">H130</f>
        <v>300000</v>
      </c>
      <c r="I40" s="23" t="n">
        <f aca="false">I130</f>
        <v>500000</v>
      </c>
      <c r="J40" s="23" t="n">
        <f aca="false">J130</f>
        <v>0</v>
      </c>
      <c r="K40" s="23" t="n">
        <f aca="false">K130</f>
        <v>0</v>
      </c>
      <c r="L40" s="23" t="n">
        <f aca="false">L130</f>
        <v>0</v>
      </c>
      <c r="M40" s="23" t="n">
        <f aca="false">M130</f>
        <v>0</v>
      </c>
      <c r="N40" s="23" t="n">
        <f aca="false">N130</f>
        <v>0</v>
      </c>
      <c r="O40" s="23" t="n">
        <f aca="false">SUM(C40:N40)</f>
        <v>800000</v>
      </c>
      <c r="P40" s="9" t="s">
        <v>569</v>
      </c>
    </row>
    <row r="41" customFormat="false" ht="15" hidden="false" customHeight="false" outlineLevel="0" collapsed="false">
      <c r="B41" s="9" t="s">
        <v>570</v>
      </c>
      <c r="C41" s="23" t="n">
        <f aca="false">IF(C17&lt;=0,0,PV($C$10/12,$C$11*12,-(C17/$D$59)/12))</f>
        <v>0</v>
      </c>
      <c r="D41" s="23" t="n">
        <f aca="false">IF(D17&lt;=0,0,PV($C$10/12,$C$11*12,-(D17/$D$59)/12))</f>
        <v>0</v>
      </c>
      <c r="E41" s="23" t="n">
        <f aca="false">IF(E17&lt;=0,0,PV($C$10/12,$C$11*12,-(E17/$D$59)/12))</f>
        <v>0</v>
      </c>
      <c r="F41" s="23" t="n">
        <f aca="false">IF(F17&lt;=0,0,PV($C$10/12,$C$11*12,-(F17/$D$59)/12))</f>
        <v>0</v>
      </c>
      <c r="G41" s="23" t="n">
        <f aca="false">IF(G17&lt;=0,0,PV($C$10/12,$C$11*12,-(G17/$D$59)/12))</f>
        <v>985998.479742445</v>
      </c>
      <c r="H41" s="23" t="n">
        <f aca="false">IF(H17&lt;=0,0,PV($C$10/12,$C$11*12,-(H17/$D$59)/12))</f>
        <v>1890173.47991226</v>
      </c>
      <c r="I41" s="23" t="n">
        <f aca="false">IF(I17&lt;=0,0,PV($C$10/12,$C$11*12,-(I17/$D$59)/12))</f>
        <v>2026859.41337155</v>
      </c>
      <c r="J41" s="23" t="n">
        <f aca="false">IF(J17&lt;=0,0,PV($C$10/12,$C$11*12,-(J17/$D$59)/12))</f>
        <v>2814449.71188238</v>
      </c>
      <c r="K41" s="23" t="n">
        <f aca="false">IF(K17&lt;=0,0,PV($C$10/12,$C$11*12,-(K17/$D$59)/12))</f>
        <v>3814008.36241009</v>
      </c>
      <c r="L41" s="23" t="n">
        <f aca="false">IF(L17&lt;=0,0,PV($C$10/12,$C$11*12,-(L17/$D$59)/12))</f>
        <v>4761838.94694615</v>
      </c>
      <c r="M41" s="23" t="n">
        <f aca="false">IF(M17&lt;=0,0,PV($C$10/12,$C$11*12,-(M17/$D$59)/12))</f>
        <v>8775160.47357575</v>
      </c>
      <c r="N41" s="23" t="n">
        <f aca="false">IF(N17&lt;=0,0,PV($C$10/12,$C$11*12,-(N17/$D$59)/12))</f>
        <v>13370548.849796</v>
      </c>
      <c r="O41" s="23" t="n">
        <f aca="false">SUM(C41:N41)</f>
        <v>38439037.7176366</v>
      </c>
      <c r="P41" s="9"/>
    </row>
    <row r="42" customFormat="false" ht="15" hidden="false" customHeight="false" outlineLevel="0" collapsed="false">
      <c r="B42" s="185" t="s">
        <v>571</v>
      </c>
      <c r="C42" s="186" t="n">
        <f aca="false">C39+C40</f>
        <v>0</v>
      </c>
      <c r="D42" s="186" t="n">
        <f aca="false">D39+D40</f>
        <v>2500000</v>
      </c>
      <c r="E42" s="186" t="n">
        <f aca="false">E39+E40</f>
        <v>0</v>
      </c>
      <c r="F42" s="186" t="n">
        <f aca="false">F39+F40</f>
        <v>0</v>
      </c>
      <c r="G42" s="186" t="n">
        <f aca="false">G39+G40</f>
        <v>0</v>
      </c>
      <c r="H42" s="186" t="n">
        <f aca="false">H39+H40</f>
        <v>300000</v>
      </c>
      <c r="I42" s="186" t="n">
        <f aca="false">I39+I40</f>
        <v>500000</v>
      </c>
      <c r="J42" s="186" t="n">
        <f aca="false">J39+J40</f>
        <v>0</v>
      </c>
      <c r="K42" s="186" t="n">
        <f aca="false">K39+K40</f>
        <v>0</v>
      </c>
      <c r="L42" s="186" t="n">
        <f aca="false">L39+L40</f>
        <v>0</v>
      </c>
      <c r="M42" s="186" t="n">
        <f aca="false">M39+M40</f>
        <v>0</v>
      </c>
      <c r="N42" s="186" t="n">
        <f aca="false">N39+N40</f>
        <v>0</v>
      </c>
      <c r="O42" s="186" t="n">
        <f aca="false">SUM(C42:N42)</f>
        <v>3300000</v>
      </c>
      <c r="P42" s="9"/>
    </row>
    <row r="43" customFormat="false" ht="15" hidden="false" customHeight="false" outlineLevel="0" collapsed="false">
      <c r="B43" s="36" t="s">
        <v>572</v>
      </c>
      <c r="C43" s="55" t="n">
        <f aca="false">C42</f>
        <v>0</v>
      </c>
      <c r="D43" s="55" t="n">
        <f aca="false">C43+D42</f>
        <v>2500000</v>
      </c>
      <c r="E43" s="55" t="n">
        <f aca="false">D43+E42</f>
        <v>2500000</v>
      </c>
      <c r="F43" s="55" t="n">
        <f aca="false">E43+F42</f>
        <v>2500000</v>
      </c>
      <c r="G43" s="55" t="n">
        <f aca="false">F43+G42</f>
        <v>2500000</v>
      </c>
      <c r="H43" s="55" t="n">
        <f aca="false">G43+H42</f>
        <v>2800000</v>
      </c>
      <c r="I43" s="55" t="n">
        <f aca="false">H43+I42</f>
        <v>3300000</v>
      </c>
      <c r="J43" s="55" t="n">
        <f aca="false">I43+J42</f>
        <v>3300000</v>
      </c>
      <c r="K43" s="55" t="n">
        <f aca="false">J43+K42</f>
        <v>3300000</v>
      </c>
      <c r="L43" s="55" t="n">
        <f aca="false">K43+L42</f>
        <v>3300000</v>
      </c>
      <c r="M43" s="55" t="n">
        <f aca="false">L43+M42</f>
        <v>3300000</v>
      </c>
      <c r="N43" s="55" t="n">
        <f aca="false">M43+N42</f>
        <v>3300000</v>
      </c>
      <c r="O43" s="55" t="n">
        <f aca="false">SUM(C43:N43)</f>
        <v>32600000</v>
      </c>
      <c r="P43" s="9"/>
    </row>
    <row r="44" customFormat="false" ht="17.15" hidden="false" customHeight="false" outlineLevel="0" collapsed="false">
      <c r="B44" s="47" t="s">
        <v>573</v>
      </c>
      <c r="C44" s="146" t="n">
        <f aca="false">C30</f>
        <v>56347.05</v>
      </c>
      <c r="D44" s="146" t="n">
        <f aca="false">D30</f>
        <v>2458701.44042895</v>
      </c>
      <c r="E44" s="146" t="n">
        <f aca="false">E30</f>
        <v>1358103.49928969</v>
      </c>
      <c r="F44" s="146" t="n">
        <f aca="false">F30</f>
        <v>439198.979228438</v>
      </c>
      <c r="G44" s="146" t="n">
        <f aca="false">G30</f>
        <v>674109.194295895</v>
      </c>
      <c r="H44" s="146" t="n">
        <f aca="false">H30</f>
        <v>972795.197836835</v>
      </c>
      <c r="I44" s="146" t="n">
        <f aca="false">I30</f>
        <v>1291510.87401834</v>
      </c>
      <c r="J44" s="146" t="n">
        <f aca="false">J30</f>
        <v>1564288.63746391</v>
      </c>
      <c r="K44" s="146" t="n">
        <f aca="false">K30</f>
        <v>2070124.04999339</v>
      </c>
      <c r="L44" s="146" t="n">
        <f aca="false">L30</f>
        <v>2242001.58801509</v>
      </c>
      <c r="M44" s="146" t="n">
        <f aca="false">M30</f>
        <v>2070876.60205017</v>
      </c>
      <c r="N44" s="146" t="n">
        <f aca="false">N30</f>
        <v>1308312.80429382</v>
      </c>
      <c r="O44" s="146" t="n">
        <f aca="false">SUM(C44:N44)</f>
        <v>16506369.9169145</v>
      </c>
      <c r="P44" s="9"/>
    </row>
    <row r="45" customFormat="false" ht="15.75" hidden="false" customHeight="true" outlineLevel="0" collapsed="false">
      <c r="B45" s="187" t="s">
        <v>574</v>
      </c>
      <c r="C45" s="188" t="n">
        <f aca="false">C32-C44</f>
        <v>16937.7875</v>
      </c>
      <c r="D45" s="188" t="n">
        <f aca="false">D32-D44</f>
        <v>-2365938.54841978</v>
      </c>
      <c r="E45" s="188" t="n">
        <f aca="false">E32-E44</f>
        <v>-1181907.71205048</v>
      </c>
      <c r="F45" s="188" t="n">
        <f aca="false">F32-F44</f>
        <v>-138253.650769547</v>
      </c>
      <c r="G45" s="188" t="n">
        <f aca="false">G32-G44</f>
        <v>-247571.438730132</v>
      </c>
      <c r="H45" s="188" t="n">
        <f aca="false">H32-H44</f>
        <v>-444033.444192397</v>
      </c>
      <c r="I45" s="188" t="n">
        <f aca="false">I32-I44</f>
        <v>-646448.126356497</v>
      </c>
      <c r="J45" s="188" t="n">
        <f aca="false">J32-J44</f>
        <v>-800000</v>
      </c>
      <c r="K45" s="188" t="n">
        <f aca="false">K32-K44</f>
        <v>-1200000</v>
      </c>
      <c r="L45" s="188" t="n">
        <f aca="false">L32-L44</f>
        <v>-1200000</v>
      </c>
      <c r="M45" s="31" t="n">
        <f aca="false">M32-M44</f>
        <v>-900000</v>
      </c>
      <c r="N45" s="31" t="n">
        <f aca="false">N32-N44</f>
        <v>0</v>
      </c>
      <c r="O45" s="31"/>
      <c r="P45" s="9"/>
    </row>
    <row r="46" customFormat="false" ht="15.75" hidden="false" customHeight="true" outlineLevel="0" collapsed="false">
      <c r="B46" s="9" t="s">
        <v>575</v>
      </c>
      <c r="C46" s="28" t="n">
        <f aca="false">C30</f>
        <v>56347.05</v>
      </c>
      <c r="D46" s="28" t="n">
        <f aca="false">D30</f>
        <v>2458701.44042895</v>
      </c>
      <c r="E46" s="28" t="n">
        <f aca="false">E30</f>
        <v>1358103.49928969</v>
      </c>
      <c r="F46" s="28" t="n">
        <f aca="false">F30</f>
        <v>439198.979228438</v>
      </c>
      <c r="G46" s="28" t="n">
        <f aca="false">G30</f>
        <v>674109.194295895</v>
      </c>
      <c r="H46" s="28" t="n">
        <f aca="false">H30</f>
        <v>972795.197836835</v>
      </c>
      <c r="I46" s="28" t="n">
        <f aca="false">I30</f>
        <v>1291510.87401834</v>
      </c>
      <c r="J46" s="28" t="n">
        <f aca="false">J30</f>
        <v>1564288.63746391</v>
      </c>
      <c r="K46" s="28" t="n">
        <f aca="false">K30</f>
        <v>2070124.04999339</v>
      </c>
      <c r="L46" s="28" t="n">
        <f aca="false">L30</f>
        <v>2242001.58801509</v>
      </c>
      <c r="M46" s="28" t="n">
        <f aca="false">M30</f>
        <v>2070876.60205017</v>
      </c>
      <c r="N46" s="28" t="n">
        <f aca="false">N30</f>
        <v>1308312.80429382</v>
      </c>
      <c r="O46" s="28"/>
      <c r="P46" s="9"/>
    </row>
    <row r="47" customFormat="false" ht="15" hidden="false" customHeight="false" outlineLevel="0" collapsed="false">
      <c r="B47" s="9" t="s">
        <v>576</v>
      </c>
      <c r="C47" s="28" t="n">
        <f aca="false">C32-C46</f>
        <v>16937.7875</v>
      </c>
      <c r="D47" s="28" t="n">
        <f aca="false">D32-D46</f>
        <v>-2365938.54841978</v>
      </c>
      <c r="E47" s="28" t="n">
        <f aca="false">E32-E46</f>
        <v>-1181907.71205048</v>
      </c>
      <c r="F47" s="28" t="n">
        <f aca="false">F32-F46</f>
        <v>-138253.650769547</v>
      </c>
      <c r="G47" s="28" t="n">
        <f aca="false">G32-G46</f>
        <v>-247571.438730132</v>
      </c>
      <c r="H47" s="28" t="n">
        <f aca="false">H32-H46</f>
        <v>-444033.444192397</v>
      </c>
      <c r="I47" s="28" t="n">
        <f aca="false">I32-I46</f>
        <v>-646448.126356497</v>
      </c>
      <c r="J47" s="28" t="n">
        <f aca="false">J32-J46</f>
        <v>-800000</v>
      </c>
      <c r="K47" s="28" t="n">
        <f aca="false">K32-K46</f>
        <v>-1200000</v>
      </c>
      <c r="L47" s="28" t="n">
        <f aca="false">L32-L46</f>
        <v>-1200000</v>
      </c>
      <c r="M47" s="28" t="n">
        <f aca="false">M32-M46</f>
        <v>-900000</v>
      </c>
      <c r="N47" s="28" t="n">
        <f aca="false">N32-N46</f>
        <v>0</v>
      </c>
      <c r="O47" s="28"/>
      <c r="P47" s="9"/>
    </row>
    <row r="48" customFormat="false" ht="15" hidden="false" customHeight="false" outlineLevel="0" collapsed="false">
      <c r="B48" s="21" t="s">
        <v>577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9"/>
    </row>
    <row r="49" customFormat="false" ht="15" hidden="false" customHeight="false" outlineLevel="0" collapsed="false">
      <c r="B49" s="18" t="s">
        <v>578</v>
      </c>
      <c r="C49" s="189" t="n">
        <f aca="false">SUMIFS('㉓ Debt Schedule'!$E$18:$E$77,'㉓ Debt Schedule'!$C$18:$C$77,"&gt;="&amp;DATE(C$37,1,1),'㉓ Debt Schedule'!$C$18:$C$77,"&lt;="&amp;DATE(C$37,12,31))+SUMIFS('㉓ Debt Schedule'!$F$18:$F$77,'㉓ Debt Schedule'!$C$18:$C$77,"&gt;="&amp;DATE(C$37,1,1),'㉓ Debt Schedule'!$C$18:$C$77,"&lt;="&amp;DATE(C$37,12,31))</f>
        <v>0</v>
      </c>
      <c r="D49" s="189" t="n">
        <f aca="false">SUMIFS('㉓ Debt Schedule'!$E$18:$E$77,'㉓ Debt Schedule'!$C$18:$C$77,"&gt;="&amp;DATE(D$37,1,1),'㉓ Debt Schedule'!$C$18:$C$77,"&lt;="&amp;DATE(D$37,12,31))+SUMIFS('㉓ Debt Schedule'!$F$18:$F$77,'㉓ Debt Schedule'!$C$18:$C$77,"&gt;="&amp;DATE(D$37,1,1),'㉓ Debt Schedule'!$C$18:$C$77,"&lt;="&amp;DATE(D$37,12,31))</f>
        <v>0</v>
      </c>
      <c r="E49" s="189" t="n">
        <f aca="false">SUMIFS('㉓ Debt Schedule'!$E$18:$E$77,'㉓ Debt Schedule'!$C$18:$C$77,"&gt;="&amp;DATE(E$37,1,1),'㉓ Debt Schedule'!$C$18:$C$77,"&lt;="&amp;DATE(E$37,12,31))+SUMIFS('㉓ Debt Schedule'!$F$18:$F$77,'㉓ Debt Schedule'!$C$18:$C$77,"&gt;="&amp;DATE(E$37,1,1),'㉓ Debt Schedule'!$C$18:$C$77,"&lt;="&amp;DATE(E$37,12,31))</f>
        <v>0</v>
      </c>
      <c r="F49" s="189" t="n">
        <f aca="false">SUMIFS('㉓ Debt Schedule'!$E$18:$E$77,'㉓ Debt Schedule'!$C$18:$C$77,"&gt;="&amp;DATE(F$37,1,1),'㉓ Debt Schedule'!$C$18:$C$77,"&lt;="&amp;DATE(F$37,12,31))+SUMIFS('㉓ Debt Schedule'!$F$18:$F$77,'㉓ Debt Schedule'!$C$18:$C$77,"&gt;="&amp;DATE(F$37,1,1),'㉓ Debt Schedule'!$C$18:$C$77,"&lt;="&amp;DATE(F$37,12,31))</f>
        <v>0</v>
      </c>
      <c r="G49" s="189" t="n">
        <f aca="false">SUMIFS('㉓ Debt Schedule'!$E$18:$E$77,'㉓ Debt Schedule'!$C$18:$C$77,"&gt;="&amp;DATE(G$37,1,1),'㉓ Debt Schedule'!$C$18:$C$77,"&lt;="&amp;DATE(G$37,12,31))+SUMIFS('㉓ Debt Schedule'!$F$18:$F$77,'㉓ Debt Schedule'!$C$18:$C$77,"&gt;="&amp;DATE(G$37,1,1),'㉓ Debt Schedule'!$C$18:$C$77,"&lt;="&amp;DATE(G$37,12,31))</f>
        <v>0</v>
      </c>
      <c r="H49" s="189" t="n">
        <f aca="false">SUMIFS('㉓ Debt Schedule'!$E$18:$E$77,'㉓ Debt Schedule'!$C$18:$C$77,"&gt;="&amp;DATE(H$37,1,1),'㉓ Debt Schedule'!$C$18:$C$77,"&lt;="&amp;DATE(H$37,12,31))+SUMIFS('㉓ Debt Schedule'!$F$18:$F$77,'㉓ Debt Schedule'!$C$18:$C$77,"&gt;="&amp;DATE(H$37,1,1),'㉓ Debt Schedule'!$C$18:$C$77,"&lt;="&amp;DATE(H$37,12,31))</f>
        <v>81911.0629592065</v>
      </c>
      <c r="I49" s="189" t="n">
        <f aca="false">SUMIFS('㉓ Debt Schedule'!$E$18:$E$77,'㉓ Debt Schedule'!$C$18:$C$77,"&gt;="&amp;DATE(I$37,1,1),'㉓ Debt Schedule'!$C$18:$C$77,"&lt;="&amp;DATE(I$37,12,31))+SUMIFS('㉓ Debt Schedule'!$F$18:$F$77,'㉓ Debt Schedule'!$C$18:$C$77,"&gt;="&amp;DATE(I$37,1,1),'㉓ Debt Schedule'!$C$18:$C$77,"&lt;="&amp;DATE(I$37,12,31))</f>
        <v>242876.038321796</v>
      </c>
      <c r="J49" s="189" t="n">
        <f aca="false">SUMIFS('㉓ Debt Schedule'!$E$18:$E$77,'㉓ Debt Schedule'!$C$18:$C$77,"&gt;="&amp;DATE(J$37,1,1),'㉓ Debt Schedule'!$C$18:$C$77,"&lt;="&amp;DATE(J$37,12,31))+SUMIFS('㉓ Debt Schedule'!$F$18:$F$77,'㉓ Debt Schedule'!$C$18:$C$77,"&gt;="&amp;DATE(J$37,1,1),'㉓ Debt Schedule'!$C$18:$C$77,"&lt;="&amp;DATE(J$37,12,31))</f>
        <v>242876.038321796</v>
      </c>
      <c r="K49" s="189" t="n">
        <f aca="false">SUMIFS('㉓ Debt Schedule'!$E$18:$E$77,'㉓ Debt Schedule'!$C$18:$C$77,"&gt;="&amp;DATE(K$37,1,1),'㉓ Debt Schedule'!$C$18:$C$77,"&lt;="&amp;DATE(K$37,12,31))+SUMIFS('㉓ Debt Schedule'!$F$18:$F$77,'㉓ Debt Schedule'!$C$18:$C$77,"&gt;="&amp;DATE(K$37,1,1),'㉓ Debt Schedule'!$C$18:$C$77,"&lt;="&amp;DATE(K$37,12,31))</f>
        <v>242876.038321796</v>
      </c>
      <c r="L49" s="189" t="n">
        <f aca="false">SUMIFS('㉓ Debt Schedule'!$E$18:$E$77,'㉓ Debt Schedule'!$C$18:$C$77,"&gt;="&amp;DATE(L$37,1,1),'㉓ Debt Schedule'!$C$18:$C$77,"&lt;="&amp;DATE(L$37,12,31))+SUMIFS('㉓ Debt Schedule'!$F$18:$F$77,'㉓ Debt Schedule'!$C$18:$C$77,"&gt;="&amp;DATE(L$37,1,1),'㉓ Debt Schedule'!$C$18:$C$77,"&lt;="&amp;DATE(L$37,12,31))</f>
        <v>242876.038321796</v>
      </c>
      <c r="M49" s="189" t="n">
        <f aca="false">SUMIFS('㉓ Debt Schedule'!$E$18:$E$77,'㉓ Debt Schedule'!$C$18:$C$77,"&gt;="&amp;DATE(M$37,1,1),'㉓ Debt Schedule'!$C$18:$C$77,"&lt;="&amp;DATE(M$37,12,31))+SUMIFS('㉓ Debt Schedule'!$F$18:$F$77,'㉓ Debt Schedule'!$C$18:$C$77,"&gt;="&amp;DATE(M$37,1,1),'㉓ Debt Schedule'!$C$18:$C$77,"&lt;="&amp;DATE(M$37,12,31))</f>
        <v>0</v>
      </c>
      <c r="N49" s="189" t="n">
        <f aca="false">SUMIFS('㉓ Debt Schedule'!$E$18:$E$77,'㉓ Debt Schedule'!$C$18:$C$77,"&gt;="&amp;DATE(N$37,1,1),'㉓ Debt Schedule'!$C$18:$C$77,"&lt;="&amp;DATE(N$37,12,31))+SUMIFS('㉓ Debt Schedule'!$F$18:$F$77,'㉓ Debt Schedule'!$C$18:$C$77,"&gt;="&amp;DATE(N$37,1,1),'㉓ Debt Schedule'!$C$18:$C$77,"&lt;="&amp;DATE(N$37,12,31))</f>
        <v>0</v>
      </c>
      <c r="O49" s="189"/>
      <c r="P49" s="9"/>
    </row>
    <row r="50" customFormat="false" ht="15" hidden="false" customHeight="false" outlineLevel="0" collapsed="false">
      <c r="B50" s="30" t="s">
        <v>579</v>
      </c>
      <c r="C50" s="113" t="str">
        <f aca="false">IF(C49=0,"n/a",MAX(0,C17/C49))</f>
        <v>n/a</v>
      </c>
      <c r="D50" s="113" t="str">
        <f aca="false">IF(D49=0,"n/a",MAX(0,D17/D49))</f>
        <v>n/a</v>
      </c>
      <c r="E50" s="113" t="str">
        <f aca="false">IF(E49=0,"n/a",MAX(0,E17/E49))</f>
        <v>n/a</v>
      </c>
      <c r="F50" s="113" t="str">
        <f aca="false">IF(F49=0,"n/a",MAX(0,F17/F49))</f>
        <v>n/a</v>
      </c>
      <c r="G50" s="113" t="str">
        <f aca="false">IF(G49=0,"n/a",MAX(0,G17/G49))</f>
        <v>n/a</v>
      </c>
      <c r="H50" s="113" t="n">
        <f aca="false">IF(H49=0,"n/a",MAX(0,H17/H49))</f>
        <v>9.45086739956134</v>
      </c>
      <c r="I50" s="113" t="n">
        <f aca="false">IF(I49=0,"n/a",MAX(0,I17/I49))</f>
        <v>3.417838378897</v>
      </c>
      <c r="J50" s="113" t="n">
        <f aca="false">IF(J49=0,"n/a",MAX(0,J17/J49))</f>
        <v>4.74593066361028</v>
      </c>
      <c r="K50" s="113" t="n">
        <f aca="false">IF(K49=0,"n/a",MAX(0,K17/K49))</f>
        <v>6.4314594650624</v>
      </c>
      <c r="L50" s="113" t="n">
        <f aca="false">IF(L49=0,"n/a",MAX(0,L17/L49))</f>
        <v>8.029760623568</v>
      </c>
      <c r="M50" s="190" t="str">
        <f aca="false">IF(M49=0,"n/a",MAX(0,M17/M49))</f>
        <v>n/a</v>
      </c>
      <c r="N50" s="190" t="str">
        <f aca="false">IF(N49=0,"n/a",MAX(0,N17/N49))</f>
        <v>n/a</v>
      </c>
      <c r="O50" s="190"/>
      <c r="P50" s="9"/>
    </row>
    <row r="51" customFormat="false" ht="15" hidden="false" customHeight="false" outlineLevel="0" collapsed="false">
      <c r="B51" s="9"/>
      <c r="C51" s="66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customFormat="false" ht="15" hidden="false" customHeight="false" outlineLevel="0" collapsed="false">
      <c r="B52" s="9" t="s">
        <v>580</v>
      </c>
      <c r="C52" s="28" t="n">
        <f aca="false">'⑫ Roll-out Plan'!D103</f>
        <v>0</v>
      </c>
      <c r="D52" s="28" t="n">
        <f aca="false">'⑫ Roll-out Plan'!E103</f>
        <v>700000</v>
      </c>
      <c r="E52" s="28" t="n">
        <f aca="false">'⑫ Roll-out Plan'!F103</f>
        <v>700000</v>
      </c>
      <c r="F52" s="28" t="n">
        <f aca="false">'⑫ Roll-out Plan'!G103</f>
        <v>100000</v>
      </c>
      <c r="G52" s="28" t="n">
        <f aca="false">'⑫ Roll-out Plan'!H103</f>
        <v>400000</v>
      </c>
      <c r="H52" s="28" t="n">
        <f aca="false">'⑫ Roll-out Plan'!I103</f>
        <v>700000</v>
      </c>
      <c r="I52" s="28" t="n">
        <f aca="false">'⑫ Roll-out Plan'!J103</f>
        <v>400000</v>
      </c>
      <c r="J52" s="28" t="n">
        <f aca="false">'⑫ Roll-out Plan'!K103</f>
        <v>800000</v>
      </c>
      <c r="K52" s="28" t="n">
        <f aca="false">'⑫ Roll-out Plan'!L103</f>
        <v>1200000</v>
      </c>
      <c r="L52" s="28" t="n">
        <f aca="false">'⑫ Roll-out Plan'!M103</f>
        <v>1200000</v>
      </c>
      <c r="M52" s="28" t="n">
        <f aca="false">'⑫ Roll-out Plan'!N103</f>
        <v>900000</v>
      </c>
      <c r="N52" s="28" t="n">
        <f aca="false">0</f>
        <v>0</v>
      </c>
      <c r="O52" s="9"/>
      <c r="P52" s="9"/>
    </row>
    <row r="53" customFormat="false" ht="17.15" hidden="false" customHeight="false" outlineLevel="0" collapsed="false">
      <c r="B53" s="26" t="s">
        <v>581</v>
      </c>
      <c r="C53" s="167"/>
      <c r="D53" s="191" t="s">
        <v>582</v>
      </c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customFormat="false" ht="15" hidden="false" customHeight="false" outlineLevel="0" collapsed="false">
      <c r="B54" s="9" t="s">
        <v>583</v>
      </c>
      <c r="C54" s="115" t="n">
        <f aca="false">$C$55</f>
        <v>2032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customFormat="false" ht="15" hidden="false" customHeight="false" outlineLevel="0" collapsed="false">
      <c r="B55" s="9" t="s">
        <v>584</v>
      </c>
      <c r="C55" s="136" t="n">
        <f aca="false">$G$121</f>
        <v>2032</v>
      </c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customFormat="false" ht="15" hidden="false" customHeight="false" outlineLevel="0" collapsed="false">
      <c r="B56" s="9" t="s">
        <v>585</v>
      </c>
      <c r="C56" s="22" t="n">
        <v>1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customFormat="false" ht="15" hidden="false" customHeight="false" outlineLevel="0" collapsed="false">
      <c r="B57" s="9" t="s">
        <v>586</v>
      </c>
      <c r="C57" s="192" t="n">
        <v>0</v>
      </c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customFormat="false" ht="15" hidden="false" customHeight="false" outlineLevel="0" collapsed="false">
      <c r="B58" s="9" t="s">
        <v>587</v>
      </c>
      <c r="C58" s="22" t="n">
        <v>0.08</v>
      </c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customFormat="false" ht="15" hidden="false" customHeight="false" outlineLevel="0" collapsed="false">
      <c r="B59" s="9" t="s">
        <v>588</v>
      </c>
      <c r="C59" s="193" t="n">
        <v>0.7</v>
      </c>
      <c r="D59" s="24" t="n">
        <v>1.5</v>
      </c>
      <c r="E59" s="112" t="s">
        <v>589</v>
      </c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customFormat="false" ht="15" hidden="false" customHeight="false" outlineLevel="0" collapsed="false">
      <c r="B60" s="26" t="s">
        <v>123</v>
      </c>
      <c r="C60" s="178" t="n">
        <f aca="false">C37</f>
        <v>2025</v>
      </c>
      <c r="D60" s="178" t="n">
        <f aca="false">D37</f>
        <v>2026</v>
      </c>
      <c r="E60" s="178" t="n">
        <f aca="false">E37</f>
        <v>2027</v>
      </c>
      <c r="F60" s="178" t="n">
        <f aca="false">F37</f>
        <v>2028</v>
      </c>
      <c r="G60" s="178" t="n">
        <f aca="false">G37</f>
        <v>2029</v>
      </c>
      <c r="H60" s="178" t="n">
        <f aca="false">H37</f>
        <v>2030</v>
      </c>
      <c r="I60" s="178" t="n">
        <f aca="false">I37</f>
        <v>2031</v>
      </c>
      <c r="J60" s="178" t="n">
        <f aca="false">J37</f>
        <v>2032</v>
      </c>
      <c r="K60" s="178" t="n">
        <f aca="false">K37</f>
        <v>2033</v>
      </c>
      <c r="L60" s="178" t="n">
        <f aca="false">L37</f>
        <v>2034</v>
      </c>
      <c r="M60" s="178" t="n">
        <f aca="false">M37</f>
        <v>2035</v>
      </c>
      <c r="N60" s="178" t="n">
        <f aca="false">N37</f>
        <v>2036</v>
      </c>
      <c r="O60" s="9"/>
      <c r="P60" s="9"/>
    </row>
    <row r="61" customFormat="false" ht="15" hidden="false" customHeight="false" outlineLevel="0" collapsed="false">
      <c r="B61" s="9" t="s">
        <v>590</v>
      </c>
      <c r="C61" s="28" t="n">
        <f aca="false">IF(C$60&gt;=$C$54,MAX(0,C41*$C$59-IFERROR(LOOKUP(DATE(C$60,12,31),'㉓ Debt Schedule'!$C$18:$C$77,'㉓ Debt Schedule'!$G$18:$G$77),0)),0)</f>
        <v>0</v>
      </c>
      <c r="D61" s="28" t="n">
        <f aca="false">IF(D$60&gt;=$C$54,MAX(0,D41*$C$59-IFERROR(LOOKUP(DATE(D$60,12,31),'㉓ Debt Schedule'!$C$18:$C$77,'㉓ Debt Schedule'!$G$18:$G$77),0)),0)</f>
        <v>0</v>
      </c>
      <c r="E61" s="28" t="n">
        <f aca="false">IF(E$60&gt;=$C$54,MAX(0,E41*$C$59-IFERROR(LOOKUP(DATE(E$60,12,31),'㉓ Debt Schedule'!$C$18:$C$77,'㉓ Debt Schedule'!$G$18:$G$77),0)),0)</f>
        <v>0</v>
      </c>
      <c r="F61" s="28" t="n">
        <f aca="false">IF(F$60&gt;=$C$54,MAX(0,F41*$C$59-IFERROR(LOOKUP(DATE(F$60,12,31),'㉓ Debt Schedule'!$C$18:$C$77,'㉓ Debt Schedule'!$G$18:$G$77),0)),0)</f>
        <v>0</v>
      </c>
      <c r="G61" s="28" t="n">
        <f aca="false">IF(G$60&gt;=$C$54,MAX(0,G41*$C$59-IFERROR(LOOKUP(DATE(G$60,12,31),'㉓ Debt Schedule'!$C$18:$C$77,'㉓ Debt Schedule'!$G$18:$G$77),0)),0)</f>
        <v>0</v>
      </c>
      <c r="H61" s="28" t="n">
        <f aca="false">IF(H$60&gt;=$C$54,MAX(0,H41*$C$59-IFERROR(LOOKUP(DATE(H$60,12,31),'㉓ Debt Schedule'!$C$18:$C$77,'㉓ Debt Schedule'!$G$18:$G$77),0)),0)</f>
        <v>0</v>
      </c>
      <c r="I61" s="28" t="n">
        <f aca="false">IF(I$60&gt;=$C$54,MAX(0,I41*$C$59-IFERROR(LOOKUP(DATE(I$60,12,31),'㉓ Debt Schedule'!$C$18:$C$77,'㉓ Debt Schedule'!$G$18:$G$77),0)),0)</f>
        <v>0</v>
      </c>
      <c r="J61" s="28" t="n">
        <f aca="false">IF(J$60&gt;=$C$54,MAX(0,J41*$C$59-IFERROR(LOOKUP(DATE(J$60,12,31),'㉓ Debt Schedule'!$C$18:$C$77,'㉓ Debt Schedule'!$G$18:$G$77),0)),0)</f>
        <v>1544391.32458054</v>
      </c>
      <c r="K61" s="28" t="n">
        <f aca="false">IF(K$60&gt;=$C$54,MAX(0,K41*$C$59-IFERROR(LOOKUP(DATE(K$60,12,31),'㉓ Debt Schedule'!$C$18:$C$77,'㉓ Debt Schedule'!$G$18:$G$77),0)),0)</f>
        <v>2443201.6531126</v>
      </c>
      <c r="L61" s="28" t="n">
        <f aca="false">IF(L$60&gt;=$C$54,MAX(0,L41*$C$59-IFERROR(LOOKUP(DATE(L$60,12,31),'㉓ Debt Schedule'!$C$18:$C$77,'㉓ Debt Schedule'!$G$18:$G$77),0)),0)</f>
        <v>3333287.26286231</v>
      </c>
      <c r="M61" s="28" t="n">
        <f aca="false">IF(M$60&gt;=$C$54,MAX(0,M41*$C$59-IFERROR(LOOKUP(DATE(M$60,12,31),'㉓ Debt Schedule'!$C$18:$C$77,'㉓ Debt Schedule'!$G$18:$G$77),0)),0)</f>
        <v>6142612.33150303</v>
      </c>
      <c r="N61" s="28" t="n">
        <f aca="false">IF(N$60&gt;=$C$54,MAX(0,N41*$C$59-IFERROR(LOOKUP(DATE(N$60,12,31),'㉓ Debt Schedule'!$C$18:$C$77,'㉓ Debt Schedule'!$G$18:$G$77),0)),0)</f>
        <v>9359384.19485719</v>
      </c>
      <c r="O61" s="9"/>
      <c r="P61" s="9"/>
    </row>
    <row r="62" customFormat="false" ht="15" hidden="false" customHeight="false" outlineLevel="0" collapsed="false">
      <c r="B62" s="9" t="s">
        <v>591</v>
      </c>
      <c r="C62" s="28" t="n">
        <f aca="false">C61</f>
        <v>0</v>
      </c>
      <c r="D62" s="28" t="n">
        <f aca="false">D61</f>
        <v>0</v>
      </c>
      <c r="E62" s="28" t="n">
        <f aca="false">E61</f>
        <v>0</v>
      </c>
      <c r="F62" s="28" t="n">
        <f aca="false">F61</f>
        <v>0</v>
      </c>
      <c r="G62" s="28" t="n">
        <f aca="false">G61</f>
        <v>0</v>
      </c>
      <c r="H62" s="28" t="n">
        <f aca="false">H61</f>
        <v>0</v>
      </c>
      <c r="I62" s="28" t="n">
        <f aca="false">I61</f>
        <v>0</v>
      </c>
      <c r="J62" s="28" t="n">
        <f aca="false">J61</f>
        <v>1544391.32458054</v>
      </c>
      <c r="K62" s="28" t="n">
        <f aca="false">K61</f>
        <v>2443201.6531126</v>
      </c>
      <c r="L62" s="28" t="n">
        <f aca="false">L61</f>
        <v>3333287.26286231</v>
      </c>
      <c r="M62" s="28" t="n">
        <f aca="false">M61</f>
        <v>6142612.33150303</v>
      </c>
      <c r="N62" s="28" t="n">
        <f aca="false">N61</f>
        <v>9359384.19485719</v>
      </c>
      <c r="O62" s="9"/>
      <c r="P62" s="9"/>
    </row>
    <row r="63" customFormat="false" ht="15" hidden="false" customHeight="false" outlineLevel="0" collapsed="false">
      <c r="B63" s="9" t="s">
        <v>592</v>
      </c>
      <c r="C63" s="28" t="n">
        <f aca="false">C62</f>
        <v>0</v>
      </c>
      <c r="D63" s="28" t="n">
        <f aca="false">D62-C62</f>
        <v>0</v>
      </c>
      <c r="E63" s="28" t="n">
        <f aca="false">E62-D62</f>
        <v>0</v>
      </c>
      <c r="F63" s="28" t="n">
        <f aca="false">F62-E62</f>
        <v>0</v>
      </c>
      <c r="G63" s="28" t="n">
        <f aca="false">G62-F62</f>
        <v>0</v>
      </c>
      <c r="H63" s="28" t="n">
        <f aca="false">H62-G62</f>
        <v>0</v>
      </c>
      <c r="I63" s="28" t="n">
        <f aca="false">I62-H62</f>
        <v>0</v>
      </c>
      <c r="J63" s="28" t="n">
        <f aca="false">J62-I62</f>
        <v>1544391.32458054</v>
      </c>
      <c r="K63" s="28" t="n">
        <f aca="false">K62-J62</f>
        <v>898810.328532065</v>
      </c>
      <c r="L63" s="28" t="n">
        <f aca="false">L62-K62</f>
        <v>890085.609749705</v>
      </c>
      <c r="M63" s="28" t="n">
        <f aca="false">M62-L62</f>
        <v>2809325.06864072</v>
      </c>
      <c r="N63" s="28" t="n">
        <f aca="false">N62-M62</f>
        <v>3216771.86335417</v>
      </c>
      <c r="O63" s="9"/>
      <c r="P63" s="9"/>
    </row>
    <row r="64" customFormat="false" ht="15" hidden="false" customHeight="false" outlineLevel="0" collapsed="false">
      <c r="B64" s="9" t="s">
        <v>593</v>
      </c>
      <c r="C64" s="28" t="n">
        <f aca="false">C62*$C$58</f>
        <v>0</v>
      </c>
      <c r="D64" s="28" t="n">
        <f aca="false">D62*$C$58</f>
        <v>0</v>
      </c>
      <c r="E64" s="28" t="n">
        <f aca="false">E62*$C$58</f>
        <v>0</v>
      </c>
      <c r="F64" s="28" t="n">
        <f aca="false">F62*$C$58</f>
        <v>0</v>
      </c>
      <c r="G64" s="28" t="n">
        <f aca="false">G62*$C$58</f>
        <v>0</v>
      </c>
      <c r="H64" s="28" t="n">
        <f aca="false">H62*$C$58</f>
        <v>0</v>
      </c>
      <c r="I64" s="28" t="n">
        <f aca="false">I62*$C$58</f>
        <v>0</v>
      </c>
      <c r="J64" s="28" t="n">
        <f aca="false">J62*$C$58</f>
        <v>123551.305966443</v>
      </c>
      <c r="K64" s="28" t="n">
        <f aca="false">K62*$C$58</f>
        <v>195456.132249008</v>
      </c>
      <c r="L64" s="28" t="n">
        <f aca="false">L62*$C$58</f>
        <v>266662.981028985</v>
      </c>
      <c r="M64" s="28" t="n">
        <f aca="false">M62*$C$58</f>
        <v>491408.986520242</v>
      </c>
      <c r="N64" s="28" t="n">
        <f aca="false">N62*$C$58</f>
        <v>748750.735588575</v>
      </c>
      <c r="O64" s="9"/>
      <c r="P64" s="9"/>
    </row>
    <row r="65" customFormat="false" ht="17.15" hidden="false" customHeight="false" outlineLevel="0" collapsed="false">
      <c r="B65" s="9" t="s">
        <v>594</v>
      </c>
      <c r="C65" s="28" t="n">
        <f aca="false">SUM('㉔ Financial Statements'!C57:N57)+SUM('㉔ Financial Statements'!C61:N61)+SUM('㉔ Financial Statements'!C63:N63)+SUM('㉔ Financial Statements'!C64:N64)</f>
        <v>18341.67</v>
      </c>
      <c r="D65" s="28" t="n">
        <f aca="false">SUM('㉔ Financial Statements'!O57:Z57)+SUM('㉔ Financial Statements'!O61:Z61)+SUM('㉔ Financial Statements'!O63:Z63)+SUM('㉔ Financial Statements'!O64:Z64)</f>
        <v>2402354.39042894</v>
      </c>
      <c r="E65" s="28" t="n">
        <f aca="false">SUM('㉔ Financial Statements'!AA57:AL57)+SUM('㉔ Financial Statements'!AA61:AL61)+SUM('㉔ Financial Statements'!AA63:AL63)+SUM('㉔ Financial Statements'!AA64:AL64)</f>
        <v>-1100597.94113925</v>
      </c>
      <c r="F65" s="28" t="n">
        <f aca="false">SUM('㉔ Financial Statements'!AM57:AX57)+SUM('㉔ Financial Statements'!AM61:AX61)+SUM('㉔ Financial Statements'!AM63:AX63)+SUM('㉔ Financial Statements'!AM64:AX64)</f>
        <v>-918904.520061256</v>
      </c>
      <c r="G65" s="28" t="n">
        <f aca="false">SUM('㉔ Financial Statements'!AY57:AY57)+SUM('㉔ Financial Statements'!AY61:AY61)+SUM('㉔ Financial Statements'!AY63:AY63)+SUM('㉔ Financial Statements'!AY64:AY64)</f>
        <v>234910.215067456</v>
      </c>
      <c r="H65" s="28" t="n">
        <f aca="false">SUM('㉔ Financial Statements'!AZ57:AZ57)+SUM('㉔ Financial Statements'!AZ61:AZ61)+SUM('㉔ Financial Statements'!AZ63:AZ63)+SUM('㉔ Financial Statements'!AZ64:AZ64)</f>
        <v>298686.00354094</v>
      </c>
      <c r="I65" s="28" t="n">
        <f aca="false">SUM('㉔ Financial Statements'!BA57:BA57)+SUM('㉔ Financial Statements'!BA61:BA61)+SUM('㉔ Financial Statements'!BA63:BA63)+SUM('㉔ Financial Statements'!BA64:BA64)</f>
        <v>318715.676181508</v>
      </c>
      <c r="J65" s="28" t="n">
        <f aca="false">SUM('㉔ Financial Statements'!BB57:BB57)+SUM('㉔ Financial Statements'!BB61:BB61)+SUM('㉔ Financial Statements'!BB63:BB63)+SUM('㉔ Financial Statements'!BB64:BB64)</f>
        <v>1776915.12772757</v>
      </c>
      <c r="K65" s="28" t="n">
        <f aca="false">SUM('㉔ Financial Statements'!BC57:BC57)+SUM('㉔ Financial Statements'!BC61:BC61)+SUM('㉔ Financial Statements'!BC63:BC63)+SUM('㉔ Financial Statements'!BC64:BC64)</f>
        <v>999954.517504095</v>
      </c>
      <c r="L65" s="28" t="n">
        <f aca="false">SUM('㉔ Financial Statements'!BD57:BD57)+SUM('㉔ Financial Statements'!BD61:BD61)+SUM('㉔ Financial Statements'!BD63:BD63)+SUM('㉔ Financial Statements'!BD64:BD64)</f>
        <v>882921.319250723</v>
      </c>
      <c r="M65" s="28" t="n">
        <f aca="false">SUM('㉔ Financial Statements'!BE57:BE57)+SUM('㉔ Financial Statements'!BE61:BE61)+SUM('㉔ Financial Statements'!BE63:BE63)+SUM('㉔ Financial Statements'!BE64:BE64)</f>
        <v>3917621.12853091</v>
      </c>
      <c r="N65" s="28" t="n">
        <f aca="false">SUM('㉔ Financial Statements'!BF57:BF57)+SUM('㉔ Financial Statements'!BF61:BF61)+SUM('㉔ Financial Statements'!BF63:BF63)+SUM('㉔ Financial Statements'!BF64:BF64)</f>
        <v>5784027.1635827</v>
      </c>
      <c r="O65" s="9"/>
      <c r="P65" s="9"/>
    </row>
    <row r="66" customFormat="false" ht="15" hidden="false" customHeight="false" outlineLevel="0" collapsed="false">
      <c r="B66" s="9" t="s">
        <v>595</v>
      </c>
      <c r="C66" s="28" t="n">
        <f aca="false">C30</f>
        <v>56347.05</v>
      </c>
      <c r="D66" s="28" t="n">
        <f aca="false">C30+D65</f>
        <v>2458701.44042894</v>
      </c>
      <c r="E66" s="28" t="n">
        <f aca="false">D30+E65</f>
        <v>1358103.49928969</v>
      </c>
      <c r="F66" s="28" t="n">
        <f aca="false">E30+F65</f>
        <v>439198.979228438</v>
      </c>
      <c r="G66" s="28" t="n">
        <f aca="false">F30+G65</f>
        <v>674109.194295895</v>
      </c>
      <c r="H66" s="28" t="n">
        <f aca="false">G30+H65</f>
        <v>972795.197836835</v>
      </c>
      <c r="I66" s="28" t="n">
        <f aca="false">H30+I65</f>
        <v>1291510.87401834</v>
      </c>
      <c r="J66" s="28" t="n">
        <f aca="false">I30+J65</f>
        <v>3068426.00174591</v>
      </c>
      <c r="K66" s="28" t="n">
        <f aca="false">J30+K65</f>
        <v>2564243.154968</v>
      </c>
      <c r="L66" s="28" t="n">
        <f aca="false">K30+L65</f>
        <v>2953045.36924412</v>
      </c>
      <c r="M66" s="28" t="n">
        <f aca="false">L30+M65</f>
        <v>6159622.716546</v>
      </c>
      <c r="N66" s="28" t="n">
        <f aca="false">M30+N65</f>
        <v>7854903.76563287</v>
      </c>
      <c r="O66" s="9"/>
      <c r="P66" s="9"/>
    </row>
    <row r="67" customFormat="false" ht="15" hidden="false" customHeight="false" outlineLevel="0" collapsed="false">
      <c r="B67" s="30" t="s">
        <v>143</v>
      </c>
      <c r="C67" s="31" t="n">
        <f aca="false">IF(C$60&gt;=MIN($C$54,$C$55),MAX(0,(C66-C32-$C$57*C31/12-C52)*$C$56),0)</f>
        <v>0</v>
      </c>
      <c r="D67" s="31" t="n">
        <f aca="false">IF(D$60&gt;=MIN($C$54,$C$55),MAX(0,(D66-D32-$C$57*D31/12-D52)*$C$56),0)</f>
        <v>0</v>
      </c>
      <c r="E67" s="31" t="n">
        <f aca="false">IF(E$60&gt;=MIN($C$54,$C$55),MAX(0,(E66-E32-$C$57*E31/12-E52)*$C$56),0)</f>
        <v>0</v>
      </c>
      <c r="F67" s="31" t="n">
        <f aca="false">IF(F$60&gt;=MIN($C$54,$C$55),MAX(0,(F66-F32-$C$57*F31/12-F52)*$C$56),0)</f>
        <v>0</v>
      </c>
      <c r="G67" s="31" t="n">
        <f aca="false">IF(G$60&gt;=MIN($C$54,$C$55),MAX(0,(G66-G32-$C$57*G31/12-G52)*$C$56),0)</f>
        <v>0</v>
      </c>
      <c r="H67" s="31" t="n">
        <f aca="false">IF(H$60&gt;=MIN($C$54,$C$55),MAX(0,(H66-H32-$C$57*H31/12-H52)*$C$56),0)</f>
        <v>0</v>
      </c>
      <c r="I67" s="31" t="n">
        <f aca="false">IF(I$60&gt;=MIN($C$54,$C$55),MAX(0,(I66-I32-$C$57*I31/12-I52)*$C$56),0)</f>
        <v>0</v>
      </c>
      <c r="J67" s="31" t="n">
        <f aca="false">IF(J$60&gt;=MIN($C$54,$C$55),MAX(0,(J66-J32-$C$57*J31/12-J52)*$C$56),0)</f>
        <v>1504137.36428201</v>
      </c>
      <c r="K67" s="31" t="n">
        <f aca="false">IF(K$60&gt;=MIN($C$54,$C$55),MAX(0,(K66-K32-$C$57*K31/12-K52)*$C$56),0)</f>
        <v>494119.104974607</v>
      </c>
      <c r="L67" s="31" t="n">
        <f aca="false">IF(L$60&gt;=MIN($C$54,$C$55),MAX(0,(L66-L32-$C$57*L31/12-L52)*$C$56),0)</f>
        <v>711043.781229023</v>
      </c>
      <c r="M67" s="31" t="n">
        <f aca="false">IF(M$60&gt;=MIN($C$54,$C$55),MAX(0,(M66-M32-$C$57*M31/12-M52)*$C$56),0)</f>
        <v>4088746.11449583</v>
      </c>
      <c r="N67" s="31" t="n">
        <f aca="false">IF(N$60&gt;=MIN($C$54,$C$55),MAX(0,(N66-N32-$C$57*N31/12-N52)*$C$56),0)</f>
        <v>6546590.96133905</v>
      </c>
      <c r="O67" s="9"/>
      <c r="P67" s="9"/>
    </row>
    <row r="68" customFormat="false" ht="15" hidden="false" customHeight="false" outlineLevel="0" collapsed="false">
      <c r="B68" s="9" t="s">
        <v>596</v>
      </c>
      <c r="C68" s="28" t="n">
        <f aca="false">C66-C67</f>
        <v>56347.05</v>
      </c>
      <c r="D68" s="28" t="n">
        <f aca="false">D66-D67</f>
        <v>2458701.44042894</v>
      </c>
      <c r="E68" s="28" t="n">
        <f aca="false">E66-E67</f>
        <v>1358103.49928969</v>
      </c>
      <c r="F68" s="28" t="n">
        <f aca="false">F66-F67</f>
        <v>439198.979228438</v>
      </c>
      <c r="G68" s="28" t="n">
        <f aca="false">G66-G67</f>
        <v>674109.194295895</v>
      </c>
      <c r="H68" s="28" t="n">
        <f aca="false">H66-H67</f>
        <v>972795.197836835</v>
      </c>
      <c r="I68" s="28" t="n">
        <f aca="false">I66-I67</f>
        <v>1291510.87401834</v>
      </c>
      <c r="J68" s="28" t="n">
        <f aca="false">J66-J67</f>
        <v>1564288.63746391</v>
      </c>
      <c r="K68" s="28" t="n">
        <f aca="false">K66-K67</f>
        <v>2070124.04999339</v>
      </c>
      <c r="L68" s="28" t="n">
        <f aca="false">L66-L67</f>
        <v>2242001.58801509</v>
      </c>
      <c r="M68" s="28" t="n">
        <f aca="false">M66-M67</f>
        <v>2070876.60205017</v>
      </c>
      <c r="N68" s="28" t="n">
        <f aca="false">N66-N67</f>
        <v>1308312.80429382</v>
      </c>
      <c r="O68" s="9"/>
      <c r="P68" s="9"/>
    </row>
    <row r="69" customFormat="false" ht="15" hidden="false" customHeight="false" outlineLevel="0" collapsed="false">
      <c r="B69" s="9" t="s">
        <v>597</v>
      </c>
      <c r="C69" s="29" t="str">
        <f aca="false">IF(C68&gt;=C32-1,"✓","✗")</f>
        <v>✗</v>
      </c>
      <c r="D69" s="29" t="str">
        <f aca="false">IF(D68&gt;=D32-1,"✓","✗")</f>
        <v>✓</v>
      </c>
      <c r="E69" s="29" t="str">
        <f aca="false">IF(E68&gt;=E32-1,"✓","✗")</f>
        <v>✓</v>
      </c>
      <c r="F69" s="29" t="str">
        <f aca="false">IF(F68&gt;=F32-1,"✓","✗")</f>
        <v>✓</v>
      </c>
      <c r="G69" s="29" t="str">
        <f aca="false">IF(G68&gt;=G32-1,"✓","✗")</f>
        <v>✓</v>
      </c>
      <c r="H69" s="29" t="str">
        <f aca="false">IF(H68&gt;=H32-1,"✓","✗")</f>
        <v>✓</v>
      </c>
      <c r="I69" s="29" t="str">
        <f aca="false">IF(I68&gt;=I32-1,"✓","✗")</f>
        <v>✓</v>
      </c>
      <c r="J69" s="29" t="str">
        <f aca="false">IF(J68&gt;=J32-1,"✓","✗")</f>
        <v>✓</v>
      </c>
      <c r="K69" s="29" t="str">
        <f aca="false">IF(K68&gt;=K32-1,"✓","✗")</f>
        <v>✓</v>
      </c>
      <c r="L69" s="29" t="str">
        <f aca="false">IF(L68&gt;=L32-1,"✓","✗")</f>
        <v>✓</v>
      </c>
      <c r="M69" s="29" t="str">
        <f aca="false">IF(M68&gt;=M32-1,"✓","✗")</f>
        <v>✓</v>
      </c>
      <c r="N69" s="29" t="str">
        <f aca="false">IF(N68&gt;=N32-1,"✓","✗")</f>
        <v>✓</v>
      </c>
      <c r="O69" s="9"/>
      <c r="P69" s="9"/>
    </row>
    <row r="70" customFormat="false" ht="15" hidden="false" customHeight="false" outlineLevel="0" collapsed="false">
      <c r="B70" s="9" t="s">
        <v>598</v>
      </c>
      <c r="C70" s="67" t="str">
        <f aca="false">IF((C49+C64+MAX(0,-C63))=0,"n/a",C17/(C49+C64+MAX(0,-C63)))</f>
        <v>n/a</v>
      </c>
      <c r="D70" s="67" t="str">
        <f aca="false">IF((D49+D64+MAX(0,-D63))=0,"n/a",D17/(D49+D64+MAX(0,-D63)))</f>
        <v>n/a</v>
      </c>
      <c r="E70" s="67" t="str">
        <f aca="false">IF((E49+E64+MAX(0,-E63))=0,"n/a",E17/(E49+E64+MAX(0,-E63)))</f>
        <v>n/a</v>
      </c>
      <c r="F70" s="67" t="str">
        <f aca="false">IF((F49+F64+MAX(0,-F63))=0,"n/a",F17/(F49+F64+MAX(0,-F63)))</f>
        <v>n/a</v>
      </c>
      <c r="G70" s="67" t="str">
        <f aca="false">IF((G49+G64+MAX(0,-G63))=0,"n/a",G17/(G49+G64+MAX(0,-G63)))</f>
        <v>n/a</v>
      </c>
      <c r="H70" s="67" t="n">
        <f aca="false">IF((H49+H64+MAX(0,-H63))=0,"n/a",H17/(H49+H64+MAX(0,-H63)))</f>
        <v>9.45086739956134</v>
      </c>
      <c r="I70" s="67" t="n">
        <f aca="false">IF((I49+I64+MAX(0,-I63))=0,"n/a",I17/(I49+I64+MAX(0,-I63)))</f>
        <v>3.417838378897</v>
      </c>
      <c r="J70" s="67" t="n">
        <f aca="false">IF((J49+J64+MAX(0,-J63))=0,"n/a",J17/(J49+J64+MAX(0,-J63)))</f>
        <v>3.14570638816977</v>
      </c>
      <c r="K70" s="67" t="n">
        <f aca="false">IF((K49+K64+MAX(0,-K63))=0,"n/a",K17/(K49+K64+MAX(0,-K63)))</f>
        <v>3.56361567864719</v>
      </c>
      <c r="L70" s="67" t="n">
        <f aca="false">IF((L49+L64+MAX(0,-L63))=0,"n/a",L17/(L49+L64+MAX(0,-L63)))</f>
        <v>3.82745260884909</v>
      </c>
      <c r="M70" s="67" t="n">
        <f aca="false">IF((M49+M64+MAX(0,-M63))=0,"n/a",M17/(M49+M64+MAX(0,-M63)))</f>
        <v>7.31348776421491</v>
      </c>
      <c r="N70" s="67" t="n">
        <f aca="false">IF((N49+N64+MAX(0,-N63))=0,"n/a",N17/(N49+N64+MAX(0,-N63)))</f>
        <v>7.3134877642149</v>
      </c>
      <c r="O70" s="9"/>
      <c r="P70" s="9"/>
    </row>
    <row r="71" customFormat="false" ht="17.15" hidden="false" customHeight="false" outlineLevel="0" collapsed="false">
      <c r="B71" s="36" t="s">
        <v>599</v>
      </c>
      <c r="C71" s="29" t="str">
        <f aca="false">IF(ABS(C68-C30)&lt;1,"✓",IF(ABS(C68-C30)&lt;5000,"≈ "&amp;TEXT(C68-C30,"$#,##0"),"✗ "&amp;TEXT(C68-C30,"$#,##0")))</f>
        <v>✓</v>
      </c>
      <c r="D71" s="29" t="str">
        <f aca="false">IF(ABS(D68-D30)&lt;1,"✓",IF(ABS(D68-D30)&lt;5000,"≈ "&amp;TEXT(D68-D30,"$#,##0"),"✗ "&amp;TEXT(D68-D30,"$#,##0")))</f>
        <v>✓</v>
      </c>
      <c r="E71" s="29" t="str">
        <f aca="false">IF(ABS(E68-E30)&lt;1,"✓",IF(ABS(E68-E30)&lt;5000,"≈ "&amp;TEXT(E68-E30,"$#,##0"),"✗ "&amp;TEXT(E68-E30,"$#,##0")))</f>
        <v>✓</v>
      </c>
      <c r="F71" s="29" t="str">
        <f aca="false">IF(ABS(F68-F30)&lt;1,"✓",IF(ABS(F68-F30)&lt;5000,"≈ "&amp;TEXT(F68-F30,"$#,##0"),"✗ "&amp;TEXT(F68-F30,"$#,##0")))</f>
        <v>✓</v>
      </c>
      <c r="G71" s="29" t="str">
        <f aca="false">IF(ABS(G68-G30)&lt;1,"✓",IF(ABS(G68-G30)&lt;5000,"≈ "&amp;TEXT(G68-G30,"$#,##0"),"✗ "&amp;TEXT(G68-G30,"$#,##0")))</f>
        <v>✓</v>
      </c>
      <c r="H71" s="29" t="str">
        <f aca="false">IF(ABS(H68-H30)&lt;1,"✓",IF(ABS(H68-H30)&lt;5000,"≈ "&amp;TEXT(H68-H30,"$#,##0"),"✗ "&amp;TEXT(H68-H30,"$#,##0")))</f>
        <v>✓</v>
      </c>
      <c r="I71" s="29" t="str">
        <f aca="false">IF(ABS(I68-I30)&lt;1,"✓",IF(ABS(I68-I30)&lt;5000,"≈ "&amp;TEXT(I68-I30,"$#,##0"),"✗ "&amp;TEXT(I68-I30,"$#,##0")))</f>
        <v>✓</v>
      </c>
      <c r="J71" s="29" t="str">
        <f aca="false">IF(ABS(J68-J30)&lt;1,"✓",IF(ABS(J68-J30)&lt;5000,"≈ "&amp;TEXT(J68-J30,"$#,##0"),"✗ "&amp;TEXT(J68-J30,"$#,##0")))</f>
        <v>✓</v>
      </c>
      <c r="K71" s="29" t="str">
        <f aca="false">IF(ABS(K68-K30)&lt;1,"✓",IF(ABS(K68-K30)&lt;5000,"≈ "&amp;TEXT(K68-K30,"$#,##0"),"✗ "&amp;TEXT(K68-K30,"$#,##0")))</f>
        <v>✓</v>
      </c>
      <c r="L71" s="29" t="str">
        <f aca="false">IF(ABS(L68-L30)&lt;1,"✓",IF(ABS(L68-L30)&lt;5000,"≈ "&amp;TEXT(L68-L30,"$#,##0"),"✗ "&amp;TEXT(L68-L30,"$#,##0")))</f>
        <v>✓</v>
      </c>
      <c r="M71" s="29" t="str">
        <f aca="false">IF(ABS(M68-M30)&lt;1,"✓",IF(ABS(M68-M30)&lt;5000,"≈ "&amp;TEXT(M68-M30,"$#,##0"),"✗ "&amp;TEXT(M68-M30,"$#,##0")))</f>
        <v>✓</v>
      </c>
      <c r="N71" s="29" t="str">
        <f aca="false">IF(ABS(N68-N30)&lt;1,"✓",IF(ABS(N68-N30)&lt;5000,"≈ "&amp;TEXT(N68-N30,"$#,##0"),"✗ "&amp;TEXT(N68-N30,"$#,##0")))</f>
        <v>✓</v>
      </c>
      <c r="O71" s="9"/>
      <c r="P71" s="9"/>
    </row>
    <row r="72" customFormat="false" ht="15" hidden="false" customHeight="false" outlineLevel="0" collapsed="false">
      <c r="B72" s="26" t="s">
        <v>600</v>
      </c>
      <c r="C72" s="167"/>
      <c r="D72" s="167"/>
      <c r="E72" s="167"/>
      <c r="F72" s="167"/>
      <c r="G72" s="167"/>
      <c r="H72" s="9"/>
      <c r="I72" s="9"/>
      <c r="J72" s="9"/>
      <c r="K72" s="9"/>
      <c r="L72" s="9"/>
      <c r="M72" s="9"/>
      <c r="N72" s="9"/>
      <c r="O72" s="9"/>
      <c r="P72" s="9"/>
    </row>
    <row r="73" customFormat="false" ht="15" hidden="false" customHeight="false" outlineLevel="0" collapsed="false">
      <c r="B73" s="18" t="s">
        <v>601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</row>
    <row r="74" customFormat="false" ht="15" hidden="false" customHeight="false" outlineLevel="0" collapsed="false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</row>
    <row r="75" customFormat="false" ht="15" hidden="false" customHeight="false" outlineLevel="0" collapsed="false">
      <c r="B75" s="36" t="s">
        <v>602</v>
      </c>
      <c r="C75" s="192" t="n">
        <v>0</v>
      </c>
      <c r="D75" s="18" t="s">
        <v>603</v>
      </c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</row>
    <row r="76" customFormat="false" ht="15" hidden="false" customHeight="false" outlineLevel="0" collapsed="false">
      <c r="B76" s="36" t="s">
        <v>604</v>
      </c>
      <c r="C76" s="63" t="n">
        <f aca="false" t="array" ref="C76:C76">INDEX($C$15:$N$15,MATCH(TRUE(),INDEX($C$17:$N$17&gt;0,0),0))</f>
        <v>2029</v>
      </c>
      <c r="D76" s="18" t="s">
        <v>605</v>
      </c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</row>
    <row r="77" customFormat="false" ht="15" hidden="false" customHeight="false" outlineLevel="0" collapsed="false">
      <c r="B77" s="36" t="s">
        <v>606</v>
      </c>
      <c r="C77" s="28" t="n">
        <f aca="false">INDEX($C$23:$N$23,MATCH($C$76,$C$15:$N$15,0))</f>
        <v>985998.479742445</v>
      </c>
      <c r="D77" s="18" t="s">
        <v>607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</row>
    <row r="78" customFormat="false" ht="15" hidden="false" customHeight="false" outlineLevel="0" collapsed="false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</row>
    <row r="79" customFormat="false" ht="15" hidden="false" customHeight="false" outlineLevel="0" collapsed="false">
      <c r="B79" s="26" t="s">
        <v>123</v>
      </c>
      <c r="C79" s="35" t="n">
        <f aca="false">C$37</f>
        <v>2025</v>
      </c>
      <c r="D79" s="35" t="n">
        <f aca="false">D$37</f>
        <v>2026</v>
      </c>
      <c r="E79" s="35" t="n">
        <f aca="false">E$37</f>
        <v>2027</v>
      </c>
      <c r="F79" s="35" t="n">
        <f aca="false">F$37</f>
        <v>2028</v>
      </c>
      <c r="G79" s="35" t="n">
        <f aca="false">G$37</f>
        <v>2029</v>
      </c>
      <c r="H79" s="35" t="n">
        <f aca="false">H$37</f>
        <v>2030</v>
      </c>
      <c r="I79" s="35" t="n">
        <f aca="false">I$37</f>
        <v>2031</v>
      </c>
      <c r="J79" s="35" t="n">
        <f aca="false">J$37</f>
        <v>2032</v>
      </c>
      <c r="K79" s="35" t="n">
        <f aca="false">K$37</f>
        <v>2033</v>
      </c>
      <c r="L79" s="35" t="n">
        <f aca="false">L$37</f>
        <v>2034</v>
      </c>
      <c r="M79" s="35" t="n">
        <f aca="false">M$37</f>
        <v>2035</v>
      </c>
      <c r="N79" s="35" t="n">
        <f aca="false">N$37</f>
        <v>2036</v>
      </c>
      <c r="O79" s="9"/>
      <c r="P79" s="9"/>
    </row>
    <row r="80" customFormat="false" ht="15" hidden="false" customHeight="false" outlineLevel="0" collapsed="false">
      <c r="B80" s="36" t="s">
        <v>608</v>
      </c>
      <c r="C80" s="40" t="n">
        <f aca="false">C30-SUM($C$39:C39)-C62+SUM($C$67:C67)+SUM($C$64:C64)</f>
        <v>56347.05</v>
      </c>
      <c r="D80" s="40" t="n">
        <f aca="false">D30-SUM($C$39:D39)-D62+SUM($C$67:D67)+SUM($C$64:D64)</f>
        <v>-41298.5595710552</v>
      </c>
      <c r="E80" s="40" t="n">
        <f aca="false">E30-SUM($C$39:E39)-E62+SUM($C$67:E67)+SUM($C$64:E64)</f>
        <v>-1141896.50071031</v>
      </c>
      <c r="F80" s="40" t="n">
        <f aca="false">F30-SUM($C$39:F39)-F62+SUM($C$67:F67)+SUM($C$64:F64)</f>
        <v>-2060801.02077156</v>
      </c>
      <c r="G80" s="40" t="n">
        <f aca="false">G30-SUM($C$39:G39)-G62+SUM($C$67:G67)+SUM($C$64:G64)</f>
        <v>-1825890.80570411</v>
      </c>
      <c r="H80" s="40" t="n">
        <f aca="false">H30-SUM($C$39:H39)-H62+SUM($C$67:H67)+SUM($C$64:H64)</f>
        <v>-1527204.80216317</v>
      </c>
      <c r="I80" s="40" t="n">
        <f aca="false">I30-SUM($C$39:I39)-I62+SUM($C$67:I67)+SUM($C$64:I64)</f>
        <v>-1208489.12598166</v>
      </c>
      <c r="J80" s="40" t="n">
        <f aca="false">J30-SUM($C$39:J39)-J62+SUM($C$67:J67)+SUM($C$64:J64)</f>
        <v>-852414.01686818</v>
      </c>
      <c r="K80" s="40" t="n">
        <f aca="false">K30-SUM($C$39:K39)-K62+SUM($C$67:K67)+SUM($C$64:K64)</f>
        <v>-555813.695647142</v>
      </c>
      <c r="L80" s="40" t="n">
        <f aca="false">L30-SUM($C$39:L39)-L62+SUM($C$67:L67)+SUM($C$64:L64)</f>
        <v>-296315.00511714</v>
      </c>
      <c r="M80" s="40" t="n">
        <f aca="false">M30-SUM($C$39:M39)-M62+SUM($C$67:M67)+SUM($C$64:M64)</f>
        <v>1303390.04129329</v>
      </c>
      <c r="N80" s="40" t="n">
        <f aca="false">N30-SUM($C$39:N39)-N62+SUM($C$67:N67)+SUM($C$64:N64)</f>
        <v>4619396.0771104</v>
      </c>
      <c r="O80" s="9"/>
      <c r="P80" s="9"/>
    </row>
    <row r="81" customFormat="false" ht="15" hidden="false" customHeight="false" outlineLevel="0" collapsed="false">
      <c r="B81" s="36" t="s">
        <v>609</v>
      </c>
      <c r="C81" s="40" t="n">
        <f aca="false">C32+$C$75*C31/12</f>
        <v>73284.8375</v>
      </c>
      <c r="D81" s="40" t="n">
        <f aca="false">D32+$C$75*D31/12</f>
        <v>92762.8920091633</v>
      </c>
      <c r="E81" s="40" t="n">
        <f aca="false">E32+$C$75*E31/12</f>
        <v>176195.787239215</v>
      </c>
      <c r="F81" s="40" t="n">
        <f aca="false">F32+$C$75*F31/12</f>
        <v>300945.328458891</v>
      </c>
      <c r="G81" s="40" t="n">
        <f aca="false">G32+$C$75*G31/12</f>
        <v>426537.755565763</v>
      </c>
      <c r="H81" s="40" t="n">
        <f aca="false">H32+$C$75*H31/12</f>
        <v>528761.753644438</v>
      </c>
      <c r="I81" s="40" t="n">
        <f aca="false">I32+$C$75*I31/12</f>
        <v>645062.747661845</v>
      </c>
      <c r="J81" s="40" t="n">
        <f aca="false">J32+$C$75*J31/12</f>
        <v>764288.637463906</v>
      </c>
      <c r="K81" s="40" t="n">
        <f aca="false">K32+$C$75*K31/12</f>
        <v>870124.049993394</v>
      </c>
      <c r="L81" s="40" t="n">
        <f aca="false">L32+$C$75*L31/12</f>
        <v>1042001.58801509</v>
      </c>
      <c r="M81" s="40" t="n">
        <f aca="false">M32+$C$75*M31/12</f>
        <v>1170876.60205017</v>
      </c>
      <c r="N81" s="40" t="n">
        <f aca="false">N32+$C$75*N31/12</f>
        <v>1308312.80429382</v>
      </c>
      <c r="O81" s="9"/>
      <c r="P81" s="9"/>
    </row>
    <row r="82" customFormat="false" ht="15" hidden="false" customHeight="false" outlineLevel="0" collapsed="false">
      <c r="B82" s="36" t="s">
        <v>610</v>
      </c>
      <c r="C82" s="43" t="n">
        <f aca="false">MAX(0,C81-C80)</f>
        <v>16937.7875</v>
      </c>
      <c r="D82" s="43" t="n">
        <f aca="false">MAX(0,D81-D80)</f>
        <v>134061.451580219</v>
      </c>
      <c r="E82" s="43" t="n">
        <f aca="false">MAX(0,E81-E80)</f>
        <v>1318092.28794952</v>
      </c>
      <c r="F82" s="43" t="n">
        <f aca="false">MAX(0,F81-F80)</f>
        <v>2361746.34923045</v>
      </c>
      <c r="G82" s="43" t="n">
        <f aca="false">MAX(0,G81-G80)</f>
        <v>2252428.56126987</v>
      </c>
      <c r="H82" s="43" t="n">
        <f aca="false">MAX(0,H81-H80)</f>
        <v>2055966.5558076</v>
      </c>
      <c r="I82" s="43" t="n">
        <f aca="false">MAX(0,I81-I80)</f>
        <v>1853551.8736435</v>
      </c>
      <c r="J82" s="43" t="n">
        <f aca="false">MAX(0,J81-J80)</f>
        <v>1616702.65433209</v>
      </c>
      <c r="K82" s="43" t="n">
        <f aca="false">MAX(0,K81-K80)</f>
        <v>1425937.74564054</v>
      </c>
      <c r="L82" s="43" t="n">
        <f aca="false">MAX(0,L81-L80)</f>
        <v>1338316.59313223</v>
      </c>
      <c r="M82" s="43" t="n">
        <f aca="false">MAX(0,M81-M80)</f>
        <v>0</v>
      </c>
      <c r="N82" s="43" t="n">
        <f aca="false">MAX(0,N81-N80)</f>
        <v>0</v>
      </c>
      <c r="O82" s="9"/>
      <c r="P82" s="9"/>
    </row>
    <row r="83" customFormat="false" ht="15" hidden="false" customHeight="false" outlineLevel="0" collapsed="false">
      <c r="B83" s="36" t="s">
        <v>611</v>
      </c>
      <c r="C83" s="40" t="n">
        <f aca="false">SUM($C$39:C39)</f>
        <v>0</v>
      </c>
      <c r="D83" s="40" t="n">
        <f aca="false">SUM($C$39:D39)</f>
        <v>2500000</v>
      </c>
      <c r="E83" s="40" t="n">
        <f aca="false">SUM($C$39:E39)</f>
        <v>2500000</v>
      </c>
      <c r="F83" s="40" t="n">
        <f aca="false">SUM($C$39:F39)</f>
        <v>2500000</v>
      </c>
      <c r="G83" s="40" t="n">
        <f aca="false">SUM($C$39:G39)</f>
        <v>2500000</v>
      </c>
      <c r="H83" s="40" t="n">
        <f aca="false">SUM($C$39:H39)</f>
        <v>2500000</v>
      </c>
      <c r="I83" s="40" t="n">
        <f aca="false">SUM($C$39:I39)</f>
        <v>2500000</v>
      </c>
      <c r="J83" s="40" t="n">
        <f aca="false">SUM($C$39:J39)</f>
        <v>2500000</v>
      </c>
      <c r="K83" s="40" t="n">
        <f aca="false">SUM($C$39:K39)</f>
        <v>2500000</v>
      </c>
      <c r="L83" s="40" t="n">
        <f aca="false">SUM($C$39:L39)</f>
        <v>2500000</v>
      </c>
      <c r="M83" s="40" t="n">
        <f aca="false">SUM($C$39:M39)</f>
        <v>2500000</v>
      </c>
      <c r="N83" s="40" t="n">
        <f aca="false">SUM($C$39:N39)</f>
        <v>2500000</v>
      </c>
      <c r="O83" s="9"/>
      <c r="P83" s="9"/>
    </row>
    <row r="84" customFormat="false" ht="15" hidden="false" customHeight="false" outlineLevel="0" collapsed="false">
      <c r="B84" s="36" t="s">
        <v>612</v>
      </c>
      <c r="C84" s="40" t="n">
        <f aca="false">C80+C83</f>
        <v>56347.05</v>
      </c>
      <c r="D84" s="40" t="n">
        <f aca="false">D80+D83</f>
        <v>2458701.44042895</v>
      </c>
      <c r="E84" s="40" t="n">
        <f aca="false">E80+E83</f>
        <v>1358103.49928969</v>
      </c>
      <c r="F84" s="40" t="n">
        <f aca="false">F80+F83</f>
        <v>439198.979228438</v>
      </c>
      <c r="G84" s="40" t="n">
        <f aca="false">G80+G83</f>
        <v>674109.194295895</v>
      </c>
      <c r="H84" s="40" t="n">
        <f aca="false">H80+H83</f>
        <v>972795.197836835</v>
      </c>
      <c r="I84" s="40" t="n">
        <f aca="false">I80+I83</f>
        <v>1291510.87401834</v>
      </c>
      <c r="J84" s="40" t="n">
        <f aca="false">J80+J83</f>
        <v>1647585.98313182</v>
      </c>
      <c r="K84" s="40" t="n">
        <f aca="false">K80+K83</f>
        <v>1944186.30435286</v>
      </c>
      <c r="L84" s="40" t="n">
        <f aca="false">L80+L83</f>
        <v>2203684.99488286</v>
      </c>
      <c r="M84" s="40" t="n">
        <f aca="false">M80+M83</f>
        <v>3803390.04129329</v>
      </c>
      <c r="N84" s="40" t="n">
        <f aca="false">N80+N83</f>
        <v>7119396.0771104</v>
      </c>
      <c r="O84" s="9"/>
      <c r="P84" s="9"/>
    </row>
    <row r="85" customFormat="false" ht="15" hidden="false" customHeight="false" outlineLevel="0" collapsed="false">
      <c r="B85" s="36" t="s">
        <v>613</v>
      </c>
      <c r="C85" s="40" t="n">
        <f aca="false">C84-C81</f>
        <v>-16937.7875</v>
      </c>
      <c r="D85" s="40" t="n">
        <f aca="false">D84-D81</f>
        <v>2365938.54841978</v>
      </c>
      <c r="E85" s="40" t="n">
        <f aca="false">E84-E81</f>
        <v>1181907.71205048</v>
      </c>
      <c r="F85" s="40" t="n">
        <f aca="false">F84-F81</f>
        <v>138253.650769547</v>
      </c>
      <c r="G85" s="40" t="n">
        <f aca="false">G84-G81</f>
        <v>247571.438730132</v>
      </c>
      <c r="H85" s="40" t="n">
        <f aca="false">H84-H81</f>
        <v>444033.444192397</v>
      </c>
      <c r="I85" s="40" t="n">
        <f aca="false">I84-I81</f>
        <v>646448.126356497</v>
      </c>
      <c r="J85" s="40" t="n">
        <f aca="false">J84-J81</f>
        <v>883297.345667914</v>
      </c>
      <c r="K85" s="40" t="n">
        <f aca="false">K84-K81</f>
        <v>1074062.25435946</v>
      </c>
      <c r="L85" s="40" t="n">
        <f aca="false">L84-L81</f>
        <v>1161683.40686777</v>
      </c>
      <c r="M85" s="40" t="n">
        <f aca="false">M84-M81</f>
        <v>2632513.43924312</v>
      </c>
      <c r="N85" s="40" t="n">
        <f aca="false">N84-N81</f>
        <v>5811083.27281659</v>
      </c>
      <c r="O85" s="9"/>
      <c r="P85" s="9"/>
    </row>
    <row r="86" customFormat="false" ht="15" hidden="false" customHeight="false" outlineLevel="0" collapsed="false">
      <c r="B86" s="36" t="s">
        <v>614</v>
      </c>
      <c r="C86" s="29" t="str">
        <f aca="false">IF(C85&gt;=-1,"✓","✗")</f>
        <v>✗</v>
      </c>
      <c r="D86" s="29" t="str">
        <f aca="false">IF(D85&gt;=-1,"✓","✗")</f>
        <v>✓</v>
      </c>
      <c r="E86" s="29" t="str">
        <f aca="false">IF(E85&gt;=-1,"✓","✗")</f>
        <v>✓</v>
      </c>
      <c r="F86" s="29" t="str">
        <f aca="false">IF(F85&gt;=-1,"✓","✗")</f>
        <v>✓</v>
      </c>
      <c r="G86" s="29" t="str">
        <f aca="false">IF(G85&gt;=-1,"✓","✗")</f>
        <v>✓</v>
      </c>
      <c r="H86" s="29" t="str">
        <f aca="false">IF(H85&gt;=-1,"✓","✗")</f>
        <v>✓</v>
      </c>
      <c r="I86" s="29" t="str">
        <f aca="false">IF(I85&gt;=-1,"✓","✗")</f>
        <v>✓</v>
      </c>
      <c r="J86" s="29" t="str">
        <f aca="false">IF(J85&gt;=-1,"✓","✗")</f>
        <v>✓</v>
      </c>
      <c r="K86" s="29" t="str">
        <f aca="false">IF(K85&gt;=-1,"✓","✗")</f>
        <v>✓</v>
      </c>
      <c r="L86" s="29" t="str">
        <f aca="false">IF(L85&gt;=-1,"✓","✗")</f>
        <v>✓</v>
      </c>
      <c r="M86" s="29" t="str">
        <f aca="false">IF(M85&gt;=-1,"✓","✗")</f>
        <v>✓</v>
      </c>
      <c r="N86" s="29" t="str">
        <f aca="false">IF(N85&gt;=-1,"✓","✗")</f>
        <v>✓</v>
      </c>
      <c r="O86" s="9"/>
      <c r="P86" s="9"/>
    </row>
    <row r="87" customFormat="false" ht="15" hidden="false" customHeight="false" outlineLevel="0" collapsed="false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</row>
    <row r="88" customFormat="false" ht="15" hidden="false" customHeight="false" outlineLevel="0" collapsed="false">
      <c r="B88" s="30" t="s">
        <v>615</v>
      </c>
      <c r="C88" s="31" t="n">
        <f aca="false">MAX($C$82:$N$82)</f>
        <v>2361746.34923045</v>
      </c>
      <c r="D88" s="18" t="str">
        <f aca="false">"año pico: "&amp;INDEX($C$79:$N$79,MATCH($C$88,$C$82:$N$82,0))</f>
        <v>año pico: 2028</v>
      </c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</row>
    <row r="89" customFormat="false" ht="15" hidden="false" customHeight="false" outlineLevel="0" collapsed="false">
      <c r="B89" s="36" t="s">
        <v>616</v>
      </c>
      <c r="C89" s="28" t="n">
        <f aca="false">SUM($C$40:$N$40)</f>
        <v>800000</v>
      </c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</row>
    <row r="90" customFormat="false" ht="15" hidden="false" customHeight="false" outlineLevel="0" collapsed="false">
      <c r="B90" s="30" t="s">
        <v>617</v>
      </c>
      <c r="C90" s="31" t="n">
        <f aca="false">C88+C89</f>
        <v>3161746.34923045</v>
      </c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</row>
    <row r="91" customFormat="false" ht="15" hidden="false" customHeight="false" outlineLevel="0" collapsed="false">
      <c r="B91" s="9" t="s">
        <v>618</v>
      </c>
      <c r="C91" s="28" t="n">
        <f aca="false">SUM($C$39:$N$39)</f>
        <v>2500000</v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</row>
    <row r="92" customFormat="false" ht="15" hidden="false" customHeight="false" outlineLevel="0" collapsed="false">
      <c r="B92" s="9" t="s">
        <v>619</v>
      </c>
      <c r="C92" s="40" t="n">
        <f aca="false">C91-C88</f>
        <v>138253.650769547</v>
      </c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</row>
    <row r="93" customFormat="false" ht="15" hidden="false" customHeight="false" outlineLevel="0" collapsed="false"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</row>
    <row r="94" customFormat="false" ht="15" hidden="false" customHeight="false" outlineLevel="0" collapsed="false">
      <c r="B94" s="21" t="s">
        <v>620</v>
      </c>
      <c r="C94" s="25"/>
      <c r="D94" s="25"/>
      <c r="E94" s="25"/>
      <c r="F94" s="25"/>
      <c r="G94" s="25"/>
      <c r="H94" s="9"/>
      <c r="I94" s="9"/>
      <c r="J94" s="9"/>
      <c r="K94" s="9"/>
      <c r="L94" s="9"/>
      <c r="M94" s="9"/>
      <c r="N94" s="9"/>
      <c r="O94" s="9"/>
      <c r="P94" s="9"/>
    </row>
    <row r="95" customFormat="false" ht="15" hidden="false" customHeight="false" outlineLevel="0" collapsed="false">
      <c r="B95" s="9" t="s">
        <v>621</v>
      </c>
      <c r="C95" s="28" t="n">
        <f aca="false">C88</f>
        <v>2361746.34923045</v>
      </c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</row>
    <row r="96" customFormat="false" ht="15" hidden="false" customHeight="false" outlineLevel="0" collapsed="false">
      <c r="B96" s="9" t="s">
        <v>622</v>
      </c>
      <c r="C96" s="22" t="n">
        <v>0.1</v>
      </c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</row>
    <row r="97" customFormat="false" ht="15" hidden="false" customHeight="false" outlineLevel="0" collapsed="false">
      <c r="B97" s="36" t="s">
        <v>623</v>
      </c>
      <c r="C97" s="55" t="n">
        <f aca="false">CEILING(C95*(1+C96),50000)</f>
        <v>2600000</v>
      </c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</row>
    <row r="98" customFormat="false" ht="15" hidden="false" customHeight="false" outlineLevel="0" collapsed="false">
      <c r="B98" s="30" t="s">
        <v>624</v>
      </c>
      <c r="C98" s="194" t="n">
        <f aca="false">$G$120</f>
        <v>2500000</v>
      </c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</row>
    <row r="99" customFormat="false" ht="15" hidden="false" customHeight="false" outlineLevel="0" collapsed="false">
      <c r="B99" s="36" t="s">
        <v>625</v>
      </c>
      <c r="C99" s="195" t="n">
        <v>2026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</row>
    <row r="100" customFormat="false" ht="15" hidden="false" customHeight="false" outlineLevel="0" collapsed="false">
      <c r="B100" s="36" t="s">
        <v>626</v>
      </c>
      <c r="C100" s="195" t="n">
        <v>11</v>
      </c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</row>
    <row r="101" customFormat="false" ht="15" hidden="false" customHeight="false" outlineLevel="0" collapsed="false">
      <c r="B101" s="30" t="s">
        <v>627</v>
      </c>
      <c r="C101" s="31" t="n">
        <f aca="false">'㉒ Returns'!$P$17+C89</f>
        <v>3300000</v>
      </c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</row>
    <row r="102" customFormat="false" ht="15" hidden="false" customHeight="false" outlineLevel="0" collapsed="false">
      <c r="B102" s="30" t="s">
        <v>628</v>
      </c>
      <c r="C102" s="31" t="str">
        <f aca="false">IF('㉒ Returns'!$P$17&gt;=C88,"✓ "&amp;TEXT('㉒ Returns'!$P$17-C88,"$#,##0")&amp;" de colchón","✗ falta "&amp;TEXT(C88-'㉒ Returns'!$P$17,"$#,##0"))</f>
        <v>✓ $138,254 de colchón</v>
      </c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</row>
    <row r="103" customFormat="false" ht="15" hidden="false" customHeight="false" outlineLevel="0" collapsed="false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</row>
    <row r="104" customFormat="false" ht="15" hidden="false" customHeight="false" outlineLevel="0" collapsed="false"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</row>
    <row r="105" customFormat="false" ht="15" hidden="false" customHeight="false" outlineLevel="0" collapsed="false"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</row>
    <row r="106" customFormat="false" ht="15" hidden="false" customHeight="false" outlineLevel="0" collapsed="false">
      <c r="B106" s="26" t="s">
        <v>629</v>
      </c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9"/>
      <c r="P106" s="9"/>
    </row>
    <row r="107" customFormat="false" ht="15" hidden="false" customHeight="false" outlineLevel="0" collapsed="false">
      <c r="B107" s="26" t="s">
        <v>630</v>
      </c>
      <c r="C107" s="196" t="n">
        <f aca="false">$C$76</f>
        <v>2029</v>
      </c>
      <c r="D107" s="178" t="s">
        <v>631</v>
      </c>
      <c r="E107" s="178"/>
      <c r="F107" s="178"/>
      <c r="G107" s="178"/>
      <c r="H107" s="178"/>
      <c r="I107" s="178"/>
      <c r="J107" s="178"/>
      <c r="K107" s="178"/>
      <c r="L107" s="178"/>
      <c r="M107" s="178"/>
      <c r="N107" s="178"/>
      <c r="O107" s="9"/>
      <c r="P107" s="9"/>
    </row>
    <row r="108" customFormat="false" ht="17.15" hidden="false" customHeight="false" outlineLevel="0" collapsed="false">
      <c r="B108" s="9" t="s">
        <v>632</v>
      </c>
      <c r="C108" s="63" t="n">
        <f aca="false">C107+4</f>
        <v>2033</v>
      </c>
      <c r="D108" s="28" t="s">
        <v>633</v>
      </c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9"/>
      <c r="P108" s="9"/>
    </row>
    <row r="109" customFormat="false" ht="15" hidden="false" customHeight="false" outlineLevel="0" collapsed="false">
      <c r="B109" s="9"/>
      <c r="C109" s="23"/>
      <c r="D109" s="28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9"/>
      <c r="P109" s="9"/>
    </row>
    <row r="110" customFormat="false" ht="15" hidden="false" customHeight="false" outlineLevel="0" collapsed="false">
      <c r="B110" s="9" t="s">
        <v>123</v>
      </c>
      <c r="C110" s="136" t="n">
        <f aca="false">C$37</f>
        <v>2025</v>
      </c>
      <c r="D110" s="136" t="n">
        <f aca="false">D$37</f>
        <v>2026</v>
      </c>
      <c r="E110" s="136" t="n">
        <f aca="false">E$37</f>
        <v>2027</v>
      </c>
      <c r="F110" s="136" t="n">
        <f aca="false">F$37</f>
        <v>2028</v>
      </c>
      <c r="G110" s="136" t="n">
        <f aca="false">G$37</f>
        <v>2029</v>
      </c>
      <c r="H110" s="136" t="n">
        <f aca="false">H$37</f>
        <v>2030</v>
      </c>
      <c r="I110" s="136" t="n">
        <f aca="false">I$37</f>
        <v>2031</v>
      </c>
      <c r="J110" s="136" t="n">
        <f aca="false">J$37</f>
        <v>2032</v>
      </c>
      <c r="K110" s="136" t="n">
        <f aca="false">K$37</f>
        <v>2033</v>
      </c>
      <c r="L110" s="136" t="n">
        <f aca="false">L$37</f>
        <v>2034</v>
      </c>
      <c r="M110" s="136" t="n">
        <f aca="false">M$37</f>
        <v>2035</v>
      </c>
      <c r="N110" s="136" t="n">
        <f aca="false">N$37</f>
        <v>2036</v>
      </c>
      <c r="O110" s="9"/>
      <c r="P110" s="9"/>
    </row>
    <row r="111" customFormat="false" ht="15" hidden="false" customHeight="false" outlineLevel="0" collapsed="false">
      <c r="B111" s="9" t="s">
        <v>634</v>
      </c>
      <c r="C111" s="197" t="n">
        <f aca="false">IF(AND(C$110&gt;=$C$107,C$110&lt;=MIN($C$108,2034)),($C$108-C$110+1)*12,0)</f>
        <v>0</v>
      </c>
      <c r="D111" s="197" t="n">
        <f aca="false">IF(AND(D$110&gt;=$C$107,D$110&lt;=MIN($C$108,2034)),($C$108-D$110+1)*12,0)</f>
        <v>0</v>
      </c>
      <c r="E111" s="197" t="n">
        <f aca="false">IF(AND(E$110&gt;=$C$107,E$110&lt;=MIN($C$108,2034)),($C$108-E$110+1)*12,0)</f>
        <v>0</v>
      </c>
      <c r="F111" s="197" t="n">
        <f aca="false">IF(AND(F$110&gt;=$C$107,F$110&lt;=MIN($C$108,2034)),($C$108-F$110+1)*12,0)</f>
        <v>0</v>
      </c>
      <c r="G111" s="197" t="n">
        <f aca="false">IF(AND(G$110&gt;=$C$107,G$110&lt;=MIN($C$108,2034)),($C$108-G$110+1)*12,0)</f>
        <v>60</v>
      </c>
      <c r="H111" s="197" t="n">
        <f aca="false">IF(AND(H$110&gt;=$C$107,H$110&lt;=MIN($C$108,2034)),($C$108-H$110+1)*12,0)</f>
        <v>48</v>
      </c>
      <c r="I111" s="197" t="n">
        <f aca="false">IF(AND(I$110&gt;=$C$107,I$110&lt;=MIN($C$108,2034)),($C$108-I$110+1)*12,0)</f>
        <v>36</v>
      </c>
      <c r="J111" s="197" t="n">
        <f aca="false">IF(AND(J$110&gt;=$C$107,J$110&lt;=MIN($C$108,2034)),($C$108-J$110+1)*12,0)</f>
        <v>24</v>
      </c>
      <c r="K111" s="197" t="n">
        <f aca="false">IF(AND(K$110&gt;=$C$107,K$110&lt;=MIN($C$108,2034)),($C$108-K$110+1)*12,0)</f>
        <v>12</v>
      </c>
      <c r="L111" s="197" t="n">
        <f aca="false">IF(AND(L$110&gt;=$C$107,L$110&lt;=MIN($C$108,2034)),($C$108-L$110+1)*12,0)</f>
        <v>0</v>
      </c>
      <c r="M111" s="197" t="n">
        <f aca="false">IF(AND(M$110&gt;=$C$107,M$110&lt;=MIN($C$108,2034)),($C$108-M$110+1)*12,0)</f>
        <v>0</v>
      </c>
      <c r="N111" s="197" t="n">
        <f aca="false">IF(AND(N$110&gt;=$C$107,N$110&lt;=MIN($C$108,2034)),($C$108-N$110+1)*12,0)</f>
        <v>0</v>
      </c>
      <c r="O111" s="9"/>
      <c r="P111" s="9"/>
    </row>
    <row r="112" customFormat="false" ht="15" hidden="false" customHeight="false" outlineLevel="0" collapsed="false">
      <c r="B112" s="26" t="s">
        <v>635</v>
      </c>
      <c r="C112" s="86" t="n">
        <v>0</v>
      </c>
      <c r="D112" s="86" t="n">
        <f aca="false">C115</f>
        <v>0</v>
      </c>
      <c r="E112" s="86" t="n">
        <f aca="false">D115</f>
        <v>0</v>
      </c>
      <c r="F112" s="86" t="n">
        <f aca="false">E115</f>
        <v>0</v>
      </c>
      <c r="G112" s="86" t="n">
        <f aca="false">F115</f>
        <v>0</v>
      </c>
      <c r="H112" s="86" t="n">
        <f aca="false">G115</f>
        <v>836250.074174377</v>
      </c>
      <c r="I112" s="86" t="n">
        <f aca="false">H115</f>
        <v>1276408.75283781</v>
      </c>
      <c r="J112" s="86" t="n">
        <f aca="false">I115</f>
        <v>970036.018224064</v>
      </c>
      <c r="K112" s="86" t="n">
        <f aca="false">J115</f>
        <v>716965.216006149</v>
      </c>
      <c r="L112" s="86" t="n">
        <f aca="false">K115</f>
        <v>0</v>
      </c>
      <c r="M112" s="86" t="n">
        <f aca="false">L115</f>
        <v>0</v>
      </c>
      <c r="N112" s="86" t="n">
        <f aca="false">M115</f>
        <v>0</v>
      </c>
      <c r="O112" s="9"/>
      <c r="P112" s="9"/>
    </row>
    <row r="113" customFormat="false" ht="15" hidden="false" customHeight="false" outlineLevel="0" collapsed="false">
      <c r="B113" s="26" t="s">
        <v>636</v>
      </c>
      <c r="C113" s="86" t="n">
        <f aca="false">IF(C111=0,0,PV('㉓ Debt Schedule'!$C$12,C111,-MAX(0,C17)/$C$7/12))</f>
        <v>0</v>
      </c>
      <c r="D113" s="86" t="n">
        <f aca="false">IF(D111=0,0,PV('㉓ Debt Schedule'!$C$12,D111,-MAX(0,D17)/$C$7/12))</f>
        <v>0</v>
      </c>
      <c r="E113" s="86" t="n">
        <f aca="false">IF(E111=0,0,PV('㉓ Debt Schedule'!$C$12,E111,-MAX(0,E17)/$C$7/12))</f>
        <v>0</v>
      </c>
      <c r="F113" s="86" t="n">
        <f aca="false">IF(F111=0,0,PV('㉓ Debt Schedule'!$C$12,F111,-MAX(0,F17)/$C$7/12))</f>
        <v>0</v>
      </c>
      <c r="G113" s="86" t="n">
        <f aca="false">IF(G111=0,0,PV('㉓ Debt Schedule'!$C$12,G111,-MAX(0,G17)/$C$7/12))</f>
        <v>985998.479742445</v>
      </c>
      <c r="H113" s="86" t="n">
        <f aca="false">IF(H111=0,0,PV('㉓ Debt Schedule'!$C$12,H111,-MAX(0,H17)/$C$7/12))</f>
        <v>1603103.60031382</v>
      </c>
      <c r="I113" s="86" t="n">
        <f aca="false">IF(I111=0,0,PV('㉓ Debt Schedule'!$C$12,I111,-MAX(0,I17)/$C$7/12))</f>
        <v>1368710.92706223</v>
      </c>
      <c r="J113" s="86" t="n">
        <f aca="false">IF(J111=0,0,PV('㉓ Debt Schedule'!$C$12,J111,-MAX(0,J17)/$C$7/12))</f>
        <v>1346969.39215181</v>
      </c>
      <c r="K113" s="86" t="n">
        <f aca="false">IF(K111=0,0,PV('㉓ Debt Schedule'!$C$12,K111,-MAX(0,K17)/$C$7/12))</f>
        <v>971597.15373834</v>
      </c>
      <c r="L113" s="86" t="n">
        <f aca="false">IF(L111=0,0,PV('㉓ Debt Schedule'!$C$12,L111,-MAX(0,L17)/$C$7/12))</f>
        <v>0</v>
      </c>
      <c r="M113" s="86" t="n">
        <f aca="false">IF(M111=0,0,PV('㉓ Debt Schedule'!$C$12,M111,-MAX(0,M17)/$C$7/12))</f>
        <v>0</v>
      </c>
      <c r="N113" s="86" t="n">
        <f aca="false">IF(N111=0,0,PV('㉓ Debt Schedule'!$C$12,N111,-MAX(0,N17)/$C$7/12))</f>
        <v>0</v>
      </c>
      <c r="O113" s="9"/>
      <c r="P113" s="9"/>
    </row>
    <row r="114" customFormat="false" ht="15" hidden="false" customHeight="false" outlineLevel="0" collapsed="false">
      <c r="B114" s="9" t="s">
        <v>637</v>
      </c>
      <c r="C114" s="40" t="n">
        <f aca="false">IF(C111=0,0,MAX(0,C113-C112))</f>
        <v>0</v>
      </c>
      <c r="D114" s="40" t="n">
        <f aca="false">IF(D111=0,0,MAX(0,D113-D112))</f>
        <v>0</v>
      </c>
      <c r="E114" s="40" t="n">
        <f aca="false">IF(E111=0,0,MAX(0,E113-E112))</f>
        <v>0</v>
      </c>
      <c r="F114" s="40" t="n">
        <f aca="false">IF(F111=0,0,MAX(0,F113-F112))</f>
        <v>0</v>
      </c>
      <c r="G114" s="40" t="n">
        <f aca="false">IF(G111=0,0,MAX(0,G113-G112))</f>
        <v>985998.479742445</v>
      </c>
      <c r="H114" s="40" t="n">
        <f aca="false">IF(H111=0,0,MAX(0,H113-H112))</f>
        <v>766853.526139441</v>
      </c>
      <c r="I114" s="40" t="n">
        <f aca="false">IF(I111=0,0,MAX(0,I113-I112))</f>
        <v>92302.1742244253</v>
      </c>
      <c r="J114" s="40" t="n">
        <f aca="false">IF(J111=0,0,MAX(0,J113-J112))</f>
        <v>376933.373927743</v>
      </c>
      <c r="K114" s="40" t="n">
        <f aca="false">IF(K111=0,0,MAX(0,K113-K112))</f>
        <v>254631.937732191</v>
      </c>
      <c r="L114" s="40" t="n">
        <f aca="false">IF(L111=0,0,MAX(0,L113-L112))</f>
        <v>0</v>
      </c>
      <c r="M114" s="40" t="n">
        <f aca="false">IF(M111=0,0,MAX(0,M113-M112))</f>
        <v>0</v>
      </c>
      <c r="N114" s="40" t="n">
        <f aca="false">IF(N111=0,0,MAX(0,N113-N112))</f>
        <v>0</v>
      </c>
      <c r="O114" s="9"/>
      <c r="P114" s="9"/>
    </row>
    <row r="115" customFormat="false" ht="15" hidden="false" customHeight="false" outlineLevel="0" collapsed="false">
      <c r="B115" s="9" t="s">
        <v>638</v>
      </c>
      <c r="C115" s="42" t="n">
        <f aca="false">IF(C111=0,0,(C112+C114)*((1+'㉓ Debt Schedule'!$C$12)^C111-(1+'㉓ Debt Schedule'!$C$12)^12)/((1+'㉓ Debt Schedule'!$C$12)^C111-1))</f>
        <v>0</v>
      </c>
      <c r="D115" s="40" t="n">
        <f aca="false">IF(D111=0,0,(D112+D114)*((1+'㉓ Debt Schedule'!$C$12)^D111-(1+'㉓ Debt Schedule'!$C$12)^12)/((1+'㉓ Debt Schedule'!$C$12)^D111-1))</f>
        <v>0</v>
      </c>
      <c r="E115" s="42" t="n">
        <f aca="false">IF(E111=0,0,(E112+E114)*((1+'㉓ Debt Schedule'!$C$12)^E111-(1+'㉓ Debt Schedule'!$C$12)^12)/((1+'㉓ Debt Schedule'!$C$12)^E111-1))</f>
        <v>0</v>
      </c>
      <c r="F115" s="42" t="n">
        <f aca="false">IF(F111=0,0,(F112+F114)*((1+'㉓ Debt Schedule'!$C$12)^F111-(1+'㉓ Debt Schedule'!$C$12)^12)/((1+'㉓ Debt Schedule'!$C$12)^F111-1))</f>
        <v>0</v>
      </c>
      <c r="G115" s="42" t="n">
        <f aca="false">IF(G111=0,0,(G112+G114)*((1+'㉓ Debt Schedule'!$C$12)^G111-(1+'㉓ Debt Schedule'!$C$12)^12)/((1+'㉓ Debt Schedule'!$C$12)^G111-1))</f>
        <v>836250.074174377</v>
      </c>
      <c r="H115" s="42" t="n">
        <f aca="false">IF(H111=0,0,(H112+H114)*((1+'㉓ Debt Schedule'!$C$12)^H111-(1+'㉓ Debt Schedule'!$C$12)^12)/((1+'㉓ Debt Schedule'!$C$12)^H111-1))</f>
        <v>1276408.75283781</v>
      </c>
      <c r="I115" s="42" t="n">
        <f aca="false">IF(I111=0,0,(I112+I114)*((1+'㉓ Debt Schedule'!$C$12)^I111-(1+'㉓ Debt Schedule'!$C$12)^12)/((1+'㉓ Debt Schedule'!$C$12)^I111-1))</f>
        <v>970036.018224064</v>
      </c>
      <c r="J115" s="42" t="n">
        <f aca="false">IF(J111=0,0,(J112+J114)*((1+'㉓ Debt Schedule'!$C$12)^J111-(1+'㉓ Debt Schedule'!$C$12)^12)/((1+'㉓ Debt Schedule'!$C$12)^J111-1))</f>
        <v>716965.216006149</v>
      </c>
      <c r="K115" s="42" t="n">
        <f aca="false">IF(K111=0,0,(K112+K114)*((1+'㉓ Debt Schedule'!$C$12)^K111-(1+'㉓ Debt Schedule'!$C$12)^12)/((1+'㉓ Debt Schedule'!$C$12)^K111-1))</f>
        <v>0</v>
      </c>
      <c r="L115" s="42" t="n">
        <f aca="false">IF(L111=0,0,(L112+L114)*((1+'㉓ Debt Schedule'!$C$12)^L111-(1+'㉓ Debt Schedule'!$C$12)^12)/((1+'㉓ Debt Schedule'!$C$12)^L111-1))</f>
        <v>0</v>
      </c>
      <c r="M115" s="42" t="n">
        <f aca="false">IF(M111=0,0,(M112+M114)*((1+'㉓ Debt Schedule'!$C$12)^M111-(1+'㉓ Debt Schedule'!$C$12)^12)/((1+'㉓ Debt Schedule'!$C$12)^M111-1))</f>
        <v>0</v>
      </c>
      <c r="N115" s="42" t="n">
        <f aca="false">IF(N111=0,0,(N112+N114)*((1+'㉓ Debt Schedule'!$C$12)^N111-(1+'㉓ Debt Schedule'!$C$12)^12)/((1+'㉓ Debt Schedule'!$C$12)^N111-1))</f>
        <v>0</v>
      </c>
      <c r="O115" s="9"/>
      <c r="P115" s="9"/>
    </row>
    <row r="116" customFormat="false" ht="15" hidden="false" customHeight="false" outlineLevel="0" collapsed="false"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</row>
    <row r="117" customFormat="false" ht="15" hidden="false" customHeight="false" outlineLevel="0" collapsed="false"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</row>
    <row r="118" customFormat="false" ht="15" hidden="false" customHeight="false" outlineLevel="0" collapsed="false">
      <c r="B118" s="26" t="s">
        <v>639</v>
      </c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9"/>
      <c r="Q118" s="9"/>
    </row>
    <row r="119" customFormat="false" ht="15" hidden="false" customHeight="false" outlineLevel="0" collapsed="false">
      <c r="B119" s="9" t="s">
        <v>640</v>
      </c>
      <c r="C119" s="9" t="s">
        <v>38</v>
      </c>
      <c r="D119" s="9" t="s">
        <v>97</v>
      </c>
      <c r="E119" s="9" t="s">
        <v>42</v>
      </c>
      <c r="F119" s="9" t="s">
        <v>44</v>
      </c>
      <c r="G119" s="9" t="s">
        <v>641</v>
      </c>
      <c r="H119" s="178"/>
      <c r="I119" s="178"/>
      <c r="J119" s="178"/>
      <c r="K119" s="178"/>
      <c r="L119" s="178"/>
      <c r="M119" s="178"/>
      <c r="N119" s="178"/>
      <c r="O119" s="178"/>
      <c r="P119" s="9"/>
      <c r="Q119" s="9"/>
    </row>
    <row r="120" customFormat="false" ht="15" hidden="false" customHeight="false" outlineLevel="0" collapsed="false">
      <c r="B120" s="9" t="s">
        <v>642</v>
      </c>
      <c r="C120" s="23" t="n">
        <v>3500000</v>
      </c>
      <c r="D120" s="23" t="n">
        <v>2500000</v>
      </c>
      <c r="E120" s="23" t="n">
        <v>2800000</v>
      </c>
      <c r="F120" s="23" t="n">
        <v>1650000</v>
      </c>
      <c r="G120" s="55" t="n">
        <f aca="false">INDEX($C120:$F120,MATCH('🎚️ Escenario'!$C$4,$C$119:$F$119,0))</f>
        <v>2500000</v>
      </c>
      <c r="H120" s="189" t="s">
        <v>643</v>
      </c>
      <c r="I120" s="28"/>
      <c r="J120" s="28"/>
      <c r="K120" s="28"/>
      <c r="L120" s="28"/>
      <c r="M120" s="28"/>
      <c r="N120" s="28"/>
      <c r="O120" s="28"/>
      <c r="P120" s="9"/>
      <c r="Q120" s="9"/>
    </row>
    <row r="121" customFormat="false" ht="15" hidden="false" customHeight="false" outlineLevel="0" collapsed="false">
      <c r="B121" s="9" t="s">
        <v>644</v>
      </c>
      <c r="C121" s="136" t="n">
        <v>2029</v>
      </c>
      <c r="D121" s="136" t="n">
        <v>2032</v>
      </c>
      <c r="E121" s="63" t="n">
        <f aca="false">MAX('⑫ Roll-out Plan'!$Q$10:$Q$97)+1</f>
        <v>2029</v>
      </c>
      <c r="F121" s="63" t="n">
        <v>2037</v>
      </c>
      <c r="G121" s="195" t="n">
        <f aca="false">INDEX($C121:$F121,MATCH('🎚️ Escenario'!$C$4,$C$119:$F$119,0))</f>
        <v>2032</v>
      </c>
      <c r="H121" s="189" t="s">
        <v>645</v>
      </c>
      <c r="I121" s="23"/>
      <c r="J121" s="23"/>
      <c r="K121" s="23"/>
      <c r="L121" s="23"/>
      <c r="M121" s="23"/>
      <c r="N121" s="23"/>
      <c r="O121" s="23"/>
      <c r="P121" s="9"/>
      <c r="Q121" s="9"/>
    </row>
    <row r="122" customFormat="false" ht="15" hidden="false" customHeight="false" outlineLevel="0" collapsed="false">
      <c r="B122" s="9" t="s">
        <v>382</v>
      </c>
      <c r="C122" s="23" t="n">
        <v>7500000</v>
      </c>
      <c r="D122" s="23" t="n">
        <v>6500000</v>
      </c>
      <c r="E122" s="23" t="n">
        <v>950000</v>
      </c>
      <c r="F122" s="23" t="n">
        <v>3300000</v>
      </c>
      <c r="G122" s="198" t="n">
        <f aca="false">INDEX($C122:$F122,MATCH('🎚️ Escenario'!$C$4,$C$119:$F$119,0))</f>
        <v>6500000</v>
      </c>
      <c r="H122" s="199" t="s">
        <v>646</v>
      </c>
      <c r="I122" s="136"/>
      <c r="J122" s="136"/>
      <c r="K122" s="136"/>
      <c r="L122" s="136"/>
      <c r="M122" s="136"/>
      <c r="N122" s="136"/>
      <c r="O122" s="136"/>
      <c r="P122" s="9"/>
      <c r="Q122" s="9"/>
    </row>
    <row r="123" customFormat="false" ht="15" hidden="false" customHeight="false" outlineLevel="0" collapsed="false">
      <c r="B123" s="9"/>
      <c r="C123" s="197"/>
      <c r="D123" s="197"/>
      <c r="E123" s="197"/>
      <c r="F123" s="197"/>
      <c r="G123" s="197"/>
      <c r="H123" s="197"/>
      <c r="I123" s="197"/>
      <c r="J123" s="197"/>
      <c r="K123" s="197"/>
      <c r="L123" s="197"/>
      <c r="M123" s="197"/>
      <c r="N123" s="197"/>
      <c r="O123" s="9"/>
      <c r="P123" s="9"/>
    </row>
    <row r="124" customFormat="false" ht="15" hidden="false" customHeight="false" outlineLevel="0" collapsed="false">
      <c r="B124" s="26" t="s">
        <v>647</v>
      </c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9"/>
      <c r="P124" s="9"/>
    </row>
    <row r="125" customFormat="false" ht="15" hidden="false" customHeight="false" outlineLevel="0" collapsed="false">
      <c r="B125" s="9" t="s">
        <v>123</v>
      </c>
      <c r="C125" s="136" t="n">
        <f aca="false">C$37</f>
        <v>2025</v>
      </c>
      <c r="D125" s="136" t="n">
        <f aca="false">D$37</f>
        <v>2026</v>
      </c>
      <c r="E125" s="136" t="n">
        <f aca="false">E$37</f>
        <v>2027</v>
      </c>
      <c r="F125" s="136" t="n">
        <f aca="false">F$37</f>
        <v>2028</v>
      </c>
      <c r="G125" s="136" t="n">
        <f aca="false">G$37</f>
        <v>2029</v>
      </c>
      <c r="H125" s="136" t="n">
        <f aca="false">H$37</f>
        <v>2030</v>
      </c>
      <c r="I125" s="136" t="n">
        <f aca="false">I$37</f>
        <v>2031</v>
      </c>
      <c r="J125" s="136" t="n">
        <f aca="false">J$37</f>
        <v>2032</v>
      </c>
      <c r="K125" s="136" t="n">
        <f aca="false">K$37</f>
        <v>2033</v>
      </c>
      <c r="L125" s="136" t="n">
        <f aca="false">L$37</f>
        <v>2034</v>
      </c>
      <c r="M125" s="136" t="n">
        <f aca="false">M$37</f>
        <v>2035</v>
      </c>
      <c r="N125" s="136" t="n">
        <f aca="false">N$37</f>
        <v>2036</v>
      </c>
      <c r="O125" s="9"/>
      <c r="P125" s="9"/>
    </row>
    <row r="126" customFormat="false" ht="15" hidden="false" customHeight="false" outlineLevel="0" collapsed="false">
      <c r="B126" s="36" t="s">
        <v>648</v>
      </c>
      <c r="C126" s="200" t="n">
        <v>0</v>
      </c>
      <c r="D126" s="200" t="n">
        <v>0</v>
      </c>
      <c r="E126" s="200" t="n">
        <v>0</v>
      </c>
      <c r="F126" s="200" t="n">
        <v>0</v>
      </c>
      <c r="G126" s="200" t="n">
        <v>0</v>
      </c>
      <c r="H126" s="200" t="n">
        <v>300000</v>
      </c>
      <c r="I126" s="200" t="n">
        <v>750000</v>
      </c>
      <c r="J126" s="200" t="n">
        <v>0</v>
      </c>
      <c r="K126" s="200" t="n">
        <v>0</v>
      </c>
      <c r="L126" s="200" t="n">
        <v>0</v>
      </c>
      <c r="M126" s="200" t="n">
        <v>0</v>
      </c>
      <c r="N126" s="200" t="n">
        <v>0</v>
      </c>
      <c r="O126" s="9"/>
      <c r="P126" s="9"/>
    </row>
    <row r="127" customFormat="false" ht="15" hidden="false" customHeight="false" outlineLevel="0" collapsed="false">
      <c r="B127" s="9" t="s">
        <v>649</v>
      </c>
      <c r="C127" s="42" t="n">
        <v>0</v>
      </c>
      <c r="D127" s="42" t="n">
        <v>0</v>
      </c>
      <c r="E127" s="42" t="n">
        <v>0</v>
      </c>
      <c r="F127" s="42" t="n">
        <v>0</v>
      </c>
      <c r="G127" s="42" t="n">
        <v>0</v>
      </c>
      <c r="H127" s="42" t="n">
        <v>300000</v>
      </c>
      <c r="I127" s="42" t="n">
        <v>500000</v>
      </c>
      <c r="J127" s="42" t="n">
        <v>0</v>
      </c>
      <c r="K127" s="42" t="n">
        <v>0</v>
      </c>
      <c r="L127" s="42" t="n">
        <v>0</v>
      </c>
      <c r="M127" s="42" t="n">
        <v>0</v>
      </c>
      <c r="N127" s="42" t="n">
        <v>0</v>
      </c>
      <c r="O127" s="9"/>
      <c r="P127" s="9"/>
    </row>
    <row r="128" customFormat="false" ht="15" hidden="false" customHeight="false" outlineLevel="0" collapsed="false">
      <c r="B128" s="26" t="s">
        <v>650</v>
      </c>
      <c r="C128" s="201" t="n">
        <f aca="false">C114</f>
        <v>0</v>
      </c>
      <c r="D128" s="201" t="n">
        <f aca="false">D114</f>
        <v>0</v>
      </c>
      <c r="E128" s="201" t="n">
        <f aca="false">E114</f>
        <v>0</v>
      </c>
      <c r="F128" s="201" t="n">
        <f aca="false">F114</f>
        <v>0</v>
      </c>
      <c r="G128" s="201" t="n">
        <f aca="false">G114</f>
        <v>985998.479742445</v>
      </c>
      <c r="H128" s="201" t="n">
        <f aca="false">H114</f>
        <v>766853.526139441</v>
      </c>
      <c r="I128" s="201" t="n">
        <f aca="false">I114</f>
        <v>92302.1742244253</v>
      </c>
      <c r="J128" s="201" t="n">
        <f aca="false">J114</f>
        <v>376933.373927743</v>
      </c>
      <c r="K128" s="201" t="n">
        <f aca="false">K114</f>
        <v>254631.937732191</v>
      </c>
      <c r="L128" s="201" t="n">
        <f aca="false">L114</f>
        <v>0</v>
      </c>
      <c r="M128" s="201" t="n">
        <f aca="false">M114</f>
        <v>0</v>
      </c>
      <c r="N128" s="201" t="n">
        <f aca="false">N114</f>
        <v>0</v>
      </c>
      <c r="O128" s="9"/>
      <c r="P128" s="9"/>
    </row>
    <row r="129" customFormat="false" ht="15" hidden="false" customHeight="false" outlineLevel="0" collapsed="false">
      <c r="B129" s="26" t="s">
        <v>651</v>
      </c>
      <c r="C129" s="201" t="n">
        <f aca="false">C114</f>
        <v>0</v>
      </c>
      <c r="D129" s="201" t="n">
        <f aca="false">D114</f>
        <v>0</v>
      </c>
      <c r="E129" s="201" t="n">
        <f aca="false">E114</f>
        <v>0</v>
      </c>
      <c r="F129" s="201" t="n">
        <f aca="false">F114</f>
        <v>0</v>
      </c>
      <c r="G129" s="201" t="n">
        <f aca="false">G114</f>
        <v>985998.479742445</v>
      </c>
      <c r="H129" s="201" t="n">
        <f aca="false">H114</f>
        <v>766853.526139441</v>
      </c>
      <c r="I129" s="201" t="n">
        <f aca="false">I114</f>
        <v>92302.1742244253</v>
      </c>
      <c r="J129" s="201" t="n">
        <f aca="false">J114</f>
        <v>376933.373927743</v>
      </c>
      <c r="K129" s="201" t="n">
        <f aca="false">K114</f>
        <v>254631.937732191</v>
      </c>
      <c r="L129" s="201" t="n">
        <f aca="false">L114</f>
        <v>0</v>
      </c>
      <c r="M129" s="201" t="n">
        <f aca="false">M114</f>
        <v>0</v>
      </c>
      <c r="N129" s="201" t="n">
        <f aca="false">N114</f>
        <v>0</v>
      </c>
      <c r="O129" s="9"/>
      <c r="P129" s="9"/>
    </row>
    <row r="130" customFormat="false" ht="15" hidden="false" customHeight="false" outlineLevel="0" collapsed="false">
      <c r="B130" s="26" t="s">
        <v>652</v>
      </c>
      <c r="C130" s="201" t="n">
        <f aca="false">INDEX(C126:C129,MATCH('🎚️ Escenario'!$C$4,$C$119:$F$119,0))</f>
        <v>0</v>
      </c>
      <c r="D130" s="201" t="n">
        <f aca="false">INDEX(D126:D129,MATCH('🎚️ Escenario'!$C$4,$C$119:$F$119,0))</f>
        <v>0</v>
      </c>
      <c r="E130" s="201" t="n">
        <f aca="false">INDEX(E126:E129,MATCH('🎚️ Escenario'!$C$4,$C$119:$F$119,0))</f>
        <v>0</v>
      </c>
      <c r="F130" s="201" t="n">
        <f aca="false">INDEX(F126:F129,MATCH('🎚️ Escenario'!$C$4,$C$119:$F$119,0))</f>
        <v>0</v>
      </c>
      <c r="G130" s="201" t="n">
        <f aca="false">INDEX(G126:G129,MATCH('🎚️ Escenario'!$C$4,$C$119:$F$119,0))</f>
        <v>0</v>
      </c>
      <c r="H130" s="201" t="n">
        <f aca="false">INDEX(H126:H129,MATCH('🎚️ Escenario'!$C$4,$C$119:$F$119,0))</f>
        <v>300000</v>
      </c>
      <c r="I130" s="201" t="n">
        <f aca="false">INDEX(I126:I129,MATCH('🎚️ Escenario'!$C$4,$C$119:$F$119,0))</f>
        <v>500000</v>
      </c>
      <c r="J130" s="201" t="n">
        <f aca="false">INDEX(J126:J129,MATCH('🎚️ Escenario'!$C$4,$C$119:$F$119,0))</f>
        <v>0</v>
      </c>
      <c r="K130" s="201" t="n">
        <f aca="false">INDEX(K126:K129,MATCH('🎚️ Escenario'!$C$4,$C$119:$F$119,0))</f>
        <v>0</v>
      </c>
      <c r="L130" s="201" t="n">
        <f aca="false">INDEX(L126:L129,MATCH('🎚️ Escenario'!$C$4,$C$119:$F$119,0))</f>
        <v>0</v>
      </c>
      <c r="M130" s="201" t="n">
        <f aca="false">INDEX(M126:M129,MATCH('🎚️ Escenario'!$C$4,$C$119:$F$119,0))</f>
        <v>0</v>
      </c>
      <c r="N130" s="201" t="n">
        <f aca="false">INDEX(N126:N129,MATCH('🎚️ Escenario'!$C$4,$C$119:$F$119,0))</f>
        <v>0</v>
      </c>
      <c r="O130" s="9"/>
      <c r="P130" s="9"/>
    </row>
  </sheetData>
  <mergeCells count="3">
    <mergeCell ref="B1:P1"/>
    <mergeCell ref="B2:P2"/>
    <mergeCell ref="B4:E4"/>
  </mergeCells>
  <conditionalFormatting sqref="C50:O50">
    <cfRule type="cellIs" priority="2" operator="lessThan" aboveAverage="0" equalAverage="0" bottom="0" percent="0" rank="0" text="" dxfId="0">
      <formula>$C$6</formula>
    </cfRule>
    <cfRule type="cellIs" priority="3" operator="between" aboveAverage="0" equalAverage="0" bottom="0" percent="0" rank="0" text="" dxfId="1">
      <formula>$C$6</formula>
      <formula>$C$7</formula>
    </cfRule>
    <cfRule type="cellIs" priority="4" operator="greaterThanOrEqual" aboveAverage="0" equalAverage="0" bottom="0" percent="0" rank="0" text="" dxfId="2">
      <formula>$C$7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A9A7B"/>
    <pageSetUpPr fitToPage="false"/>
  </sheetPr>
  <dimension ref="B1:T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56" activeCellId="0" sqref="G56"/>
    </sheetView>
  </sheetViews>
  <sheetFormatPr defaultColWidth="10.6796875" defaultRowHeight="15" zeroHeight="false" outlineLevelRow="0" outlineLevelCol="0"/>
  <cols>
    <col collapsed="false" customWidth="true" hidden="false" outlineLevel="0" max="1" min="1" style="0" width="1.67"/>
    <col collapsed="false" customWidth="true" hidden="false" outlineLevel="0" max="2" min="2" style="0" width="27.5"/>
    <col collapsed="false" customWidth="true" hidden="false" outlineLevel="0" max="3" min="3" style="0" width="24.16"/>
    <col collapsed="false" customWidth="true" hidden="false" outlineLevel="0" max="4" min="4" style="0" width="19.16"/>
    <col collapsed="false" customWidth="true" hidden="false" outlineLevel="0" max="5" min="5" style="0" width="14.16"/>
    <col collapsed="false" customWidth="true" hidden="false" outlineLevel="0" max="7" min="6" style="0" width="13"/>
    <col collapsed="false" customWidth="true" hidden="false" outlineLevel="0" max="8" min="8" style="0" width="15.83"/>
    <col collapsed="false" customWidth="true" hidden="false" outlineLevel="0" max="9" min="9" style="0" width="18.34"/>
    <col collapsed="false" customWidth="true" hidden="false" outlineLevel="0" max="10" min="10" style="0" width="15"/>
    <col collapsed="false" customWidth="true" hidden="false" outlineLevel="0" max="11" min="11" style="0" width="14.16"/>
    <col collapsed="false" customWidth="true" hidden="false" outlineLevel="0" max="12" min="12" style="0" width="12.5"/>
    <col collapsed="false" customWidth="true" hidden="false" outlineLevel="0" max="13" min="13" style="0" width="33.33"/>
    <col collapsed="false" customWidth="true" hidden="false" outlineLevel="0" max="14" min="14" style="0" width="16.67"/>
    <col collapsed="false" customWidth="true" hidden="false" outlineLevel="0" max="19" min="16" style="0" width="11.67"/>
  </cols>
  <sheetData>
    <row r="1" customFormat="false" ht="15.75" hidden="false" customHeight="true" outlineLevel="0" collapsed="false">
      <c r="B1" s="202" t="s">
        <v>653</v>
      </c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9"/>
      <c r="P1" s="9"/>
      <c r="Q1" s="9"/>
      <c r="R1" s="9"/>
      <c r="S1" s="9"/>
    </row>
    <row r="2" customFormat="false" ht="15" hidden="false" customHeight="false" outlineLevel="0" collapsed="false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customFormat="false" ht="15" hidden="false" customHeight="false" outlineLevel="0" collapsed="false">
      <c r="B3" s="21" t="s">
        <v>654</v>
      </c>
      <c r="C3" s="21"/>
      <c r="D3" s="21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customFormat="false" ht="15" hidden="false" customHeight="false" outlineLevel="0" collapsed="false">
      <c r="B4" s="36" t="s">
        <v>655</v>
      </c>
      <c r="C4" s="116" t="n">
        <v>10</v>
      </c>
      <c r="D4" s="18" t="s">
        <v>656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customFormat="false" ht="15" hidden="false" customHeight="false" outlineLevel="0" collapsed="false">
      <c r="B5" s="36" t="s">
        <v>657</v>
      </c>
      <c r="C5" s="116" t="n">
        <v>120</v>
      </c>
      <c r="D5" s="18" t="s">
        <v>658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customFormat="false" ht="15" hidden="false" customHeight="false" outlineLevel="0" collapsed="false">
      <c r="B6" s="36" t="s">
        <v>659</v>
      </c>
      <c r="C6" s="192" t="n">
        <v>1.5</v>
      </c>
      <c r="D6" s="18" t="s">
        <v>660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customFormat="false" ht="15" hidden="false" customHeight="false" outlineLevel="0" collapsed="false">
      <c r="B7" s="36" t="s">
        <v>661</v>
      </c>
      <c r="C7" s="23" t="n">
        <v>100000</v>
      </c>
      <c r="D7" s="18" t="s">
        <v>662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customFormat="false" ht="15" hidden="false" customHeight="false" outlineLevel="0" collapsed="false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customFormat="false" ht="31.5" hidden="false" customHeight="true" outlineLevel="0" collapsed="false">
      <c r="B9" s="203" t="s">
        <v>663</v>
      </c>
      <c r="C9" s="203" t="s">
        <v>664</v>
      </c>
      <c r="D9" s="204" t="s">
        <v>665</v>
      </c>
      <c r="E9" s="203" t="s">
        <v>666</v>
      </c>
      <c r="F9" s="203" t="s">
        <v>667</v>
      </c>
      <c r="G9" s="203" t="s">
        <v>668</v>
      </c>
      <c r="H9" s="203" t="s">
        <v>669</v>
      </c>
      <c r="I9" s="203" t="s">
        <v>670</v>
      </c>
      <c r="J9" s="203" t="s">
        <v>671</v>
      </c>
      <c r="K9" s="203" t="s">
        <v>672</v>
      </c>
      <c r="L9" s="203" t="s">
        <v>673</v>
      </c>
      <c r="M9" s="203" t="s">
        <v>674</v>
      </c>
      <c r="N9" s="205" t="s">
        <v>675</v>
      </c>
      <c r="O9" s="205" t="s">
        <v>676</v>
      </c>
      <c r="P9" s="205" t="s">
        <v>677</v>
      </c>
      <c r="Q9" s="205" t="s">
        <v>678</v>
      </c>
      <c r="R9" s="205" t="s">
        <v>679</v>
      </c>
      <c r="S9" s="205" t="s">
        <v>680</v>
      </c>
      <c r="T9" s="205" t="s">
        <v>681</v>
      </c>
    </row>
    <row r="10" customFormat="false" ht="15.75" hidden="false" customHeight="true" outlineLevel="0" collapsed="false">
      <c r="B10" s="63" t="n">
        <v>1</v>
      </c>
      <c r="C10" s="9" t="s">
        <v>682</v>
      </c>
      <c r="D10" s="9" t="s">
        <v>683</v>
      </c>
      <c r="E10" s="206" t="s">
        <v>684</v>
      </c>
      <c r="F10" s="136" t="n">
        <v>1</v>
      </c>
      <c r="G10" s="207" t="n">
        <f aca="false">IF(AND('🎚️ Escenario'!$C$4="Primera Ola",$Q10&lt;&gt;""),$Q10,IF(AND('🎚️ Escenario'!$C$4="A slow",$S10&lt;&gt;""),$S10,$R10))</f>
        <v>2025</v>
      </c>
      <c r="H10" s="208" t="n">
        <v>85000</v>
      </c>
      <c r="I10" s="208" t="n">
        <f aca="false">VLOOKUP(LEFT(E10,1),'⑮ Cohort Engine'!$B$14:$F$18,5,FALSE())</f>
        <v>35000</v>
      </c>
      <c r="J10" s="136" t="n">
        <v>12</v>
      </c>
      <c r="K10" s="209" t="s">
        <v>685</v>
      </c>
      <c r="L10" s="41" t="s">
        <v>686</v>
      </c>
      <c r="M10" s="18" t="s">
        <v>687</v>
      </c>
      <c r="N10" s="210" t="s">
        <v>688</v>
      </c>
      <c r="O10" s="211" t="n">
        <f aca="false">IF('🎚️ Escenario'!$C$4="7 + Autofinanciado",IF($T10&lt;&gt;"",1,0),IF('🎚️ Escenario'!$C$4="Primera Ola",$P10,IF(OR(ISNUMBER(SEARCH("Dominicana",$C10)),ISNUMBER(SEARCH("Guatemala",$C10)),ISNUMBER(SEARCH("Salvador",$C10)),ISNUMBER(SEARCH("Regional",$C10))),0,1)))</f>
        <v>1</v>
      </c>
      <c r="P10" s="212" t="n">
        <v>1</v>
      </c>
      <c r="Q10" s="212"/>
      <c r="R10" s="212" t="n">
        <v>2025</v>
      </c>
      <c r="S10" s="212"/>
      <c r="T10" s="212" t="n">
        <v>2025</v>
      </c>
    </row>
    <row r="11" customFormat="false" ht="15" hidden="false" customHeight="false" outlineLevel="0" collapsed="false">
      <c r="B11" s="63" t="n">
        <v>2</v>
      </c>
      <c r="C11" s="9" t="s">
        <v>689</v>
      </c>
      <c r="D11" s="9" t="s">
        <v>689</v>
      </c>
      <c r="E11" s="206" t="s">
        <v>690</v>
      </c>
      <c r="F11" s="136" t="n">
        <v>2</v>
      </c>
      <c r="G11" s="207" t="n">
        <f aca="false">IF(AND('🎚️ Escenario'!$C$4="Primera Ola",$Q11&lt;&gt;""),$Q11,IF(AND('🎚️ Escenario'!$C$4="A slow",$S11&lt;&gt;""),$S11,$R11))</f>
        <v>2025</v>
      </c>
      <c r="H11" s="208" t="n">
        <v>30000</v>
      </c>
      <c r="I11" s="208" t="n">
        <f aca="false">VLOOKUP(LEFT(E11,1),'⑮ Cohort Engine'!$B$14:$F$18,5,FALSE())</f>
        <v>15000</v>
      </c>
      <c r="J11" s="136" t="n">
        <v>8</v>
      </c>
      <c r="K11" s="209" t="s">
        <v>685</v>
      </c>
      <c r="L11" s="41" t="s">
        <v>686</v>
      </c>
      <c r="M11" s="18" t="s">
        <v>691</v>
      </c>
      <c r="N11" s="210" t="s">
        <v>688</v>
      </c>
      <c r="O11" s="211" t="n">
        <f aca="false">IF('🎚️ Escenario'!$C$4="7 + Autofinanciado",IF($T11&lt;&gt;"",1,0),IF('🎚️ Escenario'!$C$4="Primera Ola",$P11,IF(OR(ISNUMBER(SEARCH("Dominicana",$C11)),ISNUMBER(SEARCH("Guatemala",$C11)),ISNUMBER(SEARCH("Salvador",$C11)),ISNUMBER(SEARCH("Regional",$C11))),0,1)))</f>
        <v>1</v>
      </c>
      <c r="P11" s="212" t="n">
        <v>1</v>
      </c>
      <c r="Q11" s="212"/>
      <c r="R11" s="212" t="n">
        <v>2025</v>
      </c>
      <c r="S11" s="212"/>
      <c r="T11" s="212" t="n">
        <v>2025</v>
      </c>
    </row>
    <row r="12" customFormat="false" ht="15" hidden="false" customHeight="false" outlineLevel="0" collapsed="false">
      <c r="B12" s="63" t="n">
        <v>3</v>
      </c>
      <c r="C12" s="9" t="s">
        <v>692</v>
      </c>
      <c r="D12" s="9" t="s">
        <v>693</v>
      </c>
      <c r="E12" s="206" t="s">
        <v>694</v>
      </c>
      <c r="F12" s="136" t="n">
        <v>5</v>
      </c>
      <c r="G12" s="207" t="n">
        <f aca="false">IF(AND('🎚️ Escenario'!$C$4="Primera Ola",$Q12&lt;&gt;""),$Q12,IF(AND('🎚️ Escenario'!$C$4="A slow",$S12&lt;&gt;""),$S12,$R12))</f>
        <v>2025</v>
      </c>
      <c r="H12" s="208" t="n">
        <v>85000</v>
      </c>
      <c r="I12" s="208" t="n">
        <f aca="false">VLOOKUP(LEFT(E12,1),'⑮ Cohort Engine'!$B$14:$F$18,5,FALSE())</f>
        <v>27000</v>
      </c>
      <c r="J12" s="136" t="n">
        <v>12</v>
      </c>
      <c r="K12" s="209" t="s">
        <v>685</v>
      </c>
      <c r="L12" s="41" t="s">
        <v>686</v>
      </c>
      <c r="M12" s="18" t="s">
        <v>695</v>
      </c>
      <c r="N12" s="210" t="s">
        <v>688</v>
      </c>
      <c r="O12" s="211" t="n">
        <f aca="false">IF('🎚️ Escenario'!$C$4="7 + Autofinanciado",IF($T12&lt;&gt;"",1,0),IF('🎚️ Escenario'!$C$4="Primera Ola",$P12,IF(OR(ISNUMBER(SEARCH("Dominicana",$C12)),ISNUMBER(SEARCH("Guatemala",$C12)),ISNUMBER(SEARCH("Salvador",$C12)),ISNUMBER(SEARCH("Regional",$C12))),0,1)))</f>
        <v>1</v>
      </c>
      <c r="P12" s="212" t="n">
        <v>1</v>
      </c>
      <c r="Q12" s="212"/>
      <c r="R12" s="212" t="n">
        <v>2025</v>
      </c>
      <c r="S12" s="212"/>
      <c r="T12" s="212" t="n">
        <v>2025</v>
      </c>
    </row>
    <row r="13" customFormat="false" ht="15" hidden="false" customHeight="false" outlineLevel="0" collapsed="false">
      <c r="B13" s="63" t="n">
        <v>4</v>
      </c>
      <c r="C13" s="9" t="s">
        <v>696</v>
      </c>
      <c r="D13" s="9" t="s">
        <v>697</v>
      </c>
      <c r="E13" s="206" t="s">
        <v>684</v>
      </c>
      <c r="F13" s="136" t="n">
        <v>12</v>
      </c>
      <c r="G13" s="207" t="n">
        <f aca="false">IF(AND('🎚️ Escenario'!$C$4="Primera Ola",$Q13&lt;&gt;""),$Q13,IF(AND('🎚️ Escenario'!$C$4="A slow",$S13&lt;&gt;""),$S13,$R13))</f>
        <v>2025</v>
      </c>
      <c r="H13" s="208" t="n">
        <v>85000</v>
      </c>
      <c r="I13" s="208" t="n">
        <f aca="false">VLOOKUP(LEFT(E13,1),'⑮ Cohort Engine'!$B$14:$F$18,5,FALSE())</f>
        <v>35000</v>
      </c>
      <c r="J13" s="136" t="n">
        <v>12</v>
      </c>
      <c r="K13" s="209" t="s">
        <v>685</v>
      </c>
      <c r="L13" s="41" t="s">
        <v>686</v>
      </c>
      <c r="M13" s="18" t="s">
        <v>698</v>
      </c>
      <c r="N13" s="210" t="s">
        <v>688</v>
      </c>
      <c r="O13" s="211" t="n">
        <f aca="false">IF('🎚️ Escenario'!$C$4="7 + Autofinanciado",IF($T13&lt;&gt;"",1,0),IF('🎚️ Escenario'!$C$4="Primera Ola",$P13,IF(OR(ISNUMBER(SEARCH("Dominicana",$C13)),ISNUMBER(SEARCH("Guatemala",$C13)),ISNUMBER(SEARCH("Salvador",$C13)),ISNUMBER(SEARCH("Regional",$C13))),0,1)))</f>
        <v>1</v>
      </c>
      <c r="P13" s="212" t="n">
        <v>1</v>
      </c>
      <c r="Q13" s="212"/>
      <c r="R13" s="212" t="n">
        <v>2025</v>
      </c>
      <c r="S13" s="212"/>
      <c r="T13" s="212" t="n">
        <v>2025</v>
      </c>
    </row>
    <row r="14" customFormat="false" ht="15" hidden="false" customHeight="false" outlineLevel="0" collapsed="false">
      <c r="B14" s="63" t="n">
        <v>5</v>
      </c>
      <c r="C14" s="9" t="s">
        <v>699</v>
      </c>
      <c r="D14" s="9" t="s">
        <v>700</v>
      </c>
      <c r="E14" s="206" t="s">
        <v>684</v>
      </c>
      <c r="F14" s="136" t="n">
        <v>8</v>
      </c>
      <c r="G14" s="207" t="n">
        <f aca="false">IF(AND('🎚️ Escenario'!$C$4="7 + Autofinanciado",$T14&lt;&gt;""),$T14,IF(AND('🎚️ Escenario'!$C$4="Primera Ola",$Q14&lt;&gt;""),$Q14,IF(AND('🎚️ Escenario'!$C$4="A slow",$S14&lt;&gt;""),$S14,$R14)))</f>
        <v>2027</v>
      </c>
      <c r="H14" s="179" t="n">
        <f aca="false">$C$7</f>
        <v>100000</v>
      </c>
      <c r="I14" s="208" t="n">
        <f aca="false">VLOOKUP(LEFT(E14,1),'⑮ Cohort Engine'!$B$14:$F$18,5,FALSE())</f>
        <v>35000</v>
      </c>
      <c r="J14" s="136" t="n">
        <v>10</v>
      </c>
      <c r="K14" s="9" t="s">
        <v>701</v>
      </c>
      <c r="L14" s="41" t="s">
        <v>686</v>
      </c>
      <c r="M14" s="18" t="s">
        <v>702</v>
      </c>
      <c r="N14" s="213" t="s">
        <v>703</v>
      </c>
      <c r="O14" s="211" t="n">
        <f aca="false">IF('🎚️ Escenario'!$C$4="7 + Autofinanciado",IF($T14&lt;&gt;"",1,0),IF('🎚️ Escenario'!$C$4="Primera Ola",$P14,IF(OR(ISNUMBER(SEARCH("Dominicana",$C14)),ISNUMBER(SEARCH("Guatemala",$C14)),ISNUMBER(SEARCH("Salvador",$C14)),ISNUMBER(SEARCH("Regional",$C14))),0,1)))</f>
        <v>1</v>
      </c>
      <c r="P14" s="212" t="n">
        <v>1</v>
      </c>
      <c r="Q14" s="212" t="n">
        <v>2027</v>
      </c>
      <c r="R14" s="212" t="n">
        <v>2027</v>
      </c>
      <c r="S14" s="212"/>
      <c r="T14" s="212" t="n">
        <v>2027</v>
      </c>
    </row>
    <row r="15" customFormat="false" ht="15" hidden="false" customHeight="false" outlineLevel="0" collapsed="false">
      <c r="B15" s="63" t="n">
        <v>6</v>
      </c>
      <c r="C15" s="9" t="s">
        <v>704</v>
      </c>
      <c r="D15" s="9" t="s">
        <v>705</v>
      </c>
      <c r="E15" s="206" t="s">
        <v>684</v>
      </c>
      <c r="F15" s="136" t="n">
        <v>2</v>
      </c>
      <c r="G15" s="207" t="n">
        <f aca="false">IF(AND('🎚️ Escenario'!$C$4="7 + Autofinanciado",$T15&lt;&gt;""),$T15,IF(AND('🎚️ Escenario'!$C$4="Primera Ola",$Q15&lt;&gt;""),$Q15,IF(AND('🎚️ Escenario'!$C$4="A slow",$S15&lt;&gt;""),$S15,$R15)))</f>
        <v>2027</v>
      </c>
      <c r="H15" s="179" t="n">
        <f aca="false">$C$7</f>
        <v>100000</v>
      </c>
      <c r="I15" s="208" t="n">
        <f aca="false">VLOOKUP(LEFT(E15,1),'⑮ Cohort Engine'!$B$14:$F$18,5,FALSE())</f>
        <v>35000</v>
      </c>
      <c r="J15" s="136" t="n">
        <v>10</v>
      </c>
      <c r="K15" s="9" t="s">
        <v>701</v>
      </c>
      <c r="L15" s="41" t="s">
        <v>686</v>
      </c>
      <c r="M15" s="18" t="s">
        <v>706</v>
      </c>
      <c r="N15" s="213" t="s">
        <v>703</v>
      </c>
      <c r="O15" s="211" t="n">
        <f aca="false">IF('🎚️ Escenario'!$C$4="7 + Autofinanciado",IF($T15&lt;&gt;"",1,0),IF('🎚️ Escenario'!$C$4="Primera Ola",$P15,IF(OR(ISNUMBER(SEARCH("Dominicana",$C15)),ISNUMBER(SEARCH("Guatemala",$C15)),ISNUMBER(SEARCH("Salvador",$C15)),ISNUMBER(SEARCH("Regional",$C15))),0,1)))</f>
        <v>1</v>
      </c>
      <c r="P15" s="212" t="n">
        <v>1</v>
      </c>
      <c r="Q15" s="212" t="n">
        <v>2027</v>
      </c>
      <c r="R15" s="212" t="n">
        <v>2027</v>
      </c>
      <c r="S15" s="212"/>
      <c r="T15" s="212" t="n">
        <v>2027</v>
      </c>
    </row>
    <row r="16" customFormat="false" ht="15" hidden="false" customHeight="false" outlineLevel="0" collapsed="false">
      <c r="B16" s="63" t="n">
        <v>7</v>
      </c>
      <c r="C16" s="9" t="s">
        <v>707</v>
      </c>
      <c r="D16" s="9" t="s">
        <v>708</v>
      </c>
      <c r="E16" s="206" t="s">
        <v>684</v>
      </c>
      <c r="F16" s="136" t="n">
        <v>4</v>
      </c>
      <c r="G16" s="207" t="n">
        <f aca="false">IF(AND('🎚️ Escenario'!$C$4="7 + Autofinanciado",$T16&lt;&gt;""),$T16,IF(AND('🎚️ Escenario'!$C$4="Primera Ola",$Q16&lt;&gt;""),$Q16,IF(AND('🎚️ Escenario'!$C$4="A slow",$S16&lt;&gt;""),$S16,$R16)))</f>
        <v>2027</v>
      </c>
      <c r="H16" s="179" t="n">
        <f aca="false">$C$7</f>
        <v>100000</v>
      </c>
      <c r="I16" s="208" t="n">
        <f aca="false">VLOOKUP(LEFT(E16,1),'⑮ Cohort Engine'!$B$14:$F$18,5,FALSE())</f>
        <v>35000</v>
      </c>
      <c r="J16" s="136" t="n">
        <v>10</v>
      </c>
      <c r="K16" s="9" t="s">
        <v>701</v>
      </c>
      <c r="L16" s="41" t="s">
        <v>686</v>
      </c>
      <c r="M16" s="18" t="s">
        <v>709</v>
      </c>
      <c r="N16" s="213" t="s">
        <v>703</v>
      </c>
      <c r="O16" s="211" t="n">
        <f aca="false">IF('🎚️ Escenario'!$C$4="7 + Autofinanciado",IF($T16&lt;&gt;"",1,0),IF('🎚️ Escenario'!$C$4="Primera Ola",$P16,IF(OR(ISNUMBER(SEARCH("Dominicana",$C16)),ISNUMBER(SEARCH("Guatemala",$C16)),ISNUMBER(SEARCH("Salvador",$C16)),ISNUMBER(SEARCH("Regional",$C16))),0,1)))</f>
        <v>1</v>
      </c>
      <c r="P16" s="212" t="n">
        <v>1</v>
      </c>
      <c r="Q16" s="212" t="n">
        <v>2027</v>
      </c>
      <c r="R16" s="212" t="n">
        <v>2027</v>
      </c>
      <c r="S16" s="212"/>
      <c r="T16" s="212" t="n">
        <v>2027</v>
      </c>
    </row>
    <row r="17" customFormat="false" ht="15" hidden="false" customHeight="false" outlineLevel="0" collapsed="false">
      <c r="B17" s="63" t="n">
        <v>8</v>
      </c>
      <c r="C17" s="9" t="s">
        <v>710</v>
      </c>
      <c r="D17" s="9" t="s">
        <v>683</v>
      </c>
      <c r="E17" s="214" t="s">
        <v>684</v>
      </c>
      <c r="F17" s="136" t="n">
        <v>6</v>
      </c>
      <c r="G17" s="207" t="n">
        <f aca="false">IF(AND('🎚️ Escenario'!$C$4="7 + Autofinanciado",$T17&lt;&gt;""),$T17,IF(AND('🎚️ Escenario'!$C$4="Primera Ola",$Q17&lt;&gt;""),$Q17,IF(AND('🎚️ Escenario'!$C$4="A slow",$S17&lt;&gt;""),$S17,$R17)))</f>
        <v>2027</v>
      </c>
      <c r="H17" s="179" t="n">
        <f aca="false">$C$7</f>
        <v>100000</v>
      </c>
      <c r="I17" s="208" t="n">
        <f aca="false">VLOOKUP(LEFT(E17,1),'⑮ Cohort Engine'!$B$14:$F$18,5,FALSE())</f>
        <v>35000</v>
      </c>
      <c r="J17" s="136" t="n">
        <v>10</v>
      </c>
      <c r="K17" s="9" t="s">
        <v>701</v>
      </c>
      <c r="L17" s="41" t="s">
        <v>686</v>
      </c>
      <c r="M17" s="18" t="s">
        <v>711</v>
      </c>
      <c r="N17" s="213" t="s">
        <v>703</v>
      </c>
      <c r="O17" s="211" t="n">
        <f aca="false">IF('🎚️ Escenario'!$C$4="7 + Autofinanciado",IF($T17&lt;&gt;"",1,0),IF('🎚️ Escenario'!$C$4="Primera Ola",$P17,IF(OR(ISNUMBER(SEARCH("Dominicana",$C17)),ISNUMBER(SEARCH("Guatemala",$C17)),ISNUMBER(SEARCH("Salvador",$C17)),ISNUMBER(SEARCH("Regional",$C17))),0,1)))</f>
        <v>1</v>
      </c>
      <c r="P17" s="212" t="n">
        <v>1</v>
      </c>
      <c r="Q17" s="212" t="n">
        <v>2027</v>
      </c>
      <c r="R17" s="212" t="n">
        <v>2027</v>
      </c>
      <c r="S17" s="212"/>
      <c r="T17" s="212" t="n">
        <v>2027</v>
      </c>
    </row>
    <row r="18" customFormat="false" ht="15" hidden="false" customHeight="false" outlineLevel="0" collapsed="false">
      <c r="B18" s="63" t="n">
        <v>9</v>
      </c>
      <c r="C18" s="9" t="s">
        <v>712</v>
      </c>
      <c r="D18" s="9" t="s">
        <v>713</v>
      </c>
      <c r="E18" s="206" t="s">
        <v>684</v>
      </c>
      <c r="F18" s="136" t="n">
        <v>10</v>
      </c>
      <c r="G18" s="207" t="n">
        <f aca="false">IF(AND('🎚️ Escenario'!$C$4="7 + Autofinanciado",$T18&lt;&gt;""),$T18,IF(AND('🎚️ Escenario'!$C$4="Primera Ola",$Q18&lt;&gt;""),$Q18,IF(AND('🎚️ Escenario'!$C$4="A slow",$S18&lt;&gt;""),$S18,$R18)))</f>
        <v>2027</v>
      </c>
      <c r="H18" s="179" t="n">
        <f aca="false">$C$7</f>
        <v>100000</v>
      </c>
      <c r="I18" s="208" t="n">
        <f aca="false">VLOOKUP(LEFT(E18,1),'⑮ Cohort Engine'!$B$14:$F$18,5,FALSE())</f>
        <v>35000</v>
      </c>
      <c r="J18" s="136" t="n">
        <v>10</v>
      </c>
      <c r="K18" s="9" t="s">
        <v>701</v>
      </c>
      <c r="L18" s="41" t="s">
        <v>686</v>
      </c>
      <c r="M18" s="18" t="s">
        <v>714</v>
      </c>
      <c r="N18" s="213" t="s">
        <v>703</v>
      </c>
      <c r="O18" s="211" t="n">
        <f aca="false">IF('🎚️ Escenario'!$C$4="7 + Autofinanciado",IF($T18&lt;&gt;"",1,0),IF('🎚️ Escenario'!$C$4="Primera Ola",$P18,IF(OR(ISNUMBER(SEARCH("Dominicana",$C18)),ISNUMBER(SEARCH("Guatemala",$C18)),ISNUMBER(SEARCH("Salvador",$C18)),ISNUMBER(SEARCH("Regional",$C18))),0,1)))</f>
        <v>1</v>
      </c>
      <c r="P18" s="212" t="n">
        <v>1</v>
      </c>
      <c r="Q18" s="212" t="n">
        <v>2027</v>
      </c>
      <c r="R18" s="212" t="n">
        <v>2027</v>
      </c>
      <c r="S18" s="212"/>
      <c r="T18" s="212" t="n">
        <v>2027</v>
      </c>
    </row>
    <row r="19" customFormat="false" ht="15" hidden="false" customHeight="false" outlineLevel="0" collapsed="false">
      <c r="B19" s="63" t="n">
        <v>10</v>
      </c>
      <c r="C19" s="9" t="s">
        <v>715</v>
      </c>
      <c r="D19" s="9" t="s">
        <v>716</v>
      </c>
      <c r="E19" s="214" t="s">
        <v>694</v>
      </c>
      <c r="F19" s="136" t="n">
        <v>1</v>
      </c>
      <c r="G19" s="207" t="n">
        <f aca="false">IF(AND('🎚️ Escenario'!$C$4="7 + Autofinanciado",$T19&lt;&gt;""),$T19,IF(AND('🎚️ Escenario'!$C$4="Primera Ola",$Q19&lt;&gt;""),$Q19,IF(AND('🎚️ Escenario'!$C$4="A slow",$S19&lt;&gt;""),$S19,$R19)))</f>
        <v>2027</v>
      </c>
      <c r="H19" s="179" t="n">
        <f aca="false">$C$7</f>
        <v>100000</v>
      </c>
      <c r="I19" s="208" t="n">
        <f aca="false">VLOOKUP(LEFT(E19,1),'⑮ Cohort Engine'!$B$14:$F$18,5,FALSE())</f>
        <v>27000</v>
      </c>
      <c r="J19" s="136" t="n">
        <v>10</v>
      </c>
      <c r="K19" s="9" t="s">
        <v>701</v>
      </c>
      <c r="L19" s="41" t="s">
        <v>686</v>
      </c>
      <c r="M19" s="18" t="s">
        <v>717</v>
      </c>
      <c r="N19" s="213" t="s">
        <v>703</v>
      </c>
      <c r="O19" s="211" t="n">
        <f aca="false">IF('🎚️ Escenario'!$C$4="7 + Autofinanciado",IF($T19&lt;&gt;"",1,0),IF('🎚️ Escenario'!$C$4="Primera Ola",$P19,IF(OR(ISNUMBER(SEARCH("Dominicana",$C19)),ISNUMBER(SEARCH("Guatemala",$C19)),ISNUMBER(SEARCH("Salvador",$C19)),ISNUMBER(SEARCH("Regional",$C19))),0,1)))</f>
        <v>1</v>
      </c>
      <c r="P19" s="212" t="n">
        <v>1</v>
      </c>
      <c r="Q19" s="212" t="n">
        <v>2027</v>
      </c>
      <c r="R19" s="212" t="n">
        <v>2027</v>
      </c>
      <c r="S19" s="212"/>
      <c r="T19" s="212" t="n">
        <v>2027</v>
      </c>
    </row>
    <row r="20" customFormat="false" ht="15" hidden="false" customHeight="false" outlineLevel="0" collapsed="false">
      <c r="B20" s="63" t="n">
        <v>11</v>
      </c>
      <c r="C20" s="9" t="s">
        <v>718</v>
      </c>
      <c r="D20" s="9" t="s">
        <v>708</v>
      </c>
      <c r="E20" s="214" t="s">
        <v>694</v>
      </c>
      <c r="F20" s="136" t="n">
        <v>3</v>
      </c>
      <c r="G20" s="207" t="n">
        <f aca="false">IF(AND('🎚️ Escenario'!$C$4="7 + Autofinanciado",$T20&lt;&gt;""),$T20,IF(AND('🎚️ Escenario'!$C$4="Primera Ola",$Q20&lt;&gt;""),$Q20,IF(AND('🎚️ Escenario'!$C$4="A slow",$S20&lt;&gt;""),$S20,$R20)))</f>
        <v>2027</v>
      </c>
      <c r="H20" s="179" t="n">
        <f aca="false">$C$7</f>
        <v>100000</v>
      </c>
      <c r="I20" s="208" t="n">
        <f aca="false">VLOOKUP(LEFT(E20,1),'⑮ Cohort Engine'!$B$14:$F$18,5,FALSE())</f>
        <v>27000</v>
      </c>
      <c r="J20" s="136" t="n">
        <v>10</v>
      </c>
      <c r="K20" s="9" t="s">
        <v>701</v>
      </c>
      <c r="L20" s="41" t="s">
        <v>686</v>
      </c>
      <c r="M20" s="18" t="s">
        <v>719</v>
      </c>
      <c r="N20" s="213" t="s">
        <v>703</v>
      </c>
      <c r="O20" s="211" t="n">
        <f aca="false">IF('🎚️ Escenario'!$C$4="7 + Autofinanciado",IF($T20&lt;&gt;"",1,0),IF('🎚️ Escenario'!$C$4="Primera Ola",$P20,IF(OR(ISNUMBER(SEARCH("Dominicana",$C20)),ISNUMBER(SEARCH("Guatemala",$C20)),ISNUMBER(SEARCH("Salvador",$C20)),ISNUMBER(SEARCH("Regional",$C20))),0,1)))</f>
        <v>1</v>
      </c>
      <c r="P20" s="212" t="n">
        <v>1</v>
      </c>
      <c r="Q20" s="212" t="n">
        <v>2027</v>
      </c>
      <c r="R20" s="212" t="n">
        <v>2027</v>
      </c>
      <c r="S20" s="212"/>
      <c r="T20" s="212" t="n">
        <v>2027</v>
      </c>
    </row>
    <row r="21" customFormat="false" ht="15" hidden="false" customHeight="false" outlineLevel="0" collapsed="false">
      <c r="B21" s="63" t="n">
        <v>12</v>
      </c>
      <c r="C21" s="9" t="s">
        <v>720</v>
      </c>
      <c r="D21" s="9" t="s">
        <v>721</v>
      </c>
      <c r="E21" s="214" t="s">
        <v>694</v>
      </c>
      <c r="F21" s="136" t="n">
        <v>5</v>
      </c>
      <c r="G21" s="207" t="n">
        <f aca="false">IF(AND('🎚️ Escenario'!$C$4="7 + Autofinanciado",$T21&lt;&gt;""),$T21,IF(AND('🎚️ Escenario'!$C$4="Primera Ola",$Q21&lt;&gt;""),$Q21,IF(AND('🎚️ Escenario'!$C$4="A slow",$S21&lt;&gt;""),$S21,$R21)))</f>
        <v>2028</v>
      </c>
      <c r="H21" s="179" t="n">
        <f aca="false">$C$7</f>
        <v>100000</v>
      </c>
      <c r="I21" s="208" t="n">
        <f aca="false">VLOOKUP(LEFT(E21,1),'⑮ Cohort Engine'!$B$14:$F$18,5,FALSE())</f>
        <v>27000</v>
      </c>
      <c r="J21" s="136" t="n">
        <v>10</v>
      </c>
      <c r="K21" s="9" t="s">
        <v>701</v>
      </c>
      <c r="L21" s="41" t="s">
        <v>686</v>
      </c>
      <c r="M21" s="18" t="s">
        <v>719</v>
      </c>
      <c r="N21" s="213" t="s">
        <v>703</v>
      </c>
      <c r="O21" s="211" t="n">
        <f aca="false">IF('🎚️ Escenario'!$C$4="7 + Autofinanciado",IF($T21&lt;&gt;"",1,0),IF('🎚️ Escenario'!$C$4="Primera Ola",$P21,IF(OR(ISNUMBER(SEARCH("Dominicana",$C21)),ISNUMBER(SEARCH("Guatemala",$C21)),ISNUMBER(SEARCH("Salvador",$C21)),ISNUMBER(SEARCH("Regional",$C21))),0,1)))</f>
        <v>1</v>
      </c>
      <c r="P21" s="212" t="n">
        <v>1</v>
      </c>
      <c r="Q21" s="212" t="n">
        <v>2028</v>
      </c>
      <c r="R21" s="212" t="n">
        <v>2028</v>
      </c>
      <c r="S21" s="212"/>
      <c r="T21" s="212" t="n">
        <v>2028</v>
      </c>
    </row>
    <row r="22" customFormat="false" ht="15" hidden="false" customHeight="false" outlineLevel="0" collapsed="false">
      <c r="B22" s="63" t="n">
        <v>13</v>
      </c>
      <c r="C22" s="9" t="s">
        <v>722</v>
      </c>
      <c r="D22" s="9" t="s">
        <v>723</v>
      </c>
      <c r="E22" s="214" t="s">
        <v>684</v>
      </c>
      <c r="F22" s="136" t="n">
        <v>11</v>
      </c>
      <c r="G22" s="207" t="n">
        <f aca="false">IF(AND('🎚️ Escenario'!$C$4="7 + Autofinanciado",$T22&lt;&gt;""),$T22,IF(AND('🎚️ Escenario'!$C$4="Primera Ola",$Q22&lt;&gt;""),$Q22,IF(AND('🎚️ Escenario'!$C$4="A slow",$S22&lt;&gt;""),$S22,$R22)))</f>
        <v>2028</v>
      </c>
      <c r="H22" s="179" t="n">
        <f aca="false">$C$7</f>
        <v>100000</v>
      </c>
      <c r="I22" s="208" t="n">
        <f aca="false">VLOOKUP(LEFT(E22,1),'⑮ Cohort Engine'!$B$14:$F$18,5,FALSE())</f>
        <v>35000</v>
      </c>
      <c r="J22" s="136" t="n">
        <v>10</v>
      </c>
      <c r="K22" s="9" t="s">
        <v>701</v>
      </c>
      <c r="L22" s="41" t="s">
        <v>686</v>
      </c>
      <c r="M22" s="18" t="s">
        <v>724</v>
      </c>
      <c r="N22" s="213" t="s">
        <v>703</v>
      </c>
      <c r="O22" s="211" t="n">
        <f aca="false">IF('🎚️ Escenario'!$C$4="7 + Autofinanciado",IF($T22&lt;&gt;"",1,0),IF('🎚️ Escenario'!$C$4="Primera Ola",$P22,IF(OR(ISNUMBER(SEARCH("Dominicana",$C22)),ISNUMBER(SEARCH("Guatemala",$C22)),ISNUMBER(SEARCH("Salvador",$C22)),ISNUMBER(SEARCH("Regional",$C22))),0,1)))</f>
        <v>1</v>
      </c>
      <c r="P22" s="212" t="n">
        <v>1</v>
      </c>
      <c r="Q22" s="212" t="n">
        <v>2028</v>
      </c>
      <c r="R22" s="212" t="n">
        <v>2028</v>
      </c>
      <c r="S22" s="212"/>
      <c r="T22" s="212" t="n">
        <v>2029</v>
      </c>
    </row>
    <row r="23" customFormat="false" ht="15" hidden="false" customHeight="false" outlineLevel="0" collapsed="false">
      <c r="B23" s="63" t="n">
        <v>14</v>
      </c>
      <c r="C23" s="9" t="s">
        <v>725</v>
      </c>
      <c r="D23" s="9" t="s">
        <v>726</v>
      </c>
      <c r="E23" s="214" t="s">
        <v>694</v>
      </c>
      <c r="F23" s="136" t="n">
        <v>7</v>
      </c>
      <c r="G23" s="207" t="n">
        <f aca="false">IF(AND('🎚️ Escenario'!$C$4="7 + Autofinanciado",$T23&lt;&gt;""),$T23,IF(AND('🎚️ Escenario'!$C$4="Primera Ola",$Q23&lt;&gt;""),$Q23,IF(AND('🎚️ Escenario'!$C$4="A slow",$S23&lt;&gt;""),$S23,$R23)))</f>
        <v>2028</v>
      </c>
      <c r="H23" s="179" t="n">
        <f aca="false">$C$7</f>
        <v>100000</v>
      </c>
      <c r="I23" s="208" t="n">
        <f aca="false">VLOOKUP(LEFT(E23,1),'⑮ Cohort Engine'!$B$14:$F$18,5,FALSE())</f>
        <v>27000</v>
      </c>
      <c r="J23" s="136" t="n">
        <v>10</v>
      </c>
      <c r="K23" s="9" t="s">
        <v>701</v>
      </c>
      <c r="L23" s="41" t="s">
        <v>686</v>
      </c>
      <c r="M23" s="18" t="s">
        <v>727</v>
      </c>
      <c r="N23" s="213" t="s">
        <v>703</v>
      </c>
      <c r="O23" s="211" t="n">
        <f aca="false">IF('🎚️ Escenario'!$C$4="7 + Autofinanciado",IF($T23&lt;&gt;"",1,0),IF('🎚️ Escenario'!$C$4="Primera Ola",$P23,IF(OR(ISNUMBER(SEARCH("Dominicana",$C23)),ISNUMBER(SEARCH("Guatemala",$C23)),ISNUMBER(SEARCH("Salvador",$C23)),ISNUMBER(SEARCH("Regional",$C23))),0,1)))</f>
        <v>1</v>
      </c>
      <c r="P23" s="212" t="n">
        <v>1</v>
      </c>
      <c r="Q23" s="212" t="n">
        <v>2028</v>
      </c>
      <c r="R23" s="212" t="n">
        <v>2028</v>
      </c>
      <c r="S23" s="212"/>
      <c r="T23" s="212" t="n">
        <v>2029</v>
      </c>
    </row>
    <row r="24" customFormat="false" ht="15" hidden="false" customHeight="false" outlineLevel="0" collapsed="false">
      <c r="B24" s="63" t="n">
        <v>15</v>
      </c>
      <c r="C24" s="9" t="s">
        <v>728</v>
      </c>
      <c r="D24" s="9" t="s">
        <v>729</v>
      </c>
      <c r="E24" s="214" t="s">
        <v>694</v>
      </c>
      <c r="F24" s="136" t="n">
        <v>9</v>
      </c>
      <c r="G24" s="207" t="n">
        <f aca="false">IF(AND('🎚️ Escenario'!$C$4="7 + Autofinanciado",$T24&lt;&gt;""),$T24,IF(AND('🎚️ Escenario'!$C$4="Primera Ola",$Q24&lt;&gt;""),$Q24,IF(AND('🎚️ Escenario'!$C$4="A slow",$S24&lt;&gt;""),$S24,$R24)))</f>
        <v>2028</v>
      </c>
      <c r="H24" s="179" t="n">
        <f aca="false">$C$7</f>
        <v>100000</v>
      </c>
      <c r="I24" s="208" t="n">
        <f aca="false">VLOOKUP(LEFT(E24,1),'⑮ Cohort Engine'!$B$14:$F$18,5,FALSE())</f>
        <v>27000</v>
      </c>
      <c r="J24" s="136" t="n">
        <v>10</v>
      </c>
      <c r="K24" s="9" t="s">
        <v>701</v>
      </c>
      <c r="L24" s="41" t="s">
        <v>686</v>
      </c>
      <c r="M24" s="18" t="s">
        <v>730</v>
      </c>
      <c r="N24" s="213" t="s">
        <v>703</v>
      </c>
      <c r="O24" s="211" t="n">
        <f aca="false">IF('🎚️ Escenario'!$C$4="7 + Autofinanciado",IF($T24&lt;&gt;"",1,0),IF('🎚️ Escenario'!$C$4="Primera Ola",$P24,IF(OR(ISNUMBER(SEARCH("Dominicana",$C24)),ISNUMBER(SEARCH("Guatemala",$C24)),ISNUMBER(SEARCH("Salvador",$C24)),ISNUMBER(SEARCH("Regional",$C24))),0,1)))</f>
        <v>1</v>
      </c>
      <c r="P24" s="212" t="n">
        <v>0</v>
      </c>
      <c r="Q24" s="212"/>
      <c r="R24" s="212" t="n">
        <v>2028</v>
      </c>
      <c r="S24" s="212"/>
      <c r="T24" s="212" t="n">
        <v>2029</v>
      </c>
    </row>
    <row r="25" customFormat="false" ht="15" hidden="false" customHeight="false" outlineLevel="0" collapsed="false">
      <c r="B25" s="63" t="n">
        <v>16</v>
      </c>
      <c r="C25" s="9" t="s">
        <v>731</v>
      </c>
      <c r="D25" s="9" t="s">
        <v>732</v>
      </c>
      <c r="E25" s="215" t="s">
        <v>694</v>
      </c>
      <c r="F25" s="136" t="n">
        <v>12</v>
      </c>
      <c r="G25" s="207" t="n">
        <f aca="false">IF(AND('🎚️ Escenario'!$C$4="7 + Autofinanciado",$T25&lt;&gt;""),$T25,IF(AND('🎚️ Escenario'!$C$4="Primera Ola",$Q25&lt;&gt;""),$Q25,IF(AND('🎚️ Escenario'!$C$4="A slow",$S25&lt;&gt;""),$S25,$R25)))</f>
        <v>2028</v>
      </c>
      <c r="H25" s="179" t="n">
        <f aca="false">$C$7</f>
        <v>100000</v>
      </c>
      <c r="I25" s="208" t="n">
        <f aca="false">VLOOKUP(LEFT(E25,1),'⑮ Cohort Engine'!$B$14:$F$18,5,FALSE())</f>
        <v>27000</v>
      </c>
      <c r="J25" s="136" t="n">
        <v>12</v>
      </c>
      <c r="K25" s="9" t="s">
        <v>701</v>
      </c>
      <c r="L25" s="41" t="s">
        <v>733</v>
      </c>
      <c r="M25" s="18" t="s">
        <v>734</v>
      </c>
      <c r="N25" s="213" t="s">
        <v>703</v>
      </c>
      <c r="O25" s="211" t="n">
        <f aca="false">IF('🎚️ Escenario'!$C$4="7 + Autofinanciado",IF($T25&lt;&gt;"",1,0),IF('🎚️ Escenario'!$C$4="Primera Ola",$P25,IF(OR(ISNUMBER(SEARCH("Dominicana",$C25)),ISNUMBER(SEARCH("Guatemala",$C25)),ISNUMBER(SEARCH("Salvador",$C25)),ISNUMBER(SEARCH("Regional",$C25))),0,1)))</f>
        <v>1</v>
      </c>
      <c r="P25" s="212" t="n">
        <v>0</v>
      </c>
      <c r="Q25" s="212"/>
      <c r="R25" s="212" t="n">
        <v>2028</v>
      </c>
      <c r="S25" s="212"/>
      <c r="T25" s="212" t="n">
        <v>2029</v>
      </c>
    </row>
    <row r="26" customFormat="false" ht="15" hidden="false" customHeight="false" outlineLevel="0" collapsed="false">
      <c r="B26" s="63" t="n">
        <v>17</v>
      </c>
      <c r="C26" s="9" t="s">
        <v>735</v>
      </c>
      <c r="D26" s="9" t="s">
        <v>736</v>
      </c>
      <c r="E26" s="215" t="s">
        <v>694</v>
      </c>
      <c r="F26" s="136" t="n">
        <v>3</v>
      </c>
      <c r="G26" s="207" t="n">
        <f aca="false">IF(AND('🎚️ Escenario'!$C$4="7 + Autofinanciado",$T26&lt;&gt;""),$T26,IF(AND('🎚️ Escenario'!$C$4="Primera Ola",$Q26&lt;&gt;""),$Q26,IF(AND('🎚️ Escenario'!$C$4="A slow",$S26&lt;&gt;""),$S26,$R26)))</f>
        <v>2028</v>
      </c>
      <c r="H26" s="179" t="n">
        <f aca="false">$C$7</f>
        <v>100000</v>
      </c>
      <c r="I26" s="208" t="n">
        <f aca="false">VLOOKUP(LEFT(E26,1),'⑮ Cohort Engine'!$B$14:$F$18,5,FALSE())</f>
        <v>27000</v>
      </c>
      <c r="J26" s="136" t="n">
        <v>12</v>
      </c>
      <c r="K26" s="9" t="s">
        <v>701</v>
      </c>
      <c r="L26" s="41" t="s">
        <v>733</v>
      </c>
      <c r="M26" s="18" t="s">
        <v>737</v>
      </c>
      <c r="N26" s="213" t="s">
        <v>703</v>
      </c>
      <c r="O26" s="211" t="n">
        <f aca="false">IF('🎚️ Escenario'!$C$4="7 + Autofinanciado",IF($T26&lt;&gt;"",1,0),IF('🎚️ Escenario'!$C$4="Primera Ola",$P26,IF(OR(ISNUMBER(SEARCH("Dominicana",$C26)),ISNUMBER(SEARCH("Guatemala",$C26)),ISNUMBER(SEARCH("Salvador",$C26)),ISNUMBER(SEARCH("Regional",$C26))),0,1)))</f>
        <v>1</v>
      </c>
      <c r="P26" s="212" t="n">
        <v>0</v>
      </c>
      <c r="Q26" s="212"/>
      <c r="R26" s="212" t="n">
        <v>2028</v>
      </c>
      <c r="S26" s="212"/>
      <c r="T26" s="212" t="n">
        <v>2030</v>
      </c>
    </row>
    <row r="27" customFormat="false" ht="15" hidden="false" customHeight="false" outlineLevel="0" collapsed="false">
      <c r="B27" s="63" t="n">
        <v>18</v>
      </c>
      <c r="C27" s="9" t="s">
        <v>738</v>
      </c>
      <c r="D27" s="9" t="s">
        <v>739</v>
      </c>
      <c r="E27" s="215" t="s">
        <v>694</v>
      </c>
      <c r="F27" s="136" t="n">
        <v>2</v>
      </c>
      <c r="G27" s="207" t="n">
        <f aca="false">IF(AND('🎚️ Escenario'!$C$4="7 + Autofinanciado",$T27&lt;&gt;""),$T27,IF(AND('🎚️ Escenario'!$C$4="Primera Ola",$Q27&lt;&gt;""),$Q27,IF(AND('🎚️ Escenario'!$C$4="A slow",$S27&lt;&gt;""),$S27,$R27)))</f>
        <v>2030</v>
      </c>
      <c r="H27" s="179" t="n">
        <f aca="false">$C$7</f>
        <v>100000</v>
      </c>
      <c r="I27" s="208" t="n">
        <f aca="false">VLOOKUP(LEFT(E27,1),'⑮ Cohort Engine'!$B$14:$F$18,5,FALSE())</f>
        <v>27000</v>
      </c>
      <c r="J27" s="136" t="n">
        <v>12</v>
      </c>
      <c r="K27" s="9" t="s">
        <v>701</v>
      </c>
      <c r="L27" s="41" t="s">
        <v>733</v>
      </c>
      <c r="M27" s="18" t="s">
        <v>740</v>
      </c>
      <c r="N27" s="213" t="s">
        <v>703</v>
      </c>
      <c r="O27" s="211" t="n">
        <f aca="false">IF('🎚️ Escenario'!$C$4="7 + Autofinanciado",IF($T27&lt;&gt;"",1,0),IF('🎚️ Escenario'!$C$4="Primera Ola",$P27,IF(OR(ISNUMBER(SEARCH("Dominicana",$C27)),ISNUMBER(SEARCH("Guatemala",$C27)),ISNUMBER(SEARCH("Salvador",$C27)),ISNUMBER(SEARCH("Regional",$C27))),0,1)))</f>
        <v>1</v>
      </c>
      <c r="P27" s="212" t="n">
        <v>0</v>
      </c>
      <c r="Q27" s="212"/>
      <c r="R27" s="212" t="n">
        <v>2028</v>
      </c>
      <c r="S27" s="212" t="n">
        <v>2030</v>
      </c>
      <c r="T27" s="212" t="n">
        <v>2030</v>
      </c>
    </row>
    <row r="28" customFormat="false" ht="15" hidden="false" customHeight="false" outlineLevel="0" collapsed="false">
      <c r="B28" s="63" t="n">
        <v>19</v>
      </c>
      <c r="C28" s="9" t="s">
        <v>741</v>
      </c>
      <c r="D28" s="9" t="s">
        <v>742</v>
      </c>
      <c r="E28" s="215" t="s">
        <v>694</v>
      </c>
      <c r="F28" s="136" t="n">
        <v>1</v>
      </c>
      <c r="G28" s="207" t="n">
        <f aca="false">IF(AND('🎚️ Escenario'!$C$4="7 + Autofinanciado",$T28&lt;&gt;""),$T28,IF(AND('🎚️ Escenario'!$C$4="Primera Ola",$Q28&lt;&gt;""),$Q28,IF(AND('🎚️ Escenario'!$C$4="A slow",$S28&lt;&gt;""),$S28,$R28)))</f>
        <v>2030</v>
      </c>
      <c r="H28" s="179" t="n">
        <f aca="false">$C$7</f>
        <v>100000</v>
      </c>
      <c r="I28" s="208" t="n">
        <f aca="false">VLOOKUP(LEFT(E28,1),'⑮ Cohort Engine'!$B$14:$F$18,5,FALSE())</f>
        <v>27000</v>
      </c>
      <c r="J28" s="136" t="n">
        <v>12</v>
      </c>
      <c r="K28" s="9" t="s">
        <v>701</v>
      </c>
      <c r="L28" s="41" t="s">
        <v>733</v>
      </c>
      <c r="M28" s="18" t="s">
        <v>743</v>
      </c>
      <c r="N28" s="213" t="s">
        <v>703</v>
      </c>
      <c r="O28" s="211" t="n">
        <f aca="false">IF('🎚️ Escenario'!$C$4="7 + Autofinanciado",IF($T28&lt;&gt;"",1,0),IF('🎚️ Escenario'!$C$4="Primera Ola",$P28,IF(OR(ISNUMBER(SEARCH("Dominicana",$C28)),ISNUMBER(SEARCH("Guatemala",$C28)),ISNUMBER(SEARCH("Salvador",$C28)),ISNUMBER(SEARCH("Regional",$C28))),0,1)))</f>
        <v>1</v>
      </c>
      <c r="P28" s="212" t="n">
        <v>0</v>
      </c>
      <c r="Q28" s="212"/>
      <c r="R28" s="212" t="n">
        <v>2029</v>
      </c>
      <c r="S28" s="212" t="n">
        <v>2030</v>
      </c>
      <c r="T28" s="212" t="n">
        <v>2030</v>
      </c>
    </row>
    <row r="29" customFormat="false" ht="15" hidden="false" customHeight="false" outlineLevel="0" collapsed="false">
      <c r="B29" s="63" t="n">
        <v>20</v>
      </c>
      <c r="C29" s="9" t="s">
        <v>744</v>
      </c>
      <c r="D29" s="9" t="s">
        <v>744</v>
      </c>
      <c r="E29" s="216" t="s">
        <v>745</v>
      </c>
      <c r="F29" s="136" t="n">
        <v>4</v>
      </c>
      <c r="G29" s="207" t="n">
        <f aca="false">IF(AND('🎚️ Escenario'!$C$4="7 + Autofinanciado",$T29&lt;&gt;""),$T29,IF(AND('🎚️ Escenario'!$C$4="Primera Ola",$Q29&lt;&gt;""),$Q29,IF(AND('🎚️ Escenario'!$C$4="A slow",$S29&lt;&gt;""),$S29,$R29)))</f>
        <v>2030</v>
      </c>
      <c r="H29" s="179" t="n">
        <f aca="false">$C$7</f>
        <v>100000</v>
      </c>
      <c r="I29" s="208" t="n">
        <f aca="false">VLOOKUP(LEFT(E29,1),'⑮ Cohort Engine'!$B$14:$F$18,5,FALSE())</f>
        <v>23000</v>
      </c>
      <c r="J29" s="136" t="n">
        <v>12</v>
      </c>
      <c r="K29" s="9" t="s">
        <v>701</v>
      </c>
      <c r="L29" s="41" t="s">
        <v>733</v>
      </c>
      <c r="M29" s="18" t="s">
        <v>746</v>
      </c>
      <c r="N29" s="213" t="s">
        <v>703</v>
      </c>
      <c r="O29" s="211" t="n">
        <f aca="false">IF('🎚️ Escenario'!$C$4="7 + Autofinanciado",IF($T29&lt;&gt;"",1,0),IF('🎚️ Escenario'!$C$4="Primera Ola",$P29,IF(OR(ISNUMBER(SEARCH("Dominicana",$C29)),ISNUMBER(SEARCH("Guatemala",$C29)),ISNUMBER(SEARCH("Salvador",$C29)),ISNUMBER(SEARCH("Regional",$C29))),0,1)))</f>
        <v>1</v>
      </c>
      <c r="P29" s="212" t="n">
        <v>0</v>
      </c>
      <c r="Q29" s="212"/>
      <c r="R29" s="212" t="n">
        <v>2029</v>
      </c>
      <c r="S29" s="212" t="n">
        <v>2030</v>
      </c>
      <c r="T29" s="212" t="n">
        <v>2031</v>
      </c>
    </row>
    <row r="30" customFormat="false" ht="15" hidden="false" customHeight="false" outlineLevel="0" collapsed="false">
      <c r="B30" s="63" t="n">
        <v>21</v>
      </c>
      <c r="C30" s="9" t="s">
        <v>747</v>
      </c>
      <c r="D30" s="9" t="s">
        <v>748</v>
      </c>
      <c r="E30" s="216" t="s">
        <v>745</v>
      </c>
      <c r="F30" s="136" t="n">
        <v>8</v>
      </c>
      <c r="G30" s="207" t="n">
        <f aca="false">IF(AND('🎚️ Escenario'!$C$4="7 + Autofinanciado",$T30&lt;&gt;""),$T30,IF(AND('🎚️ Escenario'!$C$4="Primera Ola",$Q30&lt;&gt;""),$Q30,IF(AND('🎚️ Escenario'!$C$4="A slow",$S30&lt;&gt;""),$S30,$R30)))</f>
        <v>2029</v>
      </c>
      <c r="H30" s="179" t="n">
        <f aca="false">$C$7</f>
        <v>100000</v>
      </c>
      <c r="I30" s="208" t="n">
        <f aca="false">VLOOKUP(LEFT(E30,1),'⑮ Cohort Engine'!$B$14:$F$18,5,FALSE())</f>
        <v>23000</v>
      </c>
      <c r="J30" s="136" t="n">
        <v>12</v>
      </c>
      <c r="K30" s="9" t="s">
        <v>701</v>
      </c>
      <c r="L30" s="41" t="s">
        <v>733</v>
      </c>
      <c r="M30" s="18" t="s">
        <v>749</v>
      </c>
      <c r="N30" s="213" t="s">
        <v>703</v>
      </c>
      <c r="O30" s="211" t="n">
        <f aca="false">IF('🎚️ Escenario'!$C$4="7 + Autofinanciado",IF($T30&lt;&gt;"",1,0),IF('🎚️ Escenario'!$C$4="Primera Ola",$P30,IF(OR(ISNUMBER(SEARCH("Dominicana",$C30)),ISNUMBER(SEARCH("Guatemala",$C30)),ISNUMBER(SEARCH("Salvador",$C30)),ISNUMBER(SEARCH("Regional",$C30))),0,1)))</f>
        <v>1</v>
      </c>
      <c r="P30" s="212" t="n">
        <v>0</v>
      </c>
      <c r="Q30" s="212"/>
      <c r="R30" s="212" t="n">
        <v>2029</v>
      </c>
      <c r="S30" s="212" t="n">
        <v>2029</v>
      </c>
      <c r="T30" s="212" t="n">
        <v>2031</v>
      </c>
    </row>
    <row r="31" customFormat="false" ht="15" hidden="false" customHeight="false" outlineLevel="0" collapsed="false">
      <c r="B31" s="63" t="n">
        <v>23</v>
      </c>
      <c r="C31" s="9" t="s">
        <v>747</v>
      </c>
      <c r="D31" s="9" t="s">
        <v>748</v>
      </c>
      <c r="E31" s="216" t="s">
        <v>684</v>
      </c>
      <c r="F31" s="136" t="n">
        <v>6</v>
      </c>
      <c r="G31" s="207" t="n">
        <f aca="false">IF(AND('🎚️ Escenario'!$C$4="7 + Autofinanciado",$T31&lt;&gt;""),$T31,IF(AND('🎚️ Escenario'!$C$4="Primera Ola",$Q31&lt;&gt;""),$Q31,IF(AND('🎚️ Escenario'!$C$4="A slow",$S31&lt;&gt;""),$S31,$R31)))</f>
        <v>2030</v>
      </c>
      <c r="H31" s="179" t="n">
        <f aca="false">$C$7</f>
        <v>100000</v>
      </c>
      <c r="I31" s="208" t="n">
        <f aca="false">VLOOKUP(LEFT(E31,1),'⑮ Cohort Engine'!$B$14:$F$18,5,FALSE())</f>
        <v>35000</v>
      </c>
      <c r="J31" s="136" t="n">
        <v>10</v>
      </c>
      <c r="K31" s="9" t="s">
        <v>701</v>
      </c>
      <c r="L31" s="41" t="s">
        <v>733</v>
      </c>
      <c r="M31" s="18" t="s">
        <v>749</v>
      </c>
      <c r="N31" s="213" t="s">
        <v>703</v>
      </c>
      <c r="O31" s="211" t="n">
        <f aca="false">IF('🎚️ Escenario'!$C$4="7 + Autofinanciado",IF($T31&lt;&gt;"",1,0),IF('🎚️ Escenario'!$C$4="Primera Ola",$P31,IF(OR(ISNUMBER(SEARCH("Dominicana",$C31)),ISNUMBER(SEARCH("Guatemala",$C31)),ISNUMBER(SEARCH("Salvador",$C31)),ISNUMBER(SEARCH("Regional",$C31))),0,1)))</f>
        <v>1</v>
      </c>
      <c r="P31" s="212" t="n">
        <v>0</v>
      </c>
      <c r="Q31" s="212"/>
      <c r="R31" s="212" t="n">
        <v>2029</v>
      </c>
      <c r="S31" s="212" t="n">
        <v>2030</v>
      </c>
      <c r="T31" s="212" t="n">
        <v>2031</v>
      </c>
    </row>
    <row r="32" customFormat="false" ht="15" hidden="false" customHeight="false" outlineLevel="0" collapsed="false">
      <c r="B32" s="63" t="n">
        <v>24</v>
      </c>
      <c r="C32" s="9" t="s">
        <v>747</v>
      </c>
      <c r="D32" s="9" t="s">
        <v>748</v>
      </c>
      <c r="E32" s="216" t="s">
        <v>684</v>
      </c>
      <c r="F32" s="136" t="n">
        <v>9</v>
      </c>
      <c r="G32" s="207" t="n">
        <f aca="false">IF(AND('🎚️ Escenario'!$C$4="7 + Autofinanciado",$T32&lt;&gt;""),$T32,IF(AND('🎚️ Escenario'!$C$4="Primera Ola",$Q32&lt;&gt;""),$Q32,IF(AND('🎚️ Escenario'!$C$4="A slow",$S32&lt;&gt;""),$S32,$R32)))</f>
        <v>2028</v>
      </c>
      <c r="H32" s="179" t="n">
        <f aca="false">$C$7</f>
        <v>100000</v>
      </c>
      <c r="I32" s="208" t="n">
        <f aca="false">VLOOKUP(LEFT(E32,1),'⑮ Cohort Engine'!$B$14:$F$18,5,FALSE())</f>
        <v>35000</v>
      </c>
      <c r="J32" s="136" t="n">
        <v>10</v>
      </c>
      <c r="K32" s="9" t="s">
        <v>701</v>
      </c>
      <c r="L32" s="41" t="s">
        <v>733</v>
      </c>
      <c r="M32" s="18" t="s">
        <v>749</v>
      </c>
      <c r="N32" s="213" t="s">
        <v>703</v>
      </c>
      <c r="O32" s="211" t="n">
        <f aca="false">IF('🎚️ Escenario'!$C$4="7 + Autofinanciado",IF($T32&lt;&gt;"",1,0),IF('🎚️ Escenario'!$C$4="Primera Ola",$P32,IF(OR(ISNUMBER(SEARCH("Dominicana",$C32)),ISNUMBER(SEARCH("Guatemala",$C32)),ISNUMBER(SEARCH("Salvador",$C32)),ISNUMBER(SEARCH("Regional",$C32))),0,1)))</f>
        <v>1</v>
      </c>
      <c r="P32" s="212" t="n">
        <v>0</v>
      </c>
      <c r="Q32" s="212"/>
      <c r="R32" s="212" t="n">
        <v>2029</v>
      </c>
      <c r="S32" s="212" t="n">
        <v>2028</v>
      </c>
      <c r="T32" s="212" t="n">
        <v>2031</v>
      </c>
    </row>
    <row r="33" customFormat="false" ht="15" hidden="false" customHeight="false" outlineLevel="0" collapsed="false">
      <c r="B33" s="63" t="n">
        <v>25</v>
      </c>
      <c r="C33" s="9" t="s">
        <v>747</v>
      </c>
      <c r="D33" s="9" t="s">
        <v>748</v>
      </c>
      <c r="E33" s="216" t="s">
        <v>694</v>
      </c>
      <c r="F33" s="136" t="n">
        <v>5</v>
      </c>
      <c r="G33" s="207" t="n">
        <f aca="false">IF(AND('🎚️ Escenario'!$C$4="7 + Autofinanciado",$T33&lt;&gt;""),$T33,IF(AND('🎚️ Escenario'!$C$4="Primera Ola",$Q33&lt;&gt;""),$Q33,IF(AND('🎚️ Escenario'!$C$4="A slow",$S33&lt;&gt;""),$S33,$R33)))</f>
        <v>2031</v>
      </c>
      <c r="H33" s="179" t="n">
        <f aca="false">$C$7</f>
        <v>100000</v>
      </c>
      <c r="I33" s="208" t="n">
        <f aca="false">VLOOKUP(LEFT(E33,1),'⑮ Cohort Engine'!$B$14:$F$18,5,FALSE())</f>
        <v>27000</v>
      </c>
      <c r="J33" s="136" t="n">
        <v>10</v>
      </c>
      <c r="K33" s="9" t="s">
        <v>701</v>
      </c>
      <c r="L33" s="41" t="s">
        <v>733</v>
      </c>
      <c r="M33" s="18" t="s">
        <v>749</v>
      </c>
      <c r="N33" s="213" t="s">
        <v>703</v>
      </c>
      <c r="O33" s="211" t="n">
        <f aca="false">IF('🎚️ Escenario'!$C$4="7 + Autofinanciado",IF($T33&lt;&gt;"",1,0),IF('🎚️ Escenario'!$C$4="Primera Ola",$P33,IF(OR(ISNUMBER(SEARCH("Dominicana",$C33)),ISNUMBER(SEARCH("Guatemala",$C33)),ISNUMBER(SEARCH("Salvador",$C33)),ISNUMBER(SEARCH("Regional",$C33))),0,1)))</f>
        <v>1</v>
      </c>
      <c r="P33" s="212" t="n">
        <v>0</v>
      </c>
      <c r="Q33" s="212"/>
      <c r="R33" s="212" t="n">
        <v>2029</v>
      </c>
      <c r="S33" s="212" t="n">
        <v>2031</v>
      </c>
      <c r="T33" s="212" t="n">
        <v>2032</v>
      </c>
    </row>
    <row r="34" customFormat="false" ht="15" hidden="false" customHeight="false" outlineLevel="0" collapsed="false">
      <c r="B34" s="63" t="n">
        <v>26</v>
      </c>
      <c r="C34" s="9" t="s">
        <v>750</v>
      </c>
      <c r="D34" s="9" t="s">
        <v>748</v>
      </c>
      <c r="E34" s="216" t="s">
        <v>694</v>
      </c>
      <c r="F34" s="136" t="n">
        <v>8</v>
      </c>
      <c r="G34" s="207" t="n">
        <f aca="false">IF(AND('🎚️ Escenario'!$C$4="7 + Autofinanciado",$T34&lt;&gt;""),$T34,IF(AND('🎚️ Escenario'!$C$4="Primera Ola",$Q34&lt;&gt;""),$Q34,IF(AND('🎚️ Escenario'!$C$4="A slow",$S34&lt;&gt;""),$S34,$R34)))</f>
        <v>2032</v>
      </c>
      <c r="H34" s="179" t="n">
        <f aca="false">$C$7</f>
        <v>100000</v>
      </c>
      <c r="I34" s="208" t="n">
        <f aca="false">VLOOKUP(LEFT(E34,1),'⑮ Cohort Engine'!$B$14:$F$18,5,FALSE())</f>
        <v>27000</v>
      </c>
      <c r="J34" s="136" t="n">
        <v>10</v>
      </c>
      <c r="K34" s="9" t="s">
        <v>701</v>
      </c>
      <c r="L34" s="41" t="s">
        <v>733</v>
      </c>
      <c r="M34" s="18" t="s">
        <v>751</v>
      </c>
      <c r="N34" s="213" t="s">
        <v>703</v>
      </c>
      <c r="O34" s="211" t="n">
        <f aca="false">IF('🎚️ Escenario'!$C$4="7 + Autofinanciado",IF($T34&lt;&gt;"",1,0),IF('🎚️ Escenario'!$C$4="Primera Ola",$P34,IF(OR(ISNUMBER(SEARCH("Dominicana",$C34)),ISNUMBER(SEARCH("Guatemala",$C34)),ISNUMBER(SEARCH("Salvador",$C34)),ISNUMBER(SEARCH("Regional",$C34))),0,1)))</f>
        <v>1</v>
      </c>
      <c r="P34" s="212" t="n">
        <v>1</v>
      </c>
      <c r="Q34" s="212" t="n">
        <v>2028</v>
      </c>
      <c r="R34" s="212" t="n">
        <v>2031</v>
      </c>
      <c r="S34" s="212" t="n">
        <v>2032</v>
      </c>
      <c r="T34" s="212" t="n">
        <v>2034</v>
      </c>
    </row>
    <row r="35" customFormat="false" ht="15" hidden="false" customHeight="false" outlineLevel="0" collapsed="false">
      <c r="B35" s="63" t="n">
        <v>27</v>
      </c>
      <c r="C35" s="9" t="s">
        <v>750</v>
      </c>
      <c r="D35" s="9" t="s">
        <v>748</v>
      </c>
      <c r="E35" s="216" t="s">
        <v>684</v>
      </c>
      <c r="F35" s="136" t="n">
        <v>4</v>
      </c>
      <c r="G35" s="207" t="n">
        <f aca="false">IF(AND('🎚️ Escenario'!$C$4="7 + Autofinanciado",$T35&lt;&gt;""),$T35,IF(AND('🎚️ Escenario'!$C$4="Primera Ola",$Q35&lt;&gt;""),$Q35,IF(AND('🎚️ Escenario'!$C$4="A slow",$S35&lt;&gt;""),$S35,$R35)))</f>
        <v>2032</v>
      </c>
      <c r="H35" s="179" t="n">
        <f aca="false">$C$7</f>
        <v>100000</v>
      </c>
      <c r="I35" s="208" t="n">
        <f aca="false">VLOOKUP(LEFT(E35,1),'⑮ Cohort Engine'!$B$14:$F$18,5,FALSE())</f>
        <v>35000</v>
      </c>
      <c r="J35" s="136" t="n">
        <v>10</v>
      </c>
      <c r="K35" s="9" t="s">
        <v>701</v>
      </c>
      <c r="L35" s="41" t="s">
        <v>733</v>
      </c>
      <c r="M35" s="18" t="s">
        <v>751</v>
      </c>
      <c r="N35" s="213" t="s">
        <v>703</v>
      </c>
      <c r="O35" s="211" t="n">
        <f aca="false">IF('🎚️ Escenario'!$C$4="7 + Autofinanciado",IF($T35&lt;&gt;"",1,0),IF('🎚️ Escenario'!$C$4="Primera Ola",$P35,IF(OR(ISNUMBER(SEARCH("Dominicana",$C35)),ISNUMBER(SEARCH("Guatemala",$C35)),ISNUMBER(SEARCH("Salvador",$C35)),ISNUMBER(SEARCH("Regional",$C35))),0,1)))</f>
        <v>1</v>
      </c>
      <c r="P35" s="212" t="n">
        <v>1</v>
      </c>
      <c r="Q35" s="212" t="n">
        <v>2028</v>
      </c>
      <c r="R35" s="212" t="n">
        <v>2031</v>
      </c>
      <c r="S35" s="212" t="n">
        <v>2032</v>
      </c>
      <c r="T35" s="212" t="n">
        <v>2034</v>
      </c>
    </row>
    <row r="36" customFormat="false" ht="15" hidden="false" customHeight="false" outlineLevel="0" collapsed="false">
      <c r="B36" s="63" t="n">
        <v>28</v>
      </c>
      <c r="C36" s="9" t="s">
        <v>750</v>
      </c>
      <c r="D36" s="9" t="s">
        <v>748</v>
      </c>
      <c r="E36" s="216" t="s">
        <v>694</v>
      </c>
      <c r="F36" s="136" t="n">
        <v>3</v>
      </c>
      <c r="G36" s="207" t="n">
        <f aca="false">IF(AND('🎚️ Escenario'!$C$4="7 + Autofinanciado",$T36&lt;&gt;""),$T36,IF(AND('🎚️ Escenario'!$C$4="Primera Ola",$Q36&lt;&gt;""),$Q36,IF(AND('🎚️ Escenario'!$C$4="A slow",$S36&lt;&gt;""),$S36,$R36)))</f>
        <v>2032</v>
      </c>
      <c r="H36" s="179" t="n">
        <f aca="false">$C$7</f>
        <v>100000</v>
      </c>
      <c r="I36" s="208" t="n">
        <f aca="false">VLOOKUP(LEFT(E36,1),'⑮ Cohort Engine'!$B$14:$F$18,5,FALSE())</f>
        <v>27000</v>
      </c>
      <c r="J36" s="136" t="n">
        <v>10</v>
      </c>
      <c r="K36" s="9" t="s">
        <v>701</v>
      </c>
      <c r="L36" s="41" t="s">
        <v>733</v>
      </c>
      <c r="M36" s="18" t="s">
        <v>751</v>
      </c>
      <c r="N36" s="213" t="s">
        <v>703</v>
      </c>
      <c r="O36" s="211" t="n">
        <f aca="false">IF('🎚️ Escenario'!$C$4="7 + Autofinanciado",IF($T36&lt;&gt;"",1,0),IF('🎚️ Escenario'!$C$4="Primera Ola",$P36,IF(OR(ISNUMBER(SEARCH("Dominicana",$C36)),ISNUMBER(SEARCH("Guatemala",$C36)),ISNUMBER(SEARCH("Salvador",$C36)),ISNUMBER(SEARCH("Regional",$C36))),0,1)))</f>
        <v>1</v>
      </c>
      <c r="P36" s="212" t="n">
        <v>1</v>
      </c>
      <c r="Q36" s="212" t="n">
        <v>2028</v>
      </c>
      <c r="R36" s="212" t="n">
        <v>2031</v>
      </c>
      <c r="S36" s="212" t="n">
        <v>2032</v>
      </c>
      <c r="T36" s="212" t="n">
        <v>2034</v>
      </c>
    </row>
    <row r="37" customFormat="false" ht="15" hidden="false" customHeight="false" outlineLevel="0" collapsed="false">
      <c r="B37" s="63" t="n">
        <v>29</v>
      </c>
      <c r="C37" s="9" t="s">
        <v>750</v>
      </c>
      <c r="D37" s="9" t="s">
        <v>748</v>
      </c>
      <c r="E37" s="216" t="s">
        <v>694</v>
      </c>
      <c r="F37" s="136" t="n">
        <v>9</v>
      </c>
      <c r="G37" s="207" t="n">
        <f aca="false">IF(AND('🎚️ Escenario'!$C$4="7 + Autofinanciado",$T37&lt;&gt;""),$T37,IF(AND('🎚️ Escenario'!$C$4="Primera Ola",$Q37&lt;&gt;""),$Q37,IF(AND('🎚️ Escenario'!$C$4="A slow",$S37&lt;&gt;""),$S37,$R37)))</f>
        <v>2032</v>
      </c>
      <c r="H37" s="179" t="n">
        <f aca="false">$C$7</f>
        <v>100000</v>
      </c>
      <c r="I37" s="208" t="n">
        <f aca="false">VLOOKUP(LEFT(E37,1),'⑮ Cohort Engine'!$B$14:$F$18,5,FALSE())</f>
        <v>27000</v>
      </c>
      <c r="J37" s="136" t="n">
        <v>10</v>
      </c>
      <c r="K37" s="9" t="s">
        <v>701</v>
      </c>
      <c r="L37" s="41" t="s">
        <v>733</v>
      </c>
      <c r="M37" s="18" t="s">
        <v>751</v>
      </c>
      <c r="N37" s="213" t="s">
        <v>703</v>
      </c>
      <c r="O37" s="211" t="n">
        <f aca="false">IF('🎚️ Escenario'!$C$4="7 + Autofinanciado",IF($T37&lt;&gt;"",1,0),IF('🎚️ Escenario'!$C$4="Primera Ola",$P37,IF(OR(ISNUMBER(SEARCH("Dominicana",$C37)),ISNUMBER(SEARCH("Guatemala",$C37)),ISNUMBER(SEARCH("Salvador",$C37)),ISNUMBER(SEARCH("Regional",$C37))),0,1)))</f>
        <v>1</v>
      </c>
      <c r="P37" s="212" t="n">
        <v>1</v>
      </c>
      <c r="Q37" s="212" t="n">
        <v>2028</v>
      </c>
      <c r="R37" s="212" t="n">
        <v>2031</v>
      </c>
      <c r="S37" s="212" t="n">
        <v>2032</v>
      </c>
      <c r="T37" s="212" t="n">
        <v>2034</v>
      </c>
    </row>
    <row r="38" customFormat="false" ht="15" hidden="false" customHeight="false" outlineLevel="0" collapsed="false">
      <c r="B38" s="63" t="n">
        <v>30</v>
      </c>
      <c r="C38" s="9" t="s">
        <v>750</v>
      </c>
      <c r="D38" s="9" t="s">
        <v>748</v>
      </c>
      <c r="E38" s="216" t="s">
        <v>745</v>
      </c>
      <c r="F38" s="136" t="n">
        <v>10</v>
      </c>
      <c r="G38" s="207" t="n">
        <f aca="false">IF(AND('🎚️ Escenario'!$C$4="7 + Autofinanciado",$T38&lt;&gt;""),$T38,IF(AND('🎚️ Escenario'!$C$4="Primera Ola",$Q38&lt;&gt;""),$Q38,IF(AND('🎚️ Escenario'!$C$4="A slow",$S38&lt;&gt;""),$S38,$R38)))</f>
        <v>2033</v>
      </c>
      <c r="H38" s="179" t="n">
        <f aca="false">$C$7</f>
        <v>100000</v>
      </c>
      <c r="I38" s="208" t="n">
        <f aca="false">VLOOKUP(LEFT(E38,1),'⑮ Cohort Engine'!$B$14:$F$18,5,FALSE())</f>
        <v>23000</v>
      </c>
      <c r="J38" s="136" t="n">
        <v>12</v>
      </c>
      <c r="K38" s="9" t="s">
        <v>701</v>
      </c>
      <c r="L38" s="41" t="s">
        <v>733</v>
      </c>
      <c r="M38" s="18" t="s">
        <v>751</v>
      </c>
      <c r="N38" s="213" t="s">
        <v>703</v>
      </c>
      <c r="O38" s="211" t="n">
        <f aca="false">IF('🎚️ Escenario'!$C$4="7 + Autofinanciado",IF($T38&lt;&gt;"",1,0),IF('🎚️ Escenario'!$C$4="Primera Ola",$P38,IF(OR(ISNUMBER(SEARCH("Dominicana",$C38)),ISNUMBER(SEARCH("Guatemala",$C38)),ISNUMBER(SEARCH("Salvador",$C38)),ISNUMBER(SEARCH("Regional",$C38))),0,1)))</f>
        <v>1</v>
      </c>
      <c r="P38" s="212" t="n">
        <v>1</v>
      </c>
      <c r="Q38" s="212" t="n">
        <v>2028</v>
      </c>
      <c r="R38" s="212" t="n">
        <v>2032</v>
      </c>
      <c r="S38" s="212" t="n">
        <v>2033</v>
      </c>
      <c r="T38" s="212" t="n">
        <v>2034</v>
      </c>
    </row>
    <row r="39" customFormat="false" ht="15" hidden="false" customHeight="false" outlineLevel="0" collapsed="false">
      <c r="B39" s="63" t="n">
        <v>31</v>
      </c>
      <c r="C39" s="9" t="s">
        <v>750</v>
      </c>
      <c r="D39" s="9" t="s">
        <v>748</v>
      </c>
      <c r="E39" s="216" t="s">
        <v>745</v>
      </c>
      <c r="F39" s="136" t="n">
        <v>11</v>
      </c>
      <c r="G39" s="207" t="n">
        <f aca="false">IF(AND('🎚️ Escenario'!$C$4="7 + Autofinanciado",$T39&lt;&gt;""),$T39,IF(AND('🎚️ Escenario'!$C$4="Primera Ola",$Q39&lt;&gt;""),$Q39,IF(AND('🎚️ Escenario'!$C$4="A slow",$S39&lt;&gt;""),$S39,$R39)))</f>
        <v>2033</v>
      </c>
      <c r="H39" s="179" t="n">
        <f aca="false">$C$7</f>
        <v>100000</v>
      </c>
      <c r="I39" s="208" t="n">
        <f aca="false">VLOOKUP(LEFT(E39,1),'⑮ Cohort Engine'!$B$14:$F$18,5,FALSE())</f>
        <v>23000</v>
      </c>
      <c r="J39" s="136" t="n">
        <v>12</v>
      </c>
      <c r="K39" s="9" t="s">
        <v>701</v>
      </c>
      <c r="L39" s="41" t="s">
        <v>733</v>
      </c>
      <c r="M39" s="18" t="s">
        <v>751</v>
      </c>
      <c r="N39" s="213" t="s">
        <v>703</v>
      </c>
      <c r="O39" s="211" t="n">
        <f aca="false">IF('🎚️ Escenario'!$C$4="7 + Autofinanciado",IF($T39&lt;&gt;"",1,0),IF('🎚️ Escenario'!$C$4="Primera Ola",$P39,IF(OR(ISNUMBER(SEARCH("Dominicana",$C39)),ISNUMBER(SEARCH("Guatemala",$C39)),ISNUMBER(SEARCH("Salvador",$C39)),ISNUMBER(SEARCH("Regional",$C39))),0,1)))</f>
        <v>1</v>
      </c>
      <c r="P39" s="212" t="n">
        <v>0</v>
      </c>
      <c r="Q39" s="212"/>
      <c r="R39" s="212" t="n">
        <v>2032</v>
      </c>
      <c r="S39" s="212" t="n">
        <v>2033</v>
      </c>
      <c r="T39" s="212" t="n">
        <v>2034</v>
      </c>
    </row>
    <row r="40" customFormat="false" ht="15" hidden="false" customHeight="false" outlineLevel="0" collapsed="false">
      <c r="B40" s="63" t="n">
        <v>32</v>
      </c>
      <c r="C40" s="9" t="s">
        <v>750</v>
      </c>
      <c r="D40" s="9" t="s">
        <v>748</v>
      </c>
      <c r="E40" s="216" t="s">
        <v>745</v>
      </c>
      <c r="F40" s="136" t="n">
        <v>1</v>
      </c>
      <c r="G40" s="207" t="n">
        <f aca="false">IF(AND('🎚️ Escenario'!$C$4="7 + Autofinanciado",$T40&lt;&gt;""),$T40,IF(AND('🎚️ Escenario'!$C$4="Primera Ola",$Q40&lt;&gt;""),$Q40,IF(AND('🎚️ Escenario'!$C$4="A slow",$S40&lt;&gt;""),$S40,$R40)))</f>
        <v>2033</v>
      </c>
      <c r="H40" s="179" t="n">
        <f aca="false">$C$7</f>
        <v>100000</v>
      </c>
      <c r="I40" s="208" t="n">
        <f aca="false">VLOOKUP(LEFT(E40,1),'⑮ Cohort Engine'!$B$14:$F$18,5,FALSE())</f>
        <v>23000</v>
      </c>
      <c r="J40" s="136" t="n">
        <v>12</v>
      </c>
      <c r="K40" s="9" t="s">
        <v>701</v>
      </c>
      <c r="L40" s="41" t="s">
        <v>733</v>
      </c>
      <c r="M40" s="18" t="s">
        <v>751</v>
      </c>
      <c r="N40" s="213" t="s">
        <v>703</v>
      </c>
      <c r="O40" s="211" t="n">
        <f aca="false">IF('🎚️ Escenario'!$C$4="7 + Autofinanciado",IF($T40&lt;&gt;"",1,0),IF('🎚️ Escenario'!$C$4="Primera Ola",$P40,IF(OR(ISNUMBER(SEARCH("Dominicana",$C40)),ISNUMBER(SEARCH("Guatemala",$C40)),ISNUMBER(SEARCH("Salvador",$C40)),ISNUMBER(SEARCH("Regional",$C40))),0,1)))</f>
        <v>1</v>
      </c>
      <c r="P40" s="212" t="n">
        <v>0</v>
      </c>
      <c r="Q40" s="212"/>
      <c r="R40" s="212" t="n">
        <v>2032</v>
      </c>
      <c r="S40" s="212" t="n">
        <v>2033</v>
      </c>
      <c r="T40" s="212" t="n">
        <v>2034</v>
      </c>
    </row>
    <row r="41" customFormat="false" ht="15" hidden="false" customHeight="false" outlineLevel="0" collapsed="false">
      <c r="B41" s="63" t="n">
        <v>33</v>
      </c>
      <c r="C41" s="9" t="s">
        <v>750</v>
      </c>
      <c r="D41" s="9" t="s">
        <v>748</v>
      </c>
      <c r="E41" s="216" t="s">
        <v>684</v>
      </c>
      <c r="F41" s="136" t="n">
        <v>12</v>
      </c>
      <c r="G41" s="207" t="n">
        <f aca="false">IF(AND('🎚️ Escenario'!$C$4="7 + Autofinanciado",$T41&lt;&gt;""),$T41,IF(AND('🎚️ Escenario'!$C$4="Primera Ola",$Q41&lt;&gt;""),$Q41,IF(AND('🎚️ Escenario'!$C$4="A slow",$S41&lt;&gt;""),$S41,$R41)))</f>
        <v>2033</v>
      </c>
      <c r="H41" s="179" t="n">
        <f aca="false">$C$7</f>
        <v>100000</v>
      </c>
      <c r="I41" s="208" t="n">
        <f aca="false">VLOOKUP(LEFT(E41,1),'⑮ Cohort Engine'!$B$14:$F$18,5,FALSE())</f>
        <v>35000</v>
      </c>
      <c r="J41" s="136" t="n">
        <v>10</v>
      </c>
      <c r="K41" s="9" t="s">
        <v>701</v>
      </c>
      <c r="L41" s="41" t="s">
        <v>733</v>
      </c>
      <c r="M41" s="18" t="s">
        <v>751</v>
      </c>
      <c r="N41" s="213" t="s">
        <v>703</v>
      </c>
      <c r="O41" s="211" t="n">
        <f aca="false">IF('🎚️ Escenario'!$C$4="7 + Autofinanciado",IF($T41&lt;&gt;"",1,0),IF('🎚️ Escenario'!$C$4="Primera Ola",$P41,IF(OR(ISNUMBER(SEARCH("Dominicana",$C41)),ISNUMBER(SEARCH("Guatemala",$C41)),ISNUMBER(SEARCH("Salvador",$C41)),ISNUMBER(SEARCH("Regional",$C41))),0,1)))</f>
        <v>1</v>
      </c>
      <c r="P41" s="212" t="n">
        <v>0</v>
      </c>
      <c r="Q41" s="212"/>
      <c r="R41" s="212" t="n">
        <v>2032</v>
      </c>
      <c r="S41" s="212" t="n">
        <v>2033</v>
      </c>
      <c r="T41" s="212" t="n">
        <v>2034</v>
      </c>
    </row>
    <row r="42" customFormat="false" ht="15" hidden="false" customHeight="false" outlineLevel="0" collapsed="false">
      <c r="B42" s="63" t="n">
        <v>34</v>
      </c>
      <c r="C42" s="9" t="s">
        <v>750</v>
      </c>
      <c r="D42" s="9" t="s">
        <v>748</v>
      </c>
      <c r="E42" s="216" t="s">
        <v>694</v>
      </c>
      <c r="F42" s="136" t="n">
        <v>2</v>
      </c>
      <c r="G42" s="207" t="n">
        <f aca="false">IF(AND('🎚️ Escenario'!$C$4="7 + Autofinanciado",$T42&lt;&gt;""),$T42,IF(AND('🎚️ Escenario'!$C$4="Primera Ola",$Q42&lt;&gt;""),$Q42,IF(AND('🎚️ Escenario'!$C$4="A slow",$S42&lt;&gt;""),$S42,$R42)))</f>
        <v>2033</v>
      </c>
      <c r="H42" s="179" t="n">
        <f aca="false">$C$7</f>
        <v>100000</v>
      </c>
      <c r="I42" s="208" t="n">
        <f aca="false">VLOOKUP(LEFT(E42,1),'⑮ Cohort Engine'!$B$14:$F$18,5,FALSE())</f>
        <v>27000</v>
      </c>
      <c r="J42" s="136" t="n">
        <v>10</v>
      </c>
      <c r="K42" s="9" t="s">
        <v>701</v>
      </c>
      <c r="L42" s="41" t="s">
        <v>733</v>
      </c>
      <c r="M42" s="18" t="s">
        <v>751</v>
      </c>
      <c r="N42" s="213" t="s">
        <v>703</v>
      </c>
      <c r="O42" s="211" t="n">
        <f aca="false">IF('🎚️ Escenario'!$C$4="7 + Autofinanciado",IF($T42&lt;&gt;"",1,0),IF('🎚️ Escenario'!$C$4="Primera Ola",$P42,IF(OR(ISNUMBER(SEARCH("Dominicana",$C42)),ISNUMBER(SEARCH("Guatemala",$C42)),ISNUMBER(SEARCH("Salvador",$C42)),ISNUMBER(SEARCH("Regional",$C42))),0,1)))</f>
        <v>1</v>
      </c>
      <c r="P42" s="212" t="n">
        <v>0</v>
      </c>
      <c r="Q42" s="212"/>
      <c r="R42" s="212" t="n">
        <v>2032</v>
      </c>
      <c r="S42" s="212" t="n">
        <v>2033</v>
      </c>
      <c r="T42" s="212" t="n">
        <v>2034</v>
      </c>
    </row>
    <row r="43" customFormat="false" ht="15" hidden="false" customHeight="false" outlineLevel="0" collapsed="false">
      <c r="B43" s="63" t="n">
        <v>35</v>
      </c>
      <c r="C43" s="9" t="s">
        <v>750</v>
      </c>
      <c r="D43" s="9" t="s">
        <v>748</v>
      </c>
      <c r="E43" s="216" t="s">
        <v>745</v>
      </c>
      <c r="F43" s="136" t="n">
        <v>5</v>
      </c>
      <c r="G43" s="207" t="n">
        <f aca="false">IF(AND('🎚️ Escenario'!$C$4="7 + Autofinanciado",$T43&lt;&gt;""),$T43,IF(AND('🎚️ Escenario'!$C$4="Primera Ola",$Q43&lt;&gt;""),$Q43,IF(AND('🎚️ Escenario'!$C$4="A slow",$S43&lt;&gt;""),$S43,$R43)))</f>
        <v>2033</v>
      </c>
      <c r="H43" s="179" t="n">
        <f aca="false">$C$7</f>
        <v>100000</v>
      </c>
      <c r="I43" s="208" t="n">
        <f aca="false">VLOOKUP(LEFT(E43,1),'⑮ Cohort Engine'!$B$14:$F$18,5,FALSE())</f>
        <v>23000</v>
      </c>
      <c r="J43" s="136" t="n">
        <v>12</v>
      </c>
      <c r="K43" s="9" t="s">
        <v>701</v>
      </c>
      <c r="L43" s="41" t="s">
        <v>733</v>
      </c>
      <c r="M43" s="18" t="s">
        <v>751</v>
      </c>
      <c r="N43" s="213" t="s">
        <v>703</v>
      </c>
      <c r="O43" s="211" t="n">
        <f aca="false">IF('🎚️ Escenario'!$C$4="7 + Autofinanciado",IF($T43&lt;&gt;"",1,0),IF('🎚️ Escenario'!$C$4="Primera Ola",$P43,IF(OR(ISNUMBER(SEARCH("Dominicana",$C43)),ISNUMBER(SEARCH("Guatemala",$C43)),ISNUMBER(SEARCH("Salvador",$C43)),ISNUMBER(SEARCH("Regional",$C43))),0,1)))</f>
        <v>1</v>
      </c>
      <c r="P43" s="212" t="n">
        <v>0</v>
      </c>
      <c r="Q43" s="212"/>
      <c r="R43" s="212" t="n">
        <v>2032</v>
      </c>
      <c r="S43" s="212" t="n">
        <v>2033</v>
      </c>
      <c r="T43" s="212" t="n">
        <v>2035</v>
      </c>
    </row>
    <row r="44" customFormat="false" ht="15" hidden="false" customHeight="false" outlineLevel="0" collapsed="false">
      <c r="B44" s="63" t="n">
        <v>36</v>
      </c>
      <c r="C44" s="9" t="s">
        <v>750</v>
      </c>
      <c r="D44" s="9" t="s">
        <v>748</v>
      </c>
      <c r="E44" s="216" t="s">
        <v>694</v>
      </c>
      <c r="F44" s="136" t="n">
        <v>4</v>
      </c>
      <c r="G44" s="207" t="n">
        <f aca="false">IF(AND('🎚️ Escenario'!$C$4="7 + Autofinanciado",$T44&lt;&gt;""),$T44,IF(AND('🎚️ Escenario'!$C$4="Primera Ola",$Q44&lt;&gt;""),$Q44,IF(AND('🎚️ Escenario'!$C$4="A slow",$S44&lt;&gt;""),$S44,$R44)))</f>
        <v>2033</v>
      </c>
      <c r="H44" s="179" t="n">
        <f aca="false">$C$7</f>
        <v>100000</v>
      </c>
      <c r="I44" s="208" t="n">
        <f aca="false">VLOOKUP(LEFT(E44,1),'⑮ Cohort Engine'!$B$14:$F$18,5,FALSE())</f>
        <v>27000</v>
      </c>
      <c r="J44" s="136" t="n">
        <v>10</v>
      </c>
      <c r="K44" s="9" t="s">
        <v>701</v>
      </c>
      <c r="L44" s="41" t="s">
        <v>733</v>
      </c>
      <c r="M44" s="18" t="s">
        <v>751</v>
      </c>
      <c r="N44" s="213" t="s">
        <v>703</v>
      </c>
      <c r="O44" s="211" t="n">
        <f aca="false">IF('🎚️ Escenario'!$C$4="7 + Autofinanciado",IF($T44&lt;&gt;"",1,0),IF('🎚️ Escenario'!$C$4="Primera Ola",$P44,IF(OR(ISNUMBER(SEARCH("Dominicana",$C44)),ISNUMBER(SEARCH("Guatemala",$C44)),ISNUMBER(SEARCH("Salvador",$C44)),ISNUMBER(SEARCH("Regional",$C44))),0,1)))</f>
        <v>1</v>
      </c>
      <c r="P44" s="212" t="n">
        <v>0</v>
      </c>
      <c r="Q44" s="212"/>
      <c r="R44" s="212" t="n">
        <v>2032</v>
      </c>
      <c r="S44" s="212" t="n">
        <v>2033</v>
      </c>
      <c r="T44" s="212" t="n">
        <v>2035</v>
      </c>
    </row>
    <row r="45" customFormat="false" ht="15" hidden="false" customHeight="false" outlineLevel="0" collapsed="false">
      <c r="B45" s="63" t="n">
        <v>37</v>
      </c>
      <c r="C45" s="9" t="s">
        <v>750</v>
      </c>
      <c r="D45" s="9" t="s">
        <v>748</v>
      </c>
      <c r="E45" s="216" t="s">
        <v>694</v>
      </c>
      <c r="F45" s="136" t="n">
        <v>3</v>
      </c>
      <c r="G45" s="207" t="n">
        <f aca="false">IF(AND('🎚️ Escenario'!$C$4="7 + Autofinanciado",$T45&lt;&gt;""),$T45,IF(AND('🎚️ Escenario'!$C$4="Primera Ola",$Q45&lt;&gt;""),$Q45,IF(AND('🎚️ Escenario'!$C$4="A slow",$S45&lt;&gt;""),$S45,$R45)))</f>
        <v>2033</v>
      </c>
      <c r="H45" s="179" t="n">
        <f aca="false">$C$7</f>
        <v>100000</v>
      </c>
      <c r="I45" s="208" t="n">
        <f aca="false">VLOOKUP(LEFT(E45,1),'⑮ Cohort Engine'!$B$14:$F$18,5,FALSE())</f>
        <v>27000</v>
      </c>
      <c r="J45" s="136" t="n">
        <v>10</v>
      </c>
      <c r="K45" s="9" t="s">
        <v>701</v>
      </c>
      <c r="L45" s="41" t="s">
        <v>733</v>
      </c>
      <c r="M45" s="18" t="s">
        <v>751</v>
      </c>
      <c r="N45" s="213" t="s">
        <v>703</v>
      </c>
      <c r="O45" s="211" t="n">
        <f aca="false">IF('🎚️ Escenario'!$C$4="7 + Autofinanciado",IF($T45&lt;&gt;"",1,0),IF('🎚️ Escenario'!$C$4="Primera Ola",$P45,IF(OR(ISNUMBER(SEARCH("Dominicana",$C45)),ISNUMBER(SEARCH("Guatemala",$C45)),ISNUMBER(SEARCH("Salvador",$C45)),ISNUMBER(SEARCH("Regional",$C45))),0,1)))</f>
        <v>1</v>
      </c>
      <c r="P45" s="212" t="n">
        <v>0</v>
      </c>
      <c r="Q45" s="212"/>
      <c r="R45" s="212" t="n">
        <v>2032</v>
      </c>
      <c r="S45" s="212" t="n">
        <v>2033</v>
      </c>
      <c r="T45" s="212" t="n">
        <v>2035</v>
      </c>
    </row>
    <row r="46" customFormat="false" ht="15" hidden="false" customHeight="false" outlineLevel="0" collapsed="false">
      <c r="B46" s="63" t="n">
        <v>38</v>
      </c>
      <c r="C46" s="9" t="s">
        <v>750</v>
      </c>
      <c r="D46" s="9" t="s">
        <v>748</v>
      </c>
      <c r="E46" s="216" t="s">
        <v>694</v>
      </c>
      <c r="F46" s="136" t="n">
        <v>7</v>
      </c>
      <c r="G46" s="207" t="n">
        <f aca="false">IF(AND('🎚️ Escenario'!$C$4="7 + Autofinanciado",$T46&lt;&gt;""),$T46,IF(AND('🎚️ Escenario'!$C$4="Primera Ola",$Q46&lt;&gt;""),$Q46,IF(AND('🎚️ Escenario'!$C$4="A slow",$S46&lt;&gt;""),$S46,$R46)))</f>
        <v>2034</v>
      </c>
      <c r="H46" s="179" t="n">
        <f aca="false">$C$7</f>
        <v>100000</v>
      </c>
      <c r="I46" s="208" t="n">
        <f aca="false">VLOOKUP(LEFT(E46,1),'⑮ Cohort Engine'!$B$14:$F$18,5,FALSE())</f>
        <v>27000</v>
      </c>
      <c r="J46" s="136" t="n">
        <v>10</v>
      </c>
      <c r="K46" s="9" t="s">
        <v>701</v>
      </c>
      <c r="L46" s="41" t="s">
        <v>733</v>
      </c>
      <c r="M46" s="18" t="s">
        <v>751</v>
      </c>
      <c r="N46" s="213" t="s">
        <v>703</v>
      </c>
      <c r="O46" s="211" t="n">
        <f aca="false">IF('🎚️ Escenario'!$C$4="7 + Autofinanciado",IF($T46&lt;&gt;"",1,0),IF('🎚️ Escenario'!$C$4="Primera Ola",$P46,IF(OR(ISNUMBER(SEARCH("Dominicana",$C46)),ISNUMBER(SEARCH("Guatemala",$C46)),ISNUMBER(SEARCH("Salvador",$C46)),ISNUMBER(SEARCH("Regional",$C46))),0,1)))</f>
        <v>1</v>
      </c>
      <c r="P46" s="212" t="n">
        <v>0</v>
      </c>
      <c r="Q46" s="212"/>
      <c r="R46" s="212" t="n">
        <v>2033</v>
      </c>
      <c r="S46" s="212" t="n">
        <v>2034</v>
      </c>
      <c r="T46" s="212" t="n">
        <v>2035</v>
      </c>
    </row>
    <row r="47" customFormat="false" ht="15" hidden="false" customHeight="false" outlineLevel="0" collapsed="false">
      <c r="B47" s="63" t="n">
        <v>39</v>
      </c>
      <c r="C47" s="9" t="s">
        <v>750</v>
      </c>
      <c r="D47" s="9" t="s">
        <v>748</v>
      </c>
      <c r="E47" s="216" t="s">
        <v>745</v>
      </c>
      <c r="F47" s="136" t="n">
        <v>6</v>
      </c>
      <c r="G47" s="207" t="n">
        <f aca="false">IF(AND('🎚️ Escenario'!$C$4="7 + Autofinanciado",$T47&lt;&gt;""),$T47,IF(AND('🎚️ Escenario'!$C$4="Primera Ola",$Q47&lt;&gt;""),$Q47,IF(AND('🎚️ Escenario'!$C$4="A slow",$S47&lt;&gt;""),$S47,$R47)))</f>
        <v>2034</v>
      </c>
      <c r="H47" s="179" t="n">
        <f aca="false">$C$7</f>
        <v>100000</v>
      </c>
      <c r="I47" s="208" t="n">
        <f aca="false">VLOOKUP(LEFT(E47,1),'⑮ Cohort Engine'!$B$14:$F$18,5,FALSE())</f>
        <v>23000</v>
      </c>
      <c r="J47" s="136" t="n">
        <v>12</v>
      </c>
      <c r="K47" s="9" t="s">
        <v>701</v>
      </c>
      <c r="L47" s="41" t="s">
        <v>733</v>
      </c>
      <c r="M47" s="18" t="s">
        <v>751</v>
      </c>
      <c r="N47" s="213" t="s">
        <v>703</v>
      </c>
      <c r="O47" s="211" t="n">
        <f aca="false">IF('🎚️ Escenario'!$C$4="7 + Autofinanciado",IF($T47&lt;&gt;"",1,0),IF('🎚️ Escenario'!$C$4="Primera Ola",$P47,IF(OR(ISNUMBER(SEARCH("Dominicana",$C47)),ISNUMBER(SEARCH("Guatemala",$C47)),ISNUMBER(SEARCH("Salvador",$C47)),ISNUMBER(SEARCH("Regional",$C47))),0,1)))</f>
        <v>1</v>
      </c>
      <c r="P47" s="212" t="n">
        <v>0</v>
      </c>
      <c r="Q47" s="212"/>
      <c r="R47" s="212" t="n">
        <v>2033</v>
      </c>
      <c r="S47" s="212" t="n">
        <v>2034</v>
      </c>
      <c r="T47" s="212" t="n">
        <v>2035</v>
      </c>
    </row>
    <row r="48" customFormat="false" ht="15" hidden="false" customHeight="false" outlineLevel="0" collapsed="false">
      <c r="B48" s="63" t="n">
        <v>40</v>
      </c>
      <c r="C48" s="9" t="s">
        <v>750</v>
      </c>
      <c r="D48" s="9" t="s">
        <v>748</v>
      </c>
      <c r="E48" s="216" t="s">
        <v>745</v>
      </c>
      <c r="F48" s="136" t="n">
        <v>8</v>
      </c>
      <c r="G48" s="207" t="n">
        <f aca="false">IF(AND('🎚️ Escenario'!$C$4="7 + Autofinanciado",$T48&lt;&gt;""),$T48,IF(AND('🎚️ Escenario'!$C$4="Primera Ola",$Q48&lt;&gt;""),$Q48,IF(AND('🎚️ Escenario'!$C$4="A slow",$S48&lt;&gt;""),$S48,$R48)))</f>
        <v>2034</v>
      </c>
      <c r="H48" s="179" t="n">
        <f aca="false">$C$7</f>
        <v>100000</v>
      </c>
      <c r="I48" s="208" t="n">
        <f aca="false">VLOOKUP(LEFT(E48,1),'⑮ Cohort Engine'!$B$14:$F$18,5,FALSE())</f>
        <v>23000</v>
      </c>
      <c r="J48" s="136" t="n">
        <v>12</v>
      </c>
      <c r="K48" s="9" t="s">
        <v>701</v>
      </c>
      <c r="L48" s="41" t="s">
        <v>733</v>
      </c>
      <c r="M48" s="18" t="s">
        <v>751</v>
      </c>
      <c r="N48" s="213" t="s">
        <v>703</v>
      </c>
      <c r="O48" s="211" t="n">
        <f aca="false">IF('🎚️ Escenario'!$C$4="7 + Autofinanciado",IF($T48&lt;&gt;"",1,0),IF('🎚️ Escenario'!$C$4="Primera Ola",$P48,IF(OR(ISNUMBER(SEARCH("Dominicana",$C48)),ISNUMBER(SEARCH("Guatemala",$C48)),ISNUMBER(SEARCH("Salvador",$C48)),ISNUMBER(SEARCH("Regional",$C48))),0,1)))</f>
        <v>1</v>
      </c>
      <c r="P48" s="212" t="n">
        <v>0</v>
      </c>
      <c r="Q48" s="212"/>
      <c r="R48" s="212" t="n">
        <v>2033</v>
      </c>
      <c r="S48" s="212" t="n">
        <v>2034</v>
      </c>
      <c r="T48" s="212" t="n">
        <v>2035</v>
      </c>
    </row>
    <row r="49" customFormat="false" ht="15" hidden="false" customHeight="false" outlineLevel="0" collapsed="false">
      <c r="B49" s="63" t="n">
        <v>41</v>
      </c>
      <c r="C49" s="9" t="s">
        <v>750</v>
      </c>
      <c r="D49" s="9" t="s">
        <v>748</v>
      </c>
      <c r="E49" s="216" t="s">
        <v>694</v>
      </c>
      <c r="F49" s="136" t="n">
        <v>1</v>
      </c>
      <c r="G49" s="207" t="n">
        <f aca="false">IF(AND('🎚️ Escenario'!$C$4="7 + Autofinanciado",$T49&lt;&gt;""),$T49,IF(AND('🎚️ Escenario'!$C$4="Primera Ola",$Q49&lt;&gt;""),$Q49,IF(AND('🎚️ Escenario'!$C$4="A slow",$S49&lt;&gt;""),$S49,$R49)))</f>
        <v>2034</v>
      </c>
      <c r="H49" s="179" t="n">
        <f aca="false">$C$7</f>
        <v>100000</v>
      </c>
      <c r="I49" s="208" t="n">
        <f aca="false">VLOOKUP(LEFT(E49,1),'⑮ Cohort Engine'!$B$14:$F$18,5,FALSE())</f>
        <v>27000</v>
      </c>
      <c r="J49" s="136" t="n">
        <v>12</v>
      </c>
      <c r="K49" s="9" t="s">
        <v>701</v>
      </c>
      <c r="L49" s="41" t="s">
        <v>733</v>
      </c>
      <c r="M49" s="18" t="s">
        <v>751</v>
      </c>
      <c r="N49" s="213" t="s">
        <v>703</v>
      </c>
      <c r="O49" s="211" t="n">
        <f aca="false">IF('🎚️ Escenario'!$C$4="7 + Autofinanciado",IF($T49&lt;&gt;"",1,0),IF('🎚️ Escenario'!$C$4="Primera Ola",$P49,IF(OR(ISNUMBER(SEARCH("Dominicana",$C49)),ISNUMBER(SEARCH("Guatemala",$C49)),ISNUMBER(SEARCH("Salvador",$C49)),ISNUMBER(SEARCH("Regional",$C49))),0,1)))</f>
        <v>1</v>
      </c>
      <c r="P49" s="212" t="n">
        <v>0</v>
      </c>
      <c r="Q49" s="212"/>
      <c r="R49" s="212" t="n">
        <v>2033</v>
      </c>
      <c r="S49" s="212" t="n">
        <v>2034</v>
      </c>
      <c r="T49" s="212" t="n">
        <v>2035</v>
      </c>
    </row>
    <row r="50" customFormat="false" ht="15" hidden="false" customHeight="false" outlineLevel="0" collapsed="false">
      <c r="B50" s="63" t="n">
        <v>42</v>
      </c>
      <c r="C50" s="9" t="s">
        <v>750</v>
      </c>
      <c r="D50" s="9" t="s">
        <v>748</v>
      </c>
      <c r="E50" s="216" t="s">
        <v>745</v>
      </c>
      <c r="F50" s="136" t="n">
        <v>2</v>
      </c>
      <c r="G50" s="207" t="n">
        <f aca="false">IF(AND('🎚️ Escenario'!$C$4="7 + Autofinanciado",$T50&lt;&gt;""),$T50,IF(AND('🎚️ Escenario'!$C$4="Primera Ola",$Q50&lt;&gt;""),$Q50,IF(AND('🎚️ Escenario'!$C$4="A slow",$S50&lt;&gt;""),$S50,$R50)))</f>
        <v>2034</v>
      </c>
      <c r="H50" s="179" t="n">
        <f aca="false">$C$7</f>
        <v>100000</v>
      </c>
      <c r="I50" s="208" t="n">
        <f aca="false">VLOOKUP(LEFT(E50,1),'⑮ Cohort Engine'!$B$14:$F$18,5,FALSE())</f>
        <v>23000</v>
      </c>
      <c r="J50" s="136" t="n">
        <v>12</v>
      </c>
      <c r="K50" s="9" t="s">
        <v>701</v>
      </c>
      <c r="L50" s="41" t="s">
        <v>733</v>
      </c>
      <c r="M50" s="18" t="s">
        <v>751</v>
      </c>
      <c r="N50" s="213" t="s">
        <v>703</v>
      </c>
      <c r="O50" s="211" t="n">
        <f aca="false">IF('🎚️ Escenario'!$C$4="7 + Autofinanciado",IF($T50&lt;&gt;"",1,0),IF('🎚️ Escenario'!$C$4="Primera Ola",$P50,IF(OR(ISNUMBER(SEARCH("Dominicana",$C50)),ISNUMBER(SEARCH("Guatemala",$C50)),ISNUMBER(SEARCH("Salvador",$C50)),ISNUMBER(SEARCH("Regional",$C50))),0,1)))</f>
        <v>1</v>
      </c>
      <c r="P50" s="212" t="n">
        <v>0</v>
      </c>
      <c r="Q50" s="212"/>
      <c r="R50" s="212" t="n">
        <v>2033</v>
      </c>
      <c r="S50" s="212" t="n">
        <v>2034</v>
      </c>
      <c r="T50" s="212" t="n">
        <v>2035</v>
      </c>
    </row>
    <row r="51" customFormat="false" ht="15" hidden="false" customHeight="false" outlineLevel="0" collapsed="false">
      <c r="B51" s="63" t="n">
        <v>43</v>
      </c>
      <c r="C51" s="9" t="s">
        <v>750</v>
      </c>
      <c r="D51" s="9" t="s">
        <v>748</v>
      </c>
      <c r="E51" s="216" t="s">
        <v>745</v>
      </c>
      <c r="F51" s="136" t="n">
        <v>9</v>
      </c>
      <c r="G51" s="207" t="n">
        <f aca="false">IF(AND('🎚️ Escenario'!$C$4="7 + Autofinanciado",$T51&lt;&gt;""),$T51,IF(AND('🎚️ Escenario'!$C$4="Primera Ola",$Q51&lt;&gt;""),$Q51,IF(AND('🎚️ Escenario'!$C$4="A slow",$S51&lt;&gt;""),$S51,$R51)))</f>
        <v>2034</v>
      </c>
      <c r="H51" s="179" t="n">
        <f aca="false">$C$7</f>
        <v>100000</v>
      </c>
      <c r="I51" s="208" t="n">
        <f aca="false">VLOOKUP(LEFT(E51,1),'⑮ Cohort Engine'!$B$14:$F$18,5,FALSE())</f>
        <v>23000</v>
      </c>
      <c r="J51" s="136" t="n">
        <v>12</v>
      </c>
      <c r="K51" s="9" t="s">
        <v>701</v>
      </c>
      <c r="L51" s="41" t="s">
        <v>733</v>
      </c>
      <c r="M51" s="18" t="s">
        <v>751</v>
      </c>
      <c r="N51" s="213" t="s">
        <v>703</v>
      </c>
      <c r="O51" s="211" t="n">
        <f aca="false">IF('🎚️ Escenario'!$C$4="7 + Autofinanciado",IF($T51&lt;&gt;"",1,0),IF('🎚️ Escenario'!$C$4="Primera Ola",$P51,IF(OR(ISNUMBER(SEARCH("Dominicana",$C51)),ISNUMBER(SEARCH("Guatemala",$C51)),ISNUMBER(SEARCH("Salvador",$C51)),ISNUMBER(SEARCH("Regional",$C51))),0,1)))</f>
        <v>1</v>
      </c>
      <c r="P51" s="212" t="n">
        <v>0</v>
      </c>
      <c r="Q51" s="212"/>
      <c r="R51" s="212" t="n">
        <v>2033</v>
      </c>
      <c r="S51" s="212" t="n">
        <v>2034</v>
      </c>
      <c r="T51" s="212" t="n">
        <v>2035</v>
      </c>
    </row>
    <row r="52" customFormat="false" ht="15" hidden="false" customHeight="false" outlineLevel="0" collapsed="false">
      <c r="B52" s="63" t="n">
        <v>44</v>
      </c>
      <c r="C52" s="9" t="s">
        <v>750</v>
      </c>
      <c r="D52" s="9" t="s">
        <v>748</v>
      </c>
      <c r="E52" s="216" t="s">
        <v>745</v>
      </c>
      <c r="F52" s="136" t="n">
        <v>3</v>
      </c>
      <c r="G52" s="207" t="n">
        <f aca="false">IF(AND('🎚️ Escenario'!$C$4="7 + Autofinanciado",$T52&lt;&gt;""),$T52,IF(AND('🎚️ Escenario'!$C$4="Primera Ola",$Q52&lt;&gt;""),$Q52,IF(AND('🎚️ Escenario'!$C$4="A slow",$S52&lt;&gt;""),$S52,$R52)))</f>
        <v>2034</v>
      </c>
      <c r="H52" s="179" t="n">
        <f aca="false">$C$7</f>
        <v>100000</v>
      </c>
      <c r="I52" s="208" t="n">
        <f aca="false">VLOOKUP(LEFT(E52,1),'⑮ Cohort Engine'!$B$14:$F$18,5,FALSE())</f>
        <v>23000</v>
      </c>
      <c r="J52" s="136" t="n">
        <v>12</v>
      </c>
      <c r="K52" s="9" t="s">
        <v>701</v>
      </c>
      <c r="L52" s="41" t="s">
        <v>733</v>
      </c>
      <c r="M52" s="18" t="s">
        <v>751</v>
      </c>
      <c r="N52" s="213" t="s">
        <v>703</v>
      </c>
      <c r="O52" s="211" t="n">
        <f aca="false">IF('🎚️ Escenario'!$C$4="7 + Autofinanciado",IF($T52&lt;&gt;"",1,0),IF('🎚️ Escenario'!$C$4="Primera Ola",$P52,IF(OR(ISNUMBER(SEARCH("Dominicana",$C52)),ISNUMBER(SEARCH("Guatemala",$C52)),ISNUMBER(SEARCH("Salvador",$C52)),ISNUMBER(SEARCH("Regional",$C52))),0,1)))</f>
        <v>1</v>
      </c>
      <c r="P52" s="212" t="n">
        <v>0</v>
      </c>
      <c r="Q52" s="212"/>
      <c r="R52" s="212" t="n">
        <v>2033</v>
      </c>
      <c r="S52" s="212" t="n">
        <v>2034</v>
      </c>
      <c r="T52" s="212" t="n">
        <v>2035</v>
      </c>
    </row>
    <row r="53" customFormat="false" ht="15" hidden="false" customHeight="false" outlineLevel="0" collapsed="false">
      <c r="B53" s="63" t="n">
        <v>45</v>
      </c>
      <c r="C53" s="9" t="s">
        <v>750</v>
      </c>
      <c r="D53" s="9" t="s">
        <v>748</v>
      </c>
      <c r="E53" s="216" t="s">
        <v>694</v>
      </c>
      <c r="F53" s="136" t="n">
        <v>1</v>
      </c>
      <c r="G53" s="207" t="n">
        <f aca="false">IF(AND('🎚️ Escenario'!$C$4="7 + Autofinanciado",$T53&lt;&gt;""),$T53,IF(AND('🎚️ Escenario'!$C$4="Primera Ola",$Q53&lt;&gt;""),$Q53,IF(AND('🎚️ Escenario'!$C$4="A slow",$S53&lt;&gt;""),$S53,$R53)))</f>
        <v>2034</v>
      </c>
      <c r="H53" s="179" t="n">
        <f aca="false">$C$7</f>
        <v>100000</v>
      </c>
      <c r="I53" s="208" t="n">
        <f aca="false">VLOOKUP(LEFT(E53,1),'⑮ Cohort Engine'!$B$14:$F$18,5,FALSE())</f>
        <v>27000</v>
      </c>
      <c r="J53" s="136" t="n">
        <v>10</v>
      </c>
      <c r="K53" s="9" t="s">
        <v>701</v>
      </c>
      <c r="L53" s="41" t="s">
        <v>733</v>
      </c>
      <c r="M53" s="18" t="s">
        <v>751</v>
      </c>
      <c r="N53" s="213" t="s">
        <v>703</v>
      </c>
      <c r="O53" s="211" t="n">
        <f aca="false">IF('🎚️ Escenario'!$C$4="7 + Autofinanciado",IF($T53&lt;&gt;"",1,0),IF('🎚️ Escenario'!$C$4="Primera Ola",$P53,IF(OR(ISNUMBER(SEARCH("Dominicana",$C53)),ISNUMBER(SEARCH("Guatemala",$C53)),ISNUMBER(SEARCH("Salvador",$C53)),ISNUMBER(SEARCH("Regional",$C53))),0,1)))</f>
        <v>1</v>
      </c>
      <c r="P53" s="212" t="n">
        <v>0</v>
      </c>
      <c r="Q53" s="212"/>
      <c r="R53" s="212" t="n">
        <v>2033</v>
      </c>
      <c r="S53" s="212" t="n">
        <v>2034</v>
      </c>
      <c r="T53" s="212" t="n">
        <v>2035</v>
      </c>
    </row>
    <row r="54" customFormat="false" ht="15" hidden="false" customHeight="false" outlineLevel="0" collapsed="false">
      <c r="B54" s="63" t="n">
        <v>46</v>
      </c>
      <c r="C54" s="9" t="s">
        <v>750</v>
      </c>
      <c r="D54" s="9" t="s">
        <v>748</v>
      </c>
      <c r="E54" s="216" t="s">
        <v>694</v>
      </c>
      <c r="F54" s="136" t="n">
        <v>2</v>
      </c>
      <c r="G54" s="207" t="n">
        <f aca="false">IF(AND('🎚️ Escenario'!$C$4="7 + Autofinanciado",$T54&lt;&gt;""),$T54,IF(AND('🎚️ Escenario'!$C$4="Primera Ola",$Q54&lt;&gt;""),$Q54,IF(AND('🎚️ Escenario'!$C$4="A slow",$S54&lt;&gt;""),$S54,$R54)))</f>
        <v>2034</v>
      </c>
      <c r="H54" s="179" t="n">
        <f aca="false">$C$7</f>
        <v>100000</v>
      </c>
      <c r="I54" s="208" t="n">
        <f aca="false">VLOOKUP(LEFT(E54,1),'⑮ Cohort Engine'!$B$14:$F$18,5,FALSE())</f>
        <v>27000</v>
      </c>
      <c r="J54" s="136" t="n">
        <v>10</v>
      </c>
      <c r="K54" s="9" t="s">
        <v>701</v>
      </c>
      <c r="L54" s="41" t="s">
        <v>733</v>
      </c>
      <c r="M54" s="18" t="s">
        <v>751</v>
      </c>
      <c r="N54" s="213" t="s">
        <v>703</v>
      </c>
      <c r="O54" s="211" t="n">
        <f aca="false">IF('🎚️ Escenario'!$C$4="7 + Autofinanciado",IF($T54&lt;&gt;"",1,0),IF('🎚️ Escenario'!$C$4="Primera Ola",$P54,IF(OR(ISNUMBER(SEARCH("Dominicana",$C54)),ISNUMBER(SEARCH("Guatemala",$C54)),ISNUMBER(SEARCH("Salvador",$C54)),ISNUMBER(SEARCH("Regional",$C54))),0,1)))</f>
        <v>1</v>
      </c>
      <c r="P54" s="212" t="n">
        <v>0</v>
      </c>
      <c r="Q54" s="212"/>
      <c r="R54" s="212" t="n">
        <v>2033</v>
      </c>
      <c r="S54" s="212" t="n">
        <v>2034</v>
      </c>
      <c r="T54" s="212" t="n">
        <v>2035</v>
      </c>
    </row>
    <row r="55" customFormat="false" ht="15" hidden="false" customHeight="false" outlineLevel="0" collapsed="false">
      <c r="B55" s="63" t="n">
        <v>47</v>
      </c>
      <c r="C55" s="9" t="s">
        <v>750</v>
      </c>
      <c r="D55" s="9" t="s">
        <v>748</v>
      </c>
      <c r="E55" s="216" t="s">
        <v>684</v>
      </c>
      <c r="F55" s="136" t="n">
        <v>10</v>
      </c>
      <c r="G55" s="207" t="n">
        <f aca="false">IF(AND('🎚️ Escenario'!$C$4="7 + Autofinanciado",$T55&lt;&gt;""),$T55,IF(AND('🎚️ Escenario'!$C$4="Primera Ola",$Q55&lt;&gt;""),$Q55,IF(AND('🎚️ Escenario'!$C$4="A slow",$S55&lt;&gt;""),$S55,$R55)))</f>
        <v>2034</v>
      </c>
      <c r="H55" s="179" t="n">
        <f aca="false">$C$7</f>
        <v>100000</v>
      </c>
      <c r="I55" s="208" t="n">
        <f aca="false">VLOOKUP(LEFT(E55,1),'⑮ Cohort Engine'!$B$14:$F$18,5,FALSE())</f>
        <v>35000</v>
      </c>
      <c r="J55" s="136" t="n">
        <v>10</v>
      </c>
      <c r="K55" s="9" t="s">
        <v>701</v>
      </c>
      <c r="L55" s="41" t="s">
        <v>733</v>
      </c>
      <c r="M55" s="18" t="s">
        <v>751</v>
      </c>
      <c r="N55" s="213" t="s">
        <v>703</v>
      </c>
      <c r="O55" s="211" t="n">
        <f aca="false">IF('🎚️ Escenario'!$C$4="7 + Autofinanciado",IF($T55&lt;&gt;"",1,0),IF('🎚️ Escenario'!$C$4="Primera Ola",$P55,IF(OR(ISNUMBER(SEARCH("Dominicana",$C55)),ISNUMBER(SEARCH("Guatemala",$C55)),ISNUMBER(SEARCH("Salvador",$C55)),ISNUMBER(SEARCH("Regional",$C55))),0,1)))</f>
        <v>1</v>
      </c>
      <c r="P55" s="212" t="n">
        <v>0</v>
      </c>
      <c r="Q55" s="212"/>
      <c r="R55" s="212" t="n">
        <v>2033</v>
      </c>
      <c r="S55" s="212" t="n">
        <v>2034</v>
      </c>
      <c r="T55" s="212" t="n">
        <v>2036</v>
      </c>
    </row>
    <row r="56" customFormat="false" ht="15" hidden="false" customHeight="false" outlineLevel="0" collapsed="false">
      <c r="B56" s="63" t="n">
        <v>48</v>
      </c>
      <c r="C56" s="9" t="s">
        <v>750</v>
      </c>
      <c r="D56" s="9" t="s">
        <v>748</v>
      </c>
      <c r="E56" s="216" t="s">
        <v>694</v>
      </c>
      <c r="F56" s="136" t="n">
        <v>3</v>
      </c>
      <c r="G56" s="207" t="n">
        <f aca="false">IF(AND('🎚️ Escenario'!$C$4="7 + Autofinanciado",$T56&lt;&gt;""),$T56,IF(AND('🎚️ Escenario'!$C$4="Primera Ola",$Q56&lt;&gt;""),$Q56,IF(AND('🎚️ Escenario'!$C$4="A slow",$S56&lt;&gt;""),$S56,$R56)))</f>
        <v>2034</v>
      </c>
      <c r="H56" s="179" t="n">
        <f aca="false">$C$7</f>
        <v>100000</v>
      </c>
      <c r="I56" s="208" t="n">
        <f aca="false">VLOOKUP(LEFT(E56,1),'⑮ Cohort Engine'!$B$14:$F$18,5,FALSE())</f>
        <v>27000</v>
      </c>
      <c r="J56" s="136" t="n">
        <v>10</v>
      </c>
      <c r="K56" s="9" t="s">
        <v>701</v>
      </c>
      <c r="L56" s="41" t="s">
        <v>733</v>
      </c>
      <c r="M56" s="18" t="s">
        <v>751</v>
      </c>
      <c r="N56" s="213" t="s">
        <v>703</v>
      </c>
      <c r="O56" s="211" t="n">
        <f aca="false">IF('🎚️ Escenario'!$C$4="7 + Autofinanciado",IF($T56&lt;&gt;"",1,0),IF('🎚️ Escenario'!$C$4="Primera Ola",$P56,IF(OR(ISNUMBER(SEARCH("Dominicana",$C56)),ISNUMBER(SEARCH("Guatemala",$C56)),ISNUMBER(SEARCH("Salvador",$C56)),ISNUMBER(SEARCH("Regional",$C56))),0,1)))</f>
        <v>1</v>
      </c>
      <c r="P56" s="212" t="n">
        <v>0</v>
      </c>
      <c r="Q56" s="212"/>
      <c r="R56" s="212" t="n">
        <v>2033</v>
      </c>
      <c r="S56" s="212" t="n">
        <v>2034</v>
      </c>
      <c r="T56" s="212" t="n">
        <v>2036</v>
      </c>
    </row>
    <row r="57" customFormat="false" ht="15" hidden="false" customHeight="false" outlineLevel="0" collapsed="false">
      <c r="B57" s="63" t="n">
        <v>49</v>
      </c>
      <c r="C57" s="9" t="s">
        <v>750</v>
      </c>
      <c r="D57" s="9" t="s">
        <v>748</v>
      </c>
      <c r="E57" s="216" t="s">
        <v>745</v>
      </c>
      <c r="F57" s="136" t="n">
        <v>4</v>
      </c>
      <c r="G57" s="207" t="n">
        <f aca="false">IF(AND('🎚️ Escenario'!$C$4="7 + Autofinanciado",$T57&lt;&gt;""),$T57,IF(AND('🎚️ Escenario'!$C$4="Primera Ola",$Q57&lt;&gt;""),$Q57,IF(AND('🎚️ Escenario'!$C$4="A slow",$S57&lt;&gt;""),$S57,$R57)))</f>
        <v>2034</v>
      </c>
      <c r="H57" s="179" t="n">
        <f aca="false">$C$7</f>
        <v>100000</v>
      </c>
      <c r="I57" s="208" t="n">
        <f aca="false">VLOOKUP(LEFT(E57,1),'⑮ Cohort Engine'!$B$14:$F$18,5,FALSE())</f>
        <v>23000</v>
      </c>
      <c r="J57" s="136" t="n">
        <v>12</v>
      </c>
      <c r="K57" s="9" t="s">
        <v>701</v>
      </c>
      <c r="L57" s="41" t="s">
        <v>733</v>
      </c>
      <c r="M57" s="18" t="s">
        <v>751</v>
      </c>
      <c r="N57" s="213" t="s">
        <v>703</v>
      </c>
      <c r="O57" s="211" t="n">
        <f aca="false">IF('🎚️ Escenario'!$C$4="7 + Autofinanciado",IF($T57&lt;&gt;"",1,0),IF('🎚️ Escenario'!$C$4="Primera Ola",$P57,IF(OR(ISNUMBER(SEARCH("Dominicana",$C57)),ISNUMBER(SEARCH("Guatemala",$C57)),ISNUMBER(SEARCH("Salvador",$C57)),ISNUMBER(SEARCH("Regional",$C57))),0,1)))</f>
        <v>1</v>
      </c>
      <c r="P57" s="212" t="n">
        <v>0</v>
      </c>
      <c r="Q57" s="212"/>
      <c r="R57" s="212" t="n">
        <v>2033</v>
      </c>
      <c r="S57" s="212" t="n">
        <v>2034</v>
      </c>
      <c r="T57" s="212" t="n">
        <v>2036</v>
      </c>
    </row>
    <row r="58" customFormat="false" ht="15" hidden="false" customHeight="false" outlineLevel="0" collapsed="false">
      <c r="B58" s="63" t="n">
        <v>50</v>
      </c>
      <c r="C58" s="9" t="s">
        <v>750</v>
      </c>
      <c r="D58" s="9" t="s">
        <v>748</v>
      </c>
      <c r="E58" s="216" t="s">
        <v>684</v>
      </c>
      <c r="F58" s="136" t="n">
        <v>5</v>
      </c>
      <c r="G58" s="207" t="n">
        <f aca="false">IF(AND('🎚️ Escenario'!$C$4="7 + Autofinanciado",$T58&lt;&gt;""),$T58,IF(AND('🎚️ Escenario'!$C$4="Primera Ola",$Q58&lt;&gt;""),$Q58,IF(AND('🎚️ Escenario'!$C$4="A slow",$S58&lt;&gt;""),$S58,$R58)))</f>
        <v>2035</v>
      </c>
      <c r="H58" s="179" t="n">
        <f aca="false">$C$7</f>
        <v>100000</v>
      </c>
      <c r="I58" s="208" t="n">
        <f aca="false">VLOOKUP(LEFT(E58,1),'⑮ Cohort Engine'!$B$14:$F$18,5,FALSE())</f>
        <v>35000</v>
      </c>
      <c r="J58" s="136" t="n">
        <v>10</v>
      </c>
      <c r="K58" s="9" t="s">
        <v>701</v>
      </c>
      <c r="L58" s="41" t="s">
        <v>752</v>
      </c>
      <c r="M58" s="18" t="s">
        <v>751</v>
      </c>
      <c r="N58" s="213" t="s">
        <v>703</v>
      </c>
      <c r="O58" s="211" t="n">
        <f aca="false">IF('🎚️ Escenario'!$C$4="7 + Autofinanciado",IF($T58&lt;&gt;"",1,0),IF('🎚️ Escenario'!$C$4="Primera Ola",$P58,IF(OR(ISNUMBER(SEARCH("Dominicana",$C58)),ISNUMBER(SEARCH("Guatemala",$C58)),ISNUMBER(SEARCH("Salvador",$C58)),ISNUMBER(SEARCH("Regional",$C58))),0,1)))</f>
        <v>1</v>
      </c>
      <c r="P58" s="212" t="n">
        <v>0</v>
      </c>
      <c r="Q58" s="212"/>
      <c r="R58" s="212" t="n">
        <v>2034</v>
      </c>
      <c r="S58" s="212" t="n">
        <v>2035</v>
      </c>
      <c r="T58" s="212" t="n">
        <v>2036</v>
      </c>
    </row>
    <row r="59" customFormat="false" ht="15" hidden="false" customHeight="false" outlineLevel="0" collapsed="false">
      <c r="B59" s="63" t="n">
        <v>51</v>
      </c>
      <c r="C59" s="9" t="s">
        <v>750</v>
      </c>
      <c r="D59" s="9" t="s">
        <v>748</v>
      </c>
      <c r="E59" s="216" t="s">
        <v>694</v>
      </c>
      <c r="F59" s="136" t="n">
        <v>6</v>
      </c>
      <c r="G59" s="207" t="n">
        <f aca="false">IF(AND('🎚️ Escenario'!$C$4="7 + Autofinanciado",$T59&lt;&gt;""),$T59,IF(AND('🎚️ Escenario'!$C$4="Primera Ola",$Q59&lt;&gt;""),$Q59,IF(AND('🎚️ Escenario'!$C$4="A slow",$S59&lt;&gt;""),$S59,$R59)))</f>
        <v>2035</v>
      </c>
      <c r="H59" s="179" t="n">
        <f aca="false">$C$7</f>
        <v>100000</v>
      </c>
      <c r="I59" s="208" t="n">
        <f aca="false">VLOOKUP(LEFT(E59,1),'⑮ Cohort Engine'!$B$14:$F$18,5,FALSE())</f>
        <v>27000</v>
      </c>
      <c r="J59" s="136" t="n">
        <v>10</v>
      </c>
      <c r="K59" s="9" t="s">
        <v>701</v>
      </c>
      <c r="L59" s="41" t="s">
        <v>752</v>
      </c>
      <c r="M59" s="18" t="s">
        <v>751</v>
      </c>
      <c r="N59" s="213" t="s">
        <v>703</v>
      </c>
      <c r="O59" s="211" t="n">
        <f aca="false">IF('🎚️ Escenario'!$C$4="7 + Autofinanciado",IF($T59&lt;&gt;"",1,0),IF('🎚️ Escenario'!$C$4="Primera Ola",$P59,IF(OR(ISNUMBER(SEARCH("Dominicana",$C59)),ISNUMBER(SEARCH("Guatemala",$C59)),ISNUMBER(SEARCH("Salvador",$C59)),ISNUMBER(SEARCH("Regional",$C59))),0,1)))</f>
        <v>1</v>
      </c>
      <c r="P59" s="212" t="n">
        <v>0</v>
      </c>
      <c r="Q59" s="212"/>
      <c r="R59" s="212" t="n">
        <v>2034</v>
      </c>
      <c r="S59" s="212" t="n">
        <v>2035</v>
      </c>
      <c r="T59" s="212" t="n">
        <v>2036</v>
      </c>
    </row>
    <row r="60" customFormat="false" ht="15" hidden="false" customHeight="false" outlineLevel="0" collapsed="false">
      <c r="B60" s="63" t="n">
        <v>52</v>
      </c>
      <c r="C60" s="9" t="s">
        <v>753</v>
      </c>
      <c r="D60" s="9" t="s">
        <v>748</v>
      </c>
      <c r="E60" s="216" t="s">
        <v>694</v>
      </c>
      <c r="F60" s="136" t="n">
        <v>7</v>
      </c>
      <c r="G60" s="207" t="n">
        <f aca="false">IF(AND('🎚️ Escenario'!$C$4="7 + Autofinanciado",$T60&lt;&gt;""),$T60,IF(AND('🎚️ Escenario'!$C$4="Primera Ola",$Q60&lt;&gt;""),$Q60,IF(AND('🎚️ Escenario'!$C$4="A slow",$S60&lt;&gt;""),$S60,$R60)))</f>
        <v>2031</v>
      </c>
      <c r="H60" s="179" t="n">
        <f aca="false">$C$7</f>
        <v>100000</v>
      </c>
      <c r="I60" s="208" t="n">
        <f aca="false">VLOOKUP(LEFT(E60,1),'⑮ Cohort Engine'!$B$14:$F$18,5,FALSE())</f>
        <v>27000</v>
      </c>
      <c r="J60" s="136" t="n">
        <v>10</v>
      </c>
      <c r="K60" s="9" t="s">
        <v>701</v>
      </c>
      <c r="L60" s="41" t="s">
        <v>752</v>
      </c>
      <c r="M60" s="18" t="s">
        <v>754</v>
      </c>
      <c r="N60" s="213" t="s">
        <v>703</v>
      </c>
      <c r="O60" s="211" t="n">
        <f aca="false">IF('🎚️ Escenario'!$C$4="7 + Autofinanciado",IF($T60&lt;&gt;"",1,0),IF('🎚️ Escenario'!$C$4="Primera Ola",$P60,IF(OR(ISNUMBER(SEARCH("Dominicana",$C60)),ISNUMBER(SEARCH("Guatemala",$C60)),ISNUMBER(SEARCH("Salvador",$C60)),ISNUMBER(SEARCH("Regional",$C60))),0,1)))</f>
        <v>0</v>
      </c>
      <c r="P60" s="212" t="n">
        <v>0</v>
      </c>
      <c r="Q60" s="212"/>
      <c r="R60" s="212" t="n">
        <v>2031</v>
      </c>
      <c r="S60" s="212"/>
      <c r="T60" s="212"/>
    </row>
    <row r="61" customFormat="false" ht="15" hidden="false" customHeight="false" outlineLevel="0" collapsed="false">
      <c r="B61" s="63" t="n">
        <v>53</v>
      </c>
      <c r="C61" s="9" t="s">
        <v>753</v>
      </c>
      <c r="D61" s="9" t="s">
        <v>748</v>
      </c>
      <c r="E61" s="216" t="s">
        <v>684</v>
      </c>
      <c r="F61" s="136" t="n">
        <v>9</v>
      </c>
      <c r="G61" s="207" t="n">
        <f aca="false">IF(AND('🎚️ Escenario'!$C$4="7 + Autofinanciado",$T61&lt;&gt;""),$T61,IF(AND('🎚️ Escenario'!$C$4="Primera Ola",$Q61&lt;&gt;""),$Q61,IF(AND('🎚️ Escenario'!$C$4="A slow",$S61&lt;&gt;""),$S61,$R61)))</f>
        <v>2031</v>
      </c>
      <c r="H61" s="179" t="n">
        <f aca="false">$C$7</f>
        <v>100000</v>
      </c>
      <c r="I61" s="208" t="n">
        <f aca="false">VLOOKUP(LEFT(E61,1),'⑮ Cohort Engine'!$B$14:$F$18,5,FALSE())</f>
        <v>35000</v>
      </c>
      <c r="J61" s="136" t="n">
        <v>10</v>
      </c>
      <c r="K61" s="9" t="s">
        <v>701</v>
      </c>
      <c r="L61" s="41" t="s">
        <v>752</v>
      </c>
      <c r="M61" s="18" t="s">
        <v>754</v>
      </c>
      <c r="N61" s="213" t="s">
        <v>703</v>
      </c>
      <c r="O61" s="211" t="n">
        <f aca="false">IF('🎚️ Escenario'!$C$4="7 + Autofinanciado",IF($T61&lt;&gt;"",1,0),IF('🎚️ Escenario'!$C$4="Primera Ola",$P61,IF(OR(ISNUMBER(SEARCH("Dominicana",$C61)),ISNUMBER(SEARCH("Guatemala",$C61)),ISNUMBER(SEARCH("Salvador",$C61)),ISNUMBER(SEARCH("Regional",$C61))),0,1)))</f>
        <v>0</v>
      </c>
      <c r="P61" s="212" t="n">
        <v>0</v>
      </c>
      <c r="Q61" s="212"/>
      <c r="R61" s="212" t="n">
        <v>2031</v>
      </c>
      <c r="S61" s="212"/>
      <c r="T61" s="212"/>
    </row>
    <row r="62" customFormat="false" ht="15" hidden="false" customHeight="false" outlineLevel="0" collapsed="false">
      <c r="B62" s="63" t="n">
        <v>54</v>
      </c>
      <c r="C62" s="9" t="s">
        <v>753</v>
      </c>
      <c r="D62" s="9" t="s">
        <v>748</v>
      </c>
      <c r="E62" s="216" t="s">
        <v>694</v>
      </c>
      <c r="F62" s="136" t="n">
        <v>10</v>
      </c>
      <c r="G62" s="207" t="n">
        <f aca="false">IF(AND('🎚️ Escenario'!$C$4="7 + Autofinanciado",$T62&lt;&gt;""),$T62,IF(AND('🎚️ Escenario'!$C$4="Primera Ola",$Q62&lt;&gt;""),$Q62,IF(AND('🎚️ Escenario'!$C$4="A slow",$S62&lt;&gt;""),$S62,$R62)))</f>
        <v>2031</v>
      </c>
      <c r="H62" s="179" t="n">
        <f aca="false">$C$7</f>
        <v>100000</v>
      </c>
      <c r="I62" s="208" t="n">
        <f aca="false">VLOOKUP(LEFT(E62,1),'⑮ Cohort Engine'!$B$14:$F$18,5,FALSE())</f>
        <v>27000</v>
      </c>
      <c r="J62" s="136" t="n">
        <v>10</v>
      </c>
      <c r="K62" s="9" t="s">
        <v>701</v>
      </c>
      <c r="L62" s="41" t="s">
        <v>752</v>
      </c>
      <c r="M62" s="18" t="s">
        <v>754</v>
      </c>
      <c r="N62" s="213" t="s">
        <v>703</v>
      </c>
      <c r="O62" s="211" t="n">
        <f aca="false">IF('🎚️ Escenario'!$C$4="7 + Autofinanciado",IF($T62&lt;&gt;"",1,0),IF('🎚️ Escenario'!$C$4="Primera Ola",$P62,IF(OR(ISNUMBER(SEARCH("Dominicana",$C62)),ISNUMBER(SEARCH("Guatemala",$C62)),ISNUMBER(SEARCH("Salvador",$C62)),ISNUMBER(SEARCH("Regional",$C62))),0,1)))</f>
        <v>0</v>
      </c>
      <c r="P62" s="212" t="n">
        <v>0</v>
      </c>
      <c r="Q62" s="212"/>
      <c r="R62" s="212" t="n">
        <v>2031</v>
      </c>
      <c r="S62" s="212"/>
      <c r="T62" s="212"/>
    </row>
    <row r="63" customFormat="false" ht="15" hidden="false" customHeight="false" outlineLevel="0" collapsed="false">
      <c r="B63" s="63" t="n">
        <v>55</v>
      </c>
      <c r="C63" s="9" t="s">
        <v>753</v>
      </c>
      <c r="D63" s="9" t="s">
        <v>748</v>
      </c>
      <c r="E63" s="216" t="s">
        <v>694</v>
      </c>
      <c r="F63" s="136" t="n">
        <v>1</v>
      </c>
      <c r="G63" s="207" t="n">
        <f aca="false">IF(AND('🎚️ Escenario'!$C$4="7 + Autofinanciado",$T63&lt;&gt;""),$T63,IF(AND('🎚️ Escenario'!$C$4="Primera Ola",$Q63&lt;&gt;""),$Q63,IF(AND('🎚️ Escenario'!$C$4="A slow",$S63&lt;&gt;""),$S63,$R63)))</f>
        <v>2032</v>
      </c>
      <c r="H63" s="179" t="n">
        <f aca="false">$C$7</f>
        <v>100000</v>
      </c>
      <c r="I63" s="208" t="n">
        <f aca="false">VLOOKUP(LEFT(E63,1),'⑮ Cohort Engine'!$B$14:$F$18,5,FALSE())</f>
        <v>27000</v>
      </c>
      <c r="J63" s="136" t="n">
        <v>10</v>
      </c>
      <c r="K63" s="9" t="s">
        <v>701</v>
      </c>
      <c r="L63" s="41" t="s">
        <v>752</v>
      </c>
      <c r="M63" s="18" t="s">
        <v>754</v>
      </c>
      <c r="N63" s="213" t="s">
        <v>703</v>
      </c>
      <c r="O63" s="211" t="n">
        <f aca="false">IF('🎚️ Escenario'!$C$4="7 + Autofinanciado",IF($T63&lt;&gt;"",1,0),IF('🎚️ Escenario'!$C$4="Primera Ola",$P63,IF(OR(ISNUMBER(SEARCH("Dominicana",$C63)),ISNUMBER(SEARCH("Guatemala",$C63)),ISNUMBER(SEARCH("Salvador",$C63)),ISNUMBER(SEARCH("Regional",$C63))),0,1)))</f>
        <v>0</v>
      </c>
      <c r="P63" s="212" t="n">
        <v>0</v>
      </c>
      <c r="Q63" s="212"/>
      <c r="R63" s="212" t="n">
        <v>2032</v>
      </c>
      <c r="S63" s="212"/>
      <c r="T63" s="212"/>
    </row>
    <row r="64" customFormat="false" ht="15" hidden="false" customHeight="false" outlineLevel="0" collapsed="false">
      <c r="B64" s="63" t="n">
        <v>56</v>
      </c>
      <c r="C64" s="9" t="s">
        <v>753</v>
      </c>
      <c r="D64" s="9" t="s">
        <v>748</v>
      </c>
      <c r="E64" s="216" t="s">
        <v>684</v>
      </c>
      <c r="F64" s="136" t="n">
        <v>2</v>
      </c>
      <c r="G64" s="207" t="n">
        <f aca="false">IF(AND('🎚️ Escenario'!$C$4="7 + Autofinanciado",$T64&lt;&gt;""),$T64,IF(AND('🎚️ Escenario'!$C$4="Primera Ola",$Q64&lt;&gt;""),$Q64,IF(AND('🎚️ Escenario'!$C$4="A slow",$S64&lt;&gt;""),$S64,$R64)))</f>
        <v>2032</v>
      </c>
      <c r="H64" s="179" t="n">
        <f aca="false">$C$7</f>
        <v>100000</v>
      </c>
      <c r="I64" s="208" t="n">
        <f aca="false">VLOOKUP(LEFT(E64,1),'⑮ Cohort Engine'!$B$14:$F$18,5,FALSE())</f>
        <v>35000</v>
      </c>
      <c r="J64" s="136" t="n">
        <v>10</v>
      </c>
      <c r="K64" s="9" t="s">
        <v>701</v>
      </c>
      <c r="L64" s="41" t="s">
        <v>752</v>
      </c>
      <c r="M64" s="18" t="s">
        <v>754</v>
      </c>
      <c r="N64" s="213" t="s">
        <v>703</v>
      </c>
      <c r="O64" s="211" t="n">
        <f aca="false">IF('🎚️ Escenario'!$C$4="7 + Autofinanciado",IF($T64&lt;&gt;"",1,0),IF('🎚️ Escenario'!$C$4="Primera Ola",$P64,IF(OR(ISNUMBER(SEARCH("Dominicana",$C64)),ISNUMBER(SEARCH("Guatemala",$C64)),ISNUMBER(SEARCH("Salvador",$C64)),ISNUMBER(SEARCH("Regional",$C64))),0,1)))</f>
        <v>0</v>
      </c>
      <c r="P64" s="212" t="n">
        <v>0</v>
      </c>
      <c r="Q64" s="212"/>
      <c r="R64" s="212" t="n">
        <v>2032</v>
      </c>
      <c r="S64" s="212"/>
      <c r="T64" s="212"/>
    </row>
    <row r="65" customFormat="false" ht="15" hidden="false" customHeight="false" outlineLevel="0" collapsed="false">
      <c r="B65" s="63" t="n">
        <v>57</v>
      </c>
      <c r="C65" s="9" t="s">
        <v>753</v>
      </c>
      <c r="D65" s="9" t="s">
        <v>748</v>
      </c>
      <c r="E65" s="216" t="s">
        <v>694</v>
      </c>
      <c r="F65" s="136" t="n">
        <v>3</v>
      </c>
      <c r="G65" s="207" t="n">
        <f aca="false">IF(AND('🎚️ Escenario'!$C$4="7 + Autofinanciado",$T65&lt;&gt;""),$T65,IF(AND('🎚️ Escenario'!$C$4="Primera Ola",$Q65&lt;&gt;""),$Q65,IF(AND('🎚️ Escenario'!$C$4="A slow",$S65&lt;&gt;""),$S65,$R65)))</f>
        <v>2032</v>
      </c>
      <c r="H65" s="179" t="n">
        <f aca="false">$C$7</f>
        <v>100000</v>
      </c>
      <c r="I65" s="208" t="n">
        <f aca="false">VLOOKUP(LEFT(E65,1),'⑮ Cohort Engine'!$B$14:$F$18,5,FALSE())</f>
        <v>27000</v>
      </c>
      <c r="J65" s="136" t="n">
        <v>10</v>
      </c>
      <c r="K65" s="9" t="s">
        <v>701</v>
      </c>
      <c r="L65" s="41" t="s">
        <v>752</v>
      </c>
      <c r="M65" s="18" t="s">
        <v>754</v>
      </c>
      <c r="N65" s="213" t="s">
        <v>703</v>
      </c>
      <c r="O65" s="211" t="n">
        <f aca="false">IF('🎚️ Escenario'!$C$4="7 + Autofinanciado",IF($T65&lt;&gt;"",1,0),IF('🎚️ Escenario'!$C$4="Primera Ola",$P65,IF(OR(ISNUMBER(SEARCH("Dominicana",$C65)),ISNUMBER(SEARCH("Guatemala",$C65)),ISNUMBER(SEARCH("Salvador",$C65)),ISNUMBER(SEARCH("Regional",$C65))),0,1)))</f>
        <v>0</v>
      </c>
      <c r="P65" s="212" t="n">
        <v>0</v>
      </c>
      <c r="Q65" s="212"/>
      <c r="R65" s="212" t="n">
        <v>2032</v>
      </c>
      <c r="S65" s="212"/>
      <c r="T65" s="212"/>
    </row>
    <row r="66" customFormat="false" ht="15" hidden="false" customHeight="false" outlineLevel="0" collapsed="false">
      <c r="B66" s="63" t="n">
        <v>58</v>
      </c>
      <c r="C66" s="9" t="s">
        <v>753</v>
      </c>
      <c r="D66" s="9" t="s">
        <v>748</v>
      </c>
      <c r="E66" s="216" t="s">
        <v>694</v>
      </c>
      <c r="F66" s="136" t="n">
        <v>4</v>
      </c>
      <c r="G66" s="207" t="n">
        <f aca="false">IF(AND('🎚️ Escenario'!$C$4="7 + Autofinanciado",$T66&lt;&gt;""),$T66,IF(AND('🎚️ Escenario'!$C$4="Primera Ola",$Q66&lt;&gt;""),$Q66,IF(AND('🎚️ Escenario'!$C$4="A slow",$S66&lt;&gt;""),$S66,$R66)))</f>
        <v>2032</v>
      </c>
      <c r="H66" s="179" t="n">
        <f aca="false">$C$7</f>
        <v>100000</v>
      </c>
      <c r="I66" s="208" t="n">
        <f aca="false">VLOOKUP(LEFT(E66,1),'⑮ Cohort Engine'!$B$14:$F$18,5,FALSE())</f>
        <v>27000</v>
      </c>
      <c r="J66" s="136" t="n">
        <v>10</v>
      </c>
      <c r="K66" s="9" t="s">
        <v>701</v>
      </c>
      <c r="L66" s="41" t="s">
        <v>752</v>
      </c>
      <c r="M66" s="18" t="s">
        <v>754</v>
      </c>
      <c r="N66" s="213" t="s">
        <v>703</v>
      </c>
      <c r="O66" s="211" t="n">
        <f aca="false">IF('🎚️ Escenario'!$C$4="7 + Autofinanciado",IF($T66&lt;&gt;"",1,0),IF('🎚️ Escenario'!$C$4="Primera Ola",$P66,IF(OR(ISNUMBER(SEARCH("Dominicana",$C66)),ISNUMBER(SEARCH("Guatemala",$C66)),ISNUMBER(SEARCH("Salvador",$C66)),ISNUMBER(SEARCH("Regional",$C66))),0,1)))</f>
        <v>0</v>
      </c>
      <c r="P66" s="212" t="n">
        <v>0</v>
      </c>
      <c r="Q66" s="212"/>
      <c r="R66" s="212" t="n">
        <v>2032</v>
      </c>
      <c r="S66" s="212"/>
      <c r="T66" s="212"/>
    </row>
    <row r="67" customFormat="false" ht="15" hidden="false" customHeight="false" outlineLevel="0" collapsed="false">
      <c r="B67" s="63" t="n">
        <v>59</v>
      </c>
      <c r="C67" s="9" t="s">
        <v>753</v>
      </c>
      <c r="D67" s="9" t="s">
        <v>748</v>
      </c>
      <c r="E67" s="216" t="s">
        <v>684</v>
      </c>
      <c r="F67" s="136" t="n">
        <v>8</v>
      </c>
      <c r="G67" s="207" t="n">
        <f aca="false">IF(AND('🎚️ Escenario'!$C$4="7 + Autofinanciado",$T67&lt;&gt;""),$T67,IF(AND('🎚️ Escenario'!$C$4="Primera Ola",$Q67&lt;&gt;""),$Q67,IF(AND('🎚️ Escenario'!$C$4="A slow",$S67&lt;&gt;""),$S67,$R67)))</f>
        <v>2031</v>
      </c>
      <c r="H67" s="179" t="n">
        <f aca="false">$C$7</f>
        <v>100000</v>
      </c>
      <c r="I67" s="208" t="n">
        <f aca="false">VLOOKUP(LEFT(E67,1),'⑮ Cohort Engine'!$B$14:$F$18,5,FALSE())</f>
        <v>35000</v>
      </c>
      <c r="J67" s="136" t="n">
        <v>10</v>
      </c>
      <c r="K67" s="9" t="s">
        <v>701</v>
      </c>
      <c r="L67" s="41" t="s">
        <v>752</v>
      </c>
      <c r="M67" s="18" t="s">
        <v>754</v>
      </c>
      <c r="N67" s="213" t="s">
        <v>703</v>
      </c>
      <c r="O67" s="211" t="n">
        <f aca="false">IF('🎚️ Escenario'!$C$4="7 + Autofinanciado",IF($T67&lt;&gt;"",1,0),IF('🎚️ Escenario'!$C$4="Primera Ola",$P67,IF(OR(ISNUMBER(SEARCH("Dominicana",$C67)),ISNUMBER(SEARCH("Guatemala",$C67)),ISNUMBER(SEARCH("Salvador",$C67)),ISNUMBER(SEARCH("Regional",$C67))),0,1)))</f>
        <v>0</v>
      </c>
      <c r="P67" s="212" t="n">
        <v>0</v>
      </c>
      <c r="Q67" s="212"/>
      <c r="R67" s="212" t="n">
        <v>2031</v>
      </c>
      <c r="S67" s="212"/>
      <c r="T67" s="212"/>
    </row>
    <row r="68" customFormat="false" ht="15" hidden="false" customHeight="false" outlineLevel="0" collapsed="false">
      <c r="B68" s="63" t="n">
        <v>60</v>
      </c>
      <c r="C68" s="9" t="s">
        <v>755</v>
      </c>
      <c r="D68" s="9" t="s">
        <v>748</v>
      </c>
      <c r="E68" s="216" t="s">
        <v>694</v>
      </c>
      <c r="F68" s="136" t="n">
        <v>12</v>
      </c>
      <c r="G68" s="207" t="n">
        <f aca="false">IF(AND('🎚️ Escenario'!$C$4="7 + Autofinanciado",$T68&lt;&gt;""),$T68,IF(AND('🎚️ Escenario'!$C$4="Primera Ola",$Q68&lt;&gt;""),$Q68,IF(AND('🎚️ Escenario'!$C$4="A slow",$S68&lt;&gt;""),$S68,$R68)))</f>
        <v>2031</v>
      </c>
      <c r="H68" s="179" t="n">
        <f aca="false">$C$7</f>
        <v>100000</v>
      </c>
      <c r="I68" s="208" t="n">
        <f aca="false">VLOOKUP(LEFT(E68,1),'⑮ Cohort Engine'!$B$14:$F$18,5,FALSE())</f>
        <v>27000</v>
      </c>
      <c r="J68" s="136" t="n">
        <v>10</v>
      </c>
      <c r="K68" s="9" t="s">
        <v>701</v>
      </c>
      <c r="L68" s="41" t="s">
        <v>752</v>
      </c>
      <c r="M68" s="18" t="s">
        <v>756</v>
      </c>
      <c r="N68" s="213" t="s">
        <v>703</v>
      </c>
      <c r="O68" s="211" t="n">
        <f aca="false">IF('🎚️ Escenario'!$C$4="7 + Autofinanciado",IF($T68&lt;&gt;"",1,0),IF('🎚️ Escenario'!$C$4="Primera Ola",$P68,IF(OR(ISNUMBER(SEARCH("Dominicana",$C68)),ISNUMBER(SEARCH("Guatemala",$C68)),ISNUMBER(SEARCH("Salvador",$C68)),ISNUMBER(SEARCH("Regional",$C68))),0,1)))</f>
        <v>0</v>
      </c>
      <c r="P68" s="212" t="n">
        <v>0</v>
      </c>
      <c r="Q68" s="212"/>
      <c r="R68" s="212" t="n">
        <v>2031</v>
      </c>
      <c r="S68" s="212"/>
      <c r="T68" s="212"/>
    </row>
    <row r="69" customFormat="false" ht="15" hidden="false" customHeight="false" outlineLevel="0" collapsed="false">
      <c r="B69" s="63" t="n">
        <v>61</v>
      </c>
      <c r="C69" s="9" t="s">
        <v>755</v>
      </c>
      <c r="D69" s="9" t="s">
        <v>748</v>
      </c>
      <c r="E69" s="216" t="s">
        <v>684</v>
      </c>
      <c r="F69" s="136" t="n">
        <v>11</v>
      </c>
      <c r="G69" s="207" t="n">
        <f aca="false">IF(AND('🎚️ Escenario'!$C$4="7 + Autofinanciado",$T69&lt;&gt;""),$T69,IF(AND('🎚️ Escenario'!$C$4="Primera Ola",$Q69&lt;&gt;""),$Q69,IF(AND('🎚️ Escenario'!$C$4="A slow",$S69&lt;&gt;""),$S69,$R69)))</f>
        <v>2031</v>
      </c>
      <c r="H69" s="179" t="n">
        <f aca="false">$C$7</f>
        <v>100000</v>
      </c>
      <c r="I69" s="208" t="n">
        <f aca="false">VLOOKUP(LEFT(E69,1),'⑮ Cohort Engine'!$B$14:$F$18,5,FALSE())</f>
        <v>35000</v>
      </c>
      <c r="J69" s="136" t="n">
        <v>10</v>
      </c>
      <c r="K69" s="9" t="s">
        <v>701</v>
      </c>
      <c r="L69" s="41" t="s">
        <v>752</v>
      </c>
      <c r="M69" s="18" t="s">
        <v>756</v>
      </c>
      <c r="N69" s="213" t="s">
        <v>703</v>
      </c>
      <c r="O69" s="211" t="n">
        <f aca="false">IF('🎚️ Escenario'!$C$4="7 + Autofinanciado",IF($T69&lt;&gt;"",1,0),IF('🎚️ Escenario'!$C$4="Primera Ola",$P69,IF(OR(ISNUMBER(SEARCH("Dominicana",$C69)),ISNUMBER(SEARCH("Guatemala",$C69)),ISNUMBER(SEARCH("Salvador",$C69)),ISNUMBER(SEARCH("Regional",$C69))),0,1)))</f>
        <v>0</v>
      </c>
      <c r="P69" s="212" t="n">
        <v>0</v>
      </c>
      <c r="Q69" s="212"/>
      <c r="R69" s="212" t="n">
        <v>2031</v>
      </c>
      <c r="S69" s="212"/>
      <c r="T69" s="212"/>
    </row>
    <row r="70" customFormat="false" ht="15" hidden="false" customHeight="false" outlineLevel="0" collapsed="false">
      <c r="B70" s="63" t="n">
        <v>62</v>
      </c>
      <c r="C70" s="9" t="s">
        <v>755</v>
      </c>
      <c r="D70" s="9" t="s">
        <v>748</v>
      </c>
      <c r="E70" s="216" t="s">
        <v>694</v>
      </c>
      <c r="F70" s="136" t="n">
        <v>6</v>
      </c>
      <c r="G70" s="207" t="n">
        <f aca="false">IF(AND('🎚️ Escenario'!$C$4="7 + Autofinanciado",$T70&lt;&gt;""),$T70,IF(AND('🎚️ Escenario'!$C$4="Primera Ola",$Q70&lt;&gt;""),$Q70,IF(AND('🎚️ Escenario'!$C$4="A slow",$S70&lt;&gt;""),$S70,$R70)))</f>
        <v>2032</v>
      </c>
      <c r="H70" s="179" t="n">
        <f aca="false">$C$7</f>
        <v>100000</v>
      </c>
      <c r="I70" s="208" t="n">
        <f aca="false">VLOOKUP(LEFT(E70,1),'⑮ Cohort Engine'!$B$14:$F$18,5,FALSE())</f>
        <v>27000</v>
      </c>
      <c r="J70" s="136" t="n">
        <v>10</v>
      </c>
      <c r="K70" s="9" t="s">
        <v>701</v>
      </c>
      <c r="L70" s="41" t="s">
        <v>752</v>
      </c>
      <c r="M70" s="18" t="s">
        <v>756</v>
      </c>
      <c r="N70" s="213" t="s">
        <v>703</v>
      </c>
      <c r="O70" s="211" t="n">
        <f aca="false">IF('🎚️ Escenario'!$C$4="7 + Autofinanciado",IF($T70&lt;&gt;"",1,0),IF('🎚️ Escenario'!$C$4="Primera Ola",$P70,IF(OR(ISNUMBER(SEARCH("Dominicana",$C70)),ISNUMBER(SEARCH("Guatemala",$C70)),ISNUMBER(SEARCH("Salvador",$C70)),ISNUMBER(SEARCH("Regional",$C70))),0,1)))</f>
        <v>0</v>
      </c>
      <c r="P70" s="212" t="n">
        <v>0</v>
      </c>
      <c r="Q70" s="212"/>
      <c r="R70" s="212" t="n">
        <v>2032</v>
      </c>
      <c r="S70" s="212"/>
      <c r="T70" s="212"/>
    </row>
    <row r="71" customFormat="false" ht="15" hidden="false" customHeight="false" outlineLevel="0" collapsed="false">
      <c r="B71" s="63" t="n">
        <v>63</v>
      </c>
      <c r="C71" s="9" t="s">
        <v>757</v>
      </c>
      <c r="D71" s="9" t="s">
        <v>748</v>
      </c>
      <c r="E71" s="216" t="s">
        <v>684</v>
      </c>
      <c r="F71" s="136" t="n">
        <v>5</v>
      </c>
      <c r="G71" s="207" t="n">
        <f aca="false">IF(AND('🎚️ Escenario'!$C$4="7 + Autofinanciado",$T71&lt;&gt;""),$T71,IF(AND('🎚️ Escenario'!$C$4="Primera Ola",$Q71&lt;&gt;""),$Q71,IF(AND('🎚️ Escenario'!$C$4="A slow",$S71&lt;&gt;""),$S71,$R71)))</f>
        <v>2032</v>
      </c>
      <c r="H71" s="179" t="n">
        <f aca="false">$C$7</f>
        <v>100000</v>
      </c>
      <c r="I71" s="208" t="n">
        <f aca="false">VLOOKUP(LEFT(E71,1),'⑮ Cohort Engine'!$B$14:$F$18,5,FALSE())</f>
        <v>35000</v>
      </c>
      <c r="J71" s="136" t="n">
        <v>10</v>
      </c>
      <c r="K71" s="9" t="s">
        <v>701</v>
      </c>
      <c r="L71" s="41" t="s">
        <v>752</v>
      </c>
      <c r="M71" s="18" t="s">
        <v>758</v>
      </c>
      <c r="N71" s="213" t="s">
        <v>703</v>
      </c>
      <c r="O71" s="211" t="n">
        <f aca="false">IF('🎚️ Escenario'!$C$4="7 + Autofinanciado",IF($T71&lt;&gt;"",1,0),IF('🎚️ Escenario'!$C$4="Primera Ola",$P71,IF(OR(ISNUMBER(SEARCH("Dominicana",$C71)),ISNUMBER(SEARCH("Guatemala",$C71)),ISNUMBER(SEARCH("Salvador",$C71)),ISNUMBER(SEARCH("Regional",$C71))),0,1)))</f>
        <v>0</v>
      </c>
      <c r="P71" s="212" t="n">
        <v>0</v>
      </c>
      <c r="Q71" s="212"/>
      <c r="R71" s="212" t="n">
        <v>2032</v>
      </c>
      <c r="S71" s="212"/>
      <c r="T71" s="212"/>
    </row>
    <row r="72" customFormat="false" ht="15" hidden="false" customHeight="false" outlineLevel="0" collapsed="false">
      <c r="B72" s="63" t="n">
        <v>64</v>
      </c>
      <c r="C72" s="9" t="s">
        <v>757</v>
      </c>
      <c r="D72" s="9" t="s">
        <v>748</v>
      </c>
      <c r="E72" s="216" t="s">
        <v>694</v>
      </c>
      <c r="F72" s="136" t="n">
        <v>7</v>
      </c>
      <c r="G72" s="207" t="n">
        <f aca="false">IF(AND('🎚️ Escenario'!$C$4="7 + Autofinanciado",$T72&lt;&gt;""),$T72,IF(AND('🎚️ Escenario'!$C$4="Primera Ola",$Q72&lt;&gt;""),$Q72,IF(AND('🎚️ Escenario'!$C$4="A slow",$S72&lt;&gt;""),$S72,$R72)))</f>
        <v>2032</v>
      </c>
      <c r="H72" s="179" t="n">
        <f aca="false">$C$7</f>
        <v>100000</v>
      </c>
      <c r="I72" s="208" t="n">
        <f aca="false">VLOOKUP(LEFT(E72,1),'⑮ Cohort Engine'!$B$14:$F$18,5,FALSE())</f>
        <v>27000</v>
      </c>
      <c r="J72" s="136" t="n">
        <v>10</v>
      </c>
      <c r="K72" s="9" t="s">
        <v>701</v>
      </c>
      <c r="L72" s="41" t="s">
        <v>752</v>
      </c>
      <c r="M72" s="18" t="s">
        <v>758</v>
      </c>
      <c r="N72" s="213" t="s">
        <v>703</v>
      </c>
      <c r="O72" s="211" t="n">
        <f aca="false">IF('🎚️ Escenario'!$C$4="7 + Autofinanciado",IF($T72&lt;&gt;"",1,0),IF('🎚️ Escenario'!$C$4="Primera Ola",$P72,IF(OR(ISNUMBER(SEARCH("Dominicana",$C72)),ISNUMBER(SEARCH("Guatemala",$C72)),ISNUMBER(SEARCH("Salvador",$C72)),ISNUMBER(SEARCH("Regional",$C72))),0,1)))</f>
        <v>0</v>
      </c>
      <c r="P72" s="212" t="n">
        <v>0</v>
      </c>
      <c r="Q72" s="212"/>
      <c r="R72" s="212" t="n">
        <v>2032</v>
      </c>
      <c r="S72" s="212"/>
      <c r="T72" s="212"/>
    </row>
    <row r="73" customFormat="false" ht="15" hidden="false" customHeight="false" outlineLevel="0" collapsed="false">
      <c r="B73" s="63" t="n">
        <v>65</v>
      </c>
      <c r="C73" s="9" t="s">
        <v>747</v>
      </c>
      <c r="D73" s="9" t="s">
        <v>748</v>
      </c>
      <c r="E73" s="216" t="s">
        <v>694</v>
      </c>
      <c r="F73" s="136" t="n">
        <v>1</v>
      </c>
      <c r="G73" s="207" t="n">
        <f aca="false">IF(AND('🎚️ Escenario'!$C$4="7 + Autofinanciado",$T73&lt;&gt;""),$T73,IF(AND('🎚️ Escenario'!$C$4="Primera Ola",$Q73&lt;&gt;""),$Q73,IF(AND('🎚️ Escenario'!$C$4="A slow",$S73&lt;&gt;""),$S73,$R73)))</f>
        <v>2031</v>
      </c>
      <c r="H73" s="179" t="n">
        <f aca="false">$C$7</f>
        <v>100000</v>
      </c>
      <c r="I73" s="208" t="n">
        <f aca="false">VLOOKUP(LEFT(E73,1),'⑮ Cohort Engine'!$B$14:$F$18,5,FALSE())</f>
        <v>27000</v>
      </c>
      <c r="J73" s="136" t="n">
        <v>10</v>
      </c>
      <c r="K73" s="9" t="s">
        <v>701</v>
      </c>
      <c r="L73" s="41" t="s">
        <v>759</v>
      </c>
      <c r="M73" s="18" t="s">
        <v>760</v>
      </c>
      <c r="N73" s="213" t="s">
        <v>703</v>
      </c>
      <c r="O73" s="211" t="n">
        <f aca="false">IF('🎚️ Escenario'!$C$4="7 + Autofinanciado",IF($T73&lt;&gt;"",1,0),IF('🎚️ Escenario'!$C$4="Primera Ola",$P73,IF(OR(ISNUMBER(SEARCH("Dominicana",$C73)),ISNUMBER(SEARCH("Guatemala",$C73)),ISNUMBER(SEARCH("Salvador",$C73)),ISNUMBER(SEARCH("Regional",$C73))),0,1)))</f>
        <v>1</v>
      </c>
      <c r="P73" s="212" t="n">
        <v>0</v>
      </c>
      <c r="Q73" s="212"/>
      <c r="R73" s="212" t="n">
        <v>2030</v>
      </c>
      <c r="S73" s="212" t="n">
        <v>2031</v>
      </c>
      <c r="T73" s="212" t="n">
        <v>2032</v>
      </c>
    </row>
    <row r="74" customFormat="false" ht="15" hidden="false" customHeight="false" outlineLevel="0" collapsed="false">
      <c r="B74" s="63" t="n">
        <v>66</v>
      </c>
      <c r="C74" s="9" t="s">
        <v>747</v>
      </c>
      <c r="D74" s="9" t="s">
        <v>748</v>
      </c>
      <c r="E74" s="216" t="s">
        <v>745</v>
      </c>
      <c r="F74" s="136" t="n">
        <v>2</v>
      </c>
      <c r="G74" s="207" t="n">
        <f aca="false">IF(AND('🎚️ Escenario'!$C$4="7 + Autofinanciado",$T74&lt;&gt;""),$T74,IF(AND('🎚️ Escenario'!$C$4="Primera Ola",$Q74&lt;&gt;""),$Q74,IF(AND('🎚️ Escenario'!$C$4="A slow",$S74&lt;&gt;""),$S74,$R74)))</f>
        <v>2031</v>
      </c>
      <c r="H74" s="179" t="n">
        <f aca="false">$C$7</f>
        <v>100000</v>
      </c>
      <c r="I74" s="208" t="n">
        <f aca="false">VLOOKUP(LEFT(E74,1),'⑮ Cohort Engine'!$B$14:$F$18,5,FALSE())</f>
        <v>23000</v>
      </c>
      <c r="J74" s="136" t="n">
        <v>12</v>
      </c>
      <c r="K74" s="9" t="s">
        <v>701</v>
      </c>
      <c r="L74" s="41" t="s">
        <v>759</v>
      </c>
      <c r="M74" s="18" t="s">
        <v>760</v>
      </c>
      <c r="N74" s="213" t="s">
        <v>703</v>
      </c>
      <c r="O74" s="211" t="n">
        <f aca="false">IF('🎚️ Escenario'!$C$4="7 + Autofinanciado",IF($T74&lt;&gt;"",1,0),IF('🎚️ Escenario'!$C$4="Primera Ola",$P74,IF(OR(ISNUMBER(SEARCH("Dominicana",$C74)),ISNUMBER(SEARCH("Guatemala",$C74)),ISNUMBER(SEARCH("Salvador",$C74)),ISNUMBER(SEARCH("Regional",$C74))),0,1)))</f>
        <v>1</v>
      </c>
      <c r="P74" s="212" t="n">
        <v>0</v>
      </c>
      <c r="Q74" s="212"/>
      <c r="R74" s="212" t="n">
        <v>2030</v>
      </c>
      <c r="S74" s="212" t="n">
        <v>2031</v>
      </c>
      <c r="T74" s="212" t="n">
        <v>2032</v>
      </c>
    </row>
    <row r="75" customFormat="false" ht="15" hidden="false" customHeight="false" outlineLevel="0" collapsed="false">
      <c r="B75" s="63" t="n">
        <v>67</v>
      </c>
      <c r="C75" s="9" t="s">
        <v>747</v>
      </c>
      <c r="D75" s="9" t="s">
        <v>748</v>
      </c>
      <c r="E75" s="216" t="s">
        <v>694</v>
      </c>
      <c r="F75" s="136" t="n">
        <v>3</v>
      </c>
      <c r="G75" s="207" t="n">
        <f aca="false">IF(AND('🎚️ Escenario'!$C$4="7 + Autofinanciado",$T75&lt;&gt;""),$T75,IF(AND('🎚️ Escenario'!$C$4="Primera Ola",$Q75&lt;&gt;""),$Q75,IF(AND('🎚️ Escenario'!$C$4="A slow",$S75&lt;&gt;""),$S75,$R75)))</f>
        <v>2031</v>
      </c>
      <c r="H75" s="179" t="n">
        <f aca="false">$C$7</f>
        <v>100000</v>
      </c>
      <c r="I75" s="208" t="n">
        <f aca="false">VLOOKUP(LEFT(E75,1),'⑮ Cohort Engine'!$B$14:$F$18,5,FALSE())</f>
        <v>27000</v>
      </c>
      <c r="J75" s="136" t="n">
        <v>10</v>
      </c>
      <c r="K75" s="9" t="s">
        <v>701</v>
      </c>
      <c r="L75" s="41" t="s">
        <v>759</v>
      </c>
      <c r="M75" s="18" t="s">
        <v>760</v>
      </c>
      <c r="N75" s="213" t="s">
        <v>703</v>
      </c>
      <c r="O75" s="211" t="n">
        <f aca="false">IF('🎚️ Escenario'!$C$4="7 + Autofinanciado",IF($T75&lt;&gt;"",1,0),IF('🎚️ Escenario'!$C$4="Primera Ola",$P75,IF(OR(ISNUMBER(SEARCH("Dominicana",$C75)),ISNUMBER(SEARCH("Guatemala",$C75)),ISNUMBER(SEARCH("Salvador",$C75)),ISNUMBER(SEARCH("Regional",$C75))),0,1)))</f>
        <v>1</v>
      </c>
      <c r="P75" s="212" t="n">
        <v>0</v>
      </c>
      <c r="Q75" s="212"/>
      <c r="R75" s="212" t="n">
        <v>2030</v>
      </c>
      <c r="S75" s="212" t="n">
        <v>2031</v>
      </c>
      <c r="T75" s="212" t="n">
        <v>2033</v>
      </c>
    </row>
    <row r="76" customFormat="false" ht="15" hidden="false" customHeight="false" outlineLevel="0" collapsed="false">
      <c r="B76" s="63" t="n">
        <v>68</v>
      </c>
      <c r="C76" s="9" t="s">
        <v>747</v>
      </c>
      <c r="D76" s="9" t="s">
        <v>748</v>
      </c>
      <c r="E76" s="216" t="s">
        <v>684</v>
      </c>
      <c r="F76" s="136" t="n">
        <v>4</v>
      </c>
      <c r="G76" s="207" t="n">
        <f aca="false">IF(AND('🎚️ Escenario'!$C$4="7 + Autofinanciado",$T76&lt;&gt;""),$T76,IF(AND('🎚️ Escenario'!$C$4="Primera Ola",$Q76&lt;&gt;""),$Q76,IF(AND('🎚️ Escenario'!$C$4="A slow",$S76&lt;&gt;""),$S76,$R76)))</f>
        <v>2031</v>
      </c>
      <c r="H76" s="179" t="n">
        <f aca="false">$C$7</f>
        <v>100000</v>
      </c>
      <c r="I76" s="208" t="n">
        <f aca="false">VLOOKUP(LEFT(E76,1),'⑮ Cohort Engine'!$B$14:$F$18,5,FALSE())</f>
        <v>35000</v>
      </c>
      <c r="J76" s="136" t="n">
        <v>12</v>
      </c>
      <c r="K76" s="9" t="s">
        <v>701</v>
      </c>
      <c r="L76" s="41" t="s">
        <v>759</v>
      </c>
      <c r="M76" s="18" t="s">
        <v>760</v>
      </c>
      <c r="N76" s="213" t="s">
        <v>703</v>
      </c>
      <c r="O76" s="211" t="n">
        <f aca="false">IF('🎚️ Escenario'!$C$4="7 + Autofinanciado",IF($T76&lt;&gt;"",1,0),IF('🎚️ Escenario'!$C$4="Primera Ola",$P76,IF(OR(ISNUMBER(SEARCH("Dominicana",$C76)),ISNUMBER(SEARCH("Guatemala",$C76)),ISNUMBER(SEARCH("Salvador",$C76)),ISNUMBER(SEARCH("Regional",$C76))),0,1)))</f>
        <v>1</v>
      </c>
      <c r="P76" s="212" t="n">
        <v>0</v>
      </c>
      <c r="Q76" s="212"/>
      <c r="R76" s="212" t="n">
        <v>2030</v>
      </c>
      <c r="S76" s="212" t="n">
        <v>2031</v>
      </c>
      <c r="T76" s="212" t="n">
        <v>2033</v>
      </c>
    </row>
    <row r="77" customFormat="false" ht="15" hidden="false" customHeight="false" outlineLevel="0" collapsed="false">
      <c r="B77" s="63" t="n">
        <v>69</v>
      </c>
      <c r="C77" s="9" t="s">
        <v>747</v>
      </c>
      <c r="D77" s="9" t="s">
        <v>748</v>
      </c>
      <c r="E77" s="216" t="s">
        <v>694</v>
      </c>
      <c r="F77" s="136" t="n">
        <v>5</v>
      </c>
      <c r="G77" s="207" t="n">
        <f aca="false">IF(AND('🎚️ Escenario'!$C$4="7 + Autofinanciado",$T77&lt;&gt;""),$T77,IF(AND('🎚️ Escenario'!$C$4="Primera Ola",$Q77&lt;&gt;""),$Q77,IF(AND('🎚️ Escenario'!$C$4="A slow",$S77&lt;&gt;""),$S77,$R77)))</f>
        <v>2031</v>
      </c>
      <c r="H77" s="179" t="n">
        <f aca="false">$C$7</f>
        <v>100000</v>
      </c>
      <c r="I77" s="208" t="n">
        <f aca="false">VLOOKUP(LEFT(E77,1),'⑮ Cohort Engine'!$B$14:$F$18,5,FALSE())</f>
        <v>27000</v>
      </c>
      <c r="J77" s="136" t="n">
        <v>10</v>
      </c>
      <c r="K77" s="9" t="s">
        <v>701</v>
      </c>
      <c r="L77" s="41" t="s">
        <v>759</v>
      </c>
      <c r="M77" s="18" t="s">
        <v>760</v>
      </c>
      <c r="N77" s="213" t="s">
        <v>703</v>
      </c>
      <c r="O77" s="211" t="n">
        <f aca="false">IF('🎚️ Escenario'!$C$4="7 + Autofinanciado",IF($T77&lt;&gt;"",1,0),IF('🎚️ Escenario'!$C$4="Primera Ola",$P77,IF(OR(ISNUMBER(SEARCH("Dominicana",$C77)),ISNUMBER(SEARCH("Guatemala",$C77)),ISNUMBER(SEARCH("Salvador",$C77)),ISNUMBER(SEARCH("Regional",$C77))),0,1)))</f>
        <v>1</v>
      </c>
      <c r="P77" s="212" t="n">
        <v>0</v>
      </c>
      <c r="Q77" s="212"/>
      <c r="R77" s="212" t="n">
        <v>2030</v>
      </c>
      <c r="S77" s="212" t="n">
        <v>2031</v>
      </c>
      <c r="T77" s="212" t="n">
        <v>2033</v>
      </c>
    </row>
    <row r="78" customFormat="false" ht="15" hidden="false" customHeight="false" outlineLevel="0" collapsed="false">
      <c r="B78" s="63" t="n">
        <v>70</v>
      </c>
      <c r="C78" s="9" t="s">
        <v>750</v>
      </c>
      <c r="D78" s="9" t="s">
        <v>748</v>
      </c>
      <c r="E78" s="216" t="s">
        <v>745</v>
      </c>
      <c r="F78" s="136" t="n">
        <v>6</v>
      </c>
      <c r="G78" s="207" t="n">
        <f aca="false">IF(AND('🎚️ Escenario'!$C$4="7 + Autofinanciado",$T78&lt;&gt;""),$T78,IF(AND('🎚️ Escenario'!$C$4="Primera Ola",$Q78&lt;&gt;""),$Q78,IF(AND('🎚️ Escenario'!$C$4="A slow",$S78&lt;&gt;""),$S78,$R78)))</f>
        <v>2035</v>
      </c>
      <c r="H78" s="179" t="n">
        <f aca="false">$C$7</f>
        <v>100000</v>
      </c>
      <c r="I78" s="208" t="n">
        <f aca="false">VLOOKUP(LEFT(E78,1),'⑮ Cohort Engine'!$B$14:$F$18,5,FALSE())</f>
        <v>23000</v>
      </c>
      <c r="J78" s="136" t="n">
        <v>12</v>
      </c>
      <c r="K78" s="9" t="s">
        <v>701</v>
      </c>
      <c r="L78" s="41" t="s">
        <v>759</v>
      </c>
      <c r="M78" s="18" t="s">
        <v>761</v>
      </c>
      <c r="N78" s="213" t="s">
        <v>703</v>
      </c>
      <c r="O78" s="211" t="n">
        <f aca="false">IF('🎚️ Escenario'!$C$4="7 + Autofinanciado",IF($T78&lt;&gt;"",1,0),IF('🎚️ Escenario'!$C$4="Primera Ola",$P78,IF(OR(ISNUMBER(SEARCH("Dominicana",$C78)),ISNUMBER(SEARCH("Guatemala",$C78)),ISNUMBER(SEARCH("Salvador",$C78)),ISNUMBER(SEARCH("Regional",$C78))),0,1)))</f>
        <v>1</v>
      </c>
      <c r="P78" s="212" t="n">
        <v>0</v>
      </c>
      <c r="Q78" s="212"/>
      <c r="R78" s="212" t="n">
        <v>2034</v>
      </c>
      <c r="S78" s="212" t="n">
        <v>2035</v>
      </c>
      <c r="T78" s="212" t="n">
        <v>2036</v>
      </c>
    </row>
    <row r="79" customFormat="false" ht="15" hidden="false" customHeight="false" outlineLevel="0" collapsed="false">
      <c r="B79" s="63" t="n">
        <v>71</v>
      </c>
      <c r="C79" s="9" t="s">
        <v>750</v>
      </c>
      <c r="D79" s="9" t="s">
        <v>748</v>
      </c>
      <c r="E79" s="216" t="s">
        <v>694</v>
      </c>
      <c r="F79" s="136" t="n">
        <v>7</v>
      </c>
      <c r="G79" s="207" t="n">
        <f aca="false">IF(AND('🎚️ Escenario'!$C$4="7 + Autofinanciado",$T79&lt;&gt;""),$T79,IF(AND('🎚️ Escenario'!$C$4="Primera Ola",$Q79&lt;&gt;""),$Q79,IF(AND('🎚️ Escenario'!$C$4="A slow",$S79&lt;&gt;""),$S79,$R79)))</f>
        <v>2035</v>
      </c>
      <c r="H79" s="179" t="n">
        <f aca="false">$C$7</f>
        <v>100000</v>
      </c>
      <c r="I79" s="208" t="n">
        <f aca="false">VLOOKUP(LEFT(E79,1),'⑮ Cohort Engine'!$B$14:$F$18,5,FALSE())</f>
        <v>27000</v>
      </c>
      <c r="J79" s="136" t="n">
        <v>10</v>
      </c>
      <c r="K79" s="9" t="s">
        <v>701</v>
      </c>
      <c r="L79" s="41" t="s">
        <v>759</v>
      </c>
      <c r="M79" s="18" t="s">
        <v>761</v>
      </c>
      <c r="N79" s="213" t="s">
        <v>703</v>
      </c>
      <c r="O79" s="211" t="n">
        <f aca="false">IF('🎚️ Escenario'!$C$4="7 + Autofinanciado",IF($T79&lt;&gt;"",1,0),IF('🎚️ Escenario'!$C$4="Primera Ola",$P79,IF(OR(ISNUMBER(SEARCH("Dominicana",$C79)),ISNUMBER(SEARCH("Guatemala",$C79)),ISNUMBER(SEARCH("Salvador",$C79)),ISNUMBER(SEARCH("Regional",$C79))),0,1)))</f>
        <v>1</v>
      </c>
      <c r="P79" s="212" t="n">
        <v>0</v>
      </c>
      <c r="Q79" s="212"/>
      <c r="R79" s="212" t="n">
        <v>2034</v>
      </c>
      <c r="S79" s="212" t="n">
        <v>2035</v>
      </c>
      <c r="T79" s="212" t="n">
        <v>2036</v>
      </c>
    </row>
    <row r="80" customFormat="false" ht="15" hidden="false" customHeight="false" outlineLevel="0" collapsed="false">
      <c r="B80" s="63" t="n">
        <v>72</v>
      </c>
      <c r="C80" s="9" t="s">
        <v>750</v>
      </c>
      <c r="D80" s="9" t="s">
        <v>748</v>
      </c>
      <c r="E80" s="216" t="s">
        <v>694</v>
      </c>
      <c r="F80" s="136" t="n">
        <v>8</v>
      </c>
      <c r="G80" s="207" t="n">
        <f aca="false">IF(AND('🎚️ Escenario'!$C$4="7 + Autofinanciado",$T80&lt;&gt;""),$T80,IF(AND('🎚️ Escenario'!$C$4="Primera Ola",$Q80&lt;&gt;""),$Q80,IF(AND('🎚️ Escenario'!$C$4="A slow",$S80&lt;&gt;""),$S80,$R80)))</f>
        <v>2035</v>
      </c>
      <c r="H80" s="179" t="n">
        <f aca="false">$C$7</f>
        <v>100000</v>
      </c>
      <c r="I80" s="208" t="n">
        <f aca="false">VLOOKUP(LEFT(E80,1),'⑮ Cohort Engine'!$B$14:$F$18,5,FALSE())</f>
        <v>27000</v>
      </c>
      <c r="J80" s="136" t="n">
        <v>10</v>
      </c>
      <c r="K80" s="9" t="s">
        <v>701</v>
      </c>
      <c r="L80" s="41" t="s">
        <v>759</v>
      </c>
      <c r="M80" s="18" t="s">
        <v>761</v>
      </c>
      <c r="N80" s="213" t="s">
        <v>703</v>
      </c>
      <c r="O80" s="211" t="n">
        <f aca="false">IF('🎚️ Escenario'!$C$4="7 + Autofinanciado",IF($T80&lt;&gt;"",1,0),IF('🎚️ Escenario'!$C$4="Primera Ola",$P80,IF(OR(ISNUMBER(SEARCH("Dominicana",$C80)),ISNUMBER(SEARCH("Guatemala",$C80)),ISNUMBER(SEARCH("Salvador",$C80)),ISNUMBER(SEARCH("Regional",$C80))),0,1)))</f>
        <v>1</v>
      </c>
      <c r="P80" s="212" t="n">
        <v>0</v>
      </c>
      <c r="Q80" s="212"/>
      <c r="R80" s="212" t="n">
        <v>2034</v>
      </c>
      <c r="S80" s="212" t="n">
        <v>2035</v>
      </c>
      <c r="T80" s="212" t="n">
        <v>2036</v>
      </c>
    </row>
    <row r="81" customFormat="false" ht="15" hidden="false" customHeight="false" outlineLevel="0" collapsed="false">
      <c r="B81" s="63" t="n">
        <v>73</v>
      </c>
      <c r="C81" s="9" t="s">
        <v>750</v>
      </c>
      <c r="D81" s="9" t="s">
        <v>748</v>
      </c>
      <c r="E81" s="216" t="s">
        <v>745</v>
      </c>
      <c r="F81" s="136" t="n">
        <v>9</v>
      </c>
      <c r="G81" s="207" t="n">
        <f aca="false">IF(AND('🎚️ Escenario'!$C$4="7 + Autofinanciado",$T81&lt;&gt;""),$T81,IF(AND('🎚️ Escenario'!$C$4="Primera Ola",$Q81&lt;&gt;""),$Q81,IF(AND('🎚️ Escenario'!$C$4="A slow",$S81&lt;&gt;""),$S81,$R81)))</f>
        <v>2035</v>
      </c>
      <c r="H81" s="179" t="n">
        <f aca="false">$C$7</f>
        <v>100000</v>
      </c>
      <c r="I81" s="208" t="n">
        <f aca="false">VLOOKUP(LEFT(E81,1),'⑮ Cohort Engine'!$B$14:$F$18,5,FALSE())</f>
        <v>23000</v>
      </c>
      <c r="J81" s="136" t="n">
        <v>12</v>
      </c>
      <c r="K81" s="9" t="s">
        <v>701</v>
      </c>
      <c r="L81" s="41" t="s">
        <v>759</v>
      </c>
      <c r="M81" s="18" t="s">
        <v>761</v>
      </c>
      <c r="N81" s="213" t="s">
        <v>703</v>
      </c>
      <c r="O81" s="211" t="n">
        <f aca="false">IF('🎚️ Escenario'!$C$4="7 + Autofinanciado",IF($T81&lt;&gt;"",1,0),IF('🎚️ Escenario'!$C$4="Primera Ola",$P81,IF(OR(ISNUMBER(SEARCH("Dominicana",$C81)),ISNUMBER(SEARCH("Guatemala",$C81)),ISNUMBER(SEARCH("Salvador",$C81)),ISNUMBER(SEARCH("Regional",$C81))),0,1)))</f>
        <v>1</v>
      </c>
      <c r="P81" s="212" t="n">
        <v>0</v>
      </c>
      <c r="Q81" s="212"/>
      <c r="R81" s="212" t="n">
        <v>2034</v>
      </c>
      <c r="S81" s="212" t="n">
        <v>2035</v>
      </c>
      <c r="T81" s="212" t="n">
        <v>2036</v>
      </c>
    </row>
    <row r="82" customFormat="false" ht="15" hidden="false" customHeight="false" outlineLevel="0" collapsed="false">
      <c r="B82" s="63" t="n">
        <v>74</v>
      </c>
      <c r="C82" s="9" t="s">
        <v>750</v>
      </c>
      <c r="D82" s="9" t="s">
        <v>748</v>
      </c>
      <c r="E82" s="216" t="s">
        <v>684</v>
      </c>
      <c r="F82" s="136" t="n">
        <v>10</v>
      </c>
      <c r="G82" s="207" t="n">
        <f aca="false">IF(AND('🎚️ Escenario'!$C$4="7 + Autofinanciado",$T82&lt;&gt;""),$T82,IF(AND('🎚️ Escenario'!$C$4="Primera Ola",$Q82&lt;&gt;""),$Q82,IF(AND('🎚️ Escenario'!$C$4="A slow",$S82&lt;&gt;""),$S82,$R82)))</f>
        <v>2035</v>
      </c>
      <c r="H82" s="179" t="n">
        <f aca="false">$C$7</f>
        <v>100000</v>
      </c>
      <c r="I82" s="208" t="n">
        <f aca="false">VLOOKUP(LEFT(E82,1),'⑮ Cohort Engine'!$B$14:$F$18,5,FALSE())</f>
        <v>35000</v>
      </c>
      <c r="J82" s="136" t="n">
        <v>12</v>
      </c>
      <c r="K82" s="9" t="s">
        <v>701</v>
      </c>
      <c r="L82" s="41" t="s">
        <v>759</v>
      </c>
      <c r="M82" s="18" t="s">
        <v>761</v>
      </c>
      <c r="N82" s="213" t="s">
        <v>703</v>
      </c>
      <c r="O82" s="211" t="n">
        <f aca="false">IF('🎚️ Escenario'!$C$4="7 + Autofinanciado",IF($T82&lt;&gt;"",1,0),IF('🎚️ Escenario'!$C$4="Primera Ola",$P82,IF(OR(ISNUMBER(SEARCH("Dominicana",$C82)),ISNUMBER(SEARCH("Guatemala",$C82)),ISNUMBER(SEARCH("Salvador",$C82)),ISNUMBER(SEARCH("Regional",$C82))),0,1)))</f>
        <v>1</v>
      </c>
      <c r="P82" s="212" t="n">
        <v>0</v>
      </c>
      <c r="Q82" s="212"/>
      <c r="R82" s="212" t="n">
        <v>2034</v>
      </c>
      <c r="S82" s="212" t="n">
        <v>2035</v>
      </c>
      <c r="T82" s="212" t="n">
        <v>2036</v>
      </c>
    </row>
    <row r="83" customFormat="false" ht="15" hidden="false" customHeight="false" outlineLevel="0" collapsed="false">
      <c r="B83" s="63" t="n">
        <v>75</v>
      </c>
      <c r="C83" s="9" t="s">
        <v>750</v>
      </c>
      <c r="D83" s="9" t="s">
        <v>748</v>
      </c>
      <c r="E83" s="216" t="s">
        <v>694</v>
      </c>
      <c r="F83" s="136" t="n">
        <v>11</v>
      </c>
      <c r="G83" s="207" t="n">
        <f aca="false">IF(AND('🎚️ Escenario'!$C$4="7 + Autofinanciado",$T83&lt;&gt;""),$T83,IF(AND('🎚️ Escenario'!$C$4="Primera Ola",$Q83&lt;&gt;""),$Q83,IF(AND('🎚️ Escenario'!$C$4="A slow",$S83&lt;&gt;""),$S83,$R83)))</f>
        <v>2035</v>
      </c>
      <c r="H83" s="179" t="n">
        <f aca="false">$C$7</f>
        <v>100000</v>
      </c>
      <c r="I83" s="208" t="n">
        <f aca="false">VLOOKUP(LEFT(E83,1),'⑮ Cohort Engine'!$B$14:$F$18,5,FALSE())</f>
        <v>27000</v>
      </c>
      <c r="J83" s="136" t="n">
        <v>10</v>
      </c>
      <c r="K83" s="9" t="s">
        <v>701</v>
      </c>
      <c r="L83" s="41" t="s">
        <v>759</v>
      </c>
      <c r="M83" s="18" t="s">
        <v>761</v>
      </c>
      <c r="N83" s="213" t="s">
        <v>703</v>
      </c>
      <c r="O83" s="211" t="n">
        <f aca="false">IF('🎚️ Escenario'!$C$4="7 + Autofinanciado",IF($T83&lt;&gt;"",1,0),IF('🎚️ Escenario'!$C$4="Primera Ola",$P83,IF(OR(ISNUMBER(SEARCH("Dominicana",$C83)),ISNUMBER(SEARCH("Guatemala",$C83)),ISNUMBER(SEARCH("Salvador",$C83)),ISNUMBER(SEARCH("Regional",$C83))),0,1)))</f>
        <v>1</v>
      </c>
      <c r="P83" s="212" t="n">
        <v>0</v>
      </c>
      <c r="Q83" s="212"/>
      <c r="R83" s="212" t="n">
        <v>2034</v>
      </c>
      <c r="S83" s="212" t="n">
        <v>2035</v>
      </c>
      <c r="T83" s="212" t="n">
        <v>2036</v>
      </c>
    </row>
    <row r="84" customFormat="false" ht="15" hidden="false" customHeight="false" outlineLevel="0" collapsed="false">
      <c r="B84" s="63" t="n">
        <v>76</v>
      </c>
      <c r="C84" s="9" t="s">
        <v>750</v>
      </c>
      <c r="D84" s="9" t="s">
        <v>748</v>
      </c>
      <c r="E84" s="216" t="s">
        <v>745</v>
      </c>
      <c r="F84" s="136" t="n">
        <v>12</v>
      </c>
      <c r="G84" s="207" t="n">
        <f aca="false">IF(AND('🎚️ Escenario'!$C$4="7 + Autofinanciado",$T84&lt;&gt;""),$T84,IF(AND('🎚️ Escenario'!$C$4="Primera Ola",$Q84&lt;&gt;""),$Q84,IF(AND('🎚️ Escenario'!$C$4="A slow",$S84&lt;&gt;""),$S84,$R84)))</f>
        <v>2035</v>
      </c>
      <c r="H84" s="179" t="n">
        <f aca="false">$C$7</f>
        <v>100000</v>
      </c>
      <c r="I84" s="208" t="n">
        <f aca="false">VLOOKUP(LEFT(E84,1),'⑮ Cohort Engine'!$B$14:$F$18,5,FALSE())</f>
        <v>23000</v>
      </c>
      <c r="J84" s="136" t="n">
        <v>12</v>
      </c>
      <c r="K84" s="9" t="s">
        <v>701</v>
      </c>
      <c r="L84" s="41" t="s">
        <v>759</v>
      </c>
      <c r="M84" s="18" t="s">
        <v>761</v>
      </c>
      <c r="N84" s="213" t="s">
        <v>703</v>
      </c>
      <c r="O84" s="211" t="n">
        <f aca="false">IF('🎚️ Escenario'!$C$4="7 + Autofinanciado",IF($T84&lt;&gt;"",1,0),IF('🎚️ Escenario'!$C$4="Primera Ola",$P84,IF(OR(ISNUMBER(SEARCH("Dominicana",$C84)),ISNUMBER(SEARCH("Guatemala",$C84)),ISNUMBER(SEARCH("Salvador",$C84)),ISNUMBER(SEARCH("Regional",$C84))),0,1)))</f>
        <v>1</v>
      </c>
      <c r="P84" s="212" t="n">
        <v>0</v>
      </c>
      <c r="Q84" s="212"/>
      <c r="R84" s="212" t="n">
        <v>2034</v>
      </c>
      <c r="S84" s="212" t="n">
        <v>2035</v>
      </c>
      <c r="T84" s="212" t="n">
        <v>2036</v>
      </c>
    </row>
    <row r="85" customFormat="false" ht="15" hidden="false" customHeight="false" outlineLevel="0" collapsed="false">
      <c r="B85" s="63" t="n">
        <v>77</v>
      </c>
      <c r="C85" s="9" t="s">
        <v>750</v>
      </c>
      <c r="D85" s="9" t="s">
        <v>748</v>
      </c>
      <c r="E85" s="216" t="s">
        <v>694</v>
      </c>
      <c r="F85" s="136" t="n">
        <v>1</v>
      </c>
      <c r="G85" s="207" t="n">
        <f aca="false">IF(AND('🎚️ Escenario'!$C$4="7 + Autofinanciado",$T85&lt;&gt;""),$T85,IF(AND('🎚️ Escenario'!$C$4="Primera Ola",$Q85&lt;&gt;""),$Q85,IF(AND('🎚️ Escenario'!$C$4="A slow",$S85&lt;&gt;""),$S85,$R85)))</f>
        <v>2035</v>
      </c>
      <c r="H85" s="179" t="n">
        <f aca="false">$C$7</f>
        <v>100000</v>
      </c>
      <c r="I85" s="208" t="n">
        <f aca="false">VLOOKUP(LEFT(E85,1),'⑮ Cohort Engine'!$B$14:$F$18,5,FALSE())</f>
        <v>27000</v>
      </c>
      <c r="J85" s="136" t="n">
        <v>10</v>
      </c>
      <c r="K85" s="9" t="s">
        <v>701</v>
      </c>
      <c r="L85" s="41" t="s">
        <v>759</v>
      </c>
      <c r="M85" s="18" t="s">
        <v>761</v>
      </c>
      <c r="N85" s="213" t="s">
        <v>703</v>
      </c>
      <c r="O85" s="211" t="n">
        <f aca="false">IF('🎚️ Escenario'!$C$4="7 + Autofinanciado",IF($T85&lt;&gt;"",1,0),IF('🎚️ Escenario'!$C$4="Primera Ola",$P85,IF(OR(ISNUMBER(SEARCH("Dominicana",$C85)),ISNUMBER(SEARCH("Guatemala",$C85)),ISNUMBER(SEARCH("Salvador",$C85)),ISNUMBER(SEARCH("Regional",$C85))),0,1)))</f>
        <v>1</v>
      </c>
      <c r="P85" s="212" t="n">
        <v>0</v>
      </c>
      <c r="Q85" s="212"/>
      <c r="R85" s="212" t="n">
        <v>2034</v>
      </c>
      <c r="S85" s="212" t="n">
        <v>2035</v>
      </c>
      <c r="T85" s="212"/>
    </row>
    <row r="86" customFormat="false" ht="15" hidden="false" customHeight="false" outlineLevel="0" collapsed="false">
      <c r="B86" s="63" t="n">
        <v>78</v>
      </c>
      <c r="C86" s="9" t="s">
        <v>750</v>
      </c>
      <c r="D86" s="9" t="s">
        <v>748</v>
      </c>
      <c r="E86" s="216" t="s">
        <v>745</v>
      </c>
      <c r="F86" s="136" t="n">
        <v>2</v>
      </c>
      <c r="G86" s="207" t="n">
        <f aca="false">IF(AND('🎚️ Escenario'!$C$4="7 + Autofinanciado",$T86&lt;&gt;""),$T86,IF(AND('🎚️ Escenario'!$C$4="Primera Ola",$Q86&lt;&gt;""),$Q86,IF(AND('🎚️ Escenario'!$C$4="A slow",$S86&lt;&gt;""),$S86,$R86)))</f>
        <v>2035</v>
      </c>
      <c r="H86" s="179" t="n">
        <f aca="false">$C$7</f>
        <v>100000</v>
      </c>
      <c r="I86" s="208" t="n">
        <f aca="false">VLOOKUP(LEFT(E86,1),'⑮ Cohort Engine'!$B$14:$F$18,5,FALSE())</f>
        <v>23000</v>
      </c>
      <c r="J86" s="136" t="n">
        <v>12</v>
      </c>
      <c r="K86" s="9" t="s">
        <v>701</v>
      </c>
      <c r="L86" s="41" t="s">
        <v>759</v>
      </c>
      <c r="M86" s="18" t="s">
        <v>761</v>
      </c>
      <c r="N86" s="213" t="s">
        <v>703</v>
      </c>
      <c r="O86" s="211" t="n">
        <f aca="false">IF('🎚️ Escenario'!$C$4="7 + Autofinanciado",IF($T86&lt;&gt;"",1,0),IF('🎚️ Escenario'!$C$4="Primera Ola",$P86,IF(OR(ISNUMBER(SEARCH("Dominicana",$C86)),ISNUMBER(SEARCH("Guatemala",$C86)),ISNUMBER(SEARCH("Salvador",$C86)),ISNUMBER(SEARCH("Regional",$C86))),0,1)))</f>
        <v>1</v>
      </c>
      <c r="P86" s="212" t="n">
        <v>0</v>
      </c>
      <c r="Q86" s="212"/>
      <c r="R86" s="212" t="n">
        <v>2034</v>
      </c>
      <c r="S86" s="212" t="n">
        <v>2035</v>
      </c>
      <c r="T86" s="212"/>
    </row>
    <row r="87" customFormat="false" ht="15" hidden="false" customHeight="false" outlineLevel="0" collapsed="false">
      <c r="B87" s="63" t="n">
        <v>79</v>
      </c>
      <c r="C87" s="9" t="s">
        <v>750</v>
      </c>
      <c r="D87" s="9" t="s">
        <v>748</v>
      </c>
      <c r="E87" s="216" t="s">
        <v>694</v>
      </c>
      <c r="F87" s="136" t="n">
        <v>3</v>
      </c>
      <c r="G87" s="207" t="n">
        <f aca="false">IF(AND('🎚️ Escenario'!$C$4="7 + Autofinanciado",$T87&lt;&gt;""),$T87,IF(AND('🎚️ Escenario'!$C$4="Primera Ola",$Q87&lt;&gt;""),$Q87,IF(AND('🎚️ Escenario'!$C$4="A slow",$S87&lt;&gt;""),$S87,$R87)))</f>
        <v>2035</v>
      </c>
      <c r="H87" s="179" t="n">
        <f aca="false">$C$7</f>
        <v>100000</v>
      </c>
      <c r="I87" s="208" t="n">
        <f aca="false">VLOOKUP(LEFT(E87,1),'⑮ Cohort Engine'!$B$14:$F$18,5,FALSE())</f>
        <v>27000</v>
      </c>
      <c r="J87" s="136" t="n">
        <v>10</v>
      </c>
      <c r="K87" s="9" t="s">
        <v>701</v>
      </c>
      <c r="L87" s="41" t="s">
        <v>759</v>
      </c>
      <c r="M87" s="18" t="s">
        <v>761</v>
      </c>
      <c r="N87" s="213" t="s">
        <v>703</v>
      </c>
      <c r="O87" s="211" t="n">
        <f aca="false">IF('🎚️ Escenario'!$C$4="7 + Autofinanciado",IF($T87&lt;&gt;"",1,0),IF('🎚️ Escenario'!$C$4="Primera Ola",$P87,IF(OR(ISNUMBER(SEARCH("Dominicana",$C87)),ISNUMBER(SEARCH("Guatemala",$C87)),ISNUMBER(SEARCH("Salvador",$C87)),ISNUMBER(SEARCH("Regional",$C87))),0,1)))</f>
        <v>1</v>
      </c>
      <c r="P87" s="212" t="n">
        <v>0</v>
      </c>
      <c r="Q87" s="212"/>
      <c r="R87" s="212" t="n">
        <v>2034</v>
      </c>
      <c r="S87" s="212" t="n">
        <v>2035</v>
      </c>
      <c r="T87" s="212"/>
    </row>
    <row r="88" customFormat="false" ht="15" hidden="false" customHeight="false" outlineLevel="0" collapsed="false">
      <c r="B88" s="63" t="n">
        <v>80</v>
      </c>
      <c r="C88" s="9" t="s">
        <v>750</v>
      </c>
      <c r="D88" s="9" t="s">
        <v>748</v>
      </c>
      <c r="E88" s="216" t="s">
        <v>684</v>
      </c>
      <c r="F88" s="136" t="n">
        <v>4</v>
      </c>
      <c r="G88" s="207" t="n">
        <f aca="false">IF(AND('🎚️ Escenario'!$C$4="7 + Autofinanciado",$T88&lt;&gt;""),$T88,IF(AND('🎚️ Escenario'!$C$4="Primera Ola",$Q88&lt;&gt;""),$Q88,IF(AND('🎚️ Escenario'!$C$4="A slow",$S88&lt;&gt;""),$S88,$R88)))</f>
        <v>2036</v>
      </c>
      <c r="H88" s="179" t="n">
        <f aca="false">$C$7</f>
        <v>100000</v>
      </c>
      <c r="I88" s="208" t="n">
        <f aca="false">VLOOKUP(LEFT(E88,1),'⑮ Cohort Engine'!$B$14:$F$18,5,FALSE())</f>
        <v>35000</v>
      </c>
      <c r="J88" s="136" t="n">
        <v>12</v>
      </c>
      <c r="K88" s="9" t="s">
        <v>701</v>
      </c>
      <c r="L88" s="41" t="s">
        <v>759</v>
      </c>
      <c r="M88" s="18" t="s">
        <v>761</v>
      </c>
      <c r="N88" s="213" t="s">
        <v>703</v>
      </c>
      <c r="O88" s="211" t="n">
        <f aca="false">IF('🎚️ Escenario'!$C$4="7 + Autofinanciado",IF($T88&lt;&gt;"",1,0),IF('🎚️ Escenario'!$C$4="Primera Ola",$P88,IF(OR(ISNUMBER(SEARCH("Dominicana",$C88)),ISNUMBER(SEARCH("Guatemala",$C88)),ISNUMBER(SEARCH("Salvador",$C88)),ISNUMBER(SEARCH("Regional",$C88))),0,1)))</f>
        <v>1</v>
      </c>
      <c r="P88" s="212" t="n">
        <v>0</v>
      </c>
      <c r="Q88" s="212"/>
      <c r="R88" s="212" t="n">
        <v>2035</v>
      </c>
      <c r="S88" s="212" t="n">
        <v>2036</v>
      </c>
      <c r="T88" s="212"/>
    </row>
    <row r="89" customFormat="false" ht="15" hidden="false" customHeight="false" outlineLevel="0" collapsed="false">
      <c r="B89" s="63" t="n">
        <v>81</v>
      </c>
      <c r="C89" s="9" t="s">
        <v>750</v>
      </c>
      <c r="D89" s="9" t="s">
        <v>748</v>
      </c>
      <c r="E89" s="216" t="s">
        <v>694</v>
      </c>
      <c r="F89" s="136" t="n">
        <v>5</v>
      </c>
      <c r="G89" s="207" t="n">
        <f aca="false">IF(AND('🎚️ Escenario'!$C$4="7 + Autofinanciado",$T89&lt;&gt;""),$T89,IF(AND('🎚️ Escenario'!$C$4="Primera Ola",$Q89&lt;&gt;""),$Q89,IF(AND('🎚️ Escenario'!$C$4="A slow",$S89&lt;&gt;""),$S89,$R89)))</f>
        <v>2036</v>
      </c>
      <c r="H89" s="179" t="n">
        <f aca="false">$C$7</f>
        <v>100000</v>
      </c>
      <c r="I89" s="208" t="n">
        <f aca="false">VLOOKUP(LEFT(E89,1),'⑮ Cohort Engine'!$B$14:$F$18,5,FALSE())</f>
        <v>27000</v>
      </c>
      <c r="J89" s="136" t="n">
        <v>10</v>
      </c>
      <c r="K89" s="9" t="s">
        <v>701</v>
      </c>
      <c r="L89" s="41" t="s">
        <v>759</v>
      </c>
      <c r="M89" s="18" t="s">
        <v>761</v>
      </c>
      <c r="N89" s="213" t="s">
        <v>703</v>
      </c>
      <c r="O89" s="211" t="n">
        <f aca="false">IF('🎚️ Escenario'!$C$4="7 + Autofinanciado",IF($T89&lt;&gt;"",1,0),IF('🎚️ Escenario'!$C$4="Primera Ola",$P89,IF(OR(ISNUMBER(SEARCH("Dominicana",$C89)),ISNUMBER(SEARCH("Guatemala",$C89)),ISNUMBER(SEARCH("Salvador",$C89)),ISNUMBER(SEARCH("Regional",$C89))),0,1)))</f>
        <v>1</v>
      </c>
      <c r="P89" s="212" t="n">
        <v>0</v>
      </c>
      <c r="Q89" s="212"/>
      <c r="R89" s="212" t="n">
        <v>2035</v>
      </c>
      <c r="S89" s="212" t="n">
        <v>2036</v>
      </c>
      <c r="T89" s="212"/>
    </row>
    <row r="90" customFormat="false" ht="15" hidden="false" customHeight="false" outlineLevel="0" collapsed="false">
      <c r="B90" s="63" t="n">
        <v>82</v>
      </c>
      <c r="C90" s="9" t="s">
        <v>750</v>
      </c>
      <c r="D90" s="9" t="s">
        <v>748</v>
      </c>
      <c r="E90" s="216" t="s">
        <v>745</v>
      </c>
      <c r="F90" s="136" t="n">
        <v>6</v>
      </c>
      <c r="G90" s="207" t="n">
        <f aca="false">IF(AND('🎚️ Escenario'!$C$4="7 + Autofinanciado",$T90&lt;&gt;""),$T90,IF(AND('🎚️ Escenario'!$C$4="Primera Ola",$Q90&lt;&gt;""),$Q90,IF(AND('🎚️ Escenario'!$C$4="A slow",$S90&lt;&gt;""),$S90,$R90)))</f>
        <v>2036</v>
      </c>
      <c r="H90" s="179" t="n">
        <f aca="false">$C$7</f>
        <v>100000</v>
      </c>
      <c r="I90" s="208" t="n">
        <f aca="false">VLOOKUP(LEFT(E90,1),'⑮ Cohort Engine'!$B$14:$F$18,5,FALSE())</f>
        <v>23000</v>
      </c>
      <c r="J90" s="136" t="n">
        <v>12</v>
      </c>
      <c r="K90" s="9" t="s">
        <v>701</v>
      </c>
      <c r="L90" s="41" t="s">
        <v>759</v>
      </c>
      <c r="M90" s="18" t="s">
        <v>761</v>
      </c>
      <c r="N90" s="213" t="s">
        <v>703</v>
      </c>
      <c r="O90" s="211" t="n">
        <f aca="false">IF('🎚️ Escenario'!$C$4="7 + Autofinanciado",IF($T90&lt;&gt;"",1,0),IF('🎚️ Escenario'!$C$4="Primera Ola",$P90,IF(OR(ISNUMBER(SEARCH("Dominicana",$C90)),ISNUMBER(SEARCH("Guatemala",$C90)),ISNUMBER(SEARCH("Salvador",$C90)),ISNUMBER(SEARCH("Regional",$C90))),0,1)))</f>
        <v>1</v>
      </c>
      <c r="P90" s="212" t="n">
        <v>0</v>
      </c>
      <c r="Q90" s="212"/>
      <c r="R90" s="212" t="n">
        <v>2035</v>
      </c>
      <c r="S90" s="212" t="n">
        <v>2036</v>
      </c>
      <c r="T90" s="212"/>
    </row>
    <row r="91" customFormat="false" ht="15" hidden="false" customHeight="false" outlineLevel="0" collapsed="false">
      <c r="B91" s="63" t="n">
        <v>83</v>
      </c>
      <c r="C91" s="9" t="s">
        <v>750</v>
      </c>
      <c r="D91" s="9" t="s">
        <v>748</v>
      </c>
      <c r="E91" s="216" t="s">
        <v>694</v>
      </c>
      <c r="F91" s="136" t="n">
        <v>7</v>
      </c>
      <c r="G91" s="207" t="n">
        <f aca="false">IF(AND('🎚️ Escenario'!$C$4="7 + Autofinanciado",$T91&lt;&gt;""),$T91,IF(AND('🎚️ Escenario'!$C$4="Primera Ola",$Q91&lt;&gt;""),$Q91,IF(AND('🎚️ Escenario'!$C$4="A slow",$S91&lt;&gt;""),$S91,$R91)))</f>
        <v>2036</v>
      </c>
      <c r="H91" s="179" t="n">
        <f aca="false">$C$7</f>
        <v>100000</v>
      </c>
      <c r="I91" s="208" t="n">
        <f aca="false">VLOOKUP(LEFT(E91,1),'⑮ Cohort Engine'!$B$14:$F$18,5,FALSE())</f>
        <v>27000</v>
      </c>
      <c r="J91" s="136" t="n">
        <v>10</v>
      </c>
      <c r="K91" s="9" t="s">
        <v>701</v>
      </c>
      <c r="L91" s="41" t="s">
        <v>759</v>
      </c>
      <c r="M91" s="18" t="s">
        <v>761</v>
      </c>
      <c r="N91" s="213" t="s">
        <v>703</v>
      </c>
      <c r="O91" s="211" t="n">
        <f aca="false">IF('🎚️ Escenario'!$C$4="7 + Autofinanciado",IF($T91&lt;&gt;"",1,0),IF('🎚️ Escenario'!$C$4="Primera Ola",$P91,IF(OR(ISNUMBER(SEARCH("Dominicana",$C91)),ISNUMBER(SEARCH("Guatemala",$C91)),ISNUMBER(SEARCH("Salvador",$C91)),ISNUMBER(SEARCH("Regional",$C91))),0,1)))</f>
        <v>1</v>
      </c>
      <c r="P91" s="212" t="n">
        <v>0</v>
      </c>
      <c r="Q91" s="212"/>
      <c r="R91" s="212" t="n">
        <v>2035</v>
      </c>
      <c r="S91" s="212" t="n">
        <v>2036</v>
      </c>
      <c r="T91" s="212"/>
    </row>
    <row r="92" customFormat="false" ht="15" hidden="false" customHeight="false" outlineLevel="0" collapsed="false">
      <c r="B92" s="63" t="n">
        <v>84</v>
      </c>
      <c r="C92" s="9" t="s">
        <v>750</v>
      </c>
      <c r="D92" s="9" t="s">
        <v>748</v>
      </c>
      <c r="E92" s="216" t="s">
        <v>694</v>
      </c>
      <c r="F92" s="136" t="n">
        <v>8</v>
      </c>
      <c r="G92" s="207" t="n">
        <f aca="false">IF(AND('🎚️ Escenario'!$C$4="7 + Autofinanciado",$T92&lt;&gt;""),$T92,IF(AND('🎚️ Escenario'!$C$4="Primera Ola",$Q92&lt;&gt;""),$Q92,IF(AND('🎚️ Escenario'!$C$4="A slow",$S92&lt;&gt;""),$S92,$R92)))</f>
        <v>2036</v>
      </c>
      <c r="H92" s="179" t="n">
        <f aca="false">$C$7</f>
        <v>100000</v>
      </c>
      <c r="I92" s="208" t="n">
        <f aca="false">VLOOKUP(LEFT(E92,1),'⑮ Cohort Engine'!$B$14:$F$18,5,FALSE())</f>
        <v>27000</v>
      </c>
      <c r="J92" s="136" t="n">
        <v>10</v>
      </c>
      <c r="K92" s="9" t="s">
        <v>701</v>
      </c>
      <c r="L92" s="41" t="s">
        <v>759</v>
      </c>
      <c r="M92" s="18" t="s">
        <v>761</v>
      </c>
      <c r="N92" s="213" t="s">
        <v>703</v>
      </c>
      <c r="O92" s="211" t="n">
        <f aca="false">IF('🎚️ Escenario'!$C$4="7 + Autofinanciado",IF($T92&lt;&gt;"",1,0),IF('🎚️ Escenario'!$C$4="Primera Ola",$P92,IF(OR(ISNUMBER(SEARCH("Dominicana",$C92)),ISNUMBER(SEARCH("Guatemala",$C92)),ISNUMBER(SEARCH("Salvador",$C92)),ISNUMBER(SEARCH("Regional",$C92))),0,1)))</f>
        <v>1</v>
      </c>
      <c r="P92" s="212" t="n">
        <v>0</v>
      </c>
      <c r="Q92" s="212"/>
      <c r="R92" s="212" t="n">
        <v>2035</v>
      </c>
      <c r="S92" s="212" t="n">
        <v>2036</v>
      </c>
      <c r="T92" s="212"/>
    </row>
    <row r="93" customFormat="false" ht="15" hidden="false" customHeight="false" outlineLevel="0" collapsed="false">
      <c r="B93" s="63" t="n">
        <v>85</v>
      </c>
      <c r="C93" s="9" t="s">
        <v>750</v>
      </c>
      <c r="D93" s="9" t="s">
        <v>748</v>
      </c>
      <c r="E93" s="216" t="s">
        <v>745</v>
      </c>
      <c r="F93" s="136" t="n">
        <v>9</v>
      </c>
      <c r="G93" s="207" t="n">
        <f aca="false">IF(AND('🎚️ Escenario'!$C$4="7 + Autofinanciado",$T93&lt;&gt;""),$T93,IF(AND('🎚️ Escenario'!$C$4="Primera Ola",$Q93&lt;&gt;""),$Q93,IF(AND('🎚️ Escenario'!$C$4="A slow",$S93&lt;&gt;""),$S93,$R93)))</f>
        <v>2036</v>
      </c>
      <c r="H93" s="179" t="n">
        <f aca="false">$C$7</f>
        <v>100000</v>
      </c>
      <c r="I93" s="208" t="n">
        <f aca="false">VLOOKUP(LEFT(E93,1),'⑮ Cohort Engine'!$B$14:$F$18,5,FALSE())</f>
        <v>23000</v>
      </c>
      <c r="J93" s="136" t="n">
        <v>12</v>
      </c>
      <c r="K93" s="9" t="s">
        <v>701</v>
      </c>
      <c r="L93" s="41" t="s">
        <v>759</v>
      </c>
      <c r="M93" s="18" t="s">
        <v>761</v>
      </c>
      <c r="N93" s="213" t="s">
        <v>703</v>
      </c>
      <c r="O93" s="211" t="n">
        <f aca="false">IF('🎚️ Escenario'!$C$4="7 + Autofinanciado",IF($T93&lt;&gt;"",1,0),IF('🎚️ Escenario'!$C$4="Primera Ola",$P93,IF(OR(ISNUMBER(SEARCH("Dominicana",$C93)),ISNUMBER(SEARCH("Guatemala",$C93)),ISNUMBER(SEARCH("Salvador",$C93)),ISNUMBER(SEARCH("Regional",$C93))),0,1)))</f>
        <v>1</v>
      </c>
      <c r="P93" s="212" t="n">
        <v>0</v>
      </c>
      <c r="Q93" s="212"/>
      <c r="R93" s="212" t="n">
        <v>2035</v>
      </c>
      <c r="S93" s="212" t="n">
        <v>2036</v>
      </c>
      <c r="T93" s="212"/>
    </row>
    <row r="94" customFormat="false" ht="15" hidden="false" customHeight="false" outlineLevel="0" collapsed="false">
      <c r="B94" s="63" t="n">
        <v>86</v>
      </c>
      <c r="C94" s="9" t="s">
        <v>750</v>
      </c>
      <c r="D94" s="9" t="s">
        <v>748</v>
      </c>
      <c r="E94" s="216" t="s">
        <v>684</v>
      </c>
      <c r="F94" s="136" t="n">
        <v>10</v>
      </c>
      <c r="G94" s="207" t="n">
        <f aca="false">IF(AND('🎚️ Escenario'!$C$4="7 + Autofinanciado",$T94&lt;&gt;""),$T94,IF(AND('🎚️ Escenario'!$C$4="Primera Ola",$Q94&lt;&gt;""),$Q94,IF(AND('🎚️ Escenario'!$C$4="A slow",$S94&lt;&gt;""),$S94,$R94)))</f>
        <v>2036</v>
      </c>
      <c r="H94" s="179" t="n">
        <f aca="false">$C$7</f>
        <v>100000</v>
      </c>
      <c r="I94" s="208" t="n">
        <f aca="false">VLOOKUP(LEFT(E94,1),'⑮ Cohort Engine'!$B$14:$F$18,5,FALSE())</f>
        <v>35000</v>
      </c>
      <c r="J94" s="136" t="n">
        <v>12</v>
      </c>
      <c r="K94" s="9" t="s">
        <v>701</v>
      </c>
      <c r="L94" s="41" t="s">
        <v>759</v>
      </c>
      <c r="M94" s="18" t="s">
        <v>761</v>
      </c>
      <c r="N94" s="213" t="s">
        <v>703</v>
      </c>
      <c r="O94" s="211" t="n">
        <f aca="false">IF('🎚️ Escenario'!$C$4="7 + Autofinanciado",IF($T94&lt;&gt;"",1,0),IF('🎚️ Escenario'!$C$4="Primera Ola",$P94,IF(OR(ISNUMBER(SEARCH("Dominicana",$C94)),ISNUMBER(SEARCH("Guatemala",$C94)),ISNUMBER(SEARCH("Salvador",$C94)),ISNUMBER(SEARCH("Regional",$C94))),0,1)))</f>
        <v>1</v>
      </c>
      <c r="P94" s="212" t="n">
        <v>0</v>
      </c>
      <c r="Q94" s="212"/>
      <c r="R94" s="212" t="n">
        <v>2035</v>
      </c>
      <c r="S94" s="212" t="n">
        <v>2036</v>
      </c>
      <c r="T94" s="212"/>
    </row>
    <row r="95" customFormat="false" ht="15" hidden="false" customHeight="false" outlineLevel="0" collapsed="false">
      <c r="B95" s="63" t="n">
        <v>87</v>
      </c>
      <c r="C95" s="9" t="s">
        <v>750</v>
      </c>
      <c r="D95" s="9" t="s">
        <v>748</v>
      </c>
      <c r="E95" s="216" t="s">
        <v>694</v>
      </c>
      <c r="F95" s="136" t="n">
        <v>11</v>
      </c>
      <c r="G95" s="207" t="n">
        <f aca="false">IF(AND('🎚️ Escenario'!$C$4="7 + Autofinanciado",$T95&lt;&gt;""),$T95,IF(AND('🎚️ Escenario'!$C$4="Primera Ola",$Q95&lt;&gt;""),$Q95,IF(AND('🎚️ Escenario'!$C$4="A slow",$S95&lt;&gt;""),$S95,$R95)))</f>
        <v>2036</v>
      </c>
      <c r="H95" s="179" t="n">
        <f aca="false">$C$7</f>
        <v>100000</v>
      </c>
      <c r="I95" s="208" t="n">
        <f aca="false">VLOOKUP(LEFT(E95,1),'⑮ Cohort Engine'!$B$14:$F$18,5,FALSE())</f>
        <v>27000</v>
      </c>
      <c r="J95" s="136" t="n">
        <v>10</v>
      </c>
      <c r="K95" s="9" t="s">
        <v>701</v>
      </c>
      <c r="L95" s="41" t="s">
        <v>759</v>
      </c>
      <c r="M95" s="18" t="s">
        <v>761</v>
      </c>
      <c r="N95" s="213" t="s">
        <v>703</v>
      </c>
      <c r="O95" s="211" t="n">
        <f aca="false">IF('🎚️ Escenario'!$C$4="7 + Autofinanciado",IF($T95&lt;&gt;"",1,0),IF('🎚️ Escenario'!$C$4="Primera Ola",$P95,IF(OR(ISNUMBER(SEARCH("Dominicana",$C95)),ISNUMBER(SEARCH("Guatemala",$C95)),ISNUMBER(SEARCH("Salvador",$C95)),ISNUMBER(SEARCH("Regional",$C95))),0,1)))</f>
        <v>1</v>
      </c>
      <c r="P95" s="212" t="n">
        <v>0</v>
      </c>
      <c r="Q95" s="212"/>
      <c r="R95" s="212" t="n">
        <v>2035</v>
      </c>
      <c r="S95" s="212" t="n">
        <v>2036</v>
      </c>
      <c r="T95" s="212"/>
    </row>
    <row r="96" customFormat="false" ht="15" hidden="false" customHeight="false" outlineLevel="0" collapsed="false">
      <c r="B96" s="63" t="n">
        <v>88</v>
      </c>
      <c r="C96" s="9" t="s">
        <v>750</v>
      </c>
      <c r="D96" s="9" t="s">
        <v>748</v>
      </c>
      <c r="E96" s="216" t="s">
        <v>745</v>
      </c>
      <c r="F96" s="136" t="n">
        <v>12</v>
      </c>
      <c r="G96" s="207" t="n">
        <f aca="false">IF(AND('🎚️ Escenario'!$C$4="7 + Autofinanciado",$T96&lt;&gt;""),$T96,IF(AND('🎚️ Escenario'!$C$4="Primera Ola",$Q96&lt;&gt;""),$Q96,IF(AND('🎚️ Escenario'!$C$4="A slow",$S96&lt;&gt;""),$S96,$R96)))</f>
        <v>2036</v>
      </c>
      <c r="H96" s="179" t="n">
        <f aca="false">$C$7</f>
        <v>100000</v>
      </c>
      <c r="I96" s="208" t="n">
        <f aca="false">VLOOKUP(LEFT(E96,1),'⑮ Cohort Engine'!$B$14:$F$18,5,FALSE())</f>
        <v>23000</v>
      </c>
      <c r="J96" s="136" t="n">
        <v>12</v>
      </c>
      <c r="K96" s="9" t="s">
        <v>701</v>
      </c>
      <c r="L96" s="41" t="s">
        <v>759</v>
      </c>
      <c r="M96" s="18" t="s">
        <v>761</v>
      </c>
      <c r="N96" s="213" t="s">
        <v>703</v>
      </c>
      <c r="O96" s="211" t="n">
        <f aca="false">IF('🎚️ Escenario'!$C$4="7 + Autofinanciado",IF($T96&lt;&gt;"",1,0),IF('🎚️ Escenario'!$C$4="Primera Ola",$P96,IF(OR(ISNUMBER(SEARCH("Dominicana",$C96)),ISNUMBER(SEARCH("Guatemala",$C96)),ISNUMBER(SEARCH("Salvador",$C96)),ISNUMBER(SEARCH("Regional",$C96))),0,1)))</f>
        <v>1</v>
      </c>
      <c r="P96" s="212" t="n">
        <v>0</v>
      </c>
      <c r="Q96" s="212"/>
      <c r="R96" s="212" t="n">
        <v>2035</v>
      </c>
      <c r="S96" s="212" t="n">
        <v>2036</v>
      </c>
      <c r="T96" s="212"/>
    </row>
    <row r="97" customFormat="false" ht="15" hidden="false" customHeight="false" outlineLevel="0" collapsed="false">
      <c r="B97" s="63" t="n">
        <v>22</v>
      </c>
      <c r="C97" s="9" t="s">
        <v>747</v>
      </c>
      <c r="D97" s="9" t="s">
        <v>748</v>
      </c>
      <c r="E97" s="216" t="s">
        <v>745</v>
      </c>
      <c r="F97" s="136" t="n">
        <v>10</v>
      </c>
      <c r="G97" s="207" t="n">
        <f aca="false">IF(AND('🎚️ Escenario'!$C$4="7 + Autofinanciado",$T97&lt;&gt;""),$T97,IF(AND('🎚️ Escenario'!$C$4="Primera Ola",$Q97&lt;&gt;""),$Q97,IF(AND('🎚️ Escenario'!$C$4="A slow",$S97&lt;&gt;""),$S97,$R97)))</f>
        <v>2031</v>
      </c>
      <c r="H97" s="179" t="n">
        <f aca="false">$C$7</f>
        <v>100000</v>
      </c>
      <c r="I97" s="208" t="n">
        <f aca="false">VLOOKUP(LEFT(E97,1),'⑮ Cohort Engine'!$B$14:$F$18,5,FALSE())</f>
        <v>23000</v>
      </c>
      <c r="J97" s="136" t="n">
        <v>12</v>
      </c>
      <c r="K97" s="9" t="s">
        <v>701</v>
      </c>
      <c r="L97" s="41" t="s">
        <v>733</v>
      </c>
      <c r="M97" s="18" t="s">
        <v>749</v>
      </c>
      <c r="N97" s="213" t="s">
        <v>703</v>
      </c>
      <c r="O97" s="211" t="n">
        <f aca="false">IF('🎚️ Escenario'!$C$4="7 + Autofinanciado",IF($T97&lt;&gt;"",1,0),IF('🎚️ Escenario'!$C$4="Primera Ola",$P97,IF(OR(ISNUMBER(SEARCH("Dominicana",$C97)),ISNUMBER(SEARCH("Guatemala",$C97)),ISNUMBER(SEARCH("Salvador",$C97)),ISNUMBER(SEARCH("Regional",$C97))),0,1)))</f>
        <v>1</v>
      </c>
      <c r="P97" s="212" t="n">
        <v>0</v>
      </c>
      <c r="Q97" s="212"/>
      <c r="R97" s="212" t="n">
        <v>2029</v>
      </c>
      <c r="S97" s="212" t="n">
        <v>2031</v>
      </c>
      <c r="T97" s="212" t="n">
        <v>2032</v>
      </c>
    </row>
    <row r="98" customFormat="false" ht="15" hidden="false" customHeight="false" outlineLevel="0" collapsed="false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</row>
    <row r="99" customFormat="false" ht="15" hidden="false" customHeight="false" outlineLevel="0" collapsed="false">
      <c r="B99" s="21" t="s">
        <v>762</v>
      </c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9"/>
      <c r="P99" s="9"/>
      <c r="Q99" s="9"/>
      <c r="R99" s="9"/>
      <c r="S99" s="9"/>
    </row>
    <row r="100" customFormat="false" ht="15" hidden="false" customHeight="false" outlineLevel="0" collapsed="false">
      <c r="B100" s="9" t="s">
        <v>123</v>
      </c>
      <c r="C100" s="217" t="n">
        <v>2025</v>
      </c>
      <c r="D100" s="217" t="n">
        <v>2026</v>
      </c>
      <c r="E100" s="217" t="n">
        <v>2027</v>
      </c>
      <c r="F100" s="217" t="n">
        <v>2028</v>
      </c>
      <c r="G100" s="217" t="n">
        <v>2029</v>
      </c>
      <c r="H100" s="217" t="n">
        <v>2030</v>
      </c>
      <c r="I100" s="217" t="n">
        <v>2031</v>
      </c>
      <c r="J100" s="217" t="n">
        <v>2032</v>
      </c>
      <c r="K100" s="217" t="n">
        <v>2033</v>
      </c>
      <c r="L100" s="217" t="n">
        <v>2034</v>
      </c>
      <c r="M100" s="217" t="n">
        <v>2035</v>
      </c>
      <c r="N100" s="217" t="n">
        <v>2036</v>
      </c>
      <c r="O100" s="9"/>
      <c r="P100" s="9"/>
      <c r="Q100" s="9"/>
      <c r="R100" s="9"/>
      <c r="S100" s="9"/>
    </row>
    <row r="101" customFormat="false" ht="15" hidden="false" customHeight="false" outlineLevel="0" collapsed="false">
      <c r="B101" s="9" t="s">
        <v>763</v>
      </c>
      <c r="C101" s="63" t="n">
        <f aca="false" t="array" ref="C101:C101">SUMPRODUCT(($G$10:$G$97=2025)*($O$10:$O$97))</f>
        <v>4</v>
      </c>
      <c r="D101" s="63" t="n">
        <f aca="false" t="array" ref="D101:D101">SUMPRODUCT(($G$10:$G$97=2026)*($O$10:$O$97))</f>
        <v>0</v>
      </c>
      <c r="E101" s="63" t="n">
        <f aca="false" t="array" ref="E101:E101">SUMPRODUCT(($G$10:$G$97=2027)*($O$10:$O$97))</f>
        <v>7</v>
      </c>
      <c r="F101" s="63" t="n">
        <f aca="false" t="array" ref="F101:F101">SUMPRODUCT(($G$10:$G$97=2028)*($O$10:$O$97))</f>
        <v>7</v>
      </c>
      <c r="G101" s="63" t="n">
        <f aca="false" t="array" ref="G101:G101">SUMPRODUCT(($G$10:$G$97=2029)*($O$10:$O$97))</f>
        <v>1</v>
      </c>
      <c r="H101" s="63" t="n">
        <f aca="false" t="array" ref="H101:H101">SUMPRODUCT(($G$10:$G$97=2030)*($O$10:$O$97))</f>
        <v>4</v>
      </c>
      <c r="I101" s="63" t="n">
        <f aca="false" t="array" ref="I101:I101">SUMPRODUCT(($G$10:$G$97=2031)*($O$10:$O$97))</f>
        <v>7</v>
      </c>
      <c r="J101" s="63" t="n">
        <f aca="false" t="array" ref="J101:J101">SUMPRODUCT(($G$10:$G$97=2032)*($O$10:$O$97))</f>
        <v>4</v>
      </c>
      <c r="K101" s="63" t="n">
        <f aca="false" t="array" ref="K101:K101">SUMPRODUCT(($G$10:$G$97=2033)*($O$10:$O$97))</f>
        <v>8</v>
      </c>
      <c r="L101" s="63" t="n">
        <f aca="false" t="array" ref="L101:L101">SUMPRODUCT(($G$10:$G$97=2034)*($O$10:$O$97))</f>
        <v>12</v>
      </c>
      <c r="M101" s="63" t="n">
        <f aca="false" t="array" ref="M101:M101">SUMPRODUCT(($G$10:$G$97=2035)*($O$10:$O$97))</f>
        <v>12</v>
      </c>
      <c r="N101" s="63" t="n">
        <f aca="false" t="array" ref="N101:N101">SUMPRODUCT(($G$10:$G$97=2036)*($O$10:$O$97))</f>
        <v>9</v>
      </c>
      <c r="O101" s="9"/>
      <c r="P101" s="9"/>
      <c r="Q101" s="9"/>
      <c r="R101" s="9"/>
      <c r="S101" s="9"/>
    </row>
    <row r="102" customFormat="false" ht="15" hidden="false" customHeight="false" outlineLevel="0" collapsed="false">
      <c r="B102" s="185" t="s">
        <v>764</v>
      </c>
      <c r="C102" s="218" t="n">
        <f aca="false">C101</f>
        <v>4</v>
      </c>
      <c r="D102" s="218" t="n">
        <f aca="false">C102+D101</f>
        <v>4</v>
      </c>
      <c r="E102" s="218" t="n">
        <f aca="false">D102+E101</f>
        <v>11</v>
      </c>
      <c r="F102" s="218" t="n">
        <f aca="false">E102+F101</f>
        <v>18</v>
      </c>
      <c r="G102" s="218" t="n">
        <f aca="false">F102+G101</f>
        <v>19</v>
      </c>
      <c r="H102" s="218" t="n">
        <f aca="false">G102+H101</f>
        <v>23</v>
      </c>
      <c r="I102" s="218" t="n">
        <f aca="false">H102+I101</f>
        <v>30</v>
      </c>
      <c r="J102" s="218" t="n">
        <f aca="false">I102+J101</f>
        <v>34</v>
      </c>
      <c r="K102" s="218" t="n">
        <f aca="false">J102+K101</f>
        <v>42</v>
      </c>
      <c r="L102" s="218" t="n">
        <f aca="false">K102+L101</f>
        <v>54</v>
      </c>
      <c r="M102" s="218" t="n">
        <f aca="false">L102+M101</f>
        <v>66</v>
      </c>
      <c r="N102" s="218" t="n">
        <f aca="false">M102+N101</f>
        <v>75</v>
      </c>
      <c r="O102" s="9"/>
      <c r="P102" s="9"/>
      <c r="Q102" s="9"/>
      <c r="R102" s="9"/>
      <c r="S102" s="9"/>
    </row>
    <row r="103" customFormat="false" ht="15" hidden="false" customHeight="false" outlineLevel="0" collapsed="false">
      <c r="B103" s="36" t="s">
        <v>765</v>
      </c>
      <c r="C103" s="179" t="n">
        <f aca="false" t="array" ref="C103:C103">SUMPRODUCT(($G$10:$G$97=2025)*($O$10:$O$97)*$H$10:$H$97)</f>
        <v>285000</v>
      </c>
      <c r="D103" s="179" t="n">
        <f aca="false" t="array" ref="D103:D103">SUMPRODUCT(($G$10:$G$97=2026)*($O$10:$O$97)*$H$10:$H$97)</f>
        <v>0</v>
      </c>
      <c r="E103" s="179" t="n">
        <f aca="false" t="array" ref="E103:E103">SUMPRODUCT(($G$10:$G$97=2027)*($O$10:$O$97)*$H$10:$H$97)</f>
        <v>700000</v>
      </c>
      <c r="F103" s="179" t="n">
        <f aca="false" t="array" ref="F103:F103">SUMPRODUCT(($G$10:$G$97=2028)*($O$10:$O$97)*$H$10:$H$97)</f>
        <v>700000</v>
      </c>
      <c r="G103" s="179" t="n">
        <f aca="false" t="array" ref="G103:G103">SUMPRODUCT(($G$10:$G$97=2029)*($O$10:$O$97)*$H$10:$H$97)</f>
        <v>100000</v>
      </c>
      <c r="H103" s="179" t="n">
        <f aca="false" t="array" ref="H103:H103">SUMPRODUCT(($G$10:$G$97=2030)*($O$10:$O$97)*$H$10:$H$97)</f>
        <v>400000</v>
      </c>
      <c r="I103" s="179" t="n">
        <f aca="false" t="array" ref="I103:I103">SUMPRODUCT(($G$10:$G$97=2031)*($O$10:$O$97)*$H$10:$H$97)</f>
        <v>700000</v>
      </c>
      <c r="J103" s="179" t="n">
        <f aca="false" t="array" ref="J103:J103">SUMPRODUCT(($G$10:$G$97=2032)*($O$10:$O$97)*$H$10:$H$97)</f>
        <v>400000</v>
      </c>
      <c r="K103" s="179" t="n">
        <f aca="false" t="array" ref="K103:K103">SUMPRODUCT(($G$10:$G$97=2033)*($O$10:$O$97)*$H$10:$H$97)</f>
        <v>800000</v>
      </c>
      <c r="L103" s="179" t="n">
        <f aca="false" t="array" ref="L103:L103">SUMPRODUCT(($G$10:$G$97=2034)*($O$10:$O$97)*$H$10:$H$97)</f>
        <v>1200000</v>
      </c>
      <c r="M103" s="179" t="n">
        <f aca="false" t="array" ref="M103:M103">SUMPRODUCT(($G$10:$G$97=2035)*($O$10:$O$97)*$H$10:$H$97)</f>
        <v>1200000</v>
      </c>
      <c r="N103" s="179" t="n">
        <f aca="false" t="array" ref="N103:N103">SUMPRODUCT(($G$10:$G$97=2036)*($O$10:$O$97)*$H$10:$H$97)</f>
        <v>900000</v>
      </c>
      <c r="O103" s="9"/>
      <c r="P103" s="9"/>
      <c r="Q103" s="9"/>
      <c r="R103" s="9"/>
      <c r="S103" s="9"/>
    </row>
  </sheetData>
  <mergeCells count="2">
    <mergeCell ref="B1:N1"/>
    <mergeCell ref="B3:D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5D50"/>
    <pageSetUpPr fitToPage="false"/>
  </sheetPr>
  <dimension ref="B1:FP1271"/>
  <sheetViews>
    <sheetView showFormulas="false" showGridLines="true" showRowColHeaders="true" showZeros="true" rightToLeft="false" tabSelected="false" showOutlineSymbols="true" defaultGridColor="true" view="normal" topLeftCell="A741" colorId="64" zoomScale="109" zoomScaleNormal="109" zoomScalePageLayoutView="100" workbookViewId="0">
      <pane xSplit="2" ySplit="0" topLeftCell="DA741" activePane="topRight" state="frozen"/>
      <selection pane="topLeft" activeCell="A741" activeCellId="0" sqref="A741"/>
      <selection pane="topRight" activeCell="DV720" activeCellId="0" sqref="DV720"/>
    </sheetView>
  </sheetViews>
  <sheetFormatPr defaultColWidth="10.6796875" defaultRowHeight="15" zeroHeight="false" outlineLevelRow="2" outlineLevelCol="1"/>
  <cols>
    <col collapsed="false" customWidth="true" hidden="false" outlineLevel="0" max="1" min="1" style="0" width="2"/>
    <col collapsed="false" customWidth="true" hidden="false" outlineLevel="0" max="2" min="2" style="0" width="41.67"/>
    <col collapsed="false" customWidth="true" hidden="false" outlineLevel="0" max="3" min="3" style="0" width="16.67"/>
    <col collapsed="false" customWidth="true" hidden="false" outlineLevel="0" max="4" min="4" style="0" width="46.67"/>
    <col collapsed="false" customWidth="true" hidden="false" outlineLevel="0" max="5" min="5" style="0" width="36.67"/>
    <col collapsed="false" customWidth="true" hidden="false" outlineLevel="0" max="6" min="6" style="0" width="13.34"/>
    <col collapsed="false" customWidth="true" hidden="false" outlineLevel="0" max="9" min="7" style="0" width="9.16"/>
    <col collapsed="false" customWidth="true" hidden="false" outlineLevel="0" max="13" min="10" style="0" width="12.67"/>
    <col collapsed="false" customWidth="true" hidden="false" outlineLevel="0" max="19" min="14" style="0" width="9.16"/>
    <col collapsed="false" customWidth="true" hidden="false" outlineLevel="1" max="20" min="20" style="0" width="9.16"/>
    <col collapsed="false" customWidth="true" hidden="false" outlineLevel="0" max="26" min="21" style="0" width="9.16"/>
    <col collapsed="false" customWidth="true" hidden="false" outlineLevel="1" max="172" min="29" style="0" width="10.83"/>
  </cols>
  <sheetData>
    <row r="1" customFormat="false" ht="15.75" hidden="false" customHeight="true" outlineLevel="0" collapsed="false">
      <c r="B1" s="176" t="s">
        <v>766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</row>
    <row r="2" customFormat="false" ht="15" hidden="false" customHeight="false" outlineLevel="0" collapsed="false">
      <c r="B2" s="44" t="s">
        <v>767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</row>
    <row r="3" customFormat="false" ht="15" hidden="false" customHeight="false" outlineLevel="0" collapsed="false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</row>
    <row r="4" customFormat="false" ht="15.75" hidden="false" customHeight="true" outlineLevel="0" collapsed="false">
      <c r="B4" s="219" t="s">
        <v>654</v>
      </c>
      <c r="C4" s="219"/>
      <c r="D4" s="219"/>
      <c r="E4" s="26"/>
      <c r="F4" s="26"/>
      <c r="G4" s="9"/>
      <c r="H4" s="220" t="s">
        <v>768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</row>
    <row r="5" customFormat="false" ht="15" hidden="false" customHeight="false" outlineLevel="0" collapsed="false">
      <c r="B5" s="9" t="s">
        <v>769</v>
      </c>
      <c r="C5" s="208" t="n">
        <f aca="false">'⑮ Cohort Engine'!C1163</f>
        <v>131</v>
      </c>
      <c r="D5" s="90" t="s">
        <v>770</v>
      </c>
      <c r="E5" s="9"/>
      <c r="F5" s="9"/>
      <c r="G5" s="9"/>
      <c r="H5" s="9" t="s">
        <v>771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</row>
    <row r="6" customFormat="false" ht="15" hidden="false" customHeight="false" outlineLevel="0" collapsed="false">
      <c r="B6" s="9" t="s">
        <v>772</v>
      </c>
      <c r="C6" s="221" t="n">
        <v>0.2</v>
      </c>
      <c r="D6" s="90" t="s">
        <v>773</v>
      </c>
      <c r="E6" s="9"/>
      <c r="F6" s="9"/>
      <c r="G6" s="9"/>
      <c r="H6" s="9" t="s">
        <v>774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</row>
    <row r="7" customFormat="false" ht="15" hidden="false" customHeight="false" outlineLevel="0" collapsed="false">
      <c r="B7" s="9" t="s">
        <v>775</v>
      </c>
      <c r="C7" s="221" t="n">
        <v>0</v>
      </c>
      <c r="D7" s="90" t="s">
        <v>776</v>
      </c>
      <c r="E7" s="9"/>
      <c r="F7" s="9"/>
      <c r="G7" s="9"/>
      <c r="H7" s="9" t="s">
        <v>777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</row>
    <row r="8" customFormat="false" ht="15" hidden="false" customHeight="false" outlineLevel="0" collapsed="false">
      <c r="B8" s="9" t="s">
        <v>778</v>
      </c>
      <c r="C8" s="221"/>
      <c r="D8" s="90"/>
      <c r="E8" s="9"/>
      <c r="F8" s="9"/>
      <c r="G8" s="9"/>
      <c r="H8" s="9" t="s">
        <v>779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</row>
    <row r="9" customFormat="false" ht="15" hidden="false" customHeight="false" outlineLevel="0" collapsed="false">
      <c r="B9" s="9"/>
      <c r="C9" s="198"/>
      <c r="D9" s="90"/>
      <c r="E9" s="9"/>
      <c r="F9" s="198"/>
      <c r="G9" s="9"/>
      <c r="H9" s="9" t="s">
        <v>780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</row>
    <row r="10" customFormat="false" ht="15" hidden="false" customHeight="false" outlineLevel="0" collapsed="false">
      <c r="B10" s="9"/>
      <c r="C10" s="41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</row>
    <row r="11" customFormat="false" ht="15" hidden="false" customHeight="false" outlineLevel="0" collapsed="false">
      <c r="B11" s="9"/>
      <c r="C11" s="9"/>
      <c r="D11" s="9"/>
      <c r="E11" s="9"/>
      <c r="F11" s="9"/>
      <c r="G11" s="9"/>
      <c r="H11" s="36" t="s">
        <v>781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</row>
    <row r="12" customFormat="false" ht="15" hidden="false" customHeight="false" outlineLevel="0" collapsed="false">
      <c r="B12" s="36"/>
      <c r="C12" s="55"/>
      <c r="D12" s="222"/>
      <c r="E12" s="36"/>
      <c r="F12" s="9"/>
      <c r="G12" s="9"/>
      <c r="H12" s="9" t="s">
        <v>782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</row>
    <row r="13" customFormat="false" ht="15" hidden="false" customHeight="false" outlineLevel="0" collapsed="false">
      <c r="B13" s="219" t="s">
        <v>783</v>
      </c>
      <c r="C13" s="26" t="s">
        <v>784</v>
      </c>
      <c r="D13" s="26" t="s">
        <v>785</v>
      </c>
      <c r="E13" s="26" t="s">
        <v>786</v>
      </c>
      <c r="F13" s="27" t="s">
        <v>787</v>
      </c>
      <c r="G13" s="223" t="s">
        <v>788</v>
      </c>
      <c r="H13" s="26" t="s">
        <v>789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</row>
    <row r="14" customFormat="false" ht="15" hidden="false" customHeight="false" outlineLevel="0" collapsed="false">
      <c r="B14" s="9" t="s">
        <v>38</v>
      </c>
      <c r="C14" s="224" t="n">
        <v>210</v>
      </c>
      <c r="D14" s="225" t="n">
        <f aca="false">F14</f>
        <v>35000</v>
      </c>
      <c r="E14" s="226" t="n">
        <f aca="false">D14/C14</f>
        <v>166.666666666667</v>
      </c>
      <c r="F14" s="227" t="n">
        <v>35000</v>
      </c>
      <c r="G14" s="9"/>
      <c r="H14" s="9" t="s">
        <v>790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</row>
    <row r="15" customFormat="false" ht="15" hidden="false" customHeight="false" outlineLevel="0" collapsed="false">
      <c r="B15" s="9" t="s">
        <v>791</v>
      </c>
      <c r="C15" s="224" t="n">
        <v>185</v>
      </c>
      <c r="D15" s="225" t="n">
        <f aca="false">F15</f>
        <v>27000</v>
      </c>
      <c r="E15" s="226" t="n">
        <f aca="false">D15/C15</f>
        <v>145.945945945946</v>
      </c>
      <c r="F15" s="227" t="n">
        <v>27000</v>
      </c>
      <c r="G15" s="9"/>
      <c r="H15" s="9" t="s">
        <v>792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</row>
    <row r="16" customFormat="false" ht="15" hidden="false" customHeight="false" outlineLevel="0" collapsed="false">
      <c r="B16" s="9" t="s">
        <v>752</v>
      </c>
      <c r="C16" s="224" t="n">
        <v>110</v>
      </c>
      <c r="D16" s="225" t="n">
        <f aca="false">F16</f>
        <v>23000</v>
      </c>
      <c r="E16" s="226" t="n">
        <f aca="false">D16/C16</f>
        <v>209.090909090909</v>
      </c>
      <c r="F16" s="227" t="n">
        <v>23000</v>
      </c>
      <c r="G16" s="9"/>
      <c r="H16" s="9" t="s">
        <v>793</v>
      </c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</row>
    <row r="17" customFormat="false" ht="15" hidden="false" customHeight="false" outlineLevel="0" collapsed="false">
      <c r="B17" s="9" t="s">
        <v>794</v>
      </c>
      <c r="C17" s="224" t="n">
        <v>75</v>
      </c>
      <c r="D17" s="225" t="n">
        <f aca="false">F17</f>
        <v>15000</v>
      </c>
      <c r="E17" s="226" t="n">
        <f aca="false">D17/C17</f>
        <v>200</v>
      </c>
      <c r="F17" s="227" t="n">
        <v>15000</v>
      </c>
      <c r="G17" s="9"/>
      <c r="H17" s="9" t="s">
        <v>795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</row>
    <row r="18" customFormat="false" ht="15" hidden="false" customHeight="false" outlineLevel="0" collapsed="false">
      <c r="B18" s="9" t="s">
        <v>796</v>
      </c>
      <c r="C18" s="224" t="n">
        <v>130</v>
      </c>
      <c r="D18" s="225" t="n">
        <f aca="false">F18</f>
        <v>22000</v>
      </c>
      <c r="E18" s="226" t="n">
        <f aca="false">D18/C18</f>
        <v>169.230769230769</v>
      </c>
      <c r="F18" s="227" t="n">
        <v>22000</v>
      </c>
      <c r="G18" s="9"/>
      <c r="H18" s="228" t="s">
        <v>797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</row>
    <row r="19" customFormat="false" ht="15" hidden="false" customHeight="false" outlineLevel="0" collapsed="false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</row>
    <row r="20" customFormat="false" ht="15" hidden="false" customHeight="false" outlineLevel="0" collapsed="false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</row>
    <row r="21" customFormat="false" ht="15" hidden="false" customHeight="false" outlineLevel="0" collapsed="false">
      <c r="B21" s="21" t="s">
        <v>798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</row>
    <row r="22" customFormat="false" ht="15" hidden="false" customHeight="false" outlineLevel="0" collapsed="false">
      <c r="B22" s="27" t="s">
        <v>799</v>
      </c>
      <c r="C22" s="27" t="s">
        <v>800</v>
      </c>
      <c r="D22" s="27" t="s">
        <v>801</v>
      </c>
      <c r="E22" s="27" t="s">
        <v>802</v>
      </c>
      <c r="F22" s="27" t="s">
        <v>803</v>
      </c>
      <c r="G22" s="27" t="s">
        <v>804</v>
      </c>
      <c r="H22" s="27" t="s">
        <v>805</v>
      </c>
      <c r="I22" s="27" t="s">
        <v>806</v>
      </c>
      <c r="J22" s="27" t="s">
        <v>807</v>
      </c>
      <c r="K22" s="27" t="s">
        <v>808</v>
      </c>
      <c r="L22" s="27" t="s">
        <v>809</v>
      </c>
      <c r="M22" s="27" t="s">
        <v>810</v>
      </c>
      <c r="N22" s="27" t="s">
        <v>811</v>
      </c>
      <c r="O22" s="27" t="s">
        <v>812</v>
      </c>
      <c r="P22" s="27" t="s">
        <v>813</v>
      </c>
      <c r="Q22" s="27" t="s">
        <v>814</v>
      </c>
      <c r="R22" s="27" t="s">
        <v>815</v>
      </c>
      <c r="S22" s="27" t="s">
        <v>816</v>
      </c>
      <c r="T22" s="27" t="s">
        <v>817</v>
      </c>
      <c r="U22" s="27" t="s">
        <v>818</v>
      </c>
      <c r="V22" s="27" t="s">
        <v>819</v>
      </c>
      <c r="W22" s="27" t="s">
        <v>820</v>
      </c>
      <c r="X22" s="27" t="s">
        <v>821</v>
      </c>
      <c r="Y22" s="27" t="s">
        <v>822</v>
      </c>
      <c r="Z22" s="27" t="s">
        <v>823</v>
      </c>
      <c r="AA22" s="27" t="s">
        <v>824</v>
      </c>
      <c r="AB22" s="27" t="s">
        <v>825</v>
      </c>
      <c r="AC22" s="27" t="s">
        <v>826</v>
      </c>
      <c r="AD22" s="27" t="s">
        <v>827</v>
      </c>
      <c r="AE22" s="27" t="s">
        <v>828</v>
      </c>
      <c r="AF22" s="27" t="s">
        <v>829</v>
      </c>
      <c r="AG22" s="27" t="s">
        <v>830</v>
      </c>
      <c r="AH22" s="27" t="s">
        <v>831</v>
      </c>
      <c r="AI22" s="27" t="s">
        <v>832</v>
      </c>
      <c r="AJ22" s="27" t="s">
        <v>833</v>
      </c>
      <c r="AK22" s="27" t="s">
        <v>834</v>
      </c>
      <c r="AL22" s="27" t="s">
        <v>835</v>
      </c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</row>
    <row r="23" customFormat="false" ht="15" hidden="false" customHeight="false" outlineLevel="0" collapsed="false">
      <c r="B23" s="30" t="s">
        <v>836</v>
      </c>
      <c r="C23" s="229" t="n">
        <v>0.2</v>
      </c>
      <c r="D23" s="229" t="n">
        <v>0.22</v>
      </c>
      <c r="E23" s="229" t="n">
        <v>0.24</v>
      </c>
      <c r="F23" s="229" t="n">
        <v>0.27</v>
      </c>
      <c r="G23" s="229" t="n">
        <v>0.31</v>
      </c>
      <c r="H23" s="229" t="n">
        <v>0.35</v>
      </c>
      <c r="I23" s="229" t="n">
        <v>0.39</v>
      </c>
      <c r="J23" s="229" t="n">
        <v>0.44</v>
      </c>
      <c r="K23" s="229" t="n">
        <v>0.48</v>
      </c>
      <c r="L23" s="229" t="n">
        <v>0.52</v>
      </c>
      <c r="M23" s="229" t="n">
        <v>0.56</v>
      </c>
      <c r="N23" s="229" t="n">
        <v>0.6</v>
      </c>
      <c r="O23" s="229" t="n">
        <v>0.63</v>
      </c>
      <c r="P23" s="229" t="n">
        <v>0.66</v>
      </c>
      <c r="Q23" s="229" t="n">
        <v>0.69</v>
      </c>
      <c r="R23" s="229" t="n">
        <v>0.71</v>
      </c>
      <c r="S23" s="229" t="n">
        <v>0.73</v>
      </c>
      <c r="T23" s="229" t="n">
        <v>0.75</v>
      </c>
      <c r="U23" s="229" t="n">
        <v>0.77</v>
      </c>
      <c r="V23" s="229" t="n">
        <v>0.79</v>
      </c>
      <c r="W23" s="229" t="n">
        <v>0.8</v>
      </c>
      <c r="X23" s="229" t="n">
        <v>0.82</v>
      </c>
      <c r="Y23" s="229" t="n">
        <v>0.84</v>
      </c>
      <c r="Z23" s="229" t="n">
        <v>0.85</v>
      </c>
      <c r="AA23" s="229" t="n">
        <v>0.86</v>
      </c>
      <c r="AB23" s="229" t="n">
        <v>0.88</v>
      </c>
      <c r="AC23" s="229" t="n">
        <v>0.89</v>
      </c>
      <c r="AD23" s="229" t="n">
        <v>0.9</v>
      </c>
      <c r="AE23" s="229" t="n">
        <v>0.92</v>
      </c>
      <c r="AF23" s="229" t="n">
        <v>0.93</v>
      </c>
      <c r="AG23" s="229" t="n">
        <v>0.94</v>
      </c>
      <c r="AH23" s="229" t="n">
        <v>0.95</v>
      </c>
      <c r="AI23" s="229" t="n">
        <v>0.97</v>
      </c>
      <c r="AJ23" s="229" t="n">
        <v>0.98</v>
      </c>
      <c r="AK23" s="229" t="n">
        <v>0.99</v>
      </c>
      <c r="AL23" s="229" t="n">
        <v>1</v>
      </c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</row>
    <row r="24" customFormat="false" ht="15" hidden="false" customHeight="false" outlineLevel="0" collapsed="false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</row>
    <row r="25" customFormat="false" ht="15" hidden="false" customHeight="false" outlineLevel="0" collapsed="false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</row>
    <row r="26" customFormat="false" ht="15" hidden="false" customHeight="false" outlineLevel="0" collapsed="false">
      <c r="B26" s="21" t="s">
        <v>837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</row>
    <row r="27" customFormat="false" ht="15" hidden="false" customHeight="false" outlineLevel="0" collapsed="false">
      <c r="B27" s="27" t="s">
        <v>838</v>
      </c>
      <c r="C27" s="27"/>
      <c r="D27" s="27" t="s">
        <v>800</v>
      </c>
      <c r="E27" s="27" t="s">
        <v>801</v>
      </c>
      <c r="F27" s="27" t="s">
        <v>802</v>
      </c>
      <c r="G27" s="27" t="s">
        <v>803</v>
      </c>
      <c r="H27" s="27" t="s">
        <v>804</v>
      </c>
      <c r="I27" s="27" t="s">
        <v>805</v>
      </c>
      <c r="J27" s="27" t="s">
        <v>806</v>
      </c>
      <c r="K27" s="27" t="s">
        <v>807</v>
      </c>
      <c r="L27" s="27" t="s">
        <v>808</v>
      </c>
      <c r="M27" s="27" t="s">
        <v>809</v>
      </c>
      <c r="N27" s="27" t="s">
        <v>810</v>
      </c>
      <c r="O27" s="27" t="s">
        <v>811</v>
      </c>
      <c r="P27" s="27" t="s">
        <v>812</v>
      </c>
      <c r="Q27" s="27" t="s">
        <v>813</v>
      </c>
      <c r="R27" s="27" t="s">
        <v>814</v>
      </c>
      <c r="S27" s="27" t="s">
        <v>815</v>
      </c>
      <c r="T27" s="27" t="s">
        <v>816</v>
      </c>
      <c r="U27" s="27" t="s">
        <v>817</v>
      </c>
      <c r="V27" s="27" t="s">
        <v>818</v>
      </c>
      <c r="W27" s="27" t="s">
        <v>819</v>
      </c>
      <c r="X27" s="27" t="s">
        <v>820</v>
      </c>
      <c r="Y27" s="27" t="s">
        <v>821</v>
      </c>
      <c r="Z27" s="27" t="s">
        <v>822</v>
      </c>
      <c r="AA27" s="27" t="s">
        <v>824</v>
      </c>
      <c r="AB27" s="27" t="s">
        <v>825</v>
      </c>
      <c r="AC27" s="27" t="s">
        <v>826</v>
      </c>
      <c r="AD27" s="27" t="s">
        <v>827</v>
      </c>
      <c r="AE27" s="27" t="s">
        <v>828</v>
      </c>
      <c r="AF27" s="27" t="s">
        <v>829</v>
      </c>
      <c r="AG27" s="27" t="s">
        <v>830</v>
      </c>
      <c r="AH27" s="27" t="s">
        <v>831</v>
      </c>
      <c r="AI27" s="27" t="s">
        <v>832</v>
      </c>
      <c r="AJ27" s="27" t="s">
        <v>833</v>
      </c>
      <c r="AK27" s="27" t="s">
        <v>834</v>
      </c>
      <c r="AL27" s="27" t="s">
        <v>835</v>
      </c>
      <c r="AM27" s="27" t="s">
        <v>839</v>
      </c>
      <c r="AN27" s="27" t="s">
        <v>840</v>
      </c>
      <c r="AO27" s="27" t="s">
        <v>841</v>
      </c>
      <c r="AP27" s="27" t="s">
        <v>842</v>
      </c>
      <c r="AQ27" s="27" t="s">
        <v>843</v>
      </c>
      <c r="AR27" s="27" t="s">
        <v>844</v>
      </c>
      <c r="AS27" s="27" t="s">
        <v>845</v>
      </c>
      <c r="AT27" s="27" t="s">
        <v>846</v>
      </c>
      <c r="AU27" s="27" t="s">
        <v>847</v>
      </c>
      <c r="AV27" s="27" t="s">
        <v>848</v>
      </c>
      <c r="AW27" s="27" t="s">
        <v>849</v>
      </c>
      <c r="AX27" s="27" t="s">
        <v>850</v>
      </c>
      <c r="AY27" s="27" t="s">
        <v>851</v>
      </c>
      <c r="AZ27" s="27" t="s">
        <v>852</v>
      </c>
      <c r="BA27" s="27" t="s">
        <v>853</v>
      </c>
      <c r="BB27" s="27" t="s">
        <v>854</v>
      </c>
      <c r="BC27" s="27" t="s">
        <v>855</v>
      </c>
      <c r="BD27" s="27" t="s">
        <v>856</v>
      </c>
      <c r="BE27" s="27" t="s">
        <v>857</v>
      </c>
      <c r="BF27" s="27" t="s">
        <v>858</v>
      </c>
      <c r="BG27" s="27" t="s">
        <v>859</v>
      </c>
      <c r="BH27" s="27" t="s">
        <v>860</v>
      </c>
      <c r="BI27" s="27" t="s">
        <v>861</v>
      </c>
      <c r="BJ27" s="27" t="s">
        <v>862</v>
      </c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</row>
    <row r="28" customFormat="false" ht="15" hidden="false" customHeight="false" outlineLevel="0" collapsed="false">
      <c r="B28" s="9" t="s">
        <v>863</v>
      </c>
      <c r="C28" s="230"/>
      <c r="D28" s="230"/>
      <c r="E28" s="230"/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30"/>
      <c r="V28" s="230"/>
      <c r="W28" s="230"/>
      <c r="X28" s="230"/>
      <c r="Y28" s="230"/>
      <c r="Z28" s="230"/>
      <c r="AA28" s="230"/>
      <c r="AB28" s="230"/>
      <c r="AC28" s="230"/>
      <c r="AD28" s="230"/>
      <c r="AE28" s="230"/>
      <c r="AF28" s="230"/>
      <c r="AG28" s="230"/>
      <c r="AH28" s="230"/>
      <c r="AI28" s="230"/>
      <c r="AJ28" s="230"/>
      <c r="AK28" s="230"/>
      <c r="AL28" s="230"/>
      <c r="AM28" s="230"/>
      <c r="AN28" s="230"/>
      <c r="AO28" s="230"/>
      <c r="AP28" s="230"/>
      <c r="AQ28" s="230"/>
      <c r="AR28" s="230"/>
      <c r="AS28" s="230"/>
      <c r="AT28" s="230"/>
      <c r="AU28" s="230"/>
      <c r="AV28" s="230"/>
      <c r="AW28" s="230"/>
      <c r="AX28" s="230"/>
      <c r="AY28" s="230"/>
      <c r="AZ28" s="230"/>
      <c r="BA28" s="230"/>
      <c r="BB28" s="230"/>
      <c r="BC28" s="230"/>
      <c r="BD28" s="230"/>
      <c r="BE28" s="230"/>
      <c r="BF28" s="230"/>
      <c r="BG28" s="230"/>
      <c r="BH28" s="230"/>
      <c r="BI28" s="230"/>
      <c r="BJ28" s="230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</row>
    <row r="29" customFormat="false" ht="15" hidden="false" customHeight="false" outlineLevel="0" collapsed="false">
      <c r="B29" s="9"/>
      <c r="C29" s="230"/>
      <c r="D29" s="230"/>
      <c r="E29" s="230"/>
      <c r="F29" s="230"/>
      <c r="G29" s="230"/>
      <c r="H29" s="230"/>
      <c r="I29" s="230"/>
      <c r="J29" s="230"/>
      <c r="K29" s="230"/>
      <c r="L29" s="230"/>
      <c r="M29" s="230"/>
      <c r="N29" s="230"/>
      <c r="O29" s="230"/>
      <c r="P29" s="230"/>
      <c r="Q29" s="230"/>
      <c r="R29" s="230"/>
      <c r="S29" s="230"/>
      <c r="T29" s="230"/>
      <c r="U29" s="230"/>
      <c r="V29" s="230"/>
      <c r="W29" s="230"/>
      <c r="X29" s="230"/>
      <c r="Y29" s="230"/>
      <c r="Z29" s="230"/>
      <c r="AA29" s="230"/>
      <c r="AB29" s="230"/>
      <c r="AC29" s="230"/>
      <c r="AD29" s="230"/>
      <c r="AE29" s="230"/>
      <c r="AF29" s="230"/>
      <c r="AG29" s="230"/>
      <c r="AH29" s="230"/>
      <c r="AI29" s="230"/>
      <c r="AJ29" s="230"/>
      <c r="AK29" s="230"/>
      <c r="AL29" s="230"/>
      <c r="AM29" s="230"/>
      <c r="AN29" s="230"/>
      <c r="AO29" s="230"/>
      <c r="AP29" s="230"/>
      <c r="AQ29" s="230"/>
      <c r="AR29" s="230"/>
      <c r="AS29" s="230"/>
      <c r="AT29" s="230"/>
      <c r="AU29" s="230"/>
      <c r="AV29" s="230"/>
      <c r="AW29" s="230"/>
      <c r="AX29" s="230"/>
      <c r="AY29" s="230"/>
      <c r="AZ29" s="230"/>
      <c r="BA29" s="230"/>
      <c r="BB29" s="230"/>
      <c r="BC29" s="230"/>
      <c r="BD29" s="230"/>
      <c r="BE29" s="230"/>
      <c r="BF29" s="230"/>
      <c r="BG29" s="230"/>
      <c r="BH29" s="230"/>
      <c r="BI29" s="230"/>
      <c r="BJ29" s="230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</row>
    <row r="30" customFormat="false" ht="15" hidden="false" customHeight="false" outlineLevel="0" collapsed="false">
      <c r="B30" s="30" t="s">
        <v>864</v>
      </c>
      <c r="C30" s="168" t="n">
        <f aca="false">INDEX($F$1212:$F$1271,1)</f>
        <v>0.128</v>
      </c>
      <c r="D30" s="168" t="n">
        <f aca="false">INDEX($F$1212:$F$1271,2)</f>
        <v>0.0176</v>
      </c>
      <c r="E30" s="168" t="n">
        <f aca="false">INDEX($F$1212:$F$1271,3)</f>
        <v>0.0224</v>
      </c>
      <c r="F30" s="168" t="n">
        <f aca="false">INDEX($F$1212:$F$1271,4)</f>
        <v>0.0128</v>
      </c>
      <c r="G30" s="168" t="n">
        <f aca="false">INDEX($F$1212:$F$1271,5)</f>
        <v>0.00959999999999999</v>
      </c>
      <c r="H30" s="168" t="n">
        <f aca="false">INDEX($F$1212:$F$1271,6)</f>
        <v>0.00480000000000001</v>
      </c>
      <c r="I30" s="168" t="n">
        <f aca="false">INDEX($F$1212:$F$1271,7)</f>
        <v>0.016</v>
      </c>
      <c r="J30" s="168" t="n">
        <f aca="false">INDEX($F$1212:$F$1271,8)</f>
        <v>0.00480000000000001</v>
      </c>
      <c r="K30" s="168" t="n">
        <f aca="false">INDEX($F$1212:$F$1271,9)</f>
        <v>0.00959999999999996</v>
      </c>
      <c r="L30" s="168" t="n">
        <f aca="false">INDEX($F$1212:$F$1271,10)</f>
        <v>0.0176</v>
      </c>
      <c r="M30" s="168" t="n">
        <f aca="false">INDEX($F$1212:$F$1271,11)</f>
        <v>0.0032</v>
      </c>
      <c r="N30" s="168" t="n">
        <f aca="false">INDEX($F$1212:$F$1271,12)</f>
        <v>0.0272</v>
      </c>
      <c r="O30" s="168" t="n">
        <f aca="false">INDEX($F$1212:$F$1271,13)</f>
        <v>0.0352</v>
      </c>
      <c r="P30" s="168" t="n">
        <f aca="false">INDEX($F$1212:$F$1271,14)</f>
        <v>0.0112</v>
      </c>
      <c r="Q30" s="168" t="n">
        <f aca="false">INDEX($F$1212:$F$1271,15)</f>
        <v>0.0112</v>
      </c>
      <c r="R30" s="168" t="n">
        <f aca="false">INDEX($F$1212:$F$1271,16)</f>
        <v>0.00800000000000001</v>
      </c>
      <c r="S30" s="168" t="n">
        <f aca="false">INDEX($F$1212:$F$1271,17)</f>
        <v>0.0294</v>
      </c>
      <c r="T30" s="168" t="n">
        <f aca="false">INDEX($F$1212:$F$1271,18)</f>
        <v>0.0294</v>
      </c>
      <c r="U30" s="168" t="n">
        <f aca="false">INDEX($F$1212:$F$1271,19)</f>
        <v>0.0294</v>
      </c>
      <c r="V30" s="168" t="n">
        <f aca="false">INDEX($F$1212:$F$1271,20)</f>
        <v>0.0294</v>
      </c>
      <c r="W30" s="168" t="n">
        <f aca="false">INDEX($F$1212:$F$1271,21)</f>
        <v>0.0294</v>
      </c>
      <c r="X30" s="168" t="n">
        <f aca="false">INDEX($F$1212:$F$1271,22)</f>
        <v>0.0294</v>
      </c>
      <c r="Y30" s="168" t="n">
        <f aca="false">INDEX($F$1212:$F$1271,23)</f>
        <v>0.0294</v>
      </c>
      <c r="Z30" s="168" t="n">
        <f aca="false">INDEX($F$1212:$F$1271,24)</f>
        <v>0.0294</v>
      </c>
      <c r="AA30" s="168" t="n">
        <f aca="false">INDEX($F$1212:$F$1271,25)</f>
        <v>0.0294</v>
      </c>
      <c r="AB30" s="168" t="n">
        <f aca="false">INDEX($F$1212:$F$1271,26)</f>
        <v>0.0294</v>
      </c>
      <c r="AC30" s="168" t="n">
        <f aca="false">INDEX($F$1212:$F$1271,27)</f>
        <v>0.0294</v>
      </c>
      <c r="AD30" s="168" t="n">
        <f aca="false">INDEX($F$1212:$F$1271,28)</f>
        <v>0.0294</v>
      </c>
      <c r="AE30" s="168" t="n">
        <f aca="false">INDEX($F$1212:$F$1271,29)</f>
        <v>0.0294</v>
      </c>
      <c r="AF30" s="168" t="n">
        <f aca="false">INDEX($F$1212:$F$1271,30)</f>
        <v>0.0294</v>
      </c>
      <c r="AG30" s="168" t="n">
        <f aca="false">INDEX($F$1212:$F$1271,31)</f>
        <v>0.0294</v>
      </c>
      <c r="AH30" s="168" t="n">
        <f aca="false">INDEX($F$1212:$F$1271,32)</f>
        <v>0.0294</v>
      </c>
      <c r="AI30" s="168" t="n">
        <f aca="false">INDEX($F$1212:$F$1271,33)</f>
        <v>0.0294</v>
      </c>
      <c r="AJ30" s="168" t="n">
        <f aca="false">INDEX($F$1212:$F$1271,34)</f>
        <v>0.0294</v>
      </c>
      <c r="AK30" s="168" t="n">
        <f aca="false">INDEX($F$1212:$F$1271,35)</f>
        <v>0.0294</v>
      </c>
      <c r="AL30" s="168" t="n">
        <f aca="false">INDEX($F$1212:$F$1271,36)</f>
        <v>0.0294</v>
      </c>
      <c r="AM30" s="168" t="n">
        <f aca="false">INDEX($F$1212:$F$1271,37)</f>
        <v>0.0294</v>
      </c>
      <c r="AN30" s="168" t="n">
        <f aca="false">INDEX($F$1212:$F$1271,38)</f>
        <v>0.0294</v>
      </c>
      <c r="AO30" s="168" t="n">
        <f aca="false">INDEX($F$1212:$F$1271,39)</f>
        <v>0.0294</v>
      </c>
      <c r="AP30" s="168" t="n">
        <f aca="false">INDEX($F$1212:$F$1271,40)</f>
        <v>0.0294</v>
      </c>
      <c r="AQ30" s="168" t="n">
        <f aca="false">INDEX($F$1212:$F$1271,41)</f>
        <v>0.0294</v>
      </c>
      <c r="AR30" s="168" t="n">
        <f aca="false">INDEX($F$1212:$F$1271,42)</f>
        <v>0.0294</v>
      </c>
      <c r="AS30" s="168" t="n">
        <f aca="false">INDEX($F$1212:$F$1271,43)</f>
        <v>0.0294</v>
      </c>
      <c r="AT30" s="168" t="n">
        <f aca="false">INDEX($F$1212:$F$1271,44)</f>
        <v>0.0294</v>
      </c>
      <c r="AU30" s="168" t="n">
        <f aca="false">INDEX($F$1212:$F$1271,45)</f>
        <v>0.0294</v>
      </c>
      <c r="AV30" s="168" t="n">
        <f aca="false">INDEX($F$1212:$F$1271,46)</f>
        <v>0.0294</v>
      </c>
      <c r="AW30" s="168" t="n">
        <f aca="false">INDEX($F$1212:$F$1271,47)</f>
        <v>0.0294</v>
      </c>
      <c r="AX30" s="168" t="n">
        <f aca="false">INDEX($F$1212:$F$1271,48)</f>
        <v>0.0294</v>
      </c>
      <c r="AY30" s="168" t="n">
        <f aca="false">INDEX($F$1212:$F$1271,49)</f>
        <v>0.0144</v>
      </c>
      <c r="AZ30" s="168" t="n">
        <f aca="false">INDEX($F$1212:$F$1271,50)</f>
        <v>0.0144</v>
      </c>
      <c r="BA30" s="168" t="n">
        <f aca="false">INDEX($F$1212:$F$1271,51)</f>
        <v>0.0144</v>
      </c>
      <c r="BB30" s="168" t="n">
        <f aca="false">INDEX($F$1212:$F$1271,52)</f>
        <v>0.0144</v>
      </c>
      <c r="BC30" s="168" t="n">
        <f aca="false">INDEX($F$1212:$F$1271,53)</f>
        <v>0.0144</v>
      </c>
      <c r="BD30" s="168" t="n">
        <f aca="false">INDEX($F$1212:$F$1271,54)</f>
        <v>0.0144</v>
      </c>
      <c r="BE30" s="168" t="n">
        <f aca="false">INDEX($F$1212:$F$1271,55)</f>
        <v>0.0144</v>
      </c>
      <c r="BF30" s="168" t="n">
        <f aca="false">INDEX($F$1212:$F$1271,56)</f>
        <v>0.0144</v>
      </c>
      <c r="BG30" s="168" t="n">
        <f aca="false">INDEX($F$1212:$F$1271,57)</f>
        <v>0.0144</v>
      </c>
      <c r="BH30" s="168" t="n">
        <f aca="false">INDEX($F$1212:$F$1271,58)</f>
        <v>0.0144</v>
      </c>
      <c r="BI30" s="168" t="n">
        <f aca="false">INDEX($F$1212:$F$1271,59)</f>
        <v>0.0144</v>
      </c>
      <c r="BJ30" s="168" t="n">
        <f aca="false">INDEX($F$1212:$F$1271,60)</f>
        <v>0.0144</v>
      </c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</row>
    <row r="31" customFormat="false" ht="15" hidden="false" customHeight="false" outlineLevel="0" collapsed="false">
      <c r="B31" s="18" t="s">
        <v>865</v>
      </c>
      <c r="C31" s="231" t="n">
        <f aca="false">BJ30</f>
        <v>0.0144</v>
      </c>
      <c r="D31" s="231" t="n">
        <f aca="false">BI30</f>
        <v>0.0144</v>
      </c>
      <c r="E31" s="231" t="n">
        <f aca="false">BH30</f>
        <v>0.0144</v>
      </c>
      <c r="F31" s="231" t="n">
        <f aca="false">BG30</f>
        <v>0.0144</v>
      </c>
      <c r="G31" s="231" t="n">
        <f aca="false">BF30</f>
        <v>0.0144</v>
      </c>
      <c r="H31" s="231" t="n">
        <f aca="false">BE30</f>
        <v>0.0144</v>
      </c>
      <c r="I31" s="231" t="n">
        <f aca="false">BD30</f>
        <v>0.0144</v>
      </c>
      <c r="J31" s="231" t="n">
        <f aca="false">BC30</f>
        <v>0.0144</v>
      </c>
      <c r="K31" s="231" t="n">
        <f aca="false">BB30</f>
        <v>0.0144</v>
      </c>
      <c r="L31" s="231" t="n">
        <f aca="false">BA30</f>
        <v>0.0144</v>
      </c>
      <c r="M31" s="231" t="n">
        <f aca="false">AZ30</f>
        <v>0.0144</v>
      </c>
      <c r="N31" s="231" t="n">
        <f aca="false">AY30</f>
        <v>0.0144</v>
      </c>
      <c r="O31" s="231" t="n">
        <f aca="false">AX30</f>
        <v>0.0294</v>
      </c>
      <c r="P31" s="231" t="n">
        <f aca="false">AW30</f>
        <v>0.0294</v>
      </c>
      <c r="Q31" s="231" t="n">
        <f aca="false">AV30</f>
        <v>0.0294</v>
      </c>
      <c r="R31" s="231" t="n">
        <f aca="false">AU30</f>
        <v>0.0294</v>
      </c>
      <c r="S31" s="231" t="n">
        <f aca="false">AT30</f>
        <v>0.0294</v>
      </c>
      <c r="T31" s="231" t="n">
        <f aca="false">AS30</f>
        <v>0.0294</v>
      </c>
      <c r="U31" s="231" t="n">
        <f aca="false">AR30</f>
        <v>0.0294</v>
      </c>
      <c r="V31" s="231" t="n">
        <f aca="false">AQ30</f>
        <v>0.0294</v>
      </c>
      <c r="W31" s="231" t="n">
        <f aca="false">AP30</f>
        <v>0.0294</v>
      </c>
      <c r="X31" s="231" t="n">
        <f aca="false">AO30</f>
        <v>0.0294</v>
      </c>
      <c r="Y31" s="231" t="n">
        <f aca="false">AN30</f>
        <v>0.0294</v>
      </c>
      <c r="Z31" s="231" t="n">
        <f aca="false">AM30</f>
        <v>0.0294</v>
      </c>
      <c r="AA31" s="66" t="n">
        <f aca="false">AL30</f>
        <v>0.0294</v>
      </c>
      <c r="AB31" s="66" t="n">
        <f aca="false">AK30</f>
        <v>0.0294</v>
      </c>
      <c r="AC31" s="66" t="n">
        <f aca="false">AJ30</f>
        <v>0.0294</v>
      </c>
      <c r="AD31" s="66" t="n">
        <f aca="false">AI30</f>
        <v>0.0294</v>
      </c>
      <c r="AE31" s="66" t="n">
        <f aca="false">AH30</f>
        <v>0.0294</v>
      </c>
      <c r="AF31" s="66" t="n">
        <f aca="false">AG30</f>
        <v>0.0294</v>
      </c>
      <c r="AG31" s="66" t="n">
        <f aca="false">AF30</f>
        <v>0.0294</v>
      </c>
      <c r="AH31" s="66" t="n">
        <f aca="false">AE30</f>
        <v>0.0294</v>
      </c>
      <c r="AI31" s="66" t="n">
        <f aca="false">AD30</f>
        <v>0.0294</v>
      </c>
      <c r="AJ31" s="66" t="n">
        <f aca="false">AC30</f>
        <v>0.0294</v>
      </c>
      <c r="AK31" s="66" t="n">
        <f aca="false">AB30</f>
        <v>0.0294</v>
      </c>
      <c r="AL31" s="66" t="n">
        <f aca="false">AA30</f>
        <v>0.0294</v>
      </c>
      <c r="AM31" s="66" t="n">
        <f aca="false">Z30</f>
        <v>0.0294</v>
      </c>
      <c r="AN31" s="66" t="n">
        <f aca="false">Y30</f>
        <v>0.0294</v>
      </c>
      <c r="AO31" s="66" t="n">
        <f aca="false">X30</f>
        <v>0.0294</v>
      </c>
      <c r="AP31" s="66" t="n">
        <f aca="false">W30</f>
        <v>0.0294</v>
      </c>
      <c r="AQ31" s="66" t="n">
        <f aca="false">V30</f>
        <v>0.0294</v>
      </c>
      <c r="AR31" s="66" t="n">
        <f aca="false">U30</f>
        <v>0.0294</v>
      </c>
      <c r="AS31" s="66" t="n">
        <f aca="false">T30</f>
        <v>0.0294</v>
      </c>
      <c r="AT31" s="66" t="n">
        <f aca="false">S30</f>
        <v>0.0294</v>
      </c>
      <c r="AU31" s="66" t="n">
        <f aca="false">R30</f>
        <v>0.00800000000000001</v>
      </c>
      <c r="AV31" s="66" t="n">
        <f aca="false">Q30</f>
        <v>0.0112</v>
      </c>
      <c r="AW31" s="66" t="n">
        <f aca="false">P30</f>
        <v>0.0112</v>
      </c>
      <c r="AX31" s="66" t="n">
        <f aca="false">O30</f>
        <v>0.0352</v>
      </c>
      <c r="AY31" s="66" t="n">
        <f aca="false">N30</f>
        <v>0.0272</v>
      </c>
      <c r="AZ31" s="66" t="n">
        <f aca="false">M30</f>
        <v>0.0032</v>
      </c>
      <c r="BA31" s="66" t="n">
        <f aca="false">L30</f>
        <v>0.0176</v>
      </c>
      <c r="BB31" s="66" t="n">
        <f aca="false">K30</f>
        <v>0.00959999999999996</v>
      </c>
      <c r="BC31" s="66" t="n">
        <f aca="false">J30</f>
        <v>0.00480000000000001</v>
      </c>
      <c r="BD31" s="66" t="n">
        <f aca="false">I30</f>
        <v>0.016</v>
      </c>
      <c r="BE31" s="66" t="n">
        <f aca="false">H30</f>
        <v>0.00480000000000001</v>
      </c>
      <c r="BF31" s="66" t="n">
        <f aca="false">G30</f>
        <v>0.00959999999999999</v>
      </c>
      <c r="BG31" s="66" t="n">
        <f aca="false">F30</f>
        <v>0.0128</v>
      </c>
      <c r="BH31" s="66" t="n">
        <f aca="false">E30</f>
        <v>0.0224</v>
      </c>
      <c r="BI31" s="66" t="n">
        <f aca="false">D30</f>
        <v>0.0176</v>
      </c>
      <c r="BJ31" s="66" t="n">
        <f aca="false">C30</f>
        <v>0.128</v>
      </c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</row>
    <row r="32" customFormat="false" ht="15" hidden="false" customHeight="false" outlineLevel="0" collapsed="false">
      <c r="B32" s="3" t="s">
        <v>866</v>
      </c>
      <c r="C32" s="66" t="n">
        <v>0.0833333333333333</v>
      </c>
      <c r="D32" s="66" t="n">
        <v>0.0833333333333333</v>
      </c>
      <c r="E32" s="66" t="n">
        <v>0.0833333333333333</v>
      </c>
      <c r="F32" s="66" t="n">
        <v>0.0833333333333333</v>
      </c>
      <c r="G32" s="66" t="n">
        <v>0.0833333333333333</v>
      </c>
      <c r="H32" s="66" t="n">
        <v>0.0833333333333333</v>
      </c>
      <c r="I32" s="66" t="n">
        <v>0.0833333333333333</v>
      </c>
      <c r="J32" s="66" t="n">
        <v>0.0833333333333333</v>
      </c>
      <c r="K32" s="66" t="n">
        <v>0.0833333333333333</v>
      </c>
      <c r="L32" s="66" t="n">
        <v>0.0833333333333333</v>
      </c>
      <c r="M32" s="66" t="n">
        <v>0.0833333333333333</v>
      </c>
      <c r="N32" s="66" t="n">
        <v>0.0833333333333333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</row>
    <row r="33" customFormat="false" ht="15" hidden="false" customHeight="false" outlineLevel="0" collapsed="false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</row>
    <row r="34" customFormat="false" ht="15" hidden="false" customHeight="false" outlineLevel="0" collapsed="false">
      <c r="B34" s="21" t="s">
        <v>867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</row>
    <row r="35" customFormat="false" ht="15" hidden="false" customHeight="false" outlineLevel="0" collapsed="false">
      <c r="B35" s="9" t="s">
        <v>868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 t="n">
        <v>60</v>
      </c>
      <c r="AB35" s="9"/>
      <c r="AC35" s="199" t="n">
        <v>1</v>
      </c>
      <c r="AD35" s="199" t="n">
        <v>2</v>
      </c>
      <c r="AE35" s="199" t="n">
        <v>3</v>
      </c>
      <c r="AF35" s="199" t="n">
        <v>4</v>
      </c>
      <c r="AG35" s="199" t="n">
        <v>5</v>
      </c>
      <c r="AH35" s="199" t="n">
        <v>6</v>
      </c>
      <c r="AI35" s="199" t="n">
        <v>7</v>
      </c>
      <c r="AJ35" s="199" t="n">
        <v>8</v>
      </c>
      <c r="AK35" s="199" t="n">
        <v>9</v>
      </c>
      <c r="AL35" s="199" t="n">
        <v>10</v>
      </c>
      <c r="AM35" s="199" t="n">
        <v>11</v>
      </c>
      <c r="AN35" s="199" t="n">
        <v>12</v>
      </c>
      <c r="AO35" s="199" t="n">
        <v>13</v>
      </c>
      <c r="AP35" s="199" t="n">
        <v>14</v>
      </c>
      <c r="AQ35" s="199" t="n">
        <v>15</v>
      </c>
      <c r="AR35" s="199" t="n">
        <v>16</v>
      </c>
      <c r="AS35" s="199" t="n">
        <v>17</v>
      </c>
      <c r="AT35" s="199" t="n">
        <v>18</v>
      </c>
      <c r="AU35" s="199" t="n">
        <v>19</v>
      </c>
      <c r="AV35" s="199" t="n">
        <v>20</v>
      </c>
      <c r="AW35" s="199" t="n">
        <v>21</v>
      </c>
      <c r="AX35" s="199" t="n">
        <v>22</v>
      </c>
      <c r="AY35" s="199" t="n">
        <v>23</v>
      </c>
      <c r="AZ35" s="199" t="n">
        <v>24</v>
      </c>
      <c r="BA35" s="199" t="n">
        <v>25</v>
      </c>
      <c r="BB35" s="199" t="n">
        <v>26</v>
      </c>
      <c r="BC35" s="199" t="n">
        <v>27</v>
      </c>
      <c r="BD35" s="199" t="n">
        <v>28</v>
      </c>
      <c r="BE35" s="199" t="n">
        <v>29</v>
      </c>
      <c r="BF35" s="199" t="n">
        <v>30</v>
      </c>
      <c r="BG35" s="199" t="n">
        <v>31</v>
      </c>
      <c r="BH35" s="199" t="n">
        <v>32</v>
      </c>
      <c r="BI35" s="199" t="n">
        <v>33</v>
      </c>
      <c r="BJ35" s="199" t="n">
        <v>34</v>
      </c>
      <c r="BK35" s="199" t="n">
        <v>35</v>
      </c>
      <c r="BL35" s="199" t="n">
        <v>36</v>
      </c>
      <c r="BM35" s="199" t="n">
        <v>37</v>
      </c>
      <c r="BN35" s="199" t="n">
        <v>38</v>
      </c>
      <c r="BO35" s="199" t="n">
        <v>39</v>
      </c>
      <c r="BP35" s="199" t="n">
        <v>40</v>
      </c>
      <c r="BQ35" s="199" t="n">
        <v>41</v>
      </c>
      <c r="BR35" s="199" t="n">
        <v>42</v>
      </c>
      <c r="BS35" s="199" t="n">
        <v>43</v>
      </c>
      <c r="BT35" s="199" t="n">
        <v>44</v>
      </c>
      <c r="BU35" s="199" t="n">
        <v>45</v>
      </c>
      <c r="BV35" s="199" t="n">
        <v>46</v>
      </c>
      <c r="BW35" s="199" t="n">
        <v>47</v>
      </c>
      <c r="BX35" s="199" t="n">
        <v>48</v>
      </c>
      <c r="BY35" s="199" t="n">
        <v>49</v>
      </c>
      <c r="BZ35" s="199" t="n">
        <v>50</v>
      </c>
      <c r="CA35" s="199" t="n">
        <v>51</v>
      </c>
      <c r="CB35" s="199" t="n">
        <v>52</v>
      </c>
      <c r="CC35" s="199" t="n">
        <v>53</v>
      </c>
      <c r="CD35" s="199" t="n">
        <v>54</v>
      </c>
      <c r="CE35" s="199" t="n">
        <v>55</v>
      </c>
      <c r="CF35" s="199" t="n">
        <v>56</v>
      </c>
      <c r="CG35" s="199" t="n">
        <v>57</v>
      </c>
      <c r="CH35" s="199" t="n">
        <v>58</v>
      </c>
      <c r="CI35" s="199" t="n">
        <v>59</v>
      </c>
      <c r="CJ35" s="199" t="n">
        <v>60</v>
      </c>
      <c r="CK35" s="199" t="n">
        <v>61</v>
      </c>
      <c r="CL35" s="199" t="n">
        <v>62</v>
      </c>
      <c r="CM35" s="199" t="n">
        <v>63</v>
      </c>
      <c r="CN35" s="199" t="n">
        <v>64</v>
      </c>
      <c r="CO35" s="199" t="n">
        <v>65</v>
      </c>
      <c r="CP35" s="199" t="n">
        <v>66</v>
      </c>
      <c r="CQ35" s="199" t="n">
        <v>67</v>
      </c>
      <c r="CR35" s="199" t="n">
        <v>68</v>
      </c>
      <c r="CS35" s="199" t="n">
        <v>69</v>
      </c>
      <c r="CT35" s="199" t="n">
        <v>70</v>
      </c>
      <c r="CU35" s="199" t="n">
        <v>71</v>
      </c>
      <c r="CV35" s="199" t="n">
        <v>72</v>
      </c>
      <c r="CW35" s="199" t="n">
        <v>73</v>
      </c>
      <c r="CX35" s="199" t="n">
        <v>74</v>
      </c>
      <c r="CY35" s="199" t="n">
        <v>75</v>
      </c>
      <c r="CZ35" s="199" t="n">
        <v>76</v>
      </c>
      <c r="DA35" s="199" t="n">
        <v>77</v>
      </c>
      <c r="DB35" s="199" t="n">
        <v>78</v>
      </c>
      <c r="DC35" s="199" t="n">
        <v>79</v>
      </c>
      <c r="DD35" s="199" t="n">
        <v>80</v>
      </c>
      <c r="DE35" s="199" t="n">
        <v>81</v>
      </c>
      <c r="DF35" s="199" t="n">
        <v>82</v>
      </c>
      <c r="DG35" s="199" t="n">
        <v>83</v>
      </c>
      <c r="DH35" s="199" t="n">
        <v>84</v>
      </c>
      <c r="DI35" s="199" t="n">
        <v>85</v>
      </c>
      <c r="DJ35" s="199" t="n">
        <v>86</v>
      </c>
      <c r="DK35" s="199" t="n">
        <v>87</v>
      </c>
      <c r="DL35" s="199" t="n">
        <v>88</v>
      </c>
      <c r="DM35" s="199" t="n">
        <v>89</v>
      </c>
      <c r="DN35" s="199" t="n">
        <v>90</v>
      </c>
      <c r="DO35" s="199" t="n">
        <v>91</v>
      </c>
      <c r="DP35" s="199" t="n">
        <v>92</v>
      </c>
      <c r="DQ35" s="199" t="n">
        <v>93</v>
      </c>
      <c r="DR35" s="199" t="n">
        <v>94</v>
      </c>
      <c r="DS35" s="199" t="n">
        <v>95</v>
      </c>
      <c r="DT35" s="199" t="n">
        <v>96</v>
      </c>
      <c r="DU35" s="199" t="n">
        <v>97</v>
      </c>
      <c r="DV35" s="199" t="n">
        <v>98</v>
      </c>
      <c r="DW35" s="199" t="n">
        <v>99</v>
      </c>
      <c r="DX35" s="199" t="n">
        <v>100</v>
      </c>
      <c r="DY35" s="199" t="n">
        <v>101</v>
      </c>
      <c r="DZ35" s="199" t="n">
        <v>102</v>
      </c>
      <c r="EA35" s="199" t="n">
        <v>103</v>
      </c>
      <c r="EB35" s="199" t="n">
        <v>104</v>
      </c>
      <c r="EC35" s="199" t="n">
        <v>105</v>
      </c>
      <c r="ED35" s="199" t="n">
        <v>106</v>
      </c>
      <c r="EE35" s="199" t="n">
        <v>107</v>
      </c>
      <c r="EF35" s="199" t="n">
        <v>108</v>
      </c>
      <c r="EG35" s="199" t="n">
        <v>109</v>
      </c>
      <c r="EH35" s="199" t="n">
        <v>110</v>
      </c>
      <c r="EI35" s="199" t="n">
        <v>111</v>
      </c>
      <c r="EJ35" s="199" t="n">
        <v>112</v>
      </c>
      <c r="EK35" s="199" t="n">
        <v>113</v>
      </c>
      <c r="EL35" s="199" t="n">
        <v>114</v>
      </c>
      <c r="EM35" s="199" t="n">
        <v>115</v>
      </c>
      <c r="EN35" s="199" t="n">
        <v>116</v>
      </c>
      <c r="EO35" s="199" t="n">
        <v>117</v>
      </c>
      <c r="EP35" s="199" t="n">
        <v>118</v>
      </c>
      <c r="EQ35" s="199" t="n">
        <v>119</v>
      </c>
      <c r="ER35" s="199" t="n">
        <v>120</v>
      </c>
      <c r="ES35" s="63" t="n">
        <f aca="false">ER35+1</f>
        <v>121</v>
      </c>
      <c r="ET35" s="63" t="n">
        <f aca="false">ES35+1</f>
        <v>122</v>
      </c>
      <c r="EU35" s="63" t="n">
        <f aca="false">ET35+1</f>
        <v>123</v>
      </c>
      <c r="EV35" s="63" t="n">
        <f aca="false">EU35+1</f>
        <v>124</v>
      </c>
      <c r="EW35" s="63" t="n">
        <f aca="false">EV35+1</f>
        <v>125</v>
      </c>
      <c r="EX35" s="63" t="n">
        <f aca="false">EW35+1</f>
        <v>126</v>
      </c>
      <c r="EY35" s="63" t="n">
        <f aca="false">EX35+1</f>
        <v>127</v>
      </c>
      <c r="EZ35" s="63" t="n">
        <f aca="false">EY35+1</f>
        <v>128</v>
      </c>
      <c r="FA35" s="63" t="n">
        <f aca="false">EZ35+1</f>
        <v>129</v>
      </c>
      <c r="FB35" s="63" t="n">
        <f aca="false">FA35+1</f>
        <v>130</v>
      </c>
      <c r="FC35" s="63" t="n">
        <f aca="false">FB35+1</f>
        <v>131</v>
      </c>
      <c r="FD35" s="63" t="n">
        <f aca="false">FC35+1</f>
        <v>132</v>
      </c>
      <c r="FE35" s="63" t="n">
        <f aca="false">FD35+1</f>
        <v>133</v>
      </c>
      <c r="FF35" s="63" t="n">
        <f aca="false">FE35+1</f>
        <v>134</v>
      </c>
      <c r="FG35" s="63" t="n">
        <f aca="false">FF35+1</f>
        <v>135</v>
      </c>
      <c r="FH35" s="63" t="n">
        <f aca="false">FG35+1</f>
        <v>136</v>
      </c>
      <c r="FI35" s="63" t="n">
        <f aca="false">FH35+1</f>
        <v>137</v>
      </c>
      <c r="FJ35" s="63" t="n">
        <f aca="false">FI35+1</f>
        <v>138</v>
      </c>
      <c r="FK35" s="63" t="n">
        <f aca="false">FJ35+1</f>
        <v>139</v>
      </c>
      <c r="FL35" s="63" t="n">
        <f aca="false">FK35+1</f>
        <v>140</v>
      </c>
      <c r="FM35" s="63" t="n">
        <f aca="false">FL35+1</f>
        <v>141</v>
      </c>
      <c r="FN35" s="63" t="n">
        <f aca="false">FM35+1</f>
        <v>142</v>
      </c>
      <c r="FO35" s="63" t="n">
        <f aca="false">FN35+1</f>
        <v>143</v>
      </c>
      <c r="FP35" s="63" t="n">
        <f aca="false">FO35+1</f>
        <v>144</v>
      </c>
    </row>
    <row r="36" customFormat="false" ht="15" hidden="false" customHeight="false" outlineLevel="0" collapsed="false">
      <c r="B36" s="9" t="s">
        <v>197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 t="n">
        <v>0.01</v>
      </c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80" t="n">
        <f aca="false">DATE(2025,1,1)</f>
        <v>45658</v>
      </c>
      <c r="AD36" s="80" t="n">
        <f aca="false">DATE(2025,2,1)</f>
        <v>45689</v>
      </c>
      <c r="AE36" s="80" t="n">
        <f aca="false">DATE(2025,3,1)</f>
        <v>45717</v>
      </c>
      <c r="AF36" s="80" t="n">
        <f aca="false">DATE(2025,4,1)</f>
        <v>45748</v>
      </c>
      <c r="AG36" s="80" t="n">
        <f aca="false">DATE(2025,5,1)</f>
        <v>45778</v>
      </c>
      <c r="AH36" s="80" t="n">
        <f aca="false">DATE(2025,6,1)</f>
        <v>45809</v>
      </c>
      <c r="AI36" s="80" t="n">
        <f aca="false">DATE(2025,7,1)</f>
        <v>45839</v>
      </c>
      <c r="AJ36" s="80" t="n">
        <f aca="false">DATE(2025,8,1)</f>
        <v>45870</v>
      </c>
      <c r="AK36" s="80" t="n">
        <f aca="false">DATE(2025,9,1)</f>
        <v>45901</v>
      </c>
      <c r="AL36" s="80" t="n">
        <f aca="false">DATE(2025,10,1)</f>
        <v>45931</v>
      </c>
      <c r="AM36" s="80" t="n">
        <f aca="false">DATE(2025,11,1)</f>
        <v>45962</v>
      </c>
      <c r="AN36" s="80" t="n">
        <f aca="false">DATE(2025,12,1)</f>
        <v>45992</v>
      </c>
      <c r="AO36" s="80" t="n">
        <f aca="false">DATE(2026,1,1)</f>
        <v>46023</v>
      </c>
      <c r="AP36" s="80" t="n">
        <f aca="false">DATE(2026,2,1)</f>
        <v>46054</v>
      </c>
      <c r="AQ36" s="80" t="n">
        <f aca="false">DATE(2026,3,1)</f>
        <v>46082</v>
      </c>
      <c r="AR36" s="80" t="n">
        <f aca="false">DATE(2026,4,1)</f>
        <v>46113</v>
      </c>
      <c r="AS36" s="80" t="n">
        <f aca="false">DATE(2026,5,1)</f>
        <v>46143</v>
      </c>
      <c r="AT36" s="80" t="n">
        <f aca="false">DATE(2026,6,1)</f>
        <v>46174</v>
      </c>
      <c r="AU36" s="80" t="n">
        <f aca="false">DATE(2026,7,1)</f>
        <v>46204</v>
      </c>
      <c r="AV36" s="80" t="n">
        <f aca="false">DATE(2026,8,1)</f>
        <v>46235</v>
      </c>
      <c r="AW36" s="80" t="n">
        <f aca="false">DATE(2026,9,1)</f>
        <v>46266</v>
      </c>
      <c r="AX36" s="80" t="n">
        <f aca="false">DATE(2026,10,1)</f>
        <v>46296</v>
      </c>
      <c r="AY36" s="80" t="n">
        <f aca="false">DATE(2026,11,1)</f>
        <v>46327</v>
      </c>
      <c r="AZ36" s="80" t="n">
        <f aca="false">DATE(2026,12,1)</f>
        <v>46357</v>
      </c>
      <c r="BA36" s="80" t="n">
        <f aca="false">DATE(2027,1,1)</f>
        <v>46388</v>
      </c>
      <c r="BB36" s="80" t="n">
        <f aca="false">DATE(2027,2,1)</f>
        <v>46419</v>
      </c>
      <c r="BC36" s="80" t="n">
        <f aca="false">DATE(2027,3,1)</f>
        <v>46447</v>
      </c>
      <c r="BD36" s="80" t="n">
        <f aca="false">DATE(2027,4,1)</f>
        <v>46478</v>
      </c>
      <c r="BE36" s="80" t="n">
        <f aca="false">DATE(2027,5,1)</f>
        <v>46508</v>
      </c>
      <c r="BF36" s="80" t="n">
        <f aca="false">DATE(2027,6,1)</f>
        <v>46539</v>
      </c>
      <c r="BG36" s="80" t="n">
        <f aca="false">DATE(2027,7,1)</f>
        <v>46569</v>
      </c>
      <c r="BH36" s="80" t="n">
        <f aca="false">DATE(2027,8,1)</f>
        <v>46600</v>
      </c>
      <c r="BI36" s="80" t="n">
        <f aca="false">DATE(2027,9,1)</f>
        <v>46631</v>
      </c>
      <c r="BJ36" s="80" t="n">
        <f aca="false">DATE(2027,10,1)</f>
        <v>46661</v>
      </c>
      <c r="BK36" s="80" t="n">
        <f aca="false">DATE(2027,11,1)</f>
        <v>46692</v>
      </c>
      <c r="BL36" s="80" t="n">
        <f aca="false">DATE(2027,12,1)</f>
        <v>46722</v>
      </c>
      <c r="BM36" s="80" t="n">
        <f aca="false">DATE(2028,1,1)</f>
        <v>46753</v>
      </c>
      <c r="BN36" s="80" t="n">
        <f aca="false">DATE(2028,2,1)</f>
        <v>46784</v>
      </c>
      <c r="BO36" s="80" t="n">
        <f aca="false">DATE(2028,3,1)</f>
        <v>46813</v>
      </c>
      <c r="BP36" s="80" t="n">
        <f aca="false">DATE(2028,4,1)</f>
        <v>46844</v>
      </c>
      <c r="BQ36" s="80" t="n">
        <f aca="false">DATE(2028,5,1)</f>
        <v>46874</v>
      </c>
      <c r="BR36" s="80" t="n">
        <f aca="false">DATE(2028,6,1)</f>
        <v>46905</v>
      </c>
      <c r="BS36" s="80" t="n">
        <f aca="false">DATE(2028,7,1)</f>
        <v>46935</v>
      </c>
      <c r="BT36" s="80" t="n">
        <f aca="false">DATE(2028,8,1)</f>
        <v>46966</v>
      </c>
      <c r="BU36" s="80" t="n">
        <f aca="false">DATE(2028,9,1)</f>
        <v>46997</v>
      </c>
      <c r="BV36" s="80" t="n">
        <f aca="false">DATE(2028,10,1)</f>
        <v>47027</v>
      </c>
      <c r="BW36" s="80" t="n">
        <f aca="false">DATE(2028,11,1)</f>
        <v>47058</v>
      </c>
      <c r="BX36" s="80" t="n">
        <f aca="false">DATE(2028,12,1)</f>
        <v>47088</v>
      </c>
      <c r="BY36" s="80" t="n">
        <f aca="false">DATE(2029,1,1)</f>
        <v>47119</v>
      </c>
      <c r="BZ36" s="80" t="n">
        <f aca="false">DATE(2029,2,1)</f>
        <v>47150</v>
      </c>
      <c r="CA36" s="80" t="n">
        <f aca="false">DATE(2029,3,1)</f>
        <v>47178</v>
      </c>
      <c r="CB36" s="80" t="n">
        <f aca="false">DATE(2029,4,1)</f>
        <v>47209</v>
      </c>
      <c r="CC36" s="80" t="n">
        <f aca="false">DATE(2029,5,1)</f>
        <v>47239</v>
      </c>
      <c r="CD36" s="80" t="n">
        <f aca="false">DATE(2029,6,1)</f>
        <v>47270</v>
      </c>
      <c r="CE36" s="80" t="n">
        <f aca="false">DATE(2029,7,1)</f>
        <v>47300</v>
      </c>
      <c r="CF36" s="80" t="n">
        <f aca="false">DATE(2029,8,1)</f>
        <v>47331</v>
      </c>
      <c r="CG36" s="80" t="n">
        <f aca="false">DATE(2029,9,1)</f>
        <v>47362</v>
      </c>
      <c r="CH36" s="80" t="n">
        <f aca="false">DATE(2029,10,1)</f>
        <v>47392</v>
      </c>
      <c r="CI36" s="80" t="n">
        <f aca="false">DATE(2029,11,1)</f>
        <v>47423</v>
      </c>
      <c r="CJ36" s="80" t="n">
        <f aca="false">DATE(2029,12,1)</f>
        <v>47453</v>
      </c>
      <c r="CK36" s="80" t="n">
        <f aca="false">DATE(2030,1,1)</f>
        <v>47484</v>
      </c>
      <c r="CL36" s="80" t="n">
        <f aca="false">DATE(2030,2,1)</f>
        <v>47515</v>
      </c>
      <c r="CM36" s="80" t="n">
        <f aca="false">DATE(2030,3,1)</f>
        <v>47543</v>
      </c>
      <c r="CN36" s="80" t="n">
        <f aca="false">DATE(2030,4,1)</f>
        <v>47574</v>
      </c>
      <c r="CO36" s="80" t="n">
        <f aca="false">DATE(2030,5,1)</f>
        <v>47604</v>
      </c>
      <c r="CP36" s="80" t="n">
        <f aca="false">DATE(2030,6,1)</f>
        <v>47635</v>
      </c>
      <c r="CQ36" s="80" t="n">
        <f aca="false">DATE(2030,7,1)</f>
        <v>47665</v>
      </c>
      <c r="CR36" s="80" t="n">
        <f aca="false">DATE(2030,8,1)</f>
        <v>47696</v>
      </c>
      <c r="CS36" s="80" t="n">
        <f aca="false">DATE(2030,9,1)</f>
        <v>47727</v>
      </c>
      <c r="CT36" s="80" t="n">
        <f aca="false">DATE(2030,10,1)</f>
        <v>47757</v>
      </c>
      <c r="CU36" s="80" t="n">
        <f aca="false">DATE(2030,11,1)</f>
        <v>47788</v>
      </c>
      <c r="CV36" s="80" t="n">
        <f aca="false">DATE(2030,12,1)</f>
        <v>47818</v>
      </c>
      <c r="CW36" s="80" t="n">
        <f aca="false">DATE(2031,1,1)</f>
        <v>47849</v>
      </c>
      <c r="CX36" s="80" t="n">
        <f aca="false">DATE(2031,2,1)</f>
        <v>47880</v>
      </c>
      <c r="CY36" s="80" t="n">
        <f aca="false">DATE(2031,3,1)</f>
        <v>47908</v>
      </c>
      <c r="CZ36" s="80" t="n">
        <f aca="false">DATE(2031,4,1)</f>
        <v>47939</v>
      </c>
      <c r="DA36" s="80" t="n">
        <f aca="false">DATE(2031,5,1)</f>
        <v>47969</v>
      </c>
      <c r="DB36" s="80" t="n">
        <f aca="false">DATE(2031,6,1)</f>
        <v>48000</v>
      </c>
      <c r="DC36" s="80" t="n">
        <f aca="false">DATE(2031,7,1)</f>
        <v>48030</v>
      </c>
      <c r="DD36" s="80" t="n">
        <f aca="false">DATE(2031,8,1)</f>
        <v>48061</v>
      </c>
      <c r="DE36" s="80" t="n">
        <f aca="false">DATE(2031,9,1)</f>
        <v>48092</v>
      </c>
      <c r="DF36" s="80" t="n">
        <f aca="false">DATE(2031,10,1)</f>
        <v>48122</v>
      </c>
      <c r="DG36" s="80" t="n">
        <f aca="false">DATE(2031,11,1)</f>
        <v>48153</v>
      </c>
      <c r="DH36" s="80" t="n">
        <f aca="false">DATE(2031,12,1)</f>
        <v>48183</v>
      </c>
      <c r="DI36" s="80" t="n">
        <f aca="false">DATE(2032,1,1)</f>
        <v>48214</v>
      </c>
      <c r="DJ36" s="80" t="n">
        <f aca="false">DATE(2032,2,1)</f>
        <v>48245</v>
      </c>
      <c r="DK36" s="80" t="n">
        <f aca="false">DATE(2032,3,1)</f>
        <v>48274</v>
      </c>
      <c r="DL36" s="80" t="n">
        <f aca="false">DATE(2032,4,1)</f>
        <v>48305</v>
      </c>
      <c r="DM36" s="80" t="n">
        <f aca="false">DATE(2032,5,1)</f>
        <v>48335</v>
      </c>
      <c r="DN36" s="80" t="n">
        <f aca="false">DATE(2032,6,1)</f>
        <v>48366</v>
      </c>
      <c r="DO36" s="80" t="n">
        <f aca="false">DATE(2032,7,1)</f>
        <v>48396</v>
      </c>
      <c r="DP36" s="80" t="n">
        <f aca="false">DATE(2032,8,1)</f>
        <v>48427</v>
      </c>
      <c r="DQ36" s="80" t="n">
        <f aca="false">DATE(2032,9,1)</f>
        <v>48458</v>
      </c>
      <c r="DR36" s="80" t="n">
        <f aca="false">DATE(2032,10,1)</f>
        <v>48488</v>
      </c>
      <c r="DS36" s="80" t="n">
        <f aca="false">DATE(2032,11,1)</f>
        <v>48519</v>
      </c>
      <c r="DT36" s="80" t="n">
        <f aca="false">DATE(2032,12,1)</f>
        <v>48549</v>
      </c>
      <c r="DU36" s="80" t="n">
        <f aca="false">DATE(2033,1,1)</f>
        <v>48580</v>
      </c>
      <c r="DV36" s="80" t="n">
        <f aca="false">DATE(2033,2,1)</f>
        <v>48611</v>
      </c>
      <c r="DW36" s="80" t="n">
        <f aca="false">DATE(2033,3,1)</f>
        <v>48639</v>
      </c>
      <c r="DX36" s="80" t="n">
        <f aca="false">DATE(2033,4,1)</f>
        <v>48670</v>
      </c>
      <c r="DY36" s="80" t="n">
        <f aca="false">DATE(2033,5,1)</f>
        <v>48700</v>
      </c>
      <c r="DZ36" s="80" t="n">
        <f aca="false">DATE(2033,6,1)</f>
        <v>48731</v>
      </c>
      <c r="EA36" s="80" t="n">
        <f aca="false">DATE(2033,7,1)</f>
        <v>48761</v>
      </c>
      <c r="EB36" s="80" t="n">
        <f aca="false">DATE(2033,8,1)</f>
        <v>48792</v>
      </c>
      <c r="EC36" s="80" t="n">
        <f aca="false">DATE(2033,9,1)</f>
        <v>48823</v>
      </c>
      <c r="ED36" s="80" t="n">
        <f aca="false">DATE(2033,10,1)</f>
        <v>48853</v>
      </c>
      <c r="EE36" s="80" t="n">
        <f aca="false">DATE(2033,11,1)</f>
        <v>48884</v>
      </c>
      <c r="EF36" s="80" t="n">
        <f aca="false">DATE(2033,12,1)</f>
        <v>48914</v>
      </c>
      <c r="EG36" s="80" t="n">
        <f aca="false">DATE(2034,1,1)</f>
        <v>48945</v>
      </c>
      <c r="EH36" s="80" t="n">
        <f aca="false">DATE(2034,2,1)</f>
        <v>48976</v>
      </c>
      <c r="EI36" s="80" t="n">
        <f aca="false">DATE(2034,3,1)</f>
        <v>49004</v>
      </c>
      <c r="EJ36" s="80" t="n">
        <f aca="false">DATE(2034,4,1)</f>
        <v>49035</v>
      </c>
      <c r="EK36" s="80" t="n">
        <f aca="false">DATE(2034,5,1)</f>
        <v>49065</v>
      </c>
      <c r="EL36" s="80" t="n">
        <f aca="false">DATE(2034,6,1)</f>
        <v>49096</v>
      </c>
      <c r="EM36" s="80" t="n">
        <f aca="false">DATE(2034,7,1)</f>
        <v>49126</v>
      </c>
      <c r="EN36" s="80" t="n">
        <f aca="false">DATE(2034,8,1)</f>
        <v>49157</v>
      </c>
      <c r="EO36" s="80" t="n">
        <f aca="false">DATE(2034,9,1)</f>
        <v>49188</v>
      </c>
      <c r="EP36" s="80" t="n">
        <f aca="false">DATE(2034,10,1)</f>
        <v>49218</v>
      </c>
      <c r="EQ36" s="80" t="n">
        <f aca="false">DATE(2034,11,1)</f>
        <v>49249</v>
      </c>
      <c r="ER36" s="80" t="n">
        <f aca="false">DATE(2034,12,1)</f>
        <v>49279</v>
      </c>
      <c r="ES36" s="9" t="n">
        <f aca="false">EDATE(ER36,1)</f>
        <v>49310</v>
      </c>
      <c r="ET36" s="9" t="n">
        <f aca="false">EDATE(ES36,1)</f>
        <v>49341</v>
      </c>
      <c r="EU36" s="9" t="n">
        <f aca="false">EDATE(ET36,1)</f>
        <v>49369</v>
      </c>
      <c r="EV36" s="9" t="n">
        <f aca="false">EDATE(EU36,1)</f>
        <v>49400</v>
      </c>
      <c r="EW36" s="9" t="n">
        <f aca="false">EDATE(EV36,1)</f>
        <v>49430</v>
      </c>
      <c r="EX36" s="9" t="n">
        <f aca="false">EDATE(EW36,1)</f>
        <v>49461</v>
      </c>
      <c r="EY36" s="9" t="n">
        <f aca="false">EDATE(EX36,1)</f>
        <v>49491</v>
      </c>
      <c r="EZ36" s="9" t="n">
        <f aca="false">EDATE(EY36,1)</f>
        <v>49522</v>
      </c>
      <c r="FA36" s="9" t="n">
        <f aca="false">EDATE(EZ36,1)</f>
        <v>49553</v>
      </c>
      <c r="FB36" s="9" t="n">
        <f aca="false">EDATE(FA36,1)</f>
        <v>49583</v>
      </c>
      <c r="FC36" s="9" t="n">
        <f aca="false">EDATE(FB36,1)</f>
        <v>49614</v>
      </c>
      <c r="FD36" s="9" t="n">
        <f aca="false">EDATE(FC36,1)</f>
        <v>49644</v>
      </c>
      <c r="FE36" s="9" t="n">
        <f aca="false">EDATE(FD36,1)</f>
        <v>49675</v>
      </c>
      <c r="FF36" s="9" t="n">
        <f aca="false">EDATE(FE36,1)</f>
        <v>49706</v>
      </c>
      <c r="FG36" s="9" t="n">
        <f aca="false">EDATE(FF36,1)</f>
        <v>49735</v>
      </c>
      <c r="FH36" s="9" t="n">
        <f aca="false">EDATE(FG36,1)</f>
        <v>49766</v>
      </c>
      <c r="FI36" s="9" t="n">
        <f aca="false">EDATE(FH36,1)</f>
        <v>49796</v>
      </c>
      <c r="FJ36" s="9" t="n">
        <f aca="false">EDATE(FI36,1)</f>
        <v>49827</v>
      </c>
      <c r="FK36" s="9" t="n">
        <f aca="false">EDATE(FJ36,1)</f>
        <v>49857</v>
      </c>
      <c r="FL36" s="9" t="n">
        <f aca="false">EDATE(FK36,1)</f>
        <v>49888</v>
      </c>
      <c r="FM36" s="9" t="n">
        <f aca="false">EDATE(FL36,1)</f>
        <v>49919</v>
      </c>
      <c r="FN36" s="9" t="n">
        <f aca="false">EDATE(FM36,1)</f>
        <v>49949</v>
      </c>
      <c r="FO36" s="9" t="n">
        <f aca="false">EDATE(FN36,1)</f>
        <v>49980</v>
      </c>
      <c r="FP36" s="9" t="n">
        <f aca="false">EDATE(FO36,1)</f>
        <v>50010</v>
      </c>
    </row>
    <row r="37" customFormat="false" ht="15" hidden="false" customHeight="false" outlineLevel="0" collapsed="false">
      <c r="B37" s="9" t="s">
        <v>123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232" t="n">
        <v>2025</v>
      </c>
      <c r="AD37" s="232" t="n">
        <v>2025</v>
      </c>
      <c r="AE37" s="232" t="n">
        <v>2025</v>
      </c>
      <c r="AF37" s="232" t="n">
        <v>2025</v>
      </c>
      <c r="AG37" s="232" t="n">
        <v>2025</v>
      </c>
      <c r="AH37" s="232" t="n">
        <v>2025</v>
      </c>
      <c r="AI37" s="232" t="n">
        <v>2025</v>
      </c>
      <c r="AJ37" s="232" t="n">
        <v>2025</v>
      </c>
      <c r="AK37" s="232" t="n">
        <v>2025</v>
      </c>
      <c r="AL37" s="232" t="n">
        <v>2025</v>
      </c>
      <c r="AM37" s="232" t="n">
        <v>2025</v>
      </c>
      <c r="AN37" s="232" t="n">
        <v>2025</v>
      </c>
      <c r="AO37" s="232" t="n">
        <v>2026</v>
      </c>
      <c r="AP37" s="232" t="n">
        <v>2026</v>
      </c>
      <c r="AQ37" s="232" t="n">
        <v>2026</v>
      </c>
      <c r="AR37" s="232" t="n">
        <v>2026</v>
      </c>
      <c r="AS37" s="232" t="n">
        <v>2026</v>
      </c>
      <c r="AT37" s="232" t="n">
        <v>2026</v>
      </c>
      <c r="AU37" s="232" t="n">
        <v>2026</v>
      </c>
      <c r="AV37" s="232" t="n">
        <v>2026</v>
      </c>
      <c r="AW37" s="232" t="n">
        <v>2026</v>
      </c>
      <c r="AX37" s="232" t="n">
        <v>2026</v>
      </c>
      <c r="AY37" s="232" t="n">
        <v>2026</v>
      </c>
      <c r="AZ37" s="232" t="n">
        <v>2026</v>
      </c>
      <c r="BA37" s="232" t="n">
        <v>2027</v>
      </c>
      <c r="BB37" s="232" t="n">
        <v>2027</v>
      </c>
      <c r="BC37" s="232" t="n">
        <v>2027</v>
      </c>
      <c r="BD37" s="232" t="n">
        <v>2027</v>
      </c>
      <c r="BE37" s="232" t="n">
        <v>2027</v>
      </c>
      <c r="BF37" s="232" t="n">
        <v>2027</v>
      </c>
      <c r="BG37" s="232" t="n">
        <v>2027</v>
      </c>
      <c r="BH37" s="232" t="n">
        <v>2027</v>
      </c>
      <c r="BI37" s="232" t="n">
        <v>2027</v>
      </c>
      <c r="BJ37" s="232" t="n">
        <v>2027</v>
      </c>
      <c r="BK37" s="232" t="n">
        <v>2027</v>
      </c>
      <c r="BL37" s="232" t="n">
        <v>2027</v>
      </c>
      <c r="BM37" s="232" t="n">
        <v>2028</v>
      </c>
      <c r="BN37" s="232" t="n">
        <v>2028</v>
      </c>
      <c r="BO37" s="232" t="n">
        <v>2028</v>
      </c>
      <c r="BP37" s="232" t="n">
        <v>2028</v>
      </c>
      <c r="BQ37" s="232" t="n">
        <v>2028</v>
      </c>
      <c r="BR37" s="232" t="n">
        <v>2028</v>
      </c>
      <c r="BS37" s="232" t="n">
        <v>2028</v>
      </c>
      <c r="BT37" s="232" t="n">
        <v>2028</v>
      </c>
      <c r="BU37" s="232" t="n">
        <v>2028</v>
      </c>
      <c r="BV37" s="232" t="n">
        <v>2028</v>
      </c>
      <c r="BW37" s="232" t="n">
        <v>2028</v>
      </c>
      <c r="BX37" s="232" t="n">
        <v>2028</v>
      </c>
      <c r="BY37" s="232" t="n">
        <v>2029</v>
      </c>
      <c r="BZ37" s="232" t="n">
        <v>2029</v>
      </c>
      <c r="CA37" s="232" t="n">
        <v>2029</v>
      </c>
      <c r="CB37" s="232" t="n">
        <v>2029</v>
      </c>
      <c r="CC37" s="232" t="n">
        <v>2029</v>
      </c>
      <c r="CD37" s="232" t="n">
        <v>2029</v>
      </c>
      <c r="CE37" s="232" t="n">
        <v>2029</v>
      </c>
      <c r="CF37" s="232" t="n">
        <v>2029</v>
      </c>
      <c r="CG37" s="232" t="n">
        <v>2029</v>
      </c>
      <c r="CH37" s="232" t="n">
        <v>2029</v>
      </c>
      <c r="CI37" s="232" t="n">
        <v>2029</v>
      </c>
      <c r="CJ37" s="232" t="n">
        <v>2029</v>
      </c>
      <c r="CK37" s="232" t="n">
        <v>2030</v>
      </c>
      <c r="CL37" s="232" t="n">
        <v>2030</v>
      </c>
      <c r="CM37" s="232" t="n">
        <v>2030</v>
      </c>
      <c r="CN37" s="232" t="n">
        <v>2030</v>
      </c>
      <c r="CO37" s="232" t="n">
        <v>2030</v>
      </c>
      <c r="CP37" s="232" t="n">
        <v>2030</v>
      </c>
      <c r="CQ37" s="232" t="n">
        <v>2030</v>
      </c>
      <c r="CR37" s="232" t="n">
        <v>2030</v>
      </c>
      <c r="CS37" s="232" t="n">
        <v>2030</v>
      </c>
      <c r="CT37" s="232" t="n">
        <v>2030</v>
      </c>
      <c r="CU37" s="232" t="n">
        <v>2030</v>
      </c>
      <c r="CV37" s="232" t="n">
        <v>2030</v>
      </c>
      <c r="CW37" s="232" t="n">
        <v>2031</v>
      </c>
      <c r="CX37" s="232" t="n">
        <v>2031</v>
      </c>
      <c r="CY37" s="232" t="n">
        <v>2031</v>
      </c>
      <c r="CZ37" s="232" t="n">
        <v>2031</v>
      </c>
      <c r="DA37" s="232" t="n">
        <v>2031</v>
      </c>
      <c r="DB37" s="232" t="n">
        <v>2031</v>
      </c>
      <c r="DC37" s="232" t="n">
        <v>2031</v>
      </c>
      <c r="DD37" s="232" t="n">
        <v>2031</v>
      </c>
      <c r="DE37" s="232" t="n">
        <v>2031</v>
      </c>
      <c r="DF37" s="232" t="n">
        <v>2031</v>
      </c>
      <c r="DG37" s="232" t="n">
        <v>2031</v>
      </c>
      <c r="DH37" s="232" t="n">
        <v>2031</v>
      </c>
      <c r="DI37" s="232" t="n">
        <v>2032</v>
      </c>
      <c r="DJ37" s="232" t="n">
        <v>2032</v>
      </c>
      <c r="DK37" s="232" t="n">
        <v>2032</v>
      </c>
      <c r="DL37" s="232" t="n">
        <v>2032</v>
      </c>
      <c r="DM37" s="232" t="n">
        <v>2032</v>
      </c>
      <c r="DN37" s="232" t="n">
        <v>2032</v>
      </c>
      <c r="DO37" s="232" t="n">
        <v>2032</v>
      </c>
      <c r="DP37" s="232" t="n">
        <v>2032</v>
      </c>
      <c r="DQ37" s="232" t="n">
        <v>2032</v>
      </c>
      <c r="DR37" s="232" t="n">
        <v>2032</v>
      </c>
      <c r="DS37" s="232" t="n">
        <v>2032</v>
      </c>
      <c r="DT37" s="232" t="n">
        <v>2032</v>
      </c>
      <c r="DU37" s="232" t="n">
        <v>2033</v>
      </c>
      <c r="DV37" s="232" t="n">
        <v>2033</v>
      </c>
      <c r="DW37" s="232" t="n">
        <v>2033</v>
      </c>
      <c r="DX37" s="232" t="n">
        <v>2033</v>
      </c>
      <c r="DY37" s="232" t="n">
        <v>2033</v>
      </c>
      <c r="DZ37" s="232" t="n">
        <v>2033</v>
      </c>
      <c r="EA37" s="232" t="n">
        <v>2033</v>
      </c>
      <c r="EB37" s="232" t="n">
        <v>2033</v>
      </c>
      <c r="EC37" s="232" t="n">
        <v>2033</v>
      </c>
      <c r="ED37" s="232" t="n">
        <v>2033</v>
      </c>
      <c r="EE37" s="232" t="n">
        <v>2033</v>
      </c>
      <c r="EF37" s="232" t="n">
        <v>2033</v>
      </c>
      <c r="EG37" s="232" t="n">
        <v>2034</v>
      </c>
      <c r="EH37" s="232" t="n">
        <v>2034</v>
      </c>
      <c r="EI37" s="232" t="n">
        <v>2034</v>
      </c>
      <c r="EJ37" s="232" t="n">
        <v>2034</v>
      </c>
      <c r="EK37" s="232" t="n">
        <v>2034</v>
      </c>
      <c r="EL37" s="232" t="n">
        <v>2034</v>
      </c>
      <c r="EM37" s="232" t="n">
        <v>2034</v>
      </c>
      <c r="EN37" s="232" t="n">
        <v>2034</v>
      </c>
      <c r="EO37" s="232" t="n">
        <v>2034</v>
      </c>
      <c r="EP37" s="232" t="n">
        <v>2034</v>
      </c>
      <c r="EQ37" s="232" t="n">
        <v>2034</v>
      </c>
      <c r="ER37" s="232" t="n">
        <v>2034</v>
      </c>
      <c r="ES37" s="9" t="n">
        <f aca="false">YEAR(ES36)</f>
        <v>2035</v>
      </c>
      <c r="ET37" s="9" t="n">
        <f aca="false">YEAR(ET36)</f>
        <v>2035</v>
      </c>
      <c r="EU37" s="9" t="n">
        <f aca="false">YEAR(EU36)</f>
        <v>2035</v>
      </c>
      <c r="EV37" s="9" t="n">
        <f aca="false">YEAR(EV36)</f>
        <v>2035</v>
      </c>
      <c r="EW37" s="9" t="n">
        <f aca="false">YEAR(EW36)</f>
        <v>2035</v>
      </c>
      <c r="EX37" s="9" t="n">
        <f aca="false">YEAR(EX36)</f>
        <v>2035</v>
      </c>
      <c r="EY37" s="9" t="n">
        <f aca="false">YEAR(EY36)</f>
        <v>2035</v>
      </c>
      <c r="EZ37" s="9" t="n">
        <f aca="false">YEAR(EZ36)</f>
        <v>2035</v>
      </c>
      <c r="FA37" s="9" t="n">
        <f aca="false">YEAR(FA36)</f>
        <v>2035</v>
      </c>
      <c r="FB37" s="9" t="n">
        <f aca="false">YEAR(FB36)</f>
        <v>2035</v>
      </c>
      <c r="FC37" s="9" t="n">
        <f aca="false">YEAR(FC36)</f>
        <v>2035</v>
      </c>
      <c r="FD37" s="9" t="n">
        <f aca="false">YEAR(FD36)</f>
        <v>2035</v>
      </c>
      <c r="FE37" s="9" t="n">
        <f aca="false">YEAR(FE36)</f>
        <v>2036</v>
      </c>
      <c r="FF37" s="9" t="n">
        <f aca="false">YEAR(FF36)</f>
        <v>2036</v>
      </c>
      <c r="FG37" s="9" t="n">
        <f aca="false">YEAR(FG36)</f>
        <v>2036</v>
      </c>
      <c r="FH37" s="9" t="n">
        <f aca="false">YEAR(FH36)</f>
        <v>2036</v>
      </c>
      <c r="FI37" s="9" t="n">
        <f aca="false">YEAR(FI36)</f>
        <v>2036</v>
      </c>
      <c r="FJ37" s="9" t="n">
        <f aca="false">YEAR(FJ36)</f>
        <v>2036</v>
      </c>
      <c r="FK37" s="9" t="n">
        <f aca="false">YEAR(FK36)</f>
        <v>2036</v>
      </c>
      <c r="FL37" s="9" t="n">
        <f aca="false">YEAR(FL36)</f>
        <v>2036</v>
      </c>
      <c r="FM37" s="9" t="n">
        <f aca="false">YEAR(FM36)</f>
        <v>2036</v>
      </c>
      <c r="FN37" s="9" t="n">
        <f aca="false">YEAR(FN36)</f>
        <v>2036</v>
      </c>
      <c r="FO37" s="9" t="n">
        <f aca="false">YEAR(FO36)</f>
        <v>2036</v>
      </c>
      <c r="FP37" s="9" t="n">
        <f aca="false">YEAR(FP36)</f>
        <v>2036</v>
      </c>
    </row>
    <row r="38" customFormat="false" ht="15" hidden="false" customHeight="false" outlineLevel="0" collapsed="false">
      <c r="B38" s="9" t="s">
        <v>869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 t="n">
        <f aca="false">CHOOSE(MONTH(AC$36),1.08,0.82,1.16,1.1,0.92,0.8,0.84,1.42,1.16,0.96,0.72,1.02)</f>
        <v>1.08</v>
      </c>
      <c r="AD38" s="9" t="n">
        <f aca="false">CHOOSE(MONTH(AD$36),1.08,0.82,1.16,1.1,0.92,0.8,0.84,1.42,1.16,0.96,0.72,1.02)</f>
        <v>0.82</v>
      </c>
      <c r="AE38" s="9" t="n">
        <f aca="false">CHOOSE(MONTH(AE$36),1.08,0.82,1.16,1.1,0.92,0.8,0.84,1.42,1.16,0.96,0.72,1.02)</f>
        <v>1.16</v>
      </c>
      <c r="AF38" s="9" t="n">
        <f aca="false">CHOOSE(MONTH(AF$36),1.08,0.82,1.16,1.1,0.92,0.8,0.84,1.42,1.16,0.96,0.72,1.02)</f>
        <v>1.1</v>
      </c>
      <c r="AG38" s="9" t="n">
        <f aca="false">CHOOSE(MONTH(AG$36),1.08,0.82,1.16,1.1,0.92,0.8,0.84,1.42,1.16,0.96,0.72,1.02)</f>
        <v>0.92</v>
      </c>
      <c r="AH38" s="9" t="n">
        <f aca="false">CHOOSE(MONTH(AH$36),1.08,0.82,1.16,1.1,0.92,0.8,0.84,1.42,1.16,0.96,0.72,1.02)</f>
        <v>0.8</v>
      </c>
      <c r="AI38" s="9" t="n">
        <f aca="false">CHOOSE(MONTH(AI$36),1.08,0.82,1.16,1.1,0.92,0.8,0.84,1.42,1.16,0.96,0.72,1.02)</f>
        <v>0.84</v>
      </c>
      <c r="AJ38" s="9" t="n">
        <f aca="false">CHOOSE(MONTH(AJ$36),1.08,0.82,1.16,1.1,0.92,0.8,0.84,1.42,1.16,0.96,0.72,1.02)</f>
        <v>1.42</v>
      </c>
      <c r="AK38" s="9" t="n">
        <f aca="false">CHOOSE(MONTH(AK$36),1.08,0.82,1.16,1.1,0.92,0.8,0.84,1.42,1.16,0.96,0.72,1.02)</f>
        <v>1.16</v>
      </c>
      <c r="AL38" s="9" t="n">
        <f aca="false">CHOOSE(MONTH(AL$36),1.08,0.82,1.16,1.1,0.92,0.8,0.84,1.42,1.16,0.96,0.72,1.02)</f>
        <v>0.96</v>
      </c>
      <c r="AM38" s="9" t="n">
        <f aca="false">CHOOSE(MONTH(AM$36),1.08,0.82,1.16,1.1,0.92,0.8,0.84,1.42,1.16,0.96,0.72,1.02)</f>
        <v>0.72</v>
      </c>
      <c r="AN38" s="9" t="n">
        <f aca="false">CHOOSE(MONTH(AN$36),1.08,0.82,1.16,1.1,0.92,0.8,0.84,1.42,1.16,0.96,0.72,1.02)</f>
        <v>1.02</v>
      </c>
      <c r="AO38" s="9" t="n">
        <f aca="false">CHOOSE(MONTH(AO$36),1.08,0.82,1.16,1.1,0.92,0.8,0.84,1.42,1.16,0.96,0.72,1.02)</f>
        <v>1.08</v>
      </c>
      <c r="AP38" s="9" t="n">
        <f aca="false">CHOOSE(MONTH(AP$36),1.08,0.82,1.16,1.1,0.92,0.8,0.84,1.42,1.16,0.96,0.72,1.02)</f>
        <v>0.82</v>
      </c>
      <c r="AQ38" s="9" t="n">
        <f aca="false">CHOOSE(MONTH(AQ$36),1.08,0.82,1.16,1.1,0.92,0.8,0.84,1.42,1.16,0.96,0.72,1.02)</f>
        <v>1.16</v>
      </c>
      <c r="AR38" s="9" t="n">
        <f aca="false">CHOOSE(MONTH(AR$36),1.08,0.82,1.16,1.1,0.92,0.8,0.84,1.42,1.16,0.96,0.72,1.02)</f>
        <v>1.1</v>
      </c>
      <c r="AS38" s="9" t="n">
        <f aca="false">CHOOSE(MONTH(AS$36),1.08,0.82,1.16,1.1,0.92,0.8,0.84,1.42,1.16,0.96,0.72,1.02)</f>
        <v>0.92</v>
      </c>
      <c r="AT38" s="9" t="n">
        <f aca="false">CHOOSE(MONTH(AT$36),1.08,0.82,1.16,1.1,0.92,0.8,0.84,1.42,1.16,0.96,0.72,1.02)</f>
        <v>0.8</v>
      </c>
      <c r="AU38" s="9" t="n">
        <f aca="false">CHOOSE(MONTH(AU$36),1.08,0.82,1.16,1.1,0.92,0.8,0.84,1.42,1.16,0.96,0.72,1.02)</f>
        <v>0.84</v>
      </c>
      <c r="AV38" s="9" t="n">
        <f aca="false">CHOOSE(MONTH(AV$36),1.08,0.82,1.16,1.1,0.92,0.8,0.84,1.42,1.16,0.96,0.72,1.02)</f>
        <v>1.42</v>
      </c>
      <c r="AW38" s="9" t="n">
        <f aca="false">CHOOSE(MONTH(AW$36),1.08,0.82,1.16,1.1,0.92,0.8,0.84,1.42,1.16,0.96,0.72,1.02)</f>
        <v>1.16</v>
      </c>
      <c r="AX38" s="9" t="n">
        <f aca="false">CHOOSE(MONTH(AX$36),1.08,0.82,1.16,1.1,0.92,0.8,0.84,1.42,1.16,0.96,0.72,1.02)</f>
        <v>0.96</v>
      </c>
      <c r="AY38" s="9" t="n">
        <f aca="false">CHOOSE(MONTH(AY$36),1.08,0.82,1.16,1.1,0.92,0.8,0.84,1.42,1.16,0.96,0.72,1.02)</f>
        <v>0.72</v>
      </c>
      <c r="AZ38" s="9" t="n">
        <f aca="false">CHOOSE(MONTH(AZ$36),1.08,0.82,1.16,1.1,0.92,0.8,0.84,1.42,1.16,0.96,0.72,1.02)</f>
        <v>1.02</v>
      </c>
      <c r="BA38" s="9" t="n">
        <f aca="false">CHOOSE(MONTH(BA$36),1.08,0.82,1.16,1.1,0.92,0.8,0.84,1.42,1.16,0.96,0.72,1.02)</f>
        <v>1.08</v>
      </c>
      <c r="BB38" s="9" t="n">
        <f aca="false">CHOOSE(MONTH(BB$36),1.08,0.82,1.16,1.1,0.92,0.8,0.84,1.42,1.16,0.96,0.72,1.02)</f>
        <v>0.82</v>
      </c>
      <c r="BC38" s="9" t="n">
        <f aca="false">CHOOSE(MONTH(BC$36),1.08,0.82,1.16,1.1,0.92,0.8,0.84,1.42,1.16,0.96,0.72,1.02)</f>
        <v>1.16</v>
      </c>
      <c r="BD38" s="9" t="n">
        <f aca="false">CHOOSE(MONTH(BD$36),1.08,0.82,1.16,1.1,0.92,0.8,0.84,1.42,1.16,0.96,0.72,1.02)</f>
        <v>1.1</v>
      </c>
      <c r="BE38" s="9" t="n">
        <f aca="false">CHOOSE(MONTH(BE$36),1.08,0.82,1.16,1.1,0.92,0.8,0.84,1.42,1.16,0.96,0.72,1.02)</f>
        <v>0.92</v>
      </c>
      <c r="BF38" s="9" t="n">
        <f aca="false">CHOOSE(MONTH(BF$36),1.08,0.82,1.16,1.1,0.92,0.8,0.84,1.42,1.16,0.96,0.72,1.02)</f>
        <v>0.8</v>
      </c>
      <c r="BG38" s="9" t="n">
        <f aca="false">CHOOSE(MONTH(BG$36),1.08,0.82,1.16,1.1,0.92,0.8,0.84,1.42,1.16,0.96,0.72,1.02)</f>
        <v>0.84</v>
      </c>
      <c r="BH38" s="9" t="n">
        <f aca="false">CHOOSE(MONTH(BH$36),1.08,0.82,1.16,1.1,0.92,0.8,0.84,1.42,1.16,0.96,0.72,1.02)</f>
        <v>1.42</v>
      </c>
      <c r="BI38" s="9" t="n">
        <f aca="false">CHOOSE(MONTH(BI$36),1.08,0.82,1.16,1.1,0.92,0.8,0.84,1.42,1.16,0.96,0.72,1.02)</f>
        <v>1.16</v>
      </c>
      <c r="BJ38" s="9" t="n">
        <f aca="false">CHOOSE(MONTH(BJ$36),1.08,0.82,1.16,1.1,0.92,0.8,0.84,1.42,1.16,0.96,0.72,1.02)</f>
        <v>0.96</v>
      </c>
      <c r="BK38" s="9" t="n">
        <f aca="false">CHOOSE(MONTH(BK$36),1.08,0.82,1.16,1.1,0.92,0.8,0.84,1.42,1.16,0.96,0.72,1.02)</f>
        <v>0.72</v>
      </c>
      <c r="BL38" s="9" t="n">
        <f aca="false">CHOOSE(MONTH(BL$36),1.08,0.82,1.16,1.1,0.92,0.8,0.84,1.42,1.16,0.96,0.72,1.02)</f>
        <v>1.02</v>
      </c>
      <c r="BM38" s="9" t="n">
        <f aca="false">CHOOSE(MONTH(BM$36),1.08,0.82,1.16,1.1,0.92,0.8,0.84,1.42,1.16,0.96,0.72,1.02)</f>
        <v>1.08</v>
      </c>
      <c r="BN38" s="9" t="n">
        <f aca="false">CHOOSE(MONTH(BN$36),1.08,0.82,1.16,1.1,0.92,0.8,0.84,1.42,1.16,0.96,0.72,1.02)</f>
        <v>0.82</v>
      </c>
      <c r="BO38" s="9" t="n">
        <f aca="false">CHOOSE(MONTH(BO$36),1.08,0.82,1.16,1.1,0.92,0.8,0.84,1.42,1.16,0.96,0.72,1.02)</f>
        <v>1.16</v>
      </c>
      <c r="BP38" s="9" t="n">
        <f aca="false">CHOOSE(MONTH(BP$36),1.08,0.82,1.16,1.1,0.92,0.8,0.84,1.42,1.16,0.96,0.72,1.02)</f>
        <v>1.1</v>
      </c>
      <c r="BQ38" s="9" t="n">
        <f aca="false">CHOOSE(MONTH(BQ$36),1.08,0.82,1.16,1.1,0.92,0.8,0.84,1.42,1.16,0.96,0.72,1.02)</f>
        <v>0.92</v>
      </c>
      <c r="BR38" s="9" t="n">
        <f aca="false">CHOOSE(MONTH(BR$36),1.08,0.82,1.16,1.1,0.92,0.8,0.84,1.42,1.16,0.96,0.72,1.02)</f>
        <v>0.8</v>
      </c>
      <c r="BS38" s="9" t="n">
        <f aca="false">CHOOSE(MONTH(BS$36),1.08,0.82,1.16,1.1,0.92,0.8,0.84,1.42,1.16,0.96,0.72,1.02)</f>
        <v>0.84</v>
      </c>
      <c r="BT38" s="9" t="n">
        <f aca="false">CHOOSE(MONTH(BT$36),1.08,0.82,1.16,1.1,0.92,0.8,0.84,1.42,1.16,0.96,0.72,1.02)</f>
        <v>1.42</v>
      </c>
      <c r="BU38" s="9" t="n">
        <f aca="false">CHOOSE(MONTH(BU$36),1.08,0.82,1.16,1.1,0.92,0.8,0.84,1.42,1.16,0.96,0.72,1.02)</f>
        <v>1.16</v>
      </c>
      <c r="BV38" s="9" t="n">
        <f aca="false">CHOOSE(MONTH(BV$36),1.08,0.82,1.16,1.1,0.92,0.8,0.84,1.42,1.16,0.96,0.72,1.02)</f>
        <v>0.96</v>
      </c>
      <c r="BW38" s="9" t="n">
        <f aca="false">CHOOSE(MONTH(BW$36),1.08,0.82,1.16,1.1,0.92,0.8,0.84,1.42,1.16,0.96,0.72,1.02)</f>
        <v>0.72</v>
      </c>
      <c r="BX38" s="9" t="n">
        <f aca="false">CHOOSE(MONTH(BX$36),1.08,0.82,1.16,1.1,0.92,0.8,0.84,1.42,1.16,0.96,0.72,1.02)</f>
        <v>1.02</v>
      </c>
      <c r="BY38" s="9" t="n">
        <f aca="false">CHOOSE(MONTH(BY$36),1.08,0.82,1.16,1.1,0.92,0.8,0.84,1.42,1.16,0.96,0.72,1.02)</f>
        <v>1.08</v>
      </c>
      <c r="BZ38" s="9" t="n">
        <f aca="false">CHOOSE(MONTH(BZ$36),1.08,0.82,1.16,1.1,0.92,0.8,0.84,1.42,1.16,0.96,0.72,1.02)</f>
        <v>0.82</v>
      </c>
      <c r="CA38" s="9" t="n">
        <f aca="false">CHOOSE(MONTH(CA$36),1.08,0.82,1.16,1.1,0.92,0.8,0.84,1.42,1.16,0.96,0.72,1.02)</f>
        <v>1.16</v>
      </c>
      <c r="CB38" s="9" t="n">
        <f aca="false">CHOOSE(MONTH(CB$36),1.08,0.82,1.16,1.1,0.92,0.8,0.84,1.42,1.16,0.96,0.72,1.02)</f>
        <v>1.1</v>
      </c>
      <c r="CC38" s="9" t="n">
        <f aca="false">CHOOSE(MONTH(CC$36),1.08,0.82,1.16,1.1,0.92,0.8,0.84,1.42,1.16,0.96,0.72,1.02)</f>
        <v>0.92</v>
      </c>
      <c r="CD38" s="9" t="n">
        <f aca="false">CHOOSE(MONTH(CD$36),1.08,0.82,1.16,1.1,0.92,0.8,0.84,1.42,1.16,0.96,0.72,1.02)</f>
        <v>0.8</v>
      </c>
      <c r="CE38" s="9" t="n">
        <f aca="false">CHOOSE(MONTH(CE$36),1.08,0.82,1.16,1.1,0.92,0.8,0.84,1.42,1.16,0.96,0.72,1.02)</f>
        <v>0.84</v>
      </c>
      <c r="CF38" s="9" t="n">
        <f aca="false">CHOOSE(MONTH(CF$36),1.08,0.82,1.16,1.1,0.92,0.8,0.84,1.42,1.16,0.96,0.72,1.02)</f>
        <v>1.42</v>
      </c>
      <c r="CG38" s="9" t="n">
        <f aca="false">CHOOSE(MONTH(CG$36),1.08,0.82,1.16,1.1,0.92,0.8,0.84,1.42,1.16,0.96,0.72,1.02)</f>
        <v>1.16</v>
      </c>
      <c r="CH38" s="9" t="n">
        <f aca="false">CHOOSE(MONTH(CH$36),1.08,0.82,1.16,1.1,0.92,0.8,0.84,1.42,1.16,0.96,0.72,1.02)</f>
        <v>0.96</v>
      </c>
      <c r="CI38" s="9" t="n">
        <f aca="false">CHOOSE(MONTH(CI$36),1.08,0.82,1.16,1.1,0.92,0.8,0.84,1.42,1.16,0.96,0.72,1.02)</f>
        <v>0.72</v>
      </c>
      <c r="CJ38" s="9" t="n">
        <f aca="false">CHOOSE(MONTH(CJ$36),1.08,0.82,1.16,1.1,0.92,0.8,0.84,1.42,1.16,0.96,0.72,1.02)</f>
        <v>1.02</v>
      </c>
      <c r="CK38" s="9" t="n">
        <f aca="false">CHOOSE(MONTH(CK$36),1.08,0.82,1.16,1.1,0.92,0.8,0.84,1.42,1.16,0.96,0.72,1.02)</f>
        <v>1.08</v>
      </c>
      <c r="CL38" s="9" t="n">
        <f aca="false">CHOOSE(MONTH(CL$36),1.08,0.82,1.16,1.1,0.92,0.8,0.84,1.42,1.16,0.96,0.72,1.02)</f>
        <v>0.82</v>
      </c>
      <c r="CM38" s="9" t="n">
        <f aca="false">CHOOSE(MONTH(CM$36),1.08,0.82,1.16,1.1,0.92,0.8,0.84,1.42,1.16,0.96,0.72,1.02)</f>
        <v>1.16</v>
      </c>
      <c r="CN38" s="9" t="n">
        <f aca="false">CHOOSE(MONTH(CN$36),1.08,0.82,1.16,1.1,0.92,0.8,0.84,1.42,1.16,0.96,0.72,1.02)</f>
        <v>1.1</v>
      </c>
      <c r="CO38" s="9" t="n">
        <f aca="false">CHOOSE(MONTH(CO$36),1.08,0.82,1.16,1.1,0.92,0.8,0.84,1.42,1.16,0.96,0.72,1.02)</f>
        <v>0.92</v>
      </c>
      <c r="CP38" s="9" t="n">
        <f aca="false">CHOOSE(MONTH(CP$36),1.08,0.82,1.16,1.1,0.92,0.8,0.84,1.42,1.16,0.96,0.72,1.02)</f>
        <v>0.8</v>
      </c>
      <c r="CQ38" s="9" t="n">
        <f aca="false">CHOOSE(MONTH(CQ$36),1.08,0.82,1.16,1.1,0.92,0.8,0.84,1.42,1.16,0.96,0.72,1.02)</f>
        <v>0.84</v>
      </c>
      <c r="CR38" s="9" t="n">
        <f aca="false">CHOOSE(MONTH(CR$36),1.08,0.82,1.16,1.1,0.92,0.8,0.84,1.42,1.16,0.96,0.72,1.02)</f>
        <v>1.42</v>
      </c>
      <c r="CS38" s="9" t="n">
        <f aca="false">CHOOSE(MONTH(CS$36),1.08,0.82,1.16,1.1,0.92,0.8,0.84,1.42,1.16,0.96,0.72,1.02)</f>
        <v>1.16</v>
      </c>
      <c r="CT38" s="9" t="n">
        <f aca="false">CHOOSE(MONTH(CT$36),1.08,0.82,1.16,1.1,0.92,0.8,0.84,1.42,1.16,0.96,0.72,1.02)</f>
        <v>0.96</v>
      </c>
      <c r="CU38" s="9" t="n">
        <f aca="false">CHOOSE(MONTH(CU$36),1.08,0.82,1.16,1.1,0.92,0.8,0.84,1.42,1.16,0.96,0.72,1.02)</f>
        <v>0.72</v>
      </c>
      <c r="CV38" s="9" t="n">
        <f aca="false">CHOOSE(MONTH(CV$36),1.08,0.82,1.16,1.1,0.92,0.8,0.84,1.42,1.16,0.96,0.72,1.02)</f>
        <v>1.02</v>
      </c>
      <c r="CW38" s="9" t="n">
        <f aca="false">CHOOSE(MONTH(CW$36),1.08,0.82,1.16,1.1,0.92,0.8,0.84,1.42,1.16,0.96,0.72,1.02)</f>
        <v>1.08</v>
      </c>
      <c r="CX38" s="9" t="n">
        <f aca="false">CHOOSE(MONTH(CX$36),1.08,0.82,1.16,1.1,0.92,0.8,0.84,1.42,1.16,0.96,0.72,1.02)</f>
        <v>0.82</v>
      </c>
      <c r="CY38" s="9" t="n">
        <f aca="false">CHOOSE(MONTH(CY$36),1.08,0.82,1.16,1.1,0.92,0.8,0.84,1.42,1.16,0.96,0.72,1.02)</f>
        <v>1.16</v>
      </c>
      <c r="CZ38" s="9" t="n">
        <f aca="false">CHOOSE(MONTH(CZ$36),1.08,0.82,1.16,1.1,0.92,0.8,0.84,1.42,1.16,0.96,0.72,1.02)</f>
        <v>1.1</v>
      </c>
      <c r="DA38" s="9" t="n">
        <f aca="false">CHOOSE(MONTH(DA$36),1.08,0.82,1.16,1.1,0.92,0.8,0.84,1.42,1.16,0.96,0.72,1.02)</f>
        <v>0.92</v>
      </c>
      <c r="DB38" s="9" t="n">
        <f aca="false">CHOOSE(MONTH(DB$36),1.08,0.82,1.16,1.1,0.92,0.8,0.84,1.42,1.16,0.96,0.72,1.02)</f>
        <v>0.8</v>
      </c>
      <c r="DC38" s="9" t="n">
        <f aca="false">CHOOSE(MONTH(DC$36),1.08,0.82,1.16,1.1,0.92,0.8,0.84,1.42,1.16,0.96,0.72,1.02)</f>
        <v>0.84</v>
      </c>
      <c r="DD38" s="9" t="n">
        <f aca="false">CHOOSE(MONTH(DD$36),1.08,0.82,1.16,1.1,0.92,0.8,0.84,1.42,1.16,0.96,0.72,1.02)</f>
        <v>1.42</v>
      </c>
      <c r="DE38" s="9" t="n">
        <f aca="false">CHOOSE(MONTH(DE$36),1.08,0.82,1.16,1.1,0.92,0.8,0.84,1.42,1.16,0.96,0.72,1.02)</f>
        <v>1.16</v>
      </c>
      <c r="DF38" s="9" t="n">
        <f aca="false">CHOOSE(MONTH(DF$36),1.08,0.82,1.16,1.1,0.92,0.8,0.84,1.42,1.16,0.96,0.72,1.02)</f>
        <v>0.96</v>
      </c>
      <c r="DG38" s="9" t="n">
        <f aca="false">CHOOSE(MONTH(DG$36),1.08,0.82,1.16,1.1,0.92,0.8,0.84,1.42,1.16,0.96,0.72,1.02)</f>
        <v>0.72</v>
      </c>
      <c r="DH38" s="9" t="n">
        <f aca="false">CHOOSE(MONTH(DH$36),1.08,0.82,1.16,1.1,0.92,0.8,0.84,1.42,1.16,0.96,0.72,1.02)</f>
        <v>1.02</v>
      </c>
      <c r="DI38" s="9" t="n">
        <f aca="false">CHOOSE(MONTH(DI$36),1.08,0.82,1.16,1.1,0.92,0.8,0.84,1.42,1.16,0.96,0.72,1.02)</f>
        <v>1.08</v>
      </c>
      <c r="DJ38" s="9" t="n">
        <f aca="false">CHOOSE(MONTH(DJ$36),1.08,0.82,1.16,1.1,0.92,0.8,0.84,1.42,1.16,0.96,0.72,1.02)</f>
        <v>0.82</v>
      </c>
      <c r="DK38" s="9" t="n">
        <f aca="false">CHOOSE(MONTH(DK$36),1.08,0.82,1.16,1.1,0.92,0.8,0.84,1.42,1.16,0.96,0.72,1.02)</f>
        <v>1.16</v>
      </c>
      <c r="DL38" s="9" t="n">
        <f aca="false">CHOOSE(MONTH(DL$36),1.08,0.82,1.16,1.1,0.92,0.8,0.84,1.42,1.16,0.96,0.72,1.02)</f>
        <v>1.1</v>
      </c>
      <c r="DM38" s="9" t="n">
        <f aca="false">CHOOSE(MONTH(DM$36),1.08,0.82,1.16,1.1,0.92,0.8,0.84,1.42,1.16,0.96,0.72,1.02)</f>
        <v>0.92</v>
      </c>
      <c r="DN38" s="9" t="n">
        <f aca="false">CHOOSE(MONTH(DN$36),1.08,0.82,1.16,1.1,0.92,0.8,0.84,1.42,1.16,0.96,0.72,1.02)</f>
        <v>0.8</v>
      </c>
      <c r="DO38" s="9" t="n">
        <f aca="false">CHOOSE(MONTH(DO$36),1.08,0.82,1.16,1.1,0.92,0.8,0.84,1.42,1.16,0.96,0.72,1.02)</f>
        <v>0.84</v>
      </c>
      <c r="DP38" s="9" t="n">
        <f aca="false">CHOOSE(MONTH(DP$36),1.08,0.82,1.16,1.1,0.92,0.8,0.84,1.42,1.16,0.96,0.72,1.02)</f>
        <v>1.42</v>
      </c>
      <c r="DQ38" s="9" t="n">
        <f aca="false">CHOOSE(MONTH(DQ$36),1.08,0.82,1.16,1.1,0.92,0.8,0.84,1.42,1.16,0.96,0.72,1.02)</f>
        <v>1.16</v>
      </c>
      <c r="DR38" s="9" t="n">
        <f aca="false">CHOOSE(MONTH(DR$36),1.08,0.82,1.16,1.1,0.92,0.8,0.84,1.42,1.16,0.96,0.72,1.02)</f>
        <v>0.96</v>
      </c>
      <c r="DS38" s="9" t="n">
        <f aca="false">CHOOSE(MONTH(DS$36),1.08,0.82,1.16,1.1,0.92,0.8,0.84,1.42,1.16,0.96,0.72,1.02)</f>
        <v>0.72</v>
      </c>
      <c r="DT38" s="9" t="n">
        <f aca="false">CHOOSE(MONTH(DT$36),1.08,0.82,1.16,1.1,0.92,0.8,0.84,1.42,1.16,0.96,0.72,1.02)</f>
        <v>1.02</v>
      </c>
      <c r="DU38" s="9" t="n">
        <f aca="false">CHOOSE(MONTH(DU$36),1.08,0.82,1.16,1.1,0.92,0.8,0.84,1.42,1.16,0.96,0.72,1.02)</f>
        <v>1.08</v>
      </c>
      <c r="DV38" s="9" t="n">
        <f aca="false">CHOOSE(MONTH(DV$36),1.08,0.82,1.16,1.1,0.92,0.8,0.84,1.42,1.16,0.96,0.72,1.02)</f>
        <v>0.82</v>
      </c>
      <c r="DW38" s="9" t="n">
        <f aca="false">CHOOSE(MONTH(DW$36),1.08,0.82,1.16,1.1,0.92,0.8,0.84,1.42,1.16,0.96,0.72,1.02)</f>
        <v>1.16</v>
      </c>
      <c r="DX38" s="9" t="n">
        <f aca="false">CHOOSE(MONTH(DX$36),1.08,0.82,1.16,1.1,0.92,0.8,0.84,1.42,1.16,0.96,0.72,1.02)</f>
        <v>1.1</v>
      </c>
      <c r="DY38" s="9" t="n">
        <f aca="false">CHOOSE(MONTH(DY$36),1.08,0.82,1.16,1.1,0.92,0.8,0.84,1.42,1.16,0.96,0.72,1.02)</f>
        <v>0.92</v>
      </c>
      <c r="DZ38" s="9" t="n">
        <f aca="false">CHOOSE(MONTH(DZ$36),1.08,0.82,1.16,1.1,0.92,0.8,0.84,1.42,1.16,0.96,0.72,1.02)</f>
        <v>0.8</v>
      </c>
      <c r="EA38" s="9" t="n">
        <f aca="false">CHOOSE(MONTH(EA$36),1.08,0.82,1.16,1.1,0.92,0.8,0.84,1.42,1.16,0.96,0.72,1.02)</f>
        <v>0.84</v>
      </c>
      <c r="EB38" s="9" t="n">
        <f aca="false">CHOOSE(MONTH(EB$36),1.08,0.82,1.16,1.1,0.92,0.8,0.84,1.42,1.16,0.96,0.72,1.02)</f>
        <v>1.42</v>
      </c>
      <c r="EC38" s="9" t="n">
        <f aca="false">CHOOSE(MONTH(EC$36),1.08,0.82,1.16,1.1,0.92,0.8,0.84,1.42,1.16,0.96,0.72,1.02)</f>
        <v>1.16</v>
      </c>
      <c r="ED38" s="9" t="n">
        <f aca="false">CHOOSE(MONTH(ED$36),1.08,0.82,1.16,1.1,0.92,0.8,0.84,1.42,1.16,0.96,0.72,1.02)</f>
        <v>0.96</v>
      </c>
      <c r="EE38" s="9" t="n">
        <f aca="false">CHOOSE(MONTH(EE$36),1.08,0.82,1.16,1.1,0.92,0.8,0.84,1.42,1.16,0.96,0.72,1.02)</f>
        <v>0.72</v>
      </c>
      <c r="EF38" s="9" t="n">
        <f aca="false">CHOOSE(MONTH(EF$36),1.08,0.82,1.16,1.1,0.92,0.8,0.84,1.42,1.16,0.96,0.72,1.02)</f>
        <v>1.02</v>
      </c>
      <c r="EG38" s="9" t="n">
        <f aca="false">CHOOSE(MONTH(EG$36),1.08,0.82,1.16,1.1,0.92,0.8,0.84,1.42,1.16,0.96,0.72,1.02)</f>
        <v>1.08</v>
      </c>
      <c r="EH38" s="9" t="n">
        <f aca="false">CHOOSE(MONTH(EH$36),1.08,0.82,1.16,1.1,0.92,0.8,0.84,1.42,1.16,0.96,0.72,1.02)</f>
        <v>0.82</v>
      </c>
      <c r="EI38" s="9" t="n">
        <f aca="false">CHOOSE(MONTH(EI$36),1.08,0.82,1.16,1.1,0.92,0.8,0.84,1.42,1.16,0.96,0.72,1.02)</f>
        <v>1.16</v>
      </c>
      <c r="EJ38" s="9" t="n">
        <f aca="false">CHOOSE(MONTH(EJ$36),1.08,0.82,1.16,1.1,0.92,0.8,0.84,1.42,1.16,0.96,0.72,1.02)</f>
        <v>1.1</v>
      </c>
      <c r="EK38" s="9" t="n">
        <f aca="false">CHOOSE(MONTH(EK$36),1.08,0.82,1.16,1.1,0.92,0.8,0.84,1.42,1.16,0.96,0.72,1.02)</f>
        <v>0.92</v>
      </c>
      <c r="EL38" s="9" t="n">
        <f aca="false">CHOOSE(MONTH(EL$36),1.08,0.82,1.16,1.1,0.92,0.8,0.84,1.42,1.16,0.96,0.72,1.02)</f>
        <v>0.8</v>
      </c>
      <c r="EM38" s="9" t="n">
        <f aca="false">CHOOSE(MONTH(EM$36),1.08,0.82,1.16,1.1,0.92,0.8,0.84,1.42,1.16,0.96,0.72,1.02)</f>
        <v>0.84</v>
      </c>
      <c r="EN38" s="9" t="n">
        <f aca="false">CHOOSE(MONTH(EN$36),1.08,0.82,1.16,1.1,0.92,0.8,0.84,1.42,1.16,0.96,0.72,1.02)</f>
        <v>1.42</v>
      </c>
      <c r="EO38" s="9" t="n">
        <f aca="false">CHOOSE(MONTH(EO$36),1.08,0.82,1.16,1.1,0.92,0.8,0.84,1.42,1.16,0.96,0.72,1.02)</f>
        <v>1.16</v>
      </c>
      <c r="EP38" s="9" t="n">
        <f aca="false">CHOOSE(MONTH(EP$36),1.08,0.82,1.16,1.1,0.92,0.8,0.84,1.42,1.16,0.96,0.72,1.02)</f>
        <v>0.96</v>
      </c>
      <c r="EQ38" s="9" t="n">
        <f aca="false">CHOOSE(MONTH(EQ$36),1.08,0.82,1.16,1.1,0.92,0.8,0.84,1.42,1.16,0.96,0.72,1.02)</f>
        <v>0.72</v>
      </c>
      <c r="ER38" s="9" t="n">
        <f aca="false">CHOOSE(MONTH(ER$36),1.08,0.82,1.16,1.1,0.92,0.8,0.84,1.42,1.16,0.96,0.72,1.02)</f>
        <v>1.02</v>
      </c>
      <c r="ES38" s="9" t="n">
        <f aca="false">CHOOSE(MONTH(ES$36),1.08,0.82,1.16,1.1,0.92,0.8,0.84,1.42,1.16,0.96,0.72,1.02)</f>
        <v>1.08</v>
      </c>
      <c r="ET38" s="9" t="n">
        <f aca="false">CHOOSE(MONTH(ET$36),1.08,0.82,1.16,1.1,0.92,0.8,0.84,1.42,1.16,0.96,0.72,1.02)</f>
        <v>0.82</v>
      </c>
      <c r="EU38" s="9" t="n">
        <f aca="false">CHOOSE(MONTH(EU$36),1.08,0.82,1.16,1.1,0.92,0.8,0.84,1.42,1.16,0.96,0.72,1.02)</f>
        <v>1.16</v>
      </c>
      <c r="EV38" s="9" t="n">
        <f aca="false">CHOOSE(MONTH(EV$36),1.08,0.82,1.16,1.1,0.92,0.8,0.84,1.42,1.16,0.96,0.72,1.02)</f>
        <v>1.1</v>
      </c>
      <c r="EW38" s="9" t="n">
        <f aca="false">CHOOSE(MONTH(EW$36),1.08,0.82,1.16,1.1,0.92,0.8,0.84,1.42,1.16,0.96,0.72,1.02)</f>
        <v>0.92</v>
      </c>
      <c r="EX38" s="9" t="n">
        <f aca="false">CHOOSE(MONTH(EX$36),1.08,0.82,1.16,1.1,0.92,0.8,0.84,1.42,1.16,0.96,0.72,1.02)</f>
        <v>0.8</v>
      </c>
      <c r="EY38" s="9" t="n">
        <f aca="false">CHOOSE(MONTH(EY$36),1.08,0.82,1.16,1.1,0.92,0.8,0.84,1.42,1.16,0.96,0.72,1.02)</f>
        <v>0.84</v>
      </c>
      <c r="EZ38" s="9" t="n">
        <f aca="false">CHOOSE(MONTH(EZ$36),1.08,0.82,1.16,1.1,0.92,0.8,0.84,1.42,1.16,0.96,0.72,1.02)</f>
        <v>1.42</v>
      </c>
      <c r="FA38" s="9" t="n">
        <f aca="false">CHOOSE(MONTH(FA$36),1.08,0.82,1.16,1.1,0.92,0.8,0.84,1.42,1.16,0.96,0.72,1.02)</f>
        <v>1.16</v>
      </c>
      <c r="FB38" s="9" t="n">
        <f aca="false">CHOOSE(MONTH(FB$36),1.08,0.82,1.16,1.1,0.92,0.8,0.84,1.42,1.16,0.96,0.72,1.02)</f>
        <v>0.96</v>
      </c>
      <c r="FC38" s="9" t="n">
        <f aca="false">CHOOSE(MONTH(FC$36),1.08,0.82,1.16,1.1,0.92,0.8,0.84,1.42,1.16,0.96,0.72,1.02)</f>
        <v>0.72</v>
      </c>
      <c r="FD38" s="9" t="n">
        <f aca="false">CHOOSE(MONTH(FD$36),1.08,0.82,1.16,1.1,0.92,0.8,0.84,1.42,1.16,0.96,0.72,1.02)</f>
        <v>1.02</v>
      </c>
      <c r="FE38" s="9" t="n">
        <f aca="false">CHOOSE(MONTH(FE$36),1.08,0.82,1.16,1.1,0.92,0.8,0.84,1.42,1.16,0.96,0.72,1.02)</f>
        <v>1.08</v>
      </c>
      <c r="FF38" s="9" t="n">
        <f aca="false">CHOOSE(MONTH(FF$36),1.08,0.82,1.16,1.1,0.92,0.8,0.84,1.42,1.16,0.96,0.72,1.02)</f>
        <v>0.82</v>
      </c>
      <c r="FG38" s="9" t="n">
        <f aca="false">CHOOSE(MONTH(FG$36),1.08,0.82,1.16,1.1,0.92,0.8,0.84,1.42,1.16,0.96,0.72,1.02)</f>
        <v>1.16</v>
      </c>
      <c r="FH38" s="9" t="n">
        <f aca="false">CHOOSE(MONTH(FH$36),1.08,0.82,1.16,1.1,0.92,0.8,0.84,1.42,1.16,0.96,0.72,1.02)</f>
        <v>1.1</v>
      </c>
      <c r="FI38" s="9" t="n">
        <f aca="false">CHOOSE(MONTH(FI$36),1.08,0.82,1.16,1.1,0.92,0.8,0.84,1.42,1.16,0.96,0.72,1.02)</f>
        <v>0.92</v>
      </c>
      <c r="FJ38" s="9" t="n">
        <f aca="false">CHOOSE(MONTH(FJ$36),1.08,0.82,1.16,1.1,0.92,0.8,0.84,1.42,1.16,0.96,0.72,1.02)</f>
        <v>0.8</v>
      </c>
      <c r="FK38" s="9" t="n">
        <f aca="false">CHOOSE(MONTH(FK$36),1.08,0.82,1.16,1.1,0.92,0.8,0.84,1.42,1.16,0.96,0.72,1.02)</f>
        <v>0.84</v>
      </c>
      <c r="FL38" s="9" t="n">
        <f aca="false">CHOOSE(MONTH(FL$36),1.08,0.82,1.16,1.1,0.92,0.8,0.84,1.42,1.16,0.96,0.72,1.02)</f>
        <v>1.42</v>
      </c>
      <c r="FM38" s="9" t="n">
        <f aca="false">CHOOSE(MONTH(FM$36),1.08,0.82,1.16,1.1,0.92,0.8,0.84,1.42,1.16,0.96,0.72,1.02)</f>
        <v>1.16</v>
      </c>
      <c r="FN38" s="9" t="n">
        <f aca="false">CHOOSE(MONTH(FN$36),1.08,0.82,1.16,1.1,0.92,0.8,0.84,1.42,1.16,0.96,0.72,1.02)</f>
        <v>0.96</v>
      </c>
      <c r="FO38" s="9" t="n">
        <f aca="false">CHOOSE(MONTH(FO$36),1.08,0.82,1.16,1.1,0.92,0.8,0.84,1.42,1.16,0.96,0.72,1.02)</f>
        <v>0.72</v>
      </c>
      <c r="FP38" s="9" t="n">
        <f aca="false">CHOOSE(MONTH(FP$36),1.08,0.82,1.16,1.1,0.92,0.8,0.84,1.42,1.16,0.96,0.72,1.02)</f>
        <v>1.02</v>
      </c>
    </row>
    <row r="39" customFormat="false" ht="15" hidden="false" customHeight="false" outlineLevel="0" collapsed="false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</row>
    <row r="40" customFormat="false" ht="15" hidden="false" customHeight="false" outlineLevel="0" collapsed="false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</row>
    <row r="41" customFormat="false" ht="15" hidden="false" customHeight="false" outlineLevel="0" collapsed="false">
      <c r="B41" s="233" t="s">
        <v>870</v>
      </c>
      <c r="C41" s="233"/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3"/>
      <c r="R41" s="233"/>
      <c r="S41" s="233"/>
      <c r="T41" s="233"/>
      <c r="U41" s="233"/>
      <c r="V41" s="233"/>
      <c r="W41" s="233"/>
      <c r="X41" s="233"/>
      <c r="Y41" s="233"/>
      <c r="Z41" s="233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</row>
    <row r="42" customFormat="false" ht="15" hidden="false" customHeight="false" outlineLevel="0" collapsed="false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</row>
    <row r="43" customFormat="false" ht="15" hidden="false" customHeight="false" outlineLevel="2" collapsed="false">
      <c r="B43" s="21" t="s">
        <v>871</v>
      </c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</row>
    <row r="44" customFormat="false" ht="15" hidden="false" customHeight="false" outlineLevel="2" collapsed="false">
      <c r="B44" s="9" t="s">
        <v>872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234" t="n">
        <f aca="false">('⑫ Roll-out Plan'!G10-2025)*12+'⑫ Roll-out Plan'!F10</f>
        <v>1</v>
      </c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</row>
    <row r="45" customFormat="false" ht="15" hidden="false" customHeight="false" outlineLevel="2" collapsed="false">
      <c r="B45" s="9" t="s">
        <v>873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235" t="n">
        <f aca="false">VLOOKUP("A",$B$14:$C$18,2,FALSE())</f>
        <v>210</v>
      </c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</row>
    <row r="46" customFormat="false" ht="15" hidden="false" customHeight="false" outlineLevel="2" collapsed="false">
      <c r="B46" s="9" t="s">
        <v>799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63" t="n">
        <f aca="false">IF(AC$35&gt;=$AC$44,AC$35-$AC$44+1,0)</f>
        <v>1</v>
      </c>
      <c r="AD46" s="63" t="n">
        <f aca="false">IF(AD$35&gt;=$AC$44,AD$35-$AC$44+1,0)</f>
        <v>2</v>
      </c>
      <c r="AE46" s="63" t="n">
        <f aca="false">IF(AE$35&gt;=$AC$44,AE$35-$AC$44+1,0)</f>
        <v>3</v>
      </c>
      <c r="AF46" s="63" t="n">
        <f aca="false">IF(AF$35&gt;=$AC$44,AF$35-$AC$44+1,0)</f>
        <v>4</v>
      </c>
      <c r="AG46" s="63" t="n">
        <f aca="false">IF(AG$35&gt;=$AC$44,AG$35-$AC$44+1,0)</f>
        <v>5</v>
      </c>
      <c r="AH46" s="63" t="n">
        <f aca="false">IF(AH$35&gt;=$AC$44,AH$35-$AC$44+1,0)</f>
        <v>6</v>
      </c>
      <c r="AI46" s="63" t="n">
        <f aca="false">IF(AI$35&gt;=$AC$44,AI$35-$AC$44+1,0)</f>
        <v>7</v>
      </c>
      <c r="AJ46" s="63" t="n">
        <f aca="false">IF(AJ$35&gt;=$AC$44,AJ$35-$AC$44+1,0)</f>
        <v>8</v>
      </c>
      <c r="AK46" s="63" t="n">
        <f aca="false">IF(AK$35&gt;=$AC$44,AK$35-$AC$44+1,0)</f>
        <v>9</v>
      </c>
      <c r="AL46" s="63" t="n">
        <f aca="false">IF(AL$35&gt;=$AC$44,AL$35-$AC$44+1,0)</f>
        <v>10</v>
      </c>
      <c r="AM46" s="63" t="n">
        <f aca="false">IF(AM$35&gt;=$AC$44,AM$35-$AC$44+1,0)</f>
        <v>11</v>
      </c>
      <c r="AN46" s="63" t="n">
        <f aca="false">IF(AN$35&gt;=$AC$44,AN$35-$AC$44+1,0)</f>
        <v>12</v>
      </c>
      <c r="AO46" s="63" t="n">
        <f aca="false">IF(AO$35&gt;=$AC$44,AO$35-$AC$44+1,0)</f>
        <v>13</v>
      </c>
      <c r="AP46" s="63" t="n">
        <f aca="false">IF(AP$35&gt;=$AC$44,AP$35-$AC$44+1,0)</f>
        <v>14</v>
      </c>
      <c r="AQ46" s="63" t="n">
        <f aca="false">IF(AQ$35&gt;=$AC$44,AQ$35-$AC$44+1,0)</f>
        <v>15</v>
      </c>
      <c r="AR46" s="63" t="n">
        <f aca="false">IF(AR$35&gt;=$AC$44,AR$35-$AC$44+1,0)</f>
        <v>16</v>
      </c>
      <c r="AS46" s="63" t="n">
        <f aca="false">IF(AS$35&gt;=$AC$44,AS$35-$AC$44+1,0)</f>
        <v>17</v>
      </c>
      <c r="AT46" s="63" t="n">
        <f aca="false">IF(AT$35&gt;=$AC$44,AT$35-$AC$44+1,0)</f>
        <v>18</v>
      </c>
      <c r="AU46" s="63" t="n">
        <f aca="false">IF(AU$35&gt;=$AC$44,AU$35-$AC$44+1,0)</f>
        <v>19</v>
      </c>
      <c r="AV46" s="63" t="n">
        <f aca="false">IF(AV$35&gt;=$AC$44,AV$35-$AC$44+1,0)</f>
        <v>20</v>
      </c>
      <c r="AW46" s="63" t="n">
        <f aca="false">IF(AW$35&gt;=$AC$44,AW$35-$AC$44+1,0)</f>
        <v>21</v>
      </c>
      <c r="AX46" s="63" t="n">
        <f aca="false">IF(AX$35&gt;=$AC$44,AX$35-$AC$44+1,0)</f>
        <v>22</v>
      </c>
      <c r="AY46" s="63" t="n">
        <f aca="false">IF(AY$35&gt;=$AC$44,AY$35-$AC$44+1,0)</f>
        <v>23</v>
      </c>
      <c r="AZ46" s="63" t="n">
        <f aca="false">IF(AZ$35&gt;=$AC$44,AZ$35-$AC$44+1,0)</f>
        <v>24</v>
      </c>
      <c r="BA46" s="63" t="n">
        <f aca="false">IF(BA$35&gt;=$AC$44,BA$35-$AC$44+1,0)</f>
        <v>25</v>
      </c>
      <c r="BB46" s="63" t="n">
        <f aca="false">IF(BB$35&gt;=$AC$44,BB$35-$AC$44+1,0)</f>
        <v>26</v>
      </c>
      <c r="BC46" s="63" t="n">
        <f aca="false">IF(BC$35&gt;=$AC$44,BC$35-$AC$44+1,0)</f>
        <v>27</v>
      </c>
      <c r="BD46" s="63" t="n">
        <f aca="false">IF(BD$35&gt;=$AC$44,BD$35-$AC$44+1,0)</f>
        <v>28</v>
      </c>
      <c r="BE46" s="63" t="n">
        <f aca="false">IF(BE$35&gt;=$AC$44,BE$35-$AC$44+1,0)</f>
        <v>29</v>
      </c>
      <c r="BF46" s="63" t="n">
        <f aca="false">IF(BF$35&gt;=$AC$44,BF$35-$AC$44+1,0)</f>
        <v>30</v>
      </c>
      <c r="BG46" s="63" t="n">
        <f aca="false">IF(BG$35&gt;=$AC$44,BG$35-$AC$44+1,0)</f>
        <v>31</v>
      </c>
      <c r="BH46" s="63" t="n">
        <f aca="false">IF(BH$35&gt;=$AC$44,BH$35-$AC$44+1,0)</f>
        <v>32</v>
      </c>
      <c r="BI46" s="63" t="n">
        <f aca="false">IF(BI$35&gt;=$AC$44,BI$35-$AC$44+1,0)</f>
        <v>33</v>
      </c>
      <c r="BJ46" s="63" t="n">
        <f aca="false">IF(BJ$35&gt;=$AC$44,BJ$35-$AC$44+1,0)</f>
        <v>34</v>
      </c>
      <c r="BK46" s="63" t="n">
        <f aca="false">IF(BK$35&gt;=$AC$44,BK$35-$AC$44+1,0)</f>
        <v>35</v>
      </c>
      <c r="BL46" s="63" t="n">
        <f aca="false">IF(BL$35&gt;=$AC$44,BL$35-$AC$44+1,0)</f>
        <v>36</v>
      </c>
      <c r="BM46" s="63" t="n">
        <f aca="false">IF(BM$35&gt;=$AC$44,BM$35-$AC$44+1,0)</f>
        <v>37</v>
      </c>
      <c r="BN46" s="63" t="n">
        <f aca="false">IF(BN$35&gt;=$AC$44,BN$35-$AC$44+1,0)</f>
        <v>38</v>
      </c>
      <c r="BO46" s="63" t="n">
        <f aca="false">IF(BO$35&gt;=$AC$44,BO$35-$AC$44+1,0)</f>
        <v>39</v>
      </c>
      <c r="BP46" s="63" t="n">
        <f aca="false">IF(BP$35&gt;=$AC$44,BP$35-$AC$44+1,0)</f>
        <v>40</v>
      </c>
      <c r="BQ46" s="63" t="n">
        <f aca="false">IF(BQ$35&gt;=$AC$44,BQ$35-$AC$44+1,0)</f>
        <v>41</v>
      </c>
      <c r="BR46" s="63" t="n">
        <f aca="false">IF(BR$35&gt;=$AC$44,BR$35-$AC$44+1,0)</f>
        <v>42</v>
      </c>
      <c r="BS46" s="63" t="n">
        <f aca="false">IF(BS$35&gt;=$AC$44,BS$35-$AC$44+1,0)</f>
        <v>43</v>
      </c>
      <c r="BT46" s="63" t="n">
        <f aca="false">IF(BT$35&gt;=$AC$44,BT$35-$AC$44+1,0)</f>
        <v>44</v>
      </c>
      <c r="BU46" s="63" t="n">
        <f aca="false">IF(BU$35&gt;=$AC$44,BU$35-$AC$44+1,0)</f>
        <v>45</v>
      </c>
      <c r="BV46" s="63" t="n">
        <f aca="false">IF(BV$35&gt;=$AC$44,BV$35-$AC$44+1,0)</f>
        <v>46</v>
      </c>
      <c r="BW46" s="63" t="n">
        <f aca="false">IF(BW$35&gt;=$AC$44,BW$35-$AC$44+1,0)</f>
        <v>47</v>
      </c>
      <c r="BX46" s="63" t="n">
        <f aca="false">IF(BX$35&gt;=$AC$44,BX$35-$AC$44+1,0)</f>
        <v>48</v>
      </c>
      <c r="BY46" s="63" t="n">
        <f aca="false">IF(BY$35&gt;=$AC$44,BY$35-$AC$44+1,0)</f>
        <v>49</v>
      </c>
      <c r="BZ46" s="63" t="n">
        <f aca="false">IF(BZ$35&gt;=$AC$44,BZ$35-$AC$44+1,0)</f>
        <v>50</v>
      </c>
      <c r="CA46" s="63" t="n">
        <f aca="false">IF(CA$35&gt;=$AC$44,CA$35-$AC$44+1,0)</f>
        <v>51</v>
      </c>
      <c r="CB46" s="63" t="n">
        <f aca="false">IF(CB$35&gt;=$AC$44,CB$35-$AC$44+1,0)</f>
        <v>52</v>
      </c>
      <c r="CC46" s="63" t="n">
        <f aca="false">IF(CC$35&gt;=$AC$44,CC$35-$AC$44+1,0)</f>
        <v>53</v>
      </c>
      <c r="CD46" s="63" t="n">
        <f aca="false">IF(CD$35&gt;=$AC$44,CD$35-$AC$44+1,0)</f>
        <v>54</v>
      </c>
      <c r="CE46" s="63" t="n">
        <f aca="false">IF(CE$35&gt;=$AC$44,CE$35-$AC$44+1,0)</f>
        <v>55</v>
      </c>
      <c r="CF46" s="63" t="n">
        <f aca="false">IF(CF$35&gt;=$AC$44,CF$35-$AC$44+1,0)</f>
        <v>56</v>
      </c>
      <c r="CG46" s="63" t="n">
        <f aca="false">IF(CG$35&gt;=$AC$44,CG$35-$AC$44+1,0)</f>
        <v>57</v>
      </c>
      <c r="CH46" s="63" t="n">
        <f aca="false">IF(CH$35&gt;=$AC$44,CH$35-$AC$44+1,0)</f>
        <v>58</v>
      </c>
      <c r="CI46" s="63" t="n">
        <f aca="false">IF(CI$35&gt;=$AC$44,CI$35-$AC$44+1,0)</f>
        <v>59</v>
      </c>
      <c r="CJ46" s="63" t="n">
        <f aca="false">IF(CJ$35&gt;=$AC$44,CJ$35-$AC$44+1,0)</f>
        <v>60</v>
      </c>
      <c r="CK46" s="63" t="n">
        <f aca="false">IF(CK$35&gt;=$AC$44,CK$35-$AC$44+1,0)</f>
        <v>61</v>
      </c>
      <c r="CL46" s="63" t="n">
        <f aca="false">IF(CL$35&gt;=$AC$44,CL$35-$AC$44+1,0)</f>
        <v>62</v>
      </c>
      <c r="CM46" s="63" t="n">
        <f aca="false">IF(CM$35&gt;=$AC$44,CM$35-$AC$44+1,0)</f>
        <v>63</v>
      </c>
      <c r="CN46" s="63" t="n">
        <f aca="false">IF(CN$35&gt;=$AC$44,CN$35-$AC$44+1,0)</f>
        <v>64</v>
      </c>
      <c r="CO46" s="63" t="n">
        <f aca="false">IF(CO$35&gt;=$AC$44,CO$35-$AC$44+1,0)</f>
        <v>65</v>
      </c>
      <c r="CP46" s="63" t="n">
        <f aca="false">IF(CP$35&gt;=$AC$44,CP$35-$AC$44+1,0)</f>
        <v>66</v>
      </c>
      <c r="CQ46" s="63" t="n">
        <f aca="false">IF(CQ$35&gt;=$AC$44,CQ$35-$AC$44+1,0)</f>
        <v>67</v>
      </c>
      <c r="CR46" s="63" t="n">
        <f aca="false">IF(CR$35&gt;=$AC$44,CR$35-$AC$44+1,0)</f>
        <v>68</v>
      </c>
      <c r="CS46" s="63" t="n">
        <f aca="false">IF(CS$35&gt;=$AC$44,CS$35-$AC$44+1,0)</f>
        <v>69</v>
      </c>
      <c r="CT46" s="63" t="n">
        <f aca="false">IF(CT$35&gt;=$AC$44,CT$35-$AC$44+1,0)</f>
        <v>70</v>
      </c>
      <c r="CU46" s="63" t="n">
        <f aca="false">IF(CU$35&gt;=$AC$44,CU$35-$AC$44+1,0)</f>
        <v>71</v>
      </c>
      <c r="CV46" s="63" t="n">
        <f aca="false">IF(CV$35&gt;=$AC$44,CV$35-$AC$44+1,0)</f>
        <v>72</v>
      </c>
      <c r="CW46" s="63" t="n">
        <f aca="false">IF(CW$35&gt;=$AC$44,CW$35-$AC$44+1,0)</f>
        <v>73</v>
      </c>
      <c r="CX46" s="63" t="n">
        <f aca="false">IF(CX$35&gt;=$AC$44,CX$35-$AC$44+1,0)</f>
        <v>74</v>
      </c>
      <c r="CY46" s="63" t="n">
        <f aca="false">IF(CY$35&gt;=$AC$44,CY$35-$AC$44+1,0)</f>
        <v>75</v>
      </c>
      <c r="CZ46" s="63" t="n">
        <f aca="false">IF(CZ$35&gt;=$AC$44,CZ$35-$AC$44+1,0)</f>
        <v>76</v>
      </c>
      <c r="DA46" s="63" t="n">
        <f aca="false">IF(DA$35&gt;=$AC$44,DA$35-$AC$44+1,0)</f>
        <v>77</v>
      </c>
      <c r="DB46" s="63" t="n">
        <f aca="false">IF(DB$35&gt;=$AC$44,DB$35-$AC$44+1,0)</f>
        <v>78</v>
      </c>
      <c r="DC46" s="63" t="n">
        <f aca="false">IF(DC$35&gt;=$AC$44,DC$35-$AC$44+1,0)</f>
        <v>79</v>
      </c>
      <c r="DD46" s="63" t="n">
        <f aca="false">IF(DD$35&gt;=$AC$44,DD$35-$AC$44+1,0)</f>
        <v>80</v>
      </c>
      <c r="DE46" s="63" t="n">
        <f aca="false">IF(DE$35&gt;=$AC$44,DE$35-$AC$44+1,0)</f>
        <v>81</v>
      </c>
      <c r="DF46" s="63" t="n">
        <f aca="false">IF(DF$35&gt;=$AC$44,DF$35-$AC$44+1,0)</f>
        <v>82</v>
      </c>
      <c r="DG46" s="63" t="n">
        <f aca="false">IF(DG$35&gt;=$AC$44,DG$35-$AC$44+1,0)</f>
        <v>83</v>
      </c>
      <c r="DH46" s="63" t="n">
        <f aca="false">IF(DH$35&gt;=$AC$44,DH$35-$AC$44+1,0)</f>
        <v>84</v>
      </c>
      <c r="DI46" s="63" t="n">
        <f aca="false">IF(DI$35&gt;=$AC$44,DI$35-$AC$44+1,0)</f>
        <v>85</v>
      </c>
      <c r="DJ46" s="63" t="n">
        <f aca="false">IF(DJ$35&gt;=$AC$44,DJ$35-$AC$44+1,0)</f>
        <v>86</v>
      </c>
      <c r="DK46" s="63" t="n">
        <f aca="false">IF(DK$35&gt;=$AC$44,DK$35-$AC$44+1,0)</f>
        <v>87</v>
      </c>
      <c r="DL46" s="63" t="n">
        <f aca="false">IF(DL$35&gt;=$AC$44,DL$35-$AC$44+1,0)</f>
        <v>88</v>
      </c>
      <c r="DM46" s="63" t="n">
        <f aca="false">IF(DM$35&gt;=$AC$44,DM$35-$AC$44+1,0)</f>
        <v>89</v>
      </c>
      <c r="DN46" s="63" t="n">
        <f aca="false">IF(DN$35&gt;=$AC$44,DN$35-$AC$44+1,0)</f>
        <v>90</v>
      </c>
      <c r="DO46" s="63" t="n">
        <f aca="false">IF(DO$35&gt;=$AC$44,DO$35-$AC$44+1,0)</f>
        <v>91</v>
      </c>
      <c r="DP46" s="63" t="n">
        <f aca="false">IF(DP$35&gt;=$AC$44,DP$35-$AC$44+1,0)</f>
        <v>92</v>
      </c>
      <c r="DQ46" s="63" t="n">
        <f aca="false">IF(DQ$35&gt;=$AC$44,DQ$35-$AC$44+1,0)</f>
        <v>93</v>
      </c>
      <c r="DR46" s="63" t="n">
        <f aca="false">IF(DR$35&gt;=$AC$44,DR$35-$AC$44+1,0)</f>
        <v>94</v>
      </c>
      <c r="DS46" s="63" t="n">
        <f aca="false">IF(DS$35&gt;=$AC$44,DS$35-$AC$44+1,0)</f>
        <v>95</v>
      </c>
      <c r="DT46" s="63" t="n">
        <f aca="false">IF(DT$35&gt;=$AC$44,DT$35-$AC$44+1,0)</f>
        <v>96</v>
      </c>
      <c r="DU46" s="63" t="n">
        <f aca="false">IF(DU$35&gt;=$AC$44,DU$35-$AC$44+1,0)</f>
        <v>97</v>
      </c>
      <c r="DV46" s="63" t="n">
        <f aca="false">IF(DV$35&gt;=$AC$44,DV$35-$AC$44+1,0)</f>
        <v>98</v>
      </c>
      <c r="DW46" s="63" t="n">
        <f aca="false">IF(DW$35&gt;=$AC$44,DW$35-$AC$44+1,0)</f>
        <v>99</v>
      </c>
      <c r="DX46" s="63" t="n">
        <f aca="false">IF(DX$35&gt;=$AC$44,DX$35-$AC$44+1,0)</f>
        <v>100</v>
      </c>
      <c r="DY46" s="63" t="n">
        <f aca="false">IF(DY$35&gt;=$AC$44,DY$35-$AC$44+1,0)</f>
        <v>101</v>
      </c>
      <c r="DZ46" s="63" t="n">
        <f aca="false">IF(DZ$35&gt;=$AC$44,DZ$35-$AC$44+1,0)</f>
        <v>102</v>
      </c>
      <c r="EA46" s="63" t="n">
        <f aca="false">IF(EA$35&gt;=$AC$44,EA$35-$AC$44+1,0)</f>
        <v>103</v>
      </c>
      <c r="EB46" s="63" t="n">
        <f aca="false">IF(EB$35&gt;=$AC$44,EB$35-$AC$44+1,0)</f>
        <v>104</v>
      </c>
      <c r="EC46" s="63" t="n">
        <f aca="false">IF(EC$35&gt;=$AC$44,EC$35-$AC$44+1,0)</f>
        <v>105</v>
      </c>
      <c r="ED46" s="63" t="n">
        <f aca="false">IF(ED$35&gt;=$AC$44,ED$35-$AC$44+1,0)</f>
        <v>106</v>
      </c>
      <c r="EE46" s="63" t="n">
        <f aca="false">IF(EE$35&gt;=$AC$44,EE$35-$AC$44+1,0)</f>
        <v>107</v>
      </c>
      <c r="EF46" s="63" t="n">
        <f aca="false">IF(EF$35&gt;=$AC$44,EF$35-$AC$44+1,0)</f>
        <v>108</v>
      </c>
      <c r="EG46" s="63" t="n">
        <f aca="false">IF(EG$35&gt;=$AC$44,EG$35-$AC$44+1,0)</f>
        <v>109</v>
      </c>
      <c r="EH46" s="63" t="n">
        <f aca="false">IF(EH$35&gt;=$AC$44,EH$35-$AC$44+1,0)</f>
        <v>110</v>
      </c>
      <c r="EI46" s="63" t="n">
        <f aca="false">IF(EI$35&gt;=$AC$44,EI$35-$AC$44+1,0)</f>
        <v>111</v>
      </c>
      <c r="EJ46" s="63" t="n">
        <f aca="false">IF(EJ$35&gt;=$AC$44,EJ$35-$AC$44+1,0)</f>
        <v>112</v>
      </c>
      <c r="EK46" s="63" t="n">
        <f aca="false">IF(EK$35&gt;=$AC$44,EK$35-$AC$44+1,0)</f>
        <v>113</v>
      </c>
      <c r="EL46" s="63" t="n">
        <f aca="false">IF(EL$35&gt;=$AC$44,EL$35-$AC$44+1,0)</f>
        <v>114</v>
      </c>
      <c r="EM46" s="63" t="n">
        <f aca="false">IF(EM$35&gt;=$AC$44,EM$35-$AC$44+1,0)</f>
        <v>115</v>
      </c>
      <c r="EN46" s="63" t="n">
        <f aca="false">IF(EN$35&gt;=$AC$44,EN$35-$AC$44+1,0)</f>
        <v>116</v>
      </c>
      <c r="EO46" s="63" t="n">
        <f aca="false">IF(EO$35&gt;=$AC$44,EO$35-$AC$44+1,0)</f>
        <v>117</v>
      </c>
      <c r="EP46" s="63" t="n">
        <f aca="false">IF(EP$35&gt;=$AC$44,EP$35-$AC$44+1,0)</f>
        <v>118</v>
      </c>
      <c r="EQ46" s="63" t="n">
        <f aca="false">IF(EQ$35&gt;=$AC$44,EQ$35-$AC$44+1,0)</f>
        <v>119</v>
      </c>
      <c r="ER46" s="63" t="n">
        <f aca="false">IF(ER$35&gt;=$AC$44,ER$35-$AC$44+1,0)</f>
        <v>120</v>
      </c>
      <c r="ES46" s="9" t="n">
        <f aca="false">IF(ES$35&gt;=$AC$44,ES$35-$AC$44+1,0)</f>
        <v>121</v>
      </c>
      <c r="ET46" s="9" t="n">
        <f aca="false">IF(ET$35&gt;=$AC$44,ET$35-$AC$44+1,0)</f>
        <v>122</v>
      </c>
      <c r="EU46" s="9" t="n">
        <f aca="false">IF(EU$35&gt;=$AC$44,EU$35-$AC$44+1,0)</f>
        <v>123</v>
      </c>
      <c r="EV46" s="9" t="n">
        <f aca="false">IF(EV$35&gt;=$AC$44,EV$35-$AC$44+1,0)</f>
        <v>124</v>
      </c>
      <c r="EW46" s="9" t="n">
        <f aca="false">IF(EW$35&gt;=$AC$44,EW$35-$AC$44+1,0)</f>
        <v>125</v>
      </c>
      <c r="EX46" s="9" t="n">
        <f aca="false">IF(EX$35&gt;=$AC$44,EX$35-$AC$44+1,0)</f>
        <v>126</v>
      </c>
      <c r="EY46" s="9" t="n">
        <f aca="false">IF(EY$35&gt;=$AC$44,EY$35-$AC$44+1,0)</f>
        <v>127</v>
      </c>
      <c r="EZ46" s="9" t="n">
        <f aca="false">IF(EZ$35&gt;=$AC$44,EZ$35-$AC$44+1,0)</f>
        <v>128</v>
      </c>
      <c r="FA46" s="9" t="n">
        <f aca="false">IF(FA$35&gt;=$AC$44,FA$35-$AC$44+1,0)</f>
        <v>129</v>
      </c>
      <c r="FB46" s="9" t="n">
        <f aca="false">IF(FB$35&gt;=$AC$44,FB$35-$AC$44+1,0)</f>
        <v>130</v>
      </c>
      <c r="FC46" s="9" t="n">
        <f aca="false">IF(FC$35&gt;=$AC$44,FC$35-$AC$44+1,0)</f>
        <v>131</v>
      </c>
      <c r="FD46" s="9" t="n">
        <f aca="false">IF(FD$35&gt;=$AC$44,FD$35-$AC$44+1,0)</f>
        <v>132</v>
      </c>
      <c r="FE46" s="9" t="n">
        <f aca="false">IF(FE$35&gt;=$AC$44,FE$35-$AC$44+1,0)</f>
        <v>133</v>
      </c>
      <c r="FF46" s="9" t="n">
        <f aca="false">IF(FF$35&gt;=$AC$44,FF$35-$AC$44+1,0)</f>
        <v>134</v>
      </c>
      <c r="FG46" s="9" t="n">
        <f aca="false">IF(FG$35&gt;=$AC$44,FG$35-$AC$44+1,0)</f>
        <v>135</v>
      </c>
      <c r="FH46" s="9" t="n">
        <f aca="false">IF(FH$35&gt;=$AC$44,FH$35-$AC$44+1,0)</f>
        <v>136</v>
      </c>
      <c r="FI46" s="9" t="n">
        <f aca="false">IF(FI$35&gt;=$AC$44,FI$35-$AC$44+1,0)</f>
        <v>137</v>
      </c>
      <c r="FJ46" s="9" t="n">
        <f aca="false">IF(FJ$35&gt;=$AC$44,FJ$35-$AC$44+1,0)</f>
        <v>138</v>
      </c>
      <c r="FK46" s="9" t="n">
        <f aca="false">IF(FK$35&gt;=$AC$44,FK$35-$AC$44+1,0)</f>
        <v>139</v>
      </c>
      <c r="FL46" s="9" t="n">
        <f aca="false">IF(FL$35&gt;=$AC$44,FL$35-$AC$44+1,0)</f>
        <v>140</v>
      </c>
      <c r="FM46" s="9" t="n">
        <f aca="false">IF(FM$35&gt;=$AC$44,FM$35-$AC$44+1,0)</f>
        <v>141</v>
      </c>
      <c r="FN46" s="9" t="n">
        <f aca="false">IF(FN$35&gt;=$AC$44,FN$35-$AC$44+1,0)</f>
        <v>142</v>
      </c>
      <c r="FO46" s="9" t="n">
        <f aca="false">IF(FO$35&gt;=$AC$44,FO$35-$AC$44+1,0)</f>
        <v>143</v>
      </c>
      <c r="FP46" s="9" t="n">
        <f aca="false">IF(FP$35&gt;=$AC$44,FP$35-$AC$44+1,0)</f>
        <v>144</v>
      </c>
    </row>
    <row r="47" customFormat="false" ht="15" hidden="false" customHeight="false" outlineLevel="2" collapsed="false">
      <c r="B47" s="9" t="s">
        <v>874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236" t="n">
        <f aca="false" t="array" ref="AC47:AC47">IF(AC46=0,0,IF(AC46/'🎚️ Escenario'!$C$11&gt;=36,$AL$23,INDEX($C$23:$AL$23,MAX(1,ROUNDUP(AC46/'🎚️ Escenario'!$C$11,0)))))</f>
        <v>0.2</v>
      </c>
      <c r="AD47" s="236" t="n">
        <f aca="false" t="array" ref="AD47:AD47">IF(AD46=0,0,IF(AD46/'🎚️ Escenario'!$C$11&gt;=36,$AL$23,INDEX($C$23:$AL$23,MAX(1,ROUNDUP(AD46/'🎚️ Escenario'!$C$11,0)))))</f>
        <v>0.22</v>
      </c>
      <c r="AE47" s="236" t="n">
        <f aca="false" t="array" ref="AE47:AE47">IF(AE46=0,0,IF(AE46/'🎚️ Escenario'!$C$11&gt;=36,$AL$23,INDEX($C$23:$AL$23,MAX(1,ROUNDUP(AE46/'🎚️ Escenario'!$C$11,0)))))</f>
        <v>0.24</v>
      </c>
      <c r="AF47" s="236" t="n">
        <f aca="false" t="array" ref="AF47:AF47">IF(AF46=0,0,IF(AF46/'🎚️ Escenario'!$C$11&gt;=36,$AL$23,INDEX($C$23:$AL$23,MAX(1,ROUNDUP(AF46/'🎚️ Escenario'!$C$11,0)))))</f>
        <v>0.27</v>
      </c>
      <c r="AG47" s="236" t="n">
        <f aca="false" t="array" ref="AG47:AG47">IF(AG46=0,0,IF(AG46/'🎚️ Escenario'!$C$11&gt;=36,$AL$23,INDEX($C$23:$AL$23,MAX(1,ROUNDUP(AG46/'🎚️ Escenario'!$C$11,0)))))</f>
        <v>0.27</v>
      </c>
      <c r="AH47" s="236" t="n">
        <f aca="false" t="array" ref="AH47:AH47">IF(AH46=0,0,IF(AH46/'🎚️ Escenario'!$C$11&gt;=36,$AL$23,INDEX($C$23:$AL$23,MAX(1,ROUNDUP(AH46/'🎚️ Escenario'!$C$11,0)))))</f>
        <v>0.31</v>
      </c>
      <c r="AI47" s="236" t="n">
        <f aca="false" t="array" ref="AI47:AI47">IF(AI46=0,0,IF(AI46/'🎚️ Escenario'!$C$11&gt;=36,$AL$23,INDEX($C$23:$AL$23,MAX(1,ROUNDUP(AI46/'🎚️ Escenario'!$C$11,0)))))</f>
        <v>0.35</v>
      </c>
      <c r="AJ47" s="236" t="n">
        <f aca="false" t="array" ref="AJ47:AJ47">IF(AJ46=0,0,IF(AJ46/'🎚️ Escenario'!$C$11&gt;=36,$AL$23,INDEX($C$23:$AL$23,MAX(1,ROUNDUP(AJ46/'🎚️ Escenario'!$C$11,0)))))</f>
        <v>0.39</v>
      </c>
      <c r="AK47" s="236" t="n">
        <f aca="false" t="array" ref="AK47:AK47">IF(AK46=0,0,IF(AK46/'🎚️ Escenario'!$C$11&gt;=36,$AL$23,INDEX($C$23:$AL$23,MAX(1,ROUNDUP(AK46/'🎚️ Escenario'!$C$11,0)))))</f>
        <v>0.44</v>
      </c>
      <c r="AL47" s="236" t="n">
        <f aca="false" t="array" ref="AL47:AL47">IF(AL46=0,0,IF(AL46/'🎚️ Escenario'!$C$11&gt;=36,$AL$23,INDEX($C$23:$AL$23,MAX(1,ROUNDUP(AL46/'🎚️ Escenario'!$C$11,0)))))</f>
        <v>0.44</v>
      </c>
      <c r="AM47" s="236" t="n">
        <f aca="false" t="array" ref="AM47:AM47">IF(AM46=0,0,IF(AM46/'🎚️ Escenario'!$C$11&gt;=36,$AL$23,INDEX($C$23:$AL$23,MAX(1,ROUNDUP(AM46/'🎚️ Escenario'!$C$11,0)))))</f>
        <v>0.48</v>
      </c>
      <c r="AN47" s="236" t="n">
        <f aca="false" t="array" ref="AN47:AN47">IF(AN46=0,0,IF(AN46/'🎚️ Escenario'!$C$11&gt;=36,$AL$23,INDEX($C$23:$AL$23,MAX(1,ROUNDUP(AN46/'🎚️ Escenario'!$C$11,0)))))</f>
        <v>0.52</v>
      </c>
      <c r="AO47" s="236" t="n">
        <f aca="false" t="array" ref="AO47:AO47">IF(AO46=0,0,IF(AO46/'🎚️ Escenario'!$C$11&gt;=36,$AL$23,INDEX($C$23:$AL$23,MAX(1,ROUNDUP(AO46/'🎚️ Escenario'!$C$11,0)))))</f>
        <v>0.56</v>
      </c>
      <c r="AP47" s="236" t="n">
        <f aca="false" t="array" ref="AP47:AP47">IF(AP46=0,0,IF(AP46/'🎚️ Escenario'!$C$11&gt;=36,$AL$23,INDEX($C$23:$AL$23,MAX(1,ROUNDUP(AP46/'🎚️ Escenario'!$C$11,0)))))</f>
        <v>0.6</v>
      </c>
      <c r="AQ47" s="236" t="n">
        <f aca="false" t="array" ref="AQ47:AQ47">IF(AQ46=0,0,IF(AQ46/'🎚️ Escenario'!$C$11&gt;=36,$AL$23,INDEX($C$23:$AL$23,MAX(1,ROUNDUP(AQ46/'🎚️ Escenario'!$C$11,0)))))</f>
        <v>0.6</v>
      </c>
      <c r="AR47" s="236" t="n">
        <f aca="false" t="array" ref="AR47:AR47">IF(AR46=0,0,IF(AR46/'🎚️ Escenario'!$C$11&gt;=36,$AL$23,INDEX($C$23:$AL$23,MAX(1,ROUNDUP(AR46/'🎚️ Escenario'!$C$11,0)))))</f>
        <v>0.63</v>
      </c>
      <c r="AS47" s="236" t="n">
        <f aca="false" t="array" ref="AS47:AS47">IF(AS46=0,0,IF(AS46/'🎚️ Escenario'!$C$11&gt;=36,$AL$23,INDEX($C$23:$AL$23,MAX(1,ROUNDUP(AS46/'🎚️ Escenario'!$C$11,0)))))</f>
        <v>0.66</v>
      </c>
      <c r="AT47" s="236" t="n">
        <f aca="false" t="array" ref="AT47:AT47">IF(AT46=0,0,IF(AT46/'🎚️ Escenario'!$C$11&gt;=36,$AL$23,INDEX($C$23:$AL$23,MAX(1,ROUNDUP(AT46/'🎚️ Escenario'!$C$11,0)))))</f>
        <v>0.69</v>
      </c>
      <c r="AU47" s="236" t="n">
        <f aca="false" t="array" ref="AU47:AU47">IF(AU46=0,0,IF(AU46/'🎚️ Escenario'!$C$11&gt;=36,$AL$23,INDEX($C$23:$AL$23,MAX(1,ROUNDUP(AU46/'🎚️ Escenario'!$C$11,0)))))</f>
        <v>0.71</v>
      </c>
      <c r="AV47" s="236" t="n">
        <f aca="false" t="array" ref="AV47:AV47">IF(AV46=0,0,IF(AV46/'🎚️ Escenario'!$C$11&gt;=36,$AL$23,INDEX($C$23:$AL$23,MAX(1,ROUNDUP(AV46/'🎚️ Escenario'!$C$11,0)))))</f>
        <v>0.71</v>
      </c>
      <c r="AW47" s="236" t="n">
        <f aca="false" t="array" ref="AW47:AW47">IF(AW46=0,0,IF(AW46/'🎚️ Escenario'!$C$11&gt;=36,$AL$23,INDEX($C$23:$AL$23,MAX(1,ROUNDUP(AW46/'🎚️ Escenario'!$C$11,0)))))</f>
        <v>0.73</v>
      </c>
      <c r="AX47" s="236" t="n">
        <f aca="false" t="array" ref="AX47:AX47">IF(AX46=0,0,IF(AX46/'🎚️ Escenario'!$C$11&gt;=36,$AL$23,INDEX($C$23:$AL$23,MAX(1,ROUNDUP(AX46/'🎚️ Escenario'!$C$11,0)))))</f>
        <v>0.75</v>
      </c>
      <c r="AY47" s="236" t="n">
        <f aca="false" t="array" ref="AY47:AY47">IF(AY46=0,0,IF(AY46/'🎚️ Escenario'!$C$11&gt;=36,$AL$23,INDEX($C$23:$AL$23,MAX(1,ROUNDUP(AY46/'🎚️ Escenario'!$C$11,0)))))</f>
        <v>0.77</v>
      </c>
      <c r="AZ47" s="236" t="n">
        <f aca="false" t="array" ref="AZ47:AZ47">IF(AZ46=0,0,IF(AZ46/'🎚️ Escenario'!$C$11&gt;=36,$AL$23,INDEX($C$23:$AL$23,MAX(1,ROUNDUP(AZ46/'🎚️ Escenario'!$C$11,0)))))</f>
        <v>0.79</v>
      </c>
      <c r="BA47" s="236" t="n">
        <f aca="false" t="array" ref="BA47:BA47">IF(BA46=0,0,IF(BA46/'🎚️ Escenario'!$C$11&gt;=36,$AL$23,INDEX($C$23:$AL$23,MAX(1,ROUNDUP(BA46/'🎚️ Escenario'!$C$11,0)))))</f>
        <v>0.79</v>
      </c>
      <c r="BB47" s="236" t="n">
        <f aca="false" t="array" ref="BB47:BB47">IF(BB46=0,0,IF(BB46/'🎚️ Escenario'!$C$11&gt;=36,$AL$23,INDEX($C$23:$AL$23,MAX(1,ROUNDUP(BB46/'🎚️ Escenario'!$C$11,0)))))</f>
        <v>0.8</v>
      </c>
      <c r="BC47" s="236" t="n">
        <f aca="false" t="array" ref="BC47:BC47">IF(BC46=0,0,IF(BC46/'🎚️ Escenario'!$C$11&gt;=36,$AL$23,INDEX($C$23:$AL$23,MAX(1,ROUNDUP(BC46/'🎚️ Escenario'!$C$11,0)))))</f>
        <v>0.82</v>
      </c>
      <c r="BD47" s="236" t="n">
        <f aca="false" t="array" ref="BD47:BD47">IF(BD46=0,0,IF(BD46/'🎚️ Escenario'!$C$11&gt;=36,$AL$23,INDEX($C$23:$AL$23,MAX(1,ROUNDUP(BD46/'🎚️ Escenario'!$C$11,0)))))</f>
        <v>0.84</v>
      </c>
      <c r="BE47" s="236" t="n">
        <f aca="false" t="array" ref="BE47:BE47">IF(BE46=0,0,IF(BE46/'🎚️ Escenario'!$C$11&gt;=36,$AL$23,INDEX($C$23:$AL$23,MAX(1,ROUNDUP(BE46/'🎚️ Escenario'!$C$11,0)))))</f>
        <v>0.85</v>
      </c>
      <c r="BF47" s="236" t="n">
        <f aca="false" t="array" ref="BF47:BF47">IF(BF46=0,0,IF(BF46/'🎚️ Escenario'!$C$11&gt;=36,$AL$23,INDEX($C$23:$AL$23,MAX(1,ROUNDUP(BF46/'🎚️ Escenario'!$C$11,0)))))</f>
        <v>0.85</v>
      </c>
      <c r="BG47" s="236" t="n">
        <f aca="false" t="array" ref="BG47:BG47">IF(BG46=0,0,IF(BG46/'🎚️ Escenario'!$C$11&gt;=36,$AL$23,INDEX($C$23:$AL$23,MAX(1,ROUNDUP(BG46/'🎚️ Escenario'!$C$11,0)))))</f>
        <v>0.86</v>
      </c>
      <c r="BH47" s="236" t="n">
        <f aca="false" t="array" ref="BH47:BH47">IF(BH46=0,0,IF(BH46/'🎚️ Escenario'!$C$11&gt;=36,$AL$23,INDEX($C$23:$AL$23,MAX(1,ROUNDUP(BH46/'🎚️ Escenario'!$C$11,0)))))</f>
        <v>0.88</v>
      </c>
      <c r="BI47" s="236" t="n">
        <f aca="false" t="array" ref="BI47:BI47">IF(BI46=0,0,IF(BI46/'🎚️ Escenario'!$C$11&gt;=36,$AL$23,INDEX($C$23:$AL$23,MAX(1,ROUNDUP(BI46/'🎚️ Escenario'!$C$11,0)))))</f>
        <v>0.89</v>
      </c>
      <c r="BJ47" s="236" t="n">
        <f aca="false" t="array" ref="BJ47:BJ47">IF(BJ46=0,0,IF(BJ46/'🎚️ Escenario'!$C$11&gt;=36,$AL$23,INDEX($C$23:$AL$23,MAX(1,ROUNDUP(BJ46/'🎚️ Escenario'!$C$11,0)))))</f>
        <v>0.9</v>
      </c>
      <c r="BK47" s="236" t="n">
        <f aca="false" t="array" ref="BK47:BK47">IF(BK46=0,0,IF(BK46/'🎚️ Escenario'!$C$11&gt;=36,$AL$23,INDEX($C$23:$AL$23,MAX(1,ROUNDUP(BK46/'🎚️ Escenario'!$C$11,0)))))</f>
        <v>0.9</v>
      </c>
      <c r="BL47" s="236" t="n">
        <f aca="false" t="array" ref="BL47:BL47">IF(BL46=0,0,IF(BL46/'🎚️ Escenario'!$C$11&gt;=36,$AL$23,INDEX($C$23:$AL$23,MAX(1,ROUNDUP(BL46/'🎚️ Escenario'!$C$11,0)))))</f>
        <v>0.92</v>
      </c>
      <c r="BM47" s="236" t="n">
        <f aca="false" t="array" ref="BM47:BM47">IF(BM46=0,0,IF(BM46/'🎚️ Escenario'!$C$11&gt;=36,$AL$23,INDEX($C$23:$AL$23,MAX(1,ROUNDUP(BM46/'🎚️ Escenario'!$C$11,0)))))</f>
        <v>0.93</v>
      </c>
      <c r="BN47" s="236" t="n">
        <f aca="false" t="array" ref="BN47:BN47">IF(BN46=0,0,IF(BN46/'🎚️ Escenario'!$C$11&gt;=36,$AL$23,INDEX($C$23:$AL$23,MAX(1,ROUNDUP(BN46/'🎚️ Escenario'!$C$11,0)))))</f>
        <v>0.94</v>
      </c>
      <c r="BO47" s="236" t="n">
        <f aca="false" t="array" ref="BO47:BO47">IF(BO46=0,0,IF(BO46/'🎚️ Escenario'!$C$11&gt;=36,$AL$23,INDEX($C$23:$AL$23,MAX(1,ROUNDUP(BO46/'🎚️ Escenario'!$C$11,0)))))</f>
        <v>0.95</v>
      </c>
      <c r="BP47" s="236" t="n">
        <f aca="false" t="array" ref="BP47:BP47">IF(BP46=0,0,IF(BP46/'🎚️ Escenario'!$C$11&gt;=36,$AL$23,INDEX($C$23:$AL$23,MAX(1,ROUNDUP(BP46/'🎚️ Escenario'!$C$11,0)))))</f>
        <v>0.95</v>
      </c>
      <c r="BQ47" s="236" t="n">
        <f aca="false" t="array" ref="BQ47:BQ47">IF(BQ46=0,0,IF(BQ46/'🎚️ Escenario'!$C$11&gt;=36,$AL$23,INDEX($C$23:$AL$23,MAX(1,ROUNDUP(BQ46/'🎚️ Escenario'!$C$11,0)))))</f>
        <v>0.97</v>
      </c>
      <c r="BR47" s="236" t="n">
        <f aca="false" t="array" ref="BR47:BR47">IF(BR46=0,0,IF(BR46/'🎚️ Escenario'!$C$11&gt;=36,$AL$23,INDEX($C$23:$AL$23,MAX(1,ROUNDUP(BR46/'🎚️ Escenario'!$C$11,0)))))</f>
        <v>0.98</v>
      </c>
      <c r="BS47" s="236" t="n">
        <f aca="false" t="array" ref="BS47:BS47">IF(BS46=0,0,IF(BS46/'🎚️ Escenario'!$C$11&gt;=36,$AL$23,INDEX($C$23:$AL$23,MAX(1,ROUNDUP(BS46/'🎚️ Escenario'!$C$11,0)))))</f>
        <v>0.99</v>
      </c>
      <c r="BT47" s="236" t="n">
        <f aca="false" t="array" ref="BT47:BT47">IF(BT46=0,0,IF(BT46/'🎚️ Escenario'!$C$11&gt;=36,$AL$23,INDEX($C$23:$AL$23,MAX(1,ROUNDUP(BT46/'🎚️ Escenario'!$C$11,0)))))</f>
        <v>1</v>
      </c>
      <c r="BU47" s="236" t="n">
        <f aca="false" t="array" ref="BU47:BU47">IF(BU46=0,0,IF(BU46/'🎚️ Escenario'!$C$11&gt;=36,$AL$23,INDEX($C$23:$AL$23,MAX(1,ROUNDUP(BU46/'🎚️ Escenario'!$C$11,0)))))</f>
        <v>1</v>
      </c>
      <c r="BV47" s="236" t="n">
        <f aca="false" t="array" ref="BV47:BV47">IF(BV46=0,0,IF(BV46/'🎚️ Escenario'!$C$11&gt;=36,$AL$23,INDEX($C$23:$AL$23,MAX(1,ROUNDUP(BV46/'🎚️ Escenario'!$C$11,0)))))</f>
        <v>1</v>
      </c>
      <c r="BW47" s="236" t="n">
        <f aca="false" t="array" ref="BW47:BW47">IF(BW46=0,0,IF(BW46/'🎚️ Escenario'!$C$11&gt;=36,$AL$23,INDEX($C$23:$AL$23,MAX(1,ROUNDUP(BW46/'🎚️ Escenario'!$C$11,0)))))</f>
        <v>1</v>
      </c>
      <c r="BX47" s="236" t="n">
        <f aca="false" t="array" ref="BX47:BX47">IF(BX46=0,0,IF(BX46/'🎚️ Escenario'!$C$11&gt;=36,$AL$23,INDEX($C$23:$AL$23,MAX(1,ROUNDUP(BX46/'🎚️ Escenario'!$C$11,0)))))</f>
        <v>1</v>
      </c>
      <c r="BY47" s="236" t="n">
        <f aca="false" t="array" ref="BY47:BY47">IF(BY46=0,0,IF(BY46/'🎚️ Escenario'!$C$11&gt;=36,$AL$23,INDEX($C$23:$AL$23,MAX(1,ROUNDUP(BY46/'🎚️ Escenario'!$C$11,0)))))</f>
        <v>1</v>
      </c>
      <c r="BZ47" s="236" t="n">
        <f aca="false" t="array" ref="BZ47:BZ47">IF(BZ46=0,0,IF(BZ46/'🎚️ Escenario'!$C$11&gt;=36,$AL$23,INDEX($C$23:$AL$23,MAX(1,ROUNDUP(BZ46/'🎚️ Escenario'!$C$11,0)))))</f>
        <v>1</v>
      </c>
      <c r="CA47" s="236" t="n">
        <f aca="false" t="array" ref="CA47:CA47">IF(CA46=0,0,IF(CA46/'🎚️ Escenario'!$C$11&gt;=36,$AL$23,INDEX($C$23:$AL$23,MAX(1,ROUNDUP(CA46/'🎚️ Escenario'!$C$11,0)))))</f>
        <v>1</v>
      </c>
      <c r="CB47" s="236" t="n">
        <f aca="false" t="array" ref="CB47:CB47">IF(CB46=0,0,IF(CB46/'🎚️ Escenario'!$C$11&gt;=36,$AL$23,INDEX($C$23:$AL$23,MAX(1,ROUNDUP(CB46/'🎚️ Escenario'!$C$11,0)))))</f>
        <v>1</v>
      </c>
      <c r="CC47" s="236" t="n">
        <f aca="false" t="array" ref="CC47:CC47">IF(CC46=0,0,IF(CC46/'🎚️ Escenario'!$C$11&gt;=36,$AL$23,INDEX($C$23:$AL$23,MAX(1,ROUNDUP(CC46/'🎚️ Escenario'!$C$11,0)))))</f>
        <v>1</v>
      </c>
      <c r="CD47" s="236" t="n">
        <f aca="false" t="array" ref="CD47:CD47">IF(CD46=0,0,IF(CD46/'🎚️ Escenario'!$C$11&gt;=36,$AL$23,INDEX($C$23:$AL$23,MAX(1,ROUNDUP(CD46/'🎚️ Escenario'!$C$11,0)))))</f>
        <v>1</v>
      </c>
      <c r="CE47" s="236" t="n">
        <f aca="false" t="array" ref="CE47:CE47">IF(CE46=0,0,IF(CE46/'🎚️ Escenario'!$C$11&gt;=36,$AL$23,INDEX($C$23:$AL$23,MAX(1,ROUNDUP(CE46/'🎚️ Escenario'!$C$11,0)))))</f>
        <v>1</v>
      </c>
      <c r="CF47" s="236" t="n">
        <f aca="false" t="array" ref="CF47:CF47">IF(CF46=0,0,IF(CF46/'🎚️ Escenario'!$C$11&gt;=36,$AL$23,INDEX($C$23:$AL$23,MAX(1,ROUNDUP(CF46/'🎚️ Escenario'!$C$11,0)))))</f>
        <v>1</v>
      </c>
      <c r="CG47" s="236" t="n">
        <f aca="false" t="array" ref="CG47:CG47">IF(CG46=0,0,IF(CG46/'🎚️ Escenario'!$C$11&gt;=36,$AL$23,INDEX($C$23:$AL$23,MAX(1,ROUNDUP(CG46/'🎚️ Escenario'!$C$11,0)))))</f>
        <v>1</v>
      </c>
      <c r="CH47" s="236" t="n">
        <f aca="false" t="array" ref="CH47:CH47">IF(CH46=0,0,IF(CH46/'🎚️ Escenario'!$C$11&gt;=36,$AL$23,INDEX($C$23:$AL$23,MAX(1,ROUNDUP(CH46/'🎚️ Escenario'!$C$11,0)))))</f>
        <v>1</v>
      </c>
      <c r="CI47" s="236" t="n">
        <f aca="false" t="array" ref="CI47:CI47">IF(CI46=0,0,IF(CI46/'🎚️ Escenario'!$C$11&gt;=36,$AL$23,INDEX($C$23:$AL$23,MAX(1,ROUNDUP(CI46/'🎚️ Escenario'!$C$11,0)))))</f>
        <v>1</v>
      </c>
      <c r="CJ47" s="236" t="n">
        <f aca="false" t="array" ref="CJ47:CJ47">IF(CJ46=0,0,IF(CJ46/'🎚️ Escenario'!$C$11&gt;=36,$AL$23,INDEX($C$23:$AL$23,MAX(1,ROUNDUP(CJ46/'🎚️ Escenario'!$C$11,0)))))</f>
        <v>1</v>
      </c>
      <c r="CK47" s="236" t="n">
        <f aca="false" t="array" ref="CK47:CK47">IF(CK46=0,0,IF(CK46/'🎚️ Escenario'!$C$11&gt;=36,$AL$23,INDEX($C$23:$AL$23,MAX(1,ROUNDUP(CK46/'🎚️ Escenario'!$C$11,0)))))</f>
        <v>1</v>
      </c>
      <c r="CL47" s="236" t="n">
        <f aca="false" t="array" ref="CL47:CL47">IF(CL46=0,0,IF(CL46/'🎚️ Escenario'!$C$11&gt;=36,$AL$23,INDEX($C$23:$AL$23,MAX(1,ROUNDUP(CL46/'🎚️ Escenario'!$C$11,0)))))</f>
        <v>1</v>
      </c>
      <c r="CM47" s="236" t="n">
        <f aca="false" t="array" ref="CM47:CM47">IF(CM46=0,0,IF(CM46/'🎚️ Escenario'!$C$11&gt;=36,$AL$23,INDEX($C$23:$AL$23,MAX(1,ROUNDUP(CM46/'🎚️ Escenario'!$C$11,0)))))</f>
        <v>1</v>
      </c>
      <c r="CN47" s="236" t="n">
        <f aca="false" t="array" ref="CN47:CN47">IF(CN46=0,0,IF(CN46/'🎚️ Escenario'!$C$11&gt;=36,$AL$23,INDEX($C$23:$AL$23,MAX(1,ROUNDUP(CN46/'🎚️ Escenario'!$C$11,0)))))</f>
        <v>1</v>
      </c>
      <c r="CO47" s="236" t="n">
        <f aca="false" t="array" ref="CO47:CO47">IF(CO46=0,0,IF(CO46/'🎚️ Escenario'!$C$11&gt;=36,$AL$23,INDEX($C$23:$AL$23,MAX(1,ROUNDUP(CO46/'🎚️ Escenario'!$C$11,0)))))</f>
        <v>1</v>
      </c>
      <c r="CP47" s="236" t="n">
        <f aca="false" t="array" ref="CP47:CP47">IF(CP46=0,0,IF(CP46/'🎚️ Escenario'!$C$11&gt;=36,$AL$23,INDEX($C$23:$AL$23,MAX(1,ROUNDUP(CP46/'🎚️ Escenario'!$C$11,0)))))</f>
        <v>1</v>
      </c>
      <c r="CQ47" s="236" t="n">
        <f aca="false" t="array" ref="CQ47:CQ47">IF(CQ46=0,0,IF(CQ46/'🎚️ Escenario'!$C$11&gt;=36,$AL$23,INDEX($C$23:$AL$23,MAX(1,ROUNDUP(CQ46/'🎚️ Escenario'!$C$11,0)))))</f>
        <v>1</v>
      </c>
      <c r="CR47" s="236" t="n">
        <f aca="false" t="array" ref="CR47:CR47">IF(CR46=0,0,IF(CR46/'🎚️ Escenario'!$C$11&gt;=36,$AL$23,INDEX($C$23:$AL$23,MAX(1,ROUNDUP(CR46/'🎚️ Escenario'!$C$11,0)))))</f>
        <v>1</v>
      </c>
      <c r="CS47" s="236" t="n">
        <f aca="false" t="array" ref="CS47:CS47">IF(CS46=0,0,IF(CS46/'🎚️ Escenario'!$C$11&gt;=36,$AL$23,INDEX($C$23:$AL$23,MAX(1,ROUNDUP(CS46/'🎚️ Escenario'!$C$11,0)))))</f>
        <v>1</v>
      </c>
      <c r="CT47" s="236" t="n">
        <f aca="false" t="array" ref="CT47:CT47">IF(CT46=0,0,IF(CT46/'🎚️ Escenario'!$C$11&gt;=36,$AL$23,INDEX($C$23:$AL$23,MAX(1,ROUNDUP(CT46/'🎚️ Escenario'!$C$11,0)))))</f>
        <v>1</v>
      </c>
      <c r="CU47" s="236" t="n">
        <f aca="false" t="array" ref="CU47:CU47">IF(CU46=0,0,IF(CU46/'🎚️ Escenario'!$C$11&gt;=36,$AL$23,INDEX($C$23:$AL$23,MAX(1,ROUNDUP(CU46/'🎚️ Escenario'!$C$11,0)))))</f>
        <v>1</v>
      </c>
      <c r="CV47" s="236" t="n">
        <f aca="false" t="array" ref="CV47:CV47">IF(CV46=0,0,IF(CV46/'🎚️ Escenario'!$C$11&gt;=36,$AL$23,INDEX($C$23:$AL$23,MAX(1,ROUNDUP(CV46/'🎚️ Escenario'!$C$11,0)))))</f>
        <v>1</v>
      </c>
      <c r="CW47" s="236" t="n">
        <f aca="false" t="array" ref="CW47:CW47">IF(CW46=0,0,IF(CW46/'🎚️ Escenario'!$C$11&gt;=36,$AL$23,INDEX($C$23:$AL$23,MAX(1,ROUNDUP(CW46/'🎚️ Escenario'!$C$11,0)))))</f>
        <v>1</v>
      </c>
      <c r="CX47" s="236" t="n">
        <f aca="false" t="array" ref="CX47:CX47">IF(CX46=0,0,IF(CX46/'🎚️ Escenario'!$C$11&gt;=36,$AL$23,INDEX($C$23:$AL$23,MAX(1,ROUNDUP(CX46/'🎚️ Escenario'!$C$11,0)))))</f>
        <v>1</v>
      </c>
      <c r="CY47" s="236" t="n">
        <f aca="false" t="array" ref="CY47:CY47">IF(CY46=0,0,IF(CY46/'🎚️ Escenario'!$C$11&gt;=36,$AL$23,INDEX($C$23:$AL$23,MAX(1,ROUNDUP(CY46/'🎚️ Escenario'!$C$11,0)))))</f>
        <v>1</v>
      </c>
      <c r="CZ47" s="236" t="n">
        <f aca="false" t="array" ref="CZ47:CZ47">IF(CZ46=0,0,IF(CZ46/'🎚️ Escenario'!$C$11&gt;=36,$AL$23,INDEX($C$23:$AL$23,MAX(1,ROUNDUP(CZ46/'🎚️ Escenario'!$C$11,0)))))</f>
        <v>1</v>
      </c>
      <c r="DA47" s="236" t="n">
        <f aca="false" t="array" ref="DA47:DA47">IF(DA46=0,0,IF(DA46/'🎚️ Escenario'!$C$11&gt;=36,$AL$23,INDEX($C$23:$AL$23,MAX(1,ROUNDUP(DA46/'🎚️ Escenario'!$C$11,0)))))</f>
        <v>1</v>
      </c>
      <c r="DB47" s="236" t="n">
        <f aca="false" t="array" ref="DB47:DB47">IF(DB46=0,0,IF(DB46/'🎚️ Escenario'!$C$11&gt;=36,$AL$23,INDEX($C$23:$AL$23,MAX(1,ROUNDUP(DB46/'🎚️ Escenario'!$C$11,0)))))</f>
        <v>1</v>
      </c>
      <c r="DC47" s="236" t="n">
        <f aca="false" t="array" ref="DC47:DC47">IF(DC46=0,0,IF(DC46/'🎚️ Escenario'!$C$11&gt;=36,$AL$23,INDEX($C$23:$AL$23,MAX(1,ROUNDUP(DC46/'🎚️ Escenario'!$C$11,0)))))</f>
        <v>1</v>
      </c>
      <c r="DD47" s="236" t="n">
        <f aca="false" t="array" ref="DD47:DD47">IF(DD46=0,0,IF(DD46/'🎚️ Escenario'!$C$11&gt;=36,$AL$23,INDEX($C$23:$AL$23,MAX(1,ROUNDUP(DD46/'🎚️ Escenario'!$C$11,0)))))</f>
        <v>1</v>
      </c>
      <c r="DE47" s="236" t="n">
        <f aca="false" t="array" ref="DE47:DE47">IF(DE46=0,0,IF(DE46/'🎚️ Escenario'!$C$11&gt;=36,$AL$23,INDEX($C$23:$AL$23,MAX(1,ROUNDUP(DE46/'🎚️ Escenario'!$C$11,0)))))</f>
        <v>1</v>
      </c>
      <c r="DF47" s="236" t="n">
        <f aca="false" t="array" ref="DF47:DF47">IF(DF46=0,0,IF(DF46/'🎚️ Escenario'!$C$11&gt;=36,$AL$23,INDEX($C$23:$AL$23,MAX(1,ROUNDUP(DF46/'🎚️ Escenario'!$C$11,0)))))</f>
        <v>1</v>
      </c>
      <c r="DG47" s="236" t="n">
        <f aca="false" t="array" ref="DG47:DG47">IF(DG46=0,0,IF(DG46/'🎚️ Escenario'!$C$11&gt;=36,$AL$23,INDEX($C$23:$AL$23,MAX(1,ROUNDUP(DG46/'🎚️ Escenario'!$C$11,0)))))</f>
        <v>1</v>
      </c>
      <c r="DH47" s="236" t="n">
        <f aca="false" t="array" ref="DH47:DH47">IF(DH46=0,0,IF(DH46/'🎚️ Escenario'!$C$11&gt;=36,$AL$23,INDEX($C$23:$AL$23,MAX(1,ROUNDUP(DH46/'🎚️ Escenario'!$C$11,0)))))</f>
        <v>1</v>
      </c>
      <c r="DI47" s="236" t="n">
        <f aca="false" t="array" ref="DI47:DI47">IF(DI46=0,0,IF(DI46/'🎚️ Escenario'!$C$11&gt;=36,$AL$23,INDEX($C$23:$AL$23,MAX(1,ROUNDUP(DI46/'🎚️ Escenario'!$C$11,0)))))</f>
        <v>1</v>
      </c>
      <c r="DJ47" s="236" t="n">
        <f aca="false" t="array" ref="DJ47:DJ47">IF(DJ46=0,0,IF(DJ46/'🎚️ Escenario'!$C$11&gt;=36,$AL$23,INDEX($C$23:$AL$23,MAX(1,ROUNDUP(DJ46/'🎚️ Escenario'!$C$11,0)))))</f>
        <v>1</v>
      </c>
      <c r="DK47" s="236" t="n">
        <f aca="false" t="array" ref="DK47:DK47">IF(DK46=0,0,IF(DK46/'🎚️ Escenario'!$C$11&gt;=36,$AL$23,INDEX($C$23:$AL$23,MAX(1,ROUNDUP(DK46/'🎚️ Escenario'!$C$11,0)))))</f>
        <v>1</v>
      </c>
      <c r="DL47" s="236" t="n">
        <f aca="false" t="array" ref="DL47:DL47">IF(DL46=0,0,IF(DL46/'🎚️ Escenario'!$C$11&gt;=36,$AL$23,INDEX($C$23:$AL$23,MAX(1,ROUNDUP(DL46/'🎚️ Escenario'!$C$11,0)))))</f>
        <v>1</v>
      </c>
      <c r="DM47" s="236" t="n">
        <f aca="false" t="array" ref="DM47:DM47">IF(DM46=0,0,IF(DM46/'🎚️ Escenario'!$C$11&gt;=36,$AL$23,INDEX($C$23:$AL$23,MAX(1,ROUNDUP(DM46/'🎚️ Escenario'!$C$11,0)))))</f>
        <v>1</v>
      </c>
      <c r="DN47" s="236" t="n">
        <f aca="false" t="array" ref="DN47:DN47">IF(DN46=0,0,IF(DN46/'🎚️ Escenario'!$C$11&gt;=36,$AL$23,INDEX($C$23:$AL$23,MAX(1,ROUNDUP(DN46/'🎚️ Escenario'!$C$11,0)))))</f>
        <v>1</v>
      </c>
      <c r="DO47" s="236" t="n">
        <f aca="false" t="array" ref="DO47:DO47">IF(DO46=0,0,IF(DO46/'🎚️ Escenario'!$C$11&gt;=36,$AL$23,INDEX($C$23:$AL$23,MAX(1,ROUNDUP(DO46/'🎚️ Escenario'!$C$11,0)))))</f>
        <v>1</v>
      </c>
      <c r="DP47" s="236" t="n">
        <f aca="false" t="array" ref="DP47:DP47">IF(DP46=0,0,IF(DP46/'🎚️ Escenario'!$C$11&gt;=36,$AL$23,INDEX($C$23:$AL$23,MAX(1,ROUNDUP(DP46/'🎚️ Escenario'!$C$11,0)))))</f>
        <v>1</v>
      </c>
      <c r="DQ47" s="236" t="n">
        <f aca="false" t="array" ref="DQ47:DQ47">IF(DQ46=0,0,IF(DQ46/'🎚️ Escenario'!$C$11&gt;=36,$AL$23,INDEX($C$23:$AL$23,MAX(1,ROUNDUP(DQ46/'🎚️ Escenario'!$C$11,0)))))</f>
        <v>1</v>
      </c>
      <c r="DR47" s="236" t="n">
        <f aca="false" t="array" ref="DR47:DR47">IF(DR46=0,0,IF(DR46/'🎚️ Escenario'!$C$11&gt;=36,$AL$23,INDEX($C$23:$AL$23,MAX(1,ROUNDUP(DR46/'🎚️ Escenario'!$C$11,0)))))</f>
        <v>1</v>
      </c>
      <c r="DS47" s="236" t="n">
        <f aca="false" t="array" ref="DS47:DS47">IF(DS46=0,0,IF(DS46/'🎚️ Escenario'!$C$11&gt;=36,$AL$23,INDEX($C$23:$AL$23,MAX(1,ROUNDUP(DS46/'🎚️ Escenario'!$C$11,0)))))</f>
        <v>1</v>
      </c>
      <c r="DT47" s="236" t="n">
        <f aca="false" t="array" ref="DT47:DT47">IF(DT46=0,0,IF(DT46/'🎚️ Escenario'!$C$11&gt;=36,$AL$23,INDEX($C$23:$AL$23,MAX(1,ROUNDUP(DT46/'🎚️ Escenario'!$C$11,0)))))</f>
        <v>1</v>
      </c>
      <c r="DU47" s="236" t="n">
        <f aca="false" t="array" ref="DU47:DU47">IF(DU46=0,0,IF(DU46/'🎚️ Escenario'!$C$11&gt;=36,$AL$23,INDEX($C$23:$AL$23,MAX(1,ROUNDUP(DU46/'🎚️ Escenario'!$C$11,0)))))</f>
        <v>1</v>
      </c>
      <c r="DV47" s="236" t="n">
        <f aca="false" t="array" ref="DV47:DV47">IF(DV46=0,0,IF(DV46/'🎚️ Escenario'!$C$11&gt;=36,$AL$23,INDEX($C$23:$AL$23,MAX(1,ROUNDUP(DV46/'🎚️ Escenario'!$C$11,0)))))</f>
        <v>1</v>
      </c>
      <c r="DW47" s="236" t="n">
        <f aca="false" t="array" ref="DW47:DW47">IF(DW46=0,0,IF(DW46/'🎚️ Escenario'!$C$11&gt;=36,$AL$23,INDEX($C$23:$AL$23,MAX(1,ROUNDUP(DW46/'🎚️ Escenario'!$C$11,0)))))</f>
        <v>1</v>
      </c>
      <c r="DX47" s="236" t="n">
        <f aca="false" t="array" ref="DX47:DX47">IF(DX46=0,0,IF(DX46/'🎚️ Escenario'!$C$11&gt;=36,$AL$23,INDEX($C$23:$AL$23,MAX(1,ROUNDUP(DX46/'🎚️ Escenario'!$C$11,0)))))</f>
        <v>1</v>
      </c>
      <c r="DY47" s="236" t="n">
        <f aca="false" t="array" ref="DY47:DY47">IF(DY46=0,0,IF(DY46/'🎚️ Escenario'!$C$11&gt;=36,$AL$23,INDEX($C$23:$AL$23,MAX(1,ROUNDUP(DY46/'🎚️ Escenario'!$C$11,0)))))</f>
        <v>1</v>
      </c>
      <c r="DZ47" s="236" t="n">
        <f aca="false" t="array" ref="DZ47:DZ47">IF(DZ46=0,0,IF(DZ46/'🎚️ Escenario'!$C$11&gt;=36,$AL$23,INDEX($C$23:$AL$23,MAX(1,ROUNDUP(DZ46/'🎚️ Escenario'!$C$11,0)))))</f>
        <v>1</v>
      </c>
      <c r="EA47" s="236" t="n">
        <f aca="false" t="array" ref="EA47:EA47">IF(EA46=0,0,IF(EA46/'🎚️ Escenario'!$C$11&gt;=36,$AL$23,INDEX($C$23:$AL$23,MAX(1,ROUNDUP(EA46/'🎚️ Escenario'!$C$11,0)))))</f>
        <v>1</v>
      </c>
      <c r="EB47" s="236" t="n">
        <f aca="false" t="array" ref="EB47:EB47">IF(EB46=0,0,IF(EB46/'🎚️ Escenario'!$C$11&gt;=36,$AL$23,INDEX($C$23:$AL$23,MAX(1,ROUNDUP(EB46/'🎚️ Escenario'!$C$11,0)))))</f>
        <v>1</v>
      </c>
      <c r="EC47" s="236" t="n">
        <f aca="false" t="array" ref="EC47:EC47">IF(EC46=0,0,IF(EC46/'🎚️ Escenario'!$C$11&gt;=36,$AL$23,INDEX($C$23:$AL$23,MAX(1,ROUNDUP(EC46/'🎚️ Escenario'!$C$11,0)))))</f>
        <v>1</v>
      </c>
      <c r="ED47" s="236" t="n">
        <f aca="false" t="array" ref="ED47:ED47">IF(ED46=0,0,IF(ED46/'🎚️ Escenario'!$C$11&gt;=36,$AL$23,INDEX($C$23:$AL$23,MAX(1,ROUNDUP(ED46/'🎚️ Escenario'!$C$11,0)))))</f>
        <v>1</v>
      </c>
      <c r="EE47" s="236" t="n">
        <f aca="false" t="array" ref="EE47:EE47">IF(EE46=0,0,IF(EE46/'🎚️ Escenario'!$C$11&gt;=36,$AL$23,INDEX($C$23:$AL$23,MAX(1,ROUNDUP(EE46/'🎚️ Escenario'!$C$11,0)))))</f>
        <v>1</v>
      </c>
      <c r="EF47" s="236" t="n">
        <f aca="false" t="array" ref="EF47:EF47">IF(EF46=0,0,IF(EF46/'🎚️ Escenario'!$C$11&gt;=36,$AL$23,INDEX($C$23:$AL$23,MAX(1,ROUNDUP(EF46/'🎚️ Escenario'!$C$11,0)))))</f>
        <v>1</v>
      </c>
      <c r="EG47" s="236" t="n">
        <f aca="false" t="array" ref="EG47:EG47">IF(EG46=0,0,IF(EG46/'🎚️ Escenario'!$C$11&gt;=36,$AL$23,INDEX($C$23:$AL$23,MAX(1,ROUNDUP(EG46/'🎚️ Escenario'!$C$11,0)))))</f>
        <v>1</v>
      </c>
      <c r="EH47" s="236" t="n">
        <f aca="false" t="array" ref="EH47:EH47">IF(EH46=0,0,IF(EH46/'🎚️ Escenario'!$C$11&gt;=36,$AL$23,INDEX($C$23:$AL$23,MAX(1,ROUNDUP(EH46/'🎚️ Escenario'!$C$11,0)))))</f>
        <v>1</v>
      </c>
      <c r="EI47" s="236" t="n">
        <f aca="false" t="array" ref="EI47:EI47">IF(EI46=0,0,IF(EI46/'🎚️ Escenario'!$C$11&gt;=36,$AL$23,INDEX($C$23:$AL$23,MAX(1,ROUNDUP(EI46/'🎚️ Escenario'!$C$11,0)))))</f>
        <v>1</v>
      </c>
      <c r="EJ47" s="236" t="n">
        <f aca="false" t="array" ref="EJ47:EJ47">IF(EJ46=0,0,IF(EJ46/'🎚️ Escenario'!$C$11&gt;=36,$AL$23,INDEX($C$23:$AL$23,MAX(1,ROUNDUP(EJ46/'🎚️ Escenario'!$C$11,0)))))</f>
        <v>1</v>
      </c>
      <c r="EK47" s="236" t="n">
        <f aca="false" t="array" ref="EK47:EK47">IF(EK46=0,0,IF(EK46/'🎚️ Escenario'!$C$11&gt;=36,$AL$23,INDEX($C$23:$AL$23,MAX(1,ROUNDUP(EK46/'🎚️ Escenario'!$C$11,0)))))</f>
        <v>1</v>
      </c>
      <c r="EL47" s="236" t="n">
        <f aca="false" t="array" ref="EL47:EL47">IF(EL46=0,0,IF(EL46/'🎚️ Escenario'!$C$11&gt;=36,$AL$23,INDEX($C$23:$AL$23,MAX(1,ROUNDUP(EL46/'🎚️ Escenario'!$C$11,0)))))</f>
        <v>1</v>
      </c>
      <c r="EM47" s="236" t="n">
        <f aca="false" t="array" ref="EM47:EM47">IF(EM46=0,0,IF(EM46/'🎚️ Escenario'!$C$11&gt;=36,$AL$23,INDEX($C$23:$AL$23,MAX(1,ROUNDUP(EM46/'🎚️ Escenario'!$C$11,0)))))</f>
        <v>1</v>
      </c>
      <c r="EN47" s="236" t="n">
        <f aca="false" t="array" ref="EN47:EN47">IF(EN46=0,0,IF(EN46/'🎚️ Escenario'!$C$11&gt;=36,$AL$23,INDEX($C$23:$AL$23,MAX(1,ROUNDUP(EN46/'🎚️ Escenario'!$C$11,0)))))</f>
        <v>1</v>
      </c>
      <c r="EO47" s="236" t="n">
        <f aca="false" t="array" ref="EO47:EO47">IF(EO46=0,0,IF(EO46/'🎚️ Escenario'!$C$11&gt;=36,$AL$23,INDEX($C$23:$AL$23,MAX(1,ROUNDUP(EO46/'🎚️ Escenario'!$C$11,0)))))</f>
        <v>1</v>
      </c>
      <c r="EP47" s="236" t="n">
        <f aca="false" t="array" ref="EP47:EP47">IF(EP46=0,0,IF(EP46/'🎚️ Escenario'!$C$11&gt;=36,$AL$23,INDEX($C$23:$AL$23,MAX(1,ROUNDUP(EP46/'🎚️ Escenario'!$C$11,0)))))</f>
        <v>1</v>
      </c>
      <c r="EQ47" s="236" t="n">
        <f aca="false" t="array" ref="EQ47:EQ47">IF(EQ46=0,0,IF(EQ46/'🎚️ Escenario'!$C$11&gt;=36,$AL$23,INDEX($C$23:$AL$23,MAX(1,ROUNDUP(EQ46/'🎚️ Escenario'!$C$11,0)))))</f>
        <v>1</v>
      </c>
      <c r="ER47" s="236" t="n">
        <f aca="false" t="array" ref="ER47:ER47">IF(ER46=0,0,IF(ER46/'🎚️ Escenario'!$C$11&gt;=36,$AL$23,INDEX($C$23:$AL$23,MAX(1,ROUNDUP(ER46/'🎚️ Escenario'!$C$11,0)))))</f>
        <v>1</v>
      </c>
      <c r="ES47" s="9" t="n">
        <f aca="false" t="array" ref="ES47:ES47">IF(ES46=0,0,IF(ES46/'🎚️ Escenario'!$C$11&gt;=36,$AL$23,INDEX($C$23:$AL$23,MAX(1,ROUNDUP(ES46/'🎚️ Escenario'!$C$11,0)))))</f>
        <v>1</v>
      </c>
      <c r="ET47" s="9" t="n">
        <f aca="false" t="array" ref="ET47:ET47">IF(ET46=0,0,IF(ET46/'🎚️ Escenario'!$C$11&gt;=36,$AL$23,INDEX($C$23:$AL$23,MAX(1,ROUNDUP(ET46/'🎚️ Escenario'!$C$11,0)))))</f>
        <v>1</v>
      </c>
      <c r="EU47" s="9" t="n">
        <f aca="false" t="array" ref="EU47:EU47">IF(EU46=0,0,IF(EU46/'🎚️ Escenario'!$C$11&gt;=36,$AL$23,INDEX($C$23:$AL$23,MAX(1,ROUNDUP(EU46/'🎚️ Escenario'!$C$11,0)))))</f>
        <v>1</v>
      </c>
      <c r="EV47" s="9" t="n">
        <f aca="false" t="array" ref="EV47:EV47">IF(EV46=0,0,IF(EV46/'🎚️ Escenario'!$C$11&gt;=36,$AL$23,INDEX($C$23:$AL$23,MAX(1,ROUNDUP(EV46/'🎚️ Escenario'!$C$11,0)))))</f>
        <v>1</v>
      </c>
      <c r="EW47" s="9" t="n">
        <f aca="false" t="array" ref="EW47:EW47">IF(EW46=0,0,IF(EW46/'🎚️ Escenario'!$C$11&gt;=36,$AL$23,INDEX($C$23:$AL$23,MAX(1,ROUNDUP(EW46/'🎚️ Escenario'!$C$11,0)))))</f>
        <v>1</v>
      </c>
      <c r="EX47" s="9" t="n">
        <f aca="false" t="array" ref="EX47:EX47">IF(EX46=0,0,IF(EX46/'🎚️ Escenario'!$C$11&gt;=36,$AL$23,INDEX($C$23:$AL$23,MAX(1,ROUNDUP(EX46/'🎚️ Escenario'!$C$11,0)))))</f>
        <v>1</v>
      </c>
      <c r="EY47" s="9" t="n">
        <f aca="false" t="array" ref="EY47:EY47">IF(EY46=0,0,IF(EY46/'🎚️ Escenario'!$C$11&gt;=36,$AL$23,INDEX($C$23:$AL$23,MAX(1,ROUNDUP(EY46/'🎚️ Escenario'!$C$11,0)))))</f>
        <v>1</v>
      </c>
      <c r="EZ47" s="9" t="n">
        <f aca="false" t="array" ref="EZ47:EZ47">IF(EZ46=0,0,IF(EZ46/'🎚️ Escenario'!$C$11&gt;=36,$AL$23,INDEX($C$23:$AL$23,MAX(1,ROUNDUP(EZ46/'🎚️ Escenario'!$C$11,0)))))</f>
        <v>1</v>
      </c>
      <c r="FA47" s="9" t="n">
        <f aca="false" t="array" ref="FA47:FA47">IF(FA46=0,0,IF(FA46/'🎚️ Escenario'!$C$11&gt;=36,$AL$23,INDEX($C$23:$AL$23,MAX(1,ROUNDUP(FA46/'🎚️ Escenario'!$C$11,0)))))</f>
        <v>1</v>
      </c>
      <c r="FB47" s="9" t="n">
        <f aca="false" t="array" ref="FB47:FB47">IF(FB46=0,0,IF(FB46/'🎚️ Escenario'!$C$11&gt;=36,$AL$23,INDEX($C$23:$AL$23,MAX(1,ROUNDUP(FB46/'🎚️ Escenario'!$C$11,0)))))</f>
        <v>1</v>
      </c>
      <c r="FC47" s="9" t="n">
        <f aca="false" t="array" ref="FC47:FC47">IF(FC46=0,0,IF(FC46/'🎚️ Escenario'!$C$11&gt;=36,$AL$23,INDEX($C$23:$AL$23,MAX(1,ROUNDUP(FC46/'🎚️ Escenario'!$C$11,0)))))</f>
        <v>1</v>
      </c>
      <c r="FD47" s="9" t="n">
        <f aca="false" t="array" ref="FD47:FD47">IF(FD46=0,0,IF(FD46/'🎚️ Escenario'!$C$11&gt;=36,$AL$23,INDEX($C$23:$AL$23,MAX(1,ROUNDUP(FD46/'🎚️ Escenario'!$C$11,0)))))</f>
        <v>1</v>
      </c>
      <c r="FE47" s="9" t="n">
        <f aca="false" t="array" ref="FE47:FE47">IF(FE46=0,0,IF(FE46/'🎚️ Escenario'!$C$11&gt;=36,$AL$23,INDEX($C$23:$AL$23,MAX(1,ROUNDUP(FE46/'🎚️ Escenario'!$C$11,0)))))</f>
        <v>1</v>
      </c>
      <c r="FF47" s="9" t="n">
        <f aca="false" t="array" ref="FF47:FF47">IF(FF46=0,0,IF(FF46/'🎚️ Escenario'!$C$11&gt;=36,$AL$23,INDEX($C$23:$AL$23,MAX(1,ROUNDUP(FF46/'🎚️ Escenario'!$C$11,0)))))</f>
        <v>1</v>
      </c>
      <c r="FG47" s="9" t="n">
        <f aca="false" t="array" ref="FG47:FG47">IF(FG46=0,0,IF(FG46/'🎚️ Escenario'!$C$11&gt;=36,$AL$23,INDEX($C$23:$AL$23,MAX(1,ROUNDUP(FG46/'🎚️ Escenario'!$C$11,0)))))</f>
        <v>1</v>
      </c>
      <c r="FH47" s="9" t="n">
        <f aca="false" t="array" ref="FH47:FH47">IF(FH46=0,0,IF(FH46/'🎚️ Escenario'!$C$11&gt;=36,$AL$23,INDEX($C$23:$AL$23,MAX(1,ROUNDUP(FH46/'🎚️ Escenario'!$C$11,0)))))</f>
        <v>1</v>
      </c>
      <c r="FI47" s="9" t="n">
        <f aca="false" t="array" ref="FI47:FI47">IF(FI46=0,0,IF(FI46/'🎚️ Escenario'!$C$11&gt;=36,$AL$23,INDEX($C$23:$AL$23,MAX(1,ROUNDUP(FI46/'🎚️ Escenario'!$C$11,0)))))</f>
        <v>1</v>
      </c>
      <c r="FJ47" s="9" t="n">
        <f aca="false" t="array" ref="FJ47:FJ47">IF(FJ46=0,0,IF(FJ46/'🎚️ Escenario'!$C$11&gt;=36,$AL$23,INDEX($C$23:$AL$23,MAX(1,ROUNDUP(FJ46/'🎚️ Escenario'!$C$11,0)))))</f>
        <v>1</v>
      </c>
      <c r="FK47" s="9" t="n">
        <f aca="false" t="array" ref="FK47:FK47">IF(FK46=0,0,IF(FK46/'🎚️ Escenario'!$C$11&gt;=36,$AL$23,INDEX($C$23:$AL$23,MAX(1,ROUNDUP(FK46/'🎚️ Escenario'!$C$11,0)))))</f>
        <v>1</v>
      </c>
      <c r="FL47" s="9" t="n">
        <f aca="false" t="array" ref="FL47:FL47">IF(FL46=0,0,IF(FL46/'🎚️ Escenario'!$C$11&gt;=36,$AL$23,INDEX($C$23:$AL$23,MAX(1,ROUNDUP(FL46/'🎚️ Escenario'!$C$11,0)))))</f>
        <v>1</v>
      </c>
      <c r="FM47" s="9" t="n">
        <f aca="false" t="array" ref="FM47:FM47">IF(FM46=0,0,IF(FM46/'🎚️ Escenario'!$C$11&gt;=36,$AL$23,INDEX($C$23:$AL$23,MAX(1,ROUNDUP(FM46/'🎚️ Escenario'!$C$11,0)))))</f>
        <v>1</v>
      </c>
      <c r="FN47" s="9" t="n">
        <f aca="false" t="array" ref="FN47:FN47">IF(FN46=0,0,IF(FN46/'🎚️ Escenario'!$C$11&gt;=36,$AL$23,INDEX($C$23:$AL$23,MAX(1,ROUNDUP(FN46/'🎚️ Escenario'!$C$11,0)))))</f>
        <v>1</v>
      </c>
      <c r="FO47" s="9" t="n">
        <f aca="false" t="array" ref="FO47:FO47">IF(FO46=0,0,IF(FO46/'🎚️ Escenario'!$C$11&gt;=36,$AL$23,INDEX($C$23:$AL$23,MAX(1,ROUNDUP(FO46/'🎚️ Escenario'!$C$11,0)))))</f>
        <v>1</v>
      </c>
      <c r="FP47" s="9" t="n">
        <f aca="false" t="array" ref="FP47:FP47">IF(FP46=0,0,IF(FP46/'🎚️ Escenario'!$C$11&gt;=36,$AL$23,INDEX($C$23:$AL$23,MAX(1,ROUNDUP(FP46/'🎚️ Escenario'!$C$11,0)))))</f>
        <v>1</v>
      </c>
    </row>
    <row r="48" customFormat="false" ht="15" hidden="false" customHeight="false" outlineLevel="2" collapsed="false">
      <c r="B48" s="9" t="s">
        <v>875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237" t="n">
        <f aca="false">IF(AC46=0,0,IF(AC46&lt;=12*'🎚️ Escenario'!$C$11,1,1+$C$6))</f>
        <v>1</v>
      </c>
      <c r="AD48" s="237" t="n">
        <f aca="false">IF(AD46=0,0,IF(AD46&lt;=12*'🎚️ Escenario'!$C$11,1,1+$C$6))</f>
        <v>1</v>
      </c>
      <c r="AE48" s="237" t="n">
        <f aca="false">IF(AE46=0,0,IF(AE46&lt;=12*'🎚️ Escenario'!$C$11,1,1+$C$6))</f>
        <v>1</v>
      </c>
      <c r="AF48" s="237" t="n">
        <f aca="false">IF(AF46=0,0,IF(AF46&lt;=12*'🎚️ Escenario'!$C$11,1,1+$C$6))</f>
        <v>1</v>
      </c>
      <c r="AG48" s="237" t="n">
        <f aca="false">IF(AG46=0,0,IF(AG46&lt;=12*'🎚️ Escenario'!$C$11,1,1+$C$6))</f>
        <v>1</v>
      </c>
      <c r="AH48" s="237" t="n">
        <f aca="false">IF(AH46=0,0,IF(AH46&lt;=12*'🎚️ Escenario'!$C$11,1,1+$C$6))</f>
        <v>1</v>
      </c>
      <c r="AI48" s="237" t="n">
        <f aca="false">IF(AI46=0,0,IF(AI46&lt;=12*'🎚️ Escenario'!$C$11,1,1+$C$6))</f>
        <v>1</v>
      </c>
      <c r="AJ48" s="237" t="n">
        <f aca="false">IF(AJ46=0,0,IF(AJ46&lt;=12*'🎚️ Escenario'!$C$11,1,1+$C$6))</f>
        <v>1</v>
      </c>
      <c r="AK48" s="237" t="n">
        <f aca="false">IF(AK46=0,0,IF(AK46&lt;=12*'🎚️ Escenario'!$C$11,1,1+$C$6))</f>
        <v>1</v>
      </c>
      <c r="AL48" s="237" t="n">
        <f aca="false">IF(AL46=0,0,IF(AL46&lt;=12*'🎚️ Escenario'!$C$11,1,1+$C$6))</f>
        <v>1</v>
      </c>
      <c r="AM48" s="237" t="n">
        <f aca="false">IF(AM46=0,0,IF(AM46&lt;=12*'🎚️ Escenario'!$C$11,1,1+$C$6))</f>
        <v>1</v>
      </c>
      <c r="AN48" s="237" t="n">
        <f aca="false">IF(AN46=0,0,IF(AN46&lt;=12*'🎚️ Escenario'!$C$11,1,1+$C$6))</f>
        <v>1</v>
      </c>
      <c r="AO48" s="237" t="n">
        <f aca="false">IF(AO46=0,0,IF(AO46&lt;=12*'🎚️ Escenario'!$C$11,1,1+$C$6))</f>
        <v>1</v>
      </c>
      <c r="AP48" s="237" t="n">
        <f aca="false">IF(AP46=0,0,IF(AP46&lt;=12*'🎚️ Escenario'!$C$11,1,1+$C$6))</f>
        <v>1</v>
      </c>
      <c r="AQ48" s="237" t="n">
        <f aca="false">IF(AQ46=0,0,IF(AQ46&lt;=12*'🎚️ Escenario'!$C$11,1,1+$C$6))</f>
        <v>1</v>
      </c>
      <c r="AR48" s="237" t="n">
        <f aca="false">IF(AR46=0,0,IF(AR46&lt;=12*'🎚️ Escenario'!$C$11,1,1+$C$6))</f>
        <v>1.2</v>
      </c>
      <c r="AS48" s="237" t="n">
        <f aca="false">IF(AS46=0,0,IF(AS46&lt;=12*'🎚️ Escenario'!$C$11,1,1+$C$6))</f>
        <v>1.2</v>
      </c>
      <c r="AT48" s="237" t="n">
        <f aca="false">IF(AT46=0,0,IF(AT46&lt;=12*'🎚️ Escenario'!$C$11,1,1+$C$6))</f>
        <v>1.2</v>
      </c>
      <c r="AU48" s="237" t="n">
        <f aca="false">IF(AU46=0,0,IF(AU46&lt;=12*'🎚️ Escenario'!$C$11,1,1+$C$6))</f>
        <v>1.2</v>
      </c>
      <c r="AV48" s="237" t="n">
        <f aca="false">IF(AV46=0,0,IF(AV46&lt;=12*'🎚️ Escenario'!$C$11,1,1+$C$6))</f>
        <v>1.2</v>
      </c>
      <c r="AW48" s="237" t="n">
        <f aca="false">IF(AW46=0,0,IF(AW46&lt;=12*'🎚️ Escenario'!$C$11,1,1+$C$6))</f>
        <v>1.2</v>
      </c>
      <c r="AX48" s="237" t="n">
        <f aca="false">IF(AX46=0,0,IF(AX46&lt;=12*'🎚️ Escenario'!$C$11,1,1+$C$6))</f>
        <v>1.2</v>
      </c>
      <c r="AY48" s="237" t="n">
        <f aca="false">IF(AY46=0,0,IF(AY46&lt;=12*'🎚️ Escenario'!$C$11,1,1+$C$6))</f>
        <v>1.2</v>
      </c>
      <c r="AZ48" s="237" t="n">
        <f aca="false">IF(AZ46=0,0,IF(AZ46&lt;=12*'🎚️ Escenario'!$C$11,1,1+$C$6))</f>
        <v>1.2</v>
      </c>
      <c r="BA48" s="237" t="n">
        <f aca="false">IF(BA46=0,0,IF(BA46&lt;=12*'🎚️ Escenario'!$C$11,1,1+$C$6))</f>
        <v>1.2</v>
      </c>
      <c r="BB48" s="237" t="n">
        <f aca="false">IF(BB46=0,0,IF(BB46&lt;=12*'🎚️ Escenario'!$C$11,1,1+$C$6))</f>
        <v>1.2</v>
      </c>
      <c r="BC48" s="237" t="n">
        <f aca="false">IF(BC46=0,0,IF(BC46&lt;=12*'🎚️ Escenario'!$C$11,1,1+$C$6))</f>
        <v>1.2</v>
      </c>
      <c r="BD48" s="237" t="n">
        <f aca="false">IF(BD46=0,0,IF(BD46&lt;=12*'🎚️ Escenario'!$C$11,1,1+$C$6))</f>
        <v>1.2</v>
      </c>
      <c r="BE48" s="237" t="n">
        <f aca="false">IF(BE46=0,0,IF(BE46&lt;=12*'🎚️ Escenario'!$C$11,1,1+$C$6))</f>
        <v>1.2</v>
      </c>
      <c r="BF48" s="237" t="n">
        <f aca="false">IF(BF46=0,0,IF(BF46&lt;=12*'🎚️ Escenario'!$C$11,1,1+$C$6))</f>
        <v>1.2</v>
      </c>
      <c r="BG48" s="237" t="n">
        <f aca="false">IF(BG46=0,0,IF(BG46&lt;=12*'🎚️ Escenario'!$C$11,1,1+$C$6))</f>
        <v>1.2</v>
      </c>
      <c r="BH48" s="237" t="n">
        <f aca="false">IF(BH46=0,0,IF(BH46&lt;=12*'🎚️ Escenario'!$C$11,1,1+$C$6))</f>
        <v>1.2</v>
      </c>
      <c r="BI48" s="237" t="n">
        <f aca="false">IF(BI46=0,0,IF(BI46&lt;=12*'🎚️ Escenario'!$C$11,1,1+$C$6))</f>
        <v>1.2</v>
      </c>
      <c r="BJ48" s="237" t="n">
        <f aca="false">IF(BJ46=0,0,IF(BJ46&lt;=12*'🎚️ Escenario'!$C$11,1,1+$C$6))</f>
        <v>1.2</v>
      </c>
      <c r="BK48" s="237" t="n">
        <f aca="false">IF(BK46=0,0,IF(BK46&lt;=12*'🎚️ Escenario'!$C$11,1,1+$C$6))</f>
        <v>1.2</v>
      </c>
      <c r="BL48" s="237" t="n">
        <f aca="false">IF(BL46=0,0,IF(BL46&lt;=12*'🎚️ Escenario'!$C$11,1,1+$C$6))</f>
        <v>1.2</v>
      </c>
      <c r="BM48" s="237" t="n">
        <f aca="false">IF(BM46=0,0,IF(BM46&lt;=12*'🎚️ Escenario'!$C$11,1,1+$C$6))</f>
        <v>1.2</v>
      </c>
      <c r="BN48" s="237" t="n">
        <f aca="false">IF(BN46=0,0,IF(BN46&lt;=12*'🎚️ Escenario'!$C$11,1,1+$C$6))</f>
        <v>1.2</v>
      </c>
      <c r="BO48" s="237" t="n">
        <f aca="false">IF(BO46=0,0,IF(BO46&lt;=12*'🎚️ Escenario'!$C$11,1,1+$C$6))</f>
        <v>1.2</v>
      </c>
      <c r="BP48" s="237" t="n">
        <f aca="false">IF(BP46=0,0,IF(BP46&lt;=12*'🎚️ Escenario'!$C$11,1,1+$C$6))</f>
        <v>1.2</v>
      </c>
      <c r="BQ48" s="237" t="n">
        <f aca="false">IF(BQ46=0,0,IF(BQ46&lt;=12*'🎚️ Escenario'!$C$11,1,1+$C$6))</f>
        <v>1.2</v>
      </c>
      <c r="BR48" s="237" t="n">
        <f aca="false">IF(BR46=0,0,IF(BR46&lt;=12*'🎚️ Escenario'!$C$11,1,1+$C$6))</f>
        <v>1.2</v>
      </c>
      <c r="BS48" s="237" t="n">
        <f aca="false">IF(BS46=0,0,IF(BS46&lt;=12*'🎚️ Escenario'!$C$11,1,1+$C$6))</f>
        <v>1.2</v>
      </c>
      <c r="BT48" s="237" t="n">
        <f aca="false">IF(BT46=0,0,IF(BT46&lt;=12*'🎚️ Escenario'!$C$11,1,1+$C$6))</f>
        <v>1.2</v>
      </c>
      <c r="BU48" s="237" t="n">
        <f aca="false">IF(BU46=0,0,IF(BU46&lt;=12*'🎚️ Escenario'!$C$11,1,1+$C$6))</f>
        <v>1.2</v>
      </c>
      <c r="BV48" s="237" t="n">
        <f aca="false">IF(BV46=0,0,IF(BV46&lt;=12*'🎚️ Escenario'!$C$11,1,1+$C$6))</f>
        <v>1.2</v>
      </c>
      <c r="BW48" s="237" t="n">
        <f aca="false">IF(BW46=0,0,IF(BW46&lt;=12*'🎚️ Escenario'!$C$11,1,1+$C$6))</f>
        <v>1.2</v>
      </c>
      <c r="BX48" s="237" t="n">
        <f aca="false">IF(BX46=0,0,IF(BX46&lt;=12*'🎚️ Escenario'!$C$11,1,1+$C$6))</f>
        <v>1.2</v>
      </c>
      <c r="BY48" s="237" t="n">
        <f aca="false">IF(BY46=0,0,IF(BY46&lt;=12*'🎚️ Escenario'!$C$11,1,1+$C$6))</f>
        <v>1.2</v>
      </c>
      <c r="BZ48" s="237" t="n">
        <f aca="false">IF(BZ46=0,0,IF(BZ46&lt;=12*'🎚️ Escenario'!$C$11,1,1+$C$6))</f>
        <v>1.2</v>
      </c>
      <c r="CA48" s="237" t="n">
        <f aca="false">IF(CA46=0,0,IF(CA46&lt;=12*'🎚️ Escenario'!$C$11,1,1+$C$6))</f>
        <v>1.2</v>
      </c>
      <c r="CB48" s="237" t="n">
        <f aca="false">IF(CB46=0,0,IF(CB46&lt;=12*'🎚️ Escenario'!$C$11,1,1+$C$6))</f>
        <v>1.2</v>
      </c>
      <c r="CC48" s="237" t="n">
        <f aca="false">IF(CC46=0,0,IF(CC46&lt;=12*'🎚️ Escenario'!$C$11,1,1+$C$6))</f>
        <v>1.2</v>
      </c>
      <c r="CD48" s="237" t="n">
        <f aca="false">IF(CD46=0,0,IF(CD46&lt;=12*'🎚️ Escenario'!$C$11,1,1+$C$6))</f>
        <v>1.2</v>
      </c>
      <c r="CE48" s="237" t="n">
        <f aca="false">IF(CE46=0,0,IF(CE46&lt;=12*'🎚️ Escenario'!$C$11,1,1+$C$6))</f>
        <v>1.2</v>
      </c>
      <c r="CF48" s="237" t="n">
        <f aca="false">IF(CF46=0,0,IF(CF46&lt;=12*'🎚️ Escenario'!$C$11,1,1+$C$6))</f>
        <v>1.2</v>
      </c>
      <c r="CG48" s="237" t="n">
        <f aca="false">IF(CG46=0,0,IF(CG46&lt;=12*'🎚️ Escenario'!$C$11,1,1+$C$6))</f>
        <v>1.2</v>
      </c>
      <c r="CH48" s="237" t="n">
        <f aca="false">IF(CH46=0,0,IF(CH46&lt;=12*'🎚️ Escenario'!$C$11,1,1+$C$6))</f>
        <v>1.2</v>
      </c>
      <c r="CI48" s="237" t="n">
        <f aca="false">IF(CI46=0,0,IF(CI46&lt;=12*'🎚️ Escenario'!$C$11,1,1+$C$6))</f>
        <v>1.2</v>
      </c>
      <c r="CJ48" s="237" t="n">
        <f aca="false">IF(CJ46=0,0,IF(CJ46&lt;=12*'🎚️ Escenario'!$C$11,1,1+$C$6))</f>
        <v>1.2</v>
      </c>
      <c r="CK48" s="237" t="n">
        <f aca="false">IF(CK46=0,0,IF(CK46&lt;=12*'🎚️ Escenario'!$C$11,1,1+$C$6))</f>
        <v>1.2</v>
      </c>
      <c r="CL48" s="237" t="n">
        <f aca="false">IF(CL46=0,0,IF(CL46&lt;=12*'🎚️ Escenario'!$C$11,1,1+$C$6))</f>
        <v>1.2</v>
      </c>
      <c r="CM48" s="237" t="n">
        <f aca="false">IF(CM46=0,0,IF(CM46&lt;=12*'🎚️ Escenario'!$C$11,1,1+$C$6))</f>
        <v>1.2</v>
      </c>
      <c r="CN48" s="237" t="n">
        <f aca="false">IF(CN46=0,0,IF(CN46&lt;=12*'🎚️ Escenario'!$C$11,1,1+$C$6))</f>
        <v>1.2</v>
      </c>
      <c r="CO48" s="237" t="n">
        <f aca="false">IF(CO46=0,0,IF(CO46&lt;=12*'🎚️ Escenario'!$C$11,1,1+$C$6))</f>
        <v>1.2</v>
      </c>
      <c r="CP48" s="237" t="n">
        <f aca="false">IF(CP46=0,0,IF(CP46&lt;=12*'🎚️ Escenario'!$C$11,1,1+$C$6))</f>
        <v>1.2</v>
      </c>
      <c r="CQ48" s="237" t="n">
        <f aca="false">IF(CQ46=0,0,IF(CQ46&lt;=12*'🎚️ Escenario'!$C$11,1,1+$C$6))</f>
        <v>1.2</v>
      </c>
      <c r="CR48" s="237" t="n">
        <f aca="false">IF(CR46=0,0,IF(CR46&lt;=12*'🎚️ Escenario'!$C$11,1,1+$C$6))</f>
        <v>1.2</v>
      </c>
      <c r="CS48" s="237" t="n">
        <f aca="false">IF(CS46=0,0,IF(CS46&lt;=12*'🎚️ Escenario'!$C$11,1,1+$C$6))</f>
        <v>1.2</v>
      </c>
      <c r="CT48" s="237" t="n">
        <f aca="false">IF(CT46=0,0,IF(CT46&lt;=12*'🎚️ Escenario'!$C$11,1,1+$C$6))</f>
        <v>1.2</v>
      </c>
      <c r="CU48" s="237" t="n">
        <f aca="false">IF(CU46=0,0,IF(CU46&lt;=12*'🎚️ Escenario'!$C$11,1,1+$C$6))</f>
        <v>1.2</v>
      </c>
      <c r="CV48" s="237" t="n">
        <f aca="false">IF(CV46=0,0,IF(CV46&lt;=12*'🎚️ Escenario'!$C$11,1,1+$C$6))</f>
        <v>1.2</v>
      </c>
      <c r="CW48" s="237" t="n">
        <f aca="false">IF(CW46=0,0,IF(CW46&lt;=12*'🎚️ Escenario'!$C$11,1,1+$C$6))</f>
        <v>1.2</v>
      </c>
      <c r="CX48" s="237" t="n">
        <f aca="false">IF(CX46=0,0,IF(CX46&lt;=12*'🎚️ Escenario'!$C$11,1,1+$C$6))</f>
        <v>1.2</v>
      </c>
      <c r="CY48" s="237" t="n">
        <f aca="false">IF(CY46=0,0,IF(CY46&lt;=12*'🎚️ Escenario'!$C$11,1,1+$C$6))</f>
        <v>1.2</v>
      </c>
      <c r="CZ48" s="237" t="n">
        <f aca="false">IF(CZ46=0,0,IF(CZ46&lt;=12*'🎚️ Escenario'!$C$11,1,1+$C$6))</f>
        <v>1.2</v>
      </c>
      <c r="DA48" s="237" t="n">
        <f aca="false">IF(DA46=0,0,IF(DA46&lt;=12*'🎚️ Escenario'!$C$11,1,1+$C$6))</f>
        <v>1.2</v>
      </c>
      <c r="DB48" s="237" t="n">
        <f aca="false">IF(DB46=0,0,IF(DB46&lt;=12*'🎚️ Escenario'!$C$11,1,1+$C$6))</f>
        <v>1.2</v>
      </c>
      <c r="DC48" s="237" t="n">
        <f aca="false">IF(DC46=0,0,IF(DC46&lt;=12*'🎚️ Escenario'!$C$11,1,1+$C$6))</f>
        <v>1.2</v>
      </c>
      <c r="DD48" s="237" t="n">
        <f aca="false">IF(DD46=0,0,IF(DD46&lt;=12*'🎚️ Escenario'!$C$11,1,1+$C$6))</f>
        <v>1.2</v>
      </c>
      <c r="DE48" s="237" t="n">
        <f aca="false">IF(DE46=0,0,IF(DE46&lt;=12*'🎚️ Escenario'!$C$11,1,1+$C$6))</f>
        <v>1.2</v>
      </c>
      <c r="DF48" s="237" t="n">
        <f aca="false">IF(DF46=0,0,IF(DF46&lt;=12*'🎚️ Escenario'!$C$11,1,1+$C$6))</f>
        <v>1.2</v>
      </c>
      <c r="DG48" s="237" t="n">
        <f aca="false">IF(DG46=0,0,IF(DG46&lt;=12*'🎚️ Escenario'!$C$11,1,1+$C$6))</f>
        <v>1.2</v>
      </c>
      <c r="DH48" s="237" t="n">
        <f aca="false">IF(DH46=0,0,IF(DH46&lt;=12*'🎚️ Escenario'!$C$11,1,1+$C$6))</f>
        <v>1.2</v>
      </c>
      <c r="DI48" s="237" t="n">
        <f aca="false">IF(DI46=0,0,IF(DI46&lt;=12*'🎚️ Escenario'!$C$11,1,1+$C$6))</f>
        <v>1.2</v>
      </c>
      <c r="DJ48" s="237" t="n">
        <f aca="false">IF(DJ46=0,0,IF(DJ46&lt;=12*'🎚️ Escenario'!$C$11,1,1+$C$6))</f>
        <v>1.2</v>
      </c>
      <c r="DK48" s="237" t="n">
        <f aca="false">IF(DK46=0,0,IF(DK46&lt;=12*'🎚️ Escenario'!$C$11,1,1+$C$6))</f>
        <v>1.2</v>
      </c>
      <c r="DL48" s="237" t="n">
        <f aca="false">IF(DL46=0,0,IF(DL46&lt;=12*'🎚️ Escenario'!$C$11,1,1+$C$6))</f>
        <v>1.2</v>
      </c>
      <c r="DM48" s="237" t="n">
        <f aca="false">IF(DM46=0,0,IF(DM46&lt;=12*'🎚️ Escenario'!$C$11,1,1+$C$6))</f>
        <v>1.2</v>
      </c>
      <c r="DN48" s="237" t="n">
        <f aca="false">IF(DN46=0,0,IF(DN46&lt;=12*'🎚️ Escenario'!$C$11,1,1+$C$6))</f>
        <v>1.2</v>
      </c>
      <c r="DO48" s="237" t="n">
        <f aca="false">IF(DO46=0,0,IF(DO46&lt;=12*'🎚️ Escenario'!$C$11,1,1+$C$6))</f>
        <v>1.2</v>
      </c>
      <c r="DP48" s="237" t="n">
        <f aca="false">IF(DP46=0,0,IF(DP46&lt;=12*'🎚️ Escenario'!$C$11,1,1+$C$6))</f>
        <v>1.2</v>
      </c>
      <c r="DQ48" s="237" t="n">
        <f aca="false">IF(DQ46=0,0,IF(DQ46&lt;=12*'🎚️ Escenario'!$C$11,1,1+$C$6))</f>
        <v>1.2</v>
      </c>
      <c r="DR48" s="237" t="n">
        <f aca="false">IF(DR46=0,0,IF(DR46&lt;=12*'🎚️ Escenario'!$C$11,1,1+$C$6))</f>
        <v>1.2</v>
      </c>
      <c r="DS48" s="237" t="n">
        <f aca="false">IF(DS46=0,0,IF(DS46&lt;=12*'🎚️ Escenario'!$C$11,1,1+$C$6))</f>
        <v>1.2</v>
      </c>
      <c r="DT48" s="237" t="n">
        <f aca="false">IF(DT46=0,0,IF(DT46&lt;=12*'🎚️ Escenario'!$C$11,1,1+$C$6))</f>
        <v>1.2</v>
      </c>
      <c r="DU48" s="237" t="n">
        <f aca="false">IF(DU46=0,0,IF(DU46&lt;=12*'🎚️ Escenario'!$C$11,1,1+$C$6))</f>
        <v>1.2</v>
      </c>
      <c r="DV48" s="237" t="n">
        <f aca="false">IF(DV46=0,0,IF(DV46&lt;=12*'🎚️ Escenario'!$C$11,1,1+$C$6))</f>
        <v>1.2</v>
      </c>
      <c r="DW48" s="237" t="n">
        <f aca="false">IF(DW46=0,0,IF(DW46&lt;=12*'🎚️ Escenario'!$C$11,1,1+$C$6))</f>
        <v>1.2</v>
      </c>
      <c r="DX48" s="237" t="n">
        <f aca="false">IF(DX46=0,0,IF(DX46&lt;=12*'🎚️ Escenario'!$C$11,1,1+$C$6))</f>
        <v>1.2</v>
      </c>
      <c r="DY48" s="237" t="n">
        <f aca="false">IF(DY46=0,0,IF(DY46&lt;=12*'🎚️ Escenario'!$C$11,1,1+$C$6))</f>
        <v>1.2</v>
      </c>
      <c r="DZ48" s="237" t="n">
        <f aca="false">IF(DZ46=0,0,IF(DZ46&lt;=12*'🎚️ Escenario'!$C$11,1,1+$C$6))</f>
        <v>1.2</v>
      </c>
      <c r="EA48" s="237" t="n">
        <f aca="false">IF(EA46=0,0,IF(EA46&lt;=12*'🎚️ Escenario'!$C$11,1,1+$C$6))</f>
        <v>1.2</v>
      </c>
      <c r="EB48" s="237" t="n">
        <f aca="false">IF(EB46=0,0,IF(EB46&lt;=12*'🎚️ Escenario'!$C$11,1,1+$C$6))</f>
        <v>1.2</v>
      </c>
      <c r="EC48" s="237" t="n">
        <f aca="false">IF(EC46=0,0,IF(EC46&lt;=12*'🎚️ Escenario'!$C$11,1,1+$C$6))</f>
        <v>1.2</v>
      </c>
      <c r="ED48" s="237" t="n">
        <f aca="false">IF(ED46=0,0,IF(ED46&lt;=12*'🎚️ Escenario'!$C$11,1,1+$C$6))</f>
        <v>1.2</v>
      </c>
      <c r="EE48" s="237" t="n">
        <f aca="false">IF(EE46=0,0,IF(EE46&lt;=12*'🎚️ Escenario'!$C$11,1,1+$C$6))</f>
        <v>1.2</v>
      </c>
      <c r="EF48" s="237" t="n">
        <f aca="false">IF(EF46=0,0,IF(EF46&lt;=12*'🎚️ Escenario'!$C$11,1,1+$C$6))</f>
        <v>1.2</v>
      </c>
      <c r="EG48" s="237" t="n">
        <f aca="false">IF(EG46=0,0,IF(EG46&lt;=12*'🎚️ Escenario'!$C$11,1,1+$C$6))</f>
        <v>1.2</v>
      </c>
      <c r="EH48" s="237" t="n">
        <f aca="false">IF(EH46=0,0,IF(EH46&lt;=12*'🎚️ Escenario'!$C$11,1,1+$C$6))</f>
        <v>1.2</v>
      </c>
      <c r="EI48" s="237" t="n">
        <f aca="false">IF(EI46=0,0,IF(EI46&lt;=12*'🎚️ Escenario'!$C$11,1,1+$C$6))</f>
        <v>1.2</v>
      </c>
      <c r="EJ48" s="237" t="n">
        <f aca="false">IF(EJ46=0,0,IF(EJ46&lt;=12*'🎚️ Escenario'!$C$11,1,1+$C$6))</f>
        <v>1.2</v>
      </c>
      <c r="EK48" s="237" t="n">
        <f aca="false">IF(EK46=0,0,IF(EK46&lt;=12*'🎚️ Escenario'!$C$11,1,1+$C$6))</f>
        <v>1.2</v>
      </c>
      <c r="EL48" s="237" t="n">
        <f aca="false">IF(EL46=0,0,IF(EL46&lt;=12*'🎚️ Escenario'!$C$11,1,1+$C$6))</f>
        <v>1.2</v>
      </c>
      <c r="EM48" s="237" t="n">
        <f aca="false">IF(EM46=0,0,IF(EM46&lt;=12*'🎚️ Escenario'!$C$11,1,1+$C$6))</f>
        <v>1.2</v>
      </c>
      <c r="EN48" s="237" t="n">
        <f aca="false">IF(EN46=0,0,IF(EN46&lt;=12*'🎚️ Escenario'!$C$11,1,1+$C$6))</f>
        <v>1.2</v>
      </c>
      <c r="EO48" s="237" t="n">
        <f aca="false">IF(EO46=0,0,IF(EO46&lt;=12*'🎚️ Escenario'!$C$11,1,1+$C$6))</f>
        <v>1.2</v>
      </c>
      <c r="EP48" s="237" t="n">
        <f aca="false">IF(EP46=0,0,IF(EP46&lt;=12*'🎚️ Escenario'!$C$11,1,1+$C$6))</f>
        <v>1.2</v>
      </c>
      <c r="EQ48" s="237" t="n">
        <f aca="false">IF(EQ46=0,0,IF(EQ46&lt;=12*'🎚️ Escenario'!$C$11,1,1+$C$6))</f>
        <v>1.2</v>
      </c>
      <c r="ER48" s="237" t="n">
        <f aca="false">IF(ER46=0,0,IF(ER46&lt;=12*'🎚️ Escenario'!$C$11,1,1+$C$6))</f>
        <v>1.2</v>
      </c>
      <c r="ES48" s="238" t="n">
        <f aca="false">IF(ES46=0,0,IF(ES46&lt;=12*'🎚️ Escenario'!$C$11,1,1+$C$6))</f>
        <v>1.2</v>
      </c>
      <c r="ET48" s="238" t="n">
        <f aca="false">IF(ET46=0,0,IF(ET46&lt;=12*'🎚️ Escenario'!$C$11,1,1+$C$6))</f>
        <v>1.2</v>
      </c>
      <c r="EU48" s="238" t="n">
        <f aca="false">IF(EU46=0,0,IF(EU46&lt;=12*'🎚️ Escenario'!$C$11,1,1+$C$6))</f>
        <v>1.2</v>
      </c>
      <c r="EV48" s="238" t="n">
        <f aca="false">IF(EV46=0,0,IF(EV46&lt;=12*'🎚️ Escenario'!$C$11,1,1+$C$6))</f>
        <v>1.2</v>
      </c>
      <c r="EW48" s="238" t="n">
        <f aca="false">IF(EW46=0,0,IF(EW46&lt;=12*'🎚️ Escenario'!$C$11,1,1+$C$6))</f>
        <v>1.2</v>
      </c>
      <c r="EX48" s="238" t="n">
        <f aca="false">IF(EX46=0,0,IF(EX46&lt;=12*'🎚️ Escenario'!$C$11,1,1+$C$6))</f>
        <v>1.2</v>
      </c>
      <c r="EY48" s="238" t="n">
        <f aca="false">IF(EY46=0,0,IF(EY46&lt;=12*'🎚️ Escenario'!$C$11,1,1+$C$6))</f>
        <v>1.2</v>
      </c>
      <c r="EZ48" s="238" t="n">
        <f aca="false">IF(EZ46=0,0,IF(EZ46&lt;=12*'🎚️ Escenario'!$C$11,1,1+$C$6))</f>
        <v>1.2</v>
      </c>
      <c r="FA48" s="238" t="n">
        <f aca="false">IF(FA46=0,0,IF(FA46&lt;=12*'🎚️ Escenario'!$C$11,1,1+$C$6))</f>
        <v>1.2</v>
      </c>
      <c r="FB48" s="238" t="n">
        <f aca="false">IF(FB46=0,0,IF(FB46&lt;=12*'🎚️ Escenario'!$C$11,1,1+$C$6))</f>
        <v>1.2</v>
      </c>
      <c r="FC48" s="238" t="n">
        <f aca="false">IF(FC46=0,0,IF(FC46&lt;=12*'🎚️ Escenario'!$C$11,1,1+$C$6))</f>
        <v>1.2</v>
      </c>
      <c r="FD48" s="238" t="n">
        <f aca="false">IF(FD46=0,0,IF(FD46&lt;=12*'🎚️ Escenario'!$C$11,1,1+$C$6))</f>
        <v>1.2</v>
      </c>
      <c r="FE48" s="238" t="n">
        <f aca="false">IF(FE46=0,0,IF(FE46&lt;=12*'🎚️ Escenario'!$C$11,1,1+$C$6))</f>
        <v>1.2</v>
      </c>
      <c r="FF48" s="238" t="n">
        <f aca="false">IF(FF46=0,0,IF(FF46&lt;=12*'🎚️ Escenario'!$C$11,1,1+$C$6))</f>
        <v>1.2</v>
      </c>
      <c r="FG48" s="238" t="n">
        <f aca="false">IF(FG46=0,0,IF(FG46&lt;=12*'🎚️ Escenario'!$C$11,1,1+$C$6))</f>
        <v>1.2</v>
      </c>
      <c r="FH48" s="238" t="n">
        <f aca="false">IF(FH46=0,0,IF(FH46&lt;=12*'🎚️ Escenario'!$C$11,1,1+$C$6))</f>
        <v>1.2</v>
      </c>
      <c r="FI48" s="238" t="n">
        <f aca="false">IF(FI46=0,0,IF(FI46&lt;=12*'🎚️ Escenario'!$C$11,1,1+$C$6))</f>
        <v>1.2</v>
      </c>
      <c r="FJ48" s="238" t="n">
        <f aca="false">IF(FJ46=0,0,IF(FJ46&lt;=12*'🎚️ Escenario'!$C$11,1,1+$C$6))</f>
        <v>1.2</v>
      </c>
      <c r="FK48" s="238" t="n">
        <f aca="false">IF(FK46=0,0,IF(FK46&lt;=12*'🎚️ Escenario'!$C$11,1,1+$C$6))</f>
        <v>1.2</v>
      </c>
      <c r="FL48" s="238" t="n">
        <f aca="false">IF(FL46=0,0,IF(FL46&lt;=12*'🎚️ Escenario'!$C$11,1,1+$C$6))</f>
        <v>1.2</v>
      </c>
      <c r="FM48" s="238" t="n">
        <f aca="false">IF(FM46=0,0,IF(FM46&lt;=12*'🎚️ Escenario'!$C$11,1,1+$C$6))</f>
        <v>1.2</v>
      </c>
      <c r="FN48" s="238" t="n">
        <f aca="false">IF(FN46=0,0,IF(FN46&lt;=12*'🎚️ Escenario'!$C$11,1,1+$C$6))</f>
        <v>1.2</v>
      </c>
      <c r="FO48" s="238" t="n">
        <f aca="false">IF(FO46=0,0,IF(FO46&lt;=12*'🎚️ Escenario'!$C$11,1,1+$C$6))</f>
        <v>1.2</v>
      </c>
      <c r="FP48" s="238" t="n">
        <f aca="false">IF(FP46=0,0,IF(FP46&lt;=12*'🎚️ Escenario'!$C$11,1,1+$C$6))</f>
        <v>1.2</v>
      </c>
    </row>
    <row r="49" customFormat="false" ht="15" hidden="false" customHeight="false" outlineLevel="2" collapsed="false">
      <c r="B49" s="9" t="s">
        <v>876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36" t="n">
        <f aca="false">AC47*$AC$45*AC48*AC$38*'⑫ Roll-out Plan'!$O$10</f>
        <v>45.36</v>
      </c>
      <c r="AD49" s="36" t="n">
        <f aca="false">AD47*$AC$45*AD48*AD$38*'⑫ Roll-out Plan'!$O$10</f>
        <v>37.884</v>
      </c>
      <c r="AE49" s="36" t="n">
        <f aca="false">AE47*$AC$45*AE48*AE$38*'⑫ Roll-out Plan'!$O$10</f>
        <v>58.464</v>
      </c>
      <c r="AF49" s="36" t="n">
        <f aca="false">AF47*$AC$45*AF48*AF$38*'⑫ Roll-out Plan'!$O$10</f>
        <v>62.37</v>
      </c>
      <c r="AG49" s="36" t="n">
        <f aca="false">AG47*$AC$45*AG48*AG$38*'⑫ Roll-out Plan'!$O$10</f>
        <v>52.164</v>
      </c>
      <c r="AH49" s="36" t="n">
        <f aca="false">AH47*$AC$45*AH48*AH$38*'⑫ Roll-out Plan'!$O$10</f>
        <v>52.08</v>
      </c>
      <c r="AI49" s="36" t="n">
        <f aca="false">AI47*$AC$45*AI48*AI$38*'⑫ Roll-out Plan'!$O$10</f>
        <v>61.74</v>
      </c>
      <c r="AJ49" s="36" t="n">
        <f aca="false">AJ47*$AC$45*AJ48*AJ$38*'⑫ Roll-out Plan'!$O$10</f>
        <v>116.298</v>
      </c>
      <c r="AK49" s="36" t="n">
        <f aca="false">AK47*$AC$45*AK48*AK$38*'⑫ Roll-out Plan'!$O$10</f>
        <v>107.184</v>
      </c>
      <c r="AL49" s="36" t="n">
        <f aca="false">AL47*$AC$45*AL48*AL$38*'⑫ Roll-out Plan'!$O$10</f>
        <v>88.704</v>
      </c>
      <c r="AM49" s="36" t="n">
        <f aca="false">AM47*$AC$45*AM48*AM$38*'⑫ Roll-out Plan'!$O$10</f>
        <v>72.576</v>
      </c>
      <c r="AN49" s="36" t="n">
        <f aca="false">AN47*$AC$45*AN48*AN$38*'⑫ Roll-out Plan'!$O$10</f>
        <v>111.384</v>
      </c>
      <c r="AO49" s="36" t="n">
        <f aca="false">AO47*$AC$45*AO48*AO$38*'⑫ Roll-out Plan'!$O$10</f>
        <v>127.008</v>
      </c>
      <c r="AP49" s="36" t="n">
        <f aca="false">AP47*$AC$45*AP48*AP$38*'⑫ Roll-out Plan'!$O$10</f>
        <v>103.32</v>
      </c>
      <c r="AQ49" s="36" t="n">
        <f aca="false">AQ47*$AC$45*AQ48*AQ$38*'⑫ Roll-out Plan'!$O$10</f>
        <v>146.16</v>
      </c>
      <c r="AR49" s="36" t="n">
        <f aca="false">AR47*$AC$45*AR48*AR$38*'⑫ Roll-out Plan'!$O$10</f>
        <v>174.636</v>
      </c>
      <c r="AS49" s="36" t="n">
        <f aca="false">AS47*$AC$45*AS48*AS$38*'⑫ Roll-out Plan'!$O$10</f>
        <v>153.0144</v>
      </c>
      <c r="AT49" s="36" t="n">
        <f aca="false">AT47*$AC$45*AT48*AT$38*'⑫ Roll-out Plan'!$O$10</f>
        <v>139.104</v>
      </c>
      <c r="AU49" s="36" t="n">
        <f aca="false">AU47*$AC$45*AU48*AU$38*'⑫ Roll-out Plan'!$O$10</f>
        <v>150.2928</v>
      </c>
      <c r="AV49" s="36" t="n">
        <f aca="false">AV47*$AC$45*AV48*AV$38*'⑫ Roll-out Plan'!$O$10</f>
        <v>254.0664</v>
      </c>
      <c r="AW49" s="36" t="n">
        <f aca="false">AW47*$AC$45*AW48*AW$38*'⑫ Roll-out Plan'!$O$10</f>
        <v>213.3936</v>
      </c>
      <c r="AX49" s="36" t="n">
        <f aca="false">AX47*$AC$45*AX48*AX$38*'⑫ Roll-out Plan'!$O$10</f>
        <v>181.44</v>
      </c>
      <c r="AY49" s="36" t="n">
        <f aca="false">AY47*$AC$45*AY48*AY$38*'⑫ Roll-out Plan'!$O$10</f>
        <v>139.7088</v>
      </c>
      <c r="AZ49" s="36" t="n">
        <f aca="false">AZ47*$AC$45*AZ48*AZ$38*'⑫ Roll-out Plan'!$O$10</f>
        <v>203.0616</v>
      </c>
      <c r="BA49" s="36" t="n">
        <f aca="false">BA47*$AC$45*BA48*BA$38*'⑫ Roll-out Plan'!$O$10</f>
        <v>215.0064</v>
      </c>
      <c r="BB49" s="36" t="n">
        <f aca="false">BB47*$AC$45*BB48*BB$38*'⑫ Roll-out Plan'!$O$10</f>
        <v>165.312</v>
      </c>
      <c r="BC49" s="36" t="n">
        <f aca="false">BC47*$AC$45*BC48*BC$38*'⑫ Roll-out Plan'!$O$10</f>
        <v>239.7024</v>
      </c>
      <c r="BD49" s="36" t="n">
        <f aca="false">BD47*$AC$45*BD48*BD$38*'⑫ Roll-out Plan'!$O$10</f>
        <v>232.848</v>
      </c>
      <c r="BE49" s="36" t="n">
        <f aca="false">BE47*$AC$45*BE48*BE$38*'⑫ Roll-out Plan'!$O$10</f>
        <v>197.064</v>
      </c>
      <c r="BF49" s="36" t="n">
        <f aca="false">BF47*$AC$45*BF48*BF$38*'⑫ Roll-out Plan'!$O$10</f>
        <v>171.36</v>
      </c>
      <c r="BG49" s="36" t="n">
        <f aca="false">BG47*$AC$45*BG48*BG$38*'⑫ Roll-out Plan'!$O$10</f>
        <v>182.0448</v>
      </c>
      <c r="BH49" s="36" t="n">
        <f aca="false">BH47*$AC$45*BH48*BH$38*'⑫ Roll-out Plan'!$O$10</f>
        <v>314.8992</v>
      </c>
      <c r="BI49" s="36" t="n">
        <f aca="false">BI47*$AC$45*BI48*BI$38*'⑫ Roll-out Plan'!$O$10</f>
        <v>260.1648</v>
      </c>
      <c r="BJ49" s="36" t="n">
        <f aca="false">BJ47*$AC$45*BJ48*BJ$38*'⑫ Roll-out Plan'!$O$10</f>
        <v>217.728</v>
      </c>
      <c r="BK49" s="36" t="n">
        <f aca="false">BK47*$AC$45*BK48*BK$38*'⑫ Roll-out Plan'!$O$10</f>
        <v>163.296</v>
      </c>
      <c r="BL49" s="36" t="n">
        <f aca="false">BL47*$AC$45*BL48*BL$38*'⑫ Roll-out Plan'!$O$10</f>
        <v>236.4768</v>
      </c>
      <c r="BM49" s="36" t="n">
        <f aca="false">BM47*$AC$45*BM48*BM$38*'⑫ Roll-out Plan'!$O$10</f>
        <v>253.1088</v>
      </c>
      <c r="BN49" s="36" t="n">
        <f aca="false">BN47*$AC$45*BN48*BN$38*'⑫ Roll-out Plan'!$O$10</f>
        <v>194.2416</v>
      </c>
      <c r="BO49" s="36" t="n">
        <f aca="false">BO47*$AC$45*BO48*BO$38*'⑫ Roll-out Plan'!$O$10</f>
        <v>277.704</v>
      </c>
      <c r="BP49" s="36" t="n">
        <f aca="false">BP47*$AC$45*BP48*BP$38*'⑫ Roll-out Plan'!$O$10</f>
        <v>263.34</v>
      </c>
      <c r="BQ49" s="36" t="n">
        <f aca="false">BQ47*$AC$45*BQ48*BQ$38*'⑫ Roll-out Plan'!$O$10</f>
        <v>224.8848</v>
      </c>
      <c r="BR49" s="36" t="n">
        <f aca="false">BR47*$AC$45*BR48*BR$38*'⑫ Roll-out Plan'!$O$10</f>
        <v>197.568</v>
      </c>
      <c r="BS49" s="36" t="n">
        <f aca="false">BS47*$AC$45*BS48*BS$38*'⑫ Roll-out Plan'!$O$10</f>
        <v>209.5632</v>
      </c>
      <c r="BT49" s="36" t="n">
        <f aca="false">BT47*$AC$45*BT48*BT$38*'⑫ Roll-out Plan'!$O$10</f>
        <v>357.84</v>
      </c>
      <c r="BU49" s="36" t="n">
        <f aca="false">BU47*$AC$45*BU48*BU$38*'⑫ Roll-out Plan'!$O$10</f>
        <v>292.32</v>
      </c>
      <c r="BV49" s="36" t="n">
        <f aca="false">BV47*$AC$45*BV48*BV$38*'⑫ Roll-out Plan'!$O$10</f>
        <v>241.92</v>
      </c>
      <c r="BW49" s="36" t="n">
        <f aca="false">BW47*$AC$45*BW48*BW$38*'⑫ Roll-out Plan'!$O$10</f>
        <v>181.44</v>
      </c>
      <c r="BX49" s="36" t="n">
        <f aca="false">BX47*$AC$45*BX48*BX$38*'⑫ Roll-out Plan'!$O$10</f>
        <v>257.04</v>
      </c>
      <c r="BY49" s="36" t="n">
        <f aca="false">BY47*$AC$45*BY48*BY$38*'⑫ Roll-out Plan'!$O$10</f>
        <v>272.16</v>
      </c>
      <c r="BZ49" s="36" t="n">
        <f aca="false">BZ47*$AC$45*BZ48*BZ$38*'⑫ Roll-out Plan'!$O$10</f>
        <v>206.64</v>
      </c>
      <c r="CA49" s="36" t="n">
        <f aca="false">CA47*$AC$45*CA48*CA$38*'⑫ Roll-out Plan'!$O$10</f>
        <v>292.32</v>
      </c>
      <c r="CB49" s="36" t="n">
        <f aca="false">CB47*$AC$45*CB48*CB$38*'⑫ Roll-out Plan'!$O$10</f>
        <v>277.2</v>
      </c>
      <c r="CC49" s="36" t="n">
        <f aca="false">CC47*$AC$45*CC48*CC$38*'⑫ Roll-out Plan'!$O$10</f>
        <v>231.84</v>
      </c>
      <c r="CD49" s="36" t="n">
        <f aca="false">CD47*$AC$45*CD48*CD$38*'⑫ Roll-out Plan'!$O$10</f>
        <v>201.6</v>
      </c>
      <c r="CE49" s="36" t="n">
        <f aca="false">CE47*$AC$45*CE48*CE$38*'⑫ Roll-out Plan'!$O$10</f>
        <v>211.68</v>
      </c>
      <c r="CF49" s="36" t="n">
        <f aca="false">CF47*$AC$45*CF48*CF$38*'⑫ Roll-out Plan'!$O$10</f>
        <v>357.84</v>
      </c>
      <c r="CG49" s="36" t="n">
        <f aca="false">CG47*$AC$45*CG48*CG$38*'⑫ Roll-out Plan'!$O$10</f>
        <v>292.32</v>
      </c>
      <c r="CH49" s="36" t="n">
        <f aca="false">CH47*$AC$45*CH48*CH$38*'⑫ Roll-out Plan'!$O$10</f>
        <v>241.92</v>
      </c>
      <c r="CI49" s="36" t="n">
        <f aca="false">CI47*$AC$45*CI48*CI$38*'⑫ Roll-out Plan'!$O$10</f>
        <v>181.44</v>
      </c>
      <c r="CJ49" s="36" t="n">
        <f aca="false">CJ47*$AC$45*CJ48*CJ$38*'⑫ Roll-out Plan'!$O$10</f>
        <v>257.04</v>
      </c>
      <c r="CK49" s="36" t="n">
        <f aca="false">CK47*$AC$45*CK48*CK$38*'⑫ Roll-out Plan'!$O$10</f>
        <v>272.16</v>
      </c>
      <c r="CL49" s="36" t="n">
        <f aca="false">CL47*$AC$45*CL48*CL$38*'⑫ Roll-out Plan'!$O$10</f>
        <v>206.64</v>
      </c>
      <c r="CM49" s="36" t="n">
        <f aca="false">CM47*$AC$45*CM48*CM$38*'⑫ Roll-out Plan'!$O$10</f>
        <v>292.32</v>
      </c>
      <c r="CN49" s="36" t="n">
        <f aca="false">CN47*$AC$45*CN48*CN$38*'⑫ Roll-out Plan'!$O$10</f>
        <v>277.2</v>
      </c>
      <c r="CO49" s="36" t="n">
        <f aca="false">CO47*$AC$45*CO48*CO$38*'⑫ Roll-out Plan'!$O$10</f>
        <v>231.84</v>
      </c>
      <c r="CP49" s="36" t="n">
        <f aca="false">CP47*$AC$45*CP48*CP$38*'⑫ Roll-out Plan'!$O$10</f>
        <v>201.6</v>
      </c>
      <c r="CQ49" s="36" t="n">
        <f aca="false">CQ47*$AC$45*CQ48*CQ$38*'⑫ Roll-out Plan'!$O$10</f>
        <v>211.68</v>
      </c>
      <c r="CR49" s="36" t="n">
        <f aca="false">CR47*$AC$45*CR48*CR$38*'⑫ Roll-out Plan'!$O$10</f>
        <v>357.84</v>
      </c>
      <c r="CS49" s="36" t="n">
        <f aca="false">CS47*$AC$45*CS48*CS$38*'⑫ Roll-out Plan'!$O$10</f>
        <v>292.32</v>
      </c>
      <c r="CT49" s="36" t="n">
        <f aca="false">CT47*$AC$45*CT48*CT$38*'⑫ Roll-out Plan'!$O$10</f>
        <v>241.92</v>
      </c>
      <c r="CU49" s="36" t="n">
        <f aca="false">CU47*$AC$45*CU48*CU$38*'⑫ Roll-out Plan'!$O$10</f>
        <v>181.44</v>
      </c>
      <c r="CV49" s="36" t="n">
        <f aca="false">CV47*$AC$45*CV48*CV$38*'⑫ Roll-out Plan'!$O$10</f>
        <v>257.04</v>
      </c>
      <c r="CW49" s="36" t="n">
        <f aca="false">CW47*$AC$45*CW48*CW$38*'⑫ Roll-out Plan'!$O$10</f>
        <v>272.16</v>
      </c>
      <c r="CX49" s="36" t="n">
        <f aca="false">CX47*$AC$45*CX48*CX$38*'⑫ Roll-out Plan'!$O$10</f>
        <v>206.64</v>
      </c>
      <c r="CY49" s="36" t="n">
        <f aca="false">CY47*$AC$45*CY48*CY$38*'⑫ Roll-out Plan'!$O$10</f>
        <v>292.32</v>
      </c>
      <c r="CZ49" s="36" t="n">
        <f aca="false">CZ47*$AC$45*CZ48*CZ$38*'⑫ Roll-out Plan'!$O$10</f>
        <v>277.2</v>
      </c>
      <c r="DA49" s="36" t="n">
        <f aca="false">DA47*$AC$45*DA48*DA$38*'⑫ Roll-out Plan'!$O$10</f>
        <v>231.84</v>
      </c>
      <c r="DB49" s="36" t="n">
        <f aca="false">DB47*$AC$45*DB48*DB$38*'⑫ Roll-out Plan'!$O$10</f>
        <v>201.6</v>
      </c>
      <c r="DC49" s="36" t="n">
        <f aca="false">DC47*$AC$45*DC48*DC$38*'⑫ Roll-out Plan'!$O$10</f>
        <v>211.68</v>
      </c>
      <c r="DD49" s="36" t="n">
        <f aca="false">DD47*$AC$45*DD48*DD$38*'⑫ Roll-out Plan'!$O$10</f>
        <v>357.84</v>
      </c>
      <c r="DE49" s="36" t="n">
        <f aca="false">DE47*$AC$45*DE48*DE$38*'⑫ Roll-out Plan'!$O$10</f>
        <v>292.32</v>
      </c>
      <c r="DF49" s="36" t="n">
        <f aca="false">DF47*$AC$45*DF48*DF$38*'⑫ Roll-out Plan'!$O$10</f>
        <v>241.92</v>
      </c>
      <c r="DG49" s="36" t="n">
        <f aca="false">DG47*$AC$45*DG48*DG$38*'⑫ Roll-out Plan'!$O$10</f>
        <v>181.44</v>
      </c>
      <c r="DH49" s="36" t="n">
        <f aca="false">DH47*$AC$45*DH48*DH$38*'⑫ Roll-out Plan'!$O$10</f>
        <v>257.04</v>
      </c>
      <c r="DI49" s="36" t="n">
        <f aca="false">DI47*$AC$45*DI48*DI$38*'⑫ Roll-out Plan'!$O$10</f>
        <v>272.16</v>
      </c>
      <c r="DJ49" s="36" t="n">
        <f aca="false">DJ47*$AC$45*DJ48*DJ$38*'⑫ Roll-out Plan'!$O$10</f>
        <v>206.64</v>
      </c>
      <c r="DK49" s="36" t="n">
        <f aca="false">DK47*$AC$45*DK48*DK$38*'⑫ Roll-out Plan'!$O$10</f>
        <v>292.32</v>
      </c>
      <c r="DL49" s="36" t="n">
        <f aca="false">DL47*$AC$45*DL48*DL$38*'⑫ Roll-out Plan'!$O$10</f>
        <v>277.2</v>
      </c>
      <c r="DM49" s="36" t="n">
        <f aca="false">DM47*$AC$45*DM48*DM$38*'⑫ Roll-out Plan'!$O$10</f>
        <v>231.84</v>
      </c>
      <c r="DN49" s="36" t="n">
        <f aca="false">DN47*$AC$45*DN48*DN$38*'⑫ Roll-out Plan'!$O$10</f>
        <v>201.6</v>
      </c>
      <c r="DO49" s="36" t="n">
        <f aca="false">DO47*$AC$45*DO48*DO$38*'⑫ Roll-out Plan'!$O$10</f>
        <v>211.68</v>
      </c>
      <c r="DP49" s="36" t="n">
        <f aca="false">DP47*$AC$45*DP48*DP$38*'⑫ Roll-out Plan'!$O$10</f>
        <v>357.84</v>
      </c>
      <c r="DQ49" s="36" t="n">
        <f aca="false">DQ47*$AC$45*DQ48*DQ$38*'⑫ Roll-out Plan'!$O$10</f>
        <v>292.32</v>
      </c>
      <c r="DR49" s="36" t="n">
        <f aca="false">DR47*$AC$45*DR48*DR$38*'⑫ Roll-out Plan'!$O$10</f>
        <v>241.92</v>
      </c>
      <c r="DS49" s="36" t="n">
        <f aca="false">DS47*$AC$45*DS48*DS$38*'⑫ Roll-out Plan'!$O$10</f>
        <v>181.44</v>
      </c>
      <c r="DT49" s="36" t="n">
        <f aca="false">DT47*$AC$45*DT48*DT$38*'⑫ Roll-out Plan'!$O$10</f>
        <v>257.04</v>
      </c>
      <c r="DU49" s="36" t="n">
        <f aca="false">DU47*$AC$45*DU48*DU$38*'⑫ Roll-out Plan'!$O$10</f>
        <v>272.16</v>
      </c>
      <c r="DV49" s="36" t="n">
        <f aca="false">DV47*$AC$45*DV48*DV$38*'⑫ Roll-out Plan'!$O$10</f>
        <v>206.64</v>
      </c>
      <c r="DW49" s="36" t="n">
        <f aca="false">DW47*$AC$45*DW48*DW$38*'⑫ Roll-out Plan'!$O$10</f>
        <v>292.32</v>
      </c>
      <c r="DX49" s="36" t="n">
        <f aca="false">DX47*$AC$45*DX48*DX$38*'⑫ Roll-out Plan'!$O$10</f>
        <v>277.2</v>
      </c>
      <c r="DY49" s="36" t="n">
        <f aca="false">DY47*$AC$45*DY48*DY$38*'⑫ Roll-out Plan'!$O$10</f>
        <v>231.84</v>
      </c>
      <c r="DZ49" s="36" t="n">
        <f aca="false">DZ47*$AC$45*DZ48*DZ$38*'⑫ Roll-out Plan'!$O$10</f>
        <v>201.6</v>
      </c>
      <c r="EA49" s="36" t="n">
        <f aca="false">EA47*$AC$45*EA48*EA$38*'⑫ Roll-out Plan'!$O$10</f>
        <v>211.68</v>
      </c>
      <c r="EB49" s="36" t="n">
        <f aca="false">EB47*$AC$45*EB48*EB$38*'⑫ Roll-out Plan'!$O$10</f>
        <v>357.84</v>
      </c>
      <c r="EC49" s="36" t="n">
        <f aca="false">EC47*$AC$45*EC48*EC$38*'⑫ Roll-out Plan'!$O$10</f>
        <v>292.32</v>
      </c>
      <c r="ED49" s="36" t="n">
        <f aca="false">ED47*$AC$45*ED48*ED$38*'⑫ Roll-out Plan'!$O$10</f>
        <v>241.92</v>
      </c>
      <c r="EE49" s="36" t="n">
        <f aca="false">EE47*$AC$45*EE48*EE$38*'⑫ Roll-out Plan'!$O$10</f>
        <v>181.44</v>
      </c>
      <c r="EF49" s="36" t="n">
        <f aca="false">EF47*$AC$45*EF48*EF$38*'⑫ Roll-out Plan'!$O$10</f>
        <v>257.04</v>
      </c>
      <c r="EG49" s="36" t="n">
        <f aca="false">EG47*$AC$45*EG48*EG$38*'⑫ Roll-out Plan'!$O$10</f>
        <v>272.16</v>
      </c>
      <c r="EH49" s="36" t="n">
        <f aca="false">EH47*$AC$45*EH48*EH$38*'⑫ Roll-out Plan'!$O$10</f>
        <v>206.64</v>
      </c>
      <c r="EI49" s="36" t="n">
        <f aca="false">EI47*$AC$45*EI48*EI$38*'⑫ Roll-out Plan'!$O$10</f>
        <v>292.32</v>
      </c>
      <c r="EJ49" s="36" t="n">
        <f aca="false">EJ47*$AC$45*EJ48*EJ$38*'⑫ Roll-out Plan'!$O$10</f>
        <v>277.2</v>
      </c>
      <c r="EK49" s="36" t="n">
        <f aca="false">EK47*$AC$45*EK48*EK$38*'⑫ Roll-out Plan'!$O$10</f>
        <v>231.84</v>
      </c>
      <c r="EL49" s="36" t="n">
        <f aca="false">EL47*$AC$45*EL48*EL$38*'⑫ Roll-out Plan'!$O$10</f>
        <v>201.6</v>
      </c>
      <c r="EM49" s="36" t="n">
        <f aca="false">EM47*$AC$45*EM48*EM$38*'⑫ Roll-out Plan'!$O$10</f>
        <v>211.68</v>
      </c>
      <c r="EN49" s="36" t="n">
        <f aca="false">EN47*$AC$45*EN48*EN$38*'⑫ Roll-out Plan'!$O$10</f>
        <v>357.84</v>
      </c>
      <c r="EO49" s="36" t="n">
        <f aca="false">EO47*$AC$45*EO48*EO$38*'⑫ Roll-out Plan'!$O$10</f>
        <v>292.32</v>
      </c>
      <c r="EP49" s="36" t="n">
        <f aca="false">EP47*$AC$45*EP48*EP$38*'⑫ Roll-out Plan'!$O$10</f>
        <v>241.92</v>
      </c>
      <c r="EQ49" s="36" t="n">
        <f aca="false">EQ47*$AC$45*EQ48*EQ$38*'⑫ Roll-out Plan'!$O$10</f>
        <v>181.44</v>
      </c>
      <c r="ER49" s="36" t="n">
        <f aca="false">ER47*$AC$45*ER48*ER$38*'⑫ Roll-out Plan'!$O$10</f>
        <v>257.04</v>
      </c>
      <c r="ES49" s="9" t="n">
        <f aca="false">ES47*$AC$45*ES48*ES$38*'⑫ Roll-out Plan'!$O$10</f>
        <v>272.16</v>
      </c>
      <c r="ET49" s="9" t="n">
        <f aca="false">ET47*$AC$45*ET48*ET$38*'⑫ Roll-out Plan'!$O$10</f>
        <v>206.64</v>
      </c>
      <c r="EU49" s="9" t="n">
        <f aca="false">EU47*$AC$45*EU48*EU$38*'⑫ Roll-out Plan'!$O$10</f>
        <v>292.32</v>
      </c>
      <c r="EV49" s="9" t="n">
        <f aca="false">EV47*$AC$45*EV48*EV$38*'⑫ Roll-out Plan'!$O$10</f>
        <v>277.2</v>
      </c>
      <c r="EW49" s="9" t="n">
        <f aca="false">EW47*$AC$45*EW48*EW$38*'⑫ Roll-out Plan'!$O$10</f>
        <v>231.84</v>
      </c>
      <c r="EX49" s="9" t="n">
        <f aca="false">EX47*$AC$45*EX48*EX$38*'⑫ Roll-out Plan'!$O$10</f>
        <v>201.6</v>
      </c>
      <c r="EY49" s="9" t="n">
        <f aca="false">EY47*$AC$45*EY48*EY$38*'⑫ Roll-out Plan'!$O$10</f>
        <v>211.68</v>
      </c>
      <c r="EZ49" s="9" t="n">
        <f aca="false">EZ47*$AC$45*EZ48*EZ$38*'⑫ Roll-out Plan'!$O$10</f>
        <v>357.84</v>
      </c>
      <c r="FA49" s="9" t="n">
        <f aca="false">FA47*$AC$45*FA48*FA$38*'⑫ Roll-out Plan'!$O$10</f>
        <v>292.32</v>
      </c>
      <c r="FB49" s="9" t="n">
        <f aca="false">FB47*$AC$45*FB48*FB$38*'⑫ Roll-out Plan'!$O$10</f>
        <v>241.92</v>
      </c>
      <c r="FC49" s="9" t="n">
        <f aca="false">FC47*$AC$45*FC48*FC$38*'⑫ Roll-out Plan'!$O$10</f>
        <v>181.44</v>
      </c>
      <c r="FD49" s="9" t="n">
        <f aca="false">FD47*$AC$45*FD48*FD$38*'⑫ Roll-out Plan'!$O$10</f>
        <v>257.04</v>
      </c>
      <c r="FE49" s="9" t="n">
        <f aca="false">FE47*$AC$45*FE48*FE$38*'⑫ Roll-out Plan'!$O$10</f>
        <v>272.16</v>
      </c>
      <c r="FF49" s="9" t="n">
        <f aca="false">FF47*$AC$45*FF48*FF$38*'⑫ Roll-out Plan'!$O$10</f>
        <v>206.64</v>
      </c>
      <c r="FG49" s="9" t="n">
        <f aca="false">FG47*$AC$45*FG48*FG$38*'⑫ Roll-out Plan'!$O$10</f>
        <v>292.32</v>
      </c>
      <c r="FH49" s="9" t="n">
        <f aca="false">FH47*$AC$45*FH48*FH$38*'⑫ Roll-out Plan'!$O$10</f>
        <v>277.2</v>
      </c>
      <c r="FI49" s="9" t="n">
        <f aca="false">FI47*$AC$45*FI48*FI$38*'⑫ Roll-out Plan'!$O$10</f>
        <v>231.84</v>
      </c>
      <c r="FJ49" s="9" t="n">
        <f aca="false">FJ47*$AC$45*FJ48*FJ$38*'⑫ Roll-out Plan'!$O$10</f>
        <v>201.6</v>
      </c>
      <c r="FK49" s="9" t="n">
        <f aca="false">FK47*$AC$45*FK48*FK$38*'⑫ Roll-out Plan'!$O$10</f>
        <v>211.68</v>
      </c>
      <c r="FL49" s="9" t="n">
        <f aca="false">FL47*$AC$45*FL48*FL$38*'⑫ Roll-out Plan'!$O$10</f>
        <v>357.84</v>
      </c>
      <c r="FM49" s="9" t="n">
        <f aca="false">FM47*$AC$45*FM48*FM$38*'⑫ Roll-out Plan'!$O$10</f>
        <v>292.32</v>
      </c>
      <c r="FN49" s="9" t="n">
        <f aca="false">FN47*$AC$45*FN48*FN$38*'⑫ Roll-out Plan'!$O$10</f>
        <v>241.92</v>
      </c>
      <c r="FO49" s="9" t="n">
        <f aca="false">FO47*$AC$45*FO48*FO$38*'⑫ Roll-out Plan'!$O$10</f>
        <v>181.44</v>
      </c>
      <c r="FP49" s="9" t="n">
        <f aca="false">FP47*$AC$45*FP48*FP$38*'⑫ Roll-out Plan'!$O$10</f>
        <v>257.04</v>
      </c>
    </row>
    <row r="50" customFormat="false" ht="15" hidden="false" customHeight="false" outlineLevel="2" collapsed="false">
      <c r="B50" s="9" t="s">
        <v>877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112" t="n">
        <f aca="true">IFERROR(SUMPRODUCT(OFFSET($BJ$31,0,1-MIN(60,COLUMN()-29),1,MIN(60,COLUMN()-29)),OFFSET(AC49,0,-MIN(60,COLUMN()-29),1,MIN(60,COLUMN()-29))),0)</f>
        <v>0</v>
      </c>
      <c r="AD50" s="112" t="n">
        <f aca="true">IFERROR(SUMPRODUCT(OFFSET($BJ$31,0,1-MIN(60,COLUMN()-29),1,MIN(60,COLUMN()-29)),OFFSET(AD49,0,-MIN(60,COLUMN()-29),1,MIN(60,COLUMN()-29))),0)</f>
        <v>5.80608</v>
      </c>
      <c r="AE50" s="112" t="n">
        <f aca="true">IFERROR(SUMPRODUCT(OFFSET($BJ$31,0,1-MIN(60,COLUMN()-29),1,MIN(60,COLUMN()-29)),OFFSET(AE49,0,-MIN(60,COLUMN()-29),1,MIN(60,COLUMN()-29))),0)</f>
        <v>5.647488</v>
      </c>
      <c r="AF50" s="112" t="n">
        <f aca="true">IFERROR(SUMPRODUCT(OFFSET($BJ$31,0,1-MIN(60,COLUMN()-29),1,MIN(60,COLUMN()-29)),OFFSET(AF49,0,-MIN(60,COLUMN()-29),1,MIN(60,COLUMN()-29))),0)</f>
        <v>9.1662144</v>
      </c>
      <c r="AG50" s="112" t="n">
        <f aca="true">IFERROR(SUMPRODUCT(OFFSET($BJ$31,0,1-MIN(60,COLUMN()-29),1,MIN(60,COLUMN()-29)),OFFSET(AG49,0,-MIN(60,COLUMN()-29),1,MIN(60,COLUMN()-29))),0)</f>
        <v>10.441536</v>
      </c>
      <c r="AH50" s="112" t="n">
        <f aca="true">IFERROR(SUMPRODUCT(OFFSET($BJ$31,0,1-MIN(60,COLUMN()-29),1,MIN(60,COLUMN()-29)),OFFSET(AH49,0,-MIN(60,COLUMN()-29),1,MIN(60,COLUMN()-29))),0)</f>
        <v>10.0046688</v>
      </c>
      <c r="AI50" s="112" t="n">
        <f aca="true">IFERROR(SUMPRODUCT(OFFSET($BJ$31,0,1-MIN(60,COLUMN()-29),1,MIN(60,COLUMN()-29)),OFFSET(AI49,0,-MIN(60,COLUMN()-29),1,MIN(60,COLUMN()-29))),0)</f>
        <v>10.311168</v>
      </c>
      <c r="AJ50" s="112" t="n">
        <f aca="true">IFERROR(SUMPRODUCT(OFFSET($BJ$31,0,1-MIN(60,COLUMN()-29),1,MIN(60,COLUMN()-29)),OFFSET(AJ49,0,-MIN(60,COLUMN()-29),1,MIN(60,COLUMN()-29))),0)</f>
        <v>12.2549952</v>
      </c>
      <c r="AK50" s="112" t="n">
        <f aca="true">IFERROR(SUMPRODUCT(OFFSET($BJ$31,0,1-MIN(60,COLUMN()-29),1,MIN(60,COLUMN()-29)),OFFSET(AK49,0,-MIN(60,COLUMN()-29),1,MIN(60,COLUMN()-29))),0)</f>
        <v>19.5103104</v>
      </c>
      <c r="AL50" s="112" t="n">
        <f aca="true">IFERROR(SUMPRODUCT(OFFSET($BJ$31,0,1-MIN(60,COLUMN()-29),1,MIN(60,COLUMN()-29)),OFFSET(AL49,0,-MIN(60,COLUMN()-29),1,MIN(60,COLUMN()-29))),0)</f>
        <v>20.1688704</v>
      </c>
      <c r="AM50" s="112" t="n">
        <f aca="true">IFERROR(SUMPRODUCT(OFFSET($BJ$31,0,1-MIN(60,COLUMN()-29),1,MIN(60,COLUMN()-29)),OFFSET(AM49,0,-MIN(60,COLUMN()-29),1,MIN(60,COLUMN()-29))),0)</f>
        <v>19.8268224</v>
      </c>
      <c r="AN50" s="239" t="n">
        <f aca="true">IFERROR(SUMPRODUCT(OFFSET($BJ$31,0,1-MIN(60,COLUMN()-29),1,MIN(60,COLUMN()-29)),OFFSET(AN49,0,-MIN(60,COLUMN()-29),1,MIN(60,COLUMN()-29))),0)</f>
        <v>18.0903072</v>
      </c>
      <c r="AO50" s="112" t="n">
        <f aca="true">IFERROR(SUMPRODUCT(OFFSET($BJ$31,0,1-MIN(60,COLUMN()-29),1,MIN(60,COLUMN()-29)),OFFSET(AO49,0,-MIN(60,COLUMN()-29),1,MIN(60,COLUMN()-29))),0)</f>
        <v>24.3726336</v>
      </c>
      <c r="AP50" s="112" t="n">
        <f aca="true">IFERROR(SUMPRODUCT(OFFSET($BJ$31,0,1-MIN(60,COLUMN()-29),1,MIN(60,COLUMN()-29)),OFFSET(AP49,0,-MIN(60,COLUMN()-29),1,MIN(60,COLUMN()-29))),0)</f>
        <v>28.2162048</v>
      </c>
      <c r="AQ50" s="112" t="n">
        <f aca="true">IFERROR(SUMPRODUCT(OFFSET($BJ$31,0,1-MIN(60,COLUMN()-29),1,MIN(60,COLUMN()-29)),OFFSET(AQ49,0,-MIN(60,COLUMN()-29),1,MIN(60,COLUMN()-29))),0)</f>
        <v>27.4568448</v>
      </c>
      <c r="AR50" s="112" t="n">
        <f aca="true">IFERROR(SUMPRODUCT(OFFSET($BJ$31,0,1-MIN(60,COLUMN()-29),1,MIN(60,COLUMN()-29)),OFFSET(AR49,0,-MIN(60,COLUMN()-29),1,MIN(60,COLUMN()-29))),0)</f>
        <v>34.556256</v>
      </c>
      <c r="AS50" s="112" t="n">
        <f aca="true">IFERROR(SUMPRODUCT(OFFSET($BJ$31,0,1-MIN(60,COLUMN()-29),1,MIN(60,COLUMN()-29)),OFFSET(AS49,0,-MIN(60,COLUMN()-29),1,MIN(60,COLUMN()-29))),0)</f>
        <v>39.643296</v>
      </c>
      <c r="AT50" s="112" t="n">
        <f aca="true">IFERROR(SUMPRODUCT(OFFSET($BJ$31,0,1-MIN(60,COLUMN()-29),1,MIN(60,COLUMN()-29)),OFFSET(AT49,0,-MIN(60,COLUMN()-29),1,MIN(60,COLUMN()-29))),0)</f>
        <v>40.1129568</v>
      </c>
      <c r="AU50" s="112" t="n">
        <f aca="true">IFERROR(SUMPRODUCT(OFFSET($BJ$31,0,1-MIN(60,COLUMN()-29),1,MIN(60,COLUMN()-29)),OFFSET(AU49,0,-MIN(60,COLUMN()-29),1,MIN(60,COLUMN()-29))),0)</f>
        <v>40.83363984</v>
      </c>
      <c r="AV50" s="112" t="n">
        <f aca="true">IFERROR(SUMPRODUCT(OFFSET($BJ$31,0,1-MIN(60,COLUMN()-29),1,MIN(60,COLUMN()-29)),OFFSET(AV49,0,-MIN(60,COLUMN()-29),1,MIN(60,COLUMN()-29))),0)</f>
        <v>45.58458576</v>
      </c>
      <c r="AW50" s="112" t="n">
        <f aca="true">IFERROR(SUMPRODUCT(OFFSET($BJ$31,0,1-MIN(60,COLUMN()-29),1,MIN(60,COLUMN()-29)),OFFSET(AW49,0,-MIN(60,COLUMN()-29),1,MIN(60,COLUMN()-29))),0)</f>
        <v>62.2125588</v>
      </c>
      <c r="AX50" s="112" t="n">
        <f aca="true">IFERROR(SUMPRODUCT(OFFSET($BJ$31,0,1-MIN(60,COLUMN()-29),1,MIN(60,COLUMN()-29)),OFFSET(AX49,0,-MIN(60,COLUMN()-29),1,MIN(60,COLUMN()-29))),0)</f>
        <v>61.6164108</v>
      </c>
      <c r="AY50" s="112" t="n">
        <f aca="true">IFERROR(SUMPRODUCT(OFFSET($BJ$31,0,1-MIN(60,COLUMN()-29),1,MIN(60,COLUMN()-29)),OFFSET(AY49,0,-MIN(60,COLUMN()-29),1,MIN(60,COLUMN()-29))),0)</f>
        <v>60.90216888</v>
      </c>
      <c r="AZ50" s="112" t="n">
        <f aca="true">IFERROR(SUMPRODUCT(OFFSET($BJ$31,0,1-MIN(60,COLUMN()-29),1,MIN(60,COLUMN()-29)),OFFSET(AZ49,0,-MIN(60,COLUMN()-29),1,MIN(60,COLUMN()-29))),0)</f>
        <v>57.72159624</v>
      </c>
      <c r="BA50" s="112" t="n">
        <f aca="true">IFERROR(SUMPRODUCT(OFFSET($BJ$31,0,1-MIN(60,COLUMN()-29),1,MIN(60,COLUMN()-29)),OFFSET(BA49,0,-MIN(60,COLUMN()-29),1,MIN(60,COLUMN()-29))),0)</f>
        <v>70.28470176</v>
      </c>
      <c r="BB50" s="112" t="n">
        <f aca="true">IFERROR(SUMPRODUCT(OFFSET($BJ$31,0,1-MIN(60,COLUMN()-29),1,MIN(60,COLUMN()-29)),OFFSET(BB49,0,-MIN(60,COLUMN()-29),1,MIN(60,COLUMN()-29))),0)</f>
        <v>75.3985008</v>
      </c>
      <c r="BC50" s="112" t="n">
        <f aca="true">IFERROR(SUMPRODUCT(OFFSET($BJ$31,0,1-MIN(60,COLUMN()-29),1,MIN(60,COLUMN()-29)),OFFSET(BC49,0,-MIN(60,COLUMN()-29),1,MIN(60,COLUMN()-29))),0)</f>
        <v>74.34187488</v>
      </c>
      <c r="BD50" s="112" t="n">
        <f aca="true">IFERROR(SUMPRODUCT(OFFSET($BJ$31,0,1-MIN(60,COLUMN()-29),1,MIN(60,COLUMN()-29)),OFFSET(BD49,0,-MIN(60,COLUMN()-29),1,MIN(60,COLUMN()-29))),0)</f>
        <v>87.7908528</v>
      </c>
      <c r="BE50" s="112" t="n">
        <f aca="true">IFERROR(SUMPRODUCT(OFFSET($BJ$31,0,1-MIN(60,COLUMN()-29),1,MIN(60,COLUMN()-29)),OFFSET(BE49,0,-MIN(60,COLUMN()-29),1,MIN(60,COLUMN()-29))),0)</f>
        <v>92.14095744</v>
      </c>
      <c r="BF50" s="112" t="n">
        <f aca="true">IFERROR(SUMPRODUCT(OFFSET($BJ$31,0,1-MIN(60,COLUMN()-29),1,MIN(60,COLUMN()-29)),OFFSET(BF49,0,-MIN(60,COLUMN()-29),1,MIN(60,COLUMN()-29))),0)</f>
        <v>92.74349952</v>
      </c>
      <c r="BG50" s="112" t="n">
        <f aca="true">IFERROR(SUMPRODUCT(OFFSET($BJ$31,0,1-MIN(60,COLUMN()-29),1,MIN(60,COLUMN()-29)),OFFSET(BG49,0,-MIN(60,COLUMN()-29),1,MIN(60,COLUMN()-29))),0)</f>
        <v>92.59711776</v>
      </c>
      <c r="BH50" s="112" t="n">
        <f aca="true">IFERROR(SUMPRODUCT(OFFSET($BJ$31,0,1-MIN(60,COLUMN()-29),1,MIN(60,COLUMN()-29)),OFFSET(BH49,0,-MIN(60,COLUMN()-29),1,MIN(60,COLUMN()-29))),0)</f>
        <v>99.84419424</v>
      </c>
      <c r="BI50" s="112" t="n">
        <f aca="true">IFERROR(SUMPRODUCT(OFFSET($BJ$31,0,1-MIN(60,COLUMN()-29),1,MIN(60,COLUMN()-29)),OFFSET(BI49,0,-MIN(60,COLUMN()-29),1,MIN(60,COLUMN()-29))),0)</f>
        <v>122.80614192</v>
      </c>
      <c r="BJ50" s="112" t="n">
        <f aca="true">IFERROR(SUMPRODUCT(OFFSET($BJ$31,0,1-MIN(60,COLUMN()-29),1,MIN(60,COLUMN()-29)),OFFSET(BJ49,0,-MIN(60,COLUMN()-29),1,MIN(60,COLUMN()-29))),0)</f>
        <v>123.09422832</v>
      </c>
      <c r="BK50" s="112" t="n">
        <f aca="true">IFERROR(SUMPRODUCT(OFFSET($BJ$31,0,1-MIN(60,COLUMN()-29),1,MIN(60,COLUMN()-29)),OFFSET(BK49,0,-MIN(60,COLUMN()-29),1,MIN(60,COLUMN()-29))),0)</f>
        <v>122.2025112</v>
      </c>
      <c r="BL50" s="112" t="n">
        <f aca="true">IFERROR(SUMPRODUCT(OFFSET($BJ$31,0,1-MIN(60,COLUMN()-29),1,MIN(60,COLUMN()-29)),OFFSET(BL49,0,-MIN(60,COLUMN()-29),1,MIN(60,COLUMN()-29))),0)</f>
        <v>118.90395216</v>
      </c>
      <c r="BM50" s="112" t="n">
        <f aca="true">IFERROR(SUMPRODUCT(OFFSET($BJ$31,0,1-MIN(60,COLUMN()-29),1,MIN(60,COLUMN()-29)),OFFSET(BM49,0,-MIN(60,COLUMN()-29),1,MIN(60,COLUMN()-29))),0)</f>
        <v>136.36383264</v>
      </c>
      <c r="BN50" s="112" t="n">
        <f aca="true">IFERROR(SUMPRODUCT(OFFSET($BJ$31,0,1-MIN(60,COLUMN()-29),1,MIN(60,COLUMN()-29)),OFFSET(BN49,0,-MIN(60,COLUMN()-29),1,MIN(60,COLUMN()-29))),0)</f>
        <v>143.28103104</v>
      </c>
      <c r="BO50" s="112" t="n">
        <f aca="true">IFERROR(SUMPRODUCT(OFFSET($BJ$31,0,1-MIN(60,COLUMN()-29),1,MIN(60,COLUMN()-29)),OFFSET(BO49,0,-MIN(60,COLUMN()-29),1,MIN(60,COLUMN()-29))),0)</f>
        <v>143.70761664</v>
      </c>
      <c r="BP50" s="112" t="n">
        <f aca="true">IFERROR(SUMPRODUCT(OFFSET($BJ$31,0,1-MIN(60,COLUMN()-29),1,MIN(60,COLUMN()-29)),OFFSET(BP49,0,-MIN(60,COLUMN()-29),1,MIN(60,COLUMN()-29))),0)</f>
        <v>159.85896192</v>
      </c>
      <c r="BQ50" s="112" t="n">
        <f aca="true">IFERROR(SUMPRODUCT(OFFSET($BJ$31,0,1-MIN(60,COLUMN()-29),1,MIN(60,COLUMN()-29)),OFFSET(BQ49,0,-MIN(60,COLUMN()-29),1,MIN(60,COLUMN()-29))),0)</f>
        <v>164.39188752</v>
      </c>
      <c r="BR50" s="112" t="n">
        <f aca="true">IFERROR(SUMPRODUCT(OFFSET($BJ$31,0,1-MIN(60,COLUMN()-29),1,MIN(60,COLUMN()-29)),OFFSET(BR49,0,-MIN(60,COLUMN()-29),1,MIN(60,COLUMN()-29))),0)</f>
        <v>166.33746864</v>
      </c>
      <c r="BS50" s="112" t="n">
        <f aca="true">IFERROR(SUMPRODUCT(OFFSET($BJ$31,0,1-MIN(60,COLUMN()-29),1,MIN(60,COLUMN()-29)),OFFSET(BS49,0,-MIN(60,COLUMN()-29),1,MIN(60,COLUMN()-29))),0)</f>
        <v>166.75300656</v>
      </c>
      <c r="BT50" s="112" t="n">
        <f aca="true">IFERROR(SUMPRODUCT(OFFSET($BJ$31,0,1-MIN(60,COLUMN()-29),1,MIN(60,COLUMN()-29)),OFFSET(BT49,0,-MIN(60,COLUMN()-29),1,MIN(60,COLUMN()-29))),0)</f>
        <v>176.74732656</v>
      </c>
      <c r="BU50" s="112" t="n">
        <f aca="true">IFERROR(SUMPRODUCT(OFFSET($BJ$31,0,1-MIN(60,COLUMN()-29),1,MIN(60,COLUMN()-29)),OFFSET(BU49,0,-MIN(60,COLUMN()-29),1,MIN(60,COLUMN()-29))),0)</f>
        <v>203.4221112</v>
      </c>
      <c r="BV50" s="112" t="n">
        <f aca="true">IFERROR(SUMPRODUCT(OFFSET($BJ$31,0,1-MIN(60,COLUMN()-29),1,MIN(60,COLUMN()-29)),OFFSET(BV49,0,-MIN(60,COLUMN()-29),1,MIN(60,COLUMN()-29))),0)</f>
        <v>203.56720272</v>
      </c>
      <c r="BW50" s="112" t="n">
        <f aca="true">IFERROR(SUMPRODUCT(OFFSET($BJ$31,0,1-MIN(60,COLUMN()-29),1,MIN(60,COLUMN()-29)),OFFSET(BW49,0,-MIN(60,COLUMN()-29),1,MIN(60,COLUMN()-29))),0)</f>
        <v>202.14761616</v>
      </c>
      <c r="BX50" s="112" t="n">
        <f aca="true">IFERROR(SUMPRODUCT(OFFSET($BJ$31,0,1-MIN(60,COLUMN()-29),1,MIN(60,COLUMN()-29)),OFFSET(BX49,0,-MIN(60,COLUMN()-29),1,MIN(60,COLUMN()-29))),0)</f>
        <v>198.46877904</v>
      </c>
      <c r="BY50" s="112" t="n">
        <f aca="true">IFERROR(SUMPRODUCT(OFFSET($BJ$31,0,1-MIN(60,COLUMN()-29),1,MIN(60,COLUMN()-29)),OFFSET(BY49,0,-MIN(60,COLUMN()-29),1,MIN(60,COLUMN()-29))),0)</f>
        <v>217.8791496</v>
      </c>
      <c r="BZ50" s="112" t="n">
        <f aca="true">IFERROR(SUMPRODUCT(OFFSET($BJ$31,0,1-MIN(60,COLUMN()-29),1,MIN(60,COLUMN()-29)),OFFSET(BZ49,0,-MIN(60,COLUMN()-29),1,MIN(60,COLUMN()-29))),0)</f>
        <v>224.757036</v>
      </c>
      <c r="CA50" s="112" t="n">
        <f aca="true">IFERROR(SUMPRODUCT(OFFSET($BJ$31,0,1-MIN(60,COLUMN()-29),1,MIN(60,COLUMN()-29)),OFFSET(CA49,0,-MIN(60,COLUMN()-29),1,MIN(60,COLUMN()-29))),0)</f>
        <v>224.80397856</v>
      </c>
      <c r="CB50" s="112" t="n">
        <f aca="true">IFERROR(SUMPRODUCT(OFFSET($BJ$31,0,1-MIN(60,COLUMN()-29),1,MIN(60,COLUMN()-29)),OFFSET(CB49,0,-MIN(60,COLUMN()-29),1,MIN(60,COLUMN()-29))),0)</f>
        <v>240.85996704</v>
      </c>
      <c r="CC50" s="112" t="n">
        <f aca="true">IFERROR(SUMPRODUCT(OFFSET($BJ$31,0,1-MIN(60,COLUMN()-29),1,MIN(60,COLUMN()-29)),OFFSET(CC49,0,-MIN(60,COLUMN()-29),1,MIN(60,COLUMN()-29))),0)</f>
        <v>244.893978</v>
      </c>
      <c r="CD50" s="112" t="n">
        <f aca="true">IFERROR(SUMPRODUCT(OFFSET($BJ$31,0,1-MIN(60,COLUMN()-29),1,MIN(60,COLUMN()-29)),OFFSET(CD49,0,-MIN(60,COLUMN()-29),1,MIN(60,COLUMN()-29))),0)</f>
        <v>246.08512152</v>
      </c>
      <c r="CE50" s="112" t="n">
        <f aca="true">IFERROR(SUMPRODUCT(OFFSET($BJ$31,0,1-MIN(60,COLUMN()-29),1,MIN(60,COLUMN()-29)),OFFSET(CE49,0,-MIN(60,COLUMN()-29),1,MIN(60,COLUMN()-29))),0)</f>
        <v>245.74480056</v>
      </c>
      <c r="CF50" s="112" t="n">
        <f aca="true">IFERROR(SUMPRODUCT(OFFSET($BJ$31,0,1-MIN(60,COLUMN()-29),1,MIN(60,COLUMN()-29)),OFFSET(CF49,0,-MIN(60,COLUMN()-29),1,MIN(60,COLUMN()-29))),0)</f>
        <v>255.57093576</v>
      </c>
      <c r="CG50" s="112" t="n">
        <f aca="true">IFERROR(SUMPRODUCT(OFFSET($BJ$31,0,1-MIN(60,COLUMN()-29),1,MIN(60,COLUMN()-29)),OFFSET(CG49,0,-MIN(60,COLUMN()-29),1,MIN(60,COLUMN()-29))),0)</f>
        <v>280.9449216</v>
      </c>
      <c r="CH50" s="112" t="n">
        <f aca="true">IFERROR(SUMPRODUCT(OFFSET($BJ$31,0,1-MIN(60,COLUMN()-29),1,MIN(60,COLUMN()-29)),OFFSET(CH49,0,-MIN(60,COLUMN()-29),1,MIN(60,COLUMN()-29))),0)</f>
        <v>279.70320672</v>
      </c>
      <c r="CI50" s="112" t="n">
        <f aca="true">IFERROR(SUMPRODUCT(OFFSET($BJ$31,0,1-MIN(60,COLUMN()-29),1,MIN(60,COLUMN()-29)),OFFSET(CI49,0,-MIN(60,COLUMN()-29),1,MIN(60,COLUMN()-29))),0)</f>
        <v>277.12385568</v>
      </c>
      <c r="CJ50" s="112" t="n">
        <f aca="true">IFERROR(SUMPRODUCT(OFFSET($BJ$31,0,1-MIN(60,COLUMN()-29),1,MIN(60,COLUMN()-29)),OFFSET(CJ49,0,-MIN(60,COLUMN()-29),1,MIN(60,COLUMN()-29))),0)</f>
        <v>272.65746816</v>
      </c>
      <c r="CK50" s="112" t="n">
        <f aca="true">IFERROR(SUMPRODUCT(OFFSET($BJ$31,0,1-MIN(60,COLUMN()-29),1,MIN(60,COLUMN()-29)),OFFSET(CK49,0,-MIN(60,COLUMN()-29),1,MIN(60,COLUMN()-29))),0)</f>
        <v>291.36141216</v>
      </c>
      <c r="CL50" s="112" t="n">
        <f aca="true">IFERROR(SUMPRODUCT(OFFSET($BJ$31,0,1-MIN(60,COLUMN()-29),1,MIN(60,COLUMN()-29)),OFFSET(CL49,0,-MIN(60,COLUMN()-29),1,MIN(60,COLUMN()-29))),0)</f>
        <v>296.84090016</v>
      </c>
      <c r="CM50" s="112" t="n">
        <f aca="true">IFERROR(SUMPRODUCT(OFFSET($BJ$31,0,1-MIN(60,COLUMN()-29),1,MIN(60,COLUMN()-29)),OFFSET(CM49,0,-MIN(60,COLUMN()-29),1,MIN(60,COLUMN()-29))),0)</f>
        <v>295.66486656</v>
      </c>
      <c r="CN50" s="112" t="n">
        <f aca="true">IFERROR(SUMPRODUCT(OFFSET($BJ$31,0,1-MIN(60,COLUMN()-29),1,MIN(60,COLUMN()-29)),OFFSET(CN49,0,-MIN(60,COLUMN()-29),1,MIN(60,COLUMN()-29))),0)</f>
        <v>309.98028096</v>
      </c>
      <c r="CO50" s="112" t="n">
        <f aca="true">IFERROR(SUMPRODUCT(OFFSET($BJ$31,0,1-MIN(60,COLUMN()-29),1,MIN(60,COLUMN()-29)),OFFSET(CO49,0,-MIN(60,COLUMN()-29),1,MIN(60,COLUMN()-29))),0)</f>
        <v>311.69715696</v>
      </c>
      <c r="CP50" s="112" t="n">
        <f aca="true">IFERROR(SUMPRODUCT(OFFSET($BJ$31,0,1-MIN(60,COLUMN()-29),1,MIN(60,COLUMN()-29)),OFFSET(CP49,0,-MIN(60,COLUMN()-29),1,MIN(60,COLUMN()-29))),0)</f>
        <v>310.78169136</v>
      </c>
      <c r="CQ50" s="112" t="n">
        <f aca="true">IFERROR(SUMPRODUCT(OFFSET($BJ$31,0,1-MIN(60,COLUMN()-29),1,MIN(60,COLUMN()-29)),OFFSET(CQ49,0,-MIN(60,COLUMN()-29),1,MIN(60,COLUMN()-29))),0)</f>
        <v>308.52074736</v>
      </c>
      <c r="CR50" s="112" t="n">
        <f aca="true">IFERROR(SUMPRODUCT(OFFSET($BJ$31,0,1-MIN(60,COLUMN()-29),1,MIN(60,COLUMN()-29)),OFFSET(CR49,0,-MIN(60,COLUMN()-29),1,MIN(60,COLUMN()-29))),0)</f>
        <v>316.31813136</v>
      </c>
      <c r="CS50" s="112" t="n">
        <f aca="true">IFERROR(SUMPRODUCT(OFFSET($BJ$31,0,1-MIN(60,COLUMN()-29),1,MIN(60,COLUMN()-29)),OFFSET(CS49,0,-MIN(60,COLUMN()-29),1,MIN(60,COLUMN()-29))),0)</f>
        <v>338.17444416</v>
      </c>
      <c r="CT50" s="112" t="n">
        <f aca="true">IFERROR(SUMPRODUCT(OFFSET($BJ$31,0,1-MIN(60,COLUMN()-29),1,MIN(60,COLUMN()-29)),OFFSET(CT49,0,-MIN(60,COLUMN()-29),1,MIN(60,COLUMN()-29))),0)</f>
        <v>333.93207456</v>
      </c>
      <c r="CU50" s="112" t="n">
        <f aca="true">IFERROR(SUMPRODUCT(OFFSET($BJ$31,0,1-MIN(60,COLUMN()-29),1,MIN(60,COLUMN()-29)),OFFSET(CU49,0,-MIN(60,COLUMN()-29),1,MIN(60,COLUMN()-29))),0)</f>
        <v>328.76385696</v>
      </c>
      <c r="CV50" s="112" t="n">
        <f aca="true">IFERROR(SUMPRODUCT(OFFSET($BJ$31,0,1-MIN(60,COLUMN()-29),1,MIN(60,COLUMN()-29)),OFFSET(CV49,0,-MIN(60,COLUMN()-29),1,MIN(60,COLUMN()-29))),0)</f>
        <v>322.29068256</v>
      </c>
      <c r="CW50" s="112" t="n">
        <f aca="true">IFERROR(SUMPRODUCT(OFFSET($BJ$31,0,1-MIN(60,COLUMN()-29),1,MIN(60,COLUMN()-29)),OFFSET(CW49,0,-MIN(60,COLUMN()-29),1,MIN(60,COLUMN()-29))),0)</f>
        <v>338.01553296</v>
      </c>
      <c r="CX50" s="112" t="n">
        <f aca="true">IFERROR(SUMPRODUCT(OFFSET($BJ$31,0,1-MIN(60,COLUMN()-29),1,MIN(60,COLUMN()-29)),OFFSET(CX49,0,-MIN(60,COLUMN()-29),1,MIN(60,COLUMN()-29))),0)</f>
        <v>340.99931376</v>
      </c>
      <c r="CY50" s="112" t="n">
        <f aca="true">IFERROR(SUMPRODUCT(OFFSET($BJ$31,0,1-MIN(60,COLUMN()-29),1,MIN(60,COLUMN()-29)),OFFSET(CY49,0,-MIN(60,COLUMN()-29),1,MIN(60,COLUMN()-29))),0)</f>
        <v>337.95112176</v>
      </c>
      <c r="CZ50" s="112" t="n">
        <f aca="true">IFERROR(SUMPRODUCT(OFFSET($BJ$31,0,1-MIN(60,COLUMN()-29),1,MIN(60,COLUMN()-29)),OFFSET(CZ49,0,-MIN(60,COLUMN()-29),1,MIN(60,COLUMN()-29))),0)</f>
        <v>349.60057776</v>
      </c>
      <c r="DA50" s="112" t="n">
        <f aca="true">IFERROR(SUMPRODUCT(OFFSET($BJ$31,0,1-MIN(60,COLUMN()-29),1,MIN(60,COLUMN()-29)),OFFSET(DA49,0,-MIN(60,COLUMN()-29),1,MIN(60,COLUMN()-29))),0)</f>
        <v>348.82764336</v>
      </c>
      <c r="DB50" s="112" t="n">
        <f aca="true">IFERROR(SUMPRODUCT(OFFSET($BJ$31,0,1-MIN(60,COLUMN()-29),1,MIN(60,COLUMN()-29)),OFFSET(DB49,0,-MIN(60,COLUMN()-29),1,MIN(60,COLUMN()-29))),0)</f>
        <v>345.799188</v>
      </c>
      <c r="DC50" s="112" t="n">
        <f aca="true">IFERROR(SUMPRODUCT(OFFSET($BJ$31,0,1-MIN(60,COLUMN()-29),1,MIN(60,COLUMN()-29)),OFFSET(DC49,0,-MIN(60,COLUMN()-29),1,MIN(60,COLUMN()-29))),0)</f>
        <v>341.8012584</v>
      </c>
      <c r="DD50" s="112" t="n">
        <f aca="true">IFERROR(SUMPRODUCT(OFFSET($BJ$31,0,1-MIN(60,COLUMN()-29),1,MIN(60,COLUMN()-29)),OFFSET(DD49,0,-MIN(60,COLUMN()-29),1,MIN(60,COLUMN()-29))),0)</f>
        <v>347.84720208</v>
      </c>
      <c r="DE50" s="112" t="n">
        <f aca="true">IFERROR(SUMPRODUCT(OFFSET($BJ$31,0,1-MIN(60,COLUMN()-29),1,MIN(60,COLUMN()-29)),OFFSET(DE49,0,-MIN(60,COLUMN()-29),1,MIN(60,COLUMN()-29))),0)</f>
        <v>366.80715792</v>
      </c>
      <c r="DF50" s="112" t="n">
        <f aca="true">IFERROR(SUMPRODUCT(OFFSET($BJ$31,0,1-MIN(60,COLUMN()-29),1,MIN(60,COLUMN()-29)),OFFSET(DF49,0,-MIN(60,COLUMN()-29),1,MIN(60,COLUMN()-29))),0)</f>
        <v>360.33380208</v>
      </c>
      <c r="DG50" s="112" t="n">
        <f aca="true">IFERROR(SUMPRODUCT(OFFSET($BJ$31,0,1-MIN(60,COLUMN()-29),1,MIN(60,COLUMN()-29)),OFFSET(DG49,0,-MIN(60,COLUMN()-29),1,MIN(60,COLUMN()-29))),0)</f>
        <v>353.28586608</v>
      </c>
      <c r="DH50" s="112" t="n">
        <f aca="true">IFERROR(SUMPRODUCT(OFFSET($BJ$31,0,1-MIN(60,COLUMN()-29),1,MIN(60,COLUMN()-29)),OFFSET(DH49,0,-MIN(60,COLUMN()-29),1,MIN(60,COLUMN()-29))),0)</f>
        <v>345.49217136</v>
      </c>
      <c r="DI50" s="112" t="n">
        <f aca="true">IFERROR(SUMPRODUCT(OFFSET($BJ$31,0,1-MIN(60,COLUMN()-29),1,MIN(60,COLUMN()-29)),OFFSET(DI49,0,-MIN(60,COLUMN()-29),1,MIN(60,COLUMN()-29))),0)</f>
        <v>359.39563632</v>
      </c>
      <c r="DJ50" s="112" t="n">
        <f aca="true">IFERROR(SUMPRODUCT(OFFSET($BJ$31,0,1-MIN(60,COLUMN()-29),1,MIN(60,COLUMN()-29)),OFFSET(DJ49,0,-MIN(60,COLUMN()-29),1,MIN(60,COLUMN()-29))),0)</f>
        <v>360.54070416</v>
      </c>
      <c r="DK50" s="112" t="n">
        <f aca="true">IFERROR(SUMPRODUCT(OFFSET($BJ$31,0,1-MIN(60,COLUMN()-29),1,MIN(60,COLUMN()-29)),OFFSET(DK49,0,-MIN(60,COLUMN()-29),1,MIN(60,COLUMN()-29))),0)</f>
        <v>356.16588336</v>
      </c>
      <c r="DL50" s="112" t="n">
        <f aca="true">IFERROR(SUMPRODUCT(OFFSET($BJ$31,0,1-MIN(60,COLUMN()-29),1,MIN(60,COLUMN()-29)),OFFSET(DL49,0,-MIN(60,COLUMN()-29),1,MIN(60,COLUMN()-29))),0)</f>
        <v>365.8983048</v>
      </c>
      <c r="DM50" s="112" t="n">
        <f aca="true">IFERROR(SUMPRODUCT(OFFSET($BJ$31,0,1-MIN(60,COLUMN()-29),1,MIN(60,COLUMN()-29)),OFFSET(DM49,0,-MIN(60,COLUMN()-29),1,MIN(60,COLUMN()-29))),0)</f>
        <v>363.8297376</v>
      </c>
      <c r="DN50" s="112" t="n">
        <f aca="true">IFERROR(SUMPRODUCT(OFFSET($BJ$31,0,1-MIN(60,COLUMN()-29),1,MIN(60,COLUMN()-29)),OFFSET(DN49,0,-MIN(60,COLUMN()-29),1,MIN(60,COLUMN()-29))),0)</f>
        <v>359.749656</v>
      </c>
      <c r="DO50" s="112" t="n">
        <f aca="true">IFERROR(SUMPRODUCT(OFFSET($BJ$31,0,1-MIN(60,COLUMN()-29),1,MIN(60,COLUMN()-29)),OFFSET(DO49,0,-MIN(60,COLUMN()-29),1,MIN(60,COLUMN()-29))),0)</f>
        <v>354.89412</v>
      </c>
      <c r="DP50" s="112" t="n">
        <f aca="true">IFERROR(SUMPRODUCT(OFFSET($BJ$31,0,1-MIN(60,COLUMN()-29),1,MIN(60,COLUMN()-29)),OFFSET(DP49,0,-MIN(60,COLUMN()-29),1,MIN(60,COLUMN()-29))),0)</f>
        <v>360.07005888</v>
      </c>
      <c r="DQ50" s="112" t="n">
        <f aca="true">IFERROR(SUMPRODUCT(OFFSET($BJ$31,0,1-MIN(60,COLUMN()-29),1,MIN(60,COLUMN()-29)),OFFSET(DQ49,0,-MIN(60,COLUMN()-29),1,MIN(60,COLUMN()-29))),0)</f>
        <v>377.5099104</v>
      </c>
      <c r="DR50" s="112" t="n">
        <f aca="true">IFERROR(SUMPRODUCT(OFFSET($BJ$31,0,1-MIN(60,COLUMN()-29),1,MIN(60,COLUMN()-29)),OFFSET(DR49,0,-MIN(60,COLUMN()-29),1,MIN(60,COLUMN()-29))),0)</f>
        <v>369.88072128</v>
      </c>
      <c r="DS50" s="112" t="n">
        <f aca="true">IFERROR(SUMPRODUCT(OFFSET($BJ$31,0,1-MIN(60,COLUMN()-29),1,MIN(60,COLUMN()-29)),OFFSET(DS49,0,-MIN(60,COLUMN()-29),1,MIN(60,COLUMN()-29))),0)</f>
        <v>361.94735808</v>
      </c>
      <c r="DT50" s="112" t="n">
        <f aca="true">IFERROR(SUMPRODUCT(OFFSET($BJ$31,0,1-MIN(60,COLUMN()-29),1,MIN(60,COLUMN()-29)),OFFSET(DT49,0,-MIN(60,COLUMN()-29),1,MIN(60,COLUMN()-29))),0)</f>
        <v>353.54184768</v>
      </c>
      <c r="DU50" s="112" t="n">
        <f aca="true">IFERROR(SUMPRODUCT(OFFSET($BJ$31,0,1-MIN(60,COLUMN()-29),1,MIN(60,COLUMN()-29)),OFFSET(DU49,0,-MIN(60,COLUMN()-29),1,MIN(60,COLUMN()-29))),0)</f>
        <v>366.65568576</v>
      </c>
      <c r="DV50" s="112" t="n">
        <f aca="true">IFERROR(SUMPRODUCT(OFFSET($BJ$31,0,1-MIN(60,COLUMN()-29),1,MIN(60,COLUMN()-29)),OFFSET(DV49,0,-MIN(60,COLUMN()-29),1,MIN(60,COLUMN()-29))),0)</f>
        <v>366.96631104</v>
      </c>
      <c r="DW50" s="112" t="n">
        <f aca="true">IFERROR(SUMPRODUCT(OFFSET($BJ$31,0,1-MIN(60,COLUMN()-29),1,MIN(60,COLUMN()-29)),OFFSET(DW49,0,-MIN(60,COLUMN()-29),1,MIN(60,COLUMN()-29))),0)</f>
        <v>361.988928</v>
      </c>
      <c r="DX50" s="112" t="n">
        <f aca="true">IFERROR(SUMPRODUCT(OFFSET($BJ$31,0,1-MIN(60,COLUMN()-29),1,MIN(60,COLUMN()-29)),OFFSET(DX49,0,-MIN(60,COLUMN()-29),1,MIN(60,COLUMN()-29))),0)</f>
        <v>370.9548864</v>
      </c>
      <c r="DY50" s="112" t="n">
        <f aca="true">IFERROR(SUMPRODUCT(OFFSET($BJ$31,0,1-MIN(60,COLUMN()-29),1,MIN(60,COLUMN()-29)),OFFSET(DY49,0,-MIN(60,COLUMN()-29),1,MIN(60,COLUMN()-29))),0)</f>
        <v>368.2393344</v>
      </c>
      <c r="DZ50" s="112" t="n">
        <f aca="true">IFERROR(SUMPRODUCT(OFFSET($BJ$31,0,1-MIN(60,COLUMN()-29),1,MIN(60,COLUMN()-29)),OFFSET(DZ49,0,-MIN(60,COLUMN()-29),1,MIN(60,COLUMN()-29))),0)</f>
        <v>363.65430528</v>
      </c>
      <c r="EA50" s="112" t="n">
        <f aca="true">IFERROR(SUMPRODUCT(OFFSET($BJ$31,0,1-MIN(60,COLUMN()-29),1,MIN(60,COLUMN()-29)),OFFSET(EA49,0,-MIN(60,COLUMN()-29),1,MIN(60,COLUMN()-29))),0)</f>
        <v>358.36089408</v>
      </c>
      <c r="EB50" s="112" t="n">
        <f aca="true">IFERROR(SUMPRODUCT(OFFSET($BJ$31,0,1-MIN(60,COLUMN()-29),1,MIN(60,COLUMN()-29)),OFFSET(EB49,0,-MIN(60,COLUMN()-29),1,MIN(60,COLUMN()-29))),0)</f>
        <v>363.108816</v>
      </c>
      <c r="EC50" s="112" t="n">
        <f aca="true">IFERROR(SUMPRODUCT(OFFSET($BJ$31,0,1-MIN(60,COLUMN()-29),1,MIN(60,COLUMN()-29)),OFFSET(EC49,0,-MIN(60,COLUMN()-29),1,MIN(60,COLUMN()-29))),0)</f>
        <v>379.93032</v>
      </c>
      <c r="ED50" s="112" t="n">
        <f aca="true">IFERROR(SUMPRODUCT(OFFSET($BJ$31,0,1-MIN(60,COLUMN()-29),1,MIN(60,COLUMN()-29)),OFFSET(ED49,0,-MIN(60,COLUMN()-29),1,MIN(60,COLUMN()-29))),0)</f>
        <v>371.838096</v>
      </c>
      <c r="EE50" s="112" t="n">
        <f aca="true">IFERROR(SUMPRODUCT(OFFSET($BJ$31,0,1-MIN(60,COLUMN()-29),1,MIN(60,COLUMN()-29)),OFFSET(EE49,0,-MIN(60,COLUMN()-29),1,MIN(60,COLUMN()-29))),0)</f>
        <v>363.556368</v>
      </c>
      <c r="EF50" s="112" t="n">
        <f aca="true">IFERROR(SUMPRODUCT(OFFSET($BJ$31,0,1-MIN(60,COLUMN()-29),1,MIN(60,COLUMN()-29)),OFFSET(EF49,0,-MIN(60,COLUMN()-29),1,MIN(60,COLUMN()-29))),0)</f>
        <v>354.889584</v>
      </c>
      <c r="EG50" s="112" t="n">
        <f aca="true">IFERROR(SUMPRODUCT(OFFSET($BJ$31,0,1-MIN(60,COLUMN()-29),1,MIN(60,COLUMN()-29)),OFFSET(EG49,0,-MIN(60,COLUMN()-29),1,MIN(60,COLUMN()-29))),0)</f>
        <v>367.707312</v>
      </c>
      <c r="EH50" s="112" t="n">
        <f aca="true">IFERROR(SUMPRODUCT(OFFSET($BJ$31,0,1-MIN(60,COLUMN()-29),1,MIN(60,COLUMN()-29)),OFFSET(EH49,0,-MIN(60,COLUMN()-29),1,MIN(60,COLUMN()-29))),0)</f>
        <v>367.7436</v>
      </c>
      <c r="EI50" s="112" t="n">
        <f aca="true">IFERROR(SUMPRODUCT(OFFSET($BJ$31,0,1-MIN(60,COLUMN()-29),1,MIN(60,COLUMN()-29)),OFFSET(EI49,0,-MIN(60,COLUMN()-29),1,MIN(60,COLUMN()-29))),0)</f>
        <v>362.58768</v>
      </c>
      <c r="EJ50" s="112" t="n">
        <f aca="true">IFERROR(SUMPRODUCT(OFFSET($BJ$31,0,1-MIN(60,COLUMN()-29),1,MIN(60,COLUMN()-29)),OFFSET(EJ49,0,-MIN(60,COLUMN()-29),1,MIN(60,COLUMN()-29))),0)</f>
        <v>371.343168</v>
      </c>
      <c r="EK50" s="112" t="n">
        <f aca="true">IFERROR(SUMPRODUCT(OFFSET($BJ$31,0,1-MIN(60,COLUMN()-29),1,MIN(60,COLUMN()-29)),OFFSET(EK49,0,-MIN(60,COLUMN()-29),1,MIN(60,COLUMN()-29))),0)</f>
        <v>368.428032</v>
      </c>
      <c r="EL50" s="112" t="n">
        <f aca="true">IFERROR(SUMPRODUCT(OFFSET($BJ$31,0,1-MIN(60,COLUMN()-29),1,MIN(60,COLUMN()-29)),OFFSET(EL49,0,-MIN(60,COLUMN()-29),1,MIN(60,COLUMN()-29))),0)</f>
        <v>363.742848</v>
      </c>
      <c r="EM50" s="112" t="n">
        <f aca="true">IFERROR(SUMPRODUCT(OFFSET($BJ$31,0,1-MIN(60,COLUMN()-29),1,MIN(60,COLUMN()-29)),OFFSET(EM49,0,-MIN(60,COLUMN()-29),1,MIN(60,COLUMN()-29))),0)</f>
        <v>358.391376</v>
      </c>
      <c r="EN50" s="112" t="n">
        <f aca="true">IFERROR(SUMPRODUCT(OFFSET($BJ$31,0,1-MIN(60,COLUMN()-29),1,MIN(60,COLUMN()-29)),OFFSET(EN49,0,-MIN(60,COLUMN()-29),1,MIN(60,COLUMN()-29))),0)</f>
        <v>363.108816</v>
      </c>
      <c r="EO50" s="112" t="n">
        <f aca="true">IFERROR(SUMPRODUCT(OFFSET($BJ$31,0,1-MIN(60,COLUMN()-29),1,MIN(60,COLUMN()-29)),OFFSET(EO49,0,-MIN(60,COLUMN()-29),1,MIN(60,COLUMN()-29))),0)</f>
        <v>379.93032</v>
      </c>
      <c r="EP50" s="112" t="n">
        <f aca="true">IFERROR(SUMPRODUCT(OFFSET($BJ$31,0,1-MIN(60,COLUMN()-29),1,MIN(60,COLUMN()-29)),OFFSET(EP49,0,-MIN(60,COLUMN()-29),1,MIN(60,COLUMN()-29))),0)</f>
        <v>371.838096</v>
      </c>
      <c r="EQ50" s="112" t="n">
        <f aca="true">IFERROR(SUMPRODUCT(OFFSET($BJ$31,0,1-MIN(60,COLUMN()-29),1,MIN(60,COLUMN()-29)),OFFSET(EQ49,0,-MIN(60,COLUMN()-29),1,MIN(60,COLUMN()-29))),0)</f>
        <v>363.556368</v>
      </c>
      <c r="ER50" s="112" t="n">
        <f aca="true">IFERROR(SUMPRODUCT(OFFSET($BJ$31,0,1-MIN(60,COLUMN()-29),1,MIN(60,COLUMN()-29)),OFFSET(ER49,0,-MIN(60,COLUMN()-29),1,MIN(60,COLUMN()-29))),0)</f>
        <v>354.889584</v>
      </c>
      <c r="ES50" s="9" t="n">
        <f aca="true">IFERROR(SUMPRODUCT(OFFSET($BJ$31,0,1-MIN(60,COLUMN()-29),1,MIN(60,COLUMN()-29)),OFFSET(ES49,0,-MIN(60,COLUMN()-29),1,MIN(60,COLUMN()-29))),0)</f>
        <v>367.707312</v>
      </c>
      <c r="ET50" s="9" t="n">
        <f aca="true">IFERROR(SUMPRODUCT(OFFSET($BJ$31,0,1-MIN(60,COLUMN()-29),1,MIN(60,COLUMN()-29)),OFFSET(ET49,0,-MIN(60,COLUMN()-29),1,MIN(60,COLUMN()-29))),0)</f>
        <v>367.7436</v>
      </c>
      <c r="EU50" s="9" t="n">
        <f aca="true">IFERROR(SUMPRODUCT(OFFSET($BJ$31,0,1-MIN(60,COLUMN()-29),1,MIN(60,COLUMN()-29)),OFFSET(EU49,0,-MIN(60,COLUMN()-29),1,MIN(60,COLUMN()-29))),0)</f>
        <v>362.58768</v>
      </c>
      <c r="EV50" s="9" t="n">
        <f aca="true">IFERROR(SUMPRODUCT(OFFSET($BJ$31,0,1-MIN(60,COLUMN()-29),1,MIN(60,COLUMN()-29)),OFFSET(EV49,0,-MIN(60,COLUMN()-29),1,MIN(60,COLUMN()-29))),0)</f>
        <v>371.343168</v>
      </c>
      <c r="EW50" s="9" t="n">
        <f aca="true">IFERROR(SUMPRODUCT(OFFSET($BJ$31,0,1-MIN(60,COLUMN()-29),1,MIN(60,COLUMN()-29)),OFFSET(EW49,0,-MIN(60,COLUMN()-29),1,MIN(60,COLUMN()-29))),0)</f>
        <v>368.428032</v>
      </c>
      <c r="EX50" s="9" t="n">
        <f aca="true">IFERROR(SUMPRODUCT(OFFSET($BJ$31,0,1-MIN(60,COLUMN()-29),1,MIN(60,COLUMN()-29)),OFFSET(EX49,0,-MIN(60,COLUMN()-29),1,MIN(60,COLUMN()-29))),0)</f>
        <v>363.742848</v>
      </c>
      <c r="EY50" s="9" t="n">
        <f aca="true">IFERROR(SUMPRODUCT(OFFSET($BJ$31,0,1-MIN(60,COLUMN()-29),1,MIN(60,COLUMN()-29)),OFFSET(EY49,0,-MIN(60,COLUMN()-29),1,MIN(60,COLUMN()-29))),0)</f>
        <v>358.391376</v>
      </c>
      <c r="EZ50" s="9" t="n">
        <f aca="true">IFERROR(SUMPRODUCT(OFFSET($BJ$31,0,1-MIN(60,COLUMN()-29),1,MIN(60,COLUMN()-29)),OFFSET(EZ49,0,-MIN(60,COLUMN()-29),1,MIN(60,COLUMN()-29))),0)</f>
        <v>363.108816</v>
      </c>
      <c r="FA50" s="9" t="n">
        <f aca="true">IFERROR(SUMPRODUCT(OFFSET($BJ$31,0,1-MIN(60,COLUMN()-29),1,MIN(60,COLUMN()-29)),OFFSET(FA49,0,-MIN(60,COLUMN()-29),1,MIN(60,COLUMN()-29))),0)</f>
        <v>379.93032</v>
      </c>
      <c r="FB50" s="9" t="n">
        <f aca="true">IFERROR(SUMPRODUCT(OFFSET($BJ$31,0,1-MIN(60,COLUMN()-29),1,MIN(60,COLUMN()-29)),OFFSET(FB49,0,-MIN(60,COLUMN()-29),1,MIN(60,COLUMN()-29))),0)</f>
        <v>371.838096</v>
      </c>
      <c r="FC50" s="9" t="n">
        <f aca="true">IFERROR(SUMPRODUCT(OFFSET($BJ$31,0,1-MIN(60,COLUMN()-29),1,MIN(60,COLUMN()-29)),OFFSET(FC49,0,-MIN(60,COLUMN()-29),1,MIN(60,COLUMN()-29))),0)</f>
        <v>363.556368</v>
      </c>
      <c r="FD50" s="9" t="n">
        <f aca="true">IFERROR(SUMPRODUCT(OFFSET($BJ$31,0,1-MIN(60,COLUMN()-29),1,MIN(60,COLUMN()-29)),OFFSET(FD49,0,-MIN(60,COLUMN()-29),1,MIN(60,COLUMN()-29))),0)</f>
        <v>354.889584</v>
      </c>
      <c r="FE50" s="9" t="n">
        <f aca="true">IFERROR(SUMPRODUCT(OFFSET($BJ$31,0,1-MIN(60,COLUMN()-29),1,MIN(60,COLUMN()-29)),OFFSET(FE49,0,-MIN(60,COLUMN()-29),1,MIN(60,COLUMN()-29))),0)</f>
        <v>367.707312</v>
      </c>
      <c r="FF50" s="9" t="n">
        <f aca="true">IFERROR(SUMPRODUCT(OFFSET($BJ$31,0,1-MIN(60,COLUMN()-29),1,MIN(60,COLUMN()-29)),OFFSET(FF49,0,-MIN(60,COLUMN()-29),1,MIN(60,COLUMN()-29))),0)</f>
        <v>367.7436</v>
      </c>
      <c r="FG50" s="9" t="n">
        <f aca="true">IFERROR(SUMPRODUCT(OFFSET($BJ$31,0,1-MIN(60,COLUMN()-29),1,MIN(60,COLUMN()-29)),OFFSET(FG49,0,-MIN(60,COLUMN()-29),1,MIN(60,COLUMN()-29))),0)</f>
        <v>362.58768</v>
      </c>
      <c r="FH50" s="9" t="n">
        <f aca="true">IFERROR(SUMPRODUCT(OFFSET($BJ$31,0,1-MIN(60,COLUMN()-29),1,MIN(60,COLUMN()-29)),OFFSET(FH49,0,-MIN(60,COLUMN()-29),1,MIN(60,COLUMN()-29))),0)</f>
        <v>371.343168</v>
      </c>
      <c r="FI50" s="9" t="n">
        <f aca="true">IFERROR(SUMPRODUCT(OFFSET($BJ$31,0,1-MIN(60,COLUMN()-29),1,MIN(60,COLUMN()-29)),OFFSET(FI49,0,-MIN(60,COLUMN()-29),1,MIN(60,COLUMN()-29))),0)</f>
        <v>368.428032</v>
      </c>
      <c r="FJ50" s="9" t="n">
        <f aca="true">IFERROR(SUMPRODUCT(OFFSET($BJ$31,0,1-MIN(60,COLUMN()-29),1,MIN(60,COLUMN()-29)),OFFSET(FJ49,0,-MIN(60,COLUMN()-29),1,MIN(60,COLUMN()-29))),0)</f>
        <v>363.742848</v>
      </c>
      <c r="FK50" s="9" t="n">
        <f aca="true">IFERROR(SUMPRODUCT(OFFSET($BJ$31,0,1-MIN(60,COLUMN()-29),1,MIN(60,COLUMN()-29)),OFFSET(FK49,0,-MIN(60,COLUMN()-29),1,MIN(60,COLUMN()-29))),0)</f>
        <v>358.391376</v>
      </c>
      <c r="FL50" s="9" t="n">
        <f aca="true">IFERROR(SUMPRODUCT(OFFSET($BJ$31,0,1-MIN(60,COLUMN()-29),1,MIN(60,COLUMN()-29)),OFFSET(FL49,0,-MIN(60,COLUMN()-29),1,MIN(60,COLUMN()-29))),0)</f>
        <v>363.108816</v>
      </c>
      <c r="FM50" s="9" t="n">
        <f aca="true">IFERROR(SUMPRODUCT(OFFSET($BJ$31,0,1-MIN(60,COLUMN()-29),1,MIN(60,COLUMN()-29)),OFFSET(FM49,0,-MIN(60,COLUMN()-29),1,MIN(60,COLUMN()-29))),0)</f>
        <v>379.93032</v>
      </c>
      <c r="FN50" s="9" t="n">
        <f aca="true">IFERROR(SUMPRODUCT(OFFSET($BJ$31,0,1-MIN(60,COLUMN()-29),1,MIN(60,COLUMN()-29)),OFFSET(FN49,0,-MIN(60,COLUMN()-29),1,MIN(60,COLUMN()-29))),0)</f>
        <v>371.838096</v>
      </c>
      <c r="FO50" s="9" t="n">
        <f aca="true">IFERROR(SUMPRODUCT(OFFSET($BJ$31,0,1-MIN(60,COLUMN()-29),1,MIN(60,COLUMN()-29)),OFFSET(FO49,0,-MIN(60,COLUMN()-29),1,MIN(60,COLUMN()-29))),0)</f>
        <v>363.556368</v>
      </c>
      <c r="FP50" s="9" t="n">
        <f aca="true">IFERROR(SUMPRODUCT(OFFSET($BJ$31,0,1-MIN(60,COLUMN()-29),1,MIN(60,COLUMN()-29)),OFFSET(FP49,0,-MIN(60,COLUMN()-29),1,MIN(60,COLUMN()-29))),0)</f>
        <v>354.889584</v>
      </c>
    </row>
    <row r="51" customFormat="false" ht="15" hidden="false" customHeight="false" outlineLevel="2" collapsed="false">
      <c r="B51" s="90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237"/>
      <c r="AD51" s="237"/>
      <c r="AE51" s="237"/>
      <c r="AF51" s="237"/>
      <c r="AG51" s="237"/>
      <c r="AH51" s="237"/>
      <c r="AI51" s="237"/>
      <c r="AJ51" s="237"/>
      <c r="AK51" s="237"/>
      <c r="AL51" s="237"/>
      <c r="AM51" s="237"/>
      <c r="AN51" s="237"/>
      <c r="AO51" s="237"/>
      <c r="AP51" s="237"/>
      <c r="AQ51" s="237"/>
      <c r="AR51" s="237"/>
      <c r="AS51" s="237"/>
      <c r="AT51" s="237"/>
      <c r="AU51" s="237"/>
      <c r="AV51" s="237"/>
      <c r="AW51" s="237"/>
      <c r="AX51" s="237"/>
      <c r="AY51" s="237"/>
      <c r="AZ51" s="237"/>
      <c r="BA51" s="237"/>
      <c r="BB51" s="237"/>
      <c r="BC51" s="237"/>
      <c r="BD51" s="237"/>
      <c r="BE51" s="237"/>
      <c r="BF51" s="237"/>
      <c r="BG51" s="237"/>
      <c r="BH51" s="237"/>
      <c r="BI51" s="237"/>
      <c r="BJ51" s="237"/>
      <c r="BK51" s="237"/>
      <c r="BL51" s="237"/>
      <c r="BM51" s="237"/>
      <c r="BN51" s="237"/>
      <c r="BO51" s="237"/>
      <c r="BP51" s="237"/>
      <c r="BQ51" s="237"/>
      <c r="BR51" s="237"/>
      <c r="BS51" s="237"/>
      <c r="BT51" s="237"/>
      <c r="BU51" s="237"/>
      <c r="BV51" s="237"/>
      <c r="BW51" s="237"/>
      <c r="BX51" s="237"/>
      <c r="BY51" s="237"/>
      <c r="BZ51" s="237"/>
      <c r="CA51" s="237"/>
      <c r="CB51" s="237"/>
      <c r="CC51" s="237"/>
      <c r="CD51" s="237"/>
      <c r="CE51" s="237"/>
      <c r="CF51" s="237"/>
      <c r="CG51" s="237"/>
      <c r="CH51" s="237"/>
      <c r="CI51" s="237"/>
      <c r="CJ51" s="237"/>
      <c r="CK51" s="237"/>
      <c r="CL51" s="237"/>
      <c r="CM51" s="237"/>
      <c r="CN51" s="237"/>
      <c r="CO51" s="237"/>
      <c r="CP51" s="237"/>
      <c r="CQ51" s="237"/>
      <c r="CR51" s="237"/>
      <c r="CS51" s="237"/>
      <c r="CT51" s="237"/>
      <c r="CU51" s="237"/>
      <c r="CV51" s="237"/>
      <c r="CW51" s="237"/>
      <c r="CX51" s="237"/>
      <c r="CY51" s="237"/>
      <c r="CZ51" s="237"/>
      <c r="DA51" s="237"/>
      <c r="DB51" s="237"/>
      <c r="DC51" s="237"/>
      <c r="DD51" s="237"/>
      <c r="DE51" s="237"/>
      <c r="DF51" s="237"/>
      <c r="DG51" s="237"/>
      <c r="DH51" s="237"/>
      <c r="DI51" s="237"/>
      <c r="DJ51" s="237"/>
      <c r="DK51" s="237"/>
      <c r="DL51" s="237"/>
      <c r="DM51" s="237"/>
      <c r="DN51" s="237"/>
      <c r="DO51" s="237"/>
      <c r="DP51" s="237"/>
      <c r="DQ51" s="237"/>
      <c r="DR51" s="237"/>
      <c r="DS51" s="237"/>
      <c r="DT51" s="237"/>
      <c r="DU51" s="237"/>
      <c r="DV51" s="237"/>
      <c r="DW51" s="237"/>
      <c r="DX51" s="237"/>
      <c r="DY51" s="237"/>
      <c r="DZ51" s="237"/>
      <c r="EA51" s="237"/>
      <c r="EB51" s="237"/>
      <c r="EC51" s="237"/>
      <c r="ED51" s="237"/>
      <c r="EE51" s="237"/>
      <c r="EF51" s="237"/>
      <c r="EG51" s="237"/>
      <c r="EH51" s="237"/>
      <c r="EI51" s="237"/>
      <c r="EJ51" s="237"/>
      <c r="EK51" s="237"/>
      <c r="EL51" s="237"/>
      <c r="EM51" s="237"/>
      <c r="EN51" s="237"/>
      <c r="EO51" s="237"/>
      <c r="EP51" s="237"/>
      <c r="EQ51" s="237"/>
      <c r="ER51" s="237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</row>
    <row r="52" customFormat="false" ht="15" hidden="false" customHeight="false" outlineLevel="2" collapsed="false">
      <c r="B52" s="240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237"/>
      <c r="AD52" s="237"/>
      <c r="AE52" s="237"/>
      <c r="AF52" s="237"/>
      <c r="AG52" s="237"/>
      <c r="AH52" s="237"/>
      <c r="AI52" s="237"/>
      <c r="AJ52" s="237"/>
      <c r="AK52" s="237"/>
      <c r="AL52" s="237"/>
      <c r="AM52" s="237"/>
      <c r="AN52" s="237"/>
      <c r="AO52" s="237"/>
      <c r="AP52" s="237"/>
      <c r="AQ52" s="237"/>
      <c r="AR52" s="237"/>
      <c r="AS52" s="237"/>
      <c r="AT52" s="237"/>
      <c r="AU52" s="237"/>
      <c r="AV52" s="237"/>
      <c r="AW52" s="237"/>
      <c r="AX52" s="237"/>
      <c r="AY52" s="237"/>
      <c r="AZ52" s="237"/>
      <c r="BA52" s="237"/>
      <c r="BB52" s="237"/>
      <c r="BC52" s="237"/>
      <c r="BD52" s="237"/>
      <c r="BE52" s="237"/>
      <c r="BF52" s="237"/>
      <c r="BG52" s="237"/>
      <c r="BH52" s="237"/>
      <c r="BI52" s="237"/>
      <c r="BJ52" s="237"/>
      <c r="BK52" s="237"/>
      <c r="BL52" s="237"/>
      <c r="BM52" s="237"/>
      <c r="BN52" s="237"/>
      <c r="BO52" s="237"/>
      <c r="BP52" s="237"/>
      <c r="BQ52" s="237"/>
      <c r="BR52" s="237"/>
      <c r="BS52" s="237"/>
      <c r="BT52" s="237"/>
      <c r="BU52" s="237"/>
      <c r="BV52" s="237"/>
      <c r="BW52" s="237"/>
      <c r="BX52" s="237"/>
      <c r="BY52" s="237"/>
      <c r="BZ52" s="237"/>
      <c r="CA52" s="237"/>
      <c r="CB52" s="237"/>
      <c r="CC52" s="237"/>
      <c r="CD52" s="237"/>
      <c r="CE52" s="237"/>
      <c r="CF52" s="237"/>
      <c r="CG52" s="237"/>
      <c r="CH52" s="237"/>
      <c r="CI52" s="237"/>
      <c r="CJ52" s="237"/>
      <c r="CK52" s="237"/>
      <c r="CL52" s="237"/>
      <c r="CM52" s="237"/>
      <c r="CN52" s="237"/>
      <c r="CO52" s="237"/>
      <c r="CP52" s="237"/>
      <c r="CQ52" s="237"/>
      <c r="CR52" s="237"/>
      <c r="CS52" s="237"/>
      <c r="CT52" s="237"/>
      <c r="CU52" s="237"/>
      <c r="CV52" s="237"/>
      <c r="CW52" s="237"/>
      <c r="CX52" s="237"/>
      <c r="CY52" s="237"/>
      <c r="CZ52" s="237"/>
      <c r="DA52" s="237"/>
      <c r="DB52" s="237"/>
      <c r="DC52" s="237"/>
      <c r="DD52" s="237"/>
      <c r="DE52" s="237"/>
      <c r="DF52" s="237"/>
      <c r="DG52" s="237"/>
      <c r="DH52" s="237"/>
      <c r="DI52" s="237"/>
      <c r="DJ52" s="237"/>
      <c r="DK52" s="237"/>
      <c r="DL52" s="237"/>
      <c r="DM52" s="237"/>
      <c r="DN52" s="237"/>
      <c r="DO52" s="237"/>
      <c r="DP52" s="237"/>
      <c r="DQ52" s="237"/>
      <c r="DR52" s="237"/>
      <c r="DS52" s="237"/>
      <c r="DT52" s="237"/>
      <c r="DU52" s="237"/>
      <c r="DV52" s="237"/>
      <c r="DW52" s="237"/>
      <c r="DX52" s="237"/>
      <c r="DY52" s="237"/>
      <c r="DZ52" s="237"/>
      <c r="EA52" s="237"/>
      <c r="EB52" s="237"/>
      <c r="EC52" s="237"/>
      <c r="ED52" s="237"/>
      <c r="EE52" s="237"/>
      <c r="EF52" s="237"/>
      <c r="EG52" s="237"/>
      <c r="EH52" s="237"/>
      <c r="EI52" s="237"/>
      <c r="EJ52" s="237"/>
      <c r="EK52" s="237"/>
      <c r="EL52" s="237"/>
      <c r="EM52" s="237"/>
      <c r="EN52" s="237"/>
      <c r="EO52" s="237"/>
      <c r="EP52" s="237"/>
      <c r="EQ52" s="237"/>
      <c r="ER52" s="237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</row>
    <row r="53" customFormat="false" ht="15" hidden="false" customHeight="false" outlineLevel="2" collapsed="false">
      <c r="B53" s="21" t="s">
        <v>878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</row>
    <row r="54" customFormat="false" ht="15" hidden="false" customHeight="false" outlineLevel="2" collapsed="false">
      <c r="B54" s="9" t="s">
        <v>872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234" t="n">
        <f aca="false">('⑫ Roll-out Plan'!G11-2025)*12+'⑫ Roll-out Plan'!F11</f>
        <v>2</v>
      </c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</row>
    <row r="55" customFormat="false" ht="15" hidden="false" customHeight="false" outlineLevel="2" collapsed="false">
      <c r="B55" s="9" t="s">
        <v>873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235" t="n">
        <f aca="false">VLOOKUP("D",$B$14:$C$18,2,FALSE())</f>
        <v>75</v>
      </c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</row>
    <row r="56" customFormat="false" ht="15" hidden="false" customHeight="false" outlineLevel="2" collapsed="false">
      <c r="B56" s="9" t="s">
        <v>799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63" t="n">
        <f aca="false">IF(AC$35&gt;=$AC$54,AC$35-$AC$54+1,0)</f>
        <v>0</v>
      </c>
      <c r="AD56" s="63" t="n">
        <f aca="false">IF(AD$35&gt;=$AC$54,AD$35-$AC$54+1,0)</f>
        <v>1</v>
      </c>
      <c r="AE56" s="63" t="n">
        <f aca="false">IF(AE$35&gt;=$AC$54,AE$35-$AC$54+1,0)</f>
        <v>2</v>
      </c>
      <c r="AF56" s="63" t="n">
        <f aca="false">IF(AF$35&gt;=$AC$54,AF$35-$AC$54+1,0)</f>
        <v>3</v>
      </c>
      <c r="AG56" s="63" t="n">
        <f aca="false">IF(AG$35&gt;=$AC$54,AG$35-$AC$54+1,0)</f>
        <v>4</v>
      </c>
      <c r="AH56" s="63" t="n">
        <f aca="false">IF(AH$35&gt;=$AC$54,AH$35-$AC$54+1,0)</f>
        <v>5</v>
      </c>
      <c r="AI56" s="63" t="n">
        <f aca="false">IF(AI$35&gt;=$AC$54,AI$35-$AC$54+1,0)</f>
        <v>6</v>
      </c>
      <c r="AJ56" s="63" t="n">
        <f aca="false">IF(AJ$35&gt;=$AC$54,AJ$35-$AC$54+1,0)</f>
        <v>7</v>
      </c>
      <c r="AK56" s="63" t="n">
        <f aca="false">IF(AK$35&gt;=$AC$54,AK$35-$AC$54+1,0)</f>
        <v>8</v>
      </c>
      <c r="AL56" s="63" t="n">
        <f aca="false">IF(AL$35&gt;=$AC$54,AL$35-$AC$54+1,0)</f>
        <v>9</v>
      </c>
      <c r="AM56" s="63" t="n">
        <f aca="false">IF(AM$35&gt;=$AC$54,AM$35-$AC$54+1,0)</f>
        <v>10</v>
      </c>
      <c r="AN56" s="63" t="n">
        <f aca="false">IF(AN$35&gt;=$AC$54,AN$35-$AC$54+1,0)</f>
        <v>11</v>
      </c>
      <c r="AO56" s="63" t="n">
        <f aca="false">IF(AO$35&gt;=$AC$54,AO$35-$AC$54+1,0)</f>
        <v>12</v>
      </c>
      <c r="AP56" s="63" t="n">
        <f aca="false">IF(AP$35&gt;=$AC$54,AP$35-$AC$54+1,0)</f>
        <v>13</v>
      </c>
      <c r="AQ56" s="63" t="n">
        <f aca="false">IF(AQ$35&gt;=$AC$54,AQ$35-$AC$54+1,0)</f>
        <v>14</v>
      </c>
      <c r="AR56" s="63" t="n">
        <f aca="false">IF(AR$35&gt;=$AC$54,AR$35-$AC$54+1,0)</f>
        <v>15</v>
      </c>
      <c r="AS56" s="63" t="n">
        <f aca="false">IF(AS$35&gt;=$AC$54,AS$35-$AC$54+1,0)</f>
        <v>16</v>
      </c>
      <c r="AT56" s="63" t="n">
        <f aca="false">IF(AT$35&gt;=$AC$54,AT$35-$AC$54+1,0)</f>
        <v>17</v>
      </c>
      <c r="AU56" s="63" t="n">
        <f aca="false">IF(AU$35&gt;=$AC$54,AU$35-$AC$54+1,0)</f>
        <v>18</v>
      </c>
      <c r="AV56" s="63" t="n">
        <f aca="false">IF(AV$35&gt;=$AC$54,AV$35-$AC$54+1,0)</f>
        <v>19</v>
      </c>
      <c r="AW56" s="63" t="n">
        <f aca="false">IF(AW$35&gt;=$AC$54,AW$35-$AC$54+1,0)</f>
        <v>20</v>
      </c>
      <c r="AX56" s="63" t="n">
        <f aca="false">IF(AX$35&gt;=$AC$54,AX$35-$AC$54+1,0)</f>
        <v>21</v>
      </c>
      <c r="AY56" s="63" t="n">
        <f aca="false">IF(AY$35&gt;=$AC$54,AY$35-$AC$54+1,0)</f>
        <v>22</v>
      </c>
      <c r="AZ56" s="63" t="n">
        <f aca="false">IF(AZ$35&gt;=$AC$54,AZ$35-$AC$54+1,0)</f>
        <v>23</v>
      </c>
      <c r="BA56" s="63" t="n">
        <f aca="false">IF(BA$35&gt;=$AC$54,BA$35-$AC$54+1,0)</f>
        <v>24</v>
      </c>
      <c r="BB56" s="63" t="n">
        <f aca="false">IF(BB$35&gt;=$AC$54,BB$35-$AC$54+1,0)</f>
        <v>25</v>
      </c>
      <c r="BC56" s="63" t="n">
        <f aca="false">IF(BC$35&gt;=$AC$54,BC$35-$AC$54+1,0)</f>
        <v>26</v>
      </c>
      <c r="BD56" s="63" t="n">
        <f aca="false">IF(BD$35&gt;=$AC$54,BD$35-$AC$54+1,0)</f>
        <v>27</v>
      </c>
      <c r="BE56" s="63" t="n">
        <f aca="false">IF(BE$35&gt;=$AC$54,BE$35-$AC$54+1,0)</f>
        <v>28</v>
      </c>
      <c r="BF56" s="63" t="n">
        <f aca="false">IF(BF$35&gt;=$AC$54,BF$35-$AC$54+1,0)</f>
        <v>29</v>
      </c>
      <c r="BG56" s="63" t="n">
        <f aca="false">IF(BG$35&gt;=$AC$54,BG$35-$AC$54+1,0)</f>
        <v>30</v>
      </c>
      <c r="BH56" s="63" t="n">
        <f aca="false">IF(BH$35&gt;=$AC$54,BH$35-$AC$54+1,0)</f>
        <v>31</v>
      </c>
      <c r="BI56" s="63" t="n">
        <f aca="false">IF(BI$35&gt;=$AC$54,BI$35-$AC$54+1,0)</f>
        <v>32</v>
      </c>
      <c r="BJ56" s="63" t="n">
        <f aca="false">IF(BJ$35&gt;=$AC$54,BJ$35-$AC$54+1,0)</f>
        <v>33</v>
      </c>
      <c r="BK56" s="63" t="n">
        <f aca="false">IF(BK$35&gt;=$AC$54,BK$35-$AC$54+1,0)</f>
        <v>34</v>
      </c>
      <c r="BL56" s="63" t="n">
        <f aca="false">IF(BL$35&gt;=$AC$54,BL$35-$AC$54+1,0)</f>
        <v>35</v>
      </c>
      <c r="BM56" s="63" t="n">
        <f aca="false">IF(BM$35&gt;=$AC$54,BM$35-$AC$54+1,0)</f>
        <v>36</v>
      </c>
      <c r="BN56" s="63" t="n">
        <f aca="false">IF(BN$35&gt;=$AC$54,BN$35-$AC$54+1,0)</f>
        <v>37</v>
      </c>
      <c r="BO56" s="63" t="n">
        <f aca="false">IF(BO$35&gt;=$AC$54,BO$35-$AC$54+1,0)</f>
        <v>38</v>
      </c>
      <c r="BP56" s="63" t="n">
        <f aca="false">IF(BP$35&gt;=$AC$54,BP$35-$AC$54+1,0)</f>
        <v>39</v>
      </c>
      <c r="BQ56" s="63" t="n">
        <f aca="false">IF(BQ$35&gt;=$AC$54,BQ$35-$AC$54+1,0)</f>
        <v>40</v>
      </c>
      <c r="BR56" s="63" t="n">
        <f aca="false">IF(BR$35&gt;=$AC$54,BR$35-$AC$54+1,0)</f>
        <v>41</v>
      </c>
      <c r="BS56" s="63" t="n">
        <f aca="false">IF(BS$35&gt;=$AC$54,BS$35-$AC$54+1,0)</f>
        <v>42</v>
      </c>
      <c r="BT56" s="63" t="n">
        <f aca="false">IF(BT$35&gt;=$AC$54,BT$35-$AC$54+1,0)</f>
        <v>43</v>
      </c>
      <c r="BU56" s="63" t="n">
        <f aca="false">IF(BU$35&gt;=$AC$54,BU$35-$AC$54+1,0)</f>
        <v>44</v>
      </c>
      <c r="BV56" s="63" t="n">
        <f aca="false">IF(BV$35&gt;=$AC$54,BV$35-$AC$54+1,0)</f>
        <v>45</v>
      </c>
      <c r="BW56" s="63" t="n">
        <f aca="false">IF(BW$35&gt;=$AC$54,BW$35-$AC$54+1,0)</f>
        <v>46</v>
      </c>
      <c r="BX56" s="63" t="n">
        <f aca="false">IF(BX$35&gt;=$AC$54,BX$35-$AC$54+1,0)</f>
        <v>47</v>
      </c>
      <c r="BY56" s="63" t="n">
        <f aca="false">IF(BY$35&gt;=$AC$54,BY$35-$AC$54+1,0)</f>
        <v>48</v>
      </c>
      <c r="BZ56" s="63" t="n">
        <f aca="false">IF(BZ$35&gt;=$AC$54,BZ$35-$AC$54+1,0)</f>
        <v>49</v>
      </c>
      <c r="CA56" s="63" t="n">
        <f aca="false">IF(CA$35&gt;=$AC$54,CA$35-$AC$54+1,0)</f>
        <v>50</v>
      </c>
      <c r="CB56" s="63" t="n">
        <f aca="false">IF(CB$35&gt;=$AC$54,CB$35-$AC$54+1,0)</f>
        <v>51</v>
      </c>
      <c r="CC56" s="63" t="n">
        <f aca="false">IF(CC$35&gt;=$AC$54,CC$35-$AC$54+1,0)</f>
        <v>52</v>
      </c>
      <c r="CD56" s="63" t="n">
        <f aca="false">IF(CD$35&gt;=$AC$54,CD$35-$AC$54+1,0)</f>
        <v>53</v>
      </c>
      <c r="CE56" s="63" t="n">
        <f aca="false">IF(CE$35&gt;=$AC$54,CE$35-$AC$54+1,0)</f>
        <v>54</v>
      </c>
      <c r="CF56" s="63" t="n">
        <f aca="false">IF(CF$35&gt;=$AC$54,CF$35-$AC$54+1,0)</f>
        <v>55</v>
      </c>
      <c r="CG56" s="63" t="n">
        <f aca="false">IF(CG$35&gt;=$AC$54,CG$35-$AC$54+1,0)</f>
        <v>56</v>
      </c>
      <c r="CH56" s="63" t="n">
        <f aca="false">IF(CH$35&gt;=$AC$54,CH$35-$AC$54+1,0)</f>
        <v>57</v>
      </c>
      <c r="CI56" s="63" t="n">
        <f aca="false">IF(CI$35&gt;=$AC$54,CI$35-$AC$54+1,0)</f>
        <v>58</v>
      </c>
      <c r="CJ56" s="63" t="n">
        <f aca="false">IF(CJ$35&gt;=$AC$54,CJ$35-$AC$54+1,0)</f>
        <v>59</v>
      </c>
      <c r="CK56" s="63" t="n">
        <f aca="false">IF(CK$35&gt;=$AC$54,CK$35-$AC$54+1,0)</f>
        <v>60</v>
      </c>
      <c r="CL56" s="63" t="n">
        <f aca="false">IF(CL$35&gt;=$AC$54,CL$35-$AC$54+1,0)</f>
        <v>61</v>
      </c>
      <c r="CM56" s="63" t="n">
        <f aca="false">IF(CM$35&gt;=$AC$54,CM$35-$AC$54+1,0)</f>
        <v>62</v>
      </c>
      <c r="CN56" s="63" t="n">
        <f aca="false">IF(CN$35&gt;=$AC$54,CN$35-$AC$54+1,0)</f>
        <v>63</v>
      </c>
      <c r="CO56" s="63" t="n">
        <f aca="false">IF(CO$35&gt;=$AC$54,CO$35-$AC$54+1,0)</f>
        <v>64</v>
      </c>
      <c r="CP56" s="63" t="n">
        <f aca="false">IF(CP$35&gt;=$AC$54,CP$35-$AC$54+1,0)</f>
        <v>65</v>
      </c>
      <c r="CQ56" s="63" t="n">
        <f aca="false">IF(CQ$35&gt;=$AC$54,CQ$35-$AC$54+1,0)</f>
        <v>66</v>
      </c>
      <c r="CR56" s="63" t="n">
        <f aca="false">IF(CR$35&gt;=$AC$54,CR$35-$AC$54+1,0)</f>
        <v>67</v>
      </c>
      <c r="CS56" s="63" t="n">
        <f aca="false">IF(CS$35&gt;=$AC$54,CS$35-$AC$54+1,0)</f>
        <v>68</v>
      </c>
      <c r="CT56" s="63" t="n">
        <f aca="false">IF(CT$35&gt;=$AC$54,CT$35-$AC$54+1,0)</f>
        <v>69</v>
      </c>
      <c r="CU56" s="63" t="n">
        <f aca="false">IF(CU$35&gt;=$AC$54,CU$35-$AC$54+1,0)</f>
        <v>70</v>
      </c>
      <c r="CV56" s="63" t="n">
        <f aca="false">IF(CV$35&gt;=$AC$54,CV$35-$AC$54+1,0)</f>
        <v>71</v>
      </c>
      <c r="CW56" s="63" t="n">
        <f aca="false">IF(CW$35&gt;=$AC$54,CW$35-$AC$54+1,0)</f>
        <v>72</v>
      </c>
      <c r="CX56" s="63" t="n">
        <f aca="false">IF(CX$35&gt;=$AC$54,CX$35-$AC$54+1,0)</f>
        <v>73</v>
      </c>
      <c r="CY56" s="63" t="n">
        <f aca="false">IF(CY$35&gt;=$AC$54,CY$35-$AC$54+1,0)</f>
        <v>74</v>
      </c>
      <c r="CZ56" s="63" t="n">
        <f aca="false">IF(CZ$35&gt;=$AC$54,CZ$35-$AC$54+1,0)</f>
        <v>75</v>
      </c>
      <c r="DA56" s="63" t="n">
        <f aca="false">IF(DA$35&gt;=$AC$54,DA$35-$AC$54+1,0)</f>
        <v>76</v>
      </c>
      <c r="DB56" s="63" t="n">
        <f aca="false">IF(DB$35&gt;=$AC$54,DB$35-$AC$54+1,0)</f>
        <v>77</v>
      </c>
      <c r="DC56" s="63" t="n">
        <f aca="false">IF(DC$35&gt;=$AC$54,DC$35-$AC$54+1,0)</f>
        <v>78</v>
      </c>
      <c r="DD56" s="63" t="n">
        <f aca="false">IF(DD$35&gt;=$AC$54,DD$35-$AC$54+1,0)</f>
        <v>79</v>
      </c>
      <c r="DE56" s="63" t="n">
        <f aca="false">IF(DE$35&gt;=$AC$54,DE$35-$AC$54+1,0)</f>
        <v>80</v>
      </c>
      <c r="DF56" s="63" t="n">
        <f aca="false">IF(DF$35&gt;=$AC$54,DF$35-$AC$54+1,0)</f>
        <v>81</v>
      </c>
      <c r="DG56" s="63" t="n">
        <f aca="false">IF(DG$35&gt;=$AC$54,DG$35-$AC$54+1,0)</f>
        <v>82</v>
      </c>
      <c r="DH56" s="63" t="n">
        <f aca="false">IF(DH$35&gt;=$AC$54,DH$35-$AC$54+1,0)</f>
        <v>83</v>
      </c>
      <c r="DI56" s="63" t="n">
        <f aca="false">IF(DI$35&gt;=$AC$54,DI$35-$AC$54+1,0)</f>
        <v>84</v>
      </c>
      <c r="DJ56" s="63" t="n">
        <f aca="false">IF(DJ$35&gt;=$AC$54,DJ$35-$AC$54+1,0)</f>
        <v>85</v>
      </c>
      <c r="DK56" s="63" t="n">
        <f aca="false">IF(DK$35&gt;=$AC$54,DK$35-$AC$54+1,0)</f>
        <v>86</v>
      </c>
      <c r="DL56" s="63" t="n">
        <f aca="false">IF(DL$35&gt;=$AC$54,DL$35-$AC$54+1,0)</f>
        <v>87</v>
      </c>
      <c r="DM56" s="63" t="n">
        <f aca="false">IF(DM$35&gt;=$AC$54,DM$35-$AC$54+1,0)</f>
        <v>88</v>
      </c>
      <c r="DN56" s="63" t="n">
        <f aca="false">IF(DN$35&gt;=$AC$54,DN$35-$AC$54+1,0)</f>
        <v>89</v>
      </c>
      <c r="DO56" s="63" t="n">
        <f aca="false">IF(DO$35&gt;=$AC$54,DO$35-$AC$54+1,0)</f>
        <v>90</v>
      </c>
      <c r="DP56" s="63" t="n">
        <f aca="false">IF(DP$35&gt;=$AC$54,DP$35-$AC$54+1,0)</f>
        <v>91</v>
      </c>
      <c r="DQ56" s="63" t="n">
        <f aca="false">IF(DQ$35&gt;=$AC$54,DQ$35-$AC$54+1,0)</f>
        <v>92</v>
      </c>
      <c r="DR56" s="63" t="n">
        <f aca="false">IF(DR$35&gt;=$AC$54,DR$35-$AC$54+1,0)</f>
        <v>93</v>
      </c>
      <c r="DS56" s="63" t="n">
        <f aca="false">IF(DS$35&gt;=$AC$54,DS$35-$AC$54+1,0)</f>
        <v>94</v>
      </c>
      <c r="DT56" s="63" t="n">
        <f aca="false">IF(DT$35&gt;=$AC$54,DT$35-$AC$54+1,0)</f>
        <v>95</v>
      </c>
      <c r="DU56" s="63" t="n">
        <f aca="false">IF(DU$35&gt;=$AC$54,DU$35-$AC$54+1,0)</f>
        <v>96</v>
      </c>
      <c r="DV56" s="63" t="n">
        <f aca="false">IF(DV$35&gt;=$AC$54,DV$35-$AC$54+1,0)</f>
        <v>97</v>
      </c>
      <c r="DW56" s="63" t="n">
        <f aca="false">IF(DW$35&gt;=$AC$54,DW$35-$AC$54+1,0)</f>
        <v>98</v>
      </c>
      <c r="DX56" s="63" t="n">
        <f aca="false">IF(DX$35&gt;=$AC$54,DX$35-$AC$54+1,0)</f>
        <v>99</v>
      </c>
      <c r="DY56" s="63" t="n">
        <f aca="false">IF(DY$35&gt;=$AC$54,DY$35-$AC$54+1,0)</f>
        <v>100</v>
      </c>
      <c r="DZ56" s="63" t="n">
        <f aca="false">IF(DZ$35&gt;=$AC$54,DZ$35-$AC$54+1,0)</f>
        <v>101</v>
      </c>
      <c r="EA56" s="63" t="n">
        <f aca="false">IF(EA$35&gt;=$AC$54,EA$35-$AC$54+1,0)</f>
        <v>102</v>
      </c>
      <c r="EB56" s="63" t="n">
        <f aca="false">IF(EB$35&gt;=$AC$54,EB$35-$AC$54+1,0)</f>
        <v>103</v>
      </c>
      <c r="EC56" s="63" t="n">
        <f aca="false">IF(EC$35&gt;=$AC$54,EC$35-$AC$54+1,0)</f>
        <v>104</v>
      </c>
      <c r="ED56" s="63" t="n">
        <f aca="false">IF(ED$35&gt;=$AC$54,ED$35-$AC$54+1,0)</f>
        <v>105</v>
      </c>
      <c r="EE56" s="63" t="n">
        <f aca="false">IF(EE$35&gt;=$AC$54,EE$35-$AC$54+1,0)</f>
        <v>106</v>
      </c>
      <c r="EF56" s="63" t="n">
        <f aca="false">IF(EF$35&gt;=$AC$54,EF$35-$AC$54+1,0)</f>
        <v>107</v>
      </c>
      <c r="EG56" s="63" t="n">
        <f aca="false">IF(EG$35&gt;=$AC$54,EG$35-$AC$54+1,0)</f>
        <v>108</v>
      </c>
      <c r="EH56" s="63" t="n">
        <f aca="false">IF(EH$35&gt;=$AC$54,EH$35-$AC$54+1,0)</f>
        <v>109</v>
      </c>
      <c r="EI56" s="63" t="n">
        <f aca="false">IF(EI$35&gt;=$AC$54,EI$35-$AC$54+1,0)</f>
        <v>110</v>
      </c>
      <c r="EJ56" s="63" t="n">
        <f aca="false">IF(EJ$35&gt;=$AC$54,EJ$35-$AC$54+1,0)</f>
        <v>111</v>
      </c>
      <c r="EK56" s="63" t="n">
        <f aca="false">IF(EK$35&gt;=$AC$54,EK$35-$AC$54+1,0)</f>
        <v>112</v>
      </c>
      <c r="EL56" s="63" t="n">
        <f aca="false">IF(EL$35&gt;=$AC$54,EL$35-$AC$54+1,0)</f>
        <v>113</v>
      </c>
      <c r="EM56" s="63" t="n">
        <f aca="false">IF(EM$35&gt;=$AC$54,EM$35-$AC$54+1,0)</f>
        <v>114</v>
      </c>
      <c r="EN56" s="63" t="n">
        <f aca="false">IF(EN$35&gt;=$AC$54,EN$35-$AC$54+1,0)</f>
        <v>115</v>
      </c>
      <c r="EO56" s="63" t="n">
        <f aca="false">IF(EO$35&gt;=$AC$54,EO$35-$AC$54+1,0)</f>
        <v>116</v>
      </c>
      <c r="EP56" s="63" t="n">
        <f aca="false">IF(EP$35&gt;=$AC$54,EP$35-$AC$54+1,0)</f>
        <v>117</v>
      </c>
      <c r="EQ56" s="63" t="n">
        <f aca="false">IF(EQ$35&gt;=$AC$54,EQ$35-$AC$54+1,0)</f>
        <v>118</v>
      </c>
      <c r="ER56" s="63" t="n">
        <f aca="false">IF(ER$35&gt;=$AC$54,ER$35-$AC$54+1,0)</f>
        <v>119</v>
      </c>
      <c r="ES56" s="9" t="n">
        <f aca="false">IF(ES$35&gt;=$AC$54,ES$35-$AC$54+1,0)</f>
        <v>120</v>
      </c>
      <c r="ET56" s="9" t="n">
        <f aca="false">IF(ET$35&gt;=$AC$54,ET$35-$AC$54+1,0)</f>
        <v>121</v>
      </c>
      <c r="EU56" s="9" t="n">
        <f aca="false">IF(EU$35&gt;=$AC$54,EU$35-$AC$54+1,0)</f>
        <v>122</v>
      </c>
      <c r="EV56" s="9" t="n">
        <f aca="false">IF(EV$35&gt;=$AC$54,EV$35-$AC$54+1,0)</f>
        <v>123</v>
      </c>
      <c r="EW56" s="9" t="n">
        <f aca="false">IF(EW$35&gt;=$AC$54,EW$35-$AC$54+1,0)</f>
        <v>124</v>
      </c>
      <c r="EX56" s="9" t="n">
        <f aca="false">IF(EX$35&gt;=$AC$54,EX$35-$AC$54+1,0)</f>
        <v>125</v>
      </c>
      <c r="EY56" s="9" t="n">
        <f aca="false">IF(EY$35&gt;=$AC$54,EY$35-$AC$54+1,0)</f>
        <v>126</v>
      </c>
      <c r="EZ56" s="9" t="n">
        <f aca="false">IF(EZ$35&gt;=$AC$54,EZ$35-$AC$54+1,0)</f>
        <v>127</v>
      </c>
      <c r="FA56" s="9" t="n">
        <f aca="false">IF(FA$35&gt;=$AC$54,FA$35-$AC$54+1,0)</f>
        <v>128</v>
      </c>
      <c r="FB56" s="9" t="n">
        <f aca="false">IF(FB$35&gt;=$AC$54,FB$35-$AC$54+1,0)</f>
        <v>129</v>
      </c>
      <c r="FC56" s="9" t="n">
        <f aca="false">IF(FC$35&gt;=$AC$54,FC$35-$AC$54+1,0)</f>
        <v>130</v>
      </c>
      <c r="FD56" s="9" t="n">
        <f aca="false">IF(FD$35&gt;=$AC$54,FD$35-$AC$54+1,0)</f>
        <v>131</v>
      </c>
      <c r="FE56" s="9" t="n">
        <f aca="false">IF(FE$35&gt;=$AC$54,FE$35-$AC$54+1,0)</f>
        <v>132</v>
      </c>
      <c r="FF56" s="9" t="n">
        <f aca="false">IF(FF$35&gt;=$AC$54,FF$35-$AC$54+1,0)</f>
        <v>133</v>
      </c>
      <c r="FG56" s="9" t="n">
        <f aca="false">IF(FG$35&gt;=$AC$54,FG$35-$AC$54+1,0)</f>
        <v>134</v>
      </c>
      <c r="FH56" s="9" t="n">
        <f aca="false">IF(FH$35&gt;=$AC$54,FH$35-$AC$54+1,0)</f>
        <v>135</v>
      </c>
      <c r="FI56" s="9" t="n">
        <f aca="false">IF(FI$35&gt;=$AC$54,FI$35-$AC$54+1,0)</f>
        <v>136</v>
      </c>
      <c r="FJ56" s="9" t="n">
        <f aca="false">IF(FJ$35&gt;=$AC$54,FJ$35-$AC$54+1,0)</f>
        <v>137</v>
      </c>
      <c r="FK56" s="9" t="n">
        <f aca="false">IF(FK$35&gt;=$AC$54,FK$35-$AC$54+1,0)</f>
        <v>138</v>
      </c>
      <c r="FL56" s="9" t="n">
        <f aca="false">IF(FL$35&gt;=$AC$54,FL$35-$AC$54+1,0)</f>
        <v>139</v>
      </c>
      <c r="FM56" s="9" t="n">
        <f aca="false">IF(FM$35&gt;=$AC$54,FM$35-$AC$54+1,0)</f>
        <v>140</v>
      </c>
      <c r="FN56" s="9" t="n">
        <f aca="false">IF(FN$35&gt;=$AC$54,FN$35-$AC$54+1,0)</f>
        <v>141</v>
      </c>
      <c r="FO56" s="9" t="n">
        <f aca="false">IF(FO$35&gt;=$AC$54,FO$35-$AC$54+1,0)</f>
        <v>142</v>
      </c>
      <c r="FP56" s="9" t="n">
        <f aca="false">IF(FP$35&gt;=$AC$54,FP$35-$AC$54+1,0)</f>
        <v>143</v>
      </c>
    </row>
    <row r="57" customFormat="false" ht="15" hidden="false" customHeight="false" outlineLevel="2" collapsed="false">
      <c r="B57" s="9" t="s">
        <v>874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236" t="n">
        <f aca="false" t="array" ref="AC57:AC57">IF(AC56=0,0,IF(AC56/'🎚️ Escenario'!$C$11&gt;=36,$AL$23,INDEX($C$23:$AL$23,MAX(1,ROUNDUP(AC56/'🎚️ Escenario'!$C$11,0)))))</f>
        <v>0</v>
      </c>
      <c r="AD57" s="236" t="n">
        <f aca="false" t="array" ref="AD57:AD57">IF(AD56=0,0,IF(AD56/'🎚️ Escenario'!$C$11&gt;=36,$AL$23,INDEX($C$23:$AL$23,MAX(1,ROUNDUP(AD56/'🎚️ Escenario'!$C$11,0)))))</f>
        <v>0.2</v>
      </c>
      <c r="AE57" s="236" t="n">
        <f aca="false" t="array" ref="AE57:AE57">IF(AE56=0,0,IF(AE56/'🎚️ Escenario'!$C$11&gt;=36,$AL$23,INDEX($C$23:$AL$23,MAX(1,ROUNDUP(AE56/'🎚️ Escenario'!$C$11,0)))))</f>
        <v>0.22</v>
      </c>
      <c r="AF57" s="236" t="n">
        <f aca="false" t="array" ref="AF57:AF57">IF(AF56=0,0,IF(AF56/'🎚️ Escenario'!$C$11&gt;=36,$AL$23,INDEX($C$23:$AL$23,MAX(1,ROUNDUP(AF56/'🎚️ Escenario'!$C$11,0)))))</f>
        <v>0.24</v>
      </c>
      <c r="AG57" s="236" t="n">
        <f aca="false" t="array" ref="AG57:AG57">IF(AG56=0,0,IF(AG56/'🎚️ Escenario'!$C$11&gt;=36,$AL$23,INDEX($C$23:$AL$23,MAX(1,ROUNDUP(AG56/'🎚️ Escenario'!$C$11,0)))))</f>
        <v>0.27</v>
      </c>
      <c r="AH57" s="236" t="n">
        <f aca="false" t="array" ref="AH57:AH57">IF(AH56=0,0,IF(AH56/'🎚️ Escenario'!$C$11&gt;=36,$AL$23,INDEX($C$23:$AL$23,MAX(1,ROUNDUP(AH56/'🎚️ Escenario'!$C$11,0)))))</f>
        <v>0.27</v>
      </c>
      <c r="AI57" s="236" t="n">
        <f aca="false" t="array" ref="AI57:AI57">IF(AI56=0,0,IF(AI56/'🎚️ Escenario'!$C$11&gt;=36,$AL$23,INDEX($C$23:$AL$23,MAX(1,ROUNDUP(AI56/'🎚️ Escenario'!$C$11,0)))))</f>
        <v>0.31</v>
      </c>
      <c r="AJ57" s="236" t="n">
        <f aca="false" t="array" ref="AJ57:AJ57">IF(AJ56=0,0,IF(AJ56/'🎚️ Escenario'!$C$11&gt;=36,$AL$23,INDEX($C$23:$AL$23,MAX(1,ROUNDUP(AJ56/'🎚️ Escenario'!$C$11,0)))))</f>
        <v>0.35</v>
      </c>
      <c r="AK57" s="236" t="n">
        <f aca="false" t="array" ref="AK57:AK57">IF(AK56=0,0,IF(AK56/'🎚️ Escenario'!$C$11&gt;=36,$AL$23,INDEX($C$23:$AL$23,MAX(1,ROUNDUP(AK56/'🎚️ Escenario'!$C$11,0)))))</f>
        <v>0.39</v>
      </c>
      <c r="AL57" s="236" t="n">
        <f aca="false" t="array" ref="AL57:AL57">IF(AL56=0,0,IF(AL56/'🎚️ Escenario'!$C$11&gt;=36,$AL$23,INDEX($C$23:$AL$23,MAX(1,ROUNDUP(AL56/'🎚️ Escenario'!$C$11,0)))))</f>
        <v>0.44</v>
      </c>
      <c r="AM57" s="236" t="n">
        <f aca="false" t="array" ref="AM57:AM57">IF(AM56=0,0,IF(AM56/'🎚️ Escenario'!$C$11&gt;=36,$AL$23,INDEX($C$23:$AL$23,MAX(1,ROUNDUP(AM56/'🎚️ Escenario'!$C$11,0)))))</f>
        <v>0.44</v>
      </c>
      <c r="AN57" s="236" t="n">
        <f aca="false" t="array" ref="AN57:AN57">IF(AN56=0,0,IF(AN56/'🎚️ Escenario'!$C$11&gt;=36,$AL$23,INDEX($C$23:$AL$23,MAX(1,ROUNDUP(AN56/'🎚️ Escenario'!$C$11,0)))))</f>
        <v>0.48</v>
      </c>
      <c r="AO57" s="236" t="n">
        <f aca="false" t="array" ref="AO57:AO57">IF(AO56=0,0,IF(AO56/'🎚️ Escenario'!$C$11&gt;=36,$AL$23,INDEX($C$23:$AL$23,MAX(1,ROUNDUP(AO56/'🎚️ Escenario'!$C$11,0)))))</f>
        <v>0.52</v>
      </c>
      <c r="AP57" s="236" t="n">
        <f aca="false" t="array" ref="AP57:AP57">IF(AP56=0,0,IF(AP56/'🎚️ Escenario'!$C$11&gt;=36,$AL$23,INDEX($C$23:$AL$23,MAX(1,ROUNDUP(AP56/'🎚️ Escenario'!$C$11,0)))))</f>
        <v>0.56</v>
      </c>
      <c r="AQ57" s="236" t="n">
        <f aca="false" t="array" ref="AQ57:AQ57">IF(AQ56=0,0,IF(AQ56/'🎚️ Escenario'!$C$11&gt;=36,$AL$23,INDEX($C$23:$AL$23,MAX(1,ROUNDUP(AQ56/'🎚️ Escenario'!$C$11,0)))))</f>
        <v>0.6</v>
      </c>
      <c r="AR57" s="236" t="n">
        <f aca="false" t="array" ref="AR57:AR57">IF(AR56=0,0,IF(AR56/'🎚️ Escenario'!$C$11&gt;=36,$AL$23,INDEX($C$23:$AL$23,MAX(1,ROUNDUP(AR56/'🎚️ Escenario'!$C$11,0)))))</f>
        <v>0.6</v>
      </c>
      <c r="AS57" s="236" t="n">
        <f aca="false" t="array" ref="AS57:AS57">IF(AS56=0,0,IF(AS56/'🎚️ Escenario'!$C$11&gt;=36,$AL$23,INDEX($C$23:$AL$23,MAX(1,ROUNDUP(AS56/'🎚️ Escenario'!$C$11,0)))))</f>
        <v>0.63</v>
      </c>
      <c r="AT57" s="236" t="n">
        <f aca="false" t="array" ref="AT57:AT57">IF(AT56=0,0,IF(AT56/'🎚️ Escenario'!$C$11&gt;=36,$AL$23,INDEX($C$23:$AL$23,MAX(1,ROUNDUP(AT56/'🎚️ Escenario'!$C$11,0)))))</f>
        <v>0.66</v>
      </c>
      <c r="AU57" s="236" t="n">
        <f aca="false" t="array" ref="AU57:AU57">IF(AU56=0,0,IF(AU56/'🎚️ Escenario'!$C$11&gt;=36,$AL$23,INDEX($C$23:$AL$23,MAX(1,ROUNDUP(AU56/'🎚️ Escenario'!$C$11,0)))))</f>
        <v>0.69</v>
      </c>
      <c r="AV57" s="236" t="n">
        <f aca="false" t="array" ref="AV57:AV57">IF(AV56=0,0,IF(AV56/'🎚️ Escenario'!$C$11&gt;=36,$AL$23,INDEX($C$23:$AL$23,MAX(1,ROUNDUP(AV56/'🎚️ Escenario'!$C$11,0)))))</f>
        <v>0.71</v>
      </c>
      <c r="AW57" s="236" t="n">
        <f aca="false" t="array" ref="AW57:AW57">IF(AW56=0,0,IF(AW56/'🎚️ Escenario'!$C$11&gt;=36,$AL$23,INDEX($C$23:$AL$23,MAX(1,ROUNDUP(AW56/'🎚️ Escenario'!$C$11,0)))))</f>
        <v>0.71</v>
      </c>
      <c r="AX57" s="236" t="n">
        <f aca="false" t="array" ref="AX57:AX57">IF(AX56=0,0,IF(AX56/'🎚️ Escenario'!$C$11&gt;=36,$AL$23,INDEX($C$23:$AL$23,MAX(1,ROUNDUP(AX56/'🎚️ Escenario'!$C$11,0)))))</f>
        <v>0.73</v>
      </c>
      <c r="AY57" s="236" t="n">
        <f aca="false" t="array" ref="AY57:AY57">IF(AY56=0,0,IF(AY56/'🎚️ Escenario'!$C$11&gt;=36,$AL$23,INDEX($C$23:$AL$23,MAX(1,ROUNDUP(AY56/'🎚️ Escenario'!$C$11,0)))))</f>
        <v>0.75</v>
      </c>
      <c r="AZ57" s="236" t="n">
        <f aca="false" t="array" ref="AZ57:AZ57">IF(AZ56=0,0,IF(AZ56/'🎚️ Escenario'!$C$11&gt;=36,$AL$23,INDEX($C$23:$AL$23,MAX(1,ROUNDUP(AZ56/'🎚️ Escenario'!$C$11,0)))))</f>
        <v>0.77</v>
      </c>
      <c r="BA57" s="236" t="n">
        <f aca="false" t="array" ref="BA57:BA57">IF(BA56=0,0,IF(BA56/'🎚️ Escenario'!$C$11&gt;=36,$AL$23,INDEX($C$23:$AL$23,MAX(1,ROUNDUP(BA56/'🎚️ Escenario'!$C$11,0)))))</f>
        <v>0.79</v>
      </c>
      <c r="BB57" s="236" t="n">
        <f aca="false" t="array" ref="BB57:BB57">IF(BB56=0,0,IF(BB56/'🎚️ Escenario'!$C$11&gt;=36,$AL$23,INDEX($C$23:$AL$23,MAX(1,ROUNDUP(BB56/'🎚️ Escenario'!$C$11,0)))))</f>
        <v>0.79</v>
      </c>
      <c r="BC57" s="236" t="n">
        <f aca="false" t="array" ref="BC57:BC57">IF(BC56=0,0,IF(BC56/'🎚️ Escenario'!$C$11&gt;=36,$AL$23,INDEX($C$23:$AL$23,MAX(1,ROUNDUP(BC56/'🎚️ Escenario'!$C$11,0)))))</f>
        <v>0.8</v>
      </c>
      <c r="BD57" s="236" t="n">
        <f aca="false" t="array" ref="BD57:BD57">IF(BD56=0,0,IF(BD56/'🎚️ Escenario'!$C$11&gt;=36,$AL$23,INDEX($C$23:$AL$23,MAX(1,ROUNDUP(BD56/'🎚️ Escenario'!$C$11,0)))))</f>
        <v>0.82</v>
      </c>
      <c r="BE57" s="236" t="n">
        <f aca="false" t="array" ref="BE57:BE57">IF(BE56=0,0,IF(BE56/'🎚️ Escenario'!$C$11&gt;=36,$AL$23,INDEX($C$23:$AL$23,MAX(1,ROUNDUP(BE56/'🎚️ Escenario'!$C$11,0)))))</f>
        <v>0.84</v>
      </c>
      <c r="BF57" s="236" t="n">
        <f aca="false" t="array" ref="BF57:BF57">IF(BF56=0,0,IF(BF56/'🎚️ Escenario'!$C$11&gt;=36,$AL$23,INDEX($C$23:$AL$23,MAX(1,ROUNDUP(BF56/'🎚️ Escenario'!$C$11,0)))))</f>
        <v>0.85</v>
      </c>
      <c r="BG57" s="236" t="n">
        <f aca="false" t="array" ref="BG57:BG57">IF(BG56=0,0,IF(BG56/'🎚️ Escenario'!$C$11&gt;=36,$AL$23,INDEX($C$23:$AL$23,MAX(1,ROUNDUP(BG56/'🎚️ Escenario'!$C$11,0)))))</f>
        <v>0.85</v>
      </c>
      <c r="BH57" s="236" t="n">
        <f aca="false" t="array" ref="BH57:BH57">IF(BH56=0,0,IF(BH56/'🎚️ Escenario'!$C$11&gt;=36,$AL$23,INDEX($C$23:$AL$23,MAX(1,ROUNDUP(BH56/'🎚️ Escenario'!$C$11,0)))))</f>
        <v>0.86</v>
      </c>
      <c r="BI57" s="236" t="n">
        <f aca="false" t="array" ref="BI57:BI57">IF(BI56=0,0,IF(BI56/'🎚️ Escenario'!$C$11&gt;=36,$AL$23,INDEX($C$23:$AL$23,MAX(1,ROUNDUP(BI56/'🎚️ Escenario'!$C$11,0)))))</f>
        <v>0.88</v>
      </c>
      <c r="BJ57" s="236" t="n">
        <f aca="false" t="array" ref="BJ57:BJ57">IF(BJ56=0,0,IF(BJ56/'🎚️ Escenario'!$C$11&gt;=36,$AL$23,INDEX($C$23:$AL$23,MAX(1,ROUNDUP(BJ56/'🎚️ Escenario'!$C$11,0)))))</f>
        <v>0.89</v>
      </c>
      <c r="BK57" s="236" t="n">
        <f aca="false" t="array" ref="BK57:BK57">IF(BK56=0,0,IF(BK56/'🎚️ Escenario'!$C$11&gt;=36,$AL$23,INDEX($C$23:$AL$23,MAX(1,ROUNDUP(BK56/'🎚️ Escenario'!$C$11,0)))))</f>
        <v>0.9</v>
      </c>
      <c r="BL57" s="236" t="n">
        <f aca="false" t="array" ref="BL57:BL57">IF(BL56=0,0,IF(BL56/'🎚️ Escenario'!$C$11&gt;=36,$AL$23,INDEX($C$23:$AL$23,MAX(1,ROUNDUP(BL56/'🎚️ Escenario'!$C$11,0)))))</f>
        <v>0.9</v>
      </c>
      <c r="BM57" s="236" t="n">
        <f aca="false" t="array" ref="BM57:BM57">IF(BM56=0,0,IF(BM56/'🎚️ Escenario'!$C$11&gt;=36,$AL$23,INDEX($C$23:$AL$23,MAX(1,ROUNDUP(BM56/'🎚️ Escenario'!$C$11,0)))))</f>
        <v>0.92</v>
      </c>
      <c r="BN57" s="236" t="n">
        <f aca="false" t="array" ref="BN57:BN57">IF(BN56=0,0,IF(BN56/'🎚️ Escenario'!$C$11&gt;=36,$AL$23,INDEX($C$23:$AL$23,MAX(1,ROUNDUP(BN56/'🎚️ Escenario'!$C$11,0)))))</f>
        <v>0.93</v>
      </c>
      <c r="BO57" s="236" t="n">
        <f aca="false" t="array" ref="BO57:BO57">IF(BO56=0,0,IF(BO56/'🎚️ Escenario'!$C$11&gt;=36,$AL$23,INDEX($C$23:$AL$23,MAX(1,ROUNDUP(BO56/'🎚️ Escenario'!$C$11,0)))))</f>
        <v>0.94</v>
      </c>
      <c r="BP57" s="236" t="n">
        <f aca="false" t="array" ref="BP57:BP57">IF(BP56=0,0,IF(BP56/'🎚️ Escenario'!$C$11&gt;=36,$AL$23,INDEX($C$23:$AL$23,MAX(1,ROUNDUP(BP56/'🎚️ Escenario'!$C$11,0)))))</f>
        <v>0.95</v>
      </c>
      <c r="BQ57" s="236" t="n">
        <f aca="false" t="array" ref="BQ57:BQ57">IF(BQ56=0,0,IF(BQ56/'🎚️ Escenario'!$C$11&gt;=36,$AL$23,INDEX($C$23:$AL$23,MAX(1,ROUNDUP(BQ56/'🎚️ Escenario'!$C$11,0)))))</f>
        <v>0.95</v>
      </c>
      <c r="BR57" s="236" t="n">
        <f aca="false" t="array" ref="BR57:BR57">IF(BR56=0,0,IF(BR56/'🎚️ Escenario'!$C$11&gt;=36,$AL$23,INDEX($C$23:$AL$23,MAX(1,ROUNDUP(BR56/'🎚️ Escenario'!$C$11,0)))))</f>
        <v>0.97</v>
      </c>
      <c r="BS57" s="236" t="n">
        <f aca="false" t="array" ref="BS57:BS57">IF(BS56=0,0,IF(BS56/'🎚️ Escenario'!$C$11&gt;=36,$AL$23,INDEX($C$23:$AL$23,MAX(1,ROUNDUP(BS56/'🎚️ Escenario'!$C$11,0)))))</f>
        <v>0.98</v>
      </c>
      <c r="BT57" s="236" t="n">
        <f aca="false" t="array" ref="BT57:BT57">IF(BT56=0,0,IF(BT56/'🎚️ Escenario'!$C$11&gt;=36,$AL$23,INDEX($C$23:$AL$23,MAX(1,ROUNDUP(BT56/'🎚️ Escenario'!$C$11,0)))))</f>
        <v>0.99</v>
      </c>
      <c r="BU57" s="236" t="n">
        <f aca="false" t="array" ref="BU57:BU57">IF(BU56=0,0,IF(BU56/'🎚️ Escenario'!$C$11&gt;=36,$AL$23,INDEX($C$23:$AL$23,MAX(1,ROUNDUP(BU56/'🎚️ Escenario'!$C$11,0)))))</f>
        <v>1</v>
      </c>
      <c r="BV57" s="236" t="n">
        <f aca="false" t="array" ref="BV57:BV57">IF(BV56=0,0,IF(BV56/'🎚️ Escenario'!$C$11&gt;=36,$AL$23,INDEX($C$23:$AL$23,MAX(1,ROUNDUP(BV56/'🎚️ Escenario'!$C$11,0)))))</f>
        <v>1</v>
      </c>
      <c r="BW57" s="236" t="n">
        <f aca="false" t="array" ref="BW57:BW57">IF(BW56=0,0,IF(BW56/'🎚️ Escenario'!$C$11&gt;=36,$AL$23,INDEX($C$23:$AL$23,MAX(1,ROUNDUP(BW56/'🎚️ Escenario'!$C$11,0)))))</f>
        <v>1</v>
      </c>
      <c r="BX57" s="236" t="n">
        <f aca="false" t="array" ref="BX57:BX57">IF(BX56=0,0,IF(BX56/'🎚️ Escenario'!$C$11&gt;=36,$AL$23,INDEX($C$23:$AL$23,MAX(1,ROUNDUP(BX56/'🎚️ Escenario'!$C$11,0)))))</f>
        <v>1</v>
      </c>
      <c r="BY57" s="236" t="n">
        <f aca="false" t="array" ref="BY57:BY57">IF(BY56=0,0,IF(BY56/'🎚️ Escenario'!$C$11&gt;=36,$AL$23,INDEX($C$23:$AL$23,MAX(1,ROUNDUP(BY56/'🎚️ Escenario'!$C$11,0)))))</f>
        <v>1</v>
      </c>
      <c r="BZ57" s="236" t="n">
        <f aca="false" t="array" ref="BZ57:BZ57">IF(BZ56=0,0,IF(BZ56/'🎚️ Escenario'!$C$11&gt;=36,$AL$23,INDEX($C$23:$AL$23,MAX(1,ROUNDUP(BZ56/'🎚️ Escenario'!$C$11,0)))))</f>
        <v>1</v>
      </c>
      <c r="CA57" s="236" t="n">
        <f aca="false" t="array" ref="CA57:CA57">IF(CA56=0,0,IF(CA56/'🎚️ Escenario'!$C$11&gt;=36,$AL$23,INDEX($C$23:$AL$23,MAX(1,ROUNDUP(CA56/'🎚️ Escenario'!$C$11,0)))))</f>
        <v>1</v>
      </c>
      <c r="CB57" s="236" t="n">
        <f aca="false" t="array" ref="CB57:CB57">IF(CB56=0,0,IF(CB56/'🎚️ Escenario'!$C$11&gt;=36,$AL$23,INDEX($C$23:$AL$23,MAX(1,ROUNDUP(CB56/'🎚️ Escenario'!$C$11,0)))))</f>
        <v>1</v>
      </c>
      <c r="CC57" s="236" t="n">
        <f aca="false" t="array" ref="CC57:CC57">IF(CC56=0,0,IF(CC56/'🎚️ Escenario'!$C$11&gt;=36,$AL$23,INDEX($C$23:$AL$23,MAX(1,ROUNDUP(CC56/'🎚️ Escenario'!$C$11,0)))))</f>
        <v>1</v>
      </c>
      <c r="CD57" s="236" t="n">
        <f aca="false" t="array" ref="CD57:CD57">IF(CD56=0,0,IF(CD56/'🎚️ Escenario'!$C$11&gt;=36,$AL$23,INDEX($C$23:$AL$23,MAX(1,ROUNDUP(CD56/'🎚️ Escenario'!$C$11,0)))))</f>
        <v>1</v>
      </c>
      <c r="CE57" s="236" t="n">
        <f aca="false" t="array" ref="CE57:CE57">IF(CE56=0,0,IF(CE56/'🎚️ Escenario'!$C$11&gt;=36,$AL$23,INDEX($C$23:$AL$23,MAX(1,ROUNDUP(CE56/'🎚️ Escenario'!$C$11,0)))))</f>
        <v>1</v>
      </c>
      <c r="CF57" s="236" t="n">
        <f aca="false" t="array" ref="CF57:CF57">IF(CF56=0,0,IF(CF56/'🎚️ Escenario'!$C$11&gt;=36,$AL$23,INDEX($C$23:$AL$23,MAX(1,ROUNDUP(CF56/'🎚️ Escenario'!$C$11,0)))))</f>
        <v>1</v>
      </c>
      <c r="CG57" s="236" t="n">
        <f aca="false" t="array" ref="CG57:CG57">IF(CG56=0,0,IF(CG56/'🎚️ Escenario'!$C$11&gt;=36,$AL$23,INDEX($C$23:$AL$23,MAX(1,ROUNDUP(CG56/'🎚️ Escenario'!$C$11,0)))))</f>
        <v>1</v>
      </c>
      <c r="CH57" s="236" t="n">
        <f aca="false" t="array" ref="CH57:CH57">IF(CH56=0,0,IF(CH56/'🎚️ Escenario'!$C$11&gt;=36,$AL$23,INDEX($C$23:$AL$23,MAX(1,ROUNDUP(CH56/'🎚️ Escenario'!$C$11,0)))))</f>
        <v>1</v>
      </c>
      <c r="CI57" s="236" t="n">
        <f aca="false" t="array" ref="CI57:CI57">IF(CI56=0,0,IF(CI56/'🎚️ Escenario'!$C$11&gt;=36,$AL$23,INDEX($C$23:$AL$23,MAX(1,ROUNDUP(CI56/'🎚️ Escenario'!$C$11,0)))))</f>
        <v>1</v>
      </c>
      <c r="CJ57" s="236" t="n">
        <f aca="false" t="array" ref="CJ57:CJ57">IF(CJ56=0,0,IF(CJ56/'🎚️ Escenario'!$C$11&gt;=36,$AL$23,INDEX($C$23:$AL$23,MAX(1,ROUNDUP(CJ56/'🎚️ Escenario'!$C$11,0)))))</f>
        <v>1</v>
      </c>
      <c r="CK57" s="236" t="n">
        <f aca="false" t="array" ref="CK57:CK57">IF(CK56=0,0,IF(CK56/'🎚️ Escenario'!$C$11&gt;=36,$AL$23,INDEX($C$23:$AL$23,MAX(1,ROUNDUP(CK56/'🎚️ Escenario'!$C$11,0)))))</f>
        <v>1</v>
      </c>
      <c r="CL57" s="236" t="n">
        <f aca="false" t="array" ref="CL57:CL57">IF(CL56=0,0,IF(CL56/'🎚️ Escenario'!$C$11&gt;=36,$AL$23,INDEX($C$23:$AL$23,MAX(1,ROUNDUP(CL56/'🎚️ Escenario'!$C$11,0)))))</f>
        <v>1</v>
      </c>
      <c r="CM57" s="236" t="n">
        <f aca="false" t="array" ref="CM57:CM57">IF(CM56=0,0,IF(CM56/'🎚️ Escenario'!$C$11&gt;=36,$AL$23,INDEX($C$23:$AL$23,MAX(1,ROUNDUP(CM56/'🎚️ Escenario'!$C$11,0)))))</f>
        <v>1</v>
      </c>
      <c r="CN57" s="236" t="n">
        <f aca="false" t="array" ref="CN57:CN57">IF(CN56=0,0,IF(CN56/'🎚️ Escenario'!$C$11&gt;=36,$AL$23,INDEX($C$23:$AL$23,MAX(1,ROUNDUP(CN56/'🎚️ Escenario'!$C$11,0)))))</f>
        <v>1</v>
      </c>
      <c r="CO57" s="236" t="n">
        <f aca="false" t="array" ref="CO57:CO57">IF(CO56=0,0,IF(CO56/'🎚️ Escenario'!$C$11&gt;=36,$AL$23,INDEX($C$23:$AL$23,MAX(1,ROUNDUP(CO56/'🎚️ Escenario'!$C$11,0)))))</f>
        <v>1</v>
      </c>
      <c r="CP57" s="236" t="n">
        <f aca="false" t="array" ref="CP57:CP57">IF(CP56=0,0,IF(CP56/'🎚️ Escenario'!$C$11&gt;=36,$AL$23,INDEX($C$23:$AL$23,MAX(1,ROUNDUP(CP56/'🎚️ Escenario'!$C$11,0)))))</f>
        <v>1</v>
      </c>
      <c r="CQ57" s="236" t="n">
        <f aca="false" t="array" ref="CQ57:CQ57">IF(CQ56=0,0,IF(CQ56/'🎚️ Escenario'!$C$11&gt;=36,$AL$23,INDEX($C$23:$AL$23,MAX(1,ROUNDUP(CQ56/'🎚️ Escenario'!$C$11,0)))))</f>
        <v>1</v>
      </c>
      <c r="CR57" s="236" t="n">
        <f aca="false" t="array" ref="CR57:CR57">IF(CR56=0,0,IF(CR56/'🎚️ Escenario'!$C$11&gt;=36,$AL$23,INDEX($C$23:$AL$23,MAX(1,ROUNDUP(CR56/'🎚️ Escenario'!$C$11,0)))))</f>
        <v>1</v>
      </c>
      <c r="CS57" s="236" t="n">
        <f aca="false" t="array" ref="CS57:CS57">IF(CS56=0,0,IF(CS56/'🎚️ Escenario'!$C$11&gt;=36,$AL$23,INDEX($C$23:$AL$23,MAX(1,ROUNDUP(CS56/'🎚️ Escenario'!$C$11,0)))))</f>
        <v>1</v>
      </c>
      <c r="CT57" s="236" t="n">
        <f aca="false" t="array" ref="CT57:CT57">IF(CT56=0,0,IF(CT56/'🎚️ Escenario'!$C$11&gt;=36,$AL$23,INDEX($C$23:$AL$23,MAX(1,ROUNDUP(CT56/'🎚️ Escenario'!$C$11,0)))))</f>
        <v>1</v>
      </c>
      <c r="CU57" s="236" t="n">
        <f aca="false" t="array" ref="CU57:CU57">IF(CU56=0,0,IF(CU56/'🎚️ Escenario'!$C$11&gt;=36,$AL$23,INDEX($C$23:$AL$23,MAX(1,ROUNDUP(CU56/'🎚️ Escenario'!$C$11,0)))))</f>
        <v>1</v>
      </c>
      <c r="CV57" s="236" t="n">
        <f aca="false" t="array" ref="CV57:CV57">IF(CV56=0,0,IF(CV56/'🎚️ Escenario'!$C$11&gt;=36,$AL$23,INDEX($C$23:$AL$23,MAX(1,ROUNDUP(CV56/'🎚️ Escenario'!$C$11,0)))))</f>
        <v>1</v>
      </c>
      <c r="CW57" s="236" t="n">
        <f aca="false" t="array" ref="CW57:CW57">IF(CW56=0,0,IF(CW56/'🎚️ Escenario'!$C$11&gt;=36,$AL$23,INDEX($C$23:$AL$23,MAX(1,ROUNDUP(CW56/'🎚️ Escenario'!$C$11,0)))))</f>
        <v>1</v>
      </c>
      <c r="CX57" s="236" t="n">
        <f aca="false" t="array" ref="CX57:CX57">IF(CX56=0,0,IF(CX56/'🎚️ Escenario'!$C$11&gt;=36,$AL$23,INDEX($C$23:$AL$23,MAX(1,ROUNDUP(CX56/'🎚️ Escenario'!$C$11,0)))))</f>
        <v>1</v>
      </c>
      <c r="CY57" s="236" t="n">
        <f aca="false" t="array" ref="CY57:CY57">IF(CY56=0,0,IF(CY56/'🎚️ Escenario'!$C$11&gt;=36,$AL$23,INDEX($C$23:$AL$23,MAX(1,ROUNDUP(CY56/'🎚️ Escenario'!$C$11,0)))))</f>
        <v>1</v>
      </c>
      <c r="CZ57" s="236" t="n">
        <f aca="false" t="array" ref="CZ57:CZ57">IF(CZ56=0,0,IF(CZ56/'🎚️ Escenario'!$C$11&gt;=36,$AL$23,INDEX($C$23:$AL$23,MAX(1,ROUNDUP(CZ56/'🎚️ Escenario'!$C$11,0)))))</f>
        <v>1</v>
      </c>
      <c r="DA57" s="236" t="n">
        <f aca="false" t="array" ref="DA57:DA57">IF(DA56=0,0,IF(DA56/'🎚️ Escenario'!$C$11&gt;=36,$AL$23,INDEX($C$23:$AL$23,MAX(1,ROUNDUP(DA56/'🎚️ Escenario'!$C$11,0)))))</f>
        <v>1</v>
      </c>
      <c r="DB57" s="236" t="n">
        <f aca="false" t="array" ref="DB57:DB57">IF(DB56=0,0,IF(DB56/'🎚️ Escenario'!$C$11&gt;=36,$AL$23,INDEX($C$23:$AL$23,MAX(1,ROUNDUP(DB56/'🎚️ Escenario'!$C$11,0)))))</f>
        <v>1</v>
      </c>
      <c r="DC57" s="236" t="n">
        <f aca="false" t="array" ref="DC57:DC57">IF(DC56=0,0,IF(DC56/'🎚️ Escenario'!$C$11&gt;=36,$AL$23,INDEX($C$23:$AL$23,MAX(1,ROUNDUP(DC56/'🎚️ Escenario'!$C$11,0)))))</f>
        <v>1</v>
      </c>
      <c r="DD57" s="236" t="n">
        <f aca="false" t="array" ref="DD57:DD57">IF(DD56=0,0,IF(DD56/'🎚️ Escenario'!$C$11&gt;=36,$AL$23,INDEX($C$23:$AL$23,MAX(1,ROUNDUP(DD56/'🎚️ Escenario'!$C$11,0)))))</f>
        <v>1</v>
      </c>
      <c r="DE57" s="236" t="n">
        <f aca="false" t="array" ref="DE57:DE57">IF(DE56=0,0,IF(DE56/'🎚️ Escenario'!$C$11&gt;=36,$AL$23,INDEX($C$23:$AL$23,MAX(1,ROUNDUP(DE56/'🎚️ Escenario'!$C$11,0)))))</f>
        <v>1</v>
      </c>
      <c r="DF57" s="236" t="n">
        <f aca="false" t="array" ref="DF57:DF57">IF(DF56=0,0,IF(DF56/'🎚️ Escenario'!$C$11&gt;=36,$AL$23,INDEX($C$23:$AL$23,MAX(1,ROUNDUP(DF56/'🎚️ Escenario'!$C$11,0)))))</f>
        <v>1</v>
      </c>
      <c r="DG57" s="236" t="n">
        <f aca="false" t="array" ref="DG57:DG57">IF(DG56=0,0,IF(DG56/'🎚️ Escenario'!$C$11&gt;=36,$AL$23,INDEX($C$23:$AL$23,MAX(1,ROUNDUP(DG56/'🎚️ Escenario'!$C$11,0)))))</f>
        <v>1</v>
      </c>
      <c r="DH57" s="236" t="n">
        <f aca="false" t="array" ref="DH57:DH57">IF(DH56=0,0,IF(DH56/'🎚️ Escenario'!$C$11&gt;=36,$AL$23,INDEX($C$23:$AL$23,MAX(1,ROUNDUP(DH56/'🎚️ Escenario'!$C$11,0)))))</f>
        <v>1</v>
      </c>
      <c r="DI57" s="236" t="n">
        <f aca="false" t="array" ref="DI57:DI57">IF(DI56=0,0,IF(DI56/'🎚️ Escenario'!$C$11&gt;=36,$AL$23,INDEX($C$23:$AL$23,MAX(1,ROUNDUP(DI56/'🎚️ Escenario'!$C$11,0)))))</f>
        <v>1</v>
      </c>
      <c r="DJ57" s="236" t="n">
        <f aca="false" t="array" ref="DJ57:DJ57">IF(DJ56=0,0,IF(DJ56/'🎚️ Escenario'!$C$11&gt;=36,$AL$23,INDEX($C$23:$AL$23,MAX(1,ROUNDUP(DJ56/'🎚️ Escenario'!$C$11,0)))))</f>
        <v>1</v>
      </c>
      <c r="DK57" s="236" t="n">
        <f aca="false" t="array" ref="DK57:DK57">IF(DK56=0,0,IF(DK56/'🎚️ Escenario'!$C$11&gt;=36,$AL$23,INDEX($C$23:$AL$23,MAX(1,ROUNDUP(DK56/'🎚️ Escenario'!$C$11,0)))))</f>
        <v>1</v>
      </c>
      <c r="DL57" s="236" t="n">
        <f aca="false" t="array" ref="DL57:DL57">IF(DL56=0,0,IF(DL56/'🎚️ Escenario'!$C$11&gt;=36,$AL$23,INDEX($C$23:$AL$23,MAX(1,ROUNDUP(DL56/'🎚️ Escenario'!$C$11,0)))))</f>
        <v>1</v>
      </c>
      <c r="DM57" s="236" t="n">
        <f aca="false" t="array" ref="DM57:DM57">IF(DM56=0,0,IF(DM56/'🎚️ Escenario'!$C$11&gt;=36,$AL$23,INDEX($C$23:$AL$23,MAX(1,ROUNDUP(DM56/'🎚️ Escenario'!$C$11,0)))))</f>
        <v>1</v>
      </c>
      <c r="DN57" s="236" t="n">
        <f aca="false" t="array" ref="DN57:DN57">IF(DN56=0,0,IF(DN56/'🎚️ Escenario'!$C$11&gt;=36,$AL$23,INDEX($C$23:$AL$23,MAX(1,ROUNDUP(DN56/'🎚️ Escenario'!$C$11,0)))))</f>
        <v>1</v>
      </c>
      <c r="DO57" s="236" t="n">
        <f aca="false" t="array" ref="DO57:DO57">IF(DO56=0,0,IF(DO56/'🎚️ Escenario'!$C$11&gt;=36,$AL$23,INDEX($C$23:$AL$23,MAX(1,ROUNDUP(DO56/'🎚️ Escenario'!$C$11,0)))))</f>
        <v>1</v>
      </c>
      <c r="DP57" s="236" t="n">
        <f aca="false" t="array" ref="DP57:DP57">IF(DP56=0,0,IF(DP56/'🎚️ Escenario'!$C$11&gt;=36,$AL$23,INDEX($C$23:$AL$23,MAX(1,ROUNDUP(DP56/'🎚️ Escenario'!$C$11,0)))))</f>
        <v>1</v>
      </c>
      <c r="DQ57" s="236" t="n">
        <f aca="false" t="array" ref="DQ57:DQ57">IF(DQ56=0,0,IF(DQ56/'🎚️ Escenario'!$C$11&gt;=36,$AL$23,INDEX($C$23:$AL$23,MAX(1,ROUNDUP(DQ56/'🎚️ Escenario'!$C$11,0)))))</f>
        <v>1</v>
      </c>
      <c r="DR57" s="236" t="n">
        <f aca="false" t="array" ref="DR57:DR57">IF(DR56=0,0,IF(DR56/'🎚️ Escenario'!$C$11&gt;=36,$AL$23,INDEX($C$23:$AL$23,MAX(1,ROUNDUP(DR56/'🎚️ Escenario'!$C$11,0)))))</f>
        <v>1</v>
      </c>
      <c r="DS57" s="236" t="n">
        <f aca="false" t="array" ref="DS57:DS57">IF(DS56=0,0,IF(DS56/'🎚️ Escenario'!$C$11&gt;=36,$AL$23,INDEX($C$23:$AL$23,MAX(1,ROUNDUP(DS56/'🎚️ Escenario'!$C$11,0)))))</f>
        <v>1</v>
      </c>
      <c r="DT57" s="236" t="n">
        <f aca="false" t="array" ref="DT57:DT57">IF(DT56=0,0,IF(DT56/'🎚️ Escenario'!$C$11&gt;=36,$AL$23,INDEX($C$23:$AL$23,MAX(1,ROUNDUP(DT56/'🎚️ Escenario'!$C$11,0)))))</f>
        <v>1</v>
      </c>
      <c r="DU57" s="236" t="n">
        <f aca="false" t="array" ref="DU57:DU57">IF(DU56=0,0,IF(DU56/'🎚️ Escenario'!$C$11&gt;=36,$AL$23,INDEX($C$23:$AL$23,MAX(1,ROUNDUP(DU56/'🎚️ Escenario'!$C$11,0)))))</f>
        <v>1</v>
      </c>
      <c r="DV57" s="236" t="n">
        <f aca="false" t="array" ref="DV57:DV57">IF(DV56=0,0,IF(DV56/'🎚️ Escenario'!$C$11&gt;=36,$AL$23,INDEX($C$23:$AL$23,MAX(1,ROUNDUP(DV56/'🎚️ Escenario'!$C$11,0)))))</f>
        <v>1</v>
      </c>
      <c r="DW57" s="236" t="n">
        <f aca="false" t="array" ref="DW57:DW57">IF(DW56=0,0,IF(DW56/'🎚️ Escenario'!$C$11&gt;=36,$AL$23,INDEX($C$23:$AL$23,MAX(1,ROUNDUP(DW56/'🎚️ Escenario'!$C$11,0)))))</f>
        <v>1</v>
      </c>
      <c r="DX57" s="236" t="n">
        <f aca="false" t="array" ref="DX57:DX57">IF(DX56=0,0,IF(DX56/'🎚️ Escenario'!$C$11&gt;=36,$AL$23,INDEX($C$23:$AL$23,MAX(1,ROUNDUP(DX56/'🎚️ Escenario'!$C$11,0)))))</f>
        <v>1</v>
      </c>
      <c r="DY57" s="236" t="n">
        <f aca="false" t="array" ref="DY57:DY57">IF(DY56=0,0,IF(DY56/'🎚️ Escenario'!$C$11&gt;=36,$AL$23,INDEX($C$23:$AL$23,MAX(1,ROUNDUP(DY56/'🎚️ Escenario'!$C$11,0)))))</f>
        <v>1</v>
      </c>
      <c r="DZ57" s="236" t="n">
        <f aca="false" t="array" ref="DZ57:DZ57">IF(DZ56=0,0,IF(DZ56/'🎚️ Escenario'!$C$11&gt;=36,$AL$23,INDEX($C$23:$AL$23,MAX(1,ROUNDUP(DZ56/'🎚️ Escenario'!$C$11,0)))))</f>
        <v>1</v>
      </c>
      <c r="EA57" s="236" t="n">
        <f aca="false" t="array" ref="EA57:EA57">IF(EA56=0,0,IF(EA56/'🎚️ Escenario'!$C$11&gt;=36,$AL$23,INDEX($C$23:$AL$23,MAX(1,ROUNDUP(EA56/'🎚️ Escenario'!$C$11,0)))))</f>
        <v>1</v>
      </c>
      <c r="EB57" s="236" t="n">
        <f aca="false" t="array" ref="EB57:EB57">IF(EB56=0,0,IF(EB56/'🎚️ Escenario'!$C$11&gt;=36,$AL$23,INDEX($C$23:$AL$23,MAX(1,ROUNDUP(EB56/'🎚️ Escenario'!$C$11,0)))))</f>
        <v>1</v>
      </c>
      <c r="EC57" s="236" t="n">
        <f aca="false" t="array" ref="EC57:EC57">IF(EC56=0,0,IF(EC56/'🎚️ Escenario'!$C$11&gt;=36,$AL$23,INDEX($C$23:$AL$23,MAX(1,ROUNDUP(EC56/'🎚️ Escenario'!$C$11,0)))))</f>
        <v>1</v>
      </c>
      <c r="ED57" s="236" t="n">
        <f aca="false" t="array" ref="ED57:ED57">IF(ED56=0,0,IF(ED56/'🎚️ Escenario'!$C$11&gt;=36,$AL$23,INDEX($C$23:$AL$23,MAX(1,ROUNDUP(ED56/'🎚️ Escenario'!$C$11,0)))))</f>
        <v>1</v>
      </c>
      <c r="EE57" s="236" t="n">
        <f aca="false" t="array" ref="EE57:EE57">IF(EE56=0,0,IF(EE56/'🎚️ Escenario'!$C$11&gt;=36,$AL$23,INDEX($C$23:$AL$23,MAX(1,ROUNDUP(EE56/'🎚️ Escenario'!$C$11,0)))))</f>
        <v>1</v>
      </c>
      <c r="EF57" s="236" t="n">
        <f aca="false" t="array" ref="EF57:EF57">IF(EF56=0,0,IF(EF56/'🎚️ Escenario'!$C$11&gt;=36,$AL$23,INDEX($C$23:$AL$23,MAX(1,ROUNDUP(EF56/'🎚️ Escenario'!$C$11,0)))))</f>
        <v>1</v>
      </c>
      <c r="EG57" s="236" t="n">
        <f aca="false" t="array" ref="EG57:EG57">IF(EG56=0,0,IF(EG56/'🎚️ Escenario'!$C$11&gt;=36,$AL$23,INDEX($C$23:$AL$23,MAX(1,ROUNDUP(EG56/'🎚️ Escenario'!$C$11,0)))))</f>
        <v>1</v>
      </c>
      <c r="EH57" s="236" t="n">
        <f aca="false" t="array" ref="EH57:EH57">IF(EH56=0,0,IF(EH56/'🎚️ Escenario'!$C$11&gt;=36,$AL$23,INDEX($C$23:$AL$23,MAX(1,ROUNDUP(EH56/'🎚️ Escenario'!$C$11,0)))))</f>
        <v>1</v>
      </c>
      <c r="EI57" s="236" t="n">
        <f aca="false" t="array" ref="EI57:EI57">IF(EI56=0,0,IF(EI56/'🎚️ Escenario'!$C$11&gt;=36,$AL$23,INDEX($C$23:$AL$23,MAX(1,ROUNDUP(EI56/'🎚️ Escenario'!$C$11,0)))))</f>
        <v>1</v>
      </c>
      <c r="EJ57" s="236" t="n">
        <f aca="false" t="array" ref="EJ57:EJ57">IF(EJ56=0,0,IF(EJ56/'🎚️ Escenario'!$C$11&gt;=36,$AL$23,INDEX($C$23:$AL$23,MAX(1,ROUNDUP(EJ56/'🎚️ Escenario'!$C$11,0)))))</f>
        <v>1</v>
      </c>
      <c r="EK57" s="236" t="n">
        <f aca="false" t="array" ref="EK57:EK57">IF(EK56=0,0,IF(EK56/'🎚️ Escenario'!$C$11&gt;=36,$AL$23,INDEX($C$23:$AL$23,MAX(1,ROUNDUP(EK56/'🎚️ Escenario'!$C$11,0)))))</f>
        <v>1</v>
      </c>
      <c r="EL57" s="236" t="n">
        <f aca="false" t="array" ref="EL57:EL57">IF(EL56=0,0,IF(EL56/'🎚️ Escenario'!$C$11&gt;=36,$AL$23,INDEX($C$23:$AL$23,MAX(1,ROUNDUP(EL56/'🎚️ Escenario'!$C$11,0)))))</f>
        <v>1</v>
      </c>
      <c r="EM57" s="236" t="n">
        <f aca="false" t="array" ref="EM57:EM57">IF(EM56=0,0,IF(EM56/'🎚️ Escenario'!$C$11&gt;=36,$AL$23,INDEX($C$23:$AL$23,MAX(1,ROUNDUP(EM56/'🎚️ Escenario'!$C$11,0)))))</f>
        <v>1</v>
      </c>
      <c r="EN57" s="236" t="n">
        <f aca="false" t="array" ref="EN57:EN57">IF(EN56=0,0,IF(EN56/'🎚️ Escenario'!$C$11&gt;=36,$AL$23,INDEX($C$23:$AL$23,MAX(1,ROUNDUP(EN56/'🎚️ Escenario'!$C$11,0)))))</f>
        <v>1</v>
      </c>
      <c r="EO57" s="236" t="n">
        <f aca="false" t="array" ref="EO57:EO57">IF(EO56=0,0,IF(EO56/'🎚️ Escenario'!$C$11&gt;=36,$AL$23,INDEX($C$23:$AL$23,MAX(1,ROUNDUP(EO56/'🎚️ Escenario'!$C$11,0)))))</f>
        <v>1</v>
      </c>
      <c r="EP57" s="236" t="n">
        <f aca="false" t="array" ref="EP57:EP57">IF(EP56=0,0,IF(EP56/'🎚️ Escenario'!$C$11&gt;=36,$AL$23,INDEX($C$23:$AL$23,MAX(1,ROUNDUP(EP56/'🎚️ Escenario'!$C$11,0)))))</f>
        <v>1</v>
      </c>
      <c r="EQ57" s="236" t="n">
        <f aca="false" t="array" ref="EQ57:EQ57">IF(EQ56=0,0,IF(EQ56/'🎚️ Escenario'!$C$11&gt;=36,$AL$23,INDEX($C$23:$AL$23,MAX(1,ROUNDUP(EQ56/'🎚️ Escenario'!$C$11,0)))))</f>
        <v>1</v>
      </c>
      <c r="ER57" s="236" t="n">
        <f aca="false" t="array" ref="ER57:ER57">IF(ER56=0,0,IF(ER56/'🎚️ Escenario'!$C$11&gt;=36,$AL$23,INDEX($C$23:$AL$23,MAX(1,ROUNDUP(ER56/'🎚️ Escenario'!$C$11,0)))))</f>
        <v>1</v>
      </c>
      <c r="ES57" s="9" t="n">
        <f aca="false" t="array" ref="ES57:ES57">IF(ES56=0,0,IF(ES56/'🎚️ Escenario'!$C$11&gt;=36,$AL$23,INDEX($C$23:$AL$23,MAX(1,ROUNDUP(ES56/'🎚️ Escenario'!$C$11,0)))))</f>
        <v>1</v>
      </c>
      <c r="ET57" s="9" t="n">
        <f aca="false" t="array" ref="ET57:ET57">IF(ET56=0,0,IF(ET56/'🎚️ Escenario'!$C$11&gt;=36,$AL$23,INDEX($C$23:$AL$23,MAX(1,ROUNDUP(ET56/'🎚️ Escenario'!$C$11,0)))))</f>
        <v>1</v>
      </c>
      <c r="EU57" s="9" t="n">
        <f aca="false" t="array" ref="EU57:EU57">IF(EU56=0,0,IF(EU56/'🎚️ Escenario'!$C$11&gt;=36,$AL$23,INDEX($C$23:$AL$23,MAX(1,ROUNDUP(EU56/'🎚️ Escenario'!$C$11,0)))))</f>
        <v>1</v>
      </c>
      <c r="EV57" s="9" t="n">
        <f aca="false" t="array" ref="EV57:EV57">IF(EV56=0,0,IF(EV56/'🎚️ Escenario'!$C$11&gt;=36,$AL$23,INDEX($C$23:$AL$23,MAX(1,ROUNDUP(EV56/'🎚️ Escenario'!$C$11,0)))))</f>
        <v>1</v>
      </c>
      <c r="EW57" s="9" t="n">
        <f aca="false" t="array" ref="EW57:EW57">IF(EW56=0,0,IF(EW56/'🎚️ Escenario'!$C$11&gt;=36,$AL$23,INDEX($C$23:$AL$23,MAX(1,ROUNDUP(EW56/'🎚️ Escenario'!$C$11,0)))))</f>
        <v>1</v>
      </c>
      <c r="EX57" s="9" t="n">
        <f aca="false" t="array" ref="EX57:EX57">IF(EX56=0,0,IF(EX56/'🎚️ Escenario'!$C$11&gt;=36,$AL$23,INDEX($C$23:$AL$23,MAX(1,ROUNDUP(EX56/'🎚️ Escenario'!$C$11,0)))))</f>
        <v>1</v>
      </c>
      <c r="EY57" s="9" t="n">
        <f aca="false" t="array" ref="EY57:EY57">IF(EY56=0,0,IF(EY56/'🎚️ Escenario'!$C$11&gt;=36,$AL$23,INDEX($C$23:$AL$23,MAX(1,ROUNDUP(EY56/'🎚️ Escenario'!$C$11,0)))))</f>
        <v>1</v>
      </c>
      <c r="EZ57" s="9" t="n">
        <f aca="false" t="array" ref="EZ57:EZ57">IF(EZ56=0,0,IF(EZ56/'🎚️ Escenario'!$C$11&gt;=36,$AL$23,INDEX($C$23:$AL$23,MAX(1,ROUNDUP(EZ56/'🎚️ Escenario'!$C$11,0)))))</f>
        <v>1</v>
      </c>
      <c r="FA57" s="9" t="n">
        <f aca="false" t="array" ref="FA57:FA57">IF(FA56=0,0,IF(FA56/'🎚️ Escenario'!$C$11&gt;=36,$AL$23,INDEX($C$23:$AL$23,MAX(1,ROUNDUP(FA56/'🎚️ Escenario'!$C$11,0)))))</f>
        <v>1</v>
      </c>
      <c r="FB57" s="9" t="n">
        <f aca="false" t="array" ref="FB57:FB57">IF(FB56=0,0,IF(FB56/'🎚️ Escenario'!$C$11&gt;=36,$AL$23,INDEX($C$23:$AL$23,MAX(1,ROUNDUP(FB56/'🎚️ Escenario'!$C$11,0)))))</f>
        <v>1</v>
      </c>
      <c r="FC57" s="9" t="n">
        <f aca="false" t="array" ref="FC57:FC57">IF(FC56=0,0,IF(FC56/'🎚️ Escenario'!$C$11&gt;=36,$AL$23,INDEX($C$23:$AL$23,MAX(1,ROUNDUP(FC56/'🎚️ Escenario'!$C$11,0)))))</f>
        <v>1</v>
      </c>
      <c r="FD57" s="9" t="n">
        <f aca="false" t="array" ref="FD57:FD57">IF(FD56=0,0,IF(FD56/'🎚️ Escenario'!$C$11&gt;=36,$AL$23,INDEX($C$23:$AL$23,MAX(1,ROUNDUP(FD56/'🎚️ Escenario'!$C$11,0)))))</f>
        <v>1</v>
      </c>
      <c r="FE57" s="9" t="n">
        <f aca="false" t="array" ref="FE57:FE57">IF(FE56=0,0,IF(FE56/'🎚️ Escenario'!$C$11&gt;=36,$AL$23,INDEX($C$23:$AL$23,MAX(1,ROUNDUP(FE56/'🎚️ Escenario'!$C$11,0)))))</f>
        <v>1</v>
      </c>
      <c r="FF57" s="9" t="n">
        <f aca="false" t="array" ref="FF57:FF57">IF(FF56=0,0,IF(FF56/'🎚️ Escenario'!$C$11&gt;=36,$AL$23,INDEX($C$23:$AL$23,MAX(1,ROUNDUP(FF56/'🎚️ Escenario'!$C$11,0)))))</f>
        <v>1</v>
      </c>
      <c r="FG57" s="9" t="n">
        <f aca="false" t="array" ref="FG57:FG57">IF(FG56=0,0,IF(FG56/'🎚️ Escenario'!$C$11&gt;=36,$AL$23,INDEX($C$23:$AL$23,MAX(1,ROUNDUP(FG56/'🎚️ Escenario'!$C$11,0)))))</f>
        <v>1</v>
      </c>
      <c r="FH57" s="9" t="n">
        <f aca="false" t="array" ref="FH57:FH57">IF(FH56=0,0,IF(FH56/'🎚️ Escenario'!$C$11&gt;=36,$AL$23,INDEX($C$23:$AL$23,MAX(1,ROUNDUP(FH56/'🎚️ Escenario'!$C$11,0)))))</f>
        <v>1</v>
      </c>
      <c r="FI57" s="9" t="n">
        <f aca="false" t="array" ref="FI57:FI57">IF(FI56=0,0,IF(FI56/'🎚️ Escenario'!$C$11&gt;=36,$AL$23,INDEX($C$23:$AL$23,MAX(1,ROUNDUP(FI56/'🎚️ Escenario'!$C$11,0)))))</f>
        <v>1</v>
      </c>
      <c r="FJ57" s="9" t="n">
        <f aca="false" t="array" ref="FJ57:FJ57">IF(FJ56=0,0,IF(FJ56/'🎚️ Escenario'!$C$11&gt;=36,$AL$23,INDEX($C$23:$AL$23,MAX(1,ROUNDUP(FJ56/'🎚️ Escenario'!$C$11,0)))))</f>
        <v>1</v>
      </c>
      <c r="FK57" s="9" t="n">
        <f aca="false" t="array" ref="FK57:FK57">IF(FK56=0,0,IF(FK56/'🎚️ Escenario'!$C$11&gt;=36,$AL$23,INDEX($C$23:$AL$23,MAX(1,ROUNDUP(FK56/'🎚️ Escenario'!$C$11,0)))))</f>
        <v>1</v>
      </c>
      <c r="FL57" s="9" t="n">
        <f aca="false" t="array" ref="FL57:FL57">IF(FL56=0,0,IF(FL56/'🎚️ Escenario'!$C$11&gt;=36,$AL$23,INDEX($C$23:$AL$23,MAX(1,ROUNDUP(FL56/'🎚️ Escenario'!$C$11,0)))))</f>
        <v>1</v>
      </c>
      <c r="FM57" s="9" t="n">
        <f aca="false" t="array" ref="FM57:FM57">IF(FM56=0,0,IF(FM56/'🎚️ Escenario'!$C$11&gt;=36,$AL$23,INDEX($C$23:$AL$23,MAX(1,ROUNDUP(FM56/'🎚️ Escenario'!$C$11,0)))))</f>
        <v>1</v>
      </c>
      <c r="FN57" s="9" t="n">
        <f aca="false" t="array" ref="FN57:FN57">IF(FN56=0,0,IF(FN56/'🎚️ Escenario'!$C$11&gt;=36,$AL$23,INDEX($C$23:$AL$23,MAX(1,ROUNDUP(FN56/'🎚️ Escenario'!$C$11,0)))))</f>
        <v>1</v>
      </c>
      <c r="FO57" s="9" t="n">
        <f aca="false" t="array" ref="FO57:FO57">IF(FO56=0,0,IF(FO56/'🎚️ Escenario'!$C$11&gt;=36,$AL$23,INDEX($C$23:$AL$23,MAX(1,ROUNDUP(FO56/'🎚️ Escenario'!$C$11,0)))))</f>
        <v>1</v>
      </c>
      <c r="FP57" s="9" t="n">
        <f aca="false" t="array" ref="FP57:FP57">IF(FP56=0,0,IF(FP56/'🎚️ Escenario'!$C$11&gt;=36,$AL$23,INDEX($C$23:$AL$23,MAX(1,ROUNDUP(FP56/'🎚️ Escenario'!$C$11,0)))))</f>
        <v>1</v>
      </c>
    </row>
    <row r="58" customFormat="false" ht="15" hidden="false" customHeight="false" outlineLevel="2" collapsed="false">
      <c r="B58" s="9" t="s">
        <v>875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237" t="n">
        <f aca="false">IF(AC56=0,0,IF(AC56&lt;=12*'🎚️ Escenario'!$C$11,1,1+$C$6))</f>
        <v>0</v>
      </c>
      <c r="AD58" s="237" t="n">
        <f aca="false">IF(AD56=0,0,IF(AD56&lt;=12*'🎚️ Escenario'!$C$11,1,1+$C$6))</f>
        <v>1</v>
      </c>
      <c r="AE58" s="237" t="n">
        <f aca="false">IF(AE56=0,0,IF(AE56&lt;=12*'🎚️ Escenario'!$C$11,1,1+$C$6))</f>
        <v>1</v>
      </c>
      <c r="AF58" s="237" t="n">
        <f aca="false">IF(AF56=0,0,IF(AF56&lt;=12*'🎚️ Escenario'!$C$11,1,1+$C$6))</f>
        <v>1</v>
      </c>
      <c r="AG58" s="237" t="n">
        <f aca="false">IF(AG56=0,0,IF(AG56&lt;=12*'🎚️ Escenario'!$C$11,1,1+$C$6))</f>
        <v>1</v>
      </c>
      <c r="AH58" s="237" t="n">
        <f aca="false">IF(AH56=0,0,IF(AH56&lt;=12*'🎚️ Escenario'!$C$11,1,1+$C$6))</f>
        <v>1</v>
      </c>
      <c r="AI58" s="237" t="n">
        <f aca="false">IF(AI56=0,0,IF(AI56&lt;=12*'🎚️ Escenario'!$C$11,1,1+$C$6))</f>
        <v>1</v>
      </c>
      <c r="AJ58" s="237" t="n">
        <f aca="false">IF(AJ56=0,0,IF(AJ56&lt;=12*'🎚️ Escenario'!$C$11,1,1+$C$6))</f>
        <v>1</v>
      </c>
      <c r="AK58" s="237" t="n">
        <f aca="false">IF(AK56=0,0,IF(AK56&lt;=12*'🎚️ Escenario'!$C$11,1,1+$C$6))</f>
        <v>1</v>
      </c>
      <c r="AL58" s="237" t="n">
        <f aca="false">IF(AL56=0,0,IF(AL56&lt;=12*'🎚️ Escenario'!$C$11,1,1+$C$6))</f>
        <v>1</v>
      </c>
      <c r="AM58" s="237" t="n">
        <f aca="false">IF(AM56=0,0,IF(AM56&lt;=12*'🎚️ Escenario'!$C$11,1,1+$C$6))</f>
        <v>1</v>
      </c>
      <c r="AN58" s="237" t="n">
        <f aca="false">IF(AN56=0,0,IF(AN56&lt;=12*'🎚️ Escenario'!$C$11,1,1+$C$6))</f>
        <v>1</v>
      </c>
      <c r="AO58" s="237" t="n">
        <f aca="false">IF(AO56=0,0,IF(AO56&lt;=12*'🎚️ Escenario'!$C$11,1,1+$C$6))</f>
        <v>1</v>
      </c>
      <c r="AP58" s="237" t="n">
        <f aca="false">IF(AP56=0,0,IF(AP56&lt;=12*'🎚️ Escenario'!$C$11,1,1+$C$6))</f>
        <v>1</v>
      </c>
      <c r="AQ58" s="237" t="n">
        <f aca="false">IF(AQ56=0,0,IF(AQ56&lt;=12*'🎚️ Escenario'!$C$11,1,1+$C$6))</f>
        <v>1</v>
      </c>
      <c r="AR58" s="237" t="n">
        <f aca="false">IF(AR56=0,0,IF(AR56&lt;=12*'🎚️ Escenario'!$C$11,1,1+$C$6))</f>
        <v>1</v>
      </c>
      <c r="AS58" s="237" t="n">
        <f aca="false">IF(AS56=0,0,IF(AS56&lt;=12*'🎚️ Escenario'!$C$11,1,1+$C$6))</f>
        <v>1.2</v>
      </c>
      <c r="AT58" s="237" t="n">
        <f aca="false">IF(AT56=0,0,IF(AT56&lt;=12*'🎚️ Escenario'!$C$11,1,1+$C$6))</f>
        <v>1.2</v>
      </c>
      <c r="AU58" s="237" t="n">
        <f aca="false">IF(AU56=0,0,IF(AU56&lt;=12*'🎚️ Escenario'!$C$11,1,1+$C$6))</f>
        <v>1.2</v>
      </c>
      <c r="AV58" s="237" t="n">
        <f aca="false">IF(AV56=0,0,IF(AV56&lt;=12*'🎚️ Escenario'!$C$11,1,1+$C$6))</f>
        <v>1.2</v>
      </c>
      <c r="AW58" s="237" t="n">
        <f aca="false">IF(AW56=0,0,IF(AW56&lt;=12*'🎚️ Escenario'!$C$11,1,1+$C$6))</f>
        <v>1.2</v>
      </c>
      <c r="AX58" s="237" t="n">
        <f aca="false">IF(AX56=0,0,IF(AX56&lt;=12*'🎚️ Escenario'!$C$11,1,1+$C$6))</f>
        <v>1.2</v>
      </c>
      <c r="AY58" s="237" t="n">
        <f aca="false">IF(AY56=0,0,IF(AY56&lt;=12*'🎚️ Escenario'!$C$11,1,1+$C$6))</f>
        <v>1.2</v>
      </c>
      <c r="AZ58" s="237" t="n">
        <f aca="false">IF(AZ56=0,0,IF(AZ56&lt;=12*'🎚️ Escenario'!$C$11,1,1+$C$6))</f>
        <v>1.2</v>
      </c>
      <c r="BA58" s="237" t="n">
        <f aca="false">IF(BA56=0,0,IF(BA56&lt;=12*'🎚️ Escenario'!$C$11,1,1+$C$6))</f>
        <v>1.2</v>
      </c>
      <c r="BB58" s="237" t="n">
        <f aca="false">IF(BB56=0,0,IF(BB56&lt;=12*'🎚️ Escenario'!$C$11,1,1+$C$6))</f>
        <v>1.2</v>
      </c>
      <c r="BC58" s="237" t="n">
        <f aca="false">IF(BC56=0,0,IF(BC56&lt;=12*'🎚️ Escenario'!$C$11,1,1+$C$6))</f>
        <v>1.2</v>
      </c>
      <c r="BD58" s="237" t="n">
        <f aca="false">IF(BD56=0,0,IF(BD56&lt;=12*'🎚️ Escenario'!$C$11,1,1+$C$6))</f>
        <v>1.2</v>
      </c>
      <c r="BE58" s="237" t="n">
        <f aca="false">IF(BE56=0,0,IF(BE56&lt;=12*'🎚️ Escenario'!$C$11,1,1+$C$6))</f>
        <v>1.2</v>
      </c>
      <c r="BF58" s="237" t="n">
        <f aca="false">IF(BF56=0,0,IF(BF56&lt;=12*'🎚️ Escenario'!$C$11,1,1+$C$6))</f>
        <v>1.2</v>
      </c>
      <c r="BG58" s="237" t="n">
        <f aca="false">IF(BG56=0,0,IF(BG56&lt;=12*'🎚️ Escenario'!$C$11,1,1+$C$6))</f>
        <v>1.2</v>
      </c>
      <c r="BH58" s="237" t="n">
        <f aca="false">IF(BH56=0,0,IF(BH56&lt;=12*'🎚️ Escenario'!$C$11,1,1+$C$6))</f>
        <v>1.2</v>
      </c>
      <c r="BI58" s="237" t="n">
        <f aca="false">IF(BI56=0,0,IF(BI56&lt;=12*'🎚️ Escenario'!$C$11,1,1+$C$6))</f>
        <v>1.2</v>
      </c>
      <c r="BJ58" s="237" t="n">
        <f aca="false">IF(BJ56=0,0,IF(BJ56&lt;=12*'🎚️ Escenario'!$C$11,1,1+$C$6))</f>
        <v>1.2</v>
      </c>
      <c r="BK58" s="237" t="n">
        <f aca="false">IF(BK56=0,0,IF(BK56&lt;=12*'🎚️ Escenario'!$C$11,1,1+$C$6))</f>
        <v>1.2</v>
      </c>
      <c r="BL58" s="237" t="n">
        <f aca="false">IF(BL56=0,0,IF(BL56&lt;=12*'🎚️ Escenario'!$C$11,1,1+$C$6))</f>
        <v>1.2</v>
      </c>
      <c r="BM58" s="237" t="n">
        <f aca="false">IF(BM56=0,0,IF(BM56&lt;=12*'🎚️ Escenario'!$C$11,1,1+$C$6))</f>
        <v>1.2</v>
      </c>
      <c r="BN58" s="237" t="n">
        <f aca="false">IF(BN56=0,0,IF(BN56&lt;=12*'🎚️ Escenario'!$C$11,1,1+$C$6))</f>
        <v>1.2</v>
      </c>
      <c r="BO58" s="237" t="n">
        <f aca="false">IF(BO56=0,0,IF(BO56&lt;=12*'🎚️ Escenario'!$C$11,1,1+$C$6))</f>
        <v>1.2</v>
      </c>
      <c r="BP58" s="237" t="n">
        <f aca="false">IF(BP56=0,0,IF(BP56&lt;=12*'🎚️ Escenario'!$C$11,1,1+$C$6))</f>
        <v>1.2</v>
      </c>
      <c r="BQ58" s="237" t="n">
        <f aca="false">IF(BQ56=0,0,IF(BQ56&lt;=12*'🎚️ Escenario'!$C$11,1,1+$C$6))</f>
        <v>1.2</v>
      </c>
      <c r="BR58" s="237" t="n">
        <f aca="false">IF(BR56=0,0,IF(BR56&lt;=12*'🎚️ Escenario'!$C$11,1,1+$C$6))</f>
        <v>1.2</v>
      </c>
      <c r="BS58" s="237" t="n">
        <f aca="false">IF(BS56=0,0,IF(BS56&lt;=12*'🎚️ Escenario'!$C$11,1,1+$C$6))</f>
        <v>1.2</v>
      </c>
      <c r="BT58" s="237" t="n">
        <f aca="false">IF(BT56=0,0,IF(BT56&lt;=12*'🎚️ Escenario'!$C$11,1,1+$C$6))</f>
        <v>1.2</v>
      </c>
      <c r="BU58" s="237" t="n">
        <f aca="false">IF(BU56=0,0,IF(BU56&lt;=12*'🎚️ Escenario'!$C$11,1,1+$C$6))</f>
        <v>1.2</v>
      </c>
      <c r="BV58" s="237" t="n">
        <f aca="false">IF(BV56=0,0,IF(BV56&lt;=12*'🎚️ Escenario'!$C$11,1,1+$C$6))</f>
        <v>1.2</v>
      </c>
      <c r="BW58" s="237" t="n">
        <f aca="false">IF(BW56=0,0,IF(BW56&lt;=12*'🎚️ Escenario'!$C$11,1,1+$C$6))</f>
        <v>1.2</v>
      </c>
      <c r="BX58" s="237" t="n">
        <f aca="false">IF(BX56=0,0,IF(BX56&lt;=12*'🎚️ Escenario'!$C$11,1,1+$C$6))</f>
        <v>1.2</v>
      </c>
      <c r="BY58" s="237" t="n">
        <f aca="false">IF(BY56=0,0,IF(BY56&lt;=12*'🎚️ Escenario'!$C$11,1,1+$C$6))</f>
        <v>1.2</v>
      </c>
      <c r="BZ58" s="237" t="n">
        <f aca="false">IF(BZ56=0,0,IF(BZ56&lt;=12*'🎚️ Escenario'!$C$11,1,1+$C$6))</f>
        <v>1.2</v>
      </c>
      <c r="CA58" s="237" t="n">
        <f aca="false">IF(CA56=0,0,IF(CA56&lt;=12*'🎚️ Escenario'!$C$11,1,1+$C$6))</f>
        <v>1.2</v>
      </c>
      <c r="CB58" s="237" t="n">
        <f aca="false">IF(CB56=0,0,IF(CB56&lt;=12*'🎚️ Escenario'!$C$11,1,1+$C$6))</f>
        <v>1.2</v>
      </c>
      <c r="CC58" s="237" t="n">
        <f aca="false">IF(CC56=0,0,IF(CC56&lt;=12*'🎚️ Escenario'!$C$11,1,1+$C$6))</f>
        <v>1.2</v>
      </c>
      <c r="CD58" s="237" t="n">
        <f aca="false">IF(CD56=0,0,IF(CD56&lt;=12*'🎚️ Escenario'!$C$11,1,1+$C$6))</f>
        <v>1.2</v>
      </c>
      <c r="CE58" s="237" t="n">
        <f aca="false">IF(CE56=0,0,IF(CE56&lt;=12*'🎚️ Escenario'!$C$11,1,1+$C$6))</f>
        <v>1.2</v>
      </c>
      <c r="CF58" s="237" t="n">
        <f aca="false">IF(CF56=0,0,IF(CF56&lt;=12*'🎚️ Escenario'!$C$11,1,1+$C$6))</f>
        <v>1.2</v>
      </c>
      <c r="CG58" s="237" t="n">
        <f aca="false">IF(CG56=0,0,IF(CG56&lt;=12*'🎚️ Escenario'!$C$11,1,1+$C$6))</f>
        <v>1.2</v>
      </c>
      <c r="CH58" s="237" t="n">
        <f aca="false">IF(CH56=0,0,IF(CH56&lt;=12*'🎚️ Escenario'!$C$11,1,1+$C$6))</f>
        <v>1.2</v>
      </c>
      <c r="CI58" s="237" t="n">
        <f aca="false">IF(CI56=0,0,IF(CI56&lt;=12*'🎚️ Escenario'!$C$11,1,1+$C$6))</f>
        <v>1.2</v>
      </c>
      <c r="CJ58" s="237" t="n">
        <f aca="false">IF(CJ56=0,0,IF(CJ56&lt;=12*'🎚️ Escenario'!$C$11,1,1+$C$6))</f>
        <v>1.2</v>
      </c>
      <c r="CK58" s="237" t="n">
        <f aca="false">IF(CK56=0,0,IF(CK56&lt;=12*'🎚️ Escenario'!$C$11,1,1+$C$6))</f>
        <v>1.2</v>
      </c>
      <c r="CL58" s="237" t="n">
        <f aca="false">IF(CL56=0,0,IF(CL56&lt;=12*'🎚️ Escenario'!$C$11,1,1+$C$6))</f>
        <v>1.2</v>
      </c>
      <c r="CM58" s="237" t="n">
        <f aca="false">IF(CM56=0,0,IF(CM56&lt;=12*'🎚️ Escenario'!$C$11,1,1+$C$6))</f>
        <v>1.2</v>
      </c>
      <c r="CN58" s="237" t="n">
        <f aca="false">IF(CN56=0,0,IF(CN56&lt;=12*'🎚️ Escenario'!$C$11,1,1+$C$6))</f>
        <v>1.2</v>
      </c>
      <c r="CO58" s="237" t="n">
        <f aca="false">IF(CO56=0,0,IF(CO56&lt;=12*'🎚️ Escenario'!$C$11,1,1+$C$6))</f>
        <v>1.2</v>
      </c>
      <c r="CP58" s="237" t="n">
        <f aca="false">IF(CP56=0,0,IF(CP56&lt;=12*'🎚️ Escenario'!$C$11,1,1+$C$6))</f>
        <v>1.2</v>
      </c>
      <c r="CQ58" s="237" t="n">
        <f aca="false">IF(CQ56=0,0,IF(CQ56&lt;=12*'🎚️ Escenario'!$C$11,1,1+$C$6))</f>
        <v>1.2</v>
      </c>
      <c r="CR58" s="237" t="n">
        <f aca="false">IF(CR56=0,0,IF(CR56&lt;=12*'🎚️ Escenario'!$C$11,1,1+$C$6))</f>
        <v>1.2</v>
      </c>
      <c r="CS58" s="237" t="n">
        <f aca="false">IF(CS56=0,0,IF(CS56&lt;=12*'🎚️ Escenario'!$C$11,1,1+$C$6))</f>
        <v>1.2</v>
      </c>
      <c r="CT58" s="237" t="n">
        <f aca="false">IF(CT56=0,0,IF(CT56&lt;=12*'🎚️ Escenario'!$C$11,1,1+$C$6))</f>
        <v>1.2</v>
      </c>
      <c r="CU58" s="237" t="n">
        <f aca="false">IF(CU56=0,0,IF(CU56&lt;=12*'🎚️ Escenario'!$C$11,1,1+$C$6))</f>
        <v>1.2</v>
      </c>
      <c r="CV58" s="237" t="n">
        <f aca="false">IF(CV56=0,0,IF(CV56&lt;=12*'🎚️ Escenario'!$C$11,1,1+$C$6))</f>
        <v>1.2</v>
      </c>
      <c r="CW58" s="237" t="n">
        <f aca="false">IF(CW56=0,0,IF(CW56&lt;=12*'🎚️ Escenario'!$C$11,1,1+$C$6))</f>
        <v>1.2</v>
      </c>
      <c r="CX58" s="237" t="n">
        <f aca="false">IF(CX56=0,0,IF(CX56&lt;=12*'🎚️ Escenario'!$C$11,1,1+$C$6))</f>
        <v>1.2</v>
      </c>
      <c r="CY58" s="237" t="n">
        <f aca="false">IF(CY56=0,0,IF(CY56&lt;=12*'🎚️ Escenario'!$C$11,1,1+$C$6))</f>
        <v>1.2</v>
      </c>
      <c r="CZ58" s="237" t="n">
        <f aca="false">IF(CZ56=0,0,IF(CZ56&lt;=12*'🎚️ Escenario'!$C$11,1,1+$C$6))</f>
        <v>1.2</v>
      </c>
      <c r="DA58" s="237" t="n">
        <f aca="false">IF(DA56=0,0,IF(DA56&lt;=12*'🎚️ Escenario'!$C$11,1,1+$C$6))</f>
        <v>1.2</v>
      </c>
      <c r="DB58" s="237" t="n">
        <f aca="false">IF(DB56=0,0,IF(DB56&lt;=12*'🎚️ Escenario'!$C$11,1,1+$C$6))</f>
        <v>1.2</v>
      </c>
      <c r="DC58" s="237" t="n">
        <f aca="false">IF(DC56=0,0,IF(DC56&lt;=12*'🎚️ Escenario'!$C$11,1,1+$C$6))</f>
        <v>1.2</v>
      </c>
      <c r="DD58" s="237" t="n">
        <f aca="false">IF(DD56=0,0,IF(DD56&lt;=12*'🎚️ Escenario'!$C$11,1,1+$C$6))</f>
        <v>1.2</v>
      </c>
      <c r="DE58" s="237" t="n">
        <f aca="false">IF(DE56=0,0,IF(DE56&lt;=12*'🎚️ Escenario'!$C$11,1,1+$C$6))</f>
        <v>1.2</v>
      </c>
      <c r="DF58" s="237" t="n">
        <f aca="false">IF(DF56=0,0,IF(DF56&lt;=12*'🎚️ Escenario'!$C$11,1,1+$C$6))</f>
        <v>1.2</v>
      </c>
      <c r="DG58" s="237" t="n">
        <f aca="false">IF(DG56=0,0,IF(DG56&lt;=12*'🎚️ Escenario'!$C$11,1,1+$C$6))</f>
        <v>1.2</v>
      </c>
      <c r="DH58" s="237" t="n">
        <f aca="false">IF(DH56=0,0,IF(DH56&lt;=12*'🎚️ Escenario'!$C$11,1,1+$C$6))</f>
        <v>1.2</v>
      </c>
      <c r="DI58" s="237" t="n">
        <f aca="false">IF(DI56=0,0,IF(DI56&lt;=12*'🎚️ Escenario'!$C$11,1,1+$C$6))</f>
        <v>1.2</v>
      </c>
      <c r="DJ58" s="237" t="n">
        <f aca="false">IF(DJ56=0,0,IF(DJ56&lt;=12*'🎚️ Escenario'!$C$11,1,1+$C$6))</f>
        <v>1.2</v>
      </c>
      <c r="DK58" s="237" t="n">
        <f aca="false">IF(DK56=0,0,IF(DK56&lt;=12*'🎚️ Escenario'!$C$11,1,1+$C$6))</f>
        <v>1.2</v>
      </c>
      <c r="DL58" s="237" t="n">
        <f aca="false">IF(DL56=0,0,IF(DL56&lt;=12*'🎚️ Escenario'!$C$11,1,1+$C$6))</f>
        <v>1.2</v>
      </c>
      <c r="DM58" s="237" t="n">
        <f aca="false">IF(DM56=0,0,IF(DM56&lt;=12*'🎚️ Escenario'!$C$11,1,1+$C$6))</f>
        <v>1.2</v>
      </c>
      <c r="DN58" s="237" t="n">
        <f aca="false">IF(DN56=0,0,IF(DN56&lt;=12*'🎚️ Escenario'!$C$11,1,1+$C$6))</f>
        <v>1.2</v>
      </c>
      <c r="DO58" s="237" t="n">
        <f aca="false">IF(DO56=0,0,IF(DO56&lt;=12*'🎚️ Escenario'!$C$11,1,1+$C$6))</f>
        <v>1.2</v>
      </c>
      <c r="DP58" s="237" t="n">
        <f aca="false">IF(DP56=0,0,IF(DP56&lt;=12*'🎚️ Escenario'!$C$11,1,1+$C$6))</f>
        <v>1.2</v>
      </c>
      <c r="DQ58" s="237" t="n">
        <f aca="false">IF(DQ56=0,0,IF(DQ56&lt;=12*'🎚️ Escenario'!$C$11,1,1+$C$6))</f>
        <v>1.2</v>
      </c>
      <c r="DR58" s="237" t="n">
        <f aca="false">IF(DR56=0,0,IF(DR56&lt;=12*'🎚️ Escenario'!$C$11,1,1+$C$6))</f>
        <v>1.2</v>
      </c>
      <c r="DS58" s="237" t="n">
        <f aca="false">IF(DS56=0,0,IF(DS56&lt;=12*'🎚️ Escenario'!$C$11,1,1+$C$6))</f>
        <v>1.2</v>
      </c>
      <c r="DT58" s="237" t="n">
        <f aca="false">IF(DT56=0,0,IF(DT56&lt;=12*'🎚️ Escenario'!$C$11,1,1+$C$6))</f>
        <v>1.2</v>
      </c>
      <c r="DU58" s="237" t="n">
        <f aca="false">IF(DU56=0,0,IF(DU56&lt;=12*'🎚️ Escenario'!$C$11,1,1+$C$6))</f>
        <v>1.2</v>
      </c>
      <c r="DV58" s="237" t="n">
        <f aca="false">IF(DV56=0,0,IF(DV56&lt;=12*'🎚️ Escenario'!$C$11,1,1+$C$6))</f>
        <v>1.2</v>
      </c>
      <c r="DW58" s="237" t="n">
        <f aca="false">IF(DW56=0,0,IF(DW56&lt;=12*'🎚️ Escenario'!$C$11,1,1+$C$6))</f>
        <v>1.2</v>
      </c>
      <c r="DX58" s="237" t="n">
        <f aca="false">IF(DX56=0,0,IF(DX56&lt;=12*'🎚️ Escenario'!$C$11,1,1+$C$6))</f>
        <v>1.2</v>
      </c>
      <c r="DY58" s="237" t="n">
        <f aca="false">IF(DY56=0,0,IF(DY56&lt;=12*'🎚️ Escenario'!$C$11,1,1+$C$6))</f>
        <v>1.2</v>
      </c>
      <c r="DZ58" s="237" t="n">
        <f aca="false">IF(DZ56=0,0,IF(DZ56&lt;=12*'🎚️ Escenario'!$C$11,1,1+$C$6))</f>
        <v>1.2</v>
      </c>
      <c r="EA58" s="237" t="n">
        <f aca="false">IF(EA56=0,0,IF(EA56&lt;=12*'🎚️ Escenario'!$C$11,1,1+$C$6))</f>
        <v>1.2</v>
      </c>
      <c r="EB58" s="237" t="n">
        <f aca="false">IF(EB56=0,0,IF(EB56&lt;=12*'🎚️ Escenario'!$C$11,1,1+$C$6))</f>
        <v>1.2</v>
      </c>
      <c r="EC58" s="237" t="n">
        <f aca="false">IF(EC56=0,0,IF(EC56&lt;=12*'🎚️ Escenario'!$C$11,1,1+$C$6))</f>
        <v>1.2</v>
      </c>
      <c r="ED58" s="237" t="n">
        <f aca="false">IF(ED56=0,0,IF(ED56&lt;=12*'🎚️ Escenario'!$C$11,1,1+$C$6))</f>
        <v>1.2</v>
      </c>
      <c r="EE58" s="237" t="n">
        <f aca="false">IF(EE56=0,0,IF(EE56&lt;=12*'🎚️ Escenario'!$C$11,1,1+$C$6))</f>
        <v>1.2</v>
      </c>
      <c r="EF58" s="237" t="n">
        <f aca="false">IF(EF56=0,0,IF(EF56&lt;=12*'🎚️ Escenario'!$C$11,1,1+$C$6))</f>
        <v>1.2</v>
      </c>
      <c r="EG58" s="237" t="n">
        <f aca="false">IF(EG56=0,0,IF(EG56&lt;=12*'🎚️ Escenario'!$C$11,1,1+$C$6))</f>
        <v>1.2</v>
      </c>
      <c r="EH58" s="237" t="n">
        <f aca="false">IF(EH56=0,0,IF(EH56&lt;=12*'🎚️ Escenario'!$C$11,1,1+$C$6))</f>
        <v>1.2</v>
      </c>
      <c r="EI58" s="237" t="n">
        <f aca="false">IF(EI56=0,0,IF(EI56&lt;=12*'🎚️ Escenario'!$C$11,1,1+$C$6))</f>
        <v>1.2</v>
      </c>
      <c r="EJ58" s="237" t="n">
        <f aca="false">IF(EJ56=0,0,IF(EJ56&lt;=12*'🎚️ Escenario'!$C$11,1,1+$C$6))</f>
        <v>1.2</v>
      </c>
      <c r="EK58" s="237" t="n">
        <f aca="false">IF(EK56=0,0,IF(EK56&lt;=12*'🎚️ Escenario'!$C$11,1,1+$C$6))</f>
        <v>1.2</v>
      </c>
      <c r="EL58" s="237" t="n">
        <f aca="false">IF(EL56=0,0,IF(EL56&lt;=12*'🎚️ Escenario'!$C$11,1,1+$C$6))</f>
        <v>1.2</v>
      </c>
      <c r="EM58" s="237" t="n">
        <f aca="false">IF(EM56=0,0,IF(EM56&lt;=12*'🎚️ Escenario'!$C$11,1,1+$C$6))</f>
        <v>1.2</v>
      </c>
      <c r="EN58" s="237" t="n">
        <f aca="false">IF(EN56=0,0,IF(EN56&lt;=12*'🎚️ Escenario'!$C$11,1,1+$C$6))</f>
        <v>1.2</v>
      </c>
      <c r="EO58" s="237" t="n">
        <f aca="false">IF(EO56=0,0,IF(EO56&lt;=12*'🎚️ Escenario'!$C$11,1,1+$C$6))</f>
        <v>1.2</v>
      </c>
      <c r="EP58" s="237" t="n">
        <f aca="false">IF(EP56=0,0,IF(EP56&lt;=12*'🎚️ Escenario'!$C$11,1,1+$C$6))</f>
        <v>1.2</v>
      </c>
      <c r="EQ58" s="237" t="n">
        <f aca="false">IF(EQ56=0,0,IF(EQ56&lt;=12*'🎚️ Escenario'!$C$11,1,1+$C$6))</f>
        <v>1.2</v>
      </c>
      <c r="ER58" s="237" t="n">
        <f aca="false">IF(ER56=0,0,IF(ER56&lt;=12*'🎚️ Escenario'!$C$11,1,1+$C$6))</f>
        <v>1.2</v>
      </c>
      <c r="ES58" s="238" t="n">
        <f aca="false">IF(ES56=0,0,IF(ES56&lt;=12*'🎚️ Escenario'!$C$11,1,1+$C$6))</f>
        <v>1.2</v>
      </c>
      <c r="ET58" s="238" t="n">
        <f aca="false">IF(ET56=0,0,IF(ET56&lt;=12*'🎚️ Escenario'!$C$11,1,1+$C$6))</f>
        <v>1.2</v>
      </c>
      <c r="EU58" s="238" t="n">
        <f aca="false">IF(EU56=0,0,IF(EU56&lt;=12*'🎚️ Escenario'!$C$11,1,1+$C$6))</f>
        <v>1.2</v>
      </c>
      <c r="EV58" s="238" t="n">
        <f aca="false">IF(EV56=0,0,IF(EV56&lt;=12*'🎚️ Escenario'!$C$11,1,1+$C$6))</f>
        <v>1.2</v>
      </c>
      <c r="EW58" s="238" t="n">
        <f aca="false">IF(EW56=0,0,IF(EW56&lt;=12*'🎚️ Escenario'!$C$11,1,1+$C$6))</f>
        <v>1.2</v>
      </c>
      <c r="EX58" s="238" t="n">
        <f aca="false">IF(EX56=0,0,IF(EX56&lt;=12*'🎚️ Escenario'!$C$11,1,1+$C$6))</f>
        <v>1.2</v>
      </c>
      <c r="EY58" s="238" t="n">
        <f aca="false">IF(EY56=0,0,IF(EY56&lt;=12*'🎚️ Escenario'!$C$11,1,1+$C$6))</f>
        <v>1.2</v>
      </c>
      <c r="EZ58" s="238" t="n">
        <f aca="false">IF(EZ56=0,0,IF(EZ56&lt;=12*'🎚️ Escenario'!$C$11,1,1+$C$6))</f>
        <v>1.2</v>
      </c>
      <c r="FA58" s="238" t="n">
        <f aca="false">IF(FA56=0,0,IF(FA56&lt;=12*'🎚️ Escenario'!$C$11,1,1+$C$6))</f>
        <v>1.2</v>
      </c>
      <c r="FB58" s="238" t="n">
        <f aca="false">IF(FB56=0,0,IF(FB56&lt;=12*'🎚️ Escenario'!$C$11,1,1+$C$6))</f>
        <v>1.2</v>
      </c>
      <c r="FC58" s="238" t="n">
        <f aca="false">IF(FC56=0,0,IF(FC56&lt;=12*'🎚️ Escenario'!$C$11,1,1+$C$6))</f>
        <v>1.2</v>
      </c>
      <c r="FD58" s="238" t="n">
        <f aca="false">IF(FD56=0,0,IF(FD56&lt;=12*'🎚️ Escenario'!$C$11,1,1+$C$6))</f>
        <v>1.2</v>
      </c>
      <c r="FE58" s="238" t="n">
        <f aca="false">IF(FE56=0,0,IF(FE56&lt;=12*'🎚️ Escenario'!$C$11,1,1+$C$6))</f>
        <v>1.2</v>
      </c>
      <c r="FF58" s="238" t="n">
        <f aca="false">IF(FF56=0,0,IF(FF56&lt;=12*'🎚️ Escenario'!$C$11,1,1+$C$6))</f>
        <v>1.2</v>
      </c>
      <c r="FG58" s="238" t="n">
        <f aca="false">IF(FG56=0,0,IF(FG56&lt;=12*'🎚️ Escenario'!$C$11,1,1+$C$6))</f>
        <v>1.2</v>
      </c>
      <c r="FH58" s="238" t="n">
        <f aca="false">IF(FH56=0,0,IF(FH56&lt;=12*'🎚️ Escenario'!$C$11,1,1+$C$6))</f>
        <v>1.2</v>
      </c>
      <c r="FI58" s="238" t="n">
        <f aca="false">IF(FI56=0,0,IF(FI56&lt;=12*'🎚️ Escenario'!$C$11,1,1+$C$6))</f>
        <v>1.2</v>
      </c>
      <c r="FJ58" s="238" t="n">
        <f aca="false">IF(FJ56=0,0,IF(FJ56&lt;=12*'🎚️ Escenario'!$C$11,1,1+$C$6))</f>
        <v>1.2</v>
      </c>
      <c r="FK58" s="238" t="n">
        <f aca="false">IF(FK56=0,0,IF(FK56&lt;=12*'🎚️ Escenario'!$C$11,1,1+$C$6))</f>
        <v>1.2</v>
      </c>
      <c r="FL58" s="238" t="n">
        <f aca="false">IF(FL56=0,0,IF(FL56&lt;=12*'🎚️ Escenario'!$C$11,1,1+$C$6))</f>
        <v>1.2</v>
      </c>
      <c r="FM58" s="238" t="n">
        <f aca="false">IF(FM56=0,0,IF(FM56&lt;=12*'🎚️ Escenario'!$C$11,1,1+$C$6))</f>
        <v>1.2</v>
      </c>
      <c r="FN58" s="238" t="n">
        <f aca="false">IF(FN56=0,0,IF(FN56&lt;=12*'🎚️ Escenario'!$C$11,1,1+$C$6))</f>
        <v>1.2</v>
      </c>
      <c r="FO58" s="238" t="n">
        <f aca="false">IF(FO56=0,0,IF(FO56&lt;=12*'🎚️ Escenario'!$C$11,1,1+$C$6))</f>
        <v>1.2</v>
      </c>
      <c r="FP58" s="238" t="n">
        <f aca="false">IF(FP56=0,0,IF(FP56&lt;=12*'🎚️ Escenario'!$C$11,1,1+$C$6))</f>
        <v>1.2</v>
      </c>
    </row>
    <row r="59" customFormat="false" ht="15" hidden="false" customHeight="false" outlineLevel="2" collapsed="false">
      <c r="B59" s="9" t="s">
        <v>876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36" t="n">
        <f aca="false">AC57*$AC$55*AC58*AC$38*'⑫ Roll-out Plan'!$O$11</f>
        <v>0</v>
      </c>
      <c r="AD59" s="36" t="n">
        <f aca="false">AD57*$AC$55*AD58*AD$38*'⑫ Roll-out Plan'!$O$11</f>
        <v>12.3</v>
      </c>
      <c r="AE59" s="36" t="n">
        <f aca="false">AE57*$AC$55*AE58*AE$38*'⑫ Roll-out Plan'!$O$11</f>
        <v>19.14</v>
      </c>
      <c r="AF59" s="36" t="n">
        <f aca="false">AF57*$AC$55*AF58*AF$38*'⑫ Roll-out Plan'!$O$11</f>
        <v>19.8</v>
      </c>
      <c r="AG59" s="36" t="n">
        <f aca="false">AG57*$AC$55*AG58*AG$38*'⑫ Roll-out Plan'!$O$11</f>
        <v>18.63</v>
      </c>
      <c r="AH59" s="36" t="n">
        <f aca="false">AH57*$AC$55*AH58*AH$38*'⑫ Roll-out Plan'!$O$11</f>
        <v>16.2</v>
      </c>
      <c r="AI59" s="36" t="n">
        <f aca="false">AI57*$AC$55*AI58*AI$38*'⑫ Roll-out Plan'!$O$11</f>
        <v>19.53</v>
      </c>
      <c r="AJ59" s="36" t="n">
        <f aca="false">AJ57*$AC$55*AJ58*AJ$38*'⑫ Roll-out Plan'!$O$11</f>
        <v>37.275</v>
      </c>
      <c r="AK59" s="36" t="n">
        <f aca="false">AK57*$AC$55*AK58*AK$38*'⑫ Roll-out Plan'!$O$11</f>
        <v>33.93</v>
      </c>
      <c r="AL59" s="36" t="n">
        <f aca="false">AL57*$AC$55*AL58*AL$38*'⑫ Roll-out Plan'!$O$11</f>
        <v>31.68</v>
      </c>
      <c r="AM59" s="36" t="n">
        <f aca="false">AM57*$AC$55*AM58*AM$38*'⑫ Roll-out Plan'!$O$11</f>
        <v>23.76</v>
      </c>
      <c r="AN59" s="36" t="n">
        <f aca="false">AN57*$AC$55*AN58*AN$38*'⑫ Roll-out Plan'!$O$11</f>
        <v>36.72</v>
      </c>
      <c r="AO59" s="36" t="n">
        <f aca="false">AO57*$AC$55*AO58*AO$38*'⑫ Roll-out Plan'!$O$11</f>
        <v>42.12</v>
      </c>
      <c r="AP59" s="36" t="n">
        <f aca="false">AP57*$AC$55*AP58*AP$38*'⑫ Roll-out Plan'!$O$11</f>
        <v>34.44</v>
      </c>
      <c r="AQ59" s="36" t="n">
        <f aca="false">AQ57*$AC$55*AQ58*AQ$38*'⑫ Roll-out Plan'!$O$11</f>
        <v>52.2</v>
      </c>
      <c r="AR59" s="36" t="n">
        <f aca="false">AR57*$AC$55*AR58*AR$38*'⑫ Roll-out Plan'!$O$11</f>
        <v>49.5</v>
      </c>
      <c r="AS59" s="36" t="n">
        <f aca="false">AS57*$AC$55*AS58*AS$38*'⑫ Roll-out Plan'!$O$11</f>
        <v>52.164</v>
      </c>
      <c r="AT59" s="36" t="n">
        <f aca="false">AT57*$AC$55*AT58*AT$38*'⑫ Roll-out Plan'!$O$11</f>
        <v>47.52</v>
      </c>
      <c r="AU59" s="36" t="n">
        <f aca="false">AU57*$AC$55*AU58*AU$38*'⑫ Roll-out Plan'!$O$11</f>
        <v>52.164</v>
      </c>
      <c r="AV59" s="36" t="n">
        <f aca="false">AV57*$AC$55*AV58*AV$38*'⑫ Roll-out Plan'!$O$11</f>
        <v>90.738</v>
      </c>
      <c r="AW59" s="36" t="n">
        <f aca="false">AW57*$AC$55*AW58*AW$38*'⑫ Roll-out Plan'!$O$11</f>
        <v>74.124</v>
      </c>
      <c r="AX59" s="36" t="n">
        <f aca="false">AX57*$AC$55*AX58*AX$38*'⑫ Roll-out Plan'!$O$11</f>
        <v>63.072</v>
      </c>
      <c r="AY59" s="36" t="n">
        <f aca="false">AY57*$AC$55*AY58*AY$38*'⑫ Roll-out Plan'!$O$11</f>
        <v>48.6</v>
      </c>
      <c r="AZ59" s="36" t="n">
        <f aca="false">AZ57*$AC$55*AZ58*AZ$38*'⑫ Roll-out Plan'!$O$11</f>
        <v>70.686</v>
      </c>
      <c r="BA59" s="36" t="n">
        <f aca="false">BA57*$AC$55*BA58*BA$38*'⑫ Roll-out Plan'!$O$11</f>
        <v>76.788</v>
      </c>
      <c r="BB59" s="36" t="n">
        <f aca="false">BB57*$AC$55*BB58*BB$38*'⑫ Roll-out Plan'!$O$11</f>
        <v>58.302</v>
      </c>
      <c r="BC59" s="36" t="n">
        <f aca="false">BC57*$AC$55*BC58*BC$38*'⑫ Roll-out Plan'!$O$11</f>
        <v>83.52</v>
      </c>
      <c r="BD59" s="36" t="n">
        <f aca="false">BD57*$AC$55*BD58*BD$38*'⑫ Roll-out Plan'!$O$11</f>
        <v>81.18</v>
      </c>
      <c r="BE59" s="36" t="n">
        <f aca="false">BE57*$AC$55*BE58*BE$38*'⑫ Roll-out Plan'!$O$11</f>
        <v>69.552</v>
      </c>
      <c r="BF59" s="36" t="n">
        <f aca="false">BF57*$AC$55*BF58*BF$38*'⑫ Roll-out Plan'!$O$11</f>
        <v>61.2</v>
      </c>
      <c r="BG59" s="36" t="n">
        <f aca="false">BG57*$AC$55*BG58*BG$38*'⑫ Roll-out Plan'!$O$11</f>
        <v>64.26</v>
      </c>
      <c r="BH59" s="36" t="n">
        <f aca="false">BH57*$AC$55*BH58*BH$38*'⑫ Roll-out Plan'!$O$11</f>
        <v>109.908</v>
      </c>
      <c r="BI59" s="36" t="n">
        <f aca="false">BI57*$AC$55*BI58*BI$38*'⑫ Roll-out Plan'!$O$11</f>
        <v>91.872</v>
      </c>
      <c r="BJ59" s="36" t="n">
        <f aca="false">BJ57*$AC$55*BJ58*BJ$38*'⑫ Roll-out Plan'!$O$11</f>
        <v>76.896</v>
      </c>
      <c r="BK59" s="36" t="n">
        <f aca="false">BK57*$AC$55*BK58*BK$38*'⑫ Roll-out Plan'!$O$11</f>
        <v>58.32</v>
      </c>
      <c r="BL59" s="36" t="n">
        <f aca="false">BL57*$AC$55*BL58*BL$38*'⑫ Roll-out Plan'!$O$11</f>
        <v>82.62</v>
      </c>
      <c r="BM59" s="36" t="n">
        <f aca="false">BM57*$AC$55*BM58*BM$38*'⑫ Roll-out Plan'!$O$11</f>
        <v>89.424</v>
      </c>
      <c r="BN59" s="36" t="n">
        <f aca="false">BN57*$AC$55*BN58*BN$38*'⑫ Roll-out Plan'!$O$11</f>
        <v>68.634</v>
      </c>
      <c r="BO59" s="36" t="n">
        <f aca="false">BO57*$AC$55*BO58*BO$38*'⑫ Roll-out Plan'!$O$11</f>
        <v>98.136</v>
      </c>
      <c r="BP59" s="36" t="n">
        <f aca="false">BP57*$AC$55*BP58*BP$38*'⑫ Roll-out Plan'!$O$11</f>
        <v>94.05</v>
      </c>
      <c r="BQ59" s="36" t="n">
        <f aca="false">BQ57*$AC$55*BQ58*BQ$38*'⑫ Roll-out Plan'!$O$11</f>
        <v>78.66</v>
      </c>
      <c r="BR59" s="36" t="n">
        <f aca="false">BR57*$AC$55*BR58*BR$38*'⑫ Roll-out Plan'!$O$11</f>
        <v>69.84</v>
      </c>
      <c r="BS59" s="36" t="n">
        <f aca="false">BS57*$AC$55*BS58*BS$38*'⑫ Roll-out Plan'!$O$11</f>
        <v>74.088</v>
      </c>
      <c r="BT59" s="36" t="n">
        <f aca="false">BT57*$AC$55*BT58*BT$38*'⑫ Roll-out Plan'!$O$11</f>
        <v>126.522</v>
      </c>
      <c r="BU59" s="36" t="n">
        <f aca="false">BU57*$AC$55*BU58*BU$38*'⑫ Roll-out Plan'!$O$11</f>
        <v>104.4</v>
      </c>
      <c r="BV59" s="36" t="n">
        <f aca="false">BV57*$AC$55*BV58*BV$38*'⑫ Roll-out Plan'!$O$11</f>
        <v>86.4</v>
      </c>
      <c r="BW59" s="36" t="n">
        <f aca="false">BW57*$AC$55*BW58*BW$38*'⑫ Roll-out Plan'!$O$11</f>
        <v>64.8</v>
      </c>
      <c r="BX59" s="36" t="n">
        <f aca="false">BX57*$AC$55*BX58*BX$38*'⑫ Roll-out Plan'!$O$11</f>
        <v>91.8</v>
      </c>
      <c r="BY59" s="36" t="n">
        <f aca="false">BY57*$AC$55*BY58*BY$38*'⑫ Roll-out Plan'!$O$11</f>
        <v>97.2</v>
      </c>
      <c r="BZ59" s="36" t="n">
        <f aca="false">BZ57*$AC$55*BZ58*BZ$38*'⑫ Roll-out Plan'!$O$11</f>
        <v>73.8</v>
      </c>
      <c r="CA59" s="36" t="n">
        <f aca="false">CA57*$AC$55*CA58*CA$38*'⑫ Roll-out Plan'!$O$11</f>
        <v>104.4</v>
      </c>
      <c r="CB59" s="36" t="n">
        <f aca="false">CB57*$AC$55*CB58*CB$38*'⑫ Roll-out Plan'!$O$11</f>
        <v>99</v>
      </c>
      <c r="CC59" s="36" t="n">
        <f aca="false">CC57*$AC$55*CC58*CC$38*'⑫ Roll-out Plan'!$O$11</f>
        <v>82.8</v>
      </c>
      <c r="CD59" s="36" t="n">
        <f aca="false">CD57*$AC$55*CD58*CD$38*'⑫ Roll-out Plan'!$O$11</f>
        <v>72</v>
      </c>
      <c r="CE59" s="36" t="n">
        <f aca="false">CE57*$AC$55*CE58*CE$38*'⑫ Roll-out Plan'!$O$11</f>
        <v>75.6</v>
      </c>
      <c r="CF59" s="36" t="n">
        <f aca="false">CF57*$AC$55*CF58*CF$38*'⑫ Roll-out Plan'!$O$11</f>
        <v>127.8</v>
      </c>
      <c r="CG59" s="36" t="n">
        <f aca="false">CG57*$AC$55*CG58*CG$38*'⑫ Roll-out Plan'!$O$11</f>
        <v>104.4</v>
      </c>
      <c r="CH59" s="36" t="n">
        <f aca="false">CH57*$AC$55*CH58*CH$38*'⑫ Roll-out Plan'!$O$11</f>
        <v>86.4</v>
      </c>
      <c r="CI59" s="36" t="n">
        <f aca="false">CI57*$AC$55*CI58*CI$38*'⑫ Roll-out Plan'!$O$11</f>
        <v>64.8</v>
      </c>
      <c r="CJ59" s="36" t="n">
        <f aca="false">CJ57*$AC$55*CJ58*CJ$38*'⑫ Roll-out Plan'!$O$11</f>
        <v>91.8</v>
      </c>
      <c r="CK59" s="36" t="n">
        <f aca="false">CK57*$AC$55*CK58*CK$38*'⑫ Roll-out Plan'!$O$11</f>
        <v>97.2</v>
      </c>
      <c r="CL59" s="36" t="n">
        <f aca="false">CL57*$AC$55*CL58*CL$38*'⑫ Roll-out Plan'!$O$11</f>
        <v>73.8</v>
      </c>
      <c r="CM59" s="36" t="n">
        <f aca="false">CM57*$AC$55*CM58*CM$38*'⑫ Roll-out Plan'!$O$11</f>
        <v>104.4</v>
      </c>
      <c r="CN59" s="36" t="n">
        <f aca="false">CN57*$AC$55*CN58*CN$38*'⑫ Roll-out Plan'!$O$11</f>
        <v>99</v>
      </c>
      <c r="CO59" s="36" t="n">
        <f aca="false">CO57*$AC$55*CO58*CO$38*'⑫ Roll-out Plan'!$O$11</f>
        <v>82.8</v>
      </c>
      <c r="CP59" s="36" t="n">
        <f aca="false">CP57*$AC$55*CP58*CP$38*'⑫ Roll-out Plan'!$O$11</f>
        <v>72</v>
      </c>
      <c r="CQ59" s="36" t="n">
        <f aca="false">CQ57*$AC$55*CQ58*CQ$38*'⑫ Roll-out Plan'!$O$11</f>
        <v>75.6</v>
      </c>
      <c r="CR59" s="36" t="n">
        <f aca="false">CR57*$AC$55*CR58*CR$38*'⑫ Roll-out Plan'!$O$11</f>
        <v>127.8</v>
      </c>
      <c r="CS59" s="36" t="n">
        <f aca="false">CS57*$AC$55*CS58*CS$38*'⑫ Roll-out Plan'!$O$11</f>
        <v>104.4</v>
      </c>
      <c r="CT59" s="36" t="n">
        <f aca="false">CT57*$AC$55*CT58*CT$38*'⑫ Roll-out Plan'!$O$11</f>
        <v>86.4</v>
      </c>
      <c r="CU59" s="36" t="n">
        <f aca="false">CU57*$AC$55*CU58*CU$38*'⑫ Roll-out Plan'!$O$11</f>
        <v>64.8</v>
      </c>
      <c r="CV59" s="36" t="n">
        <f aca="false">CV57*$AC$55*CV58*CV$38*'⑫ Roll-out Plan'!$O$11</f>
        <v>91.8</v>
      </c>
      <c r="CW59" s="36" t="n">
        <f aca="false">CW57*$AC$55*CW58*CW$38*'⑫ Roll-out Plan'!$O$11</f>
        <v>97.2</v>
      </c>
      <c r="CX59" s="36" t="n">
        <f aca="false">CX57*$AC$55*CX58*CX$38*'⑫ Roll-out Plan'!$O$11</f>
        <v>73.8</v>
      </c>
      <c r="CY59" s="36" t="n">
        <f aca="false">CY57*$AC$55*CY58*CY$38*'⑫ Roll-out Plan'!$O$11</f>
        <v>104.4</v>
      </c>
      <c r="CZ59" s="36" t="n">
        <f aca="false">CZ57*$AC$55*CZ58*CZ$38*'⑫ Roll-out Plan'!$O$11</f>
        <v>99</v>
      </c>
      <c r="DA59" s="36" t="n">
        <f aca="false">DA57*$AC$55*DA58*DA$38*'⑫ Roll-out Plan'!$O$11</f>
        <v>82.8</v>
      </c>
      <c r="DB59" s="36" t="n">
        <f aca="false">DB57*$AC$55*DB58*DB$38*'⑫ Roll-out Plan'!$O$11</f>
        <v>72</v>
      </c>
      <c r="DC59" s="36" t="n">
        <f aca="false">DC57*$AC$55*DC58*DC$38*'⑫ Roll-out Plan'!$O$11</f>
        <v>75.6</v>
      </c>
      <c r="DD59" s="36" t="n">
        <f aca="false">DD57*$AC$55*DD58*DD$38*'⑫ Roll-out Plan'!$O$11</f>
        <v>127.8</v>
      </c>
      <c r="DE59" s="36" t="n">
        <f aca="false">DE57*$AC$55*DE58*DE$38*'⑫ Roll-out Plan'!$O$11</f>
        <v>104.4</v>
      </c>
      <c r="DF59" s="36" t="n">
        <f aca="false">DF57*$AC$55*DF58*DF$38*'⑫ Roll-out Plan'!$O$11</f>
        <v>86.4</v>
      </c>
      <c r="DG59" s="36" t="n">
        <f aca="false">DG57*$AC$55*DG58*DG$38*'⑫ Roll-out Plan'!$O$11</f>
        <v>64.8</v>
      </c>
      <c r="DH59" s="36" t="n">
        <f aca="false">DH57*$AC$55*DH58*DH$38*'⑫ Roll-out Plan'!$O$11</f>
        <v>91.8</v>
      </c>
      <c r="DI59" s="36" t="n">
        <f aca="false">DI57*$AC$55*DI58*DI$38*'⑫ Roll-out Plan'!$O$11</f>
        <v>97.2</v>
      </c>
      <c r="DJ59" s="36" t="n">
        <f aca="false">DJ57*$AC$55*DJ58*DJ$38*'⑫ Roll-out Plan'!$O$11</f>
        <v>73.8</v>
      </c>
      <c r="DK59" s="36" t="n">
        <f aca="false">DK57*$AC$55*DK58*DK$38*'⑫ Roll-out Plan'!$O$11</f>
        <v>104.4</v>
      </c>
      <c r="DL59" s="36" t="n">
        <f aca="false">DL57*$AC$55*DL58*DL$38*'⑫ Roll-out Plan'!$O$11</f>
        <v>99</v>
      </c>
      <c r="DM59" s="36" t="n">
        <f aca="false">DM57*$AC$55*DM58*DM$38*'⑫ Roll-out Plan'!$O$11</f>
        <v>82.8</v>
      </c>
      <c r="DN59" s="36" t="n">
        <f aca="false">DN57*$AC$55*DN58*DN$38*'⑫ Roll-out Plan'!$O$11</f>
        <v>72</v>
      </c>
      <c r="DO59" s="36" t="n">
        <f aca="false">DO57*$AC$55*DO58*DO$38*'⑫ Roll-out Plan'!$O$11</f>
        <v>75.6</v>
      </c>
      <c r="DP59" s="36" t="n">
        <f aca="false">DP57*$AC$55*DP58*DP$38*'⑫ Roll-out Plan'!$O$11</f>
        <v>127.8</v>
      </c>
      <c r="DQ59" s="36" t="n">
        <f aca="false">DQ57*$AC$55*DQ58*DQ$38*'⑫ Roll-out Plan'!$O$11</f>
        <v>104.4</v>
      </c>
      <c r="DR59" s="36" t="n">
        <f aca="false">DR57*$AC$55*DR58*DR$38*'⑫ Roll-out Plan'!$O$11</f>
        <v>86.4</v>
      </c>
      <c r="DS59" s="36" t="n">
        <f aca="false">DS57*$AC$55*DS58*DS$38*'⑫ Roll-out Plan'!$O$11</f>
        <v>64.8</v>
      </c>
      <c r="DT59" s="36" t="n">
        <f aca="false">DT57*$AC$55*DT58*DT$38*'⑫ Roll-out Plan'!$O$11</f>
        <v>91.8</v>
      </c>
      <c r="DU59" s="36" t="n">
        <f aca="false">DU57*$AC$55*DU58*DU$38*'⑫ Roll-out Plan'!$O$11</f>
        <v>97.2</v>
      </c>
      <c r="DV59" s="36" t="n">
        <f aca="false">DV57*$AC$55*DV58*DV$38*'⑫ Roll-out Plan'!$O$11</f>
        <v>73.8</v>
      </c>
      <c r="DW59" s="36" t="n">
        <f aca="false">DW57*$AC$55*DW58*DW$38*'⑫ Roll-out Plan'!$O$11</f>
        <v>104.4</v>
      </c>
      <c r="DX59" s="36" t="n">
        <f aca="false">DX57*$AC$55*DX58*DX$38*'⑫ Roll-out Plan'!$O$11</f>
        <v>99</v>
      </c>
      <c r="DY59" s="36" t="n">
        <f aca="false">DY57*$AC$55*DY58*DY$38*'⑫ Roll-out Plan'!$O$11</f>
        <v>82.8</v>
      </c>
      <c r="DZ59" s="36" t="n">
        <f aca="false">DZ57*$AC$55*DZ58*DZ$38*'⑫ Roll-out Plan'!$O$11</f>
        <v>72</v>
      </c>
      <c r="EA59" s="36" t="n">
        <f aca="false">EA57*$AC$55*EA58*EA$38*'⑫ Roll-out Plan'!$O$11</f>
        <v>75.6</v>
      </c>
      <c r="EB59" s="36" t="n">
        <f aca="false">EB57*$AC$55*EB58*EB$38*'⑫ Roll-out Plan'!$O$11</f>
        <v>127.8</v>
      </c>
      <c r="EC59" s="36" t="n">
        <f aca="false">EC57*$AC$55*EC58*EC$38*'⑫ Roll-out Plan'!$O$11</f>
        <v>104.4</v>
      </c>
      <c r="ED59" s="36" t="n">
        <f aca="false">ED57*$AC$55*ED58*ED$38*'⑫ Roll-out Plan'!$O$11</f>
        <v>86.4</v>
      </c>
      <c r="EE59" s="36" t="n">
        <f aca="false">EE57*$AC$55*EE58*EE$38*'⑫ Roll-out Plan'!$O$11</f>
        <v>64.8</v>
      </c>
      <c r="EF59" s="36" t="n">
        <f aca="false">EF57*$AC$55*EF58*EF$38*'⑫ Roll-out Plan'!$O$11</f>
        <v>91.8</v>
      </c>
      <c r="EG59" s="36" t="n">
        <f aca="false">EG57*$AC$55*EG58*EG$38*'⑫ Roll-out Plan'!$O$11</f>
        <v>97.2</v>
      </c>
      <c r="EH59" s="36" t="n">
        <f aca="false">EH57*$AC$55*EH58*EH$38*'⑫ Roll-out Plan'!$O$11</f>
        <v>73.8</v>
      </c>
      <c r="EI59" s="36" t="n">
        <f aca="false">EI57*$AC$55*EI58*EI$38*'⑫ Roll-out Plan'!$O$11</f>
        <v>104.4</v>
      </c>
      <c r="EJ59" s="36" t="n">
        <f aca="false">EJ57*$AC$55*EJ58*EJ$38*'⑫ Roll-out Plan'!$O$11</f>
        <v>99</v>
      </c>
      <c r="EK59" s="36" t="n">
        <f aca="false">EK57*$AC$55*EK58*EK$38*'⑫ Roll-out Plan'!$O$11</f>
        <v>82.8</v>
      </c>
      <c r="EL59" s="36" t="n">
        <f aca="false">EL57*$AC$55*EL58*EL$38*'⑫ Roll-out Plan'!$O$11</f>
        <v>72</v>
      </c>
      <c r="EM59" s="36" t="n">
        <f aca="false">EM57*$AC$55*EM58*EM$38*'⑫ Roll-out Plan'!$O$11</f>
        <v>75.6</v>
      </c>
      <c r="EN59" s="36" t="n">
        <f aca="false">EN57*$AC$55*EN58*EN$38*'⑫ Roll-out Plan'!$O$11</f>
        <v>127.8</v>
      </c>
      <c r="EO59" s="36" t="n">
        <f aca="false">EO57*$AC$55*EO58*EO$38*'⑫ Roll-out Plan'!$O$11</f>
        <v>104.4</v>
      </c>
      <c r="EP59" s="36" t="n">
        <f aca="false">EP57*$AC$55*EP58*EP$38*'⑫ Roll-out Plan'!$O$11</f>
        <v>86.4</v>
      </c>
      <c r="EQ59" s="36" t="n">
        <f aca="false">EQ57*$AC$55*EQ58*EQ$38*'⑫ Roll-out Plan'!$O$11</f>
        <v>64.8</v>
      </c>
      <c r="ER59" s="36" t="n">
        <f aca="false">ER57*$AC$55*ER58*ER$38*'⑫ Roll-out Plan'!$O$11</f>
        <v>91.8</v>
      </c>
      <c r="ES59" s="9" t="n">
        <f aca="false">ES57*$AC$55*ES58*ES$38*'⑫ Roll-out Plan'!$O$11</f>
        <v>97.2</v>
      </c>
      <c r="ET59" s="9" t="n">
        <f aca="false">ET57*$AC$55*ET58*ET$38*'⑫ Roll-out Plan'!$O$11</f>
        <v>73.8</v>
      </c>
      <c r="EU59" s="9" t="n">
        <f aca="false">EU57*$AC$55*EU58*EU$38*'⑫ Roll-out Plan'!$O$11</f>
        <v>104.4</v>
      </c>
      <c r="EV59" s="9" t="n">
        <f aca="false">EV57*$AC$55*EV58*EV$38*'⑫ Roll-out Plan'!$O$11</f>
        <v>99</v>
      </c>
      <c r="EW59" s="9" t="n">
        <f aca="false">EW57*$AC$55*EW58*EW$38*'⑫ Roll-out Plan'!$O$11</f>
        <v>82.8</v>
      </c>
      <c r="EX59" s="9" t="n">
        <f aca="false">EX57*$AC$55*EX58*EX$38*'⑫ Roll-out Plan'!$O$11</f>
        <v>72</v>
      </c>
      <c r="EY59" s="9" t="n">
        <f aca="false">EY57*$AC$55*EY58*EY$38*'⑫ Roll-out Plan'!$O$11</f>
        <v>75.6</v>
      </c>
      <c r="EZ59" s="9" t="n">
        <f aca="false">EZ57*$AC$55*EZ58*EZ$38*'⑫ Roll-out Plan'!$O$11</f>
        <v>127.8</v>
      </c>
      <c r="FA59" s="9" t="n">
        <f aca="false">FA57*$AC$55*FA58*FA$38*'⑫ Roll-out Plan'!$O$11</f>
        <v>104.4</v>
      </c>
      <c r="FB59" s="9" t="n">
        <f aca="false">FB57*$AC$55*FB58*FB$38*'⑫ Roll-out Plan'!$O$11</f>
        <v>86.4</v>
      </c>
      <c r="FC59" s="9" t="n">
        <f aca="false">FC57*$AC$55*FC58*FC$38*'⑫ Roll-out Plan'!$O$11</f>
        <v>64.8</v>
      </c>
      <c r="FD59" s="9" t="n">
        <f aca="false">FD57*$AC$55*FD58*FD$38*'⑫ Roll-out Plan'!$O$11</f>
        <v>91.8</v>
      </c>
      <c r="FE59" s="9" t="n">
        <f aca="false">FE57*$AC$55*FE58*FE$38*'⑫ Roll-out Plan'!$O$11</f>
        <v>97.2</v>
      </c>
      <c r="FF59" s="9" t="n">
        <f aca="false">FF57*$AC$55*FF58*FF$38*'⑫ Roll-out Plan'!$O$11</f>
        <v>73.8</v>
      </c>
      <c r="FG59" s="9" t="n">
        <f aca="false">FG57*$AC$55*FG58*FG$38*'⑫ Roll-out Plan'!$O$11</f>
        <v>104.4</v>
      </c>
      <c r="FH59" s="9" t="n">
        <f aca="false">FH57*$AC$55*FH58*FH$38*'⑫ Roll-out Plan'!$O$11</f>
        <v>99</v>
      </c>
      <c r="FI59" s="9" t="n">
        <f aca="false">FI57*$AC$55*FI58*FI$38*'⑫ Roll-out Plan'!$O$11</f>
        <v>82.8</v>
      </c>
      <c r="FJ59" s="9" t="n">
        <f aca="false">FJ57*$AC$55*FJ58*FJ$38*'⑫ Roll-out Plan'!$O$11</f>
        <v>72</v>
      </c>
      <c r="FK59" s="9" t="n">
        <f aca="false">FK57*$AC$55*FK58*FK$38*'⑫ Roll-out Plan'!$O$11</f>
        <v>75.6</v>
      </c>
      <c r="FL59" s="9" t="n">
        <f aca="false">FL57*$AC$55*FL58*FL$38*'⑫ Roll-out Plan'!$O$11</f>
        <v>127.8</v>
      </c>
      <c r="FM59" s="9" t="n">
        <f aca="false">FM57*$AC$55*FM58*FM$38*'⑫ Roll-out Plan'!$O$11</f>
        <v>104.4</v>
      </c>
      <c r="FN59" s="9" t="n">
        <f aca="false">FN57*$AC$55*FN58*FN$38*'⑫ Roll-out Plan'!$O$11</f>
        <v>86.4</v>
      </c>
      <c r="FO59" s="9" t="n">
        <f aca="false">FO57*$AC$55*FO58*FO$38*'⑫ Roll-out Plan'!$O$11</f>
        <v>64.8</v>
      </c>
      <c r="FP59" s="9" t="n">
        <f aca="false">FP57*$AC$55*FP58*FP$38*'⑫ Roll-out Plan'!$O$11</f>
        <v>91.8</v>
      </c>
    </row>
    <row r="60" customFormat="false" ht="15" hidden="false" customHeight="false" outlineLevel="2" collapsed="false">
      <c r="B60" s="9" t="s">
        <v>877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112" t="n">
        <f aca="true">IFERROR(SUMPRODUCT(OFFSET($BJ$31,0,1-MIN(60,COLUMN()-29),1,MIN(60,COLUMN()-29)),OFFSET(AC59,0,-MIN(60,COLUMN()-29),1,MIN(60,COLUMN()-29))),0)</f>
        <v>0</v>
      </c>
      <c r="AD60" s="112" t="n">
        <f aca="true">IFERROR(SUMPRODUCT(OFFSET($BJ$31,0,1-MIN(60,COLUMN()-29),1,MIN(60,COLUMN()-29)),OFFSET(AD59,0,-MIN(60,COLUMN()-29),1,MIN(60,COLUMN()-29))),0)</f>
        <v>0</v>
      </c>
      <c r="AE60" s="112" t="n">
        <f aca="true">IFERROR(SUMPRODUCT(OFFSET($BJ$31,0,1-MIN(60,COLUMN()-29),1,MIN(60,COLUMN()-29)),OFFSET(AE59,0,-MIN(60,COLUMN()-29),1,MIN(60,COLUMN()-29))),0)</f>
        <v>1.5744</v>
      </c>
      <c r="AF60" s="112" t="n">
        <f aca="true">IFERROR(SUMPRODUCT(OFFSET($BJ$31,0,1-MIN(60,COLUMN()-29),1,MIN(60,COLUMN()-29)),OFFSET(AF59,0,-MIN(60,COLUMN()-29),1,MIN(60,COLUMN()-29))),0)</f>
        <v>2.6664</v>
      </c>
      <c r="AG60" s="112" t="n">
        <f aca="true">IFERROR(SUMPRODUCT(OFFSET($BJ$31,0,1-MIN(60,COLUMN()-29),1,MIN(60,COLUMN()-29)),OFFSET(AG59,0,-MIN(60,COLUMN()-29),1,MIN(60,COLUMN()-29))),0)</f>
        <v>3.146784</v>
      </c>
      <c r="AH60" s="112" t="n">
        <f aca="true">IFERROR(SUMPRODUCT(OFFSET($BJ$31,0,1-MIN(60,COLUMN()-29),1,MIN(60,COLUMN()-29)),OFFSET(AH59,0,-MIN(60,COLUMN()-29),1,MIN(60,COLUMN()-29))),0)</f>
        <v>3.319296</v>
      </c>
      <c r="AI60" s="112" t="n">
        <f aca="true">IFERROR(SUMPRODUCT(OFFSET($BJ$31,0,1-MIN(60,COLUMN()-29),1,MIN(60,COLUMN()-29)),OFFSET(AI59,0,-MIN(60,COLUMN()-29),1,MIN(60,COLUMN()-29))),0)</f>
        <v>3.20808</v>
      </c>
      <c r="AJ60" s="112" t="n">
        <f aca="true">IFERROR(SUMPRODUCT(OFFSET($BJ$31,0,1-MIN(60,COLUMN()-29),1,MIN(60,COLUMN()-29)),OFFSET(AJ59,0,-MIN(60,COLUMN()-29),1,MIN(60,COLUMN()-29))),0)</f>
        <v>3.698496</v>
      </c>
      <c r="AK60" s="112" t="n">
        <f aca="true">IFERROR(SUMPRODUCT(OFFSET($BJ$31,0,1-MIN(60,COLUMN()-29),1,MIN(60,COLUMN()-29)),OFFSET(AK59,0,-MIN(60,COLUMN()-29),1,MIN(60,COLUMN()-29))),0)</f>
        <v>6.195024</v>
      </c>
      <c r="AL60" s="112" t="n">
        <f aca="true">IFERROR(SUMPRODUCT(OFFSET($BJ$31,0,1-MIN(60,COLUMN()-29),1,MIN(60,COLUMN()-29)),OFFSET(AL59,0,-MIN(60,COLUMN()-29),1,MIN(60,COLUMN()-29))),0)</f>
        <v>6.28308</v>
      </c>
      <c r="AM60" s="112" t="n">
        <f aca="true">IFERROR(SUMPRODUCT(OFFSET($BJ$31,0,1-MIN(60,COLUMN()-29),1,MIN(60,COLUMN()-29)),OFFSET(AM59,0,-MIN(60,COLUMN()-29),1,MIN(60,COLUMN()-29))),0)</f>
        <v>6.508848</v>
      </c>
      <c r="AN60" s="112" t="n">
        <f aca="true">IFERROR(SUMPRODUCT(OFFSET($BJ$31,0,1-MIN(60,COLUMN()-29),1,MIN(60,COLUMN()-29)),OFFSET(AN59,0,-MIN(60,COLUMN()-29),1,MIN(60,COLUMN()-29))),0)</f>
        <v>5.894592</v>
      </c>
      <c r="AO60" s="112" t="n">
        <f aca="true">IFERROR(SUMPRODUCT(OFFSET($BJ$31,0,1-MIN(60,COLUMN()-29),1,MIN(60,COLUMN()-29)),OFFSET(AO59,0,-MIN(60,COLUMN()-29),1,MIN(60,COLUMN()-29))),0)</f>
        <v>7.628784</v>
      </c>
      <c r="AP60" s="112" t="n">
        <f aca="true">IFERROR(SUMPRODUCT(OFFSET($BJ$31,0,1-MIN(60,COLUMN()-29),1,MIN(60,COLUMN()-29)),OFFSET(AP59,0,-MIN(60,COLUMN()-29),1,MIN(60,COLUMN()-29))),0)</f>
        <v>8.793384</v>
      </c>
      <c r="AQ60" s="112" t="n">
        <f aca="true">IFERROR(SUMPRODUCT(OFFSET($BJ$31,0,1-MIN(60,COLUMN()-29),1,MIN(60,COLUMN()-29)),OFFSET(AQ59,0,-MIN(60,COLUMN()-29),1,MIN(60,COLUMN()-29))),0)</f>
        <v>8.93376</v>
      </c>
      <c r="AR60" s="112" t="n">
        <f aca="true">IFERROR(SUMPRODUCT(OFFSET($BJ$31,0,1-MIN(60,COLUMN()-29),1,MIN(60,COLUMN()-29)),OFFSET(AR59,0,-MIN(60,COLUMN()-29),1,MIN(60,COLUMN()-29))),0)</f>
        <v>11.68548</v>
      </c>
      <c r="AS60" s="112" t="n">
        <f aca="true">IFERROR(SUMPRODUCT(OFFSET($BJ$31,0,1-MIN(60,COLUMN()-29),1,MIN(60,COLUMN()-29)),OFFSET(AS59,0,-MIN(60,COLUMN()-29),1,MIN(60,COLUMN()-29))),0)</f>
        <v>12.010848</v>
      </c>
      <c r="AT60" s="112" t="n">
        <f aca="true">IFERROR(SUMPRODUCT(OFFSET($BJ$31,0,1-MIN(60,COLUMN()-29),1,MIN(60,COLUMN()-29)),OFFSET(AT59,0,-MIN(60,COLUMN()-29),1,MIN(60,COLUMN()-29))),0)</f>
        <v>12.946344</v>
      </c>
      <c r="AU60" s="112" t="n">
        <f aca="true">IFERROR(SUMPRODUCT(OFFSET($BJ$31,0,1-MIN(60,COLUMN()-29),1,MIN(60,COLUMN()-29)),OFFSET(AU59,0,-MIN(60,COLUMN()-29),1,MIN(60,COLUMN()-29))),0)</f>
        <v>13.0791624</v>
      </c>
      <c r="AV60" s="112" t="n">
        <f aca="true">IFERROR(SUMPRODUCT(OFFSET($BJ$31,0,1-MIN(60,COLUMN()-29),1,MIN(60,COLUMN()-29)),OFFSET(AV59,0,-MIN(60,COLUMN()-29),1,MIN(60,COLUMN()-29))),0)</f>
        <v>14.9004336</v>
      </c>
      <c r="AW60" s="112" t="n">
        <f aca="true">IFERROR(SUMPRODUCT(OFFSET($BJ$31,0,1-MIN(60,COLUMN()-29),1,MIN(60,COLUMN()-29)),OFFSET(AW59,0,-MIN(60,COLUMN()-29),1,MIN(60,COLUMN()-29))),0)</f>
        <v>20.9063856</v>
      </c>
      <c r="AX60" s="112" t="n">
        <f aca="true">IFERROR(SUMPRODUCT(OFFSET($BJ$31,0,1-MIN(60,COLUMN()-29),1,MIN(60,COLUMN()-29)),OFFSET(AX59,0,-MIN(60,COLUMN()-29),1,MIN(60,COLUMN()-29))),0)</f>
        <v>20.6031588</v>
      </c>
      <c r="AY60" s="112" t="n">
        <f aca="true">IFERROR(SUMPRODUCT(OFFSET($BJ$31,0,1-MIN(60,COLUMN()-29),1,MIN(60,COLUMN()-29)),OFFSET(AY59,0,-MIN(60,COLUMN()-29),1,MIN(60,COLUMN()-29))),0)</f>
        <v>20.26221</v>
      </c>
      <c r="AZ60" s="112" t="n">
        <f aca="true">IFERROR(SUMPRODUCT(OFFSET($BJ$31,0,1-MIN(60,COLUMN()-29),1,MIN(60,COLUMN()-29)),OFFSET(AZ59,0,-MIN(60,COLUMN()-29),1,MIN(60,COLUMN()-29))),0)</f>
        <v>19.1686416</v>
      </c>
      <c r="BA60" s="112" t="n">
        <f aca="true">IFERROR(SUMPRODUCT(OFFSET($BJ$31,0,1-MIN(60,COLUMN()-29),1,MIN(60,COLUMN()-29)),OFFSET(BA59,0,-MIN(60,COLUMN()-29),1,MIN(60,COLUMN()-29))),0)</f>
        <v>23.4321762</v>
      </c>
      <c r="BB60" s="112" t="n">
        <f aca="true">IFERROR(SUMPRODUCT(OFFSET($BJ$31,0,1-MIN(60,COLUMN()-29),1,MIN(60,COLUMN()-29)),OFFSET(BB59,0,-MIN(60,COLUMN()-29),1,MIN(60,COLUMN()-29))),0)</f>
        <v>25.2660414</v>
      </c>
      <c r="BC60" s="112" t="n">
        <f aca="true">IFERROR(SUMPRODUCT(OFFSET($BJ$31,0,1-MIN(60,COLUMN()-29),1,MIN(60,COLUMN()-29)),OFFSET(BC59,0,-MIN(60,COLUMN()-29),1,MIN(60,COLUMN()-29))),0)</f>
        <v>25.0504062</v>
      </c>
      <c r="BD60" s="112" t="n">
        <f aca="true">IFERROR(SUMPRODUCT(OFFSET($BJ$31,0,1-MIN(60,COLUMN()-29),1,MIN(60,COLUMN()-29)),OFFSET(BD59,0,-MIN(60,COLUMN()-29),1,MIN(60,COLUMN()-29))),0)</f>
        <v>29.3994654</v>
      </c>
      <c r="BE60" s="112" t="n">
        <f aca="true">IFERROR(SUMPRODUCT(OFFSET($BJ$31,0,1-MIN(60,COLUMN()-29),1,MIN(60,COLUMN()-29)),OFFSET(BE59,0,-MIN(60,COLUMN()-29),1,MIN(60,COLUMN()-29))),0)</f>
        <v>30.744051</v>
      </c>
      <c r="BF60" s="112" t="n">
        <f aca="true">IFERROR(SUMPRODUCT(OFFSET($BJ$31,0,1-MIN(60,COLUMN()-29),1,MIN(60,COLUMN()-29)),OFFSET(BF59,0,-MIN(60,COLUMN()-29),1,MIN(60,COLUMN()-29))),0)</f>
        <v>31.2700206</v>
      </c>
      <c r="BG60" s="112" t="n">
        <f aca="true">IFERROR(SUMPRODUCT(OFFSET($BJ$31,0,1-MIN(60,COLUMN()-29),1,MIN(60,COLUMN()-29)),OFFSET(BG59,0,-MIN(60,COLUMN()-29),1,MIN(60,COLUMN()-29))),0)</f>
        <v>31.2444126</v>
      </c>
      <c r="BH60" s="112" t="n">
        <f aca="true">IFERROR(SUMPRODUCT(OFFSET($BJ$31,0,1-MIN(60,COLUMN()-29),1,MIN(60,COLUMN()-29)),OFFSET(BH59,0,-MIN(60,COLUMN()-29),1,MIN(60,COLUMN()-29))),0)</f>
        <v>33.8726574</v>
      </c>
      <c r="BI60" s="112" t="n">
        <f aca="true">IFERROR(SUMPRODUCT(OFFSET($BJ$31,0,1-MIN(60,COLUMN()-29),1,MIN(60,COLUMN()-29)),OFFSET(BI59,0,-MIN(60,COLUMN()-29),1,MIN(60,COLUMN()-29))),0)</f>
        <v>41.5700982</v>
      </c>
      <c r="BJ60" s="112" t="n">
        <f aca="true">IFERROR(SUMPRODUCT(OFFSET($BJ$31,0,1-MIN(60,COLUMN()-29),1,MIN(60,COLUMN()-29)),OFFSET(BJ59,0,-MIN(60,COLUMN()-29),1,MIN(60,COLUMN()-29))),0)</f>
        <v>41.7144942</v>
      </c>
      <c r="BK60" s="112" t="n">
        <f aca="true">IFERROR(SUMPRODUCT(OFFSET($BJ$31,0,1-MIN(60,COLUMN()-29),1,MIN(60,COLUMN()-29)),OFFSET(BK59,0,-MIN(60,COLUMN()-29),1,MIN(60,COLUMN()-29))),0)</f>
        <v>41.3875566</v>
      </c>
      <c r="BL60" s="112" t="n">
        <f aca="true">IFERROR(SUMPRODUCT(OFFSET($BJ$31,0,1-MIN(60,COLUMN()-29),1,MIN(60,COLUMN()-29)),OFFSET(BL59,0,-MIN(60,COLUMN()-29),1,MIN(60,COLUMN()-29))),0)</f>
        <v>40.2784902</v>
      </c>
      <c r="BM60" s="112" t="n">
        <f aca="true">IFERROR(SUMPRODUCT(OFFSET($BJ$31,0,1-MIN(60,COLUMN()-29),1,MIN(60,COLUMN()-29)),OFFSET(BM59,0,-MIN(60,COLUMN()-29),1,MIN(60,COLUMN()-29))),0)</f>
        <v>46.3136274</v>
      </c>
      <c r="BN60" s="112" t="n">
        <f aca="true">IFERROR(SUMPRODUCT(OFFSET($BJ$31,0,1-MIN(60,COLUMN()-29),1,MIN(60,COLUMN()-29)),OFFSET(BN59,0,-MIN(60,COLUMN()-29),1,MIN(60,COLUMN()-29))),0)</f>
        <v>48.8752218</v>
      </c>
      <c r="BO60" s="112" t="n">
        <f aca="true">IFERROR(SUMPRODUCT(OFFSET($BJ$31,0,1-MIN(60,COLUMN()-29),1,MIN(60,COLUMN()-29)),OFFSET(BO59,0,-MIN(60,COLUMN()-29),1,MIN(60,COLUMN()-29))),0)</f>
        <v>48.9522618</v>
      </c>
      <c r="BP60" s="112" t="n">
        <f aca="true">IFERROR(SUMPRODUCT(OFFSET($BJ$31,0,1-MIN(60,COLUMN()-29),1,MIN(60,COLUMN()-29)),OFFSET(BP59,0,-MIN(60,COLUMN()-29),1,MIN(60,COLUMN()-29))),0)</f>
        <v>54.6424074</v>
      </c>
      <c r="BQ60" s="112" t="n">
        <f aca="true">IFERROR(SUMPRODUCT(OFFSET($BJ$31,0,1-MIN(60,COLUMN()-29),1,MIN(60,COLUMN()-29)),OFFSET(BQ59,0,-MIN(60,COLUMN()-29),1,MIN(60,COLUMN()-29))),0)</f>
        <v>56.3470398</v>
      </c>
      <c r="BR60" s="112" t="n">
        <f aca="true">IFERROR(SUMPRODUCT(OFFSET($BJ$31,0,1-MIN(60,COLUMN()-29),1,MIN(60,COLUMN()-29)),OFFSET(BR59,0,-MIN(60,COLUMN()-29),1,MIN(60,COLUMN()-29))),0)</f>
        <v>56.8822806</v>
      </c>
      <c r="BS60" s="112" t="n">
        <f aca="true">IFERROR(SUMPRODUCT(OFFSET($BJ$31,0,1-MIN(60,COLUMN()-29),1,MIN(60,COLUMN()-29)),OFFSET(BS59,0,-MIN(60,COLUMN()-29),1,MIN(60,COLUMN()-29))),0)</f>
        <v>57.1347594</v>
      </c>
      <c r="BT60" s="112" t="n">
        <f aca="true">IFERROR(SUMPRODUCT(OFFSET($BJ$31,0,1-MIN(60,COLUMN()-29),1,MIN(60,COLUMN()-29)),OFFSET(BT59,0,-MIN(60,COLUMN()-29),1,MIN(60,COLUMN()-29))),0)</f>
        <v>60.597873</v>
      </c>
      <c r="BU60" s="112" t="n">
        <f aca="true">IFERROR(SUMPRODUCT(OFFSET($BJ$31,0,1-MIN(60,COLUMN()-29),1,MIN(60,COLUMN()-29)),OFFSET(BU59,0,-MIN(60,COLUMN()-29),1,MIN(60,COLUMN()-29))),0)</f>
        <v>70.0010802</v>
      </c>
      <c r="BV60" s="112" t="n">
        <f aca="true">IFERROR(SUMPRODUCT(OFFSET($BJ$31,0,1-MIN(60,COLUMN()-29),1,MIN(60,COLUMN()-29)),OFFSET(BV59,0,-MIN(60,COLUMN()-29),1,MIN(60,COLUMN()-29))),0)</f>
        <v>70.1943282</v>
      </c>
      <c r="BW60" s="112" t="n">
        <f aca="true">IFERROR(SUMPRODUCT(OFFSET($BJ$31,0,1-MIN(60,COLUMN()-29),1,MIN(60,COLUMN()-29)),OFFSET(BW59,0,-MIN(60,COLUMN()-29),1,MIN(60,COLUMN()-29))),0)</f>
        <v>69.746085</v>
      </c>
      <c r="BX60" s="112" t="n">
        <f aca="true">IFERROR(SUMPRODUCT(OFFSET($BJ$31,0,1-MIN(60,COLUMN()-29),1,MIN(60,COLUMN()-29)),OFFSET(BX59,0,-MIN(60,COLUMN()-29),1,MIN(60,COLUMN()-29))),0)</f>
        <v>68.4035658</v>
      </c>
      <c r="BY60" s="112" t="n">
        <f aca="true">IFERROR(SUMPRODUCT(OFFSET($BJ$31,0,1-MIN(60,COLUMN()-29),1,MIN(60,COLUMN()-29)),OFFSET(BY59,0,-MIN(60,COLUMN()-29),1,MIN(60,COLUMN()-29))),0)</f>
        <v>75.2669442</v>
      </c>
      <c r="BZ60" s="112" t="n">
        <f aca="true">IFERROR(SUMPRODUCT(OFFSET($BJ$31,0,1-MIN(60,COLUMN()-29),1,MIN(60,COLUMN()-29)),OFFSET(BZ59,0,-MIN(60,COLUMN()-29),1,MIN(60,COLUMN()-29))),0)</f>
        <v>77.9781474</v>
      </c>
      <c r="CA60" s="112" t="n">
        <f aca="true">IFERROR(SUMPRODUCT(OFFSET($BJ$31,0,1-MIN(60,COLUMN()-29),1,MIN(60,COLUMN()-29)),OFFSET(CA59,0,-MIN(60,COLUMN()-29),1,MIN(60,COLUMN()-29))),0)</f>
        <v>77.9646906</v>
      </c>
      <c r="CB60" s="112" t="n">
        <f aca="true">IFERROR(SUMPRODUCT(OFFSET($BJ$31,0,1-MIN(60,COLUMN()-29),1,MIN(60,COLUMN()-29)),OFFSET(CB59,0,-MIN(60,COLUMN()-29),1,MIN(60,COLUMN()-29))),0)</f>
        <v>83.7690786</v>
      </c>
      <c r="CC60" s="112" t="n">
        <f aca="true">IFERROR(SUMPRODUCT(OFFSET($BJ$31,0,1-MIN(60,COLUMN()-29),1,MIN(60,COLUMN()-29)),OFFSET(CC59,0,-MIN(60,COLUMN()-29),1,MIN(60,COLUMN()-29))),0)</f>
        <v>85.1942394</v>
      </c>
      <c r="CD60" s="112" t="n">
        <f aca="true">IFERROR(SUMPRODUCT(OFFSET($BJ$31,0,1-MIN(60,COLUMN()-29),1,MIN(60,COLUMN()-29)),OFFSET(CD59,0,-MIN(60,COLUMN()-29),1,MIN(60,COLUMN()-29))),0)</f>
        <v>85.571343</v>
      </c>
      <c r="CE60" s="112" t="n">
        <f aca="true">IFERROR(SUMPRODUCT(OFFSET($BJ$31,0,1-MIN(60,COLUMN()-29),1,MIN(60,COLUMN()-29)),OFFSET(CE59,0,-MIN(60,COLUMN()-29),1,MIN(60,COLUMN()-29))),0)</f>
        <v>85.5075906</v>
      </c>
      <c r="CF60" s="112" t="n">
        <f aca="true">IFERROR(SUMPRODUCT(OFFSET($BJ$31,0,1-MIN(60,COLUMN()-29),1,MIN(60,COLUMN()-29)),OFFSET(CF59,0,-MIN(60,COLUMN()-29),1,MIN(60,COLUMN()-29))),0)</f>
        <v>89.012943</v>
      </c>
      <c r="CG60" s="112" t="n">
        <f aca="true">IFERROR(SUMPRODUCT(OFFSET($BJ$31,0,1-MIN(60,COLUMN()-29),1,MIN(60,COLUMN()-29)),OFFSET(CG59,0,-MIN(60,COLUMN()-29),1,MIN(60,COLUMN()-29))),0)</f>
        <v>98.1522</v>
      </c>
      <c r="CH60" s="112" t="n">
        <f aca="true">IFERROR(SUMPRODUCT(OFFSET($BJ$31,0,1-MIN(60,COLUMN()-29),1,MIN(60,COLUMN()-29)),OFFSET(CH59,0,-MIN(60,COLUMN()-29),1,MIN(60,COLUMN()-29))),0)</f>
        <v>97.771518</v>
      </c>
      <c r="CI60" s="112" t="n">
        <f aca="true">IFERROR(SUMPRODUCT(OFFSET($BJ$31,0,1-MIN(60,COLUMN()-29),1,MIN(60,COLUMN()-29)),OFFSET(CI59,0,-MIN(60,COLUMN()-29),1,MIN(60,COLUMN()-29))),0)</f>
        <v>96.8373324</v>
      </c>
      <c r="CJ60" s="112" t="n">
        <f aca="true">IFERROR(SUMPRODUCT(OFFSET($BJ$31,0,1-MIN(60,COLUMN()-29),1,MIN(60,COLUMN()-29)),OFFSET(CJ59,0,-MIN(60,COLUMN()-29),1,MIN(60,COLUMN()-29))),0)</f>
        <v>95.2625052</v>
      </c>
      <c r="CK60" s="112" t="n">
        <f aca="true">IFERROR(SUMPRODUCT(OFFSET($BJ$31,0,1-MIN(60,COLUMN()-29),1,MIN(60,COLUMN()-29)),OFFSET(CK59,0,-MIN(60,COLUMN()-29),1,MIN(60,COLUMN()-29))),0)</f>
        <v>101.961036</v>
      </c>
      <c r="CL60" s="112" t="n">
        <f aca="true">IFERROR(SUMPRODUCT(OFFSET($BJ$31,0,1-MIN(60,COLUMN()-29),1,MIN(60,COLUMN()-29)),OFFSET(CL59,0,-MIN(60,COLUMN()-29),1,MIN(60,COLUMN()-29))),0)</f>
        <v>104.199876</v>
      </c>
      <c r="CM60" s="112" t="n">
        <f aca="true">IFERROR(SUMPRODUCT(OFFSET($BJ$31,0,1-MIN(60,COLUMN()-29),1,MIN(60,COLUMN()-29)),OFFSET(CM59,0,-MIN(60,COLUMN()-29),1,MIN(60,COLUMN()-29))),0)</f>
        <v>103.834476</v>
      </c>
      <c r="CN60" s="112" t="n">
        <f aca="true">IFERROR(SUMPRODUCT(OFFSET($BJ$31,0,1-MIN(60,COLUMN()-29),1,MIN(60,COLUMN()-29)),OFFSET(CN59,0,-MIN(60,COLUMN()-29),1,MIN(60,COLUMN()-29))),0)</f>
        <v>108.97218</v>
      </c>
      <c r="CO60" s="112" t="n">
        <f aca="true">IFERROR(SUMPRODUCT(OFFSET($BJ$31,0,1-MIN(60,COLUMN()-29),1,MIN(60,COLUMN()-29)),OFFSET(CO59,0,-MIN(60,COLUMN()-29),1,MIN(60,COLUMN()-29))),0)</f>
        <v>109.81404</v>
      </c>
      <c r="CP60" s="112" t="n">
        <f aca="true">IFERROR(SUMPRODUCT(OFFSET($BJ$31,0,1-MIN(60,COLUMN()-29),1,MIN(60,COLUMN()-29)),OFFSET(CP59,0,-MIN(60,COLUMN()-29),1,MIN(60,COLUMN()-29))),0)</f>
        <v>109.524348</v>
      </c>
      <c r="CQ60" s="112" t="n">
        <f aca="true">IFERROR(SUMPRODUCT(OFFSET($BJ$31,0,1-MIN(60,COLUMN()-29),1,MIN(60,COLUMN()-29)),OFFSET(CQ59,0,-MIN(60,COLUMN()-29),1,MIN(60,COLUMN()-29))),0)</f>
        <v>108.783828</v>
      </c>
      <c r="CR60" s="112" t="n">
        <f aca="true">IFERROR(SUMPRODUCT(OFFSET($BJ$31,0,1-MIN(60,COLUMN()-29),1,MIN(60,COLUMN()-29)),OFFSET(CR59,0,-MIN(60,COLUMN()-29),1,MIN(60,COLUMN()-29))),0)</f>
        <v>111.627576</v>
      </c>
      <c r="CS60" s="112" t="n">
        <f aca="true">IFERROR(SUMPRODUCT(OFFSET($BJ$31,0,1-MIN(60,COLUMN()-29),1,MIN(60,COLUMN()-29)),OFFSET(CS59,0,-MIN(60,COLUMN()-29),1,MIN(60,COLUMN()-29))),0)</f>
        <v>119.494746</v>
      </c>
      <c r="CT60" s="112" t="n">
        <f aca="true">IFERROR(SUMPRODUCT(OFFSET($BJ$31,0,1-MIN(60,COLUMN()-29),1,MIN(60,COLUMN()-29)),OFFSET(CT59,0,-MIN(60,COLUMN()-29),1,MIN(60,COLUMN()-29))),0)</f>
        <v>118.073574</v>
      </c>
      <c r="CU60" s="112" t="n">
        <f aca="true">IFERROR(SUMPRODUCT(OFFSET($BJ$31,0,1-MIN(60,COLUMN()-29),1,MIN(60,COLUMN()-29)),OFFSET(CU59,0,-MIN(60,COLUMN()-29),1,MIN(60,COLUMN()-29))),0)</f>
        <v>116.253702</v>
      </c>
      <c r="CV60" s="112" t="n">
        <f aca="true">IFERROR(SUMPRODUCT(OFFSET($BJ$31,0,1-MIN(60,COLUMN()-29),1,MIN(60,COLUMN()-29)),OFFSET(CV59,0,-MIN(60,COLUMN()-29),1,MIN(60,COLUMN()-29))),0)</f>
        <v>113.992398</v>
      </c>
      <c r="CW60" s="112" t="n">
        <f aca="true">IFERROR(SUMPRODUCT(OFFSET($BJ$31,0,1-MIN(60,COLUMN()-29),1,MIN(60,COLUMN()-29)),OFFSET(CW59,0,-MIN(60,COLUMN()-29),1,MIN(60,COLUMN()-29))),0)</f>
        <v>119.68002</v>
      </c>
      <c r="CX60" s="112" t="n">
        <f aca="true">IFERROR(SUMPRODUCT(OFFSET($BJ$31,0,1-MIN(60,COLUMN()-29),1,MIN(60,COLUMN()-29)),OFFSET(CX59,0,-MIN(60,COLUMN()-29),1,MIN(60,COLUMN()-29))),0)</f>
        <v>120.792312</v>
      </c>
      <c r="CY60" s="112" t="n">
        <f aca="true">IFERROR(SUMPRODUCT(OFFSET($BJ$31,0,1-MIN(60,COLUMN()-29),1,MIN(60,COLUMN()-29)),OFFSET(CY59,0,-MIN(60,COLUMN()-29),1,MIN(60,COLUMN()-29))),0)</f>
        <v>119.750166</v>
      </c>
      <c r="CZ60" s="112" t="n">
        <f aca="true">IFERROR(SUMPRODUCT(OFFSET($BJ$31,0,1-MIN(60,COLUMN()-29),1,MIN(60,COLUMN()-29)),OFFSET(CZ59,0,-MIN(60,COLUMN()-29),1,MIN(60,COLUMN()-29))),0)</f>
        <v>123.942006</v>
      </c>
      <c r="DA60" s="112" t="n">
        <f aca="true">IFERROR(SUMPRODUCT(OFFSET($BJ$31,0,1-MIN(60,COLUMN()-29),1,MIN(60,COLUMN()-29)),OFFSET(DA59,0,-MIN(60,COLUMN()-29),1,MIN(60,COLUMN()-29))),0)</f>
        <v>123.880986</v>
      </c>
      <c r="DB60" s="112" t="n">
        <f aca="true">IFERROR(SUMPRODUCT(OFFSET($BJ$31,0,1-MIN(60,COLUMN()-29),1,MIN(60,COLUMN()-29)),OFFSET(DB59,0,-MIN(60,COLUMN()-29),1,MIN(60,COLUMN()-29))),0)</f>
        <v>122.8475844</v>
      </c>
      <c r="DC60" s="112" t="n">
        <f aca="true">IFERROR(SUMPRODUCT(OFFSET($BJ$31,0,1-MIN(60,COLUMN()-29),1,MIN(60,COLUMN()-29)),OFFSET(DC59,0,-MIN(60,COLUMN()-29),1,MIN(60,COLUMN()-29))),0)</f>
        <v>121.4508564</v>
      </c>
      <c r="DD60" s="112" t="n">
        <f aca="true">IFERROR(SUMPRODUCT(OFFSET($BJ$31,0,1-MIN(60,COLUMN()-29),1,MIN(60,COLUMN()-29)),OFFSET(DD59,0,-MIN(60,COLUMN()-29),1,MIN(60,COLUMN()-29))),0)</f>
        <v>123.6432348</v>
      </c>
      <c r="DE60" s="112" t="n">
        <f aca="true">IFERROR(SUMPRODUCT(OFFSET($BJ$31,0,1-MIN(60,COLUMN()-29),1,MIN(60,COLUMN()-29)),OFFSET(DE59,0,-MIN(60,COLUMN()-29),1,MIN(60,COLUMN()-29))),0)</f>
        <v>130.4529876</v>
      </c>
      <c r="DF60" s="112" t="n">
        <f aca="true">IFERROR(SUMPRODUCT(OFFSET($BJ$31,0,1-MIN(60,COLUMN()-29),1,MIN(60,COLUMN()-29)),OFFSET(DF59,0,-MIN(60,COLUMN()-29),1,MIN(60,COLUMN()-29))),0)</f>
        <v>128.186802</v>
      </c>
      <c r="DG60" s="112" t="n">
        <f aca="true">IFERROR(SUMPRODUCT(OFFSET($BJ$31,0,1-MIN(60,COLUMN()-29),1,MIN(60,COLUMN()-29)),OFFSET(DG59,0,-MIN(60,COLUMN()-29),1,MIN(60,COLUMN()-29))),0)</f>
        <v>125.7075252</v>
      </c>
      <c r="DH60" s="112" t="n">
        <f aca="true">IFERROR(SUMPRODUCT(OFFSET($BJ$31,0,1-MIN(60,COLUMN()-29),1,MIN(60,COLUMN()-29)),OFFSET(DH59,0,-MIN(60,COLUMN()-29),1,MIN(60,COLUMN()-29))),0)</f>
        <v>122.9427252</v>
      </c>
      <c r="DI60" s="112" t="n">
        <f aca="true">IFERROR(SUMPRODUCT(OFFSET($BJ$31,0,1-MIN(60,COLUMN()-29),1,MIN(60,COLUMN()-29)),OFFSET(DI59,0,-MIN(60,COLUMN()-29),1,MIN(60,COLUMN()-29))),0)</f>
        <v>127.9622268</v>
      </c>
      <c r="DJ60" s="112" t="n">
        <f aca="true">IFERROR(SUMPRODUCT(OFFSET($BJ$31,0,1-MIN(60,COLUMN()-29),1,MIN(60,COLUMN()-29)),OFFSET(DJ59,0,-MIN(60,COLUMN()-29),1,MIN(60,COLUMN()-29))),0)</f>
        <v>128.3857596</v>
      </c>
      <c r="DK60" s="112" t="n">
        <f aca="true">IFERROR(SUMPRODUCT(OFFSET($BJ$31,0,1-MIN(60,COLUMN()-29),1,MIN(60,COLUMN()-29)),OFFSET(DK59,0,-MIN(60,COLUMN()-29),1,MIN(60,COLUMN()-29))),0)</f>
        <v>126.8450208</v>
      </c>
      <c r="DL60" s="112" t="n">
        <f aca="true">IFERROR(SUMPRODUCT(OFFSET($BJ$31,0,1-MIN(60,COLUMN()-29),1,MIN(60,COLUMN()-29)),OFFSET(DL59,0,-MIN(60,COLUMN()-29),1,MIN(60,COLUMN()-29))),0)</f>
        <v>130.3666128</v>
      </c>
      <c r="DM60" s="112" t="n">
        <f aca="true">IFERROR(SUMPRODUCT(OFFSET($BJ$31,0,1-MIN(60,COLUMN()-29),1,MIN(60,COLUMN()-29)),OFFSET(DM59,0,-MIN(60,COLUMN()-29),1,MIN(60,COLUMN()-29))),0)</f>
        <v>129.6563508</v>
      </c>
      <c r="DN60" s="112" t="n">
        <f aca="true">IFERROR(SUMPRODUCT(OFFSET($BJ$31,0,1-MIN(60,COLUMN()-29),1,MIN(60,COLUMN()-29)),OFFSET(DN59,0,-MIN(60,COLUMN()-29),1,MIN(60,COLUMN()-29))),0)</f>
        <v>128.235942</v>
      </c>
      <c r="DO60" s="112" t="n">
        <f aca="true">IFERROR(SUMPRODUCT(OFFSET($BJ$31,0,1-MIN(60,COLUMN()-29),1,MIN(60,COLUMN()-29)),OFFSET(DO59,0,-MIN(60,COLUMN()-29),1,MIN(60,COLUMN()-29))),0)</f>
        <v>126.512622</v>
      </c>
      <c r="DP60" s="112" t="n">
        <f aca="true">IFERROR(SUMPRODUCT(OFFSET($BJ$31,0,1-MIN(60,COLUMN()-29),1,MIN(60,COLUMN()-29)),OFFSET(DP59,0,-MIN(60,COLUMN()-29),1,MIN(60,COLUMN()-29))),0)</f>
        <v>128.383398</v>
      </c>
      <c r="DQ60" s="112" t="n">
        <f aca="true">IFERROR(SUMPRODUCT(OFFSET($BJ$31,0,1-MIN(60,COLUMN()-29),1,MIN(60,COLUMN()-29)),OFFSET(DQ59,0,-MIN(60,COLUMN()-29),1,MIN(60,COLUMN()-29))),0)</f>
        <v>134.6678928</v>
      </c>
      <c r="DR60" s="112" t="n">
        <f aca="true">IFERROR(SUMPRODUCT(OFFSET($BJ$31,0,1-MIN(60,COLUMN()-29),1,MIN(60,COLUMN()-29)),OFFSET(DR59,0,-MIN(60,COLUMN()-29),1,MIN(60,COLUMN()-29))),0)</f>
        <v>131.958216</v>
      </c>
      <c r="DS60" s="112" t="n">
        <f aca="true">IFERROR(SUMPRODUCT(OFFSET($BJ$31,0,1-MIN(60,COLUMN()-29),1,MIN(60,COLUMN()-29)),OFFSET(DS59,0,-MIN(60,COLUMN()-29),1,MIN(60,COLUMN()-29))),0)</f>
        <v>129.1373136</v>
      </c>
      <c r="DT60" s="112" t="n">
        <f aca="true">IFERROR(SUMPRODUCT(OFFSET($BJ$31,0,1-MIN(60,COLUMN()-29),1,MIN(60,COLUMN()-29)),OFFSET(DT59,0,-MIN(60,COLUMN()-29),1,MIN(60,COLUMN()-29))),0)</f>
        <v>126.1353456</v>
      </c>
      <c r="DU60" s="112" t="n">
        <f aca="true">IFERROR(SUMPRODUCT(OFFSET($BJ$31,0,1-MIN(60,COLUMN()-29),1,MIN(60,COLUMN()-29)),OFFSET(DU59,0,-MIN(60,COLUMN()-29),1,MIN(60,COLUMN()-29))),0)</f>
        <v>130.8452976</v>
      </c>
      <c r="DV60" s="112" t="n">
        <f aca="true">IFERROR(SUMPRODUCT(OFFSET($BJ$31,0,1-MIN(60,COLUMN()-29),1,MIN(60,COLUMN()-29)),OFFSET(DV59,0,-MIN(60,COLUMN()-29),1,MIN(60,COLUMN()-29))),0)</f>
        <v>130.970232</v>
      </c>
      <c r="DW60" s="112" t="n">
        <f aca="true">IFERROR(SUMPRODUCT(OFFSET($BJ$31,0,1-MIN(60,COLUMN()-29),1,MIN(60,COLUMN()-29)),OFFSET(DW59,0,-MIN(60,COLUMN()-29),1,MIN(60,COLUMN()-29))),0)</f>
        <v>129.2032224</v>
      </c>
      <c r="DX60" s="112" t="n">
        <f aca="true">IFERROR(SUMPRODUCT(OFFSET($BJ$31,0,1-MIN(60,COLUMN()-29),1,MIN(60,COLUMN()-29)),OFFSET(DX59,0,-MIN(60,COLUMN()-29),1,MIN(60,COLUMN()-29))),0)</f>
        <v>132.420384</v>
      </c>
      <c r="DY60" s="112" t="n">
        <f aca="true">IFERROR(SUMPRODUCT(OFFSET($BJ$31,0,1-MIN(60,COLUMN()-29),1,MIN(60,COLUMN()-29)),OFFSET(DY59,0,-MIN(60,COLUMN()-29),1,MIN(60,COLUMN()-29))),0)</f>
        <v>131.450544</v>
      </c>
      <c r="DZ60" s="112" t="n">
        <f aca="true">IFERROR(SUMPRODUCT(OFFSET($BJ$31,0,1-MIN(60,COLUMN()-29),1,MIN(60,COLUMN()-29)),OFFSET(DZ59,0,-MIN(60,COLUMN()-29),1,MIN(60,COLUMN()-29))),0)</f>
        <v>129.83688</v>
      </c>
      <c r="EA60" s="112" t="n">
        <f aca="true">IFERROR(SUMPRODUCT(OFFSET($BJ$31,0,1-MIN(60,COLUMN()-29),1,MIN(60,COLUMN()-29)),OFFSET(EA59,0,-MIN(60,COLUMN()-29),1,MIN(60,COLUMN()-29))),0)</f>
        <v>127.956744</v>
      </c>
      <c r="EB60" s="112" t="n">
        <f aca="true">IFERROR(SUMPRODUCT(OFFSET($BJ$31,0,1-MIN(60,COLUMN()-29),1,MIN(60,COLUMN()-29)),OFFSET(EB59,0,-MIN(60,COLUMN()-29),1,MIN(60,COLUMN()-29))),0)</f>
        <v>129.6633168</v>
      </c>
      <c r="EC60" s="112" t="n">
        <f aca="true">IFERROR(SUMPRODUCT(OFFSET($BJ$31,0,1-MIN(60,COLUMN()-29),1,MIN(60,COLUMN()-29)),OFFSET(EC59,0,-MIN(60,COLUMN()-29),1,MIN(60,COLUMN()-29))),0)</f>
        <v>135.6894</v>
      </c>
      <c r="ED60" s="112" t="n">
        <f aca="true">IFERROR(SUMPRODUCT(OFFSET($BJ$31,0,1-MIN(60,COLUMN()-29),1,MIN(60,COLUMN()-29)),OFFSET(ED59,0,-MIN(60,COLUMN()-29),1,MIN(60,COLUMN()-29))),0)</f>
        <v>132.79932</v>
      </c>
      <c r="EE60" s="112" t="n">
        <f aca="true">IFERROR(SUMPRODUCT(OFFSET($BJ$31,0,1-MIN(60,COLUMN()-29),1,MIN(60,COLUMN()-29)),OFFSET(EE59,0,-MIN(60,COLUMN()-29),1,MIN(60,COLUMN()-29))),0)</f>
        <v>129.84156</v>
      </c>
      <c r="EF60" s="112" t="n">
        <f aca="true">IFERROR(SUMPRODUCT(OFFSET($BJ$31,0,1-MIN(60,COLUMN()-29),1,MIN(60,COLUMN()-29)),OFFSET(EF59,0,-MIN(60,COLUMN()-29),1,MIN(60,COLUMN()-29))),0)</f>
        <v>126.74628</v>
      </c>
      <c r="EG60" s="112" t="n">
        <f aca="true">IFERROR(SUMPRODUCT(OFFSET($BJ$31,0,1-MIN(60,COLUMN()-29),1,MIN(60,COLUMN()-29)),OFFSET(EG59,0,-MIN(60,COLUMN()-29),1,MIN(60,COLUMN()-29))),0)</f>
        <v>131.32404</v>
      </c>
      <c r="EH60" s="112" t="n">
        <f aca="true">IFERROR(SUMPRODUCT(OFFSET($BJ$31,0,1-MIN(60,COLUMN()-29),1,MIN(60,COLUMN()-29)),OFFSET(EH59,0,-MIN(60,COLUMN()-29),1,MIN(60,COLUMN()-29))),0)</f>
        <v>131.337</v>
      </c>
      <c r="EI60" s="112" t="n">
        <f aca="true">IFERROR(SUMPRODUCT(OFFSET($BJ$31,0,1-MIN(60,COLUMN()-29),1,MIN(60,COLUMN()-29)),OFFSET(EI59,0,-MIN(60,COLUMN()-29),1,MIN(60,COLUMN()-29))),0)</f>
        <v>129.4956</v>
      </c>
      <c r="EJ60" s="112" t="n">
        <f aca="true">IFERROR(SUMPRODUCT(OFFSET($BJ$31,0,1-MIN(60,COLUMN()-29),1,MIN(60,COLUMN()-29)),OFFSET(EJ59,0,-MIN(60,COLUMN()-29),1,MIN(60,COLUMN()-29))),0)</f>
        <v>132.62256</v>
      </c>
      <c r="EK60" s="112" t="n">
        <f aca="true">IFERROR(SUMPRODUCT(OFFSET($BJ$31,0,1-MIN(60,COLUMN()-29),1,MIN(60,COLUMN()-29)),OFFSET(EK59,0,-MIN(60,COLUMN()-29),1,MIN(60,COLUMN()-29))),0)</f>
        <v>131.58144</v>
      </c>
      <c r="EL60" s="112" t="n">
        <f aca="true">IFERROR(SUMPRODUCT(OFFSET($BJ$31,0,1-MIN(60,COLUMN()-29),1,MIN(60,COLUMN()-29)),OFFSET(EL59,0,-MIN(60,COLUMN()-29),1,MIN(60,COLUMN()-29))),0)</f>
        <v>129.90816</v>
      </c>
      <c r="EM60" s="112" t="n">
        <f aca="true">IFERROR(SUMPRODUCT(OFFSET($BJ$31,0,1-MIN(60,COLUMN()-29),1,MIN(60,COLUMN()-29)),OFFSET(EM59,0,-MIN(60,COLUMN()-29),1,MIN(60,COLUMN()-29))),0)</f>
        <v>127.99692</v>
      </c>
      <c r="EN60" s="112" t="n">
        <f aca="true">IFERROR(SUMPRODUCT(OFFSET($BJ$31,0,1-MIN(60,COLUMN()-29),1,MIN(60,COLUMN()-29)),OFFSET(EN59,0,-MIN(60,COLUMN()-29),1,MIN(60,COLUMN()-29))),0)</f>
        <v>129.68172</v>
      </c>
      <c r="EO60" s="112" t="n">
        <f aca="true">IFERROR(SUMPRODUCT(OFFSET($BJ$31,0,1-MIN(60,COLUMN()-29),1,MIN(60,COLUMN()-29)),OFFSET(EO59,0,-MIN(60,COLUMN()-29),1,MIN(60,COLUMN()-29))),0)</f>
        <v>135.6894</v>
      </c>
      <c r="EP60" s="112" t="n">
        <f aca="true">IFERROR(SUMPRODUCT(OFFSET($BJ$31,0,1-MIN(60,COLUMN()-29),1,MIN(60,COLUMN()-29)),OFFSET(EP59,0,-MIN(60,COLUMN()-29),1,MIN(60,COLUMN()-29))),0)</f>
        <v>132.79932</v>
      </c>
      <c r="EQ60" s="112" t="n">
        <f aca="true">IFERROR(SUMPRODUCT(OFFSET($BJ$31,0,1-MIN(60,COLUMN()-29),1,MIN(60,COLUMN()-29)),OFFSET(EQ59,0,-MIN(60,COLUMN()-29),1,MIN(60,COLUMN()-29))),0)</f>
        <v>129.84156</v>
      </c>
      <c r="ER60" s="112" t="n">
        <f aca="true">IFERROR(SUMPRODUCT(OFFSET($BJ$31,0,1-MIN(60,COLUMN()-29),1,MIN(60,COLUMN()-29)),OFFSET(ER59,0,-MIN(60,COLUMN()-29),1,MIN(60,COLUMN()-29))),0)</f>
        <v>126.74628</v>
      </c>
      <c r="ES60" s="9" t="n">
        <f aca="true">IFERROR(SUMPRODUCT(OFFSET($BJ$31,0,1-MIN(60,COLUMN()-29),1,MIN(60,COLUMN()-29)),OFFSET(ES59,0,-MIN(60,COLUMN()-29),1,MIN(60,COLUMN()-29))),0)</f>
        <v>131.32404</v>
      </c>
      <c r="ET60" s="9" t="n">
        <f aca="true">IFERROR(SUMPRODUCT(OFFSET($BJ$31,0,1-MIN(60,COLUMN()-29),1,MIN(60,COLUMN()-29)),OFFSET(ET59,0,-MIN(60,COLUMN()-29),1,MIN(60,COLUMN()-29))),0)</f>
        <v>131.337</v>
      </c>
      <c r="EU60" s="9" t="n">
        <f aca="true">IFERROR(SUMPRODUCT(OFFSET($BJ$31,0,1-MIN(60,COLUMN()-29),1,MIN(60,COLUMN()-29)),OFFSET(EU59,0,-MIN(60,COLUMN()-29),1,MIN(60,COLUMN()-29))),0)</f>
        <v>129.4956</v>
      </c>
      <c r="EV60" s="9" t="n">
        <f aca="true">IFERROR(SUMPRODUCT(OFFSET($BJ$31,0,1-MIN(60,COLUMN()-29),1,MIN(60,COLUMN()-29)),OFFSET(EV59,0,-MIN(60,COLUMN()-29),1,MIN(60,COLUMN()-29))),0)</f>
        <v>132.62256</v>
      </c>
      <c r="EW60" s="9" t="n">
        <f aca="true">IFERROR(SUMPRODUCT(OFFSET($BJ$31,0,1-MIN(60,COLUMN()-29),1,MIN(60,COLUMN()-29)),OFFSET(EW59,0,-MIN(60,COLUMN()-29),1,MIN(60,COLUMN()-29))),0)</f>
        <v>131.58144</v>
      </c>
      <c r="EX60" s="9" t="n">
        <f aca="true">IFERROR(SUMPRODUCT(OFFSET($BJ$31,0,1-MIN(60,COLUMN()-29),1,MIN(60,COLUMN()-29)),OFFSET(EX59,0,-MIN(60,COLUMN()-29),1,MIN(60,COLUMN()-29))),0)</f>
        <v>129.90816</v>
      </c>
      <c r="EY60" s="9" t="n">
        <f aca="true">IFERROR(SUMPRODUCT(OFFSET($BJ$31,0,1-MIN(60,COLUMN()-29),1,MIN(60,COLUMN()-29)),OFFSET(EY59,0,-MIN(60,COLUMN()-29),1,MIN(60,COLUMN()-29))),0)</f>
        <v>127.99692</v>
      </c>
      <c r="EZ60" s="9" t="n">
        <f aca="true">IFERROR(SUMPRODUCT(OFFSET($BJ$31,0,1-MIN(60,COLUMN()-29),1,MIN(60,COLUMN()-29)),OFFSET(EZ59,0,-MIN(60,COLUMN()-29),1,MIN(60,COLUMN()-29))),0)</f>
        <v>129.68172</v>
      </c>
      <c r="FA60" s="9" t="n">
        <f aca="true">IFERROR(SUMPRODUCT(OFFSET($BJ$31,0,1-MIN(60,COLUMN()-29),1,MIN(60,COLUMN()-29)),OFFSET(FA59,0,-MIN(60,COLUMN()-29),1,MIN(60,COLUMN()-29))),0)</f>
        <v>135.6894</v>
      </c>
      <c r="FB60" s="9" t="n">
        <f aca="true">IFERROR(SUMPRODUCT(OFFSET($BJ$31,0,1-MIN(60,COLUMN()-29),1,MIN(60,COLUMN()-29)),OFFSET(FB59,0,-MIN(60,COLUMN()-29),1,MIN(60,COLUMN()-29))),0)</f>
        <v>132.79932</v>
      </c>
      <c r="FC60" s="9" t="n">
        <f aca="true">IFERROR(SUMPRODUCT(OFFSET($BJ$31,0,1-MIN(60,COLUMN()-29),1,MIN(60,COLUMN()-29)),OFFSET(FC59,0,-MIN(60,COLUMN()-29),1,MIN(60,COLUMN()-29))),0)</f>
        <v>129.84156</v>
      </c>
      <c r="FD60" s="9" t="n">
        <f aca="true">IFERROR(SUMPRODUCT(OFFSET($BJ$31,0,1-MIN(60,COLUMN()-29),1,MIN(60,COLUMN()-29)),OFFSET(FD59,0,-MIN(60,COLUMN()-29),1,MIN(60,COLUMN()-29))),0)</f>
        <v>126.74628</v>
      </c>
      <c r="FE60" s="9" t="n">
        <f aca="true">IFERROR(SUMPRODUCT(OFFSET($BJ$31,0,1-MIN(60,COLUMN()-29),1,MIN(60,COLUMN()-29)),OFFSET(FE59,0,-MIN(60,COLUMN()-29),1,MIN(60,COLUMN()-29))),0)</f>
        <v>131.32404</v>
      </c>
      <c r="FF60" s="9" t="n">
        <f aca="true">IFERROR(SUMPRODUCT(OFFSET($BJ$31,0,1-MIN(60,COLUMN()-29),1,MIN(60,COLUMN()-29)),OFFSET(FF59,0,-MIN(60,COLUMN()-29),1,MIN(60,COLUMN()-29))),0)</f>
        <v>131.337</v>
      </c>
      <c r="FG60" s="9" t="n">
        <f aca="true">IFERROR(SUMPRODUCT(OFFSET($BJ$31,0,1-MIN(60,COLUMN()-29),1,MIN(60,COLUMN()-29)),OFFSET(FG59,0,-MIN(60,COLUMN()-29),1,MIN(60,COLUMN()-29))),0)</f>
        <v>129.4956</v>
      </c>
      <c r="FH60" s="9" t="n">
        <f aca="true">IFERROR(SUMPRODUCT(OFFSET($BJ$31,0,1-MIN(60,COLUMN()-29),1,MIN(60,COLUMN()-29)),OFFSET(FH59,0,-MIN(60,COLUMN()-29),1,MIN(60,COLUMN()-29))),0)</f>
        <v>132.62256</v>
      </c>
      <c r="FI60" s="9" t="n">
        <f aca="true">IFERROR(SUMPRODUCT(OFFSET($BJ$31,0,1-MIN(60,COLUMN()-29),1,MIN(60,COLUMN()-29)),OFFSET(FI59,0,-MIN(60,COLUMN()-29),1,MIN(60,COLUMN()-29))),0)</f>
        <v>131.58144</v>
      </c>
      <c r="FJ60" s="9" t="n">
        <f aca="true">IFERROR(SUMPRODUCT(OFFSET($BJ$31,0,1-MIN(60,COLUMN()-29),1,MIN(60,COLUMN()-29)),OFFSET(FJ59,0,-MIN(60,COLUMN()-29),1,MIN(60,COLUMN()-29))),0)</f>
        <v>129.90816</v>
      </c>
      <c r="FK60" s="9" t="n">
        <f aca="true">IFERROR(SUMPRODUCT(OFFSET($BJ$31,0,1-MIN(60,COLUMN()-29),1,MIN(60,COLUMN()-29)),OFFSET(FK59,0,-MIN(60,COLUMN()-29),1,MIN(60,COLUMN()-29))),0)</f>
        <v>127.99692</v>
      </c>
      <c r="FL60" s="9" t="n">
        <f aca="true">IFERROR(SUMPRODUCT(OFFSET($BJ$31,0,1-MIN(60,COLUMN()-29),1,MIN(60,COLUMN()-29)),OFFSET(FL59,0,-MIN(60,COLUMN()-29),1,MIN(60,COLUMN()-29))),0)</f>
        <v>129.68172</v>
      </c>
      <c r="FM60" s="9" t="n">
        <f aca="true">IFERROR(SUMPRODUCT(OFFSET($BJ$31,0,1-MIN(60,COLUMN()-29),1,MIN(60,COLUMN()-29)),OFFSET(FM59,0,-MIN(60,COLUMN()-29),1,MIN(60,COLUMN()-29))),0)</f>
        <v>135.6894</v>
      </c>
      <c r="FN60" s="9" t="n">
        <f aca="true">IFERROR(SUMPRODUCT(OFFSET($BJ$31,0,1-MIN(60,COLUMN()-29),1,MIN(60,COLUMN()-29)),OFFSET(FN59,0,-MIN(60,COLUMN()-29),1,MIN(60,COLUMN()-29))),0)</f>
        <v>132.79932</v>
      </c>
      <c r="FO60" s="9" t="n">
        <f aca="true">IFERROR(SUMPRODUCT(OFFSET($BJ$31,0,1-MIN(60,COLUMN()-29),1,MIN(60,COLUMN()-29)),OFFSET(FO59,0,-MIN(60,COLUMN()-29),1,MIN(60,COLUMN()-29))),0)</f>
        <v>129.84156</v>
      </c>
      <c r="FP60" s="9" t="n">
        <f aca="true">IFERROR(SUMPRODUCT(OFFSET($BJ$31,0,1-MIN(60,COLUMN()-29),1,MIN(60,COLUMN()-29)),OFFSET(FP59,0,-MIN(60,COLUMN()-29),1,MIN(60,COLUMN()-29))),0)</f>
        <v>126.74628</v>
      </c>
    </row>
    <row r="61" customFormat="false" ht="15" hidden="false" customHeight="false" outlineLevel="2" collapsed="false">
      <c r="B61" s="90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237"/>
      <c r="AD61" s="237"/>
      <c r="AE61" s="237"/>
      <c r="AF61" s="237"/>
      <c r="AG61" s="237"/>
      <c r="AH61" s="237"/>
      <c r="AI61" s="237"/>
      <c r="AJ61" s="237"/>
      <c r="AK61" s="237"/>
      <c r="AL61" s="237"/>
      <c r="AM61" s="237"/>
      <c r="AN61" s="237"/>
      <c r="AO61" s="237"/>
      <c r="AP61" s="237"/>
      <c r="AQ61" s="237"/>
      <c r="AR61" s="237"/>
      <c r="AS61" s="237"/>
      <c r="AT61" s="237"/>
      <c r="AU61" s="237"/>
      <c r="AV61" s="237"/>
      <c r="AW61" s="237"/>
      <c r="AX61" s="237"/>
      <c r="AY61" s="237"/>
      <c r="AZ61" s="237"/>
      <c r="BA61" s="237"/>
      <c r="BB61" s="237"/>
      <c r="BC61" s="237"/>
      <c r="BD61" s="237"/>
      <c r="BE61" s="237"/>
      <c r="BF61" s="237"/>
      <c r="BG61" s="237"/>
      <c r="BH61" s="237"/>
      <c r="BI61" s="237"/>
      <c r="BJ61" s="237"/>
      <c r="BK61" s="237"/>
      <c r="BL61" s="237"/>
      <c r="BM61" s="237"/>
      <c r="BN61" s="237"/>
      <c r="BO61" s="237"/>
      <c r="BP61" s="237"/>
      <c r="BQ61" s="237"/>
      <c r="BR61" s="237"/>
      <c r="BS61" s="237"/>
      <c r="BT61" s="237"/>
      <c r="BU61" s="237"/>
      <c r="BV61" s="237"/>
      <c r="BW61" s="237"/>
      <c r="BX61" s="237"/>
      <c r="BY61" s="237"/>
      <c r="BZ61" s="237"/>
      <c r="CA61" s="237"/>
      <c r="CB61" s="237"/>
      <c r="CC61" s="237"/>
      <c r="CD61" s="237"/>
      <c r="CE61" s="237"/>
      <c r="CF61" s="237"/>
      <c r="CG61" s="237"/>
      <c r="CH61" s="237"/>
      <c r="CI61" s="237"/>
      <c r="CJ61" s="237"/>
      <c r="CK61" s="237"/>
      <c r="CL61" s="237"/>
      <c r="CM61" s="237"/>
      <c r="CN61" s="237"/>
      <c r="CO61" s="237"/>
      <c r="CP61" s="237"/>
      <c r="CQ61" s="237"/>
      <c r="CR61" s="237"/>
      <c r="CS61" s="237"/>
      <c r="CT61" s="237"/>
      <c r="CU61" s="237"/>
      <c r="CV61" s="237"/>
      <c r="CW61" s="237"/>
      <c r="CX61" s="237"/>
      <c r="CY61" s="237"/>
      <c r="CZ61" s="237"/>
      <c r="DA61" s="237"/>
      <c r="DB61" s="237"/>
      <c r="DC61" s="237"/>
      <c r="DD61" s="237"/>
      <c r="DE61" s="237"/>
      <c r="DF61" s="237"/>
      <c r="DG61" s="237"/>
      <c r="DH61" s="237"/>
      <c r="DI61" s="237"/>
      <c r="DJ61" s="237"/>
      <c r="DK61" s="237"/>
      <c r="DL61" s="237"/>
      <c r="DM61" s="237"/>
      <c r="DN61" s="237"/>
      <c r="DO61" s="237"/>
      <c r="DP61" s="237"/>
      <c r="DQ61" s="237"/>
      <c r="DR61" s="237"/>
      <c r="DS61" s="237"/>
      <c r="DT61" s="237"/>
      <c r="DU61" s="237"/>
      <c r="DV61" s="237"/>
      <c r="DW61" s="237"/>
      <c r="DX61" s="237"/>
      <c r="DY61" s="237"/>
      <c r="DZ61" s="237"/>
      <c r="EA61" s="237"/>
      <c r="EB61" s="237"/>
      <c r="EC61" s="237"/>
      <c r="ED61" s="237"/>
      <c r="EE61" s="237"/>
      <c r="EF61" s="237"/>
      <c r="EG61" s="237"/>
      <c r="EH61" s="237"/>
      <c r="EI61" s="237"/>
      <c r="EJ61" s="237"/>
      <c r="EK61" s="237"/>
      <c r="EL61" s="237"/>
      <c r="EM61" s="237"/>
      <c r="EN61" s="237"/>
      <c r="EO61" s="237"/>
      <c r="EP61" s="237"/>
      <c r="EQ61" s="237"/>
      <c r="ER61" s="237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</row>
    <row r="62" customFormat="false" ht="15" hidden="false" customHeight="false" outlineLevel="2" collapsed="false">
      <c r="B62" s="240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237"/>
      <c r="AD62" s="237"/>
      <c r="AE62" s="237"/>
      <c r="AF62" s="237"/>
      <c r="AG62" s="237"/>
      <c r="AH62" s="237"/>
      <c r="AI62" s="237"/>
      <c r="AJ62" s="237"/>
      <c r="AK62" s="237"/>
      <c r="AL62" s="237"/>
      <c r="AM62" s="237"/>
      <c r="AN62" s="237"/>
      <c r="AO62" s="237"/>
      <c r="AP62" s="237"/>
      <c r="AQ62" s="237"/>
      <c r="AR62" s="237"/>
      <c r="AS62" s="237"/>
      <c r="AT62" s="237"/>
      <c r="AU62" s="237"/>
      <c r="AV62" s="237"/>
      <c r="AW62" s="237"/>
      <c r="AX62" s="237"/>
      <c r="AY62" s="237"/>
      <c r="AZ62" s="237"/>
      <c r="BA62" s="237"/>
      <c r="BB62" s="237"/>
      <c r="BC62" s="237"/>
      <c r="BD62" s="237"/>
      <c r="BE62" s="237"/>
      <c r="BF62" s="237"/>
      <c r="BG62" s="237"/>
      <c r="BH62" s="237"/>
      <c r="BI62" s="237"/>
      <c r="BJ62" s="237"/>
      <c r="BK62" s="237"/>
      <c r="BL62" s="237"/>
      <c r="BM62" s="237"/>
      <c r="BN62" s="237"/>
      <c r="BO62" s="237"/>
      <c r="BP62" s="237"/>
      <c r="BQ62" s="237"/>
      <c r="BR62" s="237"/>
      <c r="BS62" s="237"/>
      <c r="BT62" s="237"/>
      <c r="BU62" s="237"/>
      <c r="BV62" s="237"/>
      <c r="BW62" s="237"/>
      <c r="BX62" s="237"/>
      <c r="BY62" s="237"/>
      <c r="BZ62" s="237"/>
      <c r="CA62" s="237"/>
      <c r="CB62" s="237"/>
      <c r="CC62" s="237"/>
      <c r="CD62" s="237"/>
      <c r="CE62" s="237"/>
      <c r="CF62" s="237"/>
      <c r="CG62" s="237"/>
      <c r="CH62" s="237"/>
      <c r="CI62" s="237"/>
      <c r="CJ62" s="237"/>
      <c r="CK62" s="237"/>
      <c r="CL62" s="237"/>
      <c r="CM62" s="237"/>
      <c r="CN62" s="237"/>
      <c r="CO62" s="237"/>
      <c r="CP62" s="237"/>
      <c r="CQ62" s="237"/>
      <c r="CR62" s="237"/>
      <c r="CS62" s="237"/>
      <c r="CT62" s="237"/>
      <c r="CU62" s="237"/>
      <c r="CV62" s="237"/>
      <c r="CW62" s="237"/>
      <c r="CX62" s="237"/>
      <c r="CY62" s="237"/>
      <c r="CZ62" s="237"/>
      <c r="DA62" s="237"/>
      <c r="DB62" s="237"/>
      <c r="DC62" s="237"/>
      <c r="DD62" s="237"/>
      <c r="DE62" s="237"/>
      <c r="DF62" s="237"/>
      <c r="DG62" s="237"/>
      <c r="DH62" s="237"/>
      <c r="DI62" s="237"/>
      <c r="DJ62" s="237"/>
      <c r="DK62" s="237"/>
      <c r="DL62" s="237"/>
      <c r="DM62" s="237"/>
      <c r="DN62" s="237"/>
      <c r="DO62" s="237"/>
      <c r="DP62" s="237"/>
      <c r="DQ62" s="237"/>
      <c r="DR62" s="237"/>
      <c r="DS62" s="237"/>
      <c r="DT62" s="237"/>
      <c r="DU62" s="237"/>
      <c r="DV62" s="237"/>
      <c r="DW62" s="237"/>
      <c r="DX62" s="237"/>
      <c r="DY62" s="237"/>
      <c r="DZ62" s="237"/>
      <c r="EA62" s="237"/>
      <c r="EB62" s="237"/>
      <c r="EC62" s="237"/>
      <c r="ED62" s="237"/>
      <c r="EE62" s="237"/>
      <c r="EF62" s="237"/>
      <c r="EG62" s="237"/>
      <c r="EH62" s="237"/>
      <c r="EI62" s="237"/>
      <c r="EJ62" s="237"/>
      <c r="EK62" s="237"/>
      <c r="EL62" s="237"/>
      <c r="EM62" s="237"/>
      <c r="EN62" s="237"/>
      <c r="EO62" s="237"/>
      <c r="EP62" s="237"/>
      <c r="EQ62" s="237"/>
      <c r="ER62" s="237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</row>
    <row r="63" customFormat="false" ht="15" hidden="false" customHeight="false" outlineLevel="2" collapsed="false">
      <c r="B63" s="21" t="s">
        <v>879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</row>
    <row r="64" customFormat="false" ht="15" hidden="false" customHeight="false" outlineLevel="2" collapsed="false">
      <c r="B64" s="9" t="s">
        <v>872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234" t="n">
        <f aca="false">('⑫ Roll-out Plan'!G12-2025)*12+'⑫ Roll-out Plan'!F12</f>
        <v>5</v>
      </c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</row>
    <row r="65" customFormat="false" ht="15" hidden="false" customHeight="false" outlineLevel="2" collapsed="false">
      <c r="B65" s="9" t="s">
        <v>873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235" t="n">
        <f aca="false">VLOOKUP("B",$B$14:$C$18,2,FALSE())</f>
        <v>185</v>
      </c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</row>
    <row r="66" customFormat="false" ht="15" hidden="false" customHeight="false" outlineLevel="2" collapsed="false">
      <c r="B66" s="9" t="s">
        <v>799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63" t="n">
        <f aca="false">IF(AC$35&gt;=$AC$64,AC$35-$AC$64+1,0)</f>
        <v>0</v>
      </c>
      <c r="AD66" s="63" t="n">
        <f aca="false">IF(AD$35&gt;=$AC$64,AD$35-$AC$64+1,0)</f>
        <v>0</v>
      </c>
      <c r="AE66" s="63" t="n">
        <f aca="false">IF(AE$35&gt;=$AC$64,AE$35-$AC$64+1,0)</f>
        <v>0</v>
      </c>
      <c r="AF66" s="63" t="n">
        <f aca="false">IF(AF$35&gt;=$AC$64,AF$35-$AC$64+1,0)</f>
        <v>0</v>
      </c>
      <c r="AG66" s="63" t="n">
        <f aca="false">IF(AG$35&gt;=$AC$64,AG$35-$AC$64+1,0)</f>
        <v>1</v>
      </c>
      <c r="AH66" s="63" t="n">
        <f aca="false">IF(AH$35&gt;=$AC$64,AH$35-$AC$64+1,0)</f>
        <v>2</v>
      </c>
      <c r="AI66" s="63" t="n">
        <f aca="false">IF(AI$35&gt;=$AC$64,AI$35-$AC$64+1,0)</f>
        <v>3</v>
      </c>
      <c r="AJ66" s="63" t="n">
        <f aca="false">IF(AJ$35&gt;=$AC$64,AJ$35-$AC$64+1,0)</f>
        <v>4</v>
      </c>
      <c r="AK66" s="63" t="n">
        <f aca="false">IF(AK$35&gt;=$AC$64,AK$35-$AC$64+1,0)</f>
        <v>5</v>
      </c>
      <c r="AL66" s="63" t="n">
        <f aca="false">IF(AL$35&gt;=$AC$64,AL$35-$AC$64+1,0)</f>
        <v>6</v>
      </c>
      <c r="AM66" s="63" t="n">
        <f aca="false">IF(AM$35&gt;=$AC$64,AM$35-$AC$64+1,0)</f>
        <v>7</v>
      </c>
      <c r="AN66" s="63" t="n">
        <f aca="false">IF(AN$35&gt;=$AC$64,AN$35-$AC$64+1,0)</f>
        <v>8</v>
      </c>
      <c r="AO66" s="63" t="n">
        <f aca="false">IF(AO$35&gt;=$AC$64,AO$35-$AC$64+1,0)</f>
        <v>9</v>
      </c>
      <c r="AP66" s="63" t="n">
        <f aca="false">IF(AP$35&gt;=$AC$64,AP$35-$AC$64+1,0)</f>
        <v>10</v>
      </c>
      <c r="AQ66" s="63" t="n">
        <f aca="false">IF(AQ$35&gt;=$AC$64,AQ$35-$AC$64+1,0)</f>
        <v>11</v>
      </c>
      <c r="AR66" s="63" t="n">
        <f aca="false">IF(AR$35&gt;=$AC$64,AR$35-$AC$64+1,0)</f>
        <v>12</v>
      </c>
      <c r="AS66" s="63" t="n">
        <f aca="false">IF(AS$35&gt;=$AC$64,AS$35-$AC$64+1,0)</f>
        <v>13</v>
      </c>
      <c r="AT66" s="63" t="n">
        <f aca="false">IF(AT$35&gt;=$AC$64,AT$35-$AC$64+1,0)</f>
        <v>14</v>
      </c>
      <c r="AU66" s="63" t="n">
        <f aca="false">IF(AU$35&gt;=$AC$64,AU$35-$AC$64+1,0)</f>
        <v>15</v>
      </c>
      <c r="AV66" s="63" t="n">
        <f aca="false">IF(AV$35&gt;=$AC$64,AV$35-$AC$64+1,0)</f>
        <v>16</v>
      </c>
      <c r="AW66" s="63" t="n">
        <f aca="false">IF(AW$35&gt;=$AC$64,AW$35-$AC$64+1,0)</f>
        <v>17</v>
      </c>
      <c r="AX66" s="63" t="n">
        <f aca="false">IF(AX$35&gt;=$AC$64,AX$35-$AC$64+1,0)</f>
        <v>18</v>
      </c>
      <c r="AY66" s="63" t="n">
        <f aca="false">IF(AY$35&gt;=$AC$64,AY$35-$AC$64+1,0)</f>
        <v>19</v>
      </c>
      <c r="AZ66" s="63" t="n">
        <f aca="false">IF(AZ$35&gt;=$AC$64,AZ$35-$AC$64+1,0)</f>
        <v>20</v>
      </c>
      <c r="BA66" s="63" t="n">
        <f aca="false">IF(BA$35&gt;=$AC$64,BA$35-$AC$64+1,0)</f>
        <v>21</v>
      </c>
      <c r="BB66" s="63" t="n">
        <f aca="false">IF(BB$35&gt;=$AC$64,BB$35-$AC$64+1,0)</f>
        <v>22</v>
      </c>
      <c r="BC66" s="63" t="n">
        <f aca="false">IF(BC$35&gt;=$AC$64,BC$35-$AC$64+1,0)</f>
        <v>23</v>
      </c>
      <c r="BD66" s="63" t="n">
        <f aca="false">IF(BD$35&gt;=$AC$64,BD$35-$AC$64+1,0)</f>
        <v>24</v>
      </c>
      <c r="BE66" s="63" t="n">
        <f aca="false">IF(BE$35&gt;=$AC$64,BE$35-$AC$64+1,0)</f>
        <v>25</v>
      </c>
      <c r="BF66" s="63" t="n">
        <f aca="false">IF(BF$35&gt;=$AC$64,BF$35-$AC$64+1,0)</f>
        <v>26</v>
      </c>
      <c r="BG66" s="63" t="n">
        <f aca="false">IF(BG$35&gt;=$AC$64,BG$35-$AC$64+1,0)</f>
        <v>27</v>
      </c>
      <c r="BH66" s="63" t="n">
        <f aca="false">IF(BH$35&gt;=$AC$64,BH$35-$AC$64+1,0)</f>
        <v>28</v>
      </c>
      <c r="BI66" s="63" t="n">
        <f aca="false">IF(BI$35&gt;=$AC$64,BI$35-$AC$64+1,0)</f>
        <v>29</v>
      </c>
      <c r="BJ66" s="63" t="n">
        <f aca="false">IF(BJ$35&gt;=$AC$64,BJ$35-$AC$64+1,0)</f>
        <v>30</v>
      </c>
      <c r="BK66" s="63" t="n">
        <f aca="false">IF(BK$35&gt;=$AC$64,BK$35-$AC$64+1,0)</f>
        <v>31</v>
      </c>
      <c r="BL66" s="63" t="n">
        <f aca="false">IF(BL$35&gt;=$AC$64,BL$35-$AC$64+1,0)</f>
        <v>32</v>
      </c>
      <c r="BM66" s="63" t="n">
        <f aca="false">IF(BM$35&gt;=$AC$64,BM$35-$AC$64+1,0)</f>
        <v>33</v>
      </c>
      <c r="BN66" s="63" t="n">
        <f aca="false">IF(BN$35&gt;=$AC$64,BN$35-$AC$64+1,0)</f>
        <v>34</v>
      </c>
      <c r="BO66" s="63" t="n">
        <f aca="false">IF(BO$35&gt;=$AC$64,BO$35-$AC$64+1,0)</f>
        <v>35</v>
      </c>
      <c r="BP66" s="63" t="n">
        <f aca="false">IF(BP$35&gt;=$AC$64,BP$35-$AC$64+1,0)</f>
        <v>36</v>
      </c>
      <c r="BQ66" s="63" t="n">
        <f aca="false">IF(BQ$35&gt;=$AC$64,BQ$35-$AC$64+1,0)</f>
        <v>37</v>
      </c>
      <c r="BR66" s="63" t="n">
        <f aca="false">IF(BR$35&gt;=$AC$64,BR$35-$AC$64+1,0)</f>
        <v>38</v>
      </c>
      <c r="BS66" s="63" t="n">
        <f aca="false">IF(BS$35&gt;=$AC$64,BS$35-$AC$64+1,0)</f>
        <v>39</v>
      </c>
      <c r="BT66" s="63" t="n">
        <f aca="false">IF(BT$35&gt;=$AC$64,BT$35-$AC$64+1,0)</f>
        <v>40</v>
      </c>
      <c r="BU66" s="63" t="n">
        <f aca="false">IF(BU$35&gt;=$AC$64,BU$35-$AC$64+1,0)</f>
        <v>41</v>
      </c>
      <c r="BV66" s="63" t="n">
        <f aca="false">IF(BV$35&gt;=$AC$64,BV$35-$AC$64+1,0)</f>
        <v>42</v>
      </c>
      <c r="BW66" s="63" t="n">
        <f aca="false">IF(BW$35&gt;=$AC$64,BW$35-$AC$64+1,0)</f>
        <v>43</v>
      </c>
      <c r="BX66" s="63" t="n">
        <f aca="false">IF(BX$35&gt;=$AC$64,BX$35-$AC$64+1,0)</f>
        <v>44</v>
      </c>
      <c r="BY66" s="63" t="n">
        <f aca="false">IF(BY$35&gt;=$AC$64,BY$35-$AC$64+1,0)</f>
        <v>45</v>
      </c>
      <c r="BZ66" s="63" t="n">
        <f aca="false">IF(BZ$35&gt;=$AC$64,BZ$35-$AC$64+1,0)</f>
        <v>46</v>
      </c>
      <c r="CA66" s="63" t="n">
        <f aca="false">IF(CA$35&gt;=$AC$64,CA$35-$AC$64+1,0)</f>
        <v>47</v>
      </c>
      <c r="CB66" s="63" t="n">
        <f aca="false">IF(CB$35&gt;=$AC$64,CB$35-$AC$64+1,0)</f>
        <v>48</v>
      </c>
      <c r="CC66" s="63" t="n">
        <f aca="false">IF(CC$35&gt;=$AC$64,CC$35-$AC$64+1,0)</f>
        <v>49</v>
      </c>
      <c r="CD66" s="63" t="n">
        <f aca="false">IF(CD$35&gt;=$AC$64,CD$35-$AC$64+1,0)</f>
        <v>50</v>
      </c>
      <c r="CE66" s="63" t="n">
        <f aca="false">IF(CE$35&gt;=$AC$64,CE$35-$AC$64+1,0)</f>
        <v>51</v>
      </c>
      <c r="CF66" s="63" t="n">
        <f aca="false">IF(CF$35&gt;=$AC$64,CF$35-$AC$64+1,0)</f>
        <v>52</v>
      </c>
      <c r="CG66" s="63" t="n">
        <f aca="false">IF(CG$35&gt;=$AC$64,CG$35-$AC$64+1,0)</f>
        <v>53</v>
      </c>
      <c r="CH66" s="63" t="n">
        <f aca="false">IF(CH$35&gt;=$AC$64,CH$35-$AC$64+1,0)</f>
        <v>54</v>
      </c>
      <c r="CI66" s="63" t="n">
        <f aca="false">IF(CI$35&gt;=$AC$64,CI$35-$AC$64+1,0)</f>
        <v>55</v>
      </c>
      <c r="CJ66" s="63" t="n">
        <f aca="false">IF(CJ$35&gt;=$AC$64,CJ$35-$AC$64+1,0)</f>
        <v>56</v>
      </c>
      <c r="CK66" s="63" t="n">
        <f aca="false">IF(CK$35&gt;=$AC$64,CK$35-$AC$64+1,0)</f>
        <v>57</v>
      </c>
      <c r="CL66" s="63" t="n">
        <f aca="false">IF(CL$35&gt;=$AC$64,CL$35-$AC$64+1,0)</f>
        <v>58</v>
      </c>
      <c r="CM66" s="63" t="n">
        <f aca="false">IF(CM$35&gt;=$AC$64,CM$35-$AC$64+1,0)</f>
        <v>59</v>
      </c>
      <c r="CN66" s="63" t="n">
        <f aca="false">IF(CN$35&gt;=$AC$64,CN$35-$AC$64+1,0)</f>
        <v>60</v>
      </c>
      <c r="CO66" s="63" t="n">
        <f aca="false">IF(CO$35&gt;=$AC$64,CO$35-$AC$64+1,0)</f>
        <v>61</v>
      </c>
      <c r="CP66" s="63" t="n">
        <f aca="false">IF(CP$35&gt;=$AC$64,CP$35-$AC$64+1,0)</f>
        <v>62</v>
      </c>
      <c r="CQ66" s="63" t="n">
        <f aca="false">IF(CQ$35&gt;=$AC$64,CQ$35-$AC$64+1,0)</f>
        <v>63</v>
      </c>
      <c r="CR66" s="63" t="n">
        <f aca="false">IF(CR$35&gt;=$AC$64,CR$35-$AC$64+1,0)</f>
        <v>64</v>
      </c>
      <c r="CS66" s="63" t="n">
        <f aca="false">IF(CS$35&gt;=$AC$64,CS$35-$AC$64+1,0)</f>
        <v>65</v>
      </c>
      <c r="CT66" s="63" t="n">
        <f aca="false">IF(CT$35&gt;=$AC$64,CT$35-$AC$64+1,0)</f>
        <v>66</v>
      </c>
      <c r="CU66" s="63" t="n">
        <f aca="false">IF(CU$35&gt;=$AC$64,CU$35-$AC$64+1,0)</f>
        <v>67</v>
      </c>
      <c r="CV66" s="63" t="n">
        <f aca="false">IF(CV$35&gt;=$AC$64,CV$35-$AC$64+1,0)</f>
        <v>68</v>
      </c>
      <c r="CW66" s="63" t="n">
        <f aca="false">IF(CW$35&gt;=$AC$64,CW$35-$AC$64+1,0)</f>
        <v>69</v>
      </c>
      <c r="CX66" s="63" t="n">
        <f aca="false">IF(CX$35&gt;=$AC$64,CX$35-$AC$64+1,0)</f>
        <v>70</v>
      </c>
      <c r="CY66" s="63" t="n">
        <f aca="false">IF(CY$35&gt;=$AC$64,CY$35-$AC$64+1,0)</f>
        <v>71</v>
      </c>
      <c r="CZ66" s="63" t="n">
        <f aca="false">IF(CZ$35&gt;=$AC$64,CZ$35-$AC$64+1,0)</f>
        <v>72</v>
      </c>
      <c r="DA66" s="63" t="n">
        <f aca="false">IF(DA$35&gt;=$AC$64,DA$35-$AC$64+1,0)</f>
        <v>73</v>
      </c>
      <c r="DB66" s="63" t="n">
        <f aca="false">IF(DB$35&gt;=$AC$64,DB$35-$AC$64+1,0)</f>
        <v>74</v>
      </c>
      <c r="DC66" s="63" t="n">
        <f aca="false">IF(DC$35&gt;=$AC$64,DC$35-$AC$64+1,0)</f>
        <v>75</v>
      </c>
      <c r="DD66" s="63" t="n">
        <f aca="false">IF(DD$35&gt;=$AC$64,DD$35-$AC$64+1,0)</f>
        <v>76</v>
      </c>
      <c r="DE66" s="63" t="n">
        <f aca="false">IF(DE$35&gt;=$AC$64,DE$35-$AC$64+1,0)</f>
        <v>77</v>
      </c>
      <c r="DF66" s="63" t="n">
        <f aca="false">IF(DF$35&gt;=$AC$64,DF$35-$AC$64+1,0)</f>
        <v>78</v>
      </c>
      <c r="DG66" s="63" t="n">
        <f aca="false">IF(DG$35&gt;=$AC$64,DG$35-$AC$64+1,0)</f>
        <v>79</v>
      </c>
      <c r="DH66" s="63" t="n">
        <f aca="false">IF(DH$35&gt;=$AC$64,DH$35-$AC$64+1,0)</f>
        <v>80</v>
      </c>
      <c r="DI66" s="63" t="n">
        <f aca="false">IF(DI$35&gt;=$AC$64,DI$35-$AC$64+1,0)</f>
        <v>81</v>
      </c>
      <c r="DJ66" s="63" t="n">
        <f aca="false">IF(DJ$35&gt;=$AC$64,DJ$35-$AC$64+1,0)</f>
        <v>82</v>
      </c>
      <c r="DK66" s="63" t="n">
        <f aca="false">IF(DK$35&gt;=$AC$64,DK$35-$AC$64+1,0)</f>
        <v>83</v>
      </c>
      <c r="DL66" s="63" t="n">
        <f aca="false">IF(DL$35&gt;=$AC$64,DL$35-$AC$64+1,0)</f>
        <v>84</v>
      </c>
      <c r="DM66" s="63" t="n">
        <f aca="false">IF(DM$35&gt;=$AC$64,DM$35-$AC$64+1,0)</f>
        <v>85</v>
      </c>
      <c r="DN66" s="63" t="n">
        <f aca="false">IF(DN$35&gt;=$AC$64,DN$35-$AC$64+1,0)</f>
        <v>86</v>
      </c>
      <c r="DO66" s="63" t="n">
        <f aca="false">IF(DO$35&gt;=$AC$64,DO$35-$AC$64+1,0)</f>
        <v>87</v>
      </c>
      <c r="DP66" s="63" t="n">
        <f aca="false">IF(DP$35&gt;=$AC$64,DP$35-$AC$64+1,0)</f>
        <v>88</v>
      </c>
      <c r="DQ66" s="63" t="n">
        <f aca="false">IF(DQ$35&gt;=$AC$64,DQ$35-$AC$64+1,0)</f>
        <v>89</v>
      </c>
      <c r="DR66" s="63" t="n">
        <f aca="false">IF(DR$35&gt;=$AC$64,DR$35-$AC$64+1,0)</f>
        <v>90</v>
      </c>
      <c r="DS66" s="63" t="n">
        <f aca="false">IF(DS$35&gt;=$AC$64,DS$35-$AC$64+1,0)</f>
        <v>91</v>
      </c>
      <c r="DT66" s="63" t="n">
        <f aca="false">IF(DT$35&gt;=$AC$64,DT$35-$AC$64+1,0)</f>
        <v>92</v>
      </c>
      <c r="DU66" s="63" t="n">
        <f aca="false">IF(DU$35&gt;=$AC$64,DU$35-$AC$64+1,0)</f>
        <v>93</v>
      </c>
      <c r="DV66" s="63" t="n">
        <f aca="false">IF(DV$35&gt;=$AC$64,DV$35-$AC$64+1,0)</f>
        <v>94</v>
      </c>
      <c r="DW66" s="63" t="n">
        <f aca="false">IF(DW$35&gt;=$AC$64,DW$35-$AC$64+1,0)</f>
        <v>95</v>
      </c>
      <c r="DX66" s="63" t="n">
        <f aca="false">IF(DX$35&gt;=$AC$64,DX$35-$AC$64+1,0)</f>
        <v>96</v>
      </c>
      <c r="DY66" s="63" t="n">
        <f aca="false">IF(DY$35&gt;=$AC$64,DY$35-$AC$64+1,0)</f>
        <v>97</v>
      </c>
      <c r="DZ66" s="63" t="n">
        <f aca="false">IF(DZ$35&gt;=$AC$64,DZ$35-$AC$64+1,0)</f>
        <v>98</v>
      </c>
      <c r="EA66" s="63" t="n">
        <f aca="false">IF(EA$35&gt;=$AC$64,EA$35-$AC$64+1,0)</f>
        <v>99</v>
      </c>
      <c r="EB66" s="63" t="n">
        <f aca="false">IF(EB$35&gt;=$AC$64,EB$35-$AC$64+1,0)</f>
        <v>100</v>
      </c>
      <c r="EC66" s="63" t="n">
        <f aca="false">IF(EC$35&gt;=$AC$64,EC$35-$AC$64+1,0)</f>
        <v>101</v>
      </c>
      <c r="ED66" s="63" t="n">
        <f aca="false">IF(ED$35&gt;=$AC$64,ED$35-$AC$64+1,0)</f>
        <v>102</v>
      </c>
      <c r="EE66" s="63" t="n">
        <f aca="false">IF(EE$35&gt;=$AC$64,EE$35-$AC$64+1,0)</f>
        <v>103</v>
      </c>
      <c r="EF66" s="63" t="n">
        <f aca="false">IF(EF$35&gt;=$AC$64,EF$35-$AC$64+1,0)</f>
        <v>104</v>
      </c>
      <c r="EG66" s="63" t="n">
        <f aca="false">IF(EG$35&gt;=$AC$64,EG$35-$AC$64+1,0)</f>
        <v>105</v>
      </c>
      <c r="EH66" s="63" t="n">
        <f aca="false">IF(EH$35&gt;=$AC$64,EH$35-$AC$64+1,0)</f>
        <v>106</v>
      </c>
      <c r="EI66" s="63" t="n">
        <f aca="false">IF(EI$35&gt;=$AC$64,EI$35-$AC$64+1,0)</f>
        <v>107</v>
      </c>
      <c r="EJ66" s="63" t="n">
        <f aca="false">IF(EJ$35&gt;=$AC$64,EJ$35-$AC$64+1,0)</f>
        <v>108</v>
      </c>
      <c r="EK66" s="63" t="n">
        <f aca="false">IF(EK$35&gt;=$AC$64,EK$35-$AC$64+1,0)</f>
        <v>109</v>
      </c>
      <c r="EL66" s="63" t="n">
        <f aca="false">IF(EL$35&gt;=$AC$64,EL$35-$AC$64+1,0)</f>
        <v>110</v>
      </c>
      <c r="EM66" s="63" t="n">
        <f aca="false">IF(EM$35&gt;=$AC$64,EM$35-$AC$64+1,0)</f>
        <v>111</v>
      </c>
      <c r="EN66" s="63" t="n">
        <f aca="false">IF(EN$35&gt;=$AC$64,EN$35-$AC$64+1,0)</f>
        <v>112</v>
      </c>
      <c r="EO66" s="63" t="n">
        <f aca="false">IF(EO$35&gt;=$AC$64,EO$35-$AC$64+1,0)</f>
        <v>113</v>
      </c>
      <c r="EP66" s="63" t="n">
        <f aca="false">IF(EP$35&gt;=$AC$64,EP$35-$AC$64+1,0)</f>
        <v>114</v>
      </c>
      <c r="EQ66" s="63" t="n">
        <f aca="false">IF(EQ$35&gt;=$AC$64,EQ$35-$AC$64+1,0)</f>
        <v>115</v>
      </c>
      <c r="ER66" s="63" t="n">
        <f aca="false">IF(ER$35&gt;=$AC$64,ER$35-$AC$64+1,0)</f>
        <v>116</v>
      </c>
      <c r="ES66" s="9" t="n">
        <f aca="false">IF(ES$35&gt;=$AC$64,ES$35-$AC$64+1,0)</f>
        <v>117</v>
      </c>
      <c r="ET66" s="9" t="n">
        <f aca="false">IF(ET$35&gt;=$AC$64,ET$35-$AC$64+1,0)</f>
        <v>118</v>
      </c>
      <c r="EU66" s="9" t="n">
        <f aca="false">IF(EU$35&gt;=$AC$64,EU$35-$AC$64+1,0)</f>
        <v>119</v>
      </c>
      <c r="EV66" s="9" t="n">
        <f aca="false">IF(EV$35&gt;=$AC$64,EV$35-$AC$64+1,0)</f>
        <v>120</v>
      </c>
      <c r="EW66" s="9" t="n">
        <f aca="false">IF(EW$35&gt;=$AC$64,EW$35-$AC$64+1,0)</f>
        <v>121</v>
      </c>
      <c r="EX66" s="9" t="n">
        <f aca="false">IF(EX$35&gt;=$AC$64,EX$35-$AC$64+1,0)</f>
        <v>122</v>
      </c>
      <c r="EY66" s="9" t="n">
        <f aca="false">IF(EY$35&gt;=$AC$64,EY$35-$AC$64+1,0)</f>
        <v>123</v>
      </c>
      <c r="EZ66" s="9" t="n">
        <f aca="false">IF(EZ$35&gt;=$AC$64,EZ$35-$AC$64+1,0)</f>
        <v>124</v>
      </c>
      <c r="FA66" s="9" t="n">
        <f aca="false">IF(FA$35&gt;=$AC$64,FA$35-$AC$64+1,0)</f>
        <v>125</v>
      </c>
      <c r="FB66" s="9" t="n">
        <f aca="false">IF(FB$35&gt;=$AC$64,FB$35-$AC$64+1,0)</f>
        <v>126</v>
      </c>
      <c r="FC66" s="9" t="n">
        <f aca="false">IF(FC$35&gt;=$AC$64,FC$35-$AC$64+1,0)</f>
        <v>127</v>
      </c>
      <c r="FD66" s="9" t="n">
        <f aca="false">IF(FD$35&gt;=$AC$64,FD$35-$AC$64+1,0)</f>
        <v>128</v>
      </c>
      <c r="FE66" s="9" t="n">
        <f aca="false">IF(FE$35&gt;=$AC$64,FE$35-$AC$64+1,0)</f>
        <v>129</v>
      </c>
      <c r="FF66" s="9" t="n">
        <f aca="false">IF(FF$35&gt;=$AC$64,FF$35-$AC$64+1,0)</f>
        <v>130</v>
      </c>
      <c r="FG66" s="9" t="n">
        <f aca="false">IF(FG$35&gt;=$AC$64,FG$35-$AC$64+1,0)</f>
        <v>131</v>
      </c>
      <c r="FH66" s="9" t="n">
        <f aca="false">IF(FH$35&gt;=$AC$64,FH$35-$AC$64+1,0)</f>
        <v>132</v>
      </c>
      <c r="FI66" s="9" t="n">
        <f aca="false">IF(FI$35&gt;=$AC$64,FI$35-$AC$64+1,0)</f>
        <v>133</v>
      </c>
      <c r="FJ66" s="9" t="n">
        <f aca="false">IF(FJ$35&gt;=$AC$64,FJ$35-$AC$64+1,0)</f>
        <v>134</v>
      </c>
      <c r="FK66" s="9" t="n">
        <f aca="false">IF(FK$35&gt;=$AC$64,FK$35-$AC$64+1,0)</f>
        <v>135</v>
      </c>
      <c r="FL66" s="9" t="n">
        <f aca="false">IF(FL$35&gt;=$AC$64,FL$35-$AC$64+1,0)</f>
        <v>136</v>
      </c>
      <c r="FM66" s="9" t="n">
        <f aca="false">IF(FM$35&gt;=$AC$64,FM$35-$AC$64+1,0)</f>
        <v>137</v>
      </c>
      <c r="FN66" s="9" t="n">
        <f aca="false">IF(FN$35&gt;=$AC$64,FN$35-$AC$64+1,0)</f>
        <v>138</v>
      </c>
      <c r="FO66" s="9" t="n">
        <f aca="false">IF(FO$35&gt;=$AC$64,FO$35-$AC$64+1,0)</f>
        <v>139</v>
      </c>
      <c r="FP66" s="9" t="n">
        <f aca="false">IF(FP$35&gt;=$AC$64,FP$35-$AC$64+1,0)</f>
        <v>140</v>
      </c>
    </row>
    <row r="67" customFormat="false" ht="15" hidden="false" customHeight="false" outlineLevel="2" collapsed="false">
      <c r="B67" s="9" t="s">
        <v>874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236" t="n">
        <f aca="false" t="array" ref="AC67:AC67">IF(AC66=0,0,IF(AC66/'🎚️ Escenario'!$C$11&gt;=36,$AL$23,INDEX($C$23:$AL$23,MAX(1,ROUNDUP(AC66/'🎚️ Escenario'!$C$11,0)))))</f>
        <v>0</v>
      </c>
      <c r="AD67" s="236" t="n">
        <f aca="false" t="array" ref="AD67:AD67">IF(AD66=0,0,IF(AD66/'🎚️ Escenario'!$C$11&gt;=36,$AL$23,INDEX($C$23:$AL$23,MAX(1,ROUNDUP(AD66/'🎚️ Escenario'!$C$11,0)))))</f>
        <v>0</v>
      </c>
      <c r="AE67" s="236" t="n">
        <f aca="false" t="array" ref="AE67:AE67">IF(AE66=0,0,IF(AE66/'🎚️ Escenario'!$C$11&gt;=36,$AL$23,INDEX($C$23:$AL$23,MAX(1,ROUNDUP(AE66/'🎚️ Escenario'!$C$11,0)))))</f>
        <v>0</v>
      </c>
      <c r="AF67" s="236" t="n">
        <f aca="false" t="array" ref="AF67:AF67">IF(AF66=0,0,IF(AF66/'🎚️ Escenario'!$C$11&gt;=36,$AL$23,INDEX($C$23:$AL$23,MAX(1,ROUNDUP(AF66/'🎚️ Escenario'!$C$11,0)))))</f>
        <v>0</v>
      </c>
      <c r="AG67" s="236" t="n">
        <f aca="false" t="array" ref="AG67:AG67">IF(AG66=0,0,IF(AG66/'🎚️ Escenario'!$C$11&gt;=36,$AL$23,INDEX($C$23:$AL$23,MAX(1,ROUNDUP(AG66/'🎚️ Escenario'!$C$11,0)))))</f>
        <v>0.2</v>
      </c>
      <c r="AH67" s="236" t="n">
        <f aca="false" t="array" ref="AH67:AH67">IF(AH66=0,0,IF(AH66/'🎚️ Escenario'!$C$11&gt;=36,$AL$23,INDEX($C$23:$AL$23,MAX(1,ROUNDUP(AH66/'🎚️ Escenario'!$C$11,0)))))</f>
        <v>0.22</v>
      </c>
      <c r="AI67" s="236" t="n">
        <f aca="false" t="array" ref="AI67:AI67">IF(AI66=0,0,IF(AI66/'🎚️ Escenario'!$C$11&gt;=36,$AL$23,INDEX($C$23:$AL$23,MAX(1,ROUNDUP(AI66/'🎚️ Escenario'!$C$11,0)))))</f>
        <v>0.24</v>
      </c>
      <c r="AJ67" s="236" t="n">
        <f aca="false" t="array" ref="AJ67:AJ67">IF(AJ66=0,0,IF(AJ66/'🎚️ Escenario'!$C$11&gt;=36,$AL$23,INDEX($C$23:$AL$23,MAX(1,ROUNDUP(AJ66/'🎚️ Escenario'!$C$11,0)))))</f>
        <v>0.27</v>
      </c>
      <c r="AK67" s="236" t="n">
        <f aca="false" t="array" ref="AK67:AK67">IF(AK66=0,0,IF(AK66/'🎚️ Escenario'!$C$11&gt;=36,$AL$23,INDEX($C$23:$AL$23,MAX(1,ROUNDUP(AK66/'🎚️ Escenario'!$C$11,0)))))</f>
        <v>0.27</v>
      </c>
      <c r="AL67" s="236" t="n">
        <f aca="false" t="array" ref="AL67:AL67">IF(AL66=0,0,IF(AL66/'🎚️ Escenario'!$C$11&gt;=36,$AL$23,INDEX($C$23:$AL$23,MAX(1,ROUNDUP(AL66/'🎚️ Escenario'!$C$11,0)))))</f>
        <v>0.31</v>
      </c>
      <c r="AM67" s="236" t="n">
        <f aca="false" t="array" ref="AM67:AM67">IF(AM66=0,0,IF(AM66/'🎚️ Escenario'!$C$11&gt;=36,$AL$23,INDEX($C$23:$AL$23,MAX(1,ROUNDUP(AM66/'🎚️ Escenario'!$C$11,0)))))</f>
        <v>0.35</v>
      </c>
      <c r="AN67" s="236" t="n">
        <f aca="false" t="array" ref="AN67:AN67">IF(AN66=0,0,IF(AN66/'🎚️ Escenario'!$C$11&gt;=36,$AL$23,INDEX($C$23:$AL$23,MAX(1,ROUNDUP(AN66/'🎚️ Escenario'!$C$11,0)))))</f>
        <v>0.39</v>
      </c>
      <c r="AO67" s="236" t="n">
        <f aca="false" t="array" ref="AO67:AO67">IF(AO66=0,0,IF(AO66/'🎚️ Escenario'!$C$11&gt;=36,$AL$23,INDEX($C$23:$AL$23,MAX(1,ROUNDUP(AO66/'🎚️ Escenario'!$C$11,0)))))</f>
        <v>0.44</v>
      </c>
      <c r="AP67" s="236" t="n">
        <f aca="false" t="array" ref="AP67:AP67">IF(AP66=0,0,IF(AP66/'🎚️ Escenario'!$C$11&gt;=36,$AL$23,INDEX($C$23:$AL$23,MAX(1,ROUNDUP(AP66/'🎚️ Escenario'!$C$11,0)))))</f>
        <v>0.44</v>
      </c>
      <c r="AQ67" s="236" t="n">
        <f aca="false" t="array" ref="AQ67:AQ67">IF(AQ66=0,0,IF(AQ66/'🎚️ Escenario'!$C$11&gt;=36,$AL$23,INDEX($C$23:$AL$23,MAX(1,ROUNDUP(AQ66/'🎚️ Escenario'!$C$11,0)))))</f>
        <v>0.48</v>
      </c>
      <c r="AR67" s="236" t="n">
        <f aca="false" t="array" ref="AR67:AR67">IF(AR66=0,0,IF(AR66/'🎚️ Escenario'!$C$11&gt;=36,$AL$23,INDEX($C$23:$AL$23,MAX(1,ROUNDUP(AR66/'🎚️ Escenario'!$C$11,0)))))</f>
        <v>0.52</v>
      </c>
      <c r="AS67" s="236" t="n">
        <f aca="false" t="array" ref="AS67:AS67">IF(AS66=0,0,IF(AS66/'🎚️ Escenario'!$C$11&gt;=36,$AL$23,INDEX($C$23:$AL$23,MAX(1,ROUNDUP(AS66/'🎚️ Escenario'!$C$11,0)))))</f>
        <v>0.56</v>
      </c>
      <c r="AT67" s="236" t="n">
        <f aca="false" t="array" ref="AT67:AT67">IF(AT66=0,0,IF(AT66/'🎚️ Escenario'!$C$11&gt;=36,$AL$23,INDEX($C$23:$AL$23,MAX(1,ROUNDUP(AT66/'🎚️ Escenario'!$C$11,0)))))</f>
        <v>0.6</v>
      </c>
      <c r="AU67" s="236" t="n">
        <f aca="false" t="array" ref="AU67:AU67">IF(AU66=0,0,IF(AU66/'🎚️ Escenario'!$C$11&gt;=36,$AL$23,INDEX($C$23:$AL$23,MAX(1,ROUNDUP(AU66/'🎚️ Escenario'!$C$11,0)))))</f>
        <v>0.6</v>
      </c>
      <c r="AV67" s="236" t="n">
        <f aca="false" t="array" ref="AV67:AV67">IF(AV66=0,0,IF(AV66/'🎚️ Escenario'!$C$11&gt;=36,$AL$23,INDEX($C$23:$AL$23,MAX(1,ROUNDUP(AV66/'🎚️ Escenario'!$C$11,0)))))</f>
        <v>0.63</v>
      </c>
      <c r="AW67" s="236" t="n">
        <f aca="false" t="array" ref="AW67:AW67">IF(AW66=0,0,IF(AW66/'🎚️ Escenario'!$C$11&gt;=36,$AL$23,INDEX($C$23:$AL$23,MAX(1,ROUNDUP(AW66/'🎚️ Escenario'!$C$11,0)))))</f>
        <v>0.66</v>
      </c>
      <c r="AX67" s="236" t="n">
        <f aca="false" t="array" ref="AX67:AX67">IF(AX66=0,0,IF(AX66/'🎚️ Escenario'!$C$11&gt;=36,$AL$23,INDEX($C$23:$AL$23,MAX(1,ROUNDUP(AX66/'🎚️ Escenario'!$C$11,0)))))</f>
        <v>0.69</v>
      </c>
      <c r="AY67" s="236" t="n">
        <f aca="false" t="array" ref="AY67:AY67">IF(AY66=0,0,IF(AY66/'🎚️ Escenario'!$C$11&gt;=36,$AL$23,INDEX($C$23:$AL$23,MAX(1,ROUNDUP(AY66/'🎚️ Escenario'!$C$11,0)))))</f>
        <v>0.71</v>
      </c>
      <c r="AZ67" s="236" t="n">
        <f aca="false" t="array" ref="AZ67:AZ67">IF(AZ66=0,0,IF(AZ66/'🎚️ Escenario'!$C$11&gt;=36,$AL$23,INDEX($C$23:$AL$23,MAX(1,ROUNDUP(AZ66/'🎚️ Escenario'!$C$11,0)))))</f>
        <v>0.71</v>
      </c>
      <c r="BA67" s="236" t="n">
        <f aca="false" t="array" ref="BA67:BA67">IF(BA66=0,0,IF(BA66/'🎚️ Escenario'!$C$11&gt;=36,$AL$23,INDEX($C$23:$AL$23,MAX(1,ROUNDUP(BA66/'🎚️ Escenario'!$C$11,0)))))</f>
        <v>0.73</v>
      </c>
      <c r="BB67" s="236" t="n">
        <f aca="false" t="array" ref="BB67:BB67">IF(BB66=0,0,IF(BB66/'🎚️ Escenario'!$C$11&gt;=36,$AL$23,INDEX($C$23:$AL$23,MAX(1,ROUNDUP(BB66/'🎚️ Escenario'!$C$11,0)))))</f>
        <v>0.75</v>
      </c>
      <c r="BC67" s="236" t="n">
        <f aca="false" t="array" ref="BC67:BC67">IF(BC66=0,0,IF(BC66/'🎚️ Escenario'!$C$11&gt;=36,$AL$23,INDEX($C$23:$AL$23,MAX(1,ROUNDUP(BC66/'🎚️ Escenario'!$C$11,0)))))</f>
        <v>0.77</v>
      </c>
      <c r="BD67" s="236" t="n">
        <f aca="false" t="array" ref="BD67:BD67">IF(BD66=0,0,IF(BD66/'🎚️ Escenario'!$C$11&gt;=36,$AL$23,INDEX($C$23:$AL$23,MAX(1,ROUNDUP(BD66/'🎚️ Escenario'!$C$11,0)))))</f>
        <v>0.79</v>
      </c>
      <c r="BE67" s="236" t="n">
        <f aca="false" t="array" ref="BE67:BE67">IF(BE66=0,0,IF(BE66/'🎚️ Escenario'!$C$11&gt;=36,$AL$23,INDEX($C$23:$AL$23,MAX(1,ROUNDUP(BE66/'🎚️ Escenario'!$C$11,0)))))</f>
        <v>0.79</v>
      </c>
      <c r="BF67" s="236" t="n">
        <f aca="false" t="array" ref="BF67:BF67">IF(BF66=0,0,IF(BF66/'🎚️ Escenario'!$C$11&gt;=36,$AL$23,INDEX($C$23:$AL$23,MAX(1,ROUNDUP(BF66/'🎚️ Escenario'!$C$11,0)))))</f>
        <v>0.8</v>
      </c>
      <c r="BG67" s="236" t="n">
        <f aca="false" t="array" ref="BG67:BG67">IF(BG66=0,0,IF(BG66/'🎚️ Escenario'!$C$11&gt;=36,$AL$23,INDEX($C$23:$AL$23,MAX(1,ROUNDUP(BG66/'🎚️ Escenario'!$C$11,0)))))</f>
        <v>0.82</v>
      </c>
      <c r="BH67" s="236" t="n">
        <f aca="false" t="array" ref="BH67:BH67">IF(BH66=0,0,IF(BH66/'🎚️ Escenario'!$C$11&gt;=36,$AL$23,INDEX($C$23:$AL$23,MAX(1,ROUNDUP(BH66/'🎚️ Escenario'!$C$11,0)))))</f>
        <v>0.84</v>
      </c>
      <c r="BI67" s="236" t="n">
        <f aca="false" t="array" ref="BI67:BI67">IF(BI66=0,0,IF(BI66/'🎚️ Escenario'!$C$11&gt;=36,$AL$23,INDEX($C$23:$AL$23,MAX(1,ROUNDUP(BI66/'🎚️ Escenario'!$C$11,0)))))</f>
        <v>0.85</v>
      </c>
      <c r="BJ67" s="236" t="n">
        <f aca="false" t="array" ref="BJ67:BJ67">IF(BJ66=0,0,IF(BJ66/'🎚️ Escenario'!$C$11&gt;=36,$AL$23,INDEX($C$23:$AL$23,MAX(1,ROUNDUP(BJ66/'🎚️ Escenario'!$C$11,0)))))</f>
        <v>0.85</v>
      </c>
      <c r="BK67" s="236" t="n">
        <f aca="false" t="array" ref="BK67:BK67">IF(BK66=0,0,IF(BK66/'🎚️ Escenario'!$C$11&gt;=36,$AL$23,INDEX($C$23:$AL$23,MAX(1,ROUNDUP(BK66/'🎚️ Escenario'!$C$11,0)))))</f>
        <v>0.86</v>
      </c>
      <c r="BL67" s="236" t="n">
        <f aca="false" t="array" ref="BL67:BL67">IF(BL66=0,0,IF(BL66/'🎚️ Escenario'!$C$11&gt;=36,$AL$23,INDEX($C$23:$AL$23,MAX(1,ROUNDUP(BL66/'🎚️ Escenario'!$C$11,0)))))</f>
        <v>0.88</v>
      </c>
      <c r="BM67" s="236" t="n">
        <f aca="false" t="array" ref="BM67:BM67">IF(BM66=0,0,IF(BM66/'🎚️ Escenario'!$C$11&gt;=36,$AL$23,INDEX($C$23:$AL$23,MAX(1,ROUNDUP(BM66/'🎚️ Escenario'!$C$11,0)))))</f>
        <v>0.89</v>
      </c>
      <c r="BN67" s="236" t="n">
        <f aca="false" t="array" ref="BN67:BN67">IF(BN66=0,0,IF(BN66/'🎚️ Escenario'!$C$11&gt;=36,$AL$23,INDEX($C$23:$AL$23,MAX(1,ROUNDUP(BN66/'🎚️ Escenario'!$C$11,0)))))</f>
        <v>0.9</v>
      </c>
      <c r="BO67" s="236" t="n">
        <f aca="false" t="array" ref="BO67:BO67">IF(BO66=0,0,IF(BO66/'🎚️ Escenario'!$C$11&gt;=36,$AL$23,INDEX($C$23:$AL$23,MAX(1,ROUNDUP(BO66/'🎚️ Escenario'!$C$11,0)))))</f>
        <v>0.9</v>
      </c>
      <c r="BP67" s="236" t="n">
        <f aca="false" t="array" ref="BP67:BP67">IF(BP66=0,0,IF(BP66/'🎚️ Escenario'!$C$11&gt;=36,$AL$23,INDEX($C$23:$AL$23,MAX(1,ROUNDUP(BP66/'🎚️ Escenario'!$C$11,0)))))</f>
        <v>0.92</v>
      </c>
      <c r="BQ67" s="236" t="n">
        <f aca="false" t="array" ref="BQ67:BQ67">IF(BQ66=0,0,IF(BQ66/'🎚️ Escenario'!$C$11&gt;=36,$AL$23,INDEX($C$23:$AL$23,MAX(1,ROUNDUP(BQ66/'🎚️ Escenario'!$C$11,0)))))</f>
        <v>0.93</v>
      </c>
      <c r="BR67" s="236" t="n">
        <f aca="false" t="array" ref="BR67:BR67">IF(BR66=0,0,IF(BR66/'🎚️ Escenario'!$C$11&gt;=36,$AL$23,INDEX($C$23:$AL$23,MAX(1,ROUNDUP(BR66/'🎚️ Escenario'!$C$11,0)))))</f>
        <v>0.94</v>
      </c>
      <c r="BS67" s="236" t="n">
        <f aca="false" t="array" ref="BS67:BS67">IF(BS66=0,0,IF(BS66/'🎚️ Escenario'!$C$11&gt;=36,$AL$23,INDEX($C$23:$AL$23,MAX(1,ROUNDUP(BS66/'🎚️ Escenario'!$C$11,0)))))</f>
        <v>0.95</v>
      </c>
      <c r="BT67" s="236" t="n">
        <f aca="false" t="array" ref="BT67:BT67">IF(BT66=0,0,IF(BT66/'🎚️ Escenario'!$C$11&gt;=36,$AL$23,INDEX($C$23:$AL$23,MAX(1,ROUNDUP(BT66/'🎚️ Escenario'!$C$11,0)))))</f>
        <v>0.95</v>
      </c>
      <c r="BU67" s="236" t="n">
        <f aca="false" t="array" ref="BU67:BU67">IF(BU66=0,0,IF(BU66/'🎚️ Escenario'!$C$11&gt;=36,$AL$23,INDEX($C$23:$AL$23,MAX(1,ROUNDUP(BU66/'🎚️ Escenario'!$C$11,0)))))</f>
        <v>0.97</v>
      </c>
      <c r="BV67" s="236" t="n">
        <f aca="false" t="array" ref="BV67:BV67">IF(BV66=0,0,IF(BV66/'🎚️ Escenario'!$C$11&gt;=36,$AL$23,INDEX($C$23:$AL$23,MAX(1,ROUNDUP(BV66/'🎚️ Escenario'!$C$11,0)))))</f>
        <v>0.98</v>
      </c>
      <c r="BW67" s="236" t="n">
        <f aca="false" t="array" ref="BW67:BW67">IF(BW66=0,0,IF(BW66/'🎚️ Escenario'!$C$11&gt;=36,$AL$23,INDEX($C$23:$AL$23,MAX(1,ROUNDUP(BW66/'🎚️ Escenario'!$C$11,0)))))</f>
        <v>0.99</v>
      </c>
      <c r="BX67" s="236" t="n">
        <f aca="false" t="array" ref="BX67:BX67">IF(BX66=0,0,IF(BX66/'🎚️ Escenario'!$C$11&gt;=36,$AL$23,INDEX($C$23:$AL$23,MAX(1,ROUNDUP(BX66/'🎚️ Escenario'!$C$11,0)))))</f>
        <v>1</v>
      </c>
      <c r="BY67" s="236" t="n">
        <f aca="false" t="array" ref="BY67:BY67">IF(BY66=0,0,IF(BY66/'🎚️ Escenario'!$C$11&gt;=36,$AL$23,INDEX($C$23:$AL$23,MAX(1,ROUNDUP(BY66/'🎚️ Escenario'!$C$11,0)))))</f>
        <v>1</v>
      </c>
      <c r="BZ67" s="236" t="n">
        <f aca="false" t="array" ref="BZ67:BZ67">IF(BZ66=0,0,IF(BZ66/'🎚️ Escenario'!$C$11&gt;=36,$AL$23,INDEX($C$23:$AL$23,MAX(1,ROUNDUP(BZ66/'🎚️ Escenario'!$C$11,0)))))</f>
        <v>1</v>
      </c>
      <c r="CA67" s="236" t="n">
        <f aca="false" t="array" ref="CA67:CA67">IF(CA66=0,0,IF(CA66/'🎚️ Escenario'!$C$11&gt;=36,$AL$23,INDEX($C$23:$AL$23,MAX(1,ROUNDUP(CA66/'🎚️ Escenario'!$C$11,0)))))</f>
        <v>1</v>
      </c>
      <c r="CB67" s="236" t="n">
        <f aca="false" t="array" ref="CB67:CB67">IF(CB66=0,0,IF(CB66/'🎚️ Escenario'!$C$11&gt;=36,$AL$23,INDEX($C$23:$AL$23,MAX(1,ROUNDUP(CB66/'🎚️ Escenario'!$C$11,0)))))</f>
        <v>1</v>
      </c>
      <c r="CC67" s="236" t="n">
        <f aca="false" t="array" ref="CC67:CC67">IF(CC66=0,0,IF(CC66/'🎚️ Escenario'!$C$11&gt;=36,$AL$23,INDEX($C$23:$AL$23,MAX(1,ROUNDUP(CC66/'🎚️ Escenario'!$C$11,0)))))</f>
        <v>1</v>
      </c>
      <c r="CD67" s="236" t="n">
        <f aca="false" t="array" ref="CD67:CD67">IF(CD66=0,0,IF(CD66/'🎚️ Escenario'!$C$11&gt;=36,$AL$23,INDEX($C$23:$AL$23,MAX(1,ROUNDUP(CD66/'🎚️ Escenario'!$C$11,0)))))</f>
        <v>1</v>
      </c>
      <c r="CE67" s="236" t="n">
        <f aca="false" t="array" ref="CE67:CE67">IF(CE66=0,0,IF(CE66/'🎚️ Escenario'!$C$11&gt;=36,$AL$23,INDEX($C$23:$AL$23,MAX(1,ROUNDUP(CE66/'🎚️ Escenario'!$C$11,0)))))</f>
        <v>1</v>
      </c>
      <c r="CF67" s="236" t="n">
        <f aca="false" t="array" ref="CF67:CF67">IF(CF66=0,0,IF(CF66/'🎚️ Escenario'!$C$11&gt;=36,$AL$23,INDEX($C$23:$AL$23,MAX(1,ROUNDUP(CF66/'🎚️ Escenario'!$C$11,0)))))</f>
        <v>1</v>
      </c>
      <c r="CG67" s="236" t="n">
        <f aca="false" t="array" ref="CG67:CG67">IF(CG66=0,0,IF(CG66/'🎚️ Escenario'!$C$11&gt;=36,$AL$23,INDEX($C$23:$AL$23,MAX(1,ROUNDUP(CG66/'🎚️ Escenario'!$C$11,0)))))</f>
        <v>1</v>
      </c>
      <c r="CH67" s="236" t="n">
        <f aca="false" t="array" ref="CH67:CH67">IF(CH66=0,0,IF(CH66/'🎚️ Escenario'!$C$11&gt;=36,$AL$23,INDEX($C$23:$AL$23,MAX(1,ROUNDUP(CH66/'🎚️ Escenario'!$C$11,0)))))</f>
        <v>1</v>
      </c>
      <c r="CI67" s="236" t="n">
        <f aca="false" t="array" ref="CI67:CI67">IF(CI66=0,0,IF(CI66/'🎚️ Escenario'!$C$11&gt;=36,$AL$23,INDEX($C$23:$AL$23,MAX(1,ROUNDUP(CI66/'🎚️ Escenario'!$C$11,0)))))</f>
        <v>1</v>
      </c>
      <c r="CJ67" s="236" t="n">
        <f aca="false" t="array" ref="CJ67:CJ67">IF(CJ66=0,0,IF(CJ66/'🎚️ Escenario'!$C$11&gt;=36,$AL$23,INDEX($C$23:$AL$23,MAX(1,ROUNDUP(CJ66/'🎚️ Escenario'!$C$11,0)))))</f>
        <v>1</v>
      </c>
      <c r="CK67" s="236" t="n">
        <f aca="false" t="array" ref="CK67:CK67">IF(CK66=0,0,IF(CK66/'🎚️ Escenario'!$C$11&gt;=36,$AL$23,INDEX($C$23:$AL$23,MAX(1,ROUNDUP(CK66/'🎚️ Escenario'!$C$11,0)))))</f>
        <v>1</v>
      </c>
      <c r="CL67" s="236" t="n">
        <f aca="false" t="array" ref="CL67:CL67">IF(CL66=0,0,IF(CL66/'🎚️ Escenario'!$C$11&gt;=36,$AL$23,INDEX($C$23:$AL$23,MAX(1,ROUNDUP(CL66/'🎚️ Escenario'!$C$11,0)))))</f>
        <v>1</v>
      </c>
      <c r="CM67" s="236" t="n">
        <f aca="false" t="array" ref="CM67:CM67">IF(CM66=0,0,IF(CM66/'🎚️ Escenario'!$C$11&gt;=36,$AL$23,INDEX($C$23:$AL$23,MAX(1,ROUNDUP(CM66/'🎚️ Escenario'!$C$11,0)))))</f>
        <v>1</v>
      </c>
      <c r="CN67" s="236" t="n">
        <f aca="false" t="array" ref="CN67:CN67">IF(CN66=0,0,IF(CN66/'🎚️ Escenario'!$C$11&gt;=36,$AL$23,INDEX($C$23:$AL$23,MAX(1,ROUNDUP(CN66/'🎚️ Escenario'!$C$11,0)))))</f>
        <v>1</v>
      </c>
      <c r="CO67" s="236" t="n">
        <f aca="false" t="array" ref="CO67:CO67">IF(CO66=0,0,IF(CO66/'🎚️ Escenario'!$C$11&gt;=36,$AL$23,INDEX($C$23:$AL$23,MAX(1,ROUNDUP(CO66/'🎚️ Escenario'!$C$11,0)))))</f>
        <v>1</v>
      </c>
      <c r="CP67" s="236" t="n">
        <f aca="false" t="array" ref="CP67:CP67">IF(CP66=0,0,IF(CP66/'🎚️ Escenario'!$C$11&gt;=36,$AL$23,INDEX($C$23:$AL$23,MAX(1,ROUNDUP(CP66/'🎚️ Escenario'!$C$11,0)))))</f>
        <v>1</v>
      </c>
      <c r="CQ67" s="236" t="n">
        <f aca="false" t="array" ref="CQ67:CQ67">IF(CQ66=0,0,IF(CQ66/'🎚️ Escenario'!$C$11&gt;=36,$AL$23,INDEX($C$23:$AL$23,MAX(1,ROUNDUP(CQ66/'🎚️ Escenario'!$C$11,0)))))</f>
        <v>1</v>
      </c>
      <c r="CR67" s="236" t="n">
        <f aca="false" t="array" ref="CR67:CR67">IF(CR66=0,0,IF(CR66/'🎚️ Escenario'!$C$11&gt;=36,$AL$23,INDEX($C$23:$AL$23,MAX(1,ROUNDUP(CR66/'🎚️ Escenario'!$C$11,0)))))</f>
        <v>1</v>
      </c>
      <c r="CS67" s="236" t="n">
        <f aca="false" t="array" ref="CS67:CS67">IF(CS66=0,0,IF(CS66/'🎚️ Escenario'!$C$11&gt;=36,$AL$23,INDEX($C$23:$AL$23,MAX(1,ROUNDUP(CS66/'🎚️ Escenario'!$C$11,0)))))</f>
        <v>1</v>
      </c>
      <c r="CT67" s="236" t="n">
        <f aca="false" t="array" ref="CT67:CT67">IF(CT66=0,0,IF(CT66/'🎚️ Escenario'!$C$11&gt;=36,$AL$23,INDEX($C$23:$AL$23,MAX(1,ROUNDUP(CT66/'🎚️ Escenario'!$C$11,0)))))</f>
        <v>1</v>
      </c>
      <c r="CU67" s="236" t="n">
        <f aca="false" t="array" ref="CU67:CU67">IF(CU66=0,0,IF(CU66/'🎚️ Escenario'!$C$11&gt;=36,$AL$23,INDEX($C$23:$AL$23,MAX(1,ROUNDUP(CU66/'🎚️ Escenario'!$C$11,0)))))</f>
        <v>1</v>
      </c>
      <c r="CV67" s="236" t="n">
        <f aca="false" t="array" ref="CV67:CV67">IF(CV66=0,0,IF(CV66/'🎚️ Escenario'!$C$11&gt;=36,$AL$23,INDEX($C$23:$AL$23,MAX(1,ROUNDUP(CV66/'🎚️ Escenario'!$C$11,0)))))</f>
        <v>1</v>
      </c>
      <c r="CW67" s="236" t="n">
        <f aca="false" t="array" ref="CW67:CW67">IF(CW66=0,0,IF(CW66/'🎚️ Escenario'!$C$11&gt;=36,$AL$23,INDEX($C$23:$AL$23,MAX(1,ROUNDUP(CW66/'🎚️ Escenario'!$C$11,0)))))</f>
        <v>1</v>
      </c>
      <c r="CX67" s="236" t="n">
        <f aca="false" t="array" ref="CX67:CX67">IF(CX66=0,0,IF(CX66/'🎚️ Escenario'!$C$11&gt;=36,$AL$23,INDEX($C$23:$AL$23,MAX(1,ROUNDUP(CX66/'🎚️ Escenario'!$C$11,0)))))</f>
        <v>1</v>
      </c>
      <c r="CY67" s="236" t="n">
        <f aca="false" t="array" ref="CY67:CY67">IF(CY66=0,0,IF(CY66/'🎚️ Escenario'!$C$11&gt;=36,$AL$23,INDEX($C$23:$AL$23,MAX(1,ROUNDUP(CY66/'🎚️ Escenario'!$C$11,0)))))</f>
        <v>1</v>
      </c>
      <c r="CZ67" s="236" t="n">
        <f aca="false" t="array" ref="CZ67:CZ67">IF(CZ66=0,0,IF(CZ66/'🎚️ Escenario'!$C$11&gt;=36,$AL$23,INDEX($C$23:$AL$23,MAX(1,ROUNDUP(CZ66/'🎚️ Escenario'!$C$11,0)))))</f>
        <v>1</v>
      </c>
      <c r="DA67" s="236" t="n">
        <f aca="false" t="array" ref="DA67:DA67">IF(DA66=0,0,IF(DA66/'🎚️ Escenario'!$C$11&gt;=36,$AL$23,INDEX($C$23:$AL$23,MAX(1,ROUNDUP(DA66/'🎚️ Escenario'!$C$11,0)))))</f>
        <v>1</v>
      </c>
      <c r="DB67" s="236" t="n">
        <f aca="false" t="array" ref="DB67:DB67">IF(DB66=0,0,IF(DB66/'🎚️ Escenario'!$C$11&gt;=36,$AL$23,INDEX($C$23:$AL$23,MAX(1,ROUNDUP(DB66/'🎚️ Escenario'!$C$11,0)))))</f>
        <v>1</v>
      </c>
      <c r="DC67" s="236" t="n">
        <f aca="false" t="array" ref="DC67:DC67">IF(DC66=0,0,IF(DC66/'🎚️ Escenario'!$C$11&gt;=36,$AL$23,INDEX($C$23:$AL$23,MAX(1,ROUNDUP(DC66/'🎚️ Escenario'!$C$11,0)))))</f>
        <v>1</v>
      </c>
      <c r="DD67" s="236" t="n">
        <f aca="false" t="array" ref="DD67:DD67">IF(DD66=0,0,IF(DD66/'🎚️ Escenario'!$C$11&gt;=36,$AL$23,INDEX($C$23:$AL$23,MAX(1,ROUNDUP(DD66/'🎚️ Escenario'!$C$11,0)))))</f>
        <v>1</v>
      </c>
      <c r="DE67" s="236" t="n">
        <f aca="false" t="array" ref="DE67:DE67">IF(DE66=0,0,IF(DE66/'🎚️ Escenario'!$C$11&gt;=36,$AL$23,INDEX($C$23:$AL$23,MAX(1,ROUNDUP(DE66/'🎚️ Escenario'!$C$11,0)))))</f>
        <v>1</v>
      </c>
      <c r="DF67" s="236" t="n">
        <f aca="false" t="array" ref="DF67:DF67">IF(DF66=0,0,IF(DF66/'🎚️ Escenario'!$C$11&gt;=36,$AL$23,INDEX($C$23:$AL$23,MAX(1,ROUNDUP(DF66/'🎚️ Escenario'!$C$11,0)))))</f>
        <v>1</v>
      </c>
      <c r="DG67" s="236" t="n">
        <f aca="false" t="array" ref="DG67:DG67">IF(DG66=0,0,IF(DG66/'🎚️ Escenario'!$C$11&gt;=36,$AL$23,INDEX($C$23:$AL$23,MAX(1,ROUNDUP(DG66/'🎚️ Escenario'!$C$11,0)))))</f>
        <v>1</v>
      </c>
      <c r="DH67" s="236" t="n">
        <f aca="false" t="array" ref="DH67:DH67">IF(DH66=0,0,IF(DH66/'🎚️ Escenario'!$C$11&gt;=36,$AL$23,INDEX($C$23:$AL$23,MAX(1,ROUNDUP(DH66/'🎚️ Escenario'!$C$11,0)))))</f>
        <v>1</v>
      </c>
      <c r="DI67" s="236" t="n">
        <f aca="false" t="array" ref="DI67:DI67">IF(DI66=0,0,IF(DI66/'🎚️ Escenario'!$C$11&gt;=36,$AL$23,INDEX($C$23:$AL$23,MAX(1,ROUNDUP(DI66/'🎚️ Escenario'!$C$11,0)))))</f>
        <v>1</v>
      </c>
      <c r="DJ67" s="236" t="n">
        <f aca="false" t="array" ref="DJ67:DJ67">IF(DJ66=0,0,IF(DJ66/'🎚️ Escenario'!$C$11&gt;=36,$AL$23,INDEX($C$23:$AL$23,MAX(1,ROUNDUP(DJ66/'🎚️ Escenario'!$C$11,0)))))</f>
        <v>1</v>
      </c>
      <c r="DK67" s="236" t="n">
        <f aca="false" t="array" ref="DK67:DK67">IF(DK66=0,0,IF(DK66/'🎚️ Escenario'!$C$11&gt;=36,$AL$23,INDEX($C$23:$AL$23,MAX(1,ROUNDUP(DK66/'🎚️ Escenario'!$C$11,0)))))</f>
        <v>1</v>
      </c>
      <c r="DL67" s="236" t="n">
        <f aca="false" t="array" ref="DL67:DL67">IF(DL66=0,0,IF(DL66/'🎚️ Escenario'!$C$11&gt;=36,$AL$23,INDEX($C$23:$AL$23,MAX(1,ROUNDUP(DL66/'🎚️ Escenario'!$C$11,0)))))</f>
        <v>1</v>
      </c>
      <c r="DM67" s="236" t="n">
        <f aca="false" t="array" ref="DM67:DM67">IF(DM66=0,0,IF(DM66/'🎚️ Escenario'!$C$11&gt;=36,$AL$23,INDEX($C$23:$AL$23,MAX(1,ROUNDUP(DM66/'🎚️ Escenario'!$C$11,0)))))</f>
        <v>1</v>
      </c>
      <c r="DN67" s="236" t="n">
        <f aca="false" t="array" ref="DN67:DN67">IF(DN66=0,0,IF(DN66/'🎚️ Escenario'!$C$11&gt;=36,$AL$23,INDEX($C$23:$AL$23,MAX(1,ROUNDUP(DN66/'🎚️ Escenario'!$C$11,0)))))</f>
        <v>1</v>
      </c>
      <c r="DO67" s="236" t="n">
        <f aca="false" t="array" ref="DO67:DO67">IF(DO66=0,0,IF(DO66/'🎚️ Escenario'!$C$11&gt;=36,$AL$23,INDEX($C$23:$AL$23,MAX(1,ROUNDUP(DO66/'🎚️ Escenario'!$C$11,0)))))</f>
        <v>1</v>
      </c>
      <c r="DP67" s="236" t="n">
        <f aca="false" t="array" ref="DP67:DP67">IF(DP66=0,0,IF(DP66/'🎚️ Escenario'!$C$11&gt;=36,$AL$23,INDEX($C$23:$AL$23,MAX(1,ROUNDUP(DP66/'🎚️ Escenario'!$C$11,0)))))</f>
        <v>1</v>
      </c>
      <c r="DQ67" s="236" t="n">
        <f aca="false" t="array" ref="DQ67:DQ67">IF(DQ66=0,0,IF(DQ66/'🎚️ Escenario'!$C$11&gt;=36,$AL$23,INDEX($C$23:$AL$23,MAX(1,ROUNDUP(DQ66/'🎚️ Escenario'!$C$11,0)))))</f>
        <v>1</v>
      </c>
      <c r="DR67" s="236" t="n">
        <f aca="false" t="array" ref="DR67:DR67">IF(DR66=0,0,IF(DR66/'🎚️ Escenario'!$C$11&gt;=36,$AL$23,INDEX($C$23:$AL$23,MAX(1,ROUNDUP(DR66/'🎚️ Escenario'!$C$11,0)))))</f>
        <v>1</v>
      </c>
      <c r="DS67" s="236" t="n">
        <f aca="false" t="array" ref="DS67:DS67">IF(DS66=0,0,IF(DS66/'🎚️ Escenario'!$C$11&gt;=36,$AL$23,INDEX($C$23:$AL$23,MAX(1,ROUNDUP(DS66/'🎚️ Escenario'!$C$11,0)))))</f>
        <v>1</v>
      </c>
      <c r="DT67" s="236" t="n">
        <f aca="false" t="array" ref="DT67:DT67">IF(DT66=0,0,IF(DT66/'🎚️ Escenario'!$C$11&gt;=36,$AL$23,INDEX($C$23:$AL$23,MAX(1,ROUNDUP(DT66/'🎚️ Escenario'!$C$11,0)))))</f>
        <v>1</v>
      </c>
      <c r="DU67" s="236" t="n">
        <f aca="false" t="array" ref="DU67:DU67">IF(DU66=0,0,IF(DU66/'🎚️ Escenario'!$C$11&gt;=36,$AL$23,INDEX($C$23:$AL$23,MAX(1,ROUNDUP(DU66/'🎚️ Escenario'!$C$11,0)))))</f>
        <v>1</v>
      </c>
      <c r="DV67" s="236" t="n">
        <f aca="false" t="array" ref="DV67:DV67">IF(DV66=0,0,IF(DV66/'🎚️ Escenario'!$C$11&gt;=36,$AL$23,INDEX($C$23:$AL$23,MAX(1,ROUNDUP(DV66/'🎚️ Escenario'!$C$11,0)))))</f>
        <v>1</v>
      </c>
      <c r="DW67" s="236" t="n">
        <f aca="false" t="array" ref="DW67:DW67">IF(DW66=0,0,IF(DW66/'🎚️ Escenario'!$C$11&gt;=36,$AL$23,INDEX($C$23:$AL$23,MAX(1,ROUNDUP(DW66/'🎚️ Escenario'!$C$11,0)))))</f>
        <v>1</v>
      </c>
      <c r="DX67" s="236" t="n">
        <f aca="false" t="array" ref="DX67:DX67">IF(DX66=0,0,IF(DX66/'🎚️ Escenario'!$C$11&gt;=36,$AL$23,INDEX($C$23:$AL$23,MAX(1,ROUNDUP(DX66/'🎚️ Escenario'!$C$11,0)))))</f>
        <v>1</v>
      </c>
      <c r="DY67" s="236" t="n">
        <f aca="false" t="array" ref="DY67:DY67">IF(DY66=0,0,IF(DY66/'🎚️ Escenario'!$C$11&gt;=36,$AL$23,INDEX($C$23:$AL$23,MAX(1,ROUNDUP(DY66/'🎚️ Escenario'!$C$11,0)))))</f>
        <v>1</v>
      </c>
      <c r="DZ67" s="236" t="n">
        <f aca="false" t="array" ref="DZ67:DZ67">IF(DZ66=0,0,IF(DZ66/'🎚️ Escenario'!$C$11&gt;=36,$AL$23,INDEX($C$23:$AL$23,MAX(1,ROUNDUP(DZ66/'🎚️ Escenario'!$C$11,0)))))</f>
        <v>1</v>
      </c>
      <c r="EA67" s="236" t="n">
        <f aca="false" t="array" ref="EA67:EA67">IF(EA66=0,0,IF(EA66/'🎚️ Escenario'!$C$11&gt;=36,$AL$23,INDEX($C$23:$AL$23,MAX(1,ROUNDUP(EA66/'🎚️ Escenario'!$C$11,0)))))</f>
        <v>1</v>
      </c>
      <c r="EB67" s="236" t="n">
        <f aca="false" t="array" ref="EB67:EB67">IF(EB66=0,0,IF(EB66/'🎚️ Escenario'!$C$11&gt;=36,$AL$23,INDEX($C$23:$AL$23,MAX(1,ROUNDUP(EB66/'🎚️ Escenario'!$C$11,0)))))</f>
        <v>1</v>
      </c>
      <c r="EC67" s="236" t="n">
        <f aca="false" t="array" ref="EC67:EC67">IF(EC66=0,0,IF(EC66/'🎚️ Escenario'!$C$11&gt;=36,$AL$23,INDEX($C$23:$AL$23,MAX(1,ROUNDUP(EC66/'🎚️ Escenario'!$C$11,0)))))</f>
        <v>1</v>
      </c>
      <c r="ED67" s="236" t="n">
        <f aca="false" t="array" ref="ED67:ED67">IF(ED66=0,0,IF(ED66/'🎚️ Escenario'!$C$11&gt;=36,$AL$23,INDEX($C$23:$AL$23,MAX(1,ROUNDUP(ED66/'🎚️ Escenario'!$C$11,0)))))</f>
        <v>1</v>
      </c>
      <c r="EE67" s="236" t="n">
        <f aca="false" t="array" ref="EE67:EE67">IF(EE66=0,0,IF(EE66/'🎚️ Escenario'!$C$11&gt;=36,$AL$23,INDEX($C$23:$AL$23,MAX(1,ROUNDUP(EE66/'🎚️ Escenario'!$C$11,0)))))</f>
        <v>1</v>
      </c>
      <c r="EF67" s="236" t="n">
        <f aca="false" t="array" ref="EF67:EF67">IF(EF66=0,0,IF(EF66/'🎚️ Escenario'!$C$11&gt;=36,$AL$23,INDEX($C$23:$AL$23,MAX(1,ROUNDUP(EF66/'🎚️ Escenario'!$C$11,0)))))</f>
        <v>1</v>
      </c>
      <c r="EG67" s="236" t="n">
        <f aca="false" t="array" ref="EG67:EG67">IF(EG66=0,0,IF(EG66/'🎚️ Escenario'!$C$11&gt;=36,$AL$23,INDEX($C$23:$AL$23,MAX(1,ROUNDUP(EG66/'🎚️ Escenario'!$C$11,0)))))</f>
        <v>1</v>
      </c>
      <c r="EH67" s="236" t="n">
        <f aca="false" t="array" ref="EH67:EH67">IF(EH66=0,0,IF(EH66/'🎚️ Escenario'!$C$11&gt;=36,$AL$23,INDEX($C$23:$AL$23,MAX(1,ROUNDUP(EH66/'🎚️ Escenario'!$C$11,0)))))</f>
        <v>1</v>
      </c>
      <c r="EI67" s="236" t="n">
        <f aca="false" t="array" ref="EI67:EI67">IF(EI66=0,0,IF(EI66/'🎚️ Escenario'!$C$11&gt;=36,$AL$23,INDEX($C$23:$AL$23,MAX(1,ROUNDUP(EI66/'🎚️ Escenario'!$C$11,0)))))</f>
        <v>1</v>
      </c>
      <c r="EJ67" s="236" t="n">
        <f aca="false" t="array" ref="EJ67:EJ67">IF(EJ66=0,0,IF(EJ66/'🎚️ Escenario'!$C$11&gt;=36,$AL$23,INDEX($C$23:$AL$23,MAX(1,ROUNDUP(EJ66/'🎚️ Escenario'!$C$11,0)))))</f>
        <v>1</v>
      </c>
      <c r="EK67" s="236" t="n">
        <f aca="false" t="array" ref="EK67:EK67">IF(EK66=0,0,IF(EK66/'🎚️ Escenario'!$C$11&gt;=36,$AL$23,INDEX($C$23:$AL$23,MAX(1,ROUNDUP(EK66/'🎚️ Escenario'!$C$11,0)))))</f>
        <v>1</v>
      </c>
      <c r="EL67" s="236" t="n">
        <f aca="false" t="array" ref="EL67:EL67">IF(EL66=0,0,IF(EL66/'🎚️ Escenario'!$C$11&gt;=36,$AL$23,INDEX($C$23:$AL$23,MAX(1,ROUNDUP(EL66/'🎚️ Escenario'!$C$11,0)))))</f>
        <v>1</v>
      </c>
      <c r="EM67" s="236" t="n">
        <f aca="false" t="array" ref="EM67:EM67">IF(EM66=0,0,IF(EM66/'🎚️ Escenario'!$C$11&gt;=36,$AL$23,INDEX($C$23:$AL$23,MAX(1,ROUNDUP(EM66/'🎚️ Escenario'!$C$11,0)))))</f>
        <v>1</v>
      </c>
      <c r="EN67" s="236" t="n">
        <f aca="false" t="array" ref="EN67:EN67">IF(EN66=0,0,IF(EN66/'🎚️ Escenario'!$C$11&gt;=36,$AL$23,INDEX($C$23:$AL$23,MAX(1,ROUNDUP(EN66/'🎚️ Escenario'!$C$11,0)))))</f>
        <v>1</v>
      </c>
      <c r="EO67" s="236" t="n">
        <f aca="false" t="array" ref="EO67:EO67">IF(EO66=0,0,IF(EO66/'🎚️ Escenario'!$C$11&gt;=36,$AL$23,INDEX($C$23:$AL$23,MAX(1,ROUNDUP(EO66/'🎚️ Escenario'!$C$11,0)))))</f>
        <v>1</v>
      </c>
      <c r="EP67" s="236" t="n">
        <f aca="false" t="array" ref="EP67:EP67">IF(EP66=0,0,IF(EP66/'🎚️ Escenario'!$C$11&gt;=36,$AL$23,INDEX($C$23:$AL$23,MAX(1,ROUNDUP(EP66/'🎚️ Escenario'!$C$11,0)))))</f>
        <v>1</v>
      </c>
      <c r="EQ67" s="236" t="n">
        <f aca="false" t="array" ref="EQ67:EQ67">IF(EQ66=0,0,IF(EQ66/'🎚️ Escenario'!$C$11&gt;=36,$AL$23,INDEX($C$23:$AL$23,MAX(1,ROUNDUP(EQ66/'🎚️ Escenario'!$C$11,0)))))</f>
        <v>1</v>
      </c>
      <c r="ER67" s="236" t="n">
        <f aca="false" t="array" ref="ER67:ER67">IF(ER66=0,0,IF(ER66/'🎚️ Escenario'!$C$11&gt;=36,$AL$23,INDEX($C$23:$AL$23,MAX(1,ROUNDUP(ER66/'🎚️ Escenario'!$C$11,0)))))</f>
        <v>1</v>
      </c>
      <c r="ES67" s="9" t="n">
        <f aca="false" t="array" ref="ES67:ES67">IF(ES66=0,0,IF(ES66/'🎚️ Escenario'!$C$11&gt;=36,$AL$23,INDEX($C$23:$AL$23,MAX(1,ROUNDUP(ES66/'🎚️ Escenario'!$C$11,0)))))</f>
        <v>1</v>
      </c>
      <c r="ET67" s="9" t="n">
        <f aca="false" t="array" ref="ET67:ET67">IF(ET66=0,0,IF(ET66/'🎚️ Escenario'!$C$11&gt;=36,$AL$23,INDEX($C$23:$AL$23,MAX(1,ROUNDUP(ET66/'🎚️ Escenario'!$C$11,0)))))</f>
        <v>1</v>
      </c>
      <c r="EU67" s="9" t="n">
        <f aca="false" t="array" ref="EU67:EU67">IF(EU66=0,0,IF(EU66/'🎚️ Escenario'!$C$11&gt;=36,$AL$23,INDEX($C$23:$AL$23,MAX(1,ROUNDUP(EU66/'🎚️ Escenario'!$C$11,0)))))</f>
        <v>1</v>
      </c>
      <c r="EV67" s="9" t="n">
        <f aca="false" t="array" ref="EV67:EV67">IF(EV66=0,0,IF(EV66/'🎚️ Escenario'!$C$11&gt;=36,$AL$23,INDEX($C$23:$AL$23,MAX(1,ROUNDUP(EV66/'🎚️ Escenario'!$C$11,0)))))</f>
        <v>1</v>
      </c>
      <c r="EW67" s="9" t="n">
        <f aca="false" t="array" ref="EW67:EW67">IF(EW66=0,0,IF(EW66/'🎚️ Escenario'!$C$11&gt;=36,$AL$23,INDEX($C$23:$AL$23,MAX(1,ROUNDUP(EW66/'🎚️ Escenario'!$C$11,0)))))</f>
        <v>1</v>
      </c>
      <c r="EX67" s="9" t="n">
        <f aca="false" t="array" ref="EX67:EX67">IF(EX66=0,0,IF(EX66/'🎚️ Escenario'!$C$11&gt;=36,$AL$23,INDEX($C$23:$AL$23,MAX(1,ROUNDUP(EX66/'🎚️ Escenario'!$C$11,0)))))</f>
        <v>1</v>
      </c>
      <c r="EY67" s="9" t="n">
        <f aca="false" t="array" ref="EY67:EY67">IF(EY66=0,0,IF(EY66/'🎚️ Escenario'!$C$11&gt;=36,$AL$23,INDEX($C$23:$AL$23,MAX(1,ROUNDUP(EY66/'🎚️ Escenario'!$C$11,0)))))</f>
        <v>1</v>
      </c>
      <c r="EZ67" s="9" t="n">
        <f aca="false" t="array" ref="EZ67:EZ67">IF(EZ66=0,0,IF(EZ66/'🎚️ Escenario'!$C$11&gt;=36,$AL$23,INDEX($C$23:$AL$23,MAX(1,ROUNDUP(EZ66/'🎚️ Escenario'!$C$11,0)))))</f>
        <v>1</v>
      </c>
      <c r="FA67" s="9" t="n">
        <f aca="false" t="array" ref="FA67:FA67">IF(FA66=0,0,IF(FA66/'🎚️ Escenario'!$C$11&gt;=36,$AL$23,INDEX($C$23:$AL$23,MAX(1,ROUNDUP(FA66/'🎚️ Escenario'!$C$11,0)))))</f>
        <v>1</v>
      </c>
      <c r="FB67" s="9" t="n">
        <f aca="false" t="array" ref="FB67:FB67">IF(FB66=0,0,IF(FB66/'🎚️ Escenario'!$C$11&gt;=36,$AL$23,INDEX($C$23:$AL$23,MAX(1,ROUNDUP(FB66/'🎚️ Escenario'!$C$11,0)))))</f>
        <v>1</v>
      </c>
      <c r="FC67" s="9" t="n">
        <f aca="false" t="array" ref="FC67:FC67">IF(FC66=0,0,IF(FC66/'🎚️ Escenario'!$C$11&gt;=36,$AL$23,INDEX($C$23:$AL$23,MAX(1,ROUNDUP(FC66/'🎚️ Escenario'!$C$11,0)))))</f>
        <v>1</v>
      </c>
      <c r="FD67" s="9" t="n">
        <f aca="false" t="array" ref="FD67:FD67">IF(FD66=0,0,IF(FD66/'🎚️ Escenario'!$C$11&gt;=36,$AL$23,INDEX($C$23:$AL$23,MAX(1,ROUNDUP(FD66/'🎚️ Escenario'!$C$11,0)))))</f>
        <v>1</v>
      </c>
      <c r="FE67" s="9" t="n">
        <f aca="false" t="array" ref="FE67:FE67">IF(FE66=0,0,IF(FE66/'🎚️ Escenario'!$C$11&gt;=36,$AL$23,INDEX($C$23:$AL$23,MAX(1,ROUNDUP(FE66/'🎚️ Escenario'!$C$11,0)))))</f>
        <v>1</v>
      </c>
      <c r="FF67" s="9" t="n">
        <f aca="false" t="array" ref="FF67:FF67">IF(FF66=0,0,IF(FF66/'🎚️ Escenario'!$C$11&gt;=36,$AL$23,INDEX($C$23:$AL$23,MAX(1,ROUNDUP(FF66/'🎚️ Escenario'!$C$11,0)))))</f>
        <v>1</v>
      </c>
      <c r="FG67" s="9" t="n">
        <f aca="false" t="array" ref="FG67:FG67">IF(FG66=0,0,IF(FG66/'🎚️ Escenario'!$C$11&gt;=36,$AL$23,INDEX($C$23:$AL$23,MAX(1,ROUNDUP(FG66/'🎚️ Escenario'!$C$11,0)))))</f>
        <v>1</v>
      </c>
      <c r="FH67" s="9" t="n">
        <f aca="false" t="array" ref="FH67:FH67">IF(FH66=0,0,IF(FH66/'🎚️ Escenario'!$C$11&gt;=36,$AL$23,INDEX($C$23:$AL$23,MAX(1,ROUNDUP(FH66/'🎚️ Escenario'!$C$11,0)))))</f>
        <v>1</v>
      </c>
      <c r="FI67" s="9" t="n">
        <f aca="false" t="array" ref="FI67:FI67">IF(FI66=0,0,IF(FI66/'🎚️ Escenario'!$C$11&gt;=36,$AL$23,INDEX($C$23:$AL$23,MAX(1,ROUNDUP(FI66/'🎚️ Escenario'!$C$11,0)))))</f>
        <v>1</v>
      </c>
      <c r="FJ67" s="9" t="n">
        <f aca="false" t="array" ref="FJ67:FJ67">IF(FJ66=0,0,IF(FJ66/'🎚️ Escenario'!$C$11&gt;=36,$AL$23,INDEX($C$23:$AL$23,MAX(1,ROUNDUP(FJ66/'🎚️ Escenario'!$C$11,0)))))</f>
        <v>1</v>
      </c>
      <c r="FK67" s="9" t="n">
        <f aca="false" t="array" ref="FK67:FK67">IF(FK66=0,0,IF(FK66/'🎚️ Escenario'!$C$11&gt;=36,$AL$23,INDEX($C$23:$AL$23,MAX(1,ROUNDUP(FK66/'🎚️ Escenario'!$C$11,0)))))</f>
        <v>1</v>
      </c>
      <c r="FL67" s="9" t="n">
        <f aca="false" t="array" ref="FL67:FL67">IF(FL66=0,0,IF(FL66/'🎚️ Escenario'!$C$11&gt;=36,$AL$23,INDEX($C$23:$AL$23,MAX(1,ROUNDUP(FL66/'🎚️ Escenario'!$C$11,0)))))</f>
        <v>1</v>
      </c>
      <c r="FM67" s="9" t="n">
        <f aca="false" t="array" ref="FM67:FM67">IF(FM66=0,0,IF(FM66/'🎚️ Escenario'!$C$11&gt;=36,$AL$23,INDEX($C$23:$AL$23,MAX(1,ROUNDUP(FM66/'🎚️ Escenario'!$C$11,0)))))</f>
        <v>1</v>
      </c>
      <c r="FN67" s="9" t="n">
        <f aca="false" t="array" ref="FN67:FN67">IF(FN66=0,0,IF(FN66/'🎚️ Escenario'!$C$11&gt;=36,$AL$23,INDEX($C$23:$AL$23,MAX(1,ROUNDUP(FN66/'🎚️ Escenario'!$C$11,0)))))</f>
        <v>1</v>
      </c>
      <c r="FO67" s="9" t="n">
        <f aca="false" t="array" ref="FO67:FO67">IF(FO66=0,0,IF(FO66/'🎚️ Escenario'!$C$11&gt;=36,$AL$23,INDEX($C$23:$AL$23,MAX(1,ROUNDUP(FO66/'🎚️ Escenario'!$C$11,0)))))</f>
        <v>1</v>
      </c>
      <c r="FP67" s="9" t="n">
        <f aca="false" t="array" ref="FP67:FP67">IF(FP66=0,0,IF(FP66/'🎚️ Escenario'!$C$11&gt;=36,$AL$23,INDEX($C$23:$AL$23,MAX(1,ROUNDUP(FP66/'🎚️ Escenario'!$C$11,0)))))</f>
        <v>1</v>
      </c>
    </row>
    <row r="68" customFormat="false" ht="15" hidden="false" customHeight="false" outlineLevel="2" collapsed="false">
      <c r="B68" s="9" t="s">
        <v>875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237" t="n">
        <f aca="false">IF(AC66=0,0,IF(AC66&lt;=12*'🎚️ Escenario'!$C$11,1,1+$C$6))</f>
        <v>0</v>
      </c>
      <c r="AD68" s="237" t="n">
        <f aca="false">IF(AD66=0,0,IF(AD66&lt;=12*'🎚️ Escenario'!$C$11,1,1+$C$6))</f>
        <v>0</v>
      </c>
      <c r="AE68" s="237" t="n">
        <f aca="false">IF(AE66=0,0,IF(AE66&lt;=12*'🎚️ Escenario'!$C$11,1,1+$C$6))</f>
        <v>0</v>
      </c>
      <c r="AF68" s="237" t="n">
        <f aca="false">IF(AF66=0,0,IF(AF66&lt;=12*'🎚️ Escenario'!$C$11,1,1+$C$6))</f>
        <v>0</v>
      </c>
      <c r="AG68" s="237" t="n">
        <f aca="false">IF(AG66=0,0,IF(AG66&lt;=12*'🎚️ Escenario'!$C$11,1,1+$C$6))</f>
        <v>1</v>
      </c>
      <c r="AH68" s="237" t="n">
        <f aca="false">IF(AH66=0,0,IF(AH66&lt;=12*'🎚️ Escenario'!$C$11,1,1+$C$6))</f>
        <v>1</v>
      </c>
      <c r="AI68" s="237" t="n">
        <f aca="false">IF(AI66=0,0,IF(AI66&lt;=12*'🎚️ Escenario'!$C$11,1,1+$C$6))</f>
        <v>1</v>
      </c>
      <c r="AJ68" s="237" t="n">
        <f aca="false">IF(AJ66=0,0,IF(AJ66&lt;=12*'🎚️ Escenario'!$C$11,1,1+$C$6))</f>
        <v>1</v>
      </c>
      <c r="AK68" s="237" t="n">
        <f aca="false">IF(AK66=0,0,IF(AK66&lt;=12*'🎚️ Escenario'!$C$11,1,1+$C$6))</f>
        <v>1</v>
      </c>
      <c r="AL68" s="237" t="n">
        <f aca="false">IF(AL66=0,0,IF(AL66&lt;=12*'🎚️ Escenario'!$C$11,1,1+$C$6))</f>
        <v>1</v>
      </c>
      <c r="AM68" s="237" t="n">
        <f aca="false">IF(AM66=0,0,IF(AM66&lt;=12*'🎚️ Escenario'!$C$11,1,1+$C$6))</f>
        <v>1</v>
      </c>
      <c r="AN68" s="237" t="n">
        <f aca="false">IF(AN66=0,0,IF(AN66&lt;=12*'🎚️ Escenario'!$C$11,1,1+$C$6))</f>
        <v>1</v>
      </c>
      <c r="AO68" s="237" t="n">
        <f aca="false">IF(AO66=0,0,IF(AO66&lt;=12*'🎚️ Escenario'!$C$11,1,1+$C$6))</f>
        <v>1</v>
      </c>
      <c r="AP68" s="237" t="n">
        <f aca="false">IF(AP66=0,0,IF(AP66&lt;=12*'🎚️ Escenario'!$C$11,1,1+$C$6))</f>
        <v>1</v>
      </c>
      <c r="AQ68" s="237" t="n">
        <f aca="false">IF(AQ66=0,0,IF(AQ66&lt;=12*'🎚️ Escenario'!$C$11,1,1+$C$6))</f>
        <v>1</v>
      </c>
      <c r="AR68" s="237" t="n">
        <f aca="false">IF(AR66=0,0,IF(AR66&lt;=12*'🎚️ Escenario'!$C$11,1,1+$C$6))</f>
        <v>1</v>
      </c>
      <c r="AS68" s="237" t="n">
        <f aca="false">IF(AS66=0,0,IF(AS66&lt;=12*'🎚️ Escenario'!$C$11,1,1+$C$6))</f>
        <v>1</v>
      </c>
      <c r="AT68" s="237" t="n">
        <f aca="false">IF(AT66=0,0,IF(AT66&lt;=12*'🎚️ Escenario'!$C$11,1,1+$C$6))</f>
        <v>1</v>
      </c>
      <c r="AU68" s="237" t="n">
        <f aca="false">IF(AU66=0,0,IF(AU66&lt;=12*'🎚️ Escenario'!$C$11,1,1+$C$6))</f>
        <v>1</v>
      </c>
      <c r="AV68" s="237" t="n">
        <f aca="false">IF(AV66=0,0,IF(AV66&lt;=12*'🎚️ Escenario'!$C$11,1,1+$C$6))</f>
        <v>1.2</v>
      </c>
      <c r="AW68" s="237" t="n">
        <f aca="false">IF(AW66=0,0,IF(AW66&lt;=12*'🎚️ Escenario'!$C$11,1,1+$C$6))</f>
        <v>1.2</v>
      </c>
      <c r="AX68" s="237" t="n">
        <f aca="false">IF(AX66=0,0,IF(AX66&lt;=12*'🎚️ Escenario'!$C$11,1,1+$C$6))</f>
        <v>1.2</v>
      </c>
      <c r="AY68" s="237" t="n">
        <f aca="false">IF(AY66=0,0,IF(AY66&lt;=12*'🎚️ Escenario'!$C$11,1,1+$C$6))</f>
        <v>1.2</v>
      </c>
      <c r="AZ68" s="237" t="n">
        <f aca="false">IF(AZ66=0,0,IF(AZ66&lt;=12*'🎚️ Escenario'!$C$11,1,1+$C$6))</f>
        <v>1.2</v>
      </c>
      <c r="BA68" s="237" t="n">
        <f aca="false">IF(BA66=0,0,IF(BA66&lt;=12*'🎚️ Escenario'!$C$11,1,1+$C$6))</f>
        <v>1.2</v>
      </c>
      <c r="BB68" s="237" t="n">
        <f aca="false">IF(BB66=0,0,IF(BB66&lt;=12*'🎚️ Escenario'!$C$11,1,1+$C$6))</f>
        <v>1.2</v>
      </c>
      <c r="BC68" s="237" t="n">
        <f aca="false">IF(BC66=0,0,IF(BC66&lt;=12*'🎚️ Escenario'!$C$11,1,1+$C$6))</f>
        <v>1.2</v>
      </c>
      <c r="BD68" s="237" t="n">
        <f aca="false">IF(BD66=0,0,IF(BD66&lt;=12*'🎚️ Escenario'!$C$11,1,1+$C$6))</f>
        <v>1.2</v>
      </c>
      <c r="BE68" s="237" t="n">
        <f aca="false">IF(BE66=0,0,IF(BE66&lt;=12*'🎚️ Escenario'!$C$11,1,1+$C$6))</f>
        <v>1.2</v>
      </c>
      <c r="BF68" s="237" t="n">
        <f aca="false">IF(BF66=0,0,IF(BF66&lt;=12*'🎚️ Escenario'!$C$11,1,1+$C$6))</f>
        <v>1.2</v>
      </c>
      <c r="BG68" s="237" t="n">
        <f aca="false">IF(BG66=0,0,IF(BG66&lt;=12*'🎚️ Escenario'!$C$11,1,1+$C$6))</f>
        <v>1.2</v>
      </c>
      <c r="BH68" s="237" t="n">
        <f aca="false">IF(BH66=0,0,IF(BH66&lt;=12*'🎚️ Escenario'!$C$11,1,1+$C$6))</f>
        <v>1.2</v>
      </c>
      <c r="BI68" s="237" t="n">
        <f aca="false">IF(BI66=0,0,IF(BI66&lt;=12*'🎚️ Escenario'!$C$11,1,1+$C$6))</f>
        <v>1.2</v>
      </c>
      <c r="BJ68" s="237" t="n">
        <f aca="false">IF(BJ66=0,0,IF(BJ66&lt;=12*'🎚️ Escenario'!$C$11,1,1+$C$6))</f>
        <v>1.2</v>
      </c>
      <c r="BK68" s="237" t="n">
        <f aca="false">IF(BK66=0,0,IF(BK66&lt;=12*'🎚️ Escenario'!$C$11,1,1+$C$6))</f>
        <v>1.2</v>
      </c>
      <c r="BL68" s="237" t="n">
        <f aca="false">IF(BL66=0,0,IF(BL66&lt;=12*'🎚️ Escenario'!$C$11,1,1+$C$6))</f>
        <v>1.2</v>
      </c>
      <c r="BM68" s="237" t="n">
        <f aca="false">IF(BM66=0,0,IF(BM66&lt;=12*'🎚️ Escenario'!$C$11,1,1+$C$6))</f>
        <v>1.2</v>
      </c>
      <c r="BN68" s="237" t="n">
        <f aca="false">IF(BN66=0,0,IF(BN66&lt;=12*'🎚️ Escenario'!$C$11,1,1+$C$6))</f>
        <v>1.2</v>
      </c>
      <c r="BO68" s="237" t="n">
        <f aca="false">IF(BO66=0,0,IF(BO66&lt;=12*'🎚️ Escenario'!$C$11,1,1+$C$6))</f>
        <v>1.2</v>
      </c>
      <c r="BP68" s="237" t="n">
        <f aca="false">IF(BP66=0,0,IF(BP66&lt;=12*'🎚️ Escenario'!$C$11,1,1+$C$6))</f>
        <v>1.2</v>
      </c>
      <c r="BQ68" s="237" t="n">
        <f aca="false">IF(BQ66=0,0,IF(BQ66&lt;=12*'🎚️ Escenario'!$C$11,1,1+$C$6))</f>
        <v>1.2</v>
      </c>
      <c r="BR68" s="237" t="n">
        <f aca="false">IF(BR66=0,0,IF(BR66&lt;=12*'🎚️ Escenario'!$C$11,1,1+$C$6))</f>
        <v>1.2</v>
      </c>
      <c r="BS68" s="237" t="n">
        <f aca="false">IF(BS66=0,0,IF(BS66&lt;=12*'🎚️ Escenario'!$C$11,1,1+$C$6))</f>
        <v>1.2</v>
      </c>
      <c r="BT68" s="237" t="n">
        <f aca="false">IF(BT66=0,0,IF(BT66&lt;=12*'🎚️ Escenario'!$C$11,1,1+$C$6))</f>
        <v>1.2</v>
      </c>
      <c r="BU68" s="237" t="n">
        <f aca="false">IF(BU66=0,0,IF(BU66&lt;=12*'🎚️ Escenario'!$C$11,1,1+$C$6))</f>
        <v>1.2</v>
      </c>
      <c r="BV68" s="237" t="n">
        <f aca="false">IF(BV66=0,0,IF(BV66&lt;=12*'🎚️ Escenario'!$C$11,1,1+$C$6))</f>
        <v>1.2</v>
      </c>
      <c r="BW68" s="237" t="n">
        <f aca="false">IF(BW66=0,0,IF(BW66&lt;=12*'🎚️ Escenario'!$C$11,1,1+$C$6))</f>
        <v>1.2</v>
      </c>
      <c r="BX68" s="237" t="n">
        <f aca="false">IF(BX66=0,0,IF(BX66&lt;=12*'🎚️ Escenario'!$C$11,1,1+$C$6))</f>
        <v>1.2</v>
      </c>
      <c r="BY68" s="237" t="n">
        <f aca="false">IF(BY66=0,0,IF(BY66&lt;=12*'🎚️ Escenario'!$C$11,1,1+$C$6))</f>
        <v>1.2</v>
      </c>
      <c r="BZ68" s="237" t="n">
        <f aca="false">IF(BZ66=0,0,IF(BZ66&lt;=12*'🎚️ Escenario'!$C$11,1,1+$C$6))</f>
        <v>1.2</v>
      </c>
      <c r="CA68" s="237" t="n">
        <f aca="false">IF(CA66=0,0,IF(CA66&lt;=12*'🎚️ Escenario'!$C$11,1,1+$C$6))</f>
        <v>1.2</v>
      </c>
      <c r="CB68" s="237" t="n">
        <f aca="false">IF(CB66=0,0,IF(CB66&lt;=12*'🎚️ Escenario'!$C$11,1,1+$C$6))</f>
        <v>1.2</v>
      </c>
      <c r="CC68" s="237" t="n">
        <f aca="false">IF(CC66=0,0,IF(CC66&lt;=12*'🎚️ Escenario'!$C$11,1,1+$C$6))</f>
        <v>1.2</v>
      </c>
      <c r="CD68" s="237" t="n">
        <f aca="false">IF(CD66=0,0,IF(CD66&lt;=12*'🎚️ Escenario'!$C$11,1,1+$C$6))</f>
        <v>1.2</v>
      </c>
      <c r="CE68" s="237" t="n">
        <f aca="false">IF(CE66=0,0,IF(CE66&lt;=12*'🎚️ Escenario'!$C$11,1,1+$C$6))</f>
        <v>1.2</v>
      </c>
      <c r="CF68" s="237" t="n">
        <f aca="false">IF(CF66=0,0,IF(CF66&lt;=12*'🎚️ Escenario'!$C$11,1,1+$C$6))</f>
        <v>1.2</v>
      </c>
      <c r="CG68" s="237" t="n">
        <f aca="false">IF(CG66=0,0,IF(CG66&lt;=12*'🎚️ Escenario'!$C$11,1,1+$C$6))</f>
        <v>1.2</v>
      </c>
      <c r="CH68" s="237" t="n">
        <f aca="false">IF(CH66=0,0,IF(CH66&lt;=12*'🎚️ Escenario'!$C$11,1,1+$C$6))</f>
        <v>1.2</v>
      </c>
      <c r="CI68" s="237" t="n">
        <f aca="false">IF(CI66=0,0,IF(CI66&lt;=12*'🎚️ Escenario'!$C$11,1,1+$C$6))</f>
        <v>1.2</v>
      </c>
      <c r="CJ68" s="237" t="n">
        <f aca="false">IF(CJ66=0,0,IF(CJ66&lt;=12*'🎚️ Escenario'!$C$11,1,1+$C$6))</f>
        <v>1.2</v>
      </c>
      <c r="CK68" s="237" t="n">
        <f aca="false">IF(CK66=0,0,IF(CK66&lt;=12*'🎚️ Escenario'!$C$11,1,1+$C$6))</f>
        <v>1.2</v>
      </c>
      <c r="CL68" s="237" t="n">
        <f aca="false">IF(CL66=0,0,IF(CL66&lt;=12*'🎚️ Escenario'!$C$11,1,1+$C$6))</f>
        <v>1.2</v>
      </c>
      <c r="CM68" s="237" t="n">
        <f aca="false">IF(CM66=0,0,IF(CM66&lt;=12*'🎚️ Escenario'!$C$11,1,1+$C$6))</f>
        <v>1.2</v>
      </c>
      <c r="CN68" s="237" t="n">
        <f aca="false">IF(CN66=0,0,IF(CN66&lt;=12*'🎚️ Escenario'!$C$11,1,1+$C$6))</f>
        <v>1.2</v>
      </c>
      <c r="CO68" s="237" t="n">
        <f aca="false">IF(CO66=0,0,IF(CO66&lt;=12*'🎚️ Escenario'!$C$11,1,1+$C$6))</f>
        <v>1.2</v>
      </c>
      <c r="CP68" s="237" t="n">
        <f aca="false">IF(CP66=0,0,IF(CP66&lt;=12*'🎚️ Escenario'!$C$11,1,1+$C$6))</f>
        <v>1.2</v>
      </c>
      <c r="CQ68" s="237" t="n">
        <f aca="false">IF(CQ66=0,0,IF(CQ66&lt;=12*'🎚️ Escenario'!$C$11,1,1+$C$6))</f>
        <v>1.2</v>
      </c>
      <c r="CR68" s="237" t="n">
        <f aca="false">IF(CR66=0,0,IF(CR66&lt;=12*'🎚️ Escenario'!$C$11,1,1+$C$6))</f>
        <v>1.2</v>
      </c>
      <c r="CS68" s="237" t="n">
        <f aca="false">IF(CS66=0,0,IF(CS66&lt;=12*'🎚️ Escenario'!$C$11,1,1+$C$6))</f>
        <v>1.2</v>
      </c>
      <c r="CT68" s="237" t="n">
        <f aca="false">IF(CT66=0,0,IF(CT66&lt;=12*'🎚️ Escenario'!$C$11,1,1+$C$6))</f>
        <v>1.2</v>
      </c>
      <c r="CU68" s="237" t="n">
        <f aca="false">IF(CU66=0,0,IF(CU66&lt;=12*'🎚️ Escenario'!$C$11,1,1+$C$6))</f>
        <v>1.2</v>
      </c>
      <c r="CV68" s="237" t="n">
        <f aca="false">IF(CV66=0,0,IF(CV66&lt;=12*'🎚️ Escenario'!$C$11,1,1+$C$6))</f>
        <v>1.2</v>
      </c>
      <c r="CW68" s="237" t="n">
        <f aca="false">IF(CW66=0,0,IF(CW66&lt;=12*'🎚️ Escenario'!$C$11,1,1+$C$6))</f>
        <v>1.2</v>
      </c>
      <c r="CX68" s="237" t="n">
        <f aca="false">IF(CX66=0,0,IF(CX66&lt;=12*'🎚️ Escenario'!$C$11,1,1+$C$6))</f>
        <v>1.2</v>
      </c>
      <c r="CY68" s="237" t="n">
        <f aca="false">IF(CY66=0,0,IF(CY66&lt;=12*'🎚️ Escenario'!$C$11,1,1+$C$6))</f>
        <v>1.2</v>
      </c>
      <c r="CZ68" s="237" t="n">
        <f aca="false">IF(CZ66=0,0,IF(CZ66&lt;=12*'🎚️ Escenario'!$C$11,1,1+$C$6))</f>
        <v>1.2</v>
      </c>
      <c r="DA68" s="237" t="n">
        <f aca="false">IF(DA66=0,0,IF(DA66&lt;=12*'🎚️ Escenario'!$C$11,1,1+$C$6))</f>
        <v>1.2</v>
      </c>
      <c r="DB68" s="237" t="n">
        <f aca="false">IF(DB66=0,0,IF(DB66&lt;=12*'🎚️ Escenario'!$C$11,1,1+$C$6))</f>
        <v>1.2</v>
      </c>
      <c r="DC68" s="237" t="n">
        <f aca="false">IF(DC66=0,0,IF(DC66&lt;=12*'🎚️ Escenario'!$C$11,1,1+$C$6))</f>
        <v>1.2</v>
      </c>
      <c r="DD68" s="237" t="n">
        <f aca="false">IF(DD66=0,0,IF(DD66&lt;=12*'🎚️ Escenario'!$C$11,1,1+$C$6))</f>
        <v>1.2</v>
      </c>
      <c r="DE68" s="237" t="n">
        <f aca="false">IF(DE66=0,0,IF(DE66&lt;=12*'🎚️ Escenario'!$C$11,1,1+$C$6))</f>
        <v>1.2</v>
      </c>
      <c r="DF68" s="237" t="n">
        <f aca="false">IF(DF66=0,0,IF(DF66&lt;=12*'🎚️ Escenario'!$C$11,1,1+$C$6))</f>
        <v>1.2</v>
      </c>
      <c r="DG68" s="237" t="n">
        <f aca="false">IF(DG66=0,0,IF(DG66&lt;=12*'🎚️ Escenario'!$C$11,1,1+$C$6))</f>
        <v>1.2</v>
      </c>
      <c r="DH68" s="237" t="n">
        <f aca="false">IF(DH66=0,0,IF(DH66&lt;=12*'🎚️ Escenario'!$C$11,1,1+$C$6))</f>
        <v>1.2</v>
      </c>
      <c r="DI68" s="237" t="n">
        <f aca="false">IF(DI66=0,0,IF(DI66&lt;=12*'🎚️ Escenario'!$C$11,1,1+$C$6))</f>
        <v>1.2</v>
      </c>
      <c r="DJ68" s="237" t="n">
        <f aca="false">IF(DJ66=0,0,IF(DJ66&lt;=12*'🎚️ Escenario'!$C$11,1,1+$C$6))</f>
        <v>1.2</v>
      </c>
      <c r="DK68" s="237" t="n">
        <f aca="false">IF(DK66=0,0,IF(DK66&lt;=12*'🎚️ Escenario'!$C$11,1,1+$C$6))</f>
        <v>1.2</v>
      </c>
      <c r="DL68" s="237" t="n">
        <f aca="false">IF(DL66=0,0,IF(DL66&lt;=12*'🎚️ Escenario'!$C$11,1,1+$C$6))</f>
        <v>1.2</v>
      </c>
      <c r="DM68" s="237" t="n">
        <f aca="false">IF(DM66=0,0,IF(DM66&lt;=12*'🎚️ Escenario'!$C$11,1,1+$C$6))</f>
        <v>1.2</v>
      </c>
      <c r="DN68" s="237" t="n">
        <f aca="false">IF(DN66=0,0,IF(DN66&lt;=12*'🎚️ Escenario'!$C$11,1,1+$C$6))</f>
        <v>1.2</v>
      </c>
      <c r="DO68" s="237" t="n">
        <f aca="false">IF(DO66=0,0,IF(DO66&lt;=12*'🎚️ Escenario'!$C$11,1,1+$C$6))</f>
        <v>1.2</v>
      </c>
      <c r="DP68" s="237" t="n">
        <f aca="false">IF(DP66=0,0,IF(DP66&lt;=12*'🎚️ Escenario'!$C$11,1,1+$C$6))</f>
        <v>1.2</v>
      </c>
      <c r="DQ68" s="237" t="n">
        <f aca="false">IF(DQ66=0,0,IF(DQ66&lt;=12*'🎚️ Escenario'!$C$11,1,1+$C$6))</f>
        <v>1.2</v>
      </c>
      <c r="DR68" s="237" t="n">
        <f aca="false">IF(DR66=0,0,IF(DR66&lt;=12*'🎚️ Escenario'!$C$11,1,1+$C$6))</f>
        <v>1.2</v>
      </c>
      <c r="DS68" s="237" t="n">
        <f aca="false">IF(DS66=0,0,IF(DS66&lt;=12*'🎚️ Escenario'!$C$11,1,1+$C$6))</f>
        <v>1.2</v>
      </c>
      <c r="DT68" s="237" t="n">
        <f aca="false">IF(DT66=0,0,IF(DT66&lt;=12*'🎚️ Escenario'!$C$11,1,1+$C$6))</f>
        <v>1.2</v>
      </c>
      <c r="DU68" s="237" t="n">
        <f aca="false">IF(DU66=0,0,IF(DU66&lt;=12*'🎚️ Escenario'!$C$11,1,1+$C$6))</f>
        <v>1.2</v>
      </c>
      <c r="DV68" s="237" t="n">
        <f aca="false">IF(DV66=0,0,IF(DV66&lt;=12*'🎚️ Escenario'!$C$11,1,1+$C$6))</f>
        <v>1.2</v>
      </c>
      <c r="DW68" s="237" t="n">
        <f aca="false">IF(DW66=0,0,IF(DW66&lt;=12*'🎚️ Escenario'!$C$11,1,1+$C$6))</f>
        <v>1.2</v>
      </c>
      <c r="DX68" s="237" t="n">
        <f aca="false">IF(DX66=0,0,IF(DX66&lt;=12*'🎚️ Escenario'!$C$11,1,1+$C$6))</f>
        <v>1.2</v>
      </c>
      <c r="DY68" s="237" t="n">
        <f aca="false">IF(DY66=0,0,IF(DY66&lt;=12*'🎚️ Escenario'!$C$11,1,1+$C$6))</f>
        <v>1.2</v>
      </c>
      <c r="DZ68" s="237" t="n">
        <f aca="false">IF(DZ66=0,0,IF(DZ66&lt;=12*'🎚️ Escenario'!$C$11,1,1+$C$6))</f>
        <v>1.2</v>
      </c>
      <c r="EA68" s="237" t="n">
        <f aca="false">IF(EA66=0,0,IF(EA66&lt;=12*'🎚️ Escenario'!$C$11,1,1+$C$6))</f>
        <v>1.2</v>
      </c>
      <c r="EB68" s="237" t="n">
        <f aca="false">IF(EB66=0,0,IF(EB66&lt;=12*'🎚️ Escenario'!$C$11,1,1+$C$6))</f>
        <v>1.2</v>
      </c>
      <c r="EC68" s="237" t="n">
        <f aca="false">IF(EC66=0,0,IF(EC66&lt;=12*'🎚️ Escenario'!$C$11,1,1+$C$6))</f>
        <v>1.2</v>
      </c>
      <c r="ED68" s="237" t="n">
        <f aca="false">IF(ED66=0,0,IF(ED66&lt;=12*'🎚️ Escenario'!$C$11,1,1+$C$6))</f>
        <v>1.2</v>
      </c>
      <c r="EE68" s="237" t="n">
        <f aca="false">IF(EE66=0,0,IF(EE66&lt;=12*'🎚️ Escenario'!$C$11,1,1+$C$6))</f>
        <v>1.2</v>
      </c>
      <c r="EF68" s="237" t="n">
        <f aca="false">IF(EF66=0,0,IF(EF66&lt;=12*'🎚️ Escenario'!$C$11,1,1+$C$6))</f>
        <v>1.2</v>
      </c>
      <c r="EG68" s="237" t="n">
        <f aca="false">IF(EG66=0,0,IF(EG66&lt;=12*'🎚️ Escenario'!$C$11,1,1+$C$6))</f>
        <v>1.2</v>
      </c>
      <c r="EH68" s="237" t="n">
        <f aca="false">IF(EH66=0,0,IF(EH66&lt;=12*'🎚️ Escenario'!$C$11,1,1+$C$6))</f>
        <v>1.2</v>
      </c>
      <c r="EI68" s="237" t="n">
        <f aca="false">IF(EI66=0,0,IF(EI66&lt;=12*'🎚️ Escenario'!$C$11,1,1+$C$6))</f>
        <v>1.2</v>
      </c>
      <c r="EJ68" s="237" t="n">
        <f aca="false">IF(EJ66=0,0,IF(EJ66&lt;=12*'🎚️ Escenario'!$C$11,1,1+$C$6))</f>
        <v>1.2</v>
      </c>
      <c r="EK68" s="237" t="n">
        <f aca="false">IF(EK66=0,0,IF(EK66&lt;=12*'🎚️ Escenario'!$C$11,1,1+$C$6))</f>
        <v>1.2</v>
      </c>
      <c r="EL68" s="237" t="n">
        <f aca="false">IF(EL66=0,0,IF(EL66&lt;=12*'🎚️ Escenario'!$C$11,1,1+$C$6))</f>
        <v>1.2</v>
      </c>
      <c r="EM68" s="237" t="n">
        <f aca="false">IF(EM66=0,0,IF(EM66&lt;=12*'🎚️ Escenario'!$C$11,1,1+$C$6))</f>
        <v>1.2</v>
      </c>
      <c r="EN68" s="237" t="n">
        <f aca="false">IF(EN66=0,0,IF(EN66&lt;=12*'🎚️ Escenario'!$C$11,1,1+$C$6))</f>
        <v>1.2</v>
      </c>
      <c r="EO68" s="237" t="n">
        <f aca="false">IF(EO66=0,0,IF(EO66&lt;=12*'🎚️ Escenario'!$C$11,1,1+$C$6))</f>
        <v>1.2</v>
      </c>
      <c r="EP68" s="237" t="n">
        <f aca="false">IF(EP66=0,0,IF(EP66&lt;=12*'🎚️ Escenario'!$C$11,1,1+$C$6))</f>
        <v>1.2</v>
      </c>
      <c r="EQ68" s="237" t="n">
        <f aca="false">IF(EQ66=0,0,IF(EQ66&lt;=12*'🎚️ Escenario'!$C$11,1,1+$C$6))</f>
        <v>1.2</v>
      </c>
      <c r="ER68" s="237" t="n">
        <f aca="false">IF(ER66=0,0,IF(ER66&lt;=12*'🎚️ Escenario'!$C$11,1,1+$C$6))</f>
        <v>1.2</v>
      </c>
      <c r="ES68" s="238" t="n">
        <f aca="false">IF(ES66=0,0,IF(ES66&lt;=12*'🎚️ Escenario'!$C$11,1,1+$C$6))</f>
        <v>1.2</v>
      </c>
      <c r="ET68" s="238" t="n">
        <f aca="false">IF(ET66=0,0,IF(ET66&lt;=12*'🎚️ Escenario'!$C$11,1,1+$C$6))</f>
        <v>1.2</v>
      </c>
      <c r="EU68" s="238" t="n">
        <f aca="false">IF(EU66=0,0,IF(EU66&lt;=12*'🎚️ Escenario'!$C$11,1,1+$C$6))</f>
        <v>1.2</v>
      </c>
      <c r="EV68" s="238" t="n">
        <f aca="false">IF(EV66=0,0,IF(EV66&lt;=12*'🎚️ Escenario'!$C$11,1,1+$C$6))</f>
        <v>1.2</v>
      </c>
      <c r="EW68" s="238" t="n">
        <f aca="false">IF(EW66=0,0,IF(EW66&lt;=12*'🎚️ Escenario'!$C$11,1,1+$C$6))</f>
        <v>1.2</v>
      </c>
      <c r="EX68" s="238" t="n">
        <f aca="false">IF(EX66=0,0,IF(EX66&lt;=12*'🎚️ Escenario'!$C$11,1,1+$C$6))</f>
        <v>1.2</v>
      </c>
      <c r="EY68" s="238" t="n">
        <f aca="false">IF(EY66=0,0,IF(EY66&lt;=12*'🎚️ Escenario'!$C$11,1,1+$C$6))</f>
        <v>1.2</v>
      </c>
      <c r="EZ68" s="238" t="n">
        <f aca="false">IF(EZ66=0,0,IF(EZ66&lt;=12*'🎚️ Escenario'!$C$11,1,1+$C$6))</f>
        <v>1.2</v>
      </c>
      <c r="FA68" s="238" t="n">
        <f aca="false">IF(FA66=0,0,IF(FA66&lt;=12*'🎚️ Escenario'!$C$11,1,1+$C$6))</f>
        <v>1.2</v>
      </c>
      <c r="FB68" s="238" t="n">
        <f aca="false">IF(FB66=0,0,IF(FB66&lt;=12*'🎚️ Escenario'!$C$11,1,1+$C$6))</f>
        <v>1.2</v>
      </c>
      <c r="FC68" s="238" t="n">
        <f aca="false">IF(FC66=0,0,IF(FC66&lt;=12*'🎚️ Escenario'!$C$11,1,1+$C$6))</f>
        <v>1.2</v>
      </c>
      <c r="FD68" s="238" t="n">
        <f aca="false">IF(FD66=0,0,IF(FD66&lt;=12*'🎚️ Escenario'!$C$11,1,1+$C$6))</f>
        <v>1.2</v>
      </c>
      <c r="FE68" s="238" t="n">
        <f aca="false">IF(FE66=0,0,IF(FE66&lt;=12*'🎚️ Escenario'!$C$11,1,1+$C$6))</f>
        <v>1.2</v>
      </c>
      <c r="FF68" s="238" t="n">
        <f aca="false">IF(FF66=0,0,IF(FF66&lt;=12*'🎚️ Escenario'!$C$11,1,1+$C$6))</f>
        <v>1.2</v>
      </c>
      <c r="FG68" s="238" t="n">
        <f aca="false">IF(FG66=0,0,IF(FG66&lt;=12*'🎚️ Escenario'!$C$11,1,1+$C$6))</f>
        <v>1.2</v>
      </c>
      <c r="FH68" s="238" t="n">
        <f aca="false">IF(FH66=0,0,IF(FH66&lt;=12*'🎚️ Escenario'!$C$11,1,1+$C$6))</f>
        <v>1.2</v>
      </c>
      <c r="FI68" s="238" t="n">
        <f aca="false">IF(FI66=0,0,IF(FI66&lt;=12*'🎚️ Escenario'!$C$11,1,1+$C$6))</f>
        <v>1.2</v>
      </c>
      <c r="FJ68" s="238" t="n">
        <f aca="false">IF(FJ66=0,0,IF(FJ66&lt;=12*'🎚️ Escenario'!$C$11,1,1+$C$6))</f>
        <v>1.2</v>
      </c>
      <c r="FK68" s="238" t="n">
        <f aca="false">IF(FK66=0,0,IF(FK66&lt;=12*'🎚️ Escenario'!$C$11,1,1+$C$6))</f>
        <v>1.2</v>
      </c>
      <c r="FL68" s="238" t="n">
        <f aca="false">IF(FL66=0,0,IF(FL66&lt;=12*'🎚️ Escenario'!$C$11,1,1+$C$6))</f>
        <v>1.2</v>
      </c>
      <c r="FM68" s="238" t="n">
        <f aca="false">IF(FM66=0,0,IF(FM66&lt;=12*'🎚️ Escenario'!$C$11,1,1+$C$6))</f>
        <v>1.2</v>
      </c>
      <c r="FN68" s="238" t="n">
        <f aca="false">IF(FN66=0,0,IF(FN66&lt;=12*'🎚️ Escenario'!$C$11,1,1+$C$6))</f>
        <v>1.2</v>
      </c>
      <c r="FO68" s="238" t="n">
        <f aca="false">IF(FO66=0,0,IF(FO66&lt;=12*'🎚️ Escenario'!$C$11,1,1+$C$6))</f>
        <v>1.2</v>
      </c>
      <c r="FP68" s="238" t="n">
        <f aca="false">IF(FP66=0,0,IF(FP66&lt;=12*'🎚️ Escenario'!$C$11,1,1+$C$6))</f>
        <v>1.2</v>
      </c>
    </row>
    <row r="69" customFormat="false" ht="15" hidden="false" customHeight="false" outlineLevel="2" collapsed="false">
      <c r="B69" s="9" t="s">
        <v>876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36" t="n">
        <f aca="false">AC67*$AC$65*AC68*AC$38*'⑫ Roll-out Plan'!$O$12</f>
        <v>0</v>
      </c>
      <c r="AD69" s="36" t="n">
        <f aca="false">AD67*$AC$65*AD68*AD$38*'⑫ Roll-out Plan'!$O$12</f>
        <v>0</v>
      </c>
      <c r="AE69" s="36" t="n">
        <f aca="false">AE67*$AC$65*AE68*AE$38*'⑫ Roll-out Plan'!$O$12</f>
        <v>0</v>
      </c>
      <c r="AF69" s="36" t="n">
        <f aca="false">AF67*$AC$65*AF68*AF$38*'⑫ Roll-out Plan'!$O$12</f>
        <v>0</v>
      </c>
      <c r="AG69" s="36" t="n">
        <f aca="false">AG67*$AC$65*AG68*AG$38*'⑫ Roll-out Plan'!$O$12</f>
        <v>34.04</v>
      </c>
      <c r="AH69" s="36" t="n">
        <f aca="false">AH67*$AC$65*AH68*AH$38*'⑫ Roll-out Plan'!$O$12</f>
        <v>32.56</v>
      </c>
      <c r="AI69" s="36" t="n">
        <f aca="false">AI67*$AC$65*AI68*AI$38*'⑫ Roll-out Plan'!$O$12</f>
        <v>37.296</v>
      </c>
      <c r="AJ69" s="36" t="n">
        <f aca="false">AJ67*$AC$65*AJ68*AJ$38*'⑫ Roll-out Plan'!$O$12</f>
        <v>70.929</v>
      </c>
      <c r="AK69" s="36" t="n">
        <f aca="false">AK67*$AC$65*AK68*AK$38*'⑫ Roll-out Plan'!$O$12</f>
        <v>57.942</v>
      </c>
      <c r="AL69" s="36" t="n">
        <f aca="false">AL67*$AC$65*AL68*AL$38*'⑫ Roll-out Plan'!$O$12</f>
        <v>55.056</v>
      </c>
      <c r="AM69" s="36" t="n">
        <f aca="false">AM67*$AC$65*AM68*AM$38*'⑫ Roll-out Plan'!$O$12</f>
        <v>46.62</v>
      </c>
      <c r="AN69" s="36" t="n">
        <f aca="false">AN67*$AC$65*AN68*AN$38*'⑫ Roll-out Plan'!$O$12</f>
        <v>73.593</v>
      </c>
      <c r="AO69" s="36" t="n">
        <f aca="false">AO67*$AC$65*AO68*AO$38*'⑫ Roll-out Plan'!$O$12</f>
        <v>87.912</v>
      </c>
      <c r="AP69" s="36" t="n">
        <f aca="false">AP67*$AC$65*AP68*AP$38*'⑫ Roll-out Plan'!$O$12</f>
        <v>66.748</v>
      </c>
      <c r="AQ69" s="36" t="n">
        <f aca="false">AQ67*$AC$65*AQ68*AQ$38*'⑫ Roll-out Plan'!$O$12</f>
        <v>103.008</v>
      </c>
      <c r="AR69" s="36" t="n">
        <f aca="false">AR67*$AC$65*AR68*AR$38*'⑫ Roll-out Plan'!$O$12</f>
        <v>105.82</v>
      </c>
      <c r="AS69" s="36" t="n">
        <f aca="false">AS67*$AC$65*AS68*AS$38*'⑫ Roll-out Plan'!$O$12</f>
        <v>95.312</v>
      </c>
      <c r="AT69" s="36" t="n">
        <f aca="false">AT67*$AC$65*AT68*AT$38*'⑫ Roll-out Plan'!$O$12</f>
        <v>88.8</v>
      </c>
      <c r="AU69" s="36" t="n">
        <f aca="false">AU67*$AC$65*AU68*AU$38*'⑫ Roll-out Plan'!$O$12</f>
        <v>93.24</v>
      </c>
      <c r="AV69" s="36" t="n">
        <f aca="false">AV67*$AC$65*AV68*AV$38*'⑫ Roll-out Plan'!$O$12</f>
        <v>198.6012</v>
      </c>
      <c r="AW69" s="36" t="n">
        <f aca="false">AW67*$AC$65*AW68*AW$38*'⑫ Roll-out Plan'!$O$12</f>
        <v>169.9632</v>
      </c>
      <c r="AX69" s="36" t="n">
        <f aca="false">AX67*$AC$65*AX68*AX$38*'⑫ Roll-out Plan'!$O$12</f>
        <v>147.0528</v>
      </c>
      <c r="AY69" s="36" t="n">
        <f aca="false">AY67*$AC$65*AY68*AY$38*'⑫ Roll-out Plan'!$O$12</f>
        <v>113.4864</v>
      </c>
      <c r="AZ69" s="36" t="n">
        <f aca="false">AZ67*$AC$65*AZ68*AZ$38*'⑫ Roll-out Plan'!$O$12</f>
        <v>160.7724</v>
      </c>
      <c r="BA69" s="36" t="n">
        <f aca="false">BA67*$AC$65*BA68*BA$38*'⑫ Roll-out Plan'!$O$12</f>
        <v>175.0248</v>
      </c>
      <c r="BB69" s="36" t="n">
        <f aca="false">BB67*$AC$65*BB68*BB$38*'⑫ Roll-out Plan'!$O$12</f>
        <v>136.53</v>
      </c>
      <c r="BC69" s="36" t="n">
        <f aca="false">BC67*$AC$65*BC68*BC$38*'⑫ Roll-out Plan'!$O$12</f>
        <v>198.2904</v>
      </c>
      <c r="BD69" s="36" t="n">
        <f aca="false">BD67*$AC$65*BD68*BD$38*'⑫ Roll-out Plan'!$O$12</f>
        <v>192.918</v>
      </c>
      <c r="BE69" s="36" t="n">
        <f aca="false">BE67*$AC$65*BE68*BE$38*'⑫ Roll-out Plan'!$O$12</f>
        <v>161.3496</v>
      </c>
      <c r="BF69" s="36" t="n">
        <f aca="false">BF67*$AC$65*BF68*BF$38*'⑫ Roll-out Plan'!$O$12</f>
        <v>142.08</v>
      </c>
      <c r="BG69" s="36" t="n">
        <f aca="false">BG67*$AC$65*BG68*BG$38*'⑫ Roll-out Plan'!$O$12</f>
        <v>152.9136</v>
      </c>
      <c r="BH69" s="36" t="n">
        <f aca="false">BH67*$AC$65*BH68*BH$38*'⑫ Roll-out Plan'!$O$12</f>
        <v>264.8016</v>
      </c>
      <c r="BI69" s="36" t="n">
        <f aca="false">BI67*$AC$65*BI68*BI$38*'⑫ Roll-out Plan'!$O$12</f>
        <v>218.892</v>
      </c>
      <c r="BJ69" s="36" t="n">
        <f aca="false">BJ67*$AC$65*BJ68*BJ$38*'⑫ Roll-out Plan'!$O$12</f>
        <v>181.152</v>
      </c>
      <c r="BK69" s="36" t="n">
        <f aca="false">BK67*$AC$65*BK68*BK$38*'⑫ Roll-out Plan'!$O$12</f>
        <v>137.4624</v>
      </c>
      <c r="BL69" s="36" t="n">
        <f aca="false">BL67*$AC$65*BL68*BL$38*'⑫ Roll-out Plan'!$O$12</f>
        <v>199.2672</v>
      </c>
      <c r="BM69" s="36" t="n">
        <f aca="false">BM67*$AC$65*BM68*BM$38*'⑫ Roll-out Plan'!$O$12</f>
        <v>213.3864</v>
      </c>
      <c r="BN69" s="36" t="n">
        <f aca="false">BN67*$AC$65*BN68*BN$38*'⑫ Roll-out Plan'!$O$12</f>
        <v>163.836</v>
      </c>
      <c r="BO69" s="36" t="n">
        <f aca="false">BO67*$AC$65*BO68*BO$38*'⑫ Roll-out Plan'!$O$12</f>
        <v>231.768</v>
      </c>
      <c r="BP69" s="36" t="n">
        <f aca="false">BP67*$AC$65*BP68*BP$38*'⑫ Roll-out Plan'!$O$12</f>
        <v>224.664</v>
      </c>
      <c r="BQ69" s="36" t="n">
        <f aca="false">BQ67*$AC$65*BQ68*BQ$38*'⑫ Roll-out Plan'!$O$12</f>
        <v>189.9432</v>
      </c>
      <c r="BR69" s="36" t="n">
        <f aca="false">BR67*$AC$65*BR68*BR$38*'⑫ Roll-out Plan'!$O$12</f>
        <v>166.944</v>
      </c>
      <c r="BS69" s="36" t="n">
        <f aca="false">BS67*$AC$65*BS68*BS$38*'⑫ Roll-out Plan'!$O$12</f>
        <v>177.156</v>
      </c>
      <c r="BT69" s="36" t="n">
        <f aca="false">BT67*$AC$65*BT68*BT$38*'⑫ Roll-out Plan'!$O$12</f>
        <v>299.478</v>
      </c>
      <c r="BU69" s="36" t="n">
        <f aca="false">BU67*$AC$65*BU68*BU$38*'⑫ Roll-out Plan'!$O$12</f>
        <v>249.7944</v>
      </c>
      <c r="BV69" s="36" t="n">
        <f aca="false">BV67*$AC$65*BV68*BV$38*'⑫ Roll-out Plan'!$O$12</f>
        <v>208.8576</v>
      </c>
      <c r="BW69" s="36" t="n">
        <f aca="false">BW67*$AC$65*BW68*BW$38*'⑫ Roll-out Plan'!$O$12</f>
        <v>158.2416</v>
      </c>
      <c r="BX69" s="36" t="n">
        <f aca="false">BX67*$AC$65*BX68*BX$38*'⑫ Roll-out Plan'!$O$12</f>
        <v>226.44</v>
      </c>
      <c r="BY69" s="36" t="n">
        <f aca="false">BY67*$AC$65*BY68*BY$38*'⑫ Roll-out Plan'!$O$12</f>
        <v>239.76</v>
      </c>
      <c r="BZ69" s="36" t="n">
        <f aca="false">BZ67*$AC$65*BZ68*BZ$38*'⑫ Roll-out Plan'!$O$12</f>
        <v>182.04</v>
      </c>
      <c r="CA69" s="36" t="n">
        <f aca="false">CA67*$AC$65*CA68*CA$38*'⑫ Roll-out Plan'!$O$12</f>
        <v>257.52</v>
      </c>
      <c r="CB69" s="36" t="n">
        <f aca="false">CB67*$AC$65*CB68*CB$38*'⑫ Roll-out Plan'!$O$12</f>
        <v>244.2</v>
      </c>
      <c r="CC69" s="36" t="n">
        <f aca="false">CC67*$AC$65*CC68*CC$38*'⑫ Roll-out Plan'!$O$12</f>
        <v>204.24</v>
      </c>
      <c r="CD69" s="36" t="n">
        <f aca="false">CD67*$AC$65*CD68*CD$38*'⑫ Roll-out Plan'!$O$12</f>
        <v>177.6</v>
      </c>
      <c r="CE69" s="36" t="n">
        <f aca="false">CE67*$AC$65*CE68*CE$38*'⑫ Roll-out Plan'!$O$12</f>
        <v>186.48</v>
      </c>
      <c r="CF69" s="36" t="n">
        <f aca="false">CF67*$AC$65*CF68*CF$38*'⑫ Roll-out Plan'!$O$12</f>
        <v>315.24</v>
      </c>
      <c r="CG69" s="36" t="n">
        <f aca="false">CG67*$AC$65*CG68*CG$38*'⑫ Roll-out Plan'!$O$12</f>
        <v>257.52</v>
      </c>
      <c r="CH69" s="36" t="n">
        <f aca="false">CH67*$AC$65*CH68*CH$38*'⑫ Roll-out Plan'!$O$12</f>
        <v>213.12</v>
      </c>
      <c r="CI69" s="36" t="n">
        <f aca="false">CI67*$AC$65*CI68*CI$38*'⑫ Roll-out Plan'!$O$12</f>
        <v>159.84</v>
      </c>
      <c r="CJ69" s="36" t="n">
        <f aca="false">CJ67*$AC$65*CJ68*CJ$38*'⑫ Roll-out Plan'!$O$12</f>
        <v>226.44</v>
      </c>
      <c r="CK69" s="36" t="n">
        <f aca="false">CK67*$AC$65*CK68*CK$38*'⑫ Roll-out Plan'!$O$12</f>
        <v>239.76</v>
      </c>
      <c r="CL69" s="36" t="n">
        <f aca="false">CL67*$AC$65*CL68*CL$38*'⑫ Roll-out Plan'!$O$12</f>
        <v>182.04</v>
      </c>
      <c r="CM69" s="36" t="n">
        <f aca="false">CM67*$AC$65*CM68*CM$38*'⑫ Roll-out Plan'!$O$12</f>
        <v>257.52</v>
      </c>
      <c r="CN69" s="36" t="n">
        <f aca="false">CN67*$AC$65*CN68*CN$38*'⑫ Roll-out Plan'!$O$12</f>
        <v>244.2</v>
      </c>
      <c r="CO69" s="36" t="n">
        <f aca="false">CO67*$AC$65*CO68*CO$38*'⑫ Roll-out Plan'!$O$12</f>
        <v>204.24</v>
      </c>
      <c r="CP69" s="36" t="n">
        <f aca="false">CP67*$AC$65*CP68*CP$38*'⑫ Roll-out Plan'!$O$12</f>
        <v>177.6</v>
      </c>
      <c r="CQ69" s="36" t="n">
        <f aca="false">CQ67*$AC$65*CQ68*CQ$38*'⑫ Roll-out Plan'!$O$12</f>
        <v>186.48</v>
      </c>
      <c r="CR69" s="36" t="n">
        <f aca="false">CR67*$AC$65*CR68*CR$38*'⑫ Roll-out Plan'!$O$12</f>
        <v>315.24</v>
      </c>
      <c r="CS69" s="36" t="n">
        <f aca="false">CS67*$AC$65*CS68*CS$38*'⑫ Roll-out Plan'!$O$12</f>
        <v>257.52</v>
      </c>
      <c r="CT69" s="36" t="n">
        <f aca="false">CT67*$AC$65*CT68*CT$38*'⑫ Roll-out Plan'!$O$12</f>
        <v>213.12</v>
      </c>
      <c r="CU69" s="36" t="n">
        <f aca="false">CU67*$AC$65*CU68*CU$38*'⑫ Roll-out Plan'!$O$12</f>
        <v>159.84</v>
      </c>
      <c r="CV69" s="36" t="n">
        <f aca="false">CV67*$AC$65*CV68*CV$38*'⑫ Roll-out Plan'!$O$12</f>
        <v>226.44</v>
      </c>
      <c r="CW69" s="36" t="n">
        <f aca="false">CW67*$AC$65*CW68*CW$38*'⑫ Roll-out Plan'!$O$12</f>
        <v>239.76</v>
      </c>
      <c r="CX69" s="36" t="n">
        <f aca="false">CX67*$AC$65*CX68*CX$38*'⑫ Roll-out Plan'!$O$12</f>
        <v>182.04</v>
      </c>
      <c r="CY69" s="36" t="n">
        <f aca="false">CY67*$AC$65*CY68*CY$38*'⑫ Roll-out Plan'!$O$12</f>
        <v>257.52</v>
      </c>
      <c r="CZ69" s="36" t="n">
        <f aca="false">CZ67*$AC$65*CZ68*CZ$38*'⑫ Roll-out Plan'!$O$12</f>
        <v>244.2</v>
      </c>
      <c r="DA69" s="36" t="n">
        <f aca="false">DA67*$AC$65*DA68*DA$38*'⑫ Roll-out Plan'!$O$12</f>
        <v>204.24</v>
      </c>
      <c r="DB69" s="36" t="n">
        <f aca="false">DB67*$AC$65*DB68*DB$38*'⑫ Roll-out Plan'!$O$12</f>
        <v>177.6</v>
      </c>
      <c r="DC69" s="36" t="n">
        <f aca="false">DC67*$AC$65*DC68*DC$38*'⑫ Roll-out Plan'!$O$12</f>
        <v>186.48</v>
      </c>
      <c r="DD69" s="36" t="n">
        <f aca="false">DD67*$AC$65*DD68*DD$38*'⑫ Roll-out Plan'!$O$12</f>
        <v>315.24</v>
      </c>
      <c r="DE69" s="36" t="n">
        <f aca="false">DE67*$AC$65*DE68*DE$38*'⑫ Roll-out Plan'!$O$12</f>
        <v>257.52</v>
      </c>
      <c r="DF69" s="36" t="n">
        <f aca="false">DF67*$AC$65*DF68*DF$38*'⑫ Roll-out Plan'!$O$12</f>
        <v>213.12</v>
      </c>
      <c r="DG69" s="36" t="n">
        <f aca="false">DG67*$AC$65*DG68*DG$38*'⑫ Roll-out Plan'!$O$12</f>
        <v>159.84</v>
      </c>
      <c r="DH69" s="36" t="n">
        <f aca="false">DH67*$AC$65*DH68*DH$38*'⑫ Roll-out Plan'!$O$12</f>
        <v>226.44</v>
      </c>
      <c r="DI69" s="36" t="n">
        <f aca="false">DI67*$AC$65*DI68*DI$38*'⑫ Roll-out Plan'!$O$12</f>
        <v>239.76</v>
      </c>
      <c r="DJ69" s="36" t="n">
        <f aca="false">DJ67*$AC$65*DJ68*DJ$38*'⑫ Roll-out Plan'!$O$12</f>
        <v>182.04</v>
      </c>
      <c r="DK69" s="36" t="n">
        <f aca="false">DK67*$AC$65*DK68*DK$38*'⑫ Roll-out Plan'!$O$12</f>
        <v>257.52</v>
      </c>
      <c r="DL69" s="36" t="n">
        <f aca="false">DL67*$AC$65*DL68*DL$38*'⑫ Roll-out Plan'!$O$12</f>
        <v>244.2</v>
      </c>
      <c r="DM69" s="36" t="n">
        <f aca="false">DM67*$AC$65*DM68*DM$38*'⑫ Roll-out Plan'!$O$12</f>
        <v>204.24</v>
      </c>
      <c r="DN69" s="36" t="n">
        <f aca="false">DN67*$AC$65*DN68*DN$38*'⑫ Roll-out Plan'!$O$12</f>
        <v>177.6</v>
      </c>
      <c r="DO69" s="36" t="n">
        <f aca="false">DO67*$AC$65*DO68*DO$38*'⑫ Roll-out Plan'!$O$12</f>
        <v>186.48</v>
      </c>
      <c r="DP69" s="36" t="n">
        <f aca="false">DP67*$AC$65*DP68*DP$38*'⑫ Roll-out Plan'!$O$12</f>
        <v>315.24</v>
      </c>
      <c r="DQ69" s="36" t="n">
        <f aca="false">DQ67*$AC$65*DQ68*DQ$38*'⑫ Roll-out Plan'!$O$12</f>
        <v>257.52</v>
      </c>
      <c r="DR69" s="36" t="n">
        <f aca="false">DR67*$AC$65*DR68*DR$38*'⑫ Roll-out Plan'!$O$12</f>
        <v>213.12</v>
      </c>
      <c r="DS69" s="36" t="n">
        <f aca="false">DS67*$AC$65*DS68*DS$38*'⑫ Roll-out Plan'!$O$12</f>
        <v>159.84</v>
      </c>
      <c r="DT69" s="36" t="n">
        <f aca="false">DT67*$AC$65*DT68*DT$38*'⑫ Roll-out Plan'!$O$12</f>
        <v>226.44</v>
      </c>
      <c r="DU69" s="36" t="n">
        <f aca="false">DU67*$AC$65*DU68*DU$38*'⑫ Roll-out Plan'!$O$12</f>
        <v>239.76</v>
      </c>
      <c r="DV69" s="36" t="n">
        <f aca="false">DV67*$AC$65*DV68*DV$38*'⑫ Roll-out Plan'!$O$12</f>
        <v>182.04</v>
      </c>
      <c r="DW69" s="36" t="n">
        <f aca="false">DW67*$AC$65*DW68*DW$38*'⑫ Roll-out Plan'!$O$12</f>
        <v>257.52</v>
      </c>
      <c r="DX69" s="36" t="n">
        <f aca="false">DX67*$AC$65*DX68*DX$38*'⑫ Roll-out Plan'!$O$12</f>
        <v>244.2</v>
      </c>
      <c r="DY69" s="36" t="n">
        <f aca="false">DY67*$AC$65*DY68*DY$38*'⑫ Roll-out Plan'!$O$12</f>
        <v>204.24</v>
      </c>
      <c r="DZ69" s="36" t="n">
        <f aca="false">DZ67*$AC$65*DZ68*DZ$38*'⑫ Roll-out Plan'!$O$12</f>
        <v>177.6</v>
      </c>
      <c r="EA69" s="36" t="n">
        <f aca="false">EA67*$AC$65*EA68*EA$38*'⑫ Roll-out Plan'!$O$12</f>
        <v>186.48</v>
      </c>
      <c r="EB69" s="36" t="n">
        <f aca="false">EB67*$AC$65*EB68*EB$38*'⑫ Roll-out Plan'!$O$12</f>
        <v>315.24</v>
      </c>
      <c r="EC69" s="36" t="n">
        <f aca="false">EC67*$AC$65*EC68*EC$38*'⑫ Roll-out Plan'!$O$12</f>
        <v>257.52</v>
      </c>
      <c r="ED69" s="36" t="n">
        <f aca="false">ED67*$AC$65*ED68*ED$38*'⑫ Roll-out Plan'!$O$12</f>
        <v>213.12</v>
      </c>
      <c r="EE69" s="36" t="n">
        <f aca="false">EE67*$AC$65*EE68*EE$38*'⑫ Roll-out Plan'!$O$12</f>
        <v>159.84</v>
      </c>
      <c r="EF69" s="36" t="n">
        <f aca="false">EF67*$AC$65*EF68*EF$38*'⑫ Roll-out Plan'!$O$12</f>
        <v>226.44</v>
      </c>
      <c r="EG69" s="36" t="n">
        <f aca="false">EG67*$AC$65*EG68*EG$38*'⑫ Roll-out Plan'!$O$12</f>
        <v>239.76</v>
      </c>
      <c r="EH69" s="36" t="n">
        <f aca="false">EH67*$AC$65*EH68*EH$38*'⑫ Roll-out Plan'!$O$12</f>
        <v>182.04</v>
      </c>
      <c r="EI69" s="36" t="n">
        <f aca="false">EI67*$AC$65*EI68*EI$38*'⑫ Roll-out Plan'!$O$12</f>
        <v>257.52</v>
      </c>
      <c r="EJ69" s="36" t="n">
        <f aca="false">EJ67*$AC$65*EJ68*EJ$38*'⑫ Roll-out Plan'!$O$12</f>
        <v>244.2</v>
      </c>
      <c r="EK69" s="36" t="n">
        <f aca="false">EK67*$AC$65*EK68*EK$38*'⑫ Roll-out Plan'!$O$12</f>
        <v>204.24</v>
      </c>
      <c r="EL69" s="36" t="n">
        <f aca="false">EL67*$AC$65*EL68*EL$38*'⑫ Roll-out Plan'!$O$12</f>
        <v>177.6</v>
      </c>
      <c r="EM69" s="36" t="n">
        <f aca="false">EM67*$AC$65*EM68*EM$38*'⑫ Roll-out Plan'!$O$12</f>
        <v>186.48</v>
      </c>
      <c r="EN69" s="36" t="n">
        <f aca="false">EN67*$AC$65*EN68*EN$38*'⑫ Roll-out Plan'!$O$12</f>
        <v>315.24</v>
      </c>
      <c r="EO69" s="36" t="n">
        <f aca="false">EO67*$AC$65*EO68*EO$38*'⑫ Roll-out Plan'!$O$12</f>
        <v>257.52</v>
      </c>
      <c r="EP69" s="36" t="n">
        <f aca="false">EP67*$AC$65*EP68*EP$38*'⑫ Roll-out Plan'!$O$12</f>
        <v>213.12</v>
      </c>
      <c r="EQ69" s="36" t="n">
        <f aca="false">EQ67*$AC$65*EQ68*EQ$38*'⑫ Roll-out Plan'!$O$12</f>
        <v>159.84</v>
      </c>
      <c r="ER69" s="36" t="n">
        <f aca="false">ER67*$AC$65*ER68*ER$38*'⑫ Roll-out Plan'!$O$12</f>
        <v>226.44</v>
      </c>
      <c r="ES69" s="9" t="n">
        <f aca="false">ES67*$AC$65*ES68*ES$38*'⑫ Roll-out Plan'!$O$12</f>
        <v>239.76</v>
      </c>
      <c r="ET69" s="9" t="n">
        <f aca="false">ET67*$AC$65*ET68*ET$38*'⑫ Roll-out Plan'!$O$12</f>
        <v>182.04</v>
      </c>
      <c r="EU69" s="9" t="n">
        <f aca="false">EU67*$AC$65*EU68*EU$38*'⑫ Roll-out Plan'!$O$12</f>
        <v>257.52</v>
      </c>
      <c r="EV69" s="9" t="n">
        <f aca="false">EV67*$AC$65*EV68*EV$38*'⑫ Roll-out Plan'!$O$12</f>
        <v>244.2</v>
      </c>
      <c r="EW69" s="9" t="n">
        <f aca="false">EW67*$AC$65*EW68*EW$38*'⑫ Roll-out Plan'!$O$12</f>
        <v>204.24</v>
      </c>
      <c r="EX69" s="9" t="n">
        <f aca="false">EX67*$AC$65*EX68*EX$38*'⑫ Roll-out Plan'!$O$12</f>
        <v>177.6</v>
      </c>
      <c r="EY69" s="9" t="n">
        <f aca="false">EY67*$AC$65*EY68*EY$38*'⑫ Roll-out Plan'!$O$12</f>
        <v>186.48</v>
      </c>
      <c r="EZ69" s="9" t="n">
        <f aca="false">EZ67*$AC$65*EZ68*EZ$38*'⑫ Roll-out Plan'!$O$12</f>
        <v>315.24</v>
      </c>
      <c r="FA69" s="9" t="n">
        <f aca="false">FA67*$AC$65*FA68*FA$38*'⑫ Roll-out Plan'!$O$12</f>
        <v>257.52</v>
      </c>
      <c r="FB69" s="9" t="n">
        <f aca="false">FB67*$AC$65*FB68*FB$38*'⑫ Roll-out Plan'!$O$12</f>
        <v>213.12</v>
      </c>
      <c r="FC69" s="9" t="n">
        <f aca="false">FC67*$AC$65*FC68*FC$38*'⑫ Roll-out Plan'!$O$12</f>
        <v>159.84</v>
      </c>
      <c r="FD69" s="9" t="n">
        <f aca="false">FD67*$AC$65*FD68*FD$38*'⑫ Roll-out Plan'!$O$12</f>
        <v>226.44</v>
      </c>
      <c r="FE69" s="9" t="n">
        <f aca="false">FE67*$AC$65*FE68*FE$38*'⑫ Roll-out Plan'!$O$12</f>
        <v>239.76</v>
      </c>
      <c r="FF69" s="9" t="n">
        <f aca="false">FF67*$AC$65*FF68*FF$38*'⑫ Roll-out Plan'!$O$12</f>
        <v>182.04</v>
      </c>
      <c r="FG69" s="9" t="n">
        <f aca="false">FG67*$AC$65*FG68*FG$38*'⑫ Roll-out Plan'!$O$12</f>
        <v>257.52</v>
      </c>
      <c r="FH69" s="9" t="n">
        <f aca="false">FH67*$AC$65*FH68*FH$38*'⑫ Roll-out Plan'!$O$12</f>
        <v>244.2</v>
      </c>
      <c r="FI69" s="9" t="n">
        <f aca="false">FI67*$AC$65*FI68*FI$38*'⑫ Roll-out Plan'!$O$12</f>
        <v>204.24</v>
      </c>
      <c r="FJ69" s="9" t="n">
        <f aca="false">FJ67*$AC$65*FJ68*FJ$38*'⑫ Roll-out Plan'!$O$12</f>
        <v>177.6</v>
      </c>
      <c r="FK69" s="9" t="n">
        <f aca="false">FK67*$AC$65*FK68*FK$38*'⑫ Roll-out Plan'!$O$12</f>
        <v>186.48</v>
      </c>
      <c r="FL69" s="9" t="n">
        <f aca="false">FL67*$AC$65*FL68*FL$38*'⑫ Roll-out Plan'!$O$12</f>
        <v>315.24</v>
      </c>
      <c r="FM69" s="9" t="n">
        <f aca="false">FM67*$AC$65*FM68*FM$38*'⑫ Roll-out Plan'!$O$12</f>
        <v>257.52</v>
      </c>
      <c r="FN69" s="9" t="n">
        <f aca="false">FN67*$AC$65*FN68*FN$38*'⑫ Roll-out Plan'!$O$12</f>
        <v>213.12</v>
      </c>
      <c r="FO69" s="9" t="n">
        <f aca="false">FO67*$AC$65*FO68*FO$38*'⑫ Roll-out Plan'!$O$12</f>
        <v>159.84</v>
      </c>
      <c r="FP69" s="9" t="n">
        <f aca="false">FP67*$AC$65*FP68*FP$38*'⑫ Roll-out Plan'!$O$12</f>
        <v>226.44</v>
      </c>
    </row>
    <row r="70" customFormat="false" ht="15" hidden="false" customHeight="false" outlineLevel="2" collapsed="false">
      <c r="B70" s="9" t="s">
        <v>877</v>
      </c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112" t="n">
        <f aca="true">IFERROR(SUMPRODUCT(OFFSET($BJ$31,0,1-MIN(60,COLUMN()-29),1,MIN(60,COLUMN()-29)),OFFSET(AC69,0,-MIN(60,COLUMN()-29),1,MIN(60,COLUMN()-29))),0)</f>
        <v>0</v>
      </c>
      <c r="AD70" s="112" t="n">
        <f aca="true">IFERROR(SUMPRODUCT(OFFSET($BJ$31,0,1-MIN(60,COLUMN()-29),1,MIN(60,COLUMN()-29)),OFFSET(AD69,0,-MIN(60,COLUMN()-29),1,MIN(60,COLUMN()-29))),0)</f>
        <v>0</v>
      </c>
      <c r="AE70" s="112" t="n">
        <f aca="true">IFERROR(SUMPRODUCT(OFFSET($BJ$31,0,1-MIN(60,COLUMN()-29),1,MIN(60,COLUMN()-29)),OFFSET(AE69,0,-MIN(60,COLUMN()-29),1,MIN(60,COLUMN()-29))),0)</f>
        <v>0</v>
      </c>
      <c r="AF70" s="112" t="n">
        <f aca="true">IFERROR(SUMPRODUCT(OFFSET($BJ$31,0,1-MIN(60,COLUMN()-29),1,MIN(60,COLUMN()-29)),OFFSET(AF69,0,-MIN(60,COLUMN()-29),1,MIN(60,COLUMN()-29))),0)</f>
        <v>0</v>
      </c>
      <c r="AG70" s="112" t="n">
        <f aca="true">IFERROR(SUMPRODUCT(OFFSET($BJ$31,0,1-MIN(60,COLUMN()-29),1,MIN(60,COLUMN()-29)),OFFSET(AG69,0,-MIN(60,COLUMN()-29),1,MIN(60,COLUMN()-29))),0)</f>
        <v>0</v>
      </c>
      <c r="AH70" s="112" t="n">
        <f aca="true">IFERROR(SUMPRODUCT(OFFSET($BJ$31,0,1-MIN(60,COLUMN()-29),1,MIN(60,COLUMN()-29)),OFFSET(AH69,0,-MIN(60,COLUMN()-29),1,MIN(60,COLUMN()-29))),0)</f>
        <v>4.35712</v>
      </c>
      <c r="AI70" s="112" t="n">
        <f aca="true">IFERROR(SUMPRODUCT(OFFSET($BJ$31,0,1-MIN(60,COLUMN()-29),1,MIN(60,COLUMN()-29)),OFFSET(AI69,0,-MIN(60,COLUMN()-29),1,MIN(60,COLUMN()-29))),0)</f>
        <v>4.766784</v>
      </c>
      <c r="AJ70" s="112" t="n">
        <f aca="true">IFERROR(SUMPRODUCT(OFFSET($BJ$31,0,1-MIN(60,COLUMN()-29),1,MIN(60,COLUMN()-29)),OFFSET(AJ69,0,-MIN(60,COLUMN()-29),1,MIN(60,COLUMN()-29))),0)</f>
        <v>6.10944</v>
      </c>
      <c r="AK70" s="112" t="n">
        <f aca="true">IFERROR(SUMPRODUCT(OFFSET($BJ$31,0,1-MIN(60,COLUMN()-29),1,MIN(60,COLUMN()-29)),OFFSET(AK69,0,-MIN(60,COLUMN()-29),1,MIN(60,COLUMN()-29))),0)</f>
        <v>10.9003776</v>
      </c>
      <c r="AL70" s="112" t="n">
        <f aca="true">IFERROR(SUMPRODUCT(OFFSET($BJ$31,0,1-MIN(60,COLUMN()-29),1,MIN(60,COLUMN()-29)),OFFSET(AL69,0,-MIN(60,COLUMN()-29),1,MIN(60,COLUMN()-29))),0)</f>
        <v>10.2439088</v>
      </c>
      <c r="AM70" s="112" t="n">
        <f aca="true">IFERROR(SUMPRODUCT(OFFSET($BJ$31,0,1-MIN(60,COLUMN()-29),1,MIN(60,COLUMN()-29)),OFFSET(AM69,0,-MIN(60,COLUMN()-29),1,MIN(60,COLUMN()-29))),0)</f>
        <v>10.6091136</v>
      </c>
      <c r="AN70" s="112" t="n">
        <f aca="true">IFERROR(SUMPRODUCT(OFFSET($BJ$31,0,1-MIN(60,COLUMN()-29),1,MIN(60,COLUMN()-29)),OFFSET(AN69,0,-MIN(60,COLUMN()-29),1,MIN(60,COLUMN()-29))),0)</f>
        <v>10.2011072</v>
      </c>
      <c r="AO70" s="112" t="n">
        <f aca="true">IFERROR(SUMPRODUCT(OFFSET($BJ$31,0,1-MIN(60,COLUMN()-29),1,MIN(60,COLUMN()-29)),OFFSET(AO69,0,-MIN(60,COLUMN()-29),1,MIN(60,COLUMN()-29))),0)</f>
        <v>13.7596192</v>
      </c>
      <c r="AP70" s="112" t="n">
        <f aca="true">IFERROR(SUMPRODUCT(OFFSET($BJ$31,0,1-MIN(60,COLUMN()-29),1,MIN(60,COLUMN()-29)),OFFSET(AP69,0,-MIN(60,COLUMN()-29),1,MIN(60,COLUMN()-29))),0)</f>
        <v>16.273488</v>
      </c>
      <c r="AQ70" s="112" t="n">
        <f aca="true">IFERROR(SUMPRODUCT(OFFSET($BJ$31,0,1-MIN(60,COLUMN()-29),1,MIN(60,COLUMN()-29)),OFFSET(AQ69,0,-MIN(60,COLUMN()-29),1,MIN(60,COLUMN()-29))),0)</f>
        <v>15.3684384</v>
      </c>
      <c r="AR70" s="112" t="n">
        <f aca="true">IFERROR(SUMPRODUCT(OFFSET($BJ$31,0,1-MIN(60,COLUMN()-29),1,MIN(60,COLUMN()-29)),OFFSET(AR69,0,-MIN(60,COLUMN()-29),1,MIN(60,COLUMN()-29))),0)</f>
        <v>20.2903856</v>
      </c>
      <c r="AS70" s="112" t="n">
        <f aca="true">IFERROR(SUMPRODUCT(OFFSET($BJ$31,0,1-MIN(60,COLUMN()-29),1,MIN(60,COLUMN()-29)),OFFSET(AS69,0,-MIN(60,COLUMN()-29),1,MIN(60,COLUMN()-29))),0)</f>
        <v>22.435024</v>
      </c>
      <c r="AT70" s="112" t="n">
        <f aca="true">IFERROR(SUMPRODUCT(OFFSET($BJ$31,0,1-MIN(60,COLUMN()-29),1,MIN(60,COLUMN()-29)),OFFSET(AT69,0,-MIN(60,COLUMN()-29),1,MIN(60,COLUMN()-29))),0)</f>
        <v>23.4392928</v>
      </c>
      <c r="AU70" s="112" t="n">
        <f aca="true">IFERROR(SUMPRODUCT(OFFSET($BJ$31,0,1-MIN(60,COLUMN()-29),1,MIN(60,COLUMN()-29)),OFFSET(AU69,0,-MIN(60,COLUMN()-29),1,MIN(60,COLUMN()-29))),0)</f>
        <v>23.5138848</v>
      </c>
      <c r="AV70" s="112" t="n">
        <f aca="true">IFERROR(SUMPRODUCT(OFFSET($BJ$31,0,1-MIN(60,COLUMN()-29),1,MIN(60,COLUMN()-29)),OFFSET(AV69,0,-MIN(60,COLUMN()-29),1,MIN(60,COLUMN()-29))),0)</f>
        <v>25.6461504</v>
      </c>
      <c r="AW70" s="112" t="n">
        <f aca="true">IFERROR(SUMPRODUCT(OFFSET($BJ$31,0,1-MIN(60,COLUMN()-29),1,MIN(60,COLUMN()-29)),OFFSET(AW69,0,-MIN(60,COLUMN()-29),1,MIN(60,COLUMN()-29))),0)</f>
        <v>40.1019616</v>
      </c>
      <c r="AX70" s="112" t="n">
        <f aca="true">IFERROR(SUMPRODUCT(OFFSET($BJ$31,0,1-MIN(60,COLUMN()-29),1,MIN(60,COLUMN()-29)),OFFSET(AX69,0,-MIN(60,COLUMN()-29),1,MIN(60,COLUMN()-29))),0)</f>
        <v>40.16616992</v>
      </c>
      <c r="AY70" s="112" t="n">
        <f aca="true">IFERROR(SUMPRODUCT(OFFSET($BJ$31,0,1-MIN(60,COLUMN()-29),1,MIN(60,COLUMN()-29)),OFFSET(AY69,0,-MIN(60,COLUMN()-29),1,MIN(60,COLUMN()-29))),0)</f>
        <v>40.2831136</v>
      </c>
      <c r="AZ70" s="112" t="n">
        <f aca="true">IFERROR(SUMPRODUCT(OFFSET($BJ$31,0,1-MIN(60,COLUMN()-29),1,MIN(60,COLUMN()-29)),OFFSET(AZ69,0,-MIN(60,COLUMN()-29),1,MIN(60,COLUMN()-29))),0)</f>
        <v>37.79319712</v>
      </c>
      <c r="BA70" s="112" t="n">
        <f aca="true">IFERROR(SUMPRODUCT(OFFSET($BJ$31,0,1-MIN(60,COLUMN()-29),1,MIN(60,COLUMN()-29)),OFFSET(BA69,0,-MIN(60,COLUMN()-29),1,MIN(60,COLUMN()-29))),0)</f>
        <v>47.04440924</v>
      </c>
      <c r="BB70" s="112" t="n">
        <f aca="true">IFERROR(SUMPRODUCT(OFFSET($BJ$31,0,1-MIN(60,COLUMN()-29),1,MIN(60,COLUMN()-29)),OFFSET(BB69,0,-MIN(60,COLUMN()-29),1,MIN(60,COLUMN()-29))),0)</f>
        <v>50.80743652</v>
      </c>
      <c r="BC70" s="112" t="n">
        <f aca="true">IFERROR(SUMPRODUCT(OFFSET($BJ$31,0,1-MIN(60,COLUMN()-29),1,MIN(60,COLUMN()-29)),OFFSET(BC69,0,-MIN(60,COLUMN()-29),1,MIN(60,COLUMN()-29))),0)</f>
        <v>50.1266602</v>
      </c>
      <c r="BD70" s="112" t="n">
        <f aca="true">IFERROR(SUMPRODUCT(OFFSET($BJ$31,0,1-MIN(60,COLUMN()-29),1,MIN(60,COLUMN()-29)),OFFSET(BD69,0,-MIN(60,COLUMN()-29),1,MIN(60,COLUMN()-29))),0)</f>
        <v>60.65128948</v>
      </c>
      <c r="BE70" s="112" t="n">
        <f aca="true">IFERROR(SUMPRODUCT(OFFSET($BJ$31,0,1-MIN(60,COLUMN()-29),1,MIN(60,COLUMN()-29)),OFFSET(BE69,0,-MIN(60,COLUMN()-29),1,MIN(60,COLUMN()-29))),0)</f>
        <v>63.48874992</v>
      </c>
      <c r="BF70" s="112" t="n">
        <f aca="true">IFERROR(SUMPRODUCT(OFFSET($BJ$31,0,1-MIN(60,COLUMN()-29),1,MIN(60,COLUMN()-29)),OFFSET(BF69,0,-MIN(60,COLUMN()-29),1,MIN(60,COLUMN()-29))),0)</f>
        <v>63.86044304</v>
      </c>
      <c r="BG70" s="112" t="n">
        <f aca="true">IFERROR(SUMPRODUCT(OFFSET($BJ$31,0,1-MIN(60,COLUMN()-29),1,MIN(60,COLUMN()-29)),OFFSET(BG69,0,-MIN(60,COLUMN()-29),1,MIN(60,COLUMN()-29))),0)</f>
        <v>63.47384928</v>
      </c>
      <c r="BH70" s="112" t="n">
        <f aca="true">IFERROR(SUMPRODUCT(OFFSET($BJ$31,0,1-MIN(60,COLUMN()-29),1,MIN(60,COLUMN()-29)),OFFSET(BH69,0,-MIN(60,COLUMN()-29),1,MIN(60,COLUMN()-29))),0)</f>
        <v>69.67396</v>
      </c>
      <c r="BI70" s="112" t="n">
        <f aca="true">IFERROR(SUMPRODUCT(OFFSET($BJ$31,0,1-MIN(60,COLUMN()-29),1,MIN(60,COLUMN()-29)),OFFSET(BI69,0,-MIN(60,COLUMN()-29),1,MIN(60,COLUMN()-29))),0)</f>
        <v>88.77141232</v>
      </c>
      <c r="BJ70" s="112" t="n">
        <f aca="true">IFERROR(SUMPRODUCT(OFFSET($BJ$31,0,1-MIN(60,COLUMN()-29),1,MIN(60,COLUMN()-29)),OFFSET(BJ69,0,-MIN(60,COLUMN()-29),1,MIN(60,COLUMN()-29))),0)</f>
        <v>88.5450552</v>
      </c>
      <c r="BK70" s="112" t="n">
        <f aca="true">IFERROR(SUMPRODUCT(OFFSET($BJ$31,0,1-MIN(60,COLUMN()-29),1,MIN(60,COLUMN()-29)),OFFSET(BK69,0,-MIN(60,COLUMN()-29),1,MIN(60,COLUMN()-29))),0)</f>
        <v>87.2439576</v>
      </c>
      <c r="BL70" s="112" t="n">
        <f aca="true">IFERROR(SUMPRODUCT(OFFSET($BJ$31,0,1-MIN(60,COLUMN()-29),1,MIN(60,COLUMN()-29)),OFFSET(BL69,0,-MIN(60,COLUMN()-29),1,MIN(60,COLUMN()-29))),0)</f>
        <v>83.9443272</v>
      </c>
      <c r="BM70" s="112" t="n">
        <f aca="true">IFERROR(SUMPRODUCT(OFFSET($BJ$31,0,1-MIN(60,COLUMN()-29),1,MIN(60,COLUMN()-29)),OFFSET(BM69,0,-MIN(60,COLUMN()-29),1,MIN(60,COLUMN()-29))),0)</f>
        <v>98.26125816</v>
      </c>
      <c r="BN70" s="112" t="n">
        <f aca="true">IFERROR(SUMPRODUCT(OFFSET($BJ$31,0,1-MIN(60,COLUMN()-29),1,MIN(60,COLUMN()-29)),OFFSET(BN69,0,-MIN(60,COLUMN()-29),1,MIN(60,COLUMN()-29))),0)</f>
        <v>104.09367768</v>
      </c>
      <c r="BO70" s="112" t="n">
        <f aca="true">IFERROR(SUMPRODUCT(OFFSET($BJ$31,0,1-MIN(60,COLUMN()-29),1,MIN(60,COLUMN()-29)),OFFSET(BO69,0,-MIN(60,COLUMN()-29),1,MIN(60,COLUMN()-29))),0)</f>
        <v>104.39559768</v>
      </c>
      <c r="BP70" s="112" t="n">
        <f aca="true">IFERROR(SUMPRODUCT(OFFSET($BJ$31,0,1-MIN(60,COLUMN()-29),1,MIN(60,COLUMN()-29)),OFFSET(BP69,0,-MIN(60,COLUMN()-29),1,MIN(60,COLUMN()-29))),0)</f>
        <v>117.6630636</v>
      </c>
      <c r="BQ70" s="112" t="n">
        <f aca="true">IFERROR(SUMPRODUCT(OFFSET($BJ$31,0,1-MIN(60,COLUMN()-29),1,MIN(60,COLUMN()-29)),OFFSET(BQ69,0,-MIN(60,COLUMN()-29),1,MIN(60,COLUMN()-29))),0)</f>
        <v>121.83622848</v>
      </c>
      <c r="BR70" s="112" t="n">
        <f aca="true">IFERROR(SUMPRODUCT(OFFSET($BJ$31,0,1-MIN(60,COLUMN()-29),1,MIN(60,COLUMN()-29)),OFFSET(BR69,0,-MIN(60,COLUMN()-29),1,MIN(60,COLUMN()-29))),0)</f>
        <v>123.1035288</v>
      </c>
      <c r="BS70" s="112" t="n">
        <f aca="true">IFERROR(SUMPRODUCT(OFFSET($BJ$31,0,1-MIN(60,COLUMN()-29),1,MIN(60,COLUMN()-29)),OFFSET(BS69,0,-MIN(60,COLUMN()-29),1,MIN(60,COLUMN()-29))),0)</f>
        <v>123.52864104</v>
      </c>
      <c r="BT70" s="112" t="n">
        <f aca="true">IFERROR(SUMPRODUCT(OFFSET($BJ$31,0,1-MIN(60,COLUMN()-29),1,MIN(60,COLUMN()-29)),OFFSET(BT69,0,-MIN(60,COLUMN()-29),1,MIN(60,COLUMN()-29))),0)</f>
        <v>131.91070392</v>
      </c>
      <c r="BU70" s="112" t="n">
        <f aca="true">IFERROR(SUMPRODUCT(OFFSET($BJ$31,0,1-MIN(60,COLUMN()-29),1,MIN(60,COLUMN()-29)),OFFSET(BU69,0,-MIN(60,COLUMN()-29),1,MIN(60,COLUMN()-29))),0)</f>
        <v>154.03898016</v>
      </c>
      <c r="BV70" s="112" t="n">
        <f aca="true">IFERROR(SUMPRODUCT(OFFSET($BJ$31,0,1-MIN(60,COLUMN()-29),1,MIN(60,COLUMN()-29)),OFFSET(BV69,0,-MIN(60,COLUMN()-29),1,MIN(60,COLUMN()-29))),0)</f>
        <v>154.65331632</v>
      </c>
      <c r="BW70" s="112" t="n">
        <f aca="true">IFERROR(SUMPRODUCT(OFFSET($BJ$31,0,1-MIN(60,COLUMN()-29),1,MIN(60,COLUMN()-29)),OFFSET(BW69,0,-MIN(60,COLUMN()-29),1,MIN(60,COLUMN()-29))),0)</f>
        <v>153.6912216</v>
      </c>
      <c r="BX70" s="112" t="n">
        <f aca="true">IFERROR(SUMPRODUCT(OFFSET($BJ$31,0,1-MIN(60,COLUMN()-29),1,MIN(60,COLUMN()-29)),OFFSET(BX69,0,-MIN(60,COLUMN()-29),1,MIN(60,COLUMN()-29))),0)</f>
        <v>150.76504848</v>
      </c>
      <c r="BY70" s="112" t="n">
        <f aca="true">IFERROR(SUMPRODUCT(OFFSET($BJ$31,0,1-MIN(60,COLUMN()-29),1,MIN(60,COLUMN()-29)),OFFSET(BY69,0,-MIN(60,COLUMN()-29),1,MIN(60,COLUMN()-29))),0)</f>
        <v>167.77362288</v>
      </c>
      <c r="BZ70" s="112" t="n">
        <f aca="true">IFERROR(SUMPRODUCT(OFFSET($BJ$31,0,1-MIN(60,COLUMN()-29),1,MIN(60,COLUMN()-29)),OFFSET(BZ69,0,-MIN(60,COLUMN()-29),1,MIN(60,COLUMN()-29))),0)</f>
        <v>174.42891648</v>
      </c>
      <c r="CA70" s="112" t="n">
        <f aca="true">IFERROR(SUMPRODUCT(OFFSET($BJ$31,0,1-MIN(60,COLUMN()-29),1,MIN(60,COLUMN()-29)),OFFSET(CA69,0,-MIN(60,COLUMN()-29),1,MIN(60,COLUMN()-29))),0)</f>
        <v>174.6053088</v>
      </c>
      <c r="CB70" s="112" t="n">
        <f aca="true">IFERROR(SUMPRODUCT(OFFSET($BJ$31,0,1-MIN(60,COLUMN()-29),1,MIN(60,COLUMN()-29)),OFFSET(CB69,0,-MIN(60,COLUMN()-29),1,MIN(60,COLUMN()-29))),0)</f>
        <v>189.45110592</v>
      </c>
      <c r="CC70" s="112" t="n">
        <f aca="true">IFERROR(SUMPRODUCT(OFFSET($BJ$31,0,1-MIN(60,COLUMN()-29),1,MIN(60,COLUMN()-29)),OFFSET(CC69,0,-MIN(60,COLUMN()-29),1,MIN(60,COLUMN()-29))),0)</f>
        <v>193.73368128</v>
      </c>
      <c r="CD70" s="112" t="n">
        <f aca="true">IFERROR(SUMPRODUCT(OFFSET($BJ$31,0,1-MIN(60,COLUMN()-29),1,MIN(60,COLUMN()-29)),OFFSET(CD69,0,-MIN(60,COLUMN()-29),1,MIN(60,COLUMN()-29))),0)</f>
        <v>194.69384016</v>
      </c>
      <c r="CE70" s="112" t="n">
        <f aca="true">IFERROR(SUMPRODUCT(OFFSET($BJ$31,0,1-MIN(60,COLUMN()-29),1,MIN(60,COLUMN()-29)),OFFSET(CE69,0,-MIN(60,COLUMN()-29),1,MIN(60,COLUMN()-29))),0)</f>
        <v>194.60203872</v>
      </c>
      <c r="CF70" s="112" t="n">
        <f aca="true">IFERROR(SUMPRODUCT(OFFSET($BJ$31,0,1-MIN(60,COLUMN()-29),1,MIN(60,COLUMN()-29)),OFFSET(CF69,0,-MIN(60,COLUMN()-29),1,MIN(60,COLUMN()-29))),0)</f>
        <v>203.06471424</v>
      </c>
      <c r="CG70" s="112" t="n">
        <f aca="true">IFERROR(SUMPRODUCT(OFFSET($BJ$31,0,1-MIN(60,COLUMN()-29),1,MIN(60,COLUMN()-29)),OFFSET(CG69,0,-MIN(60,COLUMN()-29),1,MIN(60,COLUMN()-29))),0)</f>
        <v>225.67631556</v>
      </c>
      <c r="CH70" s="112" t="n">
        <f aca="true">IFERROR(SUMPRODUCT(OFFSET($BJ$31,0,1-MIN(60,COLUMN()-29),1,MIN(60,COLUMN()-29)),OFFSET(CH69,0,-MIN(60,COLUMN()-29),1,MIN(60,COLUMN()-29))),0)</f>
        <v>225.2147598</v>
      </c>
      <c r="CI70" s="112" t="n">
        <f aca="true">IFERROR(SUMPRODUCT(OFFSET($BJ$31,0,1-MIN(60,COLUMN()-29),1,MIN(60,COLUMN()-29)),OFFSET(CI69,0,-MIN(60,COLUMN()-29),1,MIN(60,COLUMN()-29))),0)</f>
        <v>223.2735918</v>
      </c>
      <c r="CJ70" s="112" t="n">
        <f aca="true">IFERROR(SUMPRODUCT(OFFSET($BJ$31,0,1-MIN(60,COLUMN()-29),1,MIN(60,COLUMN()-29)),OFFSET(CJ69,0,-MIN(60,COLUMN()-29),1,MIN(60,COLUMN()-29))),0)</f>
        <v>219.578979</v>
      </c>
      <c r="CK70" s="112" t="n">
        <f aca="true">IFERROR(SUMPRODUCT(OFFSET($BJ$31,0,1-MIN(60,COLUMN()-29),1,MIN(60,COLUMN()-29)),OFFSET(CK69,0,-MIN(60,COLUMN()-29),1,MIN(60,COLUMN()-29))),0)</f>
        <v>236.15000472</v>
      </c>
      <c r="CL70" s="112" t="n">
        <f aca="true">IFERROR(SUMPRODUCT(OFFSET($BJ$31,0,1-MIN(60,COLUMN()-29),1,MIN(60,COLUMN()-29)),OFFSET(CL69,0,-MIN(60,COLUMN()-29),1,MIN(60,COLUMN()-29))),0)</f>
        <v>241.76054856</v>
      </c>
      <c r="CM70" s="112" t="n">
        <f aca="true">IFERROR(SUMPRODUCT(OFFSET($BJ$31,0,1-MIN(60,COLUMN()-29),1,MIN(60,COLUMN()-29)),OFFSET(CM69,0,-MIN(60,COLUMN()-29),1,MIN(60,COLUMN()-29))),0)</f>
        <v>241.48308408</v>
      </c>
      <c r="CN70" s="112" t="n">
        <f aca="true">IFERROR(SUMPRODUCT(OFFSET($BJ$31,0,1-MIN(60,COLUMN()-29),1,MIN(60,COLUMN()-29)),OFFSET(CN69,0,-MIN(60,COLUMN()-29),1,MIN(60,COLUMN()-29))),0)</f>
        <v>255.18801432</v>
      </c>
      <c r="CO70" s="112" t="n">
        <f aca="true">IFERROR(SUMPRODUCT(OFFSET($BJ$31,0,1-MIN(60,COLUMN()-29),1,MIN(60,COLUMN()-29)),OFFSET(CO69,0,-MIN(60,COLUMN()-29),1,MIN(60,COLUMN()-29))),0)</f>
        <v>258.21209832</v>
      </c>
      <c r="CP70" s="112" t="n">
        <f aca="true">IFERROR(SUMPRODUCT(OFFSET($BJ$31,0,1-MIN(60,COLUMN()-29),1,MIN(60,COLUMN()-29)),OFFSET(CP69,0,-MIN(60,COLUMN()-29),1,MIN(60,COLUMN()-29))),0)</f>
        <v>258.16947432</v>
      </c>
      <c r="CQ70" s="112" t="n">
        <f aca="true">IFERROR(SUMPRODUCT(OFFSET($BJ$31,0,1-MIN(60,COLUMN()-29),1,MIN(60,COLUMN()-29)),OFFSET(CQ69,0,-MIN(60,COLUMN()-29),1,MIN(60,COLUMN()-29))),0)</f>
        <v>256.87565832</v>
      </c>
      <c r="CR70" s="112" t="n">
        <f aca="true">IFERROR(SUMPRODUCT(OFFSET($BJ$31,0,1-MIN(60,COLUMN()-29),1,MIN(60,COLUMN()-29)),OFFSET(CR69,0,-MIN(60,COLUMN()-29),1,MIN(60,COLUMN()-29))),0)</f>
        <v>264.57834792</v>
      </c>
      <c r="CS70" s="112" t="n">
        <f aca="true">IFERROR(SUMPRODUCT(OFFSET($BJ$31,0,1-MIN(60,COLUMN()-29),1,MIN(60,COLUMN()-29)),OFFSET(CS69,0,-MIN(60,COLUMN()-29),1,MIN(60,COLUMN()-29))),0)</f>
        <v>284.66495232</v>
      </c>
      <c r="CT70" s="112" t="n">
        <f aca="true">IFERROR(SUMPRODUCT(OFFSET($BJ$31,0,1-MIN(60,COLUMN()-29),1,MIN(60,COLUMN()-29)),OFFSET(CT69,0,-MIN(60,COLUMN()-29),1,MIN(60,COLUMN()-29))),0)</f>
        <v>281.72336352</v>
      </c>
      <c r="CU70" s="112" t="n">
        <f aca="true">IFERROR(SUMPRODUCT(OFFSET($BJ$31,0,1-MIN(60,COLUMN()-29),1,MIN(60,COLUMN()-29)),OFFSET(CU69,0,-MIN(60,COLUMN()-29),1,MIN(60,COLUMN()-29))),0)</f>
        <v>277.69468512</v>
      </c>
      <c r="CV70" s="112" t="n">
        <f aca="true">IFERROR(SUMPRODUCT(OFFSET($BJ$31,0,1-MIN(60,COLUMN()-29),1,MIN(60,COLUMN()-29)),OFFSET(CV69,0,-MIN(60,COLUMN()-29),1,MIN(60,COLUMN()-29))),0)</f>
        <v>272.38533312</v>
      </c>
      <c r="CW70" s="112" t="n">
        <f aca="true">IFERROR(SUMPRODUCT(OFFSET($BJ$31,0,1-MIN(60,COLUMN()-29),1,MIN(60,COLUMN()-29)),OFFSET(CW69,0,-MIN(60,COLUMN()-29),1,MIN(60,COLUMN()-29))),0)</f>
        <v>286.86315192</v>
      </c>
      <c r="CX70" s="112" t="n">
        <f aca="true">IFERROR(SUMPRODUCT(OFFSET($BJ$31,0,1-MIN(60,COLUMN()-29),1,MIN(60,COLUMN()-29)),OFFSET(CX69,0,-MIN(60,COLUMN()-29),1,MIN(60,COLUMN()-29))),0)</f>
        <v>290.05275912</v>
      </c>
      <c r="CY70" s="112" t="n">
        <f aca="true">IFERROR(SUMPRODUCT(OFFSET($BJ$31,0,1-MIN(60,COLUMN()-29),1,MIN(60,COLUMN()-29)),OFFSET(CY69,0,-MIN(60,COLUMN()-29),1,MIN(60,COLUMN()-29))),0)</f>
        <v>287.85349392</v>
      </c>
      <c r="CZ70" s="112" t="n">
        <f aca="true">IFERROR(SUMPRODUCT(OFFSET($BJ$31,0,1-MIN(60,COLUMN()-29),1,MIN(60,COLUMN()-29)),OFFSET(CZ69,0,-MIN(60,COLUMN()-29),1,MIN(60,COLUMN()-29))),0)</f>
        <v>298.68007872</v>
      </c>
      <c r="DA70" s="112" t="n">
        <f aca="true">IFERROR(SUMPRODUCT(OFFSET($BJ$31,0,1-MIN(60,COLUMN()-29),1,MIN(60,COLUMN()-29)),OFFSET(DA69,0,-MIN(60,COLUMN()-29),1,MIN(60,COLUMN()-29))),0)</f>
        <v>298.87388472</v>
      </c>
      <c r="DB70" s="112" t="n">
        <f aca="true">IFERROR(SUMPRODUCT(OFFSET($BJ$31,0,1-MIN(60,COLUMN()-29),1,MIN(60,COLUMN()-29)),OFFSET(DB69,0,-MIN(60,COLUMN()-29),1,MIN(60,COLUMN()-29))),0)</f>
        <v>296.95837992</v>
      </c>
      <c r="DC70" s="112" t="n">
        <f aca="true">IFERROR(SUMPRODUCT(OFFSET($BJ$31,0,1-MIN(60,COLUMN()-29),1,MIN(60,COLUMN()-29)),OFFSET(DC69,0,-MIN(60,COLUMN()-29),1,MIN(60,COLUMN()-29))),0)</f>
        <v>294.05550792</v>
      </c>
      <c r="DD70" s="112" t="n">
        <f aca="true">IFERROR(SUMPRODUCT(OFFSET($BJ$31,0,1-MIN(60,COLUMN()-29),1,MIN(60,COLUMN()-29)),OFFSET(DD69,0,-MIN(60,COLUMN()-29),1,MIN(60,COLUMN()-29))),0)</f>
        <v>300.05749992</v>
      </c>
      <c r="DE70" s="112" t="n">
        <f aca="true">IFERROR(SUMPRODUCT(OFFSET($BJ$31,0,1-MIN(60,COLUMN()-29),1,MIN(60,COLUMN()-29)),OFFSET(DE69,0,-MIN(60,COLUMN()-29),1,MIN(60,COLUMN()-29))),0)</f>
        <v>317.31261864</v>
      </c>
      <c r="DF70" s="112" t="n">
        <f aca="true">IFERROR(SUMPRODUCT(OFFSET($BJ$31,0,1-MIN(60,COLUMN()-29),1,MIN(60,COLUMN()-29)),OFFSET(DF69,0,-MIN(60,COLUMN()-29),1,MIN(60,COLUMN()-29))),0)</f>
        <v>312.02399256</v>
      </c>
      <c r="DG70" s="112" t="n">
        <f aca="true">IFERROR(SUMPRODUCT(OFFSET($BJ$31,0,1-MIN(60,COLUMN()-29),1,MIN(60,COLUMN()-29)),OFFSET(DG69,0,-MIN(60,COLUMN()-29),1,MIN(60,COLUMN()-29))),0)</f>
        <v>306.15907224</v>
      </c>
      <c r="DH70" s="112" t="n">
        <f aca="true">IFERROR(SUMPRODUCT(OFFSET($BJ$31,0,1-MIN(60,COLUMN()-29),1,MIN(60,COLUMN()-29)),OFFSET(DH69,0,-MIN(60,COLUMN()-29),1,MIN(60,COLUMN()-29))),0)</f>
        <v>299.52720408</v>
      </c>
      <c r="DI70" s="112" t="n">
        <f aca="true">IFERROR(SUMPRODUCT(OFFSET($BJ$31,0,1-MIN(60,COLUMN()-29),1,MIN(60,COLUMN()-29)),OFFSET(DI69,0,-MIN(60,COLUMN()-29),1,MIN(60,COLUMN()-29))),0)</f>
        <v>312.17221752</v>
      </c>
      <c r="DJ70" s="112" t="n">
        <f aca="true">IFERROR(SUMPRODUCT(OFFSET($BJ$31,0,1-MIN(60,COLUMN()-29),1,MIN(60,COLUMN()-29)),OFFSET(DJ69,0,-MIN(60,COLUMN()-29),1,MIN(60,COLUMN()-29))),0)</f>
        <v>313.5319764</v>
      </c>
      <c r="DK70" s="112" t="n">
        <f aca="true">IFERROR(SUMPRODUCT(OFFSET($BJ$31,0,1-MIN(60,COLUMN()-29),1,MIN(60,COLUMN()-29)),OFFSET(DK69,0,-MIN(60,COLUMN()-29),1,MIN(60,COLUMN()-29))),0)</f>
        <v>309.9182604</v>
      </c>
      <c r="DL70" s="112" t="n">
        <f aca="true">IFERROR(SUMPRODUCT(OFFSET($BJ$31,0,1-MIN(60,COLUMN()-29),1,MIN(60,COLUMN()-29)),OFFSET(DL69,0,-MIN(60,COLUMN()-29),1,MIN(60,COLUMN()-29))),0)</f>
        <v>318.87061464</v>
      </c>
      <c r="DM70" s="112" t="n">
        <f aca="true">IFERROR(SUMPRODUCT(OFFSET($BJ$31,0,1-MIN(60,COLUMN()-29),1,MIN(60,COLUMN()-29)),OFFSET(DM69,0,-MIN(60,COLUMN()-29),1,MIN(60,COLUMN()-29))),0)</f>
        <v>317.33401944</v>
      </c>
      <c r="DN70" s="112" t="n">
        <f aca="true">IFERROR(SUMPRODUCT(OFFSET($BJ$31,0,1-MIN(60,COLUMN()-29),1,MIN(60,COLUMN()-29)),OFFSET(DN69,0,-MIN(60,COLUMN()-29),1,MIN(60,COLUMN()-29))),0)</f>
        <v>314.0386692</v>
      </c>
      <c r="DO70" s="112" t="n">
        <f aca="true">IFERROR(SUMPRODUCT(OFFSET($BJ$31,0,1-MIN(60,COLUMN()-29),1,MIN(60,COLUMN()-29)),OFFSET(DO69,0,-MIN(60,COLUMN()-29),1,MIN(60,COLUMN()-29))),0)</f>
        <v>309.9956052</v>
      </c>
      <c r="DP70" s="112" t="n">
        <f aca="true">IFERROR(SUMPRODUCT(OFFSET($BJ$31,0,1-MIN(60,COLUMN()-29),1,MIN(60,COLUMN()-29)),OFFSET(DP69,0,-MIN(60,COLUMN()-29),1,MIN(60,COLUMN()-29))),0)</f>
        <v>314.77466136</v>
      </c>
      <c r="DQ70" s="112" t="n">
        <f aca="true">IFERROR(SUMPRODUCT(OFFSET($BJ$31,0,1-MIN(60,COLUMN()-29),1,MIN(60,COLUMN()-29)),OFFSET(DQ69,0,-MIN(60,COLUMN()-29),1,MIN(60,COLUMN()-29))),0)</f>
        <v>330.55634832</v>
      </c>
      <c r="DR70" s="112" t="n">
        <f aca="true">IFERROR(SUMPRODUCT(OFFSET($BJ$31,0,1-MIN(60,COLUMN()-29),1,MIN(60,COLUMN()-29)),OFFSET(DR69,0,-MIN(60,COLUMN()-29),1,MIN(60,COLUMN()-29))),0)</f>
        <v>324.09961152</v>
      </c>
      <c r="DS70" s="112" t="n">
        <f aca="true">IFERROR(SUMPRODUCT(OFFSET($BJ$31,0,1-MIN(60,COLUMN()-29),1,MIN(60,COLUMN()-29)),OFFSET(DS69,0,-MIN(60,COLUMN()-29),1,MIN(60,COLUMN()-29))),0)</f>
        <v>317.32807872</v>
      </c>
      <c r="DT70" s="112" t="n">
        <f aca="true">IFERROR(SUMPRODUCT(OFFSET($BJ$31,0,1-MIN(60,COLUMN()-29),1,MIN(60,COLUMN()-29)),OFFSET(DT69,0,-MIN(60,COLUMN()-29),1,MIN(60,COLUMN()-29))),0)</f>
        <v>310.03926816</v>
      </c>
      <c r="DU70" s="112" t="n">
        <f aca="true">IFERROR(SUMPRODUCT(OFFSET($BJ$31,0,1-MIN(60,COLUMN()-29),1,MIN(60,COLUMN()-29)),OFFSET(DU69,0,-MIN(60,COLUMN()-29),1,MIN(60,COLUMN()-29))),0)</f>
        <v>321.72236448</v>
      </c>
      <c r="DV70" s="112" t="n">
        <f aca="true">IFERROR(SUMPRODUCT(OFFSET($BJ$31,0,1-MIN(60,COLUMN()-29),1,MIN(60,COLUMN()-29)),OFFSET(DV69,0,-MIN(60,COLUMN()-29),1,MIN(60,COLUMN()-29))),0)</f>
        <v>322.13411232</v>
      </c>
      <c r="DW70" s="112" t="n">
        <f aca="true">IFERROR(SUMPRODUCT(OFFSET($BJ$31,0,1-MIN(60,COLUMN()-29),1,MIN(60,COLUMN()-29)),OFFSET(DW69,0,-MIN(60,COLUMN()-29),1,MIN(60,COLUMN()-29))),0)</f>
        <v>317.85412992</v>
      </c>
      <c r="DX70" s="112" t="n">
        <f aca="true">IFERROR(SUMPRODUCT(OFFSET($BJ$31,0,1-MIN(60,COLUMN()-29),1,MIN(60,COLUMN()-29)),OFFSET(DX69,0,-MIN(60,COLUMN()-29),1,MIN(60,COLUMN()-29))),0)</f>
        <v>325.93812672</v>
      </c>
      <c r="DY70" s="112" t="n">
        <f aca="true">IFERROR(SUMPRODUCT(OFFSET($BJ$31,0,1-MIN(60,COLUMN()-29),1,MIN(60,COLUMN()-29)),OFFSET(DY69,0,-MIN(60,COLUMN()-29),1,MIN(60,COLUMN()-29))),0)</f>
        <v>323.65134912</v>
      </c>
      <c r="DZ70" s="112" t="n">
        <f aca="true">IFERROR(SUMPRODUCT(OFFSET($BJ$31,0,1-MIN(60,COLUMN()-29),1,MIN(60,COLUMN()-29)),OFFSET(DZ69,0,-MIN(60,COLUMN()-29),1,MIN(60,COLUMN()-29))),0)</f>
        <v>319.72979904</v>
      </c>
      <c r="EA70" s="112" t="n">
        <f aca="true">IFERROR(SUMPRODUCT(OFFSET($BJ$31,0,1-MIN(60,COLUMN()-29),1,MIN(60,COLUMN()-29)),OFFSET(EA69,0,-MIN(60,COLUMN()-29),1,MIN(60,COLUMN()-29))),0)</f>
        <v>315.16885344</v>
      </c>
      <c r="EB70" s="112" t="n">
        <f aca="true">IFERROR(SUMPRODUCT(OFFSET($BJ$31,0,1-MIN(60,COLUMN()-29),1,MIN(60,COLUMN()-29)),OFFSET(EB69,0,-MIN(60,COLUMN()-29),1,MIN(60,COLUMN()-29))),0)</f>
        <v>319.45895904</v>
      </c>
      <c r="EC70" s="112" t="n">
        <f aca="true">IFERROR(SUMPRODUCT(OFFSET($BJ$31,0,1-MIN(60,COLUMN()-29),1,MIN(60,COLUMN()-29)),OFFSET(EC69,0,-MIN(60,COLUMN()-29),1,MIN(60,COLUMN()-29))),0)</f>
        <v>334.50487584</v>
      </c>
      <c r="ED70" s="112" t="n">
        <f aca="true">IFERROR(SUMPRODUCT(OFFSET($BJ$31,0,1-MIN(60,COLUMN()-29),1,MIN(60,COLUMN()-29)),OFFSET(ED69,0,-MIN(60,COLUMN()-29),1,MIN(60,COLUMN()-29))),0)</f>
        <v>327.48726048</v>
      </c>
      <c r="EE70" s="112" t="n">
        <f aca="true">IFERROR(SUMPRODUCT(OFFSET($BJ$31,0,1-MIN(60,COLUMN()-29),1,MIN(60,COLUMN()-29)),OFFSET(EE69,0,-MIN(60,COLUMN()-29),1,MIN(60,COLUMN()-29))),0)</f>
        <v>320.25283104</v>
      </c>
      <c r="EF70" s="112" t="n">
        <f aca="true">IFERROR(SUMPRODUCT(OFFSET($BJ$31,0,1-MIN(60,COLUMN()-29),1,MIN(60,COLUMN()-29)),OFFSET(EF69,0,-MIN(60,COLUMN()-29),1,MIN(60,COLUMN()-29))),0)</f>
        <v>312.640824</v>
      </c>
      <c r="EG70" s="112" t="n">
        <f aca="true">IFERROR(SUMPRODUCT(OFFSET($BJ$31,0,1-MIN(60,COLUMN()-29),1,MIN(60,COLUMN()-29)),OFFSET(EG69,0,-MIN(60,COLUMN()-29),1,MIN(60,COLUMN()-29))),0)</f>
        <v>323.932632</v>
      </c>
      <c r="EH70" s="112" t="n">
        <f aca="true">IFERROR(SUMPRODUCT(OFFSET($BJ$31,0,1-MIN(60,COLUMN()-29),1,MIN(60,COLUMN()-29)),OFFSET(EH69,0,-MIN(60,COLUMN()-29),1,MIN(60,COLUMN()-29))),0)</f>
        <v>323.9646</v>
      </c>
      <c r="EI70" s="112" t="n">
        <f aca="true">IFERROR(SUMPRODUCT(OFFSET($BJ$31,0,1-MIN(60,COLUMN()-29),1,MIN(60,COLUMN()-29)),OFFSET(EI69,0,-MIN(60,COLUMN()-29),1,MIN(60,COLUMN()-29))),0)</f>
        <v>319.42248</v>
      </c>
      <c r="EJ70" s="112" t="n">
        <f aca="true">IFERROR(SUMPRODUCT(OFFSET($BJ$31,0,1-MIN(60,COLUMN()-29),1,MIN(60,COLUMN()-29)),OFFSET(EJ69,0,-MIN(60,COLUMN()-29),1,MIN(60,COLUMN()-29))),0)</f>
        <v>327.135648</v>
      </c>
      <c r="EK70" s="112" t="n">
        <f aca="true">IFERROR(SUMPRODUCT(OFFSET($BJ$31,0,1-MIN(60,COLUMN()-29),1,MIN(60,COLUMN()-29)),OFFSET(EK69,0,-MIN(60,COLUMN()-29),1,MIN(60,COLUMN()-29))),0)</f>
        <v>324.567552</v>
      </c>
      <c r="EL70" s="112" t="n">
        <f aca="true">IFERROR(SUMPRODUCT(OFFSET($BJ$31,0,1-MIN(60,COLUMN()-29),1,MIN(60,COLUMN()-29)),OFFSET(EL69,0,-MIN(60,COLUMN()-29),1,MIN(60,COLUMN()-29))),0)</f>
        <v>320.440128</v>
      </c>
      <c r="EM70" s="112" t="n">
        <f aca="true">IFERROR(SUMPRODUCT(OFFSET($BJ$31,0,1-MIN(60,COLUMN()-29),1,MIN(60,COLUMN()-29)),OFFSET(EM69,0,-MIN(60,COLUMN()-29),1,MIN(60,COLUMN()-29))),0)</f>
        <v>315.725736</v>
      </c>
      <c r="EN70" s="112" t="n">
        <f aca="true">IFERROR(SUMPRODUCT(OFFSET($BJ$31,0,1-MIN(60,COLUMN()-29),1,MIN(60,COLUMN()-29)),OFFSET(EN69,0,-MIN(60,COLUMN()-29),1,MIN(60,COLUMN()-29))),0)</f>
        <v>319.881576</v>
      </c>
      <c r="EO70" s="112" t="n">
        <f aca="true">IFERROR(SUMPRODUCT(OFFSET($BJ$31,0,1-MIN(60,COLUMN()-29),1,MIN(60,COLUMN()-29)),OFFSET(EO69,0,-MIN(60,COLUMN()-29),1,MIN(60,COLUMN()-29))),0)</f>
        <v>334.70052</v>
      </c>
      <c r="EP70" s="112" t="n">
        <f aca="true">IFERROR(SUMPRODUCT(OFFSET($BJ$31,0,1-MIN(60,COLUMN()-29),1,MIN(60,COLUMN()-29)),OFFSET(EP69,0,-MIN(60,COLUMN()-29),1,MIN(60,COLUMN()-29))),0)</f>
        <v>327.571656</v>
      </c>
      <c r="EQ70" s="112" t="n">
        <f aca="true">IFERROR(SUMPRODUCT(OFFSET($BJ$31,0,1-MIN(60,COLUMN()-29),1,MIN(60,COLUMN()-29)),OFFSET(EQ69,0,-MIN(60,COLUMN()-29),1,MIN(60,COLUMN()-29))),0)</f>
        <v>320.275848</v>
      </c>
      <c r="ER70" s="112" t="n">
        <f aca="true">IFERROR(SUMPRODUCT(OFFSET($BJ$31,0,1-MIN(60,COLUMN()-29),1,MIN(60,COLUMN()-29)),OFFSET(ER69,0,-MIN(60,COLUMN()-29),1,MIN(60,COLUMN()-29))),0)</f>
        <v>312.640824</v>
      </c>
      <c r="ES70" s="9" t="n">
        <f aca="true">IFERROR(SUMPRODUCT(OFFSET($BJ$31,0,1-MIN(60,COLUMN()-29),1,MIN(60,COLUMN()-29)),OFFSET(ES69,0,-MIN(60,COLUMN()-29),1,MIN(60,COLUMN()-29))),0)</f>
        <v>323.932632</v>
      </c>
      <c r="ET70" s="9" t="n">
        <f aca="true">IFERROR(SUMPRODUCT(OFFSET($BJ$31,0,1-MIN(60,COLUMN()-29),1,MIN(60,COLUMN()-29)),OFFSET(ET69,0,-MIN(60,COLUMN()-29),1,MIN(60,COLUMN()-29))),0)</f>
        <v>323.9646</v>
      </c>
      <c r="EU70" s="9" t="n">
        <f aca="true">IFERROR(SUMPRODUCT(OFFSET($BJ$31,0,1-MIN(60,COLUMN()-29),1,MIN(60,COLUMN()-29)),OFFSET(EU69,0,-MIN(60,COLUMN()-29),1,MIN(60,COLUMN()-29))),0)</f>
        <v>319.42248</v>
      </c>
      <c r="EV70" s="9" t="n">
        <f aca="true">IFERROR(SUMPRODUCT(OFFSET($BJ$31,0,1-MIN(60,COLUMN()-29),1,MIN(60,COLUMN()-29)),OFFSET(EV69,0,-MIN(60,COLUMN()-29),1,MIN(60,COLUMN()-29))),0)</f>
        <v>327.135648</v>
      </c>
      <c r="EW70" s="9" t="n">
        <f aca="true">IFERROR(SUMPRODUCT(OFFSET($BJ$31,0,1-MIN(60,COLUMN()-29),1,MIN(60,COLUMN()-29)),OFFSET(EW69,0,-MIN(60,COLUMN()-29),1,MIN(60,COLUMN()-29))),0)</f>
        <v>324.567552</v>
      </c>
      <c r="EX70" s="9" t="n">
        <f aca="true">IFERROR(SUMPRODUCT(OFFSET($BJ$31,0,1-MIN(60,COLUMN()-29),1,MIN(60,COLUMN()-29)),OFFSET(EX69,0,-MIN(60,COLUMN()-29),1,MIN(60,COLUMN()-29))),0)</f>
        <v>320.440128</v>
      </c>
      <c r="EY70" s="9" t="n">
        <f aca="true">IFERROR(SUMPRODUCT(OFFSET($BJ$31,0,1-MIN(60,COLUMN()-29),1,MIN(60,COLUMN()-29)),OFFSET(EY69,0,-MIN(60,COLUMN()-29),1,MIN(60,COLUMN()-29))),0)</f>
        <v>315.725736</v>
      </c>
      <c r="EZ70" s="9" t="n">
        <f aca="true">IFERROR(SUMPRODUCT(OFFSET($BJ$31,0,1-MIN(60,COLUMN()-29),1,MIN(60,COLUMN()-29)),OFFSET(EZ69,0,-MIN(60,COLUMN()-29),1,MIN(60,COLUMN()-29))),0)</f>
        <v>319.881576</v>
      </c>
      <c r="FA70" s="9" t="n">
        <f aca="true">IFERROR(SUMPRODUCT(OFFSET($BJ$31,0,1-MIN(60,COLUMN()-29),1,MIN(60,COLUMN()-29)),OFFSET(FA69,0,-MIN(60,COLUMN()-29),1,MIN(60,COLUMN()-29))),0)</f>
        <v>334.70052</v>
      </c>
      <c r="FB70" s="9" t="n">
        <f aca="true">IFERROR(SUMPRODUCT(OFFSET($BJ$31,0,1-MIN(60,COLUMN()-29),1,MIN(60,COLUMN()-29)),OFFSET(FB69,0,-MIN(60,COLUMN()-29),1,MIN(60,COLUMN()-29))),0)</f>
        <v>327.571656</v>
      </c>
      <c r="FC70" s="9" t="n">
        <f aca="true">IFERROR(SUMPRODUCT(OFFSET($BJ$31,0,1-MIN(60,COLUMN()-29),1,MIN(60,COLUMN()-29)),OFFSET(FC69,0,-MIN(60,COLUMN()-29),1,MIN(60,COLUMN()-29))),0)</f>
        <v>320.275848</v>
      </c>
      <c r="FD70" s="9" t="n">
        <f aca="true">IFERROR(SUMPRODUCT(OFFSET($BJ$31,0,1-MIN(60,COLUMN()-29),1,MIN(60,COLUMN()-29)),OFFSET(FD69,0,-MIN(60,COLUMN()-29),1,MIN(60,COLUMN()-29))),0)</f>
        <v>312.640824</v>
      </c>
      <c r="FE70" s="9" t="n">
        <f aca="true">IFERROR(SUMPRODUCT(OFFSET($BJ$31,0,1-MIN(60,COLUMN()-29),1,MIN(60,COLUMN()-29)),OFFSET(FE69,0,-MIN(60,COLUMN()-29),1,MIN(60,COLUMN()-29))),0)</f>
        <v>323.932632</v>
      </c>
      <c r="FF70" s="9" t="n">
        <f aca="true">IFERROR(SUMPRODUCT(OFFSET($BJ$31,0,1-MIN(60,COLUMN()-29),1,MIN(60,COLUMN()-29)),OFFSET(FF69,0,-MIN(60,COLUMN()-29),1,MIN(60,COLUMN()-29))),0)</f>
        <v>323.9646</v>
      </c>
      <c r="FG70" s="9" t="n">
        <f aca="true">IFERROR(SUMPRODUCT(OFFSET($BJ$31,0,1-MIN(60,COLUMN()-29),1,MIN(60,COLUMN()-29)),OFFSET(FG69,0,-MIN(60,COLUMN()-29),1,MIN(60,COLUMN()-29))),0)</f>
        <v>319.42248</v>
      </c>
      <c r="FH70" s="9" t="n">
        <f aca="true">IFERROR(SUMPRODUCT(OFFSET($BJ$31,0,1-MIN(60,COLUMN()-29),1,MIN(60,COLUMN()-29)),OFFSET(FH69,0,-MIN(60,COLUMN()-29),1,MIN(60,COLUMN()-29))),0)</f>
        <v>327.135648</v>
      </c>
      <c r="FI70" s="9" t="n">
        <f aca="true">IFERROR(SUMPRODUCT(OFFSET($BJ$31,0,1-MIN(60,COLUMN()-29),1,MIN(60,COLUMN()-29)),OFFSET(FI69,0,-MIN(60,COLUMN()-29),1,MIN(60,COLUMN()-29))),0)</f>
        <v>324.567552</v>
      </c>
      <c r="FJ70" s="9" t="n">
        <f aca="true">IFERROR(SUMPRODUCT(OFFSET($BJ$31,0,1-MIN(60,COLUMN()-29),1,MIN(60,COLUMN()-29)),OFFSET(FJ69,0,-MIN(60,COLUMN()-29),1,MIN(60,COLUMN()-29))),0)</f>
        <v>320.440128</v>
      </c>
      <c r="FK70" s="9" t="n">
        <f aca="true">IFERROR(SUMPRODUCT(OFFSET($BJ$31,0,1-MIN(60,COLUMN()-29),1,MIN(60,COLUMN()-29)),OFFSET(FK69,0,-MIN(60,COLUMN()-29),1,MIN(60,COLUMN()-29))),0)</f>
        <v>315.725736</v>
      </c>
      <c r="FL70" s="9" t="n">
        <f aca="true">IFERROR(SUMPRODUCT(OFFSET($BJ$31,0,1-MIN(60,COLUMN()-29),1,MIN(60,COLUMN()-29)),OFFSET(FL69,0,-MIN(60,COLUMN()-29),1,MIN(60,COLUMN()-29))),0)</f>
        <v>319.881576</v>
      </c>
      <c r="FM70" s="9" t="n">
        <f aca="true">IFERROR(SUMPRODUCT(OFFSET($BJ$31,0,1-MIN(60,COLUMN()-29),1,MIN(60,COLUMN()-29)),OFFSET(FM69,0,-MIN(60,COLUMN()-29),1,MIN(60,COLUMN()-29))),0)</f>
        <v>334.70052</v>
      </c>
      <c r="FN70" s="9" t="n">
        <f aca="true">IFERROR(SUMPRODUCT(OFFSET($BJ$31,0,1-MIN(60,COLUMN()-29),1,MIN(60,COLUMN()-29)),OFFSET(FN69,0,-MIN(60,COLUMN()-29),1,MIN(60,COLUMN()-29))),0)</f>
        <v>327.571656</v>
      </c>
      <c r="FO70" s="9" t="n">
        <f aca="true">IFERROR(SUMPRODUCT(OFFSET($BJ$31,0,1-MIN(60,COLUMN()-29),1,MIN(60,COLUMN()-29)),OFFSET(FO69,0,-MIN(60,COLUMN()-29),1,MIN(60,COLUMN()-29))),0)</f>
        <v>320.275848</v>
      </c>
      <c r="FP70" s="9" t="n">
        <f aca="true">IFERROR(SUMPRODUCT(OFFSET($BJ$31,0,1-MIN(60,COLUMN()-29),1,MIN(60,COLUMN()-29)),OFFSET(FP69,0,-MIN(60,COLUMN()-29),1,MIN(60,COLUMN()-29))),0)</f>
        <v>312.640824</v>
      </c>
    </row>
    <row r="71" customFormat="false" ht="15" hidden="false" customHeight="false" outlineLevel="2" collapsed="false">
      <c r="B71" s="90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237"/>
      <c r="AD71" s="237"/>
      <c r="AE71" s="237"/>
      <c r="AF71" s="237"/>
      <c r="AG71" s="237"/>
      <c r="AH71" s="237"/>
      <c r="AI71" s="237"/>
      <c r="AJ71" s="237"/>
      <c r="AK71" s="237"/>
      <c r="AL71" s="237"/>
      <c r="AM71" s="237"/>
      <c r="AN71" s="237"/>
      <c r="AO71" s="237"/>
      <c r="AP71" s="237"/>
      <c r="AQ71" s="237"/>
      <c r="AR71" s="237"/>
      <c r="AS71" s="237"/>
      <c r="AT71" s="237"/>
      <c r="AU71" s="237"/>
      <c r="AV71" s="237"/>
      <c r="AW71" s="237"/>
      <c r="AX71" s="237"/>
      <c r="AY71" s="237"/>
      <c r="AZ71" s="237"/>
      <c r="BA71" s="237"/>
      <c r="BB71" s="237"/>
      <c r="BC71" s="237"/>
      <c r="BD71" s="237"/>
      <c r="BE71" s="237"/>
      <c r="BF71" s="237"/>
      <c r="BG71" s="237"/>
      <c r="BH71" s="237"/>
      <c r="BI71" s="237"/>
      <c r="BJ71" s="237"/>
      <c r="BK71" s="237"/>
      <c r="BL71" s="237"/>
      <c r="BM71" s="237"/>
      <c r="BN71" s="237"/>
      <c r="BO71" s="237"/>
      <c r="BP71" s="237"/>
      <c r="BQ71" s="237"/>
      <c r="BR71" s="237"/>
      <c r="BS71" s="237"/>
      <c r="BT71" s="237"/>
      <c r="BU71" s="237"/>
      <c r="BV71" s="237"/>
      <c r="BW71" s="237"/>
      <c r="BX71" s="237"/>
      <c r="BY71" s="237"/>
      <c r="BZ71" s="237"/>
      <c r="CA71" s="237"/>
      <c r="CB71" s="237"/>
      <c r="CC71" s="237"/>
      <c r="CD71" s="237"/>
      <c r="CE71" s="237"/>
      <c r="CF71" s="237"/>
      <c r="CG71" s="237"/>
      <c r="CH71" s="237"/>
      <c r="CI71" s="237"/>
      <c r="CJ71" s="237"/>
      <c r="CK71" s="237"/>
      <c r="CL71" s="237"/>
      <c r="CM71" s="237"/>
      <c r="CN71" s="237"/>
      <c r="CO71" s="237"/>
      <c r="CP71" s="237"/>
      <c r="CQ71" s="237"/>
      <c r="CR71" s="237"/>
      <c r="CS71" s="237"/>
      <c r="CT71" s="237"/>
      <c r="CU71" s="237"/>
      <c r="CV71" s="237"/>
      <c r="CW71" s="237"/>
      <c r="CX71" s="237"/>
      <c r="CY71" s="237"/>
      <c r="CZ71" s="237"/>
      <c r="DA71" s="237"/>
      <c r="DB71" s="237"/>
      <c r="DC71" s="237"/>
      <c r="DD71" s="237"/>
      <c r="DE71" s="237"/>
      <c r="DF71" s="237"/>
      <c r="DG71" s="237"/>
      <c r="DH71" s="237"/>
      <c r="DI71" s="237"/>
      <c r="DJ71" s="237"/>
      <c r="DK71" s="237"/>
      <c r="DL71" s="237"/>
      <c r="DM71" s="237"/>
      <c r="DN71" s="237"/>
      <c r="DO71" s="237"/>
      <c r="DP71" s="237"/>
      <c r="DQ71" s="237"/>
      <c r="DR71" s="237"/>
      <c r="DS71" s="237"/>
      <c r="DT71" s="237"/>
      <c r="DU71" s="237"/>
      <c r="DV71" s="237"/>
      <c r="DW71" s="237"/>
      <c r="DX71" s="237"/>
      <c r="DY71" s="237"/>
      <c r="DZ71" s="237"/>
      <c r="EA71" s="237"/>
      <c r="EB71" s="237"/>
      <c r="EC71" s="237"/>
      <c r="ED71" s="237"/>
      <c r="EE71" s="237"/>
      <c r="EF71" s="237"/>
      <c r="EG71" s="237"/>
      <c r="EH71" s="237"/>
      <c r="EI71" s="237"/>
      <c r="EJ71" s="237"/>
      <c r="EK71" s="237"/>
      <c r="EL71" s="237"/>
      <c r="EM71" s="237"/>
      <c r="EN71" s="237"/>
      <c r="EO71" s="237"/>
      <c r="EP71" s="237"/>
      <c r="EQ71" s="237"/>
      <c r="ER71" s="237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</row>
    <row r="72" customFormat="false" ht="15" hidden="false" customHeight="false" outlineLevel="2" collapsed="false">
      <c r="B72" s="240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237"/>
      <c r="AD72" s="237"/>
      <c r="AE72" s="237"/>
      <c r="AF72" s="237"/>
      <c r="AG72" s="237"/>
      <c r="AH72" s="237"/>
      <c r="AI72" s="237"/>
      <c r="AJ72" s="237"/>
      <c r="AK72" s="237"/>
      <c r="AL72" s="237"/>
      <c r="AM72" s="237"/>
      <c r="AN72" s="237"/>
      <c r="AO72" s="237"/>
      <c r="AP72" s="237"/>
      <c r="AQ72" s="237"/>
      <c r="AR72" s="237"/>
      <c r="AS72" s="237"/>
      <c r="AT72" s="237"/>
      <c r="AU72" s="237"/>
      <c r="AV72" s="237"/>
      <c r="AW72" s="237"/>
      <c r="AX72" s="237"/>
      <c r="AY72" s="237"/>
      <c r="AZ72" s="237"/>
      <c r="BA72" s="237"/>
      <c r="BB72" s="237"/>
      <c r="BC72" s="237"/>
      <c r="BD72" s="237"/>
      <c r="BE72" s="237"/>
      <c r="BF72" s="237"/>
      <c r="BG72" s="237"/>
      <c r="BH72" s="237"/>
      <c r="BI72" s="237"/>
      <c r="BJ72" s="237"/>
      <c r="BK72" s="237"/>
      <c r="BL72" s="237"/>
      <c r="BM72" s="237"/>
      <c r="BN72" s="237"/>
      <c r="BO72" s="237"/>
      <c r="BP72" s="237"/>
      <c r="BQ72" s="237"/>
      <c r="BR72" s="237"/>
      <c r="BS72" s="237"/>
      <c r="BT72" s="237"/>
      <c r="BU72" s="237"/>
      <c r="BV72" s="237"/>
      <c r="BW72" s="237"/>
      <c r="BX72" s="237"/>
      <c r="BY72" s="237"/>
      <c r="BZ72" s="237"/>
      <c r="CA72" s="237"/>
      <c r="CB72" s="237"/>
      <c r="CC72" s="237"/>
      <c r="CD72" s="237"/>
      <c r="CE72" s="237"/>
      <c r="CF72" s="237"/>
      <c r="CG72" s="237"/>
      <c r="CH72" s="237"/>
      <c r="CI72" s="237"/>
      <c r="CJ72" s="237"/>
      <c r="CK72" s="237"/>
      <c r="CL72" s="237"/>
      <c r="CM72" s="237"/>
      <c r="CN72" s="237"/>
      <c r="CO72" s="237"/>
      <c r="CP72" s="237"/>
      <c r="CQ72" s="237"/>
      <c r="CR72" s="237"/>
      <c r="CS72" s="237"/>
      <c r="CT72" s="237"/>
      <c r="CU72" s="237"/>
      <c r="CV72" s="237"/>
      <c r="CW72" s="237"/>
      <c r="CX72" s="237"/>
      <c r="CY72" s="237"/>
      <c r="CZ72" s="237"/>
      <c r="DA72" s="237"/>
      <c r="DB72" s="237"/>
      <c r="DC72" s="237"/>
      <c r="DD72" s="237"/>
      <c r="DE72" s="237"/>
      <c r="DF72" s="237"/>
      <c r="DG72" s="237"/>
      <c r="DH72" s="237"/>
      <c r="DI72" s="237"/>
      <c r="DJ72" s="237"/>
      <c r="DK72" s="237"/>
      <c r="DL72" s="237"/>
      <c r="DM72" s="237"/>
      <c r="DN72" s="237"/>
      <c r="DO72" s="237"/>
      <c r="DP72" s="237"/>
      <c r="DQ72" s="237"/>
      <c r="DR72" s="237"/>
      <c r="DS72" s="237"/>
      <c r="DT72" s="237"/>
      <c r="DU72" s="237"/>
      <c r="DV72" s="237"/>
      <c r="DW72" s="237"/>
      <c r="DX72" s="237"/>
      <c r="DY72" s="237"/>
      <c r="DZ72" s="237"/>
      <c r="EA72" s="237"/>
      <c r="EB72" s="237"/>
      <c r="EC72" s="237"/>
      <c r="ED72" s="237"/>
      <c r="EE72" s="237"/>
      <c r="EF72" s="237"/>
      <c r="EG72" s="237"/>
      <c r="EH72" s="237"/>
      <c r="EI72" s="237"/>
      <c r="EJ72" s="237"/>
      <c r="EK72" s="237"/>
      <c r="EL72" s="237"/>
      <c r="EM72" s="237"/>
      <c r="EN72" s="237"/>
      <c r="EO72" s="237"/>
      <c r="EP72" s="237"/>
      <c r="EQ72" s="237"/>
      <c r="ER72" s="237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</row>
    <row r="73" customFormat="false" ht="15" hidden="false" customHeight="false" outlineLevel="2" collapsed="false">
      <c r="B73" s="21" t="s">
        <v>880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</row>
    <row r="74" customFormat="false" ht="15" hidden="false" customHeight="false" outlineLevel="2" collapsed="false">
      <c r="B74" s="9" t="s">
        <v>872</v>
      </c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234" t="n">
        <f aca="false">('⑫ Roll-out Plan'!G13-2025)*12+'⑫ Roll-out Plan'!F13</f>
        <v>12</v>
      </c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</row>
    <row r="75" customFormat="false" ht="15" hidden="false" customHeight="false" outlineLevel="2" collapsed="false">
      <c r="B75" s="9" t="s">
        <v>873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235" t="n">
        <f aca="false">VLOOKUP("A",$B$14:$C$18,2,FALSE())</f>
        <v>210</v>
      </c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</row>
    <row r="76" customFormat="false" ht="15" hidden="false" customHeight="false" outlineLevel="2" collapsed="false">
      <c r="B76" s="9" t="s">
        <v>799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63" t="n">
        <f aca="false">IF(AC$35&gt;=$AC$74,AC$35-$AC$74+1,0)</f>
        <v>0</v>
      </c>
      <c r="AD76" s="63" t="n">
        <f aca="false">IF(AD$35&gt;=$AC$74,AD$35-$AC$74+1,0)</f>
        <v>0</v>
      </c>
      <c r="AE76" s="63" t="n">
        <f aca="false">IF(AE$35&gt;=$AC$74,AE$35-$AC$74+1,0)</f>
        <v>0</v>
      </c>
      <c r="AF76" s="63" t="n">
        <f aca="false">IF(AF$35&gt;=$AC$74,AF$35-$AC$74+1,0)</f>
        <v>0</v>
      </c>
      <c r="AG76" s="63" t="n">
        <f aca="false">IF(AG$35&gt;=$AC$74,AG$35-$AC$74+1,0)</f>
        <v>0</v>
      </c>
      <c r="AH76" s="63" t="n">
        <f aca="false">IF(AH$35&gt;=$AC$74,AH$35-$AC$74+1,0)</f>
        <v>0</v>
      </c>
      <c r="AI76" s="63" t="n">
        <f aca="false">IF(AI$35&gt;=$AC$74,AI$35-$AC$74+1,0)</f>
        <v>0</v>
      </c>
      <c r="AJ76" s="63" t="n">
        <f aca="false">IF(AJ$35&gt;=$AC$74,AJ$35-$AC$74+1,0)</f>
        <v>0</v>
      </c>
      <c r="AK76" s="63" t="n">
        <f aca="false">IF(AK$35&gt;=$AC$74,AK$35-$AC$74+1,0)</f>
        <v>0</v>
      </c>
      <c r="AL76" s="63" t="n">
        <f aca="false">IF(AL$35&gt;=$AC$74,AL$35-$AC$74+1,0)</f>
        <v>0</v>
      </c>
      <c r="AM76" s="63" t="n">
        <f aca="false">IF(AM$35&gt;=$AC$74,AM$35-$AC$74+1,0)</f>
        <v>0</v>
      </c>
      <c r="AN76" s="63" t="n">
        <f aca="false">IF(AN$35&gt;=$AC$74,AN$35-$AC$74+1,0)</f>
        <v>1</v>
      </c>
      <c r="AO76" s="63" t="n">
        <f aca="false">IF(AO$35&gt;=$AC$74,AO$35-$AC$74+1,0)</f>
        <v>2</v>
      </c>
      <c r="AP76" s="63" t="n">
        <f aca="false">IF(AP$35&gt;=$AC$74,AP$35-$AC$74+1,0)</f>
        <v>3</v>
      </c>
      <c r="AQ76" s="63" t="n">
        <f aca="false">IF(AQ$35&gt;=$AC$74,AQ$35-$AC$74+1,0)</f>
        <v>4</v>
      </c>
      <c r="AR76" s="63" t="n">
        <f aca="false">IF(AR$35&gt;=$AC$74,AR$35-$AC$74+1,0)</f>
        <v>5</v>
      </c>
      <c r="AS76" s="63" t="n">
        <f aca="false">IF(AS$35&gt;=$AC$74,AS$35-$AC$74+1,0)</f>
        <v>6</v>
      </c>
      <c r="AT76" s="63" t="n">
        <f aca="false">IF(AT$35&gt;=$AC$74,AT$35-$AC$74+1,0)</f>
        <v>7</v>
      </c>
      <c r="AU76" s="63" t="n">
        <f aca="false">IF(AU$35&gt;=$AC$74,AU$35-$AC$74+1,0)</f>
        <v>8</v>
      </c>
      <c r="AV76" s="63" t="n">
        <f aca="false">IF(AV$35&gt;=$AC$74,AV$35-$AC$74+1,0)</f>
        <v>9</v>
      </c>
      <c r="AW76" s="63" t="n">
        <f aca="false">IF(AW$35&gt;=$AC$74,AW$35-$AC$74+1,0)</f>
        <v>10</v>
      </c>
      <c r="AX76" s="63" t="n">
        <f aca="false">IF(AX$35&gt;=$AC$74,AX$35-$AC$74+1,0)</f>
        <v>11</v>
      </c>
      <c r="AY76" s="63" t="n">
        <f aca="false">IF(AY$35&gt;=$AC$74,AY$35-$AC$74+1,0)</f>
        <v>12</v>
      </c>
      <c r="AZ76" s="63" t="n">
        <f aca="false">IF(AZ$35&gt;=$AC$74,AZ$35-$AC$74+1,0)</f>
        <v>13</v>
      </c>
      <c r="BA76" s="63" t="n">
        <f aca="false">IF(BA$35&gt;=$AC$74,BA$35-$AC$74+1,0)</f>
        <v>14</v>
      </c>
      <c r="BB76" s="63" t="n">
        <f aca="false">IF(BB$35&gt;=$AC$74,BB$35-$AC$74+1,0)</f>
        <v>15</v>
      </c>
      <c r="BC76" s="63" t="n">
        <f aca="false">IF(BC$35&gt;=$AC$74,BC$35-$AC$74+1,0)</f>
        <v>16</v>
      </c>
      <c r="BD76" s="63" t="n">
        <f aca="false">IF(BD$35&gt;=$AC$74,BD$35-$AC$74+1,0)</f>
        <v>17</v>
      </c>
      <c r="BE76" s="63" t="n">
        <f aca="false">IF(BE$35&gt;=$AC$74,BE$35-$AC$74+1,0)</f>
        <v>18</v>
      </c>
      <c r="BF76" s="63" t="n">
        <f aca="false">IF(BF$35&gt;=$AC$74,BF$35-$AC$74+1,0)</f>
        <v>19</v>
      </c>
      <c r="BG76" s="63" t="n">
        <f aca="false">IF(BG$35&gt;=$AC$74,BG$35-$AC$74+1,0)</f>
        <v>20</v>
      </c>
      <c r="BH76" s="63" t="n">
        <f aca="false">IF(BH$35&gt;=$AC$74,BH$35-$AC$74+1,0)</f>
        <v>21</v>
      </c>
      <c r="BI76" s="63" t="n">
        <f aca="false">IF(BI$35&gt;=$AC$74,BI$35-$AC$74+1,0)</f>
        <v>22</v>
      </c>
      <c r="BJ76" s="63" t="n">
        <f aca="false">IF(BJ$35&gt;=$AC$74,BJ$35-$AC$74+1,0)</f>
        <v>23</v>
      </c>
      <c r="BK76" s="63" t="n">
        <f aca="false">IF(BK$35&gt;=$AC$74,BK$35-$AC$74+1,0)</f>
        <v>24</v>
      </c>
      <c r="BL76" s="63" t="n">
        <f aca="false">IF(BL$35&gt;=$AC$74,BL$35-$AC$74+1,0)</f>
        <v>25</v>
      </c>
      <c r="BM76" s="63" t="n">
        <f aca="false">IF(BM$35&gt;=$AC$74,BM$35-$AC$74+1,0)</f>
        <v>26</v>
      </c>
      <c r="BN76" s="63" t="n">
        <f aca="false">IF(BN$35&gt;=$AC$74,BN$35-$AC$74+1,0)</f>
        <v>27</v>
      </c>
      <c r="BO76" s="63" t="n">
        <f aca="false">IF(BO$35&gt;=$AC$74,BO$35-$AC$74+1,0)</f>
        <v>28</v>
      </c>
      <c r="BP76" s="63" t="n">
        <f aca="false">IF(BP$35&gt;=$AC$74,BP$35-$AC$74+1,0)</f>
        <v>29</v>
      </c>
      <c r="BQ76" s="63" t="n">
        <f aca="false">IF(BQ$35&gt;=$AC$74,BQ$35-$AC$74+1,0)</f>
        <v>30</v>
      </c>
      <c r="BR76" s="63" t="n">
        <f aca="false">IF(BR$35&gt;=$AC$74,BR$35-$AC$74+1,0)</f>
        <v>31</v>
      </c>
      <c r="BS76" s="63" t="n">
        <f aca="false">IF(BS$35&gt;=$AC$74,BS$35-$AC$74+1,0)</f>
        <v>32</v>
      </c>
      <c r="BT76" s="63" t="n">
        <f aca="false">IF(BT$35&gt;=$AC$74,BT$35-$AC$74+1,0)</f>
        <v>33</v>
      </c>
      <c r="BU76" s="63" t="n">
        <f aca="false">IF(BU$35&gt;=$AC$74,BU$35-$AC$74+1,0)</f>
        <v>34</v>
      </c>
      <c r="BV76" s="63" t="n">
        <f aca="false">IF(BV$35&gt;=$AC$74,BV$35-$AC$74+1,0)</f>
        <v>35</v>
      </c>
      <c r="BW76" s="63" t="n">
        <f aca="false">IF(BW$35&gt;=$AC$74,BW$35-$AC$74+1,0)</f>
        <v>36</v>
      </c>
      <c r="BX76" s="63" t="n">
        <f aca="false">IF(BX$35&gt;=$AC$74,BX$35-$AC$74+1,0)</f>
        <v>37</v>
      </c>
      <c r="BY76" s="63" t="n">
        <f aca="false">IF(BY$35&gt;=$AC$74,BY$35-$AC$74+1,0)</f>
        <v>38</v>
      </c>
      <c r="BZ76" s="63" t="n">
        <f aca="false">IF(BZ$35&gt;=$AC$74,BZ$35-$AC$74+1,0)</f>
        <v>39</v>
      </c>
      <c r="CA76" s="63" t="n">
        <f aca="false">IF(CA$35&gt;=$AC$74,CA$35-$AC$74+1,0)</f>
        <v>40</v>
      </c>
      <c r="CB76" s="63" t="n">
        <f aca="false">IF(CB$35&gt;=$AC$74,CB$35-$AC$74+1,0)</f>
        <v>41</v>
      </c>
      <c r="CC76" s="63" t="n">
        <f aca="false">IF(CC$35&gt;=$AC$74,CC$35-$AC$74+1,0)</f>
        <v>42</v>
      </c>
      <c r="CD76" s="63" t="n">
        <f aca="false">IF(CD$35&gt;=$AC$74,CD$35-$AC$74+1,0)</f>
        <v>43</v>
      </c>
      <c r="CE76" s="63" t="n">
        <f aca="false">IF(CE$35&gt;=$AC$74,CE$35-$AC$74+1,0)</f>
        <v>44</v>
      </c>
      <c r="CF76" s="63" t="n">
        <f aca="false">IF(CF$35&gt;=$AC$74,CF$35-$AC$74+1,0)</f>
        <v>45</v>
      </c>
      <c r="CG76" s="63" t="n">
        <f aca="false">IF(CG$35&gt;=$AC$74,CG$35-$AC$74+1,0)</f>
        <v>46</v>
      </c>
      <c r="CH76" s="63" t="n">
        <f aca="false">IF(CH$35&gt;=$AC$74,CH$35-$AC$74+1,0)</f>
        <v>47</v>
      </c>
      <c r="CI76" s="63" t="n">
        <f aca="false">IF(CI$35&gt;=$AC$74,CI$35-$AC$74+1,0)</f>
        <v>48</v>
      </c>
      <c r="CJ76" s="63" t="n">
        <f aca="false">IF(CJ$35&gt;=$AC$74,CJ$35-$AC$74+1,0)</f>
        <v>49</v>
      </c>
      <c r="CK76" s="63" t="n">
        <f aca="false">IF(CK$35&gt;=$AC$74,CK$35-$AC$74+1,0)</f>
        <v>50</v>
      </c>
      <c r="CL76" s="63" t="n">
        <f aca="false">IF(CL$35&gt;=$AC$74,CL$35-$AC$74+1,0)</f>
        <v>51</v>
      </c>
      <c r="CM76" s="63" t="n">
        <f aca="false">IF(CM$35&gt;=$AC$74,CM$35-$AC$74+1,0)</f>
        <v>52</v>
      </c>
      <c r="CN76" s="63" t="n">
        <f aca="false">IF(CN$35&gt;=$AC$74,CN$35-$AC$74+1,0)</f>
        <v>53</v>
      </c>
      <c r="CO76" s="63" t="n">
        <f aca="false">IF(CO$35&gt;=$AC$74,CO$35-$AC$74+1,0)</f>
        <v>54</v>
      </c>
      <c r="CP76" s="63" t="n">
        <f aca="false">IF(CP$35&gt;=$AC$74,CP$35-$AC$74+1,0)</f>
        <v>55</v>
      </c>
      <c r="CQ76" s="63" t="n">
        <f aca="false">IF(CQ$35&gt;=$AC$74,CQ$35-$AC$74+1,0)</f>
        <v>56</v>
      </c>
      <c r="CR76" s="63" t="n">
        <f aca="false">IF(CR$35&gt;=$AC$74,CR$35-$AC$74+1,0)</f>
        <v>57</v>
      </c>
      <c r="CS76" s="63" t="n">
        <f aca="false">IF(CS$35&gt;=$AC$74,CS$35-$AC$74+1,0)</f>
        <v>58</v>
      </c>
      <c r="CT76" s="63" t="n">
        <f aca="false">IF(CT$35&gt;=$AC$74,CT$35-$AC$74+1,0)</f>
        <v>59</v>
      </c>
      <c r="CU76" s="63" t="n">
        <f aca="false">IF(CU$35&gt;=$AC$74,CU$35-$AC$74+1,0)</f>
        <v>60</v>
      </c>
      <c r="CV76" s="63" t="n">
        <f aca="false">IF(CV$35&gt;=$AC$74,CV$35-$AC$74+1,0)</f>
        <v>61</v>
      </c>
      <c r="CW76" s="63" t="n">
        <f aca="false">IF(CW$35&gt;=$AC$74,CW$35-$AC$74+1,0)</f>
        <v>62</v>
      </c>
      <c r="CX76" s="63" t="n">
        <f aca="false">IF(CX$35&gt;=$AC$74,CX$35-$AC$74+1,0)</f>
        <v>63</v>
      </c>
      <c r="CY76" s="63" t="n">
        <f aca="false">IF(CY$35&gt;=$AC$74,CY$35-$AC$74+1,0)</f>
        <v>64</v>
      </c>
      <c r="CZ76" s="63" t="n">
        <f aca="false">IF(CZ$35&gt;=$AC$74,CZ$35-$AC$74+1,0)</f>
        <v>65</v>
      </c>
      <c r="DA76" s="63" t="n">
        <f aca="false">IF(DA$35&gt;=$AC$74,DA$35-$AC$74+1,0)</f>
        <v>66</v>
      </c>
      <c r="DB76" s="63" t="n">
        <f aca="false">IF(DB$35&gt;=$AC$74,DB$35-$AC$74+1,0)</f>
        <v>67</v>
      </c>
      <c r="DC76" s="63" t="n">
        <f aca="false">IF(DC$35&gt;=$AC$74,DC$35-$AC$74+1,0)</f>
        <v>68</v>
      </c>
      <c r="DD76" s="63" t="n">
        <f aca="false">IF(DD$35&gt;=$AC$74,DD$35-$AC$74+1,0)</f>
        <v>69</v>
      </c>
      <c r="DE76" s="63" t="n">
        <f aca="false">IF(DE$35&gt;=$AC$74,DE$35-$AC$74+1,0)</f>
        <v>70</v>
      </c>
      <c r="DF76" s="63" t="n">
        <f aca="false">IF(DF$35&gt;=$AC$74,DF$35-$AC$74+1,0)</f>
        <v>71</v>
      </c>
      <c r="DG76" s="63" t="n">
        <f aca="false">IF(DG$35&gt;=$AC$74,DG$35-$AC$74+1,0)</f>
        <v>72</v>
      </c>
      <c r="DH76" s="63" t="n">
        <f aca="false">IF(DH$35&gt;=$AC$74,DH$35-$AC$74+1,0)</f>
        <v>73</v>
      </c>
      <c r="DI76" s="63" t="n">
        <f aca="false">IF(DI$35&gt;=$AC$74,DI$35-$AC$74+1,0)</f>
        <v>74</v>
      </c>
      <c r="DJ76" s="63" t="n">
        <f aca="false">IF(DJ$35&gt;=$AC$74,DJ$35-$AC$74+1,0)</f>
        <v>75</v>
      </c>
      <c r="DK76" s="63" t="n">
        <f aca="false">IF(DK$35&gt;=$AC$74,DK$35-$AC$74+1,0)</f>
        <v>76</v>
      </c>
      <c r="DL76" s="63" t="n">
        <f aca="false">IF(DL$35&gt;=$AC$74,DL$35-$AC$74+1,0)</f>
        <v>77</v>
      </c>
      <c r="DM76" s="63" t="n">
        <f aca="false">IF(DM$35&gt;=$AC$74,DM$35-$AC$74+1,0)</f>
        <v>78</v>
      </c>
      <c r="DN76" s="63" t="n">
        <f aca="false">IF(DN$35&gt;=$AC$74,DN$35-$AC$74+1,0)</f>
        <v>79</v>
      </c>
      <c r="DO76" s="63" t="n">
        <f aca="false">IF(DO$35&gt;=$AC$74,DO$35-$AC$74+1,0)</f>
        <v>80</v>
      </c>
      <c r="DP76" s="63" t="n">
        <f aca="false">IF(DP$35&gt;=$AC$74,DP$35-$AC$74+1,0)</f>
        <v>81</v>
      </c>
      <c r="DQ76" s="63" t="n">
        <f aca="false">IF(DQ$35&gt;=$AC$74,DQ$35-$AC$74+1,0)</f>
        <v>82</v>
      </c>
      <c r="DR76" s="63" t="n">
        <f aca="false">IF(DR$35&gt;=$AC$74,DR$35-$AC$74+1,0)</f>
        <v>83</v>
      </c>
      <c r="DS76" s="63" t="n">
        <f aca="false">IF(DS$35&gt;=$AC$74,DS$35-$AC$74+1,0)</f>
        <v>84</v>
      </c>
      <c r="DT76" s="63" t="n">
        <f aca="false">IF(DT$35&gt;=$AC$74,DT$35-$AC$74+1,0)</f>
        <v>85</v>
      </c>
      <c r="DU76" s="63" t="n">
        <f aca="false">IF(DU$35&gt;=$AC$74,DU$35-$AC$74+1,0)</f>
        <v>86</v>
      </c>
      <c r="DV76" s="63" t="n">
        <f aca="false">IF(DV$35&gt;=$AC$74,DV$35-$AC$74+1,0)</f>
        <v>87</v>
      </c>
      <c r="DW76" s="63" t="n">
        <f aca="false">IF(DW$35&gt;=$AC$74,DW$35-$AC$74+1,0)</f>
        <v>88</v>
      </c>
      <c r="DX76" s="63" t="n">
        <f aca="false">IF(DX$35&gt;=$AC$74,DX$35-$AC$74+1,0)</f>
        <v>89</v>
      </c>
      <c r="DY76" s="63" t="n">
        <f aca="false">IF(DY$35&gt;=$AC$74,DY$35-$AC$74+1,0)</f>
        <v>90</v>
      </c>
      <c r="DZ76" s="63" t="n">
        <f aca="false">IF(DZ$35&gt;=$AC$74,DZ$35-$AC$74+1,0)</f>
        <v>91</v>
      </c>
      <c r="EA76" s="63" t="n">
        <f aca="false">IF(EA$35&gt;=$AC$74,EA$35-$AC$74+1,0)</f>
        <v>92</v>
      </c>
      <c r="EB76" s="63" t="n">
        <f aca="false">IF(EB$35&gt;=$AC$74,EB$35-$AC$74+1,0)</f>
        <v>93</v>
      </c>
      <c r="EC76" s="63" t="n">
        <f aca="false">IF(EC$35&gt;=$AC$74,EC$35-$AC$74+1,0)</f>
        <v>94</v>
      </c>
      <c r="ED76" s="63" t="n">
        <f aca="false">IF(ED$35&gt;=$AC$74,ED$35-$AC$74+1,0)</f>
        <v>95</v>
      </c>
      <c r="EE76" s="63" t="n">
        <f aca="false">IF(EE$35&gt;=$AC$74,EE$35-$AC$74+1,0)</f>
        <v>96</v>
      </c>
      <c r="EF76" s="63" t="n">
        <f aca="false">IF(EF$35&gt;=$AC$74,EF$35-$AC$74+1,0)</f>
        <v>97</v>
      </c>
      <c r="EG76" s="63" t="n">
        <f aca="false">IF(EG$35&gt;=$AC$74,EG$35-$AC$74+1,0)</f>
        <v>98</v>
      </c>
      <c r="EH76" s="63" t="n">
        <f aca="false">IF(EH$35&gt;=$AC$74,EH$35-$AC$74+1,0)</f>
        <v>99</v>
      </c>
      <c r="EI76" s="63" t="n">
        <f aca="false">IF(EI$35&gt;=$AC$74,EI$35-$AC$74+1,0)</f>
        <v>100</v>
      </c>
      <c r="EJ76" s="63" t="n">
        <f aca="false">IF(EJ$35&gt;=$AC$74,EJ$35-$AC$74+1,0)</f>
        <v>101</v>
      </c>
      <c r="EK76" s="63" t="n">
        <f aca="false">IF(EK$35&gt;=$AC$74,EK$35-$AC$74+1,0)</f>
        <v>102</v>
      </c>
      <c r="EL76" s="63" t="n">
        <f aca="false">IF(EL$35&gt;=$AC$74,EL$35-$AC$74+1,0)</f>
        <v>103</v>
      </c>
      <c r="EM76" s="63" t="n">
        <f aca="false">IF(EM$35&gt;=$AC$74,EM$35-$AC$74+1,0)</f>
        <v>104</v>
      </c>
      <c r="EN76" s="63" t="n">
        <f aca="false">IF(EN$35&gt;=$AC$74,EN$35-$AC$74+1,0)</f>
        <v>105</v>
      </c>
      <c r="EO76" s="63" t="n">
        <f aca="false">IF(EO$35&gt;=$AC$74,EO$35-$AC$74+1,0)</f>
        <v>106</v>
      </c>
      <c r="EP76" s="63" t="n">
        <f aca="false">IF(EP$35&gt;=$AC$74,EP$35-$AC$74+1,0)</f>
        <v>107</v>
      </c>
      <c r="EQ76" s="63" t="n">
        <f aca="false">IF(EQ$35&gt;=$AC$74,EQ$35-$AC$74+1,0)</f>
        <v>108</v>
      </c>
      <c r="ER76" s="63" t="n">
        <f aca="false">IF(ER$35&gt;=$AC$74,ER$35-$AC$74+1,0)</f>
        <v>109</v>
      </c>
      <c r="ES76" s="9" t="n">
        <f aca="false">IF(ES$35&gt;=$AC$74,ES$35-$AC$74+1,0)</f>
        <v>110</v>
      </c>
      <c r="ET76" s="9" t="n">
        <f aca="false">IF(ET$35&gt;=$AC$74,ET$35-$AC$74+1,0)</f>
        <v>111</v>
      </c>
      <c r="EU76" s="9" t="n">
        <f aca="false">IF(EU$35&gt;=$AC$74,EU$35-$AC$74+1,0)</f>
        <v>112</v>
      </c>
      <c r="EV76" s="9" t="n">
        <f aca="false">IF(EV$35&gt;=$AC$74,EV$35-$AC$74+1,0)</f>
        <v>113</v>
      </c>
      <c r="EW76" s="9" t="n">
        <f aca="false">IF(EW$35&gt;=$AC$74,EW$35-$AC$74+1,0)</f>
        <v>114</v>
      </c>
      <c r="EX76" s="9" t="n">
        <f aca="false">IF(EX$35&gt;=$AC$74,EX$35-$AC$74+1,0)</f>
        <v>115</v>
      </c>
      <c r="EY76" s="9" t="n">
        <f aca="false">IF(EY$35&gt;=$AC$74,EY$35-$AC$74+1,0)</f>
        <v>116</v>
      </c>
      <c r="EZ76" s="9" t="n">
        <f aca="false">IF(EZ$35&gt;=$AC$74,EZ$35-$AC$74+1,0)</f>
        <v>117</v>
      </c>
      <c r="FA76" s="9" t="n">
        <f aca="false">IF(FA$35&gt;=$AC$74,FA$35-$AC$74+1,0)</f>
        <v>118</v>
      </c>
      <c r="FB76" s="9" t="n">
        <f aca="false">IF(FB$35&gt;=$AC$74,FB$35-$AC$74+1,0)</f>
        <v>119</v>
      </c>
      <c r="FC76" s="9" t="n">
        <f aca="false">IF(FC$35&gt;=$AC$74,FC$35-$AC$74+1,0)</f>
        <v>120</v>
      </c>
      <c r="FD76" s="9" t="n">
        <f aca="false">IF(FD$35&gt;=$AC$74,FD$35-$AC$74+1,0)</f>
        <v>121</v>
      </c>
      <c r="FE76" s="9" t="n">
        <f aca="false">IF(FE$35&gt;=$AC$74,FE$35-$AC$74+1,0)</f>
        <v>122</v>
      </c>
      <c r="FF76" s="9" t="n">
        <f aca="false">IF(FF$35&gt;=$AC$74,FF$35-$AC$74+1,0)</f>
        <v>123</v>
      </c>
      <c r="FG76" s="9" t="n">
        <f aca="false">IF(FG$35&gt;=$AC$74,FG$35-$AC$74+1,0)</f>
        <v>124</v>
      </c>
      <c r="FH76" s="9" t="n">
        <f aca="false">IF(FH$35&gt;=$AC$74,FH$35-$AC$74+1,0)</f>
        <v>125</v>
      </c>
      <c r="FI76" s="9" t="n">
        <f aca="false">IF(FI$35&gt;=$AC$74,FI$35-$AC$74+1,0)</f>
        <v>126</v>
      </c>
      <c r="FJ76" s="9" t="n">
        <f aca="false">IF(FJ$35&gt;=$AC$74,FJ$35-$AC$74+1,0)</f>
        <v>127</v>
      </c>
      <c r="FK76" s="9" t="n">
        <f aca="false">IF(FK$35&gt;=$AC$74,FK$35-$AC$74+1,0)</f>
        <v>128</v>
      </c>
      <c r="FL76" s="9" t="n">
        <f aca="false">IF(FL$35&gt;=$AC$74,FL$35-$AC$74+1,0)</f>
        <v>129</v>
      </c>
      <c r="FM76" s="9" t="n">
        <f aca="false">IF(FM$35&gt;=$AC$74,FM$35-$AC$74+1,0)</f>
        <v>130</v>
      </c>
      <c r="FN76" s="9" t="n">
        <f aca="false">IF(FN$35&gt;=$AC$74,FN$35-$AC$74+1,0)</f>
        <v>131</v>
      </c>
      <c r="FO76" s="9" t="n">
        <f aca="false">IF(FO$35&gt;=$AC$74,FO$35-$AC$74+1,0)</f>
        <v>132</v>
      </c>
      <c r="FP76" s="9" t="n">
        <f aca="false">IF(FP$35&gt;=$AC$74,FP$35-$AC$74+1,0)</f>
        <v>133</v>
      </c>
    </row>
    <row r="77" customFormat="false" ht="15" hidden="false" customHeight="false" outlineLevel="2" collapsed="false">
      <c r="B77" s="9" t="s">
        <v>874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236" t="n">
        <f aca="false" t="array" ref="AC77:AC77">IF(AC76=0,0,IF(AC76/'🎚️ Escenario'!$C$11&gt;=36,$AL$23,INDEX($C$23:$AL$23,MAX(1,ROUNDUP(AC76/'🎚️ Escenario'!$C$11,0)))))</f>
        <v>0</v>
      </c>
      <c r="AD77" s="236" t="n">
        <f aca="false" t="array" ref="AD77:AD77">IF(AD76=0,0,IF(AD76/'🎚️ Escenario'!$C$11&gt;=36,$AL$23,INDEX($C$23:$AL$23,MAX(1,ROUNDUP(AD76/'🎚️ Escenario'!$C$11,0)))))</f>
        <v>0</v>
      </c>
      <c r="AE77" s="236" t="n">
        <f aca="false" t="array" ref="AE77:AE77">IF(AE76=0,0,IF(AE76/'🎚️ Escenario'!$C$11&gt;=36,$AL$23,INDEX($C$23:$AL$23,MAX(1,ROUNDUP(AE76/'🎚️ Escenario'!$C$11,0)))))</f>
        <v>0</v>
      </c>
      <c r="AF77" s="236" t="n">
        <f aca="false" t="array" ref="AF77:AF77">IF(AF76=0,0,IF(AF76/'🎚️ Escenario'!$C$11&gt;=36,$AL$23,INDEX($C$23:$AL$23,MAX(1,ROUNDUP(AF76/'🎚️ Escenario'!$C$11,0)))))</f>
        <v>0</v>
      </c>
      <c r="AG77" s="236" t="n">
        <f aca="false" t="array" ref="AG77:AG77">IF(AG76=0,0,IF(AG76/'🎚️ Escenario'!$C$11&gt;=36,$AL$23,INDEX($C$23:$AL$23,MAX(1,ROUNDUP(AG76/'🎚️ Escenario'!$C$11,0)))))</f>
        <v>0</v>
      </c>
      <c r="AH77" s="236" t="n">
        <f aca="false" t="array" ref="AH77:AH77">IF(AH76=0,0,IF(AH76/'🎚️ Escenario'!$C$11&gt;=36,$AL$23,INDEX($C$23:$AL$23,MAX(1,ROUNDUP(AH76/'🎚️ Escenario'!$C$11,0)))))</f>
        <v>0</v>
      </c>
      <c r="AI77" s="236" t="n">
        <f aca="false" t="array" ref="AI77:AI77">IF(AI76=0,0,IF(AI76/'🎚️ Escenario'!$C$11&gt;=36,$AL$23,INDEX($C$23:$AL$23,MAX(1,ROUNDUP(AI76/'🎚️ Escenario'!$C$11,0)))))</f>
        <v>0</v>
      </c>
      <c r="AJ77" s="236" t="n">
        <f aca="false" t="array" ref="AJ77:AJ77">IF(AJ76=0,0,IF(AJ76/'🎚️ Escenario'!$C$11&gt;=36,$AL$23,INDEX($C$23:$AL$23,MAX(1,ROUNDUP(AJ76/'🎚️ Escenario'!$C$11,0)))))</f>
        <v>0</v>
      </c>
      <c r="AK77" s="236" t="n">
        <f aca="false" t="array" ref="AK77:AK77">IF(AK76=0,0,IF(AK76/'🎚️ Escenario'!$C$11&gt;=36,$AL$23,INDEX($C$23:$AL$23,MAX(1,ROUNDUP(AK76/'🎚️ Escenario'!$C$11,0)))))</f>
        <v>0</v>
      </c>
      <c r="AL77" s="236" t="n">
        <f aca="false" t="array" ref="AL77:AL77">IF(AL76=0,0,IF(AL76/'🎚️ Escenario'!$C$11&gt;=36,$AL$23,INDEX($C$23:$AL$23,MAX(1,ROUNDUP(AL76/'🎚️ Escenario'!$C$11,0)))))</f>
        <v>0</v>
      </c>
      <c r="AM77" s="236" t="n">
        <f aca="false" t="array" ref="AM77:AM77">IF(AM76=0,0,IF(AM76/'🎚️ Escenario'!$C$11&gt;=36,$AL$23,INDEX($C$23:$AL$23,MAX(1,ROUNDUP(AM76/'🎚️ Escenario'!$C$11,0)))))</f>
        <v>0</v>
      </c>
      <c r="AN77" s="236" t="n">
        <f aca="false" t="array" ref="AN77:AN77">IF(AN76=0,0,IF(AN76/'🎚️ Escenario'!$C$11&gt;=36,$AL$23,INDEX($C$23:$AL$23,MAX(1,ROUNDUP(AN76/'🎚️ Escenario'!$C$11,0)))))</f>
        <v>0.2</v>
      </c>
      <c r="AO77" s="236" t="n">
        <f aca="false" t="array" ref="AO77:AO77">IF(AO76=0,0,IF(AO76/'🎚️ Escenario'!$C$11&gt;=36,$AL$23,INDEX($C$23:$AL$23,MAX(1,ROUNDUP(AO76/'🎚️ Escenario'!$C$11,0)))))</f>
        <v>0.22</v>
      </c>
      <c r="AP77" s="236" t="n">
        <f aca="false" t="array" ref="AP77:AP77">IF(AP76=0,0,IF(AP76/'🎚️ Escenario'!$C$11&gt;=36,$AL$23,INDEX($C$23:$AL$23,MAX(1,ROUNDUP(AP76/'🎚️ Escenario'!$C$11,0)))))</f>
        <v>0.24</v>
      </c>
      <c r="AQ77" s="236" t="n">
        <f aca="false" t="array" ref="AQ77:AQ77">IF(AQ76=0,0,IF(AQ76/'🎚️ Escenario'!$C$11&gt;=36,$AL$23,INDEX($C$23:$AL$23,MAX(1,ROUNDUP(AQ76/'🎚️ Escenario'!$C$11,0)))))</f>
        <v>0.27</v>
      </c>
      <c r="AR77" s="236" t="n">
        <f aca="false" t="array" ref="AR77:AR77">IF(AR76=0,0,IF(AR76/'🎚️ Escenario'!$C$11&gt;=36,$AL$23,INDEX($C$23:$AL$23,MAX(1,ROUNDUP(AR76/'🎚️ Escenario'!$C$11,0)))))</f>
        <v>0.27</v>
      </c>
      <c r="AS77" s="236" t="n">
        <f aca="false" t="array" ref="AS77:AS77">IF(AS76=0,0,IF(AS76/'🎚️ Escenario'!$C$11&gt;=36,$AL$23,INDEX($C$23:$AL$23,MAX(1,ROUNDUP(AS76/'🎚️ Escenario'!$C$11,0)))))</f>
        <v>0.31</v>
      </c>
      <c r="AT77" s="236" t="n">
        <f aca="false" t="array" ref="AT77:AT77">IF(AT76=0,0,IF(AT76/'🎚️ Escenario'!$C$11&gt;=36,$AL$23,INDEX($C$23:$AL$23,MAX(1,ROUNDUP(AT76/'🎚️ Escenario'!$C$11,0)))))</f>
        <v>0.35</v>
      </c>
      <c r="AU77" s="236" t="n">
        <f aca="false" t="array" ref="AU77:AU77">IF(AU76=0,0,IF(AU76/'🎚️ Escenario'!$C$11&gt;=36,$AL$23,INDEX($C$23:$AL$23,MAX(1,ROUNDUP(AU76/'🎚️ Escenario'!$C$11,0)))))</f>
        <v>0.39</v>
      </c>
      <c r="AV77" s="236" t="n">
        <f aca="false" t="array" ref="AV77:AV77">IF(AV76=0,0,IF(AV76/'🎚️ Escenario'!$C$11&gt;=36,$AL$23,INDEX($C$23:$AL$23,MAX(1,ROUNDUP(AV76/'🎚️ Escenario'!$C$11,0)))))</f>
        <v>0.44</v>
      </c>
      <c r="AW77" s="236" t="n">
        <f aca="false" t="array" ref="AW77:AW77">IF(AW76=0,0,IF(AW76/'🎚️ Escenario'!$C$11&gt;=36,$AL$23,INDEX($C$23:$AL$23,MAX(1,ROUNDUP(AW76/'🎚️ Escenario'!$C$11,0)))))</f>
        <v>0.44</v>
      </c>
      <c r="AX77" s="236" t="n">
        <f aca="false" t="array" ref="AX77:AX77">IF(AX76=0,0,IF(AX76/'🎚️ Escenario'!$C$11&gt;=36,$AL$23,INDEX($C$23:$AL$23,MAX(1,ROUNDUP(AX76/'🎚️ Escenario'!$C$11,0)))))</f>
        <v>0.48</v>
      </c>
      <c r="AY77" s="236" t="n">
        <f aca="false" t="array" ref="AY77:AY77">IF(AY76=0,0,IF(AY76/'🎚️ Escenario'!$C$11&gt;=36,$AL$23,INDEX($C$23:$AL$23,MAX(1,ROUNDUP(AY76/'🎚️ Escenario'!$C$11,0)))))</f>
        <v>0.52</v>
      </c>
      <c r="AZ77" s="236" t="n">
        <f aca="false" t="array" ref="AZ77:AZ77">IF(AZ76=0,0,IF(AZ76/'🎚️ Escenario'!$C$11&gt;=36,$AL$23,INDEX($C$23:$AL$23,MAX(1,ROUNDUP(AZ76/'🎚️ Escenario'!$C$11,0)))))</f>
        <v>0.56</v>
      </c>
      <c r="BA77" s="236" t="n">
        <f aca="false" t="array" ref="BA77:BA77">IF(BA76=0,0,IF(BA76/'🎚️ Escenario'!$C$11&gt;=36,$AL$23,INDEX($C$23:$AL$23,MAX(1,ROUNDUP(BA76/'🎚️ Escenario'!$C$11,0)))))</f>
        <v>0.6</v>
      </c>
      <c r="BB77" s="236" t="n">
        <f aca="false" t="array" ref="BB77:BB77">IF(BB76=0,0,IF(BB76/'🎚️ Escenario'!$C$11&gt;=36,$AL$23,INDEX($C$23:$AL$23,MAX(1,ROUNDUP(BB76/'🎚️ Escenario'!$C$11,0)))))</f>
        <v>0.6</v>
      </c>
      <c r="BC77" s="236" t="n">
        <f aca="false" t="array" ref="BC77:BC77">IF(BC76=0,0,IF(BC76/'🎚️ Escenario'!$C$11&gt;=36,$AL$23,INDEX($C$23:$AL$23,MAX(1,ROUNDUP(BC76/'🎚️ Escenario'!$C$11,0)))))</f>
        <v>0.63</v>
      </c>
      <c r="BD77" s="236" t="n">
        <f aca="false" t="array" ref="BD77:BD77">IF(BD76=0,0,IF(BD76/'🎚️ Escenario'!$C$11&gt;=36,$AL$23,INDEX($C$23:$AL$23,MAX(1,ROUNDUP(BD76/'🎚️ Escenario'!$C$11,0)))))</f>
        <v>0.66</v>
      </c>
      <c r="BE77" s="236" t="n">
        <f aca="false" t="array" ref="BE77:BE77">IF(BE76=0,0,IF(BE76/'🎚️ Escenario'!$C$11&gt;=36,$AL$23,INDEX($C$23:$AL$23,MAX(1,ROUNDUP(BE76/'🎚️ Escenario'!$C$11,0)))))</f>
        <v>0.69</v>
      </c>
      <c r="BF77" s="236" t="n">
        <f aca="false" t="array" ref="BF77:BF77">IF(BF76=0,0,IF(BF76/'🎚️ Escenario'!$C$11&gt;=36,$AL$23,INDEX($C$23:$AL$23,MAX(1,ROUNDUP(BF76/'🎚️ Escenario'!$C$11,0)))))</f>
        <v>0.71</v>
      </c>
      <c r="BG77" s="236" t="n">
        <f aca="false" t="array" ref="BG77:BG77">IF(BG76=0,0,IF(BG76/'🎚️ Escenario'!$C$11&gt;=36,$AL$23,INDEX($C$23:$AL$23,MAX(1,ROUNDUP(BG76/'🎚️ Escenario'!$C$11,0)))))</f>
        <v>0.71</v>
      </c>
      <c r="BH77" s="236" t="n">
        <f aca="false" t="array" ref="BH77:BH77">IF(BH76=0,0,IF(BH76/'🎚️ Escenario'!$C$11&gt;=36,$AL$23,INDEX($C$23:$AL$23,MAX(1,ROUNDUP(BH76/'🎚️ Escenario'!$C$11,0)))))</f>
        <v>0.73</v>
      </c>
      <c r="BI77" s="236" t="n">
        <f aca="false" t="array" ref="BI77:BI77">IF(BI76=0,0,IF(BI76/'🎚️ Escenario'!$C$11&gt;=36,$AL$23,INDEX($C$23:$AL$23,MAX(1,ROUNDUP(BI76/'🎚️ Escenario'!$C$11,0)))))</f>
        <v>0.75</v>
      </c>
      <c r="BJ77" s="236" t="n">
        <f aca="false" t="array" ref="BJ77:BJ77">IF(BJ76=0,0,IF(BJ76/'🎚️ Escenario'!$C$11&gt;=36,$AL$23,INDEX($C$23:$AL$23,MAX(1,ROUNDUP(BJ76/'🎚️ Escenario'!$C$11,0)))))</f>
        <v>0.77</v>
      </c>
      <c r="BK77" s="236" t="n">
        <f aca="false" t="array" ref="BK77:BK77">IF(BK76=0,0,IF(BK76/'🎚️ Escenario'!$C$11&gt;=36,$AL$23,INDEX($C$23:$AL$23,MAX(1,ROUNDUP(BK76/'🎚️ Escenario'!$C$11,0)))))</f>
        <v>0.79</v>
      </c>
      <c r="BL77" s="236" t="n">
        <f aca="false" t="array" ref="BL77:BL77">IF(BL76=0,0,IF(BL76/'🎚️ Escenario'!$C$11&gt;=36,$AL$23,INDEX($C$23:$AL$23,MAX(1,ROUNDUP(BL76/'🎚️ Escenario'!$C$11,0)))))</f>
        <v>0.79</v>
      </c>
      <c r="BM77" s="236" t="n">
        <f aca="false" t="array" ref="BM77:BM77">IF(BM76=0,0,IF(BM76/'🎚️ Escenario'!$C$11&gt;=36,$AL$23,INDEX($C$23:$AL$23,MAX(1,ROUNDUP(BM76/'🎚️ Escenario'!$C$11,0)))))</f>
        <v>0.8</v>
      </c>
      <c r="BN77" s="236" t="n">
        <f aca="false" t="array" ref="BN77:BN77">IF(BN76=0,0,IF(BN76/'🎚️ Escenario'!$C$11&gt;=36,$AL$23,INDEX($C$23:$AL$23,MAX(1,ROUNDUP(BN76/'🎚️ Escenario'!$C$11,0)))))</f>
        <v>0.82</v>
      </c>
      <c r="BO77" s="236" t="n">
        <f aca="false" t="array" ref="BO77:BO77">IF(BO76=0,0,IF(BO76/'🎚️ Escenario'!$C$11&gt;=36,$AL$23,INDEX($C$23:$AL$23,MAX(1,ROUNDUP(BO76/'🎚️ Escenario'!$C$11,0)))))</f>
        <v>0.84</v>
      </c>
      <c r="BP77" s="236" t="n">
        <f aca="false" t="array" ref="BP77:BP77">IF(BP76=0,0,IF(BP76/'🎚️ Escenario'!$C$11&gt;=36,$AL$23,INDEX($C$23:$AL$23,MAX(1,ROUNDUP(BP76/'🎚️ Escenario'!$C$11,0)))))</f>
        <v>0.85</v>
      </c>
      <c r="BQ77" s="236" t="n">
        <f aca="false" t="array" ref="BQ77:BQ77">IF(BQ76=0,0,IF(BQ76/'🎚️ Escenario'!$C$11&gt;=36,$AL$23,INDEX($C$23:$AL$23,MAX(1,ROUNDUP(BQ76/'🎚️ Escenario'!$C$11,0)))))</f>
        <v>0.85</v>
      </c>
      <c r="BR77" s="236" t="n">
        <f aca="false" t="array" ref="BR77:BR77">IF(BR76=0,0,IF(BR76/'🎚️ Escenario'!$C$11&gt;=36,$AL$23,INDEX($C$23:$AL$23,MAX(1,ROUNDUP(BR76/'🎚️ Escenario'!$C$11,0)))))</f>
        <v>0.86</v>
      </c>
      <c r="BS77" s="236" t="n">
        <f aca="false" t="array" ref="BS77:BS77">IF(BS76=0,0,IF(BS76/'🎚️ Escenario'!$C$11&gt;=36,$AL$23,INDEX($C$23:$AL$23,MAX(1,ROUNDUP(BS76/'🎚️ Escenario'!$C$11,0)))))</f>
        <v>0.88</v>
      </c>
      <c r="BT77" s="236" t="n">
        <f aca="false" t="array" ref="BT77:BT77">IF(BT76=0,0,IF(BT76/'🎚️ Escenario'!$C$11&gt;=36,$AL$23,INDEX($C$23:$AL$23,MAX(1,ROUNDUP(BT76/'🎚️ Escenario'!$C$11,0)))))</f>
        <v>0.89</v>
      </c>
      <c r="BU77" s="236" t="n">
        <f aca="false" t="array" ref="BU77:BU77">IF(BU76=0,0,IF(BU76/'🎚️ Escenario'!$C$11&gt;=36,$AL$23,INDEX($C$23:$AL$23,MAX(1,ROUNDUP(BU76/'🎚️ Escenario'!$C$11,0)))))</f>
        <v>0.9</v>
      </c>
      <c r="BV77" s="236" t="n">
        <f aca="false" t="array" ref="BV77:BV77">IF(BV76=0,0,IF(BV76/'🎚️ Escenario'!$C$11&gt;=36,$AL$23,INDEX($C$23:$AL$23,MAX(1,ROUNDUP(BV76/'🎚️ Escenario'!$C$11,0)))))</f>
        <v>0.9</v>
      </c>
      <c r="BW77" s="236" t="n">
        <f aca="false" t="array" ref="BW77:BW77">IF(BW76=0,0,IF(BW76/'🎚️ Escenario'!$C$11&gt;=36,$AL$23,INDEX($C$23:$AL$23,MAX(1,ROUNDUP(BW76/'🎚️ Escenario'!$C$11,0)))))</f>
        <v>0.92</v>
      </c>
      <c r="BX77" s="236" t="n">
        <f aca="false" t="array" ref="BX77:BX77">IF(BX76=0,0,IF(BX76/'🎚️ Escenario'!$C$11&gt;=36,$AL$23,INDEX($C$23:$AL$23,MAX(1,ROUNDUP(BX76/'🎚️ Escenario'!$C$11,0)))))</f>
        <v>0.93</v>
      </c>
      <c r="BY77" s="236" t="n">
        <f aca="false" t="array" ref="BY77:BY77">IF(BY76=0,0,IF(BY76/'🎚️ Escenario'!$C$11&gt;=36,$AL$23,INDEX($C$23:$AL$23,MAX(1,ROUNDUP(BY76/'🎚️ Escenario'!$C$11,0)))))</f>
        <v>0.94</v>
      </c>
      <c r="BZ77" s="236" t="n">
        <f aca="false" t="array" ref="BZ77:BZ77">IF(BZ76=0,0,IF(BZ76/'🎚️ Escenario'!$C$11&gt;=36,$AL$23,INDEX($C$23:$AL$23,MAX(1,ROUNDUP(BZ76/'🎚️ Escenario'!$C$11,0)))))</f>
        <v>0.95</v>
      </c>
      <c r="CA77" s="236" t="n">
        <f aca="false" t="array" ref="CA77:CA77">IF(CA76=0,0,IF(CA76/'🎚️ Escenario'!$C$11&gt;=36,$AL$23,INDEX($C$23:$AL$23,MAX(1,ROUNDUP(CA76/'🎚️ Escenario'!$C$11,0)))))</f>
        <v>0.95</v>
      </c>
      <c r="CB77" s="236" t="n">
        <f aca="false" t="array" ref="CB77:CB77">IF(CB76=0,0,IF(CB76/'🎚️ Escenario'!$C$11&gt;=36,$AL$23,INDEX($C$23:$AL$23,MAX(1,ROUNDUP(CB76/'🎚️ Escenario'!$C$11,0)))))</f>
        <v>0.97</v>
      </c>
      <c r="CC77" s="236" t="n">
        <f aca="false" t="array" ref="CC77:CC77">IF(CC76=0,0,IF(CC76/'🎚️ Escenario'!$C$11&gt;=36,$AL$23,INDEX($C$23:$AL$23,MAX(1,ROUNDUP(CC76/'🎚️ Escenario'!$C$11,0)))))</f>
        <v>0.98</v>
      </c>
      <c r="CD77" s="236" t="n">
        <f aca="false" t="array" ref="CD77:CD77">IF(CD76=0,0,IF(CD76/'🎚️ Escenario'!$C$11&gt;=36,$AL$23,INDEX($C$23:$AL$23,MAX(1,ROUNDUP(CD76/'🎚️ Escenario'!$C$11,0)))))</f>
        <v>0.99</v>
      </c>
      <c r="CE77" s="236" t="n">
        <f aca="false" t="array" ref="CE77:CE77">IF(CE76=0,0,IF(CE76/'🎚️ Escenario'!$C$11&gt;=36,$AL$23,INDEX($C$23:$AL$23,MAX(1,ROUNDUP(CE76/'🎚️ Escenario'!$C$11,0)))))</f>
        <v>1</v>
      </c>
      <c r="CF77" s="236" t="n">
        <f aca="false" t="array" ref="CF77:CF77">IF(CF76=0,0,IF(CF76/'🎚️ Escenario'!$C$11&gt;=36,$AL$23,INDEX($C$23:$AL$23,MAX(1,ROUNDUP(CF76/'🎚️ Escenario'!$C$11,0)))))</f>
        <v>1</v>
      </c>
      <c r="CG77" s="236" t="n">
        <f aca="false" t="array" ref="CG77:CG77">IF(CG76=0,0,IF(CG76/'🎚️ Escenario'!$C$11&gt;=36,$AL$23,INDEX($C$23:$AL$23,MAX(1,ROUNDUP(CG76/'🎚️ Escenario'!$C$11,0)))))</f>
        <v>1</v>
      </c>
      <c r="CH77" s="236" t="n">
        <f aca="false" t="array" ref="CH77:CH77">IF(CH76=0,0,IF(CH76/'🎚️ Escenario'!$C$11&gt;=36,$AL$23,INDEX($C$23:$AL$23,MAX(1,ROUNDUP(CH76/'🎚️ Escenario'!$C$11,0)))))</f>
        <v>1</v>
      </c>
      <c r="CI77" s="236" t="n">
        <f aca="false" t="array" ref="CI77:CI77">IF(CI76=0,0,IF(CI76/'🎚️ Escenario'!$C$11&gt;=36,$AL$23,INDEX($C$23:$AL$23,MAX(1,ROUNDUP(CI76/'🎚️ Escenario'!$C$11,0)))))</f>
        <v>1</v>
      </c>
      <c r="CJ77" s="236" t="n">
        <f aca="false" t="array" ref="CJ77:CJ77">IF(CJ76=0,0,IF(CJ76/'🎚️ Escenario'!$C$11&gt;=36,$AL$23,INDEX($C$23:$AL$23,MAX(1,ROUNDUP(CJ76/'🎚️ Escenario'!$C$11,0)))))</f>
        <v>1</v>
      </c>
      <c r="CK77" s="236" t="n">
        <f aca="false" t="array" ref="CK77:CK77">IF(CK76=0,0,IF(CK76/'🎚️ Escenario'!$C$11&gt;=36,$AL$23,INDEX($C$23:$AL$23,MAX(1,ROUNDUP(CK76/'🎚️ Escenario'!$C$11,0)))))</f>
        <v>1</v>
      </c>
      <c r="CL77" s="236" t="n">
        <f aca="false" t="array" ref="CL77:CL77">IF(CL76=0,0,IF(CL76/'🎚️ Escenario'!$C$11&gt;=36,$AL$23,INDEX($C$23:$AL$23,MAX(1,ROUNDUP(CL76/'🎚️ Escenario'!$C$11,0)))))</f>
        <v>1</v>
      </c>
      <c r="CM77" s="236" t="n">
        <f aca="false" t="array" ref="CM77:CM77">IF(CM76=0,0,IF(CM76/'🎚️ Escenario'!$C$11&gt;=36,$AL$23,INDEX($C$23:$AL$23,MAX(1,ROUNDUP(CM76/'🎚️ Escenario'!$C$11,0)))))</f>
        <v>1</v>
      </c>
      <c r="CN77" s="236" t="n">
        <f aca="false" t="array" ref="CN77:CN77">IF(CN76=0,0,IF(CN76/'🎚️ Escenario'!$C$11&gt;=36,$AL$23,INDEX($C$23:$AL$23,MAX(1,ROUNDUP(CN76/'🎚️ Escenario'!$C$11,0)))))</f>
        <v>1</v>
      </c>
      <c r="CO77" s="236" t="n">
        <f aca="false" t="array" ref="CO77:CO77">IF(CO76=0,0,IF(CO76/'🎚️ Escenario'!$C$11&gt;=36,$AL$23,INDEX($C$23:$AL$23,MAX(1,ROUNDUP(CO76/'🎚️ Escenario'!$C$11,0)))))</f>
        <v>1</v>
      </c>
      <c r="CP77" s="236" t="n">
        <f aca="false" t="array" ref="CP77:CP77">IF(CP76=0,0,IF(CP76/'🎚️ Escenario'!$C$11&gt;=36,$AL$23,INDEX($C$23:$AL$23,MAX(1,ROUNDUP(CP76/'🎚️ Escenario'!$C$11,0)))))</f>
        <v>1</v>
      </c>
      <c r="CQ77" s="236" t="n">
        <f aca="false" t="array" ref="CQ77:CQ77">IF(CQ76=0,0,IF(CQ76/'🎚️ Escenario'!$C$11&gt;=36,$AL$23,INDEX($C$23:$AL$23,MAX(1,ROUNDUP(CQ76/'🎚️ Escenario'!$C$11,0)))))</f>
        <v>1</v>
      </c>
      <c r="CR77" s="236" t="n">
        <f aca="false" t="array" ref="CR77:CR77">IF(CR76=0,0,IF(CR76/'🎚️ Escenario'!$C$11&gt;=36,$AL$23,INDEX($C$23:$AL$23,MAX(1,ROUNDUP(CR76/'🎚️ Escenario'!$C$11,0)))))</f>
        <v>1</v>
      </c>
      <c r="CS77" s="236" t="n">
        <f aca="false" t="array" ref="CS77:CS77">IF(CS76=0,0,IF(CS76/'🎚️ Escenario'!$C$11&gt;=36,$AL$23,INDEX($C$23:$AL$23,MAX(1,ROUNDUP(CS76/'🎚️ Escenario'!$C$11,0)))))</f>
        <v>1</v>
      </c>
      <c r="CT77" s="236" t="n">
        <f aca="false" t="array" ref="CT77:CT77">IF(CT76=0,0,IF(CT76/'🎚️ Escenario'!$C$11&gt;=36,$AL$23,INDEX($C$23:$AL$23,MAX(1,ROUNDUP(CT76/'🎚️ Escenario'!$C$11,0)))))</f>
        <v>1</v>
      </c>
      <c r="CU77" s="236" t="n">
        <f aca="false" t="array" ref="CU77:CU77">IF(CU76=0,0,IF(CU76/'🎚️ Escenario'!$C$11&gt;=36,$AL$23,INDEX($C$23:$AL$23,MAX(1,ROUNDUP(CU76/'🎚️ Escenario'!$C$11,0)))))</f>
        <v>1</v>
      </c>
      <c r="CV77" s="236" t="n">
        <f aca="false" t="array" ref="CV77:CV77">IF(CV76=0,0,IF(CV76/'🎚️ Escenario'!$C$11&gt;=36,$AL$23,INDEX($C$23:$AL$23,MAX(1,ROUNDUP(CV76/'🎚️ Escenario'!$C$11,0)))))</f>
        <v>1</v>
      </c>
      <c r="CW77" s="236" t="n">
        <f aca="false" t="array" ref="CW77:CW77">IF(CW76=0,0,IF(CW76/'🎚️ Escenario'!$C$11&gt;=36,$AL$23,INDEX($C$23:$AL$23,MAX(1,ROUNDUP(CW76/'🎚️ Escenario'!$C$11,0)))))</f>
        <v>1</v>
      </c>
      <c r="CX77" s="236" t="n">
        <f aca="false" t="array" ref="CX77:CX77">IF(CX76=0,0,IF(CX76/'🎚️ Escenario'!$C$11&gt;=36,$AL$23,INDEX($C$23:$AL$23,MAX(1,ROUNDUP(CX76/'🎚️ Escenario'!$C$11,0)))))</f>
        <v>1</v>
      </c>
      <c r="CY77" s="236" t="n">
        <f aca="false" t="array" ref="CY77:CY77">IF(CY76=0,0,IF(CY76/'🎚️ Escenario'!$C$11&gt;=36,$AL$23,INDEX($C$23:$AL$23,MAX(1,ROUNDUP(CY76/'🎚️ Escenario'!$C$11,0)))))</f>
        <v>1</v>
      </c>
      <c r="CZ77" s="236" t="n">
        <f aca="false" t="array" ref="CZ77:CZ77">IF(CZ76=0,0,IF(CZ76/'🎚️ Escenario'!$C$11&gt;=36,$AL$23,INDEX($C$23:$AL$23,MAX(1,ROUNDUP(CZ76/'🎚️ Escenario'!$C$11,0)))))</f>
        <v>1</v>
      </c>
      <c r="DA77" s="236" t="n">
        <f aca="false" t="array" ref="DA77:DA77">IF(DA76=0,0,IF(DA76/'🎚️ Escenario'!$C$11&gt;=36,$AL$23,INDEX($C$23:$AL$23,MAX(1,ROUNDUP(DA76/'🎚️ Escenario'!$C$11,0)))))</f>
        <v>1</v>
      </c>
      <c r="DB77" s="236" t="n">
        <f aca="false" t="array" ref="DB77:DB77">IF(DB76=0,0,IF(DB76/'🎚️ Escenario'!$C$11&gt;=36,$AL$23,INDEX($C$23:$AL$23,MAX(1,ROUNDUP(DB76/'🎚️ Escenario'!$C$11,0)))))</f>
        <v>1</v>
      </c>
      <c r="DC77" s="236" t="n">
        <f aca="false" t="array" ref="DC77:DC77">IF(DC76=0,0,IF(DC76/'🎚️ Escenario'!$C$11&gt;=36,$AL$23,INDEX($C$23:$AL$23,MAX(1,ROUNDUP(DC76/'🎚️ Escenario'!$C$11,0)))))</f>
        <v>1</v>
      </c>
      <c r="DD77" s="236" t="n">
        <f aca="false" t="array" ref="DD77:DD77">IF(DD76=0,0,IF(DD76/'🎚️ Escenario'!$C$11&gt;=36,$AL$23,INDEX($C$23:$AL$23,MAX(1,ROUNDUP(DD76/'🎚️ Escenario'!$C$11,0)))))</f>
        <v>1</v>
      </c>
      <c r="DE77" s="236" t="n">
        <f aca="false" t="array" ref="DE77:DE77">IF(DE76=0,0,IF(DE76/'🎚️ Escenario'!$C$11&gt;=36,$AL$23,INDEX($C$23:$AL$23,MAX(1,ROUNDUP(DE76/'🎚️ Escenario'!$C$11,0)))))</f>
        <v>1</v>
      </c>
      <c r="DF77" s="236" t="n">
        <f aca="false" t="array" ref="DF77:DF77">IF(DF76=0,0,IF(DF76/'🎚️ Escenario'!$C$11&gt;=36,$AL$23,INDEX($C$23:$AL$23,MAX(1,ROUNDUP(DF76/'🎚️ Escenario'!$C$11,0)))))</f>
        <v>1</v>
      </c>
      <c r="DG77" s="236" t="n">
        <f aca="false" t="array" ref="DG77:DG77">IF(DG76=0,0,IF(DG76/'🎚️ Escenario'!$C$11&gt;=36,$AL$23,INDEX($C$23:$AL$23,MAX(1,ROUNDUP(DG76/'🎚️ Escenario'!$C$11,0)))))</f>
        <v>1</v>
      </c>
      <c r="DH77" s="236" t="n">
        <f aca="false" t="array" ref="DH77:DH77">IF(DH76=0,0,IF(DH76/'🎚️ Escenario'!$C$11&gt;=36,$AL$23,INDEX($C$23:$AL$23,MAX(1,ROUNDUP(DH76/'🎚️ Escenario'!$C$11,0)))))</f>
        <v>1</v>
      </c>
      <c r="DI77" s="236" t="n">
        <f aca="false" t="array" ref="DI77:DI77">IF(DI76=0,0,IF(DI76/'🎚️ Escenario'!$C$11&gt;=36,$AL$23,INDEX($C$23:$AL$23,MAX(1,ROUNDUP(DI76/'🎚️ Escenario'!$C$11,0)))))</f>
        <v>1</v>
      </c>
      <c r="DJ77" s="236" t="n">
        <f aca="false" t="array" ref="DJ77:DJ77">IF(DJ76=0,0,IF(DJ76/'🎚️ Escenario'!$C$11&gt;=36,$AL$23,INDEX($C$23:$AL$23,MAX(1,ROUNDUP(DJ76/'🎚️ Escenario'!$C$11,0)))))</f>
        <v>1</v>
      </c>
      <c r="DK77" s="236" t="n">
        <f aca="false" t="array" ref="DK77:DK77">IF(DK76=0,0,IF(DK76/'🎚️ Escenario'!$C$11&gt;=36,$AL$23,INDEX($C$23:$AL$23,MAX(1,ROUNDUP(DK76/'🎚️ Escenario'!$C$11,0)))))</f>
        <v>1</v>
      </c>
      <c r="DL77" s="236" t="n">
        <f aca="false" t="array" ref="DL77:DL77">IF(DL76=0,0,IF(DL76/'🎚️ Escenario'!$C$11&gt;=36,$AL$23,INDEX($C$23:$AL$23,MAX(1,ROUNDUP(DL76/'🎚️ Escenario'!$C$11,0)))))</f>
        <v>1</v>
      </c>
      <c r="DM77" s="236" t="n">
        <f aca="false" t="array" ref="DM77:DM77">IF(DM76=0,0,IF(DM76/'🎚️ Escenario'!$C$11&gt;=36,$AL$23,INDEX($C$23:$AL$23,MAX(1,ROUNDUP(DM76/'🎚️ Escenario'!$C$11,0)))))</f>
        <v>1</v>
      </c>
      <c r="DN77" s="236" t="n">
        <f aca="false" t="array" ref="DN77:DN77">IF(DN76=0,0,IF(DN76/'🎚️ Escenario'!$C$11&gt;=36,$AL$23,INDEX($C$23:$AL$23,MAX(1,ROUNDUP(DN76/'🎚️ Escenario'!$C$11,0)))))</f>
        <v>1</v>
      </c>
      <c r="DO77" s="236" t="n">
        <f aca="false" t="array" ref="DO77:DO77">IF(DO76=0,0,IF(DO76/'🎚️ Escenario'!$C$11&gt;=36,$AL$23,INDEX($C$23:$AL$23,MAX(1,ROUNDUP(DO76/'🎚️ Escenario'!$C$11,0)))))</f>
        <v>1</v>
      </c>
      <c r="DP77" s="236" t="n">
        <f aca="false" t="array" ref="DP77:DP77">IF(DP76=0,0,IF(DP76/'🎚️ Escenario'!$C$11&gt;=36,$AL$23,INDEX($C$23:$AL$23,MAX(1,ROUNDUP(DP76/'🎚️ Escenario'!$C$11,0)))))</f>
        <v>1</v>
      </c>
      <c r="DQ77" s="236" t="n">
        <f aca="false" t="array" ref="DQ77:DQ77">IF(DQ76=0,0,IF(DQ76/'🎚️ Escenario'!$C$11&gt;=36,$AL$23,INDEX($C$23:$AL$23,MAX(1,ROUNDUP(DQ76/'🎚️ Escenario'!$C$11,0)))))</f>
        <v>1</v>
      </c>
      <c r="DR77" s="236" t="n">
        <f aca="false" t="array" ref="DR77:DR77">IF(DR76=0,0,IF(DR76/'🎚️ Escenario'!$C$11&gt;=36,$AL$23,INDEX($C$23:$AL$23,MAX(1,ROUNDUP(DR76/'🎚️ Escenario'!$C$11,0)))))</f>
        <v>1</v>
      </c>
      <c r="DS77" s="236" t="n">
        <f aca="false" t="array" ref="DS77:DS77">IF(DS76=0,0,IF(DS76/'🎚️ Escenario'!$C$11&gt;=36,$AL$23,INDEX($C$23:$AL$23,MAX(1,ROUNDUP(DS76/'🎚️ Escenario'!$C$11,0)))))</f>
        <v>1</v>
      </c>
      <c r="DT77" s="236" t="n">
        <f aca="false" t="array" ref="DT77:DT77">IF(DT76=0,0,IF(DT76/'🎚️ Escenario'!$C$11&gt;=36,$AL$23,INDEX($C$23:$AL$23,MAX(1,ROUNDUP(DT76/'🎚️ Escenario'!$C$11,0)))))</f>
        <v>1</v>
      </c>
      <c r="DU77" s="236" t="n">
        <f aca="false" t="array" ref="DU77:DU77">IF(DU76=0,0,IF(DU76/'🎚️ Escenario'!$C$11&gt;=36,$AL$23,INDEX($C$23:$AL$23,MAX(1,ROUNDUP(DU76/'🎚️ Escenario'!$C$11,0)))))</f>
        <v>1</v>
      </c>
      <c r="DV77" s="236" t="n">
        <f aca="false" t="array" ref="DV77:DV77">IF(DV76=0,0,IF(DV76/'🎚️ Escenario'!$C$11&gt;=36,$AL$23,INDEX($C$23:$AL$23,MAX(1,ROUNDUP(DV76/'🎚️ Escenario'!$C$11,0)))))</f>
        <v>1</v>
      </c>
      <c r="DW77" s="236" t="n">
        <f aca="false" t="array" ref="DW77:DW77">IF(DW76=0,0,IF(DW76/'🎚️ Escenario'!$C$11&gt;=36,$AL$23,INDEX($C$23:$AL$23,MAX(1,ROUNDUP(DW76/'🎚️ Escenario'!$C$11,0)))))</f>
        <v>1</v>
      </c>
      <c r="DX77" s="236" t="n">
        <f aca="false" t="array" ref="DX77:DX77">IF(DX76=0,0,IF(DX76/'🎚️ Escenario'!$C$11&gt;=36,$AL$23,INDEX($C$23:$AL$23,MAX(1,ROUNDUP(DX76/'🎚️ Escenario'!$C$11,0)))))</f>
        <v>1</v>
      </c>
      <c r="DY77" s="236" t="n">
        <f aca="false" t="array" ref="DY77:DY77">IF(DY76=0,0,IF(DY76/'🎚️ Escenario'!$C$11&gt;=36,$AL$23,INDEX($C$23:$AL$23,MAX(1,ROUNDUP(DY76/'🎚️ Escenario'!$C$11,0)))))</f>
        <v>1</v>
      </c>
      <c r="DZ77" s="236" t="n">
        <f aca="false" t="array" ref="DZ77:DZ77">IF(DZ76=0,0,IF(DZ76/'🎚️ Escenario'!$C$11&gt;=36,$AL$23,INDEX($C$23:$AL$23,MAX(1,ROUNDUP(DZ76/'🎚️ Escenario'!$C$11,0)))))</f>
        <v>1</v>
      </c>
      <c r="EA77" s="236" t="n">
        <f aca="false" t="array" ref="EA77:EA77">IF(EA76=0,0,IF(EA76/'🎚️ Escenario'!$C$11&gt;=36,$AL$23,INDEX($C$23:$AL$23,MAX(1,ROUNDUP(EA76/'🎚️ Escenario'!$C$11,0)))))</f>
        <v>1</v>
      </c>
      <c r="EB77" s="236" t="n">
        <f aca="false" t="array" ref="EB77:EB77">IF(EB76=0,0,IF(EB76/'🎚️ Escenario'!$C$11&gt;=36,$AL$23,INDEX($C$23:$AL$23,MAX(1,ROUNDUP(EB76/'🎚️ Escenario'!$C$11,0)))))</f>
        <v>1</v>
      </c>
      <c r="EC77" s="236" t="n">
        <f aca="false" t="array" ref="EC77:EC77">IF(EC76=0,0,IF(EC76/'🎚️ Escenario'!$C$11&gt;=36,$AL$23,INDEX($C$23:$AL$23,MAX(1,ROUNDUP(EC76/'🎚️ Escenario'!$C$11,0)))))</f>
        <v>1</v>
      </c>
      <c r="ED77" s="236" t="n">
        <f aca="false" t="array" ref="ED77:ED77">IF(ED76=0,0,IF(ED76/'🎚️ Escenario'!$C$11&gt;=36,$AL$23,INDEX($C$23:$AL$23,MAX(1,ROUNDUP(ED76/'🎚️ Escenario'!$C$11,0)))))</f>
        <v>1</v>
      </c>
      <c r="EE77" s="236" t="n">
        <f aca="false" t="array" ref="EE77:EE77">IF(EE76=0,0,IF(EE76/'🎚️ Escenario'!$C$11&gt;=36,$AL$23,INDEX($C$23:$AL$23,MAX(1,ROUNDUP(EE76/'🎚️ Escenario'!$C$11,0)))))</f>
        <v>1</v>
      </c>
      <c r="EF77" s="236" t="n">
        <f aca="false" t="array" ref="EF77:EF77">IF(EF76=0,0,IF(EF76/'🎚️ Escenario'!$C$11&gt;=36,$AL$23,INDEX($C$23:$AL$23,MAX(1,ROUNDUP(EF76/'🎚️ Escenario'!$C$11,0)))))</f>
        <v>1</v>
      </c>
      <c r="EG77" s="236" t="n">
        <f aca="false" t="array" ref="EG77:EG77">IF(EG76=0,0,IF(EG76/'🎚️ Escenario'!$C$11&gt;=36,$AL$23,INDEX($C$23:$AL$23,MAX(1,ROUNDUP(EG76/'🎚️ Escenario'!$C$11,0)))))</f>
        <v>1</v>
      </c>
      <c r="EH77" s="236" t="n">
        <f aca="false" t="array" ref="EH77:EH77">IF(EH76=0,0,IF(EH76/'🎚️ Escenario'!$C$11&gt;=36,$AL$23,INDEX($C$23:$AL$23,MAX(1,ROUNDUP(EH76/'🎚️ Escenario'!$C$11,0)))))</f>
        <v>1</v>
      </c>
      <c r="EI77" s="236" t="n">
        <f aca="false" t="array" ref="EI77:EI77">IF(EI76=0,0,IF(EI76/'🎚️ Escenario'!$C$11&gt;=36,$AL$23,INDEX($C$23:$AL$23,MAX(1,ROUNDUP(EI76/'🎚️ Escenario'!$C$11,0)))))</f>
        <v>1</v>
      </c>
      <c r="EJ77" s="236" t="n">
        <f aca="false" t="array" ref="EJ77:EJ77">IF(EJ76=0,0,IF(EJ76/'🎚️ Escenario'!$C$11&gt;=36,$AL$23,INDEX($C$23:$AL$23,MAX(1,ROUNDUP(EJ76/'🎚️ Escenario'!$C$11,0)))))</f>
        <v>1</v>
      </c>
      <c r="EK77" s="236" t="n">
        <f aca="false" t="array" ref="EK77:EK77">IF(EK76=0,0,IF(EK76/'🎚️ Escenario'!$C$11&gt;=36,$AL$23,INDEX($C$23:$AL$23,MAX(1,ROUNDUP(EK76/'🎚️ Escenario'!$C$11,0)))))</f>
        <v>1</v>
      </c>
      <c r="EL77" s="236" t="n">
        <f aca="false" t="array" ref="EL77:EL77">IF(EL76=0,0,IF(EL76/'🎚️ Escenario'!$C$11&gt;=36,$AL$23,INDEX($C$23:$AL$23,MAX(1,ROUNDUP(EL76/'🎚️ Escenario'!$C$11,0)))))</f>
        <v>1</v>
      </c>
      <c r="EM77" s="236" t="n">
        <f aca="false" t="array" ref="EM77:EM77">IF(EM76=0,0,IF(EM76/'🎚️ Escenario'!$C$11&gt;=36,$AL$23,INDEX($C$23:$AL$23,MAX(1,ROUNDUP(EM76/'🎚️ Escenario'!$C$11,0)))))</f>
        <v>1</v>
      </c>
      <c r="EN77" s="236" t="n">
        <f aca="false" t="array" ref="EN77:EN77">IF(EN76=0,0,IF(EN76/'🎚️ Escenario'!$C$11&gt;=36,$AL$23,INDEX($C$23:$AL$23,MAX(1,ROUNDUP(EN76/'🎚️ Escenario'!$C$11,0)))))</f>
        <v>1</v>
      </c>
      <c r="EO77" s="236" t="n">
        <f aca="false" t="array" ref="EO77:EO77">IF(EO76=0,0,IF(EO76/'🎚️ Escenario'!$C$11&gt;=36,$AL$23,INDEX($C$23:$AL$23,MAX(1,ROUNDUP(EO76/'🎚️ Escenario'!$C$11,0)))))</f>
        <v>1</v>
      </c>
      <c r="EP77" s="236" t="n">
        <f aca="false" t="array" ref="EP77:EP77">IF(EP76=0,0,IF(EP76/'🎚️ Escenario'!$C$11&gt;=36,$AL$23,INDEX($C$23:$AL$23,MAX(1,ROUNDUP(EP76/'🎚️ Escenario'!$C$11,0)))))</f>
        <v>1</v>
      </c>
      <c r="EQ77" s="236" t="n">
        <f aca="false" t="array" ref="EQ77:EQ77">IF(EQ76=0,0,IF(EQ76/'🎚️ Escenario'!$C$11&gt;=36,$AL$23,INDEX($C$23:$AL$23,MAX(1,ROUNDUP(EQ76/'🎚️ Escenario'!$C$11,0)))))</f>
        <v>1</v>
      </c>
      <c r="ER77" s="236" t="n">
        <f aca="false" t="array" ref="ER77:ER77">IF(ER76=0,0,IF(ER76/'🎚️ Escenario'!$C$11&gt;=36,$AL$23,INDEX($C$23:$AL$23,MAX(1,ROUNDUP(ER76/'🎚️ Escenario'!$C$11,0)))))</f>
        <v>1</v>
      </c>
      <c r="ES77" s="9" t="n">
        <f aca="false" t="array" ref="ES77:ES77">IF(ES76=0,0,IF(ES76/'🎚️ Escenario'!$C$11&gt;=36,$AL$23,INDEX($C$23:$AL$23,MAX(1,ROUNDUP(ES76/'🎚️ Escenario'!$C$11,0)))))</f>
        <v>1</v>
      </c>
      <c r="ET77" s="9" t="n">
        <f aca="false" t="array" ref="ET77:ET77">IF(ET76=0,0,IF(ET76/'🎚️ Escenario'!$C$11&gt;=36,$AL$23,INDEX($C$23:$AL$23,MAX(1,ROUNDUP(ET76/'🎚️ Escenario'!$C$11,0)))))</f>
        <v>1</v>
      </c>
      <c r="EU77" s="9" t="n">
        <f aca="false" t="array" ref="EU77:EU77">IF(EU76=0,0,IF(EU76/'🎚️ Escenario'!$C$11&gt;=36,$AL$23,INDEX($C$23:$AL$23,MAX(1,ROUNDUP(EU76/'🎚️ Escenario'!$C$11,0)))))</f>
        <v>1</v>
      </c>
      <c r="EV77" s="9" t="n">
        <f aca="false" t="array" ref="EV77:EV77">IF(EV76=0,0,IF(EV76/'🎚️ Escenario'!$C$11&gt;=36,$AL$23,INDEX($C$23:$AL$23,MAX(1,ROUNDUP(EV76/'🎚️ Escenario'!$C$11,0)))))</f>
        <v>1</v>
      </c>
      <c r="EW77" s="9" t="n">
        <f aca="false" t="array" ref="EW77:EW77">IF(EW76=0,0,IF(EW76/'🎚️ Escenario'!$C$11&gt;=36,$AL$23,INDEX($C$23:$AL$23,MAX(1,ROUNDUP(EW76/'🎚️ Escenario'!$C$11,0)))))</f>
        <v>1</v>
      </c>
      <c r="EX77" s="9" t="n">
        <f aca="false" t="array" ref="EX77:EX77">IF(EX76=0,0,IF(EX76/'🎚️ Escenario'!$C$11&gt;=36,$AL$23,INDEX($C$23:$AL$23,MAX(1,ROUNDUP(EX76/'🎚️ Escenario'!$C$11,0)))))</f>
        <v>1</v>
      </c>
      <c r="EY77" s="9" t="n">
        <f aca="false" t="array" ref="EY77:EY77">IF(EY76=0,0,IF(EY76/'🎚️ Escenario'!$C$11&gt;=36,$AL$23,INDEX($C$23:$AL$23,MAX(1,ROUNDUP(EY76/'🎚️ Escenario'!$C$11,0)))))</f>
        <v>1</v>
      </c>
      <c r="EZ77" s="9" t="n">
        <f aca="false" t="array" ref="EZ77:EZ77">IF(EZ76=0,0,IF(EZ76/'🎚️ Escenario'!$C$11&gt;=36,$AL$23,INDEX($C$23:$AL$23,MAX(1,ROUNDUP(EZ76/'🎚️ Escenario'!$C$11,0)))))</f>
        <v>1</v>
      </c>
      <c r="FA77" s="9" t="n">
        <f aca="false" t="array" ref="FA77:FA77">IF(FA76=0,0,IF(FA76/'🎚️ Escenario'!$C$11&gt;=36,$AL$23,INDEX($C$23:$AL$23,MAX(1,ROUNDUP(FA76/'🎚️ Escenario'!$C$11,0)))))</f>
        <v>1</v>
      </c>
      <c r="FB77" s="9" t="n">
        <f aca="false" t="array" ref="FB77:FB77">IF(FB76=0,0,IF(FB76/'🎚️ Escenario'!$C$11&gt;=36,$AL$23,INDEX($C$23:$AL$23,MAX(1,ROUNDUP(FB76/'🎚️ Escenario'!$C$11,0)))))</f>
        <v>1</v>
      </c>
      <c r="FC77" s="9" t="n">
        <f aca="false" t="array" ref="FC77:FC77">IF(FC76=0,0,IF(FC76/'🎚️ Escenario'!$C$11&gt;=36,$AL$23,INDEX($C$23:$AL$23,MAX(1,ROUNDUP(FC76/'🎚️ Escenario'!$C$11,0)))))</f>
        <v>1</v>
      </c>
      <c r="FD77" s="9" t="n">
        <f aca="false" t="array" ref="FD77:FD77">IF(FD76=0,0,IF(FD76/'🎚️ Escenario'!$C$11&gt;=36,$AL$23,INDEX($C$23:$AL$23,MAX(1,ROUNDUP(FD76/'🎚️ Escenario'!$C$11,0)))))</f>
        <v>1</v>
      </c>
      <c r="FE77" s="9" t="n">
        <f aca="false" t="array" ref="FE77:FE77">IF(FE76=0,0,IF(FE76/'🎚️ Escenario'!$C$11&gt;=36,$AL$23,INDEX($C$23:$AL$23,MAX(1,ROUNDUP(FE76/'🎚️ Escenario'!$C$11,0)))))</f>
        <v>1</v>
      </c>
      <c r="FF77" s="9" t="n">
        <f aca="false" t="array" ref="FF77:FF77">IF(FF76=0,0,IF(FF76/'🎚️ Escenario'!$C$11&gt;=36,$AL$23,INDEX($C$23:$AL$23,MAX(1,ROUNDUP(FF76/'🎚️ Escenario'!$C$11,0)))))</f>
        <v>1</v>
      </c>
      <c r="FG77" s="9" t="n">
        <f aca="false" t="array" ref="FG77:FG77">IF(FG76=0,0,IF(FG76/'🎚️ Escenario'!$C$11&gt;=36,$AL$23,INDEX($C$23:$AL$23,MAX(1,ROUNDUP(FG76/'🎚️ Escenario'!$C$11,0)))))</f>
        <v>1</v>
      </c>
      <c r="FH77" s="9" t="n">
        <f aca="false" t="array" ref="FH77:FH77">IF(FH76=0,0,IF(FH76/'🎚️ Escenario'!$C$11&gt;=36,$AL$23,INDEX($C$23:$AL$23,MAX(1,ROUNDUP(FH76/'🎚️ Escenario'!$C$11,0)))))</f>
        <v>1</v>
      </c>
      <c r="FI77" s="9" t="n">
        <f aca="false" t="array" ref="FI77:FI77">IF(FI76=0,0,IF(FI76/'🎚️ Escenario'!$C$11&gt;=36,$AL$23,INDEX($C$23:$AL$23,MAX(1,ROUNDUP(FI76/'🎚️ Escenario'!$C$11,0)))))</f>
        <v>1</v>
      </c>
      <c r="FJ77" s="9" t="n">
        <f aca="false" t="array" ref="FJ77:FJ77">IF(FJ76=0,0,IF(FJ76/'🎚️ Escenario'!$C$11&gt;=36,$AL$23,INDEX($C$23:$AL$23,MAX(1,ROUNDUP(FJ76/'🎚️ Escenario'!$C$11,0)))))</f>
        <v>1</v>
      </c>
      <c r="FK77" s="9" t="n">
        <f aca="false" t="array" ref="FK77:FK77">IF(FK76=0,0,IF(FK76/'🎚️ Escenario'!$C$11&gt;=36,$AL$23,INDEX($C$23:$AL$23,MAX(1,ROUNDUP(FK76/'🎚️ Escenario'!$C$11,0)))))</f>
        <v>1</v>
      </c>
      <c r="FL77" s="9" t="n">
        <f aca="false" t="array" ref="FL77:FL77">IF(FL76=0,0,IF(FL76/'🎚️ Escenario'!$C$11&gt;=36,$AL$23,INDEX($C$23:$AL$23,MAX(1,ROUNDUP(FL76/'🎚️ Escenario'!$C$11,0)))))</f>
        <v>1</v>
      </c>
      <c r="FM77" s="9" t="n">
        <f aca="false" t="array" ref="FM77:FM77">IF(FM76=0,0,IF(FM76/'🎚️ Escenario'!$C$11&gt;=36,$AL$23,INDEX($C$23:$AL$23,MAX(1,ROUNDUP(FM76/'🎚️ Escenario'!$C$11,0)))))</f>
        <v>1</v>
      </c>
      <c r="FN77" s="9" t="n">
        <f aca="false" t="array" ref="FN77:FN77">IF(FN76=0,0,IF(FN76/'🎚️ Escenario'!$C$11&gt;=36,$AL$23,INDEX($C$23:$AL$23,MAX(1,ROUNDUP(FN76/'🎚️ Escenario'!$C$11,0)))))</f>
        <v>1</v>
      </c>
      <c r="FO77" s="9" t="n">
        <f aca="false" t="array" ref="FO77:FO77">IF(FO76=0,0,IF(FO76/'🎚️ Escenario'!$C$11&gt;=36,$AL$23,INDEX($C$23:$AL$23,MAX(1,ROUNDUP(FO76/'🎚️ Escenario'!$C$11,0)))))</f>
        <v>1</v>
      </c>
      <c r="FP77" s="9" t="n">
        <f aca="false" t="array" ref="FP77:FP77">IF(FP76=0,0,IF(FP76/'🎚️ Escenario'!$C$11&gt;=36,$AL$23,INDEX($C$23:$AL$23,MAX(1,ROUNDUP(FP76/'🎚️ Escenario'!$C$11,0)))))</f>
        <v>1</v>
      </c>
    </row>
    <row r="78" customFormat="false" ht="15" hidden="false" customHeight="false" outlineLevel="2" collapsed="false">
      <c r="B78" s="9" t="s">
        <v>875</v>
      </c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237" t="n">
        <f aca="false">IF(AC76=0,0,IF(AC76&lt;=12*'🎚️ Escenario'!$C$11,1,1+$C$6))</f>
        <v>0</v>
      </c>
      <c r="AD78" s="237" t="n">
        <f aca="false">IF(AD76=0,0,IF(AD76&lt;=12*'🎚️ Escenario'!$C$11,1,1+$C$6))</f>
        <v>0</v>
      </c>
      <c r="AE78" s="237" t="n">
        <f aca="false">IF(AE76=0,0,IF(AE76&lt;=12*'🎚️ Escenario'!$C$11,1,1+$C$6))</f>
        <v>0</v>
      </c>
      <c r="AF78" s="237" t="n">
        <f aca="false">IF(AF76=0,0,IF(AF76&lt;=12*'🎚️ Escenario'!$C$11,1,1+$C$6))</f>
        <v>0</v>
      </c>
      <c r="AG78" s="237" t="n">
        <f aca="false">IF(AG76=0,0,IF(AG76&lt;=12*'🎚️ Escenario'!$C$11,1,1+$C$6))</f>
        <v>0</v>
      </c>
      <c r="AH78" s="237" t="n">
        <f aca="false">IF(AH76=0,0,IF(AH76&lt;=12*'🎚️ Escenario'!$C$11,1,1+$C$6))</f>
        <v>0</v>
      </c>
      <c r="AI78" s="237" t="n">
        <f aca="false">IF(AI76=0,0,IF(AI76&lt;=12*'🎚️ Escenario'!$C$11,1,1+$C$6))</f>
        <v>0</v>
      </c>
      <c r="AJ78" s="237" t="n">
        <f aca="false">IF(AJ76=0,0,IF(AJ76&lt;=12*'🎚️ Escenario'!$C$11,1,1+$C$6))</f>
        <v>0</v>
      </c>
      <c r="AK78" s="237" t="n">
        <f aca="false">IF(AK76=0,0,IF(AK76&lt;=12*'🎚️ Escenario'!$C$11,1,1+$C$6))</f>
        <v>0</v>
      </c>
      <c r="AL78" s="237" t="n">
        <f aca="false">IF(AL76=0,0,IF(AL76&lt;=12*'🎚️ Escenario'!$C$11,1,1+$C$6))</f>
        <v>0</v>
      </c>
      <c r="AM78" s="237" t="n">
        <f aca="false">IF(AM76=0,0,IF(AM76&lt;=12*'🎚️ Escenario'!$C$11,1,1+$C$6))</f>
        <v>0</v>
      </c>
      <c r="AN78" s="237" t="n">
        <f aca="false">IF(AN76=0,0,IF(AN76&lt;=12*'🎚️ Escenario'!$C$11,1,1+$C$6))</f>
        <v>1</v>
      </c>
      <c r="AO78" s="237" t="n">
        <f aca="false">IF(AO76=0,0,IF(AO76&lt;=12*'🎚️ Escenario'!$C$11,1,1+$C$6))</f>
        <v>1</v>
      </c>
      <c r="AP78" s="237" t="n">
        <f aca="false">IF(AP76=0,0,IF(AP76&lt;=12*'🎚️ Escenario'!$C$11,1,1+$C$6))</f>
        <v>1</v>
      </c>
      <c r="AQ78" s="237" t="n">
        <f aca="false">IF(AQ76=0,0,IF(AQ76&lt;=12*'🎚️ Escenario'!$C$11,1,1+$C$6))</f>
        <v>1</v>
      </c>
      <c r="AR78" s="237" t="n">
        <f aca="false">IF(AR76=0,0,IF(AR76&lt;=12*'🎚️ Escenario'!$C$11,1,1+$C$6))</f>
        <v>1</v>
      </c>
      <c r="AS78" s="237" t="n">
        <f aca="false">IF(AS76=0,0,IF(AS76&lt;=12*'🎚️ Escenario'!$C$11,1,1+$C$6))</f>
        <v>1</v>
      </c>
      <c r="AT78" s="237" t="n">
        <f aca="false">IF(AT76=0,0,IF(AT76&lt;=12*'🎚️ Escenario'!$C$11,1,1+$C$6))</f>
        <v>1</v>
      </c>
      <c r="AU78" s="237" t="n">
        <f aca="false">IF(AU76=0,0,IF(AU76&lt;=12*'🎚️ Escenario'!$C$11,1,1+$C$6))</f>
        <v>1</v>
      </c>
      <c r="AV78" s="237" t="n">
        <f aca="false">IF(AV76=0,0,IF(AV76&lt;=12*'🎚️ Escenario'!$C$11,1,1+$C$6))</f>
        <v>1</v>
      </c>
      <c r="AW78" s="237" t="n">
        <f aca="false">IF(AW76=0,0,IF(AW76&lt;=12*'🎚️ Escenario'!$C$11,1,1+$C$6))</f>
        <v>1</v>
      </c>
      <c r="AX78" s="237" t="n">
        <f aca="false">IF(AX76=0,0,IF(AX76&lt;=12*'🎚️ Escenario'!$C$11,1,1+$C$6))</f>
        <v>1</v>
      </c>
      <c r="AY78" s="237" t="n">
        <f aca="false">IF(AY76=0,0,IF(AY76&lt;=12*'🎚️ Escenario'!$C$11,1,1+$C$6))</f>
        <v>1</v>
      </c>
      <c r="AZ78" s="237" t="n">
        <f aca="false">IF(AZ76=0,0,IF(AZ76&lt;=12*'🎚️ Escenario'!$C$11,1,1+$C$6))</f>
        <v>1</v>
      </c>
      <c r="BA78" s="237" t="n">
        <f aca="false">IF(BA76=0,0,IF(BA76&lt;=12*'🎚️ Escenario'!$C$11,1,1+$C$6))</f>
        <v>1</v>
      </c>
      <c r="BB78" s="237" t="n">
        <f aca="false">IF(BB76=0,0,IF(BB76&lt;=12*'🎚️ Escenario'!$C$11,1,1+$C$6))</f>
        <v>1</v>
      </c>
      <c r="BC78" s="237" t="n">
        <f aca="false">IF(BC76=0,0,IF(BC76&lt;=12*'🎚️ Escenario'!$C$11,1,1+$C$6))</f>
        <v>1.2</v>
      </c>
      <c r="BD78" s="237" t="n">
        <f aca="false">IF(BD76=0,0,IF(BD76&lt;=12*'🎚️ Escenario'!$C$11,1,1+$C$6))</f>
        <v>1.2</v>
      </c>
      <c r="BE78" s="237" t="n">
        <f aca="false">IF(BE76=0,0,IF(BE76&lt;=12*'🎚️ Escenario'!$C$11,1,1+$C$6))</f>
        <v>1.2</v>
      </c>
      <c r="BF78" s="237" t="n">
        <f aca="false">IF(BF76=0,0,IF(BF76&lt;=12*'🎚️ Escenario'!$C$11,1,1+$C$6))</f>
        <v>1.2</v>
      </c>
      <c r="BG78" s="237" t="n">
        <f aca="false">IF(BG76=0,0,IF(BG76&lt;=12*'🎚️ Escenario'!$C$11,1,1+$C$6))</f>
        <v>1.2</v>
      </c>
      <c r="BH78" s="237" t="n">
        <f aca="false">IF(BH76=0,0,IF(BH76&lt;=12*'🎚️ Escenario'!$C$11,1,1+$C$6))</f>
        <v>1.2</v>
      </c>
      <c r="BI78" s="237" t="n">
        <f aca="false">IF(BI76=0,0,IF(BI76&lt;=12*'🎚️ Escenario'!$C$11,1,1+$C$6))</f>
        <v>1.2</v>
      </c>
      <c r="BJ78" s="237" t="n">
        <f aca="false">IF(BJ76=0,0,IF(BJ76&lt;=12*'🎚️ Escenario'!$C$11,1,1+$C$6))</f>
        <v>1.2</v>
      </c>
      <c r="BK78" s="237" t="n">
        <f aca="false">IF(BK76=0,0,IF(BK76&lt;=12*'🎚️ Escenario'!$C$11,1,1+$C$6))</f>
        <v>1.2</v>
      </c>
      <c r="BL78" s="237" t="n">
        <f aca="false">IF(BL76=0,0,IF(BL76&lt;=12*'🎚️ Escenario'!$C$11,1,1+$C$6))</f>
        <v>1.2</v>
      </c>
      <c r="BM78" s="237" t="n">
        <f aca="false">IF(BM76=0,0,IF(BM76&lt;=12*'🎚️ Escenario'!$C$11,1,1+$C$6))</f>
        <v>1.2</v>
      </c>
      <c r="BN78" s="237" t="n">
        <f aca="false">IF(BN76=0,0,IF(BN76&lt;=12*'🎚️ Escenario'!$C$11,1,1+$C$6))</f>
        <v>1.2</v>
      </c>
      <c r="BO78" s="237" t="n">
        <f aca="false">IF(BO76=0,0,IF(BO76&lt;=12*'🎚️ Escenario'!$C$11,1,1+$C$6))</f>
        <v>1.2</v>
      </c>
      <c r="BP78" s="237" t="n">
        <f aca="false">IF(BP76=0,0,IF(BP76&lt;=12*'🎚️ Escenario'!$C$11,1,1+$C$6))</f>
        <v>1.2</v>
      </c>
      <c r="BQ78" s="237" t="n">
        <f aca="false">IF(BQ76=0,0,IF(BQ76&lt;=12*'🎚️ Escenario'!$C$11,1,1+$C$6))</f>
        <v>1.2</v>
      </c>
      <c r="BR78" s="237" t="n">
        <f aca="false">IF(BR76=0,0,IF(BR76&lt;=12*'🎚️ Escenario'!$C$11,1,1+$C$6))</f>
        <v>1.2</v>
      </c>
      <c r="BS78" s="237" t="n">
        <f aca="false">IF(BS76=0,0,IF(BS76&lt;=12*'🎚️ Escenario'!$C$11,1,1+$C$6))</f>
        <v>1.2</v>
      </c>
      <c r="BT78" s="237" t="n">
        <f aca="false">IF(BT76=0,0,IF(BT76&lt;=12*'🎚️ Escenario'!$C$11,1,1+$C$6))</f>
        <v>1.2</v>
      </c>
      <c r="BU78" s="237" t="n">
        <f aca="false">IF(BU76=0,0,IF(BU76&lt;=12*'🎚️ Escenario'!$C$11,1,1+$C$6))</f>
        <v>1.2</v>
      </c>
      <c r="BV78" s="237" t="n">
        <f aca="false">IF(BV76=0,0,IF(BV76&lt;=12*'🎚️ Escenario'!$C$11,1,1+$C$6))</f>
        <v>1.2</v>
      </c>
      <c r="BW78" s="237" t="n">
        <f aca="false">IF(BW76=0,0,IF(BW76&lt;=12*'🎚️ Escenario'!$C$11,1,1+$C$6))</f>
        <v>1.2</v>
      </c>
      <c r="BX78" s="237" t="n">
        <f aca="false">IF(BX76=0,0,IF(BX76&lt;=12*'🎚️ Escenario'!$C$11,1,1+$C$6))</f>
        <v>1.2</v>
      </c>
      <c r="BY78" s="237" t="n">
        <f aca="false">IF(BY76=0,0,IF(BY76&lt;=12*'🎚️ Escenario'!$C$11,1,1+$C$6))</f>
        <v>1.2</v>
      </c>
      <c r="BZ78" s="237" t="n">
        <f aca="false">IF(BZ76=0,0,IF(BZ76&lt;=12*'🎚️ Escenario'!$C$11,1,1+$C$6))</f>
        <v>1.2</v>
      </c>
      <c r="CA78" s="237" t="n">
        <f aca="false">IF(CA76=0,0,IF(CA76&lt;=12*'🎚️ Escenario'!$C$11,1,1+$C$6))</f>
        <v>1.2</v>
      </c>
      <c r="CB78" s="237" t="n">
        <f aca="false">IF(CB76=0,0,IF(CB76&lt;=12*'🎚️ Escenario'!$C$11,1,1+$C$6))</f>
        <v>1.2</v>
      </c>
      <c r="CC78" s="237" t="n">
        <f aca="false">IF(CC76=0,0,IF(CC76&lt;=12*'🎚️ Escenario'!$C$11,1,1+$C$6))</f>
        <v>1.2</v>
      </c>
      <c r="CD78" s="237" t="n">
        <f aca="false">IF(CD76=0,0,IF(CD76&lt;=12*'🎚️ Escenario'!$C$11,1,1+$C$6))</f>
        <v>1.2</v>
      </c>
      <c r="CE78" s="237" t="n">
        <f aca="false">IF(CE76=0,0,IF(CE76&lt;=12*'🎚️ Escenario'!$C$11,1,1+$C$6))</f>
        <v>1.2</v>
      </c>
      <c r="CF78" s="237" t="n">
        <f aca="false">IF(CF76=0,0,IF(CF76&lt;=12*'🎚️ Escenario'!$C$11,1,1+$C$6))</f>
        <v>1.2</v>
      </c>
      <c r="CG78" s="237" t="n">
        <f aca="false">IF(CG76=0,0,IF(CG76&lt;=12*'🎚️ Escenario'!$C$11,1,1+$C$6))</f>
        <v>1.2</v>
      </c>
      <c r="CH78" s="237" t="n">
        <f aca="false">IF(CH76=0,0,IF(CH76&lt;=12*'🎚️ Escenario'!$C$11,1,1+$C$6))</f>
        <v>1.2</v>
      </c>
      <c r="CI78" s="237" t="n">
        <f aca="false">IF(CI76=0,0,IF(CI76&lt;=12*'🎚️ Escenario'!$C$11,1,1+$C$6))</f>
        <v>1.2</v>
      </c>
      <c r="CJ78" s="237" t="n">
        <f aca="false">IF(CJ76=0,0,IF(CJ76&lt;=12*'🎚️ Escenario'!$C$11,1,1+$C$6))</f>
        <v>1.2</v>
      </c>
      <c r="CK78" s="237" t="n">
        <f aca="false">IF(CK76=0,0,IF(CK76&lt;=12*'🎚️ Escenario'!$C$11,1,1+$C$6))</f>
        <v>1.2</v>
      </c>
      <c r="CL78" s="237" t="n">
        <f aca="false">IF(CL76=0,0,IF(CL76&lt;=12*'🎚️ Escenario'!$C$11,1,1+$C$6))</f>
        <v>1.2</v>
      </c>
      <c r="CM78" s="237" t="n">
        <f aca="false">IF(CM76=0,0,IF(CM76&lt;=12*'🎚️ Escenario'!$C$11,1,1+$C$6))</f>
        <v>1.2</v>
      </c>
      <c r="CN78" s="237" t="n">
        <f aca="false">IF(CN76=0,0,IF(CN76&lt;=12*'🎚️ Escenario'!$C$11,1,1+$C$6))</f>
        <v>1.2</v>
      </c>
      <c r="CO78" s="237" t="n">
        <f aca="false">IF(CO76=0,0,IF(CO76&lt;=12*'🎚️ Escenario'!$C$11,1,1+$C$6))</f>
        <v>1.2</v>
      </c>
      <c r="CP78" s="237" t="n">
        <f aca="false">IF(CP76=0,0,IF(CP76&lt;=12*'🎚️ Escenario'!$C$11,1,1+$C$6))</f>
        <v>1.2</v>
      </c>
      <c r="CQ78" s="237" t="n">
        <f aca="false">IF(CQ76=0,0,IF(CQ76&lt;=12*'🎚️ Escenario'!$C$11,1,1+$C$6))</f>
        <v>1.2</v>
      </c>
      <c r="CR78" s="237" t="n">
        <f aca="false">IF(CR76=0,0,IF(CR76&lt;=12*'🎚️ Escenario'!$C$11,1,1+$C$6))</f>
        <v>1.2</v>
      </c>
      <c r="CS78" s="237" t="n">
        <f aca="false">IF(CS76=0,0,IF(CS76&lt;=12*'🎚️ Escenario'!$C$11,1,1+$C$6))</f>
        <v>1.2</v>
      </c>
      <c r="CT78" s="237" t="n">
        <f aca="false">IF(CT76=0,0,IF(CT76&lt;=12*'🎚️ Escenario'!$C$11,1,1+$C$6))</f>
        <v>1.2</v>
      </c>
      <c r="CU78" s="237" t="n">
        <f aca="false">IF(CU76=0,0,IF(CU76&lt;=12*'🎚️ Escenario'!$C$11,1,1+$C$6))</f>
        <v>1.2</v>
      </c>
      <c r="CV78" s="237" t="n">
        <f aca="false">IF(CV76=0,0,IF(CV76&lt;=12*'🎚️ Escenario'!$C$11,1,1+$C$6))</f>
        <v>1.2</v>
      </c>
      <c r="CW78" s="237" t="n">
        <f aca="false">IF(CW76=0,0,IF(CW76&lt;=12*'🎚️ Escenario'!$C$11,1,1+$C$6))</f>
        <v>1.2</v>
      </c>
      <c r="CX78" s="237" t="n">
        <f aca="false">IF(CX76=0,0,IF(CX76&lt;=12*'🎚️ Escenario'!$C$11,1,1+$C$6))</f>
        <v>1.2</v>
      </c>
      <c r="CY78" s="237" t="n">
        <f aca="false">IF(CY76=0,0,IF(CY76&lt;=12*'🎚️ Escenario'!$C$11,1,1+$C$6))</f>
        <v>1.2</v>
      </c>
      <c r="CZ78" s="237" t="n">
        <f aca="false">IF(CZ76=0,0,IF(CZ76&lt;=12*'🎚️ Escenario'!$C$11,1,1+$C$6))</f>
        <v>1.2</v>
      </c>
      <c r="DA78" s="237" t="n">
        <f aca="false">IF(DA76=0,0,IF(DA76&lt;=12*'🎚️ Escenario'!$C$11,1,1+$C$6))</f>
        <v>1.2</v>
      </c>
      <c r="DB78" s="237" t="n">
        <f aca="false">IF(DB76=0,0,IF(DB76&lt;=12*'🎚️ Escenario'!$C$11,1,1+$C$6))</f>
        <v>1.2</v>
      </c>
      <c r="DC78" s="237" t="n">
        <f aca="false">IF(DC76=0,0,IF(DC76&lt;=12*'🎚️ Escenario'!$C$11,1,1+$C$6))</f>
        <v>1.2</v>
      </c>
      <c r="DD78" s="237" t="n">
        <f aca="false">IF(DD76=0,0,IF(DD76&lt;=12*'🎚️ Escenario'!$C$11,1,1+$C$6))</f>
        <v>1.2</v>
      </c>
      <c r="DE78" s="237" t="n">
        <f aca="false">IF(DE76=0,0,IF(DE76&lt;=12*'🎚️ Escenario'!$C$11,1,1+$C$6))</f>
        <v>1.2</v>
      </c>
      <c r="DF78" s="237" t="n">
        <f aca="false">IF(DF76=0,0,IF(DF76&lt;=12*'🎚️ Escenario'!$C$11,1,1+$C$6))</f>
        <v>1.2</v>
      </c>
      <c r="DG78" s="237" t="n">
        <f aca="false">IF(DG76=0,0,IF(DG76&lt;=12*'🎚️ Escenario'!$C$11,1,1+$C$6))</f>
        <v>1.2</v>
      </c>
      <c r="DH78" s="237" t="n">
        <f aca="false">IF(DH76=0,0,IF(DH76&lt;=12*'🎚️ Escenario'!$C$11,1,1+$C$6))</f>
        <v>1.2</v>
      </c>
      <c r="DI78" s="237" t="n">
        <f aca="false">IF(DI76=0,0,IF(DI76&lt;=12*'🎚️ Escenario'!$C$11,1,1+$C$6))</f>
        <v>1.2</v>
      </c>
      <c r="DJ78" s="237" t="n">
        <f aca="false">IF(DJ76=0,0,IF(DJ76&lt;=12*'🎚️ Escenario'!$C$11,1,1+$C$6))</f>
        <v>1.2</v>
      </c>
      <c r="DK78" s="237" t="n">
        <f aca="false">IF(DK76=0,0,IF(DK76&lt;=12*'🎚️ Escenario'!$C$11,1,1+$C$6))</f>
        <v>1.2</v>
      </c>
      <c r="DL78" s="237" t="n">
        <f aca="false">IF(DL76=0,0,IF(DL76&lt;=12*'🎚️ Escenario'!$C$11,1,1+$C$6))</f>
        <v>1.2</v>
      </c>
      <c r="DM78" s="237" t="n">
        <f aca="false">IF(DM76=0,0,IF(DM76&lt;=12*'🎚️ Escenario'!$C$11,1,1+$C$6))</f>
        <v>1.2</v>
      </c>
      <c r="DN78" s="237" t="n">
        <f aca="false">IF(DN76=0,0,IF(DN76&lt;=12*'🎚️ Escenario'!$C$11,1,1+$C$6))</f>
        <v>1.2</v>
      </c>
      <c r="DO78" s="237" t="n">
        <f aca="false">IF(DO76=0,0,IF(DO76&lt;=12*'🎚️ Escenario'!$C$11,1,1+$C$6))</f>
        <v>1.2</v>
      </c>
      <c r="DP78" s="237" t="n">
        <f aca="false">IF(DP76=0,0,IF(DP76&lt;=12*'🎚️ Escenario'!$C$11,1,1+$C$6))</f>
        <v>1.2</v>
      </c>
      <c r="DQ78" s="237" t="n">
        <f aca="false">IF(DQ76=0,0,IF(DQ76&lt;=12*'🎚️ Escenario'!$C$11,1,1+$C$6))</f>
        <v>1.2</v>
      </c>
      <c r="DR78" s="237" t="n">
        <f aca="false">IF(DR76=0,0,IF(DR76&lt;=12*'🎚️ Escenario'!$C$11,1,1+$C$6))</f>
        <v>1.2</v>
      </c>
      <c r="DS78" s="237" t="n">
        <f aca="false">IF(DS76=0,0,IF(DS76&lt;=12*'🎚️ Escenario'!$C$11,1,1+$C$6))</f>
        <v>1.2</v>
      </c>
      <c r="DT78" s="237" t="n">
        <f aca="false">IF(DT76=0,0,IF(DT76&lt;=12*'🎚️ Escenario'!$C$11,1,1+$C$6))</f>
        <v>1.2</v>
      </c>
      <c r="DU78" s="237" t="n">
        <f aca="false">IF(DU76=0,0,IF(DU76&lt;=12*'🎚️ Escenario'!$C$11,1,1+$C$6))</f>
        <v>1.2</v>
      </c>
      <c r="DV78" s="237" t="n">
        <f aca="false">IF(DV76=0,0,IF(DV76&lt;=12*'🎚️ Escenario'!$C$11,1,1+$C$6))</f>
        <v>1.2</v>
      </c>
      <c r="DW78" s="237" t="n">
        <f aca="false">IF(DW76=0,0,IF(DW76&lt;=12*'🎚️ Escenario'!$C$11,1,1+$C$6))</f>
        <v>1.2</v>
      </c>
      <c r="DX78" s="237" t="n">
        <f aca="false">IF(DX76=0,0,IF(DX76&lt;=12*'🎚️ Escenario'!$C$11,1,1+$C$6))</f>
        <v>1.2</v>
      </c>
      <c r="DY78" s="237" t="n">
        <f aca="false">IF(DY76=0,0,IF(DY76&lt;=12*'🎚️ Escenario'!$C$11,1,1+$C$6))</f>
        <v>1.2</v>
      </c>
      <c r="DZ78" s="237" t="n">
        <f aca="false">IF(DZ76=0,0,IF(DZ76&lt;=12*'🎚️ Escenario'!$C$11,1,1+$C$6))</f>
        <v>1.2</v>
      </c>
      <c r="EA78" s="237" t="n">
        <f aca="false">IF(EA76=0,0,IF(EA76&lt;=12*'🎚️ Escenario'!$C$11,1,1+$C$6))</f>
        <v>1.2</v>
      </c>
      <c r="EB78" s="237" t="n">
        <f aca="false">IF(EB76=0,0,IF(EB76&lt;=12*'🎚️ Escenario'!$C$11,1,1+$C$6))</f>
        <v>1.2</v>
      </c>
      <c r="EC78" s="237" t="n">
        <f aca="false">IF(EC76=0,0,IF(EC76&lt;=12*'🎚️ Escenario'!$C$11,1,1+$C$6))</f>
        <v>1.2</v>
      </c>
      <c r="ED78" s="237" t="n">
        <f aca="false">IF(ED76=0,0,IF(ED76&lt;=12*'🎚️ Escenario'!$C$11,1,1+$C$6))</f>
        <v>1.2</v>
      </c>
      <c r="EE78" s="237" t="n">
        <f aca="false">IF(EE76=0,0,IF(EE76&lt;=12*'🎚️ Escenario'!$C$11,1,1+$C$6))</f>
        <v>1.2</v>
      </c>
      <c r="EF78" s="237" t="n">
        <f aca="false">IF(EF76=0,0,IF(EF76&lt;=12*'🎚️ Escenario'!$C$11,1,1+$C$6))</f>
        <v>1.2</v>
      </c>
      <c r="EG78" s="237" t="n">
        <f aca="false">IF(EG76=0,0,IF(EG76&lt;=12*'🎚️ Escenario'!$C$11,1,1+$C$6))</f>
        <v>1.2</v>
      </c>
      <c r="EH78" s="237" t="n">
        <f aca="false">IF(EH76=0,0,IF(EH76&lt;=12*'🎚️ Escenario'!$C$11,1,1+$C$6))</f>
        <v>1.2</v>
      </c>
      <c r="EI78" s="237" t="n">
        <f aca="false">IF(EI76=0,0,IF(EI76&lt;=12*'🎚️ Escenario'!$C$11,1,1+$C$6))</f>
        <v>1.2</v>
      </c>
      <c r="EJ78" s="237" t="n">
        <f aca="false">IF(EJ76=0,0,IF(EJ76&lt;=12*'🎚️ Escenario'!$C$11,1,1+$C$6))</f>
        <v>1.2</v>
      </c>
      <c r="EK78" s="237" t="n">
        <f aca="false">IF(EK76=0,0,IF(EK76&lt;=12*'🎚️ Escenario'!$C$11,1,1+$C$6))</f>
        <v>1.2</v>
      </c>
      <c r="EL78" s="237" t="n">
        <f aca="false">IF(EL76=0,0,IF(EL76&lt;=12*'🎚️ Escenario'!$C$11,1,1+$C$6))</f>
        <v>1.2</v>
      </c>
      <c r="EM78" s="237" t="n">
        <f aca="false">IF(EM76=0,0,IF(EM76&lt;=12*'🎚️ Escenario'!$C$11,1,1+$C$6))</f>
        <v>1.2</v>
      </c>
      <c r="EN78" s="237" t="n">
        <f aca="false">IF(EN76=0,0,IF(EN76&lt;=12*'🎚️ Escenario'!$C$11,1,1+$C$6))</f>
        <v>1.2</v>
      </c>
      <c r="EO78" s="237" t="n">
        <f aca="false">IF(EO76=0,0,IF(EO76&lt;=12*'🎚️ Escenario'!$C$11,1,1+$C$6))</f>
        <v>1.2</v>
      </c>
      <c r="EP78" s="237" t="n">
        <f aca="false">IF(EP76=0,0,IF(EP76&lt;=12*'🎚️ Escenario'!$C$11,1,1+$C$6))</f>
        <v>1.2</v>
      </c>
      <c r="EQ78" s="237" t="n">
        <f aca="false">IF(EQ76=0,0,IF(EQ76&lt;=12*'🎚️ Escenario'!$C$11,1,1+$C$6))</f>
        <v>1.2</v>
      </c>
      <c r="ER78" s="237" t="n">
        <f aca="false">IF(ER76=0,0,IF(ER76&lt;=12*'🎚️ Escenario'!$C$11,1,1+$C$6))</f>
        <v>1.2</v>
      </c>
      <c r="ES78" s="238" t="n">
        <f aca="false">IF(ES76=0,0,IF(ES76&lt;=12*'🎚️ Escenario'!$C$11,1,1+$C$6))</f>
        <v>1.2</v>
      </c>
      <c r="ET78" s="238" t="n">
        <f aca="false">IF(ET76=0,0,IF(ET76&lt;=12*'🎚️ Escenario'!$C$11,1,1+$C$6))</f>
        <v>1.2</v>
      </c>
      <c r="EU78" s="238" t="n">
        <f aca="false">IF(EU76=0,0,IF(EU76&lt;=12*'🎚️ Escenario'!$C$11,1,1+$C$6))</f>
        <v>1.2</v>
      </c>
      <c r="EV78" s="238" t="n">
        <f aca="false">IF(EV76=0,0,IF(EV76&lt;=12*'🎚️ Escenario'!$C$11,1,1+$C$6))</f>
        <v>1.2</v>
      </c>
      <c r="EW78" s="238" t="n">
        <f aca="false">IF(EW76=0,0,IF(EW76&lt;=12*'🎚️ Escenario'!$C$11,1,1+$C$6))</f>
        <v>1.2</v>
      </c>
      <c r="EX78" s="238" t="n">
        <f aca="false">IF(EX76=0,0,IF(EX76&lt;=12*'🎚️ Escenario'!$C$11,1,1+$C$6))</f>
        <v>1.2</v>
      </c>
      <c r="EY78" s="238" t="n">
        <f aca="false">IF(EY76=0,0,IF(EY76&lt;=12*'🎚️ Escenario'!$C$11,1,1+$C$6))</f>
        <v>1.2</v>
      </c>
      <c r="EZ78" s="238" t="n">
        <f aca="false">IF(EZ76=0,0,IF(EZ76&lt;=12*'🎚️ Escenario'!$C$11,1,1+$C$6))</f>
        <v>1.2</v>
      </c>
      <c r="FA78" s="238" t="n">
        <f aca="false">IF(FA76=0,0,IF(FA76&lt;=12*'🎚️ Escenario'!$C$11,1,1+$C$6))</f>
        <v>1.2</v>
      </c>
      <c r="FB78" s="238" t="n">
        <f aca="false">IF(FB76=0,0,IF(FB76&lt;=12*'🎚️ Escenario'!$C$11,1,1+$C$6))</f>
        <v>1.2</v>
      </c>
      <c r="FC78" s="238" t="n">
        <f aca="false">IF(FC76=0,0,IF(FC76&lt;=12*'🎚️ Escenario'!$C$11,1,1+$C$6))</f>
        <v>1.2</v>
      </c>
      <c r="FD78" s="238" t="n">
        <f aca="false">IF(FD76=0,0,IF(FD76&lt;=12*'🎚️ Escenario'!$C$11,1,1+$C$6))</f>
        <v>1.2</v>
      </c>
      <c r="FE78" s="238" t="n">
        <f aca="false">IF(FE76=0,0,IF(FE76&lt;=12*'🎚️ Escenario'!$C$11,1,1+$C$6))</f>
        <v>1.2</v>
      </c>
      <c r="FF78" s="238" t="n">
        <f aca="false">IF(FF76=0,0,IF(FF76&lt;=12*'🎚️ Escenario'!$C$11,1,1+$C$6))</f>
        <v>1.2</v>
      </c>
      <c r="FG78" s="238" t="n">
        <f aca="false">IF(FG76=0,0,IF(FG76&lt;=12*'🎚️ Escenario'!$C$11,1,1+$C$6))</f>
        <v>1.2</v>
      </c>
      <c r="FH78" s="238" t="n">
        <f aca="false">IF(FH76=0,0,IF(FH76&lt;=12*'🎚️ Escenario'!$C$11,1,1+$C$6))</f>
        <v>1.2</v>
      </c>
      <c r="FI78" s="238" t="n">
        <f aca="false">IF(FI76=0,0,IF(FI76&lt;=12*'🎚️ Escenario'!$C$11,1,1+$C$6))</f>
        <v>1.2</v>
      </c>
      <c r="FJ78" s="238" t="n">
        <f aca="false">IF(FJ76=0,0,IF(FJ76&lt;=12*'🎚️ Escenario'!$C$11,1,1+$C$6))</f>
        <v>1.2</v>
      </c>
      <c r="FK78" s="238" t="n">
        <f aca="false">IF(FK76=0,0,IF(FK76&lt;=12*'🎚️ Escenario'!$C$11,1,1+$C$6))</f>
        <v>1.2</v>
      </c>
      <c r="FL78" s="238" t="n">
        <f aca="false">IF(FL76=0,0,IF(FL76&lt;=12*'🎚️ Escenario'!$C$11,1,1+$C$6))</f>
        <v>1.2</v>
      </c>
      <c r="FM78" s="238" t="n">
        <f aca="false">IF(FM76=0,0,IF(FM76&lt;=12*'🎚️ Escenario'!$C$11,1,1+$C$6))</f>
        <v>1.2</v>
      </c>
      <c r="FN78" s="238" t="n">
        <f aca="false">IF(FN76=0,0,IF(FN76&lt;=12*'🎚️ Escenario'!$C$11,1,1+$C$6))</f>
        <v>1.2</v>
      </c>
      <c r="FO78" s="238" t="n">
        <f aca="false">IF(FO76=0,0,IF(FO76&lt;=12*'🎚️ Escenario'!$C$11,1,1+$C$6))</f>
        <v>1.2</v>
      </c>
      <c r="FP78" s="238" t="n">
        <f aca="false">IF(FP76=0,0,IF(FP76&lt;=12*'🎚️ Escenario'!$C$11,1,1+$C$6))</f>
        <v>1.2</v>
      </c>
    </row>
    <row r="79" customFormat="false" ht="15" hidden="false" customHeight="false" outlineLevel="2" collapsed="false">
      <c r="B79" s="9" t="s">
        <v>876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36" t="n">
        <f aca="false">AC77*$AC$75*AC78*AC$38*'⑫ Roll-out Plan'!$O$13</f>
        <v>0</v>
      </c>
      <c r="AD79" s="36" t="n">
        <f aca="false">AD77*$AC$75*AD78*AD$38*'⑫ Roll-out Plan'!$O$13</f>
        <v>0</v>
      </c>
      <c r="AE79" s="36" t="n">
        <f aca="false">AE77*$AC$75*AE78*AE$38*'⑫ Roll-out Plan'!$O$13</f>
        <v>0</v>
      </c>
      <c r="AF79" s="36" t="n">
        <f aca="false">AF77*$AC$75*AF78*AF$38*'⑫ Roll-out Plan'!$O$13</f>
        <v>0</v>
      </c>
      <c r="AG79" s="36" t="n">
        <f aca="false">AG77*$AC$75*AG78*AG$38*'⑫ Roll-out Plan'!$O$13</f>
        <v>0</v>
      </c>
      <c r="AH79" s="36" t="n">
        <f aca="false">AH77*$AC$75*AH78*AH$38*'⑫ Roll-out Plan'!$O$13</f>
        <v>0</v>
      </c>
      <c r="AI79" s="36" t="n">
        <f aca="false">AI77*$AC$75*AI78*AI$38*'⑫ Roll-out Plan'!$O$13</f>
        <v>0</v>
      </c>
      <c r="AJ79" s="36" t="n">
        <f aca="false">AJ77*$AC$75*AJ78*AJ$38*'⑫ Roll-out Plan'!$O$13</f>
        <v>0</v>
      </c>
      <c r="AK79" s="36" t="n">
        <f aca="false">AK77*$AC$75*AK78*AK$38*'⑫ Roll-out Plan'!$O$13</f>
        <v>0</v>
      </c>
      <c r="AL79" s="36" t="n">
        <f aca="false">AL77*$AC$75*AL78*AL$38*'⑫ Roll-out Plan'!$O$13</f>
        <v>0</v>
      </c>
      <c r="AM79" s="36" t="n">
        <f aca="false">AM77*$AC$75*AM78*AM$38*'⑫ Roll-out Plan'!$O$13</f>
        <v>0</v>
      </c>
      <c r="AN79" s="36" t="n">
        <f aca="false">AN77*$AC$75*AN78*AN$38*'⑫ Roll-out Plan'!$O$13</f>
        <v>42.84</v>
      </c>
      <c r="AO79" s="36" t="n">
        <f aca="false">AO77*$AC$75*AO78*AO$38*'⑫ Roll-out Plan'!$O$13</f>
        <v>49.896</v>
      </c>
      <c r="AP79" s="36" t="n">
        <f aca="false">AP77*$AC$75*AP78*AP$38*'⑫ Roll-out Plan'!$O$13</f>
        <v>41.328</v>
      </c>
      <c r="AQ79" s="36" t="n">
        <f aca="false">AQ77*$AC$75*AQ78*AQ$38*'⑫ Roll-out Plan'!$O$13</f>
        <v>65.772</v>
      </c>
      <c r="AR79" s="36" t="n">
        <f aca="false">AR77*$AC$75*AR78*AR$38*'⑫ Roll-out Plan'!$O$13</f>
        <v>62.37</v>
      </c>
      <c r="AS79" s="36" t="n">
        <f aca="false">AS77*$AC$75*AS78*AS$38*'⑫ Roll-out Plan'!$O$13</f>
        <v>59.892</v>
      </c>
      <c r="AT79" s="36" t="n">
        <f aca="false">AT77*$AC$75*AT78*AT$38*'⑫ Roll-out Plan'!$O$13</f>
        <v>58.8</v>
      </c>
      <c r="AU79" s="36" t="n">
        <f aca="false">AU77*$AC$75*AU78*AU$38*'⑫ Roll-out Plan'!$O$13</f>
        <v>68.796</v>
      </c>
      <c r="AV79" s="36" t="n">
        <f aca="false">AV77*$AC$75*AV78*AV$38*'⑫ Roll-out Plan'!$O$13</f>
        <v>131.208</v>
      </c>
      <c r="AW79" s="36" t="n">
        <f aca="false">AW77*$AC$75*AW78*AW$38*'⑫ Roll-out Plan'!$O$13</f>
        <v>107.184</v>
      </c>
      <c r="AX79" s="36" t="n">
        <f aca="false">AX77*$AC$75*AX78*AX$38*'⑫ Roll-out Plan'!$O$13</f>
        <v>96.768</v>
      </c>
      <c r="AY79" s="36" t="n">
        <f aca="false">AY77*$AC$75*AY78*AY$38*'⑫ Roll-out Plan'!$O$13</f>
        <v>78.624</v>
      </c>
      <c r="AZ79" s="36" t="n">
        <f aca="false">AZ77*$AC$75*AZ78*AZ$38*'⑫ Roll-out Plan'!$O$13</f>
        <v>119.952</v>
      </c>
      <c r="BA79" s="36" t="n">
        <f aca="false">BA77*$AC$75*BA78*BA$38*'⑫ Roll-out Plan'!$O$13</f>
        <v>136.08</v>
      </c>
      <c r="BB79" s="36" t="n">
        <f aca="false">BB77*$AC$75*BB78*BB$38*'⑫ Roll-out Plan'!$O$13</f>
        <v>103.32</v>
      </c>
      <c r="BC79" s="36" t="n">
        <f aca="false">BC77*$AC$75*BC78*BC$38*'⑫ Roll-out Plan'!$O$13</f>
        <v>184.1616</v>
      </c>
      <c r="BD79" s="36" t="n">
        <f aca="false">BD77*$AC$75*BD78*BD$38*'⑫ Roll-out Plan'!$O$13</f>
        <v>182.952</v>
      </c>
      <c r="BE79" s="36" t="n">
        <f aca="false">BE77*$AC$75*BE78*BE$38*'⑫ Roll-out Plan'!$O$13</f>
        <v>159.9696</v>
      </c>
      <c r="BF79" s="36" t="n">
        <f aca="false">BF77*$AC$75*BF78*BF$38*'⑫ Roll-out Plan'!$O$13</f>
        <v>143.136</v>
      </c>
      <c r="BG79" s="36" t="n">
        <f aca="false">BG77*$AC$75*BG78*BG$38*'⑫ Roll-out Plan'!$O$13</f>
        <v>150.2928</v>
      </c>
      <c r="BH79" s="36" t="n">
        <f aca="false">BH77*$AC$75*BH78*BH$38*'⑫ Roll-out Plan'!$O$13</f>
        <v>261.2232</v>
      </c>
      <c r="BI79" s="36" t="n">
        <f aca="false">BI77*$AC$75*BI78*BI$38*'⑫ Roll-out Plan'!$O$13</f>
        <v>219.24</v>
      </c>
      <c r="BJ79" s="36" t="n">
        <f aca="false">BJ77*$AC$75*BJ78*BJ$38*'⑫ Roll-out Plan'!$O$13</f>
        <v>186.2784</v>
      </c>
      <c r="BK79" s="36" t="n">
        <f aca="false">BK77*$AC$75*BK78*BK$38*'⑫ Roll-out Plan'!$O$13</f>
        <v>143.3376</v>
      </c>
      <c r="BL79" s="36" t="n">
        <f aca="false">BL77*$AC$75*BL78*BL$38*'⑫ Roll-out Plan'!$O$13</f>
        <v>203.0616</v>
      </c>
      <c r="BM79" s="36" t="n">
        <f aca="false">BM77*$AC$75*BM78*BM$38*'⑫ Roll-out Plan'!$O$13</f>
        <v>217.728</v>
      </c>
      <c r="BN79" s="36" t="n">
        <f aca="false">BN77*$AC$75*BN78*BN$38*'⑫ Roll-out Plan'!$O$13</f>
        <v>169.4448</v>
      </c>
      <c r="BO79" s="36" t="n">
        <f aca="false">BO77*$AC$75*BO78*BO$38*'⑫ Roll-out Plan'!$O$13</f>
        <v>245.5488</v>
      </c>
      <c r="BP79" s="36" t="n">
        <f aca="false">BP77*$AC$75*BP78*BP$38*'⑫ Roll-out Plan'!$O$13</f>
        <v>235.62</v>
      </c>
      <c r="BQ79" s="36" t="n">
        <f aca="false">BQ77*$AC$75*BQ78*BQ$38*'⑫ Roll-out Plan'!$O$13</f>
        <v>197.064</v>
      </c>
      <c r="BR79" s="36" t="n">
        <f aca="false">BR77*$AC$75*BR78*BR$38*'⑫ Roll-out Plan'!$O$13</f>
        <v>173.376</v>
      </c>
      <c r="BS79" s="36" t="n">
        <f aca="false">BS77*$AC$75*BS78*BS$38*'⑫ Roll-out Plan'!$O$13</f>
        <v>186.2784</v>
      </c>
      <c r="BT79" s="36" t="n">
        <f aca="false">BT77*$AC$75*BT78*BT$38*'⑫ Roll-out Plan'!$O$13</f>
        <v>318.4776</v>
      </c>
      <c r="BU79" s="36" t="n">
        <f aca="false">BU77*$AC$75*BU78*BU$38*'⑫ Roll-out Plan'!$O$13</f>
        <v>263.088</v>
      </c>
      <c r="BV79" s="36" t="n">
        <f aca="false">BV77*$AC$75*BV78*BV$38*'⑫ Roll-out Plan'!$O$13</f>
        <v>217.728</v>
      </c>
      <c r="BW79" s="36" t="n">
        <f aca="false">BW77*$AC$75*BW78*BW$38*'⑫ Roll-out Plan'!$O$13</f>
        <v>166.9248</v>
      </c>
      <c r="BX79" s="36" t="n">
        <f aca="false">BX77*$AC$75*BX78*BX$38*'⑫ Roll-out Plan'!$O$13</f>
        <v>239.0472</v>
      </c>
      <c r="BY79" s="36" t="n">
        <f aca="false">BY77*$AC$75*BY78*BY$38*'⑫ Roll-out Plan'!$O$13</f>
        <v>255.8304</v>
      </c>
      <c r="BZ79" s="36" t="n">
        <f aca="false">BZ77*$AC$75*BZ78*BZ$38*'⑫ Roll-out Plan'!$O$13</f>
        <v>196.308</v>
      </c>
      <c r="CA79" s="36" t="n">
        <f aca="false">CA77*$AC$75*CA78*CA$38*'⑫ Roll-out Plan'!$O$13</f>
        <v>277.704</v>
      </c>
      <c r="CB79" s="36" t="n">
        <f aca="false">CB77*$AC$75*CB78*CB$38*'⑫ Roll-out Plan'!$O$13</f>
        <v>268.884</v>
      </c>
      <c r="CC79" s="36" t="n">
        <f aca="false">CC77*$AC$75*CC78*CC$38*'⑫ Roll-out Plan'!$O$13</f>
        <v>227.2032</v>
      </c>
      <c r="CD79" s="36" t="n">
        <f aca="false">CD77*$AC$75*CD78*CD$38*'⑫ Roll-out Plan'!$O$13</f>
        <v>199.584</v>
      </c>
      <c r="CE79" s="36" t="n">
        <f aca="false">CE77*$AC$75*CE78*CE$38*'⑫ Roll-out Plan'!$O$13</f>
        <v>211.68</v>
      </c>
      <c r="CF79" s="36" t="n">
        <f aca="false">CF77*$AC$75*CF78*CF$38*'⑫ Roll-out Plan'!$O$13</f>
        <v>357.84</v>
      </c>
      <c r="CG79" s="36" t="n">
        <f aca="false">CG77*$AC$75*CG78*CG$38*'⑫ Roll-out Plan'!$O$13</f>
        <v>292.32</v>
      </c>
      <c r="CH79" s="36" t="n">
        <f aca="false">CH77*$AC$75*CH78*CH$38*'⑫ Roll-out Plan'!$O$13</f>
        <v>241.92</v>
      </c>
      <c r="CI79" s="36" t="n">
        <f aca="false">CI77*$AC$75*CI78*CI$38*'⑫ Roll-out Plan'!$O$13</f>
        <v>181.44</v>
      </c>
      <c r="CJ79" s="36" t="n">
        <f aca="false">CJ77*$AC$75*CJ78*CJ$38*'⑫ Roll-out Plan'!$O$13</f>
        <v>257.04</v>
      </c>
      <c r="CK79" s="36" t="n">
        <f aca="false">CK77*$AC$75*CK78*CK$38*'⑫ Roll-out Plan'!$O$13</f>
        <v>272.16</v>
      </c>
      <c r="CL79" s="36" t="n">
        <f aca="false">CL77*$AC$75*CL78*CL$38*'⑫ Roll-out Plan'!$O$13</f>
        <v>206.64</v>
      </c>
      <c r="CM79" s="36" t="n">
        <f aca="false">CM77*$AC$75*CM78*CM$38*'⑫ Roll-out Plan'!$O$13</f>
        <v>292.32</v>
      </c>
      <c r="CN79" s="36" t="n">
        <f aca="false">CN77*$AC$75*CN78*CN$38*'⑫ Roll-out Plan'!$O$13</f>
        <v>277.2</v>
      </c>
      <c r="CO79" s="36" t="n">
        <f aca="false">CO77*$AC$75*CO78*CO$38*'⑫ Roll-out Plan'!$O$13</f>
        <v>231.84</v>
      </c>
      <c r="CP79" s="36" t="n">
        <f aca="false">CP77*$AC$75*CP78*CP$38*'⑫ Roll-out Plan'!$O$13</f>
        <v>201.6</v>
      </c>
      <c r="CQ79" s="36" t="n">
        <f aca="false">CQ77*$AC$75*CQ78*CQ$38*'⑫ Roll-out Plan'!$O$13</f>
        <v>211.68</v>
      </c>
      <c r="CR79" s="36" t="n">
        <f aca="false">CR77*$AC$75*CR78*CR$38*'⑫ Roll-out Plan'!$O$13</f>
        <v>357.84</v>
      </c>
      <c r="CS79" s="36" t="n">
        <f aca="false">CS77*$AC$75*CS78*CS$38*'⑫ Roll-out Plan'!$O$13</f>
        <v>292.32</v>
      </c>
      <c r="CT79" s="36" t="n">
        <f aca="false">CT77*$AC$75*CT78*CT$38*'⑫ Roll-out Plan'!$O$13</f>
        <v>241.92</v>
      </c>
      <c r="CU79" s="36" t="n">
        <f aca="false">CU77*$AC$75*CU78*CU$38*'⑫ Roll-out Plan'!$O$13</f>
        <v>181.44</v>
      </c>
      <c r="CV79" s="36" t="n">
        <f aca="false">CV77*$AC$75*CV78*CV$38*'⑫ Roll-out Plan'!$O$13</f>
        <v>257.04</v>
      </c>
      <c r="CW79" s="36" t="n">
        <f aca="false">CW77*$AC$75*CW78*CW$38*'⑫ Roll-out Plan'!$O$13</f>
        <v>272.16</v>
      </c>
      <c r="CX79" s="36" t="n">
        <f aca="false">CX77*$AC$75*CX78*CX$38*'⑫ Roll-out Plan'!$O$13</f>
        <v>206.64</v>
      </c>
      <c r="CY79" s="36" t="n">
        <f aca="false">CY77*$AC$75*CY78*CY$38*'⑫ Roll-out Plan'!$O$13</f>
        <v>292.32</v>
      </c>
      <c r="CZ79" s="36" t="n">
        <f aca="false">CZ77*$AC$75*CZ78*CZ$38*'⑫ Roll-out Plan'!$O$13</f>
        <v>277.2</v>
      </c>
      <c r="DA79" s="36" t="n">
        <f aca="false">DA77*$AC$75*DA78*DA$38*'⑫ Roll-out Plan'!$O$13</f>
        <v>231.84</v>
      </c>
      <c r="DB79" s="36" t="n">
        <f aca="false">DB77*$AC$75*DB78*DB$38*'⑫ Roll-out Plan'!$O$13</f>
        <v>201.6</v>
      </c>
      <c r="DC79" s="36" t="n">
        <f aca="false">DC77*$AC$75*DC78*DC$38*'⑫ Roll-out Plan'!$O$13</f>
        <v>211.68</v>
      </c>
      <c r="DD79" s="36" t="n">
        <f aca="false">DD77*$AC$75*DD78*DD$38*'⑫ Roll-out Plan'!$O$13</f>
        <v>357.84</v>
      </c>
      <c r="DE79" s="36" t="n">
        <f aca="false">DE77*$AC$75*DE78*DE$38*'⑫ Roll-out Plan'!$O$13</f>
        <v>292.32</v>
      </c>
      <c r="DF79" s="36" t="n">
        <f aca="false">DF77*$AC$75*DF78*DF$38*'⑫ Roll-out Plan'!$O$13</f>
        <v>241.92</v>
      </c>
      <c r="DG79" s="36" t="n">
        <f aca="false">DG77*$AC$75*DG78*DG$38*'⑫ Roll-out Plan'!$O$13</f>
        <v>181.44</v>
      </c>
      <c r="DH79" s="36" t="n">
        <f aca="false">DH77*$AC$75*DH78*DH$38*'⑫ Roll-out Plan'!$O$13</f>
        <v>257.04</v>
      </c>
      <c r="DI79" s="36" t="n">
        <f aca="false">DI77*$AC$75*DI78*DI$38*'⑫ Roll-out Plan'!$O$13</f>
        <v>272.16</v>
      </c>
      <c r="DJ79" s="36" t="n">
        <f aca="false">DJ77*$AC$75*DJ78*DJ$38*'⑫ Roll-out Plan'!$O$13</f>
        <v>206.64</v>
      </c>
      <c r="DK79" s="36" t="n">
        <f aca="false">DK77*$AC$75*DK78*DK$38*'⑫ Roll-out Plan'!$O$13</f>
        <v>292.32</v>
      </c>
      <c r="DL79" s="36" t="n">
        <f aca="false">DL77*$AC$75*DL78*DL$38*'⑫ Roll-out Plan'!$O$13</f>
        <v>277.2</v>
      </c>
      <c r="DM79" s="36" t="n">
        <f aca="false">DM77*$AC$75*DM78*DM$38*'⑫ Roll-out Plan'!$O$13</f>
        <v>231.84</v>
      </c>
      <c r="DN79" s="36" t="n">
        <f aca="false">DN77*$AC$75*DN78*DN$38*'⑫ Roll-out Plan'!$O$13</f>
        <v>201.6</v>
      </c>
      <c r="DO79" s="36" t="n">
        <f aca="false">DO77*$AC$75*DO78*DO$38*'⑫ Roll-out Plan'!$O$13</f>
        <v>211.68</v>
      </c>
      <c r="DP79" s="36" t="n">
        <f aca="false">DP77*$AC$75*DP78*DP$38*'⑫ Roll-out Plan'!$O$13</f>
        <v>357.84</v>
      </c>
      <c r="DQ79" s="36" t="n">
        <f aca="false">DQ77*$AC$75*DQ78*DQ$38*'⑫ Roll-out Plan'!$O$13</f>
        <v>292.32</v>
      </c>
      <c r="DR79" s="36" t="n">
        <f aca="false">DR77*$AC$75*DR78*DR$38*'⑫ Roll-out Plan'!$O$13</f>
        <v>241.92</v>
      </c>
      <c r="DS79" s="36" t="n">
        <f aca="false">DS77*$AC$75*DS78*DS$38*'⑫ Roll-out Plan'!$O$13</f>
        <v>181.44</v>
      </c>
      <c r="DT79" s="36" t="n">
        <f aca="false">DT77*$AC$75*DT78*DT$38*'⑫ Roll-out Plan'!$O$13</f>
        <v>257.04</v>
      </c>
      <c r="DU79" s="36" t="n">
        <f aca="false">DU77*$AC$75*DU78*DU$38*'⑫ Roll-out Plan'!$O$13</f>
        <v>272.16</v>
      </c>
      <c r="DV79" s="36" t="n">
        <f aca="false">DV77*$AC$75*DV78*DV$38*'⑫ Roll-out Plan'!$O$13</f>
        <v>206.64</v>
      </c>
      <c r="DW79" s="36" t="n">
        <f aca="false">DW77*$AC$75*DW78*DW$38*'⑫ Roll-out Plan'!$O$13</f>
        <v>292.32</v>
      </c>
      <c r="DX79" s="36" t="n">
        <f aca="false">DX77*$AC$75*DX78*DX$38*'⑫ Roll-out Plan'!$O$13</f>
        <v>277.2</v>
      </c>
      <c r="DY79" s="36" t="n">
        <f aca="false">DY77*$AC$75*DY78*DY$38*'⑫ Roll-out Plan'!$O$13</f>
        <v>231.84</v>
      </c>
      <c r="DZ79" s="36" t="n">
        <f aca="false">DZ77*$AC$75*DZ78*DZ$38*'⑫ Roll-out Plan'!$O$13</f>
        <v>201.6</v>
      </c>
      <c r="EA79" s="36" t="n">
        <f aca="false">EA77*$AC$75*EA78*EA$38*'⑫ Roll-out Plan'!$O$13</f>
        <v>211.68</v>
      </c>
      <c r="EB79" s="36" t="n">
        <f aca="false">EB77*$AC$75*EB78*EB$38*'⑫ Roll-out Plan'!$O$13</f>
        <v>357.84</v>
      </c>
      <c r="EC79" s="36" t="n">
        <f aca="false">EC77*$AC$75*EC78*EC$38*'⑫ Roll-out Plan'!$O$13</f>
        <v>292.32</v>
      </c>
      <c r="ED79" s="36" t="n">
        <f aca="false">ED77*$AC$75*ED78*ED$38*'⑫ Roll-out Plan'!$O$13</f>
        <v>241.92</v>
      </c>
      <c r="EE79" s="36" t="n">
        <f aca="false">EE77*$AC$75*EE78*EE$38*'⑫ Roll-out Plan'!$O$13</f>
        <v>181.44</v>
      </c>
      <c r="EF79" s="36" t="n">
        <f aca="false">EF77*$AC$75*EF78*EF$38*'⑫ Roll-out Plan'!$O$13</f>
        <v>257.04</v>
      </c>
      <c r="EG79" s="36" t="n">
        <f aca="false">EG77*$AC$75*EG78*EG$38*'⑫ Roll-out Plan'!$O$13</f>
        <v>272.16</v>
      </c>
      <c r="EH79" s="36" t="n">
        <f aca="false">EH77*$AC$75*EH78*EH$38*'⑫ Roll-out Plan'!$O$13</f>
        <v>206.64</v>
      </c>
      <c r="EI79" s="36" t="n">
        <f aca="false">EI77*$AC$75*EI78*EI$38*'⑫ Roll-out Plan'!$O$13</f>
        <v>292.32</v>
      </c>
      <c r="EJ79" s="36" t="n">
        <f aca="false">EJ77*$AC$75*EJ78*EJ$38*'⑫ Roll-out Plan'!$O$13</f>
        <v>277.2</v>
      </c>
      <c r="EK79" s="36" t="n">
        <f aca="false">EK77*$AC$75*EK78*EK$38*'⑫ Roll-out Plan'!$O$13</f>
        <v>231.84</v>
      </c>
      <c r="EL79" s="36" t="n">
        <f aca="false">EL77*$AC$75*EL78*EL$38*'⑫ Roll-out Plan'!$O$13</f>
        <v>201.6</v>
      </c>
      <c r="EM79" s="36" t="n">
        <f aca="false">EM77*$AC$75*EM78*EM$38*'⑫ Roll-out Plan'!$O$13</f>
        <v>211.68</v>
      </c>
      <c r="EN79" s="36" t="n">
        <f aca="false">EN77*$AC$75*EN78*EN$38*'⑫ Roll-out Plan'!$O$13</f>
        <v>357.84</v>
      </c>
      <c r="EO79" s="36" t="n">
        <f aca="false">EO77*$AC$75*EO78*EO$38*'⑫ Roll-out Plan'!$O$13</f>
        <v>292.32</v>
      </c>
      <c r="EP79" s="36" t="n">
        <f aca="false">EP77*$AC$75*EP78*EP$38*'⑫ Roll-out Plan'!$O$13</f>
        <v>241.92</v>
      </c>
      <c r="EQ79" s="36" t="n">
        <f aca="false">EQ77*$AC$75*EQ78*EQ$38*'⑫ Roll-out Plan'!$O$13</f>
        <v>181.44</v>
      </c>
      <c r="ER79" s="36" t="n">
        <f aca="false">ER77*$AC$75*ER78*ER$38*'⑫ Roll-out Plan'!$O$13</f>
        <v>257.04</v>
      </c>
      <c r="ES79" s="9" t="n">
        <f aca="false">ES77*$AC$75*ES78*ES$38*'⑫ Roll-out Plan'!$O$13</f>
        <v>272.16</v>
      </c>
      <c r="ET79" s="9" t="n">
        <f aca="false">ET77*$AC$75*ET78*ET$38*'⑫ Roll-out Plan'!$O$13</f>
        <v>206.64</v>
      </c>
      <c r="EU79" s="9" t="n">
        <f aca="false">EU77*$AC$75*EU78*EU$38*'⑫ Roll-out Plan'!$O$13</f>
        <v>292.32</v>
      </c>
      <c r="EV79" s="9" t="n">
        <f aca="false">EV77*$AC$75*EV78*EV$38*'⑫ Roll-out Plan'!$O$13</f>
        <v>277.2</v>
      </c>
      <c r="EW79" s="9" t="n">
        <f aca="false">EW77*$AC$75*EW78*EW$38*'⑫ Roll-out Plan'!$O$13</f>
        <v>231.84</v>
      </c>
      <c r="EX79" s="9" t="n">
        <f aca="false">EX77*$AC$75*EX78*EX$38*'⑫ Roll-out Plan'!$O$13</f>
        <v>201.6</v>
      </c>
      <c r="EY79" s="9" t="n">
        <f aca="false">EY77*$AC$75*EY78*EY$38*'⑫ Roll-out Plan'!$O$13</f>
        <v>211.68</v>
      </c>
      <c r="EZ79" s="9" t="n">
        <f aca="false">EZ77*$AC$75*EZ78*EZ$38*'⑫ Roll-out Plan'!$O$13</f>
        <v>357.84</v>
      </c>
      <c r="FA79" s="9" t="n">
        <f aca="false">FA77*$AC$75*FA78*FA$38*'⑫ Roll-out Plan'!$O$13</f>
        <v>292.32</v>
      </c>
      <c r="FB79" s="9" t="n">
        <f aca="false">FB77*$AC$75*FB78*FB$38*'⑫ Roll-out Plan'!$O$13</f>
        <v>241.92</v>
      </c>
      <c r="FC79" s="9" t="n">
        <f aca="false">FC77*$AC$75*FC78*FC$38*'⑫ Roll-out Plan'!$O$13</f>
        <v>181.44</v>
      </c>
      <c r="FD79" s="9" t="n">
        <f aca="false">FD77*$AC$75*FD78*FD$38*'⑫ Roll-out Plan'!$O$13</f>
        <v>257.04</v>
      </c>
      <c r="FE79" s="9" t="n">
        <f aca="false">FE77*$AC$75*FE78*FE$38*'⑫ Roll-out Plan'!$O$13</f>
        <v>272.16</v>
      </c>
      <c r="FF79" s="9" t="n">
        <f aca="false">FF77*$AC$75*FF78*FF$38*'⑫ Roll-out Plan'!$O$13</f>
        <v>206.64</v>
      </c>
      <c r="FG79" s="9" t="n">
        <f aca="false">FG77*$AC$75*FG78*FG$38*'⑫ Roll-out Plan'!$O$13</f>
        <v>292.32</v>
      </c>
      <c r="FH79" s="9" t="n">
        <f aca="false">FH77*$AC$75*FH78*FH$38*'⑫ Roll-out Plan'!$O$13</f>
        <v>277.2</v>
      </c>
      <c r="FI79" s="9" t="n">
        <f aca="false">FI77*$AC$75*FI78*FI$38*'⑫ Roll-out Plan'!$O$13</f>
        <v>231.84</v>
      </c>
      <c r="FJ79" s="9" t="n">
        <f aca="false">FJ77*$AC$75*FJ78*FJ$38*'⑫ Roll-out Plan'!$O$13</f>
        <v>201.6</v>
      </c>
      <c r="FK79" s="9" t="n">
        <f aca="false">FK77*$AC$75*FK78*FK$38*'⑫ Roll-out Plan'!$O$13</f>
        <v>211.68</v>
      </c>
      <c r="FL79" s="9" t="n">
        <f aca="false">FL77*$AC$75*FL78*FL$38*'⑫ Roll-out Plan'!$O$13</f>
        <v>357.84</v>
      </c>
      <c r="FM79" s="9" t="n">
        <f aca="false">FM77*$AC$75*FM78*FM$38*'⑫ Roll-out Plan'!$O$13</f>
        <v>292.32</v>
      </c>
      <c r="FN79" s="9" t="n">
        <f aca="false">FN77*$AC$75*FN78*FN$38*'⑫ Roll-out Plan'!$O$13</f>
        <v>241.92</v>
      </c>
      <c r="FO79" s="9" t="n">
        <f aca="false">FO77*$AC$75*FO78*FO$38*'⑫ Roll-out Plan'!$O$13</f>
        <v>181.44</v>
      </c>
      <c r="FP79" s="9" t="n">
        <f aca="false">FP77*$AC$75*FP78*FP$38*'⑫ Roll-out Plan'!$O$13</f>
        <v>257.04</v>
      </c>
    </row>
    <row r="80" customFormat="false" ht="15" hidden="false" customHeight="false" outlineLevel="2" collapsed="false">
      <c r="B80" s="9" t="s">
        <v>877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112" t="n">
        <f aca="true">IFERROR(SUMPRODUCT(OFFSET($BJ$31,0,1-MIN(60,COLUMN()-29),1,MIN(60,COLUMN()-29)),OFFSET(AC79,0,-MIN(60,COLUMN()-29),1,MIN(60,COLUMN()-29))),0)</f>
        <v>0</v>
      </c>
      <c r="AD80" s="112" t="n">
        <f aca="true">IFERROR(SUMPRODUCT(OFFSET($BJ$31,0,1-MIN(60,COLUMN()-29),1,MIN(60,COLUMN()-29)),OFFSET(AD79,0,-MIN(60,COLUMN()-29),1,MIN(60,COLUMN()-29))),0)</f>
        <v>0</v>
      </c>
      <c r="AE80" s="112" t="n">
        <f aca="true">IFERROR(SUMPRODUCT(OFFSET($BJ$31,0,1-MIN(60,COLUMN()-29),1,MIN(60,COLUMN()-29)),OFFSET(AE79,0,-MIN(60,COLUMN()-29),1,MIN(60,COLUMN()-29))),0)</f>
        <v>0</v>
      </c>
      <c r="AF80" s="112" t="n">
        <f aca="true">IFERROR(SUMPRODUCT(OFFSET($BJ$31,0,1-MIN(60,COLUMN()-29),1,MIN(60,COLUMN()-29)),OFFSET(AF79,0,-MIN(60,COLUMN()-29),1,MIN(60,COLUMN()-29))),0)</f>
        <v>0</v>
      </c>
      <c r="AG80" s="112" t="n">
        <f aca="true">IFERROR(SUMPRODUCT(OFFSET($BJ$31,0,1-MIN(60,COLUMN()-29),1,MIN(60,COLUMN()-29)),OFFSET(AG79,0,-MIN(60,COLUMN()-29),1,MIN(60,COLUMN()-29))),0)</f>
        <v>0</v>
      </c>
      <c r="AH80" s="112" t="n">
        <f aca="true">IFERROR(SUMPRODUCT(OFFSET($BJ$31,0,1-MIN(60,COLUMN()-29),1,MIN(60,COLUMN()-29)),OFFSET(AH79,0,-MIN(60,COLUMN()-29),1,MIN(60,COLUMN()-29))),0)</f>
        <v>0</v>
      </c>
      <c r="AI80" s="112" t="n">
        <f aca="true">IFERROR(SUMPRODUCT(OFFSET($BJ$31,0,1-MIN(60,COLUMN()-29),1,MIN(60,COLUMN()-29)),OFFSET(AI79,0,-MIN(60,COLUMN()-29),1,MIN(60,COLUMN()-29))),0)</f>
        <v>0</v>
      </c>
      <c r="AJ80" s="112" t="n">
        <f aca="true">IFERROR(SUMPRODUCT(OFFSET($BJ$31,0,1-MIN(60,COLUMN()-29),1,MIN(60,COLUMN()-29)),OFFSET(AJ79,0,-MIN(60,COLUMN()-29),1,MIN(60,COLUMN()-29))),0)</f>
        <v>0</v>
      </c>
      <c r="AK80" s="112" t="n">
        <f aca="true">IFERROR(SUMPRODUCT(OFFSET($BJ$31,0,1-MIN(60,COLUMN()-29),1,MIN(60,COLUMN()-29)),OFFSET(AK79,0,-MIN(60,COLUMN()-29),1,MIN(60,COLUMN()-29))),0)</f>
        <v>0</v>
      </c>
      <c r="AL80" s="112" t="n">
        <f aca="true">IFERROR(SUMPRODUCT(OFFSET($BJ$31,0,1-MIN(60,COLUMN()-29),1,MIN(60,COLUMN()-29)),OFFSET(AL79,0,-MIN(60,COLUMN()-29),1,MIN(60,COLUMN()-29))),0)</f>
        <v>0</v>
      </c>
      <c r="AM80" s="112" t="n">
        <f aca="true">IFERROR(SUMPRODUCT(OFFSET($BJ$31,0,1-MIN(60,COLUMN()-29),1,MIN(60,COLUMN()-29)),OFFSET(AM79,0,-MIN(60,COLUMN()-29),1,MIN(60,COLUMN()-29))),0)</f>
        <v>0</v>
      </c>
      <c r="AN80" s="112" t="n">
        <f aca="true">IFERROR(SUMPRODUCT(OFFSET($BJ$31,0,1-MIN(60,COLUMN()-29),1,MIN(60,COLUMN()-29)),OFFSET(AN79,0,-MIN(60,COLUMN()-29),1,MIN(60,COLUMN()-29))),0)</f>
        <v>0</v>
      </c>
      <c r="AO80" s="112" t="n">
        <f aca="true">IFERROR(SUMPRODUCT(OFFSET($BJ$31,0,1-MIN(60,COLUMN()-29),1,MIN(60,COLUMN()-29)),OFFSET(AO79,0,-MIN(60,COLUMN()-29),1,MIN(60,COLUMN()-29))),0)</f>
        <v>5.48352</v>
      </c>
      <c r="AP80" s="112" t="n">
        <f aca="true">IFERROR(SUMPRODUCT(OFFSET($BJ$31,0,1-MIN(60,COLUMN()-29),1,MIN(60,COLUMN()-29)),OFFSET(AP79,0,-MIN(60,COLUMN()-29),1,MIN(60,COLUMN()-29))),0)</f>
        <v>7.140672</v>
      </c>
      <c r="AQ80" s="112" t="n">
        <f aca="true">IFERROR(SUMPRODUCT(OFFSET($BJ$31,0,1-MIN(60,COLUMN()-29),1,MIN(60,COLUMN()-29)),OFFSET(AQ79,0,-MIN(60,COLUMN()-29),1,MIN(60,COLUMN()-29))),0)</f>
        <v>7.1277696</v>
      </c>
      <c r="AR80" s="112" t="n">
        <f aca="true">IFERROR(SUMPRODUCT(OFFSET($BJ$31,0,1-MIN(60,COLUMN()-29),1,MIN(60,COLUMN()-29)),OFFSET(AR79,0,-MIN(60,COLUMN()-29),1,MIN(60,COLUMN()-29))),0)</f>
        <v>10.8122112</v>
      </c>
      <c r="AS80" s="112" t="n">
        <f aca="true">IFERROR(SUMPRODUCT(OFFSET($BJ$31,0,1-MIN(60,COLUMN()-29),1,MIN(60,COLUMN()-29)),OFFSET(AS79,0,-MIN(60,COLUMN()-29),1,MIN(60,COLUMN()-29))),0)</f>
        <v>11.1166272</v>
      </c>
      <c r="AT80" s="112" t="n">
        <f aca="true">IFERROR(SUMPRODUCT(OFFSET($BJ$31,0,1-MIN(60,COLUMN()-29),1,MIN(60,COLUMN()-29)),OFFSET(AT79,0,-MIN(60,COLUMN()-29),1,MIN(60,COLUMN()-29))),0)</f>
        <v>11.4508128</v>
      </c>
      <c r="AU80" s="112" t="n">
        <f aca="true">IFERROR(SUMPRODUCT(OFFSET($BJ$31,0,1-MIN(60,COLUMN()-29),1,MIN(60,COLUMN()-29)),OFFSET(AU79,0,-MIN(60,COLUMN()-29),1,MIN(60,COLUMN()-29))),0)</f>
        <v>12.1411584</v>
      </c>
      <c r="AV80" s="112" t="n">
        <f aca="true">IFERROR(SUMPRODUCT(OFFSET($BJ$31,0,1-MIN(60,COLUMN()-29),1,MIN(60,COLUMN()-29)),OFFSET(AV79,0,-MIN(60,COLUMN()-29),1,MIN(60,COLUMN()-29))),0)</f>
        <v>13.8144384</v>
      </c>
      <c r="AW80" s="112" t="n">
        <f aca="true">IFERROR(SUMPRODUCT(OFFSET($BJ$31,0,1-MIN(60,COLUMN()-29),1,MIN(60,COLUMN()-29)),OFFSET(AW79,0,-MIN(60,COLUMN()-29),1,MIN(60,COLUMN()-29))),0)</f>
        <v>22.3156416</v>
      </c>
      <c r="AX80" s="112" t="n">
        <f aca="true">IFERROR(SUMPRODUCT(OFFSET($BJ$31,0,1-MIN(60,COLUMN()-29),1,MIN(60,COLUMN()-29)),OFFSET(AX79,0,-MIN(60,COLUMN()-29),1,MIN(60,COLUMN()-29))),0)</f>
        <v>21.6805344</v>
      </c>
      <c r="AY80" s="112" t="n">
        <f aca="true">IFERROR(SUMPRODUCT(OFFSET($BJ$31,0,1-MIN(60,COLUMN()-29),1,MIN(60,COLUMN()-29)),OFFSET(AY79,0,-MIN(60,COLUMN()-29),1,MIN(60,COLUMN()-29))),0)</f>
        <v>21.669984</v>
      </c>
      <c r="AZ80" s="112" t="n">
        <f aca="true">IFERROR(SUMPRODUCT(OFFSET($BJ$31,0,1-MIN(60,COLUMN()-29),1,MIN(60,COLUMN()-29)),OFFSET(AZ79,0,-MIN(60,COLUMN()-29),1,MIN(60,COLUMN()-29))),0)</f>
        <v>20.7314016</v>
      </c>
      <c r="BA80" s="112" t="n">
        <f aca="true">IFERROR(SUMPRODUCT(OFFSET($BJ$31,0,1-MIN(60,COLUMN()-29),1,MIN(60,COLUMN()-29)),OFFSET(BA79,0,-MIN(60,COLUMN()-29),1,MIN(60,COLUMN()-29))),0)</f>
        <v>27.849024</v>
      </c>
      <c r="BB80" s="112" t="n">
        <f aca="true">IFERROR(SUMPRODUCT(OFFSET($BJ$31,0,1-MIN(60,COLUMN()-29),1,MIN(60,COLUMN()-29)),OFFSET(BB79,0,-MIN(60,COLUMN()-29),1,MIN(60,COLUMN()-29))),0)</f>
        <v>30.8143584</v>
      </c>
      <c r="BC80" s="112" t="n">
        <f aca="true">IFERROR(SUMPRODUCT(OFFSET($BJ$31,0,1-MIN(60,COLUMN()-29),1,MIN(60,COLUMN()-29)),OFFSET(BC79,0,-MIN(60,COLUMN()-29),1,MIN(60,COLUMN()-29))),0)</f>
        <v>29.2868352</v>
      </c>
      <c r="BD80" s="112" t="n">
        <f aca="true">IFERROR(SUMPRODUCT(OFFSET($BJ$31,0,1-MIN(60,COLUMN()-29),1,MIN(60,COLUMN()-29)),OFFSET(BD79,0,-MIN(60,COLUMN()-29),1,MIN(60,COLUMN()-29))),0)</f>
        <v>40.8017568</v>
      </c>
      <c r="BE80" s="112" t="n">
        <f aca="true">IFERROR(SUMPRODUCT(OFFSET($BJ$31,0,1-MIN(60,COLUMN()-29),1,MIN(60,COLUMN()-29)),OFFSET(BE79,0,-MIN(60,COLUMN()-29),1,MIN(60,COLUMN()-29))),0)</f>
        <v>43.64823456</v>
      </c>
      <c r="BF80" s="112" t="n">
        <f aca="true">IFERROR(SUMPRODUCT(OFFSET($BJ$31,0,1-MIN(60,COLUMN()-29),1,MIN(60,COLUMN()-29)),OFFSET(BF79,0,-MIN(60,COLUMN()-29),1,MIN(60,COLUMN()-29))),0)</f>
        <v>44.50657344</v>
      </c>
      <c r="BG80" s="112" t="n">
        <f aca="true">IFERROR(SUMPRODUCT(OFFSET($BJ$31,0,1-MIN(60,COLUMN()-29),1,MIN(60,COLUMN()-29)),OFFSET(BG79,0,-MIN(60,COLUMN()-29),1,MIN(60,COLUMN()-29))),0)</f>
        <v>44.54722944</v>
      </c>
      <c r="BH80" s="112" t="n">
        <f aca="true">IFERROR(SUMPRODUCT(OFFSET($BJ$31,0,1-MIN(60,COLUMN()-29),1,MIN(60,COLUMN()-29)),OFFSET(BH79,0,-MIN(60,COLUMN()-29),1,MIN(60,COLUMN()-29))),0)</f>
        <v>49.1935752</v>
      </c>
      <c r="BI80" s="112" t="n">
        <f aca="true">IFERROR(SUMPRODUCT(OFFSET($BJ$31,0,1-MIN(60,COLUMN()-29),1,MIN(60,COLUMN()-29)),OFFSET(BI79,0,-MIN(60,COLUMN()-29),1,MIN(60,COLUMN()-29))),0)</f>
        <v>66.27817224</v>
      </c>
      <c r="BJ80" s="112" t="n">
        <f aca="true">IFERROR(SUMPRODUCT(OFFSET($BJ$31,0,1-MIN(60,COLUMN()-29),1,MIN(60,COLUMN()-29)),OFFSET(BJ79,0,-MIN(60,COLUMN()-29),1,MIN(60,COLUMN()-29))),0)</f>
        <v>65.9695596</v>
      </c>
      <c r="BK80" s="112" t="n">
        <f aca="true">IFERROR(SUMPRODUCT(OFFSET($BJ$31,0,1-MIN(60,COLUMN()-29),1,MIN(60,COLUMN()-29)),OFFSET(BK79,0,-MIN(60,COLUMN()-29),1,MIN(60,COLUMN()-29))),0)</f>
        <v>65.16486648</v>
      </c>
      <c r="BL80" s="112" t="n">
        <f aca="true">IFERROR(SUMPRODUCT(OFFSET($BJ$31,0,1-MIN(60,COLUMN()-29),1,MIN(60,COLUMN()-29)),OFFSET(BL79,0,-MIN(60,COLUMN()-29),1,MIN(60,COLUMN()-29))),0)</f>
        <v>62.05492104</v>
      </c>
      <c r="BM80" s="112" t="n">
        <f aca="true">IFERROR(SUMPRODUCT(OFFSET($BJ$31,0,1-MIN(60,COLUMN()-29),1,MIN(60,COLUMN()-29)),OFFSET(BM79,0,-MIN(60,COLUMN()-29),1,MIN(60,COLUMN()-29))),0)</f>
        <v>74.93298792</v>
      </c>
      <c r="BN80" s="112" t="n">
        <f aca="true">IFERROR(SUMPRODUCT(OFFSET($BJ$31,0,1-MIN(60,COLUMN()-29),1,MIN(60,COLUMN()-29)),OFFSET(BN79,0,-MIN(60,COLUMN()-29),1,MIN(60,COLUMN()-29))),0)</f>
        <v>79.66173096</v>
      </c>
      <c r="BO80" s="112" t="n">
        <f aca="true">IFERROR(SUMPRODUCT(OFFSET($BJ$31,0,1-MIN(60,COLUMN()-29),1,MIN(60,COLUMN()-29)),OFFSET(BO79,0,-MIN(60,COLUMN()-29),1,MIN(60,COLUMN()-29))),0)</f>
        <v>79.63818408</v>
      </c>
      <c r="BP80" s="112" t="n">
        <f aca="true">IFERROR(SUMPRODUCT(OFFSET($BJ$31,0,1-MIN(60,COLUMN()-29),1,MIN(60,COLUMN()-29)),OFFSET(BP79,0,-MIN(60,COLUMN()-29),1,MIN(60,COLUMN()-29))),0)</f>
        <v>93.88049832</v>
      </c>
      <c r="BQ80" s="112" t="n">
        <f aca="true">IFERROR(SUMPRODUCT(OFFSET($BJ$31,0,1-MIN(60,COLUMN()-29),1,MIN(60,COLUMN()-29)),OFFSET(BQ79,0,-MIN(60,COLUMN()-29),1,MIN(60,COLUMN()-29))),0)</f>
        <v>97.35700968</v>
      </c>
      <c r="BR80" s="112" t="n">
        <f aca="true">IFERROR(SUMPRODUCT(OFFSET($BJ$31,0,1-MIN(60,COLUMN()-29),1,MIN(60,COLUMN()-29)),OFFSET(BR79,0,-MIN(60,COLUMN()-29),1,MIN(60,COLUMN()-29))),0)</f>
        <v>97.85193768</v>
      </c>
      <c r="BS80" s="112" t="n">
        <f aca="true">IFERROR(SUMPRODUCT(OFFSET($BJ$31,0,1-MIN(60,COLUMN()-29),1,MIN(60,COLUMN()-29)),OFFSET(BS79,0,-MIN(60,COLUMN()-29),1,MIN(60,COLUMN()-29))),0)</f>
        <v>97.56451656</v>
      </c>
      <c r="BT80" s="112" t="n">
        <f aca="true">IFERROR(SUMPRODUCT(OFFSET($BJ$31,0,1-MIN(60,COLUMN()-29),1,MIN(60,COLUMN()-29)),OFFSET(BT79,0,-MIN(60,COLUMN()-29),1,MIN(60,COLUMN()-29))),0)</f>
        <v>105.92980776</v>
      </c>
      <c r="BU80" s="112" t="n">
        <f aca="true">IFERROR(SUMPRODUCT(OFFSET($BJ$31,0,1-MIN(60,COLUMN()-29),1,MIN(60,COLUMN()-29)),OFFSET(BU79,0,-MIN(60,COLUMN()-29),1,MIN(60,COLUMN()-29))),0)</f>
        <v>129.18358152</v>
      </c>
      <c r="BV80" s="112" t="n">
        <f aca="true">IFERROR(SUMPRODUCT(OFFSET($BJ$31,0,1-MIN(60,COLUMN()-29),1,MIN(60,COLUMN()-29)),OFFSET(BV79,0,-MIN(60,COLUMN()-29),1,MIN(60,COLUMN()-29))),0)</f>
        <v>129.545514</v>
      </c>
      <c r="BW80" s="112" t="n">
        <f aca="true">IFERROR(SUMPRODUCT(OFFSET($BJ$31,0,1-MIN(60,COLUMN()-29),1,MIN(60,COLUMN()-29)),OFFSET(BW79,0,-MIN(60,COLUMN()-29),1,MIN(60,COLUMN()-29))),0)</f>
        <v>128.38010472</v>
      </c>
      <c r="BX80" s="112" t="n">
        <f aca="true">IFERROR(SUMPRODUCT(OFFSET($BJ$31,0,1-MIN(60,COLUMN()-29),1,MIN(60,COLUMN()-29)),OFFSET(BX79,0,-MIN(60,COLUMN()-29),1,MIN(60,COLUMN()-29))),0)</f>
        <v>125.3833812</v>
      </c>
      <c r="BY80" s="112" t="n">
        <f aca="true">IFERROR(SUMPRODUCT(OFFSET($BJ$31,0,1-MIN(60,COLUMN()-29),1,MIN(60,COLUMN()-29)),OFFSET(BY79,0,-MIN(60,COLUMN()-29),1,MIN(60,COLUMN()-29))),0)</f>
        <v>142.8476364</v>
      </c>
      <c r="BZ80" s="112" t="n">
        <f aca="true">IFERROR(SUMPRODUCT(OFFSET($BJ$31,0,1-MIN(60,COLUMN()-29),1,MIN(60,COLUMN()-29)),OFFSET(BZ79,0,-MIN(60,COLUMN()-29),1,MIN(60,COLUMN()-29))),0)</f>
        <v>150.01373016</v>
      </c>
      <c r="CA80" s="112" t="n">
        <f aca="true">IFERROR(SUMPRODUCT(OFFSET($BJ$31,0,1-MIN(60,COLUMN()-29),1,MIN(60,COLUMN()-29)),OFFSET(CA79,0,-MIN(60,COLUMN()-29),1,MIN(60,COLUMN()-29))),0)</f>
        <v>150.53022936</v>
      </c>
      <c r="CB80" s="112" t="n">
        <f aca="true">IFERROR(SUMPRODUCT(OFFSET($BJ$31,0,1-MIN(60,COLUMN()-29),1,MIN(60,COLUMN()-29)),OFFSET(CB79,0,-MIN(60,COLUMN()-29),1,MIN(60,COLUMN()-29))),0)</f>
        <v>166.55109912</v>
      </c>
      <c r="CC80" s="112" t="n">
        <f aca="true">IFERROR(SUMPRODUCT(OFFSET($BJ$31,0,1-MIN(60,COLUMN()-29),1,MIN(60,COLUMN()-29)),OFFSET(CC79,0,-MIN(60,COLUMN()-29),1,MIN(60,COLUMN()-29))),0)</f>
        <v>171.61423272</v>
      </c>
      <c r="CD80" s="112" t="n">
        <f aca="true">IFERROR(SUMPRODUCT(OFFSET($BJ$31,0,1-MIN(60,COLUMN()-29),1,MIN(60,COLUMN()-29)),OFFSET(CD79,0,-MIN(60,COLUMN()-29),1,MIN(60,COLUMN()-29))),0)</f>
        <v>173.25283752</v>
      </c>
      <c r="CE80" s="112" t="n">
        <f aca="true">IFERROR(SUMPRODUCT(OFFSET($BJ$31,0,1-MIN(60,COLUMN()-29),1,MIN(60,COLUMN()-29)),OFFSET(CE79,0,-MIN(60,COLUMN()-29),1,MIN(60,COLUMN()-29))),0)</f>
        <v>173.82487752</v>
      </c>
      <c r="CF80" s="112" t="n">
        <f aca="true">IFERROR(SUMPRODUCT(OFFSET($BJ$31,0,1-MIN(60,COLUMN()-29),1,MIN(60,COLUMN()-29)),OFFSET(CF79,0,-MIN(60,COLUMN()-29),1,MIN(60,COLUMN()-29))),0)</f>
        <v>183.98019528</v>
      </c>
      <c r="CG80" s="112" t="n">
        <f aca="true">IFERROR(SUMPRODUCT(OFFSET($BJ$31,0,1-MIN(60,COLUMN()-29),1,MIN(60,COLUMN()-29)),OFFSET(CG79,0,-MIN(60,COLUMN()-29),1,MIN(60,COLUMN()-29))),0)</f>
        <v>210.48149304</v>
      </c>
      <c r="CH80" s="112" t="n">
        <f aca="true">IFERROR(SUMPRODUCT(OFFSET($BJ$31,0,1-MIN(60,COLUMN()-29),1,MIN(60,COLUMN()-29)),OFFSET(CH79,0,-MIN(60,COLUMN()-29),1,MIN(60,COLUMN()-29))),0)</f>
        <v>210.4726428</v>
      </c>
      <c r="CI80" s="112" t="n">
        <f aca="true">IFERROR(SUMPRODUCT(OFFSET($BJ$31,0,1-MIN(60,COLUMN()-29),1,MIN(60,COLUMN()-29)),OFFSET(CI79,0,-MIN(60,COLUMN()-29),1,MIN(60,COLUMN()-29))),0)</f>
        <v>209.11845528</v>
      </c>
      <c r="CJ80" s="112" t="n">
        <f aca="true">IFERROR(SUMPRODUCT(OFFSET($BJ$31,0,1-MIN(60,COLUMN()-29),1,MIN(60,COLUMN()-29)),OFFSET(CJ79,0,-MIN(60,COLUMN()-29),1,MIN(60,COLUMN()-29))),0)</f>
        <v>205.5342492</v>
      </c>
      <c r="CK80" s="112" t="n">
        <f aca="true">IFERROR(SUMPRODUCT(OFFSET($BJ$31,0,1-MIN(60,COLUMN()-29),1,MIN(60,COLUMN()-29)),OFFSET(CK79,0,-MIN(60,COLUMN()-29),1,MIN(60,COLUMN()-29))),0)</f>
        <v>224.3513412</v>
      </c>
      <c r="CL80" s="112" t="n">
        <f aca="true">IFERROR(SUMPRODUCT(OFFSET($BJ$31,0,1-MIN(60,COLUMN()-29),1,MIN(60,COLUMN()-29)),OFFSET(CL79,0,-MIN(60,COLUMN()-29),1,MIN(60,COLUMN()-29))),0)</f>
        <v>231.29003016</v>
      </c>
      <c r="CM80" s="112" t="n">
        <f aca="true">IFERROR(SUMPRODUCT(OFFSET($BJ$31,0,1-MIN(60,COLUMN()-29),1,MIN(60,COLUMN()-29)),OFFSET(CM79,0,-MIN(60,COLUMN()-29),1,MIN(60,COLUMN()-29))),0)</f>
        <v>231.1495956</v>
      </c>
      <c r="CN80" s="112" t="n">
        <f aca="true">IFERROR(SUMPRODUCT(OFFSET($BJ$31,0,1-MIN(60,COLUMN()-29),1,MIN(60,COLUMN()-29)),OFFSET(CN79,0,-MIN(60,COLUMN()-29),1,MIN(60,COLUMN()-29))),0)</f>
        <v>247.2417612</v>
      </c>
      <c r="CO80" s="112" t="n">
        <f aca="true">IFERROR(SUMPRODUCT(OFFSET($BJ$31,0,1-MIN(60,COLUMN()-29),1,MIN(60,COLUMN()-29)),OFFSET(CO79,0,-MIN(60,COLUMN()-29),1,MIN(60,COLUMN()-29))),0)</f>
        <v>251.4099672</v>
      </c>
      <c r="CP80" s="112" t="n">
        <f aca="true">IFERROR(SUMPRODUCT(OFFSET($BJ$31,0,1-MIN(60,COLUMN()-29),1,MIN(60,COLUMN()-29)),OFFSET(CP79,0,-MIN(60,COLUMN()-29),1,MIN(60,COLUMN()-29))),0)</f>
        <v>252.44021376</v>
      </c>
      <c r="CQ80" s="112" t="n">
        <f aca="true">IFERROR(SUMPRODUCT(OFFSET($BJ$31,0,1-MIN(60,COLUMN()-29),1,MIN(60,COLUMN()-29)),OFFSET(CQ79,0,-MIN(60,COLUMN()-29),1,MIN(60,COLUMN()-29))),0)</f>
        <v>252.05460336</v>
      </c>
      <c r="CR80" s="112" t="n">
        <f aca="true">IFERROR(SUMPRODUCT(OFFSET($BJ$31,0,1-MIN(60,COLUMN()-29),1,MIN(60,COLUMN()-29)),OFFSET(CR79,0,-MIN(60,COLUMN()-29),1,MIN(60,COLUMN()-29))),0)</f>
        <v>261.72570816</v>
      </c>
      <c r="CS80" s="112" t="n">
        <f aca="true">IFERROR(SUMPRODUCT(OFFSET($BJ$31,0,1-MIN(60,COLUMN()-29),1,MIN(60,COLUMN()-29)),OFFSET(CS79,0,-MIN(60,COLUMN()-29),1,MIN(60,COLUMN()-29))),0)</f>
        <v>286.93646352</v>
      </c>
      <c r="CT80" s="112" t="n">
        <f aca="true">IFERROR(SUMPRODUCT(OFFSET($BJ$31,0,1-MIN(60,COLUMN()-29),1,MIN(60,COLUMN()-29)),OFFSET(CT79,0,-MIN(60,COLUMN()-29),1,MIN(60,COLUMN()-29))),0)</f>
        <v>285.7379112</v>
      </c>
      <c r="CU80" s="112" t="n">
        <f aca="true">IFERROR(SUMPRODUCT(OFFSET($BJ$31,0,1-MIN(60,COLUMN()-29),1,MIN(60,COLUMN()-29)),OFFSET(CU79,0,-MIN(60,COLUMN()-29),1,MIN(60,COLUMN()-29))),0)</f>
        <v>283.0739688</v>
      </c>
      <c r="CV80" s="112" t="n">
        <f aca="true">IFERROR(SUMPRODUCT(OFFSET($BJ$31,0,1-MIN(60,COLUMN()-29),1,MIN(60,COLUMN()-29)),OFFSET(CV79,0,-MIN(60,COLUMN()-29),1,MIN(60,COLUMN()-29))),0)</f>
        <v>278.5621608</v>
      </c>
      <c r="CW80" s="112" t="n">
        <f aca="true">IFERROR(SUMPRODUCT(OFFSET($BJ$31,0,1-MIN(60,COLUMN()-29),1,MIN(60,COLUMN()-29)),OFFSET(CW79,0,-MIN(60,COLUMN()-29),1,MIN(60,COLUMN()-29))),0)</f>
        <v>296.5206888</v>
      </c>
      <c r="CX80" s="112" t="n">
        <f aca="true">IFERROR(SUMPRODUCT(OFFSET($BJ$31,0,1-MIN(60,COLUMN()-29),1,MIN(60,COLUMN()-29)),OFFSET(CX79,0,-MIN(60,COLUMN()-29),1,MIN(60,COLUMN()-29))),0)</f>
        <v>301.7987784</v>
      </c>
      <c r="CY80" s="112" t="n">
        <f aca="true">IFERROR(SUMPRODUCT(OFFSET($BJ$31,0,1-MIN(60,COLUMN()-29),1,MIN(60,COLUMN()-29)),OFFSET(CY79,0,-MIN(60,COLUMN()-29),1,MIN(60,COLUMN()-29))),0)</f>
        <v>300.5731512</v>
      </c>
      <c r="CZ80" s="112" t="n">
        <f aca="true">IFERROR(SUMPRODUCT(OFFSET($BJ$31,0,1-MIN(60,COLUMN()-29),1,MIN(60,COLUMN()-29)),OFFSET(CZ79,0,-MIN(60,COLUMN()-29),1,MIN(60,COLUMN()-29))),0)</f>
        <v>314.2133064</v>
      </c>
      <c r="DA80" s="112" t="n">
        <f aca="true">IFERROR(SUMPRODUCT(OFFSET($BJ$31,0,1-MIN(60,COLUMN()-29),1,MIN(60,COLUMN()-29)),OFFSET(DA79,0,-MIN(60,COLUMN()-29),1,MIN(60,COLUMN()-29))),0)</f>
        <v>315.8054424</v>
      </c>
      <c r="DB80" s="112" t="n">
        <f aca="true">IFERROR(SUMPRODUCT(OFFSET($BJ$31,0,1-MIN(60,COLUMN()-29),1,MIN(60,COLUMN()-29)),OFFSET(DB79,0,-MIN(60,COLUMN()-29),1,MIN(60,COLUMN()-29))),0)</f>
        <v>314.6743656</v>
      </c>
      <c r="DC80" s="112" t="n">
        <f aca="true">IFERROR(SUMPRODUCT(OFFSET($BJ$31,0,1-MIN(60,COLUMN()-29),1,MIN(60,COLUMN()-29)),OFFSET(DC79,0,-MIN(60,COLUMN()-29),1,MIN(60,COLUMN()-29))),0)</f>
        <v>312.2561736</v>
      </c>
      <c r="DD80" s="112" t="n">
        <f aca="true">IFERROR(SUMPRODUCT(OFFSET($BJ$31,0,1-MIN(60,COLUMN()-29),1,MIN(60,COLUMN()-29)),OFFSET(DD79,0,-MIN(60,COLUMN()-29),1,MIN(60,COLUMN()-29))),0)</f>
        <v>319.9519512</v>
      </c>
      <c r="DE80" s="112" t="n">
        <f aca="true">IFERROR(SUMPRODUCT(OFFSET($BJ$31,0,1-MIN(60,COLUMN()-29),1,MIN(60,COLUMN()-29)),OFFSET(DE79,0,-MIN(60,COLUMN()-29),1,MIN(60,COLUMN()-29))),0)</f>
        <v>341.486208</v>
      </c>
      <c r="DF80" s="112" t="n">
        <f aca="true">IFERROR(SUMPRODUCT(OFFSET($BJ$31,0,1-MIN(60,COLUMN()-29),1,MIN(60,COLUMN()-29)),OFFSET(DF79,0,-MIN(60,COLUMN()-29),1,MIN(60,COLUMN()-29))),0)</f>
        <v>337.1561424</v>
      </c>
      <c r="DG80" s="112" t="n">
        <f aca="true">IFERROR(SUMPRODUCT(OFFSET($BJ$31,0,1-MIN(60,COLUMN()-29),1,MIN(60,COLUMN()-29)),OFFSET(DG79,0,-MIN(60,COLUMN()-29),1,MIN(60,COLUMN()-29))),0)</f>
        <v>331.7992272</v>
      </c>
      <c r="DH80" s="112" t="n">
        <f aca="true">IFERROR(SUMPRODUCT(OFFSET($BJ$31,0,1-MIN(60,COLUMN()-29),1,MIN(60,COLUMN()-29)),OFFSET(DH79,0,-MIN(60,COLUMN()-29),1,MIN(60,COLUMN()-29))),0)</f>
        <v>325.1845296</v>
      </c>
      <c r="DI80" s="112" t="n">
        <f aca="true">IFERROR(SUMPRODUCT(OFFSET($BJ$31,0,1-MIN(60,COLUMN()-29),1,MIN(60,COLUMN()-29)),OFFSET(DI79,0,-MIN(60,COLUMN()-29),1,MIN(60,COLUMN()-29))),0)</f>
        <v>340.7860008</v>
      </c>
      <c r="DJ80" s="112" t="n">
        <f aca="true">IFERROR(SUMPRODUCT(OFFSET($BJ$31,0,1-MIN(60,COLUMN()-29),1,MIN(60,COLUMN()-29)),OFFSET(DJ79,0,-MIN(60,COLUMN()-29),1,MIN(60,COLUMN()-29))),0)</f>
        <v>343.5983208</v>
      </c>
      <c r="DK80" s="112" t="n">
        <f aca="true">IFERROR(SUMPRODUCT(OFFSET($BJ$31,0,1-MIN(60,COLUMN()-29),1,MIN(60,COLUMN()-29)),OFFSET(DK79,0,-MIN(60,COLUMN()-29),1,MIN(60,COLUMN()-29))),0)</f>
        <v>340.4881368</v>
      </c>
      <c r="DL80" s="112" t="n">
        <f aca="true">IFERROR(SUMPRODUCT(OFFSET($BJ$31,0,1-MIN(60,COLUMN()-29),1,MIN(60,COLUMN()-29)),OFFSET(DL79,0,-MIN(60,COLUMN()-29),1,MIN(60,COLUMN()-29))),0)</f>
        <v>351.50267376</v>
      </c>
      <c r="DM80" s="112" t="n">
        <f aca="true">IFERROR(SUMPRODUCT(OFFSET($BJ$31,0,1-MIN(60,COLUMN()-29),1,MIN(60,COLUMN()-29)),OFFSET(DM79,0,-MIN(60,COLUMN()-29),1,MIN(60,COLUMN()-29))),0)</f>
        <v>350.56840896</v>
      </c>
      <c r="DN80" s="112" t="n">
        <f aca="true">IFERROR(SUMPRODUCT(OFFSET($BJ$31,0,1-MIN(60,COLUMN()-29),1,MIN(60,COLUMN()-29)),OFFSET(DN79,0,-MIN(60,COLUMN()-29),1,MIN(60,COLUMN()-29))),0)</f>
        <v>347.43979872</v>
      </c>
      <c r="DO80" s="112" t="n">
        <f aca="true">IFERROR(SUMPRODUCT(OFFSET($BJ$31,0,1-MIN(60,COLUMN()-29),1,MIN(60,COLUMN()-29)),OFFSET(DO79,0,-MIN(60,COLUMN()-29),1,MIN(60,COLUMN()-29))),0)</f>
        <v>343.35356832</v>
      </c>
      <c r="DP80" s="112" t="n">
        <f aca="true">IFERROR(SUMPRODUCT(OFFSET($BJ$31,0,1-MIN(60,COLUMN()-29),1,MIN(60,COLUMN()-29)),OFFSET(DP79,0,-MIN(60,COLUMN()-29),1,MIN(60,COLUMN()-29))),0)</f>
        <v>349.336008</v>
      </c>
      <c r="DQ80" s="112" t="n">
        <f aca="true">IFERROR(SUMPRODUCT(OFFSET($BJ$31,0,1-MIN(60,COLUMN()-29),1,MIN(60,COLUMN()-29)),OFFSET(DQ79,0,-MIN(60,COLUMN()-29),1,MIN(60,COLUMN()-29))),0)</f>
        <v>368.13922992</v>
      </c>
      <c r="DR80" s="112" t="n">
        <f aca="true">IFERROR(SUMPRODUCT(OFFSET($BJ$31,0,1-MIN(60,COLUMN()-29),1,MIN(60,COLUMN()-29)),OFFSET(DR79,0,-MIN(60,COLUMN()-29),1,MIN(60,COLUMN()-29))),0)</f>
        <v>361.53783792</v>
      </c>
      <c r="DS80" s="112" t="n">
        <f aca="true">IFERROR(SUMPRODUCT(OFFSET($BJ$31,0,1-MIN(60,COLUMN()-29),1,MIN(60,COLUMN()-29)),OFFSET(DS79,0,-MIN(60,COLUMN()-29),1,MIN(60,COLUMN()-29))),0)</f>
        <v>354.42022896</v>
      </c>
      <c r="DT80" s="112" t="n">
        <f aca="true">IFERROR(SUMPRODUCT(OFFSET($BJ$31,0,1-MIN(60,COLUMN()-29),1,MIN(60,COLUMN()-29)),OFFSET(DT79,0,-MIN(60,COLUMN()-29),1,MIN(60,COLUMN()-29))),0)</f>
        <v>346.51984752</v>
      </c>
      <c r="DU80" s="112" t="n">
        <f aca="true">IFERROR(SUMPRODUCT(OFFSET($BJ$31,0,1-MIN(60,COLUMN()-29),1,MIN(60,COLUMN()-29)),OFFSET(DU79,0,-MIN(60,COLUMN()-29),1,MIN(60,COLUMN()-29))),0)</f>
        <v>360.38475648</v>
      </c>
      <c r="DV80" s="112" t="n">
        <f aca="true">IFERROR(SUMPRODUCT(OFFSET($BJ$31,0,1-MIN(60,COLUMN()-29),1,MIN(60,COLUMN()-29)),OFFSET(DV79,0,-MIN(60,COLUMN()-29),1,MIN(60,COLUMN()-29))),0)</f>
        <v>361.44980928</v>
      </c>
      <c r="DW80" s="112" t="n">
        <f aca="true">IFERROR(SUMPRODUCT(OFFSET($BJ$31,0,1-MIN(60,COLUMN()-29),1,MIN(60,COLUMN()-29)),OFFSET(DW79,0,-MIN(60,COLUMN()-29),1,MIN(60,COLUMN()-29))),0)</f>
        <v>356.98448016</v>
      </c>
      <c r="DX80" s="112" t="n">
        <f aca="true">IFERROR(SUMPRODUCT(OFFSET($BJ$31,0,1-MIN(60,COLUMN()-29),1,MIN(60,COLUMN()-29)),OFFSET(DX79,0,-MIN(60,COLUMN()-29),1,MIN(60,COLUMN()-29))),0)</f>
        <v>366.63271344</v>
      </c>
      <c r="DY80" s="112" t="n">
        <f aca="true">IFERROR(SUMPRODUCT(OFFSET($BJ$31,0,1-MIN(60,COLUMN()-29),1,MIN(60,COLUMN()-29)),OFFSET(DY79,0,-MIN(60,COLUMN()-29),1,MIN(60,COLUMN()-29))),0)</f>
        <v>364.44106944</v>
      </c>
      <c r="DZ80" s="112" t="n">
        <f aca="true">IFERROR(SUMPRODUCT(OFFSET($BJ$31,0,1-MIN(60,COLUMN()-29),1,MIN(60,COLUMN()-29)),OFFSET(DZ79,0,-MIN(60,COLUMN()-29),1,MIN(60,COLUMN()-29))),0)</f>
        <v>360.32621184</v>
      </c>
      <c r="EA80" s="112" t="n">
        <f aca="true">IFERROR(SUMPRODUCT(OFFSET($BJ$31,0,1-MIN(60,COLUMN()-29),1,MIN(60,COLUMN()-29)),OFFSET(EA79,0,-MIN(60,COLUMN()-29),1,MIN(60,COLUMN()-29))),0)</f>
        <v>355.41140544</v>
      </c>
      <c r="EB80" s="112" t="n">
        <f aca="true">IFERROR(SUMPRODUCT(OFFSET($BJ$31,0,1-MIN(60,COLUMN()-29),1,MIN(60,COLUMN()-29)),OFFSET(EB79,0,-MIN(60,COLUMN()-29),1,MIN(60,COLUMN()-29))),0)</f>
        <v>360.49462848</v>
      </c>
      <c r="EC80" s="112" t="n">
        <f aca="true">IFERROR(SUMPRODUCT(OFFSET($BJ$31,0,1-MIN(60,COLUMN()-29),1,MIN(60,COLUMN()-29)),OFFSET(EC79,0,-MIN(60,COLUMN()-29),1,MIN(60,COLUMN()-29))),0)</f>
        <v>377.88295104</v>
      </c>
      <c r="ED80" s="112" t="n">
        <f aca="true">IFERROR(SUMPRODUCT(OFFSET($BJ$31,0,1-MIN(60,COLUMN()-29),1,MIN(60,COLUMN()-29)),OFFSET(ED79,0,-MIN(60,COLUMN()-29),1,MIN(60,COLUMN()-29))),0)</f>
        <v>370.21166784</v>
      </c>
      <c r="EE80" s="112" t="n">
        <f aca="true">IFERROR(SUMPRODUCT(OFFSET($BJ$31,0,1-MIN(60,COLUMN()-29),1,MIN(60,COLUMN()-29)),OFFSET(EE79,0,-MIN(60,COLUMN()-29),1,MIN(60,COLUMN()-29))),0)</f>
        <v>362.27830464</v>
      </c>
      <c r="EF80" s="112" t="n">
        <f aca="true">IFERROR(SUMPRODUCT(OFFSET($BJ$31,0,1-MIN(60,COLUMN()-29),1,MIN(60,COLUMN()-29)),OFFSET(EF79,0,-MIN(60,COLUMN()-29),1,MIN(60,COLUMN()-29))),0)</f>
        <v>353.82053952</v>
      </c>
      <c r="EG80" s="112" t="n">
        <f aca="true">IFERROR(SUMPRODUCT(OFFSET($BJ$31,0,1-MIN(60,COLUMN()-29),1,MIN(60,COLUMN()-29)),OFFSET(EG79,0,-MIN(60,COLUMN()-29),1,MIN(60,COLUMN()-29))),0)</f>
        <v>366.89736384</v>
      </c>
      <c r="EH80" s="112" t="n">
        <f aca="true">IFERROR(SUMPRODUCT(OFFSET($BJ$31,0,1-MIN(60,COLUMN()-29),1,MIN(60,COLUMN()-29)),OFFSET(EH79,0,-MIN(60,COLUMN()-29),1,MIN(60,COLUMN()-29))),0)</f>
        <v>367.16879808</v>
      </c>
      <c r="EI80" s="112" t="n">
        <f aca="true">IFERROR(SUMPRODUCT(OFFSET($BJ$31,0,1-MIN(60,COLUMN()-29),1,MIN(60,COLUMN()-29)),OFFSET(EI79,0,-MIN(60,COLUMN()-29),1,MIN(60,COLUMN()-29))),0)</f>
        <v>362.16165888</v>
      </c>
      <c r="EJ80" s="112" t="n">
        <f aca="true">IFERROR(SUMPRODUCT(OFFSET($BJ$31,0,1-MIN(60,COLUMN()-29),1,MIN(60,COLUMN()-29)),OFFSET(EJ79,0,-MIN(60,COLUMN()-29),1,MIN(60,COLUMN()-29))),0)</f>
        <v>371.12761728</v>
      </c>
      <c r="EK80" s="112" t="n">
        <f aca="true">IFERROR(SUMPRODUCT(OFFSET($BJ$31,0,1-MIN(60,COLUMN()-29),1,MIN(60,COLUMN()-29)),OFFSET(EK79,0,-MIN(60,COLUMN()-29),1,MIN(60,COLUMN()-29))),0)</f>
        <v>368.33223168</v>
      </c>
      <c r="EL80" s="112" t="n">
        <f aca="true">IFERROR(SUMPRODUCT(OFFSET($BJ$31,0,1-MIN(60,COLUMN()-29),1,MIN(60,COLUMN()-29)),OFFSET(EL79,0,-MIN(60,COLUMN()-29),1,MIN(60,COLUMN()-29))),0)</f>
        <v>363.7138176</v>
      </c>
      <c r="EM80" s="112" t="n">
        <f aca="true">IFERROR(SUMPRODUCT(OFFSET($BJ$31,0,1-MIN(60,COLUMN()-29),1,MIN(60,COLUMN()-29)),OFFSET(EM79,0,-MIN(60,COLUMN()-29),1,MIN(60,COLUMN()-29))),0)</f>
        <v>358.391376</v>
      </c>
      <c r="EN80" s="112" t="n">
        <f aca="true">IFERROR(SUMPRODUCT(OFFSET($BJ$31,0,1-MIN(60,COLUMN()-29),1,MIN(60,COLUMN()-29)),OFFSET(EN79,0,-MIN(60,COLUMN()-29),1,MIN(60,COLUMN()-29))),0)</f>
        <v>363.108816</v>
      </c>
      <c r="EO80" s="112" t="n">
        <f aca="true">IFERROR(SUMPRODUCT(OFFSET($BJ$31,0,1-MIN(60,COLUMN()-29),1,MIN(60,COLUMN()-29)),OFFSET(EO79,0,-MIN(60,COLUMN()-29),1,MIN(60,COLUMN()-29))),0)</f>
        <v>379.93032</v>
      </c>
      <c r="EP80" s="112" t="n">
        <f aca="true">IFERROR(SUMPRODUCT(OFFSET($BJ$31,0,1-MIN(60,COLUMN()-29),1,MIN(60,COLUMN()-29)),OFFSET(EP79,0,-MIN(60,COLUMN()-29),1,MIN(60,COLUMN()-29))),0)</f>
        <v>371.838096</v>
      </c>
      <c r="EQ80" s="112" t="n">
        <f aca="true">IFERROR(SUMPRODUCT(OFFSET($BJ$31,0,1-MIN(60,COLUMN()-29),1,MIN(60,COLUMN()-29)),OFFSET(EQ79,0,-MIN(60,COLUMN()-29),1,MIN(60,COLUMN()-29))),0)</f>
        <v>363.556368</v>
      </c>
      <c r="ER80" s="112" t="n">
        <f aca="true">IFERROR(SUMPRODUCT(OFFSET($BJ$31,0,1-MIN(60,COLUMN()-29),1,MIN(60,COLUMN()-29)),OFFSET(ER79,0,-MIN(60,COLUMN()-29),1,MIN(60,COLUMN()-29))),0)</f>
        <v>354.889584</v>
      </c>
      <c r="ES80" s="9" t="n">
        <f aca="true">IFERROR(SUMPRODUCT(OFFSET($BJ$31,0,1-MIN(60,COLUMN()-29),1,MIN(60,COLUMN()-29)),OFFSET(ES79,0,-MIN(60,COLUMN()-29),1,MIN(60,COLUMN()-29))),0)</f>
        <v>367.707312</v>
      </c>
      <c r="ET80" s="9" t="n">
        <f aca="true">IFERROR(SUMPRODUCT(OFFSET($BJ$31,0,1-MIN(60,COLUMN()-29),1,MIN(60,COLUMN()-29)),OFFSET(ET79,0,-MIN(60,COLUMN()-29),1,MIN(60,COLUMN()-29))),0)</f>
        <v>367.7436</v>
      </c>
      <c r="EU80" s="9" t="n">
        <f aca="true">IFERROR(SUMPRODUCT(OFFSET($BJ$31,0,1-MIN(60,COLUMN()-29),1,MIN(60,COLUMN()-29)),OFFSET(EU79,0,-MIN(60,COLUMN()-29),1,MIN(60,COLUMN()-29))),0)</f>
        <v>362.58768</v>
      </c>
      <c r="EV80" s="9" t="n">
        <f aca="true">IFERROR(SUMPRODUCT(OFFSET($BJ$31,0,1-MIN(60,COLUMN()-29),1,MIN(60,COLUMN()-29)),OFFSET(EV79,0,-MIN(60,COLUMN()-29),1,MIN(60,COLUMN()-29))),0)</f>
        <v>371.343168</v>
      </c>
      <c r="EW80" s="9" t="n">
        <f aca="true">IFERROR(SUMPRODUCT(OFFSET($BJ$31,0,1-MIN(60,COLUMN()-29),1,MIN(60,COLUMN()-29)),OFFSET(EW79,0,-MIN(60,COLUMN()-29),1,MIN(60,COLUMN()-29))),0)</f>
        <v>368.428032</v>
      </c>
      <c r="EX80" s="9" t="n">
        <f aca="true">IFERROR(SUMPRODUCT(OFFSET($BJ$31,0,1-MIN(60,COLUMN()-29),1,MIN(60,COLUMN()-29)),OFFSET(EX79,0,-MIN(60,COLUMN()-29),1,MIN(60,COLUMN()-29))),0)</f>
        <v>363.742848</v>
      </c>
      <c r="EY80" s="9" t="n">
        <f aca="true">IFERROR(SUMPRODUCT(OFFSET($BJ$31,0,1-MIN(60,COLUMN()-29),1,MIN(60,COLUMN()-29)),OFFSET(EY79,0,-MIN(60,COLUMN()-29),1,MIN(60,COLUMN()-29))),0)</f>
        <v>358.391376</v>
      </c>
      <c r="EZ80" s="9" t="n">
        <f aca="true">IFERROR(SUMPRODUCT(OFFSET($BJ$31,0,1-MIN(60,COLUMN()-29),1,MIN(60,COLUMN()-29)),OFFSET(EZ79,0,-MIN(60,COLUMN()-29),1,MIN(60,COLUMN()-29))),0)</f>
        <v>363.108816</v>
      </c>
      <c r="FA80" s="9" t="n">
        <f aca="true">IFERROR(SUMPRODUCT(OFFSET($BJ$31,0,1-MIN(60,COLUMN()-29),1,MIN(60,COLUMN()-29)),OFFSET(FA79,0,-MIN(60,COLUMN()-29),1,MIN(60,COLUMN()-29))),0)</f>
        <v>379.93032</v>
      </c>
      <c r="FB80" s="9" t="n">
        <f aca="true">IFERROR(SUMPRODUCT(OFFSET($BJ$31,0,1-MIN(60,COLUMN()-29),1,MIN(60,COLUMN()-29)),OFFSET(FB79,0,-MIN(60,COLUMN()-29),1,MIN(60,COLUMN()-29))),0)</f>
        <v>371.838096</v>
      </c>
      <c r="FC80" s="9" t="n">
        <f aca="true">IFERROR(SUMPRODUCT(OFFSET($BJ$31,0,1-MIN(60,COLUMN()-29),1,MIN(60,COLUMN()-29)),OFFSET(FC79,0,-MIN(60,COLUMN()-29),1,MIN(60,COLUMN()-29))),0)</f>
        <v>363.556368</v>
      </c>
      <c r="FD80" s="9" t="n">
        <f aca="true">IFERROR(SUMPRODUCT(OFFSET($BJ$31,0,1-MIN(60,COLUMN()-29),1,MIN(60,COLUMN()-29)),OFFSET(FD79,0,-MIN(60,COLUMN()-29),1,MIN(60,COLUMN()-29))),0)</f>
        <v>354.889584</v>
      </c>
      <c r="FE80" s="9" t="n">
        <f aca="true">IFERROR(SUMPRODUCT(OFFSET($BJ$31,0,1-MIN(60,COLUMN()-29),1,MIN(60,COLUMN()-29)),OFFSET(FE79,0,-MIN(60,COLUMN()-29),1,MIN(60,COLUMN()-29))),0)</f>
        <v>367.707312</v>
      </c>
      <c r="FF80" s="9" t="n">
        <f aca="true">IFERROR(SUMPRODUCT(OFFSET($BJ$31,0,1-MIN(60,COLUMN()-29),1,MIN(60,COLUMN()-29)),OFFSET(FF79,0,-MIN(60,COLUMN()-29),1,MIN(60,COLUMN()-29))),0)</f>
        <v>367.7436</v>
      </c>
      <c r="FG80" s="9" t="n">
        <f aca="true">IFERROR(SUMPRODUCT(OFFSET($BJ$31,0,1-MIN(60,COLUMN()-29),1,MIN(60,COLUMN()-29)),OFFSET(FG79,0,-MIN(60,COLUMN()-29),1,MIN(60,COLUMN()-29))),0)</f>
        <v>362.58768</v>
      </c>
      <c r="FH80" s="9" t="n">
        <f aca="true">IFERROR(SUMPRODUCT(OFFSET($BJ$31,0,1-MIN(60,COLUMN()-29),1,MIN(60,COLUMN()-29)),OFFSET(FH79,0,-MIN(60,COLUMN()-29),1,MIN(60,COLUMN()-29))),0)</f>
        <v>371.343168</v>
      </c>
      <c r="FI80" s="9" t="n">
        <f aca="true">IFERROR(SUMPRODUCT(OFFSET($BJ$31,0,1-MIN(60,COLUMN()-29),1,MIN(60,COLUMN()-29)),OFFSET(FI79,0,-MIN(60,COLUMN()-29),1,MIN(60,COLUMN()-29))),0)</f>
        <v>368.428032</v>
      </c>
      <c r="FJ80" s="9" t="n">
        <f aca="true">IFERROR(SUMPRODUCT(OFFSET($BJ$31,0,1-MIN(60,COLUMN()-29),1,MIN(60,COLUMN()-29)),OFFSET(FJ79,0,-MIN(60,COLUMN()-29),1,MIN(60,COLUMN()-29))),0)</f>
        <v>363.742848</v>
      </c>
      <c r="FK80" s="9" t="n">
        <f aca="true">IFERROR(SUMPRODUCT(OFFSET($BJ$31,0,1-MIN(60,COLUMN()-29),1,MIN(60,COLUMN()-29)),OFFSET(FK79,0,-MIN(60,COLUMN()-29),1,MIN(60,COLUMN()-29))),0)</f>
        <v>358.391376</v>
      </c>
      <c r="FL80" s="9" t="n">
        <f aca="true">IFERROR(SUMPRODUCT(OFFSET($BJ$31,0,1-MIN(60,COLUMN()-29),1,MIN(60,COLUMN()-29)),OFFSET(FL79,0,-MIN(60,COLUMN()-29),1,MIN(60,COLUMN()-29))),0)</f>
        <v>363.108816</v>
      </c>
      <c r="FM80" s="9" t="n">
        <f aca="true">IFERROR(SUMPRODUCT(OFFSET($BJ$31,0,1-MIN(60,COLUMN()-29),1,MIN(60,COLUMN()-29)),OFFSET(FM79,0,-MIN(60,COLUMN()-29),1,MIN(60,COLUMN()-29))),0)</f>
        <v>379.93032</v>
      </c>
      <c r="FN80" s="9" t="n">
        <f aca="true">IFERROR(SUMPRODUCT(OFFSET($BJ$31,0,1-MIN(60,COLUMN()-29),1,MIN(60,COLUMN()-29)),OFFSET(FN79,0,-MIN(60,COLUMN()-29),1,MIN(60,COLUMN()-29))),0)</f>
        <v>371.838096</v>
      </c>
      <c r="FO80" s="9" t="n">
        <f aca="true">IFERROR(SUMPRODUCT(OFFSET($BJ$31,0,1-MIN(60,COLUMN()-29),1,MIN(60,COLUMN()-29)),OFFSET(FO79,0,-MIN(60,COLUMN()-29),1,MIN(60,COLUMN()-29))),0)</f>
        <v>363.556368</v>
      </c>
      <c r="FP80" s="9" t="n">
        <f aca="true">IFERROR(SUMPRODUCT(OFFSET($BJ$31,0,1-MIN(60,COLUMN()-29),1,MIN(60,COLUMN()-29)),OFFSET(FP79,0,-MIN(60,COLUMN()-29),1,MIN(60,COLUMN()-29))),0)</f>
        <v>354.889584</v>
      </c>
    </row>
    <row r="81" customFormat="false" ht="15" hidden="false" customHeight="false" outlineLevel="2" collapsed="false">
      <c r="B81" s="90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237"/>
      <c r="AD81" s="237"/>
      <c r="AE81" s="237"/>
      <c r="AF81" s="237"/>
      <c r="AG81" s="237"/>
      <c r="AH81" s="237"/>
      <c r="AI81" s="237"/>
      <c r="AJ81" s="237"/>
      <c r="AK81" s="237"/>
      <c r="AL81" s="237"/>
      <c r="AM81" s="237"/>
      <c r="AN81" s="237"/>
      <c r="AO81" s="237"/>
      <c r="AP81" s="237"/>
      <c r="AQ81" s="237"/>
      <c r="AR81" s="237"/>
      <c r="AS81" s="237"/>
      <c r="AT81" s="237"/>
      <c r="AU81" s="237"/>
      <c r="AV81" s="237"/>
      <c r="AW81" s="237"/>
      <c r="AX81" s="237"/>
      <c r="AY81" s="237"/>
      <c r="AZ81" s="237"/>
      <c r="BA81" s="237"/>
      <c r="BB81" s="237"/>
      <c r="BC81" s="237"/>
      <c r="BD81" s="237"/>
      <c r="BE81" s="237"/>
      <c r="BF81" s="237"/>
      <c r="BG81" s="237"/>
      <c r="BH81" s="237"/>
      <c r="BI81" s="237"/>
      <c r="BJ81" s="237"/>
      <c r="BK81" s="237"/>
      <c r="BL81" s="237"/>
      <c r="BM81" s="237"/>
      <c r="BN81" s="237"/>
      <c r="BO81" s="237"/>
      <c r="BP81" s="237"/>
      <c r="BQ81" s="237"/>
      <c r="BR81" s="237"/>
      <c r="BS81" s="237"/>
      <c r="BT81" s="237"/>
      <c r="BU81" s="237"/>
      <c r="BV81" s="237"/>
      <c r="BW81" s="237"/>
      <c r="BX81" s="237"/>
      <c r="BY81" s="237"/>
      <c r="BZ81" s="237"/>
      <c r="CA81" s="237"/>
      <c r="CB81" s="237"/>
      <c r="CC81" s="237"/>
      <c r="CD81" s="237"/>
      <c r="CE81" s="237"/>
      <c r="CF81" s="237"/>
      <c r="CG81" s="237"/>
      <c r="CH81" s="237"/>
      <c r="CI81" s="237"/>
      <c r="CJ81" s="237"/>
      <c r="CK81" s="237"/>
      <c r="CL81" s="237"/>
      <c r="CM81" s="237"/>
      <c r="CN81" s="237"/>
      <c r="CO81" s="237"/>
      <c r="CP81" s="237"/>
      <c r="CQ81" s="237"/>
      <c r="CR81" s="237"/>
      <c r="CS81" s="237"/>
      <c r="CT81" s="237"/>
      <c r="CU81" s="237"/>
      <c r="CV81" s="237"/>
      <c r="CW81" s="237"/>
      <c r="CX81" s="237"/>
      <c r="CY81" s="237"/>
      <c r="CZ81" s="237"/>
      <c r="DA81" s="237"/>
      <c r="DB81" s="237"/>
      <c r="DC81" s="237"/>
      <c r="DD81" s="237"/>
      <c r="DE81" s="237"/>
      <c r="DF81" s="237"/>
      <c r="DG81" s="237"/>
      <c r="DH81" s="237"/>
      <c r="DI81" s="237"/>
      <c r="DJ81" s="237"/>
      <c r="DK81" s="237"/>
      <c r="DL81" s="237"/>
      <c r="DM81" s="237"/>
      <c r="DN81" s="237"/>
      <c r="DO81" s="237"/>
      <c r="DP81" s="237"/>
      <c r="DQ81" s="237"/>
      <c r="DR81" s="237"/>
      <c r="DS81" s="237"/>
      <c r="DT81" s="237"/>
      <c r="DU81" s="237"/>
      <c r="DV81" s="237"/>
      <c r="DW81" s="237"/>
      <c r="DX81" s="237"/>
      <c r="DY81" s="237"/>
      <c r="DZ81" s="237"/>
      <c r="EA81" s="237"/>
      <c r="EB81" s="237"/>
      <c r="EC81" s="237"/>
      <c r="ED81" s="237"/>
      <c r="EE81" s="237"/>
      <c r="EF81" s="237"/>
      <c r="EG81" s="237"/>
      <c r="EH81" s="237"/>
      <c r="EI81" s="237"/>
      <c r="EJ81" s="237"/>
      <c r="EK81" s="237"/>
      <c r="EL81" s="237"/>
      <c r="EM81" s="237"/>
      <c r="EN81" s="237"/>
      <c r="EO81" s="237"/>
      <c r="EP81" s="237"/>
      <c r="EQ81" s="237"/>
      <c r="ER81" s="237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</row>
    <row r="82" customFormat="false" ht="15" hidden="false" customHeight="false" outlineLevel="2" collapsed="false">
      <c r="B82" s="240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237"/>
      <c r="AD82" s="237"/>
      <c r="AE82" s="237"/>
      <c r="AF82" s="237"/>
      <c r="AG82" s="237"/>
      <c r="AH82" s="237"/>
      <c r="AI82" s="237"/>
      <c r="AJ82" s="237"/>
      <c r="AK82" s="237"/>
      <c r="AL82" s="237"/>
      <c r="AM82" s="237"/>
      <c r="AN82" s="237"/>
      <c r="AO82" s="237"/>
      <c r="AP82" s="237"/>
      <c r="AQ82" s="237"/>
      <c r="AR82" s="237"/>
      <c r="AS82" s="237"/>
      <c r="AT82" s="237"/>
      <c r="AU82" s="237"/>
      <c r="AV82" s="237"/>
      <c r="AW82" s="237"/>
      <c r="AX82" s="237"/>
      <c r="AY82" s="237"/>
      <c r="AZ82" s="237"/>
      <c r="BA82" s="237"/>
      <c r="BB82" s="237"/>
      <c r="BC82" s="237"/>
      <c r="BD82" s="237"/>
      <c r="BE82" s="237"/>
      <c r="BF82" s="237"/>
      <c r="BG82" s="237"/>
      <c r="BH82" s="237"/>
      <c r="BI82" s="237"/>
      <c r="BJ82" s="237"/>
      <c r="BK82" s="237"/>
      <c r="BL82" s="237"/>
      <c r="BM82" s="237"/>
      <c r="BN82" s="237"/>
      <c r="BO82" s="237"/>
      <c r="BP82" s="237"/>
      <c r="BQ82" s="237"/>
      <c r="BR82" s="237"/>
      <c r="BS82" s="237"/>
      <c r="BT82" s="237"/>
      <c r="BU82" s="237"/>
      <c r="BV82" s="237"/>
      <c r="BW82" s="237"/>
      <c r="BX82" s="237"/>
      <c r="BY82" s="237"/>
      <c r="BZ82" s="237"/>
      <c r="CA82" s="237"/>
      <c r="CB82" s="237"/>
      <c r="CC82" s="237"/>
      <c r="CD82" s="237"/>
      <c r="CE82" s="237"/>
      <c r="CF82" s="237"/>
      <c r="CG82" s="237"/>
      <c r="CH82" s="237"/>
      <c r="CI82" s="237"/>
      <c r="CJ82" s="237"/>
      <c r="CK82" s="237"/>
      <c r="CL82" s="237"/>
      <c r="CM82" s="237"/>
      <c r="CN82" s="237"/>
      <c r="CO82" s="237"/>
      <c r="CP82" s="237"/>
      <c r="CQ82" s="237"/>
      <c r="CR82" s="237"/>
      <c r="CS82" s="237"/>
      <c r="CT82" s="237"/>
      <c r="CU82" s="237"/>
      <c r="CV82" s="237"/>
      <c r="CW82" s="237"/>
      <c r="CX82" s="237"/>
      <c r="CY82" s="237"/>
      <c r="CZ82" s="237"/>
      <c r="DA82" s="237"/>
      <c r="DB82" s="237"/>
      <c r="DC82" s="237"/>
      <c r="DD82" s="237"/>
      <c r="DE82" s="237"/>
      <c r="DF82" s="237"/>
      <c r="DG82" s="237"/>
      <c r="DH82" s="237"/>
      <c r="DI82" s="237"/>
      <c r="DJ82" s="237"/>
      <c r="DK82" s="237"/>
      <c r="DL82" s="237"/>
      <c r="DM82" s="237"/>
      <c r="DN82" s="237"/>
      <c r="DO82" s="237"/>
      <c r="DP82" s="237"/>
      <c r="DQ82" s="237"/>
      <c r="DR82" s="237"/>
      <c r="DS82" s="237"/>
      <c r="DT82" s="237"/>
      <c r="DU82" s="237"/>
      <c r="DV82" s="237"/>
      <c r="DW82" s="237"/>
      <c r="DX82" s="237"/>
      <c r="DY82" s="237"/>
      <c r="DZ82" s="237"/>
      <c r="EA82" s="237"/>
      <c r="EB82" s="237"/>
      <c r="EC82" s="237"/>
      <c r="ED82" s="237"/>
      <c r="EE82" s="237"/>
      <c r="EF82" s="237"/>
      <c r="EG82" s="237"/>
      <c r="EH82" s="237"/>
      <c r="EI82" s="237"/>
      <c r="EJ82" s="237"/>
      <c r="EK82" s="237"/>
      <c r="EL82" s="237"/>
      <c r="EM82" s="237"/>
      <c r="EN82" s="237"/>
      <c r="EO82" s="237"/>
      <c r="EP82" s="237"/>
      <c r="EQ82" s="237"/>
      <c r="ER82" s="237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</row>
    <row r="83" customFormat="false" ht="15" hidden="false" customHeight="false" outlineLevel="2" collapsed="false">
      <c r="B83" s="21" t="s">
        <v>881</v>
      </c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</row>
    <row r="84" customFormat="false" ht="15" hidden="false" customHeight="false" outlineLevel="2" collapsed="false">
      <c r="B84" s="9" t="s">
        <v>872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234" t="n">
        <f aca="false">('⑫ Roll-out Plan'!G14-2025)*12+'⑫ Roll-out Plan'!F14</f>
        <v>32</v>
      </c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</row>
    <row r="85" customFormat="false" ht="15" hidden="false" customHeight="false" outlineLevel="2" collapsed="false">
      <c r="B85" s="9" t="s">
        <v>873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235" t="n">
        <f aca="false">VLOOKUP("A",$B$14:$C$18,2,FALSE())</f>
        <v>210</v>
      </c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</row>
    <row r="86" customFormat="false" ht="15" hidden="false" customHeight="false" outlineLevel="2" collapsed="false">
      <c r="B86" s="9" t="s">
        <v>799</v>
      </c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63" t="n">
        <f aca="false">IF(AC$35&gt;=$AC$84,AC$35-$AC$84+1,0)</f>
        <v>0</v>
      </c>
      <c r="AD86" s="63" t="n">
        <f aca="false">IF(AD$35&gt;=$AC$84,AD$35-$AC$84+1,0)</f>
        <v>0</v>
      </c>
      <c r="AE86" s="63" t="n">
        <f aca="false">IF(AE$35&gt;=$AC$84,AE$35-$AC$84+1,0)</f>
        <v>0</v>
      </c>
      <c r="AF86" s="63" t="n">
        <f aca="false">IF(AF$35&gt;=$AC$84,AF$35-$AC$84+1,0)</f>
        <v>0</v>
      </c>
      <c r="AG86" s="63" t="n">
        <f aca="false">IF(AG$35&gt;=$AC$84,AG$35-$AC$84+1,0)</f>
        <v>0</v>
      </c>
      <c r="AH86" s="63" t="n">
        <f aca="false">IF(AH$35&gt;=$AC$84,AH$35-$AC$84+1,0)</f>
        <v>0</v>
      </c>
      <c r="AI86" s="63" t="n">
        <f aca="false">IF(AI$35&gt;=$AC$84,AI$35-$AC$84+1,0)</f>
        <v>0</v>
      </c>
      <c r="AJ86" s="63" t="n">
        <f aca="false">IF(AJ$35&gt;=$AC$84,AJ$35-$AC$84+1,0)</f>
        <v>0</v>
      </c>
      <c r="AK86" s="63" t="n">
        <f aca="false">IF(AK$35&gt;=$AC$84,AK$35-$AC$84+1,0)</f>
        <v>0</v>
      </c>
      <c r="AL86" s="63" t="n">
        <f aca="false">IF(AL$35&gt;=$AC$84,AL$35-$AC$84+1,0)</f>
        <v>0</v>
      </c>
      <c r="AM86" s="63" t="n">
        <f aca="false">IF(AM$35&gt;=$AC$84,AM$35-$AC$84+1,0)</f>
        <v>0</v>
      </c>
      <c r="AN86" s="63" t="n">
        <f aca="false">IF(AN$35&gt;=$AC$84,AN$35-$AC$84+1,0)</f>
        <v>0</v>
      </c>
      <c r="AO86" s="63" t="n">
        <f aca="false">IF(AO$35&gt;=$AC$84,AO$35-$AC$84+1,0)</f>
        <v>0</v>
      </c>
      <c r="AP86" s="63" t="n">
        <f aca="false">IF(AP$35&gt;=$AC$84,AP$35-$AC$84+1,0)</f>
        <v>0</v>
      </c>
      <c r="AQ86" s="63" t="n">
        <f aca="false">IF(AQ$35&gt;=$AC$84,AQ$35-$AC$84+1,0)</f>
        <v>0</v>
      </c>
      <c r="AR86" s="63" t="n">
        <f aca="false">IF(AR$35&gt;=$AC$84,AR$35-$AC$84+1,0)</f>
        <v>0</v>
      </c>
      <c r="AS86" s="63" t="n">
        <f aca="false">IF(AS$35&gt;=$AC$84,AS$35-$AC$84+1,0)</f>
        <v>0</v>
      </c>
      <c r="AT86" s="63" t="n">
        <f aca="false">IF(AT$35&gt;=$AC$84,AT$35-$AC$84+1,0)</f>
        <v>0</v>
      </c>
      <c r="AU86" s="63" t="n">
        <f aca="false">IF(AU$35&gt;=$AC$84,AU$35-$AC$84+1,0)</f>
        <v>0</v>
      </c>
      <c r="AV86" s="63" t="n">
        <f aca="false">IF(AV$35&gt;=$AC$84,AV$35-$AC$84+1,0)</f>
        <v>0</v>
      </c>
      <c r="AW86" s="63" t="n">
        <f aca="false">IF(AW$35&gt;=$AC$84,AW$35-$AC$84+1,0)</f>
        <v>0</v>
      </c>
      <c r="AX86" s="63" t="n">
        <f aca="false">IF(AX$35&gt;=$AC$84,AX$35-$AC$84+1,0)</f>
        <v>0</v>
      </c>
      <c r="AY86" s="63" t="n">
        <f aca="false">IF(AY$35&gt;=$AC$84,AY$35-$AC$84+1,0)</f>
        <v>0</v>
      </c>
      <c r="AZ86" s="63" t="n">
        <f aca="false">IF(AZ$35&gt;=$AC$84,AZ$35-$AC$84+1,0)</f>
        <v>0</v>
      </c>
      <c r="BA86" s="63" t="n">
        <f aca="false">IF(BA$35&gt;=$AC$84,BA$35-$AC$84+1,0)</f>
        <v>0</v>
      </c>
      <c r="BB86" s="63" t="n">
        <f aca="false">IF(BB$35&gt;=$AC$84,BB$35-$AC$84+1,0)</f>
        <v>0</v>
      </c>
      <c r="BC86" s="63" t="n">
        <f aca="false">IF(BC$35&gt;=$AC$84,BC$35-$AC$84+1,0)</f>
        <v>0</v>
      </c>
      <c r="BD86" s="63" t="n">
        <f aca="false">IF(BD$35&gt;=$AC$84,BD$35-$AC$84+1,0)</f>
        <v>0</v>
      </c>
      <c r="BE86" s="63" t="n">
        <f aca="false">IF(BE$35&gt;=$AC$84,BE$35-$AC$84+1,0)</f>
        <v>0</v>
      </c>
      <c r="BF86" s="63" t="n">
        <f aca="false">IF(BF$35&gt;=$AC$84,BF$35-$AC$84+1,0)</f>
        <v>0</v>
      </c>
      <c r="BG86" s="63" t="n">
        <f aca="false">IF(BG$35&gt;=$AC$84,BG$35-$AC$84+1,0)</f>
        <v>0</v>
      </c>
      <c r="BH86" s="63" t="n">
        <f aca="false">IF(BH$35&gt;=$AC$84,BH$35-$AC$84+1,0)</f>
        <v>1</v>
      </c>
      <c r="BI86" s="63" t="n">
        <f aca="false">IF(BI$35&gt;=$AC$84,BI$35-$AC$84+1,0)</f>
        <v>2</v>
      </c>
      <c r="BJ86" s="63" t="n">
        <f aca="false">IF(BJ$35&gt;=$AC$84,BJ$35-$AC$84+1,0)</f>
        <v>3</v>
      </c>
      <c r="BK86" s="63" t="n">
        <f aca="false">IF(BK$35&gt;=$AC$84,BK$35-$AC$84+1,0)</f>
        <v>4</v>
      </c>
      <c r="BL86" s="63" t="n">
        <f aca="false">IF(BL$35&gt;=$AC$84,BL$35-$AC$84+1,0)</f>
        <v>5</v>
      </c>
      <c r="BM86" s="63" t="n">
        <f aca="false">IF(BM$35&gt;=$AC$84,BM$35-$AC$84+1,0)</f>
        <v>6</v>
      </c>
      <c r="BN86" s="63" t="n">
        <f aca="false">IF(BN$35&gt;=$AC$84,BN$35-$AC$84+1,0)</f>
        <v>7</v>
      </c>
      <c r="BO86" s="63" t="n">
        <f aca="false">IF(BO$35&gt;=$AC$84,BO$35-$AC$84+1,0)</f>
        <v>8</v>
      </c>
      <c r="BP86" s="63" t="n">
        <f aca="false">IF(BP$35&gt;=$AC$84,BP$35-$AC$84+1,0)</f>
        <v>9</v>
      </c>
      <c r="BQ86" s="63" t="n">
        <f aca="false">IF(BQ$35&gt;=$AC$84,BQ$35-$AC$84+1,0)</f>
        <v>10</v>
      </c>
      <c r="BR86" s="63" t="n">
        <f aca="false">IF(BR$35&gt;=$AC$84,BR$35-$AC$84+1,0)</f>
        <v>11</v>
      </c>
      <c r="BS86" s="63" t="n">
        <f aca="false">IF(BS$35&gt;=$AC$84,BS$35-$AC$84+1,0)</f>
        <v>12</v>
      </c>
      <c r="BT86" s="63" t="n">
        <f aca="false">IF(BT$35&gt;=$AC$84,BT$35-$AC$84+1,0)</f>
        <v>13</v>
      </c>
      <c r="BU86" s="63" t="n">
        <f aca="false">IF(BU$35&gt;=$AC$84,BU$35-$AC$84+1,0)</f>
        <v>14</v>
      </c>
      <c r="BV86" s="63" t="n">
        <f aca="false">IF(BV$35&gt;=$AC$84,BV$35-$AC$84+1,0)</f>
        <v>15</v>
      </c>
      <c r="BW86" s="63" t="n">
        <f aca="false">IF(BW$35&gt;=$AC$84,BW$35-$AC$84+1,0)</f>
        <v>16</v>
      </c>
      <c r="BX86" s="63" t="n">
        <f aca="false">IF(BX$35&gt;=$AC$84,BX$35-$AC$84+1,0)</f>
        <v>17</v>
      </c>
      <c r="BY86" s="63" t="n">
        <f aca="false">IF(BY$35&gt;=$AC$84,BY$35-$AC$84+1,0)</f>
        <v>18</v>
      </c>
      <c r="BZ86" s="63" t="n">
        <f aca="false">IF(BZ$35&gt;=$AC$84,BZ$35-$AC$84+1,0)</f>
        <v>19</v>
      </c>
      <c r="CA86" s="63" t="n">
        <f aca="false">IF(CA$35&gt;=$AC$84,CA$35-$AC$84+1,0)</f>
        <v>20</v>
      </c>
      <c r="CB86" s="63" t="n">
        <f aca="false">IF(CB$35&gt;=$AC$84,CB$35-$AC$84+1,0)</f>
        <v>21</v>
      </c>
      <c r="CC86" s="63" t="n">
        <f aca="false">IF(CC$35&gt;=$AC$84,CC$35-$AC$84+1,0)</f>
        <v>22</v>
      </c>
      <c r="CD86" s="63" t="n">
        <f aca="false">IF(CD$35&gt;=$AC$84,CD$35-$AC$84+1,0)</f>
        <v>23</v>
      </c>
      <c r="CE86" s="63" t="n">
        <f aca="false">IF(CE$35&gt;=$AC$84,CE$35-$AC$84+1,0)</f>
        <v>24</v>
      </c>
      <c r="CF86" s="63" t="n">
        <f aca="false">IF(CF$35&gt;=$AC$84,CF$35-$AC$84+1,0)</f>
        <v>25</v>
      </c>
      <c r="CG86" s="63" t="n">
        <f aca="false">IF(CG$35&gt;=$AC$84,CG$35-$AC$84+1,0)</f>
        <v>26</v>
      </c>
      <c r="CH86" s="63" t="n">
        <f aca="false">IF(CH$35&gt;=$AC$84,CH$35-$AC$84+1,0)</f>
        <v>27</v>
      </c>
      <c r="CI86" s="63" t="n">
        <f aca="false">IF(CI$35&gt;=$AC$84,CI$35-$AC$84+1,0)</f>
        <v>28</v>
      </c>
      <c r="CJ86" s="63" t="n">
        <f aca="false">IF(CJ$35&gt;=$AC$84,CJ$35-$AC$84+1,0)</f>
        <v>29</v>
      </c>
      <c r="CK86" s="63" t="n">
        <f aca="false">IF(CK$35&gt;=$AC$84,CK$35-$AC$84+1,0)</f>
        <v>30</v>
      </c>
      <c r="CL86" s="63" t="n">
        <f aca="false">IF(CL$35&gt;=$AC$84,CL$35-$AC$84+1,0)</f>
        <v>31</v>
      </c>
      <c r="CM86" s="63" t="n">
        <f aca="false">IF(CM$35&gt;=$AC$84,CM$35-$AC$84+1,0)</f>
        <v>32</v>
      </c>
      <c r="CN86" s="63" t="n">
        <f aca="false">IF(CN$35&gt;=$AC$84,CN$35-$AC$84+1,0)</f>
        <v>33</v>
      </c>
      <c r="CO86" s="63" t="n">
        <f aca="false">IF(CO$35&gt;=$AC$84,CO$35-$AC$84+1,0)</f>
        <v>34</v>
      </c>
      <c r="CP86" s="63" t="n">
        <f aca="false">IF(CP$35&gt;=$AC$84,CP$35-$AC$84+1,0)</f>
        <v>35</v>
      </c>
      <c r="CQ86" s="63" t="n">
        <f aca="false">IF(CQ$35&gt;=$AC$84,CQ$35-$AC$84+1,0)</f>
        <v>36</v>
      </c>
      <c r="CR86" s="63" t="n">
        <f aca="false">IF(CR$35&gt;=$AC$84,CR$35-$AC$84+1,0)</f>
        <v>37</v>
      </c>
      <c r="CS86" s="63" t="n">
        <f aca="false">IF(CS$35&gt;=$AC$84,CS$35-$AC$84+1,0)</f>
        <v>38</v>
      </c>
      <c r="CT86" s="63" t="n">
        <f aca="false">IF(CT$35&gt;=$AC$84,CT$35-$AC$84+1,0)</f>
        <v>39</v>
      </c>
      <c r="CU86" s="63" t="n">
        <f aca="false">IF(CU$35&gt;=$AC$84,CU$35-$AC$84+1,0)</f>
        <v>40</v>
      </c>
      <c r="CV86" s="63" t="n">
        <f aca="false">IF(CV$35&gt;=$AC$84,CV$35-$AC$84+1,0)</f>
        <v>41</v>
      </c>
      <c r="CW86" s="63" t="n">
        <f aca="false">IF(CW$35&gt;=$AC$84,CW$35-$AC$84+1,0)</f>
        <v>42</v>
      </c>
      <c r="CX86" s="63" t="n">
        <f aca="false">IF(CX$35&gt;=$AC$84,CX$35-$AC$84+1,0)</f>
        <v>43</v>
      </c>
      <c r="CY86" s="63" t="n">
        <f aca="false">IF(CY$35&gt;=$AC$84,CY$35-$AC$84+1,0)</f>
        <v>44</v>
      </c>
      <c r="CZ86" s="63" t="n">
        <f aca="false">IF(CZ$35&gt;=$AC$84,CZ$35-$AC$84+1,0)</f>
        <v>45</v>
      </c>
      <c r="DA86" s="63" t="n">
        <f aca="false">IF(DA$35&gt;=$AC$84,DA$35-$AC$84+1,0)</f>
        <v>46</v>
      </c>
      <c r="DB86" s="63" t="n">
        <f aca="false">IF(DB$35&gt;=$AC$84,DB$35-$AC$84+1,0)</f>
        <v>47</v>
      </c>
      <c r="DC86" s="63" t="n">
        <f aca="false">IF(DC$35&gt;=$AC$84,DC$35-$AC$84+1,0)</f>
        <v>48</v>
      </c>
      <c r="DD86" s="63" t="n">
        <f aca="false">IF(DD$35&gt;=$AC$84,DD$35-$AC$84+1,0)</f>
        <v>49</v>
      </c>
      <c r="DE86" s="63" t="n">
        <f aca="false">IF(DE$35&gt;=$AC$84,DE$35-$AC$84+1,0)</f>
        <v>50</v>
      </c>
      <c r="DF86" s="63" t="n">
        <f aca="false">IF(DF$35&gt;=$AC$84,DF$35-$AC$84+1,0)</f>
        <v>51</v>
      </c>
      <c r="DG86" s="63" t="n">
        <f aca="false">IF(DG$35&gt;=$AC$84,DG$35-$AC$84+1,0)</f>
        <v>52</v>
      </c>
      <c r="DH86" s="63" t="n">
        <f aca="false">IF(DH$35&gt;=$AC$84,DH$35-$AC$84+1,0)</f>
        <v>53</v>
      </c>
      <c r="DI86" s="63" t="n">
        <f aca="false">IF(DI$35&gt;=$AC$84,DI$35-$AC$84+1,0)</f>
        <v>54</v>
      </c>
      <c r="DJ86" s="63" t="n">
        <f aca="false">IF(DJ$35&gt;=$AC$84,DJ$35-$AC$84+1,0)</f>
        <v>55</v>
      </c>
      <c r="DK86" s="63" t="n">
        <f aca="false">IF(DK$35&gt;=$AC$84,DK$35-$AC$84+1,0)</f>
        <v>56</v>
      </c>
      <c r="DL86" s="63" t="n">
        <f aca="false">IF(DL$35&gt;=$AC$84,DL$35-$AC$84+1,0)</f>
        <v>57</v>
      </c>
      <c r="DM86" s="63" t="n">
        <f aca="false">IF(DM$35&gt;=$AC$84,DM$35-$AC$84+1,0)</f>
        <v>58</v>
      </c>
      <c r="DN86" s="63" t="n">
        <f aca="false">IF(DN$35&gt;=$AC$84,DN$35-$AC$84+1,0)</f>
        <v>59</v>
      </c>
      <c r="DO86" s="63" t="n">
        <f aca="false">IF(DO$35&gt;=$AC$84,DO$35-$AC$84+1,0)</f>
        <v>60</v>
      </c>
      <c r="DP86" s="63" t="n">
        <f aca="false">IF(DP$35&gt;=$AC$84,DP$35-$AC$84+1,0)</f>
        <v>61</v>
      </c>
      <c r="DQ86" s="63" t="n">
        <f aca="false">IF(DQ$35&gt;=$AC$84,DQ$35-$AC$84+1,0)</f>
        <v>62</v>
      </c>
      <c r="DR86" s="63" t="n">
        <f aca="false">IF(DR$35&gt;=$AC$84,DR$35-$AC$84+1,0)</f>
        <v>63</v>
      </c>
      <c r="DS86" s="63" t="n">
        <f aca="false">IF(DS$35&gt;=$AC$84,DS$35-$AC$84+1,0)</f>
        <v>64</v>
      </c>
      <c r="DT86" s="63" t="n">
        <f aca="false">IF(DT$35&gt;=$AC$84,DT$35-$AC$84+1,0)</f>
        <v>65</v>
      </c>
      <c r="DU86" s="63" t="n">
        <f aca="false">IF(DU$35&gt;=$AC$84,DU$35-$AC$84+1,0)</f>
        <v>66</v>
      </c>
      <c r="DV86" s="63" t="n">
        <f aca="false">IF(DV$35&gt;=$AC$84,DV$35-$AC$84+1,0)</f>
        <v>67</v>
      </c>
      <c r="DW86" s="63" t="n">
        <f aca="false">IF(DW$35&gt;=$AC$84,DW$35-$AC$84+1,0)</f>
        <v>68</v>
      </c>
      <c r="DX86" s="63" t="n">
        <f aca="false">IF(DX$35&gt;=$AC$84,DX$35-$AC$84+1,0)</f>
        <v>69</v>
      </c>
      <c r="DY86" s="63" t="n">
        <f aca="false">IF(DY$35&gt;=$AC$84,DY$35-$AC$84+1,0)</f>
        <v>70</v>
      </c>
      <c r="DZ86" s="63" t="n">
        <f aca="false">IF(DZ$35&gt;=$AC$84,DZ$35-$AC$84+1,0)</f>
        <v>71</v>
      </c>
      <c r="EA86" s="63" t="n">
        <f aca="false">IF(EA$35&gt;=$AC$84,EA$35-$AC$84+1,0)</f>
        <v>72</v>
      </c>
      <c r="EB86" s="63" t="n">
        <f aca="false">IF(EB$35&gt;=$AC$84,EB$35-$AC$84+1,0)</f>
        <v>73</v>
      </c>
      <c r="EC86" s="63" t="n">
        <f aca="false">IF(EC$35&gt;=$AC$84,EC$35-$AC$84+1,0)</f>
        <v>74</v>
      </c>
      <c r="ED86" s="63" t="n">
        <f aca="false">IF(ED$35&gt;=$AC$84,ED$35-$AC$84+1,0)</f>
        <v>75</v>
      </c>
      <c r="EE86" s="63" t="n">
        <f aca="false">IF(EE$35&gt;=$AC$84,EE$35-$AC$84+1,0)</f>
        <v>76</v>
      </c>
      <c r="EF86" s="63" t="n">
        <f aca="false">IF(EF$35&gt;=$AC$84,EF$35-$AC$84+1,0)</f>
        <v>77</v>
      </c>
      <c r="EG86" s="63" t="n">
        <f aca="false">IF(EG$35&gt;=$AC$84,EG$35-$AC$84+1,0)</f>
        <v>78</v>
      </c>
      <c r="EH86" s="63" t="n">
        <f aca="false">IF(EH$35&gt;=$AC$84,EH$35-$AC$84+1,0)</f>
        <v>79</v>
      </c>
      <c r="EI86" s="63" t="n">
        <f aca="false">IF(EI$35&gt;=$AC$84,EI$35-$AC$84+1,0)</f>
        <v>80</v>
      </c>
      <c r="EJ86" s="63" t="n">
        <f aca="false">IF(EJ$35&gt;=$AC$84,EJ$35-$AC$84+1,0)</f>
        <v>81</v>
      </c>
      <c r="EK86" s="63" t="n">
        <f aca="false">IF(EK$35&gt;=$AC$84,EK$35-$AC$84+1,0)</f>
        <v>82</v>
      </c>
      <c r="EL86" s="63" t="n">
        <f aca="false">IF(EL$35&gt;=$AC$84,EL$35-$AC$84+1,0)</f>
        <v>83</v>
      </c>
      <c r="EM86" s="63" t="n">
        <f aca="false">IF(EM$35&gt;=$AC$84,EM$35-$AC$84+1,0)</f>
        <v>84</v>
      </c>
      <c r="EN86" s="63" t="n">
        <f aca="false">IF(EN$35&gt;=$AC$84,EN$35-$AC$84+1,0)</f>
        <v>85</v>
      </c>
      <c r="EO86" s="63" t="n">
        <f aca="false">IF(EO$35&gt;=$AC$84,EO$35-$AC$84+1,0)</f>
        <v>86</v>
      </c>
      <c r="EP86" s="63" t="n">
        <f aca="false">IF(EP$35&gt;=$AC$84,EP$35-$AC$84+1,0)</f>
        <v>87</v>
      </c>
      <c r="EQ86" s="63" t="n">
        <f aca="false">IF(EQ$35&gt;=$AC$84,EQ$35-$AC$84+1,0)</f>
        <v>88</v>
      </c>
      <c r="ER86" s="63" t="n">
        <f aca="false">IF(ER$35&gt;=$AC$84,ER$35-$AC$84+1,0)</f>
        <v>89</v>
      </c>
      <c r="ES86" s="9" t="n">
        <f aca="false">IF(ES$35&gt;=$AC$84,ES$35-$AC$84+1,0)</f>
        <v>90</v>
      </c>
      <c r="ET86" s="9" t="n">
        <f aca="false">IF(ET$35&gt;=$AC$84,ET$35-$AC$84+1,0)</f>
        <v>91</v>
      </c>
      <c r="EU86" s="9" t="n">
        <f aca="false">IF(EU$35&gt;=$AC$84,EU$35-$AC$84+1,0)</f>
        <v>92</v>
      </c>
      <c r="EV86" s="9" t="n">
        <f aca="false">IF(EV$35&gt;=$AC$84,EV$35-$AC$84+1,0)</f>
        <v>93</v>
      </c>
      <c r="EW86" s="9" t="n">
        <f aca="false">IF(EW$35&gt;=$AC$84,EW$35-$AC$84+1,0)</f>
        <v>94</v>
      </c>
      <c r="EX86" s="9" t="n">
        <f aca="false">IF(EX$35&gt;=$AC$84,EX$35-$AC$84+1,0)</f>
        <v>95</v>
      </c>
      <c r="EY86" s="9" t="n">
        <f aca="false">IF(EY$35&gt;=$AC$84,EY$35-$AC$84+1,0)</f>
        <v>96</v>
      </c>
      <c r="EZ86" s="9" t="n">
        <f aca="false">IF(EZ$35&gt;=$AC$84,EZ$35-$AC$84+1,0)</f>
        <v>97</v>
      </c>
      <c r="FA86" s="9" t="n">
        <f aca="false">IF(FA$35&gt;=$AC$84,FA$35-$AC$84+1,0)</f>
        <v>98</v>
      </c>
      <c r="FB86" s="9" t="n">
        <f aca="false">IF(FB$35&gt;=$AC$84,FB$35-$AC$84+1,0)</f>
        <v>99</v>
      </c>
      <c r="FC86" s="9" t="n">
        <f aca="false">IF(FC$35&gt;=$AC$84,FC$35-$AC$84+1,0)</f>
        <v>100</v>
      </c>
      <c r="FD86" s="9" t="n">
        <f aca="false">IF(FD$35&gt;=$AC$84,FD$35-$AC$84+1,0)</f>
        <v>101</v>
      </c>
      <c r="FE86" s="9" t="n">
        <f aca="false">IF(FE$35&gt;=$AC$84,FE$35-$AC$84+1,0)</f>
        <v>102</v>
      </c>
      <c r="FF86" s="9" t="n">
        <f aca="false">IF(FF$35&gt;=$AC$84,FF$35-$AC$84+1,0)</f>
        <v>103</v>
      </c>
      <c r="FG86" s="9" t="n">
        <f aca="false">IF(FG$35&gt;=$AC$84,FG$35-$AC$84+1,0)</f>
        <v>104</v>
      </c>
      <c r="FH86" s="9" t="n">
        <f aca="false">IF(FH$35&gt;=$AC$84,FH$35-$AC$84+1,0)</f>
        <v>105</v>
      </c>
      <c r="FI86" s="9" t="n">
        <f aca="false">IF(FI$35&gt;=$AC$84,FI$35-$AC$84+1,0)</f>
        <v>106</v>
      </c>
      <c r="FJ86" s="9" t="n">
        <f aca="false">IF(FJ$35&gt;=$AC$84,FJ$35-$AC$84+1,0)</f>
        <v>107</v>
      </c>
      <c r="FK86" s="9" t="n">
        <f aca="false">IF(FK$35&gt;=$AC$84,FK$35-$AC$84+1,0)</f>
        <v>108</v>
      </c>
      <c r="FL86" s="9" t="n">
        <f aca="false">IF(FL$35&gt;=$AC$84,FL$35-$AC$84+1,0)</f>
        <v>109</v>
      </c>
      <c r="FM86" s="9" t="n">
        <f aca="false">IF(FM$35&gt;=$AC$84,FM$35-$AC$84+1,0)</f>
        <v>110</v>
      </c>
      <c r="FN86" s="9" t="n">
        <f aca="false">IF(FN$35&gt;=$AC$84,FN$35-$AC$84+1,0)</f>
        <v>111</v>
      </c>
      <c r="FO86" s="9" t="n">
        <f aca="false">IF(FO$35&gt;=$AC$84,FO$35-$AC$84+1,0)</f>
        <v>112</v>
      </c>
      <c r="FP86" s="9" t="n">
        <f aca="false">IF(FP$35&gt;=$AC$84,FP$35-$AC$84+1,0)</f>
        <v>113</v>
      </c>
    </row>
    <row r="87" customFormat="false" ht="15" hidden="false" customHeight="false" outlineLevel="2" collapsed="false">
      <c r="B87" s="9" t="s">
        <v>874</v>
      </c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236" t="n">
        <f aca="false" t="array" ref="AC87:AC87">IF(AC86=0,0,IF(AC86/'🎚️ Escenario'!$C$11&gt;=36,$AL$23,INDEX($C$23:$AL$23,MAX(1,ROUNDUP(AC86/'🎚️ Escenario'!$C$11,0)))))</f>
        <v>0</v>
      </c>
      <c r="AD87" s="236" t="n">
        <f aca="false" t="array" ref="AD87:AD87">IF(AD86=0,0,IF(AD86/'🎚️ Escenario'!$C$11&gt;=36,$AL$23,INDEX($C$23:$AL$23,MAX(1,ROUNDUP(AD86/'🎚️ Escenario'!$C$11,0)))))</f>
        <v>0</v>
      </c>
      <c r="AE87" s="236" t="n">
        <f aca="false" t="array" ref="AE87:AE87">IF(AE86=0,0,IF(AE86/'🎚️ Escenario'!$C$11&gt;=36,$AL$23,INDEX($C$23:$AL$23,MAX(1,ROUNDUP(AE86/'🎚️ Escenario'!$C$11,0)))))</f>
        <v>0</v>
      </c>
      <c r="AF87" s="236" t="n">
        <f aca="false" t="array" ref="AF87:AF87">IF(AF86=0,0,IF(AF86/'🎚️ Escenario'!$C$11&gt;=36,$AL$23,INDEX($C$23:$AL$23,MAX(1,ROUNDUP(AF86/'🎚️ Escenario'!$C$11,0)))))</f>
        <v>0</v>
      </c>
      <c r="AG87" s="236" t="n">
        <f aca="false" t="array" ref="AG87:AG87">IF(AG86=0,0,IF(AG86/'🎚️ Escenario'!$C$11&gt;=36,$AL$23,INDEX($C$23:$AL$23,MAX(1,ROUNDUP(AG86/'🎚️ Escenario'!$C$11,0)))))</f>
        <v>0</v>
      </c>
      <c r="AH87" s="236" t="n">
        <f aca="false" t="array" ref="AH87:AH87">IF(AH86=0,0,IF(AH86/'🎚️ Escenario'!$C$11&gt;=36,$AL$23,INDEX($C$23:$AL$23,MAX(1,ROUNDUP(AH86/'🎚️ Escenario'!$C$11,0)))))</f>
        <v>0</v>
      </c>
      <c r="AI87" s="236" t="n">
        <f aca="false" t="array" ref="AI87:AI87">IF(AI86=0,0,IF(AI86/'🎚️ Escenario'!$C$11&gt;=36,$AL$23,INDEX($C$23:$AL$23,MAX(1,ROUNDUP(AI86/'🎚️ Escenario'!$C$11,0)))))</f>
        <v>0</v>
      </c>
      <c r="AJ87" s="236" t="n">
        <f aca="false" t="array" ref="AJ87:AJ87">IF(AJ86=0,0,IF(AJ86/'🎚️ Escenario'!$C$11&gt;=36,$AL$23,INDEX($C$23:$AL$23,MAX(1,ROUNDUP(AJ86/'🎚️ Escenario'!$C$11,0)))))</f>
        <v>0</v>
      </c>
      <c r="AK87" s="236" t="n">
        <f aca="false" t="array" ref="AK87:AK87">IF(AK86=0,0,IF(AK86/'🎚️ Escenario'!$C$11&gt;=36,$AL$23,INDEX($C$23:$AL$23,MAX(1,ROUNDUP(AK86/'🎚️ Escenario'!$C$11,0)))))</f>
        <v>0</v>
      </c>
      <c r="AL87" s="236" t="n">
        <f aca="false" t="array" ref="AL87:AL87">IF(AL86=0,0,IF(AL86/'🎚️ Escenario'!$C$11&gt;=36,$AL$23,INDEX($C$23:$AL$23,MAX(1,ROUNDUP(AL86/'🎚️ Escenario'!$C$11,0)))))</f>
        <v>0</v>
      </c>
      <c r="AM87" s="236" t="n">
        <f aca="false" t="array" ref="AM87:AM87">IF(AM86=0,0,IF(AM86/'🎚️ Escenario'!$C$11&gt;=36,$AL$23,INDEX($C$23:$AL$23,MAX(1,ROUNDUP(AM86/'🎚️ Escenario'!$C$11,0)))))</f>
        <v>0</v>
      </c>
      <c r="AN87" s="236" t="n">
        <f aca="false" t="array" ref="AN87:AN87">IF(AN86=0,0,IF(AN86/'🎚️ Escenario'!$C$11&gt;=36,$AL$23,INDEX($C$23:$AL$23,MAX(1,ROUNDUP(AN86/'🎚️ Escenario'!$C$11,0)))))</f>
        <v>0</v>
      </c>
      <c r="AO87" s="236" t="n">
        <f aca="false" t="array" ref="AO87:AO87">IF(AO86=0,0,IF(AO86/'🎚️ Escenario'!$C$11&gt;=36,$AL$23,INDEX($C$23:$AL$23,MAX(1,ROUNDUP(AO86/'🎚️ Escenario'!$C$11,0)))))</f>
        <v>0</v>
      </c>
      <c r="AP87" s="236" t="n">
        <f aca="false" t="array" ref="AP87:AP87">IF(AP86=0,0,IF(AP86/'🎚️ Escenario'!$C$11&gt;=36,$AL$23,INDEX($C$23:$AL$23,MAX(1,ROUNDUP(AP86/'🎚️ Escenario'!$C$11,0)))))</f>
        <v>0</v>
      </c>
      <c r="AQ87" s="236" t="n">
        <f aca="false" t="array" ref="AQ87:AQ87">IF(AQ86=0,0,IF(AQ86/'🎚️ Escenario'!$C$11&gt;=36,$AL$23,INDEX($C$23:$AL$23,MAX(1,ROUNDUP(AQ86/'🎚️ Escenario'!$C$11,0)))))</f>
        <v>0</v>
      </c>
      <c r="AR87" s="236" t="n">
        <f aca="false" t="array" ref="AR87:AR87">IF(AR86=0,0,IF(AR86/'🎚️ Escenario'!$C$11&gt;=36,$AL$23,INDEX($C$23:$AL$23,MAX(1,ROUNDUP(AR86/'🎚️ Escenario'!$C$11,0)))))</f>
        <v>0</v>
      </c>
      <c r="AS87" s="236" t="n">
        <f aca="false" t="array" ref="AS87:AS87">IF(AS86=0,0,IF(AS86/'🎚️ Escenario'!$C$11&gt;=36,$AL$23,INDEX($C$23:$AL$23,MAX(1,ROUNDUP(AS86/'🎚️ Escenario'!$C$11,0)))))</f>
        <v>0</v>
      </c>
      <c r="AT87" s="236" t="n">
        <f aca="false" t="array" ref="AT87:AT87">IF(AT86=0,0,IF(AT86/'🎚️ Escenario'!$C$11&gt;=36,$AL$23,INDEX($C$23:$AL$23,MAX(1,ROUNDUP(AT86/'🎚️ Escenario'!$C$11,0)))))</f>
        <v>0</v>
      </c>
      <c r="AU87" s="236" t="n">
        <f aca="false" t="array" ref="AU87:AU87">IF(AU86=0,0,IF(AU86/'🎚️ Escenario'!$C$11&gt;=36,$AL$23,INDEX($C$23:$AL$23,MAX(1,ROUNDUP(AU86/'🎚️ Escenario'!$C$11,0)))))</f>
        <v>0</v>
      </c>
      <c r="AV87" s="236" t="n">
        <f aca="false" t="array" ref="AV87:AV87">IF(AV86=0,0,IF(AV86/'🎚️ Escenario'!$C$11&gt;=36,$AL$23,INDEX($C$23:$AL$23,MAX(1,ROUNDUP(AV86/'🎚️ Escenario'!$C$11,0)))))</f>
        <v>0</v>
      </c>
      <c r="AW87" s="236" t="n">
        <f aca="false" t="array" ref="AW87:AW87">IF(AW86=0,0,IF(AW86/'🎚️ Escenario'!$C$11&gt;=36,$AL$23,INDEX($C$23:$AL$23,MAX(1,ROUNDUP(AW86/'🎚️ Escenario'!$C$11,0)))))</f>
        <v>0</v>
      </c>
      <c r="AX87" s="236" t="n">
        <f aca="false" t="array" ref="AX87:AX87">IF(AX86=0,0,IF(AX86/'🎚️ Escenario'!$C$11&gt;=36,$AL$23,INDEX($C$23:$AL$23,MAX(1,ROUNDUP(AX86/'🎚️ Escenario'!$C$11,0)))))</f>
        <v>0</v>
      </c>
      <c r="AY87" s="236" t="n">
        <f aca="false" t="array" ref="AY87:AY87">IF(AY86=0,0,IF(AY86/'🎚️ Escenario'!$C$11&gt;=36,$AL$23,INDEX($C$23:$AL$23,MAX(1,ROUNDUP(AY86/'🎚️ Escenario'!$C$11,0)))))</f>
        <v>0</v>
      </c>
      <c r="AZ87" s="236" t="n">
        <f aca="false" t="array" ref="AZ87:AZ87">IF(AZ86=0,0,IF(AZ86/'🎚️ Escenario'!$C$11&gt;=36,$AL$23,INDEX($C$23:$AL$23,MAX(1,ROUNDUP(AZ86/'🎚️ Escenario'!$C$11,0)))))</f>
        <v>0</v>
      </c>
      <c r="BA87" s="236" t="n">
        <f aca="false" t="array" ref="BA87:BA87">IF(BA86=0,0,IF(BA86/'🎚️ Escenario'!$C$11&gt;=36,$AL$23,INDEX($C$23:$AL$23,MAX(1,ROUNDUP(BA86/'🎚️ Escenario'!$C$11,0)))))</f>
        <v>0</v>
      </c>
      <c r="BB87" s="236" t="n">
        <f aca="false" t="array" ref="BB87:BB87">IF(BB86=0,0,IF(BB86/'🎚️ Escenario'!$C$11&gt;=36,$AL$23,INDEX($C$23:$AL$23,MAX(1,ROUNDUP(BB86/'🎚️ Escenario'!$C$11,0)))))</f>
        <v>0</v>
      </c>
      <c r="BC87" s="236" t="n">
        <f aca="false" t="array" ref="BC87:BC87">IF(BC86=0,0,IF(BC86/'🎚️ Escenario'!$C$11&gt;=36,$AL$23,INDEX($C$23:$AL$23,MAX(1,ROUNDUP(BC86/'🎚️ Escenario'!$C$11,0)))))</f>
        <v>0</v>
      </c>
      <c r="BD87" s="236" t="n">
        <f aca="false" t="array" ref="BD87:BD87">IF(BD86=0,0,IF(BD86/'🎚️ Escenario'!$C$11&gt;=36,$AL$23,INDEX($C$23:$AL$23,MAX(1,ROUNDUP(BD86/'🎚️ Escenario'!$C$11,0)))))</f>
        <v>0</v>
      </c>
      <c r="BE87" s="236" t="n">
        <f aca="false" t="array" ref="BE87:BE87">IF(BE86=0,0,IF(BE86/'🎚️ Escenario'!$C$11&gt;=36,$AL$23,INDEX($C$23:$AL$23,MAX(1,ROUNDUP(BE86/'🎚️ Escenario'!$C$11,0)))))</f>
        <v>0</v>
      </c>
      <c r="BF87" s="236" t="n">
        <f aca="false" t="array" ref="BF87:BF87">IF(BF86=0,0,IF(BF86/'🎚️ Escenario'!$C$11&gt;=36,$AL$23,INDEX($C$23:$AL$23,MAX(1,ROUNDUP(BF86/'🎚️ Escenario'!$C$11,0)))))</f>
        <v>0</v>
      </c>
      <c r="BG87" s="236" t="n">
        <f aca="false" t="array" ref="BG87:BG87">IF(BG86=0,0,IF(BG86/'🎚️ Escenario'!$C$11&gt;=36,$AL$23,INDEX($C$23:$AL$23,MAX(1,ROUNDUP(BG86/'🎚️ Escenario'!$C$11,0)))))</f>
        <v>0</v>
      </c>
      <c r="BH87" s="236" t="n">
        <f aca="false" t="array" ref="BH87:BH87">IF(BH86=0,0,IF(BH86/'🎚️ Escenario'!$C$11&gt;=36,$AL$23,INDEX($C$23:$AL$23,MAX(1,ROUNDUP(BH86/'🎚️ Escenario'!$C$11,0)))))</f>
        <v>0.2</v>
      </c>
      <c r="BI87" s="236" t="n">
        <f aca="false" t="array" ref="BI87:BI87">IF(BI86=0,0,IF(BI86/'🎚️ Escenario'!$C$11&gt;=36,$AL$23,INDEX($C$23:$AL$23,MAX(1,ROUNDUP(BI86/'🎚️ Escenario'!$C$11,0)))))</f>
        <v>0.22</v>
      </c>
      <c r="BJ87" s="236" t="n">
        <f aca="false" t="array" ref="BJ87:BJ87">IF(BJ86=0,0,IF(BJ86/'🎚️ Escenario'!$C$11&gt;=36,$AL$23,INDEX($C$23:$AL$23,MAX(1,ROUNDUP(BJ86/'🎚️ Escenario'!$C$11,0)))))</f>
        <v>0.24</v>
      </c>
      <c r="BK87" s="236" t="n">
        <f aca="false" t="array" ref="BK87:BK87">IF(BK86=0,0,IF(BK86/'🎚️ Escenario'!$C$11&gt;=36,$AL$23,INDEX($C$23:$AL$23,MAX(1,ROUNDUP(BK86/'🎚️ Escenario'!$C$11,0)))))</f>
        <v>0.27</v>
      </c>
      <c r="BL87" s="236" t="n">
        <f aca="false" t="array" ref="BL87:BL87">IF(BL86=0,0,IF(BL86/'🎚️ Escenario'!$C$11&gt;=36,$AL$23,INDEX($C$23:$AL$23,MAX(1,ROUNDUP(BL86/'🎚️ Escenario'!$C$11,0)))))</f>
        <v>0.27</v>
      </c>
      <c r="BM87" s="236" t="n">
        <f aca="false" t="array" ref="BM87:BM87">IF(BM86=0,0,IF(BM86/'🎚️ Escenario'!$C$11&gt;=36,$AL$23,INDEX($C$23:$AL$23,MAX(1,ROUNDUP(BM86/'🎚️ Escenario'!$C$11,0)))))</f>
        <v>0.31</v>
      </c>
      <c r="BN87" s="236" t="n">
        <f aca="false" t="array" ref="BN87:BN87">IF(BN86=0,0,IF(BN86/'🎚️ Escenario'!$C$11&gt;=36,$AL$23,INDEX($C$23:$AL$23,MAX(1,ROUNDUP(BN86/'🎚️ Escenario'!$C$11,0)))))</f>
        <v>0.35</v>
      </c>
      <c r="BO87" s="236" t="n">
        <f aca="false" t="array" ref="BO87:BO87">IF(BO86=0,0,IF(BO86/'🎚️ Escenario'!$C$11&gt;=36,$AL$23,INDEX($C$23:$AL$23,MAX(1,ROUNDUP(BO86/'🎚️ Escenario'!$C$11,0)))))</f>
        <v>0.39</v>
      </c>
      <c r="BP87" s="236" t="n">
        <f aca="false" t="array" ref="BP87:BP87">IF(BP86=0,0,IF(BP86/'🎚️ Escenario'!$C$11&gt;=36,$AL$23,INDEX($C$23:$AL$23,MAX(1,ROUNDUP(BP86/'🎚️ Escenario'!$C$11,0)))))</f>
        <v>0.44</v>
      </c>
      <c r="BQ87" s="236" t="n">
        <f aca="false" t="array" ref="BQ87:BQ87">IF(BQ86=0,0,IF(BQ86/'🎚️ Escenario'!$C$11&gt;=36,$AL$23,INDEX($C$23:$AL$23,MAX(1,ROUNDUP(BQ86/'🎚️ Escenario'!$C$11,0)))))</f>
        <v>0.44</v>
      </c>
      <c r="BR87" s="236" t="n">
        <f aca="false" t="array" ref="BR87:BR87">IF(BR86=0,0,IF(BR86/'🎚️ Escenario'!$C$11&gt;=36,$AL$23,INDEX($C$23:$AL$23,MAX(1,ROUNDUP(BR86/'🎚️ Escenario'!$C$11,0)))))</f>
        <v>0.48</v>
      </c>
      <c r="BS87" s="236" t="n">
        <f aca="false" t="array" ref="BS87:BS87">IF(BS86=0,0,IF(BS86/'🎚️ Escenario'!$C$11&gt;=36,$AL$23,INDEX($C$23:$AL$23,MAX(1,ROUNDUP(BS86/'🎚️ Escenario'!$C$11,0)))))</f>
        <v>0.52</v>
      </c>
      <c r="BT87" s="236" t="n">
        <f aca="false" t="array" ref="BT87:BT87">IF(BT86=0,0,IF(BT86/'🎚️ Escenario'!$C$11&gt;=36,$AL$23,INDEX($C$23:$AL$23,MAX(1,ROUNDUP(BT86/'🎚️ Escenario'!$C$11,0)))))</f>
        <v>0.56</v>
      </c>
      <c r="BU87" s="236" t="n">
        <f aca="false" t="array" ref="BU87:BU87">IF(BU86=0,0,IF(BU86/'🎚️ Escenario'!$C$11&gt;=36,$AL$23,INDEX($C$23:$AL$23,MAX(1,ROUNDUP(BU86/'🎚️ Escenario'!$C$11,0)))))</f>
        <v>0.6</v>
      </c>
      <c r="BV87" s="236" t="n">
        <f aca="false" t="array" ref="BV87:BV87">IF(BV86=0,0,IF(BV86/'🎚️ Escenario'!$C$11&gt;=36,$AL$23,INDEX($C$23:$AL$23,MAX(1,ROUNDUP(BV86/'🎚️ Escenario'!$C$11,0)))))</f>
        <v>0.6</v>
      </c>
      <c r="BW87" s="236" t="n">
        <f aca="false" t="array" ref="BW87:BW87">IF(BW86=0,0,IF(BW86/'🎚️ Escenario'!$C$11&gt;=36,$AL$23,INDEX($C$23:$AL$23,MAX(1,ROUNDUP(BW86/'🎚️ Escenario'!$C$11,0)))))</f>
        <v>0.63</v>
      </c>
      <c r="BX87" s="236" t="n">
        <f aca="false" t="array" ref="BX87:BX87">IF(BX86=0,0,IF(BX86/'🎚️ Escenario'!$C$11&gt;=36,$AL$23,INDEX($C$23:$AL$23,MAX(1,ROUNDUP(BX86/'🎚️ Escenario'!$C$11,0)))))</f>
        <v>0.66</v>
      </c>
      <c r="BY87" s="236" t="n">
        <f aca="false" t="array" ref="BY87:BY87">IF(BY86=0,0,IF(BY86/'🎚️ Escenario'!$C$11&gt;=36,$AL$23,INDEX($C$23:$AL$23,MAX(1,ROUNDUP(BY86/'🎚️ Escenario'!$C$11,0)))))</f>
        <v>0.69</v>
      </c>
      <c r="BZ87" s="236" t="n">
        <f aca="false" t="array" ref="BZ87:BZ87">IF(BZ86=0,0,IF(BZ86/'🎚️ Escenario'!$C$11&gt;=36,$AL$23,INDEX($C$23:$AL$23,MAX(1,ROUNDUP(BZ86/'🎚️ Escenario'!$C$11,0)))))</f>
        <v>0.71</v>
      </c>
      <c r="CA87" s="236" t="n">
        <f aca="false" t="array" ref="CA87:CA87">IF(CA86=0,0,IF(CA86/'🎚️ Escenario'!$C$11&gt;=36,$AL$23,INDEX($C$23:$AL$23,MAX(1,ROUNDUP(CA86/'🎚️ Escenario'!$C$11,0)))))</f>
        <v>0.71</v>
      </c>
      <c r="CB87" s="236" t="n">
        <f aca="false" t="array" ref="CB87:CB87">IF(CB86=0,0,IF(CB86/'🎚️ Escenario'!$C$11&gt;=36,$AL$23,INDEX($C$23:$AL$23,MAX(1,ROUNDUP(CB86/'🎚️ Escenario'!$C$11,0)))))</f>
        <v>0.73</v>
      </c>
      <c r="CC87" s="236" t="n">
        <f aca="false" t="array" ref="CC87:CC87">IF(CC86=0,0,IF(CC86/'🎚️ Escenario'!$C$11&gt;=36,$AL$23,INDEX($C$23:$AL$23,MAX(1,ROUNDUP(CC86/'🎚️ Escenario'!$C$11,0)))))</f>
        <v>0.75</v>
      </c>
      <c r="CD87" s="236" t="n">
        <f aca="false" t="array" ref="CD87:CD87">IF(CD86=0,0,IF(CD86/'🎚️ Escenario'!$C$11&gt;=36,$AL$23,INDEX($C$23:$AL$23,MAX(1,ROUNDUP(CD86/'🎚️ Escenario'!$C$11,0)))))</f>
        <v>0.77</v>
      </c>
      <c r="CE87" s="236" t="n">
        <f aca="false" t="array" ref="CE87:CE87">IF(CE86=0,0,IF(CE86/'🎚️ Escenario'!$C$11&gt;=36,$AL$23,INDEX($C$23:$AL$23,MAX(1,ROUNDUP(CE86/'🎚️ Escenario'!$C$11,0)))))</f>
        <v>0.79</v>
      </c>
      <c r="CF87" s="236" t="n">
        <f aca="false" t="array" ref="CF87:CF87">IF(CF86=0,0,IF(CF86/'🎚️ Escenario'!$C$11&gt;=36,$AL$23,INDEX($C$23:$AL$23,MAX(1,ROUNDUP(CF86/'🎚️ Escenario'!$C$11,0)))))</f>
        <v>0.79</v>
      </c>
      <c r="CG87" s="236" t="n">
        <f aca="false" t="array" ref="CG87:CG87">IF(CG86=0,0,IF(CG86/'🎚️ Escenario'!$C$11&gt;=36,$AL$23,INDEX($C$23:$AL$23,MAX(1,ROUNDUP(CG86/'🎚️ Escenario'!$C$11,0)))))</f>
        <v>0.8</v>
      </c>
      <c r="CH87" s="236" t="n">
        <f aca="false" t="array" ref="CH87:CH87">IF(CH86=0,0,IF(CH86/'🎚️ Escenario'!$C$11&gt;=36,$AL$23,INDEX($C$23:$AL$23,MAX(1,ROUNDUP(CH86/'🎚️ Escenario'!$C$11,0)))))</f>
        <v>0.82</v>
      </c>
      <c r="CI87" s="236" t="n">
        <f aca="false" t="array" ref="CI87:CI87">IF(CI86=0,0,IF(CI86/'🎚️ Escenario'!$C$11&gt;=36,$AL$23,INDEX($C$23:$AL$23,MAX(1,ROUNDUP(CI86/'🎚️ Escenario'!$C$11,0)))))</f>
        <v>0.84</v>
      </c>
      <c r="CJ87" s="236" t="n">
        <f aca="false" t="array" ref="CJ87:CJ87">IF(CJ86=0,0,IF(CJ86/'🎚️ Escenario'!$C$11&gt;=36,$AL$23,INDEX($C$23:$AL$23,MAX(1,ROUNDUP(CJ86/'🎚️ Escenario'!$C$11,0)))))</f>
        <v>0.85</v>
      </c>
      <c r="CK87" s="236" t="n">
        <f aca="false" t="array" ref="CK87:CK87">IF(CK86=0,0,IF(CK86/'🎚️ Escenario'!$C$11&gt;=36,$AL$23,INDEX($C$23:$AL$23,MAX(1,ROUNDUP(CK86/'🎚️ Escenario'!$C$11,0)))))</f>
        <v>0.85</v>
      </c>
      <c r="CL87" s="236" t="n">
        <f aca="false" t="array" ref="CL87:CL87">IF(CL86=0,0,IF(CL86/'🎚️ Escenario'!$C$11&gt;=36,$AL$23,INDEX($C$23:$AL$23,MAX(1,ROUNDUP(CL86/'🎚️ Escenario'!$C$11,0)))))</f>
        <v>0.86</v>
      </c>
      <c r="CM87" s="236" t="n">
        <f aca="false" t="array" ref="CM87:CM87">IF(CM86=0,0,IF(CM86/'🎚️ Escenario'!$C$11&gt;=36,$AL$23,INDEX($C$23:$AL$23,MAX(1,ROUNDUP(CM86/'🎚️ Escenario'!$C$11,0)))))</f>
        <v>0.88</v>
      </c>
      <c r="CN87" s="236" t="n">
        <f aca="false" t="array" ref="CN87:CN87">IF(CN86=0,0,IF(CN86/'🎚️ Escenario'!$C$11&gt;=36,$AL$23,INDEX($C$23:$AL$23,MAX(1,ROUNDUP(CN86/'🎚️ Escenario'!$C$11,0)))))</f>
        <v>0.89</v>
      </c>
      <c r="CO87" s="236" t="n">
        <f aca="false" t="array" ref="CO87:CO87">IF(CO86=0,0,IF(CO86/'🎚️ Escenario'!$C$11&gt;=36,$AL$23,INDEX($C$23:$AL$23,MAX(1,ROUNDUP(CO86/'🎚️ Escenario'!$C$11,0)))))</f>
        <v>0.9</v>
      </c>
      <c r="CP87" s="236" t="n">
        <f aca="false" t="array" ref="CP87:CP87">IF(CP86=0,0,IF(CP86/'🎚️ Escenario'!$C$11&gt;=36,$AL$23,INDEX($C$23:$AL$23,MAX(1,ROUNDUP(CP86/'🎚️ Escenario'!$C$11,0)))))</f>
        <v>0.9</v>
      </c>
      <c r="CQ87" s="236" t="n">
        <f aca="false" t="array" ref="CQ87:CQ87">IF(CQ86=0,0,IF(CQ86/'🎚️ Escenario'!$C$11&gt;=36,$AL$23,INDEX($C$23:$AL$23,MAX(1,ROUNDUP(CQ86/'🎚️ Escenario'!$C$11,0)))))</f>
        <v>0.92</v>
      </c>
      <c r="CR87" s="236" t="n">
        <f aca="false" t="array" ref="CR87:CR87">IF(CR86=0,0,IF(CR86/'🎚️ Escenario'!$C$11&gt;=36,$AL$23,INDEX($C$23:$AL$23,MAX(1,ROUNDUP(CR86/'🎚️ Escenario'!$C$11,0)))))</f>
        <v>0.93</v>
      </c>
      <c r="CS87" s="236" t="n">
        <f aca="false" t="array" ref="CS87:CS87">IF(CS86=0,0,IF(CS86/'🎚️ Escenario'!$C$11&gt;=36,$AL$23,INDEX($C$23:$AL$23,MAX(1,ROUNDUP(CS86/'🎚️ Escenario'!$C$11,0)))))</f>
        <v>0.94</v>
      </c>
      <c r="CT87" s="236" t="n">
        <f aca="false" t="array" ref="CT87:CT87">IF(CT86=0,0,IF(CT86/'🎚️ Escenario'!$C$11&gt;=36,$AL$23,INDEX($C$23:$AL$23,MAX(1,ROUNDUP(CT86/'🎚️ Escenario'!$C$11,0)))))</f>
        <v>0.95</v>
      </c>
      <c r="CU87" s="236" t="n">
        <f aca="false" t="array" ref="CU87:CU87">IF(CU86=0,0,IF(CU86/'🎚️ Escenario'!$C$11&gt;=36,$AL$23,INDEX($C$23:$AL$23,MAX(1,ROUNDUP(CU86/'🎚️ Escenario'!$C$11,0)))))</f>
        <v>0.95</v>
      </c>
      <c r="CV87" s="236" t="n">
        <f aca="false" t="array" ref="CV87:CV87">IF(CV86=0,0,IF(CV86/'🎚️ Escenario'!$C$11&gt;=36,$AL$23,INDEX($C$23:$AL$23,MAX(1,ROUNDUP(CV86/'🎚️ Escenario'!$C$11,0)))))</f>
        <v>0.97</v>
      </c>
      <c r="CW87" s="236" t="n">
        <f aca="false" t="array" ref="CW87:CW87">IF(CW86=0,0,IF(CW86/'🎚️ Escenario'!$C$11&gt;=36,$AL$23,INDEX($C$23:$AL$23,MAX(1,ROUNDUP(CW86/'🎚️ Escenario'!$C$11,0)))))</f>
        <v>0.98</v>
      </c>
      <c r="CX87" s="236" t="n">
        <f aca="false" t="array" ref="CX87:CX87">IF(CX86=0,0,IF(CX86/'🎚️ Escenario'!$C$11&gt;=36,$AL$23,INDEX($C$23:$AL$23,MAX(1,ROUNDUP(CX86/'🎚️ Escenario'!$C$11,0)))))</f>
        <v>0.99</v>
      </c>
      <c r="CY87" s="236" t="n">
        <f aca="false" t="array" ref="CY87:CY87">IF(CY86=0,0,IF(CY86/'🎚️ Escenario'!$C$11&gt;=36,$AL$23,INDEX($C$23:$AL$23,MAX(1,ROUNDUP(CY86/'🎚️ Escenario'!$C$11,0)))))</f>
        <v>1</v>
      </c>
      <c r="CZ87" s="236" t="n">
        <f aca="false" t="array" ref="CZ87:CZ87">IF(CZ86=0,0,IF(CZ86/'🎚️ Escenario'!$C$11&gt;=36,$AL$23,INDEX($C$23:$AL$23,MAX(1,ROUNDUP(CZ86/'🎚️ Escenario'!$C$11,0)))))</f>
        <v>1</v>
      </c>
      <c r="DA87" s="236" t="n">
        <f aca="false" t="array" ref="DA87:DA87">IF(DA86=0,0,IF(DA86/'🎚️ Escenario'!$C$11&gt;=36,$AL$23,INDEX($C$23:$AL$23,MAX(1,ROUNDUP(DA86/'🎚️ Escenario'!$C$11,0)))))</f>
        <v>1</v>
      </c>
      <c r="DB87" s="236" t="n">
        <f aca="false" t="array" ref="DB87:DB87">IF(DB86=0,0,IF(DB86/'🎚️ Escenario'!$C$11&gt;=36,$AL$23,INDEX($C$23:$AL$23,MAX(1,ROUNDUP(DB86/'🎚️ Escenario'!$C$11,0)))))</f>
        <v>1</v>
      </c>
      <c r="DC87" s="236" t="n">
        <f aca="false" t="array" ref="DC87:DC87">IF(DC86=0,0,IF(DC86/'🎚️ Escenario'!$C$11&gt;=36,$AL$23,INDEX($C$23:$AL$23,MAX(1,ROUNDUP(DC86/'🎚️ Escenario'!$C$11,0)))))</f>
        <v>1</v>
      </c>
      <c r="DD87" s="236" t="n">
        <f aca="false" t="array" ref="DD87:DD87">IF(DD86=0,0,IF(DD86/'🎚️ Escenario'!$C$11&gt;=36,$AL$23,INDEX($C$23:$AL$23,MAX(1,ROUNDUP(DD86/'🎚️ Escenario'!$C$11,0)))))</f>
        <v>1</v>
      </c>
      <c r="DE87" s="236" t="n">
        <f aca="false" t="array" ref="DE87:DE87">IF(DE86=0,0,IF(DE86/'🎚️ Escenario'!$C$11&gt;=36,$AL$23,INDEX($C$23:$AL$23,MAX(1,ROUNDUP(DE86/'🎚️ Escenario'!$C$11,0)))))</f>
        <v>1</v>
      </c>
      <c r="DF87" s="236" t="n">
        <f aca="false" t="array" ref="DF87:DF87">IF(DF86=0,0,IF(DF86/'🎚️ Escenario'!$C$11&gt;=36,$AL$23,INDEX($C$23:$AL$23,MAX(1,ROUNDUP(DF86/'🎚️ Escenario'!$C$11,0)))))</f>
        <v>1</v>
      </c>
      <c r="DG87" s="236" t="n">
        <f aca="false" t="array" ref="DG87:DG87">IF(DG86=0,0,IF(DG86/'🎚️ Escenario'!$C$11&gt;=36,$AL$23,INDEX($C$23:$AL$23,MAX(1,ROUNDUP(DG86/'🎚️ Escenario'!$C$11,0)))))</f>
        <v>1</v>
      </c>
      <c r="DH87" s="236" t="n">
        <f aca="false" t="array" ref="DH87:DH87">IF(DH86=0,0,IF(DH86/'🎚️ Escenario'!$C$11&gt;=36,$AL$23,INDEX($C$23:$AL$23,MAX(1,ROUNDUP(DH86/'🎚️ Escenario'!$C$11,0)))))</f>
        <v>1</v>
      </c>
      <c r="DI87" s="236" t="n">
        <f aca="false" t="array" ref="DI87:DI87">IF(DI86=0,0,IF(DI86/'🎚️ Escenario'!$C$11&gt;=36,$AL$23,INDEX($C$23:$AL$23,MAX(1,ROUNDUP(DI86/'🎚️ Escenario'!$C$11,0)))))</f>
        <v>1</v>
      </c>
      <c r="DJ87" s="236" t="n">
        <f aca="false" t="array" ref="DJ87:DJ87">IF(DJ86=0,0,IF(DJ86/'🎚️ Escenario'!$C$11&gt;=36,$AL$23,INDEX($C$23:$AL$23,MAX(1,ROUNDUP(DJ86/'🎚️ Escenario'!$C$11,0)))))</f>
        <v>1</v>
      </c>
      <c r="DK87" s="236" t="n">
        <f aca="false" t="array" ref="DK87:DK87">IF(DK86=0,0,IF(DK86/'🎚️ Escenario'!$C$11&gt;=36,$AL$23,INDEX($C$23:$AL$23,MAX(1,ROUNDUP(DK86/'🎚️ Escenario'!$C$11,0)))))</f>
        <v>1</v>
      </c>
      <c r="DL87" s="236" t="n">
        <f aca="false" t="array" ref="DL87:DL87">IF(DL86=0,0,IF(DL86/'🎚️ Escenario'!$C$11&gt;=36,$AL$23,INDEX($C$23:$AL$23,MAX(1,ROUNDUP(DL86/'🎚️ Escenario'!$C$11,0)))))</f>
        <v>1</v>
      </c>
      <c r="DM87" s="236" t="n">
        <f aca="false" t="array" ref="DM87:DM87">IF(DM86=0,0,IF(DM86/'🎚️ Escenario'!$C$11&gt;=36,$AL$23,INDEX($C$23:$AL$23,MAX(1,ROUNDUP(DM86/'🎚️ Escenario'!$C$11,0)))))</f>
        <v>1</v>
      </c>
      <c r="DN87" s="236" t="n">
        <f aca="false" t="array" ref="DN87:DN87">IF(DN86=0,0,IF(DN86/'🎚️ Escenario'!$C$11&gt;=36,$AL$23,INDEX($C$23:$AL$23,MAX(1,ROUNDUP(DN86/'🎚️ Escenario'!$C$11,0)))))</f>
        <v>1</v>
      </c>
      <c r="DO87" s="236" t="n">
        <f aca="false" t="array" ref="DO87:DO87">IF(DO86=0,0,IF(DO86/'🎚️ Escenario'!$C$11&gt;=36,$AL$23,INDEX($C$23:$AL$23,MAX(1,ROUNDUP(DO86/'🎚️ Escenario'!$C$11,0)))))</f>
        <v>1</v>
      </c>
      <c r="DP87" s="236" t="n">
        <f aca="false" t="array" ref="DP87:DP87">IF(DP86=0,0,IF(DP86/'🎚️ Escenario'!$C$11&gt;=36,$AL$23,INDEX($C$23:$AL$23,MAX(1,ROUNDUP(DP86/'🎚️ Escenario'!$C$11,0)))))</f>
        <v>1</v>
      </c>
      <c r="DQ87" s="236" t="n">
        <f aca="false" t="array" ref="DQ87:DQ87">IF(DQ86=0,0,IF(DQ86/'🎚️ Escenario'!$C$11&gt;=36,$AL$23,INDEX($C$23:$AL$23,MAX(1,ROUNDUP(DQ86/'🎚️ Escenario'!$C$11,0)))))</f>
        <v>1</v>
      </c>
      <c r="DR87" s="236" t="n">
        <f aca="false" t="array" ref="DR87:DR87">IF(DR86=0,0,IF(DR86/'🎚️ Escenario'!$C$11&gt;=36,$AL$23,INDEX($C$23:$AL$23,MAX(1,ROUNDUP(DR86/'🎚️ Escenario'!$C$11,0)))))</f>
        <v>1</v>
      </c>
      <c r="DS87" s="236" t="n">
        <f aca="false" t="array" ref="DS87:DS87">IF(DS86=0,0,IF(DS86/'🎚️ Escenario'!$C$11&gt;=36,$AL$23,INDEX($C$23:$AL$23,MAX(1,ROUNDUP(DS86/'🎚️ Escenario'!$C$11,0)))))</f>
        <v>1</v>
      </c>
      <c r="DT87" s="236" t="n">
        <f aca="false" t="array" ref="DT87:DT87">IF(DT86=0,0,IF(DT86/'🎚️ Escenario'!$C$11&gt;=36,$AL$23,INDEX($C$23:$AL$23,MAX(1,ROUNDUP(DT86/'🎚️ Escenario'!$C$11,0)))))</f>
        <v>1</v>
      </c>
      <c r="DU87" s="236" t="n">
        <f aca="false" t="array" ref="DU87:DU87">IF(DU86=0,0,IF(DU86/'🎚️ Escenario'!$C$11&gt;=36,$AL$23,INDEX($C$23:$AL$23,MAX(1,ROUNDUP(DU86/'🎚️ Escenario'!$C$11,0)))))</f>
        <v>1</v>
      </c>
      <c r="DV87" s="236" t="n">
        <f aca="false" t="array" ref="DV87:DV87">IF(DV86=0,0,IF(DV86/'🎚️ Escenario'!$C$11&gt;=36,$AL$23,INDEX($C$23:$AL$23,MAX(1,ROUNDUP(DV86/'🎚️ Escenario'!$C$11,0)))))</f>
        <v>1</v>
      </c>
      <c r="DW87" s="236" t="n">
        <f aca="false" t="array" ref="DW87:DW87">IF(DW86=0,0,IF(DW86/'🎚️ Escenario'!$C$11&gt;=36,$AL$23,INDEX($C$23:$AL$23,MAX(1,ROUNDUP(DW86/'🎚️ Escenario'!$C$11,0)))))</f>
        <v>1</v>
      </c>
      <c r="DX87" s="236" t="n">
        <f aca="false" t="array" ref="DX87:DX87">IF(DX86=0,0,IF(DX86/'🎚️ Escenario'!$C$11&gt;=36,$AL$23,INDEX($C$23:$AL$23,MAX(1,ROUNDUP(DX86/'🎚️ Escenario'!$C$11,0)))))</f>
        <v>1</v>
      </c>
      <c r="DY87" s="236" t="n">
        <f aca="false" t="array" ref="DY87:DY87">IF(DY86=0,0,IF(DY86/'🎚️ Escenario'!$C$11&gt;=36,$AL$23,INDEX($C$23:$AL$23,MAX(1,ROUNDUP(DY86/'🎚️ Escenario'!$C$11,0)))))</f>
        <v>1</v>
      </c>
      <c r="DZ87" s="236" t="n">
        <f aca="false" t="array" ref="DZ87:DZ87">IF(DZ86=0,0,IF(DZ86/'🎚️ Escenario'!$C$11&gt;=36,$AL$23,INDEX($C$23:$AL$23,MAX(1,ROUNDUP(DZ86/'🎚️ Escenario'!$C$11,0)))))</f>
        <v>1</v>
      </c>
      <c r="EA87" s="236" t="n">
        <f aca="false" t="array" ref="EA87:EA87">IF(EA86=0,0,IF(EA86/'🎚️ Escenario'!$C$11&gt;=36,$AL$23,INDEX($C$23:$AL$23,MAX(1,ROUNDUP(EA86/'🎚️ Escenario'!$C$11,0)))))</f>
        <v>1</v>
      </c>
      <c r="EB87" s="236" t="n">
        <f aca="false" t="array" ref="EB87:EB87">IF(EB86=0,0,IF(EB86/'🎚️ Escenario'!$C$11&gt;=36,$AL$23,INDEX($C$23:$AL$23,MAX(1,ROUNDUP(EB86/'🎚️ Escenario'!$C$11,0)))))</f>
        <v>1</v>
      </c>
      <c r="EC87" s="236" t="n">
        <f aca="false" t="array" ref="EC87:EC87">IF(EC86=0,0,IF(EC86/'🎚️ Escenario'!$C$11&gt;=36,$AL$23,INDEX($C$23:$AL$23,MAX(1,ROUNDUP(EC86/'🎚️ Escenario'!$C$11,0)))))</f>
        <v>1</v>
      </c>
      <c r="ED87" s="236" t="n">
        <f aca="false" t="array" ref="ED87:ED87">IF(ED86=0,0,IF(ED86/'🎚️ Escenario'!$C$11&gt;=36,$AL$23,INDEX($C$23:$AL$23,MAX(1,ROUNDUP(ED86/'🎚️ Escenario'!$C$11,0)))))</f>
        <v>1</v>
      </c>
      <c r="EE87" s="236" t="n">
        <f aca="false" t="array" ref="EE87:EE87">IF(EE86=0,0,IF(EE86/'🎚️ Escenario'!$C$11&gt;=36,$AL$23,INDEX($C$23:$AL$23,MAX(1,ROUNDUP(EE86/'🎚️ Escenario'!$C$11,0)))))</f>
        <v>1</v>
      </c>
      <c r="EF87" s="236" t="n">
        <f aca="false" t="array" ref="EF87:EF87">IF(EF86=0,0,IF(EF86/'🎚️ Escenario'!$C$11&gt;=36,$AL$23,INDEX($C$23:$AL$23,MAX(1,ROUNDUP(EF86/'🎚️ Escenario'!$C$11,0)))))</f>
        <v>1</v>
      </c>
      <c r="EG87" s="236" t="n">
        <f aca="false" t="array" ref="EG87:EG87">IF(EG86=0,0,IF(EG86/'🎚️ Escenario'!$C$11&gt;=36,$AL$23,INDEX($C$23:$AL$23,MAX(1,ROUNDUP(EG86/'🎚️ Escenario'!$C$11,0)))))</f>
        <v>1</v>
      </c>
      <c r="EH87" s="236" t="n">
        <f aca="false" t="array" ref="EH87:EH87">IF(EH86=0,0,IF(EH86/'🎚️ Escenario'!$C$11&gt;=36,$AL$23,INDEX($C$23:$AL$23,MAX(1,ROUNDUP(EH86/'🎚️ Escenario'!$C$11,0)))))</f>
        <v>1</v>
      </c>
      <c r="EI87" s="236" t="n">
        <f aca="false" t="array" ref="EI87:EI87">IF(EI86=0,0,IF(EI86/'🎚️ Escenario'!$C$11&gt;=36,$AL$23,INDEX($C$23:$AL$23,MAX(1,ROUNDUP(EI86/'🎚️ Escenario'!$C$11,0)))))</f>
        <v>1</v>
      </c>
      <c r="EJ87" s="236" t="n">
        <f aca="false" t="array" ref="EJ87:EJ87">IF(EJ86=0,0,IF(EJ86/'🎚️ Escenario'!$C$11&gt;=36,$AL$23,INDEX($C$23:$AL$23,MAX(1,ROUNDUP(EJ86/'🎚️ Escenario'!$C$11,0)))))</f>
        <v>1</v>
      </c>
      <c r="EK87" s="236" t="n">
        <f aca="false" t="array" ref="EK87:EK87">IF(EK86=0,0,IF(EK86/'🎚️ Escenario'!$C$11&gt;=36,$AL$23,INDEX($C$23:$AL$23,MAX(1,ROUNDUP(EK86/'🎚️ Escenario'!$C$11,0)))))</f>
        <v>1</v>
      </c>
      <c r="EL87" s="236" t="n">
        <f aca="false" t="array" ref="EL87:EL87">IF(EL86=0,0,IF(EL86/'🎚️ Escenario'!$C$11&gt;=36,$AL$23,INDEX($C$23:$AL$23,MAX(1,ROUNDUP(EL86/'🎚️ Escenario'!$C$11,0)))))</f>
        <v>1</v>
      </c>
      <c r="EM87" s="236" t="n">
        <f aca="false" t="array" ref="EM87:EM87">IF(EM86=0,0,IF(EM86/'🎚️ Escenario'!$C$11&gt;=36,$AL$23,INDEX($C$23:$AL$23,MAX(1,ROUNDUP(EM86/'🎚️ Escenario'!$C$11,0)))))</f>
        <v>1</v>
      </c>
      <c r="EN87" s="236" t="n">
        <f aca="false" t="array" ref="EN87:EN87">IF(EN86=0,0,IF(EN86/'🎚️ Escenario'!$C$11&gt;=36,$AL$23,INDEX($C$23:$AL$23,MAX(1,ROUNDUP(EN86/'🎚️ Escenario'!$C$11,0)))))</f>
        <v>1</v>
      </c>
      <c r="EO87" s="236" t="n">
        <f aca="false" t="array" ref="EO87:EO87">IF(EO86=0,0,IF(EO86/'🎚️ Escenario'!$C$11&gt;=36,$AL$23,INDEX($C$23:$AL$23,MAX(1,ROUNDUP(EO86/'🎚️ Escenario'!$C$11,0)))))</f>
        <v>1</v>
      </c>
      <c r="EP87" s="236" t="n">
        <f aca="false" t="array" ref="EP87:EP87">IF(EP86=0,0,IF(EP86/'🎚️ Escenario'!$C$11&gt;=36,$AL$23,INDEX($C$23:$AL$23,MAX(1,ROUNDUP(EP86/'🎚️ Escenario'!$C$11,0)))))</f>
        <v>1</v>
      </c>
      <c r="EQ87" s="236" t="n">
        <f aca="false" t="array" ref="EQ87:EQ87">IF(EQ86=0,0,IF(EQ86/'🎚️ Escenario'!$C$11&gt;=36,$AL$23,INDEX($C$23:$AL$23,MAX(1,ROUNDUP(EQ86/'🎚️ Escenario'!$C$11,0)))))</f>
        <v>1</v>
      </c>
      <c r="ER87" s="236" t="n">
        <f aca="false" t="array" ref="ER87:ER87">IF(ER86=0,0,IF(ER86/'🎚️ Escenario'!$C$11&gt;=36,$AL$23,INDEX($C$23:$AL$23,MAX(1,ROUNDUP(ER86/'🎚️ Escenario'!$C$11,0)))))</f>
        <v>1</v>
      </c>
      <c r="ES87" s="9" t="n">
        <f aca="false" t="array" ref="ES87:ES87">IF(ES86=0,0,IF(ES86/'🎚️ Escenario'!$C$11&gt;=36,$AL$23,INDEX($C$23:$AL$23,MAX(1,ROUNDUP(ES86/'🎚️ Escenario'!$C$11,0)))))</f>
        <v>1</v>
      </c>
      <c r="ET87" s="9" t="n">
        <f aca="false" t="array" ref="ET87:ET87">IF(ET86=0,0,IF(ET86/'🎚️ Escenario'!$C$11&gt;=36,$AL$23,INDEX($C$23:$AL$23,MAX(1,ROUNDUP(ET86/'🎚️ Escenario'!$C$11,0)))))</f>
        <v>1</v>
      </c>
      <c r="EU87" s="9" t="n">
        <f aca="false" t="array" ref="EU87:EU87">IF(EU86=0,0,IF(EU86/'🎚️ Escenario'!$C$11&gt;=36,$AL$23,INDEX($C$23:$AL$23,MAX(1,ROUNDUP(EU86/'🎚️ Escenario'!$C$11,0)))))</f>
        <v>1</v>
      </c>
      <c r="EV87" s="9" t="n">
        <f aca="false" t="array" ref="EV87:EV87">IF(EV86=0,0,IF(EV86/'🎚️ Escenario'!$C$11&gt;=36,$AL$23,INDEX($C$23:$AL$23,MAX(1,ROUNDUP(EV86/'🎚️ Escenario'!$C$11,0)))))</f>
        <v>1</v>
      </c>
      <c r="EW87" s="9" t="n">
        <f aca="false" t="array" ref="EW87:EW87">IF(EW86=0,0,IF(EW86/'🎚️ Escenario'!$C$11&gt;=36,$AL$23,INDEX($C$23:$AL$23,MAX(1,ROUNDUP(EW86/'🎚️ Escenario'!$C$11,0)))))</f>
        <v>1</v>
      </c>
      <c r="EX87" s="9" t="n">
        <f aca="false" t="array" ref="EX87:EX87">IF(EX86=0,0,IF(EX86/'🎚️ Escenario'!$C$11&gt;=36,$AL$23,INDEX($C$23:$AL$23,MAX(1,ROUNDUP(EX86/'🎚️ Escenario'!$C$11,0)))))</f>
        <v>1</v>
      </c>
      <c r="EY87" s="9" t="n">
        <f aca="false" t="array" ref="EY87:EY87">IF(EY86=0,0,IF(EY86/'🎚️ Escenario'!$C$11&gt;=36,$AL$23,INDEX($C$23:$AL$23,MAX(1,ROUNDUP(EY86/'🎚️ Escenario'!$C$11,0)))))</f>
        <v>1</v>
      </c>
      <c r="EZ87" s="9" t="n">
        <f aca="false" t="array" ref="EZ87:EZ87">IF(EZ86=0,0,IF(EZ86/'🎚️ Escenario'!$C$11&gt;=36,$AL$23,INDEX($C$23:$AL$23,MAX(1,ROUNDUP(EZ86/'🎚️ Escenario'!$C$11,0)))))</f>
        <v>1</v>
      </c>
      <c r="FA87" s="9" t="n">
        <f aca="false" t="array" ref="FA87:FA87">IF(FA86=0,0,IF(FA86/'🎚️ Escenario'!$C$11&gt;=36,$AL$23,INDEX($C$23:$AL$23,MAX(1,ROUNDUP(FA86/'🎚️ Escenario'!$C$11,0)))))</f>
        <v>1</v>
      </c>
      <c r="FB87" s="9" t="n">
        <f aca="false" t="array" ref="FB87:FB87">IF(FB86=0,0,IF(FB86/'🎚️ Escenario'!$C$11&gt;=36,$AL$23,INDEX($C$23:$AL$23,MAX(1,ROUNDUP(FB86/'🎚️ Escenario'!$C$11,0)))))</f>
        <v>1</v>
      </c>
      <c r="FC87" s="9" t="n">
        <f aca="false" t="array" ref="FC87:FC87">IF(FC86=0,0,IF(FC86/'🎚️ Escenario'!$C$11&gt;=36,$AL$23,INDEX($C$23:$AL$23,MAX(1,ROUNDUP(FC86/'🎚️ Escenario'!$C$11,0)))))</f>
        <v>1</v>
      </c>
      <c r="FD87" s="9" t="n">
        <f aca="false" t="array" ref="FD87:FD87">IF(FD86=0,0,IF(FD86/'🎚️ Escenario'!$C$11&gt;=36,$AL$23,INDEX($C$23:$AL$23,MAX(1,ROUNDUP(FD86/'🎚️ Escenario'!$C$11,0)))))</f>
        <v>1</v>
      </c>
      <c r="FE87" s="9" t="n">
        <f aca="false" t="array" ref="FE87:FE87">IF(FE86=0,0,IF(FE86/'🎚️ Escenario'!$C$11&gt;=36,$AL$23,INDEX($C$23:$AL$23,MAX(1,ROUNDUP(FE86/'🎚️ Escenario'!$C$11,0)))))</f>
        <v>1</v>
      </c>
      <c r="FF87" s="9" t="n">
        <f aca="false" t="array" ref="FF87:FF87">IF(FF86=0,0,IF(FF86/'🎚️ Escenario'!$C$11&gt;=36,$AL$23,INDEX($C$23:$AL$23,MAX(1,ROUNDUP(FF86/'🎚️ Escenario'!$C$11,0)))))</f>
        <v>1</v>
      </c>
      <c r="FG87" s="9" t="n">
        <f aca="false" t="array" ref="FG87:FG87">IF(FG86=0,0,IF(FG86/'🎚️ Escenario'!$C$11&gt;=36,$AL$23,INDEX($C$23:$AL$23,MAX(1,ROUNDUP(FG86/'🎚️ Escenario'!$C$11,0)))))</f>
        <v>1</v>
      </c>
      <c r="FH87" s="9" t="n">
        <f aca="false" t="array" ref="FH87:FH87">IF(FH86=0,0,IF(FH86/'🎚️ Escenario'!$C$11&gt;=36,$AL$23,INDEX($C$23:$AL$23,MAX(1,ROUNDUP(FH86/'🎚️ Escenario'!$C$11,0)))))</f>
        <v>1</v>
      </c>
      <c r="FI87" s="9" t="n">
        <f aca="false" t="array" ref="FI87:FI87">IF(FI86=0,0,IF(FI86/'🎚️ Escenario'!$C$11&gt;=36,$AL$23,INDEX($C$23:$AL$23,MAX(1,ROUNDUP(FI86/'🎚️ Escenario'!$C$11,0)))))</f>
        <v>1</v>
      </c>
      <c r="FJ87" s="9" t="n">
        <f aca="false" t="array" ref="FJ87:FJ87">IF(FJ86=0,0,IF(FJ86/'🎚️ Escenario'!$C$11&gt;=36,$AL$23,INDEX($C$23:$AL$23,MAX(1,ROUNDUP(FJ86/'🎚️ Escenario'!$C$11,0)))))</f>
        <v>1</v>
      </c>
      <c r="FK87" s="9" t="n">
        <f aca="false" t="array" ref="FK87:FK87">IF(FK86=0,0,IF(FK86/'🎚️ Escenario'!$C$11&gt;=36,$AL$23,INDEX($C$23:$AL$23,MAX(1,ROUNDUP(FK86/'🎚️ Escenario'!$C$11,0)))))</f>
        <v>1</v>
      </c>
      <c r="FL87" s="9" t="n">
        <f aca="false" t="array" ref="FL87:FL87">IF(FL86=0,0,IF(FL86/'🎚️ Escenario'!$C$11&gt;=36,$AL$23,INDEX($C$23:$AL$23,MAX(1,ROUNDUP(FL86/'🎚️ Escenario'!$C$11,0)))))</f>
        <v>1</v>
      </c>
      <c r="FM87" s="9" t="n">
        <f aca="false" t="array" ref="FM87:FM87">IF(FM86=0,0,IF(FM86/'🎚️ Escenario'!$C$11&gt;=36,$AL$23,INDEX($C$23:$AL$23,MAX(1,ROUNDUP(FM86/'🎚️ Escenario'!$C$11,0)))))</f>
        <v>1</v>
      </c>
      <c r="FN87" s="9" t="n">
        <f aca="false" t="array" ref="FN87:FN87">IF(FN86=0,0,IF(FN86/'🎚️ Escenario'!$C$11&gt;=36,$AL$23,INDEX($C$23:$AL$23,MAX(1,ROUNDUP(FN86/'🎚️ Escenario'!$C$11,0)))))</f>
        <v>1</v>
      </c>
      <c r="FO87" s="9" t="n">
        <f aca="false" t="array" ref="FO87:FO87">IF(FO86=0,0,IF(FO86/'🎚️ Escenario'!$C$11&gt;=36,$AL$23,INDEX($C$23:$AL$23,MAX(1,ROUNDUP(FO86/'🎚️ Escenario'!$C$11,0)))))</f>
        <v>1</v>
      </c>
      <c r="FP87" s="9" t="n">
        <f aca="false" t="array" ref="FP87:FP87">IF(FP86=0,0,IF(FP86/'🎚️ Escenario'!$C$11&gt;=36,$AL$23,INDEX($C$23:$AL$23,MAX(1,ROUNDUP(FP86/'🎚️ Escenario'!$C$11,0)))))</f>
        <v>1</v>
      </c>
    </row>
    <row r="88" customFormat="false" ht="15" hidden="false" customHeight="false" outlineLevel="2" collapsed="false">
      <c r="B88" s="9" t="s">
        <v>875</v>
      </c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237" t="n">
        <f aca="false">IF(AC86=0,0,IF(AC86&lt;=12*'🎚️ Escenario'!$C$11,1,1+$C$6))</f>
        <v>0</v>
      </c>
      <c r="AD88" s="237" t="n">
        <f aca="false">IF(AD86=0,0,IF(AD86&lt;=12*'🎚️ Escenario'!$C$11,1,1+$C$6))</f>
        <v>0</v>
      </c>
      <c r="AE88" s="237" t="n">
        <f aca="false">IF(AE86=0,0,IF(AE86&lt;=12*'🎚️ Escenario'!$C$11,1,1+$C$6))</f>
        <v>0</v>
      </c>
      <c r="AF88" s="237" t="n">
        <f aca="false">IF(AF86=0,0,IF(AF86&lt;=12*'🎚️ Escenario'!$C$11,1,1+$C$6))</f>
        <v>0</v>
      </c>
      <c r="AG88" s="237" t="n">
        <f aca="false">IF(AG86=0,0,IF(AG86&lt;=12*'🎚️ Escenario'!$C$11,1,1+$C$6))</f>
        <v>0</v>
      </c>
      <c r="AH88" s="237" t="n">
        <f aca="false">IF(AH86=0,0,IF(AH86&lt;=12*'🎚️ Escenario'!$C$11,1,1+$C$6))</f>
        <v>0</v>
      </c>
      <c r="AI88" s="237" t="n">
        <f aca="false">IF(AI86=0,0,IF(AI86&lt;=12*'🎚️ Escenario'!$C$11,1,1+$C$6))</f>
        <v>0</v>
      </c>
      <c r="AJ88" s="237" t="n">
        <f aca="false">IF(AJ86=0,0,IF(AJ86&lt;=12*'🎚️ Escenario'!$C$11,1,1+$C$6))</f>
        <v>0</v>
      </c>
      <c r="AK88" s="237" t="n">
        <f aca="false">IF(AK86=0,0,IF(AK86&lt;=12*'🎚️ Escenario'!$C$11,1,1+$C$6))</f>
        <v>0</v>
      </c>
      <c r="AL88" s="237" t="n">
        <f aca="false">IF(AL86=0,0,IF(AL86&lt;=12*'🎚️ Escenario'!$C$11,1,1+$C$6))</f>
        <v>0</v>
      </c>
      <c r="AM88" s="237" t="n">
        <f aca="false">IF(AM86=0,0,IF(AM86&lt;=12*'🎚️ Escenario'!$C$11,1,1+$C$6))</f>
        <v>0</v>
      </c>
      <c r="AN88" s="237" t="n">
        <f aca="false">IF(AN86=0,0,IF(AN86&lt;=12*'🎚️ Escenario'!$C$11,1,1+$C$6))</f>
        <v>0</v>
      </c>
      <c r="AO88" s="237" t="n">
        <f aca="false">IF(AO86=0,0,IF(AO86&lt;=12*'🎚️ Escenario'!$C$11,1,1+$C$6))</f>
        <v>0</v>
      </c>
      <c r="AP88" s="237" t="n">
        <f aca="false">IF(AP86=0,0,IF(AP86&lt;=12*'🎚️ Escenario'!$C$11,1,1+$C$6))</f>
        <v>0</v>
      </c>
      <c r="AQ88" s="237" t="n">
        <f aca="false">IF(AQ86=0,0,IF(AQ86&lt;=12*'🎚️ Escenario'!$C$11,1,1+$C$6))</f>
        <v>0</v>
      </c>
      <c r="AR88" s="237" t="n">
        <f aca="false">IF(AR86=0,0,IF(AR86&lt;=12*'🎚️ Escenario'!$C$11,1,1+$C$6))</f>
        <v>0</v>
      </c>
      <c r="AS88" s="237" t="n">
        <f aca="false">IF(AS86=0,0,IF(AS86&lt;=12*'🎚️ Escenario'!$C$11,1,1+$C$6))</f>
        <v>0</v>
      </c>
      <c r="AT88" s="237" t="n">
        <f aca="false">IF(AT86=0,0,IF(AT86&lt;=12*'🎚️ Escenario'!$C$11,1,1+$C$6))</f>
        <v>0</v>
      </c>
      <c r="AU88" s="237" t="n">
        <f aca="false">IF(AU86=0,0,IF(AU86&lt;=12*'🎚️ Escenario'!$C$11,1,1+$C$6))</f>
        <v>0</v>
      </c>
      <c r="AV88" s="237" t="n">
        <f aca="false">IF(AV86=0,0,IF(AV86&lt;=12*'🎚️ Escenario'!$C$11,1,1+$C$6))</f>
        <v>0</v>
      </c>
      <c r="AW88" s="237" t="n">
        <f aca="false">IF(AW86=0,0,IF(AW86&lt;=12*'🎚️ Escenario'!$C$11,1,1+$C$6))</f>
        <v>0</v>
      </c>
      <c r="AX88" s="237" t="n">
        <f aca="false">IF(AX86=0,0,IF(AX86&lt;=12*'🎚️ Escenario'!$C$11,1,1+$C$6))</f>
        <v>0</v>
      </c>
      <c r="AY88" s="237" t="n">
        <f aca="false">IF(AY86=0,0,IF(AY86&lt;=12*'🎚️ Escenario'!$C$11,1,1+$C$6))</f>
        <v>0</v>
      </c>
      <c r="AZ88" s="237" t="n">
        <f aca="false">IF(AZ86=0,0,IF(AZ86&lt;=12*'🎚️ Escenario'!$C$11,1,1+$C$6))</f>
        <v>0</v>
      </c>
      <c r="BA88" s="237" t="n">
        <f aca="false">IF(BA86=0,0,IF(BA86&lt;=12*'🎚️ Escenario'!$C$11,1,1+$C$6))</f>
        <v>0</v>
      </c>
      <c r="BB88" s="237" t="n">
        <f aca="false">IF(BB86=0,0,IF(BB86&lt;=12*'🎚️ Escenario'!$C$11,1,1+$C$6))</f>
        <v>0</v>
      </c>
      <c r="BC88" s="237" t="n">
        <f aca="false">IF(BC86=0,0,IF(BC86&lt;=12*'🎚️ Escenario'!$C$11,1,1+$C$6))</f>
        <v>0</v>
      </c>
      <c r="BD88" s="237" t="n">
        <f aca="false">IF(BD86=0,0,IF(BD86&lt;=12*'🎚️ Escenario'!$C$11,1,1+$C$6))</f>
        <v>0</v>
      </c>
      <c r="BE88" s="237" t="n">
        <f aca="false">IF(BE86=0,0,IF(BE86&lt;=12*'🎚️ Escenario'!$C$11,1,1+$C$6))</f>
        <v>0</v>
      </c>
      <c r="BF88" s="237" t="n">
        <f aca="false">IF(BF86=0,0,IF(BF86&lt;=12*'🎚️ Escenario'!$C$11,1,1+$C$6))</f>
        <v>0</v>
      </c>
      <c r="BG88" s="237" t="n">
        <f aca="false">IF(BG86=0,0,IF(BG86&lt;=12*'🎚️ Escenario'!$C$11,1,1+$C$6))</f>
        <v>0</v>
      </c>
      <c r="BH88" s="237" t="n">
        <f aca="false">IF(BH86=0,0,IF(BH86&lt;=12*'🎚️ Escenario'!$C$11,1,1+$C$6))</f>
        <v>1</v>
      </c>
      <c r="BI88" s="237" t="n">
        <f aca="false">IF(BI86=0,0,IF(BI86&lt;=12*'🎚️ Escenario'!$C$11,1,1+$C$6))</f>
        <v>1</v>
      </c>
      <c r="BJ88" s="237" t="n">
        <f aca="false">IF(BJ86=0,0,IF(BJ86&lt;=12*'🎚️ Escenario'!$C$11,1,1+$C$6))</f>
        <v>1</v>
      </c>
      <c r="BK88" s="237" t="n">
        <f aca="false">IF(BK86=0,0,IF(BK86&lt;=12*'🎚️ Escenario'!$C$11,1,1+$C$6))</f>
        <v>1</v>
      </c>
      <c r="BL88" s="237" t="n">
        <f aca="false">IF(BL86=0,0,IF(BL86&lt;=12*'🎚️ Escenario'!$C$11,1,1+$C$6))</f>
        <v>1</v>
      </c>
      <c r="BM88" s="237" t="n">
        <f aca="false">IF(BM86=0,0,IF(BM86&lt;=12*'🎚️ Escenario'!$C$11,1,1+$C$6))</f>
        <v>1</v>
      </c>
      <c r="BN88" s="237" t="n">
        <f aca="false">IF(BN86=0,0,IF(BN86&lt;=12*'🎚️ Escenario'!$C$11,1,1+$C$6))</f>
        <v>1</v>
      </c>
      <c r="BO88" s="237" t="n">
        <f aca="false">IF(BO86=0,0,IF(BO86&lt;=12*'🎚️ Escenario'!$C$11,1,1+$C$6))</f>
        <v>1</v>
      </c>
      <c r="BP88" s="237" t="n">
        <f aca="false">IF(BP86=0,0,IF(BP86&lt;=12*'🎚️ Escenario'!$C$11,1,1+$C$6))</f>
        <v>1</v>
      </c>
      <c r="BQ88" s="237" t="n">
        <f aca="false">IF(BQ86=0,0,IF(BQ86&lt;=12*'🎚️ Escenario'!$C$11,1,1+$C$6))</f>
        <v>1</v>
      </c>
      <c r="BR88" s="237" t="n">
        <f aca="false">IF(BR86=0,0,IF(BR86&lt;=12*'🎚️ Escenario'!$C$11,1,1+$C$6))</f>
        <v>1</v>
      </c>
      <c r="BS88" s="237" t="n">
        <f aca="false">IF(BS86=0,0,IF(BS86&lt;=12*'🎚️ Escenario'!$C$11,1,1+$C$6))</f>
        <v>1</v>
      </c>
      <c r="BT88" s="237" t="n">
        <f aca="false">IF(BT86=0,0,IF(BT86&lt;=12*'🎚️ Escenario'!$C$11,1,1+$C$6))</f>
        <v>1</v>
      </c>
      <c r="BU88" s="237" t="n">
        <f aca="false">IF(BU86=0,0,IF(BU86&lt;=12*'🎚️ Escenario'!$C$11,1,1+$C$6))</f>
        <v>1</v>
      </c>
      <c r="BV88" s="237" t="n">
        <f aca="false">IF(BV86=0,0,IF(BV86&lt;=12*'🎚️ Escenario'!$C$11,1,1+$C$6))</f>
        <v>1</v>
      </c>
      <c r="BW88" s="237" t="n">
        <f aca="false">IF(BW86=0,0,IF(BW86&lt;=12*'🎚️ Escenario'!$C$11,1,1+$C$6))</f>
        <v>1.2</v>
      </c>
      <c r="BX88" s="237" t="n">
        <f aca="false">IF(BX86=0,0,IF(BX86&lt;=12*'🎚️ Escenario'!$C$11,1,1+$C$6))</f>
        <v>1.2</v>
      </c>
      <c r="BY88" s="237" t="n">
        <f aca="false">IF(BY86=0,0,IF(BY86&lt;=12*'🎚️ Escenario'!$C$11,1,1+$C$6))</f>
        <v>1.2</v>
      </c>
      <c r="BZ88" s="237" t="n">
        <f aca="false">IF(BZ86=0,0,IF(BZ86&lt;=12*'🎚️ Escenario'!$C$11,1,1+$C$6))</f>
        <v>1.2</v>
      </c>
      <c r="CA88" s="237" t="n">
        <f aca="false">IF(CA86=0,0,IF(CA86&lt;=12*'🎚️ Escenario'!$C$11,1,1+$C$6))</f>
        <v>1.2</v>
      </c>
      <c r="CB88" s="237" t="n">
        <f aca="false">IF(CB86=0,0,IF(CB86&lt;=12*'🎚️ Escenario'!$C$11,1,1+$C$6))</f>
        <v>1.2</v>
      </c>
      <c r="CC88" s="237" t="n">
        <f aca="false">IF(CC86=0,0,IF(CC86&lt;=12*'🎚️ Escenario'!$C$11,1,1+$C$6))</f>
        <v>1.2</v>
      </c>
      <c r="CD88" s="237" t="n">
        <f aca="false">IF(CD86=0,0,IF(CD86&lt;=12*'🎚️ Escenario'!$C$11,1,1+$C$6))</f>
        <v>1.2</v>
      </c>
      <c r="CE88" s="237" t="n">
        <f aca="false">IF(CE86=0,0,IF(CE86&lt;=12*'🎚️ Escenario'!$C$11,1,1+$C$6))</f>
        <v>1.2</v>
      </c>
      <c r="CF88" s="237" t="n">
        <f aca="false">IF(CF86=0,0,IF(CF86&lt;=12*'🎚️ Escenario'!$C$11,1,1+$C$6))</f>
        <v>1.2</v>
      </c>
      <c r="CG88" s="237" t="n">
        <f aca="false">IF(CG86=0,0,IF(CG86&lt;=12*'🎚️ Escenario'!$C$11,1,1+$C$6))</f>
        <v>1.2</v>
      </c>
      <c r="CH88" s="237" t="n">
        <f aca="false">IF(CH86=0,0,IF(CH86&lt;=12*'🎚️ Escenario'!$C$11,1,1+$C$6))</f>
        <v>1.2</v>
      </c>
      <c r="CI88" s="237" t="n">
        <f aca="false">IF(CI86=0,0,IF(CI86&lt;=12*'🎚️ Escenario'!$C$11,1,1+$C$6))</f>
        <v>1.2</v>
      </c>
      <c r="CJ88" s="237" t="n">
        <f aca="false">IF(CJ86=0,0,IF(CJ86&lt;=12*'🎚️ Escenario'!$C$11,1,1+$C$6))</f>
        <v>1.2</v>
      </c>
      <c r="CK88" s="237" t="n">
        <f aca="false">IF(CK86=0,0,IF(CK86&lt;=12*'🎚️ Escenario'!$C$11,1,1+$C$6))</f>
        <v>1.2</v>
      </c>
      <c r="CL88" s="237" t="n">
        <f aca="false">IF(CL86=0,0,IF(CL86&lt;=12*'🎚️ Escenario'!$C$11,1,1+$C$6))</f>
        <v>1.2</v>
      </c>
      <c r="CM88" s="237" t="n">
        <f aca="false">IF(CM86=0,0,IF(CM86&lt;=12*'🎚️ Escenario'!$C$11,1,1+$C$6))</f>
        <v>1.2</v>
      </c>
      <c r="CN88" s="237" t="n">
        <f aca="false">IF(CN86=0,0,IF(CN86&lt;=12*'🎚️ Escenario'!$C$11,1,1+$C$6))</f>
        <v>1.2</v>
      </c>
      <c r="CO88" s="237" t="n">
        <f aca="false">IF(CO86=0,0,IF(CO86&lt;=12*'🎚️ Escenario'!$C$11,1,1+$C$6))</f>
        <v>1.2</v>
      </c>
      <c r="CP88" s="237" t="n">
        <f aca="false">IF(CP86=0,0,IF(CP86&lt;=12*'🎚️ Escenario'!$C$11,1,1+$C$6))</f>
        <v>1.2</v>
      </c>
      <c r="CQ88" s="237" t="n">
        <f aca="false">IF(CQ86=0,0,IF(CQ86&lt;=12*'🎚️ Escenario'!$C$11,1,1+$C$6))</f>
        <v>1.2</v>
      </c>
      <c r="CR88" s="237" t="n">
        <f aca="false">IF(CR86=0,0,IF(CR86&lt;=12*'🎚️ Escenario'!$C$11,1,1+$C$6))</f>
        <v>1.2</v>
      </c>
      <c r="CS88" s="237" t="n">
        <f aca="false">IF(CS86=0,0,IF(CS86&lt;=12*'🎚️ Escenario'!$C$11,1,1+$C$6))</f>
        <v>1.2</v>
      </c>
      <c r="CT88" s="237" t="n">
        <f aca="false">IF(CT86=0,0,IF(CT86&lt;=12*'🎚️ Escenario'!$C$11,1,1+$C$6))</f>
        <v>1.2</v>
      </c>
      <c r="CU88" s="237" t="n">
        <f aca="false">IF(CU86=0,0,IF(CU86&lt;=12*'🎚️ Escenario'!$C$11,1,1+$C$6))</f>
        <v>1.2</v>
      </c>
      <c r="CV88" s="237" t="n">
        <f aca="false">IF(CV86=0,0,IF(CV86&lt;=12*'🎚️ Escenario'!$C$11,1,1+$C$6))</f>
        <v>1.2</v>
      </c>
      <c r="CW88" s="237" t="n">
        <f aca="false">IF(CW86=0,0,IF(CW86&lt;=12*'🎚️ Escenario'!$C$11,1,1+$C$6))</f>
        <v>1.2</v>
      </c>
      <c r="CX88" s="237" t="n">
        <f aca="false">IF(CX86=0,0,IF(CX86&lt;=12*'🎚️ Escenario'!$C$11,1,1+$C$6))</f>
        <v>1.2</v>
      </c>
      <c r="CY88" s="237" t="n">
        <f aca="false">IF(CY86=0,0,IF(CY86&lt;=12*'🎚️ Escenario'!$C$11,1,1+$C$6))</f>
        <v>1.2</v>
      </c>
      <c r="CZ88" s="237" t="n">
        <f aca="false">IF(CZ86=0,0,IF(CZ86&lt;=12*'🎚️ Escenario'!$C$11,1,1+$C$6))</f>
        <v>1.2</v>
      </c>
      <c r="DA88" s="237" t="n">
        <f aca="false">IF(DA86=0,0,IF(DA86&lt;=12*'🎚️ Escenario'!$C$11,1,1+$C$6))</f>
        <v>1.2</v>
      </c>
      <c r="DB88" s="237" t="n">
        <f aca="false">IF(DB86=0,0,IF(DB86&lt;=12*'🎚️ Escenario'!$C$11,1,1+$C$6))</f>
        <v>1.2</v>
      </c>
      <c r="DC88" s="237" t="n">
        <f aca="false">IF(DC86=0,0,IF(DC86&lt;=12*'🎚️ Escenario'!$C$11,1,1+$C$6))</f>
        <v>1.2</v>
      </c>
      <c r="DD88" s="237" t="n">
        <f aca="false">IF(DD86=0,0,IF(DD86&lt;=12*'🎚️ Escenario'!$C$11,1,1+$C$6))</f>
        <v>1.2</v>
      </c>
      <c r="DE88" s="237" t="n">
        <f aca="false">IF(DE86=0,0,IF(DE86&lt;=12*'🎚️ Escenario'!$C$11,1,1+$C$6))</f>
        <v>1.2</v>
      </c>
      <c r="DF88" s="237" t="n">
        <f aca="false">IF(DF86=0,0,IF(DF86&lt;=12*'🎚️ Escenario'!$C$11,1,1+$C$6))</f>
        <v>1.2</v>
      </c>
      <c r="DG88" s="237" t="n">
        <f aca="false">IF(DG86=0,0,IF(DG86&lt;=12*'🎚️ Escenario'!$C$11,1,1+$C$6))</f>
        <v>1.2</v>
      </c>
      <c r="DH88" s="237" t="n">
        <f aca="false">IF(DH86=0,0,IF(DH86&lt;=12*'🎚️ Escenario'!$C$11,1,1+$C$6))</f>
        <v>1.2</v>
      </c>
      <c r="DI88" s="237" t="n">
        <f aca="false">IF(DI86=0,0,IF(DI86&lt;=12*'🎚️ Escenario'!$C$11,1,1+$C$6))</f>
        <v>1.2</v>
      </c>
      <c r="DJ88" s="237" t="n">
        <f aca="false">IF(DJ86=0,0,IF(DJ86&lt;=12*'🎚️ Escenario'!$C$11,1,1+$C$6))</f>
        <v>1.2</v>
      </c>
      <c r="DK88" s="237" t="n">
        <f aca="false">IF(DK86=0,0,IF(DK86&lt;=12*'🎚️ Escenario'!$C$11,1,1+$C$6))</f>
        <v>1.2</v>
      </c>
      <c r="DL88" s="237" t="n">
        <f aca="false">IF(DL86=0,0,IF(DL86&lt;=12*'🎚️ Escenario'!$C$11,1,1+$C$6))</f>
        <v>1.2</v>
      </c>
      <c r="DM88" s="237" t="n">
        <f aca="false">IF(DM86=0,0,IF(DM86&lt;=12*'🎚️ Escenario'!$C$11,1,1+$C$6))</f>
        <v>1.2</v>
      </c>
      <c r="DN88" s="237" t="n">
        <f aca="false">IF(DN86=0,0,IF(DN86&lt;=12*'🎚️ Escenario'!$C$11,1,1+$C$6))</f>
        <v>1.2</v>
      </c>
      <c r="DO88" s="237" t="n">
        <f aca="false">IF(DO86=0,0,IF(DO86&lt;=12*'🎚️ Escenario'!$C$11,1,1+$C$6))</f>
        <v>1.2</v>
      </c>
      <c r="DP88" s="237" t="n">
        <f aca="false">IF(DP86=0,0,IF(DP86&lt;=12*'🎚️ Escenario'!$C$11,1,1+$C$6))</f>
        <v>1.2</v>
      </c>
      <c r="DQ88" s="237" t="n">
        <f aca="false">IF(DQ86=0,0,IF(DQ86&lt;=12*'🎚️ Escenario'!$C$11,1,1+$C$6))</f>
        <v>1.2</v>
      </c>
      <c r="DR88" s="237" t="n">
        <f aca="false">IF(DR86=0,0,IF(DR86&lt;=12*'🎚️ Escenario'!$C$11,1,1+$C$6))</f>
        <v>1.2</v>
      </c>
      <c r="DS88" s="237" t="n">
        <f aca="false">IF(DS86=0,0,IF(DS86&lt;=12*'🎚️ Escenario'!$C$11,1,1+$C$6))</f>
        <v>1.2</v>
      </c>
      <c r="DT88" s="237" t="n">
        <f aca="false">IF(DT86=0,0,IF(DT86&lt;=12*'🎚️ Escenario'!$C$11,1,1+$C$6))</f>
        <v>1.2</v>
      </c>
      <c r="DU88" s="237" t="n">
        <f aca="false">IF(DU86=0,0,IF(DU86&lt;=12*'🎚️ Escenario'!$C$11,1,1+$C$6))</f>
        <v>1.2</v>
      </c>
      <c r="DV88" s="237" t="n">
        <f aca="false">IF(DV86=0,0,IF(DV86&lt;=12*'🎚️ Escenario'!$C$11,1,1+$C$6))</f>
        <v>1.2</v>
      </c>
      <c r="DW88" s="237" t="n">
        <f aca="false">IF(DW86=0,0,IF(DW86&lt;=12*'🎚️ Escenario'!$C$11,1,1+$C$6))</f>
        <v>1.2</v>
      </c>
      <c r="DX88" s="237" t="n">
        <f aca="false">IF(DX86=0,0,IF(DX86&lt;=12*'🎚️ Escenario'!$C$11,1,1+$C$6))</f>
        <v>1.2</v>
      </c>
      <c r="DY88" s="237" t="n">
        <f aca="false">IF(DY86=0,0,IF(DY86&lt;=12*'🎚️ Escenario'!$C$11,1,1+$C$6))</f>
        <v>1.2</v>
      </c>
      <c r="DZ88" s="237" t="n">
        <f aca="false">IF(DZ86=0,0,IF(DZ86&lt;=12*'🎚️ Escenario'!$C$11,1,1+$C$6))</f>
        <v>1.2</v>
      </c>
      <c r="EA88" s="237" t="n">
        <f aca="false">IF(EA86=0,0,IF(EA86&lt;=12*'🎚️ Escenario'!$C$11,1,1+$C$6))</f>
        <v>1.2</v>
      </c>
      <c r="EB88" s="237" t="n">
        <f aca="false">IF(EB86=0,0,IF(EB86&lt;=12*'🎚️ Escenario'!$C$11,1,1+$C$6))</f>
        <v>1.2</v>
      </c>
      <c r="EC88" s="237" t="n">
        <f aca="false">IF(EC86=0,0,IF(EC86&lt;=12*'🎚️ Escenario'!$C$11,1,1+$C$6))</f>
        <v>1.2</v>
      </c>
      <c r="ED88" s="237" t="n">
        <f aca="false">IF(ED86=0,0,IF(ED86&lt;=12*'🎚️ Escenario'!$C$11,1,1+$C$6))</f>
        <v>1.2</v>
      </c>
      <c r="EE88" s="237" t="n">
        <f aca="false">IF(EE86=0,0,IF(EE86&lt;=12*'🎚️ Escenario'!$C$11,1,1+$C$6))</f>
        <v>1.2</v>
      </c>
      <c r="EF88" s="237" t="n">
        <f aca="false">IF(EF86=0,0,IF(EF86&lt;=12*'🎚️ Escenario'!$C$11,1,1+$C$6))</f>
        <v>1.2</v>
      </c>
      <c r="EG88" s="237" t="n">
        <f aca="false">IF(EG86=0,0,IF(EG86&lt;=12*'🎚️ Escenario'!$C$11,1,1+$C$6))</f>
        <v>1.2</v>
      </c>
      <c r="EH88" s="237" t="n">
        <f aca="false">IF(EH86=0,0,IF(EH86&lt;=12*'🎚️ Escenario'!$C$11,1,1+$C$6))</f>
        <v>1.2</v>
      </c>
      <c r="EI88" s="237" t="n">
        <f aca="false">IF(EI86=0,0,IF(EI86&lt;=12*'🎚️ Escenario'!$C$11,1,1+$C$6))</f>
        <v>1.2</v>
      </c>
      <c r="EJ88" s="237" t="n">
        <f aca="false">IF(EJ86=0,0,IF(EJ86&lt;=12*'🎚️ Escenario'!$C$11,1,1+$C$6))</f>
        <v>1.2</v>
      </c>
      <c r="EK88" s="237" t="n">
        <f aca="false">IF(EK86=0,0,IF(EK86&lt;=12*'🎚️ Escenario'!$C$11,1,1+$C$6))</f>
        <v>1.2</v>
      </c>
      <c r="EL88" s="237" t="n">
        <f aca="false">IF(EL86=0,0,IF(EL86&lt;=12*'🎚️ Escenario'!$C$11,1,1+$C$6))</f>
        <v>1.2</v>
      </c>
      <c r="EM88" s="237" t="n">
        <f aca="false">IF(EM86=0,0,IF(EM86&lt;=12*'🎚️ Escenario'!$C$11,1,1+$C$6))</f>
        <v>1.2</v>
      </c>
      <c r="EN88" s="237" t="n">
        <f aca="false">IF(EN86=0,0,IF(EN86&lt;=12*'🎚️ Escenario'!$C$11,1,1+$C$6))</f>
        <v>1.2</v>
      </c>
      <c r="EO88" s="237" t="n">
        <f aca="false">IF(EO86=0,0,IF(EO86&lt;=12*'🎚️ Escenario'!$C$11,1,1+$C$6))</f>
        <v>1.2</v>
      </c>
      <c r="EP88" s="237" t="n">
        <f aca="false">IF(EP86=0,0,IF(EP86&lt;=12*'🎚️ Escenario'!$C$11,1,1+$C$6))</f>
        <v>1.2</v>
      </c>
      <c r="EQ88" s="237" t="n">
        <f aca="false">IF(EQ86=0,0,IF(EQ86&lt;=12*'🎚️ Escenario'!$C$11,1,1+$C$6))</f>
        <v>1.2</v>
      </c>
      <c r="ER88" s="237" t="n">
        <f aca="false">IF(ER86=0,0,IF(ER86&lt;=12*'🎚️ Escenario'!$C$11,1,1+$C$6))</f>
        <v>1.2</v>
      </c>
      <c r="ES88" s="238" t="n">
        <f aca="false">IF(ES86=0,0,IF(ES86&lt;=12*'🎚️ Escenario'!$C$11,1,1+$C$6))</f>
        <v>1.2</v>
      </c>
      <c r="ET88" s="238" t="n">
        <f aca="false">IF(ET86=0,0,IF(ET86&lt;=12*'🎚️ Escenario'!$C$11,1,1+$C$6))</f>
        <v>1.2</v>
      </c>
      <c r="EU88" s="238" t="n">
        <f aca="false">IF(EU86=0,0,IF(EU86&lt;=12*'🎚️ Escenario'!$C$11,1,1+$C$6))</f>
        <v>1.2</v>
      </c>
      <c r="EV88" s="238" t="n">
        <f aca="false">IF(EV86=0,0,IF(EV86&lt;=12*'🎚️ Escenario'!$C$11,1,1+$C$6))</f>
        <v>1.2</v>
      </c>
      <c r="EW88" s="238" t="n">
        <f aca="false">IF(EW86=0,0,IF(EW86&lt;=12*'🎚️ Escenario'!$C$11,1,1+$C$6))</f>
        <v>1.2</v>
      </c>
      <c r="EX88" s="238" t="n">
        <f aca="false">IF(EX86=0,0,IF(EX86&lt;=12*'🎚️ Escenario'!$C$11,1,1+$C$6))</f>
        <v>1.2</v>
      </c>
      <c r="EY88" s="238" t="n">
        <f aca="false">IF(EY86=0,0,IF(EY86&lt;=12*'🎚️ Escenario'!$C$11,1,1+$C$6))</f>
        <v>1.2</v>
      </c>
      <c r="EZ88" s="238" t="n">
        <f aca="false">IF(EZ86=0,0,IF(EZ86&lt;=12*'🎚️ Escenario'!$C$11,1,1+$C$6))</f>
        <v>1.2</v>
      </c>
      <c r="FA88" s="238" t="n">
        <f aca="false">IF(FA86=0,0,IF(FA86&lt;=12*'🎚️ Escenario'!$C$11,1,1+$C$6))</f>
        <v>1.2</v>
      </c>
      <c r="FB88" s="238" t="n">
        <f aca="false">IF(FB86=0,0,IF(FB86&lt;=12*'🎚️ Escenario'!$C$11,1,1+$C$6))</f>
        <v>1.2</v>
      </c>
      <c r="FC88" s="238" t="n">
        <f aca="false">IF(FC86=0,0,IF(FC86&lt;=12*'🎚️ Escenario'!$C$11,1,1+$C$6))</f>
        <v>1.2</v>
      </c>
      <c r="FD88" s="238" t="n">
        <f aca="false">IF(FD86=0,0,IF(FD86&lt;=12*'🎚️ Escenario'!$C$11,1,1+$C$6))</f>
        <v>1.2</v>
      </c>
      <c r="FE88" s="238" t="n">
        <f aca="false">IF(FE86=0,0,IF(FE86&lt;=12*'🎚️ Escenario'!$C$11,1,1+$C$6))</f>
        <v>1.2</v>
      </c>
      <c r="FF88" s="238" t="n">
        <f aca="false">IF(FF86=0,0,IF(FF86&lt;=12*'🎚️ Escenario'!$C$11,1,1+$C$6))</f>
        <v>1.2</v>
      </c>
      <c r="FG88" s="238" t="n">
        <f aca="false">IF(FG86=0,0,IF(FG86&lt;=12*'🎚️ Escenario'!$C$11,1,1+$C$6))</f>
        <v>1.2</v>
      </c>
      <c r="FH88" s="238" t="n">
        <f aca="false">IF(FH86=0,0,IF(FH86&lt;=12*'🎚️ Escenario'!$C$11,1,1+$C$6))</f>
        <v>1.2</v>
      </c>
      <c r="FI88" s="238" t="n">
        <f aca="false">IF(FI86=0,0,IF(FI86&lt;=12*'🎚️ Escenario'!$C$11,1,1+$C$6))</f>
        <v>1.2</v>
      </c>
      <c r="FJ88" s="238" t="n">
        <f aca="false">IF(FJ86=0,0,IF(FJ86&lt;=12*'🎚️ Escenario'!$C$11,1,1+$C$6))</f>
        <v>1.2</v>
      </c>
      <c r="FK88" s="238" t="n">
        <f aca="false">IF(FK86=0,0,IF(FK86&lt;=12*'🎚️ Escenario'!$C$11,1,1+$C$6))</f>
        <v>1.2</v>
      </c>
      <c r="FL88" s="238" t="n">
        <f aca="false">IF(FL86=0,0,IF(FL86&lt;=12*'🎚️ Escenario'!$C$11,1,1+$C$6))</f>
        <v>1.2</v>
      </c>
      <c r="FM88" s="238" t="n">
        <f aca="false">IF(FM86=0,0,IF(FM86&lt;=12*'🎚️ Escenario'!$C$11,1,1+$C$6))</f>
        <v>1.2</v>
      </c>
      <c r="FN88" s="238" t="n">
        <f aca="false">IF(FN86=0,0,IF(FN86&lt;=12*'🎚️ Escenario'!$C$11,1,1+$C$6))</f>
        <v>1.2</v>
      </c>
      <c r="FO88" s="238" t="n">
        <f aca="false">IF(FO86=0,0,IF(FO86&lt;=12*'🎚️ Escenario'!$C$11,1,1+$C$6))</f>
        <v>1.2</v>
      </c>
      <c r="FP88" s="238" t="n">
        <f aca="false">IF(FP86=0,0,IF(FP86&lt;=12*'🎚️ Escenario'!$C$11,1,1+$C$6))</f>
        <v>1.2</v>
      </c>
    </row>
    <row r="89" customFormat="false" ht="15" hidden="false" customHeight="false" outlineLevel="2" collapsed="false">
      <c r="B89" s="9" t="s">
        <v>876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36" t="n">
        <f aca="false">AC87*$AC$85*AC88*AC$38*'⑫ Roll-out Plan'!$O$14</f>
        <v>0</v>
      </c>
      <c r="AD89" s="36" t="n">
        <f aca="false">AD87*$AC$85*AD88*AD$38*'⑫ Roll-out Plan'!$O$14</f>
        <v>0</v>
      </c>
      <c r="AE89" s="36" t="n">
        <f aca="false">AE87*$AC$85*AE88*AE$38*'⑫ Roll-out Plan'!$O$14</f>
        <v>0</v>
      </c>
      <c r="AF89" s="36" t="n">
        <f aca="false">AF87*$AC$85*AF88*AF$38*'⑫ Roll-out Plan'!$O$14</f>
        <v>0</v>
      </c>
      <c r="AG89" s="36" t="n">
        <f aca="false">AG87*$AC$85*AG88*AG$38*'⑫ Roll-out Plan'!$O$14</f>
        <v>0</v>
      </c>
      <c r="AH89" s="36" t="n">
        <f aca="false">AH87*$AC$85*AH88*AH$38*'⑫ Roll-out Plan'!$O$14</f>
        <v>0</v>
      </c>
      <c r="AI89" s="36" t="n">
        <f aca="false">AI87*$AC$85*AI88*AI$38*'⑫ Roll-out Plan'!$O$14</f>
        <v>0</v>
      </c>
      <c r="AJ89" s="36" t="n">
        <f aca="false">AJ87*$AC$85*AJ88*AJ$38*'⑫ Roll-out Plan'!$O$14</f>
        <v>0</v>
      </c>
      <c r="AK89" s="36" t="n">
        <f aca="false">AK87*$AC$85*AK88*AK$38*'⑫ Roll-out Plan'!$O$14</f>
        <v>0</v>
      </c>
      <c r="AL89" s="36" t="n">
        <f aca="false">AL87*$AC$85*AL88*AL$38*'⑫ Roll-out Plan'!$O$14</f>
        <v>0</v>
      </c>
      <c r="AM89" s="36" t="n">
        <f aca="false">AM87*$AC$85*AM88*AM$38*'⑫ Roll-out Plan'!$O$14</f>
        <v>0</v>
      </c>
      <c r="AN89" s="36" t="n">
        <f aca="false">AN87*$AC$85*AN88*AN$38*'⑫ Roll-out Plan'!$O$14</f>
        <v>0</v>
      </c>
      <c r="AO89" s="36" t="n">
        <f aca="false">AO87*$AC$85*AO88*AO$38*'⑫ Roll-out Plan'!$O$14</f>
        <v>0</v>
      </c>
      <c r="AP89" s="36" t="n">
        <f aca="false">AP87*$AC$85*AP88*AP$38*'⑫ Roll-out Plan'!$O$14</f>
        <v>0</v>
      </c>
      <c r="AQ89" s="36" t="n">
        <f aca="false">AQ87*$AC$85*AQ88*AQ$38*'⑫ Roll-out Plan'!$O$14</f>
        <v>0</v>
      </c>
      <c r="AR89" s="36" t="n">
        <f aca="false">AR87*$AC$85*AR88*AR$38*'⑫ Roll-out Plan'!$O$14</f>
        <v>0</v>
      </c>
      <c r="AS89" s="36" t="n">
        <f aca="false">AS87*$AC$85*AS88*AS$38*'⑫ Roll-out Plan'!$O$14</f>
        <v>0</v>
      </c>
      <c r="AT89" s="36" t="n">
        <f aca="false">AT87*$AC$85*AT88*AT$38*'⑫ Roll-out Plan'!$O$14</f>
        <v>0</v>
      </c>
      <c r="AU89" s="36" t="n">
        <f aca="false">AU87*$AC$85*AU88*AU$38*'⑫ Roll-out Plan'!$O$14</f>
        <v>0</v>
      </c>
      <c r="AV89" s="36" t="n">
        <f aca="false">AV87*$AC$85*AV88*AV$38*'⑫ Roll-out Plan'!$O$14</f>
        <v>0</v>
      </c>
      <c r="AW89" s="36" t="n">
        <f aca="false">AW87*$AC$85*AW88*AW$38*'⑫ Roll-out Plan'!$O$14</f>
        <v>0</v>
      </c>
      <c r="AX89" s="36" t="n">
        <f aca="false">AX87*$AC$85*AX88*AX$38*'⑫ Roll-out Plan'!$O$14</f>
        <v>0</v>
      </c>
      <c r="AY89" s="36" t="n">
        <f aca="false">AY87*$AC$85*AY88*AY$38*'⑫ Roll-out Plan'!$O$14</f>
        <v>0</v>
      </c>
      <c r="AZ89" s="36" t="n">
        <f aca="false">AZ87*$AC$85*AZ88*AZ$38*'⑫ Roll-out Plan'!$O$14</f>
        <v>0</v>
      </c>
      <c r="BA89" s="36" t="n">
        <f aca="false">BA87*$AC$85*BA88*BA$38*'⑫ Roll-out Plan'!$O$14</f>
        <v>0</v>
      </c>
      <c r="BB89" s="36" t="n">
        <f aca="false">BB87*$AC$85*BB88*BB$38*'⑫ Roll-out Plan'!$O$14</f>
        <v>0</v>
      </c>
      <c r="BC89" s="36" t="n">
        <f aca="false">BC87*$AC$85*BC88*BC$38*'⑫ Roll-out Plan'!$O$14</f>
        <v>0</v>
      </c>
      <c r="BD89" s="36" t="n">
        <f aca="false">BD87*$AC$85*BD88*BD$38*'⑫ Roll-out Plan'!$O$14</f>
        <v>0</v>
      </c>
      <c r="BE89" s="36" t="n">
        <f aca="false">BE87*$AC$85*BE88*BE$38*'⑫ Roll-out Plan'!$O$14</f>
        <v>0</v>
      </c>
      <c r="BF89" s="36" t="n">
        <f aca="false">BF87*$AC$85*BF88*BF$38*'⑫ Roll-out Plan'!$O$14</f>
        <v>0</v>
      </c>
      <c r="BG89" s="36" t="n">
        <f aca="false">BG87*$AC$85*BG88*BG$38*'⑫ Roll-out Plan'!$O$14</f>
        <v>0</v>
      </c>
      <c r="BH89" s="36" t="n">
        <f aca="false">BH87*$AC$85*BH88*BH$38*'⑫ Roll-out Plan'!$O$14</f>
        <v>59.64</v>
      </c>
      <c r="BI89" s="36" t="n">
        <f aca="false">BI87*$AC$85*BI88*BI$38*'⑫ Roll-out Plan'!$O$14</f>
        <v>53.592</v>
      </c>
      <c r="BJ89" s="36" t="n">
        <f aca="false">BJ87*$AC$85*BJ88*BJ$38*'⑫ Roll-out Plan'!$O$14</f>
        <v>48.384</v>
      </c>
      <c r="BK89" s="36" t="n">
        <f aca="false">BK87*$AC$85*BK88*BK$38*'⑫ Roll-out Plan'!$O$14</f>
        <v>40.824</v>
      </c>
      <c r="BL89" s="36" t="n">
        <f aca="false">BL87*$AC$85*BL88*BL$38*'⑫ Roll-out Plan'!$O$14</f>
        <v>57.834</v>
      </c>
      <c r="BM89" s="36" t="n">
        <f aca="false">BM87*$AC$85*BM88*BM$38*'⑫ Roll-out Plan'!$O$14</f>
        <v>70.308</v>
      </c>
      <c r="BN89" s="36" t="n">
        <f aca="false">BN87*$AC$85*BN88*BN$38*'⑫ Roll-out Plan'!$O$14</f>
        <v>60.27</v>
      </c>
      <c r="BO89" s="36" t="n">
        <f aca="false">BO87*$AC$85*BO88*BO$38*'⑫ Roll-out Plan'!$O$14</f>
        <v>95.004</v>
      </c>
      <c r="BP89" s="36" t="n">
        <f aca="false">BP87*$AC$85*BP88*BP$38*'⑫ Roll-out Plan'!$O$14</f>
        <v>101.64</v>
      </c>
      <c r="BQ89" s="36" t="n">
        <f aca="false">BQ87*$AC$85*BQ88*BQ$38*'⑫ Roll-out Plan'!$O$14</f>
        <v>85.008</v>
      </c>
      <c r="BR89" s="36" t="n">
        <f aca="false">BR87*$AC$85*BR88*BR$38*'⑫ Roll-out Plan'!$O$14</f>
        <v>80.64</v>
      </c>
      <c r="BS89" s="36" t="n">
        <f aca="false">BS87*$AC$85*BS88*BS$38*'⑫ Roll-out Plan'!$O$14</f>
        <v>91.728</v>
      </c>
      <c r="BT89" s="36" t="n">
        <f aca="false">BT87*$AC$85*BT88*BT$38*'⑫ Roll-out Plan'!$O$14</f>
        <v>166.992</v>
      </c>
      <c r="BU89" s="36" t="n">
        <f aca="false">BU87*$AC$85*BU88*BU$38*'⑫ Roll-out Plan'!$O$14</f>
        <v>146.16</v>
      </c>
      <c r="BV89" s="36" t="n">
        <f aca="false">BV87*$AC$85*BV88*BV$38*'⑫ Roll-out Plan'!$O$14</f>
        <v>120.96</v>
      </c>
      <c r="BW89" s="36" t="n">
        <f aca="false">BW87*$AC$85*BW88*BW$38*'⑫ Roll-out Plan'!$O$14</f>
        <v>114.3072</v>
      </c>
      <c r="BX89" s="36" t="n">
        <f aca="false">BX87*$AC$85*BX88*BX$38*'⑫ Roll-out Plan'!$O$14</f>
        <v>169.6464</v>
      </c>
      <c r="BY89" s="36" t="n">
        <f aca="false">BY87*$AC$85*BY88*BY$38*'⑫ Roll-out Plan'!$O$14</f>
        <v>187.7904</v>
      </c>
      <c r="BZ89" s="36" t="n">
        <f aca="false">BZ87*$AC$85*BZ88*BZ$38*'⑫ Roll-out Plan'!$O$14</f>
        <v>146.7144</v>
      </c>
      <c r="CA89" s="36" t="n">
        <f aca="false">CA87*$AC$85*CA88*CA$38*'⑫ Roll-out Plan'!$O$14</f>
        <v>207.5472</v>
      </c>
      <c r="CB89" s="36" t="n">
        <f aca="false">CB87*$AC$85*CB88*CB$38*'⑫ Roll-out Plan'!$O$14</f>
        <v>202.356</v>
      </c>
      <c r="CC89" s="36" t="n">
        <f aca="false">CC87*$AC$85*CC88*CC$38*'⑫ Roll-out Plan'!$O$14</f>
        <v>173.88</v>
      </c>
      <c r="CD89" s="36" t="n">
        <f aca="false">CD87*$AC$85*CD88*CD$38*'⑫ Roll-out Plan'!$O$14</f>
        <v>155.232</v>
      </c>
      <c r="CE89" s="36" t="n">
        <f aca="false">CE87*$AC$85*CE88*CE$38*'⑫ Roll-out Plan'!$O$14</f>
        <v>167.2272</v>
      </c>
      <c r="CF89" s="36" t="n">
        <f aca="false">CF87*$AC$85*CF88*CF$38*'⑫ Roll-out Plan'!$O$14</f>
        <v>282.6936</v>
      </c>
      <c r="CG89" s="36" t="n">
        <f aca="false">CG87*$AC$85*CG88*CG$38*'⑫ Roll-out Plan'!$O$14</f>
        <v>233.856</v>
      </c>
      <c r="CH89" s="36" t="n">
        <f aca="false">CH87*$AC$85*CH88*CH$38*'⑫ Roll-out Plan'!$O$14</f>
        <v>198.3744</v>
      </c>
      <c r="CI89" s="36" t="n">
        <f aca="false">CI87*$AC$85*CI88*CI$38*'⑫ Roll-out Plan'!$O$14</f>
        <v>152.4096</v>
      </c>
      <c r="CJ89" s="36" t="n">
        <f aca="false">CJ87*$AC$85*CJ88*CJ$38*'⑫ Roll-out Plan'!$O$14</f>
        <v>218.484</v>
      </c>
      <c r="CK89" s="36" t="n">
        <f aca="false">CK87*$AC$85*CK88*CK$38*'⑫ Roll-out Plan'!$O$14</f>
        <v>231.336</v>
      </c>
      <c r="CL89" s="36" t="n">
        <f aca="false">CL87*$AC$85*CL88*CL$38*'⑫ Roll-out Plan'!$O$14</f>
        <v>177.7104</v>
      </c>
      <c r="CM89" s="36" t="n">
        <f aca="false">CM87*$AC$85*CM88*CM$38*'⑫ Roll-out Plan'!$O$14</f>
        <v>257.2416</v>
      </c>
      <c r="CN89" s="36" t="n">
        <f aca="false">CN87*$AC$85*CN88*CN$38*'⑫ Roll-out Plan'!$O$14</f>
        <v>246.708</v>
      </c>
      <c r="CO89" s="36" t="n">
        <f aca="false">CO87*$AC$85*CO88*CO$38*'⑫ Roll-out Plan'!$O$14</f>
        <v>208.656</v>
      </c>
      <c r="CP89" s="36" t="n">
        <f aca="false">CP87*$AC$85*CP88*CP$38*'⑫ Roll-out Plan'!$O$14</f>
        <v>181.44</v>
      </c>
      <c r="CQ89" s="36" t="n">
        <f aca="false">CQ87*$AC$85*CQ88*CQ$38*'⑫ Roll-out Plan'!$O$14</f>
        <v>194.7456</v>
      </c>
      <c r="CR89" s="36" t="n">
        <f aca="false">CR87*$AC$85*CR88*CR$38*'⑫ Roll-out Plan'!$O$14</f>
        <v>332.7912</v>
      </c>
      <c r="CS89" s="36" t="n">
        <f aca="false">CS87*$AC$85*CS88*CS$38*'⑫ Roll-out Plan'!$O$14</f>
        <v>274.7808</v>
      </c>
      <c r="CT89" s="36" t="n">
        <f aca="false">CT87*$AC$85*CT88*CT$38*'⑫ Roll-out Plan'!$O$14</f>
        <v>229.824</v>
      </c>
      <c r="CU89" s="36" t="n">
        <f aca="false">CU87*$AC$85*CU88*CU$38*'⑫ Roll-out Plan'!$O$14</f>
        <v>172.368</v>
      </c>
      <c r="CV89" s="36" t="n">
        <f aca="false">CV87*$AC$85*CV88*CV$38*'⑫ Roll-out Plan'!$O$14</f>
        <v>249.3288</v>
      </c>
      <c r="CW89" s="36" t="n">
        <f aca="false">CW87*$AC$85*CW88*CW$38*'⑫ Roll-out Plan'!$O$14</f>
        <v>266.7168</v>
      </c>
      <c r="CX89" s="36" t="n">
        <f aca="false">CX87*$AC$85*CX88*CX$38*'⑫ Roll-out Plan'!$O$14</f>
        <v>204.5736</v>
      </c>
      <c r="CY89" s="36" t="n">
        <f aca="false">CY87*$AC$85*CY88*CY$38*'⑫ Roll-out Plan'!$O$14</f>
        <v>292.32</v>
      </c>
      <c r="CZ89" s="36" t="n">
        <f aca="false">CZ87*$AC$85*CZ88*CZ$38*'⑫ Roll-out Plan'!$O$14</f>
        <v>277.2</v>
      </c>
      <c r="DA89" s="36" t="n">
        <f aca="false">DA87*$AC$85*DA88*DA$38*'⑫ Roll-out Plan'!$O$14</f>
        <v>231.84</v>
      </c>
      <c r="DB89" s="36" t="n">
        <f aca="false">DB87*$AC$85*DB88*DB$38*'⑫ Roll-out Plan'!$O$14</f>
        <v>201.6</v>
      </c>
      <c r="DC89" s="36" t="n">
        <f aca="false">DC87*$AC$85*DC88*DC$38*'⑫ Roll-out Plan'!$O$14</f>
        <v>211.68</v>
      </c>
      <c r="DD89" s="36" t="n">
        <f aca="false">DD87*$AC$85*DD88*DD$38*'⑫ Roll-out Plan'!$O$14</f>
        <v>357.84</v>
      </c>
      <c r="DE89" s="36" t="n">
        <f aca="false">DE87*$AC$85*DE88*DE$38*'⑫ Roll-out Plan'!$O$14</f>
        <v>292.32</v>
      </c>
      <c r="DF89" s="36" t="n">
        <f aca="false">DF87*$AC$85*DF88*DF$38*'⑫ Roll-out Plan'!$O$14</f>
        <v>241.92</v>
      </c>
      <c r="DG89" s="36" t="n">
        <f aca="false">DG87*$AC$85*DG88*DG$38*'⑫ Roll-out Plan'!$O$14</f>
        <v>181.44</v>
      </c>
      <c r="DH89" s="36" t="n">
        <f aca="false">DH87*$AC$85*DH88*DH$38*'⑫ Roll-out Plan'!$O$14</f>
        <v>257.04</v>
      </c>
      <c r="DI89" s="36" t="n">
        <f aca="false">DI87*$AC$85*DI88*DI$38*'⑫ Roll-out Plan'!$O$14</f>
        <v>272.16</v>
      </c>
      <c r="DJ89" s="36" t="n">
        <f aca="false">DJ87*$AC$85*DJ88*DJ$38*'⑫ Roll-out Plan'!$O$14</f>
        <v>206.64</v>
      </c>
      <c r="DK89" s="36" t="n">
        <f aca="false">DK87*$AC$85*DK88*DK$38*'⑫ Roll-out Plan'!$O$14</f>
        <v>292.32</v>
      </c>
      <c r="DL89" s="36" t="n">
        <f aca="false">DL87*$AC$85*DL88*DL$38*'⑫ Roll-out Plan'!$O$14</f>
        <v>277.2</v>
      </c>
      <c r="DM89" s="36" t="n">
        <f aca="false">DM87*$AC$85*DM88*DM$38*'⑫ Roll-out Plan'!$O$14</f>
        <v>231.84</v>
      </c>
      <c r="DN89" s="36" t="n">
        <f aca="false">DN87*$AC$85*DN88*DN$38*'⑫ Roll-out Plan'!$O$14</f>
        <v>201.6</v>
      </c>
      <c r="DO89" s="36" t="n">
        <f aca="false">DO87*$AC$85*DO88*DO$38*'⑫ Roll-out Plan'!$O$14</f>
        <v>211.68</v>
      </c>
      <c r="DP89" s="36" t="n">
        <f aca="false">DP87*$AC$85*DP88*DP$38*'⑫ Roll-out Plan'!$O$14</f>
        <v>357.84</v>
      </c>
      <c r="DQ89" s="36" t="n">
        <f aca="false">DQ87*$AC$85*DQ88*DQ$38*'⑫ Roll-out Plan'!$O$14</f>
        <v>292.32</v>
      </c>
      <c r="DR89" s="36" t="n">
        <f aca="false">DR87*$AC$85*DR88*DR$38*'⑫ Roll-out Plan'!$O$14</f>
        <v>241.92</v>
      </c>
      <c r="DS89" s="36" t="n">
        <f aca="false">DS87*$AC$85*DS88*DS$38*'⑫ Roll-out Plan'!$O$14</f>
        <v>181.44</v>
      </c>
      <c r="DT89" s="36" t="n">
        <f aca="false">DT87*$AC$85*DT88*DT$38*'⑫ Roll-out Plan'!$O$14</f>
        <v>257.04</v>
      </c>
      <c r="DU89" s="36" t="n">
        <f aca="false">DU87*$AC$85*DU88*DU$38*'⑫ Roll-out Plan'!$O$14</f>
        <v>272.16</v>
      </c>
      <c r="DV89" s="36" t="n">
        <f aca="false">DV87*$AC$85*DV88*DV$38*'⑫ Roll-out Plan'!$O$14</f>
        <v>206.64</v>
      </c>
      <c r="DW89" s="36" t="n">
        <f aca="false">DW87*$AC$85*DW88*DW$38*'⑫ Roll-out Plan'!$O$14</f>
        <v>292.32</v>
      </c>
      <c r="DX89" s="36" t="n">
        <f aca="false">DX87*$AC$85*DX88*DX$38*'⑫ Roll-out Plan'!$O$14</f>
        <v>277.2</v>
      </c>
      <c r="DY89" s="36" t="n">
        <f aca="false">DY87*$AC$85*DY88*DY$38*'⑫ Roll-out Plan'!$O$14</f>
        <v>231.84</v>
      </c>
      <c r="DZ89" s="36" t="n">
        <f aca="false">DZ87*$AC$85*DZ88*DZ$38*'⑫ Roll-out Plan'!$O$14</f>
        <v>201.6</v>
      </c>
      <c r="EA89" s="36" t="n">
        <f aca="false">EA87*$AC$85*EA88*EA$38*'⑫ Roll-out Plan'!$O$14</f>
        <v>211.68</v>
      </c>
      <c r="EB89" s="36" t="n">
        <f aca="false">EB87*$AC$85*EB88*EB$38*'⑫ Roll-out Plan'!$O$14</f>
        <v>357.84</v>
      </c>
      <c r="EC89" s="36" t="n">
        <f aca="false">EC87*$AC$85*EC88*EC$38*'⑫ Roll-out Plan'!$O$14</f>
        <v>292.32</v>
      </c>
      <c r="ED89" s="36" t="n">
        <f aca="false">ED87*$AC$85*ED88*ED$38*'⑫ Roll-out Plan'!$O$14</f>
        <v>241.92</v>
      </c>
      <c r="EE89" s="36" t="n">
        <f aca="false">EE87*$AC$85*EE88*EE$38*'⑫ Roll-out Plan'!$O$14</f>
        <v>181.44</v>
      </c>
      <c r="EF89" s="36" t="n">
        <f aca="false">EF87*$AC$85*EF88*EF$38*'⑫ Roll-out Plan'!$O$14</f>
        <v>257.04</v>
      </c>
      <c r="EG89" s="36" t="n">
        <f aca="false">EG87*$AC$85*EG88*EG$38*'⑫ Roll-out Plan'!$O$14</f>
        <v>272.16</v>
      </c>
      <c r="EH89" s="36" t="n">
        <f aca="false">EH87*$AC$85*EH88*EH$38*'⑫ Roll-out Plan'!$O$14</f>
        <v>206.64</v>
      </c>
      <c r="EI89" s="36" t="n">
        <f aca="false">EI87*$AC$85*EI88*EI$38*'⑫ Roll-out Plan'!$O$14</f>
        <v>292.32</v>
      </c>
      <c r="EJ89" s="36" t="n">
        <f aca="false">EJ87*$AC$85*EJ88*EJ$38*'⑫ Roll-out Plan'!$O$14</f>
        <v>277.2</v>
      </c>
      <c r="EK89" s="36" t="n">
        <f aca="false">EK87*$AC$85*EK88*EK$38*'⑫ Roll-out Plan'!$O$14</f>
        <v>231.84</v>
      </c>
      <c r="EL89" s="36" t="n">
        <f aca="false">EL87*$AC$85*EL88*EL$38*'⑫ Roll-out Plan'!$O$14</f>
        <v>201.6</v>
      </c>
      <c r="EM89" s="36" t="n">
        <f aca="false">EM87*$AC$85*EM88*EM$38*'⑫ Roll-out Plan'!$O$14</f>
        <v>211.68</v>
      </c>
      <c r="EN89" s="36" t="n">
        <f aca="false">EN87*$AC$85*EN88*EN$38*'⑫ Roll-out Plan'!$O$14</f>
        <v>357.84</v>
      </c>
      <c r="EO89" s="36" t="n">
        <f aca="false">EO87*$AC$85*EO88*EO$38*'⑫ Roll-out Plan'!$O$14</f>
        <v>292.32</v>
      </c>
      <c r="EP89" s="36" t="n">
        <f aca="false">EP87*$AC$85*EP88*EP$38*'⑫ Roll-out Plan'!$O$14</f>
        <v>241.92</v>
      </c>
      <c r="EQ89" s="36" t="n">
        <f aca="false">EQ87*$AC$85*EQ88*EQ$38*'⑫ Roll-out Plan'!$O$14</f>
        <v>181.44</v>
      </c>
      <c r="ER89" s="36" t="n">
        <f aca="false">ER87*$AC$85*ER88*ER$38*'⑫ Roll-out Plan'!$O$14</f>
        <v>257.04</v>
      </c>
      <c r="ES89" s="9" t="n">
        <f aca="false">ES87*$AC$85*ES88*ES$38*'⑫ Roll-out Plan'!$O$14</f>
        <v>272.16</v>
      </c>
      <c r="ET89" s="9" t="n">
        <f aca="false">ET87*$AC$85*ET88*ET$38*'⑫ Roll-out Plan'!$O$14</f>
        <v>206.64</v>
      </c>
      <c r="EU89" s="9" t="n">
        <f aca="false">EU87*$AC$85*EU88*EU$38*'⑫ Roll-out Plan'!$O$14</f>
        <v>292.32</v>
      </c>
      <c r="EV89" s="9" t="n">
        <f aca="false">EV87*$AC$85*EV88*EV$38*'⑫ Roll-out Plan'!$O$14</f>
        <v>277.2</v>
      </c>
      <c r="EW89" s="9" t="n">
        <f aca="false">EW87*$AC$85*EW88*EW$38*'⑫ Roll-out Plan'!$O$14</f>
        <v>231.84</v>
      </c>
      <c r="EX89" s="9" t="n">
        <f aca="false">EX87*$AC$85*EX88*EX$38*'⑫ Roll-out Plan'!$O$14</f>
        <v>201.6</v>
      </c>
      <c r="EY89" s="9" t="n">
        <f aca="false">EY87*$AC$85*EY88*EY$38*'⑫ Roll-out Plan'!$O$14</f>
        <v>211.68</v>
      </c>
      <c r="EZ89" s="9" t="n">
        <f aca="false">EZ87*$AC$85*EZ88*EZ$38*'⑫ Roll-out Plan'!$O$14</f>
        <v>357.84</v>
      </c>
      <c r="FA89" s="9" t="n">
        <f aca="false">FA87*$AC$85*FA88*FA$38*'⑫ Roll-out Plan'!$O$14</f>
        <v>292.32</v>
      </c>
      <c r="FB89" s="9" t="n">
        <f aca="false">FB87*$AC$85*FB88*FB$38*'⑫ Roll-out Plan'!$O$14</f>
        <v>241.92</v>
      </c>
      <c r="FC89" s="9" t="n">
        <f aca="false">FC87*$AC$85*FC88*FC$38*'⑫ Roll-out Plan'!$O$14</f>
        <v>181.44</v>
      </c>
      <c r="FD89" s="9" t="n">
        <f aca="false">FD87*$AC$85*FD88*FD$38*'⑫ Roll-out Plan'!$O$14</f>
        <v>257.04</v>
      </c>
      <c r="FE89" s="9" t="n">
        <f aca="false">FE87*$AC$85*FE88*FE$38*'⑫ Roll-out Plan'!$O$14</f>
        <v>272.16</v>
      </c>
      <c r="FF89" s="9" t="n">
        <f aca="false">FF87*$AC$85*FF88*FF$38*'⑫ Roll-out Plan'!$O$14</f>
        <v>206.64</v>
      </c>
      <c r="FG89" s="9" t="n">
        <f aca="false">FG87*$AC$85*FG88*FG$38*'⑫ Roll-out Plan'!$O$14</f>
        <v>292.32</v>
      </c>
      <c r="FH89" s="9" t="n">
        <f aca="false">FH87*$AC$85*FH88*FH$38*'⑫ Roll-out Plan'!$O$14</f>
        <v>277.2</v>
      </c>
      <c r="FI89" s="9" t="n">
        <f aca="false">FI87*$AC$85*FI88*FI$38*'⑫ Roll-out Plan'!$O$14</f>
        <v>231.84</v>
      </c>
      <c r="FJ89" s="9" t="n">
        <f aca="false">FJ87*$AC$85*FJ88*FJ$38*'⑫ Roll-out Plan'!$O$14</f>
        <v>201.6</v>
      </c>
      <c r="FK89" s="9" t="n">
        <f aca="false">FK87*$AC$85*FK88*FK$38*'⑫ Roll-out Plan'!$O$14</f>
        <v>211.68</v>
      </c>
      <c r="FL89" s="9" t="n">
        <f aca="false">FL87*$AC$85*FL88*FL$38*'⑫ Roll-out Plan'!$O$14</f>
        <v>357.84</v>
      </c>
      <c r="FM89" s="9" t="n">
        <f aca="false">FM87*$AC$85*FM88*FM$38*'⑫ Roll-out Plan'!$O$14</f>
        <v>292.32</v>
      </c>
      <c r="FN89" s="9" t="n">
        <f aca="false">FN87*$AC$85*FN88*FN$38*'⑫ Roll-out Plan'!$O$14</f>
        <v>241.92</v>
      </c>
      <c r="FO89" s="9" t="n">
        <f aca="false">FO87*$AC$85*FO88*FO$38*'⑫ Roll-out Plan'!$O$14</f>
        <v>181.44</v>
      </c>
      <c r="FP89" s="9" t="n">
        <f aca="false">FP87*$AC$85*FP88*FP$38*'⑫ Roll-out Plan'!$O$14</f>
        <v>257.04</v>
      </c>
    </row>
    <row r="90" customFormat="false" ht="15" hidden="false" customHeight="false" outlineLevel="2" collapsed="false">
      <c r="B90" s="9" t="s">
        <v>877</v>
      </c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112" t="n">
        <f aca="true">IFERROR(SUMPRODUCT(OFFSET($BJ$31,0,1-MIN(60,COLUMN()-29),1,MIN(60,COLUMN()-29)),OFFSET(AC89,0,-MIN(60,COLUMN()-29),1,MIN(60,COLUMN()-29))),0)</f>
        <v>0</v>
      </c>
      <c r="AD90" s="112" t="n">
        <f aca="true">IFERROR(SUMPRODUCT(OFFSET($BJ$31,0,1-MIN(60,COLUMN()-29),1,MIN(60,COLUMN()-29)),OFFSET(AD89,0,-MIN(60,COLUMN()-29),1,MIN(60,COLUMN()-29))),0)</f>
        <v>0</v>
      </c>
      <c r="AE90" s="112" t="n">
        <f aca="true">IFERROR(SUMPRODUCT(OFFSET($BJ$31,0,1-MIN(60,COLUMN()-29),1,MIN(60,COLUMN()-29)),OFFSET(AE89,0,-MIN(60,COLUMN()-29),1,MIN(60,COLUMN()-29))),0)</f>
        <v>0</v>
      </c>
      <c r="AF90" s="112" t="n">
        <f aca="true">IFERROR(SUMPRODUCT(OFFSET($BJ$31,0,1-MIN(60,COLUMN()-29),1,MIN(60,COLUMN()-29)),OFFSET(AF89,0,-MIN(60,COLUMN()-29),1,MIN(60,COLUMN()-29))),0)</f>
        <v>0</v>
      </c>
      <c r="AG90" s="112" t="n">
        <f aca="true">IFERROR(SUMPRODUCT(OFFSET($BJ$31,0,1-MIN(60,COLUMN()-29),1,MIN(60,COLUMN()-29)),OFFSET(AG89,0,-MIN(60,COLUMN()-29),1,MIN(60,COLUMN()-29))),0)</f>
        <v>0</v>
      </c>
      <c r="AH90" s="112" t="n">
        <f aca="true">IFERROR(SUMPRODUCT(OFFSET($BJ$31,0,1-MIN(60,COLUMN()-29),1,MIN(60,COLUMN()-29)),OFFSET(AH89,0,-MIN(60,COLUMN()-29),1,MIN(60,COLUMN()-29))),0)</f>
        <v>0</v>
      </c>
      <c r="AI90" s="112" t="n">
        <f aca="true">IFERROR(SUMPRODUCT(OFFSET($BJ$31,0,1-MIN(60,COLUMN()-29),1,MIN(60,COLUMN()-29)),OFFSET(AI89,0,-MIN(60,COLUMN()-29),1,MIN(60,COLUMN()-29))),0)</f>
        <v>0</v>
      </c>
      <c r="AJ90" s="112" t="n">
        <f aca="true">IFERROR(SUMPRODUCT(OFFSET($BJ$31,0,1-MIN(60,COLUMN()-29),1,MIN(60,COLUMN()-29)),OFFSET(AJ89,0,-MIN(60,COLUMN()-29),1,MIN(60,COLUMN()-29))),0)</f>
        <v>0</v>
      </c>
      <c r="AK90" s="112" t="n">
        <f aca="true">IFERROR(SUMPRODUCT(OFFSET($BJ$31,0,1-MIN(60,COLUMN()-29),1,MIN(60,COLUMN()-29)),OFFSET(AK89,0,-MIN(60,COLUMN()-29),1,MIN(60,COLUMN()-29))),0)</f>
        <v>0</v>
      </c>
      <c r="AL90" s="112" t="n">
        <f aca="true">IFERROR(SUMPRODUCT(OFFSET($BJ$31,0,1-MIN(60,COLUMN()-29),1,MIN(60,COLUMN()-29)),OFFSET(AL89,0,-MIN(60,COLUMN()-29),1,MIN(60,COLUMN()-29))),0)</f>
        <v>0</v>
      </c>
      <c r="AM90" s="112" t="n">
        <f aca="true">IFERROR(SUMPRODUCT(OFFSET($BJ$31,0,1-MIN(60,COLUMN()-29),1,MIN(60,COLUMN()-29)),OFFSET(AM89,0,-MIN(60,COLUMN()-29),1,MIN(60,COLUMN()-29))),0)</f>
        <v>0</v>
      </c>
      <c r="AN90" s="112" t="n">
        <f aca="true">IFERROR(SUMPRODUCT(OFFSET($BJ$31,0,1-MIN(60,COLUMN()-29),1,MIN(60,COLUMN()-29)),OFFSET(AN89,0,-MIN(60,COLUMN()-29),1,MIN(60,COLUMN()-29))),0)</f>
        <v>0</v>
      </c>
      <c r="AO90" s="112" t="n">
        <f aca="true">IFERROR(SUMPRODUCT(OFFSET($BJ$31,0,1-MIN(60,COLUMN()-29),1,MIN(60,COLUMN()-29)),OFFSET(AO89,0,-MIN(60,COLUMN()-29),1,MIN(60,COLUMN()-29))),0)</f>
        <v>0</v>
      </c>
      <c r="AP90" s="112" t="n">
        <f aca="true">IFERROR(SUMPRODUCT(OFFSET($BJ$31,0,1-MIN(60,COLUMN()-29),1,MIN(60,COLUMN()-29)),OFFSET(AP89,0,-MIN(60,COLUMN()-29),1,MIN(60,COLUMN()-29))),0)</f>
        <v>0</v>
      </c>
      <c r="AQ90" s="112" t="n">
        <f aca="true">IFERROR(SUMPRODUCT(OFFSET($BJ$31,0,1-MIN(60,COLUMN()-29),1,MIN(60,COLUMN()-29)),OFFSET(AQ89,0,-MIN(60,COLUMN()-29),1,MIN(60,COLUMN()-29))),0)</f>
        <v>0</v>
      </c>
      <c r="AR90" s="112" t="n">
        <f aca="true">IFERROR(SUMPRODUCT(OFFSET($BJ$31,0,1-MIN(60,COLUMN()-29),1,MIN(60,COLUMN()-29)),OFFSET(AR89,0,-MIN(60,COLUMN()-29),1,MIN(60,COLUMN()-29))),0)</f>
        <v>0</v>
      </c>
      <c r="AS90" s="112" t="n">
        <f aca="true">IFERROR(SUMPRODUCT(OFFSET($BJ$31,0,1-MIN(60,COLUMN()-29),1,MIN(60,COLUMN()-29)),OFFSET(AS89,0,-MIN(60,COLUMN()-29),1,MIN(60,COLUMN()-29))),0)</f>
        <v>0</v>
      </c>
      <c r="AT90" s="112" t="n">
        <f aca="true">IFERROR(SUMPRODUCT(OFFSET($BJ$31,0,1-MIN(60,COLUMN()-29),1,MIN(60,COLUMN()-29)),OFFSET(AT89,0,-MIN(60,COLUMN()-29),1,MIN(60,COLUMN()-29))),0)</f>
        <v>0</v>
      </c>
      <c r="AU90" s="112" t="n">
        <f aca="true">IFERROR(SUMPRODUCT(OFFSET($BJ$31,0,1-MIN(60,COLUMN()-29),1,MIN(60,COLUMN()-29)),OFFSET(AU89,0,-MIN(60,COLUMN()-29),1,MIN(60,COLUMN()-29))),0)</f>
        <v>0</v>
      </c>
      <c r="AV90" s="112" t="n">
        <f aca="true">IFERROR(SUMPRODUCT(OFFSET($BJ$31,0,1-MIN(60,COLUMN()-29),1,MIN(60,COLUMN()-29)),OFFSET(AV89,0,-MIN(60,COLUMN()-29),1,MIN(60,COLUMN()-29))),0)</f>
        <v>0</v>
      </c>
      <c r="AW90" s="112" t="n">
        <f aca="true">IFERROR(SUMPRODUCT(OFFSET($BJ$31,0,1-MIN(60,COLUMN()-29),1,MIN(60,COLUMN()-29)),OFFSET(AW89,0,-MIN(60,COLUMN()-29),1,MIN(60,COLUMN()-29))),0)</f>
        <v>0</v>
      </c>
      <c r="AX90" s="112" t="n">
        <f aca="true">IFERROR(SUMPRODUCT(OFFSET($BJ$31,0,1-MIN(60,COLUMN()-29),1,MIN(60,COLUMN()-29)),OFFSET(AX89,0,-MIN(60,COLUMN()-29),1,MIN(60,COLUMN()-29))),0)</f>
        <v>0</v>
      </c>
      <c r="AY90" s="112" t="n">
        <f aca="true">IFERROR(SUMPRODUCT(OFFSET($BJ$31,0,1-MIN(60,COLUMN()-29),1,MIN(60,COLUMN()-29)),OFFSET(AY89,0,-MIN(60,COLUMN()-29),1,MIN(60,COLUMN()-29))),0)</f>
        <v>0</v>
      </c>
      <c r="AZ90" s="112" t="n">
        <f aca="true">IFERROR(SUMPRODUCT(OFFSET($BJ$31,0,1-MIN(60,COLUMN()-29),1,MIN(60,COLUMN()-29)),OFFSET(AZ89,0,-MIN(60,COLUMN()-29),1,MIN(60,COLUMN()-29))),0)</f>
        <v>0</v>
      </c>
      <c r="BA90" s="112" t="n">
        <f aca="true">IFERROR(SUMPRODUCT(OFFSET($BJ$31,0,1-MIN(60,COLUMN()-29),1,MIN(60,COLUMN()-29)),OFFSET(BA89,0,-MIN(60,COLUMN()-29),1,MIN(60,COLUMN()-29))),0)</f>
        <v>0</v>
      </c>
      <c r="BB90" s="112" t="n">
        <f aca="true">IFERROR(SUMPRODUCT(OFFSET($BJ$31,0,1-MIN(60,COLUMN()-29),1,MIN(60,COLUMN()-29)),OFFSET(BB89,0,-MIN(60,COLUMN()-29),1,MIN(60,COLUMN()-29))),0)</f>
        <v>0</v>
      </c>
      <c r="BC90" s="112" t="n">
        <f aca="true">IFERROR(SUMPRODUCT(OFFSET($BJ$31,0,1-MIN(60,COLUMN()-29),1,MIN(60,COLUMN()-29)),OFFSET(BC89,0,-MIN(60,COLUMN()-29),1,MIN(60,COLUMN()-29))),0)</f>
        <v>0</v>
      </c>
      <c r="BD90" s="112" t="n">
        <f aca="true">IFERROR(SUMPRODUCT(OFFSET($BJ$31,0,1-MIN(60,COLUMN()-29),1,MIN(60,COLUMN()-29)),OFFSET(BD89,0,-MIN(60,COLUMN()-29),1,MIN(60,COLUMN()-29))),0)</f>
        <v>0</v>
      </c>
      <c r="BE90" s="112" t="n">
        <f aca="true">IFERROR(SUMPRODUCT(OFFSET($BJ$31,0,1-MIN(60,COLUMN()-29),1,MIN(60,COLUMN()-29)),OFFSET(BE89,0,-MIN(60,COLUMN()-29),1,MIN(60,COLUMN()-29))),0)</f>
        <v>0</v>
      </c>
      <c r="BF90" s="112" t="n">
        <f aca="true">IFERROR(SUMPRODUCT(OFFSET($BJ$31,0,1-MIN(60,COLUMN()-29),1,MIN(60,COLUMN()-29)),OFFSET(BF89,0,-MIN(60,COLUMN()-29),1,MIN(60,COLUMN()-29))),0)</f>
        <v>0</v>
      </c>
      <c r="BG90" s="112" t="n">
        <f aca="true">IFERROR(SUMPRODUCT(OFFSET($BJ$31,0,1-MIN(60,COLUMN()-29),1,MIN(60,COLUMN()-29)),OFFSET(BG89,0,-MIN(60,COLUMN()-29),1,MIN(60,COLUMN()-29))),0)</f>
        <v>0</v>
      </c>
      <c r="BH90" s="112" t="n">
        <f aca="true">IFERROR(SUMPRODUCT(OFFSET($BJ$31,0,1-MIN(60,COLUMN()-29),1,MIN(60,COLUMN()-29)),OFFSET(BH89,0,-MIN(60,COLUMN()-29),1,MIN(60,COLUMN()-29))),0)</f>
        <v>0</v>
      </c>
      <c r="BI90" s="112" t="n">
        <f aca="true">IFERROR(SUMPRODUCT(OFFSET($BJ$31,0,1-MIN(60,COLUMN()-29),1,MIN(60,COLUMN()-29)),OFFSET(BI89,0,-MIN(60,COLUMN()-29),1,MIN(60,COLUMN()-29))),0)</f>
        <v>7.63392</v>
      </c>
      <c r="BJ90" s="112" t="n">
        <f aca="true">IFERROR(SUMPRODUCT(OFFSET($BJ$31,0,1-MIN(60,COLUMN()-29),1,MIN(60,COLUMN()-29)),OFFSET(BJ89,0,-MIN(60,COLUMN()-29),1,MIN(60,COLUMN()-29))),0)</f>
        <v>7.90944</v>
      </c>
      <c r="BK90" s="112" t="n">
        <f aca="true">IFERROR(SUMPRODUCT(OFFSET($BJ$31,0,1-MIN(60,COLUMN()-29),1,MIN(60,COLUMN()-29)),OFFSET(BK89,0,-MIN(60,COLUMN()-29),1,MIN(60,COLUMN()-29))),0)</f>
        <v>8.4723072</v>
      </c>
      <c r="BL90" s="112" t="n">
        <f aca="true">IFERROR(SUMPRODUCT(OFFSET($BJ$31,0,1-MIN(60,COLUMN()-29),1,MIN(60,COLUMN()-29)),OFFSET(BL89,0,-MIN(60,COLUMN()-29),1,MIN(60,COLUMN()-29))),0)</f>
        <v>8.0408832</v>
      </c>
      <c r="BM90" s="112" t="n">
        <f aca="true">IFERROR(SUMPRODUCT(OFFSET($BJ$31,0,1-MIN(60,COLUMN()-29),1,MIN(60,COLUMN()-29)),OFFSET(BM89,0,-MIN(60,COLUMN()-29),1,MIN(60,COLUMN()-29))),0)</f>
        <v>10.4635776</v>
      </c>
      <c r="BN90" s="112" t="n">
        <f aca="true">IFERROR(SUMPRODUCT(OFFSET($BJ$31,0,1-MIN(60,COLUMN()-29),1,MIN(60,COLUMN()-29)),OFFSET(BN89,0,-MIN(60,COLUMN()-29),1,MIN(60,COLUMN()-29))),0)</f>
        <v>12.3518304</v>
      </c>
      <c r="BO90" s="112" t="n">
        <f aca="true">IFERROR(SUMPRODUCT(OFFSET($BJ$31,0,1-MIN(60,COLUMN()-29),1,MIN(60,COLUMN()-29)),OFFSET(BO89,0,-MIN(60,COLUMN()-29),1,MIN(60,COLUMN()-29))),0)</f>
        <v>12.4459776</v>
      </c>
      <c r="BP90" s="112" t="n">
        <f aca="true">IFERROR(SUMPRODUCT(OFFSET($BJ$31,0,1-MIN(60,COLUMN()-29),1,MIN(60,COLUMN()-29)),OFFSET(BP89,0,-MIN(60,COLUMN()-29),1,MIN(60,COLUMN()-29))),0)</f>
        <v>17.304336</v>
      </c>
      <c r="BQ90" s="112" t="n">
        <f aca="true">IFERROR(SUMPRODUCT(OFFSET($BJ$31,0,1-MIN(60,COLUMN()-29),1,MIN(60,COLUMN()-29)),OFFSET(BQ89,0,-MIN(60,COLUMN()-29),1,MIN(60,COLUMN()-29))),0)</f>
        <v>19.287072</v>
      </c>
      <c r="BR90" s="112" t="n">
        <f aca="true">IFERROR(SUMPRODUCT(OFFSET($BJ$31,0,1-MIN(60,COLUMN()-29),1,MIN(60,COLUMN()-29)),OFFSET(BR89,0,-MIN(60,COLUMN()-29),1,MIN(60,COLUMN()-29))),0)</f>
        <v>18.971568</v>
      </c>
      <c r="BS90" s="112" t="n">
        <f aca="true">IFERROR(SUMPRODUCT(OFFSET($BJ$31,0,1-MIN(60,COLUMN()-29),1,MIN(60,COLUMN()-29)),OFFSET(BS89,0,-MIN(60,COLUMN()-29),1,MIN(60,COLUMN()-29))),0)</f>
        <v>18.9467712</v>
      </c>
      <c r="BT90" s="112" t="n">
        <f aca="true">IFERROR(SUMPRODUCT(OFFSET($BJ$31,0,1-MIN(60,COLUMN()-29),1,MIN(60,COLUMN()-29)),OFFSET(BT89,0,-MIN(60,COLUMN()-29),1,MIN(60,COLUMN()-29))),0)</f>
        <v>22.006656</v>
      </c>
      <c r="BU90" s="112" t="n">
        <f aca="true">IFERROR(SUMPRODUCT(OFFSET($BJ$31,0,1-MIN(60,COLUMN()-29),1,MIN(60,COLUMN()-29)),OFFSET(BU89,0,-MIN(60,COLUMN()-29),1,MIN(60,COLUMN()-29))),0)</f>
        <v>33.6029568</v>
      </c>
      <c r="BV90" s="112" t="n">
        <f aca="true">IFERROR(SUMPRODUCT(OFFSET($BJ$31,0,1-MIN(60,COLUMN()-29),1,MIN(60,COLUMN()-29)),OFFSET(BV89,0,-MIN(60,COLUMN()-29),1,MIN(60,COLUMN()-29))),0)</f>
        <v>33.5416704</v>
      </c>
      <c r="BW90" s="112" t="n">
        <f aca="true">IFERROR(SUMPRODUCT(OFFSET($BJ$31,0,1-MIN(60,COLUMN()-29),1,MIN(60,COLUMN()-29)),OFFSET(BW89,0,-MIN(60,COLUMN()-29),1,MIN(60,COLUMN()-29))),0)</f>
        <v>32.3172864</v>
      </c>
      <c r="BX90" s="112" t="n">
        <f aca="true">IFERROR(SUMPRODUCT(OFFSET($BJ$31,0,1-MIN(60,COLUMN()-29),1,MIN(60,COLUMN()-29)),OFFSET(BX89,0,-MIN(60,COLUMN()-29),1,MIN(60,COLUMN()-29))),0)</f>
        <v>32.1144768</v>
      </c>
      <c r="BY90" s="112" t="n">
        <f aca="true">IFERROR(SUMPRODUCT(OFFSET($BJ$31,0,1-MIN(60,COLUMN()-29),1,MIN(60,COLUMN()-29)),OFFSET(BY89,0,-MIN(60,COLUMN()-29),1,MIN(60,COLUMN()-29))),0)</f>
        <v>42.01868832</v>
      </c>
      <c r="BZ90" s="112" t="n">
        <f aca="true">IFERROR(SUMPRODUCT(OFFSET($BJ$31,0,1-MIN(60,COLUMN()-29),1,MIN(60,COLUMN()-29)),OFFSET(BZ89,0,-MIN(60,COLUMN()-29),1,MIN(60,COLUMN()-29))),0)</f>
        <v>47.03533632</v>
      </c>
      <c r="CA90" s="112" t="n">
        <f aca="true">IFERROR(SUMPRODUCT(OFFSET($BJ$31,0,1-MIN(60,COLUMN()-29),1,MIN(60,COLUMN()-29)),OFFSET(CA89,0,-MIN(60,COLUMN()-29),1,MIN(60,COLUMN()-29))),0)</f>
        <v>46.13715456</v>
      </c>
      <c r="CB90" s="112" t="n">
        <f aca="true">IFERROR(SUMPRODUCT(OFFSET($BJ$31,0,1-MIN(60,COLUMN()-29),1,MIN(60,COLUMN()-29)),OFFSET(CB89,0,-MIN(60,COLUMN()-29),1,MIN(60,COLUMN()-29))),0)</f>
        <v>56.90178144</v>
      </c>
      <c r="CC90" s="112" t="n">
        <f aca="true">IFERROR(SUMPRODUCT(OFFSET($BJ$31,0,1-MIN(60,COLUMN()-29),1,MIN(60,COLUMN()-29)),OFFSET(CC89,0,-MIN(60,COLUMN()-29),1,MIN(60,COLUMN()-29))),0)</f>
        <v>59.3778444</v>
      </c>
      <c r="CD90" s="112" t="n">
        <f aca="true">IFERROR(SUMPRODUCT(OFFSET($BJ$31,0,1-MIN(60,COLUMN()-29),1,MIN(60,COLUMN()-29)),OFFSET(CD89,0,-MIN(60,COLUMN()-29),1,MIN(60,COLUMN()-29))),0)</f>
        <v>59.59681896</v>
      </c>
      <c r="CE90" s="112" t="n">
        <f aca="true">IFERROR(SUMPRODUCT(OFFSET($BJ$31,0,1-MIN(60,COLUMN()-29),1,MIN(60,COLUMN()-29)),OFFSET(CE89,0,-MIN(60,COLUMN()-29),1,MIN(60,COLUMN()-29))),0)</f>
        <v>59.63530608</v>
      </c>
      <c r="CF90" s="112" t="n">
        <f aca="true">IFERROR(SUMPRODUCT(OFFSET($BJ$31,0,1-MIN(60,COLUMN()-29),1,MIN(60,COLUMN()-29)),OFFSET(CF89,0,-MIN(60,COLUMN()-29),1,MIN(60,COLUMN()-29))),0)</f>
        <v>65.55537408</v>
      </c>
      <c r="CG90" s="112" t="n">
        <f aca="true">IFERROR(SUMPRODUCT(OFFSET($BJ$31,0,1-MIN(60,COLUMN()-29),1,MIN(60,COLUMN()-29)),OFFSET(CG89,0,-MIN(60,COLUMN()-29),1,MIN(60,COLUMN()-29))),0)</f>
        <v>84.78263136</v>
      </c>
      <c r="CH90" s="112" t="n">
        <f aca="true">IFERROR(SUMPRODUCT(OFFSET($BJ$31,0,1-MIN(60,COLUMN()-29),1,MIN(60,COLUMN()-29)),OFFSET(CH89,0,-MIN(60,COLUMN()-29),1,MIN(60,COLUMN()-29))),0)</f>
        <v>84.21106848</v>
      </c>
      <c r="CI90" s="112" t="n">
        <f aca="true">IFERROR(SUMPRODUCT(OFFSET($BJ$31,0,1-MIN(60,COLUMN()-29),1,MIN(60,COLUMN()-29)),OFFSET(CI89,0,-MIN(60,COLUMN()-29),1,MIN(60,COLUMN()-29))),0)</f>
        <v>83.54635296</v>
      </c>
      <c r="CJ90" s="112" t="n">
        <f aca="true">IFERROR(SUMPRODUCT(OFFSET($BJ$31,0,1-MIN(60,COLUMN()-29),1,MIN(60,COLUMN()-29)),OFFSET(CJ89,0,-MIN(60,COLUMN()-29),1,MIN(60,COLUMN()-29))),0)</f>
        <v>80.9410224</v>
      </c>
      <c r="CK90" s="112" t="n">
        <f aca="true">IFERROR(SUMPRODUCT(OFFSET($BJ$31,0,1-MIN(60,COLUMN()-29),1,MIN(60,COLUMN()-29)),OFFSET(CK89,0,-MIN(60,COLUMN()-29),1,MIN(60,COLUMN()-29))),0)</f>
        <v>95.61765024</v>
      </c>
      <c r="CL90" s="112" t="n">
        <f aca="true">IFERROR(SUMPRODUCT(OFFSET($BJ$31,0,1-MIN(60,COLUMN()-29),1,MIN(60,COLUMN()-29)),OFFSET(CL89,0,-MIN(60,COLUMN()-29),1,MIN(60,COLUMN()-29))),0)</f>
        <v>101.12177376</v>
      </c>
      <c r="CM90" s="112" t="n">
        <f aca="true">IFERROR(SUMPRODUCT(OFFSET($BJ$31,0,1-MIN(60,COLUMN()-29),1,MIN(60,COLUMN()-29)),OFFSET(CM89,0,-MIN(60,COLUMN()-29),1,MIN(60,COLUMN()-29))),0)</f>
        <v>100.54358496</v>
      </c>
      <c r="CN90" s="112" t="n">
        <f aca="true">IFERROR(SUMPRODUCT(OFFSET($BJ$31,0,1-MIN(60,COLUMN()-29),1,MIN(60,COLUMN()-29)),OFFSET(CN89,0,-MIN(60,COLUMN()-29),1,MIN(60,COLUMN()-29))),0)</f>
        <v>115.3171152</v>
      </c>
      <c r="CO90" s="112" t="n">
        <f aca="true">IFERROR(SUMPRODUCT(OFFSET($BJ$31,0,1-MIN(60,COLUMN()-29),1,MIN(60,COLUMN()-29)),OFFSET(CO89,0,-MIN(60,COLUMN()-29),1,MIN(60,COLUMN()-29))),0)</f>
        <v>119.60008704</v>
      </c>
      <c r="CP90" s="112" t="n">
        <f aca="true">IFERROR(SUMPRODUCT(OFFSET($BJ$31,0,1-MIN(60,COLUMN()-29),1,MIN(60,COLUMN()-29)),OFFSET(CP89,0,-MIN(60,COLUMN()-29),1,MIN(60,COLUMN()-29))),0)</f>
        <v>121.08170592</v>
      </c>
      <c r="CQ90" s="112" t="n">
        <f aca="true">IFERROR(SUMPRODUCT(OFFSET($BJ$31,0,1-MIN(60,COLUMN()-29),1,MIN(60,COLUMN()-29)),OFFSET(CQ89,0,-MIN(60,COLUMN()-29),1,MIN(60,COLUMN()-29))),0)</f>
        <v>121.35601296</v>
      </c>
      <c r="CR90" s="112" t="n">
        <f aca="true">IFERROR(SUMPRODUCT(OFFSET($BJ$31,0,1-MIN(60,COLUMN()-29),1,MIN(60,COLUMN()-29)),OFFSET(CR89,0,-MIN(60,COLUMN()-29),1,MIN(60,COLUMN()-29))),0)</f>
        <v>130.49528688</v>
      </c>
      <c r="CS90" s="112" t="n">
        <f aca="true">IFERROR(SUMPRODUCT(OFFSET($BJ$31,0,1-MIN(60,COLUMN()-29),1,MIN(60,COLUMN()-29)),OFFSET(CS89,0,-MIN(60,COLUMN()-29),1,MIN(60,COLUMN()-29))),0)</f>
        <v>154.88167968</v>
      </c>
      <c r="CT90" s="112" t="n">
        <f aca="true">IFERROR(SUMPRODUCT(OFFSET($BJ$31,0,1-MIN(60,COLUMN()-29),1,MIN(60,COLUMN()-29)),OFFSET(CT89,0,-MIN(60,COLUMN()-29),1,MIN(60,COLUMN()-29))),0)</f>
        <v>155.28034368</v>
      </c>
      <c r="CU90" s="112" t="n">
        <f aca="true">IFERROR(SUMPRODUCT(OFFSET($BJ$31,0,1-MIN(60,COLUMN()-29),1,MIN(60,COLUMN()-29)),OFFSET(CU89,0,-MIN(60,COLUMN()-29),1,MIN(60,COLUMN()-29))),0)</f>
        <v>154.36636992</v>
      </c>
      <c r="CV90" s="112" t="n">
        <f aca="true">IFERROR(SUMPRODUCT(OFFSET($BJ$31,0,1-MIN(60,COLUMN()-29),1,MIN(60,COLUMN()-29)),OFFSET(CV89,0,-MIN(60,COLUMN()-29),1,MIN(60,COLUMN()-29))),0)</f>
        <v>150.96193056</v>
      </c>
      <c r="CW90" s="112" t="n">
        <f aca="true">IFERROR(SUMPRODUCT(OFFSET($BJ$31,0,1-MIN(60,COLUMN()-29),1,MIN(60,COLUMN()-29)),OFFSET(CW89,0,-MIN(60,COLUMN()-29),1,MIN(60,COLUMN()-29))),0)</f>
        <v>169.63383024</v>
      </c>
      <c r="CX90" s="112" t="n">
        <f aca="true">IFERROR(SUMPRODUCT(OFFSET($BJ$31,0,1-MIN(60,COLUMN()-29),1,MIN(60,COLUMN()-29)),OFFSET(CX89,0,-MIN(60,COLUMN()-29),1,MIN(60,COLUMN()-29))),0)</f>
        <v>177.0538392</v>
      </c>
      <c r="CY90" s="112" t="n">
        <f aca="true">IFERROR(SUMPRODUCT(OFFSET($BJ$31,0,1-MIN(60,COLUMN()-29),1,MIN(60,COLUMN()-29)),OFFSET(CY89,0,-MIN(60,COLUMN()-29),1,MIN(60,COLUMN()-29))),0)</f>
        <v>177.61598064</v>
      </c>
      <c r="CZ90" s="112" t="n">
        <f aca="true">IFERROR(SUMPRODUCT(OFFSET($BJ$31,0,1-MIN(60,COLUMN()-29),1,MIN(60,COLUMN()-29)),OFFSET(CZ89,0,-MIN(60,COLUMN()-29),1,MIN(60,COLUMN()-29))),0)</f>
        <v>194.6881944</v>
      </c>
      <c r="DA90" s="112" t="n">
        <f aca="true">IFERROR(SUMPRODUCT(OFFSET($BJ$31,0,1-MIN(60,COLUMN()-29),1,MIN(60,COLUMN()-29)),OFFSET(DA89,0,-MIN(60,COLUMN()-29),1,MIN(60,COLUMN()-29))),0)</f>
        <v>199.47592224</v>
      </c>
      <c r="DB90" s="112" t="n">
        <f aca="true">IFERROR(SUMPRODUCT(OFFSET($BJ$31,0,1-MIN(60,COLUMN()-29),1,MIN(60,COLUMN()-29)),OFFSET(DB89,0,-MIN(60,COLUMN()-29),1,MIN(60,COLUMN()-29))),0)</f>
        <v>200.9556864</v>
      </c>
      <c r="DC90" s="112" t="n">
        <f aca="true">IFERROR(SUMPRODUCT(OFFSET($BJ$31,0,1-MIN(60,COLUMN()-29),1,MIN(60,COLUMN()-29)),OFFSET(DC89,0,-MIN(60,COLUMN()-29),1,MIN(60,COLUMN()-29))),0)</f>
        <v>201.22343136</v>
      </c>
      <c r="DD90" s="112" t="n">
        <f aca="true">IFERROR(SUMPRODUCT(OFFSET($BJ$31,0,1-MIN(60,COLUMN()-29),1,MIN(60,COLUMN()-29)),OFFSET(DD89,0,-MIN(60,COLUMN()-29),1,MIN(60,COLUMN()-29))),0)</f>
        <v>211.4059248</v>
      </c>
      <c r="DE90" s="112" t="n">
        <f aca="true">IFERROR(SUMPRODUCT(OFFSET($BJ$31,0,1-MIN(60,COLUMN()-29),1,MIN(60,COLUMN()-29)),OFFSET(DE89,0,-MIN(60,COLUMN()-29),1,MIN(60,COLUMN()-29))),0)</f>
        <v>237.162492</v>
      </c>
      <c r="DF90" s="112" t="n">
        <f aca="true">IFERROR(SUMPRODUCT(OFFSET($BJ$31,0,1-MIN(60,COLUMN()-29),1,MIN(60,COLUMN()-29)),OFFSET(DF89,0,-MIN(60,COLUMN()-29),1,MIN(60,COLUMN()-29))),0)</f>
        <v>236.66548752</v>
      </c>
      <c r="DG90" s="112" t="n">
        <f aca="true">IFERROR(SUMPRODUCT(OFFSET($BJ$31,0,1-MIN(60,COLUMN()-29),1,MIN(60,COLUMN()-29)),OFFSET(DG89,0,-MIN(60,COLUMN()-29),1,MIN(60,COLUMN()-29))),0)</f>
        <v>234.55723536</v>
      </c>
      <c r="DH90" s="112" t="n">
        <f aca="true">IFERROR(SUMPRODUCT(OFFSET($BJ$31,0,1-MIN(60,COLUMN()-29),1,MIN(60,COLUMN()-29)),OFFSET(DH89,0,-MIN(60,COLUMN()-29),1,MIN(60,COLUMN()-29))),0)</f>
        <v>230.42469744</v>
      </c>
      <c r="DI90" s="112" t="n">
        <f aca="true">IFERROR(SUMPRODUCT(OFFSET($BJ$31,0,1-MIN(60,COLUMN()-29),1,MIN(60,COLUMN()-29)),OFFSET(DI89,0,-MIN(60,COLUMN()-29),1,MIN(60,COLUMN()-29))),0)</f>
        <v>249.50713032</v>
      </c>
      <c r="DJ90" s="112" t="n">
        <f aca="true">IFERROR(SUMPRODUCT(OFFSET($BJ$31,0,1-MIN(60,COLUMN()-29),1,MIN(60,COLUMN()-29)),OFFSET(DJ89,0,-MIN(60,COLUMN()-29),1,MIN(60,COLUMN()-29))),0)</f>
        <v>256.24560024</v>
      </c>
      <c r="DK90" s="112" t="n">
        <f aca="true">IFERROR(SUMPRODUCT(OFFSET($BJ$31,0,1-MIN(60,COLUMN()-29),1,MIN(60,COLUMN()-29)),OFFSET(DK89,0,-MIN(60,COLUMN()-29),1,MIN(60,COLUMN()-29))),0)</f>
        <v>256.14512784</v>
      </c>
      <c r="DL90" s="112" t="n">
        <f aca="true">IFERROR(SUMPRODUCT(OFFSET($BJ$31,0,1-MIN(60,COLUMN()-29),1,MIN(60,COLUMN()-29)),OFFSET(DL89,0,-MIN(60,COLUMN()-29),1,MIN(60,COLUMN()-29))),0)</f>
        <v>271.94989248</v>
      </c>
      <c r="DM90" s="112" t="n">
        <f aca="true">IFERROR(SUMPRODUCT(OFFSET($BJ$31,0,1-MIN(60,COLUMN()-29),1,MIN(60,COLUMN()-29)),OFFSET(DM89,0,-MIN(60,COLUMN()-29),1,MIN(60,COLUMN()-29))),0)</f>
        <v>275.51223504</v>
      </c>
      <c r="DN90" s="112" t="n">
        <f aca="true">IFERROR(SUMPRODUCT(OFFSET($BJ$31,0,1-MIN(60,COLUMN()-29),1,MIN(60,COLUMN()-29)),OFFSET(DN89,0,-MIN(60,COLUMN()-29),1,MIN(60,COLUMN()-29))),0)</f>
        <v>276.25815504</v>
      </c>
      <c r="DO90" s="112" t="n">
        <f aca="true">IFERROR(SUMPRODUCT(OFFSET($BJ$31,0,1-MIN(60,COLUMN()-29),1,MIN(60,COLUMN()-29)),OFFSET(DO89,0,-MIN(60,COLUMN()-29),1,MIN(60,COLUMN()-29))),0)</f>
        <v>275.57990208</v>
      </c>
      <c r="DP90" s="112" t="n">
        <f aca="true">IFERROR(SUMPRODUCT(OFFSET($BJ$31,0,1-MIN(60,COLUMN()-29),1,MIN(60,COLUMN()-29)),OFFSET(DP89,0,-MIN(60,COLUMN()-29),1,MIN(60,COLUMN()-29))),0)</f>
        <v>285.14481408</v>
      </c>
      <c r="DQ90" s="112" t="n">
        <f aca="true">IFERROR(SUMPRODUCT(OFFSET($BJ$31,0,1-MIN(60,COLUMN()-29),1,MIN(60,COLUMN()-29)),OFFSET(DQ89,0,-MIN(60,COLUMN()-29),1,MIN(60,COLUMN()-29))),0)</f>
        <v>309.12311808</v>
      </c>
      <c r="DR90" s="112" t="n">
        <f aca="true">IFERROR(SUMPRODUCT(OFFSET($BJ$31,0,1-MIN(60,COLUMN()-29),1,MIN(60,COLUMN()-29)),OFFSET(DR89,0,-MIN(60,COLUMN()-29),1,MIN(60,COLUMN()-29))),0)</f>
        <v>306.66097728</v>
      </c>
      <c r="DS90" s="112" t="n">
        <f aca="true">IFERROR(SUMPRODUCT(OFFSET($BJ$31,0,1-MIN(60,COLUMN()-29),1,MIN(60,COLUMN()-29)),OFFSET(DS89,0,-MIN(60,COLUMN()-29),1,MIN(60,COLUMN()-29))),0)</f>
        <v>302.98056768</v>
      </c>
      <c r="DT90" s="112" t="n">
        <f aca="true">IFERROR(SUMPRODUCT(OFFSET($BJ$31,0,1-MIN(60,COLUMN()-29),1,MIN(60,COLUMN()-29)),OFFSET(DT89,0,-MIN(60,COLUMN()-29),1,MIN(60,COLUMN()-29))),0)</f>
        <v>297.34564608</v>
      </c>
      <c r="DU90" s="112" t="n">
        <f aca="true">IFERROR(SUMPRODUCT(OFFSET($BJ$31,0,1-MIN(60,COLUMN()-29),1,MIN(60,COLUMN()-29)),OFFSET(DU89,0,-MIN(60,COLUMN()-29),1,MIN(60,COLUMN()-29))),0)</f>
        <v>314.34284448</v>
      </c>
      <c r="DV90" s="112" t="n">
        <f aca="true">IFERROR(SUMPRODUCT(OFFSET($BJ$31,0,1-MIN(60,COLUMN()-29),1,MIN(60,COLUMN()-29)),OFFSET(DV89,0,-MIN(60,COLUMN()-29),1,MIN(60,COLUMN()-29))),0)</f>
        <v>318.55134528</v>
      </c>
      <c r="DW90" s="112" t="n">
        <f aca="true">IFERROR(SUMPRODUCT(OFFSET($BJ$31,0,1-MIN(60,COLUMN()-29),1,MIN(60,COLUMN()-29)),OFFSET(DW89,0,-MIN(60,COLUMN()-29),1,MIN(60,COLUMN()-29))),0)</f>
        <v>316.40203728</v>
      </c>
      <c r="DX90" s="112" t="n">
        <f aca="true">IFERROR(SUMPRODUCT(OFFSET($BJ$31,0,1-MIN(60,COLUMN()-29),1,MIN(60,COLUMN()-29)),OFFSET(DX89,0,-MIN(60,COLUMN()-29),1,MIN(60,COLUMN()-29))),0)</f>
        <v>329.27046768</v>
      </c>
      <c r="DY90" s="112" t="n">
        <f aca="true">IFERROR(SUMPRODUCT(OFFSET($BJ$31,0,1-MIN(60,COLUMN()-29),1,MIN(60,COLUMN()-29)),OFFSET(DY89,0,-MIN(60,COLUMN()-29),1,MIN(60,COLUMN()-29))),0)</f>
        <v>330.00605568</v>
      </c>
      <c r="DZ90" s="112" t="n">
        <f aca="true">IFERROR(SUMPRODUCT(OFFSET($BJ$31,0,1-MIN(60,COLUMN()-29),1,MIN(60,COLUMN()-29)),OFFSET(DZ89,0,-MIN(60,COLUMN()-29),1,MIN(60,COLUMN()-29))),0)</f>
        <v>328.30465248</v>
      </c>
      <c r="EA90" s="112" t="n">
        <f aca="true">IFERROR(SUMPRODUCT(OFFSET($BJ$31,0,1-MIN(60,COLUMN()-29),1,MIN(60,COLUMN()-29)),OFFSET(EA89,0,-MIN(60,COLUMN()-29),1,MIN(60,COLUMN()-29))),0)</f>
        <v>325.39052448</v>
      </c>
      <c r="EB90" s="112" t="n">
        <f aca="true">IFERROR(SUMPRODUCT(OFFSET($BJ$31,0,1-MIN(60,COLUMN()-29),1,MIN(60,COLUMN()-29)),OFFSET(EB89,0,-MIN(60,COLUMN()-29),1,MIN(60,COLUMN()-29))),0)</f>
        <v>332.50206528</v>
      </c>
      <c r="EC90" s="112" t="n">
        <f aca="true">IFERROR(SUMPRODUCT(OFFSET($BJ$31,0,1-MIN(60,COLUMN()-29),1,MIN(60,COLUMN()-29)),OFFSET(EC89,0,-MIN(60,COLUMN()-29),1,MIN(60,COLUMN()-29))),0)</f>
        <v>353.19897648</v>
      </c>
      <c r="ED90" s="112" t="n">
        <f aca="true">IFERROR(SUMPRODUCT(OFFSET($BJ$31,0,1-MIN(60,COLUMN()-29),1,MIN(60,COLUMN()-29)),OFFSET(ED89,0,-MIN(60,COLUMN()-29),1,MIN(60,COLUMN()-29))),0)</f>
        <v>348.08841648</v>
      </c>
      <c r="EE90" s="112" t="n">
        <f aca="true">IFERROR(SUMPRODUCT(OFFSET($BJ$31,0,1-MIN(60,COLUMN()-29),1,MIN(60,COLUMN()-29)),OFFSET(EE89,0,-MIN(60,COLUMN()-29),1,MIN(60,COLUMN()-29))),0)</f>
        <v>342.20169648</v>
      </c>
      <c r="EF90" s="112" t="n">
        <f aca="true">IFERROR(SUMPRODUCT(OFFSET($BJ$31,0,1-MIN(60,COLUMN()-29),1,MIN(60,COLUMN()-29)),OFFSET(EF89,0,-MIN(60,COLUMN()-29),1,MIN(60,COLUMN()-29))),0)</f>
        <v>334.9370808</v>
      </c>
      <c r="EG90" s="112" t="n">
        <f aca="true">IFERROR(SUMPRODUCT(OFFSET($BJ$31,0,1-MIN(60,COLUMN()-29),1,MIN(60,COLUMN()-29)),OFFSET(EG89,0,-MIN(60,COLUMN()-29),1,MIN(60,COLUMN()-29))),0)</f>
        <v>349.59161664</v>
      </c>
      <c r="EH90" s="112" t="n">
        <f aca="true">IFERROR(SUMPRODUCT(OFFSET($BJ$31,0,1-MIN(60,COLUMN()-29),1,MIN(60,COLUMN()-29)),OFFSET(EH89,0,-MIN(60,COLUMN()-29),1,MIN(60,COLUMN()-29))),0)</f>
        <v>351.45518688</v>
      </c>
      <c r="EI90" s="112" t="n">
        <f aca="true">IFERROR(SUMPRODUCT(OFFSET($BJ$31,0,1-MIN(60,COLUMN()-29),1,MIN(60,COLUMN()-29)),OFFSET(EI89,0,-MIN(60,COLUMN()-29),1,MIN(60,COLUMN()-29))),0)</f>
        <v>347.59613952</v>
      </c>
      <c r="EJ90" s="112" t="n">
        <f aca="true">IFERROR(SUMPRODUCT(OFFSET($BJ$31,0,1-MIN(60,COLUMN()-29),1,MIN(60,COLUMN()-29)),OFFSET(EJ89,0,-MIN(60,COLUMN()-29),1,MIN(60,COLUMN()-29))),0)</f>
        <v>358.09853184</v>
      </c>
      <c r="EK90" s="112" t="n">
        <f aca="true">IFERROR(SUMPRODUCT(OFFSET($BJ$31,0,1-MIN(60,COLUMN()-29),1,MIN(60,COLUMN()-29)),OFFSET(EK89,0,-MIN(60,COLUMN()-29),1,MIN(60,COLUMN()-29))),0)</f>
        <v>356.71852944</v>
      </c>
      <c r="EL90" s="112" t="n">
        <f aca="true">IFERROR(SUMPRODUCT(OFFSET($BJ$31,0,1-MIN(60,COLUMN()-29),1,MIN(60,COLUMN()-29)),OFFSET(EL89,0,-MIN(60,COLUMN()-29),1,MIN(60,COLUMN()-29))),0)</f>
        <v>353.21572944</v>
      </c>
      <c r="EM90" s="112" t="n">
        <f aca="true">IFERROR(SUMPRODUCT(OFFSET($BJ$31,0,1-MIN(60,COLUMN()-29),1,MIN(60,COLUMN()-29)),OFFSET(EM89,0,-MIN(60,COLUMN()-29),1,MIN(60,COLUMN()-29))),0)</f>
        <v>348.83435664</v>
      </c>
      <c r="EN90" s="112" t="n">
        <f aca="true">IFERROR(SUMPRODUCT(OFFSET($BJ$31,0,1-MIN(60,COLUMN()-29),1,MIN(60,COLUMN()-29)),OFFSET(EN89,0,-MIN(60,COLUMN()-29),1,MIN(60,COLUMN()-29))),0)</f>
        <v>354.44593296</v>
      </c>
      <c r="EO90" s="112" t="n">
        <f aca="true">IFERROR(SUMPRODUCT(OFFSET($BJ$31,0,1-MIN(60,COLUMN()-29),1,MIN(60,COLUMN()-29)),OFFSET(EO89,0,-MIN(60,COLUMN()-29),1,MIN(60,COLUMN()-29))),0)</f>
        <v>372.72527712</v>
      </c>
      <c r="EP90" s="112" t="n">
        <f aca="true">IFERROR(SUMPRODUCT(OFFSET($BJ$31,0,1-MIN(60,COLUMN()-29),1,MIN(60,COLUMN()-29)),OFFSET(EP89,0,-MIN(60,COLUMN()-29),1,MIN(60,COLUMN()-29))),0)</f>
        <v>365.73802272</v>
      </c>
      <c r="EQ90" s="112" t="n">
        <f aca="true">IFERROR(SUMPRODUCT(OFFSET($BJ$31,0,1-MIN(60,COLUMN()-29),1,MIN(60,COLUMN()-29)),OFFSET(EQ89,0,-MIN(60,COLUMN()-29),1,MIN(60,COLUMN()-29))),0)</f>
        <v>358.26479136</v>
      </c>
      <c r="ER90" s="112" t="n">
        <f aca="true">IFERROR(SUMPRODUCT(OFFSET($BJ$31,0,1-MIN(60,COLUMN()-29),1,MIN(60,COLUMN()-29)),OFFSET(ER89,0,-MIN(60,COLUMN()-29),1,MIN(60,COLUMN()-29))),0)</f>
        <v>350.15212512</v>
      </c>
      <c r="ES90" s="9" t="n">
        <f aca="true">IFERROR(SUMPRODUCT(OFFSET($BJ$31,0,1-MIN(60,COLUMN()-29),1,MIN(60,COLUMN()-29)),OFFSET(ES89,0,-MIN(60,COLUMN()-29),1,MIN(60,COLUMN()-29))),0)</f>
        <v>363.64072752</v>
      </c>
      <c r="ET90" s="9" t="n">
        <f aca="true">IFERROR(SUMPRODUCT(OFFSET($BJ$31,0,1-MIN(60,COLUMN()-29),1,MIN(60,COLUMN()-29)),OFFSET(ET89,0,-MIN(60,COLUMN()-29),1,MIN(60,COLUMN()-29))),0)</f>
        <v>364.34652912</v>
      </c>
      <c r="EU90" s="9" t="n">
        <f aca="true">IFERROR(SUMPRODUCT(OFFSET($BJ$31,0,1-MIN(60,COLUMN()-29),1,MIN(60,COLUMN()-29)),OFFSET(EU89,0,-MIN(60,COLUMN()-29),1,MIN(60,COLUMN()-29))),0)</f>
        <v>359.63819136</v>
      </c>
      <c r="EV90" s="9" t="n">
        <f aca="true">IFERROR(SUMPRODUCT(OFFSET($BJ$31,0,1-MIN(60,COLUMN()-29),1,MIN(60,COLUMN()-29)),OFFSET(EV89,0,-MIN(60,COLUMN()-29),1,MIN(60,COLUMN()-29))),0)</f>
        <v>368.89880832</v>
      </c>
      <c r="EW90" s="9" t="n">
        <f aca="true">IFERROR(SUMPRODUCT(OFFSET($BJ$31,0,1-MIN(60,COLUMN()-29),1,MIN(60,COLUMN()-29)),OFFSET(EW89,0,-MIN(60,COLUMN()-29),1,MIN(60,COLUMN()-29))),0)</f>
        <v>366.42275712</v>
      </c>
      <c r="EX90" s="9" t="n">
        <f aca="true">IFERROR(SUMPRODUCT(OFFSET($BJ$31,0,1-MIN(60,COLUMN()-29),1,MIN(60,COLUMN()-29)),OFFSET(EX89,0,-MIN(60,COLUMN()-29),1,MIN(60,COLUMN()-29))),0)</f>
        <v>362.07142272</v>
      </c>
      <c r="EY90" s="9" t="n">
        <f aca="true">IFERROR(SUMPRODUCT(OFFSET($BJ$31,0,1-MIN(60,COLUMN()-29),1,MIN(60,COLUMN()-29)),OFFSET(EY89,0,-MIN(60,COLUMN()-29),1,MIN(60,COLUMN()-29))),0)</f>
        <v>357.01025472</v>
      </c>
      <c r="EZ90" s="9" t="n">
        <f aca="true">IFERROR(SUMPRODUCT(OFFSET($BJ$31,0,1-MIN(60,COLUMN()-29),1,MIN(60,COLUMN()-29)),OFFSET(EZ89,0,-MIN(60,COLUMN()-29),1,MIN(60,COLUMN()-29))),0)</f>
        <v>361.97155008</v>
      </c>
      <c r="FA90" s="9" t="n">
        <f aca="true">IFERROR(SUMPRODUCT(OFFSET($BJ$31,0,1-MIN(60,COLUMN()-29),1,MIN(60,COLUMN()-29)),OFFSET(FA89,0,-MIN(60,COLUMN()-29),1,MIN(60,COLUMN()-29))),0)</f>
        <v>379.1537568</v>
      </c>
      <c r="FB90" s="9" t="n">
        <f aca="true">IFERROR(SUMPRODUCT(OFFSET($BJ$31,0,1-MIN(60,COLUMN()-29),1,MIN(60,COLUMN()-29)),OFFSET(FB89,0,-MIN(60,COLUMN()-29),1,MIN(60,COLUMN()-29))),0)</f>
        <v>371.31409728</v>
      </c>
      <c r="FC90" s="9" t="n">
        <f aca="true">IFERROR(SUMPRODUCT(OFFSET($BJ$31,0,1-MIN(60,COLUMN()-29),1,MIN(60,COLUMN()-29)),OFFSET(FC89,0,-MIN(60,COLUMN()-29),1,MIN(60,COLUMN()-29))),0)</f>
        <v>363.20655168</v>
      </c>
      <c r="FD90" s="9" t="n">
        <f aca="true">IFERROR(SUMPRODUCT(OFFSET($BJ$31,0,1-MIN(60,COLUMN()-29),1,MIN(60,COLUMN()-29)),OFFSET(FD89,0,-MIN(60,COLUMN()-29),1,MIN(60,COLUMN()-29))),0)</f>
        <v>354.67040448</v>
      </c>
      <c r="FE90" s="9" t="n">
        <f aca="true">IFERROR(SUMPRODUCT(OFFSET($BJ$31,0,1-MIN(60,COLUMN()-29),1,MIN(60,COLUMN()-29)),OFFSET(FE89,0,-MIN(60,COLUMN()-29),1,MIN(60,COLUMN()-29))),0)</f>
        <v>367.59917376</v>
      </c>
      <c r="FF90" s="9" t="n">
        <f aca="true">IFERROR(SUMPRODUCT(OFFSET($BJ$31,0,1-MIN(60,COLUMN()-29),1,MIN(60,COLUMN()-29)),OFFSET(FF89,0,-MIN(60,COLUMN()-29),1,MIN(60,COLUMN()-29))),0)</f>
        <v>367.71384384</v>
      </c>
      <c r="FG90" s="9" t="n">
        <f aca="true">IFERROR(SUMPRODUCT(OFFSET($BJ$31,0,1-MIN(60,COLUMN()-29),1,MIN(60,COLUMN()-29)),OFFSET(FG89,0,-MIN(60,COLUMN()-29),1,MIN(60,COLUMN()-29))),0)</f>
        <v>362.58768</v>
      </c>
      <c r="FH90" s="9" t="n">
        <f aca="true">IFERROR(SUMPRODUCT(OFFSET($BJ$31,0,1-MIN(60,COLUMN()-29),1,MIN(60,COLUMN()-29)),OFFSET(FH89,0,-MIN(60,COLUMN()-29),1,MIN(60,COLUMN()-29))),0)</f>
        <v>371.343168</v>
      </c>
      <c r="FI90" s="9" t="n">
        <f aca="true">IFERROR(SUMPRODUCT(OFFSET($BJ$31,0,1-MIN(60,COLUMN()-29),1,MIN(60,COLUMN()-29)),OFFSET(FI89,0,-MIN(60,COLUMN()-29),1,MIN(60,COLUMN()-29))),0)</f>
        <v>368.428032</v>
      </c>
      <c r="FJ90" s="9" t="n">
        <f aca="true">IFERROR(SUMPRODUCT(OFFSET($BJ$31,0,1-MIN(60,COLUMN()-29),1,MIN(60,COLUMN()-29)),OFFSET(FJ89,0,-MIN(60,COLUMN()-29),1,MIN(60,COLUMN()-29))),0)</f>
        <v>363.742848</v>
      </c>
      <c r="FK90" s="9" t="n">
        <f aca="true">IFERROR(SUMPRODUCT(OFFSET($BJ$31,0,1-MIN(60,COLUMN()-29),1,MIN(60,COLUMN()-29)),OFFSET(FK89,0,-MIN(60,COLUMN()-29),1,MIN(60,COLUMN()-29))),0)</f>
        <v>358.391376</v>
      </c>
      <c r="FL90" s="9" t="n">
        <f aca="true">IFERROR(SUMPRODUCT(OFFSET($BJ$31,0,1-MIN(60,COLUMN()-29),1,MIN(60,COLUMN()-29)),OFFSET(FL89,0,-MIN(60,COLUMN()-29),1,MIN(60,COLUMN()-29))),0)</f>
        <v>363.108816</v>
      </c>
      <c r="FM90" s="9" t="n">
        <f aca="true">IFERROR(SUMPRODUCT(OFFSET($BJ$31,0,1-MIN(60,COLUMN()-29),1,MIN(60,COLUMN()-29)),OFFSET(FM89,0,-MIN(60,COLUMN()-29),1,MIN(60,COLUMN()-29))),0)</f>
        <v>379.93032</v>
      </c>
      <c r="FN90" s="9" t="n">
        <f aca="true">IFERROR(SUMPRODUCT(OFFSET($BJ$31,0,1-MIN(60,COLUMN()-29),1,MIN(60,COLUMN()-29)),OFFSET(FN89,0,-MIN(60,COLUMN()-29),1,MIN(60,COLUMN()-29))),0)</f>
        <v>371.838096</v>
      </c>
      <c r="FO90" s="9" t="n">
        <f aca="true">IFERROR(SUMPRODUCT(OFFSET($BJ$31,0,1-MIN(60,COLUMN()-29),1,MIN(60,COLUMN()-29)),OFFSET(FO89,0,-MIN(60,COLUMN()-29),1,MIN(60,COLUMN()-29))),0)</f>
        <v>363.556368</v>
      </c>
      <c r="FP90" s="9" t="n">
        <f aca="true">IFERROR(SUMPRODUCT(OFFSET($BJ$31,0,1-MIN(60,COLUMN()-29),1,MIN(60,COLUMN()-29)),OFFSET(FP89,0,-MIN(60,COLUMN()-29),1,MIN(60,COLUMN()-29))),0)</f>
        <v>354.889584</v>
      </c>
    </row>
    <row r="91" customFormat="false" ht="15" hidden="false" customHeight="false" outlineLevel="2" collapsed="false">
      <c r="B91" s="90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237"/>
      <c r="AD91" s="237"/>
      <c r="AE91" s="237"/>
      <c r="AF91" s="237"/>
      <c r="AG91" s="237"/>
      <c r="AH91" s="237"/>
      <c r="AI91" s="237"/>
      <c r="AJ91" s="237"/>
      <c r="AK91" s="237"/>
      <c r="AL91" s="237"/>
      <c r="AM91" s="237"/>
      <c r="AN91" s="237"/>
      <c r="AO91" s="237"/>
      <c r="AP91" s="237"/>
      <c r="AQ91" s="237"/>
      <c r="AR91" s="237"/>
      <c r="AS91" s="237"/>
      <c r="AT91" s="237"/>
      <c r="AU91" s="237"/>
      <c r="AV91" s="237"/>
      <c r="AW91" s="237"/>
      <c r="AX91" s="237"/>
      <c r="AY91" s="237"/>
      <c r="AZ91" s="237"/>
      <c r="BA91" s="237"/>
      <c r="BB91" s="237"/>
      <c r="BC91" s="237"/>
      <c r="BD91" s="237"/>
      <c r="BE91" s="237"/>
      <c r="BF91" s="237"/>
      <c r="BG91" s="237"/>
      <c r="BH91" s="237"/>
      <c r="BI91" s="237"/>
      <c r="BJ91" s="237"/>
      <c r="BK91" s="237"/>
      <c r="BL91" s="237"/>
      <c r="BM91" s="237"/>
      <c r="BN91" s="237"/>
      <c r="BO91" s="237"/>
      <c r="BP91" s="237"/>
      <c r="BQ91" s="237"/>
      <c r="BR91" s="237"/>
      <c r="BS91" s="237"/>
      <c r="BT91" s="237"/>
      <c r="BU91" s="237"/>
      <c r="BV91" s="237"/>
      <c r="BW91" s="237"/>
      <c r="BX91" s="237"/>
      <c r="BY91" s="237"/>
      <c r="BZ91" s="237"/>
      <c r="CA91" s="237"/>
      <c r="CB91" s="237"/>
      <c r="CC91" s="237"/>
      <c r="CD91" s="237"/>
      <c r="CE91" s="237"/>
      <c r="CF91" s="237"/>
      <c r="CG91" s="237"/>
      <c r="CH91" s="237"/>
      <c r="CI91" s="237"/>
      <c r="CJ91" s="237"/>
      <c r="CK91" s="237"/>
      <c r="CL91" s="237"/>
      <c r="CM91" s="237"/>
      <c r="CN91" s="237"/>
      <c r="CO91" s="237"/>
      <c r="CP91" s="237"/>
      <c r="CQ91" s="237"/>
      <c r="CR91" s="237"/>
      <c r="CS91" s="237"/>
      <c r="CT91" s="237"/>
      <c r="CU91" s="237"/>
      <c r="CV91" s="237"/>
      <c r="CW91" s="237"/>
      <c r="CX91" s="237"/>
      <c r="CY91" s="237"/>
      <c r="CZ91" s="237"/>
      <c r="DA91" s="237"/>
      <c r="DB91" s="237"/>
      <c r="DC91" s="237"/>
      <c r="DD91" s="237"/>
      <c r="DE91" s="237"/>
      <c r="DF91" s="237"/>
      <c r="DG91" s="237"/>
      <c r="DH91" s="237"/>
      <c r="DI91" s="237"/>
      <c r="DJ91" s="237"/>
      <c r="DK91" s="237"/>
      <c r="DL91" s="237"/>
      <c r="DM91" s="237"/>
      <c r="DN91" s="237"/>
      <c r="DO91" s="237"/>
      <c r="DP91" s="237"/>
      <c r="DQ91" s="237"/>
      <c r="DR91" s="237"/>
      <c r="DS91" s="237"/>
      <c r="DT91" s="237"/>
      <c r="DU91" s="237"/>
      <c r="DV91" s="237"/>
      <c r="DW91" s="237"/>
      <c r="DX91" s="237"/>
      <c r="DY91" s="237"/>
      <c r="DZ91" s="237"/>
      <c r="EA91" s="237"/>
      <c r="EB91" s="237"/>
      <c r="EC91" s="237"/>
      <c r="ED91" s="237"/>
      <c r="EE91" s="237"/>
      <c r="EF91" s="237"/>
      <c r="EG91" s="237"/>
      <c r="EH91" s="237"/>
      <c r="EI91" s="237"/>
      <c r="EJ91" s="237"/>
      <c r="EK91" s="237"/>
      <c r="EL91" s="237"/>
      <c r="EM91" s="237"/>
      <c r="EN91" s="237"/>
      <c r="EO91" s="237"/>
      <c r="EP91" s="237"/>
      <c r="EQ91" s="237"/>
      <c r="ER91" s="237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</row>
    <row r="92" customFormat="false" ht="15" hidden="false" customHeight="false" outlineLevel="2" collapsed="false">
      <c r="B92" s="240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237"/>
      <c r="AD92" s="237"/>
      <c r="AE92" s="237"/>
      <c r="AF92" s="237"/>
      <c r="AG92" s="237"/>
      <c r="AH92" s="237"/>
      <c r="AI92" s="237"/>
      <c r="AJ92" s="237"/>
      <c r="AK92" s="237"/>
      <c r="AL92" s="237"/>
      <c r="AM92" s="237"/>
      <c r="AN92" s="237"/>
      <c r="AO92" s="237"/>
      <c r="AP92" s="237"/>
      <c r="AQ92" s="237"/>
      <c r="AR92" s="237"/>
      <c r="AS92" s="237"/>
      <c r="AT92" s="237"/>
      <c r="AU92" s="237"/>
      <c r="AV92" s="237"/>
      <c r="AW92" s="237"/>
      <c r="AX92" s="237"/>
      <c r="AY92" s="237"/>
      <c r="AZ92" s="237"/>
      <c r="BA92" s="237"/>
      <c r="BB92" s="237"/>
      <c r="BC92" s="237"/>
      <c r="BD92" s="237"/>
      <c r="BE92" s="237"/>
      <c r="BF92" s="237"/>
      <c r="BG92" s="237"/>
      <c r="BH92" s="237"/>
      <c r="BI92" s="237"/>
      <c r="BJ92" s="237"/>
      <c r="BK92" s="237"/>
      <c r="BL92" s="237"/>
      <c r="BM92" s="237"/>
      <c r="BN92" s="237"/>
      <c r="BO92" s="237"/>
      <c r="BP92" s="237"/>
      <c r="BQ92" s="237"/>
      <c r="BR92" s="237"/>
      <c r="BS92" s="237"/>
      <c r="BT92" s="237"/>
      <c r="BU92" s="237"/>
      <c r="BV92" s="237"/>
      <c r="BW92" s="237"/>
      <c r="BX92" s="237"/>
      <c r="BY92" s="237"/>
      <c r="BZ92" s="237"/>
      <c r="CA92" s="237"/>
      <c r="CB92" s="237"/>
      <c r="CC92" s="237"/>
      <c r="CD92" s="237"/>
      <c r="CE92" s="237"/>
      <c r="CF92" s="237"/>
      <c r="CG92" s="237"/>
      <c r="CH92" s="237"/>
      <c r="CI92" s="237"/>
      <c r="CJ92" s="237"/>
      <c r="CK92" s="237"/>
      <c r="CL92" s="237"/>
      <c r="CM92" s="237"/>
      <c r="CN92" s="237"/>
      <c r="CO92" s="237"/>
      <c r="CP92" s="237"/>
      <c r="CQ92" s="237"/>
      <c r="CR92" s="237"/>
      <c r="CS92" s="237"/>
      <c r="CT92" s="237"/>
      <c r="CU92" s="237"/>
      <c r="CV92" s="237"/>
      <c r="CW92" s="237"/>
      <c r="CX92" s="237"/>
      <c r="CY92" s="237"/>
      <c r="CZ92" s="237"/>
      <c r="DA92" s="237"/>
      <c r="DB92" s="237"/>
      <c r="DC92" s="237"/>
      <c r="DD92" s="237"/>
      <c r="DE92" s="237"/>
      <c r="DF92" s="237"/>
      <c r="DG92" s="237"/>
      <c r="DH92" s="237"/>
      <c r="DI92" s="237"/>
      <c r="DJ92" s="237"/>
      <c r="DK92" s="237"/>
      <c r="DL92" s="237"/>
      <c r="DM92" s="237"/>
      <c r="DN92" s="237"/>
      <c r="DO92" s="237"/>
      <c r="DP92" s="237"/>
      <c r="DQ92" s="237"/>
      <c r="DR92" s="237"/>
      <c r="DS92" s="237"/>
      <c r="DT92" s="237"/>
      <c r="DU92" s="237"/>
      <c r="DV92" s="237"/>
      <c r="DW92" s="237"/>
      <c r="DX92" s="237"/>
      <c r="DY92" s="237"/>
      <c r="DZ92" s="237"/>
      <c r="EA92" s="237"/>
      <c r="EB92" s="237"/>
      <c r="EC92" s="237"/>
      <c r="ED92" s="237"/>
      <c r="EE92" s="237"/>
      <c r="EF92" s="237"/>
      <c r="EG92" s="237"/>
      <c r="EH92" s="237"/>
      <c r="EI92" s="237"/>
      <c r="EJ92" s="237"/>
      <c r="EK92" s="237"/>
      <c r="EL92" s="237"/>
      <c r="EM92" s="237"/>
      <c r="EN92" s="237"/>
      <c r="EO92" s="237"/>
      <c r="EP92" s="237"/>
      <c r="EQ92" s="237"/>
      <c r="ER92" s="237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</row>
    <row r="93" customFormat="false" ht="15" hidden="false" customHeight="false" outlineLevel="2" collapsed="false">
      <c r="B93" s="21" t="s">
        <v>882</v>
      </c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</row>
    <row r="94" customFormat="false" ht="15" hidden="false" customHeight="false" outlineLevel="2" collapsed="false">
      <c r="B94" s="9" t="s">
        <v>872</v>
      </c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234" t="n">
        <f aca="false">('⑫ Roll-out Plan'!G15-2025)*12+'⑫ Roll-out Plan'!F15</f>
        <v>26</v>
      </c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</row>
    <row r="95" customFormat="false" ht="15" hidden="false" customHeight="false" outlineLevel="2" collapsed="false">
      <c r="B95" s="9" t="s">
        <v>873</v>
      </c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235" t="n">
        <f aca="false">VLOOKUP("A",$B$14:$C$18,2,FALSE())</f>
        <v>210</v>
      </c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</row>
    <row r="96" customFormat="false" ht="15" hidden="false" customHeight="false" outlineLevel="2" collapsed="false">
      <c r="B96" s="9" t="s">
        <v>799</v>
      </c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63" t="n">
        <f aca="false">IF(AC$35&gt;=$AC$94,AC$35-$AC$94+1,0)</f>
        <v>0</v>
      </c>
      <c r="AD96" s="63" t="n">
        <f aca="false">IF(AD$35&gt;=$AC$94,AD$35-$AC$94+1,0)</f>
        <v>0</v>
      </c>
      <c r="AE96" s="63" t="n">
        <f aca="false">IF(AE$35&gt;=$AC$94,AE$35-$AC$94+1,0)</f>
        <v>0</v>
      </c>
      <c r="AF96" s="63" t="n">
        <f aca="false">IF(AF$35&gt;=$AC$94,AF$35-$AC$94+1,0)</f>
        <v>0</v>
      </c>
      <c r="AG96" s="63" t="n">
        <f aca="false">IF(AG$35&gt;=$AC$94,AG$35-$AC$94+1,0)</f>
        <v>0</v>
      </c>
      <c r="AH96" s="63" t="n">
        <f aca="false">IF(AH$35&gt;=$AC$94,AH$35-$AC$94+1,0)</f>
        <v>0</v>
      </c>
      <c r="AI96" s="63" t="n">
        <f aca="false">IF(AI$35&gt;=$AC$94,AI$35-$AC$94+1,0)</f>
        <v>0</v>
      </c>
      <c r="AJ96" s="63" t="n">
        <f aca="false">IF(AJ$35&gt;=$AC$94,AJ$35-$AC$94+1,0)</f>
        <v>0</v>
      </c>
      <c r="AK96" s="63" t="n">
        <f aca="false">IF(AK$35&gt;=$AC$94,AK$35-$AC$94+1,0)</f>
        <v>0</v>
      </c>
      <c r="AL96" s="63" t="n">
        <f aca="false">IF(AL$35&gt;=$AC$94,AL$35-$AC$94+1,0)</f>
        <v>0</v>
      </c>
      <c r="AM96" s="63" t="n">
        <f aca="false">IF(AM$35&gt;=$AC$94,AM$35-$AC$94+1,0)</f>
        <v>0</v>
      </c>
      <c r="AN96" s="63" t="n">
        <f aca="false">IF(AN$35&gt;=$AC$94,AN$35-$AC$94+1,0)</f>
        <v>0</v>
      </c>
      <c r="AO96" s="63" t="n">
        <f aca="false">IF(AO$35&gt;=$AC$94,AO$35-$AC$94+1,0)</f>
        <v>0</v>
      </c>
      <c r="AP96" s="63" t="n">
        <f aca="false">IF(AP$35&gt;=$AC$94,AP$35-$AC$94+1,0)</f>
        <v>0</v>
      </c>
      <c r="AQ96" s="63" t="n">
        <f aca="false">IF(AQ$35&gt;=$AC$94,AQ$35-$AC$94+1,0)</f>
        <v>0</v>
      </c>
      <c r="AR96" s="63" t="n">
        <f aca="false">IF(AR$35&gt;=$AC$94,AR$35-$AC$94+1,0)</f>
        <v>0</v>
      </c>
      <c r="AS96" s="63" t="n">
        <f aca="false">IF(AS$35&gt;=$AC$94,AS$35-$AC$94+1,0)</f>
        <v>0</v>
      </c>
      <c r="AT96" s="63" t="n">
        <f aca="false">IF(AT$35&gt;=$AC$94,AT$35-$AC$94+1,0)</f>
        <v>0</v>
      </c>
      <c r="AU96" s="63" t="n">
        <f aca="false">IF(AU$35&gt;=$AC$94,AU$35-$AC$94+1,0)</f>
        <v>0</v>
      </c>
      <c r="AV96" s="63" t="n">
        <f aca="false">IF(AV$35&gt;=$AC$94,AV$35-$AC$94+1,0)</f>
        <v>0</v>
      </c>
      <c r="AW96" s="63" t="n">
        <f aca="false">IF(AW$35&gt;=$AC$94,AW$35-$AC$94+1,0)</f>
        <v>0</v>
      </c>
      <c r="AX96" s="63" t="n">
        <f aca="false">IF(AX$35&gt;=$AC$94,AX$35-$AC$94+1,0)</f>
        <v>0</v>
      </c>
      <c r="AY96" s="63" t="n">
        <f aca="false">IF(AY$35&gt;=$AC$94,AY$35-$AC$94+1,0)</f>
        <v>0</v>
      </c>
      <c r="AZ96" s="63" t="n">
        <f aca="false">IF(AZ$35&gt;=$AC$94,AZ$35-$AC$94+1,0)</f>
        <v>0</v>
      </c>
      <c r="BA96" s="63" t="n">
        <f aca="false">IF(BA$35&gt;=$AC$94,BA$35-$AC$94+1,0)</f>
        <v>0</v>
      </c>
      <c r="BB96" s="63" t="n">
        <f aca="false">IF(BB$35&gt;=$AC$94,BB$35-$AC$94+1,0)</f>
        <v>1</v>
      </c>
      <c r="BC96" s="63" t="n">
        <f aca="false">IF(BC$35&gt;=$AC$94,BC$35-$AC$94+1,0)</f>
        <v>2</v>
      </c>
      <c r="BD96" s="63" t="n">
        <f aca="false">IF(BD$35&gt;=$AC$94,BD$35-$AC$94+1,0)</f>
        <v>3</v>
      </c>
      <c r="BE96" s="63" t="n">
        <f aca="false">IF(BE$35&gt;=$AC$94,BE$35-$AC$94+1,0)</f>
        <v>4</v>
      </c>
      <c r="BF96" s="63" t="n">
        <f aca="false">IF(BF$35&gt;=$AC$94,BF$35-$AC$94+1,0)</f>
        <v>5</v>
      </c>
      <c r="BG96" s="63" t="n">
        <f aca="false">IF(BG$35&gt;=$AC$94,BG$35-$AC$94+1,0)</f>
        <v>6</v>
      </c>
      <c r="BH96" s="63" t="n">
        <f aca="false">IF(BH$35&gt;=$AC$94,BH$35-$AC$94+1,0)</f>
        <v>7</v>
      </c>
      <c r="BI96" s="63" t="n">
        <f aca="false">IF(BI$35&gt;=$AC$94,BI$35-$AC$94+1,0)</f>
        <v>8</v>
      </c>
      <c r="BJ96" s="63" t="n">
        <f aca="false">IF(BJ$35&gt;=$AC$94,BJ$35-$AC$94+1,0)</f>
        <v>9</v>
      </c>
      <c r="BK96" s="63" t="n">
        <f aca="false">IF(BK$35&gt;=$AC$94,BK$35-$AC$94+1,0)</f>
        <v>10</v>
      </c>
      <c r="BL96" s="63" t="n">
        <f aca="false">IF(BL$35&gt;=$AC$94,BL$35-$AC$94+1,0)</f>
        <v>11</v>
      </c>
      <c r="BM96" s="63" t="n">
        <f aca="false">IF(BM$35&gt;=$AC$94,BM$35-$AC$94+1,0)</f>
        <v>12</v>
      </c>
      <c r="BN96" s="63" t="n">
        <f aca="false">IF(BN$35&gt;=$AC$94,BN$35-$AC$94+1,0)</f>
        <v>13</v>
      </c>
      <c r="BO96" s="63" t="n">
        <f aca="false">IF(BO$35&gt;=$AC$94,BO$35-$AC$94+1,0)</f>
        <v>14</v>
      </c>
      <c r="BP96" s="63" t="n">
        <f aca="false">IF(BP$35&gt;=$AC$94,BP$35-$AC$94+1,0)</f>
        <v>15</v>
      </c>
      <c r="BQ96" s="63" t="n">
        <f aca="false">IF(BQ$35&gt;=$AC$94,BQ$35-$AC$94+1,0)</f>
        <v>16</v>
      </c>
      <c r="BR96" s="63" t="n">
        <f aca="false">IF(BR$35&gt;=$AC$94,BR$35-$AC$94+1,0)</f>
        <v>17</v>
      </c>
      <c r="BS96" s="63" t="n">
        <f aca="false">IF(BS$35&gt;=$AC$94,BS$35-$AC$94+1,0)</f>
        <v>18</v>
      </c>
      <c r="BT96" s="63" t="n">
        <f aca="false">IF(BT$35&gt;=$AC$94,BT$35-$AC$94+1,0)</f>
        <v>19</v>
      </c>
      <c r="BU96" s="63" t="n">
        <f aca="false">IF(BU$35&gt;=$AC$94,BU$35-$AC$94+1,0)</f>
        <v>20</v>
      </c>
      <c r="BV96" s="63" t="n">
        <f aca="false">IF(BV$35&gt;=$AC$94,BV$35-$AC$94+1,0)</f>
        <v>21</v>
      </c>
      <c r="BW96" s="63" t="n">
        <f aca="false">IF(BW$35&gt;=$AC$94,BW$35-$AC$94+1,0)</f>
        <v>22</v>
      </c>
      <c r="BX96" s="63" t="n">
        <f aca="false">IF(BX$35&gt;=$AC$94,BX$35-$AC$94+1,0)</f>
        <v>23</v>
      </c>
      <c r="BY96" s="63" t="n">
        <f aca="false">IF(BY$35&gt;=$AC$94,BY$35-$AC$94+1,0)</f>
        <v>24</v>
      </c>
      <c r="BZ96" s="63" t="n">
        <f aca="false">IF(BZ$35&gt;=$AC$94,BZ$35-$AC$94+1,0)</f>
        <v>25</v>
      </c>
      <c r="CA96" s="63" t="n">
        <f aca="false">IF(CA$35&gt;=$AC$94,CA$35-$AC$94+1,0)</f>
        <v>26</v>
      </c>
      <c r="CB96" s="63" t="n">
        <f aca="false">IF(CB$35&gt;=$AC$94,CB$35-$AC$94+1,0)</f>
        <v>27</v>
      </c>
      <c r="CC96" s="63" t="n">
        <f aca="false">IF(CC$35&gt;=$AC$94,CC$35-$AC$94+1,0)</f>
        <v>28</v>
      </c>
      <c r="CD96" s="63" t="n">
        <f aca="false">IF(CD$35&gt;=$AC$94,CD$35-$AC$94+1,0)</f>
        <v>29</v>
      </c>
      <c r="CE96" s="63" t="n">
        <f aca="false">IF(CE$35&gt;=$AC$94,CE$35-$AC$94+1,0)</f>
        <v>30</v>
      </c>
      <c r="CF96" s="63" t="n">
        <f aca="false">IF(CF$35&gt;=$AC$94,CF$35-$AC$94+1,0)</f>
        <v>31</v>
      </c>
      <c r="CG96" s="63" t="n">
        <f aca="false">IF(CG$35&gt;=$AC$94,CG$35-$AC$94+1,0)</f>
        <v>32</v>
      </c>
      <c r="CH96" s="63" t="n">
        <f aca="false">IF(CH$35&gt;=$AC$94,CH$35-$AC$94+1,0)</f>
        <v>33</v>
      </c>
      <c r="CI96" s="63" t="n">
        <f aca="false">IF(CI$35&gt;=$AC$94,CI$35-$AC$94+1,0)</f>
        <v>34</v>
      </c>
      <c r="CJ96" s="63" t="n">
        <f aca="false">IF(CJ$35&gt;=$AC$94,CJ$35-$AC$94+1,0)</f>
        <v>35</v>
      </c>
      <c r="CK96" s="63" t="n">
        <f aca="false">IF(CK$35&gt;=$AC$94,CK$35-$AC$94+1,0)</f>
        <v>36</v>
      </c>
      <c r="CL96" s="63" t="n">
        <f aca="false">IF(CL$35&gt;=$AC$94,CL$35-$AC$94+1,0)</f>
        <v>37</v>
      </c>
      <c r="CM96" s="63" t="n">
        <f aca="false">IF(CM$35&gt;=$AC$94,CM$35-$AC$94+1,0)</f>
        <v>38</v>
      </c>
      <c r="CN96" s="63" t="n">
        <f aca="false">IF(CN$35&gt;=$AC$94,CN$35-$AC$94+1,0)</f>
        <v>39</v>
      </c>
      <c r="CO96" s="63" t="n">
        <f aca="false">IF(CO$35&gt;=$AC$94,CO$35-$AC$94+1,0)</f>
        <v>40</v>
      </c>
      <c r="CP96" s="63" t="n">
        <f aca="false">IF(CP$35&gt;=$AC$94,CP$35-$AC$94+1,0)</f>
        <v>41</v>
      </c>
      <c r="CQ96" s="63" t="n">
        <f aca="false">IF(CQ$35&gt;=$AC$94,CQ$35-$AC$94+1,0)</f>
        <v>42</v>
      </c>
      <c r="CR96" s="63" t="n">
        <f aca="false">IF(CR$35&gt;=$AC$94,CR$35-$AC$94+1,0)</f>
        <v>43</v>
      </c>
      <c r="CS96" s="63" t="n">
        <f aca="false">IF(CS$35&gt;=$AC$94,CS$35-$AC$94+1,0)</f>
        <v>44</v>
      </c>
      <c r="CT96" s="63" t="n">
        <f aca="false">IF(CT$35&gt;=$AC$94,CT$35-$AC$94+1,0)</f>
        <v>45</v>
      </c>
      <c r="CU96" s="63" t="n">
        <f aca="false">IF(CU$35&gt;=$AC$94,CU$35-$AC$94+1,0)</f>
        <v>46</v>
      </c>
      <c r="CV96" s="63" t="n">
        <f aca="false">IF(CV$35&gt;=$AC$94,CV$35-$AC$94+1,0)</f>
        <v>47</v>
      </c>
      <c r="CW96" s="63" t="n">
        <f aca="false">IF(CW$35&gt;=$AC$94,CW$35-$AC$94+1,0)</f>
        <v>48</v>
      </c>
      <c r="CX96" s="63" t="n">
        <f aca="false">IF(CX$35&gt;=$AC$94,CX$35-$AC$94+1,0)</f>
        <v>49</v>
      </c>
      <c r="CY96" s="63" t="n">
        <f aca="false">IF(CY$35&gt;=$AC$94,CY$35-$AC$94+1,0)</f>
        <v>50</v>
      </c>
      <c r="CZ96" s="63" t="n">
        <f aca="false">IF(CZ$35&gt;=$AC$94,CZ$35-$AC$94+1,0)</f>
        <v>51</v>
      </c>
      <c r="DA96" s="63" t="n">
        <f aca="false">IF(DA$35&gt;=$AC$94,DA$35-$AC$94+1,0)</f>
        <v>52</v>
      </c>
      <c r="DB96" s="63" t="n">
        <f aca="false">IF(DB$35&gt;=$AC$94,DB$35-$AC$94+1,0)</f>
        <v>53</v>
      </c>
      <c r="DC96" s="63" t="n">
        <f aca="false">IF(DC$35&gt;=$AC$94,DC$35-$AC$94+1,0)</f>
        <v>54</v>
      </c>
      <c r="DD96" s="63" t="n">
        <f aca="false">IF(DD$35&gt;=$AC$94,DD$35-$AC$94+1,0)</f>
        <v>55</v>
      </c>
      <c r="DE96" s="63" t="n">
        <f aca="false">IF(DE$35&gt;=$AC$94,DE$35-$AC$94+1,0)</f>
        <v>56</v>
      </c>
      <c r="DF96" s="63" t="n">
        <f aca="false">IF(DF$35&gt;=$AC$94,DF$35-$AC$94+1,0)</f>
        <v>57</v>
      </c>
      <c r="DG96" s="63" t="n">
        <f aca="false">IF(DG$35&gt;=$AC$94,DG$35-$AC$94+1,0)</f>
        <v>58</v>
      </c>
      <c r="DH96" s="63" t="n">
        <f aca="false">IF(DH$35&gt;=$AC$94,DH$35-$AC$94+1,0)</f>
        <v>59</v>
      </c>
      <c r="DI96" s="63" t="n">
        <f aca="false">IF(DI$35&gt;=$AC$94,DI$35-$AC$94+1,0)</f>
        <v>60</v>
      </c>
      <c r="DJ96" s="63" t="n">
        <f aca="false">IF(DJ$35&gt;=$AC$94,DJ$35-$AC$94+1,0)</f>
        <v>61</v>
      </c>
      <c r="DK96" s="63" t="n">
        <f aca="false">IF(DK$35&gt;=$AC$94,DK$35-$AC$94+1,0)</f>
        <v>62</v>
      </c>
      <c r="DL96" s="63" t="n">
        <f aca="false">IF(DL$35&gt;=$AC$94,DL$35-$AC$94+1,0)</f>
        <v>63</v>
      </c>
      <c r="DM96" s="63" t="n">
        <f aca="false">IF(DM$35&gt;=$AC$94,DM$35-$AC$94+1,0)</f>
        <v>64</v>
      </c>
      <c r="DN96" s="63" t="n">
        <f aca="false">IF(DN$35&gt;=$AC$94,DN$35-$AC$94+1,0)</f>
        <v>65</v>
      </c>
      <c r="DO96" s="63" t="n">
        <f aca="false">IF(DO$35&gt;=$AC$94,DO$35-$AC$94+1,0)</f>
        <v>66</v>
      </c>
      <c r="DP96" s="63" t="n">
        <f aca="false">IF(DP$35&gt;=$AC$94,DP$35-$AC$94+1,0)</f>
        <v>67</v>
      </c>
      <c r="DQ96" s="63" t="n">
        <f aca="false">IF(DQ$35&gt;=$AC$94,DQ$35-$AC$94+1,0)</f>
        <v>68</v>
      </c>
      <c r="DR96" s="63" t="n">
        <f aca="false">IF(DR$35&gt;=$AC$94,DR$35-$AC$94+1,0)</f>
        <v>69</v>
      </c>
      <c r="DS96" s="63" t="n">
        <f aca="false">IF(DS$35&gt;=$AC$94,DS$35-$AC$94+1,0)</f>
        <v>70</v>
      </c>
      <c r="DT96" s="63" t="n">
        <f aca="false">IF(DT$35&gt;=$AC$94,DT$35-$AC$94+1,0)</f>
        <v>71</v>
      </c>
      <c r="DU96" s="63" t="n">
        <f aca="false">IF(DU$35&gt;=$AC$94,DU$35-$AC$94+1,0)</f>
        <v>72</v>
      </c>
      <c r="DV96" s="63" t="n">
        <f aca="false">IF(DV$35&gt;=$AC$94,DV$35-$AC$94+1,0)</f>
        <v>73</v>
      </c>
      <c r="DW96" s="63" t="n">
        <f aca="false">IF(DW$35&gt;=$AC$94,DW$35-$AC$94+1,0)</f>
        <v>74</v>
      </c>
      <c r="DX96" s="63" t="n">
        <f aca="false">IF(DX$35&gt;=$AC$94,DX$35-$AC$94+1,0)</f>
        <v>75</v>
      </c>
      <c r="DY96" s="63" t="n">
        <f aca="false">IF(DY$35&gt;=$AC$94,DY$35-$AC$94+1,0)</f>
        <v>76</v>
      </c>
      <c r="DZ96" s="63" t="n">
        <f aca="false">IF(DZ$35&gt;=$AC$94,DZ$35-$AC$94+1,0)</f>
        <v>77</v>
      </c>
      <c r="EA96" s="63" t="n">
        <f aca="false">IF(EA$35&gt;=$AC$94,EA$35-$AC$94+1,0)</f>
        <v>78</v>
      </c>
      <c r="EB96" s="63" t="n">
        <f aca="false">IF(EB$35&gt;=$AC$94,EB$35-$AC$94+1,0)</f>
        <v>79</v>
      </c>
      <c r="EC96" s="63" t="n">
        <f aca="false">IF(EC$35&gt;=$AC$94,EC$35-$AC$94+1,0)</f>
        <v>80</v>
      </c>
      <c r="ED96" s="63" t="n">
        <f aca="false">IF(ED$35&gt;=$AC$94,ED$35-$AC$94+1,0)</f>
        <v>81</v>
      </c>
      <c r="EE96" s="63" t="n">
        <f aca="false">IF(EE$35&gt;=$AC$94,EE$35-$AC$94+1,0)</f>
        <v>82</v>
      </c>
      <c r="EF96" s="63" t="n">
        <f aca="false">IF(EF$35&gt;=$AC$94,EF$35-$AC$94+1,0)</f>
        <v>83</v>
      </c>
      <c r="EG96" s="63" t="n">
        <f aca="false">IF(EG$35&gt;=$AC$94,EG$35-$AC$94+1,0)</f>
        <v>84</v>
      </c>
      <c r="EH96" s="63" t="n">
        <f aca="false">IF(EH$35&gt;=$AC$94,EH$35-$AC$94+1,0)</f>
        <v>85</v>
      </c>
      <c r="EI96" s="63" t="n">
        <f aca="false">IF(EI$35&gt;=$AC$94,EI$35-$AC$94+1,0)</f>
        <v>86</v>
      </c>
      <c r="EJ96" s="63" t="n">
        <f aca="false">IF(EJ$35&gt;=$AC$94,EJ$35-$AC$94+1,0)</f>
        <v>87</v>
      </c>
      <c r="EK96" s="63" t="n">
        <f aca="false">IF(EK$35&gt;=$AC$94,EK$35-$AC$94+1,0)</f>
        <v>88</v>
      </c>
      <c r="EL96" s="63" t="n">
        <f aca="false">IF(EL$35&gt;=$AC$94,EL$35-$AC$94+1,0)</f>
        <v>89</v>
      </c>
      <c r="EM96" s="63" t="n">
        <f aca="false">IF(EM$35&gt;=$AC$94,EM$35-$AC$94+1,0)</f>
        <v>90</v>
      </c>
      <c r="EN96" s="63" t="n">
        <f aca="false">IF(EN$35&gt;=$AC$94,EN$35-$AC$94+1,0)</f>
        <v>91</v>
      </c>
      <c r="EO96" s="63" t="n">
        <f aca="false">IF(EO$35&gt;=$AC$94,EO$35-$AC$94+1,0)</f>
        <v>92</v>
      </c>
      <c r="EP96" s="63" t="n">
        <f aca="false">IF(EP$35&gt;=$AC$94,EP$35-$AC$94+1,0)</f>
        <v>93</v>
      </c>
      <c r="EQ96" s="63" t="n">
        <f aca="false">IF(EQ$35&gt;=$AC$94,EQ$35-$AC$94+1,0)</f>
        <v>94</v>
      </c>
      <c r="ER96" s="63" t="n">
        <f aca="false">IF(ER$35&gt;=$AC$94,ER$35-$AC$94+1,0)</f>
        <v>95</v>
      </c>
      <c r="ES96" s="9" t="n">
        <f aca="false">IF(ES$35&gt;=$AC$94,ES$35-$AC$94+1,0)</f>
        <v>96</v>
      </c>
      <c r="ET96" s="9" t="n">
        <f aca="false">IF(ET$35&gt;=$AC$94,ET$35-$AC$94+1,0)</f>
        <v>97</v>
      </c>
      <c r="EU96" s="9" t="n">
        <f aca="false">IF(EU$35&gt;=$AC$94,EU$35-$AC$94+1,0)</f>
        <v>98</v>
      </c>
      <c r="EV96" s="9" t="n">
        <f aca="false">IF(EV$35&gt;=$AC$94,EV$35-$AC$94+1,0)</f>
        <v>99</v>
      </c>
      <c r="EW96" s="9" t="n">
        <f aca="false">IF(EW$35&gt;=$AC$94,EW$35-$AC$94+1,0)</f>
        <v>100</v>
      </c>
      <c r="EX96" s="9" t="n">
        <f aca="false">IF(EX$35&gt;=$AC$94,EX$35-$AC$94+1,0)</f>
        <v>101</v>
      </c>
      <c r="EY96" s="9" t="n">
        <f aca="false">IF(EY$35&gt;=$AC$94,EY$35-$AC$94+1,0)</f>
        <v>102</v>
      </c>
      <c r="EZ96" s="9" t="n">
        <f aca="false">IF(EZ$35&gt;=$AC$94,EZ$35-$AC$94+1,0)</f>
        <v>103</v>
      </c>
      <c r="FA96" s="9" t="n">
        <f aca="false">IF(FA$35&gt;=$AC$94,FA$35-$AC$94+1,0)</f>
        <v>104</v>
      </c>
      <c r="FB96" s="9" t="n">
        <f aca="false">IF(FB$35&gt;=$AC$94,FB$35-$AC$94+1,0)</f>
        <v>105</v>
      </c>
      <c r="FC96" s="9" t="n">
        <f aca="false">IF(FC$35&gt;=$AC$94,FC$35-$AC$94+1,0)</f>
        <v>106</v>
      </c>
      <c r="FD96" s="9" t="n">
        <f aca="false">IF(FD$35&gt;=$AC$94,FD$35-$AC$94+1,0)</f>
        <v>107</v>
      </c>
      <c r="FE96" s="9" t="n">
        <f aca="false">IF(FE$35&gt;=$AC$94,FE$35-$AC$94+1,0)</f>
        <v>108</v>
      </c>
      <c r="FF96" s="9" t="n">
        <f aca="false">IF(FF$35&gt;=$AC$94,FF$35-$AC$94+1,0)</f>
        <v>109</v>
      </c>
      <c r="FG96" s="9" t="n">
        <f aca="false">IF(FG$35&gt;=$AC$94,FG$35-$AC$94+1,0)</f>
        <v>110</v>
      </c>
      <c r="FH96" s="9" t="n">
        <f aca="false">IF(FH$35&gt;=$AC$94,FH$35-$AC$94+1,0)</f>
        <v>111</v>
      </c>
      <c r="FI96" s="9" t="n">
        <f aca="false">IF(FI$35&gt;=$AC$94,FI$35-$AC$94+1,0)</f>
        <v>112</v>
      </c>
      <c r="FJ96" s="9" t="n">
        <f aca="false">IF(FJ$35&gt;=$AC$94,FJ$35-$AC$94+1,0)</f>
        <v>113</v>
      </c>
      <c r="FK96" s="9" t="n">
        <f aca="false">IF(FK$35&gt;=$AC$94,FK$35-$AC$94+1,0)</f>
        <v>114</v>
      </c>
      <c r="FL96" s="9" t="n">
        <f aca="false">IF(FL$35&gt;=$AC$94,FL$35-$AC$94+1,0)</f>
        <v>115</v>
      </c>
      <c r="FM96" s="9" t="n">
        <f aca="false">IF(FM$35&gt;=$AC$94,FM$35-$AC$94+1,0)</f>
        <v>116</v>
      </c>
      <c r="FN96" s="9" t="n">
        <f aca="false">IF(FN$35&gt;=$AC$94,FN$35-$AC$94+1,0)</f>
        <v>117</v>
      </c>
      <c r="FO96" s="9" t="n">
        <f aca="false">IF(FO$35&gt;=$AC$94,FO$35-$AC$94+1,0)</f>
        <v>118</v>
      </c>
      <c r="FP96" s="9" t="n">
        <f aca="false">IF(FP$35&gt;=$AC$94,FP$35-$AC$94+1,0)</f>
        <v>119</v>
      </c>
    </row>
    <row r="97" customFormat="false" ht="15" hidden="false" customHeight="false" outlineLevel="2" collapsed="false">
      <c r="B97" s="9" t="s">
        <v>874</v>
      </c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236" t="n">
        <f aca="false" t="array" ref="AC97:AC97">IF(AC96=0,0,IF(AC96/'🎚️ Escenario'!$C$11&gt;=36,$AL$23,INDEX($C$23:$AL$23,MAX(1,ROUNDUP(AC96/'🎚️ Escenario'!$C$11,0)))))</f>
        <v>0</v>
      </c>
      <c r="AD97" s="236" t="n">
        <f aca="false" t="array" ref="AD97:AD97">IF(AD96=0,0,IF(AD96/'🎚️ Escenario'!$C$11&gt;=36,$AL$23,INDEX($C$23:$AL$23,MAX(1,ROUNDUP(AD96/'🎚️ Escenario'!$C$11,0)))))</f>
        <v>0</v>
      </c>
      <c r="AE97" s="236" t="n">
        <f aca="false" t="array" ref="AE97:AE97">IF(AE96=0,0,IF(AE96/'🎚️ Escenario'!$C$11&gt;=36,$AL$23,INDEX($C$23:$AL$23,MAX(1,ROUNDUP(AE96/'🎚️ Escenario'!$C$11,0)))))</f>
        <v>0</v>
      </c>
      <c r="AF97" s="236" t="n">
        <f aca="false" t="array" ref="AF97:AF97">IF(AF96=0,0,IF(AF96/'🎚️ Escenario'!$C$11&gt;=36,$AL$23,INDEX($C$23:$AL$23,MAX(1,ROUNDUP(AF96/'🎚️ Escenario'!$C$11,0)))))</f>
        <v>0</v>
      </c>
      <c r="AG97" s="236" t="n">
        <f aca="false" t="array" ref="AG97:AG97">IF(AG96=0,0,IF(AG96/'🎚️ Escenario'!$C$11&gt;=36,$AL$23,INDEX($C$23:$AL$23,MAX(1,ROUNDUP(AG96/'🎚️ Escenario'!$C$11,0)))))</f>
        <v>0</v>
      </c>
      <c r="AH97" s="236" t="n">
        <f aca="false" t="array" ref="AH97:AH97">IF(AH96=0,0,IF(AH96/'🎚️ Escenario'!$C$11&gt;=36,$AL$23,INDEX($C$23:$AL$23,MAX(1,ROUNDUP(AH96/'🎚️ Escenario'!$C$11,0)))))</f>
        <v>0</v>
      </c>
      <c r="AI97" s="236" t="n">
        <f aca="false" t="array" ref="AI97:AI97">IF(AI96=0,0,IF(AI96/'🎚️ Escenario'!$C$11&gt;=36,$AL$23,INDEX($C$23:$AL$23,MAX(1,ROUNDUP(AI96/'🎚️ Escenario'!$C$11,0)))))</f>
        <v>0</v>
      </c>
      <c r="AJ97" s="236" t="n">
        <f aca="false" t="array" ref="AJ97:AJ97">IF(AJ96=0,0,IF(AJ96/'🎚️ Escenario'!$C$11&gt;=36,$AL$23,INDEX($C$23:$AL$23,MAX(1,ROUNDUP(AJ96/'🎚️ Escenario'!$C$11,0)))))</f>
        <v>0</v>
      </c>
      <c r="AK97" s="236" t="n">
        <f aca="false" t="array" ref="AK97:AK97">IF(AK96=0,0,IF(AK96/'🎚️ Escenario'!$C$11&gt;=36,$AL$23,INDEX($C$23:$AL$23,MAX(1,ROUNDUP(AK96/'🎚️ Escenario'!$C$11,0)))))</f>
        <v>0</v>
      </c>
      <c r="AL97" s="236" t="n">
        <f aca="false" t="array" ref="AL97:AL97">IF(AL96=0,0,IF(AL96/'🎚️ Escenario'!$C$11&gt;=36,$AL$23,INDEX($C$23:$AL$23,MAX(1,ROUNDUP(AL96/'🎚️ Escenario'!$C$11,0)))))</f>
        <v>0</v>
      </c>
      <c r="AM97" s="236" t="n">
        <f aca="false" t="array" ref="AM97:AM97">IF(AM96=0,0,IF(AM96/'🎚️ Escenario'!$C$11&gt;=36,$AL$23,INDEX($C$23:$AL$23,MAX(1,ROUNDUP(AM96/'🎚️ Escenario'!$C$11,0)))))</f>
        <v>0</v>
      </c>
      <c r="AN97" s="236" t="n">
        <f aca="false" t="array" ref="AN97:AN97">IF(AN96=0,0,IF(AN96/'🎚️ Escenario'!$C$11&gt;=36,$AL$23,INDEX($C$23:$AL$23,MAX(1,ROUNDUP(AN96/'🎚️ Escenario'!$C$11,0)))))</f>
        <v>0</v>
      </c>
      <c r="AO97" s="236" t="n">
        <f aca="false" t="array" ref="AO97:AO97">IF(AO96=0,0,IF(AO96/'🎚️ Escenario'!$C$11&gt;=36,$AL$23,INDEX($C$23:$AL$23,MAX(1,ROUNDUP(AO96/'🎚️ Escenario'!$C$11,0)))))</f>
        <v>0</v>
      </c>
      <c r="AP97" s="236" t="n">
        <f aca="false" t="array" ref="AP97:AP97">IF(AP96=0,0,IF(AP96/'🎚️ Escenario'!$C$11&gt;=36,$AL$23,INDEX($C$23:$AL$23,MAX(1,ROUNDUP(AP96/'🎚️ Escenario'!$C$11,0)))))</f>
        <v>0</v>
      </c>
      <c r="AQ97" s="236" t="n">
        <f aca="false" t="array" ref="AQ97:AQ97">IF(AQ96=0,0,IF(AQ96/'🎚️ Escenario'!$C$11&gt;=36,$AL$23,INDEX($C$23:$AL$23,MAX(1,ROUNDUP(AQ96/'🎚️ Escenario'!$C$11,0)))))</f>
        <v>0</v>
      </c>
      <c r="AR97" s="236" t="n">
        <f aca="false" t="array" ref="AR97:AR97">IF(AR96=0,0,IF(AR96/'🎚️ Escenario'!$C$11&gt;=36,$AL$23,INDEX($C$23:$AL$23,MAX(1,ROUNDUP(AR96/'🎚️ Escenario'!$C$11,0)))))</f>
        <v>0</v>
      </c>
      <c r="AS97" s="236" t="n">
        <f aca="false" t="array" ref="AS97:AS97">IF(AS96=0,0,IF(AS96/'🎚️ Escenario'!$C$11&gt;=36,$AL$23,INDEX($C$23:$AL$23,MAX(1,ROUNDUP(AS96/'🎚️ Escenario'!$C$11,0)))))</f>
        <v>0</v>
      </c>
      <c r="AT97" s="236" t="n">
        <f aca="false" t="array" ref="AT97:AT97">IF(AT96=0,0,IF(AT96/'🎚️ Escenario'!$C$11&gt;=36,$AL$23,INDEX($C$23:$AL$23,MAX(1,ROUNDUP(AT96/'🎚️ Escenario'!$C$11,0)))))</f>
        <v>0</v>
      </c>
      <c r="AU97" s="236" t="n">
        <f aca="false" t="array" ref="AU97:AU97">IF(AU96=0,0,IF(AU96/'🎚️ Escenario'!$C$11&gt;=36,$AL$23,INDEX($C$23:$AL$23,MAX(1,ROUNDUP(AU96/'🎚️ Escenario'!$C$11,0)))))</f>
        <v>0</v>
      </c>
      <c r="AV97" s="236" t="n">
        <f aca="false" t="array" ref="AV97:AV97">IF(AV96=0,0,IF(AV96/'🎚️ Escenario'!$C$11&gt;=36,$AL$23,INDEX($C$23:$AL$23,MAX(1,ROUNDUP(AV96/'🎚️ Escenario'!$C$11,0)))))</f>
        <v>0</v>
      </c>
      <c r="AW97" s="236" t="n">
        <f aca="false" t="array" ref="AW97:AW97">IF(AW96=0,0,IF(AW96/'🎚️ Escenario'!$C$11&gt;=36,$AL$23,INDEX($C$23:$AL$23,MAX(1,ROUNDUP(AW96/'🎚️ Escenario'!$C$11,0)))))</f>
        <v>0</v>
      </c>
      <c r="AX97" s="236" t="n">
        <f aca="false" t="array" ref="AX97:AX97">IF(AX96=0,0,IF(AX96/'🎚️ Escenario'!$C$11&gt;=36,$AL$23,INDEX($C$23:$AL$23,MAX(1,ROUNDUP(AX96/'🎚️ Escenario'!$C$11,0)))))</f>
        <v>0</v>
      </c>
      <c r="AY97" s="236" t="n">
        <f aca="false" t="array" ref="AY97:AY97">IF(AY96=0,0,IF(AY96/'🎚️ Escenario'!$C$11&gt;=36,$AL$23,INDEX($C$23:$AL$23,MAX(1,ROUNDUP(AY96/'🎚️ Escenario'!$C$11,0)))))</f>
        <v>0</v>
      </c>
      <c r="AZ97" s="236" t="n">
        <f aca="false" t="array" ref="AZ97:AZ97">IF(AZ96=0,0,IF(AZ96/'🎚️ Escenario'!$C$11&gt;=36,$AL$23,INDEX($C$23:$AL$23,MAX(1,ROUNDUP(AZ96/'🎚️ Escenario'!$C$11,0)))))</f>
        <v>0</v>
      </c>
      <c r="BA97" s="236" t="n">
        <f aca="false" t="array" ref="BA97:BA97">IF(BA96=0,0,IF(BA96/'🎚️ Escenario'!$C$11&gt;=36,$AL$23,INDEX($C$23:$AL$23,MAX(1,ROUNDUP(BA96/'🎚️ Escenario'!$C$11,0)))))</f>
        <v>0</v>
      </c>
      <c r="BB97" s="236" t="n">
        <f aca="false" t="array" ref="BB97:BB97">IF(BB96=0,0,IF(BB96/'🎚️ Escenario'!$C$11&gt;=36,$AL$23,INDEX($C$23:$AL$23,MAX(1,ROUNDUP(BB96/'🎚️ Escenario'!$C$11,0)))))</f>
        <v>0.2</v>
      </c>
      <c r="BC97" s="236" t="n">
        <f aca="false" t="array" ref="BC97:BC97">IF(BC96=0,0,IF(BC96/'🎚️ Escenario'!$C$11&gt;=36,$AL$23,INDEX($C$23:$AL$23,MAX(1,ROUNDUP(BC96/'🎚️ Escenario'!$C$11,0)))))</f>
        <v>0.22</v>
      </c>
      <c r="BD97" s="236" t="n">
        <f aca="false" t="array" ref="BD97:BD97">IF(BD96=0,0,IF(BD96/'🎚️ Escenario'!$C$11&gt;=36,$AL$23,INDEX($C$23:$AL$23,MAX(1,ROUNDUP(BD96/'🎚️ Escenario'!$C$11,0)))))</f>
        <v>0.24</v>
      </c>
      <c r="BE97" s="236" t="n">
        <f aca="false" t="array" ref="BE97:BE97">IF(BE96=0,0,IF(BE96/'🎚️ Escenario'!$C$11&gt;=36,$AL$23,INDEX($C$23:$AL$23,MAX(1,ROUNDUP(BE96/'🎚️ Escenario'!$C$11,0)))))</f>
        <v>0.27</v>
      </c>
      <c r="BF97" s="236" t="n">
        <f aca="false" t="array" ref="BF97:BF97">IF(BF96=0,0,IF(BF96/'🎚️ Escenario'!$C$11&gt;=36,$AL$23,INDEX($C$23:$AL$23,MAX(1,ROUNDUP(BF96/'🎚️ Escenario'!$C$11,0)))))</f>
        <v>0.27</v>
      </c>
      <c r="BG97" s="236" t="n">
        <f aca="false" t="array" ref="BG97:BG97">IF(BG96=0,0,IF(BG96/'🎚️ Escenario'!$C$11&gt;=36,$AL$23,INDEX($C$23:$AL$23,MAX(1,ROUNDUP(BG96/'🎚️ Escenario'!$C$11,0)))))</f>
        <v>0.31</v>
      </c>
      <c r="BH97" s="236" t="n">
        <f aca="false" t="array" ref="BH97:BH97">IF(BH96=0,0,IF(BH96/'🎚️ Escenario'!$C$11&gt;=36,$AL$23,INDEX($C$23:$AL$23,MAX(1,ROUNDUP(BH96/'🎚️ Escenario'!$C$11,0)))))</f>
        <v>0.35</v>
      </c>
      <c r="BI97" s="236" t="n">
        <f aca="false" t="array" ref="BI97:BI97">IF(BI96=0,0,IF(BI96/'🎚️ Escenario'!$C$11&gt;=36,$AL$23,INDEX($C$23:$AL$23,MAX(1,ROUNDUP(BI96/'🎚️ Escenario'!$C$11,0)))))</f>
        <v>0.39</v>
      </c>
      <c r="BJ97" s="236" t="n">
        <f aca="false" t="array" ref="BJ97:BJ97">IF(BJ96=0,0,IF(BJ96/'🎚️ Escenario'!$C$11&gt;=36,$AL$23,INDEX($C$23:$AL$23,MAX(1,ROUNDUP(BJ96/'🎚️ Escenario'!$C$11,0)))))</f>
        <v>0.44</v>
      </c>
      <c r="BK97" s="236" t="n">
        <f aca="false" t="array" ref="BK97:BK97">IF(BK96=0,0,IF(BK96/'🎚️ Escenario'!$C$11&gt;=36,$AL$23,INDEX($C$23:$AL$23,MAX(1,ROUNDUP(BK96/'🎚️ Escenario'!$C$11,0)))))</f>
        <v>0.44</v>
      </c>
      <c r="BL97" s="236" t="n">
        <f aca="false" t="array" ref="BL97:BL97">IF(BL96=0,0,IF(BL96/'🎚️ Escenario'!$C$11&gt;=36,$AL$23,INDEX($C$23:$AL$23,MAX(1,ROUNDUP(BL96/'🎚️ Escenario'!$C$11,0)))))</f>
        <v>0.48</v>
      </c>
      <c r="BM97" s="236" t="n">
        <f aca="false" t="array" ref="BM97:BM97">IF(BM96=0,0,IF(BM96/'🎚️ Escenario'!$C$11&gt;=36,$AL$23,INDEX($C$23:$AL$23,MAX(1,ROUNDUP(BM96/'🎚️ Escenario'!$C$11,0)))))</f>
        <v>0.52</v>
      </c>
      <c r="BN97" s="236" t="n">
        <f aca="false" t="array" ref="BN97:BN97">IF(BN96=0,0,IF(BN96/'🎚️ Escenario'!$C$11&gt;=36,$AL$23,INDEX($C$23:$AL$23,MAX(1,ROUNDUP(BN96/'🎚️ Escenario'!$C$11,0)))))</f>
        <v>0.56</v>
      </c>
      <c r="BO97" s="236" t="n">
        <f aca="false" t="array" ref="BO97:BO97">IF(BO96=0,0,IF(BO96/'🎚️ Escenario'!$C$11&gt;=36,$AL$23,INDEX($C$23:$AL$23,MAX(1,ROUNDUP(BO96/'🎚️ Escenario'!$C$11,0)))))</f>
        <v>0.6</v>
      </c>
      <c r="BP97" s="236" t="n">
        <f aca="false" t="array" ref="BP97:BP97">IF(BP96=0,0,IF(BP96/'🎚️ Escenario'!$C$11&gt;=36,$AL$23,INDEX($C$23:$AL$23,MAX(1,ROUNDUP(BP96/'🎚️ Escenario'!$C$11,0)))))</f>
        <v>0.6</v>
      </c>
      <c r="BQ97" s="236" t="n">
        <f aca="false" t="array" ref="BQ97:BQ97">IF(BQ96=0,0,IF(BQ96/'🎚️ Escenario'!$C$11&gt;=36,$AL$23,INDEX($C$23:$AL$23,MAX(1,ROUNDUP(BQ96/'🎚️ Escenario'!$C$11,0)))))</f>
        <v>0.63</v>
      </c>
      <c r="BR97" s="236" t="n">
        <f aca="false" t="array" ref="BR97:BR97">IF(BR96=0,0,IF(BR96/'🎚️ Escenario'!$C$11&gt;=36,$AL$23,INDEX($C$23:$AL$23,MAX(1,ROUNDUP(BR96/'🎚️ Escenario'!$C$11,0)))))</f>
        <v>0.66</v>
      </c>
      <c r="BS97" s="236" t="n">
        <f aca="false" t="array" ref="BS97:BS97">IF(BS96=0,0,IF(BS96/'🎚️ Escenario'!$C$11&gt;=36,$AL$23,INDEX($C$23:$AL$23,MAX(1,ROUNDUP(BS96/'🎚️ Escenario'!$C$11,0)))))</f>
        <v>0.69</v>
      </c>
      <c r="BT97" s="236" t="n">
        <f aca="false" t="array" ref="BT97:BT97">IF(BT96=0,0,IF(BT96/'🎚️ Escenario'!$C$11&gt;=36,$AL$23,INDEX($C$23:$AL$23,MAX(1,ROUNDUP(BT96/'🎚️ Escenario'!$C$11,0)))))</f>
        <v>0.71</v>
      </c>
      <c r="BU97" s="236" t="n">
        <f aca="false" t="array" ref="BU97:BU97">IF(BU96=0,0,IF(BU96/'🎚️ Escenario'!$C$11&gt;=36,$AL$23,INDEX($C$23:$AL$23,MAX(1,ROUNDUP(BU96/'🎚️ Escenario'!$C$11,0)))))</f>
        <v>0.71</v>
      </c>
      <c r="BV97" s="236" t="n">
        <f aca="false" t="array" ref="BV97:BV97">IF(BV96=0,0,IF(BV96/'🎚️ Escenario'!$C$11&gt;=36,$AL$23,INDEX($C$23:$AL$23,MAX(1,ROUNDUP(BV96/'🎚️ Escenario'!$C$11,0)))))</f>
        <v>0.73</v>
      </c>
      <c r="BW97" s="236" t="n">
        <f aca="false" t="array" ref="BW97:BW97">IF(BW96=0,0,IF(BW96/'🎚️ Escenario'!$C$11&gt;=36,$AL$23,INDEX($C$23:$AL$23,MAX(1,ROUNDUP(BW96/'🎚️ Escenario'!$C$11,0)))))</f>
        <v>0.75</v>
      </c>
      <c r="BX97" s="236" t="n">
        <f aca="false" t="array" ref="BX97:BX97">IF(BX96=0,0,IF(BX96/'🎚️ Escenario'!$C$11&gt;=36,$AL$23,INDEX($C$23:$AL$23,MAX(1,ROUNDUP(BX96/'🎚️ Escenario'!$C$11,0)))))</f>
        <v>0.77</v>
      </c>
      <c r="BY97" s="236" t="n">
        <f aca="false" t="array" ref="BY97:BY97">IF(BY96=0,0,IF(BY96/'🎚️ Escenario'!$C$11&gt;=36,$AL$23,INDEX($C$23:$AL$23,MAX(1,ROUNDUP(BY96/'🎚️ Escenario'!$C$11,0)))))</f>
        <v>0.79</v>
      </c>
      <c r="BZ97" s="236" t="n">
        <f aca="false" t="array" ref="BZ97:BZ97">IF(BZ96=0,0,IF(BZ96/'🎚️ Escenario'!$C$11&gt;=36,$AL$23,INDEX($C$23:$AL$23,MAX(1,ROUNDUP(BZ96/'🎚️ Escenario'!$C$11,0)))))</f>
        <v>0.79</v>
      </c>
      <c r="CA97" s="236" t="n">
        <f aca="false" t="array" ref="CA97:CA97">IF(CA96=0,0,IF(CA96/'🎚️ Escenario'!$C$11&gt;=36,$AL$23,INDEX($C$23:$AL$23,MAX(1,ROUNDUP(CA96/'🎚️ Escenario'!$C$11,0)))))</f>
        <v>0.8</v>
      </c>
      <c r="CB97" s="236" t="n">
        <f aca="false" t="array" ref="CB97:CB97">IF(CB96=0,0,IF(CB96/'🎚️ Escenario'!$C$11&gt;=36,$AL$23,INDEX($C$23:$AL$23,MAX(1,ROUNDUP(CB96/'🎚️ Escenario'!$C$11,0)))))</f>
        <v>0.82</v>
      </c>
      <c r="CC97" s="236" t="n">
        <f aca="false" t="array" ref="CC97:CC97">IF(CC96=0,0,IF(CC96/'🎚️ Escenario'!$C$11&gt;=36,$AL$23,INDEX($C$23:$AL$23,MAX(1,ROUNDUP(CC96/'🎚️ Escenario'!$C$11,0)))))</f>
        <v>0.84</v>
      </c>
      <c r="CD97" s="236" t="n">
        <f aca="false" t="array" ref="CD97:CD97">IF(CD96=0,0,IF(CD96/'🎚️ Escenario'!$C$11&gt;=36,$AL$23,INDEX($C$23:$AL$23,MAX(1,ROUNDUP(CD96/'🎚️ Escenario'!$C$11,0)))))</f>
        <v>0.85</v>
      </c>
      <c r="CE97" s="236" t="n">
        <f aca="false" t="array" ref="CE97:CE97">IF(CE96=0,0,IF(CE96/'🎚️ Escenario'!$C$11&gt;=36,$AL$23,INDEX($C$23:$AL$23,MAX(1,ROUNDUP(CE96/'🎚️ Escenario'!$C$11,0)))))</f>
        <v>0.85</v>
      </c>
      <c r="CF97" s="236" t="n">
        <f aca="false" t="array" ref="CF97:CF97">IF(CF96=0,0,IF(CF96/'🎚️ Escenario'!$C$11&gt;=36,$AL$23,INDEX($C$23:$AL$23,MAX(1,ROUNDUP(CF96/'🎚️ Escenario'!$C$11,0)))))</f>
        <v>0.86</v>
      </c>
      <c r="CG97" s="236" t="n">
        <f aca="false" t="array" ref="CG97:CG97">IF(CG96=0,0,IF(CG96/'🎚️ Escenario'!$C$11&gt;=36,$AL$23,INDEX($C$23:$AL$23,MAX(1,ROUNDUP(CG96/'🎚️ Escenario'!$C$11,0)))))</f>
        <v>0.88</v>
      </c>
      <c r="CH97" s="236" t="n">
        <f aca="false" t="array" ref="CH97:CH97">IF(CH96=0,0,IF(CH96/'🎚️ Escenario'!$C$11&gt;=36,$AL$23,INDEX($C$23:$AL$23,MAX(1,ROUNDUP(CH96/'🎚️ Escenario'!$C$11,0)))))</f>
        <v>0.89</v>
      </c>
      <c r="CI97" s="236" t="n">
        <f aca="false" t="array" ref="CI97:CI97">IF(CI96=0,0,IF(CI96/'🎚️ Escenario'!$C$11&gt;=36,$AL$23,INDEX($C$23:$AL$23,MAX(1,ROUNDUP(CI96/'🎚️ Escenario'!$C$11,0)))))</f>
        <v>0.9</v>
      </c>
      <c r="CJ97" s="236" t="n">
        <f aca="false" t="array" ref="CJ97:CJ97">IF(CJ96=0,0,IF(CJ96/'🎚️ Escenario'!$C$11&gt;=36,$AL$23,INDEX($C$23:$AL$23,MAX(1,ROUNDUP(CJ96/'🎚️ Escenario'!$C$11,0)))))</f>
        <v>0.9</v>
      </c>
      <c r="CK97" s="236" t="n">
        <f aca="false" t="array" ref="CK97:CK97">IF(CK96=0,0,IF(CK96/'🎚️ Escenario'!$C$11&gt;=36,$AL$23,INDEX($C$23:$AL$23,MAX(1,ROUNDUP(CK96/'🎚️ Escenario'!$C$11,0)))))</f>
        <v>0.92</v>
      </c>
      <c r="CL97" s="236" t="n">
        <f aca="false" t="array" ref="CL97:CL97">IF(CL96=0,0,IF(CL96/'🎚️ Escenario'!$C$11&gt;=36,$AL$23,INDEX($C$23:$AL$23,MAX(1,ROUNDUP(CL96/'🎚️ Escenario'!$C$11,0)))))</f>
        <v>0.93</v>
      </c>
      <c r="CM97" s="236" t="n">
        <f aca="false" t="array" ref="CM97:CM97">IF(CM96=0,0,IF(CM96/'🎚️ Escenario'!$C$11&gt;=36,$AL$23,INDEX($C$23:$AL$23,MAX(1,ROUNDUP(CM96/'🎚️ Escenario'!$C$11,0)))))</f>
        <v>0.94</v>
      </c>
      <c r="CN97" s="236" t="n">
        <f aca="false" t="array" ref="CN97:CN97">IF(CN96=0,0,IF(CN96/'🎚️ Escenario'!$C$11&gt;=36,$AL$23,INDEX($C$23:$AL$23,MAX(1,ROUNDUP(CN96/'🎚️ Escenario'!$C$11,0)))))</f>
        <v>0.95</v>
      </c>
      <c r="CO97" s="236" t="n">
        <f aca="false" t="array" ref="CO97:CO97">IF(CO96=0,0,IF(CO96/'🎚️ Escenario'!$C$11&gt;=36,$AL$23,INDEX($C$23:$AL$23,MAX(1,ROUNDUP(CO96/'🎚️ Escenario'!$C$11,0)))))</f>
        <v>0.95</v>
      </c>
      <c r="CP97" s="236" t="n">
        <f aca="false" t="array" ref="CP97:CP97">IF(CP96=0,0,IF(CP96/'🎚️ Escenario'!$C$11&gt;=36,$AL$23,INDEX($C$23:$AL$23,MAX(1,ROUNDUP(CP96/'🎚️ Escenario'!$C$11,0)))))</f>
        <v>0.97</v>
      </c>
      <c r="CQ97" s="236" t="n">
        <f aca="false" t="array" ref="CQ97:CQ97">IF(CQ96=0,0,IF(CQ96/'🎚️ Escenario'!$C$11&gt;=36,$AL$23,INDEX($C$23:$AL$23,MAX(1,ROUNDUP(CQ96/'🎚️ Escenario'!$C$11,0)))))</f>
        <v>0.98</v>
      </c>
      <c r="CR97" s="236" t="n">
        <f aca="false" t="array" ref="CR97:CR97">IF(CR96=0,0,IF(CR96/'🎚️ Escenario'!$C$11&gt;=36,$AL$23,INDEX($C$23:$AL$23,MAX(1,ROUNDUP(CR96/'🎚️ Escenario'!$C$11,0)))))</f>
        <v>0.99</v>
      </c>
      <c r="CS97" s="236" t="n">
        <f aca="false" t="array" ref="CS97:CS97">IF(CS96=0,0,IF(CS96/'🎚️ Escenario'!$C$11&gt;=36,$AL$23,INDEX($C$23:$AL$23,MAX(1,ROUNDUP(CS96/'🎚️ Escenario'!$C$11,0)))))</f>
        <v>1</v>
      </c>
      <c r="CT97" s="236" t="n">
        <f aca="false" t="array" ref="CT97:CT97">IF(CT96=0,0,IF(CT96/'🎚️ Escenario'!$C$11&gt;=36,$AL$23,INDEX($C$23:$AL$23,MAX(1,ROUNDUP(CT96/'🎚️ Escenario'!$C$11,0)))))</f>
        <v>1</v>
      </c>
      <c r="CU97" s="236" t="n">
        <f aca="false" t="array" ref="CU97:CU97">IF(CU96=0,0,IF(CU96/'🎚️ Escenario'!$C$11&gt;=36,$AL$23,INDEX($C$23:$AL$23,MAX(1,ROUNDUP(CU96/'🎚️ Escenario'!$C$11,0)))))</f>
        <v>1</v>
      </c>
      <c r="CV97" s="236" t="n">
        <f aca="false" t="array" ref="CV97:CV97">IF(CV96=0,0,IF(CV96/'🎚️ Escenario'!$C$11&gt;=36,$AL$23,INDEX($C$23:$AL$23,MAX(1,ROUNDUP(CV96/'🎚️ Escenario'!$C$11,0)))))</f>
        <v>1</v>
      </c>
      <c r="CW97" s="236" t="n">
        <f aca="false" t="array" ref="CW97:CW97">IF(CW96=0,0,IF(CW96/'🎚️ Escenario'!$C$11&gt;=36,$AL$23,INDEX($C$23:$AL$23,MAX(1,ROUNDUP(CW96/'🎚️ Escenario'!$C$11,0)))))</f>
        <v>1</v>
      </c>
      <c r="CX97" s="236" t="n">
        <f aca="false" t="array" ref="CX97:CX97">IF(CX96=0,0,IF(CX96/'🎚️ Escenario'!$C$11&gt;=36,$AL$23,INDEX($C$23:$AL$23,MAX(1,ROUNDUP(CX96/'🎚️ Escenario'!$C$11,0)))))</f>
        <v>1</v>
      </c>
      <c r="CY97" s="236" t="n">
        <f aca="false" t="array" ref="CY97:CY97">IF(CY96=0,0,IF(CY96/'🎚️ Escenario'!$C$11&gt;=36,$AL$23,INDEX($C$23:$AL$23,MAX(1,ROUNDUP(CY96/'🎚️ Escenario'!$C$11,0)))))</f>
        <v>1</v>
      </c>
      <c r="CZ97" s="236" t="n">
        <f aca="false" t="array" ref="CZ97:CZ97">IF(CZ96=0,0,IF(CZ96/'🎚️ Escenario'!$C$11&gt;=36,$AL$23,INDEX($C$23:$AL$23,MAX(1,ROUNDUP(CZ96/'🎚️ Escenario'!$C$11,0)))))</f>
        <v>1</v>
      </c>
      <c r="DA97" s="236" t="n">
        <f aca="false" t="array" ref="DA97:DA97">IF(DA96=0,0,IF(DA96/'🎚️ Escenario'!$C$11&gt;=36,$AL$23,INDEX($C$23:$AL$23,MAX(1,ROUNDUP(DA96/'🎚️ Escenario'!$C$11,0)))))</f>
        <v>1</v>
      </c>
      <c r="DB97" s="236" t="n">
        <f aca="false" t="array" ref="DB97:DB97">IF(DB96=0,0,IF(DB96/'🎚️ Escenario'!$C$11&gt;=36,$AL$23,INDEX($C$23:$AL$23,MAX(1,ROUNDUP(DB96/'🎚️ Escenario'!$C$11,0)))))</f>
        <v>1</v>
      </c>
      <c r="DC97" s="236" t="n">
        <f aca="false" t="array" ref="DC97:DC97">IF(DC96=0,0,IF(DC96/'🎚️ Escenario'!$C$11&gt;=36,$AL$23,INDEX($C$23:$AL$23,MAX(1,ROUNDUP(DC96/'🎚️ Escenario'!$C$11,0)))))</f>
        <v>1</v>
      </c>
      <c r="DD97" s="236" t="n">
        <f aca="false" t="array" ref="DD97:DD97">IF(DD96=0,0,IF(DD96/'🎚️ Escenario'!$C$11&gt;=36,$AL$23,INDEX($C$23:$AL$23,MAX(1,ROUNDUP(DD96/'🎚️ Escenario'!$C$11,0)))))</f>
        <v>1</v>
      </c>
      <c r="DE97" s="236" t="n">
        <f aca="false" t="array" ref="DE97:DE97">IF(DE96=0,0,IF(DE96/'🎚️ Escenario'!$C$11&gt;=36,$AL$23,INDEX($C$23:$AL$23,MAX(1,ROUNDUP(DE96/'🎚️ Escenario'!$C$11,0)))))</f>
        <v>1</v>
      </c>
      <c r="DF97" s="236" t="n">
        <f aca="false" t="array" ref="DF97:DF97">IF(DF96=0,0,IF(DF96/'🎚️ Escenario'!$C$11&gt;=36,$AL$23,INDEX($C$23:$AL$23,MAX(1,ROUNDUP(DF96/'🎚️ Escenario'!$C$11,0)))))</f>
        <v>1</v>
      </c>
      <c r="DG97" s="236" t="n">
        <f aca="false" t="array" ref="DG97:DG97">IF(DG96=0,0,IF(DG96/'🎚️ Escenario'!$C$11&gt;=36,$AL$23,INDEX($C$23:$AL$23,MAX(1,ROUNDUP(DG96/'🎚️ Escenario'!$C$11,0)))))</f>
        <v>1</v>
      </c>
      <c r="DH97" s="236" t="n">
        <f aca="false" t="array" ref="DH97:DH97">IF(DH96=0,0,IF(DH96/'🎚️ Escenario'!$C$11&gt;=36,$AL$23,INDEX($C$23:$AL$23,MAX(1,ROUNDUP(DH96/'🎚️ Escenario'!$C$11,0)))))</f>
        <v>1</v>
      </c>
      <c r="DI97" s="236" t="n">
        <f aca="false" t="array" ref="DI97:DI97">IF(DI96=0,0,IF(DI96/'🎚️ Escenario'!$C$11&gt;=36,$AL$23,INDEX($C$23:$AL$23,MAX(1,ROUNDUP(DI96/'🎚️ Escenario'!$C$11,0)))))</f>
        <v>1</v>
      </c>
      <c r="DJ97" s="236" t="n">
        <f aca="false" t="array" ref="DJ97:DJ97">IF(DJ96=0,0,IF(DJ96/'🎚️ Escenario'!$C$11&gt;=36,$AL$23,INDEX($C$23:$AL$23,MAX(1,ROUNDUP(DJ96/'🎚️ Escenario'!$C$11,0)))))</f>
        <v>1</v>
      </c>
      <c r="DK97" s="236" t="n">
        <f aca="false" t="array" ref="DK97:DK97">IF(DK96=0,0,IF(DK96/'🎚️ Escenario'!$C$11&gt;=36,$AL$23,INDEX($C$23:$AL$23,MAX(1,ROUNDUP(DK96/'🎚️ Escenario'!$C$11,0)))))</f>
        <v>1</v>
      </c>
      <c r="DL97" s="236" t="n">
        <f aca="false" t="array" ref="DL97:DL97">IF(DL96=0,0,IF(DL96/'🎚️ Escenario'!$C$11&gt;=36,$AL$23,INDEX($C$23:$AL$23,MAX(1,ROUNDUP(DL96/'🎚️ Escenario'!$C$11,0)))))</f>
        <v>1</v>
      </c>
      <c r="DM97" s="236" t="n">
        <f aca="false" t="array" ref="DM97:DM97">IF(DM96=0,0,IF(DM96/'🎚️ Escenario'!$C$11&gt;=36,$AL$23,INDEX($C$23:$AL$23,MAX(1,ROUNDUP(DM96/'🎚️ Escenario'!$C$11,0)))))</f>
        <v>1</v>
      </c>
      <c r="DN97" s="236" t="n">
        <f aca="false" t="array" ref="DN97:DN97">IF(DN96=0,0,IF(DN96/'🎚️ Escenario'!$C$11&gt;=36,$AL$23,INDEX($C$23:$AL$23,MAX(1,ROUNDUP(DN96/'🎚️ Escenario'!$C$11,0)))))</f>
        <v>1</v>
      </c>
      <c r="DO97" s="236" t="n">
        <f aca="false" t="array" ref="DO97:DO97">IF(DO96=0,0,IF(DO96/'🎚️ Escenario'!$C$11&gt;=36,$AL$23,INDEX($C$23:$AL$23,MAX(1,ROUNDUP(DO96/'🎚️ Escenario'!$C$11,0)))))</f>
        <v>1</v>
      </c>
      <c r="DP97" s="236" t="n">
        <f aca="false" t="array" ref="DP97:DP97">IF(DP96=0,0,IF(DP96/'🎚️ Escenario'!$C$11&gt;=36,$AL$23,INDEX($C$23:$AL$23,MAX(1,ROUNDUP(DP96/'🎚️ Escenario'!$C$11,0)))))</f>
        <v>1</v>
      </c>
      <c r="DQ97" s="236" t="n">
        <f aca="false" t="array" ref="DQ97:DQ97">IF(DQ96=0,0,IF(DQ96/'🎚️ Escenario'!$C$11&gt;=36,$AL$23,INDEX($C$23:$AL$23,MAX(1,ROUNDUP(DQ96/'🎚️ Escenario'!$C$11,0)))))</f>
        <v>1</v>
      </c>
      <c r="DR97" s="236" t="n">
        <f aca="false" t="array" ref="DR97:DR97">IF(DR96=0,0,IF(DR96/'🎚️ Escenario'!$C$11&gt;=36,$AL$23,INDEX($C$23:$AL$23,MAX(1,ROUNDUP(DR96/'🎚️ Escenario'!$C$11,0)))))</f>
        <v>1</v>
      </c>
      <c r="DS97" s="236" t="n">
        <f aca="false" t="array" ref="DS97:DS97">IF(DS96=0,0,IF(DS96/'🎚️ Escenario'!$C$11&gt;=36,$AL$23,INDEX($C$23:$AL$23,MAX(1,ROUNDUP(DS96/'🎚️ Escenario'!$C$11,0)))))</f>
        <v>1</v>
      </c>
      <c r="DT97" s="236" t="n">
        <f aca="false" t="array" ref="DT97:DT97">IF(DT96=0,0,IF(DT96/'🎚️ Escenario'!$C$11&gt;=36,$AL$23,INDEX($C$23:$AL$23,MAX(1,ROUNDUP(DT96/'🎚️ Escenario'!$C$11,0)))))</f>
        <v>1</v>
      </c>
      <c r="DU97" s="236" t="n">
        <f aca="false" t="array" ref="DU97:DU97">IF(DU96=0,0,IF(DU96/'🎚️ Escenario'!$C$11&gt;=36,$AL$23,INDEX($C$23:$AL$23,MAX(1,ROUNDUP(DU96/'🎚️ Escenario'!$C$11,0)))))</f>
        <v>1</v>
      </c>
      <c r="DV97" s="236" t="n">
        <f aca="false" t="array" ref="DV97:DV97">IF(DV96=0,0,IF(DV96/'🎚️ Escenario'!$C$11&gt;=36,$AL$23,INDEX($C$23:$AL$23,MAX(1,ROUNDUP(DV96/'🎚️ Escenario'!$C$11,0)))))</f>
        <v>1</v>
      </c>
      <c r="DW97" s="236" t="n">
        <f aca="false" t="array" ref="DW97:DW97">IF(DW96=0,0,IF(DW96/'🎚️ Escenario'!$C$11&gt;=36,$AL$23,INDEX($C$23:$AL$23,MAX(1,ROUNDUP(DW96/'🎚️ Escenario'!$C$11,0)))))</f>
        <v>1</v>
      </c>
      <c r="DX97" s="236" t="n">
        <f aca="false" t="array" ref="DX97:DX97">IF(DX96=0,0,IF(DX96/'🎚️ Escenario'!$C$11&gt;=36,$AL$23,INDEX($C$23:$AL$23,MAX(1,ROUNDUP(DX96/'🎚️ Escenario'!$C$11,0)))))</f>
        <v>1</v>
      </c>
      <c r="DY97" s="236" t="n">
        <f aca="false" t="array" ref="DY97:DY97">IF(DY96=0,0,IF(DY96/'🎚️ Escenario'!$C$11&gt;=36,$AL$23,INDEX($C$23:$AL$23,MAX(1,ROUNDUP(DY96/'🎚️ Escenario'!$C$11,0)))))</f>
        <v>1</v>
      </c>
      <c r="DZ97" s="236" t="n">
        <f aca="false" t="array" ref="DZ97:DZ97">IF(DZ96=0,0,IF(DZ96/'🎚️ Escenario'!$C$11&gt;=36,$AL$23,INDEX($C$23:$AL$23,MAX(1,ROUNDUP(DZ96/'🎚️ Escenario'!$C$11,0)))))</f>
        <v>1</v>
      </c>
      <c r="EA97" s="236" t="n">
        <f aca="false" t="array" ref="EA97:EA97">IF(EA96=0,0,IF(EA96/'🎚️ Escenario'!$C$11&gt;=36,$AL$23,INDEX($C$23:$AL$23,MAX(1,ROUNDUP(EA96/'🎚️ Escenario'!$C$11,0)))))</f>
        <v>1</v>
      </c>
      <c r="EB97" s="236" t="n">
        <f aca="false" t="array" ref="EB97:EB97">IF(EB96=0,0,IF(EB96/'🎚️ Escenario'!$C$11&gt;=36,$AL$23,INDEX($C$23:$AL$23,MAX(1,ROUNDUP(EB96/'🎚️ Escenario'!$C$11,0)))))</f>
        <v>1</v>
      </c>
      <c r="EC97" s="236" t="n">
        <f aca="false" t="array" ref="EC97:EC97">IF(EC96=0,0,IF(EC96/'🎚️ Escenario'!$C$11&gt;=36,$AL$23,INDEX($C$23:$AL$23,MAX(1,ROUNDUP(EC96/'🎚️ Escenario'!$C$11,0)))))</f>
        <v>1</v>
      </c>
      <c r="ED97" s="236" t="n">
        <f aca="false" t="array" ref="ED97:ED97">IF(ED96=0,0,IF(ED96/'🎚️ Escenario'!$C$11&gt;=36,$AL$23,INDEX($C$23:$AL$23,MAX(1,ROUNDUP(ED96/'🎚️ Escenario'!$C$11,0)))))</f>
        <v>1</v>
      </c>
      <c r="EE97" s="236" t="n">
        <f aca="false" t="array" ref="EE97:EE97">IF(EE96=0,0,IF(EE96/'🎚️ Escenario'!$C$11&gt;=36,$AL$23,INDEX($C$23:$AL$23,MAX(1,ROUNDUP(EE96/'🎚️ Escenario'!$C$11,0)))))</f>
        <v>1</v>
      </c>
      <c r="EF97" s="236" t="n">
        <f aca="false" t="array" ref="EF97:EF97">IF(EF96=0,0,IF(EF96/'🎚️ Escenario'!$C$11&gt;=36,$AL$23,INDEX($C$23:$AL$23,MAX(1,ROUNDUP(EF96/'🎚️ Escenario'!$C$11,0)))))</f>
        <v>1</v>
      </c>
      <c r="EG97" s="236" t="n">
        <f aca="false" t="array" ref="EG97:EG97">IF(EG96=0,0,IF(EG96/'🎚️ Escenario'!$C$11&gt;=36,$AL$23,INDEX($C$23:$AL$23,MAX(1,ROUNDUP(EG96/'🎚️ Escenario'!$C$11,0)))))</f>
        <v>1</v>
      </c>
      <c r="EH97" s="236" t="n">
        <f aca="false" t="array" ref="EH97:EH97">IF(EH96=0,0,IF(EH96/'🎚️ Escenario'!$C$11&gt;=36,$AL$23,INDEX($C$23:$AL$23,MAX(1,ROUNDUP(EH96/'🎚️ Escenario'!$C$11,0)))))</f>
        <v>1</v>
      </c>
      <c r="EI97" s="236" t="n">
        <f aca="false" t="array" ref="EI97:EI97">IF(EI96=0,0,IF(EI96/'🎚️ Escenario'!$C$11&gt;=36,$AL$23,INDEX($C$23:$AL$23,MAX(1,ROUNDUP(EI96/'🎚️ Escenario'!$C$11,0)))))</f>
        <v>1</v>
      </c>
      <c r="EJ97" s="236" t="n">
        <f aca="false" t="array" ref="EJ97:EJ97">IF(EJ96=0,0,IF(EJ96/'🎚️ Escenario'!$C$11&gt;=36,$AL$23,INDEX($C$23:$AL$23,MAX(1,ROUNDUP(EJ96/'🎚️ Escenario'!$C$11,0)))))</f>
        <v>1</v>
      </c>
      <c r="EK97" s="236" t="n">
        <f aca="false" t="array" ref="EK97:EK97">IF(EK96=0,0,IF(EK96/'🎚️ Escenario'!$C$11&gt;=36,$AL$23,INDEX($C$23:$AL$23,MAX(1,ROUNDUP(EK96/'🎚️ Escenario'!$C$11,0)))))</f>
        <v>1</v>
      </c>
      <c r="EL97" s="236" t="n">
        <f aca="false" t="array" ref="EL97:EL97">IF(EL96=0,0,IF(EL96/'🎚️ Escenario'!$C$11&gt;=36,$AL$23,INDEX($C$23:$AL$23,MAX(1,ROUNDUP(EL96/'🎚️ Escenario'!$C$11,0)))))</f>
        <v>1</v>
      </c>
      <c r="EM97" s="236" t="n">
        <f aca="false" t="array" ref="EM97:EM97">IF(EM96=0,0,IF(EM96/'🎚️ Escenario'!$C$11&gt;=36,$AL$23,INDEX($C$23:$AL$23,MAX(1,ROUNDUP(EM96/'🎚️ Escenario'!$C$11,0)))))</f>
        <v>1</v>
      </c>
      <c r="EN97" s="236" t="n">
        <f aca="false" t="array" ref="EN97:EN97">IF(EN96=0,0,IF(EN96/'🎚️ Escenario'!$C$11&gt;=36,$AL$23,INDEX($C$23:$AL$23,MAX(1,ROUNDUP(EN96/'🎚️ Escenario'!$C$11,0)))))</f>
        <v>1</v>
      </c>
      <c r="EO97" s="236" t="n">
        <f aca="false" t="array" ref="EO97:EO97">IF(EO96=0,0,IF(EO96/'🎚️ Escenario'!$C$11&gt;=36,$AL$23,INDEX($C$23:$AL$23,MAX(1,ROUNDUP(EO96/'🎚️ Escenario'!$C$11,0)))))</f>
        <v>1</v>
      </c>
      <c r="EP97" s="236" t="n">
        <f aca="false" t="array" ref="EP97:EP97">IF(EP96=0,0,IF(EP96/'🎚️ Escenario'!$C$11&gt;=36,$AL$23,INDEX($C$23:$AL$23,MAX(1,ROUNDUP(EP96/'🎚️ Escenario'!$C$11,0)))))</f>
        <v>1</v>
      </c>
      <c r="EQ97" s="236" t="n">
        <f aca="false" t="array" ref="EQ97:EQ97">IF(EQ96=0,0,IF(EQ96/'🎚️ Escenario'!$C$11&gt;=36,$AL$23,INDEX($C$23:$AL$23,MAX(1,ROUNDUP(EQ96/'🎚️ Escenario'!$C$11,0)))))</f>
        <v>1</v>
      </c>
      <c r="ER97" s="236" t="n">
        <f aca="false" t="array" ref="ER97:ER97">IF(ER96=0,0,IF(ER96/'🎚️ Escenario'!$C$11&gt;=36,$AL$23,INDEX($C$23:$AL$23,MAX(1,ROUNDUP(ER96/'🎚️ Escenario'!$C$11,0)))))</f>
        <v>1</v>
      </c>
      <c r="ES97" s="9" t="n">
        <f aca="false" t="array" ref="ES97:ES97">IF(ES96=0,0,IF(ES96/'🎚️ Escenario'!$C$11&gt;=36,$AL$23,INDEX($C$23:$AL$23,MAX(1,ROUNDUP(ES96/'🎚️ Escenario'!$C$11,0)))))</f>
        <v>1</v>
      </c>
      <c r="ET97" s="9" t="n">
        <f aca="false" t="array" ref="ET97:ET97">IF(ET96=0,0,IF(ET96/'🎚️ Escenario'!$C$11&gt;=36,$AL$23,INDEX($C$23:$AL$23,MAX(1,ROUNDUP(ET96/'🎚️ Escenario'!$C$11,0)))))</f>
        <v>1</v>
      </c>
      <c r="EU97" s="9" t="n">
        <f aca="false" t="array" ref="EU97:EU97">IF(EU96=0,0,IF(EU96/'🎚️ Escenario'!$C$11&gt;=36,$AL$23,INDEX($C$23:$AL$23,MAX(1,ROUNDUP(EU96/'🎚️ Escenario'!$C$11,0)))))</f>
        <v>1</v>
      </c>
      <c r="EV97" s="9" t="n">
        <f aca="false" t="array" ref="EV97:EV97">IF(EV96=0,0,IF(EV96/'🎚️ Escenario'!$C$11&gt;=36,$AL$23,INDEX($C$23:$AL$23,MAX(1,ROUNDUP(EV96/'🎚️ Escenario'!$C$11,0)))))</f>
        <v>1</v>
      </c>
      <c r="EW97" s="9" t="n">
        <f aca="false" t="array" ref="EW97:EW97">IF(EW96=0,0,IF(EW96/'🎚️ Escenario'!$C$11&gt;=36,$AL$23,INDEX($C$23:$AL$23,MAX(1,ROUNDUP(EW96/'🎚️ Escenario'!$C$11,0)))))</f>
        <v>1</v>
      </c>
      <c r="EX97" s="9" t="n">
        <f aca="false" t="array" ref="EX97:EX97">IF(EX96=0,0,IF(EX96/'🎚️ Escenario'!$C$11&gt;=36,$AL$23,INDEX($C$23:$AL$23,MAX(1,ROUNDUP(EX96/'🎚️ Escenario'!$C$11,0)))))</f>
        <v>1</v>
      </c>
      <c r="EY97" s="9" t="n">
        <f aca="false" t="array" ref="EY97:EY97">IF(EY96=0,0,IF(EY96/'🎚️ Escenario'!$C$11&gt;=36,$AL$23,INDEX($C$23:$AL$23,MAX(1,ROUNDUP(EY96/'🎚️ Escenario'!$C$11,0)))))</f>
        <v>1</v>
      </c>
      <c r="EZ97" s="9" t="n">
        <f aca="false" t="array" ref="EZ97:EZ97">IF(EZ96=0,0,IF(EZ96/'🎚️ Escenario'!$C$11&gt;=36,$AL$23,INDEX($C$23:$AL$23,MAX(1,ROUNDUP(EZ96/'🎚️ Escenario'!$C$11,0)))))</f>
        <v>1</v>
      </c>
      <c r="FA97" s="9" t="n">
        <f aca="false" t="array" ref="FA97:FA97">IF(FA96=0,0,IF(FA96/'🎚️ Escenario'!$C$11&gt;=36,$AL$23,INDEX($C$23:$AL$23,MAX(1,ROUNDUP(FA96/'🎚️ Escenario'!$C$11,0)))))</f>
        <v>1</v>
      </c>
      <c r="FB97" s="9" t="n">
        <f aca="false" t="array" ref="FB97:FB97">IF(FB96=0,0,IF(FB96/'🎚️ Escenario'!$C$11&gt;=36,$AL$23,INDEX($C$23:$AL$23,MAX(1,ROUNDUP(FB96/'🎚️ Escenario'!$C$11,0)))))</f>
        <v>1</v>
      </c>
      <c r="FC97" s="9" t="n">
        <f aca="false" t="array" ref="FC97:FC97">IF(FC96=0,0,IF(FC96/'🎚️ Escenario'!$C$11&gt;=36,$AL$23,INDEX($C$23:$AL$23,MAX(1,ROUNDUP(FC96/'🎚️ Escenario'!$C$11,0)))))</f>
        <v>1</v>
      </c>
      <c r="FD97" s="9" t="n">
        <f aca="false" t="array" ref="FD97:FD97">IF(FD96=0,0,IF(FD96/'🎚️ Escenario'!$C$11&gt;=36,$AL$23,INDEX($C$23:$AL$23,MAX(1,ROUNDUP(FD96/'🎚️ Escenario'!$C$11,0)))))</f>
        <v>1</v>
      </c>
      <c r="FE97" s="9" t="n">
        <f aca="false" t="array" ref="FE97:FE97">IF(FE96=0,0,IF(FE96/'🎚️ Escenario'!$C$11&gt;=36,$AL$23,INDEX($C$23:$AL$23,MAX(1,ROUNDUP(FE96/'🎚️ Escenario'!$C$11,0)))))</f>
        <v>1</v>
      </c>
      <c r="FF97" s="9" t="n">
        <f aca="false" t="array" ref="FF97:FF97">IF(FF96=0,0,IF(FF96/'🎚️ Escenario'!$C$11&gt;=36,$AL$23,INDEX($C$23:$AL$23,MAX(1,ROUNDUP(FF96/'🎚️ Escenario'!$C$11,0)))))</f>
        <v>1</v>
      </c>
      <c r="FG97" s="9" t="n">
        <f aca="false" t="array" ref="FG97:FG97">IF(FG96=0,0,IF(FG96/'🎚️ Escenario'!$C$11&gt;=36,$AL$23,INDEX($C$23:$AL$23,MAX(1,ROUNDUP(FG96/'🎚️ Escenario'!$C$11,0)))))</f>
        <v>1</v>
      </c>
      <c r="FH97" s="9" t="n">
        <f aca="false" t="array" ref="FH97:FH97">IF(FH96=0,0,IF(FH96/'🎚️ Escenario'!$C$11&gt;=36,$AL$23,INDEX($C$23:$AL$23,MAX(1,ROUNDUP(FH96/'🎚️ Escenario'!$C$11,0)))))</f>
        <v>1</v>
      </c>
      <c r="FI97" s="9" t="n">
        <f aca="false" t="array" ref="FI97:FI97">IF(FI96=0,0,IF(FI96/'🎚️ Escenario'!$C$11&gt;=36,$AL$23,INDEX($C$23:$AL$23,MAX(1,ROUNDUP(FI96/'🎚️ Escenario'!$C$11,0)))))</f>
        <v>1</v>
      </c>
      <c r="FJ97" s="9" t="n">
        <f aca="false" t="array" ref="FJ97:FJ97">IF(FJ96=0,0,IF(FJ96/'🎚️ Escenario'!$C$11&gt;=36,$AL$23,INDEX($C$23:$AL$23,MAX(1,ROUNDUP(FJ96/'🎚️ Escenario'!$C$11,0)))))</f>
        <v>1</v>
      </c>
      <c r="FK97" s="9" t="n">
        <f aca="false" t="array" ref="FK97:FK97">IF(FK96=0,0,IF(FK96/'🎚️ Escenario'!$C$11&gt;=36,$AL$23,INDEX($C$23:$AL$23,MAX(1,ROUNDUP(FK96/'🎚️ Escenario'!$C$11,0)))))</f>
        <v>1</v>
      </c>
      <c r="FL97" s="9" t="n">
        <f aca="false" t="array" ref="FL97:FL97">IF(FL96=0,0,IF(FL96/'🎚️ Escenario'!$C$11&gt;=36,$AL$23,INDEX($C$23:$AL$23,MAX(1,ROUNDUP(FL96/'🎚️ Escenario'!$C$11,0)))))</f>
        <v>1</v>
      </c>
      <c r="FM97" s="9" t="n">
        <f aca="false" t="array" ref="FM97:FM97">IF(FM96=0,0,IF(FM96/'🎚️ Escenario'!$C$11&gt;=36,$AL$23,INDEX($C$23:$AL$23,MAX(1,ROUNDUP(FM96/'🎚️ Escenario'!$C$11,0)))))</f>
        <v>1</v>
      </c>
      <c r="FN97" s="9" t="n">
        <f aca="false" t="array" ref="FN97:FN97">IF(FN96=0,0,IF(FN96/'🎚️ Escenario'!$C$11&gt;=36,$AL$23,INDEX($C$23:$AL$23,MAX(1,ROUNDUP(FN96/'🎚️ Escenario'!$C$11,0)))))</f>
        <v>1</v>
      </c>
      <c r="FO97" s="9" t="n">
        <f aca="false" t="array" ref="FO97:FO97">IF(FO96=0,0,IF(FO96/'🎚️ Escenario'!$C$11&gt;=36,$AL$23,INDEX($C$23:$AL$23,MAX(1,ROUNDUP(FO96/'🎚️ Escenario'!$C$11,0)))))</f>
        <v>1</v>
      </c>
      <c r="FP97" s="9" t="n">
        <f aca="false" t="array" ref="FP97:FP97">IF(FP96=0,0,IF(FP96/'🎚️ Escenario'!$C$11&gt;=36,$AL$23,INDEX($C$23:$AL$23,MAX(1,ROUNDUP(FP96/'🎚️ Escenario'!$C$11,0)))))</f>
        <v>1</v>
      </c>
    </row>
    <row r="98" customFormat="false" ht="15" hidden="false" customHeight="false" outlineLevel="2" collapsed="false">
      <c r="B98" s="9" t="s">
        <v>875</v>
      </c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237" t="n">
        <f aca="false">IF(AC96=0,0,IF(AC96&lt;=12*'🎚️ Escenario'!$C$11,1,1+$C$6))</f>
        <v>0</v>
      </c>
      <c r="AD98" s="237" t="n">
        <f aca="false">IF(AD96=0,0,IF(AD96&lt;=12*'🎚️ Escenario'!$C$11,1,1+$C$6))</f>
        <v>0</v>
      </c>
      <c r="AE98" s="237" t="n">
        <f aca="false">IF(AE96=0,0,IF(AE96&lt;=12*'🎚️ Escenario'!$C$11,1,1+$C$6))</f>
        <v>0</v>
      </c>
      <c r="AF98" s="237" t="n">
        <f aca="false">IF(AF96=0,0,IF(AF96&lt;=12*'🎚️ Escenario'!$C$11,1,1+$C$6))</f>
        <v>0</v>
      </c>
      <c r="AG98" s="237" t="n">
        <f aca="false">IF(AG96=0,0,IF(AG96&lt;=12*'🎚️ Escenario'!$C$11,1,1+$C$6))</f>
        <v>0</v>
      </c>
      <c r="AH98" s="237" t="n">
        <f aca="false">IF(AH96=0,0,IF(AH96&lt;=12*'🎚️ Escenario'!$C$11,1,1+$C$6))</f>
        <v>0</v>
      </c>
      <c r="AI98" s="237" t="n">
        <f aca="false">IF(AI96=0,0,IF(AI96&lt;=12*'🎚️ Escenario'!$C$11,1,1+$C$6))</f>
        <v>0</v>
      </c>
      <c r="AJ98" s="237" t="n">
        <f aca="false">IF(AJ96=0,0,IF(AJ96&lt;=12*'🎚️ Escenario'!$C$11,1,1+$C$6))</f>
        <v>0</v>
      </c>
      <c r="AK98" s="237" t="n">
        <f aca="false">IF(AK96=0,0,IF(AK96&lt;=12*'🎚️ Escenario'!$C$11,1,1+$C$6))</f>
        <v>0</v>
      </c>
      <c r="AL98" s="237" t="n">
        <f aca="false">IF(AL96=0,0,IF(AL96&lt;=12*'🎚️ Escenario'!$C$11,1,1+$C$6))</f>
        <v>0</v>
      </c>
      <c r="AM98" s="237" t="n">
        <f aca="false">IF(AM96=0,0,IF(AM96&lt;=12*'🎚️ Escenario'!$C$11,1,1+$C$6))</f>
        <v>0</v>
      </c>
      <c r="AN98" s="237" t="n">
        <f aca="false">IF(AN96=0,0,IF(AN96&lt;=12*'🎚️ Escenario'!$C$11,1,1+$C$6))</f>
        <v>0</v>
      </c>
      <c r="AO98" s="237" t="n">
        <f aca="false">IF(AO96=0,0,IF(AO96&lt;=12*'🎚️ Escenario'!$C$11,1,1+$C$6))</f>
        <v>0</v>
      </c>
      <c r="AP98" s="237" t="n">
        <f aca="false">IF(AP96=0,0,IF(AP96&lt;=12*'🎚️ Escenario'!$C$11,1,1+$C$6))</f>
        <v>0</v>
      </c>
      <c r="AQ98" s="237" t="n">
        <f aca="false">IF(AQ96=0,0,IF(AQ96&lt;=12*'🎚️ Escenario'!$C$11,1,1+$C$6))</f>
        <v>0</v>
      </c>
      <c r="AR98" s="237" t="n">
        <f aca="false">IF(AR96=0,0,IF(AR96&lt;=12*'🎚️ Escenario'!$C$11,1,1+$C$6))</f>
        <v>0</v>
      </c>
      <c r="AS98" s="237" t="n">
        <f aca="false">IF(AS96=0,0,IF(AS96&lt;=12*'🎚️ Escenario'!$C$11,1,1+$C$6))</f>
        <v>0</v>
      </c>
      <c r="AT98" s="237" t="n">
        <f aca="false">IF(AT96=0,0,IF(AT96&lt;=12*'🎚️ Escenario'!$C$11,1,1+$C$6))</f>
        <v>0</v>
      </c>
      <c r="AU98" s="237" t="n">
        <f aca="false">IF(AU96=0,0,IF(AU96&lt;=12*'🎚️ Escenario'!$C$11,1,1+$C$6))</f>
        <v>0</v>
      </c>
      <c r="AV98" s="237" t="n">
        <f aca="false">IF(AV96=0,0,IF(AV96&lt;=12*'🎚️ Escenario'!$C$11,1,1+$C$6))</f>
        <v>0</v>
      </c>
      <c r="AW98" s="237" t="n">
        <f aca="false">IF(AW96=0,0,IF(AW96&lt;=12*'🎚️ Escenario'!$C$11,1,1+$C$6))</f>
        <v>0</v>
      </c>
      <c r="AX98" s="237" t="n">
        <f aca="false">IF(AX96=0,0,IF(AX96&lt;=12*'🎚️ Escenario'!$C$11,1,1+$C$6))</f>
        <v>0</v>
      </c>
      <c r="AY98" s="237" t="n">
        <f aca="false">IF(AY96=0,0,IF(AY96&lt;=12*'🎚️ Escenario'!$C$11,1,1+$C$6))</f>
        <v>0</v>
      </c>
      <c r="AZ98" s="237" t="n">
        <f aca="false">IF(AZ96=0,0,IF(AZ96&lt;=12*'🎚️ Escenario'!$C$11,1,1+$C$6))</f>
        <v>0</v>
      </c>
      <c r="BA98" s="237" t="n">
        <f aca="false">IF(BA96=0,0,IF(BA96&lt;=12*'🎚️ Escenario'!$C$11,1,1+$C$6))</f>
        <v>0</v>
      </c>
      <c r="BB98" s="237" t="n">
        <f aca="false">IF(BB96=0,0,IF(BB96&lt;=12*'🎚️ Escenario'!$C$11,1,1+$C$6))</f>
        <v>1</v>
      </c>
      <c r="BC98" s="237" t="n">
        <f aca="false">IF(BC96=0,0,IF(BC96&lt;=12*'🎚️ Escenario'!$C$11,1,1+$C$6))</f>
        <v>1</v>
      </c>
      <c r="BD98" s="237" t="n">
        <f aca="false">IF(BD96=0,0,IF(BD96&lt;=12*'🎚️ Escenario'!$C$11,1,1+$C$6))</f>
        <v>1</v>
      </c>
      <c r="BE98" s="237" t="n">
        <f aca="false">IF(BE96=0,0,IF(BE96&lt;=12*'🎚️ Escenario'!$C$11,1,1+$C$6))</f>
        <v>1</v>
      </c>
      <c r="BF98" s="237" t="n">
        <f aca="false">IF(BF96=0,0,IF(BF96&lt;=12*'🎚️ Escenario'!$C$11,1,1+$C$6))</f>
        <v>1</v>
      </c>
      <c r="BG98" s="237" t="n">
        <f aca="false">IF(BG96=0,0,IF(BG96&lt;=12*'🎚️ Escenario'!$C$11,1,1+$C$6))</f>
        <v>1</v>
      </c>
      <c r="BH98" s="237" t="n">
        <f aca="false">IF(BH96=0,0,IF(BH96&lt;=12*'🎚️ Escenario'!$C$11,1,1+$C$6))</f>
        <v>1</v>
      </c>
      <c r="BI98" s="237" t="n">
        <f aca="false">IF(BI96=0,0,IF(BI96&lt;=12*'🎚️ Escenario'!$C$11,1,1+$C$6))</f>
        <v>1</v>
      </c>
      <c r="BJ98" s="237" t="n">
        <f aca="false">IF(BJ96=0,0,IF(BJ96&lt;=12*'🎚️ Escenario'!$C$11,1,1+$C$6))</f>
        <v>1</v>
      </c>
      <c r="BK98" s="237" t="n">
        <f aca="false">IF(BK96=0,0,IF(BK96&lt;=12*'🎚️ Escenario'!$C$11,1,1+$C$6))</f>
        <v>1</v>
      </c>
      <c r="BL98" s="237" t="n">
        <f aca="false">IF(BL96=0,0,IF(BL96&lt;=12*'🎚️ Escenario'!$C$11,1,1+$C$6))</f>
        <v>1</v>
      </c>
      <c r="BM98" s="237" t="n">
        <f aca="false">IF(BM96=0,0,IF(BM96&lt;=12*'🎚️ Escenario'!$C$11,1,1+$C$6))</f>
        <v>1</v>
      </c>
      <c r="BN98" s="237" t="n">
        <f aca="false">IF(BN96=0,0,IF(BN96&lt;=12*'🎚️ Escenario'!$C$11,1,1+$C$6))</f>
        <v>1</v>
      </c>
      <c r="BO98" s="237" t="n">
        <f aca="false">IF(BO96=0,0,IF(BO96&lt;=12*'🎚️ Escenario'!$C$11,1,1+$C$6))</f>
        <v>1</v>
      </c>
      <c r="BP98" s="237" t="n">
        <f aca="false">IF(BP96=0,0,IF(BP96&lt;=12*'🎚️ Escenario'!$C$11,1,1+$C$6))</f>
        <v>1</v>
      </c>
      <c r="BQ98" s="237" t="n">
        <f aca="false">IF(BQ96=0,0,IF(BQ96&lt;=12*'🎚️ Escenario'!$C$11,1,1+$C$6))</f>
        <v>1.2</v>
      </c>
      <c r="BR98" s="237" t="n">
        <f aca="false">IF(BR96=0,0,IF(BR96&lt;=12*'🎚️ Escenario'!$C$11,1,1+$C$6))</f>
        <v>1.2</v>
      </c>
      <c r="BS98" s="237" t="n">
        <f aca="false">IF(BS96=0,0,IF(BS96&lt;=12*'🎚️ Escenario'!$C$11,1,1+$C$6))</f>
        <v>1.2</v>
      </c>
      <c r="BT98" s="237" t="n">
        <f aca="false">IF(BT96=0,0,IF(BT96&lt;=12*'🎚️ Escenario'!$C$11,1,1+$C$6))</f>
        <v>1.2</v>
      </c>
      <c r="BU98" s="237" t="n">
        <f aca="false">IF(BU96=0,0,IF(BU96&lt;=12*'🎚️ Escenario'!$C$11,1,1+$C$6))</f>
        <v>1.2</v>
      </c>
      <c r="BV98" s="237" t="n">
        <f aca="false">IF(BV96=0,0,IF(BV96&lt;=12*'🎚️ Escenario'!$C$11,1,1+$C$6))</f>
        <v>1.2</v>
      </c>
      <c r="BW98" s="237" t="n">
        <f aca="false">IF(BW96=0,0,IF(BW96&lt;=12*'🎚️ Escenario'!$C$11,1,1+$C$6))</f>
        <v>1.2</v>
      </c>
      <c r="BX98" s="237" t="n">
        <f aca="false">IF(BX96=0,0,IF(BX96&lt;=12*'🎚️ Escenario'!$C$11,1,1+$C$6))</f>
        <v>1.2</v>
      </c>
      <c r="BY98" s="237" t="n">
        <f aca="false">IF(BY96=0,0,IF(BY96&lt;=12*'🎚️ Escenario'!$C$11,1,1+$C$6))</f>
        <v>1.2</v>
      </c>
      <c r="BZ98" s="237" t="n">
        <f aca="false">IF(BZ96=0,0,IF(BZ96&lt;=12*'🎚️ Escenario'!$C$11,1,1+$C$6))</f>
        <v>1.2</v>
      </c>
      <c r="CA98" s="237" t="n">
        <f aca="false">IF(CA96=0,0,IF(CA96&lt;=12*'🎚️ Escenario'!$C$11,1,1+$C$6))</f>
        <v>1.2</v>
      </c>
      <c r="CB98" s="237" t="n">
        <f aca="false">IF(CB96=0,0,IF(CB96&lt;=12*'🎚️ Escenario'!$C$11,1,1+$C$6))</f>
        <v>1.2</v>
      </c>
      <c r="CC98" s="237" t="n">
        <f aca="false">IF(CC96=0,0,IF(CC96&lt;=12*'🎚️ Escenario'!$C$11,1,1+$C$6))</f>
        <v>1.2</v>
      </c>
      <c r="CD98" s="237" t="n">
        <f aca="false">IF(CD96=0,0,IF(CD96&lt;=12*'🎚️ Escenario'!$C$11,1,1+$C$6))</f>
        <v>1.2</v>
      </c>
      <c r="CE98" s="237" t="n">
        <f aca="false">IF(CE96=0,0,IF(CE96&lt;=12*'🎚️ Escenario'!$C$11,1,1+$C$6))</f>
        <v>1.2</v>
      </c>
      <c r="CF98" s="237" t="n">
        <f aca="false">IF(CF96=0,0,IF(CF96&lt;=12*'🎚️ Escenario'!$C$11,1,1+$C$6))</f>
        <v>1.2</v>
      </c>
      <c r="CG98" s="237" t="n">
        <f aca="false">IF(CG96=0,0,IF(CG96&lt;=12*'🎚️ Escenario'!$C$11,1,1+$C$6))</f>
        <v>1.2</v>
      </c>
      <c r="CH98" s="237" t="n">
        <f aca="false">IF(CH96=0,0,IF(CH96&lt;=12*'🎚️ Escenario'!$C$11,1,1+$C$6))</f>
        <v>1.2</v>
      </c>
      <c r="CI98" s="237" t="n">
        <f aca="false">IF(CI96=0,0,IF(CI96&lt;=12*'🎚️ Escenario'!$C$11,1,1+$C$6))</f>
        <v>1.2</v>
      </c>
      <c r="CJ98" s="237" t="n">
        <f aca="false">IF(CJ96=0,0,IF(CJ96&lt;=12*'🎚️ Escenario'!$C$11,1,1+$C$6))</f>
        <v>1.2</v>
      </c>
      <c r="CK98" s="237" t="n">
        <f aca="false">IF(CK96=0,0,IF(CK96&lt;=12*'🎚️ Escenario'!$C$11,1,1+$C$6))</f>
        <v>1.2</v>
      </c>
      <c r="CL98" s="237" t="n">
        <f aca="false">IF(CL96=0,0,IF(CL96&lt;=12*'🎚️ Escenario'!$C$11,1,1+$C$6))</f>
        <v>1.2</v>
      </c>
      <c r="CM98" s="237" t="n">
        <f aca="false">IF(CM96=0,0,IF(CM96&lt;=12*'🎚️ Escenario'!$C$11,1,1+$C$6))</f>
        <v>1.2</v>
      </c>
      <c r="CN98" s="237" t="n">
        <f aca="false">IF(CN96=0,0,IF(CN96&lt;=12*'🎚️ Escenario'!$C$11,1,1+$C$6))</f>
        <v>1.2</v>
      </c>
      <c r="CO98" s="237" t="n">
        <f aca="false">IF(CO96=0,0,IF(CO96&lt;=12*'🎚️ Escenario'!$C$11,1,1+$C$6))</f>
        <v>1.2</v>
      </c>
      <c r="CP98" s="237" t="n">
        <f aca="false">IF(CP96=0,0,IF(CP96&lt;=12*'🎚️ Escenario'!$C$11,1,1+$C$6))</f>
        <v>1.2</v>
      </c>
      <c r="CQ98" s="237" t="n">
        <f aca="false">IF(CQ96=0,0,IF(CQ96&lt;=12*'🎚️ Escenario'!$C$11,1,1+$C$6))</f>
        <v>1.2</v>
      </c>
      <c r="CR98" s="237" t="n">
        <f aca="false">IF(CR96=0,0,IF(CR96&lt;=12*'🎚️ Escenario'!$C$11,1,1+$C$6))</f>
        <v>1.2</v>
      </c>
      <c r="CS98" s="237" t="n">
        <f aca="false">IF(CS96=0,0,IF(CS96&lt;=12*'🎚️ Escenario'!$C$11,1,1+$C$6))</f>
        <v>1.2</v>
      </c>
      <c r="CT98" s="237" t="n">
        <f aca="false">IF(CT96=0,0,IF(CT96&lt;=12*'🎚️ Escenario'!$C$11,1,1+$C$6))</f>
        <v>1.2</v>
      </c>
      <c r="CU98" s="237" t="n">
        <f aca="false">IF(CU96=0,0,IF(CU96&lt;=12*'🎚️ Escenario'!$C$11,1,1+$C$6))</f>
        <v>1.2</v>
      </c>
      <c r="CV98" s="237" t="n">
        <f aca="false">IF(CV96=0,0,IF(CV96&lt;=12*'🎚️ Escenario'!$C$11,1,1+$C$6))</f>
        <v>1.2</v>
      </c>
      <c r="CW98" s="237" t="n">
        <f aca="false">IF(CW96=0,0,IF(CW96&lt;=12*'🎚️ Escenario'!$C$11,1,1+$C$6))</f>
        <v>1.2</v>
      </c>
      <c r="CX98" s="237" t="n">
        <f aca="false">IF(CX96=0,0,IF(CX96&lt;=12*'🎚️ Escenario'!$C$11,1,1+$C$6))</f>
        <v>1.2</v>
      </c>
      <c r="CY98" s="237" t="n">
        <f aca="false">IF(CY96=0,0,IF(CY96&lt;=12*'🎚️ Escenario'!$C$11,1,1+$C$6))</f>
        <v>1.2</v>
      </c>
      <c r="CZ98" s="237" t="n">
        <f aca="false">IF(CZ96=0,0,IF(CZ96&lt;=12*'🎚️ Escenario'!$C$11,1,1+$C$6))</f>
        <v>1.2</v>
      </c>
      <c r="DA98" s="237" t="n">
        <f aca="false">IF(DA96=0,0,IF(DA96&lt;=12*'🎚️ Escenario'!$C$11,1,1+$C$6))</f>
        <v>1.2</v>
      </c>
      <c r="DB98" s="237" t="n">
        <f aca="false">IF(DB96=0,0,IF(DB96&lt;=12*'🎚️ Escenario'!$C$11,1,1+$C$6))</f>
        <v>1.2</v>
      </c>
      <c r="DC98" s="237" t="n">
        <f aca="false">IF(DC96=0,0,IF(DC96&lt;=12*'🎚️ Escenario'!$C$11,1,1+$C$6))</f>
        <v>1.2</v>
      </c>
      <c r="DD98" s="237" t="n">
        <f aca="false">IF(DD96=0,0,IF(DD96&lt;=12*'🎚️ Escenario'!$C$11,1,1+$C$6))</f>
        <v>1.2</v>
      </c>
      <c r="DE98" s="237" t="n">
        <f aca="false">IF(DE96=0,0,IF(DE96&lt;=12*'🎚️ Escenario'!$C$11,1,1+$C$6))</f>
        <v>1.2</v>
      </c>
      <c r="DF98" s="237" t="n">
        <f aca="false">IF(DF96=0,0,IF(DF96&lt;=12*'🎚️ Escenario'!$C$11,1,1+$C$6))</f>
        <v>1.2</v>
      </c>
      <c r="DG98" s="237" t="n">
        <f aca="false">IF(DG96=0,0,IF(DG96&lt;=12*'🎚️ Escenario'!$C$11,1,1+$C$6))</f>
        <v>1.2</v>
      </c>
      <c r="DH98" s="237" t="n">
        <f aca="false">IF(DH96=0,0,IF(DH96&lt;=12*'🎚️ Escenario'!$C$11,1,1+$C$6))</f>
        <v>1.2</v>
      </c>
      <c r="DI98" s="237" t="n">
        <f aca="false">IF(DI96=0,0,IF(DI96&lt;=12*'🎚️ Escenario'!$C$11,1,1+$C$6))</f>
        <v>1.2</v>
      </c>
      <c r="DJ98" s="237" t="n">
        <f aca="false">IF(DJ96=0,0,IF(DJ96&lt;=12*'🎚️ Escenario'!$C$11,1,1+$C$6))</f>
        <v>1.2</v>
      </c>
      <c r="DK98" s="237" t="n">
        <f aca="false">IF(DK96=0,0,IF(DK96&lt;=12*'🎚️ Escenario'!$C$11,1,1+$C$6))</f>
        <v>1.2</v>
      </c>
      <c r="DL98" s="237" t="n">
        <f aca="false">IF(DL96=0,0,IF(DL96&lt;=12*'🎚️ Escenario'!$C$11,1,1+$C$6))</f>
        <v>1.2</v>
      </c>
      <c r="DM98" s="237" t="n">
        <f aca="false">IF(DM96=0,0,IF(DM96&lt;=12*'🎚️ Escenario'!$C$11,1,1+$C$6))</f>
        <v>1.2</v>
      </c>
      <c r="DN98" s="237" t="n">
        <f aca="false">IF(DN96=0,0,IF(DN96&lt;=12*'🎚️ Escenario'!$C$11,1,1+$C$6))</f>
        <v>1.2</v>
      </c>
      <c r="DO98" s="237" t="n">
        <f aca="false">IF(DO96=0,0,IF(DO96&lt;=12*'🎚️ Escenario'!$C$11,1,1+$C$6))</f>
        <v>1.2</v>
      </c>
      <c r="DP98" s="237" t="n">
        <f aca="false">IF(DP96=0,0,IF(DP96&lt;=12*'🎚️ Escenario'!$C$11,1,1+$C$6))</f>
        <v>1.2</v>
      </c>
      <c r="DQ98" s="237" t="n">
        <f aca="false">IF(DQ96=0,0,IF(DQ96&lt;=12*'🎚️ Escenario'!$C$11,1,1+$C$6))</f>
        <v>1.2</v>
      </c>
      <c r="DR98" s="237" t="n">
        <f aca="false">IF(DR96=0,0,IF(DR96&lt;=12*'🎚️ Escenario'!$C$11,1,1+$C$6))</f>
        <v>1.2</v>
      </c>
      <c r="DS98" s="237" t="n">
        <f aca="false">IF(DS96=0,0,IF(DS96&lt;=12*'🎚️ Escenario'!$C$11,1,1+$C$6))</f>
        <v>1.2</v>
      </c>
      <c r="DT98" s="237" t="n">
        <f aca="false">IF(DT96=0,0,IF(DT96&lt;=12*'🎚️ Escenario'!$C$11,1,1+$C$6))</f>
        <v>1.2</v>
      </c>
      <c r="DU98" s="237" t="n">
        <f aca="false">IF(DU96=0,0,IF(DU96&lt;=12*'🎚️ Escenario'!$C$11,1,1+$C$6))</f>
        <v>1.2</v>
      </c>
      <c r="DV98" s="237" t="n">
        <f aca="false">IF(DV96=0,0,IF(DV96&lt;=12*'🎚️ Escenario'!$C$11,1,1+$C$6))</f>
        <v>1.2</v>
      </c>
      <c r="DW98" s="237" t="n">
        <f aca="false">IF(DW96=0,0,IF(DW96&lt;=12*'🎚️ Escenario'!$C$11,1,1+$C$6))</f>
        <v>1.2</v>
      </c>
      <c r="DX98" s="237" t="n">
        <f aca="false">IF(DX96=0,0,IF(DX96&lt;=12*'🎚️ Escenario'!$C$11,1,1+$C$6))</f>
        <v>1.2</v>
      </c>
      <c r="DY98" s="237" t="n">
        <f aca="false">IF(DY96=0,0,IF(DY96&lt;=12*'🎚️ Escenario'!$C$11,1,1+$C$6))</f>
        <v>1.2</v>
      </c>
      <c r="DZ98" s="237" t="n">
        <f aca="false">IF(DZ96=0,0,IF(DZ96&lt;=12*'🎚️ Escenario'!$C$11,1,1+$C$6))</f>
        <v>1.2</v>
      </c>
      <c r="EA98" s="237" t="n">
        <f aca="false">IF(EA96=0,0,IF(EA96&lt;=12*'🎚️ Escenario'!$C$11,1,1+$C$6))</f>
        <v>1.2</v>
      </c>
      <c r="EB98" s="237" t="n">
        <f aca="false">IF(EB96=0,0,IF(EB96&lt;=12*'🎚️ Escenario'!$C$11,1,1+$C$6))</f>
        <v>1.2</v>
      </c>
      <c r="EC98" s="237" t="n">
        <f aca="false">IF(EC96=0,0,IF(EC96&lt;=12*'🎚️ Escenario'!$C$11,1,1+$C$6))</f>
        <v>1.2</v>
      </c>
      <c r="ED98" s="237" t="n">
        <f aca="false">IF(ED96=0,0,IF(ED96&lt;=12*'🎚️ Escenario'!$C$11,1,1+$C$6))</f>
        <v>1.2</v>
      </c>
      <c r="EE98" s="237" t="n">
        <f aca="false">IF(EE96=0,0,IF(EE96&lt;=12*'🎚️ Escenario'!$C$11,1,1+$C$6))</f>
        <v>1.2</v>
      </c>
      <c r="EF98" s="237" t="n">
        <f aca="false">IF(EF96=0,0,IF(EF96&lt;=12*'🎚️ Escenario'!$C$11,1,1+$C$6))</f>
        <v>1.2</v>
      </c>
      <c r="EG98" s="237" t="n">
        <f aca="false">IF(EG96=0,0,IF(EG96&lt;=12*'🎚️ Escenario'!$C$11,1,1+$C$6))</f>
        <v>1.2</v>
      </c>
      <c r="EH98" s="237" t="n">
        <f aca="false">IF(EH96=0,0,IF(EH96&lt;=12*'🎚️ Escenario'!$C$11,1,1+$C$6))</f>
        <v>1.2</v>
      </c>
      <c r="EI98" s="237" t="n">
        <f aca="false">IF(EI96=0,0,IF(EI96&lt;=12*'🎚️ Escenario'!$C$11,1,1+$C$6))</f>
        <v>1.2</v>
      </c>
      <c r="EJ98" s="237" t="n">
        <f aca="false">IF(EJ96=0,0,IF(EJ96&lt;=12*'🎚️ Escenario'!$C$11,1,1+$C$6))</f>
        <v>1.2</v>
      </c>
      <c r="EK98" s="237" t="n">
        <f aca="false">IF(EK96=0,0,IF(EK96&lt;=12*'🎚️ Escenario'!$C$11,1,1+$C$6))</f>
        <v>1.2</v>
      </c>
      <c r="EL98" s="237" t="n">
        <f aca="false">IF(EL96=0,0,IF(EL96&lt;=12*'🎚️ Escenario'!$C$11,1,1+$C$6))</f>
        <v>1.2</v>
      </c>
      <c r="EM98" s="237" t="n">
        <f aca="false">IF(EM96=0,0,IF(EM96&lt;=12*'🎚️ Escenario'!$C$11,1,1+$C$6))</f>
        <v>1.2</v>
      </c>
      <c r="EN98" s="237" t="n">
        <f aca="false">IF(EN96=0,0,IF(EN96&lt;=12*'🎚️ Escenario'!$C$11,1,1+$C$6))</f>
        <v>1.2</v>
      </c>
      <c r="EO98" s="237" t="n">
        <f aca="false">IF(EO96=0,0,IF(EO96&lt;=12*'🎚️ Escenario'!$C$11,1,1+$C$6))</f>
        <v>1.2</v>
      </c>
      <c r="EP98" s="237" t="n">
        <f aca="false">IF(EP96=0,0,IF(EP96&lt;=12*'🎚️ Escenario'!$C$11,1,1+$C$6))</f>
        <v>1.2</v>
      </c>
      <c r="EQ98" s="237" t="n">
        <f aca="false">IF(EQ96=0,0,IF(EQ96&lt;=12*'🎚️ Escenario'!$C$11,1,1+$C$6))</f>
        <v>1.2</v>
      </c>
      <c r="ER98" s="237" t="n">
        <f aca="false">IF(ER96=0,0,IF(ER96&lt;=12*'🎚️ Escenario'!$C$11,1,1+$C$6))</f>
        <v>1.2</v>
      </c>
      <c r="ES98" s="238" t="n">
        <f aca="false">IF(ES96=0,0,IF(ES96&lt;=12*'🎚️ Escenario'!$C$11,1,1+$C$6))</f>
        <v>1.2</v>
      </c>
      <c r="ET98" s="238" t="n">
        <f aca="false">IF(ET96=0,0,IF(ET96&lt;=12*'🎚️ Escenario'!$C$11,1,1+$C$6))</f>
        <v>1.2</v>
      </c>
      <c r="EU98" s="238" t="n">
        <f aca="false">IF(EU96=0,0,IF(EU96&lt;=12*'🎚️ Escenario'!$C$11,1,1+$C$6))</f>
        <v>1.2</v>
      </c>
      <c r="EV98" s="238" t="n">
        <f aca="false">IF(EV96=0,0,IF(EV96&lt;=12*'🎚️ Escenario'!$C$11,1,1+$C$6))</f>
        <v>1.2</v>
      </c>
      <c r="EW98" s="238" t="n">
        <f aca="false">IF(EW96=0,0,IF(EW96&lt;=12*'🎚️ Escenario'!$C$11,1,1+$C$6))</f>
        <v>1.2</v>
      </c>
      <c r="EX98" s="238" t="n">
        <f aca="false">IF(EX96=0,0,IF(EX96&lt;=12*'🎚️ Escenario'!$C$11,1,1+$C$6))</f>
        <v>1.2</v>
      </c>
      <c r="EY98" s="238" t="n">
        <f aca="false">IF(EY96=0,0,IF(EY96&lt;=12*'🎚️ Escenario'!$C$11,1,1+$C$6))</f>
        <v>1.2</v>
      </c>
      <c r="EZ98" s="238" t="n">
        <f aca="false">IF(EZ96=0,0,IF(EZ96&lt;=12*'🎚️ Escenario'!$C$11,1,1+$C$6))</f>
        <v>1.2</v>
      </c>
      <c r="FA98" s="238" t="n">
        <f aca="false">IF(FA96=0,0,IF(FA96&lt;=12*'🎚️ Escenario'!$C$11,1,1+$C$6))</f>
        <v>1.2</v>
      </c>
      <c r="FB98" s="238" t="n">
        <f aca="false">IF(FB96=0,0,IF(FB96&lt;=12*'🎚️ Escenario'!$C$11,1,1+$C$6))</f>
        <v>1.2</v>
      </c>
      <c r="FC98" s="238" t="n">
        <f aca="false">IF(FC96=0,0,IF(FC96&lt;=12*'🎚️ Escenario'!$C$11,1,1+$C$6))</f>
        <v>1.2</v>
      </c>
      <c r="FD98" s="238" t="n">
        <f aca="false">IF(FD96=0,0,IF(FD96&lt;=12*'🎚️ Escenario'!$C$11,1,1+$C$6))</f>
        <v>1.2</v>
      </c>
      <c r="FE98" s="238" t="n">
        <f aca="false">IF(FE96=0,0,IF(FE96&lt;=12*'🎚️ Escenario'!$C$11,1,1+$C$6))</f>
        <v>1.2</v>
      </c>
      <c r="FF98" s="238" t="n">
        <f aca="false">IF(FF96=0,0,IF(FF96&lt;=12*'🎚️ Escenario'!$C$11,1,1+$C$6))</f>
        <v>1.2</v>
      </c>
      <c r="FG98" s="238" t="n">
        <f aca="false">IF(FG96=0,0,IF(FG96&lt;=12*'🎚️ Escenario'!$C$11,1,1+$C$6))</f>
        <v>1.2</v>
      </c>
      <c r="FH98" s="238" t="n">
        <f aca="false">IF(FH96=0,0,IF(FH96&lt;=12*'🎚️ Escenario'!$C$11,1,1+$C$6))</f>
        <v>1.2</v>
      </c>
      <c r="FI98" s="238" t="n">
        <f aca="false">IF(FI96=0,0,IF(FI96&lt;=12*'🎚️ Escenario'!$C$11,1,1+$C$6))</f>
        <v>1.2</v>
      </c>
      <c r="FJ98" s="238" t="n">
        <f aca="false">IF(FJ96=0,0,IF(FJ96&lt;=12*'🎚️ Escenario'!$C$11,1,1+$C$6))</f>
        <v>1.2</v>
      </c>
      <c r="FK98" s="238" t="n">
        <f aca="false">IF(FK96=0,0,IF(FK96&lt;=12*'🎚️ Escenario'!$C$11,1,1+$C$6))</f>
        <v>1.2</v>
      </c>
      <c r="FL98" s="238" t="n">
        <f aca="false">IF(FL96=0,0,IF(FL96&lt;=12*'🎚️ Escenario'!$C$11,1,1+$C$6))</f>
        <v>1.2</v>
      </c>
      <c r="FM98" s="238" t="n">
        <f aca="false">IF(FM96=0,0,IF(FM96&lt;=12*'🎚️ Escenario'!$C$11,1,1+$C$6))</f>
        <v>1.2</v>
      </c>
      <c r="FN98" s="238" t="n">
        <f aca="false">IF(FN96=0,0,IF(FN96&lt;=12*'🎚️ Escenario'!$C$11,1,1+$C$6))</f>
        <v>1.2</v>
      </c>
      <c r="FO98" s="238" t="n">
        <f aca="false">IF(FO96=0,0,IF(FO96&lt;=12*'🎚️ Escenario'!$C$11,1,1+$C$6))</f>
        <v>1.2</v>
      </c>
      <c r="FP98" s="238" t="n">
        <f aca="false">IF(FP96=0,0,IF(FP96&lt;=12*'🎚️ Escenario'!$C$11,1,1+$C$6))</f>
        <v>1.2</v>
      </c>
    </row>
    <row r="99" customFormat="false" ht="15" hidden="false" customHeight="false" outlineLevel="2" collapsed="false">
      <c r="B99" s="9" t="s">
        <v>876</v>
      </c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36" t="n">
        <f aca="false">AC97*$AC$95*AC98*AC$38*'⑫ Roll-out Plan'!$O$15</f>
        <v>0</v>
      </c>
      <c r="AD99" s="36" t="n">
        <f aca="false">AD97*$AC$95*AD98*AD$38*'⑫ Roll-out Plan'!$O$15</f>
        <v>0</v>
      </c>
      <c r="AE99" s="36" t="n">
        <f aca="false">AE97*$AC$95*AE98*AE$38*'⑫ Roll-out Plan'!$O$15</f>
        <v>0</v>
      </c>
      <c r="AF99" s="36" t="n">
        <f aca="false">AF97*$AC$95*AF98*AF$38*'⑫ Roll-out Plan'!$O$15</f>
        <v>0</v>
      </c>
      <c r="AG99" s="36" t="n">
        <f aca="false">AG97*$AC$95*AG98*AG$38*'⑫ Roll-out Plan'!$O$15</f>
        <v>0</v>
      </c>
      <c r="AH99" s="36" t="n">
        <f aca="false">AH97*$AC$95*AH98*AH$38*'⑫ Roll-out Plan'!$O$15</f>
        <v>0</v>
      </c>
      <c r="AI99" s="36" t="n">
        <f aca="false">AI97*$AC$95*AI98*AI$38*'⑫ Roll-out Plan'!$O$15</f>
        <v>0</v>
      </c>
      <c r="AJ99" s="36" t="n">
        <f aca="false">AJ97*$AC$95*AJ98*AJ$38*'⑫ Roll-out Plan'!$O$15</f>
        <v>0</v>
      </c>
      <c r="AK99" s="36" t="n">
        <f aca="false">AK97*$AC$95*AK98*AK$38*'⑫ Roll-out Plan'!$O$15</f>
        <v>0</v>
      </c>
      <c r="AL99" s="36" t="n">
        <f aca="false">AL97*$AC$95*AL98*AL$38*'⑫ Roll-out Plan'!$O$15</f>
        <v>0</v>
      </c>
      <c r="AM99" s="36" t="n">
        <f aca="false">AM97*$AC$95*AM98*AM$38*'⑫ Roll-out Plan'!$O$15</f>
        <v>0</v>
      </c>
      <c r="AN99" s="36" t="n">
        <f aca="false">AN97*$AC$95*AN98*AN$38*'⑫ Roll-out Plan'!$O$15</f>
        <v>0</v>
      </c>
      <c r="AO99" s="36" t="n">
        <f aca="false">AO97*$AC$95*AO98*AO$38*'⑫ Roll-out Plan'!$O$15</f>
        <v>0</v>
      </c>
      <c r="AP99" s="36" t="n">
        <f aca="false">AP97*$AC$95*AP98*AP$38*'⑫ Roll-out Plan'!$O$15</f>
        <v>0</v>
      </c>
      <c r="AQ99" s="36" t="n">
        <f aca="false">AQ97*$AC$95*AQ98*AQ$38*'⑫ Roll-out Plan'!$O$15</f>
        <v>0</v>
      </c>
      <c r="AR99" s="36" t="n">
        <f aca="false">AR97*$AC$95*AR98*AR$38*'⑫ Roll-out Plan'!$O$15</f>
        <v>0</v>
      </c>
      <c r="AS99" s="36" t="n">
        <f aca="false">AS97*$AC$95*AS98*AS$38*'⑫ Roll-out Plan'!$O$15</f>
        <v>0</v>
      </c>
      <c r="AT99" s="36" t="n">
        <f aca="false">AT97*$AC$95*AT98*AT$38*'⑫ Roll-out Plan'!$O$15</f>
        <v>0</v>
      </c>
      <c r="AU99" s="36" t="n">
        <f aca="false">AU97*$AC$95*AU98*AU$38*'⑫ Roll-out Plan'!$O$15</f>
        <v>0</v>
      </c>
      <c r="AV99" s="36" t="n">
        <f aca="false">AV97*$AC$95*AV98*AV$38*'⑫ Roll-out Plan'!$O$15</f>
        <v>0</v>
      </c>
      <c r="AW99" s="36" t="n">
        <f aca="false">AW97*$AC$95*AW98*AW$38*'⑫ Roll-out Plan'!$O$15</f>
        <v>0</v>
      </c>
      <c r="AX99" s="36" t="n">
        <f aca="false">AX97*$AC$95*AX98*AX$38*'⑫ Roll-out Plan'!$O$15</f>
        <v>0</v>
      </c>
      <c r="AY99" s="36" t="n">
        <f aca="false">AY97*$AC$95*AY98*AY$38*'⑫ Roll-out Plan'!$O$15</f>
        <v>0</v>
      </c>
      <c r="AZ99" s="36" t="n">
        <f aca="false">AZ97*$AC$95*AZ98*AZ$38*'⑫ Roll-out Plan'!$O$15</f>
        <v>0</v>
      </c>
      <c r="BA99" s="36" t="n">
        <f aca="false">BA97*$AC$95*BA98*BA$38*'⑫ Roll-out Plan'!$O$15</f>
        <v>0</v>
      </c>
      <c r="BB99" s="36" t="n">
        <f aca="false">BB97*$AC$95*BB98*BB$38*'⑫ Roll-out Plan'!$O$15</f>
        <v>34.44</v>
      </c>
      <c r="BC99" s="36" t="n">
        <f aca="false">BC97*$AC$95*BC98*BC$38*'⑫ Roll-out Plan'!$O$15</f>
        <v>53.592</v>
      </c>
      <c r="BD99" s="36" t="n">
        <f aca="false">BD97*$AC$95*BD98*BD$38*'⑫ Roll-out Plan'!$O$15</f>
        <v>55.44</v>
      </c>
      <c r="BE99" s="36" t="n">
        <f aca="false">BE97*$AC$95*BE98*BE$38*'⑫ Roll-out Plan'!$O$15</f>
        <v>52.164</v>
      </c>
      <c r="BF99" s="36" t="n">
        <f aca="false">BF97*$AC$95*BF98*BF$38*'⑫ Roll-out Plan'!$O$15</f>
        <v>45.36</v>
      </c>
      <c r="BG99" s="36" t="n">
        <f aca="false">BG97*$AC$95*BG98*BG$38*'⑫ Roll-out Plan'!$O$15</f>
        <v>54.684</v>
      </c>
      <c r="BH99" s="36" t="n">
        <f aca="false">BH97*$AC$95*BH98*BH$38*'⑫ Roll-out Plan'!$O$15</f>
        <v>104.37</v>
      </c>
      <c r="BI99" s="36" t="n">
        <f aca="false">BI97*$AC$95*BI98*BI$38*'⑫ Roll-out Plan'!$O$15</f>
        <v>95.004</v>
      </c>
      <c r="BJ99" s="36" t="n">
        <f aca="false">BJ97*$AC$95*BJ98*BJ$38*'⑫ Roll-out Plan'!$O$15</f>
        <v>88.704</v>
      </c>
      <c r="BK99" s="36" t="n">
        <f aca="false">BK97*$AC$95*BK98*BK$38*'⑫ Roll-out Plan'!$O$15</f>
        <v>66.528</v>
      </c>
      <c r="BL99" s="36" t="n">
        <f aca="false">BL97*$AC$95*BL98*BL$38*'⑫ Roll-out Plan'!$O$15</f>
        <v>102.816</v>
      </c>
      <c r="BM99" s="36" t="n">
        <f aca="false">BM97*$AC$95*BM98*BM$38*'⑫ Roll-out Plan'!$O$15</f>
        <v>117.936</v>
      </c>
      <c r="BN99" s="36" t="n">
        <f aca="false">BN97*$AC$95*BN98*BN$38*'⑫ Roll-out Plan'!$O$15</f>
        <v>96.432</v>
      </c>
      <c r="BO99" s="36" t="n">
        <f aca="false">BO97*$AC$95*BO98*BO$38*'⑫ Roll-out Plan'!$O$15</f>
        <v>146.16</v>
      </c>
      <c r="BP99" s="36" t="n">
        <f aca="false">BP97*$AC$95*BP98*BP$38*'⑫ Roll-out Plan'!$O$15</f>
        <v>138.6</v>
      </c>
      <c r="BQ99" s="36" t="n">
        <f aca="false">BQ97*$AC$95*BQ98*BQ$38*'⑫ Roll-out Plan'!$O$15</f>
        <v>146.0592</v>
      </c>
      <c r="BR99" s="36" t="n">
        <f aca="false">BR97*$AC$95*BR98*BR$38*'⑫ Roll-out Plan'!$O$15</f>
        <v>133.056</v>
      </c>
      <c r="BS99" s="36" t="n">
        <f aca="false">BS97*$AC$95*BS98*BS$38*'⑫ Roll-out Plan'!$O$15</f>
        <v>146.0592</v>
      </c>
      <c r="BT99" s="36" t="n">
        <f aca="false">BT97*$AC$95*BT98*BT$38*'⑫ Roll-out Plan'!$O$15</f>
        <v>254.0664</v>
      </c>
      <c r="BU99" s="36" t="n">
        <f aca="false">BU97*$AC$95*BU98*BU$38*'⑫ Roll-out Plan'!$O$15</f>
        <v>207.5472</v>
      </c>
      <c r="BV99" s="36" t="n">
        <f aca="false">BV97*$AC$95*BV98*BV$38*'⑫ Roll-out Plan'!$O$15</f>
        <v>176.6016</v>
      </c>
      <c r="BW99" s="36" t="n">
        <f aca="false">BW97*$AC$95*BW98*BW$38*'⑫ Roll-out Plan'!$O$15</f>
        <v>136.08</v>
      </c>
      <c r="BX99" s="36" t="n">
        <f aca="false">BX97*$AC$95*BX98*BX$38*'⑫ Roll-out Plan'!$O$15</f>
        <v>197.9208</v>
      </c>
      <c r="BY99" s="36" t="n">
        <f aca="false">BY97*$AC$95*BY98*BY$38*'⑫ Roll-out Plan'!$O$15</f>
        <v>215.0064</v>
      </c>
      <c r="BZ99" s="36" t="n">
        <f aca="false">BZ97*$AC$95*BZ98*BZ$38*'⑫ Roll-out Plan'!$O$15</f>
        <v>163.2456</v>
      </c>
      <c r="CA99" s="36" t="n">
        <f aca="false">CA97*$AC$95*CA98*CA$38*'⑫ Roll-out Plan'!$O$15</f>
        <v>233.856</v>
      </c>
      <c r="CB99" s="36" t="n">
        <f aca="false">CB97*$AC$95*CB98*CB$38*'⑫ Roll-out Plan'!$O$15</f>
        <v>227.304</v>
      </c>
      <c r="CC99" s="36" t="n">
        <f aca="false">CC97*$AC$95*CC98*CC$38*'⑫ Roll-out Plan'!$O$15</f>
        <v>194.7456</v>
      </c>
      <c r="CD99" s="36" t="n">
        <f aca="false">CD97*$AC$95*CD98*CD$38*'⑫ Roll-out Plan'!$O$15</f>
        <v>171.36</v>
      </c>
      <c r="CE99" s="36" t="n">
        <f aca="false">CE97*$AC$95*CE98*CE$38*'⑫ Roll-out Plan'!$O$15</f>
        <v>179.928</v>
      </c>
      <c r="CF99" s="36" t="n">
        <f aca="false">CF97*$AC$95*CF98*CF$38*'⑫ Roll-out Plan'!$O$15</f>
        <v>307.7424</v>
      </c>
      <c r="CG99" s="36" t="n">
        <f aca="false">CG97*$AC$95*CG98*CG$38*'⑫ Roll-out Plan'!$O$15</f>
        <v>257.2416</v>
      </c>
      <c r="CH99" s="36" t="n">
        <f aca="false">CH97*$AC$95*CH98*CH$38*'⑫ Roll-out Plan'!$O$15</f>
        <v>215.3088</v>
      </c>
      <c r="CI99" s="36" t="n">
        <f aca="false">CI97*$AC$95*CI98*CI$38*'⑫ Roll-out Plan'!$O$15</f>
        <v>163.296</v>
      </c>
      <c r="CJ99" s="36" t="n">
        <f aca="false">CJ97*$AC$95*CJ98*CJ$38*'⑫ Roll-out Plan'!$O$15</f>
        <v>231.336</v>
      </c>
      <c r="CK99" s="36" t="n">
        <f aca="false">CK97*$AC$95*CK98*CK$38*'⑫ Roll-out Plan'!$O$15</f>
        <v>250.3872</v>
      </c>
      <c r="CL99" s="36" t="n">
        <f aca="false">CL97*$AC$95*CL98*CL$38*'⑫ Roll-out Plan'!$O$15</f>
        <v>192.1752</v>
      </c>
      <c r="CM99" s="36" t="n">
        <f aca="false">CM97*$AC$95*CM98*CM$38*'⑫ Roll-out Plan'!$O$15</f>
        <v>274.7808</v>
      </c>
      <c r="CN99" s="36" t="n">
        <f aca="false">CN97*$AC$95*CN98*CN$38*'⑫ Roll-out Plan'!$O$15</f>
        <v>263.34</v>
      </c>
      <c r="CO99" s="36" t="n">
        <f aca="false">CO97*$AC$95*CO98*CO$38*'⑫ Roll-out Plan'!$O$15</f>
        <v>220.248</v>
      </c>
      <c r="CP99" s="36" t="n">
        <f aca="false">CP97*$AC$95*CP98*CP$38*'⑫ Roll-out Plan'!$O$15</f>
        <v>195.552</v>
      </c>
      <c r="CQ99" s="36" t="n">
        <f aca="false">CQ97*$AC$95*CQ98*CQ$38*'⑫ Roll-out Plan'!$O$15</f>
        <v>207.4464</v>
      </c>
      <c r="CR99" s="36" t="n">
        <f aca="false">CR97*$AC$95*CR98*CR$38*'⑫ Roll-out Plan'!$O$15</f>
        <v>354.2616</v>
      </c>
      <c r="CS99" s="36" t="n">
        <f aca="false">CS97*$AC$95*CS98*CS$38*'⑫ Roll-out Plan'!$O$15</f>
        <v>292.32</v>
      </c>
      <c r="CT99" s="36" t="n">
        <f aca="false">CT97*$AC$95*CT98*CT$38*'⑫ Roll-out Plan'!$O$15</f>
        <v>241.92</v>
      </c>
      <c r="CU99" s="36" t="n">
        <f aca="false">CU97*$AC$95*CU98*CU$38*'⑫ Roll-out Plan'!$O$15</f>
        <v>181.44</v>
      </c>
      <c r="CV99" s="36" t="n">
        <f aca="false">CV97*$AC$95*CV98*CV$38*'⑫ Roll-out Plan'!$O$15</f>
        <v>257.04</v>
      </c>
      <c r="CW99" s="36" t="n">
        <f aca="false">CW97*$AC$95*CW98*CW$38*'⑫ Roll-out Plan'!$O$15</f>
        <v>272.16</v>
      </c>
      <c r="CX99" s="36" t="n">
        <f aca="false">CX97*$AC$95*CX98*CX$38*'⑫ Roll-out Plan'!$O$15</f>
        <v>206.64</v>
      </c>
      <c r="CY99" s="36" t="n">
        <f aca="false">CY97*$AC$95*CY98*CY$38*'⑫ Roll-out Plan'!$O$15</f>
        <v>292.32</v>
      </c>
      <c r="CZ99" s="36" t="n">
        <f aca="false">CZ97*$AC$95*CZ98*CZ$38*'⑫ Roll-out Plan'!$O$15</f>
        <v>277.2</v>
      </c>
      <c r="DA99" s="36" t="n">
        <f aca="false">DA97*$AC$95*DA98*DA$38*'⑫ Roll-out Plan'!$O$15</f>
        <v>231.84</v>
      </c>
      <c r="DB99" s="36" t="n">
        <f aca="false">DB97*$AC$95*DB98*DB$38*'⑫ Roll-out Plan'!$O$15</f>
        <v>201.6</v>
      </c>
      <c r="DC99" s="36" t="n">
        <f aca="false">DC97*$AC$95*DC98*DC$38*'⑫ Roll-out Plan'!$O$15</f>
        <v>211.68</v>
      </c>
      <c r="DD99" s="36" t="n">
        <f aca="false">DD97*$AC$95*DD98*DD$38*'⑫ Roll-out Plan'!$O$15</f>
        <v>357.84</v>
      </c>
      <c r="DE99" s="36" t="n">
        <f aca="false">DE97*$AC$95*DE98*DE$38*'⑫ Roll-out Plan'!$O$15</f>
        <v>292.32</v>
      </c>
      <c r="DF99" s="36" t="n">
        <f aca="false">DF97*$AC$95*DF98*DF$38*'⑫ Roll-out Plan'!$O$15</f>
        <v>241.92</v>
      </c>
      <c r="DG99" s="36" t="n">
        <f aca="false">DG97*$AC$95*DG98*DG$38*'⑫ Roll-out Plan'!$O$15</f>
        <v>181.44</v>
      </c>
      <c r="DH99" s="36" t="n">
        <f aca="false">DH97*$AC$95*DH98*DH$38*'⑫ Roll-out Plan'!$O$15</f>
        <v>257.04</v>
      </c>
      <c r="DI99" s="36" t="n">
        <f aca="false">DI97*$AC$95*DI98*DI$38*'⑫ Roll-out Plan'!$O$15</f>
        <v>272.16</v>
      </c>
      <c r="DJ99" s="36" t="n">
        <f aca="false">DJ97*$AC$95*DJ98*DJ$38*'⑫ Roll-out Plan'!$O$15</f>
        <v>206.64</v>
      </c>
      <c r="DK99" s="36" t="n">
        <f aca="false">DK97*$AC$95*DK98*DK$38*'⑫ Roll-out Plan'!$O$15</f>
        <v>292.32</v>
      </c>
      <c r="DL99" s="36" t="n">
        <f aca="false">DL97*$AC$95*DL98*DL$38*'⑫ Roll-out Plan'!$O$15</f>
        <v>277.2</v>
      </c>
      <c r="DM99" s="36" t="n">
        <f aca="false">DM97*$AC$95*DM98*DM$38*'⑫ Roll-out Plan'!$O$15</f>
        <v>231.84</v>
      </c>
      <c r="DN99" s="36" t="n">
        <f aca="false">DN97*$AC$95*DN98*DN$38*'⑫ Roll-out Plan'!$O$15</f>
        <v>201.6</v>
      </c>
      <c r="DO99" s="36" t="n">
        <f aca="false">DO97*$AC$95*DO98*DO$38*'⑫ Roll-out Plan'!$O$15</f>
        <v>211.68</v>
      </c>
      <c r="DP99" s="36" t="n">
        <f aca="false">DP97*$AC$95*DP98*DP$38*'⑫ Roll-out Plan'!$O$15</f>
        <v>357.84</v>
      </c>
      <c r="DQ99" s="36" t="n">
        <f aca="false">DQ97*$AC$95*DQ98*DQ$38*'⑫ Roll-out Plan'!$O$15</f>
        <v>292.32</v>
      </c>
      <c r="DR99" s="36" t="n">
        <f aca="false">DR97*$AC$95*DR98*DR$38*'⑫ Roll-out Plan'!$O$15</f>
        <v>241.92</v>
      </c>
      <c r="DS99" s="36" t="n">
        <f aca="false">DS97*$AC$95*DS98*DS$38*'⑫ Roll-out Plan'!$O$15</f>
        <v>181.44</v>
      </c>
      <c r="DT99" s="36" t="n">
        <f aca="false">DT97*$AC$95*DT98*DT$38*'⑫ Roll-out Plan'!$O$15</f>
        <v>257.04</v>
      </c>
      <c r="DU99" s="36" t="n">
        <f aca="false">DU97*$AC$95*DU98*DU$38*'⑫ Roll-out Plan'!$O$15</f>
        <v>272.16</v>
      </c>
      <c r="DV99" s="36" t="n">
        <f aca="false">DV97*$AC$95*DV98*DV$38*'⑫ Roll-out Plan'!$O$15</f>
        <v>206.64</v>
      </c>
      <c r="DW99" s="36" t="n">
        <f aca="false">DW97*$AC$95*DW98*DW$38*'⑫ Roll-out Plan'!$O$15</f>
        <v>292.32</v>
      </c>
      <c r="DX99" s="36" t="n">
        <f aca="false">DX97*$AC$95*DX98*DX$38*'⑫ Roll-out Plan'!$O$15</f>
        <v>277.2</v>
      </c>
      <c r="DY99" s="36" t="n">
        <f aca="false">DY97*$AC$95*DY98*DY$38*'⑫ Roll-out Plan'!$O$15</f>
        <v>231.84</v>
      </c>
      <c r="DZ99" s="36" t="n">
        <f aca="false">DZ97*$AC$95*DZ98*DZ$38*'⑫ Roll-out Plan'!$O$15</f>
        <v>201.6</v>
      </c>
      <c r="EA99" s="36" t="n">
        <f aca="false">EA97*$AC$95*EA98*EA$38*'⑫ Roll-out Plan'!$O$15</f>
        <v>211.68</v>
      </c>
      <c r="EB99" s="36" t="n">
        <f aca="false">EB97*$AC$95*EB98*EB$38*'⑫ Roll-out Plan'!$O$15</f>
        <v>357.84</v>
      </c>
      <c r="EC99" s="36" t="n">
        <f aca="false">EC97*$AC$95*EC98*EC$38*'⑫ Roll-out Plan'!$O$15</f>
        <v>292.32</v>
      </c>
      <c r="ED99" s="36" t="n">
        <f aca="false">ED97*$AC$95*ED98*ED$38*'⑫ Roll-out Plan'!$O$15</f>
        <v>241.92</v>
      </c>
      <c r="EE99" s="36" t="n">
        <f aca="false">EE97*$AC$95*EE98*EE$38*'⑫ Roll-out Plan'!$O$15</f>
        <v>181.44</v>
      </c>
      <c r="EF99" s="36" t="n">
        <f aca="false">EF97*$AC$95*EF98*EF$38*'⑫ Roll-out Plan'!$O$15</f>
        <v>257.04</v>
      </c>
      <c r="EG99" s="36" t="n">
        <f aca="false">EG97*$AC$95*EG98*EG$38*'⑫ Roll-out Plan'!$O$15</f>
        <v>272.16</v>
      </c>
      <c r="EH99" s="36" t="n">
        <f aca="false">EH97*$AC$95*EH98*EH$38*'⑫ Roll-out Plan'!$O$15</f>
        <v>206.64</v>
      </c>
      <c r="EI99" s="36" t="n">
        <f aca="false">EI97*$AC$95*EI98*EI$38*'⑫ Roll-out Plan'!$O$15</f>
        <v>292.32</v>
      </c>
      <c r="EJ99" s="36" t="n">
        <f aca="false">EJ97*$AC$95*EJ98*EJ$38*'⑫ Roll-out Plan'!$O$15</f>
        <v>277.2</v>
      </c>
      <c r="EK99" s="36" t="n">
        <f aca="false">EK97*$AC$95*EK98*EK$38*'⑫ Roll-out Plan'!$O$15</f>
        <v>231.84</v>
      </c>
      <c r="EL99" s="36" t="n">
        <f aca="false">EL97*$AC$95*EL98*EL$38*'⑫ Roll-out Plan'!$O$15</f>
        <v>201.6</v>
      </c>
      <c r="EM99" s="36" t="n">
        <f aca="false">EM97*$AC$95*EM98*EM$38*'⑫ Roll-out Plan'!$O$15</f>
        <v>211.68</v>
      </c>
      <c r="EN99" s="36" t="n">
        <f aca="false">EN97*$AC$95*EN98*EN$38*'⑫ Roll-out Plan'!$O$15</f>
        <v>357.84</v>
      </c>
      <c r="EO99" s="36" t="n">
        <f aca="false">EO97*$AC$95*EO98*EO$38*'⑫ Roll-out Plan'!$O$15</f>
        <v>292.32</v>
      </c>
      <c r="EP99" s="36" t="n">
        <f aca="false">EP97*$AC$95*EP98*EP$38*'⑫ Roll-out Plan'!$O$15</f>
        <v>241.92</v>
      </c>
      <c r="EQ99" s="36" t="n">
        <f aca="false">EQ97*$AC$95*EQ98*EQ$38*'⑫ Roll-out Plan'!$O$15</f>
        <v>181.44</v>
      </c>
      <c r="ER99" s="36" t="n">
        <f aca="false">ER97*$AC$95*ER98*ER$38*'⑫ Roll-out Plan'!$O$15</f>
        <v>257.04</v>
      </c>
      <c r="ES99" s="9" t="n">
        <f aca="false">ES97*$AC$95*ES98*ES$38*'⑫ Roll-out Plan'!$O$15</f>
        <v>272.16</v>
      </c>
      <c r="ET99" s="9" t="n">
        <f aca="false">ET97*$AC$95*ET98*ET$38*'⑫ Roll-out Plan'!$O$15</f>
        <v>206.64</v>
      </c>
      <c r="EU99" s="9" t="n">
        <f aca="false">EU97*$AC$95*EU98*EU$38*'⑫ Roll-out Plan'!$O$15</f>
        <v>292.32</v>
      </c>
      <c r="EV99" s="9" t="n">
        <f aca="false">EV97*$AC$95*EV98*EV$38*'⑫ Roll-out Plan'!$O$15</f>
        <v>277.2</v>
      </c>
      <c r="EW99" s="9" t="n">
        <f aca="false">EW97*$AC$95*EW98*EW$38*'⑫ Roll-out Plan'!$O$15</f>
        <v>231.84</v>
      </c>
      <c r="EX99" s="9" t="n">
        <f aca="false">EX97*$AC$95*EX98*EX$38*'⑫ Roll-out Plan'!$O$15</f>
        <v>201.6</v>
      </c>
      <c r="EY99" s="9" t="n">
        <f aca="false">EY97*$AC$95*EY98*EY$38*'⑫ Roll-out Plan'!$O$15</f>
        <v>211.68</v>
      </c>
      <c r="EZ99" s="9" t="n">
        <f aca="false">EZ97*$AC$95*EZ98*EZ$38*'⑫ Roll-out Plan'!$O$15</f>
        <v>357.84</v>
      </c>
      <c r="FA99" s="9" t="n">
        <f aca="false">FA97*$AC$95*FA98*FA$38*'⑫ Roll-out Plan'!$O$15</f>
        <v>292.32</v>
      </c>
      <c r="FB99" s="9" t="n">
        <f aca="false">FB97*$AC$95*FB98*FB$38*'⑫ Roll-out Plan'!$O$15</f>
        <v>241.92</v>
      </c>
      <c r="FC99" s="9" t="n">
        <f aca="false">FC97*$AC$95*FC98*FC$38*'⑫ Roll-out Plan'!$O$15</f>
        <v>181.44</v>
      </c>
      <c r="FD99" s="9" t="n">
        <f aca="false">FD97*$AC$95*FD98*FD$38*'⑫ Roll-out Plan'!$O$15</f>
        <v>257.04</v>
      </c>
      <c r="FE99" s="9" t="n">
        <f aca="false">FE97*$AC$95*FE98*FE$38*'⑫ Roll-out Plan'!$O$15</f>
        <v>272.16</v>
      </c>
      <c r="FF99" s="9" t="n">
        <f aca="false">FF97*$AC$95*FF98*FF$38*'⑫ Roll-out Plan'!$O$15</f>
        <v>206.64</v>
      </c>
      <c r="FG99" s="9" t="n">
        <f aca="false">FG97*$AC$95*FG98*FG$38*'⑫ Roll-out Plan'!$O$15</f>
        <v>292.32</v>
      </c>
      <c r="FH99" s="9" t="n">
        <f aca="false">FH97*$AC$95*FH98*FH$38*'⑫ Roll-out Plan'!$O$15</f>
        <v>277.2</v>
      </c>
      <c r="FI99" s="9" t="n">
        <f aca="false">FI97*$AC$95*FI98*FI$38*'⑫ Roll-out Plan'!$O$15</f>
        <v>231.84</v>
      </c>
      <c r="FJ99" s="9" t="n">
        <f aca="false">FJ97*$AC$95*FJ98*FJ$38*'⑫ Roll-out Plan'!$O$15</f>
        <v>201.6</v>
      </c>
      <c r="FK99" s="9" t="n">
        <f aca="false">FK97*$AC$95*FK98*FK$38*'⑫ Roll-out Plan'!$O$15</f>
        <v>211.68</v>
      </c>
      <c r="FL99" s="9" t="n">
        <f aca="false">FL97*$AC$95*FL98*FL$38*'⑫ Roll-out Plan'!$O$15</f>
        <v>357.84</v>
      </c>
      <c r="FM99" s="9" t="n">
        <f aca="false">FM97*$AC$95*FM98*FM$38*'⑫ Roll-out Plan'!$O$15</f>
        <v>292.32</v>
      </c>
      <c r="FN99" s="9" t="n">
        <f aca="false">FN97*$AC$95*FN98*FN$38*'⑫ Roll-out Plan'!$O$15</f>
        <v>241.92</v>
      </c>
      <c r="FO99" s="9" t="n">
        <f aca="false">FO97*$AC$95*FO98*FO$38*'⑫ Roll-out Plan'!$O$15</f>
        <v>181.44</v>
      </c>
      <c r="FP99" s="9" t="n">
        <f aca="false">FP97*$AC$95*FP98*FP$38*'⑫ Roll-out Plan'!$O$15</f>
        <v>257.04</v>
      </c>
    </row>
    <row r="100" customFormat="false" ht="15" hidden="false" customHeight="false" outlineLevel="2" collapsed="false">
      <c r="B100" s="9" t="s">
        <v>877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112" t="n">
        <f aca="true">IFERROR(SUMPRODUCT(OFFSET($BJ$31,0,1-MIN(60,COLUMN()-29),1,MIN(60,COLUMN()-29)),OFFSET(AC99,0,-MIN(60,COLUMN()-29),1,MIN(60,COLUMN()-29))),0)</f>
        <v>0</v>
      </c>
      <c r="AD100" s="112" t="n">
        <f aca="true">IFERROR(SUMPRODUCT(OFFSET($BJ$31,0,1-MIN(60,COLUMN()-29),1,MIN(60,COLUMN()-29)),OFFSET(AD99,0,-MIN(60,COLUMN()-29),1,MIN(60,COLUMN()-29))),0)</f>
        <v>0</v>
      </c>
      <c r="AE100" s="112" t="n">
        <f aca="true">IFERROR(SUMPRODUCT(OFFSET($BJ$31,0,1-MIN(60,COLUMN()-29),1,MIN(60,COLUMN()-29)),OFFSET(AE99,0,-MIN(60,COLUMN()-29),1,MIN(60,COLUMN()-29))),0)</f>
        <v>0</v>
      </c>
      <c r="AF100" s="112" t="n">
        <f aca="true">IFERROR(SUMPRODUCT(OFFSET($BJ$31,0,1-MIN(60,COLUMN()-29),1,MIN(60,COLUMN()-29)),OFFSET(AF99,0,-MIN(60,COLUMN()-29),1,MIN(60,COLUMN()-29))),0)</f>
        <v>0</v>
      </c>
      <c r="AG100" s="112" t="n">
        <f aca="true">IFERROR(SUMPRODUCT(OFFSET($BJ$31,0,1-MIN(60,COLUMN()-29),1,MIN(60,COLUMN()-29)),OFFSET(AG99,0,-MIN(60,COLUMN()-29),1,MIN(60,COLUMN()-29))),0)</f>
        <v>0</v>
      </c>
      <c r="AH100" s="112" t="n">
        <f aca="true">IFERROR(SUMPRODUCT(OFFSET($BJ$31,0,1-MIN(60,COLUMN()-29),1,MIN(60,COLUMN()-29)),OFFSET(AH99,0,-MIN(60,COLUMN()-29),1,MIN(60,COLUMN()-29))),0)</f>
        <v>0</v>
      </c>
      <c r="AI100" s="112" t="n">
        <f aca="true">IFERROR(SUMPRODUCT(OFFSET($BJ$31,0,1-MIN(60,COLUMN()-29),1,MIN(60,COLUMN()-29)),OFFSET(AI99,0,-MIN(60,COLUMN()-29),1,MIN(60,COLUMN()-29))),0)</f>
        <v>0</v>
      </c>
      <c r="AJ100" s="112" t="n">
        <f aca="true">IFERROR(SUMPRODUCT(OFFSET($BJ$31,0,1-MIN(60,COLUMN()-29),1,MIN(60,COLUMN()-29)),OFFSET(AJ99,0,-MIN(60,COLUMN()-29),1,MIN(60,COLUMN()-29))),0)</f>
        <v>0</v>
      </c>
      <c r="AK100" s="112" t="n">
        <f aca="true">IFERROR(SUMPRODUCT(OFFSET($BJ$31,0,1-MIN(60,COLUMN()-29),1,MIN(60,COLUMN()-29)),OFFSET(AK99,0,-MIN(60,COLUMN()-29),1,MIN(60,COLUMN()-29))),0)</f>
        <v>0</v>
      </c>
      <c r="AL100" s="112" t="n">
        <f aca="true">IFERROR(SUMPRODUCT(OFFSET($BJ$31,0,1-MIN(60,COLUMN()-29),1,MIN(60,COLUMN()-29)),OFFSET(AL99,0,-MIN(60,COLUMN()-29),1,MIN(60,COLUMN()-29))),0)</f>
        <v>0</v>
      </c>
      <c r="AM100" s="112" t="n">
        <f aca="true">IFERROR(SUMPRODUCT(OFFSET($BJ$31,0,1-MIN(60,COLUMN()-29),1,MIN(60,COLUMN()-29)),OFFSET(AM99,0,-MIN(60,COLUMN()-29),1,MIN(60,COLUMN()-29))),0)</f>
        <v>0</v>
      </c>
      <c r="AN100" s="112" t="n">
        <f aca="true">IFERROR(SUMPRODUCT(OFFSET($BJ$31,0,1-MIN(60,COLUMN()-29),1,MIN(60,COLUMN()-29)),OFFSET(AN99,0,-MIN(60,COLUMN()-29),1,MIN(60,COLUMN()-29))),0)</f>
        <v>0</v>
      </c>
      <c r="AO100" s="112" t="n">
        <f aca="true">IFERROR(SUMPRODUCT(OFFSET($BJ$31,0,1-MIN(60,COLUMN()-29),1,MIN(60,COLUMN()-29)),OFFSET(AO99,0,-MIN(60,COLUMN()-29),1,MIN(60,COLUMN()-29))),0)</f>
        <v>0</v>
      </c>
      <c r="AP100" s="112" t="n">
        <f aca="true">IFERROR(SUMPRODUCT(OFFSET($BJ$31,0,1-MIN(60,COLUMN()-29),1,MIN(60,COLUMN()-29)),OFFSET(AP99,0,-MIN(60,COLUMN()-29),1,MIN(60,COLUMN()-29))),0)</f>
        <v>0</v>
      </c>
      <c r="AQ100" s="112" t="n">
        <f aca="true">IFERROR(SUMPRODUCT(OFFSET($BJ$31,0,1-MIN(60,COLUMN()-29),1,MIN(60,COLUMN()-29)),OFFSET(AQ99,0,-MIN(60,COLUMN()-29),1,MIN(60,COLUMN()-29))),0)</f>
        <v>0</v>
      </c>
      <c r="AR100" s="112" t="n">
        <f aca="true">IFERROR(SUMPRODUCT(OFFSET($BJ$31,0,1-MIN(60,COLUMN()-29),1,MIN(60,COLUMN()-29)),OFFSET(AR99,0,-MIN(60,COLUMN()-29),1,MIN(60,COLUMN()-29))),0)</f>
        <v>0</v>
      </c>
      <c r="AS100" s="112" t="n">
        <f aca="true">IFERROR(SUMPRODUCT(OFFSET($BJ$31,0,1-MIN(60,COLUMN()-29),1,MIN(60,COLUMN()-29)),OFFSET(AS99,0,-MIN(60,COLUMN()-29),1,MIN(60,COLUMN()-29))),0)</f>
        <v>0</v>
      </c>
      <c r="AT100" s="112" t="n">
        <f aca="true">IFERROR(SUMPRODUCT(OFFSET($BJ$31,0,1-MIN(60,COLUMN()-29),1,MIN(60,COLUMN()-29)),OFFSET(AT99,0,-MIN(60,COLUMN()-29),1,MIN(60,COLUMN()-29))),0)</f>
        <v>0</v>
      </c>
      <c r="AU100" s="112" t="n">
        <f aca="true">IFERROR(SUMPRODUCT(OFFSET($BJ$31,0,1-MIN(60,COLUMN()-29),1,MIN(60,COLUMN()-29)),OFFSET(AU99,0,-MIN(60,COLUMN()-29),1,MIN(60,COLUMN()-29))),0)</f>
        <v>0</v>
      </c>
      <c r="AV100" s="112" t="n">
        <f aca="true">IFERROR(SUMPRODUCT(OFFSET($BJ$31,0,1-MIN(60,COLUMN()-29),1,MIN(60,COLUMN()-29)),OFFSET(AV99,0,-MIN(60,COLUMN()-29),1,MIN(60,COLUMN()-29))),0)</f>
        <v>0</v>
      </c>
      <c r="AW100" s="112" t="n">
        <f aca="true">IFERROR(SUMPRODUCT(OFFSET($BJ$31,0,1-MIN(60,COLUMN()-29),1,MIN(60,COLUMN()-29)),OFFSET(AW99,0,-MIN(60,COLUMN()-29),1,MIN(60,COLUMN()-29))),0)</f>
        <v>0</v>
      </c>
      <c r="AX100" s="112" t="n">
        <f aca="true">IFERROR(SUMPRODUCT(OFFSET($BJ$31,0,1-MIN(60,COLUMN()-29),1,MIN(60,COLUMN()-29)),OFFSET(AX99,0,-MIN(60,COLUMN()-29),1,MIN(60,COLUMN()-29))),0)</f>
        <v>0</v>
      </c>
      <c r="AY100" s="112" t="n">
        <f aca="true">IFERROR(SUMPRODUCT(OFFSET($BJ$31,0,1-MIN(60,COLUMN()-29),1,MIN(60,COLUMN()-29)),OFFSET(AY99,0,-MIN(60,COLUMN()-29),1,MIN(60,COLUMN()-29))),0)</f>
        <v>0</v>
      </c>
      <c r="AZ100" s="112" t="n">
        <f aca="true">IFERROR(SUMPRODUCT(OFFSET($BJ$31,0,1-MIN(60,COLUMN()-29),1,MIN(60,COLUMN()-29)),OFFSET(AZ99,0,-MIN(60,COLUMN()-29),1,MIN(60,COLUMN()-29))),0)</f>
        <v>0</v>
      </c>
      <c r="BA100" s="112" t="n">
        <f aca="true">IFERROR(SUMPRODUCT(OFFSET($BJ$31,0,1-MIN(60,COLUMN()-29),1,MIN(60,COLUMN()-29)),OFFSET(BA99,0,-MIN(60,COLUMN()-29),1,MIN(60,COLUMN()-29))),0)</f>
        <v>0</v>
      </c>
      <c r="BB100" s="112" t="n">
        <f aca="true">IFERROR(SUMPRODUCT(OFFSET($BJ$31,0,1-MIN(60,COLUMN()-29),1,MIN(60,COLUMN()-29)),OFFSET(BB99,0,-MIN(60,COLUMN()-29),1,MIN(60,COLUMN()-29))),0)</f>
        <v>0</v>
      </c>
      <c r="BC100" s="112" t="n">
        <f aca="true">IFERROR(SUMPRODUCT(OFFSET($BJ$31,0,1-MIN(60,COLUMN()-29),1,MIN(60,COLUMN()-29)),OFFSET(BC99,0,-MIN(60,COLUMN()-29),1,MIN(60,COLUMN()-29))),0)</f>
        <v>4.40832</v>
      </c>
      <c r="BD100" s="112" t="n">
        <f aca="true">IFERROR(SUMPRODUCT(OFFSET($BJ$31,0,1-MIN(60,COLUMN()-29),1,MIN(60,COLUMN()-29)),OFFSET(BD99,0,-MIN(60,COLUMN()-29),1,MIN(60,COLUMN()-29))),0)</f>
        <v>7.46592</v>
      </c>
      <c r="BE100" s="112" t="n">
        <f aca="true">IFERROR(SUMPRODUCT(OFFSET($BJ$31,0,1-MIN(60,COLUMN()-29),1,MIN(60,COLUMN()-29)),OFFSET(BE99,0,-MIN(60,COLUMN()-29),1,MIN(60,COLUMN()-29))),0)</f>
        <v>8.8109952</v>
      </c>
      <c r="BF100" s="112" t="n">
        <f aca="true">IFERROR(SUMPRODUCT(OFFSET($BJ$31,0,1-MIN(60,COLUMN()-29),1,MIN(60,COLUMN()-29)),OFFSET(BF99,0,-MIN(60,COLUMN()-29),1,MIN(60,COLUMN()-29))),0)</f>
        <v>9.2940288</v>
      </c>
      <c r="BG100" s="112" t="n">
        <f aca="true">IFERROR(SUMPRODUCT(OFFSET($BJ$31,0,1-MIN(60,COLUMN()-29),1,MIN(60,COLUMN()-29)),OFFSET(BG99,0,-MIN(60,COLUMN()-29),1,MIN(60,COLUMN()-29))),0)</f>
        <v>8.982624</v>
      </c>
      <c r="BH100" s="112" t="n">
        <f aca="true">IFERROR(SUMPRODUCT(OFFSET($BJ$31,0,1-MIN(60,COLUMN()-29),1,MIN(60,COLUMN()-29)),OFFSET(BH99,0,-MIN(60,COLUMN()-29),1,MIN(60,COLUMN()-29))),0)</f>
        <v>10.3557888</v>
      </c>
      <c r="BI100" s="112" t="n">
        <f aca="true">IFERROR(SUMPRODUCT(OFFSET($BJ$31,0,1-MIN(60,COLUMN()-29),1,MIN(60,COLUMN()-29)),OFFSET(BI99,0,-MIN(60,COLUMN()-29),1,MIN(60,COLUMN()-29))),0)</f>
        <v>17.3460672</v>
      </c>
      <c r="BJ100" s="112" t="n">
        <f aca="true">IFERROR(SUMPRODUCT(OFFSET($BJ$31,0,1-MIN(60,COLUMN()-29),1,MIN(60,COLUMN()-29)),OFFSET(BJ99,0,-MIN(60,COLUMN()-29),1,MIN(60,COLUMN()-29))),0)</f>
        <v>17.592624</v>
      </c>
      <c r="BK100" s="112" t="n">
        <f aca="true">IFERROR(SUMPRODUCT(OFFSET($BJ$31,0,1-MIN(60,COLUMN()-29),1,MIN(60,COLUMN()-29)),OFFSET(BK99,0,-MIN(60,COLUMN()-29),1,MIN(60,COLUMN()-29))),0)</f>
        <v>18.2247744</v>
      </c>
      <c r="BL100" s="112" t="n">
        <f aca="true">IFERROR(SUMPRODUCT(OFFSET($BJ$31,0,1-MIN(60,COLUMN()-29),1,MIN(60,COLUMN()-29)),OFFSET(BL99,0,-MIN(60,COLUMN()-29),1,MIN(60,COLUMN()-29))),0)</f>
        <v>16.5048576</v>
      </c>
      <c r="BM100" s="112" t="n">
        <f aca="true">IFERROR(SUMPRODUCT(OFFSET($BJ$31,0,1-MIN(60,COLUMN()-29),1,MIN(60,COLUMN()-29)),OFFSET(BM99,0,-MIN(60,COLUMN()-29),1,MIN(60,COLUMN()-29))),0)</f>
        <v>21.3605952</v>
      </c>
      <c r="BN100" s="112" t="n">
        <f aca="true">IFERROR(SUMPRODUCT(OFFSET($BJ$31,0,1-MIN(60,COLUMN()-29),1,MIN(60,COLUMN()-29)),OFFSET(BN99,0,-MIN(60,COLUMN()-29),1,MIN(60,COLUMN()-29))),0)</f>
        <v>24.6214752</v>
      </c>
      <c r="BO100" s="112" t="n">
        <f aca="true">IFERROR(SUMPRODUCT(OFFSET($BJ$31,0,1-MIN(60,COLUMN()-29),1,MIN(60,COLUMN()-29)),OFFSET(BO99,0,-MIN(60,COLUMN()-29),1,MIN(60,COLUMN()-29))),0)</f>
        <v>25.014528</v>
      </c>
      <c r="BP100" s="112" t="n">
        <f aca="true">IFERROR(SUMPRODUCT(OFFSET($BJ$31,0,1-MIN(60,COLUMN()-29),1,MIN(60,COLUMN()-29)),OFFSET(BP99,0,-MIN(60,COLUMN()-29),1,MIN(60,COLUMN()-29))),0)</f>
        <v>32.719344</v>
      </c>
      <c r="BQ100" s="112" t="n">
        <f aca="true">IFERROR(SUMPRODUCT(OFFSET($BJ$31,0,1-MIN(60,COLUMN()-29),1,MIN(60,COLUMN()-29)),OFFSET(BQ99,0,-MIN(60,COLUMN()-29),1,MIN(60,COLUMN()-29))),0)</f>
        <v>33.6303744</v>
      </c>
      <c r="BR100" s="112" t="n">
        <f aca="true">IFERROR(SUMPRODUCT(OFFSET($BJ$31,0,1-MIN(60,COLUMN()-29),1,MIN(60,COLUMN()-29)),OFFSET(BR99,0,-MIN(60,COLUMN()-29),1,MIN(60,COLUMN()-29))),0)</f>
        <v>36.2497632</v>
      </c>
      <c r="BS100" s="112" t="n">
        <f aca="true">IFERROR(SUMPRODUCT(OFFSET($BJ$31,0,1-MIN(60,COLUMN()-29),1,MIN(60,COLUMN()-29)),OFFSET(BS99,0,-MIN(60,COLUMN()-29),1,MIN(60,COLUMN()-29))),0)</f>
        <v>36.62165472</v>
      </c>
      <c r="BT100" s="112" t="n">
        <f aca="true">IFERROR(SUMPRODUCT(OFFSET($BJ$31,0,1-MIN(60,COLUMN()-29),1,MIN(60,COLUMN()-29)),OFFSET(BT99,0,-MIN(60,COLUMN()-29),1,MIN(60,COLUMN()-29))),0)</f>
        <v>41.72121408</v>
      </c>
      <c r="BU100" s="112" t="n">
        <f aca="true">IFERROR(SUMPRODUCT(OFFSET($BJ$31,0,1-MIN(60,COLUMN()-29),1,MIN(60,COLUMN()-29)),OFFSET(BU99,0,-MIN(60,COLUMN()-29),1,MIN(60,COLUMN()-29))),0)</f>
        <v>58.53787968</v>
      </c>
      <c r="BV100" s="112" t="n">
        <f aca="true">IFERROR(SUMPRODUCT(OFFSET($BJ$31,0,1-MIN(60,COLUMN()-29),1,MIN(60,COLUMN()-29)),OFFSET(BV99,0,-MIN(60,COLUMN()-29),1,MIN(60,COLUMN()-29))),0)</f>
        <v>57.68884464</v>
      </c>
      <c r="BW100" s="112" t="n">
        <f aca="true">IFERROR(SUMPRODUCT(OFFSET($BJ$31,0,1-MIN(60,COLUMN()-29),1,MIN(60,COLUMN()-29)),OFFSET(BW99,0,-MIN(60,COLUMN()-29),1,MIN(60,COLUMN()-29))),0)</f>
        <v>56.734188</v>
      </c>
      <c r="BX100" s="112" t="n">
        <f aca="true">IFERROR(SUMPRODUCT(OFFSET($BJ$31,0,1-MIN(60,COLUMN()-29),1,MIN(60,COLUMN()-29)),OFFSET(BX99,0,-MIN(60,COLUMN()-29),1,MIN(60,COLUMN()-29))),0)</f>
        <v>53.67219648</v>
      </c>
      <c r="BY100" s="112" t="n">
        <f aca="true">IFERROR(SUMPRODUCT(OFFSET($BJ$31,0,1-MIN(60,COLUMN()-29),1,MIN(60,COLUMN()-29)),OFFSET(BY99,0,-MIN(60,COLUMN()-29),1,MIN(60,COLUMN()-29))),0)</f>
        <v>65.61009336</v>
      </c>
      <c r="BZ100" s="112" t="n">
        <f aca="true">IFERROR(SUMPRODUCT(OFFSET($BJ$31,0,1-MIN(60,COLUMN()-29),1,MIN(60,COLUMN()-29)),OFFSET(BZ99,0,-MIN(60,COLUMN()-29),1,MIN(60,COLUMN()-29))),0)</f>
        <v>70.74491592</v>
      </c>
      <c r="CA100" s="112" t="n">
        <f aca="true">IFERROR(SUMPRODUCT(OFFSET($BJ$31,0,1-MIN(60,COLUMN()-29),1,MIN(60,COLUMN()-29)),OFFSET(CA99,0,-MIN(60,COLUMN()-29),1,MIN(60,COLUMN()-29))),0)</f>
        <v>70.14113736</v>
      </c>
      <c r="CB100" s="112" t="n">
        <f aca="true">IFERROR(SUMPRODUCT(OFFSET($BJ$31,0,1-MIN(60,COLUMN()-29),1,MIN(60,COLUMN()-29)),OFFSET(CB99,0,-MIN(60,COLUMN()-29),1,MIN(60,COLUMN()-29))),0)</f>
        <v>82.31850312</v>
      </c>
      <c r="CC100" s="112" t="n">
        <f aca="true">IFERROR(SUMPRODUCT(OFFSET($BJ$31,0,1-MIN(60,COLUMN()-29),1,MIN(60,COLUMN()-29)),OFFSET(CC99,0,-MIN(60,COLUMN()-29),1,MIN(60,COLUMN()-29))),0)</f>
        <v>86.0833428</v>
      </c>
      <c r="CD100" s="112" t="n">
        <f aca="true">IFERROR(SUMPRODUCT(OFFSET($BJ$31,0,1-MIN(60,COLUMN()-29),1,MIN(60,COLUMN()-29)),OFFSET(CD99,0,-MIN(60,COLUMN()-29),1,MIN(60,COLUMN()-29))),0)</f>
        <v>87.55605768</v>
      </c>
      <c r="CE100" s="112" t="n">
        <f aca="true">IFERROR(SUMPRODUCT(OFFSET($BJ$31,0,1-MIN(60,COLUMN()-29),1,MIN(60,COLUMN()-29)),OFFSET(CE99,0,-MIN(60,COLUMN()-29),1,MIN(60,COLUMN()-29))),0)</f>
        <v>87.48435528</v>
      </c>
      <c r="CF100" s="112" t="n">
        <f aca="true">IFERROR(SUMPRODUCT(OFFSET($BJ$31,0,1-MIN(60,COLUMN()-29),1,MIN(60,COLUMN()-29)),OFFSET(CF99,0,-MIN(60,COLUMN()-29),1,MIN(60,COLUMN()-29))),0)</f>
        <v>94.84344072</v>
      </c>
      <c r="CG100" s="112" t="n">
        <f aca="true">IFERROR(SUMPRODUCT(OFFSET($BJ$31,0,1-MIN(60,COLUMN()-29),1,MIN(60,COLUMN()-29)),OFFSET(CG99,0,-MIN(60,COLUMN()-29),1,MIN(60,COLUMN()-29))),0)</f>
        <v>116.39627496</v>
      </c>
      <c r="CH100" s="112" t="n">
        <f aca="true">IFERROR(SUMPRODUCT(OFFSET($BJ$31,0,1-MIN(60,COLUMN()-29),1,MIN(60,COLUMN()-29)),OFFSET(CH99,0,-MIN(60,COLUMN()-29),1,MIN(60,COLUMN()-29))),0)</f>
        <v>116.80058376</v>
      </c>
      <c r="CI100" s="112" t="n">
        <f aca="true">IFERROR(SUMPRODUCT(OFFSET($BJ$31,0,1-MIN(60,COLUMN()-29),1,MIN(60,COLUMN()-29)),OFFSET(CI99,0,-MIN(60,COLUMN()-29),1,MIN(60,COLUMN()-29))),0)</f>
        <v>115.88515848</v>
      </c>
      <c r="CJ100" s="112" t="n">
        <f aca="true">IFERROR(SUMPRODUCT(OFFSET($BJ$31,0,1-MIN(60,COLUMN()-29),1,MIN(60,COLUMN()-29)),OFFSET(CJ99,0,-MIN(60,COLUMN()-29),1,MIN(60,COLUMN()-29))),0)</f>
        <v>112.77977256</v>
      </c>
      <c r="CK100" s="112" t="n">
        <f aca="true">IFERROR(SUMPRODUCT(OFFSET($BJ$31,0,1-MIN(60,COLUMN()-29),1,MIN(60,COLUMN()-29)),OFFSET(CK99,0,-MIN(60,COLUMN()-29),1,MIN(60,COLUMN()-29))),0)</f>
        <v>129.67815672</v>
      </c>
      <c r="CL100" s="112" t="n">
        <f aca="true">IFERROR(SUMPRODUCT(OFFSET($BJ$31,0,1-MIN(60,COLUMN()-29),1,MIN(60,COLUMN()-29)),OFFSET(CL99,0,-MIN(60,COLUMN()-29),1,MIN(60,COLUMN()-29))),0)</f>
        <v>136.85062104</v>
      </c>
      <c r="CM100" s="112" t="n">
        <f aca="true">IFERROR(SUMPRODUCT(OFFSET($BJ$31,0,1-MIN(60,COLUMN()-29),1,MIN(60,COLUMN()-29)),OFFSET(CM99,0,-MIN(60,COLUMN()-29),1,MIN(60,COLUMN()-29))),0)</f>
        <v>137.06633304</v>
      </c>
      <c r="CN100" s="112" t="n">
        <f aca="true">IFERROR(SUMPRODUCT(OFFSET($BJ$31,0,1-MIN(60,COLUMN()-29),1,MIN(60,COLUMN()-29)),OFFSET(CN99,0,-MIN(60,COLUMN()-29),1,MIN(60,COLUMN()-29))),0)</f>
        <v>152.99874072</v>
      </c>
      <c r="CO100" s="112" t="n">
        <f aca="true">IFERROR(SUMPRODUCT(OFFSET($BJ$31,0,1-MIN(60,COLUMN()-29),1,MIN(60,COLUMN()-29)),OFFSET(CO99,0,-MIN(60,COLUMN()-29),1,MIN(60,COLUMN()-29))),0)</f>
        <v>157.77171144</v>
      </c>
      <c r="CP100" s="112" t="n">
        <f aca="true">IFERROR(SUMPRODUCT(OFFSET($BJ$31,0,1-MIN(60,COLUMN()-29),1,MIN(60,COLUMN()-29)),OFFSET(CP99,0,-MIN(60,COLUMN()-29),1,MIN(60,COLUMN()-29))),0)</f>
        <v>159.27038568</v>
      </c>
      <c r="CQ100" s="112" t="n">
        <f aca="true">IFERROR(SUMPRODUCT(OFFSET($BJ$31,0,1-MIN(60,COLUMN()-29),1,MIN(60,COLUMN()-29)),OFFSET(CQ99,0,-MIN(60,COLUMN()-29),1,MIN(60,COLUMN()-29))),0)</f>
        <v>159.97732632</v>
      </c>
      <c r="CR100" s="112" t="n">
        <f aca="true">IFERROR(SUMPRODUCT(OFFSET($BJ$31,0,1-MIN(60,COLUMN()-29),1,MIN(60,COLUMN()-29)),OFFSET(CR99,0,-MIN(60,COLUMN()-29),1,MIN(60,COLUMN()-29))),0)</f>
        <v>169.6740444</v>
      </c>
      <c r="CS100" s="112" t="n">
        <f aca="true">IFERROR(SUMPRODUCT(OFFSET($BJ$31,0,1-MIN(60,COLUMN()-29),1,MIN(60,COLUMN()-29)),OFFSET(CS99,0,-MIN(60,COLUMN()-29),1,MIN(60,COLUMN()-29))),0)</f>
        <v>196.00302456</v>
      </c>
      <c r="CT100" s="112" t="n">
        <f aca="true">IFERROR(SUMPRODUCT(OFFSET($BJ$31,0,1-MIN(60,COLUMN()-29),1,MIN(60,COLUMN()-29)),OFFSET(CT99,0,-MIN(60,COLUMN()-29),1,MIN(60,COLUMN()-29))),0)</f>
        <v>196.54411896</v>
      </c>
      <c r="CU100" s="112" t="n">
        <f aca="true">IFERROR(SUMPRODUCT(OFFSET($BJ$31,0,1-MIN(60,COLUMN()-29),1,MIN(60,COLUMN()-29)),OFFSET(CU99,0,-MIN(60,COLUMN()-29),1,MIN(60,COLUMN()-29))),0)</f>
        <v>195.289038</v>
      </c>
      <c r="CV100" s="112" t="n">
        <f aca="true">IFERROR(SUMPRODUCT(OFFSET($BJ$31,0,1-MIN(60,COLUMN()-29),1,MIN(60,COLUMN()-29)),OFFSET(CV99,0,-MIN(60,COLUMN()-29),1,MIN(60,COLUMN()-29))),0)</f>
        <v>191.52998424</v>
      </c>
      <c r="CW100" s="112" t="n">
        <f aca="true">IFERROR(SUMPRODUCT(OFFSET($BJ$31,0,1-MIN(60,COLUMN()-29),1,MIN(60,COLUMN()-29)),OFFSET(CW99,0,-MIN(60,COLUMN()-29),1,MIN(60,COLUMN()-29))),0)</f>
        <v>210.74744376</v>
      </c>
      <c r="CX100" s="112" t="n">
        <f aca="true">IFERROR(SUMPRODUCT(OFFSET($BJ$31,0,1-MIN(60,COLUMN()-29),1,MIN(60,COLUMN()-29)),OFFSET(CX99,0,-MIN(60,COLUMN()-29),1,MIN(60,COLUMN()-29))),0)</f>
        <v>218.33881272</v>
      </c>
      <c r="CY100" s="112" t="n">
        <f aca="true">IFERROR(SUMPRODUCT(OFFSET($BJ$31,0,1-MIN(60,COLUMN()-29),1,MIN(60,COLUMN()-29)),OFFSET(CY99,0,-MIN(60,COLUMN()-29),1,MIN(60,COLUMN()-29))),0)</f>
        <v>218.30113368</v>
      </c>
      <c r="CZ100" s="112" t="n">
        <f aca="true">IFERROR(SUMPRODUCT(OFFSET($BJ$31,0,1-MIN(60,COLUMN()-29),1,MIN(60,COLUMN()-29)),OFFSET(CZ99,0,-MIN(60,COLUMN()-29),1,MIN(60,COLUMN()-29))),0)</f>
        <v>234.55342008</v>
      </c>
      <c r="DA100" s="112" t="n">
        <f aca="true">IFERROR(SUMPRODUCT(OFFSET($BJ$31,0,1-MIN(60,COLUMN()-29),1,MIN(60,COLUMN()-29)),OFFSET(DA99,0,-MIN(60,COLUMN()-29),1,MIN(60,COLUMN()-29))),0)</f>
        <v>238.54387032</v>
      </c>
      <c r="DB100" s="112" t="n">
        <f aca="true">IFERROR(SUMPRODUCT(OFFSET($BJ$31,0,1-MIN(60,COLUMN()-29),1,MIN(60,COLUMN()-29)),OFFSET(DB99,0,-MIN(60,COLUMN()-29),1,MIN(60,COLUMN()-29))),0)</f>
        <v>239.5997604</v>
      </c>
      <c r="DC100" s="112" t="n">
        <f aca="true">IFERROR(SUMPRODUCT(OFFSET($BJ$31,0,1-MIN(60,COLUMN()-29),1,MIN(60,COLUMN()-29)),OFFSET(DC99,0,-MIN(60,COLUMN()-29),1,MIN(60,COLUMN()-29))),0)</f>
        <v>239.42125368</v>
      </c>
      <c r="DD100" s="112" t="n">
        <f aca="true">IFERROR(SUMPRODUCT(OFFSET($BJ$31,0,1-MIN(60,COLUMN()-29),1,MIN(60,COLUMN()-29)),OFFSET(DD99,0,-MIN(60,COLUMN()-29),1,MIN(60,COLUMN()-29))),0)</f>
        <v>249.2362404</v>
      </c>
      <c r="DE100" s="112" t="n">
        <f aca="true">IFERROR(SUMPRODUCT(OFFSET($BJ$31,0,1-MIN(60,COLUMN()-29),1,MIN(60,COLUMN()-29)),OFFSET(DE99,0,-MIN(60,COLUMN()-29),1,MIN(60,COLUMN()-29))),0)</f>
        <v>274.82616</v>
      </c>
      <c r="DF100" s="112" t="n">
        <f aca="true">IFERROR(SUMPRODUCT(OFFSET($BJ$31,0,1-MIN(60,COLUMN()-29),1,MIN(60,COLUMN()-29)),OFFSET(DF99,0,-MIN(60,COLUMN()-29),1,MIN(60,COLUMN()-29))),0)</f>
        <v>273.7602504</v>
      </c>
      <c r="DG100" s="112" t="n">
        <f aca="true">IFERROR(SUMPRODUCT(OFFSET($BJ$31,0,1-MIN(60,COLUMN()-29),1,MIN(60,COLUMN()-29)),OFFSET(DG99,0,-MIN(60,COLUMN()-29),1,MIN(60,COLUMN()-29))),0)</f>
        <v>271.14453072</v>
      </c>
      <c r="DH100" s="112" t="n">
        <f aca="true">IFERROR(SUMPRODUCT(OFFSET($BJ$31,0,1-MIN(60,COLUMN()-29),1,MIN(60,COLUMN()-29)),OFFSET(DH99,0,-MIN(60,COLUMN()-29),1,MIN(60,COLUMN()-29))),0)</f>
        <v>266.73501456</v>
      </c>
      <c r="DI100" s="112" t="n">
        <f aca="true">IFERROR(SUMPRODUCT(OFFSET($BJ$31,0,1-MIN(60,COLUMN()-29),1,MIN(60,COLUMN()-29)),OFFSET(DI99,0,-MIN(60,COLUMN()-29),1,MIN(60,COLUMN()-29))),0)</f>
        <v>285.4909008</v>
      </c>
      <c r="DJ100" s="112" t="n">
        <f aca="true">IFERROR(SUMPRODUCT(OFFSET($BJ$31,0,1-MIN(60,COLUMN()-29),1,MIN(60,COLUMN()-29)),OFFSET(DJ99,0,-MIN(60,COLUMN()-29),1,MIN(60,COLUMN()-29))),0)</f>
        <v>291.7596528</v>
      </c>
      <c r="DK100" s="112" t="n">
        <f aca="true">IFERROR(SUMPRODUCT(OFFSET($BJ$31,0,1-MIN(60,COLUMN()-29),1,MIN(60,COLUMN()-29)),OFFSET(DK99,0,-MIN(60,COLUMN()-29),1,MIN(60,COLUMN()-29))),0)</f>
        <v>290.7365328</v>
      </c>
      <c r="DL100" s="112" t="n">
        <f aca="true">IFERROR(SUMPRODUCT(OFFSET($BJ$31,0,1-MIN(60,COLUMN()-29),1,MIN(60,COLUMN()-29)),OFFSET(DL99,0,-MIN(60,COLUMN()-29),1,MIN(60,COLUMN()-29))),0)</f>
        <v>305.122104</v>
      </c>
      <c r="DM100" s="112" t="n">
        <f aca="true">IFERROR(SUMPRODUCT(OFFSET($BJ$31,0,1-MIN(60,COLUMN()-29),1,MIN(60,COLUMN()-29)),OFFSET(DM99,0,-MIN(60,COLUMN()-29),1,MIN(60,COLUMN()-29))),0)</f>
        <v>307.479312</v>
      </c>
      <c r="DN100" s="112" t="n">
        <f aca="true">IFERROR(SUMPRODUCT(OFFSET($BJ$31,0,1-MIN(60,COLUMN()-29),1,MIN(60,COLUMN()-29)),OFFSET(DN99,0,-MIN(60,COLUMN()-29),1,MIN(60,COLUMN()-29))),0)</f>
        <v>306.6681744</v>
      </c>
      <c r="DO100" s="112" t="n">
        <f aca="true">IFERROR(SUMPRODUCT(OFFSET($BJ$31,0,1-MIN(60,COLUMN()-29),1,MIN(60,COLUMN()-29)),OFFSET(DO99,0,-MIN(60,COLUMN()-29),1,MIN(60,COLUMN()-29))),0)</f>
        <v>304.5947184</v>
      </c>
      <c r="DP100" s="112" t="n">
        <f aca="true">IFERROR(SUMPRODUCT(OFFSET($BJ$31,0,1-MIN(60,COLUMN()-29),1,MIN(60,COLUMN()-29)),OFFSET(DP99,0,-MIN(60,COLUMN()-29),1,MIN(60,COLUMN()-29))),0)</f>
        <v>312.5572128</v>
      </c>
      <c r="DQ100" s="112" t="n">
        <f aca="true">IFERROR(SUMPRODUCT(OFFSET($BJ$31,0,1-MIN(60,COLUMN()-29),1,MIN(60,COLUMN()-29)),OFFSET(DQ99,0,-MIN(60,COLUMN()-29),1,MIN(60,COLUMN()-29))),0)</f>
        <v>334.5852888</v>
      </c>
      <c r="DR100" s="112" t="n">
        <f aca="true">IFERROR(SUMPRODUCT(OFFSET($BJ$31,0,1-MIN(60,COLUMN()-29),1,MIN(60,COLUMN()-29)),OFFSET(DR99,0,-MIN(60,COLUMN()-29),1,MIN(60,COLUMN()-29))),0)</f>
        <v>330.6060072</v>
      </c>
      <c r="DS100" s="112" t="n">
        <f aca="true">IFERROR(SUMPRODUCT(OFFSET($BJ$31,0,1-MIN(60,COLUMN()-29),1,MIN(60,COLUMN()-29)),OFFSET(DS99,0,-MIN(60,COLUMN()-29),1,MIN(60,COLUMN()-29))),0)</f>
        <v>325.5103656</v>
      </c>
      <c r="DT100" s="112" t="n">
        <f aca="true">IFERROR(SUMPRODUCT(OFFSET($BJ$31,0,1-MIN(60,COLUMN()-29),1,MIN(60,COLUMN()-29)),OFFSET(DT99,0,-MIN(60,COLUMN()-29),1,MIN(60,COLUMN()-29))),0)</f>
        <v>319.1787144</v>
      </c>
      <c r="DU100" s="112" t="n">
        <f aca="true">IFERROR(SUMPRODUCT(OFFSET($BJ$31,0,1-MIN(60,COLUMN()-29),1,MIN(60,COLUMN()-29)),OFFSET(DU99,0,-MIN(60,COLUMN()-29),1,MIN(60,COLUMN()-29))),0)</f>
        <v>335.104056</v>
      </c>
      <c r="DV100" s="112" t="n">
        <f aca="true">IFERROR(SUMPRODUCT(OFFSET($BJ$31,0,1-MIN(60,COLUMN()-29),1,MIN(60,COLUMN()-29)),OFFSET(DV99,0,-MIN(60,COLUMN()-29),1,MIN(60,COLUMN()-29))),0)</f>
        <v>338.2184736</v>
      </c>
      <c r="DW100" s="112" t="n">
        <f aca="true">IFERROR(SUMPRODUCT(OFFSET($BJ$31,0,1-MIN(60,COLUMN()-29),1,MIN(60,COLUMN()-29)),OFFSET(DW99,0,-MIN(60,COLUMN()-29),1,MIN(60,COLUMN()-29))),0)</f>
        <v>335.3004648</v>
      </c>
      <c r="DX100" s="112" t="n">
        <f aca="true">IFERROR(SUMPRODUCT(OFFSET($BJ$31,0,1-MIN(60,COLUMN()-29),1,MIN(60,COLUMN()-29)),OFFSET(DX99,0,-MIN(60,COLUMN()-29),1,MIN(60,COLUMN()-29))),0)</f>
        <v>347.0376168</v>
      </c>
      <c r="DY100" s="112" t="n">
        <f aca="true">IFERROR(SUMPRODUCT(OFFSET($BJ$31,0,1-MIN(60,COLUMN()-29),1,MIN(60,COLUMN()-29)),OFFSET(DY99,0,-MIN(60,COLUMN()-29),1,MIN(60,COLUMN()-29))),0)</f>
        <v>346.8667608</v>
      </c>
      <c r="DZ100" s="112" t="n">
        <f aca="true">IFERROR(SUMPRODUCT(OFFSET($BJ$31,0,1-MIN(60,COLUMN()-29),1,MIN(60,COLUMN()-29)),OFFSET(DZ99,0,-MIN(60,COLUMN()-29),1,MIN(60,COLUMN()-29))),0)</f>
        <v>343.97323632</v>
      </c>
      <c r="EA100" s="112" t="n">
        <f aca="true">IFERROR(SUMPRODUCT(OFFSET($BJ$31,0,1-MIN(60,COLUMN()-29),1,MIN(60,COLUMN()-29)),OFFSET(EA99,0,-MIN(60,COLUMN()-29),1,MIN(60,COLUMN()-29))),0)</f>
        <v>340.06239792</v>
      </c>
      <c r="EB100" s="112" t="n">
        <f aca="true">IFERROR(SUMPRODUCT(OFFSET($BJ$31,0,1-MIN(60,COLUMN()-29),1,MIN(60,COLUMN()-29)),OFFSET(EB99,0,-MIN(60,COLUMN()-29),1,MIN(60,COLUMN()-29))),0)</f>
        <v>346.20105744</v>
      </c>
      <c r="EC100" s="112" t="n">
        <f aca="true">IFERROR(SUMPRODUCT(OFFSET($BJ$31,0,1-MIN(60,COLUMN()-29),1,MIN(60,COLUMN()-29)),OFFSET(EC99,0,-MIN(60,COLUMN()-29),1,MIN(60,COLUMN()-29))),0)</f>
        <v>365.26836528</v>
      </c>
      <c r="ED100" s="112" t="n">
        <f aca="true">IFERROR(SUMPRODUCT(OFFSET($BJ$31,0,1-MIN(60,COLUMN()-29),1,MIN(60,COLUMN()-29)),OFFSET(ED99,0,-MIN(60,COLUMN()-29),1,MIN(60,COLUMN()-29))),0)</f>
        <v>358.9230456</v>
      </c>
      <c r="EE100" s="112" t="n">
        <f aca="true">IFERROR(SUMPRODUCT(OFFSET($BJ$31,0,1-MIN(60,COLUMN()-29),1,MIN(60,COLUMN()-29)),OFFSET(EE99,0,-MIN(60,COLUMN()-29),1,MIN(60,COLUMN()-29))),0)</f>
        <v>351.98107056</v>
      </c>
      <c r="EF100" s="112" t="n">
        <f aca="true">IFERROR(SUMPRODUCT(OFFSET($BJ$31,0,1-MIN(60,COLUMN()-29),1,MIN(60,COLUMN()-29)),OFFSET(EF99,0,-MIN(60,COLUMN()-29),1,MIN(60,COLUMN()-29))),0)</f>
        <v>344.23963056</v>
      </c>
      <c r="EG100" s="112" t="n">
        <f aca="true">IFERROR(SUMPRODUCT(OFFSET($BJ$31,0,1-MIN(60,COLUMN()-29),1,MIN(60,COLUMN()-29)),OFFSET(EG99,0,-MIN(60,COLUMN()-29),1,MIN(60,COLUMN()-29))),0)</f>
        <v>358.29423504</v>
      </c>
      <c r="EH100" s="112" t="n">
        <f aca="true">IFERROR(SUMPRODUCT(OFFSET($BJ$31,0,1-MIN(60,COLUMN()-29),1,MIN(60,COLUMN()-29)),OFFSET(EH99,0,-MIN(60,COLUMN()-29),1,MIN(60,COLUMN()-29))),0)</f>
        <v>359.48012688</v>
      </c>
      <c r="EI100" s="112" t="n">
        <f aca="true">IFERROR(SUMPRODUCT(OFFSET($BJ$31,0,1-MIN(60,COLUMN()-29),1,MIN(60,COLUMN()-29)),OFFSET(EI99,0,-MIN(60,COLUMN()-29),1,MIN(60,COLUMN()-29))),0)</f>
        <v>355.16605824</v>
      </c>
      <c r="EJ100" s="112" t="n">
        <f aca="true">IFERROR(SUMPRODUCT(OFFSET($BJ$31,0,1-MIN(60,COLUMN()-29),1,MIN(60,COLUMN()-29)),OFFSET(EJ99,0,-MIN(60,COLUMN()-29),1,MIN(60,COLUMN()-29))),0)</f>
        <v>365.02651584</v>
      </c>
      <c r="EK100" s="112" t="n">
        <f aca="true">IFERROR(SUMPRODUCT(OFFSET($BJ$31,0,1-MIN(60,COLUMN()-29),1,MIN(60,COLUMN()-29)),OFFSET(EK99,0,-MIN(60,COLUMN()-29),1,MIN(60,COLUMN()-29))),0)</f>
        <v>363.03778224</v>
      </c>
      <c r="EL100" s="112" t="n">
        <f aca="true">IFERROR(SUMPRODUCT(OFFSET($BJ$31,0,1-MIN(60,COLUMN()-29),1,MIN(60,COLUMN()-29)),OFFSET(EL99,0,-MIN(60,COLUMN()-29),1,MIN(60,COLUMN()-29))),0)</f>
        <v>359.0606376</v>
      </c>
      <c r="EM100" s="112" t="n">
        <f aca="true">IFERROR(SUMPRODUCT(OFFSET($BJ$31,0,1-MIN(60,COLUMN()-29),1,MIN(60,COLUMN()-29)),OFFSET(EM99,0,-MIN(60,COLUMN()-29),1,MIN(60,COLUMN()-29))),0)</f>
        <v>354.2353416</v>
      </c>
      <c r="EN100" s="112" t="n">
        <f aca="true">IFERROR(SUMPRODUCT(OFFSET($BJ$31,0,1-MIN(60,COLUMN()-29),1,MIN(60,COLUMN()-29)),OFFSET(EN99,0,-MIN(60,COLUMN()-29),1,MIN(60,COLUMN()-29))),0)</f>
        <v>359.4735144</v>
      </c>
      <c r="EO100" s="112" t="n">
        <f aca="true">IFERROR(SUMPRODUCT(OFFSET($BJ$31,0,1-MIN(60,COLUMN()-29),1,MIN(60,COLUMN()-29)),OFFSET(EO99,0,-MIN(60,COLUMN()-29),1,MIN(60,COLUMN()-29))),0)</f>
        <v>377.07009984</v>
      </c>
      <c r="EP100" s="112" t="n">
        <f aca="true">IFERROR(SUMPRODUCT(OFFSET($BJ$31,0,1-MIN(60,COLUMN()-29),1,MIN(60,COLUMN()-29)),OFFSET(EP99,0,-MIN(60,COLUMN()-29),1,MIN(60,COLUMN()-29))),0)</f>
        <v>369.4830048</v>
      </c>
      <c r="EQ100" s="112" t="n">
        <f aca="true">IFERROR(SUMPRODUCT(OFFSET($BJ$31,0,1-MIN(60,COLUMN()-29),1,MIN(60,COLUMN()-29)),OFFSET(EQ99,0,-MIN(60,COLUMN()-29),1,MIN(60,COLUMN()-29))),0)</f>
        <v>361.58447808</v>
      </c>
      <c r="ER100" s="112" t="n">
        <f aca="true">IFERROR(SUMPRODUCT(OFFSET($BJ$31,0,1-MIN(60,COLUMN()-29),1,MIN(60,COLUMN()-29)),OFFSET(ER99,0,-MIN(60,COLUMN()-29),1,MIN(60,COLUMN()-29))),0)</f>
        <v>353.17896768</v>
      </c>
      <c r="ES100" s="9" t="n">
        <f aca="true">IFERROR(SUMPRODUCT(OFFSET($BJ$31,0,1-MIN(60,COLUMN()-29),1,MIN(60,COLUMN()-29)),OFFSET(ES99,0,-MIN(60,COLUMN()-29),1,MIN(60,COLUMN()-29))),0)</f>
        <v>366.36683328</v>
      </c>
      <c r="ET100" s="9" t="n">
        <f aca="true">IFERROR(SUMPRODUCT(OFFSET($BJ$31,0,1-MIN(60,COLUMN()-29),1,MIN(60,COLUMN()-29)),OFFSET(ET99,0,-MIN(60,COLUMN()-29),1,MIN(60,COLUMN()-29))),0)</f>
        <v>366.7166496</v>
      </c>
      <c r="EU100" s="9" t="n">
        <f aca="true">IFERROR(SUMPRODUCT(OFFSET($BJ$31,0,1-MIN(60,COLUMN()-29),1,MIN(60,COLUMN()-29)),OFFSET(EU99,0,-MIN(60,COLUMN()-29),1,MIN(60,COLUMN()-29))),0)</f>
        <v>361.76902272</v>
      </c>
      <c r="EV100" s="9" t="n">
        <f aca="true">IFERROR(SUMPRODUCT(OFFSET($BJ$31,0,1-MIN(60,COLUMN()-29),1,MIN(60,COLUMN()-29)),OFFSET(EV99,0,-MIN(60,COLUMN()-29),1,MIN(60,COLUMN()-29))),0)</f>
        <v>370.7770752</v>
      </c>
      <c r="EW100" s="9" t="n">
        <f aca="true">IFERROR(SUMPRODUCT(OFFSET($BJ$31,0,1-MIN(60,COLUMN()-29),1,MIN(60,COLUMN()-29)),OFFSET(EW99,0,-MIN(60,COLUMN()-29),1,MIN(60,COLUMN()-29))),0)</f>
        <v>368.0615232</v>
      </c>
      <c r="EX100" s="9" t="n">
        <f aca="true">IFERROR(SUMPRODUCT(OFFSET($BJ$31,0,1-MIN(60,COLUMN()-29),1,MIN(60,COLUMN()-29)),OFFSET(EX99,0,-MIN(60,COLUMN()-29),1,MIN(60,COLUMN()-29))),0)</f>
        <v>363.543264</v>
      </c>
      <c r="EY100" s="9" t="n">
        <f aca="true">IFERROR(SUMPRODUCT(OFFSET($BJ$31,0,1-MIN(60,COLUMN()-29),1,MIN(60,COLUMN()-29)),OFFSET(EY99,0,-MIN(60,COLUMN()-29),1,MIN(60,COLUMN()-29))),0)</f>
        <v>358.2788832</v>
      </c>
      <c r="EZ100" s="9" t="n">
        <f aca="true">IFERROR(SUMPRODUCT(OFFSET($BJ$31,0,1-MIN(60,COLUMN()-29),1,MIN(60,COLUMN()-29)),OFFSET(EZ99,0,-MIN(60,COLUMN()-29),1,MIN(60,COLUMN()-29))),0)</f>
        <v>363.05728704</v>
      </c>
      <c r="FA100" s="9" t="n">
        <f aca="true">IFERROR(SUMPRODUCT(OFFSET($BJ$31,0,1-MIN(60,COLUMN()-29),1,MIN(60,COLUMN()-29)),OFFSET(FA99,0,-MIN(60,COLUMN()-29),1,MIN(60,COLUMN()-29))),0)</f>
        <v>379.93032</v>
      </c>
      <c r="FB100" s="9" t="n">
        <f aca="true">IFERROR(SUMPRODUCT(OFFSET($BJ$31,0,1-MIN(60,COLUMN()-29),1,MIN(60,COLUMN()-29)),OFFSET(FB99,0,-MIN(60,COLUMN()-29),1,MIN(60,COLUMN()-29))),0)</f>
        <v>371.838096</v>
      </c>
      <c r="FC100" s="9" t="n">
        <f aca="true">IFERROR(SUMPRODUCT(OFFSET($BJ$31,0,1-MIN(60,COLUMN()-29),1,MIN(60,COLUMN()-29)),OFFSET(FC99,0,-MIN(60,COLUMN()-29),1,MIN(60,COLUMN()-29))),0)</f>
        <v>363.556368</v>
      </c>
      <c r="FD100" s="9" t="n">
        <f aca="true">IFERROR(SUMPRODUCT(OFFSET($BJ$31,0,1-MIN(60,COLUMN()-29),1,MIN(60,COLUMN()-29)),OFFSET(FD99,0,-MIN(60,COLUMN()-29),1,MIN(60,COLUMN()-29))),0)</f>
        <v>354.889584</v>
      </c>
      <c r="FE100" s="9" t="n">
        <f aca="true">IFERROR(SUMPRODUCT(OFFSET($BJ$31,0,1-MIN(60,COLUMN()-29),1,MIN(60,COLUMN()-29)),OFFSET(FE99,0,-MIN(60,COLUMN()-29),1,MIN(60,COLUMN()-29))),0)</f>
        <v>367.707312</v>
      </c>
      <c r="FF100" s="9" t="n">
        <f aca="true">IFERROR(SUMPRODUCT(OFFSET($BJ$31,0,1-MIN(60,COLUMN()-29),1,MIN(60,COLUMN()-29)),OFFSET(FF99,0,-MIN(60,COLUMN()-29),1,MIN(60,COLUMN()-29))),0)</f>
        <v>367.7436</v>
      </c>
      <c r="FG100" s="9" t="n">
        <f aca="true">IFERROR(SUMPRODUCT(OFFSET($BJ$31,0,1-MIN(60,COLUMN()-29),1,MIN(60,COLUMN()-29)),OFFSET(FG99,0,-MIN(60,COLUMN()-29),1,MIN(60,COLUMN()-29))),0)</f>
        <v>362.58768</v>
      </c>
      <c r="FH100" s="9" t="n">
        <f aca="true">IFERROR(SUMPRODUCT(OFFSET($BJ$31,0,1-MIN(60,COLUMN()-29),1,MIN(60,COLUMN()-29)),OFFSET(FH99,0,-MIN(60,COLUMN()-29),1,MIN(60,COLUMN()-29))),0)</f>
        <v>371.343168</v>
      </c>
      <c r="FI100" s="9" t="n">
        <f aca="true">IFERROR(SUMPRODUCT(OFFSET($BJ$31,0,1-MIN(60,COLUMN()-29),1,MIN(60,COLUMN()-29)),OFFSET(FI99,0,-MIN(60,COLUMN()-29),1,MIN(60,COLUMN()-29))),0)</f>
        <v>368.428032</v>
      </c>
      <c r="FJ100" s="9" t="n">
        <f aca="true">IFERROR(SUMPRODUCT(OFFSET($BJ$31,0,1-MIN(60,COLUMN()-29),1,MIN(60,COLUMN()-29)),OFFSET(FJ99,0,-MIN(60,COLUMN()-29),1,MIN(60,COLUMN()-29))),0)</f>
        <v>363.742848</v>
      </c>
      <c r="FK100" s="9" t="n">
        <f aca="true">IFERROR(SUMPRODUCT(OFFSET($BJ$31,0,1-MIN(60,COLUMN()-29),1,MIN(60,COLUMN()-29)),OFFSET(FK99,0,-MIN(60,COLUMN()-29),1,MIN(60,COLUMN()-29))),0)</f>
        <v>358.391376</v>
      </c>
      <c r="FL100" s="9" t="n">
        <f aca="true">IFERROR(SUMPRODUCT(OFFSET($BJ$31,0,1-MIN(60,COLUMN()-29),1,MIN(60,COLUMN()-29)),OFFSET(FL99,0,-MIN(60,COLUMN()-29),1,MIN(60,COLUMN()-29))),0)</f>
        <v>363.108816</v>
      </c>
      <c r="FM100" s="9" t="n">
        <f aca="true">IFERROR(SUMPRODUCT(OFFSET($BJ$31,0,1-MIN(60,COLUMN()-29),1,MIN(60,COLUMN()-29)),OFFSET(FM99,0,-MIN(60,COLUMN()-29),1,MIN(60,COLUMN()-29))),0)</f>
        <v>379.93032</v>
      </c>
      <c r="FN100" s="9" t="n">
        <f aca="true">IFERROR(SUMPRODUCT(OFFSET($BJ$31,0,1-MIN(60,COLUMN()-29),1,MIN(60,COLUMN()-29)),OFFSET(FN99,0,-MIN(60,COLUMN()-29),1,MIN(60,COLUMN()-29))),0)</f>
        <v>371.838096</v>
      </c>
      <c r="FO100" s="9" t="n">
        <f aca="true">IFERROR(SUMPRODUCT(OFFSET($BJ$31,0,1-MIN(60,COLUMN()-29),1,MIN(60,COLUMN()-29)),OFFSET(FO99,0,-MIN(60,COLUMN()-29),1,MIN(60,COLUMN()-29))),0)</f>
        <v>363.556368</v>
      </c>
      <c r="FP100" s="9" t="n">
        <f aca="true">IFERROR(SUMPRODUCT(OFFSET($BJ$31,0,1-MIN(60,COLUMN()-29),1,MIN(60,COLUMN()-29)),OFFSET(FP99,0,-MIN(60,COLUMN()-29),1,MIN(60,COLUMN()-29))),0)</f>
        <v>354.889584</v>
      </c>
    </row>
    <row r="101" customFormat="false" ht="15" hidden="false" customHeight="false" outlineLevel="2" collapsed="false">
      <c r="B101" s="90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237"/>
      <c r="AD101" s="237"/>
      <c r="AE101" s="237"/>
      <c r="AF101" s="237"/>
      <c r="AG101" s="237"/>
      <c r="AH101" s="237"/>
      <c r="AI101" s="237"/>
      <c r="AJ101" s="237"/>
      <c r="AK101" s="237"/>
      <c r="AL101" s="237"/>
      <c r="AM101" s="237"/>
      <c r="AN101" s="237"/>
      <c r="AO101" s="237"/>
      <c r="AP101" s="237"/>
      <c r="AQ101" s="237"/>
      <c r="AR101" s="237"/>
      <c r="AS101" s="237"/>
      <c r="AT101" s="237"/>
      <c r="AU101" s="237"/>
      <c r="AV101" s="237"/>
      <c r="AW101" s="237"/>
      <c r="AX101" s="237"/>
      <c r="AY101" s="237"/>
      <c r="AZ101" s="237"/>
      <c r="BA101" s="237"/>
      <c r="BB101" s="237"/>
      <c r="BC101" s="237"/>
      <c r="BD101" s="237"/>
      <c r="BE101" s="237"/>
      <c r="BF101" s="237"/>
      <c r="BG101" s="237"/>
      <c r="BH101" s="237"/>
      <c r="BI101" s="237"/>
      <c r="BJ101" s="237"/>
      <c r="BK101" s="237"/>
      <c r="BL101" s="237"/>
      <c r="BM101" s="237"/>
      <c r="BN101" s="237"/>
      <c r="BO101" s="237"/>
      <c r="BP101" s="237"/>
      <c r="BQ101" s="237"/>
      <c r="BR101" s="237"/>
      <c r="BS101" s="237"/>
      <c r="BT101" s="237"/>
      <c r="BU101" s="237"/>
      <c r="BV101" s="237"/>
      <c r="BW101" s="237"/>
      <c r="BX101" s="237"/>
      <c r="BY101" s="237"/>
      <c r="BZ101" s="237"/>
      <c r="CA101" s="237"/>
      <c r="CB101" s="237"/>
      <c r="CC101" s="237"/>
      <c r="CD101" s="237"/>
      <c r="CE101" s="237"/>
      <c r="CF101" s="237"/>
      <c r="CG101" s="237"/>
      <c r="CH101" s="237"/>
      <c r="CI101" s="237"/>
      <c r="CJ101" s="237"/>
      <c r="CK101" s="237"/>
      <c r="CL101" s="237"/>
      <c r="CM101" s="237"/>
      <c r="CN101" s="237"/>
      <c r="CO101" s="237"/>
      <c r="CP101" s="237"/>
      <c r="CQ101" s="237"/>
      <c r="CR101" s="237"/>
      <c r="CS101" s="237"/>
      <c r="CT101" s="237"/>
      <c r="CU101" s="237"/>
      <c r="CV101" s="237"/>
      <c r="CW101" s="237"/>
      <c r="CX101" s="237"/>
      <c r="CY101" s="237"/>
      <c r="CZ101" s="237"/>
      <c r="DA101" s="237"/>
      <c r="DB101" s="237"/>
      <c r="DC101" s="237"/>
      <c r="DD101" s="237"/>
      <c r="DE101" s="237"/>
      <c r="DF101" s="237"/>
      <c r="DG101" s="237"/>
      <c r="DH101" s="237"/>
      <c r="DI101" s="237"/>
      <c r="DJ101" s="237"/>
      <c r="DK101" s="237"/>
      <c r="DL101" s="237"/>
      <c r="DM101" s="237"/>
      <c r="DN101" s="237"/>
      <c r="DO101" s="237"/>
      <c r="DP101" s="237"/>
      <c r="DQ101" s="237"/>
      <c r="DR101" s="237"/>
      <c r="DS101" s="237"/>
      <c r="DT101" s="237"/>
      <c r="DU101" s="237"/>
      <c r="DV101" s="237"/>
      <c r="DW101" s="237"/>
      <c r="DX101" s="237"/>
      <c r="DY101" s="237"/>
      <c r="DZ101" s="237"/>
      <c r="EA101" s="237"/>
      <c r="EB101" s="237"/>
      <c r="EC101" s="237"/>
      <c r="ED101" s="237"/>
      <c r="EE101" s="237"/>
      <c r="EF101" s="237"/>
      <c r="EG101" s="237"/>
      <c r="EH101" s="237"/>
      <c r="EI101" s="237"/>
      <c r="EJ101" s="237"/>
      <c r="EK101" s="237"/>
      <c r="EL101" s="237"/>
      <c r="EM101" s="237"/>
      <c r="EN101" s="237"/>
      <c r="EO101" s="237"/>
      <c r="EP101" s="237"/>
      <c r="EQ101" s="237"/>
      <c r="ER101" s="237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</row>
    <row r="102" customFormat="false" ht="15" hidden="false" customHeight="false" outlineLevel="2" collapsed="false">
      <c r="B102" s="240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237"/>
      <c r="AD102" s="237"/>
      <c r="AE102" s="237"/>
      <c r="AF102" s="237"/>
      <c r="AG102" s="237"/>
      <c r="AH102" s="237"/>
      <c r="AI102" s="237"/>
      <c r="AJ102" s="237"/>
      <c r="AK102" s="237"/>
      <c r="AL102" s="237"/>
      <c r="AM102" s="237"/>
      <c r="AN102" s="237"/>
      <c r="AO102" s="237"/>
      <c r="AP102" s="237"/>
      <c r="AQ102" s="237"/>
      <c r="AR102" s="237"/>
      <c r="AS102" s="237"/>
      <c r="AT102" s="237"/>
      <c r="AU102" s="237"/>
      <c r="AV102" s="237"/>
      <c r="AW102" s="237"/>
      <c r="AX102" s="237"/>
      <c r="AY102" s="237"/>
      <c r="AZ102" s="237"/>
      <c r="BA102" s="237"/>
      <c r="BB102" s="237"/>
      <c r="BC102" s="237"/>
      <c r="BD102" s="237"/>
      <c r="BE102" s="237"/>
      <c r="BF102" s="237"/>
      <c r="BG102" s="237"/>
      <c r="BH102" s="237"/>
      <c r="BI102" s="237"/>
      <c r="BJ102" s="237"/>
      <c r="BK102" s="237"/>
      <c r="BL102" s="237"/>
      <c r="BM102" s="237"/>
      <c r="BN102" s="237"/>
      <c r="BO102" s="237"/>
      <c r="BP102" s="237"/>
      <c r="BQ102" s="237"/>
      <c r="BR102" s="237"/>
      <c r="BS102" s="237"/>
      <c r="BT102" s="237"/>
      <c r="BU102" s="237"/>
      <c r="BV102" s="237"/>
      <c r="BW102" s="237"/>
      <c r="BX102" s="237"/>
      <c r="BY102" s="237"/>
      <c r="BZ102" s="237"/>
      <c r="CA102" s="237"/>
      <c r="CB102" s="237"/>
      <c r="CC102" s="237"/>
      <c r="CD102" s="237"/>
      <c r="CE102" s="237"/>
      <c r="CF102" s="237"/>
      <c r="CG102" s="237"/>
      <c r="CH102" s="237"/>
      <c r="CI102" s="237"/>
      <c r="CJ102" s="237"/>
      <c r="CK102" s="237"/>
      <c r="CL102" s="237"/>
      <c r="CM102" s="237"/>
      <c r="CN102" s="237"/>
      <c r="CO102" s="237"/>
      <c r="CP102" s="237"/>
      <c r="CQ102" s="237"/>
      <c r="CR102" s="237"/>
      <c r="CS102" s="237"/>
      <c r="CT102" s="237"/>
      <c r="CU102" s="237"/>
      <c r="CV102" s="237"/>
      <c r="CW102" s="237"/>
      <c r="CX102" s="237"/>
      <c r="CY102" s="237"/>
      <c r="CZ102" s="237"/>
      <c r="DA102" s="237"/>
      <c r="DB102" s="237"/>
      <c r="DC102" s="237"/>
      <c r="DD102" s="237"/>
      <c r="DE102" s="237"/>
      <c r="DF102" s="237"/>
      <c r="DG102" s="237"/>
      <c r="DH102" s="237"/>
      <c r="DI102" s="237"/>
      <c r="DJ102" s="237"/>
      <c r="DK102" s="237"/>
      <c r="DL102" s="237"/>
      <c r="DM102" s="237"/>
      <c r="DN102" s="237"/>
      <c r="DO102" s="237"/>
      <c r="DP102" s="237"/>
      <c r="DQ102" s="237"/>
      <c r="DR102" s="237"/>
      <c r="DS102" s="237"/>
      <c r="DT102" s="237"/>
      <c r="DU102" s="237"/>
      <c r="DV102" s="237"/>
      <c r="DW102" s="237"/>
      <c r="DX102" s="237"/>
      <c r="DY102" s="237"/>
      <c r="DZ102" s="237"/>
      <c r="EA102" s="237"/>
      <c r="EB102" s="237"/>
      <c r="EC102" s="237"/>
      <c r="ED102" s="237"/>
      <c r="EE102" s="237"/>
      <c r="EF102" s="237"/>
      <c r="EG102" s="237"/>
      <c r="EH102" s="237"/>
      <c r="EI102" s="237"/>
      <c r="EJ102" s="237"/>
      <c r="EK102" s="237"/>
      <c r="EL102" s="237"/>
      <c r="EM102" s="237"/>
      <c r="EN102" s="237"/>
      <c r="EO102" s="237"/>
      <c r="EP102" s="237"/>
      <c r="EQ102" s="237"/>
      <c r="ER102" s="237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</row>
    <row r="103" customFormat="false" ht="15" hidden="false" customHeight="false" outlineLevel="2" collapsed="false">
      <c r="B103" s="21" t="s">
        <v>883</v>
      </c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</row>
    <row r="104" customFormat="false" ht="15" hidden="false" customHeight="false" outlineLevel="2" collapsed="false">
      <c r="B104" s="9" t="s">
        <v>872</v>
      </c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234" t="n">
        <f aca="false">('⑫ Roll-out Plan'!G16-2025)*12+'⑫ Roll-out Plan'!F16</f>
        <v>28</v>
      </c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</row>
    <row r="105" customFormat="false" ht="15" hidden="false" customHeight="false" outlineLevel="2" collapsed="false">
      <c r="B105" s="9" t="s">
        <v>873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235" t="n">
        <f aca="false">VLOOKUP("A",$B$14:$C$18,2,FALSE())</f>
        <v>210</v>
      </c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</row>
    <row r="106" customFormat="false" ht="15" hidden="false" customHeight="false" outlineLevel="2" collapsed="false">
      <c r="B106" s="9" t="s">
        <v>799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63" t="n">
        <f aca="false">IF(AC$35&gt;=$AC$104,AC$35-$AC$104+1,0)</f>
        <v>0</v>
      </c>
      <c r="AD106" s="63" t="n">
        <f aca="false">IF(AD$35&gt;=$AC$104,AD$35-$AC$104+1,0)</f>
        <v>0</v>
      </c>
      <c r="AE106" s="63" t="n">
        <f aca="false">IF(AE$35&gt;=$AC$104,AE$35-$AC$104+1,0)</f>
        <v>0</v>
      </c>
      <c r="AF106" s="63" t="n">
        <f aca="false">IF(AF$35&gt;=$AC$104,AF$35-$AC$104+1,0)</f>
        <v>0</v>
      </c>
      <c r="AG106" s="63" t="n">
        <f aca="false">IF(AG$35&gt;=$AC$104,AG$35-$AC$104+1,0)</f>
        <v>0</v>
      </c>
      <c r="AH106" s="63" t="n">
        <f aca="false">IF(AH$35&gt;=$AC$104,AH$35-$AC$104+1,0)</f>
        <v>0</v>
      </c>
      <c r="AI106" s="63" t="n">
        <f aca="false">IF(AI$35&gt;=$AC$104,AI$35-$AC$104+1,0)</f>
        <v>0</v>
      </c>
      <c r="AJ106" s="63" t="n">
        <f aca="false">IF(AJ$35&gt;=$AC$104,AJ$35-$AC$104+1,0)</f>
        <v>0</v>
      </c>
      <c r="AK106" s="63" t="n">
        <f aca="false">IF(AK$35&gt;=$AC$104,AK$35-$AC$104+1,0)</f>
        <v>0</v>
      </c>
      <c r="AL106" s="63" t="n">
        <f aca="false">IF(AL$35&gt;=$AC$104,AL$35-$AC$104+1,0)</f>
        <v>0</v>
      </c>
      <c r="AM106" s="63" t="n">
        <f aca="false">IF(AM$35&gt;=$AC$104,AM$35-$AC$104+1,0)</f>
        <v>0</v>
      </c>
      <c r="AN106" s="63" t="n">
        <f aca="false">IF(AN$35&gt;=$AC$104,AN$35-$AC$104+1,0)</f>
        <v>0</v>
      </c>
      <c r="AO106" s="63" t="n">
        <f aca="false">IF(AO$35&gt;=$AC$104,AO$35-$AC$104+1,0)</f>
        <v>0</v>
      </c>
      <c r="AP106" s="63" t="n">
        <f aca="false">IF(AP$35&gt;=$AC$104,AP$35-$AC$104+1,0)</f>
        <v>0</v>
      </c>
      <c r="AQ106" s="63" t="n">
        <f aca="false">IF(AQ$35&gt;=$AC$104,AQ$35-$AC$104+1,0)</f>
        <v>0</v>
      </c>
      <c r="AR106" s="63" t="n">
        <f aca="false">IF(AR$35&gt;=$AC$104,AR$35-$AC$104+1,0)</f>
        <v>0</v>
      </c>
      <c r="AS106" s="63" t="n">
        <f aca="false">IF(AS$35&gt;=$AC$104,AS$35-$AC$104+1,0)</f>
        <v>0</v>
      </c>
      <c r="AT106" s="63" t="n">
        <f aca="false">IF(AT$35&gt;=$AC$104,AT$35-$AC$104+1,0)</f>
        <v>0</v>
      </c>
      <c r="AU106" s="63" t="n">
        <f aca="false">IF(AU$35&gt;=$AC$104,AU$35-$AC$104+1,0)</f>
        <v>0</v>
      </c>
      <c r="AV106" s="63" t="n">
        <f aca="false">IF(AV$35&gt;=$AC$104,AV$35-$AC$104+1,0)</f>
        <v>0</v>
      </c>
      <c r="AW106" s="63" t="n">
        <f aca="false">IF(AW$35&gt;=$AC$104,AW$35-$AC$104+1,0)</f>
        <v>0</v>
      </c>
      <c r="AX106" s="63" t="n">
        <f aca="false">IF(AX$35&gt;=$AC$104,AX$35-$AC$104+1,0)</f>
        <v>0</v>
      </c>
      <c r="AY106" s="63" t="n">
        <f aca="false">IF(AY$35&gt;=$AC$104,AY$35-$AC$104+1,0)</f>
        <v>0</v>
      </c>
      <c r="AZ106" s="63" t="n">
        <f aca="false">IF(AZ$35&gt;=$AC$104,AZ$35-$AC$104+1,0)</f>
        <v>0</v>
      </c>
      <c r="BA106" s="63" t="n">
        <f aca="false">IF(BA$35&gt;=$AC$104,BA$35-$AC$104+1,0)</f>
        <v>0</v>
      </c>
      <c r="BB106" s="63" t="n">
        <f aca="false">IF(BB$35&gt;=$AC$104,BB$35-$AC$104+1,0)</f>
        <v>0</v>
      </c>
      <c r="BC106" s="63" t="n">
        <f aca="false">IF(BC$35&gt;=$AC$104,BC$35-$AC$104+1,0)</f>
        <v>0</v>
      </c>
      <c r="BD106" s="63" t="n">
        <f aca="false">IF(BD$35&gt;=$AC$104,BD$35-$AC$104+1,0)</f>
        <v>1</v>
      </c>
      <c r="BE106" s="63" t="n">
        <f aca="false">IF(BE$35&gt;=$AC$104,BE$35-$AC$104+1,0)</f>
        <v>2</v>
      </c>
      <c r="BF106" s="63" t="n">
        <f aca="false">IF(BF$35&gt;=$AC$104,BF$35-$AC$104+1,0)</f>
        <v>3</v>
      </c>
      <c r="BG106" s="63" t="n">
        <f aca="false">IF(BG$35&gt;=$AC$104,BG$35-$AC$104+1,0)</f>
        <v>4</v>
      </c>
      <c r="BH106" s="63" t="n">
        <f aca="false">IF(BH$35&gt;=$AC$104,BH$35-$AC$104+1,0)</f>
        <v>5</v>
      </c>
      <c r="BI106" s="63" t="n">
        <f aca="false">IF(BI$35&gt;=$AC$104,BI$35-$AC$104+1,0)</f>
        <v>6</v>
      </c>
      <c r="BJ106" s="63" t="n">
        <f aca="false">IF(BJ$35&gt;=$AC$104,BJ$35-$AC$104+1,0)</f>
        <v>7</v>
      </c>
      <c r="BK106" s="63" t="n">
        <f aca="false">IF(BK$35&gt;=$AC$104,BK$35-$AC$104+1,0)</f>
        <v>8</v>
      </c>
      <c r="BL106" s="63" t="n">
        <f aca="false">IF(BL$35&gt;=$AC$104,BL$35-$AC$104+1,0)</f>
        <v>9</v>
      </c>
      <c r="BM106" s="63" t="n">
        <f aca="false">IF(BM$35&gt;=$AC$104,BM$35-$AC$104+1,0)</f>
        <v>10</v>
      </c>
      <c r="BN106" s="63" t="n">
        <f aca="false">IF(BN$35&gt;=$AC$104,BN$35-$AC$104+1,0)</f>
        <v>11</v>
      </c>
      <c r="BO106" s="63" t="n">
        <f aca="false">IF(BO$35&gt;=$AC$104,BO$35-$AC$104+1,0)</f>
        <v>12</v>
      </c>
      <c r="BP106" s="63" t="n">
        <f aca="false">IF(BP$35&gt;=$AC$104,BP$35-$AC$104+1,0)</f>
        <v>13</v>
      </c>
      <c r="BQ106" s="63" t="n">
        <f aca="false">IF(BQ$35&gt;=$AC$104,BQ$35-$AC$104+1,0)</f>
        <v>14</v>
      </c>
      <c r="BR106" s="63" t="n">
        <f aca="false">IF(BR$35&gt;=$AC$104,BR$35-$AC$104+1,0)</f>
        <v>15</v>
      </c>
      <c r="BS106" s="63" t="n">
        <f aca="false">IF(BS$35&gt;=$AC$104,BS$35-$AC$104+1,0)</f>
        <v>16</v>
      </c>
      <c r="BT106" s="63" t="n">
        <f aca="false">IF(BT$35&gt;=$AC$104,BT$35-$AC$104+1,0)</f>
        <v>17</v>
      </c>
      <c r="BU106" s="63" t="n">
        <f aca="false">IF(BU$35&gt;=$AC$104,BU$35-$AC$104+1,0)</f>
        <v>18</v>
      </c>
      <c r="BV106" s="63" t="n">
        <f aca="false">IF(BV$35&gt;=$AC$104,BV$35-$AC$104+1,0)</f>
        <v>19</v>
      </c>
      <c r="BW106" s="63" t="n">
        <f aca="false">IF(BW$35&gt;=$AC$104,BW$35-$AC$104+1,0)</f>
        <v>20</v>
      </c>
      <c r="BX106" s="63" t="n">
        <f aca="false">IF(BX$35&gt;=$AC$104,BX$35-$AC$104+1,0)</f>
        <v>21</v>
      </c>
      <c r="BY106" s="63" t="n">
        <f aca="false">IF(BY$35&gt;=$AC$104,BY$35-$AC$104+1,0)</f>
        <v>22</v>
      </c>
      <c r="BZ106" s="63" t="n">
        <f aca="false">IF(BZ$35&gt;=$AC$104,BZ$35-$AC$104+1,0)</f>
        <v>23</v>
      </c>
      <c r="CA106" s="63" t="n">
        <f aca="false">IF(CA$35&gt;=$AC$104,CA$35-$AC$104+1,0)</f>
        <v>24</v>
      </c>
      <c r="CB106" s="63" t="n">
        <f aca="false">IF(CB$35&gt;=$AC$104,CB$35-$AC$104+1,0)</f>
        <v>25</v>
      </c>
      <c r="CC106" s="63" t="n">
        <f aca="false">IF(CC$35&gt;=$AC$104,CC$35-$AC$104+1,0)</f>
        <v>26</v>
      </c>
      <c r="CD106" s="63" t="n">
        <f aca="false">IF(CD$35&gt;=$AC$104,CD$35-$AC$104+1,0)</f>
        <v>27</v>
      </c>
      <c r="CE106" s="63" t="n">
        <f aca="false">IF(CE$35&gt;=$AC$104,CE$35-$AC$104+1,0)</f>
        <v>28</v>
      </c>
      <c r="CF106" s="63" t="n">
        <f aca="false">IF(CF$35&gt;=$AC$104,CF$35-$AC$104+1,0)</f>
        <v>29</v>
      </c>
      <c r="CG106" s="63" t="n">
        <f aca="false">IF(CG$35&gt;=$AC$104,CG$35-$AC$104+1,0)</f>
        <v>30</v>
      </c>
      <c r="CH106" s="63" t="n">
        <f aca="false">IF(CH$35&gt;=$AC$104,CH$35-$AC$104+1,0)</f>
        <v>31</v>
      </c>
      <c r="CI106" s="63" t="n">
        <f aca="false">IF(CI$35&gt;=$AC$104,CI$35-$AC$104+1,0)</f>
        <v>32</v>
      </c>
      <c r="CJ106" s="63" t="n">
        <f aca="false">IF(CJ$35&gt;=$AC$104,CJ$35-$AC$104+1,0)</f>
        <v>33</v>
      </c>
      <c r="CK106" s="63" t="n">
        <f aca="false">IF(CK$35&gt;=$AC$104,CK$35-$AC$104+1,0)</f>
        <v>34</v>
      </c>
      <c r="CL106" s="63" t="n">
        <f aca="false">IF(CL$35&gt;=$AC$104,CL$35-$AC$104+1,0)</f>
        <v>35</v>
      </c>
      <c r="CM106" s="63" t="n">
        <f aca="false">IF(CM$35&gt;=$AC$104,CM$35-$AC$104+1,0)</f>
        <v>36</v>
      </c>
      <c r="CN106" s="63" t="n">
        <f aca="false">IF(CN$35&gt;=$AC$104,CN$35-$AC$104+1,0)</f>
        <v>37</v>
      </c>
      <c r="CO106" s="63" t="n">
        <f aca="false">IF(CO$35&gt;=$AC$104,CO$35-$AC$104+1,0)</f>
        <v>38</v>
      </c>
      <c r="CP106" s="63" t="n">
        <f aca="false">IF(CP$35&gt;=$AC$104,CP$35-$AC$104+1,0)</f>
        <v>39</v>
      </c>
      <c r="CQ106" s="63" t="n">
        <f aca="false">IF(CQ$35&gt;=$AC$104,CQ$35-$AC$104+1,0)</f>
        <v>40</v>
      </c>
      <c r="CR106" s="63" t="n">
        <f aca="false">IF(CR$35&gt;=$AC$104,CR$35-$AC$104+1,0)</f>
        <v>41</v>
      </c>
      <c r="CS106" s="63" t="n">
        <f aca="false">IF(CS$35&gt;=$AC$104,CS$35-$AC$104+1,0)</f>
        <v>42</v>
      </c>
      <c r="CT106" s="63" t="n">
        <f aca="false">IF(CT$35&gt;=$AC$104,CT$35-$AC$104+1,0)</f>
        <v>43</v>
      </c>
      <c r="CU106" s="63" t="n">
        <f aca="false">IF(CU$35&gt;=$AC$104,CU$35-$AC$104+1,0)</f>
        <v>44</v>
      </c>
      <c r="CV106" s="63" t="n">
        <f aca="false">IF(CV$35&gt;=$AC$104,CV$35-$AC$104+1,0)</f>
        <v>45</v>
      </c>
      <c r="CW106" s="63" t="n">
        <f aca="false">IF(CW$35&gt;=$AC$104,CW$35-$AC$104+1,0)</f>
        <v>46</v>
      </c>
      <c r="CX106" s="63" t="n">
        <f aca="false">IF(CX$35&gt;=$AC$104,CX$35-$AC$104+1,0)</f>
        <v>47</v>
      </c>
      <c r="CY106" s="63" t="n">
        <f aca="false">IF(CY$35&gt;=$AC$104,CY$35-$AC$104+1,0)</f>
        <v>48</v>
      </c>
      <c r="CZ106" s="63" t="n">
        <f aca="false">IF(CZ$35&gt;=$AC$104,CZ$35-$AC$104+1,0)</f>
        <v>49</v>
      </c>
      <c r="DA106" s="63" t="n">
        <f aca="false">IF(DA$35&gt;=$AC$104,DA$35-$AC$104+1,0)</f>
        <v>50</v>
      </c>
      <c r="DB106" s="63" t="n">
        <f aca="false">IF(DB$35&gt;=$AC$104,DB$35-$AC$104+1,0)</f>
        <v>51</v>
      </c>
      <c r="DC106" s="63" t="n">
        <f aca="false">IF(DC$35&gt;=$AC$104,DC$35-$AC$104+1,0)</f>
        <v>52</v>
      </c>
      <c r="DD106" s="63" t="n">
        <f aca="false">IF(DD$35&gt;=$AC$104,DD$35-$AC$104+1,0)</f>
        <v>53</v>
      </c>
      <c r="DE106" s="63" t="n">
        <f aca="false">IF(DE$35&gt;=$AC$104,DE$35-$AC$104+1,0)</f>
        <v>54</v>
      </c>
      <c r="DF106" s="63" t="n">
        <f aca="false">IF(DF$35&gt;=$AC$104,DF$35-$AC$104+1,0)</f>
        <v>55</v>
      </c>
      <c r="DG106" s="63" t="n">
        <f aca="false">IF(DG$35&gt;=$AC$104,DG$35-$AC$104+1,0)</f>
        <v>56</v>
      </c>
      <c r="DH106" s="63" t="n">
        <f aca="false">IF(DH$35&gt;=$AC$104,DH$35-$AC$104+1,0)</f>
        <v>57</v>
      </c>
      <c r="DI106" s="63" t="n">
        <f aca="false">IF(DI$35&gt;=$AC$104,DI$35-$AC$104+1,0)</f>
        <v>58</v>
      </c>
      <c r="DJ106" s="63" t="n">
        <f aca="false">IF(DJ$35&gt;=$AC$104,DJ$35-$AC$104+1,0)</f>
        <v>59</v>
      </c>
      <c r="DK106" s="63" t="n">
        <f aca="false">IF(DK$35&gt;=$AC$104,DK$35-$AC$104+1,0)</f>
        <v>60</v>
      </c>
      <c r="DL106" s="63" t="n">
        <f aca="false">IF(DL$35&gt;=$AC$104,DL$35-$AC$104+1,0)</f>
        <v>61</v>
      </c>
      <c r="DM106" s="63" t="n">
        <f aca="false">IF(DM$35&gt;=$AC$104,DM$35-$AC$104+1,0)</f>
        <v>62</v>
      </c>
      <c r="DN106" s="63" t="n">
        <f aca="false">IF(DN$35&gt;=$AC$104,DN$35-$AC$104+1,0)</f>
        <v>63</v>
      </c>
      <c r="DO106" s="63" t="n">
        <f aca="false">IF(DO$35&gt;=$AC$104,DO$35-$AC$104+1,0)</f>
        <v>64</v>
      </c>
      <c r="DP106" s="63" t="n">
        <f aca="false">IF(DP$35&gt;=$AC$104,DP$35-$AC$104+1,0)</f>
        <v>65</v>
      </c>
      <c r="DQ106" s="63" t="n">
        <f aca="false">IF(DQ$35&gt;=$AC$104,DQ$35-$AC$104+1,0)</f>
        <v>66</v>
      </c>
      <c r="DR106" s="63" t="n">
        <f aca="false">IF(DR$35&gt;=$AC$104,DR$35-$AC$104+1,0)</f>
        <v>67</v>
      </c>
      <c r="DS106" s="63" t="n">
        <f aca="false">IF(DS$35&gt;=$AC$104,DS$35-$AC$104+1,0)</f>
        <v>68</v>
      </c>
      <c r="DT106" s="63" t="n">
        <f aca="false">IF(DT$35&gt;=$AC$104,DT$35-$AC$104+1,0)</f>
        <v>69</v>
      </c>
      <c r="DU106" s="63" t="n">
        <f aca="false">IF(DU$35&gt;=$AC$104,DU$35-$AC$104+1,0)</f>
        <v>70</v>
      </c>
      <c r="DV106" s="63" t="n">
        <f aca="false">IF(DV$35&gt;=$AC$104,DV$35-$AC$104+1,0)</f>
        <v>71</v>
      </c>
      <c r="DW106" s="63" t="n">
        <f aca="false">IF(DW$35&gt;=$AC$104,DW$35-$AC$104+1,0)</f>
        <v>72</v>
      </c>
      <c r="DX106" s="63" t="n">
        <f aca="false">IF(DX$35&gt;=$AC$104,DX$35-$AC$104+1,0)</f>
        <v>73</v>
      </c>
      <c r="DY106" s="63" t="n">
        <f aca="false">IF(DY$35&gt;=$AC$104,DY$35-$AC$104+1,0)</f>
        <v>74</v>
      </c>
      <c r="DZ106" s="63" t="n">
        <f aca="false">IF(DZ$35&gt;=$AC$104,DZ$35-$AC$104+1,0)</f>
        <v>75</v>
      </c>
      <c r="EA106" s="63" t="n">
        <f aca="false">IF(EA$35&gt;=$AC$104,EA$35-$AC$104+1,0)</f>
        <v>76</v>
      </c>
      <c r="EB106" s="63" t="n">
        <f aca="false">IF(EB$35&gt;=$AC$104,EB$35-$AC$104+1,0)</f>
        <v>77</v>
      </c>
      <c r="EC106" s="63" t="n">
        <f aca="false">IF(EC$35&gt;=$AC$104,EC$35-$AC$104+1,0)</f>
        <v>78</v>
      </c>
      <c r="ED106" s="63" t="n">
        <f aca="false">IF(ED$35&gt;=$AC$104,ED$35-$AC$104+1,0)</f>
        <v>79</v>
      </c>
      <c r="EE106" s="63" t="n">
        <f aca="false">IF(EE$35&gt;=$AC$104,EE$35-$AC$104+1,0)</f>
        <v>80</v>
      </c>
      <c r="EF106" s="63" t="n">
        <f aca="false">IF(EF$35&gt;=$AC$104,EF$35-$AC$104+1,0)</f>
        <v>81</v>
      </c>
      <c r="EG106" s="63" t="n">
        <f aca="false">IF(EG$35&gt;=$AC$104,EG$35-$AC$104+1,0)</f>
        <v>82</v>
      </c>
      <c r="EH106" s="63" t="n">
        <f aca="false">IF(EH$35&gt;=$AC$104,EH$35-$AC$104+1,0)</f>
        <v>83</v>
      </c>
      <c r="EI106" s="63" t="n">
        <f aca="false">IF(EI$35&gt;=$AC$104,EI$35-$AC$104+1,0)</f>
        <v>84</v>
      </c>
      <c r="EJ106" s="63" t="n">
        <f aca="false">IF(EJ$35&gt;=$AC$104,EJ$35-$AC$104+1,0)</f>
        <v>85</v>
      </c>
      <c r="EK106" s="63" t="n">
        <f aca="false">IF(EK$35&gt;=$AC$104,EK$35-$AC$104+1,0)</f>
        <v>86</v>
      </c>
      <c r="EL106" s="63" t="n">
        <f aca="false">IF(EL$35&gt;=$AC$104,EL$35-$AC$104+1,0)</f>
        <v>87</v>
      </c>
      <c r="EM106" s="63" t="n">
        <f aca="false">IF(EM$35&gt;=$AC$104,EM$35-$AC$104+1,0)</f>
        <v>88</v>
      </c>
      <c r="EN106" s="63" t="n">
        <f aca="false">IF(EN$35&gt;=$AC$104,EN$35-$AC$104+1,0)</f>
        <v>89</v>
      </c>
      <c r="EO106" s="63" t="n">
        <f aca="false">IF(EO$35&gt;=$AC$104,EO$35-$AC$104+1,0)</f>
        <v>90</v>
      </c>
      <c r="EP106" s="63" t="n">
        <f aca="false">IF(EP$35&gt;=$AC$104,EP$35-$AC$104+1,0)</f>
        <v>91</v>
      </c>
      <c r="EQ106" s="63" t="n">
        <f aca="false">IF(EQ$35&gt;=$AC$104,EQ$35-$AC$104+1,0)</f>
        <v>92</v>
      </c>
      <c r="ER106" s="63" t="n">
        <f aca="false">IF(ER$35&gt;=$AC$104,ER$35-$AC$104+1,0)</f>
        <v>93</v>
      </c>
      <c r="ES106" s="9" t="n">
        <f aca="false">IF(ES$35&gt;=$AC$104,ES$35-$AC$104+1,0)</f>
        <v>94</v>
      </c>
      <c r="ET106" s="9" t="n">
        <f aca="false">IF(ET$35&gt;=$AC$104,ET$35-$AC$104+1,0)</f>
        <v>95</v>
      </c>
      <c r="EU106" s="9" t="n">
        <f aca="false">IF(EU$35&gt;=$AC$104,EU$35-$AC$104+1,0)</f>
        <v>96</v>
      </c>
      <c r="EV106" s="9" t="n">
        <f aca="false">IF(EV$35&gt;=$AC$104,EV$35-$AC$104+1,0)</f>
        <v>97</v>
      </c>
      <c r="EW106" s="9" t="n">
        <f aca="false">IF(EW$35&gt;=$AC$104,EW$35-$AC$104+1,0)</f>
        <v>98</v>
      </c>
      <c r="EX106" s="9" t="n">
        <f aca="false">IF(EX$35&gt;=$AC$104,EX$35-$AC$104+1,0)</f>
        <v>99</v>
      </c>
      <c r="EY106" s="9" t="n">
        <f aca="false">IF(EY$35&gt;=$AC$104,EY$35-$AC$104+1,0)</f>
        <v>100</v>
      </c>
      <c r="EZ106" s="9" t="n">
        <f aca="false">IF(EZ$35&gt;=$AC$104,EZ$35-$AC$104+1,0)</f>
        <v>101</v>
      </c>
      <c r="FA106" s="9" t="n">
        <f aca="false">IF(FA$35&gt;=$AC$104,FA$35-$AC$104+1,0)</f>
        <v>102</v>
      </c>
      <c r="FB106" s="9" t="n">
        <f aca="false">IF(FB$35&gt;=$AC$104,FB$35-$AC$104+1,0)</f>
        <v>103</v>
      </c>
      <c r="FC106" s="9" t="n">
        <f aca="false">IF(FC$35&gt;=$AC$104,FC$35-$AC$104+1,0)</f>
        <v>104</v>
      </c>
      <c r="FD106" s="9" t="n">
        <f aca="false">IF(FD$35&gt;=$AC$104,FD$35-$AC$104+1,0)</f>
        <v>105</v>
      </c>
      <c r="FE106" s="9" t="n">
        <f aca="false">IF(FE$35&gt;=$AC$104,FE$35-$AC$104+1,0)</f>
        <v>106</v>
      </c>
      <c r="FF106" s="9" t="n">
        <f aca="false">IF(FF$35&gt;=$AC$104,FF$35-$AC$104+1,0)</f>
        <v>107</v>
      </c>
      <c r="FG106" s="9" t="n">
        <f aca="false">IF(FG$35&gt;=$AC$104,FG$35-$AC$104+1,0)</f>
        <v>108</v>
      </c>
      <c r="FH106" s="9" t="n">
        <f aca="false">IF(FH$35&gt;=$AC$104,FH$35-$AC$104+1,0)</f>
        <v>109</v>
      </c>
      <c r="FI106" s="9" t="n">
        <f aca="false">IF(FI$35&gt;=$AC$104,FI$35-$AC$104+1,0)</f>
        <v>110</v>
      </c>
      <c r="FJ106" s="9" t="n">
        <f aca="false">IF(FJ$35&gt;=$AC$104,FJ$35-$AC$104+1,0)</f>
        <v>111</v>
      </c>
      <c r="FK106" s="9" t="n">
        <f aca="false">IF(FK$35&gt;=$AC$104,FK$35-$AC$104+1,0)</f>
        <v>112</v>
      </c>
      <c r="FL106" s="9" t="n">
        <f aca="false">IF(FL$35&gt;=$AC$104,FL$35-$AC$104+1,0)</f>
        <v>113</v>
      </c>
      <c r="FM106" s="9" t="n">
        <f aca="false">IF(FM$35&gt;=$AC$104,FM$35-$AC$104+1,0)</f>
        <v>114</v>
      </c>
      <c r="FN106" s="9" t="n">
        <f aca="false">IF(FN$35&gt;=$AC$104,FN$35-$AC$104+1,0)</f>
        <v>115</v>
      </c>
      <c r="FO106" s="9" t="n">
        <f aca="false">IF(FO$35&gt;=$AC$104,FO$35-$AC$104+1,0)</f>
        <v>116</v>
      </c>
      <c r="FP106" s="9" t="n">
        <f aca="false">IF(FP$35&gt;=$AC$104,FP$35-$AC$104+1,0)</f>
        <v>117</v>
      </c>
    </row>
    <row r="107" customFormat="false" ht="15" hidden="false" customHeight="false" outlineLevel="2" collapsed="false">
      <c r="B107" s="9" t="s">
        <v>874</v>
      </c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236" t="n">
        <f aca="false" t="array" ref="AC107:AC107">IF(AC106=0,0,IF(AC106/'🎚️ Escenario'!$C$11&gt;=36,$AL$23,INDEX($C$23:$AL$23,MAX(1,ROUNDUP(AC106/'🎚️ Escenario'!$C$11,0)))))</f>
        <v>0</v>
      </c>
      <c r="AD107" s="236" t="n">
        <f aca="false" t="array" ref="AD107:AD107">IF(AD106=0,0,IF(AD106/'🎚️ Escenario'!$C$11&gt;=36,$AL$23,INDEX($C$23:$AL$23,MAX(1,ROUNDUP(AD106/'🎚️ Escenario'!$C$11,0)))))</f>
        <v>0</v>
      </c>
      <c r="AE107" s="236" t="n">
        <f aca="false" t="array" ref="AE107:AE107">IF(AE106=0,0,IF(AE106/'🎚️ Escenario'!$C$11&gt;=36,$AL$23,INDEX($C$23:$AL$23,MAX(1,ROUNDUP(AE106/'🎚️ Escenario'!$C$11,0)))))</f>
        <v>0</v>
      </c>
      <c r="AF107" s="236" t="n">
        <f aca="false" t="array" ref="AF107:AF107">IF(AF106=0,0,IF(AF106/'🎚️ Escenario'!$C$11&gt;=36,$AL$23,INDEX($C$23:$AL$23,MAX(1,ROUNDUP(AF106/'🎚️ Escenario'!$C$11,0)))))</f>
        <v>0</v>
      </c>
      <c r="AG107" s="236" t="n">
        <f aca="false" t="array" ref="AG107:AG107">IF(AG106=0,0,IF(AG106/'🎚️ Escenario'!$C$11&gt;=36,$AL$23,INDEX($C$23:$AL$23,MAX(1,ROUNDUP(AG106/'🎚️ Escenario'!$C$11,0)))))</f>
        <v>0</v>
      </c>
      <c r="AH107" s="236" t="n">
        <f aca="false" t="array" ref="AH107:AH107">IF(AH106=0,0,IF(AH106/'🎚️ Escenario'!$C$11&gt;=36,$AL$23,INDEX($C$23:$AL$23,MAX(1,ROUNDUP(AH106/'🎚️ Escenario'!$C$11,0)))))</f>
        <v>0</v>
      </c>
      <c r="AI107" s="236" t="n">
        <f aca="false" t="array" ref="AI107:AI107">IF(AI106=0,0,IF(AI106/'🎚️ Escenario'!$C$11&gt;=36,$AL$23,INDEX($C$23:$AL$23,MAX(1,ROUNDUP(AI106/'🎚️ Escenario'!$C$11,0)))))</f>
        <v>0</v>
      </c>
      <c r="AJ107" s="236" t="n">
        <f aca="false" t="array" ref="AJ107:AJ107">IF(AJ106=0,0,IF(AJ106/'🎚️ Escenario'!$C$11&gt;=36,$AL$23,INDEX($C$23:$AL$23,MAX(1,ROUNDUP(AJ106/'🎚️ Escenario'!$C$11,0)))))</f>
        <v>0</v>
      </c>
      <c r="AK107" s="236" t="n">
        <f aca="false" t="array" ref="AK107:AK107">IF(AK106=0,0,IF(AK106/'🎚️ Escenario'!$C$11&gt;=36,$AL$23,INDEX($C$23:$AL$23,MAX(1,ROUNDUP(AK106/'🎚️ Escenario'!$C$11,0)))))</f>
        <v>0</v>
      </c>
      <c r="AL107" s="236" t="n">
        <f aca="false" t="array" ref="AL107:AL107">IF(AL106=0,0,IF(AL106/'🎚️ Escenario'!$C$11&gt;=36,$AL$23,INDEX($C$23:$AL$23,MAX(1,ROUNDUP(AL106/'🎚️ Escenario'!$C$11,0)))))</f>
        <v>0</v>
      </c>
      <c r="AM107" s="236" t="n">
        <f aca="false" t="array" ref="AM107:AM107">IF(AM106=0,0,IF(AM106/'🎚️ Escenario'!$C$11&gt;=36,$AL$23,INDEX($C$23:$AL$23,MAX(1,ROUNDUP(AM106/'🎚️ Escenario'!$C$11,0)))))</f>
        <v>0</v>
      </c>
      <c r="AN107" s="236" t="n">
        <f aca="false" t="array" ref="AN107:AN107">IF(AN106=0,0,IF(AN106/'🎚️ Escenario'!$C$11&gt;=36,$AL$23,INDEX($C$23:$AL$23,MAX(1,ROUNDUP(AN106/'🎚️ Escenario'!$C$11,0)))))</f>
        <v>0</v>
      </c>
      <c r="AO107" s="236" t="n">
        <f aca="false" t="array" ref="AO107:AO107">IF(AO106=0,0,IF(AO106/'🎚️ Escenario'!$C$11&gt;=36,$AL$23,INDEX($C$23:$AL$23,MAX(1,ROUNDUP(AO106/'🎚️ Escenario'!$C$11,0)))))</f>
        <v>0</v>
      </c>
      <c r="AP107" s="236" t="n">
        <f aca="false" t="array" ref="AP107:AP107">IF(AP106=0,0,IF(AP106/'🎚️ Escenario'!$C$11&gt;=36,$AL$23,INDEX($C$23:$AL$23,MAX(1,ROUNDUP(AP106/'🎚️ Escenario'!$C$11,0)))))</f>
        <v>0</v>
      </c>
      <c r="AQ107" s="236" t="n">
        <f aca="false" t="array" ref="AQ107:AQ107">IF(AQ106=0,0,IF(AQ106/'🎚️ Escenario'!$C$11&gt;=36,$AL$23,INDEX($C$23:$AL$23,MAX(1,ROUNDUP(AQ106/'🎚️ Escenario'!$C$11,0)))))</f>
        <v>0</v>
      </c>
      <c r="AR107" s="236" t="n">
        <f aca="false" t="array" ref="AR107:AR107">IF(AR106=0,0,IF(AR106/'🎚️ Escenario'!$C$11&gt;=36,$AL$23,INDEX($C$23:$AL$23,MAX(1,ROUNDUP(AR106/'🎚️ Escenario'!$C$11,0)))))</f>
        <v>0</v>
      </c>
      <c r="AS107" s="236" t="n">
        <f aca="false" t="array" ref="AS107:AS107">IF(AS106=0,0,IF(AS106/'🎚️ Escenario'!$C$11&gt;=36,$AL$23,INDEX($C$23:$AL$23,MAX(1,ROUNDUP(AS106/'🎚️ Escenario'!$C$11,0)))))</f>
        <v>0</v>
      </c>
      <c r="AT107" s="236" t="n">
        <f aca="false" t="array" ref="AT107:AT107">IF(AT106=0,0,IF(AT106/'🎚️ Escenario'!$C$11&gt;=36,$AL$23,INDEX($C$23:$AL$23,MAX(1,ROUNDUP(AT106/'🎚️ Escenario'!$C$11,0)))))</f>
        <v>0</v>
      </c>
      <c r="AU107" s="236" t="n">
        <f aca="false" t="array" ref="AU107:AU107">IF(AU106=0,0,IF(AU106/'🎚️ Escenario'!$C$11&gt;=36,$AL$23,INDEX($C$23:$AL$23,MAX(1,ROUNDUP(AU106/'🎚️ Escenario'!$C$11,0)))))</f>
        <v>0</v>
      </c>
      <c r="AV107" s="236" t="n">
        <f aca="false" t="array" ref="AV107:AV107">IF(AV106=0,0,IF(AV106/'🎚️ Escenario'!$C$11&gt;=36,$AL$23,INDEX($C$23:$AL$23,MAX(1,ROUNDUP(AV106/'🎚️ Escenario'!$C$11,0)))))</f>
        <v>0</v>
      </c>
      <c r="AW107" s="236" t="n">
        <f aca="false" t="array" ref="AW107:AW107">IF(AW106=0,0,IF(AW106/'🎚️ Escenario'!$C$11&gt;=36,$AL$23,INDEX($C$23:$AL$23,MAX(1,ROUNDUP(AW106/'🎚️ Escenario'!$C$11,0)))))</f>
        <v>0</v>
      </c>
      <c r="AX107" s="236" t="n">
        <f aca="false" t="array" ref="AX107:AX107">IF(AX106=0,0,IF(AX106/'🎚️ Escenario'!$C$11&gt;=36,$AL$23,INDEX($C$23:$AL$23,MAX(1,ROUNDUP(AX106/'🎚️ Escenario'!$C$11,0)))))</f>
        <v>0</v>
      </c>
      <c r="AY107" s="236" t="n">
        <f aca="false" t="array" ref="AY107:AY107">IF(AY106=0,0,IF(AY106/'🎚️ Escenario'!$C$11&gt;=36,$AL$23,INDEX($C$23:$AL$23,MAX(1,ROUNDUP(AY106/'🎚️ Escenario'!$C$11,0)))))</f>
        <v>0</v>
      </c>
      <c r="AZ107" s="236" t="n">
        <f aca="false" t="array" ref="AZ107:AZ107">IF(AZ106=0,0,IF(AZ106/'🎚️ Escenario'!$C$11&gt;=36,$AL$23,INDEX($C$23:$AL$23,MAX(1,ROUNDUP(AZ106/'🎚️ Escenario'!$C$11,0)))))</f>
        <v>0</v>
      </c>
      <c r="BA107" s="236" t="n">
        <f aca="false" t="array" ref="BA107:BA107">IF(BA106=0,0,IF(BA106/'🎚️ Escenario'!$C$11&gt;=36,$AL$23,INDEX($C$23:$AL$23,MAX(1,ROUNDUP(BA106/'🎚️ Escenario'!$C$11,0)))))</f>
        <v>0</v>
      </c>
      <c r="BB107" s="236" t="n">
        <f aca="false" t="array" ref="BB107:BB107">IF(BB106=0,0,IF(BB106/'🎚️ Escenario'!$C$11&gt;=36,$AL$23,INDEX($C$23:$AL$23,MAX(1,ROUNDUP(BB106/'🎚️ Escenario'!$C$11,0)))))</f>
        <v>0</v>
      </c>
      <c r="BC107" s="236" t="n">
        <f aca="false" t="array" ref="BC107:BC107">IF(BC106=0,0,IF(BC106/'🎚️ Escenario'!$C$11&gt;=36,$AL$23,INDEX($C$23:$AL$23,MAX(1,ROUNDUP(BC106/'🎚️ Escenario'!$C$11,0)))))</f>
        <v>0</v>
      </c>
      <c r="BD107" s="236" t="n">
        <f aca="false" t="array" ref="BD107:BD107">IF(BD106=0,0,IF(BD106/'🎚️ Escenario'!$C$11&gt;=36,$AL$23,INDEX($C$23:$AL$23,MAX(1,ROUNDUP(BD106/'🎚️ Escenario'!$C$11,0)))))</f>
        <v>0.2</v>
      </c>
      <c r="BE107" s="236" t="n">
        <f aca="false" t="array" ref="BE107:BE107">IF(BE106=0,0,IF(BE106/'🎚️ Escenario'!$C$11&gt;=36,$AL$23,INDEX($C$23:$AL$23,MAX(1,ROUNDUP(BE106/'🎚️ Escenario'!$C$11,0)))))</f>
        <v>0.22</v>
      </c>
      <c r="BF107" s="236" t="n">
        <f aca="false" t="array" ref="BF107:BF107">IF(BF106=0,0,IF(BF106/'🎚️ Escenario'!$C$11&gt;=36,$AL$23,INDEX($C$23:$AL$23,MAX(1,ROUNDUP(BF106/'🎚️ Escenario'!$C$11,0)))))</f>
        <v>0.24</v>
      </c>
      <c r="BG107" s="236" t="n">
        <f aca="false" t="array" ref="BG107:BG107">IF(BG106=0,0,IF(BG106/'🎚️ Escenario'!$C$11&gt;=36,$AL$23,INDEX($C$23:$AL$23,MAX(1,ROUNDUP(BG106/'🎚️ Escenario'!$C$11,0)))))</f>
        <v>0.27</v>
      </c>
      <c r="BH107" s="236" t="n">
        <f aca="false" t="array" ref="BH107:BH107">IF(BH106=0,0,IF(BH106/'🎚️ Escenario'!$C$11&gt;=36,$AL$23,INDEX($C$23:$AL$23,MAX(1,ROUNDUP(BH106/'🎚️ Escenario'!$C$11,0)))))</f>
        <v>0.27</v>
      </c>
      <c r="BI107" s="236" t="n">
        <f aca="false" t="array" ref="BI107:BI107">IF(BI106=0,0,IF(BI106/'🎚️ Escenario'!$C$11&gt;=36,$AL$23,INDEX($C$23:$AL$23,MAX(1,ROUNDUP(BI106/'🎚️ Escenario'!$C$11,0)))))</f>
        <v>0.31</v>
      </c>
      <c r="BJ107" s="236" t="n">
        <f aca="false" t="array" ref="BJ107:BJ107">IF(BJ106=0,0,IF(BJ106/'🎚️ Escenario'!$C$11&gt;=36,$AL$23,INDEX($C$23:$AL$23,MAX(1,ROUNDUP(BJ106/'🎚️ Escenario'!$C$11,0)))))</f>
        <v>0.35</v>
      </c>
      <c r="BK107" s="236" t="n">
        <f aca="false" t="array" ref="BK107:BK107">IF(BK106=0,0,IF(BK106/'🎚️ Escenario'!$C$11&gt;=36,$AL$23,INDEX($C$23:$AL$23,MAX(1,ROUNDUP(BK106/'🎚️ Escenario'!$C$11,0)))))</f>
        <v>0.39</v>
      </c>
      <c r="BL107" s="236" t="n">
        <f aca="false" t="array" ref="BL107:BL107">IF(BL106=0,0,IF(BL106/'🎚️ Escenario'!$C$11&gt;=36,$AL$23,INDEX($C$23:$AL$23,MAX(1,ROUNDUP(BL106/'🎚️ Escenario'!$C$11,0)))))</f>
        <v>0.44</v>
      </c>
      <c r="BM107" s="236" t="n">
        <f aca="false" t="array" ref="BM107:BM107">IF(BM106=0,0,IF(BM106/'🎚️ Escenario'!$C$11&gt;=36,$AL$23,INDEX($C$23:$AL$23,MAX(1,ROUNDUP(BM106/'🎚️ Escenario'!$C$11,0)))))</f>
        <v>0.44</v>
      </c>
      <c r="BN107" s="236" t="n">
        <f aca="false" t="array" ref="BN107:BN107">IF(BN106=0,0,IF(BN106/'🎚️ Escenario'!$C$11&gt;=36,$AL$23,INDEX($C$23:$AL$23,MAX(1,ROUNDUP(BN106/'🎚️ Escenario'!$C$11,0)))))</f>
        <v>0.48</v>
      </c>
      <c r="BO107" s="236" t="n">
        <f aca="false" t="array" ref="BO107:BO107">IF(BO106=0,0,IF(BO106/'🎚️ Escenario'!$C$11&gt;=36,$AL$23,INDEX($C$23:$AL$23,MAX(1,ROUNDUP(BO106/'🎚️ Escenario'!$C$11,0)))))</f>
        <v>0.52</v>
      </c>
      <c r="BP107" s="236" t="n">
        <f aca="false" t="array" ref="BP107:BP107">IF(BP106=0,0,IF(BP106/'🎚️ Escenario'!$C$11&gt;=36,$AL$23,INDEX($C$23:$AL$23,MAX(1,ROUNDUP(BP106/'🎚️ Escenario'!$C$11,0)))))</f>
        <v>0.56</v>
      </c>
      <c r="BQ107" s="236" t="n">
        <f aca="false" t="array" ref="BQ107:BQ107">IF(BQ106=0,0,IF(BQ106/'🎚️ Escenario'!$C$11&gt;=36,$AL$23,INDEX($C$23:$AL$23,MAX(1,ROUNDUP(BQ106/'🎚️ Escenario'!$C$11,0)))))</f>
        <v>0.6</v>
      </c>
      <c r="BR107" s="236" t="n">
        <f aca="false" t="array" ref="BR107:BR107">IF(BR106=0,0,IF(BR106/'🎚️ Escenario'!$C$11&gt;=36,$AL$23,INDEX($C$23:$AL$23,MAX(1,ROUNDUP(BR106/'🎚️ Escenario'!$C$11,0)))))</f>
        <v>0.6</v>
      </c>
      <c r="BS107" s="236" t="n">
        <f aca="false" t="array" ref="BS107:BS107">IF(BS106=0,0,IF(BS106/'🎚️ Escenario'!$C$11&gt;=36,$AL$23,INDEX($C$23:$AL$23,MAX(1,ROUNDUP(BS106/'🎚️ Escenario'!$C$11,0)))))</f>
        <v>0.63</v>
      </c>
      <c r="BT107" s="236" t="n">
        <f aca="false" t="array" ref="BT107:BT107">IF(BT106=0,0,IF(BT106/'🎚️ Escenario'!$C$11&gt;=36,$AL$23,INDEX($C$23:$AL$23,MAX(1,ROUNDUP(BT106/'🎚️ Escenario'!$C$11,0)))))</f>
        <v>0.66</v>
      </c>
      <c r="BU107" s="236" t="n">
        <f aca="false" t="array" ref="BU107:BU107">IF(BU106=0,0,IF(BU106/'🎚️ Escenario'!$C$11&gt;=36,$AL$23,INDEX($C$23:$AL$23,MAX(1,ROUNDUP(BU106/'🎚️ Escenario'!$C$11,0)))))</f>
        <v>0.69</v>
      </c>
      <c r="BV107" s="236" t="n">
        <f aca="false" t="array" ref="BV107:BV107">IF(BV106=0,0,IF(BV106/'🎚️ Escenario'!$C$11&gt;=36,$AL$23,INDEX($C$23:$AL$23,MAX(1,ROUNDUP(BV106/'🎚️ Escenario'!$C$11,0)))))</f>
        <v>0.71</v>
      </c>
      <c r="BW107" s="236" t="n">
        <f aca="false" t="array" ref="BW107:BW107">IF(BW106=0,0,IF(BW106/'🎚️ Escenario'!$C$11&gt;=36,$AL$23,INDEX($C$23:$AL$23,MAX(1,ROUNDUP(BW106/'🎚️ Escenario'!$C$11,0)))))</f>
        <v>0.71</v>
      </c>
      <c r="BX107" s="236" t="n">
        <f aca="false" t="array" ref="BX107:BX107">IF(BX106=0,0,IF(BX106/'🎚️ Escenario'!$C$11&gt;=36,$AL$23,INDEX($C$23:$AL$23,MAX(1,ROUNDUP(BX106/'🎚️ Escenario'!$C$11,0)))))</f>
        <v>0.73</v>
      </c>
      <c r="BY107" s="236" t="n">
        <f aca="false" t="array" ref="BY107:BY107">IF(BY106=0,0,IF(BY106/'🎚️ Escenario'!$C$11&gt;=36,$AL$23,INDEX($C$23:$AL$23,MAX(1,ROUNDUP(BY106/'🎚️ Escenario'!$C$11,0)))))</f>
        <v>0.75</v>
      </c>
      <c r="BZ107" s="236" t="n">
        <f aca="false" t="array" ref="BZ107:BZ107">IF(BZ106=0,0,IF(BZ106/'🎚️ Escenario'!$C$11&gt;=36,$AL$23,INDEX($C$23:$AL$23,MAX(1,ROUNDUP(BZ106/'🎚️ Escenario'!$C$11,0)))))</f>
        <v>0.77</v>
      </c>
      <c r="CA107" s="236" t="n">
        <f aca="false" t="array" ref="CA107:CA107">IF(CA106=0,0,IF(CA106/'🎚️ Escenario'!$C$11&gt;=36,$AL$23,INDEX($C$23:$AL$23,MAX(1,ROUNDUP(CA106/'🎚️ Escenario'!$C$11,0)))))</f>
        <v>0.79</v>
      </c>
      <c r="CB107" s="236" t="n">
        <f aca="false" t="array" ref="CB107:CB107">IF(CB106=0,0,IF(CB106/'🎚️ Escenario'!$C$11&gt;=36,$AL$23,INDEX($C$23:$AL$23,MAX(1,ROUNDUP(CB106/'🎚️ Escenario'!$C$11,0)))))</f>
        <v>0.79</v>
      </c>
      <c r="CC107" s="236" t="n">
        <f aca="false" t="array" ref="CC107:CC107">IF(CC106=0,0,IF(CC106/'🎚️ Escenario'!$C$11&gt;=36,$AL$23,INDEX($C$23:$AL$23,MAX(1,ROUNDUP(CC106/'🎚️ Escenario'!$C$11,0)))))</f>
        <v>0.8</v>
      </c>
      <c r="CD107" s="236" t="n">
        <f aca="false" t="array" ref="CD107:CD107">IF(CD106=0,0,IF(CD106/'🎚️ Escenario'!$C$11&gt;=36,$AL$23,INDEX($C$23:$AL$23,MAX(1,ROUNDUP(CD106/'🎚️ Escenario'!$C$11,0)))))</f>
        <v>0.82</v>
      </c>
      <c r="CE107" s="236" t="n">
        <f aca="false" t="array" ref="CE107:CE107">IF(CE106=0,0,IF(CE106/'🎚️ Escenario'!$C$11&gt;=36,$AL$23,INDEX($C$23:$AL$23,MAX(1,ROUNDUP(CE106/'🎚️ Escenario'!$C$11,0)))))</f>
        <v>0.84</v>
      </c>
      <c r="CF107" s="236" t="n">
        <f aca="false" t="array" ref="CF107:CF107">IF(CF106=0,0,IF(CF106/'🎚️ Escenario'!$C$11&gt;=36,$AL$23,INDEX($C$23:$AL$23,MAX(1,ROUNDUP(CF106/'🎚️ Escenario'!$C$11,0)))))</f>
        <v>0.85</v>
      </c>
      <c r="CG107" s="236" t="n">
        <f aca="false" t="array" ref="CG107:CG107">IF(CG106=0,0,IF(CG106/'🎚️ Escenario'!$C$11&gt;=36,$AL$23,INDEX($C$23:$AL$23,MAX(1,ROUNDUP(CG106/'🎚️ Escenario'!$C$11,0)))))</f>
        <v>0.85</v>
      </c>
      <c r="CH107" s="236" t="n">
        <f aca="false" t="array" ref="CH107:CH107">IF(CH106=0,0,IF(CH106/'🎚️ Escenario'!$C$11&gt;=36,$AL$23,INDEX($C$23:$AL$23,MAX(1,ROUNDUP(CH106/'🎚️ Escenario'!$C$11,0)))))</f>
        <v>0.86</v>
      </c>
      <c r="CI107" s="236" t="n">
        <f aca="false" t="array" ref="CI107:CI107">IF(CI106=0,0,IF(CI106/'🎚️ Escenario'!$C$11&gt;=36,$AL$23,INDEX($C$23:$AL$23,MAX(1,ROUNDUP(CI106/'🎚️ Escenario'!$C$11,0)))))</f>
        <v>0.88</v>
      </c>
      <c r="CJ107" s="236" t="n">
        <f aca="false" t="array" ref="CJ107:CJ107">IF(CJ106=0,0,IF(CJ106/'🎚️ Escenario'!$C$11&gt;=36,$AL$23,INDEX($C$23:$AL$23,MAX(1,ROUNDUP(CJ106/'🎚️ Escenario'!$C$11,0)))))</f>
        <v>0.89</v>
      </c>
      <c r="CK107" s="236" t="n">
        <f aca="false" t="array" ref="CK107:CK107">IF(CK106=0,0,IF(CK106/'🎚️ Escenario'!$C$11&gt;=36,$AL$23,INDEX($C$23:$AL$23,MAX(1,ROUNDUP(CK106/'🎚️ Escenario'!$C$11,0)))))</f>
        <v>0.9</v>
      </c>
      <c r="CL107" s="236" t="n">
        <f aca="false" t="array" ref="CL107:CL107">IF(CL106=0,0,IF(CL106/'🎚️ Escenario'!$C$11&gt;=36,$AL$23,INDEX($C$23:$AL$23,MAX(1,ROUNDUP(CL106/'🎚️ Escenario'!$C$11,0)))))</f>
        <v>0.9</v>
      </c>
      <c r="CM107" s="236" t="n">
        <f aca="false" t="array" ref="CM107:CM107">IF(CM106=0,0,IF(CM106/'🎚️ Escenario'!$C$11&gt;=36,$AL$23,INDEX($C$23:$AL$23,MAX(1,ROUNDUP(CM106/'🎚️ Escenario'!$C$11,0)))))</f>
        <v>0.92</v>
      </c>
      <c r="CN107" s="236" t="n">
        <f aca="false" t="array" ref="CN107:CN107">IF(CN106=0,0,IF(CN106/'🎚️ Escenario'!$C$11&gt;=36,$AL$23,INDEX($C$23:$AL$23,MAX(1,ROUNDUP(CN106/'🎚️ Escenario'!$C$11,0)))))</f>
        <v>0.93</v>
      </c>
      <c r="CO107" s="236" t="n">
        <f aca="false" t="array" ref="CO107:CO107">IF(CO106=0,0,IF(CO106/'🎚️ Escenario'!$C$11&gt;=36,$AL$23,INDEX($C$23:$AL$23,MAX(1,ROUNDUP(CO106/'🎚️ Escenario'!$C$11,0)))))</f>
        <v>0.94</v>
      </c>
      <c r="CP107" s="236" t="n">
        <f aca="false" t="array" ref="CP107:CP107">IF(CP106=0,0,IF(CP106/'🎚️ Escenario'!$C$11&gt;=36,$AL$23,INDEX($C$23:$AL$23,MAX(1,ROUNDUP(CP106/'🎚️ Escenario'!$C$11,0)))))</f>
        <v>0.95</v>
      </c>
      <c r="CQ107" s="236" t="n">
        <f aca="false" t="array" ref="CQ107:CQ107">IF(CQ106=0,0,IF(CQ106/'🎚️ Escenario'!$C$11&gt;=36,$AL$23,INDEX($C$23:$AL$23,MAX(1,ROUNDUP(CQ106/'🎚️ Escenario'!$C$11,0)))))</f>
        <v>0.95</v>
      </c>
      <c r="CR107" s="236" t="n">
        <f aca="false" t="array" ref="CR107:CR107">IF(CR106=0,0,IF(CR106/'🎚️ Escenario'!$C$11&gt;=36,$AL$23,INDEX($C$23:$AL$23,MAX(1,ROUNDUP(CR106/'🎚️ Escenario'!$C$11,0)))))</f>
        <v>0.97</v>
      </c>
      <c r="CS107" s="236" t="n">
        <f aca="false" t="array" ref="CS107:CS107">IF(CS106=0,0,IF(CS106/'🎚️ Escenario'!$C$11&gt;=36,$AL$23,INDEX($C$23:$AL$23,MAX(1,ROUNDUP(CS106/'🎚️ Escenario'!$C$11,0)))))</f>
        <v>0.98</v>
      </c>
      <c r="CT107" s="236" t="n">
        <f aca="false" t="array" ref="CT107:CT107">IF(CT106=0,0,IF(CT106/'🎚️ Escenario'!$C$11&gt;=36,$AL$23,INDEX($C$23:$AL$23,MAX(1,ROUNDUP(CT106/'🎚️ Escenario'!$C$11,0)))))</f>
        <v>0.99</v>
      </c>
      <c r="CU107" s="236" t="n">
        <f aca="false" t="array" ref="CU107:CU107">IF(CU106=0,0,IF(CU106/'🎚️ Escenario'!$C$11&gt;=36,$AL$23,INDEX($C$23:$AL$23,MAX(1,ROUNDUP(CU106/'🎚️ Escenario'!$C$11,0)))))</f>
        <v>1</v>
      </c>
      <c r="CV107" s="236" t="n">
        <f aca="false" t="array" ref="CV107:CV107">IF(CV106=0,0,IF(CV106/'🎚️ Escenario'!$C$11&gt;=36,$AL$23,INDEX($C$23:$AL$23,MAX(1,ROUNDUP(CV106/'🎚️ Escenario'!$C$11,0)))))</f>
        <v>1</v>
      </c>
      <c r="CW107" s="236" t="n">
        <f aca="false" t="array" ref="CW107:CW107">IF(CW106=0,0,IF(CW106/'🎚️ Escenario'!$C$11&gt;=36,$AL$23,INDEX($C$23:$AL$23,MAX(1,ROUNDUP(CW106/'🎚️ Escenario'!$C$11,0)))))</f>
        <v>1</v>
      </c>
      <c r="CX107" s="236" t="n">
        <f aca="false" t="array" ref="CX107:CX107">IF(CX106=0,0,IF(CX106/'🎚️ Escenario'!$C$11&gt;=36,$AL$23,INDEX($C$23:$AL$23,MAX(1,ROUNDUP(CX106/'🎚️ Escenario'!$C$11,0)))))</f>
        <v>1</v>
      </c>
      <c r="CY107" s="236" t="n">
        <f aca="false" t="array" ref="CY107:CY107">IF(CY106=0,0,IF(CY106/'🎚️ Escenario'!$C$11&gt;=36,$AL$23,INDEX($C$23:$AL$23,MAX(1,ROUNDUP(CY106/'🎚️ Escenario'!$C$11,0)))))</f>
        <v>1</v>
      </c>
      <c r="CZ107" s="236" t="n">
        <f aca="false" t="array" ref="CZ107:CZ107">IF(CZ106=0,0,IF(CZ106/'🎚️ Escenario'!$C$11&gt;=36,$AL$23,INDEX($C$23:$AL$23,MAX(1,ROUNDUP(CZ106/'🎚️ Escenario'!$C$11,0)))))</f>
        <v>1</v>
      </c>
      <c r="DA107" s="236" t="n">
        <f aca="false" t="array" ref="DA107:DA107">IF(DA106=0,0,IF(DA106/'🎚️ Escenario'!$C$11&gt;=36,$AL$23,INDEX($C$23:$AL$23,MAX(1,ROUNDUP(DA106/'🎚️ Escenario'!$C$11,0)))))</f>
        <v>1</v>
      </c>
      <c r="DB107" s="236" t="n">
        <f aca="false" t="array" ref="DB107:DB107">IF(DB106=0,0,IF(DB106/'🎚️ Escenario'!$C$11&gt;=36,$AL$23,INDEX($C$23:$AL$23,MAX(1,ROUNDUP(DB106/'🎚️ Escenario'!$C$11,0)))))</f>
        <v>1</v>
      </c>
      <c r="DC107" s="236" t="n">
        <f aca="false" t="array" ref="DC107:DC107">IF(DC106=0,0,IF(DC106/'🎚️ Escenario'!$C$11&gt;=36,$AL$23,INDEX($C$23:$AL$23,MAX(1,ROUNDUP(DC106/'🎚️ Escenario'!$C$11,0)))))</f>
        <v>1</v>
      </c>
      <c r="DD107" s="236" t="n">
        <f aca="false" t="array" ref="DD107:DD107">IF(DD106=0,0,IF(DD106/'🎚️ Escenario'!$C$11&gt;=36,$AL$23,INDEX($C$23:$AL$23,MAX(1,ROUNDUP(DD106/'🎚️ Escenario'!$C$11,0)))))</f>
        <v>1</v>
      </c>
      <c r="DE107" s="236" t="n">
        <f aca="false" t="array" ref="DE107:DE107">IF(DE106=0,0,IF(DE106/'🎚️ Escenario'!$C$11&gt;=36,$AL$23,INDEX($C$23:$AL$23,MAX(1,ROUNDUP(DE106/'🎚️ Escenario'!$C$11,0)))))</f>
        <v>1</v>
      </c>
      <c r="DF107" s="236" t="n">
        <f aca="false" t="array" ref="DF107:DF107">IF(DF106=0,0,IF(DF106/'🎚️ Escenario'!$C$11&gt;=36,$AL$23,INDEX($C$23:$AL$23,MAX(1,ROUNDUP(DF106/'🎚️ Escenario'!$C$11,0)))))</f>
        <v>1</v>
      </c>
      <c r="DG107" s="236" t="n">
        <f aca="false" t="array" ref="DG107:DG107">IF(DG106=0,0,IF(DG106/'🎚️ Escenario'!$C$11&gt;=36,$AL$23,INDEX($C$23:$AL$23,MAX(1,ROUNDUP(DG106/'🎚️ Escenario'!$C$11,0)))))</f>
        <v>1</v>
      </c>
      <c r="DH107" s="236" t="n">
        <f aca="false" t="array" ref="DH107:DH107">IF(DH106=0,0,IF(DH106/'🎚️ Escenario'!$C$11&gt;=36,$AL$23,INDEX($C$23:$AL$23,MAX(1,ROUNDUP(DH106/'🎚️ Escenario'!$C$11,0)))))</f>
        <v>1</v>
      </c>
      <c r="DI107" s="236" t="n">
        <f aca="false" t="array" ref="DI107:DI107">IF(DI106=0,0,IF(DI106/'🎚️ Escenario'!$C$11&gt;=36,$AL$23,INDEX($C$23:$AL$23,MAX(1,ROUNDUP(DI106/'🎚️ Escenario'!$C$11,0)))))</f>
        <v>1</v>
      </c>
      <c r="DJ107" s="236" t="n">
        <f aca="false" t="array" ref="DJ107:DJ107">IF(DJ106=0,0,IF(DJ106/'🎚️ Escenario'!$C$11&gt;=36,$AL$23,INDEX($C$23:$AL$23,MAX(1,ROUNDUP(DJ106/'🎚️ Escenario'!$C$11,0)))))</f>
        <v>1</v>
      </c>
      <c r="DK107" s="236" t="n">
        <f aca="false" t="array" ref="DK107:DK107">IF(DK106=0,0,IF(DK106/'🎚️ Escenario'!$C$11&gt;=36,$AL$23,INDEX($C$23:$AL$23,MAX(1,ROUNDUP(DK106/'🎚️ Escenario'!$C$11,0)))))</f>
        <v>1</v>
      </c>
      <c r="DL107" s="236" t="n">
        <f aca="false" t="array" ref="DL107:DL107">IF(DL106=0,0,IF(DL106/'🎚️ Escenario'!$C$11&gt;=36,$AL$23,INDEX($C$23:$AL$23,MAX(1,ROUNDUP(DL106/'🎚️ Escenario'!$C$11,0)))))</f>
        <v>1</v>
      </c>
      <c r="DM107" s="236" t="n">
        <f aca="false" t="array" ref="DM107:DM107">IF(DM106=0,0,IF(DM106/'🎚️ Escenario'!$C$11&gt;=36,$AL$23,INDEX($C$23:$AL$23,MAX(1,ROUNDUP(DM106/'🎚️ Escenario'!$C$11,0)))))</f>
        <v>1</v>
      </c>
      <c r="DN107" s="236" t="n">
        <f aca="false" t="array" ref="DN107:DN107">IF(DN106=0,0,IF(DN106/'🎚️ Escenario'!$C$11&gt;=36,$AL$23,INDEX($C$23:$AL$23,MAX(1,ROUNDUP(DN106/'🎚️ Escenario'!$C$11,0)))))</f>
        <v>1</v>
      </c>
      <c r="DO107" s="236" t="n">
        <f aca="false" t="array" ref="DO107:DO107">IF(DO106=0,0,IF(DO106/'🎚️ Escenario'!$C$11&gt;=36,$AL$23,INDEX($C$23:$AL$23,MAX(1,ROUNDUP(DO106/'🎚️ Escenario'!$C$11,0)))))</f>
        <v>1</v>
      </c>
      <c r="DP107" s="236" t="n">
        <f aca="false" t="array" ref="DP107:DP107">IF(DP106=0,0,IF(DP106/'🎚️ Escenario'!$C$11&gt;=36,$AL$23,INDEX($C$23:$AL$23,MAX(1,ROUNDUP(DP106/'🎚️ Escenario'!$C$11,0)))))</f>
        <v>1</v>
      </c>
      <c r="DQ107" s="236" t="n">
        <f aca="false" t="array" ref="DQ107:DQ107">IF(DQ106=0,0,IF(DQ106/'🎚️ Escenario'!$C$11&gt;=36,$AL$23,INDEX($C$23:$AL$23,MAX(1,ROUNDUP(DQ106/'🎚️ Escenario'!$C$11,0)))))</f>
        <v>1</v>
      </c>
      <c r="DR107" s="236" t="n">
        <f aca="false" t="array" ref="DR107:DR107">IF(DR106=0,0,IF(DR106/'🎚️ Escenario'!$C$11&gt;=36,$AL$23,INDEX($C$23:$AL$23,MAX(1,ROUNDUP(DR106/'🎚️ Escenario'!$C$11,0)))))</f>
        <v>1</v>
      </c>
      <c r="DS107" s="236" t="n">
        <f aca="false" t="array" ref="DS107:DS107">IF(DS106=0,0,IF(DS106/'🎚️ Escenario'!$C$11&gt;=36,$AL$23,INDEX($C$23:$AL$23,MAX(1,ROUNDUP(DS106/'🎚️ Escenario'!$C$11,0)))))</f>
        <v>1</v>
      </c>
      <c r="DT107" s="236" t="n">
        <f aca="false" t="array" ref="DT107:DT107">IF(DT106=0,0,IF(DT106/'🎚️ Escenario'!$C$11&gt;=36,$AL$23,INDEX($C$23:$AL$23,MAX(1,ROUNDUP(DT106/'🎚️ Escenario'!$C$11,0)))))</f>
        <v>1</v>
      </c>
      <c r="DU107" s="236" t="n">
        <f aca="false" t="array" ref="DU107:DU107">IF(DU106=0,0,IF(DU106/'🎚️ Escenario'!$C$11&gt;=36,$AL$23,INDEX($C$23:$AL$23,MAX(1,ROUNDUP(DU106/'🎚️ Escenario'!$C$11,0)))))</f>
        <v>1</v>
      </c>
      <c r="DV107" s="236" t="n">
        <f aca="false" t="array" ref="DV107:DV107">IF(DV106=0,0,IF(DV106/'🎚️ Escenario'!$C$11&gt;=36,$AL$23,INDEX($C$23:$AL$23,MAX(1,ROUNDUP(DV106/'🎚️ Escenario'!$C$11,0)))))</f>
        <v>1</v>
      </c>
      <c r="DW107" s="236" t="n">
        <f aca="false" t="array" ref="DW107:DW107">IF(DW106=0,0,IF(DW106/'🎚️ Escenario'!$C$11&gt;=36,$AL$23,INDEX($C$23:$AL$23,MAX(1,ROUNDUP(DW106/'🎚️ Escenario'!$C$11,0)))))</f>
        <v>1</v>
      </c>
      <c r="DX107" s="236" t="n">
        <f aca="false" t="array" ref="DX107:DX107">IF(DX106=0,0,IF(DX106/'🎚️ Escenario'!$C$11&gt;=36,$AL$23,INDEX($C$23:$AL$23,MAX(1,ROUNDUP(DX106/'🎚️ Escenario'!$C$11,0)))))</f>
        <v>1</v>
      </c>
      <c r="DY107" s="236" t="n">
        <f aca="false" t="array" ref="DY107:DY107">IF(DY106=0,0,IF(DY106/'🎚️ Escenario'!$C$11&gt;=36,$AL$23,INDEX($C$23:$AL$23,MAX(1,ROUNDUP(DY106/'🎚️ Escenario'!$C$11,0)))))</f>
        <v>1</v>
      </c>
      <c r="DZ107" s="236" t="n">
        <f aca="false" t="array" ref="DZ107:DZ107">IF(DZ106=0,0,IF(DZ106/'🎚️ Escenario'!$C$11&gt;=36,$AL$23,INDEX($C$23:$AL$23,MAX(1,ROUNDUP(DZ106/'🎚️ Escenario'!$C$11,0)))))</f>
        <v>1</v>
      </c>
      <c r="EA107" s="236" t="n">
        <f aca="false" t="array" ref="EA107:EA107">IF(EA106=0,0,IF(EA106/'🎚️ Escenario'!$C$11&gt;=36,$AL$23,INDEX($C$23:$AL$23,MAX(1,ROUNDUP(EA106/'🎚️ Escenario'!$C$11,0)))))</f>
        <v>1</v>
      </c>
      <c r="EB107" s="236" t="n">
        <f aca="false" t="array" ref="EB107:EB107">IF(EB106=0,0,IF(EB106/'🎚️ Escenario'!$C$11&gt;=36,$AL$23,INDEX($C$23:$AL$23,MAX(1,ROUNDUP(EB106/'🎚️ Escenario'!$C$11,0)))))</f>
        <v>1</v>
      </c>
      <c r="EC107" s="236" t="n">
        <f aca="false" t="array" ref="EC107:EC107">IF(EC106=0,0,IF(EC106/'🎚️ Escenario'!$C$11&gt;=36,$AL$23,INDEX($C$23:$AL$23,MAX(1,ROUNDUP(EC106/'🎚️ Escenario'!$C$11,0)))))</f>
        <v>1</v>
      </c>
      <c r="ED107" s="236" t="n">
        <f aca="false" t="array" ref="ED107:ED107">IF(ED106=0,0,IF(ED106/'🎚️ Escenario'!$C$11&gt;=36,$AL$23,INDEX($C$23:$AL$23,MAX(1,ROUNDUP(ED106/'🎚️ Escenario'!$C$11,0)))))</f>
        <v>1</v>
      </c>
      <c r="EE107" s="236" t="n">
        <f aca="false" t="array" ref="EE107:EE107">IF(EE106=0,0,IF(EE106/'🎚️ Escenario'!$C$11&gt;=36,$AL$23,INDEX($C$23:$AL$23,MAX(1,ROUNDUP(EE106/'🎚️ Escenario'!$C$11,0)))))</f>
        <v>1</v>
      </c>
      <c r="EF107" s="236" t="n">
        <f aca="false" t="array" ref="EF107:EF107">IF(EF106=0,0,IF(EF106/'🎚️ Escenario'!$C$11&gt;=36,$AL$23,INDEX($C$23:$AL$23,MAX(1,ROUNDUP(EF106/'🎚️ Escenario'!$C$11,0)))))</f>
        <v>1</v>
      </c>
      <c r="EG107" s="236" t="n">
        <f aca="false" t="array" ref="EG107:EG107">IF(EG106=0,0,IF(EG106/'🎚️ Escenario'!$C$11&gt;=36,$AL$23,INDEX($C$23:$AL$23,MAX(1,ROUNDUP(EG106/'🎚️ Escenario'!$C$11,0)))))</f>
        <v>1</v>
      </c>
      <c r="EH107" s="236" t="n">
        <f aca="false" t="array" ref="EH107:EH107">IF(EH106=0,0,IF(EH106/'🎚️ Escenario'!$C$11&gt;=36,$AL$23,INDEX($C$23:$AL$23,MAX(1,ROUNDUP(EH106/'🎚️ Escenario'!$C$11,0)))))</f>
        <v>1</v>
      </c>
      <c r="EI107" s="236" t="n">
        <f aca="false" t="array" ref="EI107:EI107">IF(EI106=0,0,IF(EI106/'🎚️ Escenario'!$C$11&gt;=36,$AL$23,INDEX($C$23:$AL$23,MAX(1,ROUNDUP(EI106/'🎚️ Escenario'!$C$11,0)))))</f>
        <v>1</v>
      </c>
      <c r="EJ107" s="236" t="n">
        <f aca="false" t="array" ref="EJ107:EJ107">IF(EJ106=0,0,IF(EJ106/'🎚️ Escenario'!$C$11&gt;=36,$AL$23,INDEX($C$23:$AL$23,MAX(1,ROUNDUP(EJ106/'🎚️ Escenario'!$C$11,0)))))</f>
        <v>1</v>
      </c>
      <c r="EK107" s="236" t="n">
        <f aca="false" t="array" ref="EK107:EK107">IF(EK106=0,0,IF(EK106/'🎚️ Escenario'!$C$11&gt;=36,$AL$23,INDEX($C$23:$AL$23,MAX(1,ROUNDUP(EK106/'🎚️ Escenario'!$C$11,0)))))</f>
        <v>1</v>
      </c>
      <c r="EL107" s="236" t="n">
        <f aca="false" t="array" ref="EL107:EL107">IF(EL106=0,0,IF(EL106/'🎚️ Escenario'!$C$11&gt;=36,$AL$23,INDEX($C$23:$AL$23,MAX(1,ROUNDUP(EL106/'🎚️ Escenario'!$C$11,0)))))</f>
        <v>1</v>
      </c>
      <c r="EM107" s="236" t="n">
        <f aca="false" t="array" ref="EM107:EM107">IF(EM106=0,0,IF(EM106/'🎚️ Escenario'!$C$11&gt;=36,$AL$23,INDEX($C$23:$AL$23,MAX(1,ROUNDUP(EM106/'🎚️ Escenario'!$C$11,0)))))</f>
        <v>1</v>
      </c>
      <c r="EN107" s="236" t="n">
        <f aca="false" t="array" ref="EN107:EN107">IF(EN106=0,0,IF(EN106/'🎚️ Escenario'!$C$11&gt;=36,$AL$23,INDEX($C$23:$AL$23,MAX(1,ROUNDUP(EN106/'🎚️ Escenario'!$C$11,0)))))</f>
        <v>1</v>
      </c>
      <c r="EO107" s="236" t="n">
        <f aca="false" t="array" ref="EO107:EO107">IF(EO106=0,0,IF(EO106/'🎚️ Escenario'!$C$11&gt;=36,$AL$23,INDEX($C$23:$AL$23,MAX(1,ROUNDUP(EO106/'🎚️ Escenario'!$C$11,0)))))</f>
        <v>1</v>
      </c>
      <c r="EP107" s="236" t="n">
        <f aca="false" t="array" ref="EP107:EP107">IF(EP106=0,0,IF(EP106/'🎚️ Escenario'!$C$11&gt;=36,$AL$23,INDEX($C$23:$AL$23,MAX(1,ROUNDUP(EP106/'🎚️ Escenario'!$C$11,0)))))</f>
        <v>1</v>
      </c>
      <c r="EQ107" s="236" t="n">
        <f aca="false" t="array" ref="EQ107:EQ107">IF(EQ106=0,0,IF(EQ106/'🎚️ Escenario'!$C$11&gt;=36,$AL$23,INDEX($C$23:$AL$23,MAX(1,ROUNDUP(EQ106/'🎚️ Escenario'!$C$11,0)))))</f>
        <v>1</v>
      </c>
      <c r="ER107" s="236" t="n">
        <f aca="false" t="array" ref="ER107:ER107">IF(ER106=0,0,IF(ER106/'🎚️ Escenario'!$C$11&gt;=36,$AL$23,INDEX($C$23:$AL$23,MAX(1,ROUNDUP(ER106/'🎚️ Escenario'!$C$11,0)))))</f>
        <v>1</v>
      </c>
      <c r="ES107" s="9" t="n">
        <f aca="false" t="array" ref="ES107:ES107">IF(ES106=0,0,IF(ES106/'🎚️ Escenario'!$C$11&gt;=36,$AL$23,INDEX($C$23:$AL$23,MAX(1,ROUNDUP(ES106/'🎚️ Escenario'!$C$11,0)))))</f>
        <v>1</v>
      </c>
      <c r="ET107" s="9" t="n">
        <f aca="false" t="array" ref="ET107:ET107">IF(ET106=0,0,IF(ET106/'🎚️ Escenario'!$C$11&gt;=36,$AL$23,INDEX($C$23:$AL$23,MAX(1,ROUNDUP(ET106/'🎚️ Escenario'!$C$11,0)))))</f>
        <v>1</v>
      </c>
      <c r="EU107" s="9" t="n">
        <f aca="false" t="array" ref="EU107:EU107">IF(EU106=0,0,IF(EU106/'🎚️ Escenario'!$C$11&gt;=36,$AL$23,INDEX($C$23:$AL$23,MAX(1,ROUNDUP(EU106/'🎚️ Escenario'!$C$11,0)))))</f>
        <v>1</v>
      </c>
      <c r="EV107" s="9" t="n">
        <f aca="false" t="array" ref="EV107:EV107">IF(EV106=0,0,IF(EV106/'🎚️ Escenario'!$C$11&gt;=36,$AL$23,INDEX($C$23:$AL$23,MAX(1,ROUNDUP(EV106/'🎚️ Escenario'!$C$11,0)))))</f>
        <v>1</v>
      </c>
      <c r="EW107" s="9" t="n">
        <f aca="false" t="array" ref="EW107:EW107">IF(EW106=0,0,IF(EW106/'🎚️ Escenario'!$C$11&gt;=36,$AL$23,INDEX($C$23:$AL$23,MAX(1,ROUNDUP(EW106/'🎚️ Escenario'!$C$11,0)))))</f>
        <v>1</v>
      </c>
      <c r="EX107" s="9" t="n">
        <f aca="false" t="array" ref="EX107:EX107">IF(EX106=0,0,IF(EX106/'🎚️ Escenario'!$C$11&gt;=36,$AL$23,INDEX($C$23:$AL$23,MAX(1,ROUNDUP(EX106/'🎚️ Escenario'!$C$11,0)))))</f>
        <v>1</v>
      </c>
      <c r="EY107" s="9" t="n">
        <f aca="false" t="array" ref="EY107:EY107">IF(EY106=0,0,IF(EY106/'🎚️ Escenario'!$C$11&gt;=36,$AL$23,INDEX($C$23:$AL$23,MAX(1,ROUNDUP(EY106/'🎚️ Escenario'!$C$11,0)))))</f>
        <v>1</v>
      </c>
      <c r="EZ107" s="9" t="n">
        <f aca="false" t="array" ref="EZ107:EZ107">IF(EZ106=0,0,IF(EZ106/'🎚️ Escenario'!$C$11&gt;=36,$AL$23,INDEX($C$23:$AL$23,MAX(1,ROUNDUP(EZ106/'🎚️ Escenario'!$C$11,0)))))</f>
        <v>1</v>
      </c>
      <c r="FA107" s="9" t="n">
        <f aca="false" t="array" ref="FA107:FA107">IF(FA106=0,0,IF(FA106/'🎚️ Escenario'!$C$11&gt;=36,$AL$23,INDEX($C$23:$AL$23,MAX(1,ROUNDUP(FA106/'🎚️ Escenario'!$C$11,0)))))</f>
        <v>1</v>
      </c>
      <c r="FB107" s="9" t="n">
        <f aca="false" t="array" ref="FB107:FB107">IF(FB106=0,0,IF(FB106/'🎚️ Escenario'!$C$11&gt;=36,$AL$23,INDEX($C$23:$AL$23,MAX(1,ROUNDUP(FB106/'🎚️ Escenario'!$C$11,0)))))</f>
        <v>1</v>
      </c>
      <c r="FC107" s="9" t="n">
        <f aca="false" t="array" ref="FC107:FC107">IF(FC106=0,0,IF(FC106/'🎚️ Escenario'!$C$11&gt;=36,$AL$23,INDEX($C$23:$AL$23,MAX(1,ROUNDUP(FC106/'🎚️ Escenario'!$C$11,0)))))</f>
        <v>1</v>
      </c>
      <c r="FD107" s="9" t="n">
        <f aca="false" t="array" ref="FD107:FD107">IF(FD106=0,0,IF(FD106/'🎚️ Escenario'!$C$11&gt;=36,$AL$23,INDEX($C$23:$AL$23,MAX(1,ROUNDUP(FD106/'🎚️ Escenario'!$C$11,0)))))</f>
        <v>1</v>
      </c>
      <c r="FE107" s="9" t="n">
        <f aca="false" t="array" ref="FE107:FE107">IF(FE106=0,0,IF(FE106/'🎚️ Escenario'!$C$11&gt;=36,$AL$23,INDEX($C$23:$AL$23,MAX(1,ROUNDUP(FE106/'🎚️ Escenario'!$C$11,0)))))</f>
        <v>1</v>
      </c>
      <c r="FF107" s="9" t="n">
        <f aca="false" t="array" ref="FF107:FF107">IF(FF106=0,0,IF(FF106/'🎚️ Escenario'!$C$11&gt;=36,$AL$23,INDEX($C$23:$AL$23,MAX(1,ROUNDUP(FF106/'🎚️ Escenario'!$C$11,0)))))</f>
        <v>1</v>
      </c>
      <c r="FG107" s="9" t="n">
        <f aca="false" t="array" ref="FG107:FG107">IF(FG106=0,0,IF(FG106/'🎚️ Escenario'!$C$11&gt;=36,$AL$23,INDEX($C$23:$AL$23,MAX(1,ROUNDUP(FG106/'🎚️ Escenario'!$C$11,0)))))</f>
        <v>1</v>
      </c>
      <c r="FH107" s="9" t="n">
        <f aca="false" t="array" ref="FH107:FH107">IF(FH106=0,0,IF(FH106/'🎚️ Escenario'!$C$11&gt;=36,$AL$23,INDEX($C$23:$AL$23,MAX(1,ROUNDUP(FH106/'🎚️ Escenario'!$C$11,0)))))</f>
        <v>1</v>
      </c>
      <c r="FI107" s="9" t="n">
        <f aca="false" t="array" ref="FI107:FI107">IF(FI106=0,0,IF(FI106/'🎚️ Escenario'!$C$11&gt;=36,$AL$23,INDEX($C$23:$AL$23,MAX(1,ROUNDUP(FI106/'🎚️ Escenario'!$C$11,0)))))</f>
        <v>1</v>
      </c>
      <c r="FJ107" s="9" t="n">
        <f aca="false" t="array" ref="FJ107:FJ107">IF(FJ106=0,0,IF(FJ106/'🎚️ Escenario'!$C$11&gt;=36,$AL$23,INDEX($C$23:$AL$23,MAX(1,ROUNDUP(FJ106/'🎚️ Escenario'!$C$11,0)))))</f>
        <v>1</v>
      </c>
      <c r="FK107" s="9" t="n">
        <f aca="false" t="array" ref="FK107:FK107">IF(FK106=0,0,IF(FK106/'🎚️ Escenario'!$C$11&gt;=36,$AL$23,INDEX($C$23:$AL$23,MAX(1,ROUNDUP(FK106/'🎚️ Escenario'!$C$11,0)))))</f>
        <v>1</v>
      </c>
      <c r="FL107" s="9" t="n">
        <f aca="false" t="array" ref="FL107:FL107">IF(FL106=0,0,IF(FL106/'🎚️ Escenario'!$C$11&gt;=36,$AL$23,INDEX($C$23:$AL$23,MAX(1,ROUNDUP(FL106/'🎚️ Escenario'!$C$11,0)))))</f>
        <v>1</v>
      </c>
      <c r="FM107" s="9" t="n">
        <f aca="false" t="array" ref="FM107:FM107">IF(FM106=0,0,IF(FM106/'🎚️ Escenario'!$C$11&gt;=36,$AL$23,INDEX($C$23:$AL$23,MAX(1,ROUNDUP(FM106/'🎚️ Escenario'!$C$11,0)))))</f>
        <v>1</v>
      </c>
      <c r="FN107" s="9" t="n">
        <f aca="false" t="array" ref="FN107:FN107">IF(FN106=0,0,IF(FN106/'🎚️ Escenario'!$C$11&gt;=36,$AL$23,INDEX($C$23:$AL$23,MAX(1,ROUNDUP(FN106/'🎚️ Escenario'!$C$11,0)))))</f>
        <v>1</v>
      </c>
      <c r="FO107" s="9" t="n">
        <f aca="false" t="array" ref="FO107:FO107">IF(FO106=0,0,IF(FO106/'🎚️ Escenario'!$C$11&gt;=36,$AL$23,INDEX($C$23:$AL$23,MAX(1,ROUNDUP(FO106/'🎚️ Escenario'!$C$11,0)))))</f>
        <v>1</v>
      </c>
      <c r="FP107" s="9" t="n">
        <f aca="false" t="array" ref="FP107:FP107">IF(FP106=0,0,IF(FP106/'🎚️ Escenario'!$C$11&gt;=36,$AL$23,INDEX($C$23:$AL$23,MAX(1,ROUNDUP(FP106/'🎚️ Escenario'!$C$11,0)))))</f>
        <v>1</v>
      </c>
    </row>
    <row r="108" customFormat="false" ht="15" hidden="false" customHeight="false" outlineLevel="2" collapsed="false">
      <c r="B108" s="9" t="s">
        <v>875</v>
      </c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237" t="n">
        <f aca="false">IF(AC106=0,0,IF(AC106&lt;=12*'🎚️ Escenario'!$C$11,1,1+$C$6))</f>
        <v>0</v>
      </c>
      <c r="AD108" s="237" t="n">
        <f aca="false">IF(AD106=0,0,IF(AD106&lt;=12*'🎚️ Escenario'!$C$11,1,1+$C$6))</f>
        <v>0</v>
      </c>
      <c r="AE108" s="237" t="n">
        <f aca="false">IF(AE106=0,0,IF(AE106&lt;=12*'🎚️ Escenario'!$C$11,1,1+$C$6))</f>
        <v>0</v>
      </c>
      <c r="AF108" s="237" t="n">
        <f aca="false">IF(AF106=0,0,IF(AF106&lt;=12*'🎚️ Escenario'!$C$11,1,1+$C$6))</f>
        <v>0</v>
      </c>
      <c r="AG108" s="237" t="n">
        <f aca="false">IF(AG106=0,0,IF(AG106&lt;=12*'🎚️ Escenario'!$C$11,1,1+$C$6))</f>
        <v>0</v>
      </c>
      <c r="AH108" s="237" t="n">
        <f aca="false">IF(AH106=0,0,IF(AH106&lt;=12*'🎚️ Escenario'!$C$11,1,1+$C$6))</f>
        <v>0</v>
      </c>
      <c r="AI108" s="237" t="n">
        <f aca="false">IF(AI106=0,0,IF(AI106&lt;=12*'🎚️ Escenario'!$C$11,1,1+$C$6))</f>
        <v>0</v>
      </c>
      <c r="AJ108" s="237" t="n">
        <f aca="false">IF(AJ106=0,0,IF(AJ106&lt;=12*'🎚️ Escenario'!$C$11,1,1+$C$6))</f>
        <v>0</v>
      </c>
      <c r="AK108" s="237" t="n">
        <f aca="false">IF(AK106=0,0,IF(AK106&lt;=12*'🎚️ Escenario'!$C$11,1,1+$C$6))</f>
        <v>0</v>
      </c>
      <c r="AL108" s="237" t="n">
        <f aca="false">IF(AL106=0,0,IF(AL106&lt;=12*'🎚️ Escenario'!$C$11,1,1+$C$6))</f>
        <v>0</v>
      </c>
      <c r="AM108" s="237" t="n">
        <f aca="false">IF(AM106=0,0,IF(AM106&lt;=12*'🎚️ Escenario'!$C$11,1,1+$C$6))</f>
        <v>0</v>
      </c>
      <c r="AN108" s="237" t="n">
        <f aca="false">IF(AN106=0,0,IF(AN106&lt;=12*'🎚️ Escenario'!$C$11,1,1+$C$6))</f>
        <v>0</v>
      </c>
      <c r="AO108" s="237" t="n">
        <f aca="false">IF(AO106=0,0,IF(AO106&lt;=12*'🎚️ Escenario'!$C$11,1,1+$C$6))</f>
        <v>0</v>
      </c>
      <c r="AP108" s="237" t="n">
        <f aca="false">IF(AP106=0,0,IF(AP106&lt;=12*'🎚️ Escenario'!$C$11,1,1+$C$6))</f>
        <v>0</v>
      </c>
      <c r="AQ108" s="237" t="n">
        <f aca="false">IF(AQ106=0,0,IF(AQ106&lt;=12*'🎚️ Escenario'!$C$11,1,1+$C$6))</f>
        <v>0</v>
      </c>
      <c r="AR108" s="237" t="n">
        <f aca="false">IF(AR106=0,0,IF(AR106&lt;=12*'🎚️ Escenario'!$C$11,1,1+$C$6))</f>
        <v>0</v>
      </c>
      <c r="AS108" s="237" t="n">
        <f aca="false">IF(AS106=0,0,IF(AS106&lt;=12*'🎚️ Escenario'!$C$11,1,1+$C$6))</f>
        <v>0</v>
      </c>
      <c r="AT108" s="237" t="n">
        <f aca="false">IF(AT106=0,0,IF(AT106&lt;=12*'🎚️ Escenario'!$C$11,1,1+$C$6))</f>
        <v>0</v>
      </c>
      <c r="AU108" s="237" t="n">
        <f aca="false">IF(AU106=0,0,IF(AU106&lt;=12*'🎚️ Escenario'!$C$11,1,1+$C$6))</f>
        <v>0</v>
      </c>
      <c r="AV108" s="237" t="n">
        <f aca="false">IF(AV106=0,0,IF(AV106&lt;=12*'🎚️ Escenario'!$C$11,1,1+$C$6))</f>
        <v>0</v>
      </c>
      <c r="AW108" s="237" t="n">
        <f aca="false">IF(AW106=0,0,IF(AW106&lt;=12*'🎚️ Escenario'!$C$11,1,1+$C$6))</f>
        <v>0</v>
      </c>
      <c r="AX108" s="237" t="n">
        <f aca="false">IF(AX106=0,0,IF(AX106&lt;=12*'🎚️ Escenario'!$C$11,1,1+$C$6))</f>
        <v>0</v>
      </c>
      <c r="AY108" s="237" t="n">
        <f aca="false">IF(AY106=0,0,IF(AY106&lt;=12*'🎚️ Escenario'!$C$11,1,1+$C$6))</f>
        <v>0</v>
      </c>
      <c r="AZ108" s="237" t="n">
        <f aca="false">IF(AZ106=0,0,IF(AZ106&lt;=12*'🎚️ Escenario'!$C$11,1,1+$C$6))</f>
        <v>0</v>
      </c>
      <c r="BA108" s="237" t="n">
        <f aca="false">IF(BA106=0,0,IF(BA106&lt;=12*'🎚️ Escenario'!$C$11,1,1+$C$6))</f>
        <v>0</v>
      </c>
      <c r="BB108" s="237" t="n">
        <f aca="false">IF(BB106=0,0,IF(BB106&lt;=12*'🎚️ Escenario'!$C$11,1,1+$C$6))</f>
        <v>0</v>
      </c>
      <c r="BC108" s="237" t="n">
        <f aca="false">IF(BC106=0,0,IF(BC106&lt;=12*'🎚️ Escenario'!$C$11,1,1+$C$6))</f>
        <v>0</v>
      </c>
      <c r="BD108" s="237" t="n">
        <f aca="false">IF(BD106=0,0,IF(BD106&lt;=12*'🎚️ Escenario'!$C$11,1,1+$C$6))</f>
        <v>1</v>
      </c>
      <c r="BE108" s="237" t="n">
        <f aca="false">IF(BE106=0,0,IF(BE106&lt;=12*'🎚️ Escenario'!$C$11,1,1+$C$6))</f>
        <v>1</v>
      </c>
      <c r="BF108" s="237" t="n">
        <f aca="false">IF(BF106=0,0,IF(BF106&lt;=12*'🎚️ Escenario'!$C$11,1,1+$C$6))</f>
        <v>1</v>
      </c>
      <c r="BG108" s="237" t="n">
        <f aca="false">IF(BG106=0,0,IF(BG106&lt;=12*'🎚️ Escenario'!$C$11,1,1+$C$6))</f>
        <v>1</v>
      </c>
      <c r="BH108" s="237" t="n">
        <f aca="false">IF(BH106=0,0,IF(BH106&lt;=12*'🎚️ Escenario'!$C$11,1,1+$C$6))</f>
        <v>1</v>
      </c>
      <c r="BI108" s="237" t="n">
        <f aca="false">IF(BI106=0,0,IF(BI106&lt;=12*'🎚️ Escenario'!$C$11,1,1+$C$6))</f>
        <v>1</v>
      </c>
      <c r="BJ108" s="237" t="n">
        <f aca="false">IF(BJ106=0,0,IF(BJ106&lt;=12*'🎚️ Escenario'!$C$11,1,1+$C$6))</f>
        <v>1</v>
      </c>
      <c r="BK108" s="237" t="n">
        <f aca="false">IF(BK106=0,0,IF(BK106&lt;=12*'🎚️ Escenario'!$C$11,1,1+$C$6))</f>
        <v>1</v>
      </c>
      <c r="BL108" s="237" t="n">
        <f aca="false">IF(BL106=0,0,IF(BL106&lt;=12*'🎚️ Escenario'!$C$11,1,1+$C$6))</f>
        <v>1</v>
      </c>
      <c r="BM108" s="237" t="n">
        <f aca="false">IF(BM106=0,0,IF(BM106&lt;=12*'🎚️ Escenario'!$C$11,1,1+$C$6))</f>
        <v>1</v>
      </c>
      <c r="BN108" s="237" t="n">
        <f aca="false">IF(BN106=0,0,IF(BN106&lt;=12*'🎚️ Escenario'!$C$11,1,1+$C$6))</f>
        <v>1</v>
      </c>
      <c r="BO108" s="237" t="n">
        <f aca="false">IF(BO106=0,0,IF(BO106&lt;=12*'🎚️ Escenario'!$C$11,1,1+$C$6))</f>
        <v>1</v>
      </c>
      <c r="BP108" s="237" t="n">
        <f aca="false">IF(BP106=0,0,IF(BP106&lt;=12*'🎚️ Escenario'!$C$11,1,1+$C$6))</f>
        <v>1</v>
      </c>
      <c r="BQ108" s="237" t="n">
        <f aca="false">IF(BQ106=0,0,IF(BQ106&lt;=12*'🎚️ Escenario'!$C$11,1,1+$C$6))</f>
        <v>1</v>
      </c>
      <c r="BR108" s="237" t="n">
        <f aca="false">IF(BR106=0,0,IF(BR106&lt;=12*'🎚️ Escenario'!$C$11,1,1+$C$6))</f>
        <v>1</v>
      </c>
      <c r="BS108" s="237" t="n">
        <f aca="false">IF(BS106=0,0,IF(BS106&lt;=12*'🎚️ Escenario'!$C$11,1,1+$C$6))</f>
        <v>1.2</v>
      </c>
      <c r="BT108" s="237" t="n">
        <f aca="false">IF(BT106=0,0,IF(BT106&lt;=12*'🎚️ Escenario'!$C$11,1,1+$C$6))</f>
        <v>1.2</v>
      </c>
      <c r="BU108" s="237" t="n">
        <f aca="false">IF(BU106=0,0,IF(BU106&lt;=12*'🎚️ Escenario'!$C$11,1,1+$C$6))</f>
        <v>1.2</v>
      </c>
      <c r="BV108" s="237" t="n">
        <f aca="false">IF(BV106=0,0,IF(BV106&lt;=12*'🎚️ Escenario'!$C$11,1,1+$C$6))</f>
        <v>1.2</v>
      </c>
      <c r="BW108" s="237" t="n">
        <f aca="false">IF(BW106=0,0,IF(BW106&lt;=12*'🎚️ Escenario'!$C$11,1,1+$C$6))</f>
        <v>1.2</v>
      </c>
      <c r="BX108" s="237" t="n">
        <f aca="false">IF(BX106=0,0,IF(BX106&lt;=12*'🎚️ Escenario'!$C$11,1,1+$C$6))</f>
        <v>1.2</v>
      </c>
      <c r="BY108" s="237" t="n">
        <f aca="false">IF(BY106=0,0,IF(BY106&lt;=12*'🎚️ Escenario'!$C$11,1,1+$C$6))</f>
        <v>1.2</v>
      </c>
      <c r="BZ108" s="237" t="n">
        <f aca="false">IF(BZ106=0,0,IF(BZ106&lt;=12*'🎚️ Escenario'!$C$11,1,1+$C$6))</f>
        <v>1.2</v>
      </c>
      <c r="CA108" s="237" t="n">
        <f aca="false">IF(CA106=0,0,IF(CA106&lt;=12*'🎚️ Escenario'!$C$11,1,1+$C$6))</f>
        <v>1.2</v>
      </c>
      <c r="CB108" s="237" t="n">
        <f aca="false">IF(CB106=0,0,IF(CB106&lt;=12*'🎚️ Escenario'!$C$11,1,1+$C$6))</f>
        <v>1.2</v>
      </c>
      <c r="CC108" s="237" t="n">
        <f aca="false">IF(CC106=0,0,IF(CC106&lt;=12*'🎚️ Escenario'!$C$11,1,1+$C$6))</f>
        <v>1.2</v>
      </c>
      <c r="CD108" s="237" t="n">
        <f aca="false">IF(CD106=0,0,IF(CD106&lt;=12*'🎚️ Escenario'!$C$11,1,1+$C$6))</f>
        <v>1.2</v>
      </c>
      <c r="CE108" s="237" t="n">
        <f aca="false">IF(CE106=0,0,IF(CE106&lt;=12*'🎚️ Escenario'!$C$11,1,1+$C$6))</f>
        <v>1.2</v>
      </c>
      <c r="CF108" s="237" t="n">
        <f aca="false">IF(CF106=0,0,IF(CF106&lt;=12*'🎚️ Escenario'!$C$11,1,1+$C$6))</f>
        <v>1.2</v>
      </c>
      <c r="CG108" s="237" t="n">
        <f aca="false">IF(CG106=0,0,IF(CG106&lt;=12*'🎚️ Escenario'!$C$11,1,1+$C$6))</f>
        <v>1.2</v>
      </c>
      <c r="CH108" s="237" t="n">
        <f aca="false">IF(CH106=0,0,IF(CH106&lt;=12*'🎚️ Escenario'!$C$11,1,1+$C$6))</f>
        <v>1.2</v>
      </c>
      <c r="CI108" s="237" t="n">
        <f aca="false">IF(CI106=0,0,IF(CI106&lt;=12*'🎚️ Escenario'!$C$11,1,1+$C$6))</f>
        <v>1.2</v>
      </c>
      <c r="CJ108" s="237" t="n">
        <f aca="false">IF(CJ106=0,0,IF(CJ106&lt;=12*'🎚️ Escenario'!$C$11,1,1+$C$6))</f>
        <v>1.2</v>
      </c>
      <c r="CK108" s="237" t="n">
        <f aca="false">IF(CK106=0,0,IF(CK106&lt;=12*'🎚️ Escenario'!$C$11,1,1+$C$6))</f>
        <v>1.2</v>
      </c>
      <c r="CL108" s="237" t="n">
        <f aca="false">IF(CL106=0,0,IF(CL106&lt;=12*'🎚️ Escenario'!$C$11,1,1+$C$6))</f>
        <v>1.2</v>
      </c>
      <c r="CM108" s="237" t="n">
        <f aca="false">IF(CM106=0,0,IF(CM106&lt;=12*'🎚️ Escenario'!$C$11,1,1+$C$6))</f>
        <v>1.2</v>
      </c>
      <c r="CN108" s="237" t="n">
        <f aca="false">IF(CN106=0,0,IF(CN106&lt;=12*'🎚️ Escenario'!$C$11,1,1+$C$6))</f>
        <v>1.2</v>
      </c>
      <c r="CO108" s="237" t="n">
        <f aca="false">IF(CO106=0,0,IF(CO106&lt;=12*'🎚️ Escenario'!$C$11,1,1+$C$6))</f>
        <v>1.2</v>
      </c>
      <c r="CP108" s="237" t="n">
        <f aca="false">IF(CP106=0,0,IF(CP106&lt;=12*'🎚️ Escenario'!$C$11,1,1+$C$6))</f>
        <v>1.2</v>
      </c>
      <c r="CQ108" s="237" t="n">
        <f aca="false">IF(CQ106=0,0,IF(CQ106&lt;=12*'🎚️ Escenario'!$C$11,1,1+$C$6))</f>
        <v>1.2</v>
      </c>
      <c r="CR108" s="237" t="n">
        <f aca="false">IF(CR106=0,0,IF(CR106&lt;=12*'🎚️ Escenario'!$C$11,1,1+$C$6))</f>
        <v>1.2</v>
      </c>
      <c r="CS108" s="237" t="n">
        <f aca="false">IF(CS106=0,0,IF(CS106&lt;=12*'🎚️ Escenario'!$C$11,1,1+$C$6))</f>
        <v>1.2</v>
      </c>
      <c r="CT108" s="237" t="n">
        <f aca="false">IF(CT106=0,0,IF(CT106&lt;=12*'🎚️ Escenario'!$C$11,1,1+$C$6))</f>
        <v>1.2</v>
      </c>
      <c r="CU108" s="237" t="n">
        <f aca="false">IF(CU106=0,0,IF(CU106&lt;=12*'🎚️ Escenario'!$C$11,1,1+$C$6))</f>
        <v>1.2</v>
      </c>
      <c r="CV108" s="237" t="n">
        <f aca="false">IF(CV106=0,0,IF(CV106&lt;=12*'🎚️ Escenario'!$C$11,1,1+$C$6))</f>
        <v>1.2</v>
      </c>
      <c r="CW108" s="237" t="n">
        <f aca="false">IF(CW106=0,0,IF(CW106&lt;=12*'🎚️ Escenario'!$C$11,1,1+$C$6))</f>
        <v>1.2</v>
      </c>
      <c r="CX108" s="237" t="n">
        <f aca="false">IF(CX106=0,0,IF(CX106&lt;=12*'🎚️ Escenario'!$C$11,1,1+$C$6))</f>
        <v>1.2</v>
      </c>
      <c r="CY108" s="237" t="n">
        <f aca="false">IF(CY106=0,0,IF(CY106&lt;=12*'🎚️ Escenario'!$C$11,1,1+$C$6))</f>
        <v>1.2</v>
      </c>
      <c r="CZ108" s="237" t="n">
        <f aca="false">IF(CZ106=0,0,IF(CZ106&lt;=12*'🎚️ Escenario'!$C$11,1,1+$C$6))</f>
        <v>1.2</v>
      </c>
      <c r="DA108" s="237" t="n">
        <f aca="false">IF(DA106=0,0,IF(DA106&lt;=12*'🎚️ Escenario'!$C$11,1,1+$C$6))</f>
        <v>1.2</v>
      </c>
      <c r="DB108" s="237" t="n">
        <f aca="false">IF(DB106=0,0,IF(DB106&lt;=12*'🎚️ Escenario'!$C$11,1,1+$C$6))</f>
        <v>1.2</v>
      </c>
      <c r="DC108" s="237" t="n">
        <f aca="false">IF(DC106=0,0,IF(DC106&lt;=12*'🎚️ Escenario'!$C$11,1,1+$C$6))</f>
        <v>1.2</v>
      </c>
      <c r="DD108" s="237" t="n">
        <f aca="false">IF(DD106=0,0,IF(DD106&lt;=12*'🎚️ Escenario'!$C$11,1,1+$C$6))</f>
        <v>1.2</v>
      </c>
      <c r="DE108" s="237" t="n">
        <f aca="false">IF(DE106=0,0,IF(DE106&lt;=12*'🎚️ Escenario'!$C$11,1,1+$C$6))</f>
        <v>1.2</v>
      </c>
      <c r="DF108" s="237" t="n">
        <f aca="false">IF(DF106=0,0,IF(DF106&lt;=12*'🎚️ Escenario'!$C$11,1,1+$C$6))</f>
        <v>1.2</v>
      </c>
      <c r="DG108" s="237" t="n">
        <f aca="false">IF(DG106=0,0,IF(DG106&lt;=12*'🎚️ Escenario'!$C$11,1,1+$C$6))</f>
        <v>1.2</v>
      </c>
      <c r="DH108" s="237" t="n">
        <f aca="false">IF(DH106=0,0,IF(DH106&lt;=12*'🎚️ Escenario'!$C$11,1,1+$C$6))</f>
        <v>1.2</v>
      </c>
      <c r="DI108" s="237" t="n">
        <f aca="false">IF(DI106=0,0,IF(DI106&lt;=12*'🎚️ Escenario'!$C$11,1,1+$C$6))</f>
        <v>1.2</v>
      </c>
      <c r="DJ108" s="237" t="n">
        <f aca="false">IF(DJ106=0,0,IF(DJ106&lt;=12*'🎚️ Escenario'!$C$11,1,1+$C$6))</f>
        <v>1.2</v>
      </c>
      <c r="DK108" s="237" t="n">
        <f aca="false">IF(DK106=0,0,IF(DK106&lt;=12*'🎚️ Escenario'!$C$11,1,1+$C$6))</f>
        <v>1.2</v>
      </c>
      <c r="DL108" s="237" t="n">
        <f aca="false">IF(DL106=0,0,IF(DL106&lt;=12*'🎚️ Escenario'!$C$11,1,1+$C$6))</f>
        <v>1.2</v>
      </c>
      <c r="DM108" s="237" t="n">
        <f aca="false">IF(DM106=0,0,IF(DM106&lt;=12*'🎚️ Escenario'!$C$11,1,1+$C$6))</f>
        <v>1.2</v>
      </c>
      <c r="DN108" s="237" t="n">
        <f aca="false">IF(DN106=0,0,IF(DN106&lt;=12*'🎚️ Escenario'!$C$11,1,1+$C$6))</f>
        <v>1.2</v>
      </c>
      <c r="DO108" s="237" t="n">
        <f aca="false">IF(DO106=0,0,IF(DO106&lt;=12*'🎚️ Escenario'!$C$11,1,1+$C$6))</f>
        <v>1.2</v>
      </c>
      <c r="DP108" s="237" t="n">
        <f aca="false">IF(DP106=0,0,IF(DP106&lt;=12*'🎚️ Escenario'!$C$11,1,1+$C$6))</f>
        <v>1.2</v>
      </c>
      <c r="DQ108" s="237" t="n">
        <f aca="false">IF(DQ106=0,0,IF(DQ106&lt;=12*'🎚️ Escenario'!$C$11,1,1+$C$6))</f>
        <v>1.2</v>
      </c>
      <c r="DR108" s="237" t="n">
        <f aca="false">IF(DR106=0,0,IF(DR106&lt;=12*'🎚️ Escenario'!$C$11,1,1+$C$6))</f>
        <v>1.2</v>
      </c>
      <c r="DS108" s="237" t="n">
        <f aca="false">IF(DS106=0,0,IF(DS106&lt;=12*'🎚️ Escenario'!$C$11,1,1+$C$6))</f>
        <v>1.2</v>
      </c>
      <c r="DT108" s="237" t="n">
        <f aca="false">IF(DT106=0,0,IF(DT106&lt;=12*'🎚️ Escenario'!$C$11,1,1+$C$6))</f>
        <v>1.2</v>
      </c>
      <c r="DU108" s="237" t="n">
        <f aca="false">IF(DU106=0,0,IF(DU106&lt;=12*'🎚️ Escenario'!$C$11,1,1+$C$6))</f>
        <v>1.2</v>
      </c>
      <c r="DV108" s="237" t="n">
        <f aca="false">IF(DV106=0,0,IF(DV106&lt;=12*'🎚️ Escenario'!$C$11,1,1+$C$6))</f>
        <v>1.2</v>
      </c>
      <c r="DW108" s="237" t="n">
        <f aca="false">IF(DW106=0,0,IF(DW106&lt;=12*'🎚️ Escenario'!$C$11,1,1+$C$6))</f>
        <v>1.2</v>
      </c>
      <c r="DX108" s="237" t="n">
        <f aca="false">IF(DX106=0,0,IF(DX106&lt;=12*'🎚️ Escenario'!$C$11,1,1+$C$6))</f>
        <v>1.2</v>
      </c>
      <c r="DY108" s="237" t="n">
        <f aca="false">IF(DY106=0,0,IF(DY106&lt;=12*'🎚️ Escenario'!$C$11,1,1+$C$6))</f>
        <v>1.2</v>
      </c>
      <c r="DZ108" s="237" t="n">
        <f aca="false">IF(DZ106=0,0,IF(DZ106&lt;=12*'🎚️ Escenario'!$C$11,1,1+$C$6))</f>
        <v>1.2</v>
      </c>
      <c r="EA108" s="237" t="n">
        <f aca="false">IF(EA106=0,0,IF(EA106&lt;=12*'🎚️ Escenario'!$C$11,1,1+$C$6))</f>
        <v>1.2</v>
      </c>
      <c r="EB108" s="237" t="n">
        <f aca="false">IF(EB106=0,0,IF(EB106&lt;=12*'🎚️ Escenario'!$C$11,1,1+$C$6))</f>
        <v>1.2</v>
      </c>
      <c r="EC108" s="237" t="n">
        <f aca="false">IF(EC106=0,0,IF(EC106&lt;=12*'🎚️ Escenario'!$C$11,1,1+$C$6))</f>
        <v>1.2</v>
      </c>
      <c r="ED108" s="237" t="n">
        <f aca="false">IF(ED106=0,0,IF(ED106&lt;=12*'🎚️ Escenario'!$C$11,1,1+$C$6))</f>
        <v>1.2</v>
      </c>
      <c r="EE108" s="237" t="n">
        <f aca="false">IF(EE106=0,0,IF(EE106&lt;=12*'🎚️ Escenario'!$C$11,1,1+$C$6))</f>
        <v>1.2</v>
      </c>
      <c r="EF108" s="237" t="n">
        <f aca="false">IF(EF106=0,0,IF(EF106&lt;=12*'🎚️ Escenario'!$C$11,1,1+$C$6))</f>
        <v>1.2</v>
      </c>
      <c r="EG108" s="237" t="n">
        <f aca="false">IF(EG106=0,0,IF(EG106&lt;=12*'🎚️ Escenario'!$C$11,1,1+$C$6))</f>
        <v>1.2</v>
      </c>
      <c r="EH108" s="237" t="n">
        <f aca="false">IF(EH106=0,0,IF(EH106&lt;=12*'🎚️ Escenario'!$C$11,1,1+$C$6))</f>
        <v>1.2</v>
      </c>
      <c r="EI108" s="237" t="n">
        <f aca="false">IF(EI106=0,0,IF(EI106&lt;=12*'🎚️ Escenario'!$C$11,1,1+$C$6))</f>
        <v>1.2</v>
      </c>
      <c r="EJ108" s="237" t="n">
        <f aca="false">IF(EJ106=0,0,IF(EJ106&lt;=12*'🎚️ Escenario'!$C$11,1,1+$C$6))</f>
        <v>1.2</v>
      </c>
      <c r="EK108" s="237" t="n">
        <f aca="false">IF(EK106=0,0,IF(EK106&lt;=12*'🎚️ Escenario'!$C$11,1,1+$C$6))</f>
        <v>1.2</v>
      </c>
      <c r="EL108" s="237" t="n">
        <f aca="false">IF(EL106=0,0,IF(EL106&lt;=12*'🎚️ Escenario'!$C$11,1,1+$C$6))</f>
        <v>1.2</v>
      </c>
      <c r="EM108" s="237" t="n">
        <f aca="false">IF(EM106=0,0,IF(EM106&lt;=12*'🎚️ Escenario'!$C$11,1,1+$C$6))</f>
        <v>1.2</v>
      </c>
      <c r="EN108" s="237" t="n">
        <f aca="false">IF(EN106=0,0,IF(EN106&lt;=12*'🎚️ Escenario'!$C$11,1,1+$C$6))</f>
        <v>1.2</v>
      </c>
      <c r="EO108" s="237" t="n">
        <f aca="false">IF(EO106=0,0,IF(EO106&lt;=12*'🎚️ Escenario'!$C$11,1,1+$C$6))</f>
        <v>1.2</v>
      </c>
      <c r="EP108" s="237" t="n">
        <f aca="false">IF(EP106=0,0,IF(EP106&lt;=12*'🎚️ Escenario'!$C$11,1,1+$C$6))</f>
        <v>1.2</v>
      </c>
      <c r="EQ108" s="237" t="n">
        <f aca="false">IF(EQ106=0,0,IF(EQ106&lt;=12*'🎚️ Escenario'!$C$11,1,1+$C$6))</f>
        <v>1.2</v>
      </c>
      <c r="ER108" s="237" t="n">
        <f aca="false">IF(ER106=0,0,IF(ER106&lt;=12*'🎚️ Escenario'!$C$11,1,1+$C$6))</f>
        <v>1.2</v>
      </c>
      <c r="ES108" s="238" t="n">
        <f aca="false">IF(ES106=0,0,IF(ES106&lt;=12*'🎚️ Escenario'!$C$11,1,1+$C$6))</f>
        <v>1.2</v>
      </c>
      <c r="ET108" s="238" t="n">
        <f aca="false">IF(ET106=0,0,IF(ET106&lt;=12*'🎚️ Escenario'!$C$11,1,1+$C$6))</f>
        <v>1.2</v>
      </c>
      <c r="EU108" s="238" t="n">
        <f aca="false">IF(EU106=0,0,IF(EU106&lt;=12*'🎚️ Escenario'!$C$11,1,1+$C$6))</f>
        <v>1.2</v>
      </c>
      <c r="EV108" s="238" t="n">
        <f aca="false">IF(EV106=0,0,IF(EV106&lt;=12*'🎚️ Escenario'!$C$11,1,1+$C$6))</f>
        <v>1.2</v>
      </c>
      <c r="EW108" s="238" t="n">
        <f aca="false">IF(EW106=0,0,IF(EW106&lt;=12*'🎚️ Escenario'!$C$11,1,1+$C$6))</f>
        <v>1.2</v>
      </c>
      <c r="EX108" s="238" t="n">
        <f aca="false">IF(EX106=0,0,IF(EX106&lt;=12*'🎚️ Escenario'!$C$11,1,1+$C$6))</f>
        <v>1.2</v>
      </c>
      <c r="EY108" s="238" t="n">
        <f aca="false">IF(EY106=0,0,IF(EY106&lt;=12*'🎚️ Escenario'!$C$11,1,1+$C$6))</f>
        <v>1.2</v>
      </c>
      <c r="EZ108" s="238" t="n">
        <f aca="false">IF(EZ106=0,0,IF(EZ106&lt;=12*'🎚️ Escenario'!$C$11,1,1+$C$6))</f>
        <v>1.2</v>
      </c>
      <c r="FA108" s="238" t="n">
        <f aca="false">IF(FA106=0,0,IF(FA106&lt;=12*'🎚️ Escenario'!$C$11,1,1+$C$6))</f>
        <v>1.2</v>
      </c>
      <c r="FB108" s="238" t="n">
        <f aca="false">IF(FB106=0,0,IF(FB106&lt;=12*'🎚️ Escenario'!$C$11,1,1+$C$6))</f>
        <v>1.2</v>
      </c>
      <c r="FC108" s="238" t="n">
        <f aca="false">IF(FC106=0,0,IF(FC106&lt;=12*'🎚️ Escenario'!$C$11,1,1+$C$6))</f>
        <v>1.2</v>
      </c>
      <c r="FD108" s="238" t="n">
        <f aca="false">IF(FD106=0,0,IF(FD106&lt;=12*'🎚️ Escenario'!$C$11,1,1+$C$6))</f>
        <v>1.2</v>
      </c>
      <c r="FE108" s="238" t="n">
        <f aca="false">IF(FE106=0,0,IF(FE106&lt;=12*'🎚️ Escenario'!$C$11,1,1+$C$6))</f>
        <v>1.2</v>
      </c>
      <c r="FF108" s="238" t="n">
        <f aca="false">IF(FF106=0,0,IF(FF106&lt;=12*'🎚️ Escenario'!$C$11,1,1+$C$6))</f>
        <v>1.2</v>
      </c>
      <c r="FG108" s="238" t="n">
        <f aca="false">IF(FG106=0,0,IF(FG106&lt;=12*'🎚️ Escenario'!$C$11,1,1+$C$6))</f>
        <v>1.2</v>
      </c>
      <c r="FH108" s="238" t="n">
        <f aca="false">IF(FH106=0,0,IF(FH106&lt;=12*'🎚️ Escenario'!$C$11,1,1+$C$6))</f>
        <v>1.2</v>
      </c>
      <c r="FI108" s="238" t="n">
        <f aca="false">IF(FI106=0,0,IF(FI106&lt;=12*'🎚️ Escenario'!$C$11,1,1+$C$6))</f>
        <v>1.2</v>
      </c>
      <c r="FJ108" s="238" t="n">
        <f aca="false">IF(FJ106=0,0,IF(FJ106&lt;=12*'🎚️ Escenario'!$C$11,1,1+$C$6))</f>
        <v>1.2</v>
      </c>
      <c r="FK108" s="238" t="n">
        <f aca="false">IF(FK106=0,0,IF(FK106&lt;=12*'🎚️ Escenario'!$C$11,1,1+$C$6))</f>
        <v>1.2</v>
      </c>
      <c r="FL108" s="238" t="n">
        <f aca="false">IF(FL106=0,0,IF(FL106&lt;=12*'🎚️ Escenario'!$C$11,1,1+$C$6))</f>
        <v>1.2</v>
      </c>
      <c r="FM108" s="238" t="n">
        <f aca="false">IF(FM106=0,0,IF(FM106&lt;=12*'🎚️ Escenario'!$C$11,1,1+$C$6))</f>
        <v>1.2</v>
      </c>
      <c r="FN108" s="238" t="n">
        <f aca="false">IF(FN106=0,0,IF(FN106&lt;=12*'🎚️ Escenario'!$C$11,1,1+$C$6))</f>
        <v>1.2</v>
      </c>
      <c r="FO108" s="238" t="n">
        <f aca="false">IF(FO106=0,0,IF(FO106&lt;=12*'🎚️ Escenario'!$C$11,1,1+$C$6))</f>
        <v>1.2</v>
      </c>
      <c r="FP108" s="238" t="n">
        <f aca="false">IF(FP106=0,0,IF(FP106&lt;=12*'🎚️ Escenario'!$C$11,1,1+$C$6))</f>
        <v>1.2</v>
      </c>
    </row>
    <row r="109" customFormat="false" ht="15" hidden="false" customHeight="false" outlineLevel="2" collapsed="false">
      <c r="B109" s="9" t="s">
        <v>876</v>
      </c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36" t="n">
        <f aca="false">AC107*$AC$105*AC108*AC$38*'⑫ Roll-out Plan'!$O$16</f>
        <v>0</v>
      </c>
      <c r="AD109" s="36" t="n">
        <f aca="false">AD107*$AC$105*AD108*AD$38*'⑫ Roll-out Plan'!$O$16</f>
        <v>0</v>
      </c>
      <c r="AE109" s="36" t="n">
        <f aca="false">AE107*$AC$105*AE108*AE$38*'⑫ Roll-out Plan'!$O$16</f>
        <v>0</v>
      </c>
      <c r="AF109" s="36" t="n">
        <f aca="false">AF107*$AC$105*AF108*AF$38*'⑫ Roll-out Plan'!$O$16</f>
        <v>0</v>
      </c>
      <c r="AG109" s="36" t="n">
        <f aca="false">AG107*$AC$105*AG108*AG$38*'⑫ Roll-out Plan'!$O$16</f>
        <v>0</v>
      </c>
      <c r="AH109" s="36" t="n">
        <f aca="false">AH107*$AC$105*AH108*AH$38*'⑫ Roll-out Plan'!$O$16</f>
        <v>0</v>
      </c>
      <c r="AI109" s="36" t="n">
        <f aca="false">AI107*$AC$105*AI108*AI$38*'⑫ Roll-out Plan'!$O$16</f>
        <v>0</v>
      </c>
      <c r="AJ109" s="36" t="n">
        <f aca="false">AJ107*$AC$105*AJ108*AJ$38*'⑫ Roll-out Plan'!$O$16</f>
        <v>0</v>
      </c>
      <c r="AK109" s="36" t="n">
        <f aca="false">AK107*$AC$105*AK108*AK$38*'⑫ Roll-out Plan'!$O$16</f>
        <v>0</v>
      </c>
      <c r="AL109" s="36" t="n">
        <f aca="false">AL107*$AC$105*AL108*AL$38*'⑫ Roll-out Plan'!$O$16</f>
        <v>0</v>
      </c>
      <c r="AM109" s="36" t="n">
        <f aca="false">AM107*$AC$105*AM108*AM$38*'⑫ Roll-out Plan'!$O$16</f>
        <v>0</v>
      </c>
      <c r="AN109" s="36" t="n">
        <f aca="false">AN107*$AC$105*AN108*AN$38*'⑫ Roll-out Plan'!$O$16</f>
        <v>0</v>
      </c>
      <c r="AO109" s="36" t="n">
        <f aca="false">AO107*$AC$105*AO108*AO$38*'⑫ Roll-out Plan'!$O$16</f>
        <v>0</v>
      </c>
      <c r="AP109" s="36" t="n">
        <f aca="false">AP107*$AC$105*AP108*AP$38*'⑫ Roll-out Plan'!$O$16</f>
        <v>0</v>
      </c>
      <c r="AQ109" s="36" t="n">
        <f aca="false">AQ107*$AC$105*AQ108*AQ$38*'⑫ Roll-out Plan'!$O$16</f>
        <v>0</v>
      </c>
      <c r="AR109" s="36" t="n">
        <f aca="false">AR107*$AC$105*AR108*AR$38*'⑫ Roll-out Plan'!$O$16</f>
        <v>0</v>
      </c>
      <c r="AS109" s="36" t="n">
        <f aca="false">AS107*$AC$105*AS108*AS$38*'⑫ Roll-out Plan'!$O$16</f>
        <v>0</v>
      </c>
      <c r="AT109" s="36" t="n">
        <f aca="false">AT107*$AC$105*AT108*AT$38*'⑫ Roll-out Plan'!$O$16</f>
        <v>0</v>
      </c>
      <c r="AU109" s="36" t="n">
        <f aca="false">AU107*$AC$105*AU108*AU$38*'⑫ Roll-out Plan'!$O$16</f>
        <v>0</v>
      </c>
      <c r="AV109" s="36" t="n">
        <f aca="false">AV107*$AC$105*AV108*AV$38*'⑫ Roll-out Plan'!$O$16</f>
        <v>0</v>
      </c>
      <c r="AW109" s="36" t="n">
        <f aca="false">AW107*$AC$105*AW108*AW$38*'⑫ Roll-out Plan'!$O$16</f>
        <v>0</v>
      </c>
      <c r="AX109" s="36" t="n">
        <f aca="false">AX107*$AC$105*AX108*AX$38*'⑫ Roll-out Plan'!$O$16</f>
        <v>0</v>
      </c>
      <c r="AY109" s="36" t="n">
        <f aca="false">AY107*$AC$105*AY108*AY$38*'⑫ Roll-out Plan'!$O$16</f>
        <v>0</v>
      </c>
      <c r="AZ109" s="36" t="n">
        <f aca="false">AZ107*$AC$105*AZ108*AZ$38*'⑫ Roll-out Plan'!$O$16</f>
        <v>0</v>
      </c>
      <c r="BA109" s="36" t="n">
        <f aca="false">BA107*$AC$105*BA108*BA$38*'⑫ Roll-out Plan'!$O$16</f>
        <v>0</v>
      </c>
      <c r="BB109" s="36" t="n">
        <f aca="false">BB107*$AC$105*BB108*BB$38*'⑫ Roll-out Plan'!$O$16</f>
        <v>0</v>
      </c>
      <c r="BC109" s="36" t="n">
        <f aca="false">BC107*$AC$105*BC108*BC$38*'⑫ Roll-out Plan'!$O$16</f>
        <v>0</v>
      </c>
      <c r="BD109" s="36" t="n">
        <f aca="false">BD107*$AC$105*BD108*BD$38*'⑫ Roll-out Plan'!$O$16</f>
        <v>46.2</v>
      </c>
      <c r="BE109" s="36" t="n">
        <f aca="false">BE107*$AC$105*BE108*BE$38*'⑫ Roll-out Plan'!$O$16</f>
        <v>42.504</v>
      </c>
      <c r="BF109" s="36" t="n">
        <f aca="false">BF107*$AC$105*BF108*BF$38*'⑫ Roll-out Plan'!$O$16</f>
        <v>40.32</v>
      </c>
      <c r="BG109" s="36" t="n">
        <f aca="false">BG107*$AC$105*BG108*BG$38*'⑫ Roll-out Plan'!$O$16</f>
        <v>47.628</v>
      </c>
      <c r="BH109" s="36" t="n">
        <f aca="false">BH107*$AC$105*BH108*BH$38*'⑫ Roll-out Plan'!$O$16</f>
        <v>80.514</v>
      </c>
      <c r="BI109" s="36" t="n">
        <f aca="false">BI107*$AC$105*BI108*BI$38*'⑫ Roll-out Plan'!$O$16</f>
        <v>75.516</v>
      </c>
      <c r="BJ109" s="36" t="n">
        <f aca="false">BJ107*$AC$105*BJ108*BJ$38*'⑫ Roll-out Plan'!$O$16</f>
        <v>70.56</v>
      </c>
      <c r="BK109" s="36" t="n">
        <f aca="false">BK107*$AC$105*BK108*BK$38*'⑫ Roll-out Plan'!$O$16</f>
        <v>58.968</v>
      </c>
      <c r="BL109" s="36" t="n">
        <f aca="false">BL107*$AC$105*BL108*BL$38*'⑫ Roll-out Plan'!$O$16</f>
        <v>94.248</v>
      </c>
      <c r="BM109" s="36" t="n">
        <f aca="false">BM107*$AC$105*BM108*BM$38*'⑫ Roll-out Plan'!$O$16</f>
        <v>99.792</v>
      </c>
      <c r="BN109" s="36" t="n">
        <f aca="false">BN107*$AC$105*BN108*BN$38*'⑫ Roll-out Plan'!$O$16</f>
        <v>82.656</v>
      </c>
      <c r="BO109" s="36" t="n">
        <f aca="false">BO107*$AC$105*BO108*BO$38*'⑫ Roll-out Plan'!$O$16</f>
        <v>126.672</v>
      </c>
      <c r="BP109" s="36" t="n">
        <f aca="false">BP107*$AC$105*BP108*BP$38*'⑫ Roll-out Plan'!$O$16</f>
        <v>129.36</v>
      </c>
      <c r="BQ109" s="36" t="n">
        <f aca="false">BQ107*$AC$105*BQ108*BQ$38*'⑫ Roll-out Plan'!$O$16</f>
        <v>115.92</v>
      </c>
      <c r="BR109" s="36" t="n">
        <f aca="false">BR107*$AC$105*BR108*BR$38*'⑫ Roll-out Plan'!$O$16</f>
        <v>100.8</v>
      </c>
      <c r="BS109" s="36" t="n">
        <f aca="false">BS107*$AC$105*BS108*BS$38*'⑫ Roll-out Plan'!$O$16</f>
        <v>133.3584</v>
      </c>
      <c r="BT109" s="36" t="n">
        <f aca="false">BT107*$AC$105*BT108*BT$38*'⑫ Roll-out Plan'!$O$16</f>
        <v>236.1744</v>
      </c>
      <c r="BU109" s="36" t="n">
        <f aca="false">BU107*$AC$105*BU108*BU$38*'⑫ Roll-out Plan'!$O$16</f>
        <v>201.7008</v>
      </c>
      <c r="BV109" s="36" t="n">
        <f aca="false">BV107*$AC$105*BV108*BV$38*'⑫ Roll-out Plan'!$O$16</f>
        <v>171.7632</v>
      </c>
      <c r="BW109" s="36" t="n">
        <f aca="false">BW107*$AC$105*BW108*BW$38*'⑫ Roll-out Plan'!$O$16</f>
        <v>128.8224</v>
      </c>
      <c r="BX109" s="36" t="n">
        <f aca="false">BX107*$AC$105*BX108*BX$38*'⑫ Roll-out Plan'!$O$16</f>
        <v>187.6392</v>
      </c>
      <c r="BY109" s="36" t="n">
        <f aca="false">BY107*$AC$105*BY108*BY$38*'⑫ Roll-out Plan'!$O$16</f>
        <v>204.12</v>
      </c>
      <c r="BZ109" s="36" t="n">
        <f aca="false">BZ107*$AC$105*BZ108*BZ$38*'⑫ Roll-out Plan'!$O$16</f>
        <v>159.1128</v>
      </c>
      <c r="CA109" s="36" t="n">
        <f aca="false">CA107*$AC$105*CA108*CA$38*'⑫ Roll-out Plan'!$O$16</f>
        <v>230.9328</v>
      </c>
      <c r="CB109" s="36" t="n">
        <f aca="false">CB107*$AC$105*CB108*CB$38*'⑫ Roll-out Plan'!$O$16</f>
        <v>218.988</v>
      </c>
      <c r="CC109" s="36" t="n">
        <f aca="false">CC107*$AC$105*CC108*CC$38*'⑫ Roll-out Plan'!$O$16</f>
        <v>185.472</v>
      </c>
      <c r="CD109" s="36" t="n">
        <f aca="false">CD107*$AC$105*CD108*CD$38*'⑫ Roll-out Plan'!$O$16</f>
        <v>165.312</v>
      </c>
      <c r="CE109" s="36" t="n">
        <f aca="false">CE107*$AC$105*CE108*CE$38*'⑫ Roll-out Plan'!$O$16</f>
        <v>177.8112</v>
      </c>
      <c r="CF109" s="36" t="n">
        <f aca="false">CF107*$AC$105*CF108*CF$38*'⑫ Roll-out Plan'!$O$16</f>
        <v>304.164</v>
      </c>
      <c r="CG109" s="36" t="n">
        <f aca="false">CG107*$AC$105*CG108*CG$38*'⑫ Roll-out Plan'!$O$16</f>
        <v>248.472</v>
      </c>
      <c r="CH109" s="36" t="n">
        <f aca="false">CH107*$AC$105*CH108*CH$38*'⑫ Roll-out Plan'!$O$16</f>
        <v>208.0512</v>
      </c>
      <c r="CI109" s="36" t="n">
        <f aca="false">CI107*$AC$105*CI108*CI$38*'⑫ Roll-out Plan'!$O$16</f>
        <v>159.6672</v>
      </c>
      <c r="CJ109" s="36" t="n">
        <f aca="false">CJ107*$AC$105*CJ108*CJ$38*'⑫ Roll-out Plan'!$O$16</f>
        <v>228.7656</v>
      </c>
      <c r="CK109" s="36" t="n">
        <f aca="false">CK107*$AC$105*CK108*CK$38*'⑫ Roll-out Plan'!$O$16</f>
        <v>244.944</v>
      </c>
      <c r="CL109" s="36" t="n">
        <f aca="false">CL107*$AC$105*CL108*CL$38*'⑫ Roll-out Plan'!$O$16</f>
        <v>185.976</v>
      </c>
      <c r="CM109" s="36" t="n">
        <f aca="false">CM107*$AC$105*CM108*CM$38*'⑫ Roll-out Plan'!$O$16</f>
        <v>268.9344</v>
      </c>
      <c r="CN109" s="36" t="n">
        <f aca="false">CN107*$AC$105*CN108*CN$38*'⑫ Roll-out Plan'!$O$16</f>
        <v>257.796</v>
      </c>
      <c r="CO109" s="36" t="n">
        <f aca="false">CO107*$AC$105*CO108*CO$38*'⑫ Roll-out Plan'!$O$16</f>
        <v>217.9296</v>
      </c>
      <c r="CP109" s="36" t="n">
        <f aca="false">CP107*$AC$105*CP108*CP$38*'⑫ Roll-out Plan'!$O$16</f>
        <v>191.52</v>
      </c>
      <c r="CQ109" s="36" t="n">
        <f aca="false">CQ107*$AC$105*CQ108*CQ$38*'⑫ Roll-out Plan'!$O$16</f>
        <v>201.096</v>
      </c>
      <c r="CR109" s="36" t="n">
        <f aca="false">CR107*$AC$105*CR108*CR$38*'⑫ Roll-out Plan'!$O$16</f>
        <v>347.1048</v>
      </c>
      <c r="CS109" s="36" t="n">
        <f aca="false">CS107*$AC$105*CS108*CS$38*'⑫ Roll-out Plan'!$O$16</f>
        <v>286.4736</v>
      </c>
      <c r="CT109" s="36" t="n">
        <f aca="false">CT107*$AC$105*CT108*CT$38*'⑫ Roll-out Plan'!$O$16</f>
        <v>239.5008</v>
      </c>
      <c r="CU109" s="36" t="n">
        <f aca="false">CU107*$AC$105*CU108*CU$38*'⑫ Roll-out Plan'!$O$16</f>
        <v>181.44</v>
      </c>
      <c r="CV109" s="36" t="n">
        <f aca="false">CV107*$AC$105*CV108*CV$38*'⑫ Roll-out Plan'!$O$16</f>
        <v>257.04</v>
      </c>
      <c r="CW109" s="36" t="n">
        <f aca="false">CW107*$AC$105*CW108*CW$38*'⑫ Roll-out Plan'!$O$16</f>
        <v>272.16</v>
      </c>
      <c r="CX109" s="36" t="n">
        <f aca="false">CX107*$AC$105*CX108*CX$38*'⑫ Roll-out Plan'!$O$16</f>
        <v>206.64</v>
      </c>
      <c r="CY109" s="36" t="n">
        <f aca="false">CY107*$AC$105*CY108*CY$38*'⑫ Roll-out Plan'!$O$16</f>
        <v>292.32</v>
      </c>
      <c r="CZ109" s="36" t="n">
        <f aca="false">CZ107*$AC$105*CZ108*CZ$38*'⑫ Roll-out Plan'!$O$16</f>
        <v>277.2</v>
      </c>
      <c r="DA109" s="36" t="n">
        <f aca="false">DA107*$AC$105*DA108*DA$38*'⑫ Roll-out Plan'!$O$16</f>
        <v>231.84</v>
      </c>
      <c r="DB109" s="36" t="n">
        <f aca="false">DB107*$AC$105*DB108*DB$38*'⑫ Roll-out Plan'!$O$16</f>
        <v>201.6</v>
      </c>
      <c r="DC109" s="36" t="n">
        <f aca="false">DC107*$AC$105*DC108*DC$38*'⑫ Roll-out Plan'!$O$16</f>
        <v>211.68</v>
      </c>
      <c r="DD109" s="36" t="n">
        <f aca="false">DD107*$AC$105*DD108*DD$38*'⑫ Roll-out Plan'!$O$16</f>
        <v>357.84</v>
      </c>
      <c r="DE109" s="36" t="n">
        <f aca="false">DE107*$AC$105*DE108*DE$38*'⑫ Roll-out Plan'!$O$16</f>
        <v>292.32</v>
      </c>
      <c r="DF109" s="36" t="n">
        <f aca="false">DF107*$AC$105*DF108*DF$38*'⑫ Roll-out Plan'!$O$16</f>
        <v>241.92</v>
      </c>
      <c r="DG109" s="36" t="n">
        <f aca="false">DG107*$AC$105*DG108*DG$38*'⑫ Roll-out Plan'!$O$16</f>
        <v>181.44</v>
      </c>
      <c r="DH109" s="36" t="n">
        <f aca="false">DH107*$AC$105*DH108*DH$38*'⑫ Roll-out Plan'!$O$16</f>
        <v>257.04</v>
      </c>
      <c r="DI109" s="36" t="n">
        <f aca="false">DI107*$AC$105*DI108*DI$38*'⑫ Roll-out Plan'!$O$16</f>
        <v>272.16</v>
      </c>
      <c r="DJ109" s="36" t="n">
        <f aca="false">DJ107*$AC$105*DJ108*DJ$38*'⑫ Roll-out Plan'!$O$16</f>
        <v>206.64</v>
      </c>
      <c r="DK109" s="36" t="n">
        <f aca="false">DK107*$AC$105*DK108*DK$38*'⑫ Roll-out Plan'!$O$16</f>
        <v>292.32</v>
      </c>
      <c r="DL109" s="36" t="n">
        <f aca="false">DL107*$AC$105*DL108*DL$38*'⑫ Roll-out Plan'!$O$16</f>
        <v>277.2</v>
      </c>
      <c r="DM109" s="36" t="n">
        <f aca="false">DM107*$AC$105*DM108*DM$38*'⑫ Roll-out Plan'!$O$16</f>
        <v>231.84</v>
      </c>
      <c r="DN109" s="36" t="n">
        <f aca="false">DN107*$AC$105*DN108*DN$38*'⑫ Roll-out Plan'!$O$16</f>
        <v>201.6</v>
      </c>
      <c r="DO109" s="36" t="n">
        <f aca="false">DO107*$AC$105*DO108*DO$38*'⑫ Roll-out Plan'!$O$16</f>
        <v>211.68</v>
      </c>
      <c r="DP109" s="36" t="n">
        <f aca="false">DP107*$AC$105*DP108*DP$38*'⑫ Roll-out Plan'!$O$16</f>
        <v>357.84</v>
      </c>
      <c r="DQ109" s="36" t="n">
        <f aca="false">DQ107*$AC$105*DQ108*DQ$38*'⑫ Roll-out Plan'!$O$16</f>
        <v>292.32</v>
      </c>
      <c r="DR109" s="36" t="n">
        <f aca="false">DR107*$AC$105*DR108*DR$38*'⑫ Roll-out Plan'!$O$16</f>
        <v>241.92</v>
      </c>
      <c r="DS109" s="36" t="n">
        <f aca="false">DS107*$AC$105*DS108*DS$38*'⑫ Roll-out Plan'!$O$16</f>
        <v>181.44</v>
      </c>
      <c r="DT109" s="36" t="n">
        <f aca="false">DT107*$AC$105*DT108*DT$38*'⑫ Roll-out Plan'!$O$16</f>
        <v>257.04</v>
      </c>
      <c r="DU109" s="36" t="n">
        <f aca="false">DU107*$AC$105*DU108*DU$38*'⑫ Roll-out Plan'!$O$16</f>
        <v>272.16</v>
      </c>
      <c r="DV109" s="36" t="n">
        <f aca="false">DV107*$AC$105*DV108*DV$38*'⑫ Roll-out Plan'!$O$16</f>
        <v>206.64</v>
      </c>
      <c r="DW109" s="36" t="n">
        <f aca="false">DW107*$AC$105*DW108*DW$38*'⑫ Roll-out Plan'!$O$16</f>
        <v>292.32</v>
      </c>
      <c r="DX109" s="36" t="n">
        <f aca="false">DX107*$AC$105*DX108*DX$38*'⑫ Roll-out Plan'!$O$16</f>
        <v>277.2</v>
      </c>
      <c r="DY109" s="36" t="n">
        <f aca="false">DY107*$AC$105*DY108*DY$38*'⑫ Roll-out Plan'!$O$16</f>
        <v>231.84</v>
      </c>
      <c r="DZ109" s="36" t="n">
        <f aca="false">DZ107*$AC$105*DZ108*DZ$38*'⑫ Roll-out Plan'!$O$16</f>
        <v>201.6</v>
      </c>
      <c r="EA109" s="36" t="n">
        <f aca="false">EA107*$AC$105*EA108*EA$38*'⑫ Roll-out Plan'!$O$16</f>
        <v>211.68</v>
      </c>
      <c r="EB109" s="36" t="n">
        <f aca="false">EB107*$AC$105*EB108*EB$38*'⑫ Roll-out Plan'!$O$16</f>
        <v>357.84</v>
      </c>
      <c r="EC109" s="36" t="n">
        <f aca="false">EC107*$AC$105*EC108*EC$38*'⑫ Roll-out Plan'!$O$16</f>
        <v>292.32</v>
      </c>
      <c r="ED109" s="36" t="n">
        <f aca="false">ED107*$AC$105*ED108*ED$38*'⑫ Roll-out Plan'!$O$16</f>
        <v>241.92</v>
      </c>
      <c r="EE109" s="36" t="n">
        <f aca="false">EE107*$AC$105*EE108*EE$38*'⑫ Roll-out Plan'!$O$16</f>
        <v>181.44</v>
      </c>
      <c r="EF109" s="36" t="n">
        <f aca="false">EF107*$AC$105*EF108*EF$38*'⑫ Roll-out Plan'!$O$16</f>
        <v>257.04</v>
      </c>
      <c r="EG109" s="36" t="n">
        <f aca="false">EG107*$AC$105*EG108*EG$38*'⑫ Roll-out Plan'!$O$16</f>
        <v>272.16</v>
      </c>
      <c r="EH109" s="36" t="n">
        <f aca="false">EH107*$AC$105*EH108*EH$38*'⑫ Roll-out Plan'!$O$16</f>
        <v>206.64</v>
      </c>
      <c r="EI109" s="36" t="n">
        <f aca="false">EI107*$AC$105*EI108*EI$38*'⑫ Roll-out Plan'!$O$16</f>
        <v>292.32</v>
      </c>
      <c r="EJ109" s="36" t="n">
        <f aca="false">EJ107*$AC$105*EJ108*EJ$38*'⑫ Roll-out Plan'!$O$16</f>
        <v>277.2</v>
      </c>
      <c r="EK109" s="36" t="n">
        <f aca="false">EK107*$AC$105*EK108*EK$38*'⑫ Roll-out Plan'!$O$16</f>
        <v>231.84</v>
      </c>
      <c r="EL109" s="36" t="n">
        <f aca="false">EL107*$AC$105*EL108*EL$38*'⑫ Roll-out Plan'!$O$16</f>
        <v>201.6</v>
      </c>
      <c r="EM109" s="36" t="n">
        <f aca="false">EM107*$AC$105*EM108*EM$38*'⑫ Roll-out Plan'!$O$16</f>
        <v>211.68</v>
      </c>
      <c r="EN109" s="36" t="n">
        <f aca="false">EN107*$AC$105*EN108*EN$38*'⑫ Roll-out Plan'!$O$16</f>
        <v>357.84</v>
      </c>
      <c r="EO109" s="36" t="n">
        <f aca="false">EO107*$AC$105*EO108*EO$38*'⑫ Roll-out Plan'!$O$16</f>
        <v>292.32</v>
      </c>
      <c r="EP109" s="36" t="n">
        <f aca="false">EP107*$AC$105*EP108*EP$38*'⑫ Roll-out Plan'!$O$16</f>
        <v>241.92</v>
      </c>
      <c r="EQ109" s="36" t="n">
        <f aca="false">EQ107*$AC$105*EQ108*EQ$38*'⑫ Roll-out Plan'!$O$16</f>
        <v>181.44</v>
      </c>
      <c r="ER109" s="36" t="n">
        <f aca="false">ER107*$AC$105*ER108*ER$38*'⑫ Roll-out Plan'!$O$16</f>
        <v>257.04</v>
      </c>
      <c r="ES109" s="9" t="n">
        <f aca="false">ES107*$AC$105*ES108*ES$38*'⑫ Roll-out Plan'!$O$16</f>
        <v>272.16</v>
      </c>
      <c r="ET109" s="9" t="n">
        <f aca="false">ET107*$AC$105*ET108*ET$38*'⑫ Roll-out Plan'!$O$16</f>
        <v>206.64</v>
      </c>
      <c r="EU109" s="9" t="n">
        <f aca="false">EU107*$AC$105*EU108*EU$38*'⑫ Roll-out Plan'!$O$16</f>
        <v>292.32</v>
      </c>
      <c r="EV109" s="9" t="n">
        <f aca="false">EV107*$AC$105*EV108*EV$38*'⑫ Roll-out Plan'!$O$16</f>
        <v>277.2</v>
      </c>
      <c r="EW109" s="9" t="n">
        <f aca="false">EW107*$AC$105*EW108*EW$38*'⑫ Roll-out Plan'!$O$16</f>
        <v>231.84</v>
      </c>
      <c r="EX109" s="9" t="n">
        <f aca="false">EX107*$AC$105*EX108*EX$38*'⑫ Roll-out Plan'!$O$16</f>
        <v>201.6</v>
      </c>
      <c r="EY109" s="9" t="n">
        <f aca="false">EY107*$AC$105*EY108*EY$38*'⑫ Roll-out Plan'!$O$16</f>
        <v>211.68</v>
      </c>
      <c r="EZ109" s="9" t="n">
        <f aca="false">EZ107*$AC$105*EZ108*EZ$38*'⑫ Roll-out Plan'!$O$16</f>
        <v>357.84</v>
      </c>
      <c r="FA109" s="9" t="n">
        <f aca="false">FA107*$AC$105*FA108*FA$38*'⑫ Roll-out Plan'!$O$16</f>
        <v>292.32</v>
      </c>
      <c r="FB109" s="9" t="n">
        <f aca="false">FB107*$AC$105*FB108*FB$38*'⑫ Roll-out Plan'!$O$16</f>
        <v>241.92</v>
      </c>
      <c r="FC109" s="9" t="n">
        <f aca="false">FC107*$AC$105*FC108*FC$38*'⑫ Roll-out Plan'!$O$16</f>
        <v>181.44</v>
      </c>
      <c r="FD109" s="9" t="n">
        <f aca="false">FD107*$AC$105*FD108*FD$38*'⑫ Roll-out Plan'!$O$16</f>
        <v>257.04</v>
      </c>
      <c r="FE109" s="9" t="n">
        <f aca="false">FE107*$AC$105*FE108*FE$38*'⑫ Roll-out Plan'!$O$16</f>
        <v>272.16</v>
      </c>
      <c r="FF109" s="9" t="n">
        <f aca="false">FF107*$AC$105*FF108*FF$38*'⑫ Roll-out Plan'!$O$16</f>
        <v>206.64</v>
      </c>
      <c r="FG109" s="9" t="n">
        <f aca="false">FG107*$AC$105*FG108*FG$38*'⑫ Roll-out Plan'!$O$16</f>
        <v>292.32</v>
      </c>
      <c r="FH109" s="9" t="n">
        <f aca="false">FH107*$AC$105*FH108*FH$38*'⑫ Roll-out Plan'!$O$16</f>
        <v>277.2</v>
      </c>
      <c r="FI109" s="9" t="n">
        <f aca="false">FI107*$AC$105*FI108*FI$38*'⑫ Roll-out Plan'!$O$16</f>
        <v>231.84</v>
      </c>
      <c r="FJ109" s="9" t="n">
        <f aca="false">FJ107*$AC$105*FJ108*FJ$38*'⑫ Roll-out Plan'!$O$16</f>
        <v>201.6</v>
      </c>
      <c r="FK109" s="9" t="n">
        <f aca="false">FK107*$AC$105*FK108*FK$38*'⑫ Roll-out Plan'!$O$16</f>
        <v>211.68</v>
      </c>
      <c r="FL109" s="9" t="n">
        <f aca="false">FL107*$AC$105*FL108*FL$38*'⑫ Roll-out Plan'!$O$16</f>
        <v>357.84</v>
      </c>
      <c r="FM109" s="9" t="n">
        <f aca="false">FM107*$AC$105*FM108*FM$38*'⑫ Roll-out Plan'!$O$16</f>
        <v>292.32</v>
      </c>
      <c r="FN109" s="9" t="n">
        <f aca="false">FN107*$AC$105*FN108*FN$38*'⑫ Roll-out Plan'!$O$16</f>
        <v>241.92</v>
      </c>
      <c r="FO109" s="9" t="n">
        <f aca="false">FO107*$AC$105*FO108*FO$38*'⑫ Roll-out Plan'!$O$16</f>
        <v>181.44</v>
      </c>
      <c r="FP109" s="9" t="n">
        <f aca="false">FP107*$AC$105*FP108*FP$38*'⑫ Roll-out Plan'!$O$16</f>
        <v>257.04</v>
      </c>
    </row>
    <row r="110" customFormat="false" ht="15" hidden="false" customHeight="false" outlineLevel="2" collapsed="false">
      <c r="B110" s="9" t="s">
        <v>877</v>
      </c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112" t="n">
        <f aca="true">IFERROR(SUMPRODUCT(OFFSET($BJ$31,0,1-MIN(60,COLUMN()-29),1,MIN(60,COLUMN()-29)),OFFSET(AC109,0,-MIN(60,COLUMN()-29),1,MIN(60,COLUMN()-29))),0)</f>
        <v>0</v>
      </c>
      <c r="AD110" s="112" t="n">
        <f aca="true">IFERROR(SUMPRODUCT(OFFSET($BJ$31,0,1-MIN(60,COLUMN()-29),1,MIN(60,COLUMN()-29)),OFFSET(AD109,0,-MIN(60,COLUMN()-29),1,MIN(60,COLUMN()-29))),0)</f>
        <v>0</v>
      </c>
      <c r="AE110" s="112" t="n">
        <f aca="true">IFERROR(SUMPRODUCT(OFFSET($BJ$31,0,1-MIN(60,COLUMN()-29),1,MIN(60,COLUMN()-29)),OFFSET(AE109,0,-MIN(60,COLUMN()-29),1,MIN(60,COLUMN()-29))),0)</f>
        <v>0</v>
      </c>
      <c r="AF110" s="112" t="n">
        <f aca="true">IFERROR(SUMPRODUCT(OFFSET($BJ$31,0,1-MIN(60,COLUMN()-29),1,MIN(60,COLUMN()-29)),OFFSET(AF109,0,-MIN(60,COLUMN()-29),1,MIN(60,COLUMN()-29))),0)</f>
        <v>0</v>
      </c>
      <c r="AG110" s="112" t="n">
        <f aca="true">IFERROR(SUMPRODUCT(OFFSET($BJ$31,0,1-MIN(60,COLUMN()-29),1,MIN(60,COLUMN()-29)),OFFSET(AG109,0,-MIN(60,COLUMN()-29),1,MIN(60,COLUMN()-29))),0)</f>
        <v>0</v>
      </c>
      <c r="AH110" s="112" t="n">
        <f aca="true">IFERROR(SUMPRODUCT(OFFSET($BJ$31,0,1-MIN(60,COLUMN()-29),1,MIN(60,COLUMN()-29)),OFFSET(AH109,0,-MIN(60,COLUMN()-29),1,MIN(60,COLUMN()-29))),0)</f>
        <v>0</v>
      </c>
      <c r="AI110" s="112" t="n">
        <f aca="true">IFERROR(SUMPRODUCT(OFFSET($BJ$31,0,1-MIN(60,COLUMN()-29),1,MIN(60,COLUMN()-29)),OFFSET(AI109,0,-MIN(60,COLUMN()-29),1,MIN(60,COLUMN()-29))),0)</f>
        <v>0</v>
      </c>
      <c r="AJ110" s="112" t="n">
        <f aca="true">IFERROR(SUMPRODUCT(OFFSET($BJ$31,0,1-MIN(60,COLUMN()-29),1,MIN(60,COLUMN()-29)),OFFSET(AJ109,0,-MIN(60,COLUMN()-29),1,MIN(60,COLUMN()-29))),0)</f>
        <v>0</v>
      </c>
      <c r="AK110" s="112" t="n">
        <f aca="true">IFERROR(SUMPRODUCT(OFFSET($BJ$31,0,1-MIN(60,COLUMN()-29),1,MIN(60,COLUMN()-29)),OFFSET(AK109,0,-MIN(60,COLUMN()-29),1,MIN(60,COLUMN()-29))),0)</f>
        <v>0</v>
      </c>
      <c r="AL110" s="112" t="n">
        <f aca="true">IFERROR(SUMPRODUCT(OFFSET($BJ$31,0,1-MIN(60,COLUMN()-29),1,MIN(60,COLUMN()-29)),OFFSET(AL109,0,-MIN(60,COLUMN()-29),1,MIN(60,COLUMN()-29))),0)</f>
        <v>0</v>
      </c>
      <c r="AM110" s="112" t="n">
        <f aca="true">IFERROR(SUMPRODUCT(OFFSET($BJ$31,0,1-MIN(60,COLUMN()-29),1,MIN(60,COLUMN()-29)),OFFSET(AM109,0,-MIN(60,COLUMN()-29),1,MIN(60,COLUMN()-29))),0)</f>
        <v>0</v>
      </c>
      <c r="AN110" s="112" t="n">
        <f aca="true">IFERROR(SUMPRODUCT(OFFSET($BJ$31,0,1-MIN(60,COLUMN()-29),1,MIN(60,COLUMN()-29)),OFFSET(AN109,0,-MIN(60,COLUMN()-29),1,MIN(60,COLUMN()-29))),0)</f>
        <v>0</v>
      </c>
      <c r="AO110" s="112" t="n">
        <f aca="true">IFERROR(SUMPRODUCT(OFFSET($BJ$31,0,1-MIN(60,COLUMN()-29),1,MIN(60,COLUMN()-29)),OFFSET(AO109,0,-MIN(60,COLUMN()-29),1,MIN(60,COLUMN()-29))),0)</f>
        <v>0</v>
      </c>
      <c r="AP110" s="112" t="n">
        <f aca="true">IFERROR(SUMPRODUCT(OFFSET($BJ$31,0,1-MIN(60,COLUMN()-29),1,MIN(60,COLUMN()-29)),OFFSET(AP109,0,-MIN(60,COLUMN()-29),1,MIN(60,COLUMN()-29))),0)</f>
        <v>0</v>
      </c>
      <c r="AQ110" s="112" t="n">
        <f aca="true">IFERROR(SUMPRODUCT(OFFSET($BJ$31,0,1-MIN(60,COLUMN()-29),1,MIN(60,COLUMN()-29)),OFFSET(AQ109,0,-MIN(60,COLUMN()-29),1,MIN(60,COLUMN()-29))),0)</f>
        <v>0</v>
      </c>
      <c r="AR110" s="112" t="n">
        <f aca="true">IFERROR(SUMPRODUCT(OFFSET($BJ$31,0,1-MIN(60,COLUMN()-29),1,MIN(60,COLUMN()-29)),OFFSET(AR109,0,-MIN(60,COLUMN()-29),1,MIN(60,COLUMN()-29))),0)</f>
        <v>0</v>
      </c>
      <c r="AS110" s="112" t="n">
        <f aca="true">IFERROR(SUMPRODUCT(OFFSET($BJ$31,0,1-MIN(60,COLUMN()-29),1,MIN(60,COLUMN()-29)),OFFSET(AS109,0,-MIN(60,COLUMN()-29),1,MIN(60,COLUMN()-29))),0)</f>
        <v>0</v>
      </c>
      <c r="AT110" s="112" t="n">
        <f aca="true">IFERROR(SUMPRODUCT(OFFSET($BJ$31,0,1-MIN(60,COLUMN()-29),1,MIN(60,COLUMN()-29)),OFFSET(AT109,0,-MIN(60,COLUMN()-29),1,MIN(60,COLUMN()-29))),0)</f>
        <v>0</v>
      </c>
      <c r="AU110" s="112" t="n">
        <f aca="true">IFERROR(SUMPRODUCT(OFFSET($BJ$31,0,1-MIN(60,COLUMN()-29),1,MIN(60,COLUMN()-29)),OFFSET(AU109,0,-MIN(60,COLUMN()-29),1,MIN(60,COLUMN()-29))),0)</f>
        <v>0</v>
      </c>
      <c r="AV110" s="112" t="n">
        <f aca="true">IFERROR(SUMPRODUCT(OFFSET($BJ$31,0,1-MIN(60,COLUMN()-29),1,MIN(60,COLUMN()-29)),OFFSET(AV109,0,-MIN(60,COLUMN()-29),1,MIN(60,COLUMN()-29))),0)</f>
        <v>0</v>
      </c>
      <c r="AW110" s="112" t="n">
        <f aca="true">IFERROR(SUMPRODUCT(OFFSET($BJ$31,0,1-MIN(60,COLUMN()-29),1,MIN(60,COLUMN()-29)),OFFSET(AW109,0,-MIN(60,COLUMN()-29),1,MIN(60,COLUMN()-29))),0)</f>
        <v>0</v>
      </c>
      <c r="AX110" s="112" t="n">
        <f aca="true">IFERROR(SUMPRODUCT(OFFSET($BJ$31,0,1-MIN(60,COLUMN()-29),1,MIN(60,COLUMN()-29)),OFFSET(AX109,0,-MIN(60,COLUMN()-29),1,MIN(60,COLUMN()-29))),0)</f>
        <v>0</v>
      </c>
      <c r="AY110" s="112" t="n">
        <f aca="true">IFERROR(SUMPRODUCT(OFFSET($BJ$31,0,1-MIN(60,COLUMN()-29),1,MIN(60,COLUMN()-29)),OFFSET(AY109,0,-MIN(60,COLUMN()-29),1,MIN(60,COLUMN()-29))),0)</f>
        <v>0</v>
      </c>
      <c r="AZ110" s="112" t="n">
        <f aca="true">IFERROR(SUMPRODUCT(OFFSET($BJ$31,0,1-MIN(60,COLUMN()-29),1,MIN(60,COLUMN()-29)),OFFSET(AZ109,0,-MIN(60,COLUMN()-29),1,MIN(60,COLUMN()-29))),0)</f>
        <v>0</v>
      </c>
      <c r="BA110" s="112" t="n">
        <f aca="true">IFERROR(SUMPRODUCT(OFFSET($BJ$31,0,1-MIN(60,COLUMN()-29),1,MIN(60,COLUMN()-29)),OFFSET(BA109,0,-MIN(60,COLUMN()-29),1,MIN(60,COLUMN()-29))),0)</f>
        <v>0</v>
      </c>
      <c r="BB110" s="112" t="n">
        <f aca="true">IFERROR(SUMPRODUCT(OFFSET($BJ$31,0,1-MIN(60,COLUMN()-29),1,MIN(60,COLUMN()-29)),OFFSET(BB109,0,-MIN(60,COLUMN()-29),1,MIN(60,COLUMN()-29))),0)</f>
        <v>0</v>
      </c>
      <c r="BC110" s="112" t="n">
        <f aca="true">IFERROR(SUMPRODUCT(OFFSET($BJ$31,0,1-MIN(60,COLUMN()-29),1,MIN(60,COLUMN()-29)),OFFSET(BC109,0,-MIN(60,COLUMN()-29),1,MIN(60,COLUMN()-29))),0)</f>
        <v>0</v>
      </c>
      <c r="BD110" s="112" t="n">
        <f aca="true">IFERROR(SUMPRODUCT(OFFSET($BJ$31,0,1-MIN(60,COLUMN()-29),1,MIN(60,COLUMN()-29)),OFFSET(BD109,0,-MIN(60,COLUMN()-29),1,MIN(60,COLUMN()-29))),0)</f>
        <v>0</v>
      </c>
      <c r="BE110" s="112" t="n">
        <f aca="true">IFERROR(SUMPRODUCT(OFFSET($BJ$31,0,1-MIN(60,COLUMN()-29),1,MIN(60,COLUMN()-29)),OFFSET(BE109,0,-MIN(60,COLUMN()-29),1,MIN(60,COLUMN()-29))),0)</f>
        <v>5.9136</v>
      </c>
      <c r="BF110" s="112" t="n">
        <f aca="true">IFERROR(SUMPRODUCT(OFFSET($BJ$31,0,1-MIN(60,COLUMN()-29),1,MIN(60,COLUMN()-29)),OFFSET(BF109,0,-MIN(60,COLUMN()-29),1,MIN(60,COLUMN()-29))),0)</f>
        <v>6.253632</v>
      </c>
      <c r="BG110" s="112" t="n">
        <f aca="true">IFERROR(SUMPRODUCT(OFFSET($BJ$31,0,1-MIN(60,COLUMN()-29),1,MIN(60,COLUMN()-29)),OFFSET(BG109,0,-MIN(60,COLUMN()-29),1,MIN(60,COLUMN()-29))),0)</f>
        <v>6.9439104</v>
      </c>
      <c r="BH110" s="112" t="n">
        <f aca="true">IFERROR(SUMPRODUCT(OFFSET($BJ$31,0,1-MIN(60,COLUMN()-29),1,MIN(60,COLUMN()-29)),OFFSET(BH109,0,-MIN(60,COLUMN()-29),1,MIN(60,COLUMN()-29))),0)</f>
        <v>8.3494656</v>
      </c>
      <c r="BI110" s="112" t="n">
        <f aca="true">IFERROR(SUMPRODUCT(OFFSET($BJ$31,0,1-MIN(60,COLUMN()-29),1,MIN(60,COLUMN()-29)),OFFSET(BI109,0,-MIN(60,COLUMN()-29),1,MIN(60,COLUMN()-29))),0)</f>
        <v>13.034784</v>
      </c>
      <c r="BJ110" s="112" t="n">
        <f aca="true">IFERROR(SUMPRODUCT(OFFSET($BJ$31,0,1-MIN(60,COLUMN()-29),1,MIN(60,COLUMN()-29)),OFFSET(BJ109,0,-MIN(60,COLUMN()-29),1,MIN(60,COLUMN()-29))),0)</f>
        <v>13.295856</v>
      </c>
      <c r="BK110" s="112" t="n">
        <f aca="true">IFERROR(SUMPRODUCT(OFFSET($BJ$31,0,1-MIN(60,COLUMN()-29),1,MIN(60,COLUMN()-29)),OFFSET(BK109,0,-MIN(60,COLUMN()-29),1,MIN(60,COLUMN()-29))),0)</f>
        <v>14.1042048</v>
      </c>
      <c r="BL110" s="112" t="n">
        <f aca="true">IFERROR(SUMPRODUCT(OFFSET($BJ$31,0,1-MIN(60,COLUMN()-29),1,MIN(60,COLUMN()-29)),OFFSET(BL109,0,-MIN(60,COLUMN()-29),1,MIN(60,COLUMN()-29))),0)</f>
        <v>13.0644864</v>
      </c>
      <c r="BM110" s="112" t="n">
        <f aca="true">IFERROR(SUMPRODUCT(OFFSET($BJ$31,0,1-MIN(60,COLUMN()-29),1,MIN(60,COLUMN()-29)),OFFSET(BM109,0,-MIN(60,COLUMN()-29),1,MIN(60,COLUMN()-29))),0)</f>
        <v>17.9429376</v>
      </c>
      <c r="BN110" s="112" t="n">
        <f aca="true">IFERROR(SUMPRODUCT(OFFSET($BJ$31,0,1-MIN(60,COLUMN()-29),1,MIN(60,COLUMN()-29)),OFFSET(BN109,0,-MIN(60,COLUMN()-29),1,MIN(60,COLUMN()-29))),0)</f>
        <v>19.9443552</v>
      </c>
      <c r="BO110" s="112" t="n">
        <f aca="true">IFERROR(SUMPRODUCT(OFFSET($BJ$31,0,1-MIN(60,COLUMN()-29),1,MIN(60,COLUMN()-29)),OFFSET(BO109,0,-MIN(60,COLUMN()-29),1,MIN(60,COLUMN()-29))),0)</f>
        <v>19.0419264</v>
      </c>
      <c r="BP110" s="112" t="n">
        <f aca="true">IFERROR(SUMPRODUCT(OFFSET($BJ$31,0,1-MIN(60,COLUMN()-29),1,MIN(60,COLUMN()-29)),OFFSET(BP109,0,-MIN(60,COLUMN()-29),1,MIN(60,COLUMN()-29))),0)</f>
        <v>26.1694944</v>
      </c>
      <c r="BQ110" s="112" t="n">
        <f aca="true">IFERROR(SUMPRODUCT(OFFSET($BJ$31,0,1-MIN(60,COLUMN()-29),1,MIN(60,COLUMN()-29)),OFFSET(BQ109,0,-MIN(60,COLUMN()-29),1,MIN(60,COLUMN()-29))),0)</f>
        <v>29.1181632</v>
      </c>
      <c r="BR110" s="112" t="n">
        <f aca="true">IFERROR(SUMPRODUCT(OFFSET($BJ$31,0,1-MIN(60,COLUMN()-29),1,MIN(60,COLUMN()-29)),OFFSET(BR109,0,-MIN(60,COLUMN()-29),1,MIN(60,COLUMN()-29))),0)</f>
        <v>29.1072096</v>
      </c>
      <c r="BS110" s="112" t="n">
        <f aca="true">IFERROR(SUMPRODUCT(OFFSET($BJ$31,0,1-MIN(60,COLUMN()-29),1,MIN(60,COLUMN()-29)),OFFSET(BS109,0,-MIN(60,COLUMN()-29),1,MIN(60,COLUMN()-29))),0)</f>
        <v>28.497504</v>
      </c>
      <c r="BT110" s="112" t="n">
        <f aca="true">IFERROR(SUMPRODUCT(OFFSET($BJ$31,0,1-MIN(60,COLUMN()-29),1,MIN(60,COLUMN()-29)),OFFSET(BT109,0,-MIN(60,COLUMN()-29),1,MIN(60,COLUMN()-29))),0)</f>
        <v>33.9715488</v>
      </c>
      <c r="BU110" s="112" t="n">
        <f aca="true">IFERROR(SUMPRODUCT(OFFSET($BJ$31,0,1-MIN(60,COLUMN()-29),1,MIN(60,COLUMN()-29)),OFFSET(BU109,0,-MIN(60,COLUMN()-29),1,MIN(60,COLUMN()-29))),0)</f>
        <v>49.71037344</v>
      </c>
      <c r="BV110" s="112" t="n">
        <f aca="true">IFERROR(SUMPRODUCT(OFFSET($BJ$31,0,1-MIN(60,COLUMN()-29),1,MIN(60,COLUMN()-29)),OFFSET(BV109,0,-MIN(60,COLUMN()-29),1,MIN(60,COLUMN()-29))),0)</f>
        <v>50.1576096</v>
      </c>
      <c r="BW110" s="112" t="n">
        <f aca="true">IFERROR(SUMPRODUCT(OFFSET($BJ$31,0,1-MIN(60,COLUMN()-29),1,MIN(60,COLUMN()-29)),OFFSET(BW109,0,-MIN(60,COLUMN()-29),1,MIN(60,COLUMN()-29))),0)</f>
        <v>49.59573696</v>
      </c>
      <c r="BX110" s="112" t="n">
        <f aca="true">IFERROR(SUMPRODUCT(OFFSET($BJ$31,0,1-MIN(60,COLUMN()-29),1,MIN(60,COLUMN()-29)),OFFSET(BX109,0,-MIN(60,COLUMN()-29),1,MIN(60,COLUMN()-29))),0)</f>
        <v>46.3962408</v>
      </c>
      <c r="BY110" s="112" t="n">
        <f aca="true">IFERROR(SUMPRODUCT(OFFSET($BJ$31,0,1-MIN(60,COLUMN()-29),1,MIN(60,COLUMN()-29)),OFFSET(BY109,0,-MIN(60,COLUMN()-29),1,MIN(60,COLUMN()-29))),0)</f>
        <v>57.17414472</v>
      </c>
      <c r="BZ110" s="112" t="n">
        <f aca="true">IFERROR(SUMPRODUCT(OFFSET($BJ$31,0,1-MIN(60,COLUMN()-29),1,MIN(60,COLUMN()-29)),OFFSET(BZ109,0,-MIN(60,COLUMN()-29),1,MIN(60,COLUMN()-29))),0)</f>
        <v>61.81872984</v>
      </c>
      <c r="CA110" s="112" t="n">
        <f aca="true">IFERROR(SUMPRODUCT(OFFSET($BJ$31,0,1-MIN(60,COLUMN()-29),1,MIN(60,COLUMN()-29)),OFFSET(CA109,0,-MIN(60,COLUMN()-29),1,MIN(60,COLUMN()-29))),0)</f>
        <v>61.12409688</v>
      </c>
      <c r="CB110" s="112" t="n">
        <f aca="true">IFERROR(SUMPRODUCT(OFFSET($BJ$31,0,1-MIN(60,COLUMN()-29),1,MIN(60,COLUMN()-29)),OFFSET(CB109,0,-MIN(60,COLUMN()-29),1,MIN(60,COLUMN()-29))),0)</f>
        <v>73.5449484</v>
      </c>
      <c r="CC110" s="112" t="n">
        <f aca="true">IFERROR(SUMPRODUCT(OFFSET($BJ$31,0,1-MIN(60,COLUMN()-29),1,MIN(60,COLUMN()-29)),OFFSET(CC109,0,-MIN(60,COLUMN()-29),1,MIN(60,COLUMN()-29))),0)</f>
        <v>76.55391576</v>
      </c>
      <c r="CD110" s="112" t="n">
        <f aca="true">IFERROR(SUMPRODUCT(OFFSET($BJ$31,0,1-MIN(60,COLUMN()-29),1,MIN(60,COLUMN()-29)),OFFSET(CD109,0,-MIN(60,COLUMN()-29),1,MIN(60,COLUMN()-29))),0)</f>
        <v>76.71442968</v>
      </c>
      <c r="CE110" s="112" t="n">
        <f aca="true">IFERROR(SUMPRODUCT(OFFSET($BJ$31,0,1-MIN(60,COLUMN()-29),1,MIN(60,COLUMN()-29)),OFFSET(CE109,0,-MIN(60,COLUMN()-29),1,MIN(60,COLUMN()-29))),0)</f>
        <v>77.0278236</v>
      </c>
      <c r="CF110" s="112" t="n">
        <f aca="true">IFERROR(SUMPRODUCT(OFFSET($BJ$31,0,1-MIN(60,COLUMN()-29),1,MIN(60,COLUMN()-29)),OFFSET(CF109,0,-MIN(60,COLUMN()-29),1,MIN(60,COLUMN()-29))),0)</f>
        <v>84.70769496</v>
      </c>
      <c r="CG110" s="112" t="n">
        <f aca="true">IFERROR(SUMPRODUCT(OFFSET($BJ$31,0,1-MIN(60,COLUMN()-29),1,MIN(60,COLUMN()-29)),OFFSET(CG109,0,-MIN(60,COLUMN()-29),1,MIN(60,COLUMN()-29))),0)</f>
        <v>106.09480728</v>
      </c>
      <c r="CH110" s="112" t="n">
        <f aca="true">IFERROR(SUMPRODUCT(OFFSET($BJ$31,0,1-MIN(60,COLUMN()-29),1,MIN(60,COLUMN()-29)),OFFSET(CH109,0,-MIN(60,COLUMN()-29),1,MIN(60,COLUMN()-29))),0)</f>
        <v>105.59746008</v>
      </c>
      <c r="CI110" s="112" t="n">
        <f aca="true">IFERROR(SUMPRODUCT(OFFSET($BJ$31,0,1-MIN(60,COLUMN()-29),1,MIN(60,COLUMN()-29)),OFFSET(CI109,0,-MIN(60,COLUMN()-29),1,MIN(60,COLUMN()-29))),0)</f>
        <v>104.04675288</v>
      </c>
      <c r="CJ110" s="112" t="n">
        <f aca="true">IFERROR(SUMPRODUCT(OFFSET($BJ$31,0,1-MIN(60,COLUMN()-29),1,MIN(60,COLUMN()-29)),OFFSET(CJ109,0,-MIN(60,COLUMN()-29),1,MIN(60,COLUMN()-29))),0)</f>
        <v>101.00188728</v>
      </c>
      <c r="CK110" s="112" t="n">
        <f aca="true">IFERROR(SUMPRODUCT(OFFSET($BJ$31,0,1-MIN(60,COLUMN()-29),1,MIN(60,COLUMN()-29)),OFFSET(CK109,0,-MIN(60,COLUMN()-29),1,MIN(60,COLUMN()-29))),0)</f>
        <v>117.54165528</v>
      </c>
      <c r="CL110" s="112" t="n">
        <f aca="true">IFERROR(SUMPRODUCT(OFFSET($BJ$31,0,1-MIN(60,COLUMN()-29),1,MIN(60,COLUMN()-29)),OFFSET(CL109,0,-MIN(60,COLUMN()-29),1,MIN(60,COLUMN()-29))),0)</f>
        <v>124.32458808</v>
      </c>
      <c r="CM110" s="112" t="n">
        <f aca="true">IFERROR(SUMPRODUCT(OFFSET($BJ$31,0,1-MIN(60,COLUMN()-29),1,MIN(60,COLUMN()-29)),OFFSET(CM109,0,-MIN(60,COLUMN()-29),1,MIN(60,COLUMN()-29))),0)</f>
        <v>124.51344696</v>
      </c>
      <c r="CN110" s="112" t="n">
        <f aca="true">IFERROR(SUMPRODUCT(OFFSET($BJ$31,0,1-MIN(60,COLUMN()-29),1,MIN(60,COLUMN()-29)),OFFSET(CN109,0,-MIN(60,COLUMN()-29),1,MIN(60,COLUMN()-29))),0)</f>
        <v>140.19756408</v>
      </c>
      <c r="CO110" s="112" t="n">
        <f aca="true">IFERROR(SUMPRODUCT(OFFSET($BJ$31,0,1-MIN(60,COLUMN()-29),1,MIN(60,COLUMN()-29)),OFFSET(CO109,0,-MIN(60,COLUMN()-29),1,MIN(60,COLUMN()-29))),0)</f>
        <v>144.62027496</v>
      </c>
      <c r="CP110" s="112" t="n">
        <f aca="true">IFERROR(SUMPRODUCT(OFFSET($BJ$31,0,1-MIN(60,COLUMN()-29),1,MIN(60,COLUMN()-29)),OFFSET(CP109,0,-MIN(60,COLUMN()-29),1,MIN(60,COLUMN()-29))),0)</f>
        <v>146.25635976</v>
      </c>
      <c r="CQ110" s="112" t="n">
        <f aca="true">IFERROR(SUMPRODUCT(OFFSET($BJ$31,0,1-MIN(60,COLUMN()-29),1,MIN(60,COLUMN()-29)),OFFSET(CQ109,0,-MIN(60,COLUMN()-29),1,MIN(60,COLUMN()-29))),0)</f>
        <v>146.78131608</v>
      </c>
      <c r="CR110" s="112" t="n">
        <f aca="true">IFERROR(SUMPRODUCT(OFFSET($BJ$31,0,1-MIN(60,COLUMN()-29),1,MIN(60,COLUMN()-29)),OFFSET(CR109,0,-MIN(60,COLUMN()-29),1,MIN(60,COLUMN()-29))),0)</f>
        <v>156.22589304</v>
      </c>
      <c r="CS110" s="112" t="n">
        <f aca="true">IFERROR(SUMPRODUCT(OFFSET($BJ$31,0,1-MIN(60,COLUMN()-29),1,MIN(60,COLUMN()-29)),OFFSET(CS109,0,-MIN(60,COLUMN()-29),1,MIN(60,COLUMN()-29))),0)</f>
        <v>182.10668616</v>
      </c>
      <c r="CT110" s="112" t="n">
        <f aca="true">IFERROR(SUMPRODUCT(OFFSET($BJ$31,0,1-MIN(60,COLUMN()-29),1,MIN(60,COLUMN()-29)),OFFSET(CT109,0,-MIN(60,COLUMN()-29),1,MIN(60,COLUMN()-29))),0)</f>
        <v>182.40376392</v>
      </c>
      <c r="CU110" s="112" t="n">
        <f aca="true">IFERROR(SUMPRODUCT(OFFSET($BJ$31,0,1-MIN(60,COLUMN()-29),1,MIN(60,COLUMN()-29)),OFFSET(CU109,0,-MIN(60,COLUMN()-29),1,MIN(60,COLUMN()-29))),0)</f>
        <v>181.44487368</v>
      </c>
      <c r="CV110" s="112" t="n">
        <f aca="true">IFERROR(SUMPRODUCT(OFFSET($BJ$31,0,1-MIN(60,COLUMN()-29),1,MIN(60,COLUMN()-29)),OFFSET(CV109,0,-MIN(60,COLUMN()-29),1,MIN(60,COLUMN()-29))),0)</f>
        <v>178.11968328</v>
      </c>
      <c r="CW110" s="112" t="n">
        <f aca="true">IFERROR(SUMPRODUCT(OFFSET($BJ$31,0,1-MIN(60,COLUMN()-29),1,MIN(60,COLUMN()-29)),OFFSET(CW109,0,-MIN(60,COLUMN()-29),1,MIN(60,COLUMN()-29))),0)</f>
        <v>197.31910968</v>
      </c>
      <c r="CX110" s="112" t="n">
        <f aca="true">IFERROR(SUMPRODUCT(OFFSET($BJ$31,0,1-MIN(60,COLUMN()-29),1,MIN(60,COLUMN()-29)),OFFSET(CX109,0,-MIN(60,COLUMN()-29),1,MIN(60,COLUMN()-29))),0)</f>
        <v>204.69442392</v>
      </c>
      <c r="CY110" s="112" t="n">
        <f aca="true">IFERROR(SUMPRODUCT(OFFSET($BJ$31,0,1-MIN(60,COLUMN()-29),1,MIN(60,COLUMN()-29)),OFFSET(CY109,0,-MIN(60,COLUMN()-29),1,MIN(60,COLUMN()-29))),0)</f>
        <v>205.03907928</v>
      </c>
      <c r="CZ110" s="112" t="n">
        <f aca="true">IFERROR(SUMPRODUCT(OFFSET($BJ$31,0,1-MIN(60,COLUMN()-29),1,MIN(60,COLUMN()-29)),OFFSET(CZ109,0,-MIN(60,COLUMN()-29),1,MIN(60,COLUMN()-29))),0)</f>
        <v>221.99170392</v>
      </c>
      <c r="DA110" s="112" t="n">
        <f aca="true">IFERROR(SUMPRODUCT(OFFSET($BJ$31,0,1-MIN(60,COLUMN()-29),1,MIN(60,COLUMN()-29)),OFFSET(DA109,0,-MIN(60,COLUMN()-29),1,MIN(60,COLUMN()-29))),0)</f>
        <v>226.13477544</v>
      </c>
      <c r="DB110" s="112" t="n">
        <f aca="true">IFERROR(SUMPRODUCT(OFFSET($BJ$31,0,1-MIN(60,COLUMN()-29),1,MIN(60,COLUMN()-29)),OFFSET(DB109,0,-MIN(60,COLUMN()-29),1,MIN(60,COLUMN()-29))),0)</f>
        <v>227.28988296</v>
      </c>
      <c r="DC110" s="112" t="n">
        <f aca="true">IFERROR(SUMPRODUCT(OFFSET($BJ$31,0,1-MIN(60,COLUMN()-29),1,MIN(60,COLUMN()-29)),OFFSET(DC109,0,-MIN(60,COLUMN()-29),1,MIN(60,COLUMN()-29))),0)</f>
        <v>226.9886724</v>
      </c>
      <c r="DD110" s="112" t="n">
        <f aca="true">IFERROR(SUMPRODUCT(OFFSET($BJ$31,0,1-MIN(60,COLUMN()-29),1,MIN(60,COLUMN()-29)),OFFSET(DD109,0,-MIN(60,COLUMN()-29),1,MIN(60,COLUMN()-29))),0)</f>
        <v>236.74116312</v>
      </c>
      <c r="DE110" s="112" t="n">
        <f aca="true">IFERROR(SUMPRODUCT(OFFSET($BJ$31,0,1-MIN(60,COLUMN()-29),1,MIN(60,COLUMN()-29)),OFFSET(DE109,0,-MIN(60,COLUMN()-29),1,MIN(60,COLUMN()-29))),0)</f>
        <v>262.56737808</v>
      </c>
      <c r="DF110" s="112" t="n">
        <f aca="true">IFERROR(SUMPRODUCT(OFFSET($BJ$31,0,1-MIN(60,COLUMN()-29),1,MIN(60,COLUMN()-29)),OFFSET(DF109,0,-MIN(60,COLUMN()-29),1,MIN(60,COLUMN()-29))),0)</f>
        <v>261.82400832</v>
      </c>
      <c r="DG110" s="112" t="n">
        <f aca="true">IFERROR(SUMPRODUCT(OFFSET($BJ$31,0,1-MIN(60,COLUMN()-29),1,MIN(60,COLUMN()-29)),OFFSET(DG109,0,-MIN(60,COLUMN()-29),1,MIN(60,COLUMN()-29))),0)</f>
        <v>259.53544512</v>
      </c>
      <c r="DH110" s="112" t="n">
        <f aca="true">IFERROR(SUMPRODUCT(OFFSET($BJ$31,0,1-MIN(60,COLUMN()-29),1,MIN(60,COLUMN()-29)),OFFSET(DH109,0,-MIN(60,COLUMN()-29),1,MIN(60,COLUMN()-29))),0)</f>
        <v>255.18439296</v>
      </c>
      <c r="DI110" s="112" t="n">
        <f aca="true">IFERROR(SUMPRODUCT(OFFSET($BJ$31,0,1-MIN(60,COLUMN()-29),1,MIN(60,COLUMN()-29)),OFFSET(DI109,0,-MIN(60,COLUMN()-29),1,MIN(60,COLUMN()-29))),0)</f>
        <v>273.93435216</v>
      </c>
      <c r="DJ110" s="112" t="n">
        <f aca="true">IFERROR(SUMPRODUCT(OFFSET($BJ$31,0,1-MIN(60,COLUMN()-29),1,MIN(60,COLUMN()-29)),OFFSET(DJ109,0,-MIN(60,COLUMN()-29),1,MIN(60,COLUMN()-29))),0)</f>
        <v>280.35789264</v>
      </c>
      <c r="DK110" s="112" t="n">
        <f aca="true">IFERROR(SUMPRODUCT(OFFSET($BJ$31,0,1-MIN(60,COLUMN()-29),1,MIN(60,COLUMN()-29)),OFFSET(DK109,0,-MIN(60,COLUMN()-29),1,MIN(60,COLUMN()-29))),0)</f>
        <v>279.98557776</v>
      </c>
      <c r="DL110" s="112" t="n">
        <f aca="true">IFERROR(SUMPRODUCT(OFFSET($BJ$31,0,1-MIN(60,COLUMN()-29),1,MIN(60,COLUMN()-29)),OFFSET(DL109,0,-MIN(60,COLUMN()-29),1,MIN(60,COLUMN()-29))),0)</f>
        <v>295.43519376</v>
      </c>
      <c r="DM110" s="112" t="n">
        <f aca="true">IFERROR(SUMPRODUCT(OFFSET($BJ$31,0,1-MIN(60,COLUMN()-29),1,MIN(60,COLUMN()-29)),OFFSET(DM109,0,-MIN(60,COLUMN()-29),1,MIN(60,COLUMN()-29))),0)</f>
        <v>298.06405776</v>
      </c>
      <c r="DN110" s="112" t="n">
        <f aca="true">IFERROR(SUMPRODUCT(OFFSET($BJ$31,0,1-MIN(60,COLUMN()-29),1,MIN(60,COLUMN()-29)),OFFSET(DN109,0,-MIN(60,COLUMN()-29),1,MIN(60,COLUMN()-29))),0)</f>
        <v>297.84411216</v>
      </c>
      <c r="DO110" s="112" t="n">
        <f aca="true">IFERROR(SUMPRODUCT(OFFSET($BJ$31,0,1-MIN(60,COLUMN()-29),1,MIN(60,COLUMN()-29)),OFFSET(DO109,0,-MIN(60,COLUMN()-29),1,MIN(60,COLUMN()-29))),0)</f>
        <v>296.32707216</v>
      </c>
      <c r="DP110" s="112" t="n">
        <f aca="true">IFERROR(SUMPRODUCT(OFFSET($BJ$31,0,1-MIN(60,COLUMN()-29),1,MIN(60,COLUMN()-29)),OFFSET(DP109,0,-MIN(60,COLUMN()-29),1,MIN(60,COLUMN()-29))),0)</f>
        <v>304.58168496</v>
      </c>
      <c r="DQ110" s="112" t="n">
        <f aca="true">IFERROR(SUMPRODUCT(OFFSET($BJ$31,0,1-MIN(60,COLUMN()-29),1,MIN(60,COLUMN()-29)),OFFSET(DQ109,0,-MIN(60,COLUMN()-29),1,MIN(60,COLUMN()-29))),0)</f>
        <v>327.22166736</v>
      </c>
      <c r="DR110" s="112" t="n">
        <f aca="true">IFERROR(SUMPRODUCT(OFFSET($BJ$31,0,1-MIN(60,COLUMN()-29),1,MIN(60,COLUMN()-29)),OFFSET(DR109,0,-MIN(60,COLUMN()-29),1,MIN(60,COLUMN()-29))),0)</f>
        <v>323.61070896</v>
      </c>
      <c r="DS110" s="112" t="n">
        <f aca="true">IFERROR(SUMPRODUCT(OFFSET($BJ$31,0,1-MIN(60,COLUMN()-29),1,MIN(60,COLUMN()-29)),OFFSET(DS109,0,-MIN(60,COLUMN()-29),1,MIN(60,COLUMN()-29))),0)</f>
        <v>318.84891696</v>
      </c>
      <c r="DT110" s="112" t="n">
        <f aca="true">IFERROR(SUMPRODUCT(OFFSET($BJ$31,0,1-MIN(60,COLUMN()-29),1,MIN(60,COLUMN()-29)),OFFSET(DT109,0,-MIN(60,COLUMN()-29),1,MIN(60,COLUMN()-29))),0)</f>
        <v>312.73499376</v>
      </c>
      <c r="DU110" s="112" t="n">
        <f aca="true">IFERROR(SUMPRODUCT(OFFSET($BJ$31,0,1-MIN(60,COLUMN()-29),1,MIN(60,COLUMN()-29)),OFFSET(DU109,0,-MIN(60,COLUMN()-29),1,MIN(60,COLUMN()-29))),0)</f>
        <v>328.93793856</v>
      </c>
      <c r="DV110" s="112" t="n">
        <f aca="true">IFERROR(SUMPRODUCT(OFFSET($BJ$31,0,1-MIN(60,COLUMN()-29),1,MIN(60,COLUMN()-29)),OFFSET(DV109,0,-MIN(60,COLUMN()-29),1,MIN(60,COLUMN()-29))),0)</f>
        <v>332.47692576</v>
      </c>
      <c r="DW110" s="112" t="n">
        <f aca="true">IFERROR(SUMPRODUCT(OFFSET($BJ$31,0,1-MIN(60,COLUMN()-29),1,MIN(60,COLUMN()-29)),OFFSET(DW109,0,-MIN(60,COLUMN()-29),1,MIN(60,COLUMN()-29))),0)</f>
        <v>329.81928336</v>
      </c>
      <c r="DX110" s="112" t="n">
        <f aca="true">IFERROR(SUMPRODUCT(OFFSET($BJ$31,0,1-MIN(60,COLUMN()-29),1,MIN(60,COLUMN()-29)),OFFSET(DX109,0,-MIN(60,COLUMN()-29),1,MIN(60,COLUMN()-29))),0)</f>
        <v>341.88091056</v>
      </c>
      <c r="DY110" s="112" t="n">
        <f aca="true">IFERROR(SUMPRODUCT(OFFSET($BJ$31,0,1-MIN(60,COLUMN()-29),1,MIN(60,COLUMN()-29)),OFFSET(DY109,0,-MIN(60,COLUMN()-29),1,MIN(60,COLUMN()-29))),0)</f>
        <v>341.96785056</v>
      </c>
      <c r="DZ110" s="112" t="n">
        <f aca="true">IFERROR(SUMPRODUCT(OFFSET($BJ$31,0,1-MIN(60,COLUMN()-29),1,MIN(60,COLUMN()-29)),OFFSET(DZ109,0,-MIN(60,COLUMN()-29),1,MIN(60,COLUMN()-29))),0)</f>
        <v>339.64743456</v>
      </c>
      <c r="EA110" s="112" t="n">
        <f aca="true">IFERROR(SUMPRODUCT(OFFSET($BJ$31,0,1-MIN(60,COLUMN()-29),1,MIN(60,COLUMN()-29)),OFFSET(EA109,0,-MIN(60,COLUMN()-29),1,MIN(60,COLUMN()-29))),0)</f>
        <v>336.29180256</v>
      </c>
      <c r="EB110" s="112" t="n">
        <f aca="true">IFERROR(SUMPRODUCT(OFFSET($BJ$31,0,1-MIN(60,COLUMN()-29),1,MIN(60,COLUMN()-29)),OFFSET(EB109,0,-MIN(60,COLUMN()-29),1,MIN(60,COLUMN()-29))),0)</f>
        <v>342.6451056</v>
      </c>
      <c r="EC110" s="112" t="n">
        <f aca="true">IFERROR(SUMPRODUCT(OFFSET($BJ$31,0,1-MIN(60,COLUMN()-29),1,MIN(60,COLUMN()-29)),OFFSET(EC109,0,-MIN(60,COLUMN()-29),1,MIN(60,COLUMN()-29))),0)</f>
        <v>362.02373424</v>
      </c>
      <c r="ED110" s="112" t="n">
        <f aca="true">IFERROR(SUMPRODUCT(OFFSET($BJ$31,0,1-MIN(60,COLUMN()-29),1,MIN(60,COLUMN()-29)),OFFSET(ED109,0,-MIN(60,COLUMN()-29),1,MIN(60,COLUMN()-29))),0)</f>
        <v>355.89414672</v>
      </c>
      <c r="EE110" s="112" t="n">
        <f aca="true">IFERROR(SUMPRODUCT(OFFSET($BJ$31,0,1-MIN(60,COLUMN()-29),1,MIN(60,COLUMN()-29)),OFFSET(EE109,0,-MIN(60,COLUMN()-29),1,MIN(60,COLUMN()-29))),0)</f>
        <v>349.13070864</v>
      </c>
      <c r="EF110" s="112" t="n">
        <f aca="true">IFERROR(SUMPRODUCT(OFFSET($BJ$31,0,1-MIN(60,COLUMN()-29),1,MIN(60,COLUMN()-29)),OFFSET(EF109,0,-MIN(60,COLUMN()-29),1,MIN(60,COLUMN()-29))),0)</f>
        <v>341.54821008</v>
      </c>
      <c r="EG110" s="112" t="n">
        <f aca="true">IFERROR(SUMPRODUCT(OFFSET($BJ$31,0,1-MIN(60,COLUMN()-29),1,MIN(60,COLUMN()-29)),OFFSET(EG109,0,-MIN(60,COLUMN()-29),1,MIN(60,COLUMN()-29))),0)</f>
        <v>355.7894256</v>
      </c>
      <c r="EH110" s="112" t="n">
        <f aca="true">IFERROR(SUMPRODUCT(OFFSET($BJ$31,0,1-MIN(60,COLUMN()-29),1,MIN(60,COLUMN()-29)),OFFSET(EH109,0,-MIN(60,COLUMN()-29),1,MIN(60,COLUMN()-29))),0)</f>
        <v>357.2137296</v>
      </c>
      <c r="EI110" s="112" t="n">
        <f aca="true">IFERROR(SUMPRODUCT(OFFSET($BJ$31,0,1-MIN(60,COLUMN()-29),1,MIN(60,COLUMN()-29)),OFFSET(EI109,0,-MIN(60,COLUMN()-29),1,MIN(60,COLUMN()-29))),0)</f>
        <v>353.05216128</v>
      </c>
      <c r="EJ110" s="112" t="n">
        <f aca="true">IFERROR(SUMPRODUCT(OFFSET($BJ$31,0,1-MIN(60,COLUMN()-29),1,MIN(60,COLUMN()-29)),OFFSET(EJ109,0,-MIN(60,COLUMN()-29),1,MIN(60,COLUMN()-29))),0)</f>
        <v>363.04240896</v>
      </c>
      <c r="EK110" s="112" t="n">
        <f aca="true">IFERROR(SUMPRODUCT(OFFSET($BJ$31,0,1-MIN(60,COLUMN()-29),1,MIN(60,COLUMN()-29)),OFFSET(EK109,0,-MIN(60,COLUMN()-29),1,MIN(60,COLUMN()-29))),0)</f>
        <v>361.25658576</v>
      </c>
      <c r="EL110" s="112" t="n">
        <f aca="true">IFERROR(SUMPRODUCT(OFFSET($BJ$31,0,1-MIN(60,COLUMN()-29),1,MIN(60,COLUMN()-29)),OFFSET(EL109,0,-MIN(60,COLUMN()-29),1,MIN(60,COLUMN()-29))),0)</f>
        <v>357.44775696</v>
      </c>
      <c r="EM110" s="112" t="n">
        <f aca="true">IFERROR(SUMPRODUCT(OFFSET($BJ$31,0,1-MIN(60,COLUMN()-29),1,MIN(60,COLUMN()-29)),OFFSET(EM109,0,-MIN(60,COLUMN()-29),1,MIN(60,COLUMN()-29))),0)</f>
        <v>352.77003216</v>
      </c>
      <c r="EN110" s="112" t="n">
        <f aca="true">IFERROR(SUMPRODUCT(OFFSET($BJ$31,0,1-MIN(60,COLUMN()-29),1,MIN(60,COLUMN()-29)),OFFSET(EN109,0,-MIN(60,COLUMN()-29),1,MIN(60,COLUMN()-29))),0)</f>
        <v>358.13394288</v>
      </c>
      <c r="EO110" s="112" t="n">
        <f aca="true">IFERROR(SUMPRODUCT(OFFSET($BJ$31,0,1-MIN(60,COLUMN()-29),1,MIN(60,COLUMN()-29)),OFFSET(EO109,0,-MIN(60,COLUMN()-29),1,MIN(60,COLUMN()-29))),0)</f>
        <v>375.88940928</v>
      </c>
      <c r="EP110" s="112" t="n">
        <f aca="true">IFERROR(SUMPRODUCT(OFFSET($BJ$31,0,1-MIN(60,COLUMN()-29),1,MIN(60,COLUMN()-29)),OFFSET(EP109,0,-MIN(60,COLUMN()-29),1,MIN(60,COLUMN()-29))),0)</f>
        <v>368.51629248</v>
      </c>
      <c r="EQ110" s="112" t="n">
        <f aca="true">IFERROR(SUMPRODUCT(OFFSET($BJ$31,0,1-MIN(60,COLUMN()-29),1,MIN(60,COLUMN()-29)),OFFSET(EQ109,0,-MIN(60,COLUMN()-29),1,MIN(60,COLUMN()-29))),0)</f>
        <v>360.7585632</v>
      </c>
      <c r="ER110" s="112" t="n">
        <f aca="true">IFERROR(SUMPRODUCT(OFFSET($BJ$31,0,1-MIN(60,COLUMN()-29),1,MIN(60,COLUMN()-29)),OFFSET(ER109,0,-MIN(60,COLUMN()-29),1,MIN(60,COLUMN()-29))),0)</f>
        <v>352.40530752</v>
      </c>
      <c r="ES110" s="9" t="n">
        <f aca="true">IFERROR(SUMPRODUCT(OFFSET($BJ$31,0,1-MIN(60,COLUMN()-29),1,MIN(60,COLUMN()-29)),OFFSET(ES109,0,-MIN(60,COLUMN()-29),1,MIN(60,COLUMN()-29))),0)</f>
        <v>365.63018688</v>
      </c>
      <c r="ET110" s="9" t="n">
        <f aca="true">IFERROR(SUMPRODUCT(OFFSET($BJ$31,0,1-MIN(60,COLUMN()-29),1,MIN(60,COLUMN()-29)),OFFSET(ET109,0,-MIN(60,COLUMN()-29),1,MIN(60,COLUMN()-29))),0)</f>
        <v>366.05838528</v>
      </c>
      <c r="EU110" s="9" t="n">
        <f aca="true">IFERROR(SUMPRODUCT(OFFSET($BJ$31,0,1-MIN(60,COLUMN()-29),1,MIN(60,COLUMN()-29)),OFFSET(EU109,0,-MIN(60,COLUMN()-29),1,MIN(60,COLUMN()-29))),0)</f>
        <v>361.20002688</v>
      </c>
      <c r="EV110" s="9" t="n">
        <f aca="true">IFERROR(SUMPRODUCT(OFFSET($BJ$31,0,1-MIN(60,COLUMN()-29),1,MIN(60,COLUMN()-29)),OFFSET(EV109,0,-MIN(60,COLUMN()-29),1,MIN(60,COLUMN()-29))),0)</f>
        <v>370.29226752</v>
      </c>
      <c r="EW110" s="9" t="n">
        <f aca="true">IFERROR(SUMPRODUCT(OFFSET($BJ$31,0,1-MIN(60,COLUMN()-29),1,MIN(60,COLUMN()-29)),OFFSET(EW109,0,-MIN(60,COLUMN()-29),1,MIN(60,COLUMN()-29))),0)</f>
        <v>367.65654912</v>
      </c>
      <c r="EX110" s="9" t="n">
        <f aca="true">IFERROR(SUMPRODUCT(OFFSET($BJ$31,0,1-MIN(60,COLUMN()-29),1,MIN(60,COLUMN()-29)),OFFSET(EX109,0,-MIN(60,COLUMN()-29),1,MIN(60,COLUMN()-29))),0)</f>
        <v>363.17167488</v>
      </c>
      <c r="EY110" s="9" t="n">
        <f aca="true">IFERROR(SUMPRODUCT(OFFSET($BJ$31,0,1-MIN(60,COLUMN()-29),1,MIN(60,COLUMN()-29)),OFFSET(EY109,0,-MIN(60,COLUMN()-29),1,MIN(60,COLUMN()-29))),0)</f>
        <v>357.96535488</v>
      </c>
      <c r="EZ110" s="9" t="n">
        <f aca="true">IFERROR(SUMPRODUCT(OFFSET($BJ$31,0,1-MIN(60,COLUMN()-29),1,MIN(60,COLUMN()-29)),OFFSET(EZ109,0,-MIN(60,COLUMN()-29),1,MIN(60,COLUMN()-29))),0)</f>
        <v>362.83520448</v>
      </c>
      <c r="FA110" s="9" t="n">
        <f aca="true">IFERROR(SUMPRODUCT(OFFSET($BJ$31,0,1-MIN(60,COLUMN()-29),1,MIN(60,COLUMN()-29)),OFFSET(FA109,0,-MIN(60,COLUMN()-29),1,MIN(60,COLUMN()-29))),0)</f>
        <v>379.81129536</v>
      </c>
      <c r="FB110" s="9" t="n">
        <f aca="true">IFERROR(SUMPRODUCT(OFFSET($BJ$31,0,1-MIN(60,COLUMN()-29),1,MIN(60,COLUMN()-29)),OFFSET(FB109,0,-MIN(60,COLUMN()-29),1,MIN(60,COLUMN()-29))),0)</f>
        <v>371.80325952</v>
      </c>
      <c r="FC110" s="9" t="n">
        <f aca="true">IFERROR(SUMPRODUCT(OFFSET($BJ$31,0,1-MIN(60,COLUMN()-29),1,MIN(60,COLUMN()-29)),OFFSET(FC109,0,-MIN(60,COLUMN()-29),1,MIN(60,COLUMN()-29))),0)</f>
        <v>363.556368</v>
      </c>
      <c r="FD110" s="9" t="n">
        <f aca="true">IFERROR(SUMPRODUCT(OFFSET($BJ$31,0,1-MIN(60,COLUMN()-29),1,MIN(60,COLUMN()-29)),OFFSET(FD109,0,-MIN(60,COLUMN()-29),1,MIN(60,COLUMN()-29))),0)</f>
        <v>354.889584</v>
      </c>
      <c r="FE110" s="9" t="n">
        <f aca="true">IFERROR(SUMPRODUCT(OFFSET($BJ$31,0,1-MIN(60,COLUMN()-29),1,MIN(60,COLUMN()-29)),OFFSET(FE109,0,-MIN(60,COLUMN()-29),1,MIN(60,COLUMN()-29))),0)</f>
        <v>367.707312</v>
      </c>
      <c r="FF110" s="9" t="n">
        <f aca="true">IFERROR(SUMPRODUCT(OFFSET($BJ$31,0,1-MIN(60,COLUMN()-29),1,MIN(60,COLUMN()-29)),OFFSET(FF109,0,-MIN(60,COLUMN()-29),1,MIN(60,COLUMN()-29))),0)</f>
        <v>367.7436</v>
      </c>
      <c r="FG110" s="9" t="n">
        <f aca="true">IFERROR(SUMPRODUCT(OFFSET($BJ$31,0,1-MIN(60,COLUMN()-29),1,MIN(60,COLUMN()-29)),OFFSET(FG109,0,-MIN(60,COLUMN()-29),1,MIN(60,COLUMN()-29))),0)</f>
        <v>362.58768</v>
      </c>
      <c r="FH110" s="9" t="n">
        <f aca="true">IFERROR(SUMPRODUCT(OFFSET($BJ$31,0,1-MIN(60,COLUMN()-29),1,MIN(60,COLUMN()-29)),OFFSET(FH109,0,-MIN(60,COLUMN()-29),1,MIN(60,COLUMN()-29))),0)</f>
        <v>371.343168</v>
      </c>
      <c r="FI110" s="9" t="n">
        <f aca="true">IFERROR(SUMPRODUCT(OFFSET($BJ$31,0,1-MIN(60,COLUMN()-29),1,MIN(60,COLUMN()-29)),OFFSET(FI109,0,-MIN(60,COLUMN()-29),1,MIN(60,COLUMN()-29))),0)</f>
        <v>368.428032</v>
      </c>
      <c r="FJ110" s="9" t="n">
        <f aca="true">IFERROR(SUMPRODUCT(OFFSET($BJ$31,0,1-MIN(60,COLUMN()-29),1,MIN(60,COLUMN()-29)),OFFSET(FJ109,0,-MIN(60,COLUMN()-29),1,MIN(60,COLUMN()-29))),0)</f>
        <v>363.742848</v>
      </c>
      <c r="FK110" s="9" t="n">
        <f aca="true">IFERROR(SUMPRODUCT(OFFSET($BJ$31,0,1-MIN(60,COLUMN()-29),1,MIN(60,COLUMN()-29)),OFFSET(FK109,0,-MIN(60,COLUMN()-29),1,MIN(60,COLUMN()-29))),0)</f>
        <v>358.391376</v>
      </c>
      <c r="FL110" s="9" t="n">
        <f aca="true">IFERROR(SUMPRODUCT(OFFSET($BJ$31,0,1-MIN(60,COLUMN()-29),1,MIN(60,COLUMN()-29)),OFFSET(FL109,0,-MIN(60,COLUMN()-29),1,MIN(60,COLUMN()-29))),0)</f>
        <v>363.108816</v>
      </c>
      <c r="FM110" s="9" t="n">
        <f aca="true">IFERROR(SUMPRODUCT(OFFSET($BJ$31,0,1-MIN(60,COLUMN()-29),1,MIN(60,COLUMN()-29)),OFFSET(FM109,0,-MIN(60,COLUMN()-29),1,MIN(60,COLUMN()-29))),0)</f>
        <v>379.93032</v>
      </c>
      <c r="FN110" s="9" t="n">
        <f aca="true">IFERROR(SUMPRODUCT(OFFSET($BJ$31,0,1-MIN(60,COLUMN()-29),1,MIN(60,COLUMN()-29)),OFFSET(FN109,0,-MIN(60,COLUMN()-29),1,MIN(60,COLUMN()-29))),0)</f>
        <v>371.838096</v>
      </c>
      <c r="FO110" s="9" t="n">
        <f aca="true">IFERROR(SUMPRODUCT(OFFSET($BJ$31,0,1-MIN(60,COLUMN()-29),1,MIN(60,COLUMN()-29)),OFFSET(FO109,0,-MIN(60,COLUMN()-29),1,MIN(60,COLUMN()-29))),0)</f>
        <v>363.556368</v>
      </c>
      <c r="FP110" s="9" t="n">
        <f aca="true">IFERROR(SUMPRODUCT(OFFSET($BJ$31,0,1-MIN(60,COLUMN()-29),1,MIN(60,COLUMN()-29)),OFFSET(FP109,0,-MIN(60,COLUMN()-29),1,MIN(60,COLUMN()-29))),0)</f>
        <v>354.889584</v>
      </c>
    </row>
    <row r="111" customFormat="false" ht="15" hidden="false" customHeight="false" outlineLevel="2" collapsed="false">
      <c r="B111" s="90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237"/>
      <c r="AD111" s="237"/>
      <c r="AE111" s="237"/>
      <c r="AF111" s="237"/>
      <c r="AG111" s="237"/>
      <c r="AH111" s="237"/>
      <c r="AI111" s="237"/>
      <c r="AJ111" s="237"/>
      <c r="AK111" s="237"/>
      <c r="AL111" s="237"/>
      <c r="AM111" s="237"/>
      <c r="AN111" s="237"/>
      <c r="AO111" s="237"/>
      <c r="AP111" s="237"/>
      <c r="AQ111" s="237"/>
      <c r="AR111" s="237"/>
      <c r="AS111" s="237"/>
      <c r="AT111" s="237"/>
      <c r="AU111" s="237"/>
      <c r="AV111" s="237"/>
      <c r="AW111" s="237"/>
      <c r="AX111" s="237"/>
      <c r="AY111" s="237"/>
      <c r="AZ111" s="237"/>
      <c r="BA111" s="237"/>
      <c r="BB111" s="237"/>
      <c r="BC111" s="237"/>
      <c r="BD111" s="237"/>
      <c r="BE111" s="237"/>
      <c r="BF111" s="237"/>
      <c r="BG111" s="237"/>
      <c r="BH111" s="237"/>
      <c r="BI111" s="237"/>
      <c r="BJ111" s="237"/>
      <c r="BK111" s="237"/>
      <c r="BL111" s="237"/>
      <c r="BM111" s="237"/>
      <c r="BN111" s="237"/>
      <c r="BO111" s="237"/>
      <c r="BP111" s="237"/>
      <c r="BQ111" s="237"/>
      <c r="BR111" s="237"/>
      <c r="BS111" s="237"/>
      <c r="BT111" s="237"/>
      <c r="BU111" s="237"/>
      <c r="BV111" s="237"/>
      <c r="BW111" s="237"/>
      <c r="BX111" s="237"/>
      <c r="BY111" s="237"/>
      <c r="BZ111" s="237"/>
      <c r="CA111" s="237"/>
      <c r="CB111" s="237"/>
      <c r="CC111" s="237"/>
      <c r="CD111" s="237"/>
      <c r="CE111" s="237"/>
      <c r="CF111" s="237"/>
      <c r="CG111" s="237"/>
      <c r="CH111" s="237"/>
      <c r="CI111" s="237"/>
      <c r="CJ111" s="237"/>
      <c r="CK111" s="237"/>
      <c r="CL111" s="237"/>
      <c r="CM111" s="237"/>
      <c r="CN111" s="237"/>
      <c r="CO111" s="237"/>
      <c r="CP111" s="237"/>
      <c r="CQ111" s="237"/>
      <c r="CR111" s="237"/>
      <c r="CS111" s="237"/>
      <c r="CT111" s="237"/>
      <c r="CU111" s="237"/>
      <c r="CV111" s="237"/>
      <c r="CW111" s="237"/>
      <c r="CX111" s="237"/>
      <c r="CY111" s="237"/>
      <c r="CZ111" s="237"/>
      <c r="DA111" s="237"/>
      <c r="DB111" s="237"/>
      <c r="DC111" s="237"/>
      <c r="DD111" s="237"/>
      <c r="DE111" s="237"/>
      <c r="DF111" s="237"/>
      <c r="DG111" s="237"/>
      <c r="DH111" s="237"/>
      <c r="DI111" s="237"/>
      <c r="DJ111" s="237"/>
      <c r="DK111" s="237"/>
      <c r="DL111" s="237"/>
      <c r="DM111" s="237"/>
      <c r="DN111" s="237"/>
      <c r="DO111" s="237"/>
      <c r="DP111" s="237"/>
      <c r="DQ111" s="237"/>
      <c r="DR111" s="237"/>
      <c r="DS111" s="237"/>
      <c r="DT111" s="237"/>
      <c r="DU111" s="237"/>
      <c r="DV111" s="237"/>
      <c r="DW111" s="237"/>
      <c r="DX111" s="237"/>
      <c r="DY111" s="237"/>
      <c r="DZ111" s="237"/>
      <c r="EA111" s="237"/>
      <c r="EB111" s="237"/>
      <c r="EC111" s="237"/>
      <c r="ED111" s="237"/>
      <c r="EE111" s="237"/>
      <c r="EF111" s="237"/>
      <c r="EG111" s="237"/>
      <c r="EH111" s="237"/>
      <c r="EI111" s="237"/>
      <c r="EJ111" s="237"/>
      <c r="EK111" s="237"/>
      <c r="EL111" s="237"/>
      <c r="EM111" s="237"/>
      <c r="EN111" s="237"/>
      <c r="EO111" s="237"/>
      <c r="EP111" s="237"/>
      <c r="EQ111" s="237"/>
      <c r="ER111" s="237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</row>
    <row r="112" customFormat="false" ht="15" hidden="false" customHeight="false" outlineLevel="2" collapsed="false">
      <c r="B112" s="240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237"/>
      <c r="AD112" s="237"/>
      <c r="AE112" s="237"/>
      <c r="AF112" s="237"/>
      <c r="AG112" s="237"/>
      <c r="AH112" s="237"/>
      <c r="AI112" s="237"/>
      <c r="AJ112" s="237"/>
      <c r="AK112" s="237"/>
      <c r="AL112" s="237"/>
      <c r="AM112" s="237"/>
      <c r="AN112" s="237"/>
      <c r="AO112" s="237"/>
      <c r="AP112" s="237"/>
      <c r="AQ112" s="237"/>
      <c r="AR112" s="237"/>
      <c r="AS112" s="237"/>
      <c r="AT112" s="237"/>
      <c r="AU112" s="237"/>
      <c r="AV112" s="237"/>
      <c r="AW112" s="237"/>
      <c r="AX112" s="237"/>
      <c r="AY112" s="237"/>
      <c r="AZ112" s="237"/>
      <c r="BA112" s="237"/>
      <c r="BB112" s="237"/>
      <c r="BC112" s="237"/>
      <c r="BD112" s="237"/>
      <c r="BE112" s="237"/>
      <c r="BF112" s="237"/>
      <c r="BG112" s="237"/>
      <c r="BH112" s="237"/>
      <c r="BI112" s="237"/>
      <c r="BJ112" s="237"/>
      <c r="BK112" s="237"/>
      <c r="BL112" s="237"/>
      <c r="BM112" s="237"/>
      <c r="BN112" s="237"/>
      <c r="BO112" s="237"/>
      <c r="BP112" s="237"/>
      <c r="BQ112" s="237"/>
      <c r="BR112" s="237"/>
      <c r="BS112" s="237"/>
      <c r="BT112" s="237"/>
      <c r="BU112" s="237"/>
      <c r="BV112" s="237"/>
      <c r="BW112" s="237"/>
      <c r="BX112" s="237"/>
      <c r="BY112" s="237"/>
      <c r="BZ112" s="237"/>
      <c r="CA112" s="237"/>
      <c r="CB112" s="237"/>
      <c r="CC112" s="237"/>
      <c r="CD112" s="237"/>
      <c r="CE112" s="237"/>
      <c r="CF112" s="237"/>
      <c r="CG112" s="237"/>
      <c r="CH112" s="237"/>
      <c r="CI112" s="237"/>
      <c r="CJ112" s="237"/>
      <c r="CK112" s="237"/>
      <c r="CL112" s="237"/>
      <c r="CM112" s="237"/>
      <c r="CN112" s="237"/>
      <c r="CO112" s="237"/>
      <c r="CP112" s="237"/>
      <c r="CQ112" s="237"/>
      <c r="CR112" s="237"/>
      <c r="CS112" s="237"/>
      <c r="CT112" s="237"/>
      <c r="CU112" s="237"/>
      <c r="CV112" s="237"/>
      <c r="CW112" s="237"/>
      <c r="CX112" s="237"/>
      <c r="CY112" s="237"/>
      <c r="CZ112" s="237"/>
      <c r="DA112" s="237"/>
      <c r="DB112" s="237"/>
      <c r="DC112" s="237"/>
      <c r="DD112" s="237"/>
      <c r="DE112" s="237"/>
      <c r="DF112" s="237"/>
      <c r="DG112" s="237"/>
      <c r="DH112" s="237"/>
      <c r="DI112" s="237"/>
      <c r="DJ112" s="237"/>
      <c r="DK112" s="237"/>
      <c r="DL112" s="237"/>
      <c r="DM112" s="237"/>
      <c r="DN112" s="237"/>
      <c r="DO112" s="237"/>
      <c r="DP112" s="237"/>
      <c r="DQ112" s="237"/>
      <c r="DR112" s="237"/>
      <c r="DS112" s="237"/>
      <c r="DT112" s="237"/>
      <c r="DU112" s="237"/>
      <c r="DV112" s="237"/>
      <c r="DW112" s="237"/>
      <c r="DX112" s="237"/>
      <c r="DY112" s="237"/>
      <c r="DZ112" s="237"/>
      <c r="EA112" s="237"/>
      <c r="EB112" s="237"/>
      <c r="EC112" s="237"/>
      <c r="ED112" s="237"/>
      <c r="EE112" s="237"/>
      <c r="EF112" s="237"/>
      <c r="EG112" s="237"/>
      <c r="EH112" s="237"/>
      <c r="EI112" s="237"/>
      <c r="EJ112" s="237"/>
      <c r="EK112" s="237"/>
      <c r="EL112" s="237"/>
      <c r="EM112" s="237"/>
      <c r="EN112" s="237"/>
      <c r="EO112" s="237"/>
      <c r="EP112" s="237"/>
      <c r="EQ112" s="237"/>
      <c r="ER112" s="237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</row>
    <row r="113" customFormat="false" ht="15" hidden="false" customHeight="false" outlineLevel="2" collapsed="false">
      <c r="B113" s="21" t="s">
        <v>884</v>
      </c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</row>
    <row r="114" customFormat="false" ht="15" hidden="false" customHeight="false" outlineLevel="2" collapsed="false">
      <c r="B114" s="9" t="s">
        <v>872</v>
      </c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234" t="n">
        <f aca="false">('⑫ Roll-out Plan'!G17-2025)*12+'⑫ Roll-out Plan'!F17</f>
        <v>30</v>
      </c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</row>
    <row r="115" customFormat="false" ht="15" hidden="false" customHeight="false" outlineLevel="2" collapsed="false">
      <c r="B115" s="9" t="s">
        <v>873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235" t="n">
        <f aca="false">VLOOKUP("A",$B$14:$C$18,2,FALSE())</f>
        <v>210</v>
      </c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</row>
    <row r="116" customFormat="false" ht="15" hidden="false" customHeight="false" outlineLevel="2" collapsed="false">
      <c r="B116" s="9" t="s">
        <v>799</v>
      </c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63" t="n">
        <f aca="false">IF(AC$35&gt;=$AC$114,AC$35-$AC$114+1,0)</f>
        <v>0</v>
      </c>
      <c r="AD116" s="63" t="n">
        <f aca="false">IF(AD$35&gt;=$AC$114,AD$35-$AC$114+1,0)</f>
        <v>0</v>
      </c>
      <c r="AE116" s="63" t="n">
        <f aca="false">IF(AE$35&gt;=$AC$114,AE$35-$AC$114+1,0)</f>
        <v>0</v>
      </c>
      <c r="AF116" s="63" t="n">
        <f aca="false">IF(AF$35&gt;=$AC$114,AF$35-$AC$114+1,0)</f>
        <v>0</v>
      </c>
      <c r="AG116" s="63" t="n">
        <f aca="false">IF(AG$35&gt;=$AC$114,AG$35-$AC$114+1,0)</f>
        <v>0</v>
      </c>
      <c r="AH116" s="63" t="n">
        <f aca="false">IF(AH$35&gt;=$AC$114,AH$35-$AC$114+1,0)</f>
        <v>0</v>
      </c>
      <c r="AI116" s="63" t="n">
        <f aca="false">IF(AI$35&gt;=$AC$114,AI$35-$AC$114+1,0)</f>
        <v>0</v>
      </c>
      <c r="AJ116" s="63" t="n">
        <f aca="false">IF(AJ$35&gt;=$AC$114,AJ$35-$AC$114+1,0)</f>
        <v>0</v>
      </c>
      <c r="AK116" s="63" t="n">
        <f aca="false">IF(AK$35&gt;=$AC$114,AK$35-$AC$114+1,0)</f>
        <v>0</v>
      </c>
      <c r="AL116" s="63" t="n">
        <f aca="false">IF(AL$35&gt;=$AC$114,AL$35-$AC$114+1,0)</f>
        <v>0</v>
      </c>
      <c r="AM116" s="63" t="n">
        <f aca="false">IF(AM$35&gt;=$AC$114,AM$35-$AC$114+1,0)</f>
        <v>0</v>
      </c>
      <c r="AN116" s="63" t="n">
        <f aca="false">IF(AN$35&gt;=$AC$114,AN$35-$AC$114+1,0)</f>
        <v>0</v>
      </c>
      <c r="AO116" s="63" t="n">
        <f aca="false">IF(AO$35&gt;=$AC$114,AO$35-$AC$114+1,0)</f>
        <v>0</v>
      </c>
      <c r="AP116" s="63" t="n">
        <f aca="false">IF(AP$35&gt;=$AC$114,AP$35-$AC$114+1,0)</f>
        <v>0</v>
      </c>
      <c r="AQ116" s="63" t="n">
        <f aca="false">IF(AQ$35&gt;=$AC$114,AQ$35-$AC$114+1,0)</f>
        <v>0</v>
      </c>
      <c r="AR116" s="63" t="n">
        <f aca="false">IF(AR$35&gt;=$AC$114,AR$35-$AC$114+1,0)</f>
        <v>0</v>
      </c>
      <c r="AS116" s="63" t="n">
        <f aca="false">IF(AS$35&gt;=$AC$114,AS$35-$AC$114+1,0)</f>
        <v>0</v>
      </c>
      <c r="AT116" s="63" t="n">
        <f aca="false">IF(AT$35&gt;=$AC$114,AT$35-$AC$114+1,0)</f>
        <v>0</v>
      </c>
      <c r="AU116" s="63" t="n">
        <f aca="false">IF(AU$35&gt;=$AC$114,AU$35-$AC$114+1,0)</f>
        <v>0</v>
      </c>
      <c r="AV116" s="63" t="n">
        <f aca="false">IF(AV$35&gt;=$AC$114,AV$35-$AC$114+1,0)</f>
        <v>0</v>
      </c>
      <c r="AW116" s="63" t="n">
        <f aca="false">IF(AW$35&gt;=$AC$114,AW$35-$AC$114+1,0)</f>
        <v>0</v>
      </c>
      <c r="AX116" s="63" t="n">
        <f aca="false">IF(AX$35&gt;=$AC$114,AX$35-$AC$114+1,0)</f>
        <v>0</v>
      </c>
      <c r="AY116" s="63" t="n">
        <f aca="false">IF(AY$35&gt;=$AC$114,AY$35-$AC$114+1,0)</f>
        <v>0</v>
      </c>
      <c r="AZ116" s="63" t="n">
        <f aca="false">IF(AZ$35&gt;=$AC$114,AZ$35-$AC$114+1,0)</f>
        <v>0</v>
      </c>
      <c r="BA116" s="63" t="n">
        <f aca="false">IF(BA$35&gt;=$AC$114,BA$35-$AC$114+1,0)</f>
        <v>0</v>
      </c>
      <c r="BB116" s="63" t="n">
        <f aca="false">IF(BB$35&gt;=$AC$114,BB$35-$AC$114+1,0)</f>
        <v>0</v>
      </c>
      <c r="BC116" s="63" t="n">
        <f aca="false">IF(BC$35&gt;=$AC$114,BC$35-$AC$114+1,0)</f>
        <v>0</v>
      </c>
      <c r="BD116" s="63" t="n">
        <f aca="false">IF(BD$35&gt;=$AC$114,BD$35-$AC$114+1,0)</f>
        <v>0</v>
      </c>
      <c r="BE116" s="63" t="n">
        <f aca="false">IF(BE$35&gt;=$AC$114,BE$35-$AC$114+1,0)</f>
        <v>0</v>
      </c>
      <c r="BF116" s="63" t="n">
        <f aca="false">IF(BF$35&gt;=$AC$114,BF$35-$AC$114+1,0)</f>
        <v>1</v>
      </c>
      <c r="BG116" s="63" t="n">
        <f aca="false">IF(BG$35&gt;=$AC$114,BG$35-$AC$114+1,0)</f>
        <v>2</v>
      </c>
      <c r="BH116" s="63" t="n">
        <f aca="false">IF(BH$35&gt;=$AC$114,BH$35-$AC$114+1,0)</f>
        <v>3</v>
      </c>
      <c r="BI116" s="63" t="n">
        <f aca="false">IF(BI$35&gt;=$AC$114,BI$35-$AC$114+1,0)</f>
        <v>4</v>
      </c>
      <c r="BJ116" s="63" t="n">
        <f aca="false">IF(BJ$35&gt;=$AC$114,BJ$35-$AC$114+1,0)</f>
        <v>5</v>
      </c>
      <c r="BK116" s="63" t="n">
        <f aca="false">IF(BK$35&gt;=$AC$114,BK$35-$AC$114+1,0)</f>
        <v>6</v>
      </c>
      <c r="BL116" s="63" t="n">
        <f aca="false">IF(BL$35&gt;=$AC$114,BL$35-$AC$114+1,0)</f>
        <v>7</v>
      </c>
      <c r="BM116" s="63" t="n">
        <f aca="false">IF(BM$35&gt;=$AC$114,BM$35-$AC$114+1,0)</f>
        <v>8</v>
      </c>
      <c r="BN116" s="63" t="n">
        <f aca="false">IF(BN$35&gt;=$AC$114,BN$35-$AC$114+1,0)</f>
        <v>9</v>
      </c>
      <c r="BO116" s="63" t="n">
        <f aca="false">IF(BO$35&gt;=$AC$114,BO$35-$AC$114+1,0)</f>
        <v>10</v>
      </c>
      <c r="BP116" s="63" t="n">
        <f aca="false">IF(BP$35&gt;=$AC$114,BP$35-$AC$114+1,0)</f>
        <v>11</v>
      </c>
      <c r="BQ116" s="63" t="n">
        <f aca="false">IF(BQ$35&gt;=$AC$114,BQ$35-$AC$114+1,0)</f>
        <v>12</v>
      </c>
      <c r="BR116" s="63" t="n">
        <f aca="false">IF(BR$35&gt;=$AC$114,BR$35-$AC$114+1,0)</f>
        <v>13</v>
      </c>
      <c r="BS116" s="63" t="n">
        <f aca="false">IF(BS$35&gt;=$AC$114,BS$35-$AC$114+1,0)</f>
        <v>14</v>
      </c>
      <c r="BT116" s="63" t="n">
        <f aca="false">IF(BT$35&gt;=$AC$114,BT$35-$AC$114+1,0)</f>
        <v>15</v>
      </c>
      <c r="BU116" s="63" t="n">
        <f aca="false">IF(BU$35&gt;=$AC$114,BU$35-$AC$114+1,0)</f>
        <v>16</v>
      </c>
      <c r="BV116" s="63" t="n">
        <f aca="false">IF(BV$35&gt;=$AC$114,BV$35-$AC$114+1,0)</f>
        <v>17</v>
      </c>
      <c r="BW116" s="63" t="n">
        <f aca="false">IF(BW$35&gt;=$AC$114,BW$35-$AC$114+1,0)</f>
        <v>18</v>
      </c>
      <c r="BX116" s="63" t="n">
        <f aca="false">IF(BX$35&gt;=$AC$114,BX$35-$AC$114+1,0)</f>
        <v>19</v>
      </c>
      <c r="BY116" s="63" t="n">
        <f aca="false">IF(BY$35&gt;=$AC$114,BY$35-$AC$114+1,0)</f>
        <v>20</v>
      </c>
      <c r="BZ116" s="63" t="n">
        <f aca="false">IF(BZ$35&gt;=$AC$114,BZ$35-$AC$114+1,0)</f>
        <v>21</v>
      </c>
      <c r="CA116" s="63" t="n">
        <f aca="false">IF(CA$35&gt;=$AC$114,CA$35-$AC$114+1,0)</f>
        <v>22</v>
      </c>
      <c r="CB116" s="63" t="n">
        <f aca="false">IF(CB$35&gt;=$AC$114,CB$35-$AC$114+1,0)</f>
        <v>23</v>
      </c>
      <c r="CC116" s="63" t="n">
        <f aca="false">IF(CC$35&gt;=$AC$114,CC$35-$AC$114+1,0)</f>
        <v>24</v>
      </c>
      <c r="CD116" s="63" t="n">
        <f aca="false">IF(CD$35&gt;=$AC$114,CD$35-$AC$114+1,0)</f>
        <v>25</v>
      </c>
      <c r="CE116" s="63" t="n">
        <f aca="false">IF(CE$35&gt;=$AC$114,CE$35-$AC$114+1,0)</f>
        <v>26</v>
      </c>
      <c r="CF116" s="63" t="n">
        <f aca="false">IF(CF$35&gt;=$AC$114,CF$35-$AC$114+1,0)</f>
        <v>27</v>
      </c>
      <c r="CG116" s="63" t="n">
        <f aca="false">IF(CG$35&gt;=$AC$114,CG$35-$AC$114+1,0)</f>
        <v>28</v>
      </c>
      <c r="CH116" s="63" t="n">
        <f aca="false">IF(CH$35&gt;=$AC$114,CH$35-$AC$114+1,0)</f>
        <v>29</v>
      </c>
      <c r="CI116" s="63" t="n">
        <f aca="false">IF(CI$35&gt;=$AC$114,CI$35-$AC$114+1,0)</f>
        <v>30</v>
      </c>
      <c r="CJ116" s="63" t="n">
        <f aca="false">IF(CJ$35&gt;=$AC$114,CJ$35-$AC$114+1,0)</f>
        <v>31</v>
      </c>
      <c r="CK116" s="63" t="n">
        <f aca="false">IF(CK$35&gt;=$AC$114,CK$35-$AC$114+1,0)</f>
        <v>32</v>
      </c>
      <c r="CL116" s="63" t="n">
        <f aca="false">IF(CL$35&gt;=$AC$114,CL$35-$AC$114+1,0)</f>
        <v>33</v>
      </c>
      <c r="CM116" s="63" t="n">
        <f aca="false">IF(CM$35&gt;=$AC$114,CM$35-$AC$114+1,0)</f>
        <v>34</v>
      </c>
      <c r="CN116" s="63" t="n">
        <f aca="false">IF(CN$35&gt;=$AC$114,CN$35-$AC$114+1,0)</f>
        <v>35</v>
      </c>
      <c r="CO116" s="63" t="n">
        <f aca="false">IF(CO$35&gt;=$AC$114,CO$35-$AC$114+1,0)</f>
        <v>36</v>
      </c>
      <c r="CP116" s="63" t="n">
        <f aca="false">IF(CP$35&gt;=$AC$114,CP$35-$AC$114+1,0)</f>
        <v>37</v>
      </c>
      <c r="CQ116" s="63" t="n">
        <f aca="false">IF(CQ$35&gt;=$AC$114,CQ$35-$AC$114+1,0)</f>
        <v>38</v>
      </c>
      <c r="CR116" s="63" t="n">
        <f aca="false">IF(CR$35&gt;=$AC$114,CR$35-$AC$114+1,0)</f>
        <v>39</v>
      </c>
      <c r="CS116" s="63" t="n">
        <f aca="false">IF(CS$35&gt;=$AC$114,CS$35-$AC$114+1,0)</f>
        <v>40</v>
      </c>
      <c r="CT116" s="63" t="n">
        <f aca="false">IF(CT$35&gt;=$AC$114,CT$35-$AC$114+1,0)</f>
        <v>41</v>
      </c>
      <c r="CU116" s="63" t="n">
        <f aca="false">IF(CU$35&gt;=$AC$114,CU$35-$AC$114+1,0)</f>
        <v>42</v>
      </c>
      <c r="CV116" s="63" t="n">
        <f aca="false">IF(CV$35&gt;=$AC$114,CV$35-$AC$114+1,0)</f>
        <v>43</v>
      </c>
      <c r="CW116" s="63" t="n">
        <f aca="false">IF(CW$35&gt;=$AC$114,CW$35-$AC$114+1,0)</f>
        <v>44</v>
      </c>
      <c r="CX116" s="63" t="n">
        <f aca="false">IF(CX$35&gt;=$AC$114,CX$35-$AC$114+1,0)</f>
        <v>45</v>
      </c>
      <c r="CY116" s="63" t="n">
        <f aca="false">IF(CY$35&gt;=$AC$114,CY$35-$AC$114+1,0)</f>
        <v>46</v>
      </c>
      <c r="CZ116" s="63" t="n">
        <f aca="false">IF(CZ$35&gt;=$AC$114,CZ$35-$AC$114+1,0)</f>
        <v>47</v>
      </c>
      <c r="DA116" s="63" t="n">
        <f aca="false">IF(DA$35&gt;=$AC$114,DA$35-$AC$114+1,0)</f>
        <v>48</v>
      </c>
      <c r="DB116" s="63" t="n">
        <f aca="false">IF(DB$35&gt;=$AC$114,DB$35-$AC$114+1,0)</f>
        <v>49</v>
      </c>
      <c r="DC116" s="63" t="n">
        <f aca="false">IF(DC$35&gt;=$AC$114,DC$35-$AC$114+1,0)</f>
        <v>50</v>
      </c>
      <c r="DD116" s="63" t="n">
        <f aca="false">IF(DD$35&gt;=$AC$114,DD$35-$AC$114+1,0)</f>
        <v>51</v>
      </c>
      <c r="DE116" s="63" t="n">
        <f aca="false">IF(DE$35&gt;=$AC$114,DE$35-$AC$114+1,0)</f>
        <v>52</v>
      </c>
      <c r="DF116" s="63" t="n">
        <f aca="false">IF(DF$35&gt;=$AC$114,DF$35-$AC$114+1,0)</f>
        <v>53</v>
      </c>
      <c r="DG116" s="63" t="n">
        <f aca="false">IF(DG$35&gt;=$AC$114,DG$35-$AC$114+1,0)</f>
        <v>54</v>
      </c>
      <c r="DH116" s="63" t="n">
        <f aca="false">IF(DH$35&gt;=$AC$114,DH$35-$AC$114+1,0)</f>
        <v>55</v>
      </c>
      <c r="DI116" s="63" t="n">
        <f aca="false">IF(DI$35&gt;=$AC$114,DI$35-$AC$114+1,0)</f>
        <v>56</v>
      </c>
      <c r="DJ116" s="63" t="n">
        <f aca="false">IF(DJ$35&gt;=$AC$114,DJ$35-$AC$114+1,0)</f>
        <v>57</v>
      </c>
      <c r="DK116" s="63" t="n">
        <f aca="false">IF(DK$35&gt;=$AC$114,DK$35-$AC$114+1,0)</f>
        <v>58</v>
      </c>
      <c r="DL116" s="63" t="n">
        <f aca="false">IF(DL$35&gt;=$AC$114,DL$35-$AC$114+1,0)</f>
        <v>59</v>
      </c>
      <c r="DM116" s="63" t="n">
        <f aca="false">IF(DM$35&gt;=$AC$114,DM$35-$AC$114+1,0)</f>
        <v>60</v>
      </c>
      <c r="DN116" s="63" t="n">
        <f aca="false">IF(DN$35&gt;=$AC$114,DN$35-$AC$114+1,0)</f>
        <v>61</v>
      </c>
      <c r="DO116" s="63" t="n">
        <f aca="false">IF(DO$35&gt;=$AC$114,DO$35-$AC$114+1,0)</f>
        <v>62</v>
      </c>
      <c r="DP116" s="63" t="n">
        <f aca="false">IF(DP$35&gt;=$AC$114,DP$35-$AC$114+1,0)</f>
        <v>63</v>
      </c>
      <c r="DQ116" s="63" t="n">
        <f aca="false">IF(DQ$35&gt;=$AC$114,DQ$35-$AC$114+1,0)</f>
        <v>64</v>
      </c>
      <c r="DR116" s="63" t="n">
        <f aca="false">IF(DR$35&gt;=$AC$114,DR$35-$AC$114+1,0)</f>
        <v>65</v>
      </c>
      <c r="DS116" s="63" t="n">
        <f aca="false">IF(DS$35&gt;=$AC$114,DS$35-$AC$114+1,0)</f>
        <v>66</v>
      </c>
      <c r="DT116" s="63" t="n">
        <f aca="false">IF(DT$35&gt;=$AC$114,DT$35-$AC$114+1,0)</f>
        <v>67</v>
      </c>
      <c r="DU116" s="63" t="n">
        <f aca="false">IF(DU$35&gt;=$AC$114,DU$35-$AC$114+1,0)</f>
        <v>68</v>
      </c>
      <c r="DV116" s="63" t="n">
        <f aca="false">IF(DV$35&gt;=$AC$114,DV$35-$AC$114+1,0)</f>
        <v>69</v>
      </c>
      <c r="DW116" s="63" t="n">
        <f aca="false">IF(DW$35&gt;=$AC$114,DW$35-$AC$114+1,0)</f>
        <v>70</v>
      </c>
      <c r="DX116" s="63" t="n">
        <f aca="false">IF(DX$35&gt;=$AC$114,DX$35-$AC$114+1,0)</f>
        <v>71</v>
      </c>
      <c r="DY116" s="63" t="n">
        <f aca="false">IF(DY$35&gt;=$AC$114,DY$35-$AC$114+1,0)</f>
        <v>72</v>
      </c>
      <c r="DZ116" s="63" t="n">
        <f aca="false">IF(DZ$35&gt;=$AC$114,DZ$35-$AC$114+1,0)</f>
        <v>73</v>
      </c>
      <c r="EA116" s="63" t="n">
        <f aca="false">IF(EA$35&gt;=$AC$114,EA$35-$AC$114+1,0)</f>
        <v>74</v>
      </c>
      <c r="EB116" s="63" t="n">
        <f aca="false">IF(EB$35&gt;=$AC$114,EB$35-$AC$114+1,0)</f>
        <v>75</v>
      </c>
      <c r="EC116" s="63" t="n">
        <f aca="false">IF(EC$35&gt;=$AC$114,EC$35-$AC$114+1,0)</f>
        <v>76</v>
      </c>
      <c r="ED116" s="63" t="n">
        <f aca="false">IF(ED$35&gt;=$AC$114,ED$35-$AC$114+1,0)</f>
        <v>77</v>
      </c>
      <c r="EE116" s="63" t="n">
        <f aca="false">IF(EE$35&gt;=$AC$114,EE$35-$AC$114+1,0)</f>
        <v>78</v>
      </c>
      <c r="EF116" s="63" t="n">
        <f aca="false">IF(EF$35&gt;=$AC$114,EF$35-$AC$114+1,0)</f>
        <v>79</v>
      </c>
      <c r="EG116" s="63" t="n">
        <f aca="false">IF(EG$35&gt;=$AC$114,EG$35-$AC$114+1,0)</f>
        <v>80</v>
      </c>
      <c r="EH116" s="63" t="n">
        <f aca="false">IF(EH$35&gt;=$AC$114,EH$35-$AC$114+1,0)</f>
        <v>81</v>
      </c>
      <c r="EI116" s="63" t="n">
        <f aca="false">IF(EI$35&gt;=$AC$114,EI$35-$AC$114+1,0)</f>
        <v>82</v>
      </c>
      <c r="EJ116" s="63" t="n">
        <f aca="false">IF(EJ$35&gt;=$AC$114,EJ$35-$AC$114+1,0)</f>
        <v>83</v>
      </c>
      <c r="EK116" s="63" t="n">
        <f aca="false">IF(EK$35&gt;=$AC$114,EK$35-$AC$114+1,0)</f>
        <v>84</v>
      </c>
      <c r="EL116" s="63" t="n">
        <f aca="false">IF(EL$35&gt;=$AC$114,EL$35-$AC$114+1,0)</f>
        <v>85</v>
      </c>
      <c r="EM116" s="63" t="n">
        <f aca="false">IF(EM$35&gt;=$AC$114,EM$35-$AC$114+1,0)</f>
        <v>86</v>
      </c>
      <c r="EN116" s="63" t="n">
        <f aca="false">IF(EN$35&gt;=$AC$114,EN$35-$AC$114+1,0)</f>
        <v>87</v>
      </c>
      <c r="EO116" s="63" t="n">
        <f aca="false">IF(EO$35&gt;=$AC$114,EO$35-$AC$114+1,0)</f>
        <v>88</v>
      </c>
      <c r="EP116" s="63" t="n">
        <f aca="false">IF(EP$35&gt;=$AC$114,EP$35-$AC$114+1,0)</f>
        <v>89</v>
      </c>
      <c r="EQ116" s="63" t="n">
        <f aca="false">IF(EQ$35&gt;=$AC$114,EQ$35-$AC$114+1,0)</f>
        <v>90</v>
      </c>
      <c r="ER116" s="63" t="n">
        <f aca="false">IF(ER$35&gt;=$AC$114,ER$35-$AC$114+1,0)</f>
        <v>91</v>
      </c>
      <c r="ES116" s="9" t="n">
        <f aca="false">IF(ES$35&gt;=$AC$114,ES$35-$AC$114+1,0)</f>
        <v>92</v>
      </c>
      <c r="ET116" s="9" t="n">
        <f aca="false">IF(ET$35&gt;=$AC$114,ET$35-$AC$114+1,0)</f>
        <v>93</v>
      </c>
      <c r="EU116" s="9" t="n">
        <f aca="false">IF(EU$35&gt;=$AC$114,EU$35-$AC$114+1,0)</f>
        <v>94</v>
      </c>
      <c r="EV116" s="9" t="n">
        <f aca="false">IF(EV$35&gt;=$AC$114,EV$35-$AC$114+1,0)</f>
        <v>95</v>
      </c>
      <c r="EW116" s="9" t="n">
        <f aca="false">IF(EW$35&gt;=$AC$114,EW$35-$AC$114+1,0)</f>
        <v>96</v>
      </c>
      <c r="EX116" s="9" t="n">
        <f aca="false">IF(EX$35&gt;=$AC$114,EX$35-$AC$114+1,0)</f>
        <v>97</v>
      </c>
      <c r="EY116" s="9" t="n">
        <f aca="false">IF(EY$35&gt;=$AC$114,EY$35-$AC$114+1,0)</f>
        <v>98</v>
      </c>
      <c r="EZ116" s="9" t="n">
        <f aca="false">IF(EZ$35&gt;=$AC$114,EZ$35-$AC$114+1,0)</f>
        <v>99</v>
      </c>
      <c r="FA116" s="9" t="n">
        <f aca="false">IF(FA$35&gt;=$AC$114,FA$35-$AC$114+1,0)</f>
        <v>100</v>
      </c>
      <c r="FB116" s="9" t="n">
        <f aca="false">IF(FB$35&gt;=$AC$114,FB$35-$AC$114+1,0)</f>
        <v>101</v>
      </c>
      <c r="FC116" s="9" t="n">
        <f aca="false">IF(FC$35&gt;=$AC$114,FC$35-$AC$114+1,0)</f>
        <v>102</v>
      </c>
      <c r="FD116" s="9" t="n">
        <f aca="false">IF(FD$35&gt;=$AC$114,FD$35-$AC$114+1,0)</f>
        <v>103</v>
      </c>
      <c r="FE116" s="9" t="n">
        <f aca="false">IF(FE$35&gt;=$AC$114,FE$35-$AC$114+1,0)</f>
        <v>104</v>
      </c>
      <c r="FF116" s="9" t="n">
        <f aca="false">IF(FF$35&gt;=$AC$114,FF$35-$AC$114+1,0)</f>
        <v>105</v>
      </c>
      <c r="FG116" s="9" t="n">
        <f aca="false">IF(FG$35&gt;=$AC$114,FG$35-$AC$114+1,0)</f>
        <v>106</v>
      </c>
      <c r="FH116" s="9" t="n">
        <f aca="false">IF(FH$35&gt;=$AC$114,FH$35-$AC$114+1,0)</f>
        <v>107</v>
      </c>
      <c r="FI116" s="9" t="n">
        <f aca="false">IF(FI$35&gt;=$AC$114,FI$35-$AC$114+1,0)</f>
        <v>108</v>
      </c>
      <c r="FJ116" s="9" t="n">
        <f aca="false">IF(FJ$35&gt;=$AC$114,FJ$35-$AC$114+1,0)</f>
        <v>109</v>
      </c>
      <c r="FK116" s="9" t="n">
        <f aca="false">IF(FK$35&gt;=$AC$114,FK$35-$AC$114+1,0)</f>
        <v>110</v>
      </c>
      <c r="FL116" s="9" t="n">
        <f aca="false">IF(FL$35&gt;=$AC$114,FL$35-$AC$114+1,0)</f>
        <v>111</v>
      </c>
      <c r="FM116" s="9" t="n">
        <f aca="false">IF(FM$35&gt;=$AC$114,FM$35-$AC$114+1,0)</f>
        <v>112</v>
      </c>
      <c r="FN116" s="9" t="n">
        <f aca="false">IF(FN$35&gt;=$AC$114,FN$35-$AC$114+1,0)</f>
        <v>113</v>
      </c>
      <c r="FO116" s="9" t="n">
        <f aca="false">IF(FO$35&gt;=$AC$114,FO$35-$AC$114+1,0)</f>
        <v>114</v>
      </c>
      <c r="FP116" s="9" t="n">
        <f aca="false">IF(FP$35&gt;=$AC$114,FP$35-$AC$114+1,0)</f>
        <v>115</v>
      </c>
    </row>
    <row r="117" customFormat="false" ht="15" hidden="false" customHeight="false" outlineLevel="2" collapsed="false">
      <c r="B117" s="9" t="s">
        <v>874</v>
      </c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236" t="n">
        <f aca="false" t="array" ref="AC117:AC117">IF(AC116=0,0,IF(AC116/'🎚️ Escenario'!$C$11&gt;=36,$AL$23,INDEX($C$23:$AL$23,MAX(1,ROUNDUP(AC116/'🎚️ Escenario'!$C$11,0)))))</f>
        <v>0</v>
      </c>
      <c r="AD117" s="236" t="n">
        <f aca="false" t="array" ref="AD117:AD117">IF(AD116=0,0,IF(AD116/'🎚️ Escenario'!$C$11&gt;=36,$AL$23,INDEX($C$23:$AL$23,MAX(1,ROUNDUP(AD116/'🎚️ Escenario'!$C$11,0)))))</f>
        <v>0</v>
      </c>
      <c r="AE117" s="236" t="n">
        <f aca="false" t="array" ref="AE117:AE117">IF(AE116=0,0,IF(AE116/'🎚️ Escenario'!$C$11&gt;=36,$AL$23,INDEX($C$23:$AL$23,MAX(1,ROUNDUP(AE116/'🎚️ Escenario'!$C$11,0)))))</f>
        <v>0</v>
      </c>
      <c r="AF117" s="236" t="n">
        <f aca="false" t="array" ref="AF117:AF117">IF(AF116=0,0,IF(AF116/'🎚️ Escenario'!$C$11&gt;=36,$AL$23,INDEX($C$23:$AL$23,MAX(1,ROUNDUP(AF116/'🎚️ Escenario'!$C$11,0)))))</f>
        <v>0</v>
      </c>
      <c r="AG117" s="236" t="n">
        <f aca="false" t="array" ref="AG117:AG117">IF(AG116=0,0,IF(AG116/'🎚️ Escenario'!$C$11&gt;=36,$AL$23,INDEX($C$23:$AL$23,MAX(1,ROUNDUP(AG116/'🎚️ Escenario'!$C$11,0)))))</f>
        <v>0</v>
      </c>
      <c r="AH117" s="236" t="n">
        <f aca="false" t="array" ref="AH117:AH117">IF(AH116=0,0,IF(AH116/'🎚️ Escenario'!$C$11&gt;=36,$AL$23,INDEX($C$23:$AL$23,MAX(1,ROUNDUP(AH116/'🎚️ Escenario'!$C$11,0)))))</f>
        <v>0</v>
      </c>
      <c r="AI117" s="236" t="n">
        <f aca="false" t="array" ref="AI117:AI117">IF(AI116=0,0,IF(AI116/'🎚️ Escenario'!$C$11&gt;=36,$AL$23,INDEX($C$23:$AL$23,MAX(1,ROUNDUP(AI116/'🎚️ Escenario'!$C$11,0)))))</f>
        <v>0</v>
      </c>
      <c r="AJ117" s="236" t="n">
        <f aca="false" t="array" ref="AJ117:AJ117">IF(AJ116=0,0,IF(AJ116/'🎚️ Escenario'!$C$11&gt;=36,$AL$23,INDEX($C$23:$AL$23,MAX(1,ROUNDUP(AJ116/'🎚️ Escenario'!$C$11,0)))))</f>
        <v>0</v>
      </c>
      <c r="AK117" s="236" t="n">
        <f aca="false" t="array" ref="AK117:AK117">IF(AK116=0,0,IF(AK116/'🎚️ Escenario'!$C$11&gt;=36,$AL$23,INDEX($C$23:$AL$23,MAX(1,ROUNDUP(AK116/'🎚️ Escenario'!$C$11,0)))))</f>
        <v>0</v>
      </c>
      <c r="AL117" s="236" t="n">
        <f aca="false" t="array" ref="AL117:AL117">IF(AL116=0,0,IF(AL116/'🎚️ Escenario'!$C$11&gt;=36,$AL$23,INDEX($C$23:$AL$23,MAX(1,ROUNDUP(AL116/'🎚️ Escenario'!$C$11,0)))))</f>
        <v>0</v>
      </c>
      <c r="AM117" s="236" t="n">
        <f aca="false" t="array" ref="AM117:AM117">IF(AM116=0,0,IF(AM116/'🎚️ Escenario'!$C$11&gt;=36,$AL$23,INDEX($C$23:$AL$23,MAX(1,ROUNDUP(AM116/'🎚️ Escenario'!$C$11,0)))))</f>
        <v>0</v>
      </c>
      <c r="AN117" s="236" t="n">
        <f aca="false" t="array" ref="AN117:AN117">IF(AN116=0,0,IF(AN116/'🎚️ Escenario'!$C$11&gt;=36,$AL$23,INDEX($C$23:$AL$23,MAX(1,ROUNDUP(AN116/'🎚️ Escenario'!$C$11,0)))))</f>
        <v>0</v>
      </c>
      <c r="AO117" s="236" t="n">
        <f aca="false" t="array" ref="AO117:AO117">IF(AO116=0,0,IF(AO116/'🎚️ Escenario'!$C$11&gt;=36,$AL$23,INDEX($C$23:$AL$23,MAX(1,ROUNDUP(AO116/'🎚️ Escenario'!$C$11,0)))))</f>
        <v>0</v>
      </c>
      <c r="AP117" s="236" t="n">
        <f aca="false" t="array" ref="AP117:AP117">IF(AP116=0,0,IF(AP116/'🎚️ Escenario'!$C$11&gt;=36,$AL$23,INDEX($C$23:$AL$23,MAX(1,ROUNDUP(AP116/'🎚️ Escenario'!$C$11,0)))))</f>
        <v>0</v>
      </c>
      <c r="AQ117" s="236" t="n">
        <f aca="false" t="array" ref="AQ117:AQ117">IF(AQ116=0,0,IF(AQ116/'🎚️ Escenario'!$C$11&gt;=36,$AL$23,INDEX($C$23:$AL$23,MAX(1,ROUNDUP(AQ116/'🎚️ Escenario'!$C$11,0)))))</f>
        <v>0</v>
      </c>
      <c r="AR117" s="236" t="n">
        <f aca="false" t="array" ref="AR117:AR117">IF(AR116=0,0,IF(AR116/'🎚️ Escenario'!$C$11&gt;=36,$AL$23,INDEX($C$23:$AL$23,MAX(1,ROUNDUP(AR116/'🎚️ Escenario'!$C$11,0)))))</f>
        <v>0</v>
      </c>
      <c r="AS117" s="236" t="n">
        <f aca="false" t="array" ref="AS117:AS117">IF(AS116=0,0,IF(AS116/'🎚️ Escenario'!$C$11&gt;=36,$AL$23,INDEX($C$23:$AL$23,MAX(1,ROUNDUP(AS116/'🎚️ Escenario'!$C$11,0)))))</f>
        <v>0</v>
      </c>
      <c r="AT117" s="236" t="n">
        <f aca="false" t="array" ref="AT117:AT117">IF(AT116=0,0,IF(AT116/'🎚️ Escenario'!$C$11&gt;=36,$AL$23,INDEX($C$23:$AL$23,MAX(1,ROUNDUP(AT116/'🎚️ Escenario'!$C$11,0)))))</f>
        <v>0</v>
      </c>
      <c r="AU117" s="236" t="n">
        <f aca="false" t="array" ref="AU117:AU117">IF(AU116=0,0,IF(AU116/'🎚️ Escenario'!$C$11&gt;=36,$AL$23,INDEX($C$23:$AL$23,MAX(1,ROUNDUP(AU116/'🎚️ Escenario'!$C$11,0)))))</f>
        <v>0</v>
      </c>
      <c r="AV117" s="236" t="n">
        <f aca="false" t="array" ref="AV117:AV117">IF(AV116=0,0,IF(AV116/'🎚️ Escenario'!$C$11&gt;=36,$AL$23,INDEX($C$23:$AL$23,MAX(1,ROUNDUP(AV116/'🎚️ Escenario'!$C$11,0)))))</f>
        <v>0</v>
      </c>
      <c r="AW117" s="236" t="n">
        <f aca="false" t="array" ref="AW117:AW117">IF(AW116=0,0,IF(AW116/'🎚️ Escenario'!$C$11&gt;=36,$AL$23,INDEX($C$23:$AL$23,MAX(1,ROUNDUP(AW116/'🎚️ Escenario'!$C$11,0)))))</f>
        <v>0</v>
      </c>
      <c r="AX117" s="236" t="n">
        <f aca="false" t="array" ref="AX117:AX117">IF(AX116=0,0,IF(AX116/'🎚️ Escenario'!$C$11&gt;=36,$AL$23,INDEX($C$23:$AL$23,MAX(1,ROUNDUP(AX116/'🎚️ Escenario'!$C$11,0)))))</f>
        <v>0</v>
      </c>
      <c r="AY117" s="236" t="n">
        <f aca="false" t="array" ref="AY117:AY117">IF(AY116=0,0,IF(AY116/'🎚️ Escenario'!$C$11&gt;=36,$AL$23,INDEX($C$23:$AL$23,MAX(1,ROUNDUP(AY116/'🎚️ Escenario'!$C$11,0)))))</f>
        <v>0</v>
      </c>
      <c r="AZ117" s="236" t="n">
        <f aca="false" t="array" ref="AZ117:AZ117">IF(AZ116=0,0,IF(AZ116/'🎚️ Escenario'!$C$11&gt;=36,$AL$23,INDEX($C$23:$AL$23,MAX(1,ROUNDUP(AZ116/'🎚️ Escenario'!$C$11,0)))))</f>
        <v>0</v>
      </c>
      <c r="BA117" s="236" t="n">
        <f aca="false" t="array" ref="BA117:BA117">IF(BA116=0,0,IF(BA116/'🎚️ Escenario'!$C$11&gt;=36,$AL$23,INDEX($C$23:$AL$23,MAX(1,ROUNDUP(BA116/'🎚️ Escenario'!$C$11,0)))))</f>
        <v>0</v>
      </c>
      <c r="BB117" s="236" t="n">
        <f aca="false" t="array" ref="BB117:BB117">IF(BB116=0,0,IF(BB116/'🎚️ Escenario'!$C$11&gt;=36,$AL$23,INDEX($C$23:$AL$23,MAX(1,ROUNDUP(BB116/'🎚️ Escenario'!$C$11,0)))))</f>
        <v>0</v>
      </c>
      <c r="BC117" s="236" t="n">
        <f aca="false" t="array" ref="BC117:BC117">IF(BC116=0,0,IF(BC116/'🎚️ Escenario'!$C$11&gt;=36,$AL$23,INDEX($C$23:$AL$23,MAX(1,ROUNDUP(BC116/'🎚️ Escenario'!$C$11,0)))))</f>
        <v>0</v>
      </c>
      <c r="BD117" s="236" t="n">
        <f aca="false" t="array" ref="BD117:BD117">IF(BD116=0,0,IF(BD116/'🎚️ Escenario'!$C$11&gt;=36,$AL$23,INDEX($C$23:$AL$23,MAX(1,ROUNDUP(BD116/'🎚️ Escenario'!$C$11,0)))))</f>
        <v>0</v>
      </c>
      <c r="BE117" s="236" t="n">
        <f aca="false" t="array" ref="BE117:BE117">IF(BE116=0,0,IF(BE116/'🎚️ Escenario'!$C$11&gt;=36,$AL$23,INDEX($C$23:$AL$23,MAX(1,ROUNDUP(BE116/'🎚️ Escenario'!$C$11,0)))))</f>
        <v>0</v>
      </c>
      <c r="BF117" s="236" t="n">
        <f aca="false" t="array" ref="BF117:BF117">IF(BF116=0,0,IF(BF116/'🎚️ Escenario'!$C$11&gt;=36,$AL$23,INDEX($C$23:$AL$23,MAX(1,ROUNDUP(BF116/'🎚️ Escenario'!$C$11,0)))))</f>
        <v>0.2</v>
      </c>
      <c r="BG117" s="236" t="n">
        <f aca="false" t="array" ref="BG117:BG117">IF(BG116=0,0,IF(BG116/'🎚️ Escenario'!$C$11&gt;=36,$AL$23,INDEX($C$23:$AL$23,MAX(1,ROUNDUP(BG116/'🎚️ Escenario'!$C$11,0)))))</f>
        <v>0.22</v>
      </c>
      <c r="BH117" s="236" t="n">
        <f aca="false" t="array" ref="BH117:BH117">IF(BH116=0,0,IF(BH116/'🎚️ Escenario'!$C$11&gt;=36,$AL$23,INDEX($C$23:$AL$23,MAX(1,ROUNDUP(BH116/'🎚️ Escenario'!$C$11,0)))))</f>
        <v>0.24</v>
      </c>
      <c r="BI117" s="236" t="n">
        <f aca="false" t="array" ref="BI117:BI117">IF(BI116=0,0,IF(BI116/'🎚️ Escenario'!$C$11&gt;=36,$AL$23,INDEX($C$23:$AL$23,MAX(1,ROUNDUP(BI116/'🎚️ Escenario'!$C$11,0)))))</f>
        <v>0.27</v>
      </c>
      <c r="BJ117" s="236" t="n">
        <f aca="false" t="array" ref="BJ117:BJ117">IF(BJ116=0,0,IF(BJ116/'🎚️ Escenario'!$C$11&gt;=36,$AL$23,INDEX($C$23:$AL$23,MAX(1,ROUNDUP(BJ116/'🎚️ Escenario'!$C$11,0)))))</f>
        <v>0.27</v>
      </c>
      <c r="BK117" s="236" t="n">
        <f aca="false" t="array" ref="BK117:BK117">IF(BK116=0,0,IF(BK116/'🎚️ Escenario'!$C$11&gt;=36,$AL$23,INDEX($C$23:$AL$23,MAX(1,ROUNDUP(BK116/'🎚️ Escenario'!$C$11,0)))))</f>
        <v>0.31</v>
      </c>
      <c r="BL117" s="236" t="n">
        <f aca="false" t="array" ref="BL117:BL117">IF(BL116=0,0,IF(BL116/'🎚️ Escenario'!$C$11&gt;=36,$AL$23,INDEX($C$23:$AL$23,MAX(1,ROUNDUP(BL116/'🎚️ Escenario'!$C$11,0)))))</f>
        <v>0.35</v>
      </c>
      <c r="BM117" s="236" t="n">
        <f aca="false" t="array" ref="BM117:BM117">IF(BM116=0,0,IF(BM116/'🎚️ Escenario'!$C$11&gt;=36,$AL$23,INDEX($C$23:$AL$23,MAX(1,ROUNDUP(BM116/'🎚️ Escenario'!$C$11,0)))))</f>
        <v>0.39</v>
      </c>
      <c r="BN117" s="236" t="n">
        <f aca="false" t="array" ref="BN117:BN117">IF(BN116=0,0,IF(BN116/'🎚️ Escenario'!$C$11&gt;=36,$AL$23,INDEX($C$23:$AL$23,MAX(1,ROUNDUP(BN116/'🎚️ Escenario'!$C$11,0)))))</f>
        <v>0.44</v>
      </c>
      <c r="BO117" s="236" t="n">
        <f aca="false" t="array" ref="BO117:BO117">IF(BO116=0,0,IF(BO116/'🎚️ Escenario'!$C$11&gt;=36,$AL$23,INDEX($C$23:$AL$23,MAX(1,ROUNDUP(BO116/'🎚️ Escenario'!$C$11,0)))))</f>
        <v>0.44</v>
      </c>
      <c r="BP117" s="236" t="n">
        <f aca="false" t="array" ref="BP117:BP117">IF(BP116=0,0,IF(BP116/'🎚️ Escenario'!$C$11&gt;=36,$AL$23,INDEX($C$23:$AL$23,MAX(1,ROUNDUP(BP116/'🎚️ Escenario'!$C$11,0)))))</f>
        <v>0.48</v>
      </c>
      <c r="BQ117" s="236" t="n">
        <f aca="false" t="array" ref="BQ117:BQ117">IF(BQ116=0,0,IF(BQ116/'🎚️ Escenario'!$C$11&gt;=36,$AL$23,INDEX($C$23:$AL$23,MAX(1,ROUNDUP(BQ116/'🎚️ Escenario'!$C$11,0)))))</f>
        <v>0.52</v>
      </c>
      <c r="BR117" s="236" t="n">
        <f aca="false" t="array" ref="BR117:BR117">IF(BR116=0,0,IF(BR116/'🎚️ Escenario'!$C$11&gt;=36,$AL$23,INDEX($C$23:$AL$23,MAX(1,ROUNDUP(BR116/'🎚️ Escenario'!$C$11,0)))))</f>
        <v>0.56</v>
      </c>
      <c r="BS117" s="236" t="n">
        <f aca="false" t="array" ref="BS117:BS117">IF(BS116=0,0,IF(BS116/'🎚️ Escenario'!$C$11&gt;=36,$AL$23,INDEX($C$23:$AL$23,MAX(1,ROUNDUP(BS116/'🎚️ Escenario'!$C$11,0)))))</f>
        <v>0.6</v>
      </c>
      <c r="BT117" s="236" t="n">
        <f aca="false" t="array" ref="BT117:BT117">IF(BT116=0,0,IF(BT116/'🎚️ Escenario'!$C$11&gt;=36,$AL$23,INDEX($C$23:$AL$23,MAX(1,ROUNDUP(BT116/'🎚️ Escenario'!$C$11,0)))))</f>
        <v>0.6</v>
      </c>
      <c r="BU117" s="236" t="n">
        <f aca="false" t="array" ref="BU117:BU117">IF(BU116=0,0,IF(BU116/'🎚️ Escenario'!$C$11&gt;=36,$AL$23,INDEX($C$23:$AL$23,MAX(1,ROUNDUP(BU116/'🎚️ Escenario'!$C$11,0)))))</f>
        <v>0.63</v>
      </c>
      <c r="BV117" s="236" t="n">
        <f aca="false" t="array" ref="BV117:BV117">IF(BV116=0,0,IF(BV116/'🎚️ Escenario'!$C$11&gt;=36,$AL$23,INDEX($C$23:$AL$23,MAX(1,ROUNDUP(BV116/'🎚️ Escenario'!$C$11,0)))))</f>
        <v>0.66</v>
      </c>
      <c r="BW117" s="236" t="n">
        <f aca="false" t="array" ref="BW117:BW117">IF(BW116=0,0,IF(BW116/'🎚️ Escenario'!$C$11&gt;=36,$AL$23,INDEX($C$23:$AL$23,MAX(1,ROUNDUP(BW116/'🎚️ Escenario'!$C$11,0)))))</f>
        <v>0.69</v>
      </c>
      <c r="BX117" s="236" t="n">
        <f aca="false" t="array" ref="BX117:BX117">IF(BX116=0,0,IF(BX116/'🎚️ Escenario'!$C$11&gt;=36,$AL$23,INDEX($C$23:$AL$23,MAX(1,ROUNDUP(BX116/'🎚️ Escenario'!$C$11,0)))))</f>
        <v>0.71</v>
      </c>
      <c r="BY117" s="236" t="n">
        <f aca="false" t="array" ref="BY117:BY117">IF(BY116=0,0,IF(BY116/'🎚️ Escenario'!$C$11&gt;=36,$AL$23,INDEX($C$23:$AL$23,MAX(1,ROUNDUP(BY116/'🎚️ Escenario'!$C$11,0)))))</f>
        <v>0.71</v>
      </c>
      <c r="BZ117" s="236" t="n">
        <f aca="false" t="array" ref="BZ117:BZ117">IF(BZ116=0,0,IF(BZ116/'🎚️ Escenario'!$C$11&gt;=36,$AL$23,INDEX($C$23:$AL$23,MAX(1,ROUNDUP(BZ116/'🎚️ Escenario'!$C$11,0)))))</f>
        <v>0.73</v>
      </c>
      <c r="CA117" s="236" t="n">
        <f aca="false" t="array" ref="CA117:CA117">IF(CA116=0,0,IF(CA116/'🎚️ Escenario'!$C$11&gt;=36,$AL$23,INDEX($C$23:$AL$23,MAX(1,ROUNDUP(CA116/'🎚️ Escenario'!$C$11,0)))))</f>
        <v>0.75</v>
      </c>
      <c r="CB117" s="236" t="n">
        <f aca="false" t="array" ref="CB117:CB117">IF(CB116=0,0,IF(CB116/'🎚️ Escenario'!$C$11&gt;=36,$AL$23,INDEX($C$23:$AL$23,MAX(1,ROUNDUP(CB116/'🎚️ Escenario'!$C$11,0)))))</f>
        <v>0.77</v>
      </c>
      <c r="CC117" s="236" t="n">
        <f aca="false" t="array" ref="CC117:CC117">IF(CC116=0,0,IF(CC116/'🎚️ Escenario'!$C$11&gt;=36,$AL$23,INDEX($C$23:$AL$23,MAX(1,ROUNDUP(CC116/'🎚️ Escenario'!$C$11,0)))))</f>
        <v>0.79</v>
      </c>
      <c r="CD117" s="236" t="n">
        <f aca="false" t="array" ref="CD117:CD117">IF(CD116=0,0,IF(CD116/'🎚️ Escenario'!$C$11&gt;=36,$AL$23,INDEX($C$23:$AL$23,MAX(1,ROUNDUP(CD116/'🎚️ Escenario'!$C$11,0)))))</f>
        <v>0.79</v>
      </c>
      <c r="CE117" s="236" t="n">
        <f aca="false" t="array" ref="CE117:CE117">IF(CE116=0,0,IF(CE116/'🎚️ Escenario'!$C$11&gt;=36,$AL$23,INDEX($C$23:$AL$23,MAX(1,ROUNDUP(CE116/'🎚️ Escenario'!$C$11,0)))))</f>
        <v>0.8</v>
      </c>
      <c r="CF117" s="236" t="n">
        <f aca="false" t="array" ref="CF117:CF117">IF(CF116=0,0,IF(CF116/'🎚️ Escenario'!$C$11&gt;=36,$AL$23,INDEX($C$23:$AL$23,MAX(1,ROUNDUP(CF116/'🎚️ Escenario'!$C$11,0)))))</f>
        <v>0.82</v>
      </c>
      <c r="CG117" s="236" t="n">
        <f aca="false" t="array" ref="CG117:CG117">IF(CG116=0,0,IF(CG116/'🎚️ Escenario'!$C$11&gt;=36,$AL$23,INDEX($C$23:$AL$23,MAX(1,ROUNDUP(CG116/'🎚️ Escenario'!$C$11,0)))))</f>
        <v>0.84</v>
      </c>
      <c r="CH117" s="236" t="n">
        <f aca="false" t="array" ref="CH117:CH117">IF(CH116=0,0,IF(CH116/'🎚️ Escenario'!$C$11&gt;=36,$AL$23,INDEX($C$23:$AL$23,MAX(1,ROUNDUP(CH116/'🎚️ Escenario'!$C$11,0)))))</f>
        <v>0.85</v>
      </c>
      <c r="CI117" s="236" t="n">
        <f aca="false" t="array" ref="CI117:CI117">IF(CI116=0,0,IF(CI116/'🎚️ Escenario'!$C$11&gt;=36,$AL$23,INDEX($C$23:$AL$23,MAX(1,ROUNDUP(CI116/'🎚️ Escenario'!$C$11,0)))))</f>
        <v>0.85</v>
      </c>
      <c r="CJ117" s="236" t="n">
        <f aca="false" t="array" ref="CJ117:CJ117">IF(CJ116=0,0,IF(CJ116/'🎚️ Escenario'!$C$11&gt;=36,$AL$23,INDEX($C$23:$AL$23,MAX(1,ROUNDUP(CJ116/'🎚️ Escenario'!$C$11,0)))))</f>
        <v>0.86</v>
      </c>
      <c r="CK117" s="236" t="n">
        <f aca="false" t="array" ref="CK117:CK117">IF(CK116=0,0,IF(CK116/'🎚️ Escenario'!$C$11&gt;=36,$AL$23,INDEX($C$23:$AL$23,MAX(1,ROUNDUP(CK116/'🎚️ Escenario'!$C$11,0)))))</f>
        <v>0.88</v>
      </c>
      <c r="CL117" s="236" t="n">
        <f aca="false" t="array" ref="CL117:CL117">IF(CL116=0,0,IF(CL116/'🎚️ Escenario'!$C$11&gt;=36,$AL$23,INDEX($C$23:$AL$23,MAX(1,ROUNDUP(CL116/'🎚️ Escenario'!$C$11,0)))))</f>
        <v>0.89</v>
      </c>
      <c r="CM117" s="236" t="n">
        <f aca="false" t="array" ref="CM117:CM117">IF(CM116=0,0,IF(CM116/'🎚️ Escenario'!$C$11&gt;=36,$AL$23,INDEX($C$23:$AL$23,MAX(1,ROUNDUP(CM116/'🎚️ Escenario'!$C$11,0)))))</f>
        <v>0.9</v>
      </c>
      <c r="CN117" s="236" t="n">
        <f aca="false" t="array" ref="CN117:CN117">IF(CN116=0,0,IF(CN116/'🎚️ Escenario'!$C$11&gt;=36,$AL$23,INDEX($C$23:$AL$23,MAX(1,ROUNDUP(CN116/'🎚️ Escenario'!$C$11,0)))))</f>
        <v>0.9</v>
      </c>
      <c r="CO117" s="236" t="n">
        <f aca="false" t="array" ref="CO117:CO117">IF(CO116=0,0,IF(CO116/'🎚️ Escenario'!$C$11&gt;=36,$AL$23,INDEX($C$23:$AL$23,MAX(1,ROUNDUP(CO116/'🎚️ Escenario'!$C$11,0)))))</f>
        <v>0.92</v>
      </c>
      <c r="CP117" s="236" t="n">
        <f aca="false" t="array" ref="CP117:CP117">IF(CP116=0,0,IF(CP116/'🎚️ Escenario'!$C$11&gt;=36,$AL$23,INDEX($C$23:$AL$23,MAX(1,ROUNDUP(CP116/'🎚️ Escenario'!$C$11,0)))))</f>
        <v>0.93</v>
      </c>
      <c r="CQ117" s="236" t="n">
        <f aca="false" t="array" ref="CQ117:CQ117">IF(CQ116=0,0,IF(CQ116/'🎚️ Escenario'!$C$11&gt;=36,$AL$23,INDEX($C$23:$AL$23,MAX(1,ROUNDUP(CQ116/'🎚️ Escenario'!$C$11,0)))))</f>
        <v>0.94</v>
      </c>
      <c r="CR117" s="236" t="n">
        <f aca="false" t="array" ref="CR117:CR117">IF(CR116=0,0,IF(CR116/'🎚️ Escenario'!$C$11&gt;=36,$AL$23,INDEX($C$23:$AL$23,MAX(1,ROUNDUP(CR116/'🎚️ Escenario'!$C$11,0)))))</f>
        <v>0.95</v>
      </c>
      <c r="CS117" s="236" t="n">
        <f aca="false" t="array" ref="CS117:CS117">IF(CS116=0,0,IF(CS116/'🎚️ Escenario'!$C$11&gt;=36,$AL$23,INDEX($C$23:$AL$23,MAX(1,ROUNDUP(CS116/'🎚️ Escenario'!$C$11,0)))))</f>
        <v>0.95</v>
      </c>
      <c r="CT117" s="236" t="n">
        <f aca="false" t="array" ref="CT117:CT117">IF(CT116=0,0,IF(CT116/'🎚️ Escenario'!$C$11&gt;=36,$AL$23,INDEX($C$23:$AL$23,MAX(1,ROUNDUP(CT116/'🎚️ Escenario'!$C$11,0)))))</f>
        <v>0.97</v>
      </c>
      <c r="CU117" s="236" t="n">
        <f aca="false" t="array" ref="CU117:CU117">IF(CU116=0,0,IF(CU116/'🎚️ Escenario'!$C$11&gt;=36,$AL$23,INDEX($C$23:$AL$23,MAX(1,ROUNDUP(CU116/'🎚️ Escenario'!$C$11,0)))))</f>
        <v>0.98</v>
      </c>
      <c r="CV117" s="236" t="n">
        <f aca="false" t="array" ref="CV117:CV117">IF(CV116=0,0,IF(CV116/'🎚️ Escenario'!$C$11&gt;=36,$AL$23,INDEX($C$23:$AL$23,MAX(1,ROUNDUP(CV116/'🎚️ Escenario'!$C$11,0)))))</f>
        <v>0.99</v>
      </c>
      <c r="CW117" s="236" t="n">
        <f aca="false" t="array" ref="CW117:CW117">IF(CW116=0,0,IF(CW116/'🎚️ Escenario'!$C$11&gt;=36,$AL$23,INDEX($C$23:$AL$23,MAX(1,ROUNDUP(CW116/'🎚️ Escenario'!$C$11,0)))))</f>
        <v>1</v>
      </c>
      <c r="CX117" s="236" t="n">
        <f aca="false" t="array" ref="CX117:CX117">IF(CX116=0,0,IF(CX116/'🎚️ Escenario'!$C$11&gt;=36,$AL$23,INDEX($C$23:$AL$23,MAX(1,ROUNDUP(CX116/'🎚️ Escenario'!$C$11,0)))))</f>
        <v>1</v>
      </c>
      <c r="CY117" s="236" t="n">
        <f aca="false" t="array" ref="CY117:CY117">IF(CY116=0,0,IF(CY116/'🎚️ Escenario'!$C$11&gt;=36,$AL$23,INDEX($C$23:$AL$23,MAX(1,ROUNDUP(CY116/'🎚️ Escenario'!$C$11,0)))))</f>
        <v>1</v>
      </c>
      <c r="CZ117" s="236" t="n">
        <f aca="false" t="array" ref="CZ117:CZ117">IF(CZ116=0,0,IF(CZ116/'🎚️ Escenario'!$C$11&gt;=36,$AL$23,INDEX($C$23:$AL$23,MAX(1,ROUNDUP(CZ116/'🎚️ Escenario'!$C$11,0)))))</f>
        <v>1</v>
      </c>
      <c r="DA117" s="236" t="n">
        <f aca="false" t="array" ref="DA117:DA117">IF(DA116=0,0,IF(DA116/'🎚️ Escenario'!$C$11&gt;=36,$AL$23,INDEX($C$23:$AL$23,MAX(1,ROUNDUP(DA116/'🎚️ Escenario'!$C$11,0)))))</f>
        <v>1</v>
      </c>
      <c r="DB117" s="236" t="n">
        <f aca="false" t="array" ref="DB117:DB117">IF(DB116=0,0,IF(DB116/'🎚️ Escenario'!$C$11&gt;=36,$AL$23,INDEX($C$23:$AL$23,MAX(1,ROUNDUP(DB116/'🎚️ Escenario'!$C$11,0)))))</f>
        <v>1</v>
      </c>
      <c r="DC117" s="236" t="n">
        <f aca="false" t="array" ref="DC117:DC117">IF(DC116=0,0,IF(DC116/'🎚️ Escenario'!$C$11&gt;=36,$AL$23,INDEX($C$23:$AL$23,MAX(1,ROUNDUP(DC116/'🎚️ Escenario'!$C$11,0)))))</f>
        <v>1</v>
      </c>
      <c r="DD117" s="236" t="n">
        <f aca="false" t="array" ref="DD117:DD117">IF(DD116=0,0,IF(DD116/'🎚️ Escenario'!$C$11&gt;=36,$AL$23,INDEX($C$23:$AL$23,MAX(1,ROUNDUP(DD116/'🎚️ Escenario'!$C$11,0)))))</f>
        <v>1</v>
      </c>
      <c r="DE117" s="236" t="n">
        <f aca="false" t="array" ref="DE117:DE117">IF(DE116=0,0,IF(DE116/'🎚️ Escenario'!$C$11&gt;=36,$AL$23,INDEX($C$23:$AL$23,MAX(1,ROUNDUP(DE116/'🎚️ Escenario'!$C$11,0)))))</f>
        <v>1</v>
      </c>
      <c r="DF117" s="236" t="n">
        <f aca="false" t="array" ref="DF117:DF117">IF(DF116=0,0,IF(DF116/'🎚️ Escenario'!$C$11&gt;=36,$AL$23,INDEX($C$23:$AL$23,MAX(1,ROUNDUP(DF116/'🎚️ Escenario'!$C$11,0)))))</f>
        <v>1</v>
      </c>
      <c r="DG117" s="236" t="n">
        <f aca="false" t="array" ref="DG117:DG117">IF(DG116=0,0,IF(DG116/'🎚️ Escenario'!$C$11&gt;=36,$AL$23,INDEX($C$23:$AL$23,MAX(1,ROUNDUP(DG116/'🎚️ Escenario'!$C$11,0)))))</f>
        <v>1</v>
      </c>
      <c r="DH117" s="236" t="n">
        <f aca="false" t="array" ref="DH117:DH117">IF(DH116=0,0,IF(DH116/'🎚️ Escenario'!$C$11&gt;=36,$AL$23,INDEX($C$23:$AL$23,MAX(1,ROUNDUP(DH116/'🎚️ Escenario'!$C$11,0)))))</f>
        <v>1</v>
      </c>
      <c r="DI117" s="236" t="n">
        <f aca="false" t="array" ref="DI117:DI117">IF(DI116=0,0,IF(DI116/'🎚️ Escenario'!$C$11&gt;=36,$AL$23,INDEX($C$23:$AL$23,MAX(1,ROUNDUP(DI116/'🎚️ Escenario'!$C$11,0)))))</f>
        <v>1</v>
      </c>
      <c r="DJ117" s="236" t="n">
        <f aca="false" t="array" ref="DJ117:DJ117">IF(DJ116=0,0,IF(DJ116/'🎚️ Escenario'!$C$11&gt;=36,$AL$23,INDEX($C$23:$AL$23,MAX(1,ROUNDUP(DJ116/'🎚️ Escenario'!$C$11,0)))))</f>
        <v>1</v>
      </c>
      <c r="DK117" s="236" t="n">
        <f aca="false" t="array" ref="DK117:DK117">IF(DK116=0,0,IF(DK116/'🎚️ Escenario'!$C$11&gt;=36,$AL$23,INDEX($C$23:$AL$23,MAX(1,ROUNDUP(DK116/'🎚️ Escenario'!$C$11,0)))))</f>
        <v>1</v>
      </c>
      <c r="DL117" s="236" t="n">
        <f aca="false" t="array" ref="DL117:DL117">IF(DL116=0,0,IF(DL116/'🎚️ Escenario'!$C$11&gt;=36,$AL$23,INDEX($C$23:$AL$23,MAX(1,ROUNDUP(DL116/'🎚️ Escenario'!$C$11,0)))))</f>
        <v>1</v>
      </c>
      <c r="DM117" s="236" t="n">
        <f aca="false" t="array" ref="DM117:DM117">IF(DM116=0,0,IF(DM116/'🎚️ Escenario'!$C$11&gt;=36,$AL$23,INDEX($C$23:$AL$23,MAX(1,ROUNDUP(DM116/'🎚️ Escenario'!$C$11,0)))))</f>
        <v>1</v>
      </c>
      <c r="DN117" s="236" t="n">
        <f aca="false" t="array" ref="DN117:DN117">IF(DN116=0,0,IF(DN116/'🎚️ Escenario'!$C$11&gt;=36,$AL$23,INDEX($C$23:$AL$23,MAX(1,ROUNDUP(DN116/'🎚️ Escenario'!$C$11,0)))))</f>
        <v>1</v>
      </c>
      <c r="DO117" s="236" t="n">
        <f aca="false" t="array" ref="DO117:DO117">IF(DO116=0,0,IF(DO116/'🎚️ Escenario'!$C$11&gt;=36,$AL$23,INDEX($C$23:$AL$23,MAX(1,ROUNDUP(DO116/'🎚️ Escenario'!$C$11,0)))))</f>
        <v>1</v>
      </c>
      <c r="DP117" s="236" t="n">
        <f aca="false" t="array" ref="DP117:DP117">IF(DP116=0,0,IF(DP116/'🎚️ Escenario'!$C$11&gt;=36,$AL$23,INDEX($C$23:$AL$23,MAX(1,ROUNDUP(DP116/'🎚️ Escenario'!$C$11,0)))))</f>
        <v>1</v>
      </c>
      <c r="DQ117" s="236" t="n">
        <f aca="false" t="array" ref="DQ117:DQ117">IF(DQ116=0,0,IF(DQ116/'🎚️ Escenario'!$C$11&gt;=36,$AL$23,INDEX($C$23:$AL$23,MAX(1,ROUNDUP(DQ116/'🎚️ Escenario'!$C$11,0)))))</f>
        <v>1</v>
      </c>
      <c r="DR117" s="236" t="n">
        <f aca="false" t="array" ref="DR117:DR117">IF(DR116=0,0,IF(DR116/'🎚️ Escenario'!$C$11&gt;=36,$AL$23,INDEX($C$23:$AL$23,MAX(1,ROUNDUP(DR116/'🎚️ Escenario'!$C$11,0)))))</f>
        <v>1</v>
      </c>
      <c r="DS117" s="236" t="n">
        <f aca="false" t="array" ref="DS117:DS117">IF(DS116=0,0,IF(DS116/'🎚️ Escenario'!$C$11&gt;=36,$AL$23,INDEX($C$23:$AL$23,MAX(1,ROUNDUP(DS116/'🎚️ Escenario'!$C$11,0)))))</f>
        <v>1</v>
      </c>
      <c r="DT117" s="236" t="n">
        <f aca="false" t="array" ref="DT117:DT117">IF(DT116=0,0,IF(DT116/'🎚️ Escenario'!$C$11&gt;=36,$AL$23,INDEX($C$23:$AL$23,MAX(1,ROUNDUP(DT116/'🎚️ Escenario'!$C$11,0)))))</f>
        <v>1</v>
      </c>
      <c r="DU117" s="236" t="n">
        <f aca="false" t="array" ref="DU117:DU117">IF(DU116=0,0,IF(DU116/'🎚️ Escenario'!$C$11&gt;=36,$AL$23,INDEX($C$23:$AL$23,MAX(1,ROUNDUP(DU116/'🎚️ Escenario'!$C$11,0)))))</f>
        <v>1</v>
      </c>
      <c r="DV117" s="236" t="n">
        <f aca="false" t="array" ref="DV117:DV117">IF(DV116=0,0,IF(DV116/'🎚️ Escenario'!$C$11&gt;=36,$AL$23,INDEX($C$23:$AL$23,MAX(1,ROUNDUP(DV116/'🎚️ Escenario'!$C$11,0)))))</f>
        <v>1</v>
      </c>
      <c r="DW117" s="236" t="n">
        <f aca="false" t="array" ref="DW117:DW117">IF(DW116=0,0,IF(DW116/'🎚️ Escenario'!$C$11&gt;=36,$AL$23,INDEX($C$23:$AL$23,MAX(1,ROUNDUP(DW116/'🎚️ Escenario'!$C$11,0)))))</f>
        <v>1</v>
      </c>
      <c r="DX117" s="236" t="n">
        <f aca="false" t="array" ref="DX117:DX117">IF(DX116=0,0,IF(DX116/'🎚️ Escenario'!$C$11&gt;=36,$AL$23,INDEX($C$23:$AL$23,MAX(1,ROUNDUP(DX116/'🎚️ Escenario'!$C$11,0)))))</f>
        <v>1</v>
      </c>
      <c r="DY117" s="236" t="n">
        <f aca="false" t="array" ref="DY117:DY117">IF(DY116=0,0,IF(DY116/'🎚️ Escenario'!$C$11&gt;=36,$AL$23,INDEX($C$23:$AL$23,MAX(1,ROUNDUP(DY116/'🎚️ Escenario'!$C$11,0)))))</f>
        <v>1</v>
      </c>
      <c r="DZ117" s="236" t="n">
        <f aca="false" t="array" ref="DZ117:DZ117">IF(DZ116=0,0,IF(DZ116/'🎚️ Escenario'!$C$11&gt;=36,$AL$23,INDEX($C$23:$AL$23,MAX(1,ROUNDUP(DZ116/'🎚️ Escenario'!$C$11,0)))))</f>
        <v>1</v>
      </c>
      <c r="EA117" s="236" t="n">
        <f aca="false" t="array" ref="EA117:EA117">IF(EA116=0,0,IF(EA116/'🎚️ Escenario'!$C$11&gt;=36,$AL$23,INDEX($C$23:$AL$23,MAX(1,ROUNDUP(EA116/'🎚️ Escenario'!$C$11,0)))))</f>
        <v>1</v>
      </c>
      <c r="EB117" s="236" t="n">
        <f aca="false" t="array" ref="EB117:EB117">IF(EB116=0,0,IF(EB116/'🎚️ Escenario'!$C$11&gt;=36,$AL$23,INDEX($C$23:$AL$23,MAX(1,ROUNDUP(EB116/'🎚️ Escenario'!$C$11,0)))))</f>
        <v>1</v>
      </c>
      <c r="EC117" s="236" t="n">
        <f aca="false" t="array" ref="EC117:EC117">IF(EC116=0,0,IF(EC116/'🎚️ Escenario'!$C$11&gt;=36,$AL$23,INDEX($C$23:$AL$23,MAX(1,ROUNDUP(EC116/'🎚️ Escenario'!$C$11,0)))))</f>
        <v>1</v>
      </c>
      <c r="ED117" s="236" t="n">
        <f aca="false" t="array" ref="ED117:ED117">IF(ED116=0,0,IF(ED116/'🎚️ Escenario'!$C$11&gt;=36,$AL$23,INDEX($C$23:$AL$23,MAX(1,ROUNDUP(ED116/'🎚️ Escenario'!$C$11,0)))))</f>
        <v>1</v>
      </c>
      <c r="EE117" s="236" t="n">
        <f aca="false" t="array" ref="EE117:EE117">IF(EE116=0,0,IF(EE116/'🎚️ Escenario'!$C$11&gt;=36,$AL$23,INDEX($C$23:$AL$23,MAX(1,ROUNDUP(EE116/'🎚️ Escenario'!$C$11,0)))))</f>
        <v>1</v>
      </c>
      <c r="EF117" s="236" t="n">
        <f aca="false" t="array" ref="EF117:EF117">IF(EF116=0,0,IF(EF116/'🎚️ Escenario'!$C$11&gt;=36,$AL$23,INDEX($C$23:$AL$23,MAX(1,ROUNDUP(EF116/'🎚️ Escenario'!$C$11,0)))))</f>
        <v>1</v>
      </c>
      <c r="EG117" s="236" t="n">
        <f aca="false" t="array" ref="EG117:EG117">IF(EG116=0,0,IF(EG116/'🎚️ Escenario'!$C$11&gt;=36,$AL$23,INDEX($C$23:$AL$23,MAX(1,ROUNDUP(EG116/'🎚️ Escenario'!$C$11,0)))))</f>
        <v>1</v>
      </c>
      <c r="EH117" s="236" t="n">
        <f aca="false" t="array" ref="EH117:EH117">IF(EH116=0,0,IF(EH116/'🎚️ Escenario'!$C$11&gt;=36,$AL$23,INDEX($C$23:$AL$23,MAX(1,ROUNDUP(EH116/'🎚️ Escenario'!$C$11,0)))))</f>
        <v>1</v>
      </c>
      <c r="EI117" s="236" t="n">
        <f aca="false" t="array" ref="EI117:EI117">IF(EI116=0,0,IF(EI116/'🎚️ Escenario'!$C$11&gt;=36,$AL$23,INDEX($C$23:$AL$23,MAX(1,ROUNDUP(EI116/'🎚️ Escenario'!$C$11,0)))))</f>
        <v>1</v>
      </c>
      <c r="EJ117" s="236" t="n">
        <f aca="false" t="array" ref="EJ117:EJ117">IF(EJ116=0,0,IF(EJ116/'🎚️ Escenario'!$C$11&gt;=36,$AL$23,INDEX($C$23:$AL$23,MAX(1,ROUNDUP(EJ116/'🎚️ Escenario'!$C$11,0)))))</f>
        <v>1</v>
      </c>
      <c r="EK117" s="236" t="n">
        <f aca="false" t="array" ref="EK117:EK117">IF(EK116=0,0,IF(EK116/'🎚️ Escenario'!$C$11&gt;=36,$AL$23,INDEX($C$23:$AL$23,MAX(1,ROUNDUP(EK116/'🎚️ Escenario'!$C$11,0)))))</f>
        <v>1</v>
      </c>
      <c r="EL117" s="236" t="n">
        <f aca="false" t="array" ref="EL117:EL117">IF(EL116=0,0,IF(EL116/'🎚️ Escenario'!$C$11&gt;=36,$AL$23,INDEX($C$23:$AL$23,MAX(1,ROUNDUP(EL116/'🎚️ Escenario'!$C$11,0)))))</f>
        <v>1</v>
      </c>
      <c r="EM117" s="236" t="n">
        <f aca="false" t="array" ref="EM117:EM117">IF(EM116=0,0,IF(EM116/'🎚️ Escenario'!$C$11&gt;=36,$AL$23,INDEX($C$23:$AL$23,MAX(1,ROUNDUP(EM116/'🎚️ Escenario'!$C$11,0)))))</f>
        <v>1</v>
      </c>
      <c r="EN117" s="236" t="n">
        <f aca="false" t="array" ref="EN117:EN117">IF(EN116=0,0,IF(EN116/'🎚️ Escenario'!$C$11&gt;=36,$AL$23,INDEX($C$23:$AL$23,MAX(1,ROUNDUP(EN116/'🎚️ Escenario'!$C$11,0)))))</f>
        <v>1</v>
      </c>
      <c r="EO117" s="236" t="n">
        <f aca="false" t="array" ref="EO117:EO117">IF(EO116=0,0,IF(EO116/'🎚️ Escenario'!$C$11&gt;=36,$AL$23,INDEX($C$23:$AL$23,MAX(1,ROUNDUP(EO116/'🎚️ Escenario'!$C$11,0)))))</f>
        <v>1</v>
      </c>
      <c r="EP117" s="236" t="n">
        <f aca="false" t="array" ref="EP117:EP117">IF(EP116=0,0,IF(EP116/'🎚️ Escenario'!$C$11&gt;=36,$AL$23,INDEX($C$23:$AL$23,MAX(1,ROUNDUP(EP116/'🎚️ Escenario'!$C$11,0)))))</f>
        <v>1</v>
      </c>
      <c r="EQ117" s="236" t="n">
        <f aca="false" t="array" ref="EQ117:EQ117">IF(EQ116=0,0,IF(EQ116/'🎚️ Escenario'!$C$11&gt;=36,$AL$23,INDEX($C$23:$AL$23,MAX(1,ROUNDUP(EQ116/'🎚️ Escenario'!$C$11,0)))))</f>
        <v>1</v>
      </c>
      <c r="ER117" s="236" t="n">
        <f aca="false" t="array" ref="ER117:ER117">IF(ER116=0,0,IF(ER116/'🎚️ Escenario'!$C$11&gt;=36,$AL$23,INDEX($C$23:$AL$23,MAX(1,ROUNDUP(ER116/'🎚️ Escenario'!$C$11,0)))))</f>
        <v>1</v>
      </c>
      <c r="ES117" s="9" t="n">
        <f aca="false" t="array" ref="ES117:ES117">IF(ES116=0,0,IF(ES116/'🎚️ Escenario'!$C$11&gt;=36,$AL$23,INDEX($C$23:$AL$23,MAX(1,ROUNDUP(ES116/'🎚️ Escenario'!$C$11,0)))))</f>
        <v>1</v>
      </c>
      <c r="ET117" s="9" t="n">
        <f aca="false" t="array" ref="ET117:ET117">IF(ET116=0,0,IF(ET116/'🎚️ Escenario'!$C$11&gt;=36,$AL$23,INDEX($C$23:$AL$23,MAX(1,ROUNDUP(ET116/'🎚️ Escenario'!$C$11,0)))))</f>
        <v>1</v>
      </c>
      <c r="EU117" s="9" t="n">
        <f aca="false" t="array" ref="EU117:EU117">IF(EU116=0,0,IF(EU116/'🎚️ Escenario'!$C$11&gt;=36,$AL$23,INDEX($C$23:$AL$23,MAX(1,ROUNDUP(EU116/'🎚️ Escenario'!$C$11,0)))))</f>
        <v>1</v>
      </c>
      <c r="EV117" s="9" t="n">
        <f aca="false" t="array" ref="EV117:EV117">IF(EV116=0,0,IF(EV116/'🎚️ Escenario'!$C$11&gt;=36,$AL$23,INDEX($C$23:$AL$23,MAX(1,ROUNDUP(EV116/'🎚️ Escenario'!$C$11,0)))))</f>
        <v>1</v>
      </c>
      <c r="EW117" s="9" t="n">
        <f aca="false" t="array" ref="EW117:EW117">IF(EW116=0,0,IF(EW116/'🎚️ Escenario'!$C$11&gt;=36,$AL$23,INDEX($C$23:$AL$23,MAX(1,ROUNDUP(EW116/'🎚️ Escenario'!$C$11,0)))))</f>
        <v>1</v>
      </c>
      <c r="EX117" s="9" t="n">
        <f aca="false" t="array" ref="EX117:EX117">IF(EX116=0,0,IF(EX116/'🎚️ Escenario'!$C$11&gt;=36,$AL$23,INDEX($C$23:$AL$23,MAX(1,ROUNDUP(EX116/'🎚️ Escenario'!$C$11,0)))))</f>
        <v>1</v>
      </c>
      <c r="EY117" s="9" t="n">
        <f aca="false" t="array" ref="EY117:EY117">IF(EY116=0,0,IF(EY116/'🎚️ Escenario'!$C$11&gt;=36,$AL$23,INDEX($C$23:$AL$23,MAX(1,ROUNDUP(EY116/'🎚️ Escenario'!$C$11,0)))))</f>
        <v>1</v>
      </c>
      <c r="EZ117" s="9" t="n">
        <f aca="false" t="array" ref="EZ117:EZ117">IF(EZ116=0,0,IF(EZ116/'🎚️ Escenario'!$C$11&gt;=36,$AL$23,INDEX($C$23:$AL$23,MAX(1,ROUNDUP(EZ116/'🎚️ Escenario'!$C$11,0)))))</f>
        <v>1</v>
      </c>
      <c r="FA117" s="9" t="n">
        <f aca="false" t="array" ref="FA117:FA117">IF(FA116=0,0,IF(FA116/'🎚️ Escenario'!$C$11&gt;=36,$AL$23,INDEX($C$23:$AL$23,MAX(1,ROUNDUP(FA116/'🎚️ Escenario'!$C$11,0)))))</f>
        <v>1</v>
      </c>
      <c r="FB117" s="9" t="n">
        <f aca="false" t="array" ref="FB117:FB117">IF(FB116=0,0,IF(FB116/'🎚️ Escenario'!$C$11&gt;=36,$AL$23,INDEX($C$23:$AL$23,MAX(1,ROUNDUP(FB116/'🎚️ Escenario'!$C$11,0)))))</f>
        <v>1</v>
      </c>
      <c r="FC117" s="9" t="n">
        <f aca="false" t="array" ref="FC117:FC117">IF(FC116=0,0,IF(FC116/'🎚️ Escenario'!$C$11&gt;=36,$AL$23,INDEX($C$23:$AL$23,MAX(1,ROUNDUP(FC116/'🎚️ Escenario'!$C$11,0)))))</f>
        <v>1</v>
      </c>
      <c r="FD117" s="9" t="n">
        <f aca="false" t="array" ref="FD117:FD117">IF(FD116=0,0,IF(FD116/'🎚️ Escenario'!$C$11&gt;=36,$AL$23,INDEX($C$23:$AL$23,MAX(1,ROUNDUP(FD116/'🎚️ Escenario'!$C$11,0)))))</f>
        <v>1</v>
      </c>
      <c r="FE117" s="9" t="n">
        <f aca="false" t="array" ref="FE117:FE117">IF(FE116=0,0,IF(FE116/'🎚️ Escenario'!$C$11&gt;=36,$AL$23,INDEX($C$23:$AL$23,MAX(1,ROUNDUP(FE116/'🎚️ Escenario'!$C$11,0)))))</f>
        <v>1</v>
      </c>
      <c r="FF117" s="9" t="n">
        <f aca="false" t="array" ref="FF117:FF117">IF(FF116=0,0,IF(FF116/'🎚️ Escenario'!$C$11&gt;=36,$AL$23,INDEX($C$23:$AL$23,MAX(1,ROUNDUP(FF116/'🎚️ Escenario'!$C$11,0)))))</f>
        <v>1</v>
      </c>
      <c r="FG117" s="9" t="n">
        <f aca="false" t="array" ref="FG117:FG117">IF(FG116=0,0,IF(FG116/'🎚️ Escenario'!$C$11&gt;=36,$AL$23,INDEX($C$23:$AL$23,MAX(1,ROUNDUP(FG116/'🎚️ Escenario'!$C$11,0)))))</f>
        <v>1</v>
      </c>
      <c r="FH117" s="9" t="n">
        <f aca="false" t="array" ref="FH117:FH117">IF(FH116=0,0,IF(FH116/'🎚️ Escenario'!$C$11&gt;=36,$AL$23,INDEX($C$23:$AL$23,MAX(1,ROUNDUP(FH116/'🎚️ Escenario'!$C$11,0)))))</f>
        <v>1</v>
      </c>
      <c r="FI117" s="9" t="n">
        <f aca="false" t="array" ref="FI117:FI117">IF(FI116=0,0,IF(FI116/'🎚️ Escenario'!$C$11&gt;=36,$AL$23,INDEX($C$23:$AL$23,MAX(1,ROUNDUP(FI116/'🎚️ Escenario'!$C$11,0)))))</f>
        <v>1</v>
      </c>
      <c r="FJ117" s="9" t="n">
        <f aca="false" t="array" ref="FJ117:FJ117">IF(FJ116=0,0,IF(FJ116/'🎚️ Escenario'!$C$11&gt;=36,$AL$23,INDEX($C$23:$AL$23,MAX(1,ROUNDUP(FJ116/'🎚️ Escenario'!$C$11,0)))))</f>
        <v>1</v>
      </c>
      <c r="FK117" s="9" t="n">
        <f aca="false" t="array" ref="FK117:FK117">IF(FK116=0,0,IF(FK116/'🎚️ Escenario'!$C$11&gt;=36,$AL$23,INDEX($C$23:$AL$23,MAX(1,ROUNDUP(FK116/'🎚️ Escenario'!$C$11,0)))))</f>
        <v>1</v>
      </c>
      <c r="FL117" s="9" t="n">
        <f aca="false" t="array" ref="FL117:FL117">IF(FL116=0,0,IF(FL116/'🎚️ Escenario'!$C$11&gt;=36,$AL$23,INDEX($C$23:$AL$23,MAX(1,ROUNDUP(FL116/'🎚️ Escenario'!$C$11,0)))))</f>
        <v>1</v>
      </c>
      <c r="FM117" s="9" t="n">
        <f aca="false" t="array" ref="FM117:FM117">IF(FM116=0,0,IF(FM116/'🎚️ Escenario'!$C$11&gt;=36,$AL$23,INDEX($C$23:$AL$23,MAX(1,ROUNDUP(FM116/'🎚️ Escenario'!$C$11,0)))))</f>
        <v>1</v>
      </c>
      <c r="FN117" s="9" t="n">
        <f aca="false" t="array" ref="FN117:FN117">IF(FN116=0,0,IF(FN116/'🎚️ Escenario'!$C$11&gt;=36,$AL$23,INDEX($C$23:$AL$23,MAX(1,ROUNDUP(FN116/'🎚️ Escenario'!$C$11,0)))))</f>
        <v>1</v>
      </c>
      <c r="FO117" s="9" t="n">
        <f aca="false" t="array" ref="FO117:FO117">IF(FO116=0,0,IF(FO116/'🎚️ Escenario'!$C$11&gt;=36,$AL$23,INDEX($C$23:$AL$23,MAX(1,ROUNDUP(FO116/'🎚️ Escenario'!$C$11,0)))))</f>
        <v>1</v>
      </c>
      <c r="FP117" s="9" t="n">
        <f aca="false" t="array" ref="FP117:FP117">IF(FP116=0,0,IF(FP116/'🎚️ Escenario'!$C$11&gt;=36,$AL$23,INDEX($C$23:$AL$23,MAX(1,ROUNDUP(FP116/'🎚️ Escenario'!$C$11,0)))))</f>
        <v>1</v>
      </c>
    </row>
    <row r="118" customFormat="false" ht="15" hidden="false" customHeight="false" outlineLevel="2" collapsed="false">
      <c r="B118" s="9" t="s">
        <v>875</v>
      </c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237" t="n">
        <f aca="false">IF(AC116=0,0,IF(AC116&lt;=12*'🎚️ Escenario'!$C$11,1,1+$C$6))</f>
        <v>0</v>
      </c>
      <c r="AD118" s="237" t="n">
        <f aca="false">IF(AD116=0,0,IF(AD116&lt;=12*'🎚️ Escenario'!$C$11,1,1+$C$6))</f>
        <v>0</v>
      </c>
      <c r="AE118" s="237" t="n">
        <f aca="false">IF(AE116=0,0,IF(AE116&lt;=12*'🎚️ Escenario'!$C$11,1,1+$C$6))</f>
        <v>0</v>
      </c>
      <c r="AF118" s="237" t="n">
        <f aca="false">IF(AF116=0,0,IF(AF116&lt;=12*'🎚️ Escenario'!$C$11,1,1+$C$6))</f>
        <v>0</v>
      </c>
      <c r="AG118" s="237" t="n">
        <f aca="false">IF(AG116=0,0,IF(AG116&lt;=12*'🎚️ Escenario'!$C$11,1,1+$C$6))</f>
        <v>0</v>
      </c>
      <c r="AH118" s="237" t="n">
        <f aca="false">IF(AH116=0,0,IF(AH116&lt;=12*'🎚️ Escenario'!$C$11,1,1+$C$6))</f>
        <v>0</v>
      </c>
      <c r="AI118" s="237" t="n">
        <f aca="false">IF(AI116=0,0,IF(AI116&lt;=12*'🎚️ Escenario'!$C$11,1,1+$C$6))</f>
        <v>0</v>
      </c>
      <c r="AJ118" s="237" t="n">
        <f aca="false">IF(AJ116=0,0,IF(AJ116&lt;=12*'🎚️ Escenario'!$C$11,1,1+$C$6))</f>
        <v>0</v>
      </c>
      <c r="AK118" s="237" t="n">
        <f aca="false">IF(AK116=0,0,IF(AK116&lt;=12*'🎚️ Escenario'!$C$11,1,1+$C$6))</f>
        <v>0</v>
      </c>
      <c r="AL118" s="237" t="n">
        <f aca="false">IF(AL116=0,0,IF(AL116&lt;=12*'🎚️ Escenario'!$C$11,1,1+$C$6))</f>
        <v>0</v>
      </c>
      <c r="AM118" s="237" t="n">
        <f aca="false">IF(AM116=0,0,IF(AM116&lt;=12*'🎚️ Escenario'!$C$11,1,1+$C$6))</f>
        <v>0</v>
      </c>
      <c r="AN118" s="237" t="n">
        <f aca="false">IF(AN116=0,0,IF(AN116&lt;=12*'🎚️ Escenario'!$C$11,1,1+$C$6))</f>
        <v>0</v>
      </c>
      <c r="AO118" s="237" t="n">
        <f aca="false">IF(AO116=0,0,IF(AO116&lt;=12*'🎚️ Escenario'!$C$11,1,1+$C$6))</f>
        <v>0</v>
      </c>
      <c r="AP118" s="237" t="n">
        <f aca="false">IF(AP116=0,0,IF(AP116&lt;=12*'🎚️ Escenario'!$C$11,1,1+$C$6))</f>
        <v>0</v>
      </c>
      <c r="AQ118" s="237" t="n">
        <f aca="false">IF(AQ116=0,0,IF(AQ116&lt;=12*'🎚️ Escenario'!$C$11,1,1+$C$6))</f>
        <v>0</v>
      </c>
      <c r="AR118" s="237" t="n">
        <f aca="false">IF(AR116=0,0,IF(AR116&lt;=12*'🎚️ Escenario'!$C$11,1,1+$C$6))</f>
        <v>0</v>
      </c>
      <c r="AS118" s="237" t="n">
        <f aca="false">IF(AS116=0,0,IF(AS116&lt;=12*'🎚️ Escenario'!$C$11,1,1+$C$6))</f>
        <v>0</v>
      </c>
      <c r="AT118" s="237" t="n">
        <f aca="false">IF(AT116=0,0,IF(AT116&lt;=12*'🎚️ Escenario'!$C$11,1,1+$C$6))</f>
        <v>0</v>
      </c>
      <c r="AU118" s="237" t="n">
        <f aca="false">IF(AU116=0,0,IF(AU116&lt;=12*'🎚️ Escenario'!$C$11,1,1+$C$6))</f>
        <v>0</v>
      </c>
      <c r="AV118" s="237" t="n">
        <f aca="false">IF(AV116=0,0,IF(AV116&lt;=12*'🎚️ Escenario'!$C$11,1,1+$C$6))</f>
        <v>0</v>
      </c>
      <c r="AW118" s="237" t="n">
        <f aca="false">IF(AW116=0,0,IF(AW116&lt;=12*'🎚️ Escenario'!$C$11,1,1+$C$6))</f>
        <v>0</v>
      </c>
      <c r="AX118" s="237" t="n">
        <f aca="false">IF(AX116=0,0,IF(AX116&lt;=12*'🎚️ Escenario'!$C$11,1,1+$C$6))</f>
        <v>0</v>
      </c>
      <c r="AY118" s="237" t="n">
        <f aca="false">IF(AY116=0,0,IF(AY116&lt;=12*'🎚️ Escenario'!$C$11,1,1+$C$6))</f>
        <v>0</v>
      </c>
      <c r="AZ118" s="237" t="n">
        <f aca="false">IF(AZ116=0,0,IF(AZ116&lt;=12*'🎚️ Escenario'!$C$11,1,1+$C$6))</f>
        <v>0</v>
      </c>
      <c r="BA118" s="237" t="n">
        <f aca="false">IF(BA116=0,0,IF(BA116&lt;=12*'🎚️ Escenario'!$C$11,1,1+$C$6))</f>
        <v>0</v>
      </c>
      <c r="BB118" s="237" t="n">
        <f aca="false">IF(BB116=0,0,IF(BB116&lt;=12*'🎚️ Escenario'!$C$11,1,1+$C$6))</f>
        <v>0</v>
      </c>
      <c r="BC118" s="237" t="n">
        <f aca="false">IF(BC116=0,0,IF(BC116&lt;=12*'🎚️ Escenario'!$C$11,1,1+$C$6))</f>
        <v>0</v>
      </c>
      <c r="BD118" s="237" t="n">
        <f aca="false">IF(BD116=0,0,IF(BD116&lt;=12*'🎚️ Escenario'!$C$11,1,1+$C$6))</f>
        <v>0</v>
      </c>
      <c r="BE118" s="237" t="n">
        <f aca="false">IF(BE116=0,0,IF(BE116&lt;=12*'🎚️ Escenario'!$C$11,1,1+$C$6))</f>
        <v>0</v>
      </c>
      <c r="BF118" s="237" t="n">
        <f aca="false">IF(BF116=0,0,IF(BF116&lt;=12*'🎚️ Escenario'!$C$11,1,1+$C$6))</f>
        <v>1</v>
      </c>
      <c r="BG118" s="237" t="n">
        <f aca="false">IF(BG116=0,0,IF(BG116&lt;=12*'🎚️ Escenario'!$C$11,1,1+$C$6))</f>
        <v>1</v>
      </c>
      <c r="BH118" s="237" t="n">
        <f aca="false">IF(BH116=0,0,IF(BH116&lt;=12*'🎚️ Escenario'!$C$11,1,1+$C$6))</f>
        <v>1</v>
      </c>
      <c r="BI118" s="237" t="n">
        <f aca="false">IF(BI116=0,0,IF(BI116&lt;=12*'🎚️ Escenario'!$C$11,1,1+$C$6))</f>
        <v>1</v>
      </c>
      <c r="BJ118" s="237" t="n">
        <f aca="false">IF(BJ116=0,0,IF(BJ116&lt;=12*'🎚️ Escenario'!$C$11,1,1+$C$6))</f>
        <v>1</v>
      </c>
      <c r="BK118" s="237" t="n">
        <f aca="false">IF(BK116=0,0,IF(BK116&lt;=12*'🎚️ Escenario'!$C$11,1,1+$C$6))</f>
        <v>1</v>
      </c>
      <c r="BL118" s="237" t="n">
        <f aca="false">IF(BL116=0,0,IF(BL116&lt;=12*'🎚️ Escenario'!$C$11,1,1+$C$6))</f>
        <v>1</v>
      </c>
      <c r="BM118" s="237" t="n">
        <f aca="false">IF(BM116=0,0,IF(BM116&lt;=12*'🎚️ Escenario'!$C$11,1,1+$C$6))</f>
        <v>1</v>
      </c>
      <c r="BN118" s="237" t="n">
        <f aca="false">IF(BN116=0,0,IF(BN116&lt;=12*'🎚️ Escenario'!$C$11,1,1+$C$6))</f>
        <v>1</v>
      </c>
      <c r="BO118" s="237" t="n">
        <f aca="false">IF(BO116=0,0,IF(BO116&lt;=12*'🎚️ Escenario'!$C$11,1,1+$C$6))</f>
        <v>1</v>
      </c>
      <c r="BP118" s="237" t="n">
        <f aca="false">IF(BP116=0,0,IF(BP116&lt;=12*'🎚️ Escenario'!$C$11,1,1+$C$6))</f>
        <v>1</v>
      </c>
      <c r="BQ118" s="237" t="n">
        <f aca="false">IF(BQ116=0,0,IF(BQ116&lt;=12*'🎚️ Escenario'!$C$11,1,1+$C$6))</f>
        <v>1</v>
      </c>
      <c r="BR118" s="237" t="n">
        <f aca="false">IF(BR116=0,0,IF(BR116&lt;=12*'🎚️ Escenario'!$C$11,1,1+$C$6))</f>
        <v>1</v>
      </c>
      <c r="BS118" s="237" t="n">
        <f aca="false">IF(BS116=0,0,IF(BS116&lt;=12*'🎚️ Escenario'!$C$11,1,1+$C$6))</f>
        <v>1</v>
      </c>
      <c r="BT118" s="237" t="n">
        <f aca="false">IF(BT116=0,0,IF(BT116&lt;=12*'🎚️ Escenario'!$C$11,1,1+$C$6))</f>
        <v>1</v>
      </c>
      <c r="BU118" s="237" t="n">
        <f aca="false">IF(BU116=0,0,IF(BU116&lt;=12*'🎚️ Escenario'!$C$11,1,1+$C$6))</f>
        <v>1.2</v>
      </c>
      <c r="BV118" s="237" t="n">
        <f aca="false">IF(BV116=0,0,IF(BV116&lt;=12*'🎚️ Escenario'!$C$11,1,1+$C$6))</f>
        <v>1.2</v>
      </c>
      <c r="BW118" s="237" t="n">
        <f aca="false">IF(BW116=0,0,IF(BW116&lt;=12*'🎚️ Escenario'!$C$11,1,1+$C$6))</f>
        <v>1.2</v>
      </c>
      <c r="BX118" s="237" t="n">
        <f aca="false">IF(BX116=0,0,IF(BX116&lt;=12*'🎚️ Escenario'!$C$11,1,1+$C$6))</f>
        <v>1.2</v>
      </c>
      <c r="BY118" s="237" t="n">
        <f aca="false">IF(BY116=0,0,IF(BY116&lt;=12*'🎚️ Escenario'!$C$11,1,1+$C$6))</f>
        <v>1.2</v>
      </c>
      <c r="BZ118" s="237" t="n">
        <f aca="false">IF(BZ116=0,0,IF(BZ116&lt;=12*'🎚️ Escenario'!$C$11,1,1+$C$6))</f>
        <v>1.2</v>
      </c>
      <c r="CA118" s="237" t="n">
        <f aca="false">IF(CA116=0,0,IF(CA116&lt;=12*'🎚️ Escenario'!$C$11,1,1+$C$6))</f>
        <v>1.2</v>
      </c>
      <c r="CB118" s="237" t="n">
        <f aca="false">IF(CB116=0,0,IF(CB116&lt;=12*'🎚️ Escenario'!$C$11,1,1+$C$6))</f>
        <v>1.2</v>
      </c>
      <c r="CC118" s="237" t="n">
        <f aca="false">IF(CC116=0,0,IF(CC116&lt;=12*'🎚️ Escenario'!$C$11,1,1+$C$6))</f>
        <v>1.2</v>
      </c>
      <c r="CD118" s="237" t="n">
        <f aca="false">IF(CD116=0,0,IF(CD116&lt;=12*'🎚️ Escenario'!$C$11,1,1+$C$6))</f>
        <v>1.2</v>
      </c>
      <c r="CE118" s="237" t="n">
        <f aca="false">IF(CE116=0,0,IF(CE116&lt;=12*'🎚️ Escenario'!$C$11,1,1+$C$6))</f>
        <v>1.2</v>
      </c>
      <c r="CF118" s="237" t="n">
        <f aca="false">IF(CF116=0,0,IF(CF116&lt;=12*'🎚️ Escenario'!$C$11,1,1+$C$6))</f>
        <v>1.2</v>
      </c>
      <c r="CG118" s="237" t="n">
        <f aca="false">IF(CG116=0,0,IF(CG116&lt;=12*'🎚️ Escenario'!$C$11,1,1+$C$6))</f>
        <v>1.2</v>
      </c>
      <c r="CH118" s="237" t="n">
        <f aca="false">IF(CH116=0,0,IF(CH116&lt;=12*'🎚️ Escenario'!$C$11,1,1+$C$6))</f>
        <v>1.2</v>
      </c>
      <c r="CI118" s="237" t="n">
        <f aca="false">IF(CI116=0,0,IF(CI116&lt;=12*'🎚️ Escenario'!$C$11,1,1+$C$6))</f>
        <v>1.2</v>
      </c>
      <c r="CJ118" s="237" t="n">
        <f aca="false">IF(CJ116=0,0,IF(CJ116&lt;=12*'🎚️ Escenario'!$C$11,1,1+$C$6))</f>
        <v>1.2</v>
      </c>
      <c r="CK118" s="237" t="n">
        <f aca="false">IF(CK116=0,0,IF(CK116&lt;=12*'🎚️ Escenario'!$C$11,1,1+$C$6))</f>
        <v>1.2</v>
      </c>
      <c r="CL118" s="237" t="n">
        <f aca="false">IF(CL116=0,0,IF(CL116&lt;=12*'🎚️ Escenario'!$C$11,1,1+$C$6))</f>
        <v>1.2</v>
      </c>
      <c r="CM118" s="237" t="n">
        <f aca="false">IF(CM116=0,0,IF(CM116&lt;=12*'🎚️ Escenario'!$C$11,1,1+$C$6))</f>
        <v>1.2</v>
      </c>
      <c r="CN118" s="237" t="n">
        <f aca="false">IF(CN116=0,0,IF(CN116&lt;=12*'🎚️ Escenario'!$C$11,1,1+$C$6))</f>
        <v>1.2</v>
      </c>
      <c r="CO118" s="237" t="n">
        <f aca="false">IF(CO116=0,0,IF(CO116&lt;=12*'🎚️ Escenario'!$C$11,1,1+$C$6))</f>
        <v>1.2</v>
      </c>
      <c r="CP118" s="237" t="n">
        <f aca="false">IF(CP116=0,0,IF(CP116&lt;=12*'🎚️ Escenario'!$C$11,1,1+$C$6))</f>
        <v>1.2</v>
      </c>
      <c r="CQ118" s="237" t="n">
        <f aca="false">IF(CQ116=0,0,IF(CQ116&lt;=12*'🎚️ Escenario'!$C$11,1,1+$C$6))</f>
        <v>1.2</v>
      </c>
      <c r="CR118" s="237" t="n">
        <f aca="false">IF(CR116=0,0,IF(CR116&lt;=12*'🎚️ Escenario'!$C$11,1,1+$C$6))</f>
        <v>1.2</v>
      </c>
      <c r="CS118" s="237" t="n">
        <f aca="false">IF(CS116=0,0,IF(CS116&lt;=12*'🎚️ Escenario'!$C$11,1,1+$C$6))</f>
        <v>1.2</v>
      </c>
      <c r="CT118" s="237" t="n">
        <f aca="false">IF(CT116=0,0,IF(CT116&lt;=12*'🎚️ Escenario'!$C$11,1,1+$C$6))</f>
        <v>1.2</v>
      </c>
      <c r="CU118" s="237" t="n">
        <f aca="false">IF(CU116=0,0,IF(CU116&lt;=12*'🎚️ Escenario'!$C$11,1,1+$C$6))</f>
        <v>1.2</v>
      </c>
      <c r="CV118" s="237" t="n">
        <f aca="false">IF(CV116=0,0,IF(CV116&lt;=12*'🎚️ Escenario'!$C$11,1,1+$C$6))</f>
        <v>1.2</v>
      </c>
      <c r="CW118" s="237" t="n">
        <f aca="false">IF(CW116=0,0,IF(CW116&lt;=12*'🎚️ Escenario'!$C$11,1,1+$C$6))</f>
        <v>1.2</v>
      </c>
      <c r="CX118" s="237" t="n">
        <f aca="false">IF(CX116=0,0,IF(CX116&lt;=12*'🎚️ Escenario'!$C$11,1,1+$C$6))</f>
        <v>1.2</v>
      </c>
      <c r="CY118" s="237" t="n">
        <f aca="false">IF(CY116=0,0,IF(CY116&lt;=12*'🎚️ Escenario'!$C$11,1,1+$C$6))</f>
        <v>1.2</v>
      </c>
      <c r="CZ118" s="237" t="n">
        <f aca="false">IF(CZ116=0,0,IF(CZ116&lt;=12*'🎚️ Escenario'!$C$11,1,1+$C$6))</f>
        <v>1.2</v>
      </c>
      <c r="DA118" s="237" t="n">
        <f aca="false">IF(DA116=0,0,IF(DA116&lt;=12*'🎚️ Escenario'!$C$11,1,1+$C$6))</f>
        <v>1.2</v>
      </c>
      <c r="DB118" s="237" t="n">
        <f aca="false">IF(DB116=0,0,IF(DB116&lt;=12*'🎚️ Escenario'!$C$11,1,1+$C$6))</f>
        <v>1.2</v>
      </c>
      <c r="DC118" s="237" t="n">
        <f aca="false">IF(DC116=0,0,IF(DC116&lt;=12*'🎚️ Escenario'!$C$11,1,1+$C$6))</f>
        <v>1.2</v>
      </c>
      <c r="DD118" s="237" t="n">
        <f aca="false">IF(DD116=0,0,IF(DD116&lt;=12*'🎚️ Escenario'!$C$11,1,1+$C$6))</f>
        <v>1.2</v>
      </c>
      <c r="DE118" s="237" t="n">
        <f aca="false">IF(DE116=0,0,IF(DE116&lt;=12*'🎚️ Escenario'!$C$11,1,1+$C$6))</f>
        <v>1.2</v>
      </c>
      <c r="DF118" s="237" t="n">
        <f aca="false">IF(DF116=0,0,IF(DF116&lt;=12*'🎚️ Escenario'!$C$11,1,1+$C$6))</f>
        <v>1.2</v>
      </c>
      <c r="DG118" s="237" t="n">
        <f aca="false">IF(DG116=0,0,IF(DG116&lt;=12*'🎚️ Escenario'!$C$11,1,1+$C$6))</f>
        <v>1.2</v>
      </c>
      <c r="DH118" s="237" t="n">
        <f aca="false">IF(DH116=0,0,IF(DH116&lt;=12*'🎚️ Escenario'!$C$11,1,1+$C$6))</f>
        <v>1.2</v>
      </c>
      <c r="DI118" s="237" t="n">
        <f aca="false">IF(DI116=0,0,IF(DI116&lt;=12*'🎚️ Escenario'!$C$11,1,1+$C$6))</f>
        <v>1.2</v>
      </c>
      <c r="DJ118" s="237" t="n">
        <f aca="false">IF(DJ116=0,0,IF(DJ116&lt;=12*'🎚️ Escenario'!$C$11,1,1+$C$6))</f>
        <v>1.2</v>
      </c>
      <c r="DK118" s="237" t="n">
        <f aca="false">IF(DK116=0,0,IF(DK116&lt;=12*'🎚️ Escenario'!$C$11,1,1+$C$6))</f>
        <v>1.2</v>
      </c>
      <c r="DL118" s="237" t="n">
        <f aca="false">IF(DL116=0,0,IF(DL116&lt;=12*'🎚️ Escenario'!$C$11,1,1+$C$6))</f>
        <v>1.2</v>
      </c>
      <c r="DM118" s="237" t="n">
        <f aca="false">IF(DM116=0,0,IF(DM116&lt;=12*'🎚️ Escenario'!$C$11,1,1+$C$6))</f>
        <v>1.2</v>
      </c>
      <c r="DN118" s="237" t="n">
        <f aca="false">IF(DN116=0,0,IF(DN116&lt;=12*'🎚️ Escenario'!$C$11,1,1+$C$6))</f>
        <v>1.2</v>
      </c>
      <c r="DO118" s="237" t="n">
        <f aca="false">IF(DO116=0,0,IF(DO116&lt;=12*'🎚️ Escenario'!$C$11,1,1+$C$6))</f>
        <v>1.2</v>
      </c>
      <c r="DP118" s="237" t="n">
        <f aca="false">IF(DP116=0,0,IF(DP116&lt;=12*'🎚️ Escenario'!$C$11,1,1+$C$6))</f>
        <v>1.2</v>
      </c>
      <c r="DQ118" s="237" t="n">
        <f aca="false">IF(DQ116=0,0,IF(DQ116&lt;=12*'🎚️ Escenario'!$C$11,1,1+$C$6))</f>
        <v>1.2</v>
      </c>
      <c r="DR118" s="237" t="n">
        <f aca="false">IF(DR116=0,0,IF(DR116&lt;=12*'🎚️ Escenario'!$C$11,1,1+$C$6))</f>
        <v>1.2</v>
      </c>
      <c r="DS118" s="237" t="n">
        <f aca="false">IF(DS116=0,0,IF(DS116&lt;=12*'🎚️ Escenario'!$C$11,1,1+$C$6))</f>
        <v>1.2</v>
      </c>
      <c r="DT118" s="237" t="n">
        <f aca="false">IF(DT116=0,0,IF(DT116&lt;=12*'🎚️ Escenario'!$C$11,1,1+$C$6))</f>
        <v>1.2</v>
      </c>
      <c r="DU118" s="237" t="n">
        <f aca="false">IF(DU116=0,0,IF(DU116&lt;=12*'🎚️ Escenario'!$C$11,1,1+$C$6))</f>
        <v>1.2</v>
      </c>
      <c r="DV118" s="237" t="n">
        <f aca="false">IF(DV116=0,0,IF(DV116&lt;=12*'🎚️ Escenario'!$C$11,1,1+$C$6))</f>
        <v>1.2</v>
      </c>
      <c r="DW118" s="237" t="n">
        <f aca="false">IF(DW116=0,0,IF(DW116&lt;=12*'🎚️ Escenario'!$C$11,1,1+$C$6))</f>
        <v>1.2</v>
      </c>
      <c r="DX118" s="237" t="n">
        <f aca="false">IF(DX116=0,0,IF(DX116&lt;=12*'🎚️ Escenario'!$C$11,1,1+$C$6))</f>
        <v>1.2</v>
      </c>
      <c r="DY118" s="237" t="n">
        <f aca="false">IF(DY116=0,0,IF(DY116&lt;=12*'🎚️ Escenario'!$C$11,1,1+$C$6))</f>
        <v>1.2</v>
      </c>
      <c r="DZ118" s="237" t="n">
        <f aca="false">IF(DZ116=0,0,IF(DZ116&lt;=12*'🎚️ Escenario'!$C$11,1,1+$C$6))</f>
        <v>1.2</v>
      </c>
      <c r="EA118" s="237" t="n">
        <f aca="false">IF(EA116=0,0,IF(EA116&lt;=12*'🎚️ Escenario'!$C$11,1,1+$C$6))</f>
        <v>1.2</v>
      </c>
      <c r="EB118" s="237" t="n">
        <f aca="false">IF(EB116=0,0,IF(EB116&lt;=12*'🎚️ Escenario'!$C$11,1,1+$C$6))</f>
        <v>1.2</v>
      </c>
      <c r="EC118" s="237" t="n">
        <f aca="false">IF(EC116=0,0,IF(EC116&lt;=12*'🎚️ Escenario'!$C$11,1,1+$C$6))</f>
        <v>1.2</v>
      </c>
      <c r="ED118" s="237" t="n">
        <f aca="false">IF(ED116=0,0,IF(ED116&lt;=12*'🎚️ Escenario'!$C$11,1,1+$C$6))</f>
        <v>1.2</v>
      </c>
      <c r="EE118" s="237" t="n">
        <f aca="false">IF(EE116=0,0,IF(EE116&lt;=12*'🎚️ Escenario'!$C$11,1,1+$C$6))</f>
        <v>1.2</v>
      </c>
      <c r="EF118" s="237" t="n">
        <f aca="false">IF(EF116=0,0,IF(EF116&lt;=12*'🎚️ Escenario'!$C$11,1,1+$C$6))</f>
        <v>1.2</v>
      </c>
      <c r="EG118" s="237" t="n">
        <f aca="false">IF(EG116=0,0,IF(EG116&lt;=12*'🎚️ Escenario'!$C$11,1,1+$C$6))</f>
        <v>1.2</v>
      </c>
      <c r="EH118" s="237" t="n">
        <f aca="false">IF(EH116=0,0,IF(EH116&lt;=12*'🎚️ Escenario'!$C$11,1,1+$C$6))</f>
        <v>1.2</v>
      </c>
      <c r="EI118" s="237" t="n">
        <f aca="false">IF(EI116=0,0,IF(EI116&lt;=12*'🎚️ Escenario'!$C$11,1,1+$C$6))</f>
        <v>1.2</v>
      </c>
      <c r="EJ118" s="237" t="n">
        <f aca="false">IF(EJ116=0,0,IF(EJ116&lt;=12*'🎚️ Escenario'!$C$11,1,1+$C$6))</f>
        <v>1.2</v>
      </c>
      <c r="EK118" s="237" t="n">
        <f aca="false">IF(EK116=0,0,IF(EK116&lt;=12*'🎚️ Escenario'!$C$11,1,1+$C$6))</f>
        <v>1.2</v>
      </c>
      <c r="EL118" s="237" t="n">
        <f aca="false">IF(EL116=0,0,IF(EL116&lt;=12*'🎚️ Escenario'!$C$11,1,1+$C$6))</f>
        <v>1.2</v>
      </c>
      <c r="EM118" s="237" t="n">
        <f aca="false">IF(EM116=0,0,IF(EM116&lt;=12*'🎚️ Escenario'!$C$11,1,1+$C$6))</f>
        <v>1.2</v>
      </c>
      <c r="EN118" s="237" t="n">
        <f aca="false">IF(EN116=0,0,IF(EN116&lt;=12*'🎚️ Escenario'!$C$11,1,1+$C$6))</f>
        <v>1.2</v>
      </c>
      <c r="EO118" s="237" t="n">
        <f aca="false">IF(EO116=0,0,IF(EO116&lt;=12*'🎚️ Escenario'!$C$11,1,1+$C$6))</f>
        <v>1.2</v>
      </c>
      <c r="EP118" s="237" t="n">
        <f aca="false">IF(EP116=0,0,IF(EP116&lt;=12*'🎚️ Escenario'!$C$11,1,1+$C$6))</f>
        <v>1.2</v>
      </c>
      <c r="EQ118" s="237" t="n">
        <f aca="false">IF(EQ116=0,0,IF(EQ116&lt;=12*'🎚️ Escenario'!$C$11,1,1+$C$6))</f>
        <v>1.2</v>
      </c>
      <c r="ER118" s="237" t="n">
        <f aca="false">IF(ER116=0,0,IF(ER116&lt;=12*'🎚️ Escenario'!$C$11,1,1+$C$6))</f>
        <v>1.2</v>
      </c>
      <c r="ES118" s="238" t="n">
        <f aca="false">IF(ES116=0,0,IF(ES116&lt;=12*'🎚️ Escenario'!$C$11,1,1+$C$6))</f>
        <v>1.2</v>
      </c>
      <c r="ET118" s="238" t="n">
        <f aca="false">IF(ET116=0,0,IF(ET116&lt;=12*'🎚️ Escenario'!$C$11,1,1+$C$6))</f>
        <v>1.2</v>
      </c>
      <c r="EU118" s="238" t="n">
        <f aca="false">IF(EU116=0,0,IF(EU116&lt;=12*'🎚️ Escenario'!$C$11,1,1+$C$6))</f>
        <v>1.2</v>
      </c>
      <c r="EV118" s="238" t="n">
        <f aca="false">IF(EV116=0,0,IF(EV116&lt;=12*'🎚️ Escenario'!$C$11,1,1+$C$6))</f>
        <v>1.2</v>
      </c>
      <c r="EW118" s="238" t="n">
        <f aca="false">IF(EW116=0,0,IF(EW116&lt;=12*'🎚️ Escenario'!$C$11,1,1+$C$6))</f>
        <v>1.2</v>
      </c>
      <c r="EX118" s="238" t="n">
        <f aca="false">IF(EX116=0,0,IF(EX116&lt;=12*'🎚️ Escenario'!$C$11,1,1+$C$6))</f>
        <v>1.2</v>
      </c>
      <c r="EY118" s="238" t="n">
        <f aca="false">IF(EY116=0,0,IF(EY116&lt;=12*'🎚️ Escenario'!$C$11,1,1+$C$6))</f>
        <v>1.2</v>
      </c>
      <c r="EZ118" s="238" t="n">
        <f aca="false">IF(EZ116=0,0,IF(EZ116&lt;=12*'🎚️ Escenario'!$C$11,1,1+$C$6))</f>
        <v>1.2</v>
      </c>
      <c r="FA118" s="238" t="n">
        <f aca="false">IF(FA116=0,0,IF(FA116&lt;=12*'🎚️ Escenario'!$C$11,1,1+$C$6))</f>
        <v>1.2</v>
      </c>
      <c r="FB118" s="238" t="n">
        <f aca="false">IF(FB116=0,0,IF(FB116&lt;=12*'🎚️ Escenario'!$C$11,1,1+$C$6))</f>
        <v>1.2</v>
      </c>
      <c r="FC118" s="238" t="n">
        <f aca="false">IF(FC116=0,0,IF(FC116&lt;=12*'🎚️ Escenario'!$C$11,1,1+$C$6))</f>
        <v>1.2</v>
      </c>
      <c r="FD118" s="238" t="n">
        <f aca="false">IF(FD116=0,0,IF(FD116&lt;=12*'🎚️ Escenario'!$C$11,1,1+$C$6))</f>
        <v>1.2</v>
      </c>
      <c r="FE118" s="238" t="n">
        <f aca="false">IF(FE116=0,0,IF(FE116&lt;=12*'🎚️ Escenario'!$C$11,1,1+$C$6))</f>
        <v>1.2</v>
      </c>
      <c r="FF118" s="238" t="n">
        <f aca="false">IF(FF116=0,0,IF(FF116&lt;=12*'🎚️ Escenario'!$C$11,1,1+$C$6))</f>
        <v>1.2</v>
      </c>
      <c r="FG118" s="238" t="n">
        <f aca="false">IF(FG116=0,0,IF(FG116&lt;=12*'🎚️ Escenario'!$C$11,1,1+$C$6))</f>
        <v>1.2</v>
      </c>
      <c r="FH118" s="238" t="n">
        <f aca="false">IF(FH116=0,0,IF(FH116&lt;=12*'🎚️ Escenario'!$C$11,1,1+$C$6))</f>
        <v>1.2</v>
      </c>
      <c r="FI118" s="238" t="n">
        <f aca="false">IF(FI116=0,0,IF(FI116&lt;=12*'🎚️ Escenario'!$C$11,1,1+$C$6))</f>
        <v>1.2</v>
      </c>
      <c r="FJ118" s="238" t="n">
        <f aca="false">IF(FJ116=0,0,IF(FJ116&lt;=12*'🎚️ Escenario'!$C$11,1,1+$C$6))</f>
        <v>1.2</v>
      </c>
      <c r="FK118" s="238" t="n">
        <f aca="false">IF(FK116=0,0,IF(FK116&lt;=12*'🎚️ Escenario'!$C$11,1,1+$C$6))</f>
        <v>1.2</v>
      </c>
      <c r="FL118" s="238" t="n">
        <f aca="false">IF(FL116=0,0,IF(FL116&lt;=12*'🎚️ Escenario'!$C$11,1,1+$C$6))</f>
        <v>1.2</v>
      </c>
      <c r="FM118" s="238" t="n">
        <f aca="false">IF(FM116=0,0,IF(FM116&lt;=12*'🎚️ Escenario'!$C$11,1,1+$C$6))</f>
        <v>1.2</v>
      </c>
      <c r="FN118" s="238" t="n">
        <f aca="false">IF(FN116=0,0,IF(FN116&lt;=12*'🎚️ Escenario'!$C$11,1,1+$C$6))</f>
        <v>1.2</v>
      </c>
      <c r="FO118" s="238" t="n">
        <f aca="false">IF(FO116=0,0,IF(FO116&lt;=12*'🎚️ Escenario'!$C$11,1,1+$C$6))</f>
        <v>1.2</v>
      </c>
      <c r="FP118" s="238" t="n">
        <f aca="false">IF(FP116=0,0,IF(FP116&lt;=12*'🎚️ Escenario'!$C$11,1,1+$C$6))</f>
        <v>1.2</v>
      </c>
    </row>
    <row r="119" customFormat="false" ht="15" hidden="false" customHeight="false" outlineLevel="2" collapsed="false">
      <c r="B119" s="9" t="s">
        <v>876</v>
      </c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36" t="n">
        <f aca="false">AC117*$AC$115*AC118*AC$38*'⑫ Roll-out Plan'!$O$17</f>
        <v>0</v>
      </c>
      <c r="AD119" s="36" t="n">
        <f aca="false">AD117*$AC$115*AD118*AD$38*'⑫ Roll-out Plan'!$O$17</f>
        <v>0</v>
      </c>
      <c r="AE119" s="36" t="n">
        <f aca="false">AE117*$AC$115*AE118*AE$38*'⑫ Roll-out Plan'!$O$17</f>
        <v>0</v>
      </c>
      <c r="AF119" s="36" t="n">
        <f aca="false">AF117*$AC$115*AF118*AF$38*'⑫ Roll-out Plan'!$O$17</f>
        <v>0</v>
      </c>
      <c r="AG119" s="36" t="n">
        <f aca="false">AG117*$AC$115*AG118*AG$38*'⑫ Roll-out Plan'!$O$17</f>
        <v>0</v>
      </c>
      <c r="AH119" s="36" t="n">
        <f aca="false">AH117*$AC$115*AH118*AH$38*'⑫ Roll-out Plan'!$O$17</f>
        <v>0</v>
      </c>
      <c r="AI119" s="36" t="n">
        <f aca="false">AI117*$AC$115*AI118*AI$38*'⑫ Roll-out Plan'!$O$17</f>
        <v>0</v>
      </c>
      <c r="AJ119" s="36" t="n">
        <f aca="false">AJ117*$AC$115*AJ118*AJ$38*'⑫ Roll-out Plan'!$O$17</f>
        <v>0</v>
      </c>
      <c r="AK119" s="36" t="n">
        <f aca="false">AK117*$AC$115*AK118*AK$38*'⑫ Roll-out Plan'!$O$17</f>
        <v>0</v>
      </c>
      <c r="AL119" s="36" t="n">
        <f aca="false">AL117*$AC$115*AL118*AL$38*'⑫ Roll-out Plan'!$O$17</f>
        <v>0</v>
      </c>
      <c r="AM119" s="36" t="n">
        <f aca="false">AM117*$AC$115*AM118*AM$38*'⑫ Roll-out Plan'!$O$17</f>
        <v>0</v>
      </c>
      <c r="AN119" s="36" t="n">
        <f aca="false">AN117*$AC$115*AN118*AN$38*'⑫ Roll-out Plan'!$O$17</f>
        <v>0</v>
      </c>
      <c r="AO119" s="36" t="n">
        <f aca="false">AO117*$AC$115*AO118*AO$38*'⑫ Roll-out Plan'!$O$17</f>
        <v>0</v>
      </c>
      <c r="AP119" s="36" t="n">
        <f aca="false">AP117*$AC$115*AP118*AP$38*'⑫ Roll-out Plan'!$O$17</f>
        <v>0</v>
      </c>
      <c r="AQ119" s="36" t="n">
        <f aca="false">AQ117*$AC$115*AQ118*AQ$38*'⑫ Roll-out Plan'!$O$17</f>
        <v>0</v>
      </c>
      <c r="AR119" s="36" t="n">
        <f aca="false">AR117*$AC$115*AR118*AR$38*'⑫ Roll-out Plan'!$O$17</f>
        <v>0</v>
      </c>
      <c r="AS119" s="36" t="n">
        <f aca="false">AS117*$AC$115*AS118*AS$38*'⑫ Roll-out Plan'!$O$17</f>
        <v>0</v>
      </c>
      <c r="AT119" s="36" t="n">
        <f aca="false">AT117*$AC$115*AT118*AT$38*'⑫ Roll-out Plan'!$O$17</f>
        <v>0</v>
      </c>
      <c r="AU119" s="36" t="n">
        <f aca="false">AU117*$AC$115*AU118*AU$38*'⑫ Roll-out Plan'!$O$17</f>
        <v>0</v>
      </c>
      <c r="AV119" s="36" t="n">
        <f aca="false">AV117*$AC$115*AV118*AV$38*'⑫ Roll-out Plan'!$O$17</f>
        <v>0</v>
      </c>
      <c r="AW119" s="36" t="n">
        <f aca="false">AW117*$AC$115*AW118*AW$38*'⑫ Roll-out Plan'!$O$17</f>
        <v>0</v>
      </c>
      <c r="AX119" s="36" t="n">
        <f aca="false">AX117*$AC$115*AX118*AX$38*'⑫ Roll-out Plan'!$O$17</f>
        <v>0</v>
      </c>
      <c r="AY119" s="36" t="n">
        <f aca="false">AY117*$AC$115*AY118*AY$38*'⑫ Roll-out Plan'!$O$17</f>
        <v>0</v>
      </c>
      <c r="AZ119" s="36" t="n">
        <f aca="false">AZ117*$AC$115*AZ118*AZ$38*'⑫ Roll-out Plan'!$O$17</f>
        <v>0</v>
      </c>
      <c r="BA119" s="36" t="n">
        <f aca="false">BA117*$AC$115*BA118*BA$38*'⑫ Roll-out Plan'!$O$17</f>
        <v>0</v>
      </c>
      <c r="BB119" s="36" t="n">
        <f aca="false">BB117*$AC$115*BB118*BB$38*'⑫ Roll-out Plan'!$O$17</f>
        <v>0</v>
      </c>
      <c r="BC119" s="36" t="n">
        <f aca="false">BC117*$AC$115*BC118*BC$38*'⑫ Roll-out Plan'!$O$17</f>
        <v>0</v>
      </c>
      <c r="BD119" s="36" t="n">
        <f aca="false">BD117*$AC$115*BD118*BD$38*'⑫ Roll-out Plan'!$O$17</f>
        <v>0</v>
      </c>
      <c r="BE119" s="36" t="n">
        <f aca="false">BE117*$AC$115*BE118*BE$38*'⑫ Roll-out Plan'!$O$17</f>
        <v>0</v>
      </c>
      <c r="BF119" s="36" t="n">
        <f aca="false">BF117*$AC$115*BF118*BF$38*'⑫ Roll-out Plan'!$O$17</f>
        <v>33.6</v>
      </c>
      <c r="BG119" s="36" t="n">
        <f aca="false">BG117*$AC$115*BG118*BG$38*'⑫ Roll-out Plan'!$O$17</f>
        <v>38.808</v>
      </c>
      <c r="BH119" s="36" t="n">
        <f aca="false">BH117*$AC$115*BH118*BH$38*'⑫ Roll-out Plan'!$O$17</f>
        <v>71.568</v>
      </c>
      <c r="BI119" s="36" t="n">
        <f aca="false">BI117*$AC$115*BI118*BI$38*'⑫ Roll-out Plan'!$O$17</f>
        <v>65.772</v>
      </c>
      <c r="BJ119" s="36" t="n">
        <f aca="false">BJ117*$AC$115*BJ118*BJ$38*'⑫ Roll-out Plan'!$O$17</f>
        <v>54.432</v>
      </c>
      <c r="BK119" s="36" t="n">
        <f aca="false">BK117*$AC$115*BK118*BK$38*'⑫ Roll-out Plan'!$O$17</f>
        <v>46.872</v>
      </c>
      <c r="BL119" s="36" t="n">
        <f aca="false">BL117*$AC$115*BL118*BL$38*'⑫ Roll-out Plan'!$O$17</f>
        <v>74.97</v>
      </c>
      <c r="BM119" s="36" t="n">
        <f aca="false">BM117*$AC$115*BM118*BM$38*'⑫ Roll-out Plan'!$O$17</f>
        <v>88.452</v>
      </c>
      <c r="BN119" s="36" t="n">
        <f aca="false">BN117*$AC$115*BN118*BN$38*'⑫ Roll-out Plan'!$O$17</f>
        <v>75.768</v>
      </c>
      <c r="BO119" s="36" t="n">
        <f aca="false">BO117*$AC$115*BO118*BO$38*'⑫ Roll-out Plan'!$O$17</f>
        <v>107.184</v>
      </c>
      <c r="BP119" s="36" t="n">
        <f aca="false">BP117*$AC$115*BP118*BP$38*'⑫ Roll-out Plan'!$O$17</f>
        <v>110.88</v>
      </c>
      <c r="BQ119" s="36" t="n">
        <f aca="false">BQ117*$AC$115*BQ118*BQ$38*'⑫ Roll-out Plan'!$O$17</f>
        <v>100.464</v>
      </c>
      <c r="BR119" s="36" t="n">
        <f aca="false">BR117*$AC$115*BR118*BR$38*'⑫ Roll-out Plan'!$O$17</f>
        <v>94.08</v>
      </c>
      <c r="BS119" s="36" t="n">
        <f aca="false">BS117*$AC$115*BS118*BS$38*'⑫ Roll-out Plan'!$O$17</f>
        <v>105.84</v>
      </c>
      <c r="BT119" s="36" t="n">
        <f aca="false">BT117*$AC$115*BT118*BT$38*'⑫ Roll-out Plan'!$O$17</f>
        <v>178.92</v>
      </c>
      <c r="BU119" s="36" t="n">
        <f aca="false">BU117*$AC$115*BU118*BU$38*'⑫ Roll-out Plan'!$O$17</f>
        <v>184.1616</v>
      </c>
      <c r="BV119" s="36" t="n">
        <f aca="false">BV117*$AC$115*BV118*BV$38*'⑫ Roll-out Plan'!$O$17</f>
        <v>159.6672</v>
      </c>
      <c r="BW119" s="36" t="n">
        <f aca="false">BW117*$AC$115*BW118*BW$38*'⑫ Roll-out Plan'!$O$17</f>
        <v>125.1936</v>
      </c>
      <c r="BX119" s="36" t="n">
        <f aca="false">BX117*$AC$115*BX118*BX$38*'⑫ Roll-out Plan'!$O$17</f>
        <v>182.4984</v>
      </c>
      <c r="BY119" s="36" t="n">
        <f aca="false">BY117*$AC$115*BY118*BY$38*'⑫ Roll-out Plan'!$O$17</f>
        <v>193.2336</v>
      </c>
      <c r="BZ119" s="36" t="n">
        <f aca="false">BZ117*$AC$115*BZ118*BZ$38*'⑫ Roll-out Plan'!$O$17</f>
        <v>150.8472</v>
      </c>
      <c r="CA119" s="36" t="n">
        <f aca="false">CA117*$AC$115*CA118*CA$38*'⑫ Roll-out Plan'!$O$17</f>
        <v>219.24</v>
      </c>
      <c r="CB119" s="36" t="n">
        <f aca="false">CB117*$AC$115*CB118*CB$38*'⑫ Roll-out Plan'!$O$17</f>
        <v>213.444</v>
      </c>
      <c r="CC119" s="36" t="n">
        <f aca="false">CC117*$AC$115*CC118*CC$38*'⑫ Roll-out Plan'!$O$17</f>
        <v>183.1536</v>
      </c>
      <c r="CD119" s="36" t="n">
        <f aca="false">CD117*$AC$115*CD118*CD$38*'⑫ Roll-out Plan'!$O$17</f>
        <v>159.264</v>
      </c>
      <c r="CE119" s="36" t="n">
        <f aca="false">CE117*$AC$115*CE118*CE$38*'⑫ Roll-out Plan'!$O$17</f>
        <v>169.344</v>
      </c>
      <c r="CF119" s="36" t="n">
        <f aca="false">CF117*$AC$115*CF118*CF$38*'⑫ Roll-out Plan'!$O$17</f>
        <v>293.4288</v>
      </c>
      <c r="CG119" s="36" t="n">
        <f aca="false">CG117*$AC$115*CG118*CG$38*'⑫ Roll-out Plan'!$O$17</f>
        <v>245.5488</v>
      </c>
      <c r="CH119" s="36" t="n">
        <f aca="false">CH117*$AC$115*CH118*CH$38*'⑫ Roll-out Plan'!$O$17</f>
        <v>205.632</v>
      </c>
      <c r="CI119" s="36" t="n">
        <f aca="false">CI117*$AC$115*CI118*CI$38*'⑫ Roll-out Plan'!$O$17</f>
        <v>154.224</v>
      </c>
      <c r="CJ119" s="36" t="n">
        <f aca="false">CJ117*$AC$115*CJ118*CJ$38*'⑫ Roll-out Plan'!$O$17</f>
        <v>221.0544</v>
      </c>
      <c r="CK119" s="36" t="n">
        <f aca="false">CK117*$AC$115*CK118*CK$38*'⑫ Roll-out Plan'!$O$17</f>
        <v>239.5008</v>
      </c>
      <c r="CL119" s="36" t="n">
        <f aca="false">CL117*$AC$115*CL118*CL$38*'⑫ Roll-out Plan'!$O$17</f>
        <v>183.9096</v>
      </c>
      <c r="CM119" s="36" t="n">
        <f aca="false">CM117*$AC$115*CM118*CM$38*'⑫ Roll-out Plan'!$O$17</f>
        <v>263.088</v>
      </c>
      <c r="CN119" s="36" t="n">
        <f aca="false">CN117*$AC$115*CN118*CN$38*'⑫ Roll-out Plan'!$O$17</f>
        <v>249.48</v>
      </c>
      <c r="CO119" s="36" t="n">
        <f aca="false">CO117*$AC$115*CO118*CO$38*'⑫ Roll-out Plan'!$O$17</f>
        <v>213.2928</v>
      </c>
      <c r="CP119" s="36" t="n">
        <f aca="false">CP117*$AC$115*CP118*CP$38*'⑫ Roll-out Plan'!$O$17</f>
        <v>187.488</v>
      </c>
      <c r="CQ119" s="36" t="n">
        <f aca="false">CQ117*$AC$115*CQ118*CQ$38*'⑫ Roll-out Plan'!$O$17</f>
        <v>198.9792</v>
      </c>
      <c r="CR119" s="36" t="n">
        <f aca="false">CR117*$AC$115*CR118*CR$38*'⑫ Roll-out Plan'!$O$17</f>
        <v>339.948</v>
      </c>
      <c r="CS119" s="36" t="n">
        <f aca="false">CS117*$AC$115*CS118*CS$38*'⑫ Roll-out Plan'!$O$17</f>
        <v>277.704</v>
      </c>
      <c r="CT119" s="36" t="n">
        <f aca="false">CT117*$AC$115*CT118*CT$38*'⑫ Roll-out Plan'!$O$17</f>
        <v>234.6624</v>
      </c>
      <c r="CU119" s="36" t="n">
        <f aca="false">CU117*$AC$115*CU118*CU$38*'⑫ Roll-out Plan'!$O$17</f>
        <v>177.8112</v>
      </c>
      <c r="CV119" s="36" t="n">
        <f aca="false">CV117*$AC$115*CV118*CV$38*'⑫ Roll-out Plan'!$O$17</f>
        <v>254.4696</v>
      </c>
      <c r="CW119" s="36" t="n">
        <f aca="false">CW117*$AC$115*CW118*CW$38*'⑫ Roll-out Plan'!$O$17</f>
        <v>272.16</v>
      </c>
      <c r="CX119" s="36" t="n">
        <f aca="false">CX117*$AC$115*CX118*CX$38*'⑫ Roll-out Plan'!$O$17</f>
        <v>206.64</v>
      </c>
      <c r="CY119" s="36" t="n">
        <f aca="false">CY117*$AC$115*CY118*CY$38*'⑫ Roll-out Plan'!$O$17</f>
        <v>292.32</v>
      </c>
      <c r="CZ119" s="36" t="n">
        <f aca="false">CZ117*$AC$115*CZ118*CZ$38*'⑫ Roll-out Plan'!$O$17</f>
        <v>277.2</v>
      </c>
      <c r="DA119" s="36" t="n">
        <f aca="false">DA117*$AC$115*DA118*DA$38*'⑫ Roll-out Plan'!$O$17</f>
        <v>231.84</v>
      </c>
      <c r="DB119" s="36" t="n">
        <f aca="false">DB117*$AC$115*DB118*DB$38*'⑫ Roll-out Plan'!$O$17</f>
        <v>201.6</v>
      </c>
      <c r="DC119" s="36" t="n">
        <f aca="false">DC117*$AC$115*DC118*DC$38*'⑫ Roll-out Plan'!$O$17</f>
        <v>211.68</v>
      </c>
      <c r="DD119" s="36" t="n">
        <f aca="false">DD117*$AC$115*DD118*DD$38*'⑫ Roll-out Plan'!$O$17</f>
        <v>357.84</v>
      </c>
      <c r="DE119" s="36" t="n">
        <f aca="false">DE117*$AC$115*DE118*DE$38*'⑫ Roll-out Plan'!$O$17</f>
        <v>292.32</v>
      </c>
      <c r="DF119" s="36" t="n">
        <f aca="false">DF117*$AC$115*DF118*DF$38*'⑫ Roll-out Plan'!$O$17</f>
        <v>241.92</v>
      </c>
      <c r="DG119" s="36" t="n">
        <f aca="false">DG117*$AC$115*DG118*DG$38*'⑫ Roll-out Plan'!$O$17</f>
        <v>181.44</v>
      </c>
      <c r="DH119" s="36" t="n">
        <f aca="false">DH117*$AC$115*DH118*DH$38*'⑫ Roll-out Plan'!$O$17</f>
        <v>257.04</v>
      </c>
      <c r="DI119" s="36" t="n">
        <f aca="false">DI117*$AC$115*DI118*DI$38*'⑫ Roll-out Plan'!$O$17</f>
        <v>272.16</v>
      </c>
      <c r="DJ119" s="36" t="n">
        <f aca="false">DJ117*$AC$115*DJ118*DJ$38*'⑫ Roll-out Plan'!$O$17</f>
        <v>206.64</v>
      </c>
      <c r="DK119" s="36" t="n">
        <f aca="false">DK117*$AC$115*DK118*DK$38*'⑫ Roll-out Plan'!$O$17</f>
        <v>292.32</v>
      </c>
      <c r="DL119" s="36" t="n">
        <f aca="false">DL117*$AC$115*DL118*DL$38*'⑫ Roll-out Plan'!$O$17</f>
        <v>277.2</v>
      </c>
      <c r="DM119" s="36" t="n">
        <f aca="false">DM117*$AC$115*DM118*DM$38*'⑫ Roll-out Plan'!$O$17</f>
        <v>231.84</v>
      </c>
      <c r="DN119" s="36" t="n">
        <f aca="false">DN117*$AC$115*DN118*DN$38*'⑫ Roll-out Plan'!$O$17</f>
        <v>201.6</v>
      </c>
      <c r="DO119" s="36" t="n">
        <f aca="false">DO117*$AC$115*DO118*DO$38*'⑫ Roll-out Plan'!$O$17</f>
        <v>211.68</v>
      </c>
      <c r="DP119" s="36" t="n">
        <f aca="false">DP117*$AC$115*DP118*DP$38*'⑫ Roll-out Plan'!$O$17</f>
        <v>357.84</v>
      </c>
      <c r="DQ119" s="36" t="n">
        <f aca="false">DQ117*$AC$115*DQ118*DQ$38*'⑫ Roll-out Plan'!$O$17</f>
        <v>292.32</v>
      </c>
      <c r="DR119" s="36" t="n">
        <f aca="false">DR117*$AC$115*DR118*DR$38*'⑫ Roll-out Plan'!$O$17</f>
        <v>241.92</v>
      </c>
      <c r="DS119" s="36" t="n">
        <f aca="false">DS117*$AC$115*DS118*DS$38*'⑫ Roll-out Plan'!$O$17</f>
        <v>181.44</v>
      </c>
      <c r="DT119" s="36" t="n">
        <f aca="false">DT117*$AC$115*DT118*DT$38*'⑫ Roll-out Plan'!$O$17</f>
        <v>257.04</v>
      </c>
      <c r="DU119" s="36" t="n">
        <f aca="false">DU117*$AC$115*DU118*DU$38*'⑫ Roll-out Plan'!$O$17</f>
        <v>272.16</v>
      </c>
      <c r="DV119" s="36" t="n">
        <f aca="false">DV117*$AC$115*DV118*DV$38*'⑫ Roll-out Plan'!$O$17</f>
        <v>206.64</v>
      </c>
      <c r="DW119" s="36" t="n">
        <f aca="false">DW117*$AC$115*DW118*DW$38*'⑫ Roll-out Plan'!$O$17</f>
        <v>292.32</v>
      </c>
      <c r="DX119" s="36" t="n">
        <f aca="false">DX117*$AC$115*DX118*DX$38*'⑫ Roll-out Plan'!$O$17</f>
        <v>277.2</v>
      </c>
      <c r="DY119" s="36" t="n">
        <f aca="false">DY117*$AC$115*DY118*DY$38*'⑫ Roll-out Plan'!$O$17</f>
        <v>231.84</v>
      </c>
      <c r="DZ119" s="36" t="n">
        <f aca="false">DZ117*$AC$115*DZ118*DZ$38*'⑫ Roll-out Plan'!$O$17</f>
        <v>201.6</v>
      </c>
      <c r="EA119" s="36" t="n">
        <f aca="false">EA117*$AC$115*EA118*EA$38*'⑫ Roll-out Plan'!$O$17</f>
        <v>211.68</v>
      </c>
      <c r="EB119" s="36" t="n">
        <f aca="false">EB117*$AC$115*EB118*EB$38*'⑫ Roll-out Plan'!$O$17</f>
        <v>357.84</v>
      </c>
      <c r="EC119" s="36" t="n">
        <f aca="false">EC117*$AC$115*EC118*EC$38*'⑫ Roll-out Plan'!$O$17</f>
        <v>292.32</v>
      </c>
      <c r="ED119" s="36" t="n">
        <f aca="false">ED117*$AC$115*ED118*ED$38*'⑫ Roll-out Plan'!$O$17</f>
        <v>241.92</v>
      </c>
      <c r="EE119" s="36" t="n">
        <f aca="false">EE117*$AC$115*EE118*EE$38*'⑫ Roll-out Plan'!$O$17</f>
        <v>181.44</v>
      </c>
      <c r="EF119" s="36" t="n">
        <f aca="false">EF117*$AC$115*EF118*EF$38*'⑫ Roll-out Plan'!$O$17</f>
        <v>257.04</v>
      </c>
      <c r="EG119" s="36" t="n">
        <f aca="false">EG117*$AC$115*EG118*EG$38*'⑫ Roll-out Plan'!$O$17</f>
        <v>272.16</v>
      </c>
      <c r="EH119" s="36" t="n">
        <f aca="false">EH117*$AC$115*EH118*EH$38*'⑫ Roll-out Plan'!$O$17</f>
        <v>206.64</v>
      </c>
      <c r="EI119" s="36" t="n">
        <f aca="false">EI117*$AC$115*EI118*EI$38*'⑫ Roll-out Plan'!$O$17</f>
        <v>292.32</v>
      </c>
      <c r="EJ119" s="36" t="n">
        <f aca="false">EJ117*$AC$115*EJ118*EJ$38*'⑫ Roll-out Plan'!$O$17</f>
        <v>277.2</v>
      </c>
      <c r="EK119" s="36" t="n">
        <f aca="false">EK117*$AC$115*EK118*EK$38*'⑫ Roll-out Plan'!$O$17</f>
        <v>231.84</v>
      </c>
      <c r="EL119" s="36" t="n">
        <f aca="false">EL117*$AC$115*EL118*EL$38*'⑫ Roll-out Plan'!$O$17</f>
        <v>201.6</v>
      </c>
      <c r="EM119" s="36" t="n">
        <f aca="false">EM117*$AC$115*EM118*EM$38*'⑫ Roll-out Plan'!$O$17</f>
        <v>211.68</v>
      </c>
      <c r="EN119" s="36" t="n">
        <f aca="false">EN117*$AC$115*EN118*EN$38*'⑫ Roll-out Plan'!$O$17</f>
        <v>357.84</v>
      </c>
      <c r="EO119" s="36" t="n">
        <f aca="false">EO117*$AC$115*EO118*EO$38*'⑫ Roll-out Plan'!$O$17</f>
        <v>292.32</v>
      </c>
      <c r="EP119" s="36" t="n">
        <f aca="false">EP117*$AC$115*EP118*EP$38*'⑫ Roll-out Plan'!$O$17</f>
        <v>241.92</v>
      </c>
      <c r="EQ119" s="36" t="n">
        <f aca="false">EQ117*$AC$115*EQ118*EQ$38*'⑫ Roll-out Plan'!$O$17</f>
        <v>181.44</v>
      </c>
      <c r="ER119" s="36" t="n">
        <f aca="false">ER117*$AC$115*ER118*ER$38*'⑫ Roll-out Plan'!$O$17</f>
        <v>257.04</v>
      </c>
      <c r="ES119" s="9" t="n">
        <f aca="false">ES117*$AC$115*ES118*ES$38*'⑫ Roll-out Plan'!$O$17</f>
        <v>272.16</v>
      </c>
      <c r="ET119" s="9" t="n">
        <f aca="false">ET117*$AC$115*ET118*ET$38*'⑫ Roll-out Plan'!$O$17</f>
        <v>206.64</v>
      </c>
      <c r="EU119" s="9" t="n">
        <f aca="false">EU117*$AC$115*EU118*EU$38*'⑫ Roll-out Plan'!$O$17</f>
        <v>292.32</v>
      </c>
      <c r="EV119" s="9" t="n">
        <f aca="false">EV117*$AC$115*EV118*EV$38*'⑫ Roll-out Plan'!$O$17</f>
        <v>277.2</v>
      </c>
      <c r="EW119" s="9" t="n">
        <f aca="false">EW117*$AC$115*EW118*EW$38*'⑫ Roll-out Plan'!$O$17</f>
        <v>231.84</v>
      </c>
      <c r="EX119" s="9" t="n">
        <f aca="false">EX117*$AC$115*EX118*EX$38*'⑫ Roll-out Plan'!$O$17</f>
        <v>201.6</v>
      </c>
      <c r="EY119" s="9" t="n">
        <f aca="false">EY117*$AC$115*EY118*EY$38*'⑫ Roll-out Plan'!$O$17</f>
        <v>211.68</v>
      </c>
      <c r="EZ119" s="9" t="n">
        <f aca="false">EZ117*$AC$115*EZ118*EZ$38*'⑫ Roll-out Plan'!$O$17</f>
        <v>357.84</v>
      </c>
      <c r="FA119" s="9" t="n">
        <f aca="false">FA117*$AC$115*FA118*FA$38*'⑫ Roll-out Plan'!$O$17</f>
        <v>292.32</v>
      </c>
      <c r="FB119" s="9" t="n">
        <f aca="false">FB117*$AC$115*FB118*FB$38*'⑫ Roll-out Plan'!$O$17</f>
        <v>241.92</v>
      </c>
      <c r="FC119" s="9" t="n">
        <f aca="false">FC117*$AC$115*FC118*FC$38*'⑫ Roll-out Plan'!$O$17</f>
        <v>181.44</v>
      </c>
      <c r="FD119" s="9" t="n">
        <f aca="false">FD117*$AC$115*FD118*FD$38*'⑫ Roll-out Plan'!$O$17</f>
        <v>257.04</v>
      </c>
      <c r="FE119" s="9" t="n">
        <f aca="false">FE117*$AC$115*FE118*FE$38*'⑫ Roll-out Plan'!$O$17</f>
        <v>272.16</v>
      </c>
      <c r="FF119" s="9" t="n">
        <f aca="false">FF117*$AC$115*FF118*FF$38*'⑫ Roll-out Plan'!$O$17</f>
        <v>206.64</v>
      </c>
      <c r="FG119" s="9" t="n">
        <f aca="false">FG117*$AC$115*FG118*FG$38*'⑫ Roll-out Plan'!$O$17</f>
        <v>292.32</v>
      </c>
      <c r="FH119" s="9" t="n">
        <f aca="false">FH117*$AC$115*FH118*FH$38*'⑫ Roll-out Plan'!$O$17</f>
        <v>277.2</v>
      </c>
      <c r="FI119" s="9" t="n">
        <f aca="false">FI117*$AC$115*FI118*FI$38*'⑫ Roll-out Plan'!$O$17</f>
        <v>231.84</v>
      </c>
      <c r="FJ119" s="9" t="n">
        <f aca="false">FJ117*$AC$115*FJ118*FJ$38*'⑫ Roll-out Plan'!$O$17</f>
        <v>201.6</v>
      </c>
      <c r="FK119" s="9" t="n">
        <f aca="false">FK117*$AC$115*FK118*FK$38*'⑫ Roll-out Plan'!$O$17</f>
        <v>211.68</v>
      </c>
      <c r="FL119" s="9" t="n">
        <f aca="false">FL117*$AC$115*FL118*FL$38*'⑫ Roll-out Plan'!$O$17</f>
        <v>357.84</v>
      </c>
      <c r="FM119" s="9" t="n">
        <f aca="false">FM117*$AC$115*FM118*FM$38*'⑫ Roll-out Plan'!$O$17</f>
        <v>292.32</v>
      </c>
      <c r="FN119" s="9" t="n">
        <f aca="false">FN117*$AC$115*FN118*FN$38*'⑫ Roll-out Plan'!$O$17</f>
        <v>241.92</v>
      </c>
      <c r="FO119" s="9" t="n">
        <f aca="false">FO117*$AC$115*FO118*FO$38*'⑫ Roll-out Plan'!$O$17</f>
        <v>181.44</v>
      </c>
      <c r="FP119" s="9" t="n">
        <f aca="false">FP117*$AC$115*FP118*FP$38*'⑫ Roll-out Plan'!$O$17</f>
        <v>257.04</v>
      </c>
    </row>
    <row r="120" customFormat="false" ht="15" hidden="false" customHeight="false" outlineLevel="2" collapsed="false">
      <c r="B120" s="9" t="s">
        <v>877</v>
      </c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112" t="n">
        <f aca="true">IFERROR(SUMPRODUCT(OFFSET($BJ$31,0,1-MIN(60,COLUMN()-29),1,MIN(60,COLUMN()-29)),OFFSET(AC119,0,-MIN(60,COLUMN()-29),1,MIN(60,COLUMN()-29))),0)</f>
        <v>0</v>
      </c>
      <c r="AD120" s="112" t="n">
        <f aca="true">IFERROR(SUMPRODUCT(OFFSET($BJ$31,0,1-MIN(60,COLUMN()-29),1,MIN(60,COLUMN()-29)),OFFSET(AD119,0,-MIN(60,COLUMN()-29),1,MIN(60,COLUMN()-29))),0)</f>
        <v>0</v>
      </c>
      <c r="AE120" s="112" t="n">
        <f aca="true">IFERROR(SUMPRODUCT(OFFSET($BJ$31,0,1-MIN(60,COLUMN()-29),1,MIN(60,COLUMN()-29)),OFFSET(AE119,0,-MIN(60,COLUMN()-29),1,MIN(60,COLUMN()-29))),0)</f>
        <v>0</v>
      </c>
      <c r="AF120" s="112" t="n">
        <f aca="true">IFERROR(SUMPRODUCT(OFFSET($BJ$31,0,1-MIN(60,COLUMN()-29),1,MIN(60,COLUMN()-29)),OFFSET(AF119,0,-MIN(60,COLUMN()-29),1,MIN(60,COLUMN()-29))),0)</f>
        <v>0</v>
      </c>
      <c r="AG120" s="112" t="n">
        <f aca="true">IFERROR(SUMPRODUCT(OFFSET($BJ$31,0,1-MIN(60,COLUMN()-29),1,MIN(60,COLUMN()-29)),OFFSET(AG119,0,-MIN(60,COLUMN()-29),1,MIN(60,COLUMN()-29))),0)</f>
        <v>0</v>
      </c>
      <c r="AH120" s="112" t="n">
        <f aca="true">IFERROR(SUMPRODUCT(OFFSET($BJ$31,0,1-MIN(60,COLUMN()-29),1,MIN(60,COLUMN()-29)),OFFSET(AH119,0,-MIN(60,COLUMN()-29),1,MIN(60,COLUMN()-29))),0)</f>
        <v>0</v>
      </c>
      <c r="AI120" s="112" t="n">
        <f aca="true">IFERROR(SUMPRODUCT(OFFSET($BJ$31,0,1-MIN(60,COLUMN()-29),1,MIN(60,COLUMN()-29)),OFFSET(AI119,0,-MIN(60,COLUMN()-29),1,MIN(60,COLUMN()-29))),0)</f>
        <v>0</v>
      </c>
      <c r="AJ120" s="112" t="n">
        <f aca="true">IFERROR(SUMPRODUCT(OFFSET($BJ$31,0,1-MIN(60,COLUMN()-29),1,MIN(60,COLUMN()-29)),OFFSET(AJ119,0,-MIN(60,COLUMN()-29),1,MIN(60,COLUMN()-29))),0)</f>
        <v>0</v>
      </c>
      <c r="AK120" s="112" t="n">
        <f aca="true">IFERROR(SUMPRODUCT(OFFSET($BJ$31,0,1-MIN(60,COLUMN()-29),1,MIN(60,COLUMN()-29)),OFFSET(AK119,0,-MIN(60,COLUMN()-29),1,MIN(60,COLUMN()-29))),0)</f>
        <v>0</v>
      </c>
      <c r="AL120" s="112" t="n">
        <f aca="true">IFERROR(SUMPRODUCT(OFFSET($BJ$31,0,1-MIN(60,COLUMN()-29),1,MIN(60,COLUMN()-29)),OFFSET(AL119,0,-MIN(60,COLUMN()-29),1,MIN(60,COLUMN()-29))),0)</f>
        <v>0</v>
      </c>
      <c r="AM120" s="112" t="n">
        <f aca="true">IFERROR(SUMPRODUCT(OFFSET($BJ$31,0,1-MIN(60,COLUMN()-29),1,MIN(60,COLUMN()-29)),OFFSET(AM119,0,-MIN(60,COLUMN()-29),1,MIN(60,COLUMN()-29))),0)</f>
        <v>0</v>
      </c>
      <c r="AN120" s="112" t="n">
        <f aca="true">IFERROR(SUMPRODUCT(OFFSET($BJ$31,0,1-MIN(60,COLUMN()-29),1,MIN(60,COLUMN()-29)),OFFSET(AN119,0,-MIN(60,COLUMN()-29),1,MIN(60,COLUMN()-29))),0)</f>
        <v>0</v>
      </c>
      <c r="AO120" s="112" t="n">
        <f aca="true">IFERROR(SUMPRODUCT(OFFSET($BJ$31,0,1-MIN(60,COLUMN()-29),1,MIN(60,COLUMN()-29)),OFFSET(AO119,0,-MIN(60,COLUMN()-29),1,MIN(60,COLUMN()-29))),0)</f>
        <v>0</v>
      </c>
      <c r="AP120" s="112" t="n">
        <f aca="true">IFERROR(SUMPRODUCT(OFFSET($BJ$31,0,1-MIN(60,COLUMN()-29),1,MIN(60,COLUMN()-29)),OFFSET(AP119,0,-MIN(60,COLUMN()-29),1,MIN(60,COLUMN()-29))),0)</f>
        <v>0</v>
      </c>
      <c r="AQ120" s="112" t="n">
        <f aca="true">IFERROR(SUMPRODUCT(OFFSET($BJ$31,0,1-MIN(60,COLUMN()-29),1,MIN(60,COLUMN()-29)),OFFSET(AQ119,0,-MIN(60,COLUMN()-29),1,MIN(60,COLUMN()-29))),0)</f>
        <v>0</v>
      </c>
      <c r="AR120" s="112" t="n">
        <f aca="true">IFERROR(SUMPRODUCT(OFFSET($BJ$31,0,1-MIN(60,COLUMN()-29),1,MIN(60,COLUMN()-29)),OFFSET(AR119,0,-MIN(60,COLUMN()-29),1,MIN(60,COLUMN()-29))),0)</f>
        <v>0</v>
      </c>
      <c r="AS120" s="112" t="n">
        <f aca="true">IFERROR(SUMPRODUCT(OFFSET($BJ$31,0,1-MIN(60,COLUMN()-29),1,MIN(60,COLUMN()-29)),OFFSET(AS119,0,-MIN(60,COLUMN()-29),1,MIN(60,COLUMN()-29))),0)</f>
        <v>0</v>
      </c>
      <c r="AT120" s="112" t="n">
        <f aca="true">IFERROR(SUMPRODUCT(OFFSET($BJ$31,0,1-MIN(60,COLUMN()-29),1,MIN(60,COLUMN()-29)),OFFSET(AT119,0,-MIN(60,COLUMN()-29),1,MIN(60,COLUMN()-29))),0)</f>
        <v>0</v>
      </c>
      <c r="AU120" s="112" t="n">
        <f aca="true">IFERROR(SUMPRODUCT(OFFSET($BJ$31,0,1-MIN(60,COLUMN()-29),1,MIN(60,COLUMN()-29)),OFFSET(AU119,0,-MIN(60,COLUMN()-29),1,MIN(60,COLUMN()-29))),0)</f>
        <v>0</v>
      </c>
      <c r="AV120" s="112" t="n">
        <f aca="true">IFERROR(SUMPRODUCT(OFFSET($BJ$31,0,1-MIN(60,COLUMN()-29),1,MIN(60,COLUMN()-29)),OFFSET(AV119,0,-MIN(60,COLUMN()-29),1,MIN(60,COLUMN()-29))),0)</f>
        <v>0</v>
      </c>
      <c r="AW120" s="112" t="n">
        <f aca="true">IFERROR(SUMPRODUCT(OFFSET($BJ$31,0,1-MIN(60,COLUMN()-29),1,MIN(60,COLUMN()-29)),OFFSET(AW119,0,-MIN(60,COLUMN()-29),1,MIN(60,COLUMN()-29))),0)</f>
        <v>0</v>
      </c>
      <c r="AX120" s="112" t="n">
        <f aca="true">IFERROR(SUMPRODUCT(OFFSET($BJ$31,0,1-MIN(60,COLUMN()-29),1,MIN(60,COLUMN()-29)),OFFSET(AX119,0,-MIN(60,COLUMN()-29),1,MIN(60,COLUMN()-29))),0)</f>
        <v>0</v>
      </c>
      <c r="AY120" s="112" t="n">
        <f aca="true">IFERROR(SUMPRODUCT(OFFSET($BJ$31,0,1-MIN(60,COLUMN()-29),1,MIN(60,COLUMN()-29)),OFFSET(AY119,0,-MIN(60,COLUMN()-29),1,MIN(60,COLUMN()-29))),0)</f>
        <v>0</v>
      </c>
      <c r="AZ120" s="112" t="n">
        <f aca="true">IFERROR(SUMPRODUCT(OFFSET($BJ$31,0,1-MIN(60,COLUMN()-29),1,MIN(60,COLUMN()-29)),OFFSET(AZ119,0,-MIN(60,COLUMN()-29),1,MIN(60,COLUMN()-29))),0)</f>
        <v>0</v>
      </c>
      <c r="BA120" s="112" t="n">
        <f aca="true">IFERROR(SUMPRODUCT(OFFSET($BJ$31,0,1-MIN(60,COLUMN()-29),1,MIN(60,COLUMN()-29)),OFFSET(BA119,0,-MIN(60,COLUMN()-29),1,MIN(60,COLUMN()-29))),0)</f>
        <v>0</v>
      </c>
      <c r="BB120" s="112" t="n">
        <f aca="true">IFERROR(SUMPRODUCT(OFFSET($BJ$31,0,1-MIN(60,COLUMN()-29),1,MIN(60,COLUMN()-29)),OFFSET(BB119,0,-MIN(60,COLUMN()-29),1,MIN(60,COLUMN()-29))),0)</f>
        <v>0</v>
      </c>
      <c r="BC120" s="112" t="n">
        <f aca="true">IFERROR(SUMPRODUCT(OFFSET($BJ$31,0,1-MIN(60,COLUMN()-29),1,MIN(60,COLUMN()-29)),OFFSET(BC119,0,-MIN(60,COLUMN()-29),1,MIN(60,COLUMN()-29))),0)</f>
        <v>0</v>
      </c>
      <c r="BD120" s="112" t="n">
        <f aca="true">IFERROR(SUMPRODUCT(OFFSET($BJ$31,0,1-MIN(60,COLUMN()-29),1,MIN(60,COLUMN()-29)),OFFSET(BD119,0,-MIN(60,COLUMN()-29),1,MIN(60,COLUMN()-29))),0)</f>
        <v>0</v>
      </c>
      <c r="BE120" s="112" t="n">
        <f aca="true">IFERROR(SUMPRODUCT(OFFSET($BJ$31,0,1-MIN(60,COLUMN()-29),1,MIN(60,COLUMN()-29)),OFFSET(BE119,0,-MIN(60,COLUMN()-29),1,MIN(60,COLUMN()-29))),0)</f>
        <v>0</v>
      </c>
      <c r="BF120" s="112" t="n">
        <f aca="true">IFERROR(SUMPRODUCT(OFFSET($BJ$31,0,1-MIN(60,COLUMN()-29),1,MIN(60,COLUMN()-29)),OFFSET(BF119,0,-MIN(60,COLUMN()-29),1,MIN(60,COLUMN()-29))),0)</f>
        <v>0</v>
      </c>
      <c r="BG120" s="112" t="n">
        <f aca="true">IFERROR(SUMPRODUCT(OFFSET($BJ$31,0,1-MIN(60,COLUMN()-29),1,MIN(60,COLUMN()-29)),OFFSET(BG119,0,-MIN(60,COLUMN()-29),1,MIN(60,COLUMN()-29))),0)</f>
        <v>4.3008</v>
      </c>
      <c r="BH120" s="112" t="n">
        <f aca="true">IFERROR(SUMPRODUCT(OFFSET($BJ$31,0,1-MIN(60,COLUMN()-29),1,MIN(60,COLUMN()-29)),OFFSET(BH119,0,-MIN(60,COLUMN()-29),1,MIN(60,COLUMN()-29))),0)</f>
        <v>5.558784</v>
      </c>
      <c r="BI120" s="112" t="n">
        <f aca="true">IFERROR(SUMPRODUCT(OFFSET($BJ$31,0,1-MIN(60,COLUMN()-29),1,MIN(60,COLUMN()-29)),OFFSET(BI119,0,-MIN(60,COLUMN()-29),1,MIN(60,COLUMN()-29))),0)</f>
        <v>10.5963648</v>
      </c>
      <c r="BJ120" s="112" t="n">
        <f aca="true">IFERROR(SUMPRODUCT(OFFSET($BJ$31,0,1-MIN(60,COLUMN()-29),1,MIN(60,COLUMN()-29)),OFFSET(BJ119,0,-MIN(60,COLUMN()-29),1,MIN(60,COLUMN()-29))),0)</f>
        <v>10.977792</v>
      </c>
      <c r="BK120" s="112" t="n">
        <f aca="true">IFERROR(SUMPRODUCT(OFFSET($BJ$31,0,1-MIN(60,COLUMN()-29),1,MIN(60,COLUMN()-29)),OFFSET(BK119,0,-MIN(60,COLUMN()-29),1,MIN(60,COLUMN()-29))),0)</f>
        <v>10.5473088</v>
      </c>
      <c r="BL120" s="112" t="n">
        <f aca="true">IFERROR(SUMPRODUCT(OFFSET($BJ$31,0,1-MIN(60,COLUMN()-29),1,MIN(60,COLUMN()-29)),OFFSET(BL119,0,-MIN(60,COLUMN()-29),1,MIN(60,COLUMN()-29))),0)</f>
        <v>9.8808192</v>
      </c>
      <c r="BM120" s="112" t="n">
        <f aca="true">IFERROR(SUMPRODUCT(OFFSET($BJ$31,0,1-MIN(60,COLUMN()-29),1,MIN(60,COLUMN()-29)),OFFSET(BM119,0,-MIN(60,COLUMN()-29),1,MIN(60,COLUMN()-29))),0)</f>
        <v>13.8931968</v>
      </c>
      <c r="BN120" s="112" t="n">
        <f aca="true">IFERROR(SUMPRODUCT(OFFSET($BJ$31,0,1-MIN(60,COLUMN()-29),1,MIN(60,COLUMN()-29)),OFFSET(BN119,0,-MIN(60,COLUMN()-29),1,MIN(60,COLUMN()-29))),0)</f>
        <v>16.145136</v>
      </c>
      <c r="BO120" s="112" t="n">
        <f aca="true">IFERROR(SUMPRODUCT(OFFSET($BJ$31,0,1-MIN(60,COLUMN()-29),1,MIN(60,COLUMN()-29)),OFFSET(BO119,0,-MIN(60,COLUMN()-29),1,MIN(60,COLUMN()-29))),0)</f>
        <v>16.026528</v>
      </c>
      <c r="BP120" s="112" t="n">
        <f aca="true">IFERROR(SUMPRODUCT(OFFSET($BJ$31,0,1-MIN(60,COLUMN()-29),1,MIN(60,COLUMN()-29)),OFFSET(BP119,0,-MIN(60,COLUMN()-29),1,MIN(60,COLUMN()-29))),0)</f>
        <v>21.0650496</v>
      </c>
      <c r="BQ120" s="112" t="n">
        <f aca="true">IFERROR(SUMPRODUCT(OFFSET($BJ$31,0,1-MIN(60,COLUMN()-29),1,MIN(60,COLUMN()-29)),OFFSET(BQ119,0,-MIN(60,COLUMN()-29),1,MIN(60,COLUMN()-29))),0)</f>
        <v>22.517376</v>
      </c>
      <c r="BR120" s="112" t="n">
        <f aca="true">IFERROR(SUMPRODUCT(OFFSET($BJ$31,0,1-MIN(60,COLUMN()-29),1,MIN(60,COLUMN()-29)),OFFSET(BR119,0,-MIN(60,COLUMN()-29),1,MIN(60,COLUMN()-29))),0)</f>
        <v>23.3309664</v>
      </c>
      <c r="BS120" s="112" t="n">
        <f aca="true">IFERROR(SUMPRODUCT(OFFSET($BJ$31,0,1-MIN(60,COLUMN()-29),1,MIN(60,COLUMN()-29)),OFFSET(BS119,0,-MIN(60,COLUMN()-29),1,MIN(60,COLUMN()-29))),0)</f>
        <v>24.3899712</v>
      </c>
      <c r="BT120" s="112" t="n">
        <f aca="true">IFERROR(SUMPRODUCT(OFFSET($BJ$31,0,1-MIN(60,COLUMN()-29),1,MIN(60,COLUMN()-29)),OFFSET(BT119,0,-MIN(60,COLUMN()-29),1,MIN(60,COLUMN()-29))),0)</f>
        <v>27.3481824</v>
      </c>
      <c r="BU120" s="112" t="n">
        <f aca="true">IFERROR(SUMPRODUCT(OFFSET($BJ$31,0,1-MIN(60,COLUMN()-29),1,MIN(60,COLUMN()-29)),OFFSET(BU119,0,-MIN(60,COLUMN()-29),1,MIN(60,COLUMN()-29))),0)</f>
        <v>38.2116672</v>
      </c>
      <c r="BV120" s="112" t="n">
        <f aca="true">IFERROR(SUMPRODUCT(OFFSET($BJ$31,0,1-MIN(60,COLUMN()-29),1,MIN(60,COLUMN()-29)),OFFSET(BV119,0,-MIN(60,COLUMN()-29),1,MIN(60,COLUMN()-29))),0)</f>
        <v>41.4913632</v>
      </c>
      <c r="BW120" s="112" t="n">
        <f aca="true">IFERROR(SUMPRODUCT(OFFSET($BJ$31,0,1-MIN(60,COLUMN()-29),1,MIN(60,COLUMN()-29)),OFFSET(BW119,0,-MIN(60,COLUMN()-29),1,MIN(60,COLUMN()-29))),0)</f>
        <v>41.26663296</v>
      </c>
      <c r="BX120" s="112" t="n">
        <f aca="true">IFERROR(SUMPRODUCT(OFFSET($BJ$31,0,1-MIN(60,COLUMN()-29),1,MIN(60,COLUMN()-29)),OFFSET(BX119,0,-MIN(60,COLUMN()-29),1,MIN(60,COLUMN()-29))),0)</f>
        <v>39.23984736</v>
      </c>
      <c r="BY120" s="112" t="n">
        <f aca="true">IFERROR(SUMPRODUCT(OFFSET($BJ$31,0,1-MIN(60,COLUMN()-29),1,MIN(60,COLUMN()-29)),OFFSET(BY119,0,-MIN(60,COLUMN()-29),1,MIN(60,COLUMN()-29))),0)</f>
        <v>49.84204512</v>
      </c>
      <c r="BZ120" s="112" t="n">
        <f aca="true">IFERROR(SUMPRODUCT(OFFSET($BJ$31,0,1-MIN(60,COLUMN()-29),1,MIN(60,COLUMN()-29)),OFFSET(BZ119,0,-MIN(60,COLUMN()-29),1,MIN(60,COLUMN()-29))),0)</f>
        <v>53.9657496</v>
      </c>
      <c r="CA120" s="112" t="n">
        <f aca="true">IFERROR(SUMPRODUCT(OFFSET($BJ$31,0,1-MIN(60,COLUMN()-29),1,MIN(60,COLUMN()-29)),OFFSET(CA119,0,-MIN(60,COLUMN()-29),1,MIN(60,COLUMN()-29))),0)</f>
        <v>52.7681112</v>
      </c>
      <c r="CB120" s="112" t="n">
        <f aca="true">IFERROR(SUMPRODUCT(OFFSET($BJ$31,0,1-MIN(60,COLUMN()-29),1,MIN(60,COLUMN()-29)),OFFSET(CB119,0,-MIN(60,COLUMN()-29),1,MIN(60,COLUMN()-29))),0)</f>
        <v>64.521828</v>
      </c>
      <c r="CC120" s="112" t="n">
        <f aca="true">IFERROR(SUMPRODUCT(OFFSET($BJ$31,0,1-MIN(60,COLUMN()-29),1,MIN(60,COLUMN()-29)),OFFSET(CC119,0,-MIN(60,COLUMN()-29),1,MIN(60,COLUMN()-29))),0)</f>
        <v>67.44618216</v>
      </c>
      <c r="CD120" s="112" t="n">
        <f aca="true">IFERROR(SUMPRODUCT(OFFSET($BJ$31,0,1-MIN(60,COLUMN()-29),1,MIN(60,COLUMN()-29)),OFFSET(CD119,0,-MIN(60,COLUMN()-29),1,MIN(60,COLUMN()-29))),0)</f>
        <v>67.89156696</v>
      </c>
      <c r="CE120" s="112" t="n">
        <f aca="true">IFERROR(SUMPRODUCT(OFFSET($BJ$31,0,1-MIN(60,COLUMN()-29),1,MIN(60,COLUMN()-29)),OFFSET(CE119,0,-MIN(60,COLUMN()-29),1,MIN(60,COLUMN()-29))),0)</f>
        <v>68.03196792</v>
      </c>
      <c r="CF120" s="112" t="n">
        <f aca="true">IFERROR(SUMPRODUCT(OFFSET($BJ$31,0,1-MIN(60,COLUMN()-29),1,MIN(60,COLUMN()-29)),OFFSET(CF119,0,-MIN(60,COLUMN()-29),1,MIN(60,COLUMN()-29))),0)</f>
        <v>73.69807032</v>
      </c>
      <c r="CG120" s="112" t="n">
        <f aca="true">IFERROR(SUMPRODUCT(OFFSET($BJ$31,0,1-MIN(60,COLUMN()-29),1,MIN(60,COLUMN()-29)),OFFSET(CG119,0,-MIN(60,COLUMN()-29),1,MIN(60,COLUMN()-29))),0)</f>
        <v>94.29823032</v>
      </c>
      <c r="CH120" s="112" t="n">
        <f aca="true">IFERROR(SUMPRODUCT(OFFSET($BJ$31,0,1-MIN(60,COLUMN()-29),1,MIN(60,COLUMN()-29)),OFFSET(CH119,0,-MIN(60,COLUMN()-29),1,MIN(60,COLUMN()-29))),0)</f>
        <v>95.21805048</v>
      </c>
      <c r="CI120" s="112" t="n">
        <f aca="true">IFERROR(SUMPRODUCT(OFFSET($BJ$31,0,1-MIN(60,COLUMN()-29),1,MIN(60,COLUMN()-29)),OFFSET(CI119,0,-MIN(60,COLUMN()-29),1,MIN(60,COLUMN()-29))),0)</f>
        <v>93.93810552</v>
      </c>
      <c r="CJ120" s="112" t="n">
        <f aca="true">IFERROR(SUMPRODUCT(OFFSET($BJ$31,0,1-MIN(60,COLUMN()-29),1,MIN(60,COLUMN()-29)),OFFSET(CJ119,0,-MIN(60,COLUMN()-29),1,MIN(60,COLUMN()-29))),0)</f>
        <v>90.41159736</v>
      </c>
      <c r="CK120" s="112" t="n">
        <f aca="true">IFERROR(SUMPRODUCT(OFFSET($BJ$31,0,1-MIN(60,COLUMN()-29),1,MIN(60,COLUMN()-29)),OFFSET(CK119,0,-MIN(60,COLUMN()-29),1,MIN(60,COLUMN()-29))),0)</f>
        <v>105.2293788</v>
      </c>
      <c r="CL120" s="112" t="n">
        <f aca="true">IFERROR(SUMPRODUCT(OFFSET($BJ$31,0,1-MIN(60,COLUMN()-29),1,MIN(60,COLUMN()-29)),OFFSET(CL119,0,-MIN(60,COLUMN()-29),1,MIN(60,COLUMN()-29))),0)</f>
        <v>111.81196152</v>
      </c>
      <c r="CM120" s="112" t="n">
        <f aca="true">IFERROR(SUMPRODUCT(OFFSET($BJ$31,0,1-MIN(60,COLUMN()-29),1,MIN(60,COLUMN()-29)),OFFSET(CM119,0,-MIN(60,COLUMN()-29),1,MIN(60,COLUMN()-29))),0)</f>
        <v>112.048398</v>
      </c>
      <c r="CN120" s="112" t="n">
        <f aca="true">IFERROR(SUMPRODUCT(OFFSET($BJ$31,0,1-MIN(60,COLUMN()-29),1,MIN(60,COLUMN()-29)),OFFSET(CN119,0,-MIN(60,COLUMN()-29),1,MIN(60,COLUMN()-29))),0)</f>
        <v>127.23166008</v>
      </c>
      <c r="CO120" s="112" t="n">
        <f aca="true">IFERROR(SUMPRODUCT(OFFSET($BJ$31,0,1-MIN(60,COLUMN()-29),1,MIN(60,COLUMN()-29)),OFFSET(CO119,0,-MIN(60,COLUMN()-29),1,MIN(60,COLUMN()-29))),0)</f>
        <v>131.40743112</v>
      </c>
      <c r="CP120" s="112" t="n">
        <f aca="true">IFERROR(SUMPRODUCT(OFFSET($BJ$31,0,1-MIN(60,COLUMN()-29),1,MIN(60,COLUMN()-29)),OFFSET(CP119,0,-MIN(60,COLUMN()-29),1,MIN(60,COLUMN()-29))),0)</f>
        <v>133.16528232</v>
      </c>
      <c r="CQ120" s="112" t="n">
        <f aca="true">IFERROR(SUMPRODUCT(OFFSET($BJ$31,0,1-MIN(60,COLUMN()-29),1,MIN(60,COLUMN()-29)),OFFSET(CQ119,0,-MIN(60,COLUMN()-29),1,MIN(60,COLUMN()-29))),0)</f>
        <v>133.49375928</v>
      </c>
      <c r="CR120" s="112" t="n">
        <f aca="true">IFERROR(SUMPRODUCT(OFFSET($BJ$31,0,1-MIN(60,COLUMN()-29),1,MIN(60,COLUMN()-29)),OFFSET(CR119,0,-MIN(60,COLUMN()-29),1,MIN(60,COLUMN()-29))),0)</f>
        <v>142.808022</v>
      </c>
      <c r="CS120" s="112" t="n">
        <f aca="true">IFERROR(SUMPRODUCT(OFFSET($BJ$31,0,1-MIN(60,COLUMN()-29),1,MIN(60,COLUMN()-29)),OFFSET(CS119,0,-MIN(60,COLUMN()-29),1,MIN(60,COLUMN()-29))),0)</f>
        <v>168.014322</v>
      </c>
      <c r="CT120" s="112" t="n">
        <f aca="true">IFERROR(SUMPRODUCT(OFFSET($BJ$31,0,1-MIN(60,COLUMN()-29),1,MIN(60,COLUMN()-29)),OFFSET(CT119,0,-MIN(60,COLUMN()-29),1,MIN(60,COLUMN()-29))),0)</f>
        <v>168.15647016</v>
      </c>
      <c r="CU120" s="112" t="n">
        <f aca="true">IFERROR(SUMPRODUCT(OFFSET($BJ$31,0,1-MIN(60,COLUMN()-29),1,MIN(60,COLUMN()-29)),OFFSET(CU119,0,-MIN(60,COLUMN()-29),1,MIN(60,COLUMN()-29))),0)</f>
        <v>167.41530792</v>
      </c>
      <c r="CV120" s="112" t="n">
        <f aca="true">IFERROR(SUMPRODUCT(OFFSET($BJ$31,0,1-MIN(60,COLUMN()-29),1,MIN(60,COLUMN()-29)),OFFSET(CV119,0,-MIN(60,COLUMN()-29),1,MIN(60,COLUMN()-29))),0)</f>
        <v>163.9701252</v>
      </c>
      <c r="CW120" s="112" t="n">
        <f aca="true">IFERROR(SUMPRODUCT(OFFSET($BJ$31,0,1-MIN(60,COLUMN()-29),1,MIN(60,COLUMN()-29)),OFFSET(CW119,0,-MIN(60,COLUMN()-29),1,MIN(60,COLUMN()-29))),0)</f>
        <v>183.00295944</v>
      </c>
      <c r="CX120" s="112" t="n">
        <f aca="true">IFERROR(SUMPRODUCT(OFFSET($BJ$31,0,1-MIN(60,COLUMN()-29),1,MIN(60,COLUMN()-29)),OFFSET(CX119,0,-MIN(60,COLUMN()-29),1,MIN(60,COLUMN()-29))),0)</f>
        <v>190.80745992</v>
      </c>
      <c r="CY120" s="112" t="n">
        <f aca="true">IFERROR(SUMPRODUCT(OFFSET($BJ$31,0,1-MIN(60,COLUMN()-29),1,MIN(60,COLUMN()-29)),OFFSET(CY119,0,-MIN(60,COLUMN()-29),1,MIN(60,COLUMN()-29))),0)</f>
        <v>191.17848456</v>
      </c>
      <c r="CZ120" s="112" t="n">
        <f aca="true">IFERROR(SUMPRODUCT(OFFSET($BJ$31,0,1-MIN(60,COLUMN()-29),1,MIN(60,COLUMN()-29)),OFFSET(CZ119,0,-MIN(60,COLUMN()-29),1,MIN(60,COLUMN()-29))),0)</f>
        <v>207.9083412</v>
      </c>
      <c r="DA120" s="112" t="n">
        <f aca="true">IFERROR(SUMPRODUCT(OFFSET($BJ$31,0,1-MIN(60,COLUMN()-29),1,MIN(60,COLUMN()-29)),OFFSET(DA119,0,-MIN(60,COLUMN()-29),1,MIN(60,COLUMN()-29))),0)</f>
        <v>212.6357604</v>
      </c>
      <c r="DB120" s="112" t="n">
        <f aca="true">IFERROR(SUMPRODUCT(OFFSET($BJ$31,0,1-MIN(60,COLUMN()-29),1,MIN(60,COLUMN()-29)),OFFSET(DB119,0,-MIN(60,COLUMN()-29),1,MIN(60,COLUMN()-29))),0)</f>
        <v>214.3412964</v>
      </c>
      <c r="DC120" s="112" t="n">
        <f aca="true">IFERROR(SUMPRODUCT(OFFSET($BJ$31,0,1-MIN(60,COLUMN()-29),1,MIN(60,COLUMN()-29)),OFFSET(DC119,0,-MIN(60,COLUMN()-29),1,MIN(60,COLUMN()-29))),0)</f>
        <v>214.16512824</v>
      </c>
      <c r="DD120" s="112" t="n">
        <f aca="true">IFERROR(SUMPRODUCT(OFFSET($BJ$31,0,1-MIN(60,COLUMN()-29),1,MIN(60,COLUMN()-29)),OFFSET(DD119,0,-MIN(60,COLUMN()-29),1,MIN(60,COLUMN()-29))),0)</f>
        <v>223.95843288</v>
      </c>
      <c r="DE120" s="112" t="n">
        <f aca="true">IFERROR(SUMPRODUCT(OFFSET($BJ$31,0,1-MIN(60,COLUMN()-29),1,MIN(60,COLUMN()-29)),OFFSET(DE119,0,-MIN(60,COLUMN()-29),1,MIN(60,COLUMN()-29))),0)</f>
        <v>249.56709624</v>
      </c>
      <c r="DF120" s="112" t="n">
        <f aca="true">IFERROR(SUMPRODUCT(OFFSET($BJ$31,0,1-MIN(60,COLUMN()-29),1,MIN(60,COLUMN()-29)),OFFSET(DF119,0,-MIN(60,COLUMN()-29),1,MIN(60,COLUMN()-29))),0)</f>
        <v>248.90073768</v>
      </c>
      <c r="DG120" s="112" t="n">
        <f aca="true">IFERROR(SUMPRODUCT(OFFSET($BJ$31,0,1-MIN(60,COLUMN()-29),1,MIN(60,COLUMN()-29)),OFFSET(DG119,0,-MIN(60,COLUMN()-29),1,MIN(60,COLUMN()-29))),0)</f>
        <v>246.8962692</v>
      </c>
      <c r="DH120" s="112" t="n">
        <f aca="true">IFERROR(SUMPRODUCT(OFFSET($BJ$31,0,1-MIN(60,COLUMN()-29),1,MIN(60,COLUMN()-29)),OFFSET(DH119,0,-MIN(60,COLUMN()-29),1,MIN(60,COLUMN()-29))),0)</f>
        <v>242.72966088</v>
      </c>
      <c r="DI120" s="112" t="n">
        <f aca="true">IFERROR(SUMPRODUCT(OFFSET($BJ$31,0,1-MIN(60,COLUMN()-29),1,MIN(60,COLUMN()-29)),OFFSET(DI119,0,-MIN(60,COLUMN()-29),1,MIN(60,COLUMN()-29))),0)</f>
        <v>261.71022528</v>
      </c>
      <c r="DJ120" s="112" t="n">
        <f aca="true">IFERROR(SUMPRODUCT(OFFSET($BJ$31,0,1-MIN(60,COLUMN()-29),1,MIN(60,COLUMN()-29)),OFFSET(DJ119,0,-MIN(60,COLUMN()-29),1,MIN(60,COLUMN()-29))),0)</f>
        <v>268.1933688</v>
      </c>
      <c r="DK120" s="112" t="n">
        <f aca="true">IFERROR(SUMPRODUCT(OFFSET($BJ$31,0,1-MIN(60,COLUMN()-29),1,MIN(60,COLUMN()-29)),OFFSET(DK119,0,-MIN(60,COLUMN()-29),1,MIN(60,COLUMN()-29))),0)</f>
        <v>267.83244432</v>
      </c>
      <c r="DL120" s="112" t="n">
        <f aca="true">IFERROR(SUMPRODUCT(OFFSET($BJ$31,0,1-MIN(60,COLUMN()-29),1,MIN(60,COLUMN()-29)),OFFSET(DL119,0,-MIN(60,COLUMN()-29),1,MIN(60,COLUMN()-29))),0)</f>
        <v>283.50494928</v>
      </c>
      <c r="DM120" s="112" t="n">
        <f aca="true">IFERROR(SUMPRODUCT(OFFSET($BJ$31,0,1-MIN(60,COLUMN()-29),1,MIN(60,COLUMN()-29)),OFFSET(DM119,0,-MIN(60,COLUMN()-29),1,MIN(60,COLUMN()-29))),0)</f>
        <v>287.02128672</v>
      </c>
      <c r="DN120" s="112" t="n">
        <f aca="true">IFERROR(SUMPRODUCT(OFFSET($BJ$31,0,1-MIN(60,COLUMN()-29),1,MIN(60,COLUMN()-29)),OFFSET(DN119,0,-MIN(60,COLUMN()-29),1,MIN(60,COLUMN()-29))),0)</f>
        <v>287.64523872</v>
      </c>
      <c r="DO120" s="112" t="n">
        <f aca="true">IFERROR(SUMPRODUCT(OFFSET($BJ$31,0,1-MIN(60,COLUMN()-29),1,MIN(60,COLUMN()-29)),OFFSET(DO119,0,-MIN(60,COLUMN()-29),1,MIN(60,COLUMN()-29))),0)</f>
        <v>286.32576672</v>
      </c>
      <c r="DP120" s="112" t="n">
        <f aca="true">IFERROR(SUMPRODUCT(OFFSET($BJ$31,0,1-MIN(60,COLUMN()-29),1,MIN(60,COLUMN()-29)),OFFSET(DP119,0,-MIN(60,COLUMN()-29),1,MIN(60,COLUMN()-29))),0)</f>
        <v>295.12016352</v>
      </c>
      <c r="DQ120" s="112" t="n">
        <f aca="true">IFERROR(SUMPRODUCT(OFFSET($BJ$31,0,1-MIN(60,COLUMN()-29),1,MIN(60,COLUMN()-29)),OFFSET(DQ119,0,-MIN(60,COLUMN()-29),1,MIN(60,COLUMN()-29))),0)</f>
        <v>318.74778432</v>
      </c>
      <c r="DR120" s="112" t="n">
        <f aca="true">IFERROR(SUMPRODUCT(OFFSET($BJ$31,0,1-MIN(60,COLUMN()-29),1,MIN(60,COLUMN()-29)),OFFSET(DR119,0,-MIN(60,COLUMN()-29),1,MIN(60,COLUMN()-29))),0)</f>
        <v>315.54022752</v>
      </c>
      <c r="DS120" s="112" t="n">
        <f aca="true">IFERROR(SUMPRODUCT(OFFSET($BJ$31,0,1-MIN(60,COLUMN()-29),1,MIN(60,COLUMN()-29)),OFFSET(DS119,0,-MIN(60,COLUMN()-29),1,MIN(60,COLUMN()-29))),0)</f>
        <v>311.19211872</v>
      </c>
      <c r="DT120" s="112" t="n">
        <f aca="true">IFERROR(SUMPRODUCT(OFFSET($BJ$31,0,1-MIN(60,COLUMN()-29),1,MIN(60,COLUMN()-29)),OFFSET(DT119,0,-MIN(60,COLUMN()-29),1,MIN(60,COLUMN()-29))),0)</f>
        <v>305.30680992</v>
      </c>
      <c r="DU120" s="112" t="n">
        <f aca="true">IFERROR(SUMPRODUCT(OFFSET($BJ$31,0,1-MIN(60,COLUMN()-29),1,MIN(60,COLUMN()-29)),OFFSET(DU119,0,-MIN(60,COLUMN()-29),1,MIN(60,COLUMN()-29))),0)</f>
        <v>321.86446992</v>
      </c>
      <c r="DV120" s="112" t="n">
        <f aca="true">IFERROR(SUMPRODUCT(OFFSET($BJ$31,0,1-MIN(60,COLUMN()-29),1,MIN(60,COLUMN()-29)),OFFSET(DV119,0,-MIN(60,COLUMN()-29),1,MIN(60,COLUMN()-29))),0)</f>
        <v>325.73004912</v>
      </c>
      <c r="DW120" s="112" t="n">
        <f aca="true">IFERROR(SUMPRODUCT(OFFSET($BJ$31,0,1-MIN(60,COLUMN()-29),1,MIN(60,COLUMN()-29)),OFFSET(DW119,0,-MIN(60,COLUMN()-29),1,MIN(60,COLUMN()-29))),0)</f>
        <v>323.29557792</v>
      </c>
      <c r="DX120" s="112" t="n">
        <f aca="true">IFERROR(SUMPRODUCT(OFFSET($BJ$31,0,1-MIN(60,COLUMN()-29),1,MIN(60,COLUMN()-29)),OFFSET(DX119,0,-MIN(60,COLUMN()-29),1,MIN(60,COLUMN()-29))),0)</f>
        <v>335.81322432</v>
      </c>
      <c r="DY120" s="112" t="n">
        <f aca="true">IFERROR(SUMPRODUCT(OFFSET($BJ$31,0,1-MIN(60,COLUMN()-29),1,MIN(60,COLUMN()-29)),OFFSET(DY119,0,-MIN(60,COLUMN()-29),1,MIN(60,COLUMN()-29))),0)</f>
        <v>336.24943632</v>
      </c>
      <c r="DZ120" s="112" t="n">
        <f aca="true">IFERROR(SUMPRODUCT(OFFSET($BJ$31,0,1-MIN(60,COLUMN()-29),1,MIN(60,COLUMN()-29)),OFFSET(DZ119,0,-MIN(60,COLUMN()-29),1,MIN(60,COLUMN()-29))),0)</f>
        <v>334.18636272</v>
      </c>
      <c r="EA120" s="112" t="n">
        <f aca="true">IFERROR(SUMPRODUCT(OFFSET($BJ$31,0,1-MIN(60,COLUMN()-29),1,MIN(60,COLUMN()-29)),OFFSET(EA119,0,-MIN(60,COLUMN()-29),1,MIN(60,COLUMN()-29))),0)</f>
        <v>331.01821872</v>
      </c>
      <c r="EB120" s="112" t="n">
        <f aca="true">IFERROR(SUMPRODUCT(OFFSET($BJ$31,0,1-MIN(60,COLUMN()-29),1,MIN(60,COLUMN()-29)),OFFSET(EB119,0,-MIN(60,COLUMN()-29),1,MIN(60,COLUMN()-29))),0)</f>
        <v>337.89479472</v>
      </c>
      <c r="EC120" s="112" t="n">
        <f aca="true">IFERROR(SUMPRODUCT(OFFSET($BJ$31,0,1-MIN(60,COLUMN()-29),1,MIN(60,COLUMN()-29)),OFFSET(EC119,0,-MIN(60,COLUMN()-29),1,MIN(60,COLUMN()-29))),0)</f>
        <v>358.25891472</v>
      </c>
      <c r="ED120" s="112" t="n">
        <f aca="true">IFERROR(SUMPRODUCT(OFFSET($BJ$31,0,1-MIN(60,COLUMN()-29),1,MIN(60,COLUMN()-29)),OFFSET(ED119,0,-MIN(60,COLUMN()-29),1,MIN(60,COLUMN()-29))),0)</f>
        <v>352.42573968</v>
      </c>
      <c r="EE120" s="112" t="n">
        <f aca="true">IFERROR(SUMPRODUCT(OFFSET($BJ$31,0,1-MIN(60,COLUMN()-29),1,MIN(60,COLUMN()-29)),OFFSET(EE119,0,-MIN(60,COLUMN()-29),1,MIN(60,COLUMN()-29))),0)</f>
        <v>345.872772</v>
      </c>
      <c r="EF120" s="112" t="n">
        <f aca="true">IFERROR(SUMPRODUCT(OFFSET($BJ$31,0,1-MIN(60,COLUMN()-29),1,MIN(60,COLUMN()-29)),OFFSET(EF119,0,-MIN(60,COLUMN()-29),1,MIN(60,COLUMN()-29))),0)</f>
        <v>338.42417616</v>
      </c>
      <c r="EG120" s="112" t="n">
        <f aca="true">IFERROR(SUMPRODUCT(OFFSET($BJ$31,0,1-MIN(60,COLUMN()-29),1,MIN(60,COLUMN()-29)),OFFSET(EG119,0,-MIN(60,COLUMN()-29),1,MIN(60,COLUMN()-29))),0)</f>
        <v>352.8550872</v>
      </c>
      <c r="EH120" s="112" t="n">
        <f aca="true">IFERROR(SUMPRODUCT(OFFSET($BJ$31,0,1-MIN(60,COLUMN()-29),1,MIN(60,COLUMN()-29)),OFFSET(EH119,0,-MIN(60,COLUMN()-29),1,MIN(60,COLUMN()-29))),0)</f>
        <v>354.51780336</v>
      </c>
      <c r="EI120" s="112" t="n">
        <f aca="true">IFERROR(SUMPRODUCT(OFFSET($BJ$31,0,1-MIN(60,COLUMN()-29),1,MIN(60,COLUMN()-29)),OFFSET(EI119,0,-MIN(60,COLUMN()-29),1,MIN(60,COLUMN()-29))),0)</f>
        <v>350.50625568</v>
      </c>
      <c r="EJ120" s="112" t="n">
        <f aca="true">IFERROR(SUMPRODUCT(OFFSET($BJ$31,0,1-MIN(60,COLUMN()-29),1,MIN(60,COLUMN()-29)),OFFSET(EJ119,0,-MIN(60,COLUMN()-29),1,MIN(60,COLUMN()-29))),0)</f>
        <v>360.75257568</v>
      </c>
      <c r="EK120" s="112" t="n">
        <f aca="true">IFERROR(SUMPRODUCT(OFFSET($BJ$31,0,1-MIN(60,COLUMN()-29),1,MIN(60,COLUMN()-29)),OFFSET(EK119,0,-MIN(60,COLUMN()-29),1,MIN(60,COLUMN()-29))),0)</f>
        <v>359.17132608</v>
      </c>
      <c r="EL120" s="112" t="n">
        <f aca="true">IFERROR(SUMPRODUCT(OFFSET($BJ$31,0,1-MIN(60,COLUMN()-29),1,MIN(60,COLUMN()-29)),OFFSET(EL119,0,-MIN(60,COLUMN()-29),1,MIN(60,COLUMN()-29))),0)</f>
        <v>355.46543424</v>
      </c>
      <c r="EM120" s="112" t="n">
        <f aca="true">IFERROR(SUMPRODUCT(OFFSET($BJ$31,0,1-MIN(60,COLUMN()-29),1,MIN(60,COLUMN()-29)),OFFSET(EM119,0,-MIN(60,COLUMN()-29),1,MIN(60,COLUMN()-29))),0)</f>
        <v>350.93528064</v>
      </c>
      <c r="EN120" s="112" t="n">
        <f aca="true">IFERROR(SUMPRODUCT(OFFSET($BJ$31,0,1-MIN(60,COLUMN()-29),1,MIN(60,COLUMN()-29)),OFFSET(EN119,0,-MIN(60,COLUMN()-29),1,MIN(60,COLUMN()-29))),0)</f>
        <v>356.45287104</v>
      </c>
      <c r="EO120" s="112" t="n">
        <f aca="true">IFERROR(SUMPRODUCT(OFFSET($BJ$31,0,1-MIN(60,COLUMN()-29),1,MIN(60,COLUMN()-29)),OFFSET(EO119,0,-MIN(60,COLUMN()-29),1,MIN(60,COLUMN()-29))),0)</f>
        <v>374.47027632</v>
      </c>
      <c r="EP120" s="112" t="n">
        <f aca="true">IFERROR(SUMPRODUCT(OFFSET($BJ$31,0,1-MIN(60,COLUMN()-29),1,MIN(60,COLUMN()-29)),OFFSET(EP119,0,-MIN(60,COLUMN()-29),1,MIN(60,COLUMN()-29))),0)</f>
        <v>367.2707976</v>
      </c>
      <c r="EQ120" s="112" t="n">
        <f aca="true">IFERROR(SUMPRODUCT(OFFSET($BJ$31,0,1-MIN(60,COLUMN()-29),1,MIN(60,COLUMN()-29)),OFFSET(EQ119,0,-MIN(60,COLUMN()-29),1,MIN(60,COLUMN()-29))),0)</f>
        <v>359.6204808</v>
      </c>
      <c r="ER120" s="112" t="n">
        <f aca="true">IFERROR(SUMPRODUCT(OFFSET($BJ$31,0,1-MIN(60,COLUMN()-29),1,MIN(60,COLUMN()-29)),OFFSET(ER119,0,-MIN(60,COLUMN()-29),1,MIN(60,COLUMN()-29))),0)</f>
        <v>351.4000392</v>
      </c>
      <c r="ES120" s="9" t="n">
        <f aca="true">IFERROR(SUMPRODUCT(OFFSET($BJ$31,0,1-MIN(60,COLUMN()-29),1,MIN(60,COLUMN()-29)),OFFSET(ES119,0,-MIN(60,COLUMN()-29),1,MIN(60,COLUMN()-29))),0)</f>
        <v>364.77451584</v>
      </c>
      <c r="ET120" s="9" t="n">
        <f aca="true">IFERROR(SUMPRODUCT(OFFSET($BJ$31,0,1-MIN(60,COLUMN()-29),1,MIN(60,COLUMN()-29)),OFFSET(ET119,0,-MIN(60,COLUMN()-29),1,MIN(60,COLUMN()-29))),0)</f>
        <v>365.28109632</v>
      </c>
      <c r="EU120" s="9" t="n">
        <f aca="true">IFERROR(SUMPRODUCT(OFFSET($BJ$31,0,1-MIN(60,COLUMN()-29),1,MIN(60,COLUMN()-29)),OFFSET(EU119,0,-MIN(60,COLUMN()-29),1,MIN(60,COLUMN()-29))),0)</f>
        <v>360.45249408</v>
      </c>
      <c r="EV120" s="9" t="n">
        <f aca="true">IFERROR(SUMPRODUCT(OFFSET($BJ$31,0,1-MIN(60,COLUMN()-29),1,MIN(60,COLUMN()-29)),OFFSET(EV119,0,-MIN(60,COLUMN()-29),1,MIN(60,COLUMN()-29))),0)</f>
        <v>369.62892288</v>
      </c>
      <c r="EW120" s="9" t="n">
        <f aca="true">IFERROR(SUMPRODUCT(OFFSET($BJ$31,0,1-MIN(60,COLUMN()-29),1,MIN(60,COLUMN()-29)),OFFSET(EW119,0,-MIN(60,COLUMN()-29),1,MIN(60,COLUMN()-29))),0)</f>
        <v>367.11295488</v>
      </c>
      <c r="EX120" s="9" t="n">
        <f aca="true">IFERROR(SUMPRODUCT(OFFSET($BJ$31,0,1-MIN(60,COLUMN()-29),1,MIN(60,COLUMN()-29)),OFFSET(EX119,0,-MIN(60,COLUMN()-29),1,MIN(60,COLUMN()-29))),0)</f>
        <v>362.69485056</v>
      </c>
      <c r="EY120" s="9" t="n">
        <f aca="true">IFERROR(SUMPRODUCT(OFFSET($BJ$31,0,1-MIN(60,COLUMN()-29),1,MIN(60,COLUMN()-29)),OFFSET(EY119,0,-MIN(60,COLUMN()-29),1,MIN(60,COLUMN()-29))),0)</f>
        <v>357.54659136</v>
      </c>
      <c r="EZ120" s="9" t="n">
        <f aca="true">IFERROR(SUMPRODUCT(OFFSET($BJ$31,0,1-MIN(60,COLUMN()-29),1,MIN(60,COLUMN()-29)),OFFSET(EZ119,0,-MIN(60,COLUMN()-29),1,MIN(60,COLUMN()-29))),0)</f>
        <v>362.44692288</v>
      </c>
      <c r="FA120" s="9" t="n">
        <f aca="true">IFERROR(SUMPRODUCT(OFFSET($BJ$31,0,1-MIN(60,COLUMN()-29),1,MIN(60,COLUMN()-29)),OFFSET(FA119,0,-MIN(60,COLUMN()-29),1,MIN(60,COLUMN()-29))),0)</f>
        <v>379.52607168</v>
      </c>
      <c r="FB120" s="9" t="n">
        <f aca="true">IFERROR(SUMPRODUCT(OFFSET($BJ$31,0,1-MIN(60,COLUMN()-29),1,MIN(60,COLUMN()-29)),OFFSET(FB119,0,-MIN(60,COLUMN()-29),1,MIN(60,COLUMN()-29))),0)</f>
        <v>371.64431808</v>
      </c>
      <c r="FC120" s="9" t="n">
        <f aca="true">IFERROR(SUMPRODUCT(OFFSET($BJ$31,0,1-MIN(60,COLUMN()-29),1,MIN(60,COLUMN()-29)),OFFSET(FC119,0,-MIN(60,COLUMN()-29),1,MIN(60,COLUMN()-29))),0)</f>
        <v>363.46709952</v>
      </c>
      <c r="FD120" s="9" t="n">
        <f aca="true">IFERROR(SUMPRODUCT(OFFSET($BJ$31,0,1-MIN(60,COLUMN()-29),1,MIN(60,COLUMN()-29)),OFFSET(FD119,0,-MIN(60,COLUMN()-29),1,MIN(60,COLUMN()-29))),0)</f>
        <v>354.85257024</v>
      </c>
      <c r="FE120" s="9" t="n">
        <f aca="true">IFERROR(SUMPRODUCT(OFFSET($BJ$31,0,1-MIN(60,COLUMN()-29),1,MIN(60,COLUMN()-29)),OFFSET(FE119,0,-MIN(60,COLUMN()-29),1,MIN(60,COLUMN()-29))),0)</f>
        <v>367.707312</v>
      </c>
      <c r="FF120" s="9" t="n">
        <f aca="true">IFERROR(SUMPRODUCT(OFFSET($BJ$31,0,1-MIN(60,COLUMN()-29),1,MIN(60,COLUMN()-29)),OFFSET(FF119,0,-MIN(60,COLUMN()-29),1,MIN(60,COLUMN()-29))),0)</f>
        <v>367.7436</v>
      </c>
      <c r="FG120" s="9" t="n">
        <f aca="true">IFERROR(SUMPRODUCT(OFFSET($BJ$31,0,1-MIN(60,COLUMN()-29),1,MIN(60,COLUMN()-29)),OFFSET(FG119,0,-MIN(60,COLUMN()-29),1,MIN(60,COLUMN()-29))),0)</f>
        <v>362.58768</v>
      </c>
      <c r="FH120" s="9" t="n">
        <f aca="true">IFERROR(SUMPRODUCT(OFFSET($BJ$31,0,1-MIN(60,COLUMN()-29),1,MIN(60,COLUMN()-29)),OFFSET(FH119,0,-MIN(60,COLUMN()-29),1,MIN(60,COLUMN()-29))),0)</f>
        <v>371.343168</v>
      </c>
      <c r="FI120" s="9" t="n">
        <f aca="true">IFERROR(SUMPRODUCT(OFFSET($BJ$31,0,1-MIN(60,COLUMN()-29),1,MIN(60,COLUMN()-29)),OFFSET(FI119,0,-MIN(60,COLUMN()-29),1,MIN(60,COLUMN()-29))),0)</f>
        <v>368.428032</v>
      </c>
      <c r="FJ120" s="9" t="n">
        <f aca="true">IFERROR(SUMPRODUCT(OFFSET($BJ$31,0,1-MIN(60,COLUMN()-29),1,MIN(60,COLUMN()-29)),OFFSET(FJ119,0,-MIN(60,COLUMN()-29),1,MIN(60,COLUMN()-29))),0)</f>
        <v>363.742848</v>
      </c>
      <c r="FK120" s="9" t="n">
        <f aca="true">IFERROR(SUMPRODUCT(OFFSET($BJ$31,0,1-MIN(60,COLUMN()-29),1,MIN(60,COLUMN()-29)),OFFSET(FK119,0,-MIN(60,COLUMN()-29),1,MIN(60,COLUMN()-29))),0)</f>
        <v>358.391376</v>
      </c>
      <c r="FL120" s="9" t="n">
        <f aca="true">IFERROR(SUMPRODUCT(OFFSET($BJ$31,0,1-MIN(60,COLUMN()-29),1,MIN(60,COLUMN()-29)),OFFSET(FL119,0,-MIN(60,COLUMN()-29),1,MIN(60,COLUMN()-29))),0)</f>
        <v>363.108816</v>
      </c>
      <c r="FM120" s="9" t="n">
        <f aca="true">IFERROR(SUMPRODUCT(OFFSET($BJ$31,0,1-MIN(60,COLUMN()-29),1,MIN(60,COLUMN()-29)),OFFSET(FM119,0,-MIN(60,COLUMN()-29),1,MIN(60,COLUMN()-29))),0)</f>
        <v>379.93032</v>
      </c>
      <c r="FN120" s="9" t="n">
        <f aca="true">IFERROR(SUMPRODUCT(OFFSET($BJ$31,0,1-MIN(60,COLUMN()-29),1,MIN(60,COLUMN()-29)),OFFSET(FN119,0,-MIN(60,COLUMN()-29),1,MIN(60,COLUMN()-29))),0)</f>
        <v>371.838096</v>
      </c>
      <c r="FO120" s="9" t="n">
        <f aca="true">IFERROR(SUMPRODUCT(OFFSET($BJ$31,0,1-MIN(60,COLUMN()-29),1,MIN(60,COLUMN()-29)),OFFSET(FO119,0,-MIN(60,COLUMN()-29),1,MIN(60,COLUMN()-29))),0)</f>
        <v>363.556368</v>
      </c>
      <c r="FP120" s="9" t="n">
        <f aca="true">IFERROR(SUMPRODUCT(OFFSET($BJ$31,0,1-MIN(60,COLUMN()-29),1,MIN(60,COLUMN()-29)),OFFSET(FP119,0,-MIN(60,COLUMN()-29),1,MIN(60,COLUMN()-29))),0)</f>
        <v>354.889584</v>
      </c>
    </row>
    <row r="121" customFormat="false" ht="15" hidden="false" customHeight="false" outlineLevel="2" collapsed="false">
      <c r="B121" s="90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237"/>
      <c r="AD121" s="237"/>
      <c r="AE121" s="237"/>
      <c r="AF121" s="237"/>
      <c r="AG121" s="237"/>
      <c r="AH121" s="237"/>
      <c r="AI121" s="237"/>
      <c r="AJ121" s="237"/>
      <c r="AK121" s="237"/>
      <c r="AL121" s="237"/>
      <c r="AM121" s="237"/>
      <c r="AN121" s="237"/>
      <c r="AO121" s="237"/>
      <c r="AP121" s="237"/>
      <c r="AQ121" s="237"/>
      <c r="AR121" s="237"/>
      <c r="AS121" s="237"/>
      <c r="AT121" s="237"/>
      <c r="AU121" s="237"/>
      <c r="AV121" s="237"/>
      <c r="AW121" s="237"/>
      <c r="AX121" s="237"/>
      <c r="AY121" s="237"/>
      <c r="AZ121" s="237"/>
      <c r="BA121" s="237"/>
      <c r="BB121" s="237"/>
      <c r="BC121" s="237"/>
      <c r="BD121" s="237"/>
      <c r="BE121" s="237"/>
      <c r="BF121" s="237"/>
      <c r="BG121" s="237"/>
      <c r="BH121" s="237"/>
      <c r="BI121" s="237"/>
      <c r="BJ121" s="237"/>
      <c r="BK121" s="237"/>
      <c r="BL121" s="237"/>
      <c r="BM121" s="237"/>
      <c r="BN121" s="237"/>
      <c r="BO121" s="237"/>
      <c r="BP121" s="237"/>
      <c r="BQ121" s="237"/>
      <c r="BR121" s="237"/>
      <c r="BS121" s="237"/>
      <c r="BT121" s="237"/>
      <c r="BU121" s="237"/>
      <c r="BV121" s="237"/>
      <c r="BW121" s="237"/>
      <c r="BX121" s="237"/>
      <c r="BY121" s="237"/>
      <c r="BZ121" s="237"/>
      <c r="CA121" s="237"/>
      <c r="CB121" s="237"/>
      <c r="CC121" s="237"/>
      <c r="CD121" s="237"/>
      <c r="CE121" s="237"/>
      <c r="CF121" s="237"/>
      <c r="CG121" s="237"/>
      <c r="CH121" s="237"/>
      <c r="CI121" s="237"/>
      <c r="CJ121" s="237"/>
      <c r="CK121" s="237"/>
      <c r="CL121" s="237"/>
      <c r="CM121" s="237"/>
      <c r="CN121" s="237"/>
      <c r="CO121" s="237"/>
      <c r="CP121" s="237"/>
      <c r="CQ121" s="237"/>
      <c r="CR121" s="237"/>
      <c r="CS121" s="237"/>
      <c r="CT121" s="237"/>
      <c r="CU121" s="237"/>
      <c r="CV121" s="237"/>
      <c r="CW121" s="237"/>
      <c r="CX121" s="237"/>
      <c r="CY121" s="237"/>
      <c r="CZ121" s="237"/>
      <c r="DA121" s="237"/>
      <c r="DB121" s="237"/>
      <c r="DC121" s="237"/>
      <c r="DD121" s="237"/>
      <c r="DE121" s="237"/>
      <c r="DF121" s="237"/>
      <c r="DG121" s="237"/>
      <c r="DH121" s="237"/>
      <c r="DI121" s="237"/>
      <c r="DJ121" s="237"/>
      <c r="DK121" s="237"/>
      <c r="DL121" s="237"/>
      <c r="DM121" s="237"/>
      <c r="DN121" s="237"/>
      <c r="DO121" s="237"/>
      <c r="DP121" s="237"/>
      <c r="DQ121" s="237"/>
      <c r="DR121" s="237"/>
      <c r="DS121" s="237"/>
      <c r="DT121" s="237"/>
      <c r="DU121" s="237"/>
      <c r="DV121" s="237"/>
      <c r="DW121" s="237"/>
      <c r="DX121" s="237"/>
      <c r="DY121" s="237"/>
      <c r="DZ121" s="237"/>
      <c r="EA121" s="237"/>
      <c r="EB121" s="237"/>
      <c r="EC121" s="237"/>
      <c r="ED121" s="237"/>
      <c r="EE121" s="237"/>
      <c r="EF121" s="237"/>
      <c r="EG121" s="237"/>
      <c r="EH121" s="237"/>
      <c r="EI121" s="237"/>
      <c r="EJ121" s="237"/>
      <c r="EK121" s="237"/>
      <c r="EL121" s="237"/>
      <c r="EM121" s="237"/>
      <c r="EN121" s="237"/>
      <c r="EO121" s="237"/>
      <c r="EP121" s="237"/>
      <c r="EQ121" s="237"/>
      <c r="ER121" s="237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</row>
    <row r="122" customFormat="false" ht="15" hidden="false" customHeight="false" outlineLevel="2" collapsed="false">
      <c r="B122" s="240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237"/>
      <c r="AD122" s="237"/>
      <c r="AE122" s="237"/>
      <c r="AF122" s="237"/>
      <c r="AG122" s="237"/>
      <c r="AH122" s="237"/>
      <c r="AI122" s="237"/>
      <c r="AJ122" s="237"/>
      <c r="AK122" s="237"/>
      <c r="AL122" s="237"/>
      <c r="AM122" s="237"/>
      <c r="AN122" s="237"/>
      <c r="AO122" s="237"/>
      <c r="AP122" s="237"/>
      <c r="AQ122" s="237"/>
      <c r="AR122" s="237"/>
      <c r="AS122" s="237"/>
      <c r="AT122" s="237"/>
      <c r="AU122" s="237"/>
      <c r="AV122" s="237"/>
      <c r="AW122" s="237"/>
      <c r="AX122" s="237"/>
      <c r="AY122" s="237"/>
      <c r="AZ122" s="237"/>
      <c r="BA122" s="237"/>
      <c r="BB122" s="237"/>
      <c r="BC122" s="237"/>
      <c r="BD122" s="237"/>
      <c r="BE122" s="237"/>
      <c r="BF122" s="237"/>
      <c r="BG122" s="237"/>
      <c r="BH122" s="237"/>
      <c r="BI122" s="237"/>
      <c r="BJ122" s="237"/>
      <c r="BK122" s="237"/>
      <c r="BL122" s="237"/>
      <c r="BM122" s="237"/>
      <c r="BN122" s="237"/>
      <c r="BO122" s="237"/>
      <c r="BP122" s="237"/>
      <c r="BQ122" s="237"/>
      <c r="BR122" s="237"/>
      <c r="BS122" s="237"/>
      <c r="BT122" s="237"/>
      <c r="BU122" s="237"/>
      <c r="BV122" s="237"/>
      <c r="BW122" s="237"/>
      <c r="BX122" s="237"/>
      <c r="BY122" s="237"/>
      <c r="BZ122" s="237"/>
      <c r="CA122" s="237"/>
      <c r="CB122" s="237"/>
      <c r="CC122" s="237"/>
      <c r="CD122" s="237"/>
      <c r="CE122" s="237"/>
      <c r="CF122" s="237"/>
      <c r="CG122" s="237"/>
      <c r="CH122" s="237"/>
      <c r="CI122" s="237"/>
      <c r="CJ122" s="237"/>
      <c r="CK122" s="237"/>
      <c r="CL122" s="237"/>
      <c r="CM122" s="237"/>
      <c r="CN122" s="237"/>
      <c r="CO122" s="237"/>
      <c r="CP122" s="237"/>
      <c r="CQ122" s="237"/>
      <c r="CR122" s="237"/>
      <c r="CS122" s="237"/>
      <c r="CT122" s="237"/>
      <c r="CU122" s="237"/>
      <c r="CV122" s="237"/>
      <c r="CW122" s="237"/>
      <c r="CX122" s="237"/>
      <c r="CY122" s="237"/>
      <c r="CZ122" s="237"/>
      <c r="DA122" s="237"/>
      <c r="DB122" s="237"/>
      <c r="DC122" s="237"/>
      <c r="DD122" s="237"/>
      <c r="DE122" s="237"/>
      <c r="DF122" s="237"/>
      <c r="DG122" s="237"/>
      <c r="DH122" s="237"/>
      <c r="DI122" s="237"/>
      <c r="DJ122" s="237"/>
      <c r="DK122" s="237"/>
      <c r="DL122" s="237"/>
      <c r="DM122" s="237"/>
      <c r="DN122" s="237"/>
      <c r="DO122" s="237"/>
      <c r="DP122" s="237"/>
      <c r="DQ122" s="237"/>
      <c r="DR122" s="237"/>
      <c r="DS122" s="237"/>
      <c r="DT122" s="237"/>
      <c r="DU122" s="237"/>
      <c r="DV122" s="237"/>
      <c r="DW122" s="237"/>
      <c r="DX122" s="237"/>
      <c r="DY122" s="237"/>
      <c r="DZ122" s="237"/>
      <c r="EA122" s="237"/>
      <c r="EB122" s="237"/>
      <c r="EC122" s="237"/>
      <c r="ED122" s="237"/>
      <c r="EE122" s="237"/>
      <c r="EF122" s="237"/>
      <c r="EG122" s="237"/>
      <c r="EH122" s="237"/>
      <c r="EI122" s="237"/>
      <c r="EJ122" s="237"/>
      <c r="EK122" s="237"/>
      <c r="EL122" s="237"/>
      <c r="EM122" s="237"/>
      <c r="EN122" s="237"/>
      <c r="EO122" s="237"/>
      <c r="EP122" s="237"/>
      <c r="EQ122" s="237"/>
      <c r="ER122" s="237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</row>
    <row r="123" customFormat="false" ht="15" hidden="false" customHeight="false" outlineLevel="2" collapsed="false">
      <c r="B123" s="21" t="s">
        <v>885</v>
      </c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</row>
    <row r="124" customFormat="false" ht="15" hidden="false" customHeight="false" outlineLevel="2" collapsed="false">
      <c r="B124" s="9" t="s">
        <v>872</v>
      </c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234" t="n">
        <f aca="false">('⑫ Roll-out Plan'!G18-2025)*12+'⑫ Roll-out Plan'!F18</f>
        <v>34</v>
      </c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</row>
    <row r="125" customFormat="false" ht="15" hidden="false" customHeight="false" outlineLevel="2" collapsed="false">
      <c r="B125" s="9" t="s">
        <v>873</v>
      </c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235" t="n">
        <f aca="false">VLOOKUP("A",$B$14:$C$18,2,FALSE())</f>
        <v>210</v>
      </c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</row>
    <row r="126" customFormat="false" ht="15" hidden="false" customHeight="false" outlineLevel="2" collapsed="false">
      <c r="B126" s="9" t="s">
        <v>799</v>
      </c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63" t="n">
        <f aca="false">IF(AC$35&gt;=$AC$124,AC$35-$AC$124+1,0)</f>
        <v>0</v>
      </c>
      <c r="AD126" s="63" t="n">
        <f aca="false">IF(AD$35&gt;=$AC$124,AD$35-$AC$124+1,0)</f>
        <v>0</v>
      </c>
      <c r="AE126" s="63" t="n">
        <f aca="false">IF(AE$35&gt;=$AC$124,AE$35-$AC$124+1,0)</f>
        <v>0</v>
      </c>
      <c r="AF126" s="63" t="n">
        <f aca="false">IF(AF$35&gt;=$AC$124,AF$35-$AC$124+1,0)</f>
        <v>0</v>
      </c>
      <c r="AG126" s="63" t="n">
        <f aca="false">IF(AG$35&gt;=$AC$124,AG$35-$AC$124+1,0)</f>
        <v>0</v>
      </c>
      <c r="AH126" s="63" t="n">
        <f aca="false">IF(AH$35&gt;=$AC$124,AH$35-$AC$124+1,0)</f>
        <v>0</v>
      </c>
      <c r="AI126" s="63" t="n">
        <f aca="false">IF(AI$35&gt;=$AC$124,AI$35-$AC$124+1,0)</f>
        <v>0</v>
      </c>
      <c r="AJ126" s="63" t="n">
        <f aca="false">IF(AJ$35&gt;=$AC$124,AJ$35-$AC$124+1,0)</f>
        <v>0</v>
      </c>
      <c r="AK126" s="63" t="n">
        <f aca="false">IF(AK$35&gt;=$AC$124,AK$35-$AC$124+1,0)</f>
        <v>0</v>
      </c>
      <c r="AL126" s="63" t="n">
        <f aca="false">IF(AL$35&gt;=$AC$124,AL$35-$AC$124+1,0)</f>
        <v>0</v>
      </c>
      <c r="AM126" s="63" t="n">
        <f aca="false">IF(AM$35&gt;=$AC$124,AM$35-$AC$124+1,0)</f>
        <v>0</v>
      </c>
      <c r="AN126" s="63" t="n">
        <f aca="false">IF(AN$35&gt;=$AC$124,AN$35-$AC$124+1,0)</f>
        <v>0</v>
      </c>
      <c r="AO126" s="63" t="n">
        <f aca="false">IF(AO$35&gt;=$AC$124,AO$35-$AC$124+1,0)</f>
        <v>0</v>
      </c>
      <c r="AP126" s="63" t="n">
        <f aca="false">IF(AP$35&gt;=$AC$124,AP$35-$AC$124+1,0)</f>
        <v>0</v>
      </c>
      <c r="AQ126" s="63" t="n">
        <f aca="false">IF(AQ$35&gt;=$AC$124,AQ$35-$AC$124+1,0)</f>
        <v>0</v>
      </c>
      <c r="AR126" s="63" t="n">
        <f aca="false">IF(AR$35&gt;=$AC$124,AR$35-$AC$124+1,0)</f>
        <v>0</v>
      </c>
      <c r="AS126" s="63" t="n">
        <f aca="false">IF(AS$35&gt;=$AC$124,AS$35-$AC$124+1,0)</f>
        <v>0</v>
      </c>
      <c r="AT126" s="63" t="n">
        <f aca="false">IF(AT$35&gt;=$AC$124,AT$35-$AC$124+1,0)</f>
        <v>0</v>
      </c>
      <c r="AU126" s="63" t="n">
        <f aca="false">IF(AU$35&gt;=$AC$124,AU$35-$AC$124+1,0)</f>
        <v>0</v>
      </c>
      <c r="AV126" s="63" t="n">
        <f aca="false">IF(AV$35&gt;=$AC$124,AV$35-$AC$124+1,0)</f>
        <v>0</v>
      </c>
      <c r="AW126" s="63" t="n">
        <f aca="false">IF(AW$35&gt;=$AC$124,AW$35-$AC$124+1,0)</f>
        <v>0</v>
      </c>
      <c r="AX126" s="63" t="n">
        <f aca="false">IF(AX$35&gt;=$AC$124,AX$35-$AC$124+1,0)</f>
        <v>0</v>
      </c>
      <c r="AY126" s="63" t="n">
        <f aca="false">IF(AY$35&gt;=$AC$124,AY$35-$AC$124+1,0)</f>
        <v>0</v>
      </c>
      <c r="AZ126" s="63" t="n">
        <f aca="false">IF(AZ$35&gt;=$AC$124,AZ$35-$AC$124+1,0)</f>
        <v>0</v>
      </c>
      <c r="BA126" s="63" t="n">
        <f aca="false">IF(BA$35&gt;=$AC$124,BA$35-$AC$124+1,0)</f>
        <v>0</v>
      </c>
      <c r="BB126" s="63" t="n">
        <f aca="false">IF(BB$35&gt;=$AC$124,BB$35-$AC$124+1,0)</f>
        <v>0</v>
      </c>
      <c r="BC126" s="63" t="n">
        <f aca="false">IF(BC$35&gt;=$AC$124,BC$35-$AC$124+1,0)</f>
        <v>0</v>
      </c>
      <c r="BD126" s="63" t="n">
        <f aca="false">IF(BD$35&gt;=$AC$124,BD$35-$AC$124+1,0)</f>
        <v>0</v>
      </c>
      <c r="BE126" s="63" t="n">
        <f aca="false">IF(BE$35&gt;=$AC$124,BE$35-$AC$124+1,0)</f>
        <v>0</v>
      </c>
      <c r="BF126" s="63" t="n">
        <f aca="false">IF(BF$35&gt;=$AC$124,BF$35-$AC$124+1,0)</f>
        <v>0</v>
      </c>
      <c r="BG126" s="63" t="n">
        <f aca="false">IF(BG$35&gt;=$AC$124,BG$35-$AC$124+1,0)</f>
        <v>0</v>
      </c>
      <c r="BH126" s="63" t="n">
        <f aca="false">IF(BH$35&gt;=$AC$124,BH$35-$AC$124+1,0)</f>
        <v>0</v>
      </c>
      <c r="BI126" s="63" t="n">
        <f aca="false">IF(BI$35&gt;=$AC$124,BI$35-$AC$124+1,0)</f>
        <v>0</v>
      </c>
      <c r="BJ126" s="63" t="n">
        <f aca="false">IF(BJ$35&gt;=$AC$124,BJ$35-$AC$124+1,0)</f>
        <v>1</v>
      </c>
      <c r="BK126" s="63" t="n">
        <f aca="false">IF(BK$35&gt;=$AC$124,BK$35-$AC$124+1,0)</f>
        <v>2</v>
      </c>
      <c r="BL126" s="63" t="n">
        <f aca="false">IF(BL$35&gt;=$AC$124,BL$35-$AC$124+1,0)</f>
        <v>3</v>
      </c>
      <c r="BM126" s="63" t="n">
        <f aca="false">IF(BM$35&gt;=$AC$124,BM$35-$AC$124+1,0)</f>
        <v>4</v>
      </c>
      <c r="BN126" s="63" t="n">
        <f aca="false">IF(BN$35&gt;=$AC$124,BN$35-$AC$124+1,0)</f>
        <v>5</v>
      </c>
      <c r="BO126" s="63" t="n">
        <f aca="false">IF(BO$35&gt;=$AC$124,BO$35-$AC$124+1,0)</f>
        <v>6</v>
      </c>
      <c r="BP126" s="63" t="n">
        <f aca="false">IF(BP$35&gt;=$AC$124,BP$35-$AC$124+1,0)</f>
        <v>7</v>
      </c>
      <c r="BQ126" s="63" t="n">
        <f aca="false">IF(BQ$35&gt;=$AC$124,BQ$35-$AC$124+1,0)</f>
        <v>8</v>
      </c>
      <c r="BR126" s="63" t="n">
        <f aca="false">IF(BR$35&gt;=$AC$124,BR$35-$AC$124+1,0)</f>
        <v>9</v>
      </c>
      <c r="BS126" s="63" t="n">
        <f aca="false">IF(BS$35&gt;=$AC$124,BS$35-$AC$124+1,0)</f>
        <v>10</v>
      </c>
      <c r="BT126" s="63" t="n">
        <f aca="false">IF(BT$35&gt;=$AC$124,BT$35-$AC$124+1,0)</f>
        <v>11</v>
      </c>
      <c r="BU126" s="63" t="n">
        <f aca="false">IF(BU$35&gt;=$AC$124,BU$35-$AC$124+1,0)</f>
        <v>12</v>
      </c>
      <c r="BV126" s="63" t="n">
        <f aca="false">IF(BV$35&gt;=$AC$124,BV$35-$AC$124+1,0)</f>
        <v>13</v>
      </c>
      <c r="BW126" s="63" t="n">
        <f aca="false">IF(BW$35&gt;=$AC$124,BW$35-$AC$124+1,0)</f>
        <v>14</v>
      </c>
      <c r="BX126" s="63" t="n">
        <f aca="false">IF(BX$35&gt;=$AC$124,BX$35-$AC$124+1,0)</f>
        <v>15</v>
      </c>
      <c r="BY126" s="63" t="n">
        <f aca="false">IF(BY$35&gt;=$AC$124,BY$35-$AC$124+1,0)</f>
        <v>16</v>
      </c>
      <c r="BZ126" s="63" t="n">
        <f aca="false">IF(BZ$35&gt;=$AC$124,BZ$35-$AC$124+1,0)</f>
        <v>17</v>
      </c>
      <c r="CA126" s="63" t="n">
        <f aca="false">IF(CA$35&gt;=$AC$124,CA$35-$AC$124+1,0)</f>
        <v>18</v>
      </c>
      <c r="CB126" s="63" t="n">
        <f aca="false">IF(CB$35&gt;=$AC$124,CB$35-$AC$124+1,0)</f>
        <v>19</v>
      </c>
      <c r="CC126" s="63" t="n">
        <f aca="false">IF(CC$35&gt;=$AC$124,CC$35-$AC$124+1,0)</f>
        <v>20</v>
      </c>
      <c r="CD126" s="63" t="n">
        <f aca="false">IF(CD$35&gt;=$AC$124,CD$35-$AC$124+1,0)</f>
        <v>21</v>
      </c>
      <c r="CE126" s="63" t="n">
        <f aca="false">IF(CE$35&gt;=$AC$124,CE$35-$AC$124+1,0)</f>
        <v>22</v>
      </c>
      <c r="CF126" s="63" t="n">
        <f aca="false">IF(CF$35&gt;=$AC$124,CF$35-$AC$124+1,0)</f>
        <v>23</v>
      </c>
      <c r="CG126" s="63" t="n">
        <f aca="false">IF(CG$35&gt;=$AC$124,CG$35-$AC$124+1,0)</f>
        <v>24</v>
      </c>
      <c r="CH126" s="63" t="n">
        <f aca="false">IF(CH$35&gt;=$AC$124,CH$35-$AC$124+1,0)</f>
        <v>25</v>
      </c>
      <c r="CI126" s="63" t="n">
        <f aca="false">IF(CI$35&gt;=$AC$124,CI$35-$AC$124+1,0)</f>
        <v>26</v>
      </c>
      <c r="CJ126" s="63" t="n">
        <f aca="false">IF(CJ$35&gt;=$AC$124,CJ$35-$AC$124+1,0)</f>
        <v>27</v>
      </c>
      <c r="CK126" s="63" t="n">
        <f aca="false">IF(CK$35&gt;=$AC$124,CK$35-$AC$124+1,0)</f>
        <v>28</v>
      </c>
      <c r="CL126" s="63" t="n">
        <f aca="false">IF(CL$35&gt;=$AC$124,CL$35-$AC$124+1,0)</f>
        <v>29</v>
      </c>
      <c r="CM126" s="63" t="n">
        <f aca="false">IF(CM$35&gt;=$AC$124,CM$35-$AC$124+1,0)</f>
        <v>30</v>
      </c>
      <c r="CN126" s="63" t="n">
        <f aca="false">IF(CN$35&gt;=$AC$124,CN$35-$AC$124+1,0)</f>
        <v>31</v>
      </c>
      <c r="CO126" s="63" t="n">
        <f aca="false">IF(CO$35&gt;=$AC$124,CO$35-$AC$124+1,0)</f>
        <v>32</v>
      </c>
      <c r="CP126" s="63" t="n">
        <f aca="false">IF(CP$35&gt;=$AC$124,CP$35-$AC$124+1,0)</f>
        <v>33</v>
      </c>
      <c r="CQ126" s="63" t="n">
        <f aca="false">IF(CQ$35&gt;=$AC$124,CQ$35-$AC$124+1,0)</f>
        <v>34</v>
      </c>
      <c r="CR126" s="63" t="n">
        <f aca="false">IF(CR$35&gt;=$AC$124,CR$35-$AC$124+1,0)</f>
        <v>35</v>
      </c>
      <c r="CS126" s="63" t="n">
        <f aca="false">IF(CS$35&gt;=$AC$124,CS$35-$AC$124+1,0)</f>
        <v>36</v>
      </c>
      <c r="CT126" s="63" t="n">
        <f aca="false">IF(CT$35&gt;=$AC$124,CT$35-$AC$124+1,0)</f>
        <v>37</v>
      </c>
      <c r="CU126" s="63" t="n">
        <f aca="false">IF(CU$35&gt;=$AC$124,CU$35-$AC$124+1,0)</f>
        <v>38</v>
      </c>
      <c r="CV126" s="63" t="n">
        <f aca="false">IF(CV$35&gt;=$AC$124,CV$35-$AC$124+1,0)</f>
        <v>39</v>
      </c>
      <c r="CW126" s="63" t="n">
        <f aca="false">IF(CW$35&gt;=$AC$124,CW$35-$AC$124+1,0)</f>
        <v>40</v>
      </c>
      <c r="CX126" s="63" t="n">
        <f aca="false">IF(CX$35&gt;=$AC$124,CX$35-$AC$124+1,0)</f>
        <v>41</v>
      </c>
      <c r="CY126" s="63" t="n">
        <f aca="false">IF(CY$35&gt;=$AC$124,CY$35-$AC$124+1,0)</f>
        <v>42</v>
      </c>
      <c r="CZ126" s="63" t="n">
        <f aca="false">IF(CZ$35&gt;=$AC$124,CZ$35-$AC$124+1,0)</f>
        <v>43</v>
      </c>
      <c r="DA126" s="63" t="n">
        <f aca="false">IF(DA$35&gt;=$AC$124,DA$35-$AC$124+1,0)</f>
        <v>44</v>
      </c>
      <c r="DB126" s="63" t="n">
        <f aca="false">IF(DB$35&gt;=$AC$124,DB$35-$AC$124+1,0)</f>
        <v>45</v>
      </c>
      <c r="DC126" s="63" t="n">
        <f aca="false">IF(DC$35&gt;=$AC$124,DC$35-$AC$124+1,0)</f>
        <v>46</v>
      </c>
      <c r="DD126" s="63" t="n">
        <f aca="false">IF(DD$35&gt;=$AC$124,DD$35-$AC$124+1,0)</f>
        <v>47</v>
      </c>
      <c r="DE126" s="63" t="n">
        <f aca="false">IF(DE$35&gt;=$AC$124,DE$35-$AC$124+1,0)</f>
        <v>48</v>
      </c>
      <c r="DF126" s="63" t="n">
        <f aca="false">IF(DF$35&gt;=$AC$124,DF$35-$AC$124+1,0)</f>
        <v>49</v>
      </c>
      <c r="DG126" s="63" t="n">
        <f aca="false">IF(DG$35&gt;=$AC$124,DG$35-$AC$124+1,0)</f>
        <v>50</v>
      </c>
      <c r="DH126" s="63" t="n">
        <f aca="false">IF(DH$35&gt;=$AC$124,DH$35-$AC$124+1,0)</f>
        <v>51</v>
      </c>
      <c r="DI126" s="63" t="n">
        <f aca="false">IF(DI$35&gt;=$AC$124,DI$35-$AC$124+1,0)</f>
        <v>52</v>
      </c>
      <c r="DJ126" s="63" t="n">
        <f aca="false">IF(DJ$35&gt;=$AC$124,DJ$35-$AC$124+1,0)</f>
        <v>53</v>
      </c>
      <c r="DK126" s="63" t="n">
        <f aca="false">IF(DK$35&gt;=$AC$124,DK$35-$AC$124+1,0)</f>
        <v>54</v>
      </c>
      <c r="DL126" s="63" t="n">
        <f aca="false">IF(DL$35&gt;=$AC$124,DL$35-$AC$124+1,0)</f>
        <v>55</v>
      </c>
      <c r="DM126" s="63" t="n">
        <f aca="false">IF(DM$35&gt;=$AC$124,DM$35-$AC$124+1,0)</f>
        <v>56</v>
      </c>
      <c r="DN126" s="63" t="n">
        <f aca="false">IF(DN$35&gt;=$AC$124,DN$35-$AC$124+1,0)</f>
        <v>57</v>
      </c>
      <c r="DO126" s="63" t="n">
        <f aca="false">IF(DO$35&gt;=$AC$124,DO$35-$AC$124+1,0)</f>
        <v>58</v>
      </c>
      <c r="DP126" s="63" t="n">
        <f aca="false">IF(DP$35&gt;=$AC$124,DP$35-$AC$124+1,0)</f>
        <v>59</v>
      </c>
      <c r="DQ126" s="63" t="n">
        <f aca="false">IF(DQ$35&gt;=$AC$124,DQ$35-$AC$124+1,0)</f>
        <v>60</v>
      </c>
      <c r="DR126" s="63" t="n">
        <f aca="false">IF(DR$35&gt;=$AC$124,DR$35-$AC$124+1,0)</f>
        <v>61</v>
      </c>
      <c r="DS126" s="63" t="n">
        <f aca="false">IF(DS$35&gt;=$AC$124,DS$35-$AC$124+1,0)</f>
        <v>62</v>
      </c>
      <c r="DT126" s="63" t="n">
        <f aca="false">IF(DT$35&gt;=$AC$124,DT$35-$AC$124+1,0)</f>
        <v>63</v>
      </c>
      <c r="DU126" s="63" t="n">
        <f aca="false">IF(DU$35&gt;=$AC$124,DU$35-$AC$124+1,0)</f>
        <v>64</v>
      </c>
      <c r="DV126" s="63" t="n">
        <f aca="false">IF(DV$35&gt;=$AC$124,DV$35-$AC$124+1,0)</f>
        <v>65</v>
      </c>
      <c r="DW126" s="63" t="n">
        <f aca="false">IF(DW$35&gt;=$AC$124,DW$35-$AC$124+1,0)</f>
        <v>66</v>
      </c>
      <c r="DX126" s="63" t="n">
        <f aca="false">IF(DX$35&gt;=$AC$124,DX$35-$AC$124+1,0)</f>
        <v>67</v>
      </c>
      <c r="DY126" s="63" t="n">
        <f aca="false">IF(DY$35&gt;=$AC$124,DY$35-$AC$124+1,0)</f>
        <v>68</v>
      </c>
      <c r="DZ126" s="63" t="n">
        <f aca="false">IF(DZ$35&gt;=$AC$124,DZ$35-$AC$124+1,0)</f>
        <v>69</v>
      </c>
      <c r="EA126" s="63" t="n">
        <f aca="false">IF(EA$35&gt;=$AC$124,EA$35-$AC$124+1,0)</f>
        <v>70</v>
      </c>
      <c r="EB126" s="63" t="n">
        <f aca="false">IF(EB$35&gt;=$AC$124,EB$35-$AC$124+1,0)</f>
        <v>71</v>
      </c>
      <c r="EC126" s="63" t="n">
        <f aca="false">IF(EC$35&gt;=$AC$124,EC$35-$AC$124+1,0)</f>
        <v>72</v>
      </c>
      <c r="ED126" s="63" t="n">
        <f aca="false">IF(ED$35&gt;=$AC$124,ED$35-$AC$124+1,0)</f>
        <v>73</v>
      </c>
      <c r="EE126" s="63" t="n">
        <f aca="false">IF(EE$35&gt;=$AC$124,EE$35-$AC$124+1,0)</f>
        <v>74</v>
      </c>
      <c r="EF126" s="63" t="n">
        <f aca="false">IF(EF$35&gt;=$AC$124,EF$35-$AC$124+1,0)</f>
        <v>75</v>
      </c>
      <c r="EG126" s="63" t="n">
        <f aca="false">IF(EG$35&gt;=$AC$124,EG$35-$AC$124+1,0)</f>
        <v>76</v>
      </c>
      <c r="EH126" s="63" t="n">
        <f aca="false">IF(EH$35&gt;=$AC$124,EH$35-$AC$124+1,0)</f>
        <v>77</v>
      </c>
      <c r="EI126" s="63" t="n">
        <f aca="false">IF(EI$35&gt;=$AC$124,EI$35-$AC$124+1,0)</f>
        <v>78</v>
      </c>
      <c r="EJ126" s="63" t="n">
        <f aca="false">IF(EJ$35&gt;=$AC$124,EJ$35-$AC$124+1,0)</f>
        <v>79</v>
      </c>
      <c r="EK126" s="63" t="n">
        <f aca="false">IF(EK$35&gt;=$AC$124,EK$35-$AC$124+1,0)</f>
        <v>80</v>
      </c>
      <c r="EL126" s="63" t="n">
        <f aca="false">IF(EL$35&gt;=$AC$124,EL$35-$AC$124+1,0)</f>
        <v>81</v>
      </c>
      <c r="EM126" s="63" t="n">
        <f aca="false">IF(EM$35&gt;=$AC$124,EM$35-$AC$124+1,0)</f>
        <v>82</v>
      </c>
      <c r="EN126" s="63" t="n">
        <f aca="false">IF(EN$35&gt;=$AC$124,EN$35-$AC$124+1,0)</f>
        <v>83</v>
      </c>
      <c r="EO126" s="63" t="n">
        <f aca="false">IF(EO$35&gt;=$AC$124,EO$35-$AC$124+1,0)</f>
        <v>84</v>
      </c>
      <c r="EP126" s="63" t="n">
        <f aca="false">IF(EP$35&gt;=$AC$124,EP$35-$AC$124+1,0)</f>
        <v>85</v>
      </c>
      <c r="EQ126" s="63" t="n">
        <f aca="false">IF(EQ$35&gt;=$AC$124,EQ$35-$AC$124+1,0)</f>
        <v>86</v>
      </c>
      <c r="ER126" s="63" t="n">
        <f aca="false">IF(ER$35&gt;=$AC$124,ER$35-$AC$124+1,0)</f>
        <v>87</v>
      </c>
      <c r="ES126" s="9" t="n">
        <f aca="false">IF(ES$35&gt;=$AC$124,ES$35-$AC$124+1,0)</f>
        <v>88</v>
      </c>
      <c r="ET126" s="9" t="n">
        <f aca="false">IF(ET$35&gt;=$AC$124,ET$35-$AC$124+1,0)</f>
        <v>89</v>
      </c>
      <c r="EU126" s="9" t="n">
        <f aca="false">IF(EU$35&gt;=$AC$124,EU$35-$AC$124+1,0)</f>
        <v>90</v>
      </c>
      <c r="EV126" s="9" t="n">
        <f aca="false">IF(EV$35&gt;=$AC$124,EV$35-$AC$124+1,0)</f>
        <v>91</v>
      </c>
      <c r="EW126" s="9" t="n">
        <f aca="false">IF(EW$35&gt;=$AC$124,EW$35-$AC$124+1,0)</f>
        <v>92</v>
      </c>
      <c r="EX126" s="9" t="n">
        <f aca="false">IF(EX$35&gt;=$AC$124,EX$35-$AC$124+1,0)</f>
        <v>93</v>
      </c>
      <c r="EY126" s="9" t="n">
        <f aca="false">IF(EY$35&gt;=$AC$124,EY$35-$AC$124+1,0)</f>
        <v>94</v>
      </c>
      <c r="EZ126" s="9" t="n">
        <f aca="false">IF(EZ$35&gt;=$AC$124,EZ$35-$AC$124+1,0)</f>
        <v>95</v>
      </c>
      <c r="FA126" s="9" t="n">
        <f aca="false">IF(FA$35&gt;=$AC$124,FA$35-$AC$124+1,0)</f>
        <v>96</v>
      </c>
      <c r="FB126" s="9" t="n">
        <f aca="false">IF(FB$35&gt;=$AC$124,FB$35-$AC$124+1,0)</f>
        <v>97</v>
      </c>
      <c r="FC126" s="9" t="n">
        <f aca="false">IF(FC$35&gt;=$AC$124,FC$35-$AC$124+1,0)</f>
        <v>98</v>
      </c>
      <c r="FD126" s="9" t="n">
        <f aca="false">IF(FD$35&gt;=$AC$124,FD$35-$AC$124+1,0)</f>
        <v>99</v>
      </c>
      <c r="FE126" s="9" t="n">
        <f aca="false">IF(FE$35&gt;=$AC$124,FE$35-$AC$124+1,0)</f>
        <v>100</v>
      </c>
      <c r="FF126" s="9" t="n">
        <f aca="false">IF(FF$35&gt;=$AC$124,FF$35-$AC$124+1,0)</f>
        <v>101</v>
      </c>
      <c r="FG126" s="9" t="n">
        <f aca="false">IF(FG$35&gt;=$AC$124,FG$35-$AC$124+1,0)</f>
        <v>102</v>
      </c>
      <c r="FH126" s="9" t="n">
        <f aca="false">IF(FH$35&gt;=$AC$124,FH$35-$AC$124+1,0)</f>
        <v>103</v>
      </c>
      <c r="FI126" s="9" t="n">
        <f aca="false">IF(FI$35&gt;=$AC$124,FI$35-$AC$124+1,0)</f>
        <v>104</v>
      </c>
      <c r="FJ126" s="9" t="n">
        <f aca="false">IF(FJ$35&gt;=$AC$124,FJ$35-$AC$124+1,0)</f>
        <v>105</v>
      </c>
      <c r="FK126" s="9" t="n">
        <f aca="false">IF(FK$35&gt;=$AC$124,FK$35-$AC$124+1,0)</f>
        <v>106</v>
      </c>
      <c r="FL126" s="9" t="n">
        <f aca="false">IF(FL$35&gt;=$AC$124,FL$35-$AC$124+1,0)</f>
        <v>107</v>
      </c>
      <c r="FM126" s="9" t="n">
        <f aca="false">IF(FM$35&gt;=$AC$124,FM$35-$AC$124+1,0)</f>
        <v>108</v>
      </c>
      <c r="FN126" s="9" t="n">
        <f aca="false">IF(FN$35&gt;=$AC$124,FN$35-$AC$124+1,0)</f>
        <v>109</v>
      </c>
      <c r="FO126" s="9" t="n">
        <f aca="false">IF(FO$35&gt;=$AC$124,FO$35-$AC$124+1,0)</f>
        <v>110</v>
      </c>
      <c r="FP126" s="9" t="n">
        <f aca="false">IF(FP$35&gt;=$AC$124,FP$35-$AC$124+1,0)</f>
        <v>111</v>
      </c>
    </row>
    <row r="127" customFormat="false" ht="15" hidden="false" customHeight="false" outlineLevel="2" collapsed="false">
      <c r="B127" s="9" t="s">
        <v>874</v>
      </c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236" t="n">
        <f aca="false" t="array" ref="AC127:AC127">IF(AC126=0,0,IF(AC126/'🎚️ Escenario'!$C$11&gt;=36,$AL$23,INDEX($C$23:$AL$23,MAX(1,ROUNDUP(AC126/'🎚️ Escenario'!$C$11,0)))))</f>
        <v>0</v>
      </c>
      <c r="AD127" s="236" t="n">
        <f aca="false" t="array" ref="AD127:AD127">IF(AD126=0,0,IF(AD126/'🎚️ Escenario'!$C$11&gt;=36,$AL$23,INDEX($C$23:$AL$23,MAX(1,ROUNDUP(AD126/'🎚️ Escenario'!$C$11,0)))))</f>
        <v>0</v>
      </c>
      <c r="AE127" s="236" t="n">
        <f aca="false" t="array" ref="AE127:AE127">IF(AE126=0,0,IF(AE126/'🎚️ Escenario'!$C$11&gt;=36,$AL$23,INDEX($C$23:$AL$23,MAX(1,ROUNDUP(AE126/'🎚️ Escenario'!$C$11,0)))))</f>
        <v>0</v>
      </c>
      <c r="AF127" s="236" t="n">
        <f aca="false" t="array" ref="AF127:AF127">IF(AF126=0,0,IF(AF126/'🎚️ Escenario'!$C$11&gt;=36,$AL$23,INDEX($C$23:$AL$23,MAX(1,ROUNDUP(AF126/'🎚️ Escenario'!$C$11,0)))))</f>
        <v>0</v>
      </c>
      <c r="AG127" s="236" t="n">
        <f aca="false" t="array" ref="AG127:AG127">IF(AG126=0,0,IF(AG126/'🎚️ Escenario'!$C$11&gt;=36,$AL$23,INDEX($C$23:$AL$23,MAX(1,ROUNDUP(AG126/'🎚️ Escenario'!$C$11,0)))))</f>
        <v>0</v>
      </c>
      <c r="AH127" s="236" t="n">
        <f aca="false" t="array" ref="AH127:AH127">IF(AH126=0,0,IF(AH126/'🎚️ Escenario'!$C$11&gt;=36,$AL$23,INDEX($C$23:$AL$23,MAX(1,ROUNDUP(AH126/'🎚️ Escenario'!$C$11,0)))))</f>
        <v>0</v>
      </c>
      <c r="AI127" s="236" t="n">
        <f aca="false" t="array" ref="AI127:AI127">IF(AI126=0,0,IF(AI126/'🎚️ Escenario'!$C$11&gt;=36,$AL$23,INDEX($C$23:$AL$23,MAX(1,ROUNDUP(AI126/'🎚️ Escenario'!$C$11,0)))))</f>
        <v>0</v>
      </c>
      <c r="AJ127" s="236" t="n">
        <f aca="false" t="array" ref="AJ127:AJ127">IF(AJ126=0,0,IF(AJ126/'🎚️ Escenario'!$C$11&gt;=36,$AL$23,INDEX($C$23:$AL$23,MAX(1,ROUNDUP(AJ126/'🎚️ Escenario'!$C$11,0)))))</f>
        <v>0</v>
      </c>
      <c r="AK127" s="236" t="n">
        <f aca="false" t="array" ref="AK127:AK127">IF(AK126=0,0,IF(AK126/'🎚️ Escenario'!$C$11&gt;=36,$AL$23,INDEX($C$23:$AL$23,MAX(1,ROUNDUP(AK126/'🎚️ Escenario'!$C$11,0)))))</f>
        <v>0</v>
      </c>
      <c r="AL127" s="236" t="n">
        <f aca="false" t="array" ref="AL127:AL127">IF(AL126=0,0,IF(AL126/'🎚️ Escenario'!$C$11&gt;=36,$AL$23,INDEX($C$23:$AL$23,MAX(1,ROUNDUP(AL126/'🎚️ Escenario'!$C$11,0)))))</f>
        <v>0</v>
      </c>
      <c r="AM127" s="236" t="n">
        <f aca="false" t="array" ref="AM127:AM127">IF(AM126=0,0,IF(AM126/'🎚️ Escenario'!$C$11&gt;=36,$AL$23,INDEX($C$23:$AL$23,MAX(1,ROUNDUP(AM126/'🎚️ Escenario'!$C$11,0)))))</f>
        <v>0</v>
      </c>
      <c r="AN127" s="236" t="n">
        <f aca="false" t="array" ref="AN127:AN127">IF(AN126=0,0,IF(AN126/'🎚️ Escenario'!$C$11&gt;=36,$AL$23,INDEX($C$23:$AL$23,MAX(1,ROUNDUP(AN126/'🎚️ Escenario'!$C$11,0)))))</f>
        <v>0</v>
      </c>
      <c r="AO127" s="236" t="n">
        <f aca="false" t="array" ref="AO127:AO127">IF(AO126=0,0,IF(AO126/'🎚️ Escenario'!$C$11&gt;=36,$AL$23,INDEX($C$23:$AL$23,MAX(1,ROUNDUP(AO126/'🎚️ Escenario'!$C$11,0)))))</f>
        <v>0</v>
      </c>
      <c r="AP127" s="236" t="n">
        <f aca="false" t="array" ref="AP127:AP127">IF(AP126=0,0,IF(AP126/'🎚️ Escenario'!$C$11&gt;=36,$AL$23,INDEX($C$23:$AL$23,MAX(1,ROUNDUP(AP126/'🎚️ Escenario'!$C$11,0)))))</f>
        <v>0</v>
      </c>
      <c r="AQ127" s="236" t="n">
        <f aca="false" t="array" ref="AQ127:AQ127">IF(AQ126=0,0,IF(AQ126/'🎚️ Escenario'!$C$11&gt;=36,$AL$23,INDEX($C$23:$AL$23,MAX(1,ROUNDUP(AQ126/'🎚️ Escenario'!$C$11,0)))))</f>
        <v>0</v>
      </c>
      <c r="AR127" s="236" t="n">
        <f aca="false" t="array" ref="AR127:AR127">IF(AR126=0,0,IF(AR126/'🎚️ Escenario'!$C$11&gt;=36,$AL$23,INDEX($C$23:$AL$23,MAX(1,ROUNDUP(AR126/'🎚️ Escenario'!$C$11,0)))))</f>
        <v>0</v>
      </c>
      <c r="AS127" s="236" t="n">
        <f aca="false" t="array" ref="AS127:AS127">IF(AS126=0,0,IF(AS126/'🎚️ Escenario'!$C$11&gt;=36,$AL$23,INDEX($C$23:$AL$23,MAX(1,ROUNDUP(AS126/'🎚️ Escenario'!$C$11,0)))))</f>
        <v>0</v>
      </c>
      <c r="AT127" s="236" t="n">
        <f aca="false" t="array" ref="AT127:AT127">IF(AT126=0,0,IF(AT126/'🎚️ Escenario'!$C$11&gt;=36,$AL$23,INDEX($C$23:$AL$23,MAX(1,ROUNDUP(AT126/'🎚️ Escenario'!$C$11,0)))))</f>
        <v>0</v>
      </c>
      <c r="AU127" s="236" t="n">
        <f aca="false" t="array" ref="AU127:AU127">IF(AU126=0,0,IF(AU126/'🎚️ Escenario'!$C$11&gt;=36,$AL$23,INDEX($C$23:$AL$23,MAX(1,ROUNDUP(AU126/'🎚️ Escenario'!$C$11,0)))))</f>
        <v>0</v>
      </c>
      <c r="AV127" s="236" t="n">
        <f aca="false" t="array" ref="AV127:AV127">IF(AV126=0,0,IF(AV126/'🎚️ Escenario'!$C$11&gt;=36,$AL$23,INDEX($C$23:$AL$23,MAX(1,ROUNDUP(AV126/'🎚️ Escenario'!$C$11,0)))))</f>
        <v>0</v>
      </c>
      <c r="AW127" s="236" t="n">
        <f aca="false" t="array" ref="AW127:AW127">IF(AW126=0,0,IF(AW126/'🎚️ Escenario'!$C$11&gt;=36,$AL$23,INDEX($C$23:$AL$23,MAX(1,ROUNDUP(AW126/'🎚️ Escenario'!$C$11,0)))))</f>
        <v>0</v>
      </c>
      <c r="AX127" s="236" t="n">
        <f aca="false" t="array" ref="AX127:AX127">IF(AX126=0,0,IF(AX126/'🎚️ Escenario'!$C$11&gt;=36,$AL$23,INDEX($C$23:$AL$23,MAX(1,ROUNDUP(AX126/'🎚️ Escenario'!$C$11,0)))))</f>
        <v>0</v>
      </c>
      <c r="AY127" s="236" t="n">
        <f aca="false" t="array" ref="AY127:AY127">IF(AY126=0,0,IF(AY126/'🎚️ Escenario'!$C$11&gt;=36,$AL$23,INDEX($C$23:$AL$23,MAX(1,ROUNDUP(AY126/'🎚️ Escenario'!$C$11,0)))))</f>
        <v>0</v>
      </c>
      <c r="AZ127" s="236" t="n">
        <f aca="false" t="array" ref="AZ127:AZ127">IF(AZ126=0,0,IF(AZ126/'🎚️ Escenario'!$C$11&gt;=36,$AL$23,INDEX($C$23:$AL$23,MAX(1,ROUNDUP(AZ126/'🎚️ Escenario'!$C$11,0)))))</f>
        <v>0</v>
      </c>
      <c r="BA127" s="236" t="n">
        <f aca="false" t="array" ref="BA127:BA127">IF(BA126=0,0,IF(BA126/'🎚️ Escenario'!$C$11&gt;=36,$AL$23,INDEX($C$23:$AL$23,MAX(1,ROUNDUP(BA126/'🎚️ Escenario'!$C$11,0)))))</f>
        <v>0</v>
      </c>
      <c r="BB127" s="236" t="n">
        <f aca="false" t="array" ref="BB127:BB127">IF(BB126=0,0,IF(BB126/'🎚️ Escenario'!$C$11&gt;=36,$AL$23,INDEX($C$23:$AL$23,MAX(1,ROUNDUP(BB126/'🎚️ Escenario'!$C$11,0)))))</f>
        <v>0</v>
      </c>
      <c r="BC127" s="236" t="n">
        <f aca="false" t="array" ref="BC127:BC127">IF(BC126=0,0,IF(BC126/'🎚️ Escenario'!$C$11&gt;=36,$AL$23,INDEX($C$23:$AL$23,MAX(1,ROUNDUP(BC126/'🎚️ Escenario'!$C$11,0)))))</f>
        <v>0</v>
      </c>
      <c r="BD127" s="236" t="n">
        <f aca="false" t="array" ref="BD127:BD127">IF(BD126=0,0,IF(BD126/'🎚️ Escenario'!$C$11&gt;=36,$AL$23,INDEX($C$23:$AL$23,MAX(1,ROUNDUP(BD126/'🎚️ Escenario'!$C$11,0)))))</f>
        <v>0</v>
      </c>
      <c r="BE127" s="236" t="n">
        <f aca="false" t="array" ref="BE127:BE127">IF(BE126=0,0,IF(BE126/'🎚️ Escenario'!$C$11&gt;=36,$AL$23,INDEX($C$23:$AL$23,MAX(1,ROUNDUP(BE126/'🎚️ Escenario'!$C$11,0)))))</f>
        <v>0</v>
      </c>
      <c r="BF127" s="236" t="n">
        <f aca="false" t="array" ref="BF127:BF127">IF(BF126=0,0,IF(BF126/'🎚️ Escenario'!$C$11&gt;=36,$AL$23,INDEX($C$23:$AL$23,MAX(1,ROUNDUP(BF126/'🎚️ Escenario'!$C$11,0)))))</f>
        <v>0</v>
      </c>
      <c r="BG127" s="236" t="n">
        <f aca="false" t="array" ref="BG127:BG127">IF(BG126=0,0,IF(BG126/'🎚️ Escenario'!$C$11&gt;=36,$AL$23,INDEX($C$23:$AL$23,MAX(1,ROUNDUP(BG126/'🎚️ Escenario'!$C$11,0)))))</f>
        <v>0</v>
      </c>
      <c r="BH127" s="236" t="n">
        <f aca="false" t="array" ref="BH127:BH127">IF(BH126=0,0,IF(BH126/'🎚️ Escenario'!$C$11&gt;=36,$AL$23,INDEX($C$23:$AL$23,MAX(1,ROUNDUP(BH126/'🎚️ Escenario'!$C$11,0)))))</f>
        <v>0</v>
      </c>
      <c r="BI127" s="236" t="n">
        <f aca="false" t="array" ref="BI127:BI127">IF(BI126=0,0,IF(BI126/'🎚️ Escenario'!$C$11&gt;=36,$AL$23,INDEX($C$23:$AL$23,MAX(1,ROUNDUP(BI126/'🎚️ Escenario'!$C$11,0)))))</f>
        <v>0</v>
      </c>
      <c r="BJ127" s="236" t="n">
        <f aca="false" t="array" ref="BJ127:BJ127">IF(BJ126=0,0,IF(BJ126/'🎚️ Escenario'!$C$11&gt;=36,$AL$23,INDEX($C$23:$AL$23,MAX(1,ROUNDUP(BJ126/'🎚️ Escenario'!$C$11,0)))))</f>
        <v>0.2</v>
      </c>
      <c r="BK127" s="236" t="n">
        <f aca="false" t="array" ref="BK127:BK127">IF(BK126=0,0,IF(BK126/'🎚️ Escenario'!$C$11&gt;=36,$AL$23,INDEX($C$23:$AL$23,MAX(1,ROUNDUP(BK126/'🎚️ Escenario'!$C$11,0)))))</f>
        <v>0.22</v>
      </c>
      <c r="BL127" s="236" t="n">
        <f aca="false" t="array" ref="BL127:BL127">IF(BL126=0,0,IF(BL126/'🎚️ Escenario'!$C$11&gt;=36,$AL$23,INDEX($C$23:$AL$23,MAX(1,ROUNDUP(BL126/'🎚️ Escenario'!$C$11,0)))))</f>
        <v>0.24</v>
      </c>
      <c r="BM127" s="236" t="n">
        <f aca="false" t="array" ref="BM127:BM127">IF(BM126=0,0,IF(BM126/'🎚️ Escenario'!$C$11&gt;=36,$AL$23,INDEX($C$23:$AL$23,MAX(1,ROUNDUP(BM126/'🎚️ Escenario'!$C$11,0)))))</f>
        <v>0.27</v>
      </c>
      <c r="BN127" s="236" t="n">
        <f aca="false" t="array" ref="BN127:BN127">IF(BN126=0,0,IF(BN126/'🎚️ Escenario'!$C$11&gt;=36,$AL$23,INDEX($C$23:$AL$23,MAX(1,ROUNDUP(BN126/'🎚️ Escenario'!$C$11,0)))))</f>
        <v>0.27</v>
      </c>
      <c r="BO127" s="236" t="n">
        <f aca="false" t="array" ref="BO127:BO127">IF(BO126=0,0,IF(BO126/'🎚️ Escenario'!$C$11&gt;=36,$AL$23,INDEX($C$23:$AL$23,MAX(1,ROUNDUP(BO126/'🎚️ Escenario'!$C$11,0)))))</f>
        <v>0.31</v>
      </c>
      <c r="BP127" s="236" t="n">
        <f aca="false" t="array" ref="BP127:BP127">IF(BP126=0,0,IF(BP126/'🎚️ Escenario'!$C$11&gt;=36,$AL$23,INDEX($C$23:$AL$23,MAX(1,ROUNDUP(BP126/'🎚️ Escenario'!$C$11,0)))))</f>
        <v>0.35</v>
      </c>
      <c r="BQ127" s="236" t="n">
        <f aca="false" t="array" ref="BQ127:BQ127">IF(BQ126=0,0,IF(BQ126/'🎚️ Escenario'!$C$11&gt;=36,$AL$23,INDEX($C$23:$AL$23,MAX(1,ROUNDUP(BQ126/'🎚️ Escenario'!$C$11,0)))))</f>
        <v>0.39</v>
      </c>
      <c r="BR127" s="236" t="n">
        <f aca="false" t="array" ref="BR127:BR127">IF(BR126=0,0,IF(BR126/'🎚️ Escenario'!$C$11&gt;=36,$AL$23,INDEX($C$23:$AL$23,MAX(1,ROUNDUP(BR126/'🎚️ Escenario'!$C$11,0)))))</f>
        <v>0.44</v>
      </c>
      <c r="BS127" s="236" t="n">
        <f aca="false" t="array" ref="BS127:BS127">IF(BS126=0,0,IF(BS126/'🎚️ Escenario'!$C$11&gt;=36,$AL$23,INDEX($C$23:$AL$23,MAX(1,ROUNDUP(BS126/'🎚️ Escenario'!$C$11,0)))))</f>
        <v>0.44</v>
      </c>
      <c r="BT127" s="236" t="n">
        <f aca="false" t="array" ref="BT127:BT127">IF(BT126=0,0,IF(BT126/'🎚️ Escenario'!$C$11&gt;=36,$AL$23,INDEX($C$23:$AL$23,MAX(1,ROUNDUP(BT126/'🎚️ Escenario'!$C$11,0)))))</f>
        <v>0.48</v>
      </c>
      <c r="BU127" s="236" t="n">
        <f aca="false" t="array" ref="BU127:BU127">IF(BU126=0,0,IF(BU126/'🎚️ Escenario'!$C$11&gt;=36,$AL$23,INDEX($C$23:$AL$23,MAX(1,ROUNDUP(BU126/'🎚️ Escenario'!$C$11,0)))))</f>
        <v>0.52</v>
      </c>
      <c r="BV127" s="236" t="n">
        <f aca="false" t="array" ref="BV127:BV127">IF(BV126=0,0,IF(BV126/'🎚️ Escenario'!$C$11&gt;=36,$AL$23,INDEX($C$23:$AL$23,MAX(1,ROUNDUP(BV126/'🎚️ Escenario'!$C$11,0)))))</f>
        <v>0.56</v>
      </c>
      <c r="BW127" s="236" t="n">
        <f aca="false" t="array" ref="BW127:BW127">IF(BW126=0,0,IF(BW126/'🎚️ Escenario'!$C$11&gt;=36,$AL$23,INDEX($C$23:$AL$23,MAX(1,ROUNDUP(BW126/'🎚️ Escenario'!$C$11,0)))))</f>
        <v>0.6</v>
      </c>
      <c r="BX127" s="236" t="n">
        <f aca="false" t="array" ref="BX127:BX127">IF(BX126=0,0,IF(BX126/'🎚️ Escenario'!$C$11&gt;=36,$AL$23,INDEX($C$23:$AL$23,MAX(1,ROUNDUP(BX126/'🎚️ Escenario'!$C$11,0)))))</f>
        <v>0.6</v>
      </c>
      <c r="BY127" s="236" t="n">
        <f aca="false" t="array" ref="BY127:BY127">IF(BY126=0,0,IF(BY126/'🎚️ Escenario'!$C$11&gt;=36,$AL$23,INDEX($C$23:$AL$23,MAX(1,ROUNDUP(BY126/'🎚️ Escenario'!$C$11,0)))))</f>
        <v>0.63</v>
      </c>
      <c r="BZ127" s="236" t="n">
        <f aca="false" t="array" ref="BZ127:BZ127">IF(BZ126=0,0,IF(BZ126/'🎚️ Escenario'!$C$11&gt;=36,$AL$23,INDEX($C$23:$AL$23,MAX(1,ROUNDUP(BZ126/'🎚️ Escenario'!$C$11,0)))))</f>
        <v>0.66</v>
      </c>
      <c r="CA127" s="236" t="n">
        <f aca="false" t="array" ref="CA127:CA127">IF(CA126=0,0,IF(CA126/'🎚️ Escenario'!$C$11&gt;=36,$AL$23,INDEX($C$23:$AL$23,MAX(1,ROUNDUP(CA126/'🎚️ Escenario'!$C$11,0)))))</f>
        <v>0.69</v>
      </c>
      <c r="CB127" s="236" t="n">
        <f aca="false" t="array" ref="CB127:CB127">IF(CB126=0,0,IF(CB126/'🎚️ Escenario'!$C$11&gt;=36,$AL$23,INDEX($C$23:$AL$23,MAX(1,ROUNDUP(CB126/'🎚️ Escenario'!$C$11,0)))))</f>
        <v>0.71</v>
      </c>
      <c r="CC127" s="236" t="n">
        <f aca="false" t="array" ref="CC127:CC127">IF(CC126=0,0,IF(CC126/'🎚️ Escenario'!$C$11&gt;=36,$AL$23,INDEX($C$23:$AL$23,MAX(1,ROUNDUP(CC126/'🎚️ Escenario'!$C$11,0)))))</f>
        <v>0.71</v>
      </c>
      <c r="CD127" s="236" t="n">
        <f aca="false" t="array" ref="CD127:CD127">IF(CD126=0,0,IF(CD126/'🎚️ Escenario'!$C$11&gt;=36,$AL$23,INDEX($C$23:$AL$23,MAX(1,ROUNDUP(CD126/'🎚️ Escenario'!$C$11,0)))))</f>
        <v>0.73</v>
      </c>
      <c r="CE127" s="236" t="n">
        <f aca="false" t="array" ref="CE127:CE127">IF(CE126=0,0,IF(CE126/'🎚️ Escenario'!$C$11&gt;=36,$AL$23,INDEX($C$23:$AL$23,MAX(1,ROUNDUP(CE126/'🎚️ Escenario'!$C$11,0)))))</f>
        <v>0.75</v>
      </c>
      <c r="CF127" s="236" t="n">
        <f aca="false" t="array" ref="CF127:CF127">IF(CF126=0,0,IF(CF126/'🎚️ Escenario'!$C$11&gt;=36,$AL$23,INDEX($C$23:$AL$23,MAX(1,ROUNDUP(CF126/'🎚️ Escenario'!$C$11,0)))))</f>
        <v>0.77</v>
      </c>
      <c r="CG127" s="236" t="n">
        <f aca="false" t="array" ref="CG127:CG127">IF(CG126=0,0,IF(CG126/'🎚️ Escenario'!$C$11&gt;=36,$AL$23,INDEX($C$23:$AL$23,MAX(1,ROUNDUP(CG126/'🎚️ Escenario'!$C$11,0)))))</f>
        <v>0.79</v>
      </c>
      <c r="CH127" s="236" t="n">
        <f aca="false" t="array" ref="CH127:CH127">IF(CH126=0,0,IF(CH126/'🎚️ Escenario'!$C$11&gt;=36,$AL$23,INDEX($C$23:$AL$23,MAX(1,ROUNDUP(CH126/'🎚️ Escenario'!$C$11,0)))))</f>
        <v>0.79</v>
      </c>
      <c r="CI127" s="236" t="n">
        <f aca="false" t="array" ref="CI127:CI127">IF(CI126=0,0,IF(CI126/'🎚️ Escenario'!$C$11&gt;=36,$AL$23,INDEX($C$23:$AL$23,MAX(1,ROUNDUP(CI126/'🎚️ Escenario'!$C$11,0)))))</f>
        <v>0.8</v>
      </c>
      <c r="CJ127" s="236" t="n">
        <f aca="false" t="array" ref="CJ127:CJ127">IF(CJ126=0,0,IF(CJ126/'🎚️ Escenario'!$C$11&gt;=36,$AL$23,INDEX($C$23:$AL$23,MAX(1,ROUNDUP(CJ126/'🎚️ Escenario'!$C$11,0)))))</f>
        <v>0.82</v>
      </c>
      <c r="CK127" s="236" t="n">
        <f aca="false" t="array" ref="CK127:CK127">IF(CK126=0,0,IF(CK126/'🎚️ Escenario'!$C$11&gt;=36,$AL$23,INDEX($C$23:$AL$23,MAX(1,ROUNDUP(CK126/'🎚️ Escenario'!$C$11,0)))))</f>
        <v>0.84</v>
      </c>
      <c r="CL127" s="236" t="n">
        <f aca="false" t="array" ref="CL127:CL127">IF(CL126=0,0,IF(CL126/'🎚️ Escenario'!$C$11&gt;=36,$AL$23,INDEX($C$23:$AL$23,MAX(1,ROUNDUP(CL126/'🎚️ Escenario'!$C$11,0)))))</f>
        <v>0.85</v>
      </c>
      <c r="CM127" s="236" t="n">
        <f aca="false" t="array" ref="CM127:CM127">IF(CM126=0,0,IF(CM126/'🎚️ Escenario'!$C$11&gt;=36,$AL$23,INDEX($C$23:$AL$23,MAX(1,ROUNDUP(CM126/'🎚️ Escenario'!$C$11,0)))))</f>
        <v>0.85</v>
      </c>
      <c r="CN127" s="236" t="n">
        <f aca="false" t="array" ref="CN127:CN127">IF(CN126=0,0,IF(CN126/'🎚️ Escenario'!$C$11&gt;=36,$AL$23,INDEX($C$23:$AL$23,MAX(1,ROUNDUP(CN126/'🎚️ Escenario'!$C$11,0)))))</f>
        <v>0.86</v>
      </c>
      <c r="CO127" s="236" t="n">
        <f aca="false" t="array" ref="CO127:CO127">IF(CO126=0,0,IF(CO126/'🎚️ Escenario'!$C$11&gt;=36,$AL$23,INDEX($C$23:$AL$23,MAX(1,ROUNDUP(CO126/'🎚️ Escenario'!$C$11,0)))))</f>
        <v>0.88</v>
      </c>
      <c r="CP127" s="236" t="n">
        <f aca="false" t="array" ref="CP127:CP127">IF(CP126=0,0,IF(CP126/'🎚️ Escenario'!$C$11&gt;=36,$AL$23,INDEX($C$23:$AL$23,MAX(1,ROUNDUP(CP126/'🎚️ Escenario'!$C$11,0)))))</f>
        <v>0.89</v>
      </c>
      <c r="CQ127" s="236" t="n">
        <f aca="false" t="array" ref="CQ127:CQ127">IF(CQ126=0,0,IF(CQ126/'🎚️ Escenario'!$C$11&gt;=36,$AL$23,INDEX($C$23:$AL$23,MAX(1,ROUNDUP(CQ126/'🎚️ Escenario'!$C$11,0)))))</f>
        <v>0.9</v>
      </c>
      <c r="CR127" s="236" t="n">
        <f aca="false" t="array" ref="CR127:CR127">IF(CR126=0,0,IF(CR126/'🎚️ Escenario'!$C$11&gt;=36,$AL$23,INDEX($C$23:$AL$23,MAX(1,ROUNDUP(CR126/'🎚️ Escenario'!$C$11,0)))))</f>
        <v>0.9</v>
      </c>
      <c r="CS127" s="236" t="n">
        <f aca="false" t="array" ref="CS127:CS127">IF(CS126=0,0,IF(CS126/'🎚️ Escenario'!$C$11&gt;=36,$AL$23,INDEX($C$23:$AL$23,MAX(1,ROUNDUP(CS126/'🎚️ Escenario'!$C$11,0)))))</f>
        <v>0.92</v>
      </c>
      <c r="CT127" s="236" t="n">
        <f aca="false" t="array" ref="CT127:CT127">IF(CT126=0,0,IF(CT126/'🎚️ Escenario'!$C$11&gt;=36,$AL$23,INDEX($C$23:$AL$23,MAX(1,ROUNDUP(CT126/'🎚️ Escenario'!$C$11,0)))))</f>
        <v>0.93</v>
      </c>
      <c r="CU127" s="236" t="n">
        <f aca="false" t="array" ref="CU127:CU127">IF(CU126=0,0,IF(CU126/'🎚️ Escenario'!$C$11&gt;=36,$AL$23,INDEX($C$23:$AL$23,MAX(1,ROUNDUP(CU126/'🎚️ Escenario'!$C$11,0)))))</f>
        <v>0.94</v>
      </c>
      <c r="CV127" s="236" t="n">
        <f aca="false" t="array" ref="CV127:CV127">IF(CV126=0,0,IF(CV126/'🎚️ Escenario'!$C$11&gt;=36,$AL$23,INDEX($C$23:$AL$23,MAX(1,ROUNDUP(CV126/'🎚️ Escenario'!$C$11,0)))))</f>
        <v>0.95</v>
      </c>
      <c r="CW127" s="236" t="n">
        <f aca="false" t="array" ref="CW127:CW127">IF(CW126=0,0,IF(CW126/'🎚️ Escenario'!$C$11&gt;=36,$AL$23,INDEX($C$23:$AL$23,MAX(1,ROUNDUP(CW126/'🎚️ Escenario'!$C$11,0)))))</f>
        <v>0.95</v>
      </c>
      <c r="CX127" s="236" t="n">
        <f aca="false" t="array" ref="CX127:CX127">IF(CX126=0,0,IF(CX126/'🎚️ Escenario'!$C$11&gt;=36,$AL$23,INDEX($C$23:$AL$23,MAX(1,ROUNDUP(CX126/'🎚️ Escenario'!$C$11,0)))))</f>
        <v>0.97</v>
      </c>
      <c r="CY127" s="236" t="n">
        <f aca="false" t="array" ref="CY127:CY127">IF(CY126=0,0,IF(CY126/'🎚️ Escenario'!$C$11&gt;=36,$AL$23,INDEX($C$23:$AL$23,MAX(1,ROUNDUP(CY126/'🎚️ Escenario'!$C$11,0)))))</f>
        <v>0.98</v>
      </c>
      <c r="CZ127" s="236" t="n">
        <f aca="false" t="array" ref="CZ127:CZ127">IF(CZ126=0,0,IF(CZ126/'🎚️ Escenario'!$C$11&gt;=36,$AL$23,INDEX($C$23:$AL$23,MAX(1,ROUNDUP(CZ126/'🎚️ Escenario'!$C$11,0)))))</f>
        <v>0.99</v>
      </c>
      <c r="DA127" s="236" t="n">
        <f aca="false" t="array" ref="DA127:DA127">IF(DA126=0,0,IF(DA126/'🎚️ Escenario'!$C$11&gt;=36,$AL$23,INDEX($C$23:$AL$23,MAX(1,ROUNDUP(DA126/'🎚️ Escenario'!$C$11,0)))))</f>
        <v>1</v>
      </c>
      <c r="DB127" s="236" t="n">
        <f aca="false" t="array" ref="DB127:DB127">IF(DB126=0,0,IF(DB126/'🎚️ Escenario'!$C$11&gt;=36,$AL$23,INDEX($C$23:$AL$23,MAX(1,ROUNDUP(DB126/'🎚️ Escenario'!$C$11,0)))))</f>
        <v>1</v>
      </c>
      <c r="DC127" s="236" t="n">
        <f aca="false" t="array" ref="DC127:DC127">IF(DC126=0,0,IF(DC126/'🎚️ Escenario'!$C$11&gt;=36,$AL$23,INDEX($C$23:$AL$23,MAX(1,ROUNDUP(DC126/'🎚️ Escenario'!$C$11,0)))))</f>
        <v>1</v>
      </c>
      <c r="DD127" s="236" t="n">
        <f aca="false" t="array" ref="DD127:DD127">IF(DD126=0,0,IF(DD126/'🎚️ Escenario'!$C$11&gt;=36,$AL$23,INDEX($C$23:$AL$23,MAX(1,ROUNDUP(DD126/'🎚️ Escenario'!$C$11,0)))))</f>
        <v>1</v>
      </c>
      <c r="DE127" s="236" t="n">
        <f aca="false" t="array" ref="DE127:DE127">IF(DE126=0,0,IF(DE126/'🎚️ Escenario'!$C$11&gt;=36,$AL$23,INDEX($C$23:$AL$23,MAX(1,ROUNDUP(DE126/'🎚️ Escenario'!$C$11,0)))))</f>
        <v>1</v>
      </c>
      <c r="DF127" s="236" t="n">
        <f aca="false" t="array" ref="DF127:DF127">IF(DF126=0,0,IF(DF126/'🎚️ Escenario'!$C$11&gt;=36,$AL$23,INDEX($C$23:$AL$23,MAX(1,ROUNDUP(DF126/'🎚️ Escenario'!$C$11,0)))))</f>
        <v>1</v>
      </c>
      <c r="DG127" s="236" t="n">
        <f aca="false" t="array" ref="DG127:DG127">IF(DG126=0,0,IF(DG126/'🎚️ Escenario'!$C$11&gt;=36,$AL$23,INDEX($C$23:$AL$23,MAX(1,ROUNDUP(DG126/'🎚️ Escenario'!$C$11,0)))))</f>
        <v>1</v>
      </c>
      <c r="DH127" s="236" t="n">
        <f aca="false" t="array" ref="DH127:DH127">IF(DH126=0,0,IF(DH126/'🎚️ Escenario'!$C$11&gt;=36,$AL$23,INDEX($C$23:$AL$23,MAX(1,ROUNDUP(DH126/'🎚️ Escenario'!$C$11,0)))))</f>
        <v>1</v>
      </c>
      <c r="DI127" s="236" t="n">
        <f aca="false" t="array" ref="DI127:DI127">IF(DI126=0,0,IF(DI126/'🎚️ Escenario'!$C$11&gt;=36,$AL$23,INDEX($C$23:$AL$23,MAX(1,ROUNDUP(DI126/'🎚️ Escenario'!$C$11,0)))))</f>
        <v>1</v>
      </c>
      <c r="DJ127" s="236" t="n">
        <f aca="false" t="array" ref="DJ127:DJ127">IF(DJ126=0,0,IF(DJ126/'🎚️ Escenario'!$C$11&gt;=36,$AL$23,INDEX($C$23:$AL$23,MAX(1,ROUNDUP(DJ126/'🎚️ Escenario'!$C$11,0)))))</f>
        <v>1</v>
      </c>
      <c r="DK127" s="236" t="n">
        <f aca="false" t="array" ref="DK127:DK127">IF(DK126=0,0,IF(DK126/'🎚️ Escenario'!$C$11&gt;=36,$AL$23,INDEX($C$23:$AL$23,MAX(1,ROUNDUP(DK126/'🎚️ Escenario'!$C$11,0)))))</f>
        <v>1</v>
      </c>
      <c r="DL127" s="236" t="n">
        <f aca="false" t="array" ref="DL127:DL127">IF(DL126=0,0,IF(DL126/'🎚️ Escenario'!$C$11&gt;=36,$AL$23,INDEX($C$23:$AL$23,MAX(1,ROUNDUP(DL126/'🎚️ Escenario'!$C$11,0)))))</f>
        <v>1</v>
      </c>
      <c r="DM127" s="236" t="n">
        <f aca="false" t="array" ref="DM127:DM127">IF(DM126=0,0,IF(DM126/'🎚️ Escenario'!$C$11&gt;=36,$AL$23,INDEX($C$23:$AL$23,MAX(1,ROUNDUP(DM126/'🎚️ Escenario'!$C$11,0)))))</f>
        <v>1</v>
      </c>
      <c r="DN127" s="236" t="n">
        <f aca="false" t="array" ref="DN127:DN127">IF(DN126=0,0,IF(DN126/'🎚️ Escenario'!$C$11&gt;=36,$AL$23,INDEX($C$23:$AL$23,MAX(1,ROUNDUP(DN126/'🎚️ Escenario'!$C$11,0)))))</f>
        <v>1</v>
      </c>
      <c r="DO127" s="236" t="n">
        <f aca="false" t="array" ref="DO127:DO127">IF(DO126=0,0,IF(DO126/'🎚️ Escenario'!$C$11&gt;=36,$AL$23,INDEX($C$23:$AL$23,MAX(1,ROUNDUP(DO126/'🎚️ Escenario'!$C$11,0)))))</f>
        <v>1</v>
      </c>
      <c r="DP127" s="236" t="n">
        <f aca="false" t="array" ref="DP127:DP127">IF(DP126=0,0,IF(DP126/'🎚️ Escenario'!$C$11&gt;=36,$AL$23,INDEX($C$23:$AL$23,MAX(1,ROUNDUP(DP126/'🎚️ Escenario'!$C$11,0)))))</f>
        <v>1</v>
      </c>
      <c r="DQ127" s="236" t="n">
        <f aca="false" t="array" ref="DQ127:DQ127">IF(DQ126=0,0,IF(DQ126/'🎚️ Escenario'!$C$11&gt;=36,$AL$23,INDEX($C$23:$AL$23,MAX(1,ROUNDUP(DQ126/'🎚️ Escenario'!$C$11,0)))))</f>
        <v>1</v>
      </c>
      <c r="DR127" s="236" t="n">
        <f aca="false" t="array" ref="DR127:DR127">IF(DR126=0,0,IF(DR126/'🎚️ Escenario'!$C$11&gt;=36,$AL$23,INDEX($C$23:$AL$23,MAX(1,ROUNDUP(DR126/'🎚️ Escenario'!$C$11,0)))))</f>
        <v>1</v>
      </c>
      <c r="DS127" s="236" t="n">
        <f aca="false" t="array" ref="DS127:DS127">IF(DS126=0,0,IF(DS126/'🎚️ Escenario'!$C$11&gt;=36,$AL$23,INDEX($C$23:$AL$23,MAX(1,ROUNDUP(DS126/'🎚️ Escenario'!$C$11,0)))))</f>
        <v>1</v>
      </c>
      <c r="DT127" s="236" t="n">
        <f aca="false" t="array" ref="DT127:DT127">IF(DT126=0,0,IF(DT126/'🎚️ Escenario'!$C$11&gt;=36,$AL$23,INDEX($C$23:$AL$23,MAX(1,ROUNDUP(DT126/'🎚️ Escenario'!$C$11,0)))))</f>
        <v>1</v>
      </c>
      <c r="DU127" s="236" t="n">
        <f aca="false" t="array" ref="DU127:DU127">IF(DU126=0,0,IF(DU126/'🎚️ Escenario'!$C$11&gt;=36,$AL$23,INDEX($C$23:$AL$23,MAX(1,ROUNDUP(DU126/'🎚️ Escenario'!$C$11,0)))))</f>
        <v>1</v>
      </c>
      <c r="DV127" s="236" t="n">
        <f aca="false" t="array" ref="DV127:DV127">IF(DV126=0,0,IF(DV126/'🎚️ Escenario'!$C$11&gt;=36,$AL$23,INDEX($C$23:$AL$23,MAX(1,ROUNDUP(DV126/'🎚️ Escenario'!$C$11,0)))))</f>
        <v>1</v>
      </c>
      <c r="DW127" s="236" t="n">
        <f aca="false" t="array" ref="DW127:DW127">IF(DW126=0,0,IF(DW126/'🎚️ Escenario'!$C$11&gt;=36,$AL$23,INDEX($C$23:$AL$23,MAX(1,ROUNDUP(DW126/'🎚️ Escenario'!$C$11,0)))))</f>
        <v>1</v>
      </c>
      <c r="DX127" s="236" t="n">
        <f aca="false" t="array" ref="DX127:DX127">IF(DX126=0,0,IF(DX126/'🎚️ Escenario'!$C$11&gt;=36,$AL$23,INDEX($C$23:$AL$23,MAX(1,ROUNDUP(DX126/'🎚️ Escenario'!$C$11,0)))))</f>
        <v>1</v>
      </c>
      <c r="DY127" s="236" t="n">
        <f aca="false" t="array" ref="DY127:DY127">IF(DY126=0,0,IF(DY126/'🎚️ Escenario'!$C$11&gt;=36,$AL$23,INDEX($C$23:$AL$23,MAX(1,ROUNDUP(DY126/'🎚️ Escenario'!$C$11,0)))))</f>
        <v>1</v>
      </c>
      <c r="DZ127" s="236" t="n">
        <f aca="false" t="array" ref="DZ127:DZ127">IF(DZ126=0,0,IF(DZ126/'🎚️ Escenario'!$C$11&gt;=36,$AL$23,INDEX($C$23:$AL$23,MAX(1,ROUNDUP(DZ126/'🎚️ Escenario'!$C$11,0)))))</f>
        <v>1</v>
      </c>
      <c r="EA127" s="236" t="n">
        <f aca="false" t="array" ref="EA127:EA127">IF(EA126=0,0,IF(EA126/'🎚️ Escenario'!$C$11&gt;=36,$AL$23,INDEX($C$23:$AL$23,MAX(1,ROUNDUP(EA126/'🎚️ Escenario'!$C$11,0)))))</f>
        <v>1</v>
      </c>
      <c r="EB127" s="236" t="n">
        <f aca="false" t="array" ref="EB127:EB127">IF(EB126=0,0,IF(EB126/'🎚️ Escenario'!$C$11&gt;=36,$AL$23,INDEX($C$23:$AL$23,MAX(1,ROUNDUP(EB126/'🎚️ Escenario'!$C$11,0)))))</f>
        <v>1</v>
      </c>
      <c r="EC127" s="236" t="n">
        <f aca="false" t="array" ref="EC127:EC127">IF(EC126=0,0,IF(EC126/'🎚️ Escenario'!$C$11&gt;=36,$AL$23,INDEX($C$23:$AL$23,MAX(1,ROUNDUP(EC126/'🎚️ Escenario'!$C$11,0)))))</f>
        <v>1</v>
      </c>
      <c r="ED127" s="236" t="n">
        <f aca="false" t="array" ref="ED127:ED127">IF(ED126=0,0,IF(ED126/'🎚️ Escenario'!$C$11&gt;=36,$AL$23,INDEX($C$23:$AL$23,MAX(1,ROUNDUP(ED126/'🎚️ Escenario'!$C$11,0)))))</f>
        <v>1</v>
      </c>
      <c r="EE127" s="236" t="n">
        <f aca="false" t="array" ref="EE127:EE127">IF(EE126=0,0,IF(EE126/'🎚️ Escenario'!$C$11&gt;=36,$AL$23,INDEX($C$23:$AL$23,MAX(1,ROUNDUP(EE126/'🎚️ Escenario'!$C$11,0)))))</f>
        <v>1</v>
      </c>
      <c r="EF127" s="236" t="n">
        <f aca="false" t="array" ref="EF127:EF127">IF(EF126=0,0,IF(EF126/'🎚️ Escenario'!$C$11&gt;=36,$AL$23,INDEX($C$23:$AL$23,MAX(1,ROUNDUP(EF126/'🎚️ Escenario'!$C$11,0)))))</f>
        <v>1</v>
      </c>
      <c r="EG127" s="236" t="n">
        <f aca="false" t="array" ref="EG127:EG127">IF(EG126=0,0,IF(EG126/'🎚️ Escenario'!$C$11&gt;=36,$AL$23,INDEX($C$23:$AL$23,MAX(1,ROUNDUP(EG126/'🎚️ Escenario'!$C$11,0)))))</f>
        <v>1</v>
      </c>
      <c r="EH127" s="236" t="n">
        <f aca="false" t="array" ref="EH127:EH127">IF(EH126=0,0,IF(EH126/'🎚️ Escenario'!$C$11&gt;=36,$AL$23,INDEX($C$23:$AL$23,MAX(1,ROUNDUP(EH126/'🎚️ Escenario'!$C$11,0)))))</f>
        <v>1</v>
      </c>
      <c r="EI127" s="236" t="n">
        <f aca="false" t="array" ref="EI127:EI127">IF(EI126=0,0,IF(EI126/'🎚️ Escenario'!$C$11&gt;=36,$AL$23,INDEX($C$23:$AL$23,MAX(1,ROUNDUP(EI126/'🎚️ Escenario'!$C$11,0)))))</f>
        <v>1</v>
      </c>
      <c r="EJ127" s="236" t="n">
        <f aca="false" t="array" ref="EJ127:EJ127">IF(EJ126=0,0,IF(EJ126/'🎚️ Escenario'!$C$11&gt;=36,$AL$23,INDEX($C$23:$AL$23,MAX(1,ROUNDUP(EJ126/'🎚️ Escenario'!$C$11,0)))))</f>
        <v>1</v>
      </c>
      <c r="EK127" s="236" t="n">
        <f aca="false" t="array" ref="EK127:EK127">IF(EK126=0,0,IF(EK126/'🎚️ Escenario'!$C$11&gt;=36,$AL$23,INDEX($C$23:$AL$23,MAX(1,ROUNDUP(EK126/'🎚️ Escenario'!$C$11,0)))))</f>
        <v>1</v>
      </c>
      <c r="EL127" s="236" t="n">
        <f aca="false" t="array" ref="EL127:EL127">IF(EL126=0,0,IF(EL126/'🎚️ Escenario'!$C$11&gt;=36,$AL$23,INDEX($C$23:$AL$23,MAX(1,ROUNDUP(EL126/'🎚️ Escenario'!$C$11,0)))))</f>
        <v>1</v>
      </c>
      <c r="EM127" s="236" t="n">
        <f aca="false" t="array" ref="EM127:EM127">IF(EM126=0,0,IF(EM126/'🎚️ Escenario'!$C$11&gt;=36,$AL$23,INDEX($C$23:$AL$23,MAX(1,ROUNDUP(EM126/'🎚️ Escenario'!$C$11,0)))))</f>
        <v>1</v>
      </c>
      <c r="EN127" s="236" t="n">
        <f aca="false" t="array" ref="EN127:EN127">IF(EN126=0,0,IF(EN126/'🎚️ Escenario'!$C$11&gt;=36,$AL$23,INDEX($C$23:$AL$23,MAX(1,ROUNDUP(EN126/'🎚️ Escenario'!$C$11,0)))))</f>
        <v>1</v>
      </c>
      <c r="EO127" s="236" t="n">
        <f aca="false" t="array" ref="EO127:EO127">IF(EO126=0,0,IF(EO126/'🎚️ Escenario'!$C$11&gt;=36,$AL$23,INDEX($C$23:$AL$23,MAX(1,ROUNDUP(EO126/'🎚️ Escenario'!$C$11,0)))))</f>
        <v>1</v>
      </c>
      <c r="EP127" s="236" t="n">
        <f aca="false" t="array" ref="EP127:EP127">IF(EP126=0,0,IF(EP126/'🎚️ Escenario'!$C$11&gt;=36,$AL$23,INDEX($C$23:$AL$23,MAX(1,ROUNDUP(EP126/'🎚️ Escenario'!$C$11,0)))))</f>
        <v>1</v>
      </c>
      <c r="EQ127" s="236" t="n">
        <f aca="false" t="array" ref="EQ127:EQ127">IF(EQ126=0,0,IF(EQ126/'🎚️ Escenario'!$C$11&gt;=36,$AL$23,INDEX($C$23:$AL$23,MAX(1,ROUNDUP(EQ126/'🎚️ Escenario'!$C$11,0)))))</f>
        <v>1</v>
      </c>
      <c r="ER127" s="236" t="n">
        <f aca="false" t="array" ref="ER127:ER127">IF(ER126=0,0,IF(ER126/'🎚️ Escenario'!$C$11&gt;=36,$AL$23,INDEX($C$23:$AL$23,MAX(1,ROUNDUP(ER126/'🎚️ Escenario'!$C$11,0)))))</f>
        <v>1</v>
      </c>
      <c r="ES127" s="9" t="n">
        <f aca="false" t="array" ref="ES127:ES127">IF(ES126=0,0,IF(ES126/'🎚️ Escenario'!$C$11&gt;=36,$AL$23,INDEX($C$23:$AL$23,MAX(1,ROUNDUP(ES126/'🎚️ Escenario'!$C$11,0)))))</f>
        <v>1</v>
      </c>
      <c r="ET127" s="9" t="n">
        <f aca="false" t="array" ref="ET127:ET127">IF(ET126=0,0,IF(ET126/'🎚️ Escenario'!$C$11&gt;=36,$AL$23,INDEX($C$23:$AL$23,MAX(1,ROUNDUP(ET126/'🎚️ Escenario'!$C$11,0)))))</f>
        <v>1</v>
      </c>
      <c r="EU127" s="9" t="n">
        <f aca="false" t="array" ref="EU127:EU127">IF(EU126=0,0,IF(EU126/'🎚️ Escenario'!$C$11&gt;=36,$AL$23,INDEX($C$23:$AL$23,MAX(1,ROUNDUP(EU126/'🎚️ Escenario'!$C$11,0)))))</f>
        <v>1</v>
      </c>
      <c r="EV127" s="9" t="n">
        <f aca="false" t="array" ref="EV127:EV127">IF(EV126=0,0,IF(EV126/'🎚️ Escenario'!$C$11&gt;=36,$AL$23,INDEX($C$23:$AL$23,MAX(1,ROUNDUP(EV126/'🎚️ Escenario'!$C$11,0)))))</f>
        <v>1</v>
      </c>
      <c r="EW127" s="9" t="n">
        <f aca="false" t="array" ref="EW127:EW127">IF(EW126=0,0,IF(EW126/'🎚️ Escenario'!$C$11&gt;=36,$AL$23,INDEX($C$23:$AL$23,MAX(1,ROUNDUP(EW126/'🎚️ Escenario'!$C$11,0)))))</f>
        <v>1</v>
      </c>
      <c r="EX127" s="9" t="n">
        <f aca="false" t="array" ref="EX127:EX127">IF(EX126=0,0,IF(EX126/'🎚️ Escenario'!$C$11&gt;=36,$AL$23,INDEX($C$23:$AL$23,MAX(1,ROUNDUP(EX126/'🎚️ Escenario'!$C$11,0)))))</f>
        <v>1</v>
      </c>
      <c r="EY127" s="9" t="n">
        <f aca="false" t="array" ref="EY127:EY127">IF(EY126=0,0,IF(EY126/'🎚️ Escenario'!$C$11&gt;=36,$AL$23,INDEX($C$23:$AL$23,MAX(1,ROUNDUP(EY126/'🎚️ Escenario'!$C$11,0)))))</f>
        <v>1</v>
      </c>
      <c r="EZ127" s="9" t="n">
        <f aca="false" t="array" ref="EZ127:EZ127">IF(EZ126=0,0,IF(EZ126/'🎚️ Escenario'!$C$11&gt;=36,$AL$23,INDEX($C$23:$AL$23,MAX(1,ROUNDUP(EZ126/'🎚️ Escenario'!$C$11,0)))))</f>
        <v>1</v>
      </c>
      <c r="FA127" s="9" t="n">
        <f aca="false" t="array" ref="FA127:FA127">IF(FA126=0,0,IF(FA126/'🎚️ Escenario'!$C$11&gt;=36,$AL$23,INDEX($C$23:$AL$23,MAX(1,ROUNDUP(FA126/'🎚️ Escenario'!$C$11,0)))))</f>
        <v>1</v>
      </c>
      <c r="FB127" s="9" t="n">
        <f aca="false" t="array" ref="FB127:FB127">IF(FB126=0,0,IF(FB126/'🎚️ Escenario'!$C$11&gt;=36,$AL$23,INDEX($C$23:$AL$23,MAX(1,ROUNDUP(FB126/'🎚️ Escenario'!$C$11,0)))))</f>
        <v>1</v>
      </c>
      <c r="FC127" s="9" t="n">
        <f aca="false" t="array" ref="FC127:FC127">IF(FC126=0,0,IF(FC126/'🎚️ Escenario'!$C$11&gt;=36,$AL$23,INDEX($C$23:$AL$23,MAX(1,ROUNDUP(FC126/'🎚️ Escenario'!$C$11,0)))))</f>
        <v>1</v>
      </c>
      <c r="FD127" s="9" t="n">
        <f aca="false" t="array" ref="FD127:FD127">IF(FD126=0,0,IF(FD126/'🎚️ Escenario'!$C$11&gt;=36,$AL$23,INDEX($C$23:$AL$23,MAX(1,ROUNDUP(FD126/'🎚️ Escenario'!$C$11,0)))))</f>
        <v>1</v>
      </c>
      <c r="FE127" s="9" t="n">
        <f aca="false" t="array" ref="FE127:FE127">IF(FE126=0,0,IF(FE126/'🎚️ Escenario'!$C$11&gt;=36,$AL$23,INDEX($C$23:$AL$23,MAX(1,ROUNDUP(FE126/'🎚️ Escenario'!$C$11,0)))))</f>
        <v>1</v>
      </c>
      <c r="FF127" s="9" t="n">
        <f aca="false" t="array" ref="FF127:FF127">IF(FF126=0,0,IF(FF126/'🎚️ Escenario'!$C$11&gt;=36,$AL$23,INDEX($C$23:$AL$23,MAX(1,ROUNDUP(FF126/'🎚️ Escenario'!$C$11,0)))))</f>
        <v>1</v>
      </c>
      <c r="FG127" s="9" t="n">
        <f aca="false" t="array" ref="FG127:FG127">IF(FG126=0,0,IF(FG126/'🎚️ Escenario'!$C$11&gt;=36,$AL$23,INDEX($C$23:$AL$23,MAX(1,ROUNDUP(FG126/'🎚️ Escenario'!$C$11,0)))))</f>
        <v>1</v>
      </c>
      <c r="FH127" s="9" t="n">
        <f aca="false" t="array" ref="FH127:FH127">IF(FH126=0,0,IF(FH126/'🎚️ Escenario'!$C$11&gt;=36,$AL$23,INDEX($C$23:$AL$23,MAX(1,ROUNDUP(FH126/'🎚️ Escenario'!$C$11,0)))))</f>
        <v>1</v>
      </c>
      <c r="FI127" s="9" t="n">
        <f aca="false" t="array" ref="FI127:FI127">IF(FI126=0,0,IF(FI126/'🎚️ Escenario'!$C$11&gt;=36,$AL$23,INDEX($C$23:$AL$23,MAX(1,ROUNDUP(FI126/'🎚️ Escenario'!$C$11,0)))))</f>
        <v>1</v>
      </c>
      <c r="FJ127" s="9" t="n">
        <f aca="false" t="array" ref="FJ127:FJ127">IF(FJ126=0,0,IF(FJ126/'🎚️ Escenario'!$C$11&gt;=36,$AL$23,INDEX($C$23:$AL$23,MAX(1,ROUNDUP(FJ126/'🎚️ Escenario'!$C$11,0)))))</f>
        <v>1</v>
      </c>
      <c r="FK127" s="9" t="n">
        <f aca="false" t="array" ref="FK127:FK127">IF(FK126=0,0,IF(FK126/'🎚️ Escenario'!$C$11&gt;=36,$AL$23,INDEX($C$23:$AL$23,MAX(1,ROUNDUP(FK126/'🎚️ Escenario'!$C$11,0)))))</f>
        <v>1</v>
      </c>
      <c r="FL127" s="9" t="n">
        <f aca="false" t="array" ref="FL127:FL127">IF(FL126=0,0,IF(FL126/'🎚️ Escenario'!$C$11&gt;=36,$AL$23,INDEX($C$23:$AL$23,MAX(1,ROUNDUP(FL126/'🎚️ Escenario'!$C$11,0)))))</f>
        <v>1</v>
      </c>
      <c r="FM127" s="9" t="n">
        <f aca="false" t="array" ref="FM127:FM127">IF(FM126=0,0,IF(FM126/'🎚️ Escenario'!$C$11&gt;=36,$AL$23,INDEX($C$23:$AL$23,MAX(1,ROUNDUP(FM126/'🎚️ Escenario'!$C$11,0)))))</f>
        <v>1</v>
      </c>
      <c r="FN127" s="9" t="n">
        <f aca="false" t="array" ref="FN127:FN127">IF(FN126=0,0,IF(FN126/'🎚️ Escenario'!$C$11&gt;=36,$AL$23,INDEX($C$23:$AL$23,MAX(1,ROUNDUP(FN126/'🎚️ Escenario'!$C$11,0)))))</f>
        <v>1</v>
      </c>
      <c r="FO127" s="9" t="n">
        <f aca="false" t="array" ref="FO127:FO127">IF(FO126=0,0,IF(FO126/'🎚️ Escenario'!$C$11&gt;=36,$AL$23,INDEX($C$23:$AL$23,MAX(1,ROUNDUP(FO126/'🎚️ Escenario'!$C$11,0)))))</f>
        <v>1</v>
      </c>
      <c r="FP127" s="9" t="n">
        <f aca="false" t="array" ref="FP127:FP127">IF(FP126=0,0,IF(FP126/'🎚️ Escenario'!$C$11&gt;=36,$AL$23,INDEX($C$23:$AL$23,MAX(1,ROUNDUP(FP126/'🎚️ Escenario'!$C$11,0)))))</f>
        <v>1</v>
      </c>
    </row>
    <row r="128" customFormat="false" ht="15" hidden="false" customHeight="false" outlineLevel="2" collapsed="false">
      <c r="B128" s="9" t="s">
        <v>875</v>
      </c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237" t="n">
        <f aca="false">IF(AC126=0,0,IF(AC126&lt;=12*'🎚️ Escenario'!$C$11,1,1+$C$6))</f>
        <v>0</v>
      </c>
      <c r="AD128" s="237" t="n">
        <f aca="false">IF(AD126=0,0,IF(AD126&lt;=12*'🎚️ Escenario'!$C$11,1,1+$C$6))</f>
        <v>0</v>
      </c>
      <c r="AE128" s="237" t="n">
        <f aca="false">IF(AE126=0,0,IF(AE126&lt;=12*'🎚️ Escenario'!$C$11,1,1+$C$6))</f>
        <v>0</v>
      </c>
      <c r="AF128" s="237" t="n">
        <f aca="false">IF(AF126=0,0,IF(AF126&lt;=12*'🎚️ Escenario'!$C$11,1,1+$C$6))</f>
        <v>0</v>
      </c>
      <c r="AG128" s="237" t="n">
        <f aca="false">IF(AG126=0,0,IF(AG126&lt;=12*'🎚️ Escenario'!$C$11,1,1+$C$6))</f>
        <v>0</v>
      </c>
      <c r="AH128" s="237" t="n">
        <f aca="false">IF(AH126=0,0,IF(AH126&lt;=12*'🎚️ Escenario'!$C$11,1,1+$C$6))</f>
        <v>0</v>
      </c>
      <c r="AI128" s="237" t="n">
        <f aca="false">IF(AI126=0,0,IF(AI126&lt;=12*'🎚️ Escenario'!$C$11,1,1+$C$6))</f>
        <v>0</v>
      </c>
      <c r="AJ128" s="237" t="n">
        <f aca="false">IF(AJ126=0,0,IF(AJ126&lt;=12*'🎚️ Escenario'!$C$11,1,1+$C$6))</f>
        <v>0</v>
      </c>
      <c r="AK128" s="237" t="n">
        <f aca="false">IF(AK126=0,0,IF(AK126&lt;=12*'🎚️ Escenario'!$C$11,1,1+$C$6))</f>
        <v>0</v>
      </c>
      <c r="AL128" s="237" t="n">
        <f aca="false">IF(AL126=0,0,IF(AL126&lt;=12*'🎚️ Escenario'!$C$11,1,1+$C$6))</f>
        <v>0</v>
      </c>
      <c r="AM128" s="237" t="n">
        <f aca="false">IF(AM126=0,0,IF(AM126&lt;=12*'🎚️ Escenario'!$C$11,1,1+$C$6))</f>
        <v>0</v>
      </c>
      <c r="AN128" s="237" t="n">
        <f aca="false">IF(AN126=0,0,IF(AN126&lt;=12*'🎚️ Escenario'!$C$11,1,1+$C$6))</f>
        <v>0</v>
      </c>
      <c r="AO128" s="237" t="n">
        <f aca="false">IF(AO126=0,0,IF(AO126&lt;=12*'🎚️ Escenario'!$C$11,1,1+$C$6))</f>
        <v>0</v>
      </c>
      <c r="AP128" s="237" t="n">
        <f aca="false">IF(AP126=0,0,IF(AP126&lt;=12*'🎚️ Escenario'!$C$11,1,1+$C$6))</f>
        <v>0</v>
      </c>
      <c r="AQ128" s="237" t="n">
        <f aca="false">IF(AQ126=0,0,IF(AQ126&lt;=12*'🎚️ Escenario'!$C$11,1,1+$C$6))</f>
        <v>0</v>
      </c>
      <c r="AR128" s="237" t="n">
        <f aca="false">IF(AR126=0,0,IF(AR126&lt;=12*'🎚️ Escenario'!$C$11,1,1+$C$6))</f>
        <v>0</v>
      </c>
      <c r="AS128" s="237" t="n">
        <f aca="false">IF(AS126=0,0,IF(AS126&lt;=12*'🎚️ Escenario'!$C$11,1,1+$C$6))</f>
        <v>0</v>
      </c>
      <c r="AT128" s="237" t="n">
        <f aca="false">IF(AT126=0,0,IF(AT126&lt;=12*'🎚️ Escenario'!$C$11,1,1+$C$6))</f>
        <v>0</v>
      </c>
      <c r="AU128" s="237" t="n">
        <f aca="false">IF(AU126=0,0,IF(AU126&lt;=12*'🎚️ Escenario'!$C$11,1,1+$C$6))</f>
        <v>0</v>
      </c>
      <c r="AV128" s="237" t="n">
        <f aca="false">IF(AV126=0,0,IF(AV126&lt;=12*'🎚️ Escenario'!$C$11,1,1+$C$6))</f>
        <v>0</v>
      </c>
      <c r="AW128" s="237" t="n">
        <f aca="false">IF(AW126=0,0,IF(AW126&lt;=12*'🎚️ Escenario'!$C$11,1,1+$C$6))</f>
        <v>0</v>
      </c>
      <c r="AX128" s="237" t="n">
        <f aca="false">IF(AX126=0,0,IF(AX126&lt;=12*'🎚️ Escenario'!$C$11,1,1+$C$6))</f>
        <v>0</v>
      </c>
      <c r="AY128" s="237" t="n">
        <f aca="false">IF(AY126=0,0,IF(AY126&lt;=12*'🎚️ Escenario'!$C$11,1,1+$C$6))</f>
        <v>0</v>
      </c>
      <c r="AZ128" s="237" t="n">
        <f aca="false">IF(AZ126=0,0,IF(AZ126&lt;=12*'🎚️ Escenario'!$C$11,1,1+$C$6))</f>
        <v>0</v>
      </c>
      <c r="BA128" s="237" t="n">
        <f aca="false">IF(BA126=0,0,IF(BA126&lt;=12*'🎚️ Escenario'!$C$11,1,1+$C$6))</f>
        <v>0</v>
      </c>
      <c r="BB128" s="237" t="n">
        <f aca="false">IF(BB126=0,0,IF(BB126&lt;=12*'🎚️ Escenario'!$C$11,1,1+$C$6))</f>
        <v>0</v>
      </c>
      <c r="BC128" s="237" t="n">
        <f aca="false">IF(BC126=0,0,IF(BC126&lt;=12*'🎚️ Escenario'!$C$11,1,1+$C$6))</f>
        <v>0</v>
      </c>
      <c r="BD128" s="237" t="n">
        <f aca="false">IF(BD126=0,0,IF(BD126&lt;=12*'🎚️ Escenario'!$C$11,1,1+$C$6))</f>
        <v>0</v>
      </c>
      <c r="BE128" s="237" t="n">
        <f aca="false">IF(BE126=0,0,IF(BE126&lt;=12*'🎚️ Escenario'!$C$11,1,1+$C$6))</f>
        <v>0</v>
      </c>
      <c r="BF128" s="237" t="n">
        <f aca="false">IF(BF126=0,0,IF(BF126&lt;=12*'🎚️ Escenario'!$C$11,1,1+$C$6))</f>
        <v>0</v>
      </c>
      <c r="BG128" s="237" t="n">
        <f aca="false">IF(BG126=0,0,IF(BG126&lt;=12*'🎚️ Escenario'!$C$11,1,1+$C$6))</f>
        <v>0</v>
      </c>
      <c r="BH128" s="237" t="n">
        <f aca="false">IF(BH126=0,0,IF(BH126&lt;=12*'🎚️ Escenario'!$C$11,1,1+$C$6))</f>
        <v>0</v>
      </c>
      <c r="BI128" s="237" t="n">
        <f aca="false">IF(BI126=0,0,IF(BI126&lt;=12*'🎚️ Escenario'!$C$11,1,1+$C$6))</f>
        <v>0</v>
      </c>
      <c r="BJ128" s="237" t="n">
        <f aca="false">IF(BJ126=0,0,IF(BJ126&lt;=12*'🎚️ Escenario'!$C$11,1,1+$C$6))</f>
        <v>1</v>
      </c>
      <c r="BK128" s="237" t="n">
        <f aca="false">IF(BK126=0,0,IF(BK126&lt;=12*'🎚️ Escenario'!$C$11,1,1+$C$6))</f>
        <v>1</v>
      </c>
      <c r="BL128" s="237" t="n">
        <f aca="false">IF(BL126=0,0,IF(BL126&lt;=12*'🎚️ Escenario'!$C$11,1,1+$C$6))</f>
        <v>1</v>
      </c>
      <c r="BM128" s="237" t="n">
        <f aca="false">IF(BM126=0,0,IF(BM126&lt;=12*'🎚️ Escenario'!$C$11,1,1+$C$6))</f>
        <v>1</v>
      </c>
      <c r="BN128" s="237" t="n">
        <f aca="false">IF(BN126=0,0,IF(BN126&lt;=12*'🎚️ Escenario'!$C$11,1,1+$C$6))</f>
        <v>1</v>
      </c>
      <c r="BO128" s="237" t="n">
        <f aca="false">IF(BO126=0,0,IF(BO126&lt;=12*'🎚️ Escenario'!$C$11,1,1+$C$6))</f>
        <v>1</v>
      </c>
      <c r="BP128" s="237" t="n">
        <f aca="false">IF(BP126=0,0,IF(BP126&lt;=12*'🎚️ Escenario'!$C$11,1,1+$C$6))</f>
        <v>1</v>
      </c>
      <c r="BQ128" s="237" t="n">
        <f aca="false">IF(BQ126=0,0,IF(BQ126&lt;=12*'🎚️ Escenario'!$C$11,1,1+$C$6))</f>
        <v>1</v>
      </c>
      <c r="BR128" s="237" t="n">
        <f aca="false">IF(BR126=0,0,IF(BR126&lt;=12*'🎚️ Escenario'!$C$11,1,1+$C$6))</f>
        <v>1</v>
      </c>
      <c r="BS128" s="237" t="n">
        <f aca="false">IF(BS126=0,0,IF(BS126&lt;=12*'🎚️ Escenario'!$C$11,1,1+$C$6))</f>
        <v>1</v>
      </c>
      <c r="BT128" s="237" t="n">
        <f aca="false">IF(BT126=0,0,IF(BT126&lt;=12*'🎚️ Escenario'!$C$11,1,1+$C$6))</f>
        <v>1</v>
      </c>
      <c r="BU128" s="237" t="n">
        <f aca="false">IF(BU126=0,0,IF(BU126&lt;=12*'🎚️ Escenario'!$C$11,1,1+$C$6))</f>
        <v>1</v>
      </c>
      <c r="BV128" s="237" t="n">
        <f aca="false">IF(BV126=0,0,IF(BV126&lt;=12*'🎚️ Escenario'!$C$11,1,1+$C$6))</f>
        <v>1</v>
      </c>
      <c r="BW128" s="237" t="n">
        <f aca="false">IF(BW126=0,0,IF(BW126&lt;=12*'🎚️ Escenario'!$C$11,1,1+$C$6))</f>
        <v>1</v>
      </c>
      <c r="BX128" s="237" t="n">
        <f aca="false">IF(BX126=0,0,IF(BX126&lt;=12*'🎚️ Escenario'!$C$11,1,1+$C$6))</f>
        <v>1</v>
      </c>
      <c r="BY128" s="237" t="n">
        <f aca="false">IF(BY126=0,0,IF(BY126&lt;=12*'🎚️ Escenario'!$C$11,1,1+$C$6))</f>
        <v>1.2</v>
      </c>
      <c r="BZ128" s="237" t="n">
        <f aca="false">IF(BZ126=0,0,IF(BZ126&lt;=12*'🎚️ Escenario'!$C$11,1,1+$C$6))</f>
        <v>1.2</v>
      </c>
      <c r="CA128" s="237" t="n">
        <f aca="false">IF(CA126=0,0,IF(CA126&lt;=12*'🎚️ Escenario'!$C$11,1,1+$C$6))</f>
        <v>1.2</v>
      </c>
      <c r="CB128" s="237" t="n">
        <f aca="false">IF(CB126=0,0,IF(CB126&lt;=12*'🎚️ Escenario'!$C$11,1,1+$C$6))</f>
        <v>1.2</v>
      </c>
      <c r="CC128" s="237" t="n">
        <f aca="false">IF(CC126=0,0,IF(CC126&lt;=12*'🎚️ Escenario'!$C$11,1,1+$C$6))</f>
        <v>1.2</v>
      </c>
      <c r="CD128" s="237" t="n">
        <f aca="false">IF(CD126=0,0,IF(CD126&lt;=12*'🎚️ Escenario'!$C$11,1,1+$C$6))</f>
        <v>1.2</v>
      </c>
      <c r="CE128" s="237" t="n">
        <f aca="false">IF(CE126=0,0,IF(CE126&lt;=12*'🎚️ Escenario'!$C$11,1,1+$C$6))</f>
        <v>1.2</v>
      </c>
      <c r="CF128" s="237" t="n">
        <f aca="false">IF(CF126=0,0,IF(CF126&lt;=12*'🎚️ Escenario'!$C$11,1,1+$C$6))</f>
        <v>1.2</v>
      </c>
      <c r="CG128" s="237" t="n">
        <f aca="false">IF(CG126=0,0,IF(CG126&lt;=12*'🎚️ Escenario'!$C$11,1,1+$C$6))</f>
        <v>1.2</v>
      </c>
      <c r="CH128" s="237" t="n">
        <f aca="false">IF(CH126=0,0,IF(CH126&lt;=12*'🎚️ Escenario'!$C$11,1,1+$C$6))</f>
        <v>1.2</v>
      </c>
      <c r="CI128" s="237" t="n">
        <f aca="false">IF(CI126=0,0,IF(CI126&lt;=12*'🎚️ Escenario'!$C$11,1,1+$C$6))</f>
        <v>1.2</v>
      </c>
      <c r="CJ128" s="237" t="n">
        <f aca="false">IF(CJ126=0,0,IF(CJ126&lt;=12*'🎚️ Escenario'!$C$11,1,1+$C$6))</f>
        <v>1.2</v>
      </c>
      <c r="CK128" s="237" t="n">
        <f aca="false">IF(CK126=0,0,IF(CK126&lt;=12*'🎚️ Escenario'!$C$11,1,1+$C$6))</f>
        <v>1.2</v>
      </c>
      <c r="CL128" s="237" t="n">
        <f aca="false">IF(CL126=0,0,IF(CL126&lt;=12*'🎚️ Escenario'!$C$11,1,1+$C$6))</f>
        <v>1.2</v>
      </c>
      <c r="CM128" s="237" t="n">
        <f aca="false">IF(CM126=0,0,IF(CM126&lt;=12*'🎚️ Escenario'!$C$11,1,1+$C$6))</f>
        <v>1.2</v>
      </c>
      <c r="CN128" s="237" t="n">
        <f aca="false">IF(CN126=0,0,IF(CN126&lt;=12*'🎚️ Escenario'!$C$11,1,1+$C$6))</f>
        <v>1.2</v>
      </c>
      <c r="CO128" s="237" t="n">
        <f aca="false">IF(CO126=0,0,IF(CO126&lt;=12*'🎚️ Escenario'!$C$11,1,1+$C$6))</f>
        <v>1.2</v>
      </c>
      <c r="CP128" s="237" t="n">
        <f aca="false">IF(CP126=0,0,IF(CP126&lt;=12*'🎚️ Escenario'!$C$11,1,1+$C$6))</f>
        <v>1.2</v>
      </c>
      <c r="CQ128" s="237" t="n">
        <f aca="false">IF(CQ126=0,0,IF(CQ126&lt;=12*'🎚️ Escenario'!$C$11,1,1+$C$6))</f>
        <v>1.2</v>
      </c>
      <c r="CR128" s="237" t="n">
        <f aca="false">IF(CR126=0,0,IF(CR126&lt;=12*'🎚️ Escenario'!$C$11,1,1+$C$6))</f>
        <v>1.2</v>
      </c>
      <c r="CS128" s="237" t="n">
        <f aca="false">IF(CS126=0,0,IF(CS126&lt;=12*'🎚️ Escenario'!$C$11,1,1+$C$6))</f>
        <v>1.2</v>
      </c>
      <c r="CT128" s="237" t="n">
        <f aca="false">IF(CT126=0,0,IF(CT126&lt;=12*'🎚️ Escenario'!$C$11,1,1+$C$6))</f>
        <v>1.2</v>
      </c>
      <c r="CU128" s="237" t="n">
        <f aca="false">IF(CU126=0,0,IF(CU126&lt;=12*'🎚️ Escenario'!$C$11,1,1+$C$6))</f>
        <v>1.2</v>
      </c>
      <c r="CV128" s="237" t="n">
        <f aca="false">IF(CV126=0,0,IF(CV126&lt;=12*'🎚️ Escenario'!$C$11,1,1+$C$6))</f>
        <v>1.2</v>
      </c>
      <c r="CW128" s="237" t="n">
        <f aca="false">IF(CW126=0,0,IF(CW126&lt;=12*'🎚️ Escenario'!$C$11,1,1+$C$6))</f>
        <v>1.2</v>
      </c>
      <c r="CX128" s="237" t="n">
        <f aca="false">IF(CX126=0,0,IF(CX126&lt;=12*'🎚️ Escenario'!$C$11,1,1+$C$6))</f>
        <v>1.2</v>
      </c>
      <c r="CY128" s="237" t="n">
        <f aca="false">IF(CY126=0,0,IF(CY126&lt;=12*'🎚️ Escenario'!$C$11,1,1+$C$6))</f>
        <v>1.2</v>
      </c>
      <c r="CZ128" s="237" t="n">
        <f aca="false">IF(CZ126=0,0,IF(CZ126&lt;=12*'🎚️ Escenario'!$C$11,1,1+$C$6))</f>
        <v>1.2</v>
      </c>
      <c r="DA128" s="237" t="n">
        <f aca="false">IF(DA126=0,0,IF(DA126&lt;=12*'🎚️ Escenario'!$C$11,1,1+$C$6))</f>
        <v>1.2</v>
      </c>
      <c r="DB128" s="237" t="n">
        <f aca="false">IF(DB126=0,0,IF(DB126&lt;=12*'🎚️ Escenario'!$C$11,1,1+$C$6))</f>
        <v>1.2</v>
      </c>
      <c r="DC128" s="237" t="n">
        <f aca="false">IF(DC126=0,0,IF(DC126&lt;=12*'🎚️ Escenario'!$C$11,1,1+$C$6))</f>
        <v>1.2</v>
      </c>
      <c r="DD128" s="237" t="n">
        <f aca="false">IF(DD126=0,0,IF(DD126&lt;=12*'🎚️ Escenario'!$C$11,1,1+$C$6))</f>
        <v>1.2</v>
      </c>
      <c r="DE128" s="237" t="n">
        <f aca="false">IF(DE126=0,0,IF(DE126&lt;=12*'🎚️ Escenario'!$C$11,1,1+$C$6))</f>
        <v>1.2</v>
      </c>
      <c r="DF128" s="237" t="n">
        <f aca="false">IF(DF126=0,0,IF(DF126&lt;=12*'🎚️ Escenario'!$C$11,1,1+$C$6))</f>
        <v>1.2</v>
      </c>
      <c r="DG128" s="237" t="n">
        <f aca="false">IF(DG126=0,0,IF(DG126&lt;=12*'🎚️ Escenario'!$C$11,1,1+$C$6))</f>
        <v>1.2</v>
      </c>
      <c r="DH128" s="237" t="n">
        <f aca="false">IF(DH126=0,0,IF(DH126&lt;=12*'🎚️ Escenario'!$C$11,1,1+$C$6))</f>
        <v>1.2</v>
      </c>
      <c r="DI128" s="237" t="n">
        <f aca="false">IF(DI126=0,0,IF(DI126&lt;=12*'🎚️ Escenario'!$C$11,1,1+$C$6))</f>
        <v>1.2</v>
      </c>
      <c r="DJ128" s="237" t="n">
        <f aca="false">IF(DJ126=0,0,IF(DJ126&lt;=12*'🎚️ Escenario'!$C$11,1,1+$C$6))</f>
        <v>1.2</v>
      </c>
      <c r="DK128" s="237" t="n">
        <f aca="false">IF(DK126=0,0,IF(DK126&lt;=12*'🎚️ Escenario'!$C$11,1,1+$C$6))</f>
        <v>1.2</v>
      </c>
      <c r="DL128" s="237" t="n">
        <f aca="false">IF(DL126=0,0,IF(DL126&lt;=12*'🎚️ Escenario'!$C$11,1,1+$C$6))</f>
        <v>1.2</v>
      </c>
      <c r="DM128" s="237" t="n">
        <f aca="false">IF(DM126=0,0,IF(DM126&lt;=12*'🎚️ Escenario'!$C$11,1,1+$C$6))</f>
        <v>1.2</v>
      </c>
      <c r="DN128" s="237" t="n">
        <f aca="false">IF(DN126=0,0,IF(DN126&lt;=12*'🎚️ Escenario'!$C$11,1,1+$C$6))</f>
        <v>1.2</v>
      </c>
      <c r="DO128" s="237" t="n">
        <f aca="false">IF(DO126=0,0,IF(DO126&lt;=12*'🎚️ Escenario'!$C$11,1,1+$C$6))</f>
        <v>1.2</v>
      </c>
      <c r="DP128" s="237" t="n">
        <f aca="false">IF(DP126=0,0,IF(DP126&lt;=12*'🎚️ Escenario'!$C$11,1,1+$C$6))</f>
        <v>1.2</v>
      </c>
      <c r="DQ128" s="237" t="n">
        <f aca="false">IF(DQ126=0,0,IF(DQ126&lt;=12*'🎚️ Escenario'!$C$11,1,1+$C$6))</f>
        <v>1.2</v>
      </c>
      <c r="DR128" s="237" t="n">
        <f aca="false">IF(DR126=0,0,IF(DR126&lt;=12*'🎚️ Escenario'!$C$11,1,1+$C$6))</f>
        <v>1.2</v>
      </c>
      <c r="DS128" s="237" t="n">
        <f aca="false">IF(DS126=0,0,IF(DS126&lt;=12*'🎚️ Escenario'!$C$11,1,1+$C$6))</f>
        <v>1.2</v>
      </c>
      <c r="DT128" s="237" t="n">
        <f aca="false">IF(DT126=0,0,IF(DT126&lt;=12*'🎚️ Escenario'!$C$11,1,1+$C$6))</f>
        <v>1.2</v>
      </c>
      <c r="DU128" s="237" t="n">
        <f aca="false">IF(DU126=0,0,IF(DU126&lt;=12*'🎚️ Escenario'!$C$11,1,1+$C$6))</f>
        <v>1.2</v>
      </c>
      <c r="DV128" s="237" t="n">
        <f aca="false">IF(DV126=0,0,IF(DV126&lt;=12*'🎚️ Escenario'!$C$11,1,1+$C$6))</f>
        <v>1.2</v>
      </c>
      <c r="DW128" s="237" t="n">
        <f aca="false">IF(DW126=0,0,IF(DW126&lt;=12*'🎚️ Escenario'!$C$11,1,1+$C$6))</f>
        <v>1.2</v>
      </c>
      <c r="DX128" s="237" t="n">
        <f aca="false">IF(DX126=0,0,IF(DX126&lt;=12*'🎚️ Escenario'!$C$11,1,1+$C$6))</f>
        <v>1.2</v>
      </c>
      <c r="DY128" s="237" t="n">
        <f aca="false">IF(DY126=0,0,IF(DY126&lt;=12*'🎚️ Escenario'!$C$11,1,1+$C$6))</f>
        <v>1.2</v>
      </c>
      <c r="DZ128" s="237" t="n">
        <f aca="false">IF(DZ126=0,0,IF(DZ126&lt;=12*'🎚️ Escenario'!$C$11,1,1+$C$6))</f>
        <v>1.2</v>
      </c>
      <c r="EA128" s="237" t="n">
        <f aca="false">IF(EA126=0,0,IF(EA126&lt;=12*'🎚️ Escenario'!$C$11,1,1+$C$6))</f>
        <v>1.2</v>
      </c>
      <c r="EB128" s="237" t="n">
        <f aca="false">IF(EB126=0,0,IF(EB126&lt;=12*'🎚️ Escenario'!$C$11,1,1+$C$6))</f>
        <v>1.2</v>
      </c>
      <c r="EC128" s="237" t="n">
        <f aca="false">IF(EC126=0,0,IF(EC126&lt;=12*'🎚️ Escenario'!$C$11,1,1+$C$6))</f>
        <v>1.2</v>
      </c>
      <c r="ED128" s="237" t="n">
        <f aca="false">IF(ED126=0,0,IF(ED126&lt;=12*'🎚️ Escenario'!$C$11,1,1+$C$6))</f>
        <v>1.2</v>
      </c>
      <c r="EE128" s="237" t="n">
        <f aca="false">IF(EE126=0,0,IF(EE126&lt;=12*'🎚️ Escenario'!$C$11,1,1+$C$6))</f>
        <v>1.2</v>
      </c>
      <c r="EF128" s="237" t="n">
        <f aca="false">IF(EF126=0,0,IF(EF126&lt;=12*'🎚️ Escenario'!$C$11,1,1+$C$6))</f>
        <v>1.2</v>
      </c>
      <c r="EG128" s="237" t="n">
        <f aca="false">IF(EG126=0,0,IF(EG126&lt;=12*'🎚️ Escenario'!$C$11,1,1+$C$6))</f>
        <v>1.2</v>
      </c>
      <c r="EH128" s="237" t="n">
        <f aca="false">IF(EH126=0,0,IF(EH126&lt;=12*'🎚️ Escenario'!$C$11,1,1+$C$6))</f>
        <v>1.2</v>
      </c>
      <c r="EI128" s="237" t="n">
        <f aca="false">IF(EI126=0,0,IF(EI126&lt;=12*'🎚️ Escenario'!$C$11,1,1+$C$6))</f>
        <v>1.2</v>
      </c>
      <c r="EJ128" s="237" t="n">
        <f aca="false">IF(EJ126=0,0,IF(EJ126&lt;=12*'🎚️ Escenario'!$C$11,1,1+$C$6))</f>
        <v>1.2</v>
      </c>
      <c r="EK128" s="237" t="n">
        <f aca="false">IF(EK126=0,0,IF(EK126&lt;=12*'🎚️ Escenario'!$C$11,1,1+$C$6))</f>
        <v>1.2</v>
      </c>
      <c r="EL128" s="237" t="n">
        <f aca="false">IF(EL126=0,0,IF(EL126&lt;=12*'🎚️ Escenario'!$C$11,1,1+$C$6))</f>
        <v>1.2</v>
      </c>
      <c r="EM128" s="237" t="n">
        <f aca="false">IF(EM126=0,0,IF(EM126&lt;=12*'🎚️ Escenario'!$C$11,1,1+$C$6))</f>
        <v>1.2</v>
      </c>
      <c r="EN128" s="237" t="n">
        <f aca="false">IF(EN126=0,0,IF(EN126&lt;=12*'🎚️ Escenario'!$C$11,1,1+$C$6))</f>
        <v>1.2</v>
      </c>
      <c r="EO128" s="237" t="n">
        <f aca="false">IF(EO126=0,0,IF(EO126&lt;=12*'🎚️ Escenario'!$C$11,1,1+$C$6))</f>
        <v>1.2</v>
      </c>
      <c r="EP128" s="237" t="n">
        <f aca="false">IF(EP126=0,0,IF(EP126&lt;=12*'🎚️ Escenario'!$C$11,1,1+$C$6))</f>
        <v>1.2</v>
      </c>
      <c r="EQ128" s="237" t="n">
        <f aca="false">IF(EQ126=0,0,IF(EQ126&lt;=12*'🎚️ Escenario'!$C$11,1,1+$C$6))</f>
        <v>1.2</v>
      </c>
      <c r="ER128" s="237" t="n">
        <f aca="false">IF(ER126=0,0,IF(ER126&lt;=12*'🎚️ Escenario'!$C$11,1,1+$C$6))</f>
        <v>1.2</v>
      </c>
      <c r="ES128" s="238" t="n">
        <f aca="false">IF(ES126=0,0,IF(ES126&lt;=12*'🎚️ Escenario'!$C$11,1,1+$C$6))</f>
        <v>1.2</v>
      </c>
      <c r="ET128" s="238" t="n">
        <f aca="false">IF(ET126=0,0,IF(ET126&lt;=12*'🎚️ Escenario'!$C$11,1,1+$C$6))</f>
        <v>1.2</v>
      </c>
      <c r="EU128" s="238" t="n">
        <f aca="false">IF(EU126=0,0,IF(EU126&lt;=12*'🎚️ Escenario'!$C$11,1,1+$C$6))</f>
        <v>1.2</v>
      </c>
      <c r="EV128" s="238" t="n">
        <f aca="false">IF(EV126=0,0,IF(EV126&lt;=12*'🎚️ Escenario'!$C$11,1,1+$C$6))</f>
        <v>1.2</v>
      </c>
      <c r="EW128" s="238" t="n">
        <f aca="false">IF(EW126=0,0,IF(EW126&lt;=12*'🎚️ Escenario'!$C$11,1,1+$C$6))</f>
        <v>1.2</v>
      </c>
      <c r="EX128" s="238" t="n">
        <f aca="false">IF(EX126=0,0,IF(EX126&lt;=12*'🎚️ Escenario'!$C$11,1,1+$C$6))</f>
        <v>1.2</v>
      </c>
      <c r="EY128" s="238" t="n">
        <f aca="false">IF(EY126=0,0,IF(EY126&lt;=12*'🎚️ Escenario'!$C$11,1,1+$C$6))</f>
        <v>1.2</v>
      </c>
      <c r="EZ128" s="238" t="n">
        <f aca="false">IF(EZ126=0,0,IF(EZ126&lt;=12*'🎚️ Escenario'!$C$11,1,1+$C$6))</f>
        <v>1.2</v>
      </c>
      <c r="FA128" s="238" t="n">
        <f aca="false">IF(FA126=0,0,IF(FA126&lt;=12*'🎚️ Escenario'!$C$11,1,1+$C$6))</f>
        <v>1.2</v>
      </c>
      <c r="FB128" s="238" t="n">
        <f aca="false">IF(FB126=0,0,IF(FB126&lt;=12*'🎚️ Escenario'!$C$11,1,1+$C$6))</f>
        <v>1.2</v>
      </c>
      <c r="FC128" s="238" t="n">
        <f aca="false">IF(FC126=0,0,IF(FC126&lt;=12*'🎚️ Escenario'!$C$11,1,1+$C$6))</f>
        <v>1.2</v>
      </c>
      <c r="FD128" s="238" t="n">
        <f aca="false">IF(FD126=0,0,IF(FD126&lt;=12*'🎚️ Escenario'!$C$11,1,1+$C$6))</f>
        <v>1.2</v>
      </c>
      <c r="FE128" s="238" t="n">
        <f aca="false">IF(FE126=0,0,IF(FE126&lt;=12*'🎚️ Escenario'!$C$11,1,1+$C$6))</f>
        <v>1.2</v>
      </c>
      <c r="FF128" s="238" t="n">
        <f aca="false">IF(FF126=0,0,IF(FF126&lt;=12*'🎚️ Escenario'!$C$11,1,1+$C$6))</f>
        <v>1.2</v>
      </c>
      <c r="FG128" s="238" t="n">
        <f aca="false">IF(FG126=0,0,IF(FG126&lt;=12*'🎚️ Escenario'!$C$11,1,1+$C$6))</f>
        <v>1.2</v>
      </c>
      <c r="FH128" s="238" t="n">
        <f aca="false">IF(FH126=0,0,IF(FH126&lt;=12*'🎚️ Escenario'!$C$11,1,1+$C$6))</f>
        <v>1.2</v>
      </c>
      <c r="FI128" s="238" t="n">
        <f aca="false">IF(FI126=0,0,IF(FI126&lt;=12*'🎚️ Escenario'!$C$11,1,1+$C$6))</f>
        <v>1.2</v>
      </c>
      <c r="FJ128" s="238" t="n">
        <f aca="false">IF(FJ126=0,0,IF(FJ126&lt;=12*'🎚️ Escenario'!$C$11,1,1+$C$6))</f>
        <v>1.2</v>
      </c>
      <c r="FK128" s="238" t="n">
        <f aca="false">IF(FK126=0,0,IF(FK126&lt;=12*'🎚️ Escenario'!$C$11,1,1+$C$6))</f>
        <v>1.2</v>
      </c>
      <c r="FL128" s="238" t="n">
        <f aca="false">IF(FL126=0,0,IF(FL126&lt;=12*'🎚️ Escenario'!$C$11,1,1+$C$6))</f>
        <v>1.2</v>
      </c>
      <c r="FM128" s="238" t="n">
        <f aca="false">IF(FM126=0,0,IF(FM126&lt;=12*'🎚️ Escenario'!$C$11,1,1+$C$6))</f>
        <v>1.2</v>
      </c>
      <c r="FN128" s="238" t="n">
        <f aca="false">IF(FN126=0,0,IF(FN126&lt;=12*'🎚️ Escenario'!$C$11,1,1+$C$6))</f>
        <v>1.2</v>
      </c>
      <c r="FO128" s="238" t="n">
        <f aca="false">IF(FO126=0,0,IF(FO126&lt;=12*'🎚️ Escenario'!$C$11,1,1+$C$6))</f>
        <v>1.2</v>
      </c>
      <c r="FP128" s="238" t="n">
        <f aca="false">IF(FP126=0,0,IF(FP126&lt;=12*'🎚️ Escenario'!$C$11,1,1+$C$6))</f>
        <v>1.2</v>
      </c>
    </row>
    <row r="129" customFormat="false" ht="15" hidden="false" customHeight="false" outlineLevel="2" collapsed="false">
      <c r="B129" s="9" t="s">
        <v>876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36" t="n">
        <f aca="false">AC127*$AC$125*AC128*AC$38*'⑫ Roll-out Plan'!$O$18</f>
        <v>0</v>
      </c>
      <c r="AD129" s="36" t="n">
        <f aca="false">AD127*$AC$125*AD128*AD$38*'⑫ Roll-out Plan'!$O$18</f>
        <v>0</v>
      </c>
      <c r="AE129" s="36" t="n">
        <f aca="false">AE127*$AC$125*AE128*AE$38*'⑫ Roll-out Plan'!$O$18</f>
        <v>0</v>
      </c>
      <c r="AF129" s="36" t="n">
        <f aca="false">AF127*$AC$125*AF128*AF$38*'⑫ Roll-out Plan'!$O$18</f>
        <v>0</v>
      </c>
      <c r="AG129" s="36" t="n">
        <f aca="false">AG127*$AC$125*AG128*AG$38*'⑫ Roll-out Plan'!$O$18</f>
        <v>0</v>
      </c>
      <c r="AH129" s="36" t="n">
        <f aca="false">AH127*$AC$125*AH128*AH$38*'⑫ Roll-out Plan'!$O$18</f>
        <v>0</v>
      </c>
      <c r="AI129" s="36" t="n">
        <f aca="false">AI127*$AC$125*AI128*AI$38*'⑫ Roll-out Plan'!$O$18</f>
        <v>0</v>
      </c>
      <c r="AJ129" s="36" t="n">
        <f aca="false">AJ127*$AC$125*AJ128*AJ$38*'⑫ Roll-out Plan'!$O$18</f>
        <v>0</v>
      </c>
      <c r="AK129" s="36" t="n">
        <f aca="false">AK127*$AC$125*AK128*AK$38*'⑫ Roll-out Plan'!$O$18</f>
        <v>0</v>
      </c>
      <c r="AL129" s="36" t="n">
        <f aca="false">AL127*$AC$125*AL128*AL$38*'⑫ Roll-out Plan'!$O$18</f>
        <v>0</v>
      </c>
      <c r="AM129" s="36" t="n">
        <f aca="false">AM127*$AC$125*AM128*AM$38*'⑫ Roll-out Plan'!$O$18</f>
        <v>0</v>
      </c>
      <c r="AN129" s="36" t="n">
        <f aca="false">AN127*$AC$125*AN128*AN$38*'⑫ Roll-out Plan'!$O$18</f>
        <v>0</v>
      </c>
      <c r="AO129" s="36" t="n">
        <f aca="false">AO127*$AC$125*AO128*AO$38*'⑫ Roll-out Plan'!$O$18</f>
        <v>0</v>
      </c>
      <c r="AP129" s="36" t="n">
        <f aca="false">AP127*$AC$125*AP128*AP$38*'⑫ Roll-out Plan'!$O$18</f>
        <v>0</v>
      </c>
      <c r="AQ129" s="36" t="n">
        <f aca="false">AQ127*$AC$125*AQ128*AQ$38*'⑫ Roll-out Plan'!$O$18</f>
        <v>0</v>
      </c>
      <c r="AR129" s="36" t="n">
        <f aca="false">AR127*$AC$125*AR128*AR$38*'⑫ Roll-out Plan'!$O$18</f>
        <v>0</v>
      </c>
      <c r="AS129" s="36" t="n">
        <f aca="false">AS127*$AC$125*AS128*AS$38*'⑫ Roll-out Plan'!$O$18</f>
        <v>0</v>
      </c>
      <c r="AT129" s="36" t="n">
        <f aca="false">AT127*$AC$125*AT128*AT$38*'⑫ Roll-out Plan'!$O$18</f>
        <v>0</v>
      </c>
      <c r="AU129" s="36" t="n">
        <f aca="false">AU127*$AC$125*AU128*AU$38*'⑫ Roll-out Plan'!$O$18</f>
        <v>0</v>
      </c>
      <c r="AV129" s="36" t="n">
        <f aca="false">AV127*$AC$125*AV128*AV$38*'⑫ Roll-out Plan'!$O$18</f>
        <v>0</v>
      </c>
      <c r="AW129" s="36" t="n">
        <f aca="false">AW127*$AC$125*AW128*AW$38*'⑫ Roll-out Plan'!$O$18</f>
        <v>0</v>
      </c>
      <c r="AX129" s="36" t="n">
        <f aca="false">AX127*$AC$125*AX128*AX$38*'⑫ Roll-out Plan'!$O$18</f>
        <v>0</v>
      </c>
      <c r="AY129" s="36" t="n">
        <f aca="false">AY127*$AC$125*AY128*AY$38*'⑫ Roll-out Plan'!$O$18</f>
        <v>0</v>
      </c>
      <c r="AZ129" s="36" t="n">
        <f aca="false">AZ127*$AC$125*AZ128*AZ$38*'⑫ Roll-out Plan'!$O$18</f>
        <v>0</v>
      </c>
      <c r="BA129" s="36" t="n">
        <f aca="false">BA127*$AC$125*BA128*BA$38*'⑫ Roll-out Plan'!$O$18</f>
        <v>0</v>
      </c>
      <c r="BB129" s="36" t="n">
        <f aca="false">BB127*$AC$125*BB128*BB$38*'⑫ Roll-out Plan'!$O$18</f>
        <v>0</v>
      </c>
      <c r="BC129" s="36" t="n">
        <f aca="false">BC127*$AC$125*BC128*BC$38*'⑫ Roll-out Plan'!$O$18</f>
        <v>0</v>
      </c>
      <c r="BD129" s="36" t="n">
        <f aca="false">BD127*$AC$125*BD128*BD$38*'⑫ Roll-out Plan'!$O$18</f>
        <v>0</v>
      </c>
      <c r="BE129" s="36" t="n">
        <f aca="false">BE127*$AC$125*BE128*BE$38*'⑫ Roll-out Plan'!$O$18</f>
        <v>0</v>
      </c>
      <c r="BF129" s="36" t="n">
        <f aca="false">BF127*$AC$125*BF128*BF$38*'⑫ Roll-out Plan'!$O$18</f>
        <v>0</v>
      </c>
      <c r="BG129" s="36" t="n">
        <f aca="false">BG127*$AC$125*BG128*BG$38*'⑫ Roll-out Plan'!$O$18</f>
        <v>0</v>
      </c>
      <c r="BH129" s="36" t="n">
        <f aca="false">BH127*$AC$125*BH128*BH$38*'⑫ Roll-out Plan'!$O$18</f>
        <v>0</v>
      </c>
      <c r="BI129" s="36" t="n">
        <f aca="false">BI127*$AC$125*BI128*BI$38*'⑫ Roll-out Plan'!$O$18</f>
        <v>0</v>
      </c>
      <c r="BJ129" s="36" t="n">
        <f aca="false">BJ127*$AC$125*BJ128*BJ$38*'⑫ Roll-out Plan'!$O$18</f>
        <v>40.32</v>
      </c>
      <c r="BK129" s="36" t="n">
        <f aca="false">BK127*$AC$125*BK128*BK$38*'⑫ Roll-out Plan'!$O$18</f>
        <v>33.264</v>
      </c>
      <c r="BL129" s="36" t="n">
        <f aca="false">BL127*$AC$125*BL128*BL$38*'⑫ Roll-out Plan'!$O$18</f>
        <v>51.408</v>
      </c>
      <c r="BM129" s="36" t="n">
        <f aca="false">BM127*$AC$125*BM128*BM$38*'⑫ Roll-out Plan'!$O$18</f>
        <v>61.236</v>
      </c>
      <c r="BN129" s="36" t="n">
        <f aca="false">BN127*$AC$125*BN128*BN$38*'⑫ Roll-out Plan'!$O$18</f>
        <v>46.494</v>
      </c>
      <c r="BO129" s="36" t="n">
        <f aca="false">BO127*$AC$125*BO128*BO$38*'⑫ Roll-out Plan'!$O$18</f>
        <v>75.516</v>
      </c>
      <c r="BP129" s="36" t="n">
        <f aca="false">BP127*$AC$125*BP128*BP$38*'⑫ Roll-out Plan'!$O$18</f>
        <v>80.85</v>
      </c>
      <c r="BQ129" s="36" t="n">
        <f aca="false">BQ127*$AC$125*BQ128*BQ$38*'⑫ Roll-out Plan'!$O$18</f>
        <v>75.348</v>
      </c>
      <c r="BR129" s="36" t="n">
        <f aca="false">BR127*$AC$125*BR128*BR$38*'⑫ Roll-out Plan'!$O$18</f>
        <v>73.92</v>
      </c>
      <c r="BS129" s="36" t="n">
        <f aca="false">BS127*$AC$125*BS128*BS$38*'⑫ Roll-out Plan'!$O$18</f>
        <v>77.616</v>
      </c>
      <c r="BT129" s="36" t="n">
        <f aca="false">BT127*$AC$125*BT128*BT$38*'⑫ Roll-out Plan'!$O$18</f>
        <v>143.136</v>
      </c>
      <c r="BU129" s="36" t="n">
        <f aca="false">BU127*$AC$125*BU128*BU$38*'⑫ Roll-out Plan'!$O$18</f>
        <v>126.672</v>
      </c>
      <c r="BV129" s="36" t="n">
        <f aca="false">BV127*$AC$125*BV128*BV$38*'⑫ Roll-out Plan'!$O$18</f>
        <v>112.896</v>
      </c>
      <c r="BW129" s="36" t="n">
        <f aca="false">BW127*$AC$125*BW128*BW$38*'⑫ Roll-out Plan'!$O$18</f>
        <v>90.72</v>
      </c>
      <c r="BX129" s="36" t="n">
        <f aca="false">BX127*$AC$125*BX128*BX$38*'⑫ Roll-out Plan'!$O$18</f>
        <v>128.52</v>
      </c>
      <c r="BY129" s="36" t="n">
        <f aca="false">BY127*$AC$125*BY128*BY$38*'⑫ Roll-out Plan'!$O$18</f>
        <v>171.4608</v>
      </c>
      <c r="BZ129" s="36" t="n">
        <f aca="false">BZ127*$AC$125*BZ128*BZ$38*'⑫ Roll-out Plan'!$O$18</f>
        <v>136.3824</v>
      </c>
      <c r="CA129" s="36" t="n">
        <f aca="false">CA127*$AC$125*CA128*CA$38*'⑫ Roll-out Plan'!$O$18</f>
        <v>201.7008</v>
      </c>
      <c r="CB129" s="36" t="n">
        <f aca="false">CB127*$AC$125*CB128*CB$38*'⑫ Roll-out Plan'!$O$18</f>
        <v>196.812</v>
      </c>
      <c r="CC129" s="36" t="n">
        <f aca="false">CC127*$AC$125*CC128*CC$38*'⑫ Roll-out Plan'!$O$18</f>
        <v>164.6064</v>
      </c>
      <c r="CD129" s="36" t="n">
        <f aca="false">CD127*$AC$125*CD128*CD$38*'⑫ Roll-out Plan'!$O$18</f>
        <v>147.168</v>
      </c>
      <c r="CE129" s="36" t="n">
        <f aca="false">CE127*$AC$125*CE128*CE$38*'⑫ Roll-out Plan'!$O$18</f>
        <v>158.76</v>
      </c>
      <c r="CF129" s="36" t="n">
        <f aca="false">CF127*$AC$125*CF128*CF$38*'⑫ Roll-out Plan'!$O$18</f>
        <v>275.5368</v>
      </c>
      <c r="CG129" s="36" t="n">
        <f aca="false">CG127*$AC$125*CG128*CG$38*'⑫ Roll-out Plan'!$O$18</f>
        <v>230.9328</v>
      </c>
      <c r="CH129" s="36" t="n">
        <f aca="false">CH127*$AC$125*CH128*CH$38*'⑫ Roll-out Plan'!$O$18</f>
        <v>191.1168</v>
      </c>
      <c r="CI129" s="36" t="n">
        <f aca="false">CI127*$AC$125*CI128*CI$38*'⑫ Roll-out Plan'!$O$18</f>
        <v>145.152</v>
      </c>
      <c r="CJ129" s="36" t="n">
        <f aca="false">CJ127*$AC$125*CJ128*CJ$38*'⑫ Roll-out Plan'!$O$18</f>
        <v>210.7728</v>
      </c>
      <c r="CK129" s="36" t="n">
        <f aca="false">CK127*$AC$125*CK128*CK$38*'⑫ Roll-out Plan'!$O$18</f>
        <v>228.6144</v>
      </c>
      <c r="CL129" s="36" t="n">
        <f aca="false">CL127*$AC$125*CL128*CL$38*'⑫ Roll-out Plan'!$O$18</f>
        <v>175.644</v>
      </c>
      <c r="CM129" s="36" t="n">
        <f aca="false">CM127*$AC$125*CM128*CM$38*'⑫ Roll-out Plan'!$O$18</f>
        <v>248.472</v>
      </c>
      <c r="CN129" s="36" t="n">
        <f aca="false">CN127*$AC$125*CN128*CN$38*'⑫ Roll-out Plan'!$O$18</f>
        <v>238.392</v>
      </c>
      <c r="CO129" s="36" t="n">
        <f aca="false">CO127*$AC$125*CO128*CO$38*'⑫ Roll-out Plan'!$O$18</f>
        <v>204.0192</v>
      </c>
      <c r="CP129" s="36" t="n">
        <f aca="false">CP127*$AC$125*CP128*CP$38*'⑫ Roll-out Plan'!$O$18</f>
        <v>179.424</v>
      </c>
      <c r="CQ129" s="36" t="n">
        <f aca="false">CQ127*$AC$125*CQ128*CQ$38*'⑫ Roll-out Plan'!$O$18</f>
        <v>190.512</v>
      </c>
      <c r="CR129" s="36" t="n">
        <f aca="false">CR127*$AC$125*CR128*CR$38*'⑫ Roll-out Plan'!$O$18</f>
        <v>322.056</v>
      </c>
      <c r="CS129" s="36" t="n">
        <f aca="false">CS127*$AC$125*CS128*CS$38*'⑫ Roll-out Plan'!$O$18</f>
        <v>268.9344</v>
      </c>
      <c r="CT129" s="36" t="n">
        <f aca="false">CT127*$AC$125*CT128*CT$38*'⑫ Roll-out Plan'!$O$18</f>
        <v>224.9856</v>
      </c>
      <c r="CU129" s="36" t="n">
        <f aca="false">CU127*$AC$125*CU128*CU$38*'⑫ Roll-out Plan'!$O$18</f>
        <v>170.5536</v>
      </c>
      <c r="CV129" s="36" t="n">
        <f aca="false">CV127*$AC$125*CV128*CV$38*'⑫ Roll-out Plan'!$O$18</f>
        <v>244.188</v>
      </c>
      <c r="CW129" s="36" t="n">
        <f aca="false">CW127*$AC$125*CW128*CW$38*'⑫ Roll-out Plan'!$O$18</f>
        <v>258.552</v>
      </c>
      <c r="CX129" s="36" t="n">
        <f aca="false">CX127*$AC$125*CX128*CX$38*'⑫ Roll-out Plan'!$O$18</f>
        <v>200.4408</v>
      </c>
      <c r="CY129" s="36" t="n">
        <f aca="false">CY127*$AC$125*CY128*CY$38*'⑫ Roll-out Plan'!$O$18</f>
        <v>286.4736</v>
      </c>
      <c r="CZ129" s="36" t="n">
        <f aca="false">CZ127*$AC$125*CZ128*CZ$38*'⑫ Roll-out Plan'!$O$18</f>
        <v>274.428</v>
      </c>
      <c r="DA129" s="36" t="n">
        <f aca="false">DA127*$AC$125*DA128*DA$38*'⑫ Roll-out Plan'!$O$18</f>
        <v>231.84</v>
      </c>
      <c r="DB129" s="36" t="n">
        <f aca="false">DB127*$AC$125*DB128*DB$38*'⑫ Roll-out Plan'!$O$18</f>
        <v>201.6</v>
      </c>
      <c r="DC129" s="36" t="n">
        <f aca="false">DC127*$AC$125*DC128*DC$38*'⑫ Roll-out Plan'!$O$18</f>
        <v>211.68</v>
      </c>
      <c r="DD129" s="36" t="n">
        <f aca="false">DD127*$AC$125*DD128*DD$38*'⑫ Roll-out Plan'!$O$18</f>
        <v>357.84</v>
      </c>
      <c r="DE129" s="36" t="n">
        <f aca="false">DE127*$AC$125*DE128*DE$38*'⑫ Roll-out Plan'!$O$18</f>
        <v>292.32</v>
      </c>
      <c r="DF129" s="36" t="n">
        <f aca="false">DF127*$AC$125*DF128*DF$38*'⑫ Roll-out Plan'!$O$18</f>
        <v>241.92</v>
      </c>
      <c r="DG129" s="36" t="n">
        <f aca="false">DG127*$AC$125*DG128*DG$38*'⑫ Roll-out Plan'!$O$18</f>
        <v>181.44</v>
      </c>
      <c r="DH129" s="36" t="n">
        <f aca="false">DH127*$AC$125*DH128*DH$38*'⑫ Roll-out Plan'!$O$18</f>
        <v>257.04</v>
      </c>
      <c r="DI129" s="36" t="n">
        <f aca="false">DI127*$AC$125*DI128*DI$38*'⑫ Roll-out Plan'!$O$18</f>
        <v>272.16</v>
      </c>
      <c r="DJ129" s="36" t="n">
        <f aca="false">DJ127*$AC$125*DJ128*DJ$38*'⑫ Roll-out Plan'!$O$18</f>
        <v>206.64</v>
      </c>
      <c r="DK129" s="36" t="n">
        <f aca="false">DK127*$AC$125*DK128*DK$38*'⑫ Roll-out Plan'!$O$18</f>
        <v>292.32</v>
      </c>
      <c r="DL129" s="36" t="n">
        <f aca="false">DL127*$AC$125*DL128*DL$38*'⑫ Roll-out Plan'!$O$18</f>
        <v>277.2</v>
      </c>
      <c r="DM129" s="36" t="n">
        <f aca="false">DM127*$AC$125*DM128*DM$38*'⑫ Roll-out Plan'!$O$18</f>
        <v>231.84</v>
      </c>
      <c r="DN129" s="36" t="n">
        <f aca="false">DN127*$AC$125*DN128*DN$38*'⑫ Roll-out Plan'!$O$18</f>
        <v>201.6</v>
      </c>
      <c r="DO129" s="36" t="n">
        <f aca="false">DO127*$AC$125*DO128*DO$38*'⑫ Roll-out Plan'!$O$18</f>
        <v>211.68</v>
      </c>
      <c r="DP129" s="36" t="n">
        <f aca="false">DP127*$AC$125*DP128*DP$38*'⑫ Roll-out Plan'!$O$18</f>
        <v>357.84</v>
      </c>
      <c r="DQ129" s="36" t="n">
        <f aca="false">DQ127*$AC$125*DQ128*DQ$38*'⑫ Roll-out Plan'!$O$18</f>
        <v>292.32</v>
      </c>
      <c r="DR129" s="36" t="n">
        <f aca="false">DR127*$AC$125*DR128*DR$38*'⑫ Roll-out Plan'!$O$18</f>
        <v>241.92</v>
      </c>
      <c r="DS129" s="36" t="n">
        <f aca="false">DS127*$AC$125*DS128*DS$38*'⑫ Roll-out Plan'!$O$18</f>
        <v>181.44</v>
      </c>
      <c r="DT129" s="36" t="n">
        <f aca="false">DT127*$AC$125*DT128*DT$38*'⑫ Roll-out Plan'!$O$18</f>
        <v>257.04</v>
      </c>
      <c r="DU129" s="36" t="n">
        <f aca="false">DU127*$AC$125*DU128*DU$38*'⑫ Roll-out Plan'!$O$18</f>
        <v>272.16</v>
      </c>
      <c r="DV129" s="36" t="n">
        <f aca="false">DV127*$AC$125*DV128*DV$38*'⑫ Roll-out Plan'!$O$18</f>
        <v>206.64</v>
      </c>
      <c r="DW129" s="36" t="n">
        <f aca="false">DW127*$AC$125*DW128*DW$38*'⑫ Roll-out Plan'!$O$18</f>
        <v>292.32</v>
      </c>
      <c r="DX129" s="36" t="n">
        <f aca="false">DX127*$AC$125*DX128*DX$38*'⑫ Roll-out Plan'!$O$18</f>
        <v>277.2</v>
      </c>
      <c r="DY129" s="36" t="n">
        <f aca="false">DY127*$AC$125*DY128*DY$38*'⑫ Roll-out Plan'!$O$18</f>
        <v>231.84</v>
      </c>
      <c r="DZ129" s="36" t="n">
        <f aca="false">DZ127*$AC$125*DZ128*DZ$38*'⑫ Roll-out Plan'!$O$18</f>
        <v>201.6</v>
      </c>
      <c r="EA129" s="36" t="n">
        <f aca="false">EA127*$AC$125*EA128*EA$38*'⑫ Roll-out Plan'!$O$18</f>
        <v>211.68</v>
      </c>
      <c r="EB129" s="36" t="n">
        <f aca="false">EB127*$AC$125*EB128*EB$38*'⑫ Roll-out Plan'!$O$18</f>
        <v>357.84</v>
      </c>
      <c r="EC129" s="36" t="n">
        <f aca="false">EC127*$AC$125*EC128*EC$38*'⑫ Roll-out Plan'!$O$18</f>
        <v>292.32</v>
      </c>
      <c r="ED129" s="36" t="n">
        <f aca="false">ED127*$AC$125*ED128*ED$38*'⑫ Roll-out Plan'!$O$18</f>
        <v>241.92</v>
      </c>
      <c r="EE129" s="36" t="n">
        <f aca="false">EE127*$AC$125*EE128*EE$38*'⑫ Roll-out Plan'!$O$18</f>
        <v>181.44</v>
      </c>
      <c r="EF129" s="36" t="n">
        <f aca="false">EF127*$AC$125*EF128*EF$38*'⑫ Roll-out Plan'!$O$18</f>
        <v>257.04</v>
      </c>
      <c r="EG129" s="36" t="n">
        <f aca="false">EG127*$AC$125*EG128*EG$38*'⑫ Roll-out Plan'!$O$18</f>
        <v>272.16</v>
      </c>
      <c r="EH129" s="36" t="n">
        <f aca="false">EH127*$AC$125*EH128*EH$38*'⑫ Roll-out Plan'!$O$18</f>
        <v>206.64</v>
      </c>
      <c r="EI129" s="36" t="n">
        <f aca="false">EI127*$AC$125*EI128*EI$38*'⑫ Roll-out Plan'!$O$18</f>
        <v>292.32</v>
      </c>
      <c r="EJ129" s="36" t="n">
        <f aca="false">EJ127*$AC$125*EJ128*EJ$38*'⑫ Roll-out Plan'!$O$18</f>
        <v>277.2</v>
      </c>
      <c r="EK129" s="36" t="n">
        <f aca="false">EK127*$AC$125*EK128*EK$38*'⑫ Roll-out Plan'!$O$18</f>
        <v>231.84</v>
      </c>
      <c r="EL129" s="36" t="n">
        <f aca="false">EL127*$AC$125*EL128*EL$38*'⑫ Roll-out Plan'!$O$18</f>
        <v>201.6</v>
      </c>
      <c r="EM129" s="36" t="n">
        <f aca="false">EM127*$AC$125*EM128*EM$38*'⑫ Roll-out Plan'!$O$18</f>
        <v>211.68</v>
      </c>
      <c r="EN129" s="36" t="n">
        <f aca="false">EN127*$AC$125*EN128*EN$38*'⑫ Roll-out Plan'!$O$18</f>
        <v>357.84</v>
      </c>
      <c r="EO129" s="36" t="n">
        <f aca="false">EO127*$AC$125*EO128*EO$38*'⑫ Roll-out Plan'!$O$18</f>
        <v>292.32</v>
      </c>
      <c r="EP129" s="36" t="n">
        <f aca="false">EP127*$AC$125*EP128*EP$38*'⑫ Roll-out Plan'!$O$18</f>
        <v>241.92</v>
      </c>
      <c r="EQ129" s="36" t="n">
        <f aca="false">EQ127*$AC$125*EQ128*EQ$38*'⑫ Roll-out Plan'!$O$18</f>
        <v>181.44</v>
      </c>
      <c r="ER129" s="36" t="n">
        <f aca="false">ER127*$AC$125*ER128*ER$38*'⑫ Roll-out Plan'!$O$18</f>
        <v>257.04</v>
      </c>
      <c r="ES129" s="9" t="n">
        <f aca="false">ES127*$AC$125*ES128*ES$38*'⑫ Roll-out Plan'!$O$18</f>
        <v>272.16</v>
      </c>
      <c r="ET129" s="9" t="n">
        <f aca="false">ET127*$AC$125*ET128*ET$38*'⑫ Roll-out Plan'!$O$18</f>
        <v>206.64</v>
      </c>
      <c r="EU129" s="9" t="n">
        <f aca="false">EU127*$AC$125*EU128*EU$38*'⑫ Roll-out Plan'!$O$18</f>
        <v>292.32</v>
      </c>
      <c r="EV129" s="9" t="n">
        <f aca="false">EV127*$AC$125*EV128*EV$38*'⑫ Roll-out Plan'!$O$18</f>
        <v>277.2</v>
      </c>
      <c r="EW129" s="9" t="n">
        <f aca="false">EW127*$AC$125*EW128*EW$38*'⑫ Roll-out Plan'!$O$18</f>
        <v>231.84</v>
      </c>
      <c r="EX129" s="9" t="n">
        <f aca="false">EX127*$AC$125*EX128*EX$38*'⑫ Roll-out Plan'!$O$18</f>
        <v>201.6</v>
      </c>
      <c r="EY129" s="9" t="n">
        <f aca="false">EY127*$AC$125*EY128*EY$38*'⑫ Roll-out Plan'!$O$18</f>
        <v>211.68</v>
      </c>
      <c r="EZ129" s="9" t="n">
        <f aca="false">EZ127*$AC$125*EZ128*EZ$38*'⑫ Roll-out Plan'!$O$18</f>
        <v>357.84</v>
      </c>
      <c r="FA129" s="9" t="n">
        <f aca="false">FA127*$AC$125*FA128*FA$38*'⑫ Roll-out Plan'!$O$18</f>
        <v>292.32</v>
      </c>
      <c r="FB129" s="9" t="n">
        <f aca="false">FB127*$AC$125*FB128*FB$38*'⑫ Roll-out Plan'!$O$18</f>
        <v>241.92</v>
      </c>
      <c r="FC129" s="9" t="n">
        <f aca="false">FC127*$AC$125*FC128*FC$38*'⑫ Roll-out Plan'!$O$18</f>
        <v>181.44</v>
      </c>
      <c r="FD129" s="9" t="n">
        <f aca="false">FD127*$AC$125*FD128*FD$38*'⑫ Roll-out Plan'!$O$18</f>
        <v>257.04</v>
      </c>
      <c r="FE129" s="9" t="n">
        <f aca="false">FE127*$AC$125*FE128*FE$38*'⑫ Roll-out Plan'!$O$18</f>
        <v>272.16</v>
      </c>
      <c r="FF129" s="9" t="n">
        <f aca="false">FF127*$AC$125*FF128*FF$38*'⑫ Roll-out Plan'!$O$18</f>
        <v>206.64</v>
      </c>
      <c r="FG129" s="9" t="n">
        <f aca="false">FG127*$AC$125*FG128*FG$38*'⑫ Roll-out Plan'!$O$18</f>
        <v>292.32</v>
      </c>
      <c r="FH129" s="9" t="n">
        <f aca="false">FH127*$AC$125*FH128*FH$38*'⑫ Roll-out Plan'!$O$18</f>
        <v>277.2</v>
      </c>
      <c r="FI129" s="9" t="n">
        <f aca="false">FI127*$AC$125*FI128*FI$38*'⑫ Roll-out Plan'!$O$18</f>
        <v>231.84</v>
      </c>
      <c r="FJ129" s="9" t="n">
        <f aca="false">FJ127*$AC$125*FJ128*FJ$38*'⑫ Roll-out Plan'!$O$18</f>
        <v>201.6</v>
      </c>
      <c r="FK129" s="9" t="n">
        <f aca="false">FK127*$AC$125*FK128*FK$38*'⑫ Roll-out Plan'!$O$18</f>
        <v>211.68</v>
      </c>
      <c r="FL129" s="9" t="n">
        <f aca="false">FL127*$AC$125*FL128*FL$38*'⑫ Roll-out Plan'!$O$18</f>
        <v>357.84</v>
      </c>
      <c r="FM129" s="9" t="n">
        <f aca="false">FM127*$AC$125*FM128*FM$38*'⑫ Roll-out Plan'!$O$18</f>
        <v>292.32</v>
      </c>
      <c r="FN129" s="9" t="n">
        <f aca="false">FN127*$AC$125*FN128*FN$38*'⑫ Roll-out Plan'!$O$18</f>
        <v>241.92</v>
      </c>
      <c r="FO129" s="9" t="n">
        <f aca="false">FO127*$AC$125*FO128*FO$38*'⑫ Roll-out Plan'!$O$18</f>
        <v>181.44</v>
      </c>
      <c r="FP129" s="9" t="n">
        <f aca="false">FP127*$AC$125*FP128*FP$38*'⑫ Roll-out Plan'!$O$18</f>
        <v>257.04</v>
      </c>
    </row>
    <row r="130" customFormat="false" ht="15" hidden="false" customHeight="false" outlineLevel="2" collapsed="false">
      <c r="B130" s="9" t="s">
        <v>877</v>
      </c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112" t="n">
        <f aca="true">IFERROR(SUMPRODUCT(OFFSET($BJ$31,0,1-MIN(60,COLUMN()-29),1,MIN(60,COLUMN()-29)),OFFSET(AC129,0,-MIN(60,COLUMN()-29),1,MIN(60,COLUMN()-29))),0)</f>
        <v>0</v>
      </c>
      <c r="AD130" s="112" t="n">
        <f aca="true">IFERROR(SUMPRODUCT(OFFSET($BJ$31,0,1-MIN(60,COLUMN()-29),1,MIN(60,COLUMN()-29)),OFFSET(AD129,0,-MIN(60,COLUMN()-29),1,MIN(60,COLUMN()-29))),0)</f>
        <v>0</v>
      </c>
      <c r="AE130" s="112" t="n">
        <f aca="true">IFERROR(SUMPRODUCT(OFFSET($BJ$31,0,1-MIN(60,COLUMN()-29),1,MIN(60,COLUMN()-29)),OFFSET(AE129,0,-MIN(60,COLUMN()-29),1,MIN(60,COLUMN()-29))),0)</f>
        <v>0</v>
      </c>
      <c r="AF130" s="112" t="n">
        <f aca="true">IFERROR(SUMPRODUCT(OFFSET($BJ$31,0,1-MIN(60,COLUMN()-29),1,MIN(60,COLUMN()-29)),OFFSET(AF129,0,-MIN(60,COLUMN()-29),1,MIN(60,COLUMN()-29))),0)</f>
        <v>0</v>
      </c>
      <c r="AG130" s="112" t="n">
        <f aca="true">IFERROR(SUMPRODUCT(OFFSET($BJ$31,0,1-MIN(60,COLUMN()-29),1,MIN(60,COLUMN()-29)),OFFSET(AG129,0,-MIN(60,COLUMN()-29),1,MIN(60,COLUMN()-29))),0)</f>
        <v>0</v>
      </c>
      <c r="AH130" s="112" t="n">
        <f aca="true">IFERROR(SUMPRODUCT(OFFSET($BJ$31,0,1-MIN(60,COLUMN()-29),1,MIN(60,COLUMN()-29)),OFFSET(AH129,0,-MIN(60,COLUMN()-29),1,MIN(60,COLUMN()-29))),0)</f>
        <v>0</v>
      </c>
      <c r="AI130" s="112" t="n">
        <f aca="true">IFERROR(SUMPRODUCT(OFFSET($BJ$31,0,1-MIN(60,COLUMN()-29),1,MIN(60,COLUMN()-29)),OFFSET(AI129,0,-MIN(60,COLUMN()-29),1,MIN(60,COLUMN()-29))),0)</f>
        <v>0</v>
      </c>
      <c r="AJ130" s="112" t="n">
        <f aca="true">IFERROR(SUMPRODUCT(OFFSET($BJ$31,0,1-MIN(60,COLUMN()-29),1,MIN(60,COLUMN()-29)),OFFSET(AJ129,0,-MIN(60,COLUMN()-29),1,MIN(60,COLUMN()-29))),0)</f>
        <v>0</v>
      </c>
      <c r="AK130" s="112" t="n">
        <f aca="true">IFERROR(SUMPRODUCT(OFFSET($BJ$31,0,1-MIN(60,COLUMN()-29),1,MIN(60,COLUMN()-29)),OFFSET(AK129,0,-MIN(60,COLUMN()-29),1,MIN(60,COLUMN()-29))),0)</f>
        <v>0</v>
      </c>
      <c r="AL130" s="112" t="n">
        <f aca="true">IFERROR(SUMPRODUCT(OFFSET($BJ$31,0,1-MIN(60,COLUMN()-29),1,MIN(60,COLUMN()-29)),OFFSET(AL129,0,-MIN(60,COLUMN()-29),1,MIN(60,COLUMN()-29))),0)</f>
        <v>0</v>
      </c>
      <c r="AM130" s="112" t="n">
        <f aca="true">IFERROR(SUMPRODUCT(OFFSET($BJ$31,0,1-MIN(60,COLUMN()-29),1,MIN(60,COLUMN()-29)),OFFSET(AM129,0,-MIN(60,COLUMN()-29),1,MIN(60,COLUMN()-29))),0)</f>
        <v>0</v>
      </c>
      <c r="AN130" s="112" t="n">
        <f aca="true">IFERROR(SUMPRODUCT(OFFSET($BJ$31,0,1-MIN(60,COLUMN()-29),1,MIN(60,COLUMN()-29)),OFFSET(AN129,0,-MIN(60,COLUMN()-29),1,MIN(60,COLUMN()-29))),0)</f>
        <v>0</v>
      </c>
      <c r="AO130" s="112" t="n">
        <f aca="true">IFERROR(SUMPRODUCT(OFFSET($BJ$31,0,1-MIN(60,COLUMN()-29),1,MIN(60,COLUMN()-29)),OFFSET(AO129,0,-MIN(60,COLUMN()-29),1,MIN(60,COLUMN()-29))),0)</f>
        <v>0</v>
      </c>
      <c r="AP130" s="112" t="n">
        <f aca="true">IFERROR(SUMPRODUCT(OFFSET($BJ$31,0,1-MIN(60,COLUMN()-29),1,MIN(60,COLUMN()-29)),OFFSET(AP129,0,-MIN(60,COLUMN()-29),1,MIN(60,COLUMN()-29))),0)</f>
        <v>0</v>
      </c>
      <c r="AQ130" s="112" t="n">
        <f aca="true">IFERROR(SUMPRODUCT(OFFSET($BJ$31,0,1-MIN(60,COLUMN()-29),1,MIN(60,COLUMN()-29)),OFFSET(AQ129,0,-MIN(60,COLUMN()-29),1,MIN(60,COLUMN()-29))),0)</f>
        <v>0</v>
      </c>
      <c r="AR130" s="112" t="n">
        <f aca="true">IFERROR(SUMPRODUCT(OFFSET($BJ$31,0,1-MIN(60,COLUMN()-29),1,MIN(60,COLUMN()-29)),OFFSET(AR129,0,-MIN(60,COLUMN()-29),1,MIN(60,COLUMN()-29))),0)</f>
        <v>0</v>
      </c>
      <c r="AS130" s="112" t="n">
        <f aca="true">IFERROR(SUMPRODUCT(OFFSET($BJ$31,0,1-MIN(60,COLUMN()-29),1,MIN(60,COLUMN()-29)),OFFSET(AS129,0,-MIN(60,COLUMN()-29),1,MIN(60,COLUMN()-29))),0)</f>
        <v>0</v>
      </c>
      <c r="AT130" s="112" t="n">
        <f aca="true">IFERROR(SUMPRODUCT(OFFSET($BJ$31,0,1-MIN(60,COLUMN()-29),1,MIN(60,COLUMN()-29)),OFFSET(AT129,0,-MIN(60,COLUMN()-29),1,MIN(60,COLUMN()-29))),0)</f>
        <v>0</v>
      </c>
      <c r="AU130" s="112" t="n">
        <f aca="true">IFERROR(SUMPRODUCT(OFFSET($BJ$31,0,1-MIN(60,COLUMN()-29),1,MIN(60,COLUMN()-29)),OFFSET(AU129,0,-MIN(60,COLUMN()-29),1,MIN(60,COLUMN()-29))),0)</f>
        <v>0</v>
      </c>
      <c r="AV130" s="112" t="n">
        <f aca="true">IFERROR(SUMPRODUCT(OFFSET($BJ$31,0,1-MIN(60,COLUMN()-29),1,MIN(60,COLUMN()-29)),OFFSET(AV129,0,-MIN(60,COLUMN()-29),1,MIN(60,COLUMN()-29))),0)</f>
        <v>0</v>
      </c>
      <c r="AW130" s="112" t="n">
        <f aca="true">IFERROR(SUMPRODUCT(OFFSET($BJ$31,0,1-MIN(60,COLUMN()-29),1,MIN(60,COLUMN()-29)),OFFSET(AW129,0,-MIN(60,COLUMN()-29),1,MIN(60,COLUMN()-29))),0)</f>
        <v>0</v>
      </c>
      <c r="AX130" s="112" t="n">
        <f aca="true">IFERROR(SUMPRODUCT(OFFSET($BJ$31,0,1-MIN(60,COLUMN()-29),1,MIN(60,COLUMN()-29)),OFFSET(AX129,0,-MIN(60,COLUMN()-29),1,MIN(60,COLUMN()-29))),0)</f>
        <v>0</v>
      </c>
      <c r="AY130" s="112" t="n">
        <f aca="true">IFERROR(SUMPRODUCT(OFFSET($BJ$31,0,1-MIN(60,COLUMN()-29),1,MIN(60,COLUMN()-29)),OFFSET(AY129,0,-MIN(60,COLUMN()-29),1,MIN(60,COLUMN()-29))),0)</f>
        <v>0</v>
      </c>
      <c r="AZ130" s="112" t="n">
        <f aca="true">IFERROR(SUMPRODUCT(OFFSET($BJ$31,0,1-MIN(60,COLUMN()-29),1,MIN(60,COLUMN()-29)),OFFSET(AZ129,0,-MIN(60,COLUMN()-29),1,MIN(60,COLUMN()-29))),0)</f>
        <v>0</v>
      </c>
      <c r="BA130" s="112" t="n">
        <f aca="true">IFERROR(SUMPRODUCT(OFFSET($BJ$31,0,1-MIN(60,COLUMN()-29),1,MIN(60,COLUMN()-29)),OFFSET(BA129,0,-MIN(60,COLUMN()-29),1,MIN(60,COLUMN()-29))),0)</f>
        <v>0</v>
      </c>
      <c r="BB130" s="112" t="n">
        <f aca="true">IFERROR(SUMPRODUCT(OFFSET($BJ$31,0,1-MIN(60,COLUMN()-29),1,MIN(60,COLUMN()-29)),OFFSET(BB129,0,-MIN(60,COLUMN()-29),1,MIN(60,COLUMN()-29))),0)</f>
        <v>0</v>
      </c>
      <c r="BC130" s="112" t="n">
        <f aca="true">IFERROR(SUMPRODUCT(OFFSET($BJ$31,0,1-MIN(60,COLUMN()-29),1,MIN(60,COLUMN()-29)),OFFSET(BC129,0,-MIN(60,COLUMN()-29),1,MIN(60,COLUMN()-29))),0)</f>
        <v>0</v>
      </c>
      <c r="BD130" s="112" t="n">
        <f aca="true">IFERROR(SUMPRODUCT(OFFSET($BJ$31,0,1-MIN(60,COLUMN()-29),1,MIN(60,COLUMN()-29)),OFFSET(BD129,0,-MIN(60,COLUMN()-29),1,MIN(60,COLUMN()-29))),0)</f>
        <v>0</v>
      </c>
      <c r="BE130" s="112" t="n">
        <f aca="true">IFERROR(SUMPRODUCT(OFFSET($BJ$31,0,1-MIN(60,COLUMN()-29),1,MIN(60,COLUMN()-29)),OFFSET(BE129,0,-MIN(60,COLUMN()-29),1,MIN(60,COLUMN()-29))),0)</f>
        <v>0</v>
      </c>
      <c r="BF130" s="112" t="n">
        <f aca="true">IFERROR(SUMPRODUCT(OFFSET($BJ$31,0,1-MIN(60,COLUMN()-29),1,MIN(60,COLUMN()-29)),OFFSET(BF129,0,-MIN(60,COLUMN()-29),1,MIN(60,COLUMN()-29))),0)</f>
        <v>0</v>
      </c>
      <c r="BG130" s="112" t="n">
        <f aca="true">IFERROR(SUMPRODUCT(OFFSET($BJ$31,0,1-MIN(60,COLUMN()-29),1,MIN(60,COLUMN()-29)),OFFSET(BG129,0,-MIN(60,COLUMN()-29),1,MIN(60,COLUMN()-29))),0)</f>
        <v>0</v>
      </c>
      <c r="BH130" s="112" t="n">
        <f aca="true">IFERROR(SUMPRODUCT(OFFSET($BJ$31,0,1-MIN(60,COLUMN()-29),1,MIN(60,COLUMN()-29)),OFFSET(BH129,0,-MIN(60,COLUMN()-29),1,MIN(60,COLUMN()-29))),0)</f>
        <v>0</v>
      </c>
      <c r="BI130" s="112" t="n">
        <f aca="true">IFERROR(SUMPRODUCT(OFFSET($BJ$31,0,1-MIN(60,COLUMN()-29),1,MIN(60,COLUMN()-29)),OFFSET(BI129,0,-MIN(60,COLUMN()-29),1,MIN(60,COLUMN()-29))),0)</f>
        <v>0</v>
      </c>
      <c r="BJ130" s="112" t="n">
        <f aca="true">IFERROR(SUMPRODUCT(OFFSET($BJ$31,0,1-MIN(60,COLUMN()-29),1,MIN(60,COLUMN()-29)),OFFSET(BJ129,0,-MIN(60,COLUMN()-29),1,MIN(60,COLUMN()-29))),0)</f>
        <v>0</v>
      </c>
      <c r="BK130" s="112" t="n">
        <f aca="true">IFERROR(SUMPRODUCT(OFFSET($BJ$31,0,1-MIN(60,COLUMN()-29),1,MIN(60,COLUMN()-29)),OFFSET(BK129,0,-MIN(60,COLUMN()-29),1,MIN(60,COLUMN()-29))),0)</f>
        <v>5.16096</v>
      </c>
      <c r="BL130" s="112" t="n">
        <f aca="true">IFERROR(SUMPRODUCT(OFFSET($BJ$31,0,1-MIN(60,COLUMN()-29),1,MIN(60,COLUMN()-29)),OFFSET(BL129,0,-MIN(60,COLUMN()-29),1,MIN(60,COLUMN()-29))),0)</f>
        <v>4.967424</v>
      </c>
      <c r="BM130" s="112" t="n">
        <f aca="true">IFERROR(SUMPRODUCT(OFFSET($BJ$31,0,1-MIN(60,COLUMN()-29),1,MIN(60,COLUMN()-29)),OFFSET(BM129,0,-MIN(60,COLUMN()-29),1,MIN(60,COLUMN()-29))),0)</f>
        <v>8.0688384</v>
      </c>
      <c r="BN130" s="112" t="n">
        <f aca="true">IFERROR(SUMPRODUCT(OFFSET($BJ$31,0,1-MIN(60,COLUMN()-29),1,MIN(60,COLUMN()-29)),OFFSET(BN129,0,-MIN(60,COLUMN()-29),1,MIN(60,COLUMN()-29))),0)</f>
        <v>10.0041984</v>
      </c>
      <c r="BO130" s="112" t="n">
        <f aca="true">IFERROR(SUMPRODUCT(OFFSET($BJ$31,0,1-MIN(60,COLUMN()-29),1,MIN(60,COLUMN()-29)),OFFSET(BO129,0,-MIN(60,COLUMN()-29),1,MIN(60,COLUMN()-29))),0)</f>
        <v>8.993376</v>
      </c>
      <c r="BP130" s="112" t="n">
        <f aca="true">IFERROR(SUMPRODUCT(OFFSET($BJ$31,0,1-MIN(60,COLUMN()-29),1,MIN(60,COLUMN()-29)),OFFSET(BP129,0,-MIN(60,COLUMN()-29),1,MIN(60,COLUMN()-29))),0)</f>
        <v>13.0269216</v>
      </c>
      <c r="BQ130" s="112" t="n">
        <f aca="true">IFERROR(SUMPRODUCT(OFFSET($BJ$31,0,1-MIN(60,COLUMN()-29),1,MIN(60,COLUMN()-29)),OFFSET(BQ129,0,-MIN(60,COLUMN()-29),1,MIN(60,COLUMN()-29))),0)</f>
        <v>14.801472</v>
      </c>
      <c r="BR130" s="112" t="n">
        <f aca="true">IFERROR(SUMPRODUCT(OFFSET($BJ$31,0,1-MIN(60,COLUMN()-29),1,MIN(60,COLUMN()-29)),OFFSET(BR129,0,-MIN(60,COLUMN()-29),1,MIN(60,COLUMN()-29))),0)</f>
        <v>14.9145696</v>
      </c>
      <c r="BS130" s="112" t="n">
        <f aca="true">IFERROR(SUMPRODUCT(OFFSET($BJ$31,0,1-MIN(60,COLUMN()-29),1,MIN(60,COLUMN()-29)),OFFSET(BS129,0,-MIN(60,COLUMN()-29),1,MIN(60,COLUMN()-29))),0)</f>
        <v>15.675072</v>
      </c>
      <c r="BT130" s="112" t="n">
        <f aca="true">IFERROR(SUMPRODUCT(OFFSET($BJ$31,0,1-MIN(60,COLUMN()-29),1,MIN(60,COLUMN()-29)),OFFSET(BT129,0,-MIN(60,COLUMN()-29),1,MIN(60,COLUMN()-29))),0)</f>
        <v>17.1621408</v>
      </c>
      <c r="BU130" s="112" t="n">
        <f aca="true">IFERROR(SUMPRODUCT(OFFSET($BJ$31,0,1-MIN(60,COLUMN()-29),1,MIN(60,COLUMN()-29)),OFFSET(BU129,0,-MIN(60,COLUMN()-29),1,MIN(60,COLUMN()-29))),0)</f>
        <v>25.6921728</v>
      </c>
      <c r="BV130" s="112" t="n">
        <f aca="true">IFERROR(SUMPRODUCT(OFFSET($BJ$31,0,1-MIN(60,COLUMN()-29),1,MIN(60,COLUMN()-29)),OFFSET(BV129,0,-MIN(60,COLUMN()-29),1,MIN(60,COLUMN()-29))),0)</f>
        <v>26.6566272</v>
      </c>
      <c r="BW130" s="112" t="n">
        <f aca="true">IFERROR(SUMPRODUCT(OFFSET($BJ$31,0,1-MIN(60,COLUMN()-29),1,MIN(60,COLUMN()-29)),OFFSET(BW129,0,-MIN(60,COLUMN()-29),1,MIN(60,COLUMN()-29))),0)</f>
        <v>27.619872</v>
      </c>
      <c r="BX130" s="112" t="n">
        <f aca="true">IFERROR(SUMPRODUCT(OFFSET($BJ$31,0,1-MIN(60,COLUMN()-29),1,MIN(60,COLUMN()-29)),OFFSET(BX129,0,-MIN(60,COLUMN()-29),1,MIN(60,COLUMN()-29))),0)</f>
        <v>25.7222784</v>
      </c>
      <c r="BY130" s="112" t="n">
        <f aca="true">IFERROR(SUMPRODUCT(OFFSET($BJ$31,0,1-MIN(60,COLUMN()-29),1,MIN(60,COLUMN()-29)),OFFSET(BY129,0,-MIN(60,COLUMN()-29),1,MIN(60,COLUMN()-29))),0)</f>
        <v>32.0419008</v>
      </c>
      <c r="BZ130" s="112" t="n">
        <f aca="true">IFERROR(SUMPRODUCT(OFFSET($BJ$31,0,1-MIN(60,COLUMN()-29),1,MIN(60,COLUMN()-29)),OFFSET(BZ129,0,-MIN(60,COLUMN()-29),1,MIN(60,COLUMN()-29))),0)</f>
        <v>38.2648896</v>
      </c>
      <c r="CA130" s="112" t="n">
        <f aca="true">IFERROR(SUMPRODUCT(OFFSET($BJ$31,0,1-MIN(60,COLUMN()-29),1,MIN(60,COLUMN()-29)),OFFSET(CA129,0,-MIN(60,COLUMN()-29),1,MIN(60,COLUMN()-29))),0)</f>
        <v>37.56751488</v>
      </c>
      <c r="CB130" s="112" t="n">
        <f aca="true">IFERROR(SUMPRODUCT(OFFSET($BJ$31,0,1-MIN(60,COLUMN()-29),1,MIN(60,COLUMN()-29)),OFFSET(CB129,0,-MIN(60,COLUMN()-29),1,MIN(60,COLUMN()-29))),0)</f>
        <v>48.75614016</v>
      </c>
      <c r="CC130" s="112" t="n">
        <f aca="true">IFERROR(SUMPRODUCT(OFFSET($BJ$31,0,1-MIN(60,COLUMN()-29),1,MIN(60,COLUMN()-29)),OFFSET(CC129,0,-MIN(60,COLUMN()-29),1,MIN(60,COLUMN()-29))),0)</f>
        <v>51.47838528</v>
      </c>
      <c r="CD130" s="112" t="n">
        <f aca="true">IFERROR(SUMPRODUCT(OFFSET($BJ$31,0,1-MIN(60,COLUMN()-29),1,MIN(60,COLUMN()-29)),OFFSET(CD129,0,-MIN(60,COLUMN()-29),1,MIN(60,COLUMN()-29))),0)</f>
        <v>51.29848752</v>
      </c>
      <c r="CE130" s="112" t="n">
        <f aca="true">IFERROR(SUMPRODUCT(OFFSET($BJ$31,0,1-MIN(60,COLUMN()-29),1,MIN(60,COLUMN()-29)),OFFSET(CE129,0,-MIN(60,COLUMN()-29),1,MIN(60,COLUMN()-29))),0)</f>
        <v>51.02897016</v>
      </c>
      <c r="CF130" s="112" t="n">
        <f aca="true">IFERROR(SUMPRODUCT(OFFSET($BJ$31,0,1-MIN(60,COLUMN()-29),1,MIN(60,COLUMN()-29)),OFFSET(CF129,0,-MIN(60,COLUMN()-29),1,MIN(60,COLUMN()-29))),0)</f>
        <v>56.33845896</v>
      </c>
      <c r="CG130" s="112" t="n">
        <f aca="true">IFERROR(SUMPRODUCT(OFFSET($BJ$31,0,1-MIN(60,COLUMN()-29),1,MIN(60,COLUMN()-29)),OFFSET(CG129,0,-MIN(60,COLUMN()-29),1,MIN(60,COLUMN()-29))),0)</f>
        <v>74.743872</v>
      </c>
      <c r="CH130" s="112" t="n">
        <f aca="true">IFERROR(SUMPRODUCT(OFFSET($BJ$31,0,1-MIN(60,COLUMN()-29),1,MIN(60,COLUMN()-29)),OFFSET(CH129,0,-MIN(60,COLUMN()-29),1,MIN(60,COLUMN()-29))),0)</f>
        <v>74.70169392</v>
      </c>
      <c r="CI130" s="112" t="n">
        <f aca="true">IFERROR(SUMPRODUCT(OFFSET($BJ$31,0,1-MIN(60,COLUMN()-29),1,MIN(60,COLUMN()-29)),OFFSET(CI129,0,-MIN(60,COLUMN()-29),1,MIN(60,COLUMN()-29))),0)</f>
        <v>73.70181168</v>
      </c>
      <c r="CJ130" s="112" t="n">
        <f aca="true">IFERROR(SUMPRODUCT(OFFSET($BJ$31,0,1-MIN(60,COLUMN()-29),1,MIN(60,COLUMN()-29)),OFFSET(CJ129,0,-MIN(60,COLUMN()-29),1,MIN(60,COLUMN()-29))),0)</f>
        <v>69.96402672</v>
      </c>
      <c r="CK130" s="112" t="n">
        <f aca="true">IFERROR(SUMPRODUCT(OFFSET($BJ$31,0,1-MIN(60,COLUMN()-29),1,MIN(60,COLUMN()-29)),OFFSET(CK129,0,-MIN(60,COLUMN()-29),1,MIN(60,COLUMN()-29))),0)</f>
        <v>83.99759088</v>
      </c>
      <c r="CL130" s="112" t="n">
        <f aca="true">IFERROR(SUMPRODUCT(OFFSET($BJ$31,0,1-MIN(60,COLUMN()-29),1,MIN(60,COLUMN()-29)),OFFSET(CL129,0,-MIN(60,COLUMN()-29),1,MIN(60,COLUMN()-29))),0)</f>
        <v>90.29120688</v>
      </c>
      <c r="CM130" s="112" t="n">
        <f aca="true">IFERROR(SUMPRODUCT(OFFSET($BJ$31,0,1-MIN(60,COLUMN()-29),1,MIN(60,COLUMN()-29)),OFFSET(CM129,0,-MIN(60,COLUMN()-29),1,MIN(60,COLUMN()-29))),0)</f>
        <v>89.87236272</v>
      </c>
      <c r="CN130" s="112" t="n">
        <f aca="true">IFERROR(SUMPRODUCT(OFFSET($BJ$31,0,1-MIN(60,COLUMN()-29),1,MIN(60,COLUMN()-29)),OFFSET(CN129,0,-MIN(60,COLUMN()-29),1,MIN(60,COLUMN()-29))),0)</f>
        <v>103.64132016</v>
      </c>
      <c r="CO130" s="112" t="n">
        <f aca="true">IFERROR(SUMPRODUCT(OFFSET($BJ$31,0,1-MIN(60,COLUMN()-29),1,MIN(60,COLUMN()-29)),OFFSET(CO129,0,-MIN(60,COLUMN()-29),1,MIN(60,COLUMN()-29))),0)</f>
        <v>106.91475984</v>
      </c>
      <c r="CP130" s="112" t="n">
        <f aca="true">IFERROR(SUMPRODUCT(OFFSET($BJ$31,0,1-MIN(60,COLUMN()-29),1,MIN(60,COLUMN()-29)),OFFSET(CP129,0,-MIN(60,COLUMN()-29),1,MIN(60,COLUMN()-29))),0)</f>
        <v>108.34400304</v>
      </c>
      <c r="CQ130" s="112" t="n">
        <f aca="true">IFERROR(SUMPRODUCT(OFFSET($BJ$31,0,1-MIN(60,COLUMN()-29),1,MIN(60,COLUMN()-29)),OFFSET(CQ129,0,-MIN(60,COLUMN()-29),1,MIN(60,COLUMN()-29))),0)</f>
        <v>108.72831312</v>
      </c>
      <c r="CR130" s="112" t="n">
        <f aca="true">IFERROR(SUMPRODUCT(OFFSET($BJ$31,0,1-MIN(60,COLUMN()-29),1,MIN(60,COLUMN()-29)),OFFSET(CR129,0,-MIN(60,COLUMN()-29),1,MIN(60,COLUMN()-29))),0)</f>
        <v>117.4955544</v>
      </c>
      <c r="CS130" s="112" t="n">
        <f aca="true">IFERROR(SUMPRODUCT(OFFSET($BJ$31,0,1-MIN(60,COLUMN()-29),1,MIN(60,COLUMN()-29)),OFFSET(CS129,0,-MIN(60,COLUMN()-29),1,MIN(60,COLUMN()-29))),0)</f>
        <v>141.08238144</v>
      </c>
      <c r="CT130" s="112" t="n">
        <f aca="true">IFERROR(SUMPRODUCT(OFFSET($BJ$31,0,1-MIN(60,COLUMN()-29),1,MIN(60,COLUMN()-29)),OFFSET(CT129,0,-MIN(60,COLUMN()-29),1,MIN(60,COLUMN()-29))),0)</f>
        <v>141.72788448</v>
      </c>
      <c r="CU130" s="112" t="n">
        <f aca="true">IFERROR(SUMPRODUCT(OFFSET($BJ$31,0,1-MIN(60,COLUMN()-29),1,MIN(60,COLUMN()-29)),OFFSET(CU129,0,-MIN(60,COLUMN()-29),1,MIN(60,COLUMN()-29))),0)</f>
        <v>140.63472864</v>
      </c>
      <c r="CV130" s="112" t="n">
        <f aca="true">IFERROR(SUMPRODUCT(OFFSET($BJ$31,0,1-MIN(60,COLUMN()-29),1,MIN(60,COLUMN()-29)),OFFSET(CV129,0,-MIN(60,COLUMN()-29),1,MIN(60,COLUMN()-29))),0)</f>
        <v>137.42495424</v>
      </c>
      <c r="CW130" s="112" t="n">
        <f aca="true">IFERROR(SUMPRODUCT(OFFSET($BJ$31,0,1-MIN(60,COLUMN()-29),1,MIN(60,COLUMN()-29)),OFFSET(CW129,0,-MIN(60,COLUMN()-29),1,MIN(60,COLUMN()-29))),0)</f>
        <v>155.57912496</v>
      </c>
      <c r="CX130" s="112" t="n">
        <f aca="true">IFERROR(SUMPRODUCT(OFFSET($BJ$31,0,1-MIN(60,COLUMN()-29),1,MIN(60,COLUMN()-29)),OFFSET(CX129,0,-MIN(60,COLUMN()-29),1,MIN(60,COLUMN()-29))),0)</f>
        <v>162.71659152</v>
      </c>
      <c r="CY130" s="112" t="n">
        <f aca="true">IFERROR(SUMPRODUCT(OFFSET($BJ$31,0,1-MIN(60,COLUMN()-29),1,MIN(60,COLUMN()-29)),OFFSET(CY129,0,-MIN(60,COLUMN()-29),1,MIN(60,COLUMN()-29))),0)</f>
        <v>163.39380624</v>
      </c>
      <c r="CZ130" s="112" t="n">
        <f aca="true">IFERROR(SUMPRODUCT(OFFSET($BJ$31,0,1-MIN(60,COLUMN()-29),1,MIN(60,COLUMN()-29)),OFFSET(CZ129,0,-MIN(60,COLUMN()-29),1,MIN(60,COLUMN()-29))),0)</f>
        <v>179.94742416</v>
      </c>
      <c r="DA130" s="112" t="n">
        <f aca="true">IFERROR(SUMPRODUCT(OFFSET($BJ$31,0,1-MIN(60,COLUMN()-29),1,MIN(60,COLUMN()-29)),OFFSET(DA129,0,-MIN(60,COLUMN()-29),1,MIN(60,COLUMN()-29))),0)</f>
        <v>184.94075376</v>
      </c>
      <c r="DB130" s="112" t="n">
        <f aca="true">IFERROR(SUMPRODUCT(OFFSET($BJ$31,0,1-MIN(60,COLUMN()-29),1,MIN(60,COLUMN()-29)),OFFSET(DB129,0,-MIN(60,COLUMN()-29),1,MIN(60,COLUMN()-29))),0)</f>
        <v>186.83232624</v>
      </c>
      <c r="DC130" s="112" t="n">
        <f aca="true">IFERROR(SUMPRODUCT(OFFSET($BJ$31,0,1-MIN(60,COLUMN()-29),1,MIN(60,COLUMN()-29)),OFFSET(DC129,0,-MIN(60,COLUMN()-29),1,MIN(60,COLUMN()-29))),0)</f>
        <v>187.22003328</v>
      </c>
      <c r="DD130" s="112" t="n">
        <f aca="true">IFERROR(SUMPRODUCT(OFFSET($BJ$31,0,1-MIN(60,COLUMN()-29),1,MIN(60,COLUMN()-29)),OFFSET(DD129,0,-MIN(60,COLUMN()-29),1,MIN(60,COLUMN()-29))),0)</f>
        <v>197.06639904</v>
      </c>
      <c r="DE130" s="112" t="n">
        <f aca="true">IFERROR(SUMPRODUCT(OFFSET($BJ$31,0,1-MIN(60,COLUMN()-29),1,MIN(60,COLUMN()-29)),OFFSET(DE129,0,-MIN(60,COLUMN()-29),1,MIN(60,COLUMN()-29))),0)</f>
        <v>223.54242624</v>
      </c>
      <c r="DF130" s="112" t="n">
        <f aca="true">IFERROR(SUMPRODUCT(OFFSET($BJ$31,0,1-MIN(60,COLUMN()-29),1,MIN(60,COLUMN()-29)),OFFSET(DF129,0,-MIN(60,COLUMN()-29),1,MIN(60,COLUMN()-29))),0)</f>
        <v>223.79120064</v>
      </c>
      <c r="DG130" s="112" t="n">
        <f aca="true">IFERROR(SUMPRODUCT(OFFSET($BJ$31,0,1-MIN(60,COLUMN()-29),1,MIN(60,COLUMN()-29)),OFFSET(DG129,0,-MIN(60,COLUMN()-29),1,MIN(60,COLUMN()-29))),0)</f>
        <v>221.85567936</v>
      </c>
      <c r="DH130" s="112" t="n">
        <f aca="true">IFERROR(SUMPRODUCT(OFFSET($BJ$31,0,1-MIN(60,COLUMN()-29),1,MIN(60,COLUMN()-29)),OFFSET(DH129,0,-MIN(60,COLUMN()-29),1,MIN(60,COLUMN()-29))),0)</f>
        <v>217.84601664</v>
      </c>
      <c r="DI130" s="112" t="n">
        <f aca="true">IFERROR(SUMPRODUCT(OFFSET($BJ$31,0,1-MIN(60,COLUMN()-29),1,MIN(60,COLUMN()-29)),OFFSET(DI129,0,-MIN(60,COLUMN()-29),1,MIN(60,COLUMN()-29))),0)</f>
        <v>236.61971424</v>
      </c>
      <c r="DJ130" s="112" t="n">
        <f aca="true">IFERROR(SUMPRODUCT(OFFSET($BJ$31,0,1-MIN(60,COLUMN()-29),1,MIN(60,COLUMN()-29)),OFFSET(DJ129,0,-MIN(60,COLUMN()-29),1,MIN(60,COLUMN()-29))),0)</f>
        <v>243.40551984</v>
      </c>
      <c r="DK130" s="112" t="n">
        <f aca="true">IFERROR(SUMPRODUCT(OFFSET($BJ$31,0,1-MIN(60,COLUMN()-29),1,MIN(60,COLUMN()-29)),OFFSET(DK129,0,-MIN(60,COLUMN()-29),1,MIN(60,COLUMN()-29))),0)</f>
        <v>243.47644776</v>
      </c>
      <c r="DL130" s="112" t="n">
        <f aca="true">IFERROR(SUMPRODUCT(OFFSET($BJ$31,0,1-MIN(60,COLUMN()-29),1,MIN(60,COLUMN()-29)),OFFSET(DL129,0,-MIN(60,COLUMN()-29),1,MIN(60,COLUMN()-29))),0)</f>
        <v>259.5370428</v>
      </c>
      <c r="DM130" s="112" t="n">
        <f aca="true">IFERROR(SUMPRODUCT(OFFSET($BJ$31,0,1-MIN(60,COLUMN()-29),1,MIN(60,COLUMN()-29)),OFFSET(DM129,0,-MIN(60,COLUMN()-29),1,MIN(60,COLUMN()-29))),0)</f>
        <v>263.4454872</v>
      </c>
      <c r="DN130" s="112" t="n">
        <f aca="true">IFERROR(SUMPRODUCT(OFFSET($BJ$31,0,1-MIN(60,COLUMN()-29),1,MIN(60,COLUMN()-29)),OFFSET(DN129,0,-MIN(60,COLUMN()-29),1,MIN(60,COLUMN()-29))),0)</f>
        <v>264.24133344</v>
      </c>
      <c r="DO130" s="112" t="n">
        <f aca="true">IFERROR(SUMPRODUCT(OFFSET($BJ$31,0,1-MIN(60,COLUMN()-29),1,MIN(60,COLUMN()-29)),OFFSET(DO129,0,-MIN(60,COLUMN()-29),1,MIN(60,COLUMN()-29))),0)</f>
        <v>263.59414704</v>
      </c>
      <c r="DP130" s="112" t="n">
        <f aca="true">IFERROR(SUMPRODUCT(OFFSET($BJ$31,0,1-MIN(60,COLUMN()-29),1,MIN(60,COLUMN()-29)),OFFSET(DP129,0,-MIN(60,COLUMN()-29),1,MIN(60,COLUMN()-29))),0)</f>
        <v>273.25449648</v>
      </c>
      <c r="DQ130" s="112" t="n">
        <f aca="true">IFERROR(SUMPRODUCT(OFFSET($BJ$31,0,1-MIN(60,COLUMN()-29),1,MIN(60,COLUMN()-29)),OFFSET(DQ129,0,-MIN(60,COLUMN()-29),1,MIN(60,COLUMN()-29))),0)</f>
        <v>298.39013568</v>
      </c>
      <c r="DR130" s="112" t="n">
        <f aca="true">IFERROR(SUMPRODUCT(OFFSET($BJ$31,0,1-MIN(60,COLUMN()-29),1,MIN(60,COLUMN()-29)),OFFSET(DR129,0,-MIN(60,COLUMN()-29),1,MIN(60,COLUMN()-29))),0)</f>
        <v>296.99203968</v>
      </c>
      <c r="DS130" s="112" t="n">
        <f aca="true">IFERROR(SUMPRODUCT(OFFSET($BJ$31,0,1-MIN(60,COLUMN()-29),1,MIN(60,COLUMN()-29)),OFFSET(DS129,0,-MIN(60,COLUMN()-29),1,MIN(60,COLUMN()-29))),0)</f>
        <v>293.54871168</v>
      </c>
      <c r="DT130" s="112" t="n">
        <f aca="true">IFERROR(SUMPRODUCT(OFFSET($BJ$31,0,1-MIN(60,COLUMN()-29),1,MIN(60,COLUMN()-29)),OFFSET(DT129,0,-MIN(60,COLUMN()-29),1,MIN(60,COLUMN()-29))),0)</f>
        <v>288.37646208</v>
      </c>
      <c r="DU130" s="112" t="n">
        <f aca="true">IFERROR(SUMPRODUCT(OFFSET($BJ$31,0,1-MIN(60,COLUMN()-29),1,MIN(60,COLUMN()-29)),OFFSET(DU129,0,-MIN(60,COLUMN()-29),1,MIN(60,COLUMN()-29))),0)</f>
        <v>306.08309088</v>
      </c>
      <c r="DV130" s="112" t="n">
        <f aca="true">IFERROR(SUMPRODUCT(OFFSET($BJ$31,0,1-MIN(60,COLUMN()-29),1,MIN(60,COLUMN()-29)),OFFSET(DV129,0,-MIN(60,COLUMN()-29),1,MIN(60,COLUMN()-29))),0)</f>
        <v>310.66717248</v>
      </c>
      <c r="DW130" s="112" t="n">
        <f aca="true">IFERROR(SUMPRODUCT(OFFSET($BJ$31,0,1-MIN(60,COLUMN()-29),1,MIN(60,COLUMN()-29)),OFFSET(DW129,0,-MIN(60,COLUMN()-29),1,MIN(60,COLUMN()-29))),0)</f>
        <v>308.87121888</v>
      </c>
      <c r="DX130" s="112" t="n">
        <f aca="true">IFERROR(SUMPRODUCT(OFFSET($BJ$31,0,1-MIN(60,COLUMN()-29),1,MIN(60,COLUMN()-29)),OFFSET(DX129,0,-MIN(60,COLUMN()-29),1,MIN(60,COLUMN()-29))),0)</f>
        <v>322.10797248</v>
      </c>
      <c r="DY130" s="112" t="n">
        <f aca="true">IFERROR(SUMPRODUCT(OFFSET($BJ$31,0,1-MIN(60,COLUMN()-29),1,MIN(60,COLUMN()-29)),OFFSET(DY129,0,-MIN(60,COLUMN()-29),1,MIN(60,COLUMN()-29))),0)</f>
        <v>323.22609648</v>
      </c>
      <c r="DZ130" s="112" t="n">
        <f aca="true">IFERROR(SUMPRODUCT(OFFSET($BJ$31,0,1-MIN(60,COLUMN()-29),1,MIN(60,COLUMN()-29)),OFFSET(DZ129,0,-MIN(60,COLUMN()-29),1,MIN(60,COLUMN()-29))),0)</f>
        <v>321.80290128</v>
      </c>
      <c r="EA130" s="112" t="n">
        <f aca="true">IFERROR(SUMPRODUCT(OFFSET($BJ$31,0,1-MIN(60,COLUMN()-29),1,MIN(60,COLUMN()-29)),OFFSET(EA129,0,-MIN(60,COLUMN()-29),1,MIN(60,COLUMN()-29))),0)</f>
        <v>319.10650128</v>
      </c>
      <c r="EB130" s="112" t="n">
        <f aca="true">IFERROR(SUMPRODUCT(OFFSET($BJ$31,0,1-MIN(60,COLUMN()-29),1,MIN(60,COLUMN()-29)),OFFSET(EB129,0,-MIN(60,COLUMN()-29),1,MIN(60,COLUMN()-29))),0)</f>
        <v>326.54826288</v>
      </c>
      <c r="EC130" s="112" t="n">
        <f aca="true">IFERROR(SUMPRODUCT(OFFSET($BJ$31,0,1-MIN(60,COLUMN()-29),1,MIN(60,COLUMN()-29)),OFFSET(EC129,0,-MIN(60,COLUMN()-29),1,MIN(60,COLUMN()-29))),0)</f>
        <v>347.69605248</v>
      </c>
      <c r="ED130" s="112" t="n">
        <f aca="true">IFERROR(SUMPRODUCT(OFFSET($BJ$31,0,1-MIN(60,COLUMN()-29),1,MIN(60,COLUMN()-29)),OFFSET(ED129,0,-MIN(60,COLUMN()-29),1,MIN(60,COLUMN()-29))),0)</f>
        <v>342.90996768</v>
      </c>
      <c r="EE130" s="112" t="n">
        <f aca="true">IFERROR(SUMPRODUCT(OFFSET($BJ$31,0,1-MIN(60,COLUMN()-29),1,MIN(60,COLUMN()-29)),OFFSET(EE129,0,-MIN(60,COLUMN()-29),1,MIN(60,COLUMN()-29))),0)</f>
        <v>337.24823328</v>
      </c>
      <c r="EF130" s="112" t="n">
        <f aca="true">IFERROR(SUMPRODUCT(OFFSET($BJ$31,0,1-MIN(60,COLUMN()-29),1,MIN(60,COLUMN()-29)),OFFSET(EF129,0,-MIN(60,COLUMN()-29),1,MIN(60,COLUMN()-29))),0)</f>
        <v>330.43213728</v>
      </c>
      <c r="EG130" s="112" t="n">
        <f aca="true">IFERROR(SUMPRODUCT(OFFSET($BJ$31,0,1-MIN(60,COLUMN()-29),1,MIN(60,COLUMN()-29)),OFFSET(EG129,0,-MIN(60,COLUMN()-29),1,MIN(60,COLUMN()-29))),0)</f>
        <v>345.79456128</v>
      </c>
      <c r="EH130" s="112" t="n">
        <f aca="true">IFERROR(SUMPRODUCT(OFFSET($BJ$31,0,1-MIN(60,COLUMN()-29),1,MIN(60,COLUMN()-29)),OFFSET(EH129,0,-MIN(60,COLUMN()-29),1,MIN(60,COLUMN()-29))),0)</f>
        <v>347.93410176</v>
      </c>
      <c r="EI130" s="112" t="n">
        <f aca="true">IFERROR(SUMPRODUCT(OFFSET($BJ$31,0,1-MIN(60,COLUMN()-29),1,MIN(60,COLUMN()-29)),OFFSET(EI129,0,-MIN(60,COLUMN()-29),1,MIN(60,COLUMN()-29))),0)</f>
        <v>344.2548312</v>
      </c>
      <c r="EJ130" s="112" t="n">
        <f aca="true">IFERROR(SUMPRODUCT(OFFSET($BJ$31,0,1-MIN(60,COLUMN()-29),1,MIN(60,COLUMN()-29)),OFFSET(EJ129,0,-MIN(60,COLUMN()-29),1,MIN(60,COLUMN()-29))),0)</f>
        <v>354.97295568</v>
      </c>
      <c r="EK130" s="112" t="n">
        <f aca="true">IFERROR(SUMPRODUCT(OFFSET($BJ$31,0,1-MIN(60,COLUMN()-29),1,MIN(60,COLUMN()-29)),OFFSET(EK129,0,-MIN(60,COLUMN()-29),1,MIN(60,COLUMN()-29))),0)</f>
        <v>353.79752688</v>
      </c>
      <c r="EL130" s="112" t="n">
        <f aca="true">IFERROR(SUMPRODUCT(OFFSET($BJ$31,0,1-MIN(60,COLUMN()-29),1,MIN(60,COLUMN()-29)),OFFSET(EL129,0,-MIN(60,COLUMN()-29),1,MIN(60,COLUMN()-29))),0)</f>
        <v>350.49781872</v>
      </c>
      <c r="EM130" s="112" t="n">
        <f aca="true">IFERROR(SUMPRODUCT(OFFSET($BJ$31,0,1-MIN(60,COLUMN()-29),1,MIN(60,COLUMN()-29)),OFFSET(EM129,0,-MIN(60,COLUMN()-29),1,MIN(60,COLUMN()-29))),0)</f>
        <v>346.26280752</v>
      </c>
      <c r="EN130" s="112" t="n">
        <f aca="true">IFERROR(SUMPRODUCT(OFFSET($BJ$31,0,1-MIN(60,COLUMN()-29),1,MIN(60,COLUMN()-29)),OFFSET(EN129,0,-MIN(60,COLUMN()-29),1,MIN(60,COLUMN()-29))),0)</f>
        <v>352.05981552</v>
      </c>
      <c r="EO130" s="112" t="n">
        <f aca="true">IFERROR(SUMPRODUCT(OFFSET($BJ$31,0,1-MIN(60,COLUMN()-29),1,MIN(60,COLUMN()-29)),OFFSET(EO129,0,-MIN(60,COLUMN()-29),1,MIN(60,COLUMN()-29))),0)</f>
        <v>370.6032456</v>
      </c>
      <c r="EP130" s="112" t="n">
        <f aca="true">IFERROR(SUMPRODUCT(OFFSET($BJ$31,0,1-MIN(60,COLUMN()-29),1,MIN(60,COLUMN()-29)),OFFSET(EP129,0,-MIN(60,COLUMN()-29),1,MIN(60,COLUMN()-29))),0)</f>
        <v>363.74578128</v>
      </c>
      <c r="EQ130" s="112" t="n">
        <f aca="true">IFERROR(SUMPRODUCT(OFFSET($BJ$31,0,1-MIN(60,COLUMN()-29),1,MIN(60,COLUMN()-29)),OFFSET(EQ129,0,-MIN(60,COLUMN()-29),1,MIN(60,COLUMN()-29))),0)</f>
        <v>356.44963536</v>
      </c>
      <c r="ER130" s="112" t="n">
        <f aca="true">IFERROR(SUMPRODUCT(OFFSET($BJ$31,0,1-MIN(60,COLUMN()-29),1,MIN(60,COLUMN()-29)),OFFSET(ER129,0,-MIN(60,COLUMN()-29),1,MIN(60,COLUMN()-29))),0)</f>
        <v>348.46869456</v>
      </c>
      <c r="ES130" s="9" t="n">
        <f aca="true">IFERROR(SUMPRODUCT(OFFSET($BJ$31,0,1-MIN(60,COLUMN()-29),1,MIN(60,COLUMN()-29)),OFFSET(ES129,0,-MIN(60,COLUMN()-29),1,MIN(60,COLUMN()-29))),0)</f>
        <v>362.14545024</v>
      </c>
      <c r="ET130" s="9" t="n">
        <f aca="true">IFERROR(SUMPRODUCT(OFFSET($BJ$31,0,1-MIN(60,COLUMN()-29),1,MIN(60,COLUMN()-29)),OFFSET(ET129,0,-MIN(60,COLUMN()-29),1,MIN(60,COLUMN()-29))),0)</f>
        <v>363.01291488</v>
      </c>
      <c r="EU130" s="9" t="n">
        <f aca="true">IFERROR(SUMPRODUCT(OFFSET($BJ$31,0,1-MIN(60,COLUMN()-29),1,MIN(60,COLUMN()-29)),OFFSET(EU129,0,-MIN(60,COLUMN()-29),1,MIN(60,COLUMN()-29))),0)</f>
        <v>358.39632528</v>
      </c>
      <c r="EV130" s="9" t="n">
        <f aca="true">IFERROR(SUMPRODUCT(OFFSET($BJ$31,0,1-MIN(60,COLUMN()-29),1,MIN(60,COLUMN()-29)),OFFSET(EV129,0,-MIN(60,COLUMN()-29),1,MIN(60,COLUMN()-29))),0)</f>
        <v>367.87092048</v>
      </c>
      <c r="EW130" s="9" t="n">
        <f aca="true">IFERROR(SUMPRODUCT(OFFSET($BJ$31,0,1-MIN(60,COLUMN()-29),1,MIN(60,COLUMN()-29)),OFFSET(EW129,0,-MIN(60,COLUMN()-29),1,MIN(60,COLUMN()-29))),0)</f>
        <v>365.55619968</v>
      </c>
      <c r="EX130" s="9" t="n">
        <f aca="true">IFERROR(SUMPRODUCT(OFFSET($BJ$31,0,1-MIN(60,COLUMN()-29),1,MIN(60,COLUMN()-29)),OFFSET(EX129,0,-MIN(60,COLUMN()-29),1,MIN(60,COLUMN()-29))),0)</f>
        <v>361.2716352</v>
      </c>
      <c r="EY130" s="9" t="n">
        <f aca="true">IFERROR(SUMPRODUCT(OFFSET($BJ$31,0,1-MIN(60,COLUMN()-29),1,MIN(60,COLUMN()-29)),OFFSET(EY129,0,-MIN(60,COLUMN()-29),1,MIN(60,COLUMN()-29))),0)</f>
        <v>356.2394976</v>
      </c>
      <c r="EZ130" s="9" t="n">
        <f aca="true">IFERROR(SUMPRODUCT(OFFSET($BJ$31,0,1-MIN(60,COLUMN()-29),1,MIN(60,COLUMN()-29)),OFFSET(EZ129,0,-MIN(60,COLUMN()-29),1,MIN(60,COLUMN()-29))),0)</f>
        <v>361.2617568</v>
      </c>
      <c r="FA130" s="9" t="n">
        <f aca="true">IFERROR(SUMPRODUCT(OFFSET($BJ$31,0,1-MIN(60,COLUMN()-29),1,MIN(60,COLUMN()-29)),OFFSET(FA129,0,-MIN(60,COLUMN()-29),1,MIN(60,COLUMN()-29))),0)</f>
        <v>378.5985504</v>
      </c>
      <c r="FB130" s="9" t="n">
        <f aca="true">IFERROR(SUMPRODUCT(OFFSET($BJ$31,0,1-MIN(60,COLUMN()-29),1,MIN(60,COLUMN()-29)),OFFSET(FB129,0,-MIN(60,COLUMN()-29),1,MIN(60,COLUMN()-29))),0)</f>
        <v>370.84307904</v>
      </c>
      <c r="FC130" s="9" t="n">
        <f aca="true">IFERROR(SUMPRODUCT(OFFSET($BJ$31,0,1-MIN(60,COLUMN()-29),1,MIN(60,COLUMN()-29)),OFFSET(FC129,0,-MIN(60,COLUMN()-29),1,MIN(60,COLUMN()-29))),0)</f>
        <v>362.8052064</v>
      </c>
      <c r="FD130" s="9" t="n">
        <f aca="true">IFERROR(SUMPRODUCT(OFFSET($BJ$31,0,1-MIN(60,COLUMN()-29),1,MIN(60,COLUMN()-29)),OFFSET(FD129,0,-MIN(60,COLUMN()-29),1,MIN(60,COLUMN()-29))),0)</f>
        <v>354.29518656</v>
      </c>
      <c r="FE130" s="9" t="n">
        <f aca="true">IFERROR(SUMPRODUCT(OFFSET($BJ$31,0,1-MIN(60,COLUMN()-29),1,MIN(60,COLUMN()-29)),OFFSET(FE129,0,-MIN(60,COLUMN()-29),1,MIN(60,COLUMN()-29))),0)</f>
        <v>367.29798336</v>
      </c>
      <c r="FF130" s="9" t="n">
        <f aca="true">IFERROR(SUMPRODUCT(OFFSET($BJ$31,0,1-MIN(60,COLUMN()-29),1,MIN(60,COLUMN()-29)),OFFSET(FF129,0,-MIN(60,COLUMN()-29),1,MIN(60,COLUMN()-29))),0)</f>
        <v>367.53022656</v>
      </c>
      <c r="FG130" s="9" t="n">
        <f aca="true">IFERROR(SUMPRODUCT(OFFSET($BJ$31,0,1-MIN(60,COLUMN()-29),1,MIN(60,COLUMN()-29)),OFFSET(FG129,0,-MIN(60,COLUMN()-29),1,MIN(60,COLUMN()-29))),0)</f>
        <v>362.46357504</v>
      </c>
      <c r="FH130" s="9" t="n">
        <f aca="true">IFERROR(SUMPRODUCT(OFFSET($BJ$31,0,1-MIN(60,COLUMN()-29),1,MIN(60,COLUMN()-29)),OFFSET(FH129,0,-MIN(60,COLUMN()-29),1,MIN(60,COLUMN()-29))),0)</f>
        <v>371.3032512</v>
      </c>
      <c r="FI130" s="9" t="n">
        <f aca="true">IFERROR(SUMPRODUCT(OFFSET($BJ$31,0,1-MIN(60,COLUMN()-29),1,MIN(60,COLUMN()-29)),OFFSET(FI129,0,-MIN(60,COLUMN()-29),1,MIN(60,COLUMN()-29))),0)</f>
        <v>368.428032</v>
      </c>
      <c r="FJ130" s="9" t="n">
        <f aca="true">IFERROR(SUMPRODUCT(OFFSET($BJ$31,0,1-MIN(60,COLUMN()-29),1,MIN(60,COLUMN()-29)),OFFSET(FJ129,0,-MIN(60,COLUMN()-29),1,MIN(60,COLUMN()-29))),0)</f>
        <v>363.742848</v>
      </c>
      <c r="FK130" s="9" t="n">
        <f aca="true">IFERROR(SUMPRODUCT(OFFSET($BJ$31,0,1-MIN(60,COLUMN()-29),1,MIN(60,COLUMN()-29)),OFFSET(FK129,0,-MIN(60,COLUMN()-29),1,MIN(60,COLUMN()-29))),0)</f>
        <v>358.391376</v>
      </c>
      <c r="FL130" s="9" t="n">
        <f aca="true">IFERROR(SUMPRODUCT(OFFSET($BJ$31,0,1-MIN(60,COLUMN()-29),1,MIN(60,COLUMN()-29)),OFFSET(FL129,0,-MIN(60,COLUMN()-29),1,MIN(60,COLUMN()-29))),0)</f>
        <v>363.108816</v>
      </c>
      <c r="FM130" s="9" t="n">
        <f aca="true">IFERROR(SUMPRODUCT(OFFSET($BJ$31,0,1-MIN(60,COLUMN()-29),1,MIN(60,COLUMN()-29)),OFFSET(FM129,0,-MIN(60,COLUMN()-29),1,MIN(60,COLUMN()-29))),0)</f>
        <v>379.93032</v>
      </c>
      <c r="FN130" s="9" t="n">
        <f aca="true">IFERROR(SUMPRODUCT(OFFSET($BJ$31,0,1-MIN(60,COLUMN()-29),1,MIN(60,COLUMN()-29)),OFFSET(FN129,0,-MIN(60,COLUMN()-29),1,MIN(60,COLUMN()-29))),0)</f>
        <v>371.838096</v>
      </c>
      <c r="FO130" s="9" t="n">
        <f aca="true">IFERROR(SUMPRODUCT(OFFSET($BJ$31,0,1-MIN(60,COLUMN()-29),1,MIN(60,COLUMN()-29)),OFFSET(FO129,0,-MIN(60,COLUMN()-29),1,MIN(60,COLUMN()-29))),0)</f>
        <v>363.556368</v>
      </c>
      <c r="FP130" s="9" t="n">
        <f aca="true">IFERROR(SUMPRODUCT(OFFSET($BJ$31,0,1-MIN(60,COLUMN()-29),1,MIN(60,COLUMN()-29)),OFFSET(FP129,0,-MIN(60,COLUMN()-29),1,MIN(60,COLUMN()-29))),0)</f>
        <v>354.889584</v>
      </c>
    </row>
    <row r="131" customFormat="false" ht="15" hidden="false" customHeight="false" outlineLevel="2" collapsed="false">
      <c r="B131" s="90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237"/>
      <c r="AD131" s="237"/>
      <c r="AE131" s="237"/>
      <c r="AF131" s="237"/>
      <c r="AG131" s="237"/>
      <c r="AH131" s="237"/>
      <c r="AI131" s="237"/>
      <c r="AJ131" s="237"/>
      <c r="AK131" s="237"/>
      <c r="AL131" s="237"/>
      <c r="AM131" s="237"/>
      <c r="AN131" s="237"/>
      <c r="AO131" s="237"/>
      <c r="AP131" s="237"/>
      <c r="AQ131" s="237"/>
      <c r="AR131" s="237"/>
      <c r="AS131" s="237"/>
      <c r="AT131" s="237"/>
      <c r="AU131" s="237"/>
      <c r="AV131" s="237"/>
      <c r="AW131" s="237"/>
      <c r="AX131" s="237"/>
      <c r="AY131" s="237"/>
      <c r="AZ131" s="237"/>
      <c r="BA131" s="237"/>
      <c r="BB131" s="237"/>
      <c r="BC131" s="237"/>
      <c r="BD131" s="237"/>
      <c r="BE131" s="237"/>
      <c r="BF131" s="237"/>
      <c r="BG131" s="237"/>
      <c r="BH131" s="237"/>
      <c r="BI131" s="237"/>
      <c r="BJ131" s="237"/>
      <c r="BK131" s="237"/>
      <c r="BL131" s="237"/>
      <c r="BM131" s="237"/>
      <c r="BN131" s="237"/>
      <c r="BO131" s="237"/>
      <c r="BP131" s="237"/>
      <c r="BQ131" s="237"/>
      <c r="BR131" s="237"/>
      <c r="BS131" s="237"/>
      <c r="BT131" s="237"/>
      <c r="BU131" s="237"/>
      <c r="BV131" s="237"/>
      <c r="BW131" s="237"/>
      <c r="BX131" s="237"/>
      <c r="BY131" s="237"/>
      <c r="BZ131" s="237"/>
      <c r="CA131" s="237"/>
      <c r="CB131" s="237"/>
      <c r="CC131" s="237"/>
      <c r="CD131" s="237"/>
      <c r="CE131" s="237"/>
      <c r="CF131" s="237"/>
      <c r="CG131" s="237"/>
      <c r="CH131" s="237"/>
      <c r="CI131" s="237"/>
      <c r="CJ131" s="237"/>
      <c r="CK131" s="237"/>
      <c r="CL131" s="237"/>
      <c r="CM131" s="237"/>
      <c r="CN131" s="237"/>
      <c r="CO131" s="237"/>
      <c r="CP131" s="237"/>
      <c r="CQ131" s="237"/>
      <c r="CR131" s="237"/>
      <c r="CS131" s="237"/>
      <c r="CT131" s="237"/>
      <c r="CU131" s="237"/>
      <c r="CV131" s="237"/>
      <c r="CW131" s="237"/>
      <c r="CX131" s="237"/>
      <c r="CY131" s="237"/>
      <c r="CZ131" s="237"/>
      <c r="DA131" s="237"/>
      <c r="DB131" s="237"/>
      <c r="DC131" s="237"/>
      <c r="DD131" s="237"/>
      <c r="DE131" s="237"/>
      <c r="DF131" s="237"/>
      <c r="DG131" s="237"/>
      <c r="DH131" s="237"/>
      <c r="DI131" s="237"/>
      <c r="DJ131" s="237"/>
      <c r="DK131" s="237"/>
      <c r="DL131" s="237"/>
      <c r="DM131" s="237"/>
      <c r="DN131" s="237"/>
      <c r="DO131" s="237"/>
      <c r="DP131" s="237"/>
      <c r="DQ131" s="237"/>
      <c r="DR131" s="237"/>
      <c r="DS131" s="237"/>
      <c r="DT131" s="237"/>
      <c r="DU131" s="237"/>
      <c r="DV131" s="237"/>
      <c r="DW131" s="237"/>
      <c r="DX131" s="237"/>
      <c r="DY131" s="237"/>
      <c r="DZ131" s="237"/>
      <c r="EA131" s="237"/>
      <c r="EB131" s="237"/>
      <c r="EC131" s="237"/>
      <c r="ED131" s="237"/>
      <c r="EE131" s="237"/>
      <c r="EF131" s="237"/>
      <c r="EG131" s="237"/>
      <c r="EH131" s="237"/>
      <c r="EI131" s="237"/>
      <c r="EJ131" s="237"/>
      <c r="EK131" s="237"/>
      <c r="EL131" s="237"/>
      <c r="EM131" s="237"/>
      <c r="EN131" s="237"/>
      <c r="EO131" s="237"/>
      <c r="EP131" s="237"/>
      <c r="EQ131" s="237"/>
      <c r="ER131" s="237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</row>
    <row r="132" customFormat="false" ht="15" hidden="false" customHeight="false" outlineLevel="2" collapsed="false">
      <c r="B132" s="240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237"/>
      <c r="AD132" s="237"/>
      <c r="AE132" s="237"/>
      <c r="AF132" s="237"/>
      <c r="AG132" s="237"/>
      <c r="AH132" s="237"/>
      <c r="AI132" s="237"/>
      <c r="AJ132" s="237"/>
      <c r="AK132" s="237"/>
      <c r="AL132" s="237"/>
      <c r="AM132" s="237"/>
      <c r="AN132" s="237"/>
      <c r="AO132" s="237"/>
      <c r="AP132" s="237"/>
      <c r="AQ132" s="237"/>
      <c r="AR132" s="237"/>
      <c r="AS132" s="237"/>
      <c r="AT132" s="237"/>
      <c r="AU132" s="237"/>
      <c r="AV132" s="237"/>
      <c r="AW132" s="237"/>
      <c r="AX132" s="237"/>
      <c r="AY132" s="237"/>
      <c r="AZ132" s="237"/>
      <c r="BA132" s="237"/>
      <c r="BB132" s="237"/>
      <c r="BC132" s="237"/>
      <c r="BD132" s="237"/>
      <c r="BE132" s="237"/>
      <c r="BF132" s="237"/>
      <c r="BG132" s="237"/>
      <c r="BH132" s="237"/>
      <c r="BI132" s="237"/>
      <c r="BJ132" s="237"/>
      <c r="BK132" s="237"/>
      <c r="BL132" s="237"/>
      <c r="BM132" s="237"/>
      <c r="BN132" s="237"/>
      <c r="BO132" s="237"/>
      <c r="BP132" s="237"/>
      <c r="BQ132" s="237"/>
      <c r="BR132" s="237"/>
      <c r="BS132" s="237"/>
      <c r="BT132" s="237"/>
      <c r="BU132" s="237"/>
      <c r="BV132" s="237"/>
      <c r="BW132" s="237"/>
      <c r="BX132" s="237"/>
      <c r="BY132" s="237"/>
      <c r="BZ132" s="237"/>
      <c r="CA132" s="237"/>
      <c r="CB132" s="237"/>
      <c r="CC132" s="237"/>
      <c r="CD132" s="237"/>
      <c r="CE132" s="237"/>
      <c r="CF132" s="237"/>
      <c r="CG132" s="237"/>
      <c r="CH132" s="237"/>
      <c r="CI132" s="237"/>
      <c r="CJ132" s="237"/>
      <c r="CK132" s="237"/>
      <c r="CL132" s="237"/>
      <c r="CM132" s="237"/>
      <c r="CN132" s="237"/>
      <c r="CO132" s="237"/>
      <c r="CP132" s="237"/>
      <c r="CQ132" s="237"/>
      <c r="CR132" s="237"/>
      <c r="CS132" s="237"/>
      <c r="CT132" s="237"/>
      <c r="CU132" s="237"/>
      <c r="CV132" s="237"/>
      <c r="CW132" s="237"/>
      <c r="CX132" s="237"/>
      <c r="CY132" s="237"/>
      <c r="CZ132" s="237"/>
      <c r="DA132" s="237"/>
      <c r="DB132" s="237"/>
      <c r="DC132" s="237"/>
      <c r="DD132" s="237"/>
      <c r="DE132" s="237"/>
      <c r="DF132" s="237"/>
      <c r="DG132" s="237"/>
      <c r="DH132" s="237"/>
      <c r="DI132" s="237"/>
      <c r="DJ132" s="237"/>
      <c r="DK132" s="237"/>
      <c r="DL132" s="237"/>
      <c r="DM132" s="237"/>
      <c r="DN132" s="237"/>
      <c r="DO132" s="237"/>
      <c r="DP132" s="237"/>
      <c r="DQ132" s="237"/>
      <c r="DR132" s="237"/>
      <c r="DS132" s="237"/>
      <c r="DT132" s="237"/>
      <c r="DU132" s="237"/>
      <c r="DV132" s="237"/>
      <c r="DW132" s="237"/>
      <c r="DX132" s="237"/>
      <c r="DY132" s="237"/>
      <c r="DZ132" s="237"/>
      <c r="EA132" s="237"/>
      <c r="EB132" s="237"/>
      <c r="EC132" s="237"/>
      <c r="ED132" s="237"/>
      <c r="EE132" s="237"/>
      <c r="EF132" s="237"/>
      <c r="EG132" s="237"/>
      <c r="EH132" s="237"/>
      <c r="EI132" s="237"/>
      <c r="EJ132" s="237"/>
      <c r="EK132" s="237"/>
      <c r="EL132" s="237"/>
      <c r="EM132" s="237"/>
      <c r="EN132" s="237"/>
      <c r="EO132" s="237"/>
      <c r="EP132" s="237"/>
      <c r="EQ132" s="237"/>
      <c r="ER132" s="237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</row>
    <row r="133" customFormat="false" ht="15" hidden="false" customHeight="false" outlineLevel="2" collapsed="false">
      <c r="B133" s="21" t="s">
        <v>886</v>
      </c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</row>
    <row r="134" customFormat="false" ht="15" hidden="false" customHeight="false" outlineLevel="2" collapsed="false">
      <c r="B134" s="9" t="s">
        <v>872</v>
      </c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234" t="n">
        <f aca="false">('⑫ Roll-out Plan'!G19-2025)*12+'⑫ Roll-out Plan'!F19</f>
        <v>25</v>
      </c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</row>
    <row r="135" customFormat="false" ht="15" hidden="false" customHeight="false" outlineLevel="2" collapsed="false">
      <c r="B135" s="9" t="s">
        <v>873</v>
      </c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235" t="n">
        <f aca="false">VLOOKUP("B",$B$14:$C$18,2,FALSE())</f>
        <v>185</v>
      </c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</row>
    <row r="136" customFormat="false" ht="15" hidden="false" customHeight="false" outlineLevel="2" collapsed="false">
      <c r="B136" s="9" t="s">
        <v>799</v>
      </c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63" t="n">
        <f aca="false">IF(AC$35&gt;=$AC$134,AC$35-$AC$134+1,0)</f>
        <v>0</v>
      </c>
      <c r="AD136" s="63" t="n">
        <f aca="false">IF(AD$35&gt;=$AC$134,AD$35-$AC$134+1,0)</f>
        <v>0</v>
      </c>
      <c r="AE136" s="63" t="n">
        <f aca="false">IF(AE$35&gt;=$AC$134,AE$35-$AC$134+1,0)</f>
        <v>0</v>
      </c>
      <c r="AF136" s="63" t="n">
        <f aca="false">IF(AF$35&gt;=$AC$134,AF$35-$AC$134+1,0)</f>
        <v>0</v>
      </c>
      <c r="AG136" s="63" t="n">
        <f aca="false">IF(AG$35&gt;=$AC$134,AG$35-$AC$134+1,0)</f>
        <v>0</v>
      </c>
      <c r="AH136" s="63" t="n">
        <f aca="false">IF(AH$35&gt;=$AC$134,AH$35-$AC$134+1,0)</f>
        <v>0</v>
      </c>
      <c r="AI136" s="63" t="n">
        <f aca="false">IF(AI$35&gt;=$AC$134,AI$35-$AC$134+1,0)</f>
        <v>0</v>
      </c>
      <c r="AJ136" s="63" t="n">
        <f aca="false">IF(AJ$35&gt;=$AC$134,AJ$35-$AC$134+1,0)</f>
        <v>0</v>
      </c>
      <c r="AK136" s="63" t="n">
        <f aca="false">IF(AK$35&gt;=$AC$134,AK$35-$AC$134+1,0)</f>
        <v>0</v>
      </c>
      <c r="AL136" s="63" t="n">
        <f aca="false">IF(AL$35&gt;=$AC$134,AL$35-$AC$134+1,0)</f>
        <v>0</v>
      </c>
      <c r="AM136" s="63" t="n">
        <f aca="false">IF(AM$35&gt;=$AC$134,AM$35-$AC$134+1,0)</f>
        <v>0</v>
      </c>
      <c r="AN136" s="63" t="n">
        <f aca="false">IF(AN$35&gt;=$AC$134,AN$35-$AC$134+1,0)</f>
        <v>0</v>
      </c>
      <c r="AO136" s="63" t="n">
        <f aca="false">IF(AO$35&gt;=$AC$134,AO$35-$AC$134+1,0)</f>
        <v>0</v>
      </c>
      <c r="AP136" s="63" t="n">
        <f aca="false">IF(AP$35&gt;=$AC$134,AP$35-$AC$134+1,0)</f>
        <v>0</v>
      </c>
      <c r="AQ136" s="63" t="n">
        <f aca="false">IF(AQ$35&gt;=$AC$134,AQ$35-$AC$134+1,0)</f>
        <v>0</v>
      </c>
      <c r="AR136" s="63" t="n">
        <f aca="false">IF(AR$35&gt;=$AC$134,AR$35-$AC$134+1,0)</f>
        <v>0</v>
      </c>
      <c r="AS136" s="63" t="n">
        <f aca="false">IF(AS$35&gt;=$AC$134,AS$35-$AC$134+1,0)</f>
        <v>0</v>
      </c>
      <c r="AT136" s="63" t="n">
        <f aca="false">IF(AT$35&gt;=$AC$134,AT$35-$AC$134+1,0)</f>
        <v>0</v>
      </c>
      <c r="AU136" s="63" t="n">
        <f aca="false">IF(AU$35&gt;=$AC$134,AU$35-$AC$134+1,0)</f>
        <v>0</v>
      </c>
      <c r="AV136" s="63" t="n">
        <f aca="false">IF(AV$35&gt;=$AC$134,AV$35-$AC$134+1,0)</f>
        <v>0</v>
      </c>
      <c r="AW136" s="63" t="n">
        <f aca="false">IF(AW$35&gt;=$AC$134,AW$35-$AC$134+1,0)</f>
        <v>0</v>
      </c>
      <c r="AX136" s="63" t="n">
        <f aca="false">IF(AX$35&gt;=$AC$134,AX$35-$AC$134+1,0)</f>
        <v>0</v>
      </c>
      <c r="AY136" s="63" t="n">
        <f aca="false">IF(AY$35&gt;=$AC$134,AY$35-$AC$134+1,0)</f>
        <v>0</v>
      </c>
      <c r="AZ136" s="63" t="n">
        <f aca="false">IF(AZ$35&gt;=$AC$134,AZ$35-$AC$134+1,0)</f>
        <v>0</v>
      </c>
      <c r="BA136" s="63" t="n">
        <f aca="false">IF(BA$35&gt;=$AC$134,BA$35-$AC$134+1,0)</f>
        <v>1</v>
      </c>
      <c r="BB136" s="63" t="n">
        <f aca="false">IF(BB$35&gt;=$AC$134,BB$35-$AC$134+1,0)</f>
        <v>2</v>
      </c>
      <c r="BC136" s="63" t="n">
        <f aca="false">IF(BC$35&gt;=$AC$134,BC$35-$AC$134+1,0)</f>
        <v>3</v>
      </c>
      <c r="BD136" s="63" t="n">
        <f aca="false">IF(BD$35&gt;=$AC$134,BD$35-$AC$134+1,0)</f>
        <v>4</v>
      </c>
      <c r="BE136" s="63" t="n">
        <f aca="false">IF(BE$35&gt;=$AC$134,BE$35-$AC$134+1,0)</f>
        <v>5</v>
      </c>
      <c r="BF136" s="63" t="n">
        <f aca="false">IF(BF$35&gt;=$AC$134,BF$35-$AC$134+1,0)</f>
        <v>6</v>
      </c>
      <c r="BG136" s="63" t="n">
        <f aca="false">IF(BG$35&gt;=$AC$134,BG$35-$AC$134+1,0)</f>
        <v>7</v>
      </c>
      <c r="BH136" s="63" t="n">
        <f aca="false">IF(BH$35&gt;=$AC$134,BH$35-$AC$134+1,0)</f>
        <v>8</v>
      </c>
      <c r="BI136" s="63" t="n">
        <f aca="false">IF(BI$35&gt;=$AC$134,BI$35-$AC$134+1,0)</f>
        <v>9</v>
      </c>
      <c r="BJ136" s="63" t="n">
        <f aca="false">IF(BJ$35&gt;=$AC$134,BJ$35-$AC$134+1,0)</f>
        <v>10</v>
      </c>
      <c r="BK136" s="63" t="n">
        <f aca="false">IF(BK$35&gt;=$AC$134,BK$35-$AC$134+1,0)</f>
        <v>11</v>
      </c>
      <c r="BL136" s="63" t="n">
        <f aca="false">IF(BL$35&gt;=$AC$134,BL$35-$AC$134+1,0)</f>
        <v>12</v>
      </c>
      <c r="BM136" s="63" t="n">
        <f aca="false">IF(BM$35&gt;=$AC$134,BM$35-$AC$134+1,0)</f>
        <v>13</v>
      </c>
      <c r="BN136" s="63" t="n">
        <f aca="false">IF(BN$35&gt;=$AC$134,BN$35-$AC$134+1,0)</f>
        <v>14</v>
      </c>
      <c r="BO136" s="63" t="n">
        <f aca="false">IF(BO$35&gt;=$AC$134,BO$35-$AC$134+1,0)</f>
        <v>15</v>
      </c>
      <c r="BP136" s="63" t="n">
        <f aca="false">IF(BP$35&gt;=$AC$134,BP$35-$AC$134+1,0)</f>
        <v>16</v>
      </c>
      <c r="BQ136" s="63" t="n">
        <f aca="false">IF(BQ$35&gt;=$AC$134,BQ$35-$AC$134+1,0)</f>
        <v>17</v>
      </c>
      <c r="BR136" s="63" t="n">
        <f aca="false">IF(BR$35&gt;=$AC$134,BR$35-$AC$134+1,0)</f>
        <v>18</v>
      </c>
      <c r="BS136" s="63" t="n">
        <f aca="false">IF(BS$35&gt;=$AC$134,BS$35-$AC$134+1,0)</f>
        <v>19</v>
      </c>
      <c r="BT136" s="63" t="n">
        <f aca="false">IF(BT$35&gt;=$AC$134,BT$35-$AC$134+1,0)</f>
        <v>20</v>
      </c>
      <c r="BU136" s="63" t="n">
        <f aca="false">IF(BU$35&gt;=$AC$134,BU$35-$AC$134+1,0)</f>
        <v>21</v>
      </c>
      <c r="BV136" s="63" t="n">
        <f aca="false">IF(BV$35&gt;=$AC$134,BV$35-$AC$134+1,0)</f>
        <v>22</v>
      </c>
      <c r="BW136" s="63" t="n">
        <f aca="false">IF(BW$35&gt;=$AC$134,BW$35-$AC$134+1,0)</f>
        <v>23</v>
      </c>
      <c r="BX136" s="63" t="n">
        <f aca="false">IF(BX$35&gt;=$AC$134,BX$35-$AC$134+1,0)</f>
        <v>24</v>
      </c>
      <c r="BY136" s="63" t="n">
        <f aca="false">IF(BY$35&gt;=$AC$134,BY$35-$AC$134+1,0)</f>
        <v>25</v>
      </c>
      <c r="BZ136" s="63" t="n">
        <f aca="false">IF(BZ$35&gt;=$AC$134,BZ$35-$AC$134+1,0)</f>
        <v>26</v>
      </c>
      <c r="CA136" s="63" t="n">
        <f aca="false">IF(CA$35&gt;=$AC$134,CA$35-$AC$134+1,0)</f>
        <v>27</v>
      </c>
      <c r="CB136" s="63" t="n">
        <f aca="false">IF(CB$35&gt;=$AC$134,CB$35-$AC$134+1,0)</f>
        <v>28</v>
      </c>
      <c r="CC136" s="63" t="n">
        <f aca="false">IF(CC$35&gt;=$AC$134,CC$35-$AC$134+1,0)</f>
        <v>29</v>
      </c>
      <c r="CD136" s="63" t="n">
        <f aca="false">IF(CD$35&gt;=$AC$134,CD$35-$AC$134+1,0)</f>
        <v>30</v>
      </c>
      <c r="CE136" s="63" t="n">
        <f aca="false">IF(CE$35&gt;=$AC$134,CE$35-$AC$134+1,0)</f>
        <v>31</v>
      </c>
      <c r="CF136" s="63" t="n">
        <f aca="false">IF(CF$35&gt;=$AC$134,CF$35-$AC$134+1,0)</f>
        <v>32</v>
      </c>
      <c r="CG136" s="63" t="n">
        <f aca="false">IF(CG$35&gt;=$AC$134,CG$35-$AC$134+1,0)</f>
        <v>33</v>
      </c>
      <c r="CH136" s="63" t="n">
        <f aca="false">IF(CH$35&gt;=$AC$134,CH$35-$AC$134+1,0)</f>
        <v>34</v>
      </c>
      <c r="CI136" s="63" t="n">
        <f aca="false">IF(CI$35&gt;=$AC$134,CI$35-$AC$134+1,0)</f>
        <v>35</v>
      </c>
      <c r="CJ136" s="63" t="n">
        <f aca="false">IF(CJ$35&gt;=$AC$134,CJ$35-$AC$134+1,0)</f>
        <v>36</v>
      </c>
      <c r="CK136" s="63" t="n">
        <f aca="false">IF(CK$35&gt;=$AC$134,CK$35-$AC$134+1,0)</f>
        <v>37</v>
      </c>
      <c r="CL136" s="63" t="n">
        <f aca="false">IF(CL$35&gt;=$AC$134,CL$35-$AC$134+1,0)</f>
        <v>38</v>
      </c>
      <c r="CM136" s="63" t="n">
        <f aca="false">IF(CM$35&gt;=$AC$134,CM$35-$AC$134+1,0)</f>
        <v>39</v>
      </c>
      <c r="CN136" s="63" t="n">
        <f aca="false">IF(CN$35&gt;=$AC$134,CN$35-$AC$134+1,0)</f>
        <v>40</v>
      </c>
      <c r="CO136" s="63" t="n">
        <f aca="false">IF(CO$35&gt;=$AC$134,CO$35-$AC$134+1,0)</f>
        <v>41</v>
      </c>
      <c r="CP136" s="63" t="n">
        <f aca="false">IF(CP$35&gt;=$AC$134,CP$35-$AC$134+1,0)</f>
        <v>42</v>
      </c>
      <c r="CQ136" s="63" t="n">
        <f aca="false">IF(CQ$35&gt;=$AC$134,CQ$35-$AC$134+1,0)</f>
        <v>43</v>
      </c>
      <c r="CR136" s="63" t="n">
        <f aca="false">IF(CR$35&gt;=$AC$134,CR$35-$AC$134+1,0)</f>
        <v>44</v>
      </c>
      <c r="CS136" s="63" t="n">
        <f aca="false">IF(CS$35&gt;=$AC$134,CS$35-$AC$134+1,0)</f>
        <v>45</v>
      </c>
      <c r="CT136" s="63" t="n">
        <f aca="false">IF(CT$35&gt;=$AC$134,CT$35-$AC$134+1,0)</f>
        <v>46</v>
      </c>
      <c r="CU136" s="63" t="n">
        <f aca="false">IF(CU$35&gt;=$AC$134,CU$35-$AC$134+1,0)</f>
        <v>47</v>
      </c>
      <c r="CV136" s="63" t="n">
        <f aca="false">IF(CV$35&gt;=$AC$134,CV$35-$AC$134+1,0)</f>
        <v>48</v>
      </c>
      <c r="CW136" s="63" t="n">
        <f aca="false">IF(CW$35&gt;=$AC$134,CW$35-$AC$134+1,0)</f>
        <v>49</v>
      </c>
      <c r="CX136" s="63" t="n">
        <f aca="false">IF(CX$35&gt;=$AC$134,CX$35-$AC$134+1,0)</f>
        <v>50</v>
      </c>
      <c r="CY136" s="63" t="n">
        <f aca="false">IF(CY$35&gt;=$AC$134,CY$35-$AC$134+1,0)</f>
        <v>51</v>
      </c>
      <c r="CZ136" s="63" t="n">
        <f aca="false">IF(CZ$35&gt;=$AC$134,CZ$35-$AC$134+1,0)</f>
        <v>52</v>
      </c>
      <c r="DA136" s="63" t="n">
        <f aca="false">IF(DA$35&gt;=$AC$134,DA$35-$AC$134+1,0)</f>
        <v>53</v>
      </c>
      <c r="DB136" s="63" t="n">
        <f aca="false">IF(DB$35&gt;=$AC$134,DB$35-$AC$134+1,0)</f>
        <v>54</v>
      </c>
      <c r="DC136" s="63" t="n">
        <f aca="false">IF(DC$35&gt;=$AC$134,DC$35-$AC$134+1,0)</f>
        <v>55</v>
      </c>
      <c r="DD136" s="63" t="n">
        <f aca="false">IF(DD$35&gt;=$AC$134,DD$35-$AC$134+1,0)</f>
        <v>56</v>
      </c>
      <c r="DE136" s="63" t="n">
        <f aca="false">IF(DE$35&gt;=$AC$134,DE$35-$AC$134+1,0)</f>
        <v>57</v>
      </c>
      <c r="DF136" s="63" t="n">
        <f aca="false">IF(DF$35&gt;=$AC$134,DF$35-$AC$134+1,0)</f>
        <v>58</v>
      </c>
      <c r="DG136" s="63" t="n">
        <f aca="false">IF(DG$35&gt;=$AC$134,DG$35-$AC$134+1,0)</f>
        <v>59</v>
      </c>
      <c r="DH136" s="63" t="n">
        <f aca="false">IF(DH$35&gt;=$AC$134,DH$35-$AC$134+1,0)</f>
        <v>60</v>
      </c>
      <c r="DI136" s="63" t="n">
        <f aca="false">IF(DI$35&gt;=$AC$134,DI$35-$AC$134+1,0)</f>
        <v>61</v>
      </c>
      <c r="DJ136" s="63" t="n">
        <f aca="false">IF(DJ$35&gt;=$AC$134,DJ$35-$AC$134+1,0)</f>
        <v>62</v>
      </c>
      <c r="DK136" s="63" t="n">
        <f aca="false">IF(DK$35&gt;=$AC$134,DK$35-$AC$134+1,0)</f>
        <v>63</v>
      </c>
      <c r="DL136" s="63" t="n">
        <f aca="false">IF(DL$35&gt;=$AC$134,DL$35-$AC$134+1,0)</f>
        <v>64</v>
      </c>
      <c r="DM136" s="63" t="n">
        <f aca="false">IF(DM$35&gt;=$AC$134,DM$35-$AC$134+1,0)</f>
        <v>65</v>
      </c>
      <c r="DN136" s="63" t="n">
        <f aca="false">IF(DN$35&gt;=$AC$134,DN$35-$AC$134+1,0)</f>
        <v>66</v>
      </c>
      <c r="DO136" s="63" t="n">
        <f aca="false">IF(DO$35&gt;=$AC$134,DO$35-$AC$134+1,0)</f>
        <v>67</v>
      </c>
      <c r="DP136" s="63" t="n">
        <f aca="false">IF(DP$35&gt;=$AC$134,DP$35-$AC$134+1,0)</f>
        <v>68</v>
      </c>
      <c r="DQ136" s="63" t="n">
        <f aca="false">IF(DQ$35&gt;=$AC$134,DQ$35-$AC$134+1,0)</f>
        <v>69</v>
      </c>
      <c r="DR136" s="63" t="n">
        <f aca="false">IF(DR$35&gt;=$AC$134,DR$35-$AC$134+1,0)</f>
        <v>70</v>
      </c>
      <c r="DS136" s="63" t="n">
        <f aca="false">IF(DS$35&gt;=$AC$134,DS$35-$AC$134+1,0)</f>
        <v>71</v>
      </c>
      <c r="DT136" s="63" t="n">
        <f aca="false">IF(DT$35&gt;=$AC$134,DT$35-$AC$134+1,0)</f>
        <v>72</v>
      </c>
      <c r="DU136" s="63" t="n">
        <f aca="false">IF(DU$35&gt;=$AC$134,DU$35-$AC$134+1,0)</f>
        <v>73</v>
      </c>
      <c r="DV136" s="63" t="n">
        <f aca="false">IF(DV$35&gt;=$AC$134,DV$35-$AC$134+1,0)</f>
        <v>74</v>
      </c>
      <c r="DW136" s="63" t="n">
        <f aca="false">IF(DW$35&gt;=$AC$134,DW$35-$AC$134+1,0)</f>
        <v>75</v>
      </c>
      <c r="DX136" s="63" t="n">
        <f aca="false">IF(DX$35&gt;=$AC$134,DX$35-$AC$134+1,0)</f>
        <v>76</v>
      </c>
      <c r="DY136" s="63" t="n">
        <f aca="false">IF(DY$35&gt;=$AC$134,DY$35-$AC$134+1,0)</f>
        <v>77</v>
      </c>
      <c r="DZ136" s="63" t="n">
        <f aca="false">IF(DZ$35&gt;=$AC$134,DZ$35-$AC$134+1,0)</f>
        <v>78</v>
      </c>
      <c r="EA136" s="63" t="n">
        <f aca="false">IF(EA$35&gt;=$AC$134,EA$35-$AC$134+1,0)</f>
        <v>79</v>
      </c>
      <c r="EB136" s="63" t="n">
        <f aca="false">IF(EB$35&gt;=$AC$134,EB$35-$AC$134+1,0)</f>
        <v>80</v>
      </c>
      <c r="EC136" s="63" t="n">
        <f aca="false">IF(EC$35&gt;=$AC$134,EC$35-$AC$134+1,0)</f>
        <v>81</v>
      </c>
      <c r="ED136" s="63" t="n">
        <f aca="false">IF(ED$35&gt;=$AC$134,ED$35-$AC$134+1,0)</f>
        <v>82</v>
      </c>
      <c r="EE136" s="63" t="n">
        <f aca="false">IF(EE$35&gt;=$AC$134,EE$35-$AC$134+1,0)</f>
        <v>83</v>
      </c>
      <c r="EF136" s="63" t="n">
        <f aca="false">IF(EF$35&gt;=$AC$134,EF$35-$AC$134+1,0)</f>
        <v>84</v>
      </c>
      <c r="EG136" s="63" t="n">
        <f aca="false">IF(EG$35&gt;=$AC$134,EG$35-$AC$134+1,0)</f>
        <v>85</v>
      </c>
      <c r="EH136" s="63" t="n">
        <f aca="false">IF(EH$35&gt;=$AC$134,EH$35-$AC$134+1,0)</f>
        <v>86</v>
      </c>
      <c r="EI136" s="63" t="n">
        <f aca="false">IF(EI$35&gt;=$AC$134,EI$35-$AC$134+1,0)</f>
        <v>87</v>
      </c>
      <c r="EJ136" s="63" t="n">
        <f aca="false">IF(EJ$35&gt;=$AC$134,EJ$35-$AC$134+1,0)</f>
        <v>88</v>
      </c>
      <c r="EK136" s="63" t="n">
        <f aca="false">IF(EK$35&gt;=$AC$134,EK$35-$AC$134+1,0)</f>
        <v>89</v>
      </c>
      <c r="EL136" s="63" t="n">
        <f aca="false">IF(EL$35&gt;=$AC$134,EL$35-$AC$134+1,0)</f>
        <v>90</v>
      </c>
      <c r="EM136" s="63" t="n">
        <f aca="false">IF(EM$35&gt;=$AC$134,EM$35-$AC$134+1,0)</f>
        <v>91</v>
      </c>
      <c r="EN136" s="63" t="n">
        <f aca="false">IF(EN$35&gt;=$AC$134,EN$35-$AC$134+1,0)</f>
        <v>92</v>
      </c>
      <c r="EO136" s="63" t="n">
        <f aca="false">IF(EO$35&gt;=$AC$134,EO$35-$AC$134+1,0)</f>
        <v>93</v>
      </c>
      <c r="EP136" s="63" t="n">
        <f aca="false">IF(EP$35&gt;=$AC$134,EP$35-$AC$134+1,0)</f>
        <v>94</v>
      </c>
      <c r="EQ136" s="63" t="n">
        <f aca="false">IF(EQ$35&gt;=$AC$134,EQ$35-$AC$134+1,0)</f>
        <v>95</v>
      </c>
      <c r="ER136" s="63" t="n">
        <f aca="false">IF(ER$35&gt;=$AC$134,ER$35-$AC$134+1,0)</f>
        <v>96</v>
      </c>
      <c r="ES136" s="9" t="n">
        <f aca="false">IF(ES$35&gt;=$AC$134,ES$35-$AC$134+1,0)</f>
        <v>97</v>
      </c>
      <c r="ET136" s="9" t="n">
        <f aca="false">IF(ET$35&gt;=$AC$134,ET$35-$AC$134+1,0)</f>
        <v>98</v>
      </c>
      <c r="EU136" s="9" t="n">
        <f aca="false">IF(EU$35&gt;=$AC$134,EU$35-$AC$134+1,0)</f>
        <v>99</v>
      </c>
      <c r="EV136" s="9" t="n">
        <f aca="false">IF(EV$35&gt;=$AC$134,EV$35-$AC$134+1,0)</f>
        <v>100</v>
      </c>
      <c r="EW136" s="9" t="n">
        <f aca="false">IF(EW$35&gt;=$AC$134,EW$35-$AC$134+1,0)</f>
        <v>101</v>
      </c>
      <c r="EX136" s="9" t="n">
        <f aca="false">IF(EX$35&gt;=$AC$134,EX$35-$AC$134+1,0)</f>
        <v>102</v>
      </c>
      <c r="EY136" s="9" t="n">
        <f aca="false">IF(EY$35&gt;=$AC$134,EY$35-$AC$134+1,0)</f>
        <v>103</v>
      </c>
      <c r="EZ136" s="9" t="n">
        <f aca="false">IF(EZ$35&gt;=$AC$134,EZ$35-$AC$134+1,0)</f>
        <v>104</v>
      </c>
      <c r="FA136" s="9" t="n">
        <f aca="false">IF(FA$35&gt;=$AC$134,FA$35-$AC$134+1,0)</f>
        <v>105</v>
      </c>
      <c r="FB136" s="9" t="n">
        <f aca="false">IF(FB$35&gt;=$AC$134,FB$35-$AC$134+1,0)</f>
        <v>106</v>
      </c>
      <c r="FC136" s="9" t="n">
        <f aca="false">IF(FC$35&gt;=$AC$134,FC$35-$AC$134+1,0)</f>
        <v>107</v>
      </c>
      <c r="FD136" s="9" t="n">
        <f aca="false">IF(FD$35&gt;=$AC$134,FD$35-$AC$134+1,0)</f>
        <v>108</v>
      </c>
      <c r="FE136" s="9" t="n">
        <f aca="false">IF(FE$35&gt;=$AC$134,FE$35-$AC$134+1,0)</f>
        <v>109</v>
      </c>
      <c r="FF136" s="9" t="n">
        <f aca="false">IF(FF$35&gt;=$AC$134,FF$35-$AC$134+1,0)</f>
        <v>110</v>
      </c>
      <c r="FG136" s="9" t="n">
        <f aca="false">IF(FG$35&gt;=$AC$134,FG$35-$AC$134+1,0)</f>
        <v>111</v>
      </c>
      <c r="FH136" s="9" t="n">
        <f aca="false">IF(FH$35&gt;=$AC$134,FH$35-$AC$134+1,0)</f>
        <v>112</v>
      </c>
      <c r="FI136" s="9" t="n">
        <f aca="false">IF(FI$35&gt;=$AC$134,FI$35-$AC$134+1,0)</f>
        <v>113</v>
      </c>
      <c r="FJ136" s="9" t="n">
        <f aca="false">IF(FJ$35&gt;=$AC$134,FJ$35-$AC$134+1,0)</f>
        <v>114</v>
      </c>
      <c r="FK136" s="9" t="n">
        <f aca="false">IF(FK$35&gt;=$AC$134,FK$35-$AC$134+1,0)</f>
        <v>115</v>
      </c>
      <c r="FL136" s="9" t="n">
        <f aca="false">IF(FL$35&gt;=$AC$134,FL$35-$AC$134+1,0)</f>
        <v>116</v>
      </c>
      <c r="FM136" s="9" t="n">
        <f aca="false">IF(FM$35&gt;=$AC$134,FM$35-$AC$134+1,0)</f>
        <v>117</v>
      </c>
      <c r="FN136" s="9" t="n">
        <f aca="false">IF(FN$35&gt;=$AC$134,FN$35-$AC$134+1,0)</f>
        <v>118</v>
      </c>
      <c r="FO136" s="9" t="n">
        <f aca="false">IF(FO$35&gt;=$AC$134,FO$35-$AC$134+1,0)</f>
        <v>119</v>
      </c>
      <c r="FP136" s="9" t="n">
        <f aca="false">IF(FP$35&gt;=$AC$134,FP$35-$AC$134+1,0)</f>
        <v>120</v>
      </c>
    </row>
    <row r="137" customFormat="false" ht="15" hidden="false" customHeight="false" outlineLevel="2" collapsed="false">
      <c r="B137" s="9" t="s">
        <v>874</v>
      </c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236" t="n">
        <f aca="false" t="array" ref="AC137:AC137">IF(AC136=0,0,IF(AC136/'🎚️ Escenario'!$C$11&gt;=36,$AL$23,INDEX($C$23:$AL$23,MAX(1,ROUNDUP(AC136/'🎚️ Escenario'!$C$11,0)))))</f>
        <v>0</v>
      </c>
      <c r="AD137" s="236" t="n">
        <f aca="false" t="array" ref="AD137:AD137">IF(AD136=0,0,IF(AD136/'🎚️ Escenario'!$C$11&gt;=36,$AL$23,INDEX($C$23:$AL$23,MAX(1,ROUNDUP(AD136/'🎚️ Escenario'!$C$11,0)))))</f>
        <v>0</v>
      </c>
      <c r="AE137" s="236" t="n">
        <f aca="false" t="array" ref="AE137:AE137">IF(AE136=0,0,IF(AE136/'🎚️ Escenario'!$C$11&gt;=36,$AL$23,INDEX($C$23:$AL$23,MAX(1,ROUNDUP(AE136/'🎚️ Escenario'!$C$11,0)))))</f>
        <v>0</v>
      </c>
      <c r="AF137" s="236" t="n">
        <f aca="false" t="array" ref="AF137:AF137">IF(AF136=0,0,IF(AF136/'🎚️ Escenario'!$C$11&gt;=36,$AL$23,INDEX($C$23:$AL$23,MAX(1,ROUNDUP(AF136/'🎚️ Escenario'!$C$11,0)))))</f>
        <v>0</v>
      </c>
      <c r="AG137" s="236" t="n">
        <f aca="false" t="array" ref="AG137:AG137">IF(AG136=0,0,IF(AG136/'🎚️ Escenario'!$C$11&gt;=36,$AL$23,INDEX($C$23:$AL$23,MAX(1,ROUNDUP(AG136/'🎚️ Escenario'!$C$11,0)))))</f>
        <v>0</v>
      </c>
      <c r="AH137" s="236" t="n">
        <f aca="false" t="array" ref="AH137:AH137">IF(AH136=0,0,IF(AH136/'🎚️ Escenario'!$C$11&gt;=36,$AL$23,INDEX($C$23:$AL$23,MAX(1,ROUNDUP(AH136/'🎚️ Escenario'!$C$11,0)))))</f>
        <v>0</v>
      </c>
      <c r="AI137" s="236" t="n">
        <f aca="false" t="array" ref="AI137:AI137">IF(AI136=0,0,IF(AI136/'🎚️ Escenario'!$C$11&gt;=36,$AL$23,INDEX($C$23:$AL$23,MAX(1,ROUNDUP(AI136/'🎚️ Escenario'!$C$11,0)))))</f>
        <v>0</v>
      </c>
      <c r="AJ137" s="236" t="n">
        <f aca="false" t="array" ref="AJ137:AJ137">IF(AJ136=0,0,IF(AJ136/'🎚️ Escenario'!$C$11&gt;=36,$AL$23,INDEX($C$23:$AL$23,MAX(1,ROUNDUP(AJ136/'🎚️ Escenario'!$C$11,0)))))</f>
        <v>0</v>
      </c>
      <c r="AK137" s="236" t="n">
        <f aca="false" t="array" ref="AK137:AK137">IF(AK136=0,0,IF(AK136/'🎚️ Escenario'!$C$11&gt;=36,$AL$23,INDEX($C$23:$AL$23,MAX(1,ROUNDUP(AK136/'🎚️ Escenario'!$C$11,0)))))</f>
        <v>0</v>
      </c>
      <c r="AL137" s="236" t="n">
        <f aca="false" t="array" ref="AL137:AL137">IF(AL136=0,0,IF(AL136/'🎚️ Escenario'!$C$11&gt;=36,$AL$23,INDEX($C$23:$AL$23,MAX(1,ROUNDUP(AL136/'🎚️ Escenario'!$C$11,0)))))</f>
        <v>0</v>
      </c>
      <c r="AM137" s="236" t="n">
        <f aca="false" t="array" ref="AM137:AM137">IF(AM136=0,0,IF(AM136/'🎚️ Escenario'!$C$11&gt;=36,$AL$23,INDEX($C$23:$AL$23,MAX(1,ROUNDUP(AM136/'🎚️ Escenario'!$C$11,0)))))</f>
        <v>0</v>
      </c>
      <c r="AN137" s="236" t="n">
        <f aca="false" t="array" ref="AN137:AN137">IF(AN136=0,0,IF(AN136/'🎚️ Escenario'!$C$11&gt;=36,$AL$23,INDEX($C$23:$AL$23,MAX(1,ROUNDUP(AN136/'🎚️ Escenario'!$C$11,0)))))</f>
        <v>0</v>
      </c>
      <c r="AO137" s="236" t="n">
        <f aca="false" t="array" ref="AO137:AO137">IF(AO136=0,0,IF(AO136/'🎚️ Escenario'!$C$11&gt;=36,$AL$23,INDEX($C$23:$AL$23,MAX(1,ROUNDUP(AO136/'🎚️ Escenario'!$C$11,0)))))</f>
        <v>0</v>
      </c>
      <c r="AP137" s="236" t="n">
        <f aca="false" t="array" ref="AP137:AP137">IF(AP136=0,0,IF(AP136/'🎚️ Escenario'!$C$11&gt;=36,$AL$23,INDEX($C$23:$AL$23,MAX(1,ROUNDUP(AP136/'🎚️ Escenario'!$C$11,0)))))</f>
        <v>0</v>
      </c>
      <c r="AQ137" s="236" t="n">
        <f aca="false" t="array" ref="AQ137:AQ137">IF(AQ136=0,0,IF(AQ136/'🎚️ Escenario'!$C$11&gt;=36,$AL$23,INDEX($C$23:$AL$23,MAX(1,ROUNDUP(AQ136/'🎚️ Escenario'!$C$11,0)))))</f>
        <v>0</v>
      </c>
      <c r="AR137" s="236" t="n">
        <f aca="false" t="array" ref="AR137:AR137">IF(AR136=0,0,IF(AR136/'🎚️ Escenario'!$C$11&gt;=36,$AL$23,INDEX($C$23:$AL$23,MAX(1,ROUNDUP(AR136/'🎚️ Escenario'!$C$11,0)))))</f>
        <v>0</v>
      </c>
      <c r="AS137" s="236" t="n">
        <f aca="false" t="array" ref="AS137:AS137">IF(AS136=0,0,IF(AS136/'🎚️ Escenario'!$C$11&gt;=36,$AL$23,INDEX($C$23:$AL$23,MAX(1,ROUNDUP(AS136/'🎚️ Escenario'!$C$11,0)))))</f>
        <v>0</v>
      </c>
      <c r="AT137" s="236" t="n">
        <f aca="false" t="array" ref="AT137:AT137">IF(AT136=0,0,IF(AT136/'🎚️ Escenario'!$C$11&gt;=36,$AL$23,INDEX($C$23:$AL$23,MAX(1,ROUNDUP(AT136/'🎚️ Escenario'!$C$11,0)))))</f>
        <v>0</v>
      </c>
      <c r="AU137" s="236" t="n">
        <f aca="false" t="array" ref="AU137:AU137">IF(AU136=0,0,IF(AU136/'🎚️ Escenario'!$C$11&gt;=36,$AL$23,INDEX($C$23:$AL$23,MAX(1,ROUNDUP(AU136/'🎚️ Escenario'!$C$11,0)))))</f>
        <v>0</v>
      </c>
      <c r="AV137" s="236" t="n">
        <f aca="false" t="array" ref="AV137:AV137">IF(AV136=0,0,IF(AV136/'🎚️ Escenario'!$C$11&gt;=36,$AL$23,INDEX($C$23:$AL$23,MAX(1,ROUNDUP(AV136/'🎚️ Escenario'!$C$11,0)))))</f>
        <v>0</v>
      </c>
      <c r="AW137" s="236" t="n">
        <f aca="false" t="array" ref="AW137:AW137">IF(AW136=0,0,IF(AW136/'🎚️ Escenario'!$C$11&gt;=36,$AL$23,INDEX($C$23:$AL$23,MAX(1,ROUNDUP(AW136/'🎚️ Escenario'!$C$11,0)))))</f>
        <v>0</v>
      </c>
      <c r="AX137" s="236" t="n">
        <f aca="false" t="array" ref="AX137:AX137">IF(AX136=0,0,IF(AX136/'🎚️ Escenario'!$C$11&gt;=36,$AL$23,INDEX($C$23:$AL$23,MAX(1,ROUNDUP(AX136/'🎚️ Escenario'!$C$11,0)))))</f>
        <v>0</v>
      </c>
      <c r="AY137" s="236" t="n">
        <f aca="false" t="array" ref="AY137:AY137">IF(AY136=0,0,IF(AY136/'🎚️ Escenario'!$C$11&gt;=36,$AL$23,INDEX($C$23:$AL$23,MAX(1,ROUNDUP(AY136/'🎚️ Escenario'!$C$11,0)))))</f>
        <v>0</v>
      </c>
      <c r="AZ137" s="236" t="n">
        <f aca="false" t="array" ref="AZ137:AZ137">IF(AZ136=0,0,IF(AZ136/'🎚️ Escenario'!$C$11&gt;=36,$AL$23,INDEX($C$23:$AL$23,MAX(1,ROUNDUP(AZ136/'🎚️ Escenario'!$C$11,0)))))</f>
        <v>0</v>
      </c>
      <c r="BA137" s="236" t="n">
        <f aca="false" t="array" ref="BA137:BA137">IF(BA136=0,0,IF(BA136/'🎚️ Escenario'!$C$11&gt;=36,$AL$23,INDEX($C$23:$AL$23,MAX(1,ROUNDUP(BA136/'🎚️ Escenario'!$C$11,0)))))</f>
        <v>0.2</v>
      </c>
      <c r="BB137" s="236" t="n">
        <f aca="false" t="array" ref="BB137:BB137">IF(BB136=0,0,IF(BB136/'🎚️ Escenario'!$C$11&gt;=36,$AL$23,INDEX($C$23:$AL$23,MAX(1,ROUNDUP(BB136/'🎚️ Escenario'!$C$11,0)))))</f>
        <v>0.22</v>
      </c>
      <c r="BC137" s="236" t="n">
        <f aca="false" t="array" ref="BC137:BC137">IF(BC136=0,0,IF(BC136/'🎚️ Escenario'!$C$11&gt;=36,$AL$23,INDEX($C$23:$AL$23,MAX(1,ROUNDUP(BC136/'🎚️ Escenario'!$C$11,0)))))</f>
        <v>0.24</v>
      </c>
      <c r="BD137" s="236" t="n">
        <f aca="false" t="array" ref="BD137:BD137">IF(BD136=0,0,IF(BD136/'🎚️ Escenario'!$C$11&gt;=36,$AL$23,INDEX($C$23:$AL$23,MAX(1,ROUNDUP(BD136/'🎚️ Escenario'!$C$11,0)))))</f>
        <v>0.27</v>
      </c>
      <c r="BE137" s="236" t="n">
        <f aca="false" t="array" ref="BE137:BE137">IF(BE136=0,0,IF(BE136/'🎚️ Escenario'!$C$11&gt;=36,$AL$23,INDEX($C$23:$AL$23,MAX(1,ROUNDUP(BE136/'🎚️ Escenario'!$C$11,0)))))</f>
        <v>0.27</v>
      </c>
      <c r="BF137" s="236" t="n">
        <f aca="false" t="array" ref="BF137:BF137">IF(BF136=0,0,IF(BF136/'🎚️ Escenario'!$C$11&gt;=36,$AL$23,INDEX($C$23:$AL$23,MAX(1,ROUNDUP(BF136/'🎚️ Escenario'!$C$11,0)))))</f>
        <v>0.31</v>
      </c>
      <c r="BG137" s="236" t="n">
        <f aca="false" t="array" ref="BG137:BG137">IF(BG136=0,0,IF(BG136/'🎚️ Escenario'!$C$11&gt;=36,$AL$23,INDEX($C$23:$AL$23,MAX(1,ROUNDUP(BG136/'🎚️ Escenario'!$C$11,0)))))</f>
        <v>0.35</v>
      </c>
      <c r="BH137" s="236" t="n">
        <f aca="false" t="array" ref="BH137:BH137">IF(BH136=0,0,IF(BH136/'🎚️ Escenario'!$C$11&gt;=36,$AL$23,INDEX($C$23:$AL$23,MAX(1,ROUNDUP(BH136/'🎚️ Escenario'!$C$11,0)))))</f>
        <v>0.39</v>
      </c>
      <c r="BI137" s="236" t="n">
        <f aca="false" t="array" ref="BI137:BI137">IF(BI136=0,0,IF(BI136/'🎚️ Escenario'!$C$11&gt;=36,$AL$23,INDEX($C$23:$AL$23,MAX(1,ROUNDUP(BI136/'🎚️ Escenario'!$C$11,0)))))</f>
        <v>0.44</v>
      </c>
      <c r="BJ137" s="236" t="n">
        <f aca="false" t="array" ref="BJ137:BJ137">IF(BJ136=0,0,IF(BJ136/'🎚️ Escenario'!$C$11&gt;=36,$AL$23,INDEX($C$23:$AL$23,MAX(1,ROUNDUP(BJ136/'🎚️ Escenario'!$C$11,0)))))</f>
        <v>0.44</v>
      </c>
      <c r="BK137" s="236" t="n">
        <f aca="false" t="array" ref="BK137:BK137">IF(BK136=0,0,IF(BK136/'🎚️ Escenario'!$C$11&gt;=36,$AL$23,INDEX($C$23:$AL$23,MAX(1,ROUNDUP(BK136/'🎚️ Escenario'!$C$11,0)))))</f>
        <v>0.48</v>
      </c>
      <c r="BL137" s="236" t="n">
        <f aca="false" t="array" ref="BL137:BL137">IF(BL136=0,0,IF(BL136/'🎚️ Escenario'!$C$11&gt;=36,$AL$23,INDEX($C$23:$AL$23,MAX(1,ROUNDUP(BL136/'🎚️ Escenario'!$C$11,0)))))</f>
        <v>0.52</v>
      </c>
      <c r="BM137" s="236" t="n">
        <f aca="false" t="array" ref="BM137:BM137">IF(BM136=0,0,IF(BM136/'🎚️ Escenario'!$C$11&gt;=36,$AL$23,INDEX($C$23:$AL$23,MAX(1,ROUNDUP(BM136/'🎚️ Escenario'!$C$11,0)))))</f>
        <v>0.56</v>
      </c>
      <c r="BN137" s="236" t="n">
        <f aca="false" t="array" ref="BN137:BN137">IF(BN136=0,0,IF(BN136/'🎚️ Escenario'!$C$11&gt;=36,$AL$23,INDEX($C$23:$AL$23,MAX(1,ROUNDUP(BN136/'🎚️ Escenario'!$C$11,0)))))</f>
        <v>0.6</v>
      </c>
      <c r="BO137" s="236" t="n">
        <f aca="false" t="array" ref="BO137:BO137">IF(BO136=0,0,IF(BO136/'🎚️ Escenario'!$C$11&gt;=36,$AL$23,INDEX($C$23:$AL$23,MAX(1,ROUNDUP(BO136/'🎚️ Escenario'!$C$11,0)))))</f>
        <v>0.6</v>
      </c>
      <c r="BP137" s="236" t="n">
        <f aca="false" t="array" ref="BP137:BP137">IF(BP136=0,0,IF(BP136/'🎚️ Escenario'!$C$11&gt;=36,$AL$23,INDEX($C$23:$AL$23,MAX(1,ROUNDUP(BP136/'🎚️ Escenario'!$C$11,0)))))</f>
        <v>0.63</v>
      </c>
      <c r="BQ137" s="236" t="n">
        <f aca="false" t="array" ref="BQ137:BQ137">IF(BQ136=0,0,IF(BQ136/'🎚️ Escenario'!$C$11&gt;=36,$AL$23,INDEX($C$23:$AL$23,MAX(1,ROUNDUP(BQ136/'🎚️ Escenario'!$C$11,0)))))</f>
        <v>0.66</v>
      </c>
      <c r="BR137" s="236" t="n">
        <f aca="false" t="array" ref="BR137:BR137">IF(BR136=0,0,IF(BR136/'🎚️ Escenario'!$C$11&gt;=36,$AL$23,INDEX($C$23:$AL$23,MAX(1,ROUNDUP(BR136/'🎚️ Escenario'!$C$11,0)))))</f>
        <v>0.69</v>
      </c>
      <c r="BS137" s="236" t="n">
        <f aca="false" t="array" ref="BS137:BS137">IF(BS136=0,0,IF(BS136/'🎚️ Escenario'!$C$11&gt;=36,$AL$23,INDEX($C$23:$AL$23,MAX(1,ROUNDUP(BS136/'🎚️ Escenario'!$C$11,0)))))</f>
        <v>0.71</v>
      </c>
      <c r="BT137" s="236" t="n">
        <f aca="false" t="array" ref="BT137:BT137">IF(BT136=0,0,IF(BT136/'🎚️ Escenario'!$C$11&gt;=36,$AL$23,INDEX($C$23:$AL$23,MAX(1,ROUNDUP(BT136/'🎚️ Escenario'!$C$11,0)))))</f>
        <v>0.71</v>
      </c>
      <c r="BU137" s="236" t="n">
        <f aca="false" t="array" ref="BU137:BU137">IF(BU136=0,0,IF(BU136/'🎚️ Escenario'!$C$11&gt;=36,$AL$23,INDEX($C$23:$AL$23,MAX(1,ROUNDUP(BU136/'🎚️ Escenario'!$C$11,0)))))</f>
        <v>0.73</v>
      </c>
      <c r="BV137" s="236" t="n">
        <f aca="false" t="array" ref="BV137:BV137">IF(BV136=0,0,IF(BV136/'🎚️ Escenario'!$C$11&gt;=36,$AL$23,INDEX($C$23:$AL$23,MAX(1,ROUNDUP(BV136/'🎚️ Escenario'!$C$11,0)))))</f>
        <v>0.75</v>
      </c>
      <c r="BW137" s="236" t="n">
        <f aca="false" t="array" ref="BW137:BW137">IF(BW136=0,0,IF(BW136/'🎚️ Escenario'!$C$11&gt;=36,$AL$23,INDEX($C$23:$AL$23,MAX(1,ROUNDUP(BW136/'🎚️ Escenario'!$C$11,0)))))</f>
        <v>0.77</v>
      </c>
      <c r="BX137" s="236" t="n">
        <f aca="false" t="array" ref="BX137:BX137">IF(BX136=0,0,IF(BX136/'🎚️ Escenario'!$C$11&gt;=36,$AL$23,INDEX($C$23:$AL$23,MAX(1,ROUNDUP(BX136/'🎚️ Escenario'!$C$11,0)))))</f>
        <v>0.79</v>
      </c>
      <c r="BY137" s="236" t="n">
        <f aca="false" t="array" ref="BY137:BY137">IF(BY136=0,0,IF(BY136/'🎚️ Escenario'!$C$11&gt;=36,$AL$23,INDEX($C$23:$AL$23,MAX(1,ROUNDUP(BY136/'🎚️ Escenario'!$C$11,0)))))</f>
        <v>0.79</v>
      </c>
      <c r="BZ137" s="236" t="n">
        <f aca="false" t="array" ref="BZ137:BZ137">IF(BZ136=0,0,IF(BZ136/'🎚️ Escenario'!$C$11&gt;=36,$AL$23,INDEX($C$23:$AL$23,MAX(1,ROUNDUP(BZ136/'🎚️ Escenario'!$C$11,0)))))</f>
        <v>0.8</v>
      </c>
      <c r="CA137" s="236" t="n">
        <f aca="false" t="array" ref="CA137:CA137">IF(CA136=0,0,IF(CA136/'🎚️ Escenario'!$C$11&gt;=36,$AL$23,INDEX($C$23:$AL$23,MAX(1,ROUNDUP(CA136/'🎚️ Escenario'!$C$11,0)))))</f>
        <v>0.82</v>
      </c>
      <c r="CB137" s="236" t="n">
        <f aca="false" t="array" ref="CB137:CB137">IF(CB136=0,0,IF(CB136/'🎚️ Escenario'!$C$11&gt;=36,$AL$23,INDEX($C$23:$AL$23,MAX(1,ROUNDUP(CB136/'🎚️ Escenario'!$C$11,0)))))</f>
        <v>0.84</v>
      </c>
      <c r="CC137" s="236" t="n">
        <f aca="false" t="array" ref="CC137:CC137">IF(CC136=0,0,IF(CC136/'🎚️ Escenario'!$C$11&gt;=36,$AL$23,INDEX($C$23:$AL$23,MAX(1,ROUNDUP(CC136/'🎚️ Escenario'!$C$11,0)))))</f>
        <v>0.85</v>
      </c>
      <c r="CD137" s="236" t="n">
        <f aca="false" t="array" ref="CD137:CD137">IF(CD136=0,0,IF(CD136/'🎚️ Escenario'!$C$11&gt;=36,$AL$23,INDEX($C$23:$AL$23,MAX(1,ROUNDUP(CD136/'🎚️ Escenario'!$C$11,0)))))</f>
        <v>0.85</v>
      </c>
      <c r="CE137" s="236" t="n">
        <f aca="false" t="array" ref="CE137:CE137">IF(CE136=0,0,IF(CE136/'🎚️ Escenario'!$C$11&gt;=36,$AL$23,INDEX($C$23:$AL$23,MAX(1,ROUNDUP(CE136/'🎚️ Escenario'!$C$11,0)))))</f>
        <v>0.86</v>
      </c>
      <c r="CF137" s="236" t="n">
        <f aca="false" t="array" ref="CF137:CF137">IF(CF136=0,0,IF(CF136/'🎚️ Escenario'!$C$11&gt;=36,$AL$23,INDEX($C$23:$AL$23,MAX(1,ROUNDUP(CF136/'🎚️ Escenario'!$C$11,0)))))</f>
        <v>0.88</v>
      </c>
      <c r="CG137" s="236" t="n">
        <f aca="false" t="array" ref="CG137:CG137">IF(CG136=0,0,IF(CG136/'🎚️ Escenario'!$C$11&gt;=36,$AL$23,INDEX($C$23:$AL$23,MAX(1,ROUNDUP(CG136/'🎚️ Escenario'!$C$11,0)))))</f>
        <v>0.89</v>
      </c>
      <c r="CH137" s="236" t="n">
        <f aca="false" t="array" ref="CH137:CH137">IF(CH136=0,0,IF(CH136/'🎚️ Escenario'!$C$11&gt;=36,$AL$23,INDEX($C$23:$AL$23,MAX(1,ROUNDUP(CH136/'🎚️ Escenario'!$C$11,0)))))</f>
        <v>0.9</v>
      </c>
      <c r="CI137" s="236" t="n">
        <f aca="false" t="array" ref="CI137:CI137">IF(CI136=0,0,IF(CI136/'🎚️ Escenario'!$C$11&gt;=36,$AL$23,INDEX($C$23:$AL$23,MAX(1,ROUNDUP(CI136/'🎚️ Escenario'!$C$11,0)))))</f>
        <v>0.9</v>
      </c>
      <c r="CJ137" s="236" t="n">
        <f aca="false" t="array" ref="CJ137:CJ137">IF(CJ136=0,0,IF(CJ136/'🎚️ Escenario'!$C$11&gt;=36,$AL$23,INDEX($C$23:$AL$23,MAX(1,ROUNDUP(CJ136/'🎚️ Escenario'!$C$11,0)))))</f>
        <v>0.92</v>
      </c>
      <c r="CK137" s="236" t="n">
        <f aca="false" t="array" ref="CK137:CK137">IF(CK136=0,0,IF(CK136/'🎚️ Escenario'!$C$11&gt;=36,$AL$23,INDEX($C$23:$AL$23,MAX(1,ROUNDUP(CK136/'🎚️ Escenario'!$C$11,0)))))</f>
        <v>0.93</v>
      </c>
      <c r="CL137" s="236" t="n">
        <f aca="false" t="array" ref="CL137:CL137">IF(CL136=0,0,IF(CL136/'🎚️ Escenario'!$C$11&gt;=36,$AL$23,INDEX($C$23:$AL$23,MAX(1,ROUNDUP(CL136/'🎚️ Escenario'!$C$11,0)))))</f>
        <v>0.94</v>
      </c>
      <c r="CM137" s="236" t="n">
        <f aca="false" t="array" ref="CM137:CM137">IF(CM136=0,0,IF(CM136/'🎚️ Escenario'!$C$11&gt;=36,$AL$23,INDEX($C$23:$AL$23,MAX(1,ROUNDUP(CM136/'🎚️ Escenario'!$C$11,0)))))</f>
        <v>0.95</v>
      </c>
      <c r="CN137" s="236" t="n">
        <f aca="false" t="array" ref="CN137:CN137">IF(CN136=0,0,IF(CN136/'🎚️ Escenario'!$C$11&gt;=36,$AL$23,INDEX($C$23:$AL$23,MAX(1,ROUNDUP(CN136/'🎚️ Escenario'!$C$11,0)))))</f>
        <v>0.95</v>
      </c>
      <c r="CO137" s="236" t="n">
        <f aca="false" t="array" ref="CO137:CO137">IF(CO136=0,0,IF(CO136/'🎚️ Escenario'!$C$11&gt;=36,$AL$23,INDEX($C$23:$AL$23,MAX(1,ROUNDUP(CO136/'🎚️ Escenario'!$C$11,0)))))</f>
        <v>0.97</v>
      </c>
      <c r="CP137" s="236" t="n">
        <f aca="false" t="array" ref="CP137:CP137">IF(CP136=0,0,IF(CP136/'🎚️ Escenario'!$C$11&gt;=36,$AL$23,INDEX($C$23:$AL$23,MAX(1,ROUNDUP(CP136/'🎚️ Escenario'!$C$11,0)))))</f>
        <v>0.98</v>
      </c>
      <c r="CQ137" s="236" t="n">
        <f aca="false" t="array" ref="CQ137:CQ137">IF(CQ136=0,0,IF(CQ136/'🎚️ Escenario'!$C$11&gt;=36,$AL$23,INDEX($C$23:$AL$23,MAX(1,ROUNDUP(CQ136/'🎚️ Escenario'!$C$11,0)))))</f>
        <v>0.99</v>
      </c>
      <c r="CR137" s="236" t="n">
        <f aca="false" t="array" ref="CR137:CR137">IF(CR136=0,0,IF(CR136/'🎚️ Escenario'!$C$11&gt;=36,$AL$23,INDEX($C$23:$AL$23,MAX(1,ROUNDUP(CR136/'🎚️ Escenario'!$C$11,0)))))</f>
        <v>1</v>
      </c>
      <c r="CS137" s="236" t="n">
        <f aca="false" t="array" ref="CS137:CS137">IF(CS136=0,0,IF(CS136/'🎚️ Escenario'!$C$11&gt;=36,$AL$23,INDEX($C$23:$AL$23,MAX(1,ROUNDUP(CS136/'🎚️ Escenario'!$C$11,0)))))</f>
        <v>1</v>
      </c>
      <c r="CT137" s="236" t="n">
        <f aca="false" t="array" ref="CT137:CT137">IF(CT136=0,0,IF(CT136/'🎚️ Escenario'!$C$11&gt;=36,$AL$23,INDEX($C$23:$AL$23,MAX(1,ROUNDUP(CT136/'🎚️ Escenario'!$C$11,0)))))</f>
        <v>1</v>
      </c>
      <c r="CU137" s="236" t="n">
        <f aca="false" t="array" ref="CU137:CU137">IF(CU136=0,0,IF(CU136/'🎚️ Escenario'!$C$11&gt;=36,$AL$23,INDEX($C$23:$AL$23,MAX(1,ROUNDUP(CU136/'🎚️ Escenario'!$C$11,0)))))</f>
        <v>1</v>
      </c>
      <c r="CV137" s="236" t="n">
        <f aca="false" t="array" ref="CV137:CV137">IF(CV136=0,0,IF(CV136/'🎚️ Escenario'!$C$11&gt;=36,$AL$23,INDEX($C$23:$AL$23,MAX(1,ROUNDUP(CV136/'🎚️ Escenario'!$C$11,0)))))</f>
        <v>1</v>
      </c>
      <c r="CW137" s="236" t="n">
        <f aca="false" t="array" ref="CW137:CW137">IF(CW136=0,0,IF(CW136/'🎚️ Escenario'!$C$11&gt;=36,$AL$23,INDEX($C$23:$AL$23,MAX(1,ROUNDUP(CW136/'🎚️ Escenario'!$C$11,0)))))</f>
        <v>1</v>
      </c>
      <c r="CX137" s="236" t="n">
        <f aca="false" t="array" ref="CX137:CX137">IF(CX136=0,0,IF(CX136/'🎚️ Escenario'!$C$11&gt;=36,$AL$23,INDEX($C$23:$AL$23,MAX(1,ROUNDUP(CX136/'🎚️ Escenario'!$C$11,0)))))</f>
        <v>1</v>
      </c>
      <c r="CY137" s="236" t="n">
        <f aca="false" t="array" ref="CY137:CY137">IF(CY136=0,0,IF(CY136/'🎚️ Escenario'!$C$11&gt;=36,$AL$23,INDEX($C$23:$AL$23,MAX(1,ROUNDUP(CY136/'🎚️ Escenario'!$C$11,0)))))</f>
        <v>1</v>
      </c>
      <c r="CZ137" s="236" t="n">
        <f aca="false" t="array" ref="CZ137:CZ137">IF(CZ136=0,0,IF(CZ136/'🎚️ Escenario'!$C$11&gt;=36,$AL$23,INDEX($C$23:$AL$23,MAX(1,ROUNDUP(CZ136/'🎚️ Escenario'!$C$11,0)))))</f>
        <v>1</v>
      </c>
      <c r="DA137" s="236" t="n">
        <f aca="false" t="array" ref="DA137:DA137">IF(DA136=0,0,IF(DA136/'🎚️ Escenario'!$C$11&gt;=36,$AL$23,INDEX($C$23:$AL$23,MAX(1,ROUNDUP(DA136/'🎚️ Escenario'!$C$11,0)))))</f>
        <v>1</v>
      </c>
      <c r="DB137" s="236" t="n">
        <f aca="false" t="array" ref="DB137:DB137">IF(DB136=0,0,IF(DB136/'🎚️ Escenario'!$C$11&gt;=36,$AL$23,INDEX($C$23:$AL$23,MAX(1,ROUNDUP(DB136/'🎚️ Escenario'!$C$11,0)))))</f>
        <v>1</v>
      </c>
      <c r="DC137" s="236" t="n">
        <f aca="false" t="array" ref="DC137:DC137">IF(DC136=0,0,IF(DC136/'🎚️ Escenario'!$C$11&gt;=36,$AL$23,INDEX($C$23:$AL$23,MAX(1,ROUNDUP(DC136/'🎚️ Escenario'!$C$11,0)))))</f>
        <v>1</v>
      </c>
      <c r="DD137" s="236" t="n">
        <f aca="false" t="array" ref="DD137:DD137">IF(DD136=0,0,IF(DD136/'🎚️ Escenario'!$C$11&gt;=36,$AL$23,INDEX($C$23:$AL$23,MAX(1,ROUNDUP(DD136/'🎚️ Escenario'!$C$11,0)))))</f>
        <v>1</v>
      </c>
      <c r="DE137" s="236" t="n">
        <f aca="false" t="array" ref="DE137:DE137">IF(DE136=0,0,IF(DE136/'🎚️ Escenario'!$C$11&gt;=36,$AL$23,INDEX($C$23:$AL$23,MAX(1,ROUNDUP(DE136/'🎚️ Escenario'!$C$11,0)))))</f>
        <v>1</v>
      </c>
      <c r="DF137" s="236" t="n">
        <f aca="false" t="array" ref="DF137:DF137">IF(DF136=0,0,IF(DF136/'🎚️ Escenario'!$C$11&gt;=36,$AL$23,INDEX($C$23:$AL$23,MAX(1,ROUNDUP(DF136/'🎚️ Escenario'!$C$11,0)))))</f>
        <v>1</v>
      </c>
      <c r="DG137" s="236" t="n">
        <f aca="false" t="array" ref="DG137:DG137">IF(DG136=0,0,IF(DG136/'🎚️ Escenario'!$C$11&gt;=36,$AL$23,INDEX($C$23:$AL$23,MAX(1,ROUNDUP(DG136/'🎚️ Escenario'!$C$11,0)))))</f>
        <v>1</v>
      </c>
      <c r="DH137" s="236" t="n">
        <f aca="false" t="array" ref="DH137:DH137">IF(DH136=0,0,IF(DH136/'🎚️ Escenario'!$C$11&gt;=36,$AL$23,INDEX($C$23:$AL$23,MAX(1,ROUNDUP(DH136/'🎚️ Escenario'!$C$11,0)))))</f>
        <v>1</v>
      </c>
      <c r="DI137" s="236" t="n">
        <f aca="false" t="array" ref="DI137:DI137">IF(DI136=0,0,IF(DI136/'🎚️ Escenario'!$C$11&gt;=36,$AL$23,INDEX($C$23:$AL$23,MAX(1,ROUNDUP(DI136/'🎚️ Escenario'!$C$11,0)))))</f>
        <v>1</v>
      </c>
      <c r="DJ137" s="236" t="n">
        <f aca="false" t="array" ref="DJ137:DJ137">IF(DJ136=0,0,IF(DJ136/'🎚️ Escenario'!$C$11&gt;=36,$AL$23,INDEX($C$23:$AL$23,MAX(1,ROUNDUP(DJ136/'🎚️ Escenario'!$C$11,0)))))</f>
        <v>1</v>
      </c>
      <c r="DK137" s="236" t="n">
        <f aca="false" t="array" ref="DK137:DK137">IF(DK136=0,0,IF(DK136/'🎚️ Escenario'!$C$11&gt;=36,$AL$23,INDEX($C$23:$AL$23,MAX(1,ROUNDUP(DK136/'🎚️ Escenario'!$C$11,0)))))</f>
        <v>1</v>
      </c>
      <c r="DL137" s="236" t="n">
        <f aca="false" t="array" ref="DL137:DL137">IF(DL136=0,0,IF(DL136/'🎚️ Escenario'!$C$11&gt;=36,$AL$23,INDEX($C$23:$AL$23,MAX(1,ROUNDUP(DL136/'🎚️ Escenario'!$C$11,0)))))</f>
        <v>1</v>
      </c>
      <c r="DM137" s="236" t="n">
        <f aca="false" t="array" ref="DM137:DM137">IF(DM136=0,0,IF(DM136/'🎚️ Escenario'!$C$11&gt;=36,$AL$23,INDEX($C$23:$AL$23,MAX(1,ROUNDUP(DM136/'🎚️ Escenario'!$C$11,0)))))</f>
        <v>1</v>
      </c>
      <c r="DN137" s="236" t="n">
        <f aca="false" t="array" ref="DN137:DN137">IF(DN136=0,0,IF(DN136/'🎚️ Escenario'!$C$11&gt;=36,$AL$23,INDEX($C$23:$AL$23,MAX(1,ROUNDUP(DN136/'🎚️ Escenario'!$C$11,0)))))</f>
        <v>1</v>
      </c>
      <c r="DO137" s="236" t="n">
        <f aca="false" t="array" ref="DO137:DO137">IF(DO136=0,0,IF(DO136/'🎚️ Escenario'!$C$11&gt;=36,$AL$23,INDEX($C$23:$AL$23,MAX(1,ROUNDUP(DO136/'🎚️ Escenario'!$C$11,0)))))</f>
        <v>1</v>
      </c>
      <c r="DP137" s="236" t="n">
        <f aca="false" t="array" ref="DP137:DP137">IF(DP136=0,0,IF(DP136/'🎚️ Escenario'!$C$11&gt;=36,$AL$23,INDEX($C$23:$AL$23,MAX(1,ROUNDUP(DP136/'🎚️ Escenario'!$C$11,0)))))</f>
        <v>1</v>
      </c>
      <c r="DQ137" s="236" t="n">
        <f aca="false" t="array" ref="DQ137:DQ137">IF(DQ136=0,0,IF(DQ136/'🎚️ Escenario'!$C$11&gt;=36,$AL$23,INDEX($C$23:$AL$23,MAX(1,ROUNDUP(DQ136/'🎚️ Escenario'!$C$11,0)))))</f>
        <v>1</v>
      </c>
      <c r="DR137" s="236" t="n">
        <f aca="false" t="array" ref="DR137:DR137">IF(DR136=0,0,IF(DR136/'🎚️ Escenario'!$C$11&gt;=36,$AL$23,INDEX($C$23:$AL$23,MAX(1,ROUNDUP(DR136/'🎚️ Escenario'!$C$11,0)))))</f>
        <v>1</v>
      </c>
      <c r="DS137" s="236" t="n">
        <f aca="false" t="array" ref="DS137:DS137">IF(DS136=0,0,IF(DS136/'🎚️ Escenario'!$C$11&gt;=36,$AL$23,INDEX($C$23:$AL$23,MAX(1,ROUNDUP(DS136/'🎚️ Escenario'!$C$11,0)))))</f>
        <v>1</v>
      </c>
      <c r="DT137" s="236" t="n">
        <f aca="false" t="array" ref="DT137:DT137">IF(DT136=0,0,IF(DT136/'🎚️ Escenario'!$C$11&gt;=36,$AL$23,INDEX($C$23:$AL$23,MAX(1,ROUNDUP(DT136/'🎚️ Escenario'!$C$11,0)))))</f>
        <v>1</v>
      </c>
      <c r="DU137" s="236" t="n">
        <f aca="false" t="array" ref="DU137:DU137">IF(DU136=0,0,IF(DU136/'🎚️ Escenario'!$C$11&gt;=36,$AL$23,INDEX($C$23:$AL$23,MAX(1,ROUNDUP(DU136/'🎚️ Escenario'!$C$11,0)))))</f>
        <v>1</v>
      </c>
      <c r="DV137" s="236" t="n">
        <f aca="false" t="array" ref="DV137:DV137">IF(DV136=0,0,IF(DV136/'🎚️ Escenario'!$C$11&gt;=36,$AL$23,INDEX($C$23:$AL$23,MAX(1,ROUNDUP(DV136/'🎚️ Escenario'!$C$11,0)))))</f>
        <v>1</v>
      </c>
      <c r="DW137" s="236" t="n">
        <f aca="false" t="array" ref="DW137:DW137">IF(DW136=0,0,IF(DW136/'🎚️ Escenario'!$C$11&gt;=36,$AL$23,INDEX($C$23:$AL$23,MAX(1,ROUNDUP(DW136/'🎚️ Escenario'!$C$11,0)))))</f>
        <v>1</v>
      </c>
      <c r="DX137" s="236" t="n">
        <f aca="false" t="array" ref="DX137:DX137">IF(DX136=0,0,IF(DX136/'🎚️ Escenario'!$C$11&gt;=36,$AL$23,INDEX($C$23:$AL$23,MAX(1,ROUNDUP(DX136/'🎚️ Escenario'!$C$11,0)))))</f>
        <v>1</v>
      </c>
      <c r="DY137" s="236" t="n">
        <f aca="false" t="array" ref="DY137:DY137">IF(DY136=0,0,IF(DY136/'🎚️ Escenario'!$C$11&gt;=36,$AL$23,INDEX($C$23:$AL$23,MAX(1,ROUNDUP(DY136/'🎚️ Escenario'!$C$11,0)))))</f>
        <v>1</v>
      </c>
      <c r="DZ137" s="236" t="n">
        <f aca="false" t="array" ref="DZ137:DZ137">IF(DZ136=0,0,IF(DZ136/'🎚️ Escenario'!$C$11&gt;=36,$AL$23,INDEX($C$23:$AL$23,MAX(1,ROUNDUP(DZ136/'🎚️ Escenario'!$C$11,0)))))</f>
        <v>1</v>
      </c>
      <c r="EA137" s="236" t="n">
        <f aca="false" t="array" ref="EA137:EA137">IF(EA136=0,0,IF(EA136/'🎚️ Escenario'!$C$11&gt;=36,$AL$23,INDEX($C$23:$AL$23,MAX(1,ROUNDUP(EA136/'🎚️ Escenario'!$C$11,0)))))</f>
        <v>1</v>
      </c>
      <c r="EB137" s="236" t="n">
        <f aca="false" t="array" ref="EB137:EB137">IF(EB136=0,0,IF(EB136/'🎚️ Escenario'!$C$11&gt;=36,$AL$23,INDEX($C$23:$AL$23,MAX(1,ROUNDUP(EB136/'🎚️ Escenario'!$C$11,0)))))</f>
        <v>1</v>
      </c>
      <c r="EC137" s="236" t="n">
        <f aca="false" t="array" ref="EC137:EC137">IF(EC136=0,0,IF(EC136/'🎚️ Escenario'!$C$11&gt;=36,$AL$23,INDEX($C$23:$AL$23,MAX(1,ROUNDUP(EC136/'🎚️ Escenario'!$C$11,0)))))</f>
        <v>1</v>
      </c>
      <c r="ED137" s="236" t="n">
        <f aca="false" t="array" ref="ED137:ED137">IF(ED136=0,0,IF(ED136/'🎚️ Escenario'!$C$11&gt;=36,$AL$23,INDEX($C$23:$AL$23,MAX(1,ROUNDUP(ED136/'🎚️ Escenario'!$C$11,0)))))</f>
        <v>1</v>
      </c>
      <c r="EE137" s="236" t="n">
        <f aca="false" t="array" ref="EE137:EE137">IF(EE136=0,0,IF(EE136/'🎚️ Escenario'!$C$11&gt;=36,$AL$23,INDEX($C$23:$AL$23,MAX(1,ROUNDUP(EE136/'🎚️ Escenario'!$C$11,0)))))</f>
        <v>1</v>
      </c>
      <c r="EF137" s="236" t="n">
        <f aca="false" t="array" ref="EF137:EF137">IF(EF136=0,0,IF(EF136/'🎚️ Escenario'!$C$11&gt;=36,$AL$23,INDEX($C$23:$AL$23,MAX(1,ROUNDUP(EF136/'🎚️ Escenario'!$C$11,0)))))</f>
        <v>1</v>
      </c>
      <c r="EG137" s="236" t="n">
        <f aca="false" t="array" ref="EG137:EG137">IF(EG136=0,0,IF(EG136/'🎚️ Escenario'!$C$11&gt;=36,$AL$23,INDEX($C$23:$AL$23,MAX(1,ROUNDUP(EG136/'🎚️ Escenario'!$C$11,0)))))</f>
        <v>1</v>
      </c>
      <c r="EH137" s="236" t="n">
        <f aca="false" t="array" ref="EH137:EH137">IF(EH136=0,0,IF(EH136/'🎚️ Escenario'!$C$11&gt;=36,$AL$23,INDEX($C$23:$AL$23,MAX(1,ROUNDUP(EH136/'🎚️ Escenario'!$C$11,0)))))</f>
        <v>1</v>
      </c>
      <c r="EI137" s="236" t="n">
        <f aca="false" t="array" ref="EI137:EI137">IF(EI136=0,0,IF(EI136/'🎚️ Escenario'!$C$11&gt;=36,$AL$23,INDEX($C$23:$AL$23,MAX(1,ROUNDUP(EI136/'🎚️ Escenario'!$C$11,0)))))</f>
        <v>1</v>
      </c>
      <c r="EJ137" s="236" t="n">
        <f aca="false" t="array" ref="EJ137:EJ137">IF(EJ136=0,0,IF(EJ136/'🎚️ Escenario'!$C$11&gt;=36,$AL$23,INDEX($C$23:$AL$23,MAX(1,ROUNDUP(EJ136/'🎚️ Escenario'!$C$11,0)))))</f>
        <v>1</v>
      </c>
      <c r="EK137" s="236" t="n">
        <f aca="false" t="array" ref="EK137:EK137">IF(EK136=0,0,IF(EK136/'🎚️ Escenario'!$C$11&gt;=36,$AL$23,INDEX($C$23:$AL$23,MAX(1,ROUNDUP(EK136/'🎚️ Escenario'!$C$11,0)))))</f>
        <v>1</v>
      </c>
      <c r="EL137" s="236" t="n">
        <f aca="false" t="array" ref="EL137:EL137">IF(EL136=0,0,IF(EL136/'🎚️ Escenario'!$C$11&gt;=36,$AL$23,INDEX($C$23:$AL$23,MAX(1,ROUNDUP(EL136/'🎚️ Escenario'!$C$11,0)))))</f>
        <v>1</v>
      </c>
      <c r="EM137" s="236" t="n">
        <f aca="false" t="array" ref="EM137:EM137">IF(EM136=0,0,IF(EM136/'🎚️ Escenario'!$C$11&gt;=36,$AL$23,INDEX($C$23:$AL$23,MAX(1,ROUNDUP(EM136/'🎚️ Escenario'!$C$11,0)))))</f>
        <v>1</v>
      </c>
      <c r="EN137" s="236" t="n">
        <f aca="false" t="array" ref="EN137:EN137">IF(EN136=0,0,IF(EN136/'🎚️ Escenario'!$C$11&gt;=36,$AL$23,INDEX($C$23:$AL$23,MAX(1,ROUNDUP(EN136/'🎚️ Escenario'!$C$11,0)))))</f>
        <v>1</v>
      </c>
      <c r="EO137" s="236" t="n">
        <f aca="false" t="array" ref="EO137:EO137">IF(EO136=0,0,IF(EO136/'🎚️ Escenario'!$C$11&gt;=36,$AL$23,INDEX($C$23:$AL$23,MAX(1,ROUNDUP(EO136/'🎚️ Escenario'!$C$11,0)))))</f>
        <v>1</v>
      </c>
      <c r="EP137" s="236" t="n">
        <f aca="false" t="array" ref="EP137:EP137">IF(EP136=0,0,IF(EP136/'🎚️ Escenario'!$C$11&gt;=36,$AL$23,INDEX($C$23:$AL$23,MAX(1,ROUNDUP(EP136/'🎚️ Escenario'!$C$11,0)))))</f>
        <v>1</v>
      </c>
      <c r="EQ137" s="236" t="n">
        <f aca="false" t="array" ref="EQ137:EQ137">IF(EQ136=0,0,IF(EQ136/'🎚️ Escenario'!$C$11&gt;=36,$AL$23,INDEX($C$23:$AL$23,MAX(1,ROUNDUP(EQ136/'🎚️ Escenario'!$C$11,0)))))</f>
        <v>1</v>
      </c>
      <c r="ER137" s="236" t="n">
        <f aca="false" t="array" ref="ER137:ER137">IF(ER136=0,0,IF(ER136/'🎚️ Escenario'!$C$11&gt;=36,$AL$23,INDEX($C$23:$AL$23,MAX(1,ROUNDUP(ER136/'🎚️ Escenario'!$C$11,0)))))</f>
        <v>1</v>
      </c>
      <c r="ES137" s="9" t="n">
        <f aca="false" t="array" ref="ES137:ES137">IF(ES136=0,0,IF(ES136/'🎚️ Escenario'!$C$11&gt;=36,$AL$23,INDEX($C$23:$AL$23,MAX(1,ROUNDUP(ES136/'🎚️ Escenario'!$C$11,0)))))</f>
        <v>1</v>
      </c>
      <c r="ET137" s="9" t="n">
        <f aca="false" t="array" ref="ET137:ET137">IF(ET136=0,0,IF(ET136/'🎚️ Escenario'!$C$11&gt;=36,$AL$23,INDEX($C$23:$AL$23,MAX(1,ROUNDUP(ET136/'🎚️ Escenario'!$C$11,0)))))</f>
        <v>1</v>
      </c>
      <c r="EU137" s="9" t="n">
        <f aca="false" t="array" ref="EU137:EU137">IF(EU136=0,0,IF(EU136/'🎚️ Escenario'!$C$11&gt;=36,$AL$23,INDEX($C$23:$AL$23,MAX(1,ROUNDUP(EU136/'🎚️ Escenario'!$C$11,0)))))</f>
        <v>1</v>
      </c>
      <c r="EV137" s="9" t="n">
        <f aca="false" t="array" ref="EV137:EV137">IF(EV136=0,0,IF(EV136/'🎚️ Escenario'!$C$11&gt;=36,$AL$23,INDEX($C$23:$AL$23,MAX(1,ROUNDUP(EV136/'🎚️ Escenario'!$C$11,0)))))</f>
        <v>1</v>
      </c>
      <c r="EW137" s="9" t="n">
        <f aca="false" t="array" ref="EW137:EW137">IF(EW136=0,0,IF(EW136/'🎚️ Escenario'!$C$11&gt;=36,$AL$23,INDEX($C$23:$AL$23,MAX(1,ROUNDUP(EW136/'🎚️ Escenario'!$C$11,0)))))</f>
        <v>1</v>
      </c>
      <c r="EX137" s="9" t="n">
        <f aca="false" t="array" ref="EX137:EX137">IF(EX136=0,0,IF(EX136/'🎚️ Escenario'!$C$11&gt;=36,$AL$23,INDEX($C$23:$AL$23,MAX(1,ROUNDUP(EX136/'🎚️ Escenario'!$C$11,0)))))</f>
        <v>1</v>
      </c>
      <c r="EY137" s="9" t="n">
        <f aca="false" t="array" ref="EY137:EY137">IF(EY136=0,0,IF(EY136/'🎚️ Escenario'!$C$11&gt;=36,$AL$23,INDEX($C$23:$AL$23,MAX(1,ROUNDUP(EY136/'🎚️ Escenario'!$C$11,0)))))</f>
        <v>1</v>
      </c>
      <c r="EZ137" s="9" t="n">
        <f aca="false" t="array" ref="EZ137:EZ137">IF(EZ136=0,0,IF(EZ136/'🎚️ Escenario'!$C$11&gt;=36,$AL$23,INDEX($C$23:$AL$23,MAX(1,ROUNDUP(EZ136/'🎚️ Escenario'!$C$11,0)))))</f>
        <v>1</v>
      </c>
      <c r="FA137" s="9" t="n">
        <f aca="false" t="array" ref="FA137:FA137">IF(FA136=0,0,IF(FA136/'🎚️ Escenario'!$C$11&gt;=36,$AL$23,INDEX($C$23:$AL$23,MAX(1,ROUNDUP(FA136/'🎚️ Escenario'!$C$11,0)))))</f>
        <v>1</v>
      </c>
      <c r="FB137" s="9" t="n">
        <f aca="false" t="array" ref="FB137:FB137">IF(FB136=0,0,IF(FB136/'🎚️ Escenario'!$C$11&gt;=36,$AL$23,INDEX($C$23:$AL$23,MAX(1,ROUNDUP(FB136/'🎚️ Escenario'!$C$11,0)))))</f>
        <v>1</v>
      </c>
      <c r="FC137" s="9" t="n">
        <f aca="false" t="array" ref="FC137:FC137">IF(FC136=0,0,IF(FC136/'🎚️ Escenario'!$C$11&gt;=36,$AL$23,INDEX($C$23:$AL$23,MAX(1,ROUNDUP(FC136/'🎚️ Escenario'!$C$11,0)))))</f>
        <v>1</v>
      </c>
      <c r="FD137" s="9" t="n">
        <f aca="false" t="array" ref="FD137:FD137">IF(FD136=0,0,IF(FD136/'🎚️ Escenario'!$C$11&gt;=36,$AL$23,INDEX($C$23:$AL$23,MAX(1,ROUNDUP(FD136/'🎚️ Escenario'!$C$11,0)))))</f>
        <v>1</v>
      </c>
      <c r="FE137" s="9" t="n">
        <f aca="false" t="array" ref="FE137:FE137">IF(FE136=0,0,IF(FE136/'🎚️ Escenario'!$C$11&gt;=36,$AL$23,INDEX($C$23:$AL$23,MAX(1,ROUNDUP(FE136/'🎚️ Escenario'!$C$11,0)))))</f>
        <v>1</v>
      </c>
      <c r="FF137" s="9" t="n">
        <f aca="false" t="array" ref="FF137:FF137">IF(FF136=0,0,IF(FF136/'🎚️ Escenario'!$C$11&gt;=36,$AL$23,INDEX($C$23:$AL$23,MAX(1,ROUNDUP(FF136/'🎚️ Escenario'!$C$11,0)))))</f>
        <v>1</v>
      </c>
      <c r="FG137" s="9" t="n">
        <f aca="false" t="array" ref="FG137:FG137">IF(FG136=0,0,IF(FG136/'🎚️ Escenario'!$C$11&gt;=36,$AL$23,INDEX($C$23:$AL$23,MAX(1,ROUNDUP(FG136/'🎚️ Escenario'!$C$11,0)))))</f>
        <v>1</v>
      </c>
      <c r="FH137" s="9" t="n">
        <f aca="false" t="array" ref="FH137:FH137">IF(FH136=0,0,IF(FH136/'🎚️ Escenario'!$C$11&gt;=36,$AL$23,INDEX($C$23:$AL$23,MAX(1,ROUNDUP(FH136/'🎚️ Escenario'!$C$11,0)))))</f>
        <v>1</v>
      </c>
      <c r="FI137" s="9" t="n">
        <f aca="false" t="array" ref="FI137:FI137">IF(FI136=0,0,IF(FI136/'🎚️ Escenario'!$C$11&gt;=36,$AL$23,INDEX($C$23:$AL$23,MAX(1,ROUNDUP(FI136/'🎚️ Escenario'!$C$11,0)))))</f>
        <v>1</v>
      </c>
      <c r="FJ137" s="9" t="n">
        <f aca="false" t="array" ref="FJ137:FJ137">IF(FJ136=0,0,IF(FJ136/'🎚️ Escenario'!$C$11&gt;=36,$AL$23,INDEX($C$23:$AL$23,MAX(1,ROUNDUP(FJ136/'🎚️ Escenario'!$C$11,0)))))</f>
        <v>1</v>
      </c>
      <c r="FK137" s="9" t="n">
        <f aca="false" t="array" ref="FK137:FK137">IF(FK136=0,0,IF(FK136/'🎚️ Escenario'!$C$11&gt;=36,$AL$23,INDEX($C$23:$AL$23,MAX(1,ROUNDUP(FK136/'🎚️ Escenario'!$C$11,0)))))</f>
        <v>1</v>
      </c>
      <c r="FL137" s="9" t="n">
        <f aca="false" t="array" ref="FL137:FL137">IF(FL136=0,0,IF(FL136/'🎚️ Escenario'!$C$11&gt;=36,$AL$23,INDEX($C$23:$AL$23,MAX(1,ROUNDUP(FL136/'🎚️ Escenario'!$C$11,0)))))</f>
        <v>1</v>
      </c>
      <c r="FM137" s="9" t="n">
        <f aca="false" t="array" ref="FM137:FM137">IF(FM136=0,0,IF(FM136/'🎚️ Escenario'!$C$11&gt;=36,$AL$23,INDEX($C$23:$AL$23,MAX(1,ROUNDUP(FM136/'🎚️ Escenario'!$C$11,0)))))</f>
        <v>1</v>
      </c>
      <c r="FN137" s="9" t="n">
        <f aca="false" t="array" ref="FN137:FN137">IF(FN136=0,0,IF(FN136/'🎚️ Escenario'!$C$11&gt;=36,$AL$23,INDEX($C$23:$AL$23,MAX(1,ROUNDUP(FN136/'🎚️ Escenario'!$C$11,0)))))</f>
        <v>1</v>
      </c>
      <c r="FO137" s="9" t="n">
        <f aca="false" t="array" ref="FO137:FO137">IF(FO136=0,0,IF(FO136/'🎚️ Escenario'!$C$11&gt;=36,$AL$23,INDEX($C$23:$AL$23,MAX(1,ROUNDUP(FO136/'🎚️ Escenario'!$C$11,0)))))</f>
        <v>1</v>
      </c>
      <c r="FP137" s="9" t="n">
        <f aca="false" t="array" ref="FP137:FP137">IF(FP136=0,0,IF(FP136/'🎚️ Escenario'!$C$11&gt;=36,$AL$23,INDEX($C$23:$AL$23,MAX(1,ROUNDUP(FP136/'🎚️ Escenario'!$C$11,0)))))</f>
        <v>1</v>
      </c>
    </row>
    <row r="138" customFormat="false" ht="15" hidden="false" customHeight="false" outlineLevel="2" collapsed="false">
      <c r="B138" s="9" t="s">
        <v>875</v>
      </c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237" t="n">
        <f aca="false">IF(AC136=0,0,IF(AC136&lt;=12*'🎚️ Escenario'!$C$11,1,1+$C$6))</f>
        <v>0</v>
      </c>
      <c r="AD138" s="237" t="n">
        <f aca="false">IF(AD136=0,0,IF(AD136&lt;=12*'🎚️ Escenario'!$C$11,1,1+$C$6))</f>
        <v>0</v>
      </c>
      <c r="AE138" s="237" t="n">
        <f aca="false">IF(AE136=0,0,IF(AE136&lt;=12*'🎚️ Escenario'!$C$11,1,1+$C$6))</f>
        <v>0</v>
      </c>
      <c r="AF138" s="237" t="n">
        <f aca="false">IF(AF136=0,0,IF(AF136&lt;=12*'🎚️ Escenario'!$C$11,1,1+$C$6))</f>
        <v>0</v>
      </c>
      <c r="AG138" s="237" t="n">
        <f aca="false">IF(AG136=0,0,IF(AG136&lt;=12*'🎚️ Escenario'!$C$11,1,1+$C$6))</f>
        <v>0</v>
      </c>
      <c r="AH138" s="237" t="n">
        <f aca="false">IF(AH136=0,0,IF(AH136&lt;=12*'🎚️ Escenario'!$C$11,1,1+$C$6))</f>
        <v>0</v>
      </c>
      <c r="AI138" s="237" t="n">
        <f aca="false">IF(AI136=0,0,IF(AI136&lt;=12*'🎚️ Escenario'!$C$11,1,1+$C$6))</f>
        <v>0</v>
      </c>
      <c r="AJ138" s="237" t="n">
        <f aca="false">IF(AJ136=0,0,IF(AJ136&lt;=12*'🎚️ Escenario'!$C$11,1,1+$C$6))</f>
        <v>0</v>
      </c>
      <c r="AK138" s="237" t="n">
        <f aca="false">IF(AK136=0,0,IF(AK136&lt;=12*'🎚️ Escenario'!$C$11,1,1+$C$6))</f>
        <v>0</v>
      </c>
      <c r="AL138" s="237" t="n">
        <f aca="false">IF(AL136=0,0,IF(AL136&lt;=12*'🎚️ Escenario'!$C$11,1,1+$C$6))</f>
        <v>0</v>
      </c>
      <c r="AM138" s="237" t="n">
        <f aca="false">IF(AM136=0,0,IF(AM136&lt;=12*'🎚️ Escenario'!$C$11,1,1+$C$6))</f>
        <v>0</v>
      </c>
      <c r="AN138" s="237" t="n">
        <f aca="false">IF(AN136=0,0,IF(AN136&lt;=12*'🎚️ Escenario'!$C$11,1,1+$C$6))</f>
        <v>0</v>
      </c>
      <c r="AO138" s="237" t="n">
        <f aca="false">IF(AO136=0,0,IF(AO136&lt;=12*'🎚️ Escenario'!$C$11,1,1+$C$6))</f>
        <v>0</v>
      </c>
      <c r="AP138" s="237" t="n">
        <f aca="false">IF(AP136=0,0,IF(AP136&lt;=12*'🎚️ Escenario'!$C$11,1,1+$C$6))</f>
        <v>0</v>
      </c>
      <c r="AQ138" s="237" t="n">
        <f aca="false">IF(AQ136=0,0,IF(AQ136&lt;=12*'🎚️ Escenario'!$C$11,1,1+$C$6))</f>
        <v>0</v>
      </c>
      <c r="AR138" s="237" t="n">
        <f aca="false">IF(AR136=0,0,IF(AR136&lt;=12*'🎚️ Escenario'!$C$11,1,1+$C$6))</f>
        <v>0</v>
      </c>
      <c r="AS138" s="237" t="n">
        <f aca="false">IF(AS136=0,0,IF(AS136&lt;=12*'🎚️ Escenario'!$C$11,1,1+$C$6))</f>
        <v>0</v>
      </c>
      <c r="AT138" s="237" t="n">
        <f aca="false">IF(AT136=0,0,IF(AT136&lt;=12*'🎚️ Escenario'!$C$11,1,1+$C$6))</f>
        <v>0</v>
      </c>
      <c r="AU138" s="237" t="n">
        <f aca="false">IF(AU136=0,0,IF(AU136&lt;=12*'🎚️ Escenario'!$C$11,1,1+$C$6))</f>
        <v>0</v>
      </c>
      <c r="AV138" s="237" t="n">
        <f aca="false">IF(AV136=0,0,IF(AV136&lt;=12*'🎚️ Escenario'!$C$11,1,1+$C$6))</f>
        <v>0</v>
      </c>
      <c r="AW138" s="237" t="n">
        <f aca="false">IF(AW136=0,0,IF(AW136&lt;=12*'🎚️ Escenario'!$C$11,1,1+$C$6))</f>
        <v>0</v>
      </c>
      <c r="AX138" s="237" t="n">
        <f aca="false">IF(AX136=0,0,IF(AX136&lt;=12*'🎚️ Escenario'!$C$11,1,1+$C$6))</f>
        <v>0</v>
      </c>
      <c r="AY138" s="237" t="n">
        <f aca="false">IF(AY136=0,0,IF(AY136&lt;=12*'🎚️ Escenario'!$C$11,1,1+$C$6))</f>
        <v>0</v>
      </c>
      <c r="AZ138" s="237" t="n">
        <f aca="false">IF(AZ136=0,0,IF(AZ136&lt;=12*'🎚️ Escenario'!$C$11,1,1+$C$6))</f>
        <v>0</v>
      </c>
      <c r="BA138" s="237" t="n">
        <f aca="false">IF(BA136=0,0,IF(BA136&lt;=12*'🎚️ Escenario'!$C$11,1,1+$C$6))</f>
        <v>1</v>
      </c>
      <c r="BB138" s="237" t="n">
        <f aca="false">IF(BB136=0,0,IF(BB136&lt;=12*'🎚️ Escenario'!$C$11,1,1+$C$6))</f>
        <v>1</v>
      </c>
      <c r="BC138" s="237" t="n">
        <f aca="false">IF(BC136=0,0,IF(BC136&lt;=12*'🎚️ Escenario'!$C$11,1,1+$C$6))</f>
        <v>1</v>
      </c>
      <c r="BD138" s="237" t="n">
        <f aca="false">IF(BD136=0,0,IF(BD136&lt;=12*'🎚️ Escenario'!$C$11,1,1+$C$6))</f>
        <v>1</v>
      </c>
      <c r="BE138" s="237" t="n">
        <f aca="false">IF(BE136=0,0,IF(BE136&lt;=12*'🎚️ Escenario'!$C$11,1,1+$C$6))</f>
        <v>1</v>
      </c>
      <c r="BF138" s="237" t="n">
        <f aca="false">IF(BF136=0,0,IF(BF136&lt;=12*'🎚️ Escenario'!$C$11,1,1+$C$6))</f>
        <v>1</v>
      </c>
      <c r="BG138" s="237" t="n">
        <f aca="false">IF(BG136=0,0,IF(BG136&lt;=12*'🎚️ Escenario'!$C$11,1,1+$C$6))</f>
        <v>1</v>
      </c>
      <c r="BH138" s="237" t="n">
        <f aca="false">IF(BH136=0,0,IF(BH136&lt;=12*'🎚️ Escenario'!$C$11,1,1+$C$6))</f>
        <v>1</v>
      </c>
      <c r="BI138" s="237" t="n">
        <f aca="false">IF(BI136=0,0,IF(BI136&lt;=12*'🎚️ Escenario'!$C$11,1,1+$C$6))</f>
        <v>1</v>
      </c>
      <c r="BJ138" s="237" t="n">
        <f aca="false">IF(BJ136=0,0,IF(BJ136&lt;=12*'🎚️ Escenario'!$C$11,1,1+$C$6))</f>
        <v>1</v>
      </c>
      <c r="BK138" s="237" t="n">
        <f aca="false">IF(BK136=0,0,IF(BK136&lt;=12*'🎚️ Escenario'!$C$11,1,1+$C$6))</f>
        <v>1</v>
      </c>
      <c r="BL138" s="237" t="n">
        <f aca="false">IF(BL136=0,0,IF(BL136&lt;=12*'🎚️ Escenario'!$C$11,1,1+$C$6))</f>
        <v>1</v>
      </c>
      <c r="BM138" s="237" t="n">
        <f aca="false">IF(BM136=0,0,IF(BM136&lt;=12*'🎚️ Escenario'!$C$11,1,1+$C$6))</f>
        <v>1</v>
      </c>
      <c r="BN138" s="237" t="n">
        <f aca="false">IF(BN136=0,0,IF(BN136&lt;=12*'🎚️ Escenario'!$C$11,1,1+$C$6))</f>
        <v>1</v>
      </c>
      <c r="BO138" s="237" t="n">
        <f aca="false">IF(BO136=0,0,IF(BO136&lt;=12*'🎚️ Escenario'!$C$11,1,1+$C$6))</f>
        <v>1</v>
      </c>
      <c r="BP138" s="237" t="n">
        <f aca="false">IF(BP136=0,0,IF(BP136&lt;=12*'🎚️ Escenario'!$C$11,1,1+$C$6))</f>
        <v>1.2</v>
      </c>
      <c r="BQ138" s="237" t="n">
        <f aca="false">IF(BQ136=0,0,IF(BQ136&lt;=12*'🎚️ Escenario'!$C$11,1,1+$C$6))</f>
        <v>1.2</v>
      </c>
      <c r="BR138" s="237" t="n">
        <f aca="false">IF(BR136=0,0,IF(BR136&lt;=12*'🎚️ Escenario'!$C$11,1,1+$C$6))</f>
        <v>1.2</v>
      </c>
      <c r="BS138" s="237" t="n">
        <f aca="false">IF(BS136=0,0,IF(BS136&lt;=12*'🎚️ Escenario'!$C$11,1,1+$C$6))</f>
        <v>1.2</v>
      </c>
      <c r="BT138" s="237" t="n">
        <f aca="false">IF(BT136=0,0,IF(BT136&lt;=12*'🎚️ Escenario'!$C$11,1,1+$C$6))</f>
        <v>1.2</v>
      </c>
      <c r="BU138" s="237" t="n">
        <f aca="false">IF(BU136=0,0,IF(BU136&lt;=12*'🎚️ Escenario'!$C$11,1,1+$C$6))</f>
        <v>1.2</v>
      </c>
      <c r="BV138" s="237" t="n">
        <f aca="false">IF(BV136=0,0,IF(BV136&lt;=12*'🎚️ Escenario'!$C$11,1,1+$C$6))</f>
        <v>1.2</v>
      </c>
      <c r="BW138" s="237" t="n">
        <f aca="false">IF(BW136=0,0,IF(BW136&lt;=12*'🎚️ Escenario'!$C$11,1,1+$C$6))</f>
        <v>1.2</v>
      </c>
      <c r="BX138" s="237" t="n">
        <f aca="false">IF(BX136=0,0,IF(BX136&lt;=12*'🎚️ Escenario'!$C$11,1,1+$C$6))</f>
        <v>1.2</v>
      </c>
      <c r="BY138" s="237" t="n">
        <f aca="false">IF(BY136=0,0,IF(BY136&lt;=12*'🎚️ Escenario'!$C$11,1,1+$C$6))</f>
        <v>1.2</v>
      </c>
      <c r="BZ138" s="237" t="n">
        <f aca="false">IF(BZ136=0,0,IF(BZ136&lt;=12*'🎚️ Escenario'!$C$11,1,1+$C$6))</f>
        <v>1.2</v>
      </c>
      <c r="CA138" s="237" t="n">
        <f aca="false">IF(CA136=0,0,IF(CA136&lt;=12*'🎚️ Escenario'!$C$11,1,1+$C$6))</f>
        <v>1.2</v>
      </c>
      <c r="CB138" s="237" t="n">
        <f aca="false">IF(CB136=0,0,IF(CB136&lt;=12*'🎚️ Escenario'!$C$11,1,1+$C$6))</f>
        <v>1.2</v>
      </c>
      <c r="CC138" s="237" t="n">
        <f aca="false">IF(CC136=0,0,IF(CC136&lt;=12*'🎚️ Escenario'!$C$11,1,1+$C$6))</f>
        <v>1.2</v>
      </c>
      <c r="CD138" s="237" t="n">
        <f aca="false">IF(CD136=0,0,IF(CD136&lt;=12*'🎚️ Escenario'!$C$11,1,1+$C$6))</f>
        <v>1.2</v>
      </c>
      <c r="CE138" s="237" t="n">
        <f aca="false">IF(CE136=0,0,IF(CE136&lt;=12*'🎚️ Escenario'!$C$11,1,1+$C$6))</f>
        <v>1.2</v>
      </c>
      <c r="CF138" s="237" t="n">
        <f aca="false">IF(CF136=0,0,IF(CF136&lt;=12*'🎚️ Escenario'!$C$11,1,1+$C$6))</f>
        <v>1.2</v>
      </c>
      <c r="CG138" s="237" t="n">
        <f aca="false">IF(CG136=0,0,IF(CG136&lt;=12*'🎚️ Escenario'!$C$11,1,1+$C$6))</f>
        <v>1.2</v>
      </c>
      <c r="CH138" s="237" t="n">
        <f aca="false">IF(CH136=0,0,IF(CH136&lt;=12*'🎚️ Escenario'!$C$11,1,1+$C$6))</f>
        <v>1.2</v>
      </c>
      <c r="CI138" s="237" t="n">
        <f aca="false">IF(CI136=0,0,IF(CI136&lt;=12*'🎚️ Escenario'!$C$11,1,1+$C$6))</f>
        <v>1.2</v>
      </c>
      <c r="CJ138" s="237" t="n">
        <f aca="false">IF(CJ136=0,0,IF(CJ136&lt;=12*'🎚️ Escenario'!$C$11,1,1+$C$6))</f>
        <v>1.2</v>
      </c>
      <c r="CK138" s="237" t="n">
        <f aca="false">IF(CK136=0,0,IF(CK136&lt;=12*'🎚️ Escenario'!$C$11,1,1+$C$6))</f>
        <v>1.2</v>
      </c>
      <c r="CL138" s="237" t="n">
        <f aca="false">IF(CL136=0,0,IF(CL136&lt;=12*'🎚️ Escenario'!$C$11,1,1+$C$6))</f>
        <v>1.2</v>
      </c>
      <c r="CM138" s="237" t="n">
        <f aca="false">IF(CM136=0,0,IF(CM136&lt;=12*'🎚️ Escenario'!$C$11,1,1+$C$6))</f>
        <v>1.2</v>
      </c>
      <c r="CN138" s="237" t="n">
        <f aca="false">IF(CN136=0,0,IF(CN136&lt;=12*'🎚️ Escenario'!$C$11,1,1+$C$6))</f>
        <v>1.2</v>
      </c>
      <c r="CO138" s="237" t="n">
        <f aca="false">IF(CO136=0,0,IF(CO136&lt;=12*'🎚️ Escenario'!$C$11,1,1+$C$6))</f>
        <v>1.2</v>
      </c>
      <c r="CP138" s="237" t="n">
        <f aca="false">IF(CP136=0,0,IF(CP136&lt;=12*'🎚️ Escenario'!$C$11,1,1+$C$6))</f>
        <v>1.2</v>
      </c>
      <c r="CQ138" s="237" t="n">
        <f aca="false">IF(CQ136=0,0,IF(CQ136&lt;=12*'🎚️ Escenario'!$C$11,1,1+$C$6))</f>
        <v>1.2</v>
      </c>
      <c r="CR138" s="237" t="n">
        <f aca="false">IF(CR136=0,0,IF(CR136&lt;=12*'🎚️ Escenario'!$C$11,1,1+$C$6))</f>
        <v>1.2</v>
      </c>
      <c r="CS138" s="237" t="n">
        <f aca="false">IF(CS136=0,0,IF(CS136&lt;=12*'🎚️ Escenario'!$C$11,1,1+$C$6))</f>
        <v>1.2</v>
      </c>
      <c r="CT138" s="237" t="n">
        <f aca="false">IF(CT136=0,0,IF(CT136&lt;=12*'🎚️ Escenario'!$C$11,1,1+$C$6))</f>
        <v>1.2</v>
      </c>
      <c r="CU138" s="237" t="n">
        <f aca="false">IF(CU136=0,0,IF(CU136&lt;=12*'🎚️ Escenario'!$C$11,1,1+$C$6))</f>
        <v>1.2</v>
      </c>
      <c r="CV138" s="237" t="n">
        <f aca="false">IF(CV136=0,0,IF(CV136&lt;=12*'🎚️ Escenario'!$C$11,1,1+$C$6))</f>
        <v>1.2</v>
      </c>
      <c r="CW138" s="237" t="n">
        <f aca="false">IF(CW136=0,0,IF(CW136&lt;=12*'🎚️ Escenario'!$C$11,1,1+$C$6))</f>
        <v>1.2</v>
      </c>
      <c r="CX138" s="237" t="n">
        <f aca="false">IF(CX136=0,0,IF(CX136&lt;=12*'🎚️ Escenario'!$C$11,1,1+$C$6))</f>
        <v>1.2</v>
      </c>
      <c r="CY138" s="237" t="n">
        <f aca="false">IF(CY136=0,0,IF(CY136&lt;=12*'🎚️ Escenario'!$C$11,1,1+$C$6))</f>
        <v>1.2</v>
      </c>
      <c r="CZ138" s="237" t="n">
        <f aca="false">IF(CZ136=0,0,IF(CZ136&lt;=12*'🎚️ Escenario'!$C$11,1,1+$C$6))</f>
        <v>1.2</v>
      </c>
      <c r="DA138" s="237" t="n">
        <f aca="false">IF(DA136=0,0,IF(DA136&lt;=12*'🎚️ Escenario'!$C$11,1,1+$C$6))</f>
        <v>1.2</v>
      </c>
      <c r="DB138" s="237" t="n">
        <f aca="false">IF(DB136=0,0,IF(DB136&lt;=12*'🎚️ Escenario'!$C$11,1,1+$C$6))</f>
        <v>1.2</v>
      </c>
      <c r="DC138" s="237" t="n">
        <f aca="false">IF(DC136=0,0,IF(DC136&lt;=12*'🎚️ Escenario'!$C$11,1,1+$C$6))</f>
        <v>1.2</v>
      </c>
      <c r="DD138" s="237" t="n">
        <f aca="false">IF(DD136=0,0,IF(DD136&lt;=12*'🎚️ Escenario'!$C$11,1,1+$C$6))</f>
        <v>1.2</v>
      </c>
      <c r="DE138" s="237" t="n">
        <f aca="false">IF(DE136=0,0,IF(DE136&lt;=12*'🎚️ Escenario'!$C$11,1,1+$C$6))</f>
        <v>1.2</v>
      </c>
      <c r="DF138" s="237" t="n">
        <f aca="false">IF(DF136=0,0,IF(DF136&lt;=12*'🎚️ Escenario'!$C$11,1,1+$C$6))</f>
        <v>1.2</v>
      </c>
      <c r="DG138" s="237" t="n">
        <f aca="false">IF(DG136=0,0,IF(DG136&lt;=12*'🎚️ Escenario'!$C$11,1,1+$C$6))</f>
        <v>1.2</v>
      </c>
      <c r="DH138" s="237" t="n">
        <f aca="false">IF(DH136=0,0,IF(DH136&lt;=12*'🎚️ Escenario'!$C$11,1,1+$C$6))</f>
        <v>1.2</v>
      </c>
      <c r="DI138" s="237" t="n">
        <f aca="false">IF(DI136=0,0,IF(DI136&lt;=12*'🎚️ Escenario'!$C$11,1,1+$C$6))</f>
        <v>1.2</v>
      </c>
      <c r="DJ138" s="237" t="n">
        <f aca="false">IF(DJ136=0,0,IF(DJ136&lt;=12*'🎚️ Escenario'!$C$11,1,1+$C$6))</f>
        <v>1.2</v>
      </c>
      <c r="DK138" s="237" t="n">
        <f aca="false">IF(DK136=0,0,IF(DK136&lt;=12*'🎚️ Escenario'!$C$11,1,1+$C$6))</f>
        <v>1.2</v>
      </c>
      <c r="DL138" s="237" t="n">
        <f aca="false">IF(DL136=0,0,IF(DL136&lt;=12*'🎚️ Escenario'!$C$11,1,1+$C$6))</f>
        <v>1.2</v>
      </c>
      <c r="DM138" s="237" t="n">
        <f aca="false">IF(DM136=0,0,IF(DM136&lt;=12*'🎚️ Escenario'!$C$11,1,1+$C$6))</f>
        <v>1.2</v>
      </c>
      <c r="DN138" s="237" t="n">
        <f aca="false">IF(DN136=0,0,IF(DN136&lt;=12*'🎚️ Escenario'!$C$11,1,1+$C$6))</f>
        <v>1.2</v>
      </c>
      <c r="DO138" s="237" t="n">
        <f aca="false">IF(DO136=0,0,IF(DO136&lt;=12*'🎚️ Escenario'!$C$11,1,1+$C$6))</f>
        <v>1.2</v>
      </c>
      <c r="DP138" s="237" t="n">
        <f aca="false">IF(DP136=0,0,IF(DP136&lt;=12*'🎚️ Escenario'!$C$11,1,1+$C$6))</f>
        <v>1.2</v>
      </c>
      <c r="DQ138" s="237" t="n">
        <f aca="false">IF(DQ136=0,0,IF(DQ136&lt;=12*'🎚️ Escenario'!$C$11,1,1+$C$6))</f>
        <v>1.2</v>
      </c>
      <c r="DR138" s="237" t="n">
        <f aca="false">IF(DR136=0,0,IF(DR136&lt;=12*'🎚️ Escenario'!$C$11,1,1+$C$6))</f>
        <v>1.2</v>
      </c>
      <c r="DS138" s="237" t="n">
        <f aca="false">IF(DS136=0,0,IF(DS136&lt;=12*'🎚️ Escenario'!$C$11,1,1+$C$6))</f>
        <v>1.2</v>
      </c>
      <c r="DT138" s="237" t="n">
        <f aca="false">IF(DT136=0,0,IF(DT136&lt;=12*'🎚️ Escenario'!$C$11,1,1+$C$6))</f>
        <v>1.2</v>
      </c>
      <c r="DU138" s="237" t="n">
        <f aca="false">IF(DU136=0,0,IF(DU136&lt;=12*'🎚️ Escenario'!$C$11,1,1+$C$6))</f>
        <v>1.2</v>
      </c>
      <c r="DV138" s="237" t="n">
        <f aca="false">IF(DV136=0,0,IF(DV136&lt;=12*'🎚️ Escenario'!$C$11,1,1+$C$6))</f>
        <v>1.2</v>
      </c>
      <c r="DW138" s="237" t="n">
        <f aca="false">IF(DW136=0,0,IF(DW136&lt;=12*'🎚️ Escenario'!$C$11,1,1+$C$6))</f>
        <v>1.2</v>
      </c>
      <c r="DX138" s="237" t="n">
        <f aca="false">IF(DX136=0,0,IF(DX136&lt;=12*'🎚️ Escenario'!$C$11,1,1+$C$6))</f>
        <v>1.2</v>
      </c>
      <c r="DY138" s="237" t="n">
        <f aca="false">IF(DY136=0,0,IF(DY136&lt;=12*'🎚️ Escenario'!$C$11,1,1+$C$6))</f>
        <v>1.2</v>
      </c>
      <c r="DZ138" s="237" t="n">
        <f aca="false">IF(DZ136=0,0,IF(DZ136&lt;=12*'🎚️ Escenario'!$C$11,1,1+$C$6))</f>
        <v>1.2</v>
      </c>
      <c r="EA138" s="237" t="n">
        <f aca="false">IF(EA136=0,0,IF(EA136&lt;=12*'🎚️ Escenario'!$C$11,1,1+$C$6))</f>
        <v>1.2</v>
      </c>
      <c r="EB138" s="237" t="n">
        <f aca="false">IF(EB136=0,0,IF(EB136&lt;=12*'🎚️ Escenario'!$C$11,1,1+$C$6))</f>
        <v>1.2</v>
      </c>
      <c r="EC138" s="237" t="n">
        <f aca="false">IF(EC136=0,0,IF(EC136&lt;=12*'🎚️ Escenario'!$C$11,1,1+$C$6))</f>
        <v>1.2</v>
      </c>
      <c r="ED138" s="237" t="n">
        <f aca="false">IF(ED136=0,0,IF(ED136&lt;=12*'🎚️ Escenario'!$C$11,1,1+$C$6))</f>
        <v>1.2</v>
      </c>
      <c r="EE138" s="237" t="n">
        <f aca="false">IF(EE136=0,0,IF(EE136&lt;=12*'🎚️ Escenario'!$C$11,1,1+$C$6))</f>
        <v>1.2</v>
      </c>
      <c r="EF138" s="237" t="n">
        <f aca="false">IF(EF136=0,0,IF(EF136&lt;=12*'🎚️ Escenario'!$C$11,1,1+$C$6))</f>
        <v>1.2</v>
      </c>
      <c r="EG138" s="237" t="n">
        <f aca="false">IF(EG136=0,0,IF(EG136&lt;=12*'🎚️ Escenario'!$C$11,1,1+$C$6))</f>
        <v>1.2</v>
      </c>
      <c r="EH138" s="237" t="n">
        <f aca="false">IF(EH136=0,0,IF(EH136&lt;=12*'🎚️ Escenario'!$C$11,1,1+$C$6))</f>
        <v>1.2</v>
      </c>
      <c r="EI138" s="237" t="n">
        <f aca="false">IF(EI136=0,0,IF(EI136&lt;=12*'🎚️ Escenario'!$C$11,1,1+$C$6))</f>
        <v>1.2</v>
      </c>
      <c r="EJ138" s="237" t="n">
        <f aca="false">IF(EJ136=0,0,IF(EJ136&lt;=12*'🎚️ Escenario'!$C$11,1,1+$C$6))</f>
        <v>1.2</v>
      </c>
      <c r="EK138" s="237" t="n">
        <f aca="false">IF(EK136=0,0,IF(EK136&lt;=12*'🎚️ Escenario'!$C$11,1,1+$C$6))</f>
        <v>1.2</v>
      </c>
      <c r="EL138" s="237" t="n">
        <f aca="false">IF(EL136=0,0,IF(EL136&lt;=12*'🎚️ Escenario'!$C$11,1,1+$C$6))</f>
        <v>1.2</v>
      </c>
      <c r="EM138" s="237" t="n">
        <f aca="false">IF(EM136=0,0,IF(EM136&lt;=12*'🎚️ Escenario'!$C$11,1,1+$C$6))</f>
        <v>1.2</v>
      </c>
      <c r="EN138" s="237" t="n">
        <f aca="false">IF(EN136=0,0,IF(EN136&lt;=12*'🎚️ Escenario'!$C$11,1,1+$C$6))</f>
        <v>1.2</v>
      </c>
      <c r="EO138" s="237" t="n">
        <f aca="false">IF(EO136=0,0,IF(EO136&lt;=12*'🎚️ Escenario'!$C$11,1,1+$C$6))</f>
        <v>1.2</v>
      </c>
      <c r="EP138" s="237" t="n">
        <f aca="false">IF(EP136=0,0,IF(EP136&lt;=12*'🎚️ Escenario'!$C$11,1,1+$C$6))</f>
        <v>1.2</v>
      </c>
      <c r="EQ138" s="237" t="n">
        <f aca="false">IF(EQ136=0,0,IF(EQ136&lt;=12*'🎚️ Escenario'!$C$11,1,1+$C$6))</f>
        <v>1.2</v>
      </c>
      <c r="ER138" s="237" t="n">
        <f aca="false">IF(ER136=0,0,IF(ER136&lt;=12*'🎚️ Escenario'!$C$11,1,1+$C$6))</f>
        <v>1.2</v>
      </c>
      <c r="ES138" s="238" t="n">
        <f aca="false">IF(ES136=0,0,IF(ES136&lt;=12*'🎚️ Escenario'!$C$11,1,1+$C$6))</f>
        <v>1.2</v>
      </c>
      <c r="ET138" s="238" t="n">
        <f aca="false">IF(ET136=0,0,IF(ET136&lt;=12*'🎚️ Escenario'!$C$11,1,1+$C$6))</f>
        <v>1.2</v>
      </c>
      <c r="EU138" s="238" t="n">
        <f aca="false">IF(EU136=0,0,IF(EU136&lt;=12*'🎚️ Escenario'!$C$11,1,1+$C$6))</f>
        <v>1.2</v>
      </c>
      <c r="EV138" s="238" t="n">
        <f aca="false">IF(EV136=0,0,IF(EV136&lt;=12*'🎚️ Escenario'!$C$11,1,1+$C$6))</f>
        <v>1.2</v>
      </c>
      <c r="EW138" s="238" t="n">
        <f aca="false">IF(EW136=0,0,IF(EW136&lt;=12*'🎚️ Escenario'!$C$11,1,1+$C$6))</f>
        <v>1.2</v>
      </c>
      <c r="EX138" s="238" t="n">
        <f aca="false">IF(EX136=0,0,IF(EX136&lt;=12*'🎚️ Escenario'!$C$11,1,1+$C$6))</f>
        <v>1.2</v>
      </c>
      <c r="EY138" s="238" t="n">
        <f aca="false">IF(EY136=0,0,IF(EY136&lt;=12*'🎚️ Escenario'!$C$11,1,1+$C$6))</f>
        <v>1.2</v>
      </c>
      <c r="EZ138" s="238" t="n">
        <f aca="false">IF(EZ136=0,0,IF(EZ136&lt;=12*'🎚️ Escenario'!$C$11,1,1+$C$6))</f>
        <v>1.2</v>
      </c>
      <c r="FA138" s="238" t="n">
        <f aca="false">IF(FA136=0,0,IF(FA136&lt;=12*'🎚️ Escenario'!$C$11,1,1+$C$6))</f>
        <v>1.2</v>
      </c>
      <c r="FB138" s="238" t="n">
        <f aca="false">IF(FB136=0,0,IF(FB136&lt;=12*'🎚️ Escenario'!$C$11,1,1+$C$6))</f>
        <v>1.2</v>
      </c>
      <c r="FC138" s="238" t="n">
        <f aca="false">IF(FC136=0,0,IF(FC136&lt;=12*'🎚️ Escenario'!$C$11,1,1+$C$6))</f>
        <v>1.2</v>
      </c>
      <c r="FD138" s="238" t="n">
        <f aca="false">IF(FD136=0,0,IF(FD136&lt;=12*'🎚️ Escenario'!$C$11,1,1+$C$6))</f>
        <v>1.2</v>
      </c>
      <c r="FE138" s="238" t="n">
        <f aca="false">IF(FE136=0,0,IF(FE136&lt;=12*'🎚️ Escenario'!$C$11,1,1+$C$6))</f>
        <v>1.2</v>
      </c>
      <c r="FF138" s="238" t="n">
        <f aca="false">IF(FF136=0,0,IF(FF136&lt;=12*'🎚️ Escenario'!$C$11,1,1+$C$6))</f>
        <v>1.2</v>
      </c>
      <c r="FG138" s="238" t="n">
        <f aca="false">IF(FG136=0,0,IF(FG136&lt;=12*'🎚️ Escenario'!$C$11,1,1+$C$6))</f>
        <v>1.2</v>
      </c>
      <c r="FH138" s="238" t="n">
        <f aca="false">IF(FH136=0,0,IF(FH136&lt;=12*'🎚️ Escenario'!$C$11,1,1+$C$6))</f>
        <v>1.2</v>
      </c>
      <c r="FI138" s="238" t="n">
        <f aca="false">IF(FI136=0,0,IF(FI136&lt;=12*'🎚️ Escenario'!$C$11,1,1+$C$6))</f>
        <v>1.2</v>
      </c>
      <c r="FJ138" s="238" t="n">
        <f aca="false">IF(FJ136=0,0,IF(FJ136&lt;=12*'🎚️ Escenario'!$C$11,1,1+$C$6))</f>
        <v>1.2</v>
      </c>
      <c r="FK138" s="238" t="n">
        <f aca="false">IF(FK136=0,0,IF(FK136&lt;=12*'🎚️ Escenario'!$C$11,1,1+$C$6))</f>
        <v>1.2</v>
      </c>
      <c r="FL138" s="238" t="n">
        <f aca="false">IF(FL136=0,0,IF(FL136&lt;=12*'🎚️ Escenario'!$C$11,1,1+$C$6))</f>
        <v>1.2</v>
      </c>
      <c r="FM138" s="238" t="n">
        <f aca="false">IF(FM136=0,0,IF(FM136&lt;=12*'🎚️ Escenario'!$C$11,1,1+$C$6))</f>
        <v>1.2</v>
      </c>
      <c r="FN138" s="238" t="n">
        <f aca="false">IF(FN136=0,0,IF(FN136&lt;=12*'🎚️ Escenario'!$C$11,1,1+$C$6))</f>
        <v>1.2</v>
      </c>
      <c r="FO138" s="238" t="n">
        <f aca="false">IF(FO136=0,0,IF(FO136&lt;=12*'🎚️ Escenario'!$C$11,1,1+$C$6))</f>
        <v>1.2</v>
      </c>
      <c r="FP138" s="238" t="n">
        <f aca="false">IF(FP136=0,0,IF(FP136&lt;=12*'🎚️ Escenario'!$C$11,1,1+$C$6))</f>
        <v>1.2</v>
      </c>
    </row>
    <row r="139" customFormat="false" ht="15" hidden="false" customHeight="false" outlineLevel="2" collapsed="false">
      <c r="B139" s="9" t="s">
        <v>876</v>
      </c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36" t="n">
        <f aca="false">AC137*$AC$135*AC138*AC$38*'⑫ Roll-out Plan'!$O$19</f>
        <v>0</v>
      </c>
      <c r="AD139" s="36" t="n">
        <f aca="false">AD137*$AC$135*AD138*AD$38*'⑫ Roll-out Plan'!$O$19</f>
        <v>0</v>
      </c>
      <c r="AE139" s="36" t="n">
        <f aca="false">AE137*$AC$135*AE138*AE$38*'⑫ Roll-out Plan'!$O$19</f>
        <v>0</v>
      </c>
      <c r="AF139" s="36" t="n">
        <f aca="false">AF137*$AC$135*AF138*AF$38*'⑫ Roll-out Plan'!$O$19</f>
        <v>0</v>
      </c>
      <c r="AG139" s="36" t="n">
        <f aca="false">AG137*$AC$135*AG138*AG$38*'⑫ Roll-out Plan'!$O$19</f>
        <v>0</v>
      </c>
      <c r="AH139" s="36" t="n">
        <f aca="false">AH137*$AC$135*AH138*AH$38*'⑫ Roll-out Plan'!$O$19</f>
        <v>0</v>
      </c>
      <c r="AI139" s="36" t="n">
        <f aca="false">AI137*$AC$135*AI138*AI$38*'⑫ Roll-out Plan'!$O$19</f>
        <v>0</v>
      </c>
      <c r="AJ139" s="36" t="n">
        <f aca="false">AJ137*$AC$135*AJ138*AJ$38*'⑫ Roll-out Plan'!$O$19</f>
        <v>0</v>
      </c>
      <c r="AK139" s="36" t="n">
        <f aca="false">AK137*$AC$135*AK138*AK$38*'⑫ Roll-out Plan'!$O$19</f>
        <v>0</v>
      </c>
      <c r="AL139" s="36" t="n">
        <f aca="false">AL137*$AC$135*AL138*AL$38*'⑫ Roll-out Plan'!$O$19</f>
        <v>0</v>
      </c>
      <c r="AM139" s="36" t="n">
        <f aca="false">AM137*$AC$135*AM138*AM$38*'⑫ Roll-out Plan'!$O$19</f>
        <v>0</v>
      </c>
      <c r="AN139" s="36" t="n">
        <f aca="false">AN137*$AC$135*AN138*AN$38*'⑫ Roll-out Plan'!$O$19</f>
        <v>0</v>
      </c>
      <c r="AO139" s="36" t="n">
        <f aca="false">AO137*$AC$135*AO138*AO$38*'⑫ Roll-out Plan'!$O$19</f>
        <v>0</v>
      </c>
      <c r="AP139" s="36" t="n">
        <f aca="false">AP137*$AC$135*AP138*AP$38*'⑫ Roll-out Plan'!$O$19</f>
        <v>0</v>
      </c>
      <c r="AQ139" s="36" t="n">
        <f aca="false">AQ137*$AC$135*AQ138*AQ$38*'⑫ Roll-out Plan'!$O$19</f>
        <v>0</v>
      </c>
      <c r="AR139" s="36" t="n">
        <f aca="false">AR137*$AC$135*AR138*AR$38*'⑫ Roll-out Plan'!$O$19</f>
        <v>0</v>
      </c>
      <c r="AS139" s="36" t="n">
        <f aca="false">AS137*$AC$135*AS138*AS$38*'⑫ Roll-out Plan'!$O$19</f>
        <v>0</v>
      </c>
      <c r="AT139" s="36" t="n">
        <f aca="false">AT137*$AC$135*AT138*AT$38*'⑫ Roll-out Plan'!$O$19</f>
        <v>0</v>
      </c>
      <c r="AU139" s="36" t="n">
        <f aca="false">AU137*$AC$135*AU138*AU$38*'⑫ Roll-out Plan'!$O$19</f>
        <v>0</v>
      </c>
      <c r="AV139" s="36" t="n">
        <f aca="false">AV137*$AC$135*AV138*AV$38*'⑫ Roll-out Plan'!$O$19</f>
        <v>0</v>
      </c>
      <c r="AW139" s="36" t="n">
        <f aca="false">AW137*$AC$135*AW138*AW$38*'⑫ Roll-out Plan'!$O$19</f>
        <v>0</v>
      </c>
      <c r="AX139" s="36" t="n">
        <f aca="false">AX137*$AC$135*AX138*AX$38*'⑫ Roll-out Plan'!$O$19</f>
        <v>0</v>
      </c>
      <c r="AY139" s="36" t="n">
        <f aca="false">AY137*$AC$135*AY138*AY$38*'⑫ Roll-out Plan'!$O$19</f>
        <v>0</v>
      </c>
      <c r="AZ139" s="36" t="n">
        <f aca="false">AZ137*$AC$135*AZ138*AZ$38*'⑫ Roll-out Plan'!$O$19</f>
        <v>0</v>
      </c>
      <c r="BA139" s="36" t="n">
        <f aca="false">BA137*$AC$135*BA138*BA$38*'⑫ Roll-out Plan'!$O$19</f>
        <v>39.96</v>
      </c>
      <c r="BB139" s="36" t="n">
        <f aca="false">BB137*$AC$135*BB138*BB$38*'⑫ Roll-out Plan'!$O$19</f>
        <v>33.374</v>
      </c>
      <c r="BC139" s="36" t="n">
        <f aca="false">BC137*$AC$135*BC138*BC$38*'⑫ Roll-out Plan'!$O$19</f>
        <v>51.504</v>
      </c>
      <c r="BD139" s="36" t="n">
        <f aca="false">BD137*$AC$135*BD138*BD$38*'⑫ Roll-out Plan'!$O$19</f>
        <v>54.945</v>
      </c>
      <c r="BE139" s="36" t="n">
        <f aca="false">BE137*$AC$135*BE138*BE$38*'⑫ Roll-out Plan'!$O$19</f>
        <v>45.954</v>
      </c>
      <c r="BF139" s="36" t="n">
        <f aca="false">BF137*$AC$135*BF138*BF$38*'⑫ Roll-out Plan'!$O$19</f>
        <v>45.88</v>
      </c>
      <c r="BG139" s="36" t="n">
        <f aca="false">BG137*$AC$135*BG138*BG$38*'⑫ Roll-out Plan'!$O$19</f>
        <v>54.39</v>
      </c>
      <c r="BH139" s="36" t="n">
        <f aca="false">BH137*$AC$135*BH138*BH$38*'⑫ Roll-out Plan'!$O$19</f>
        <v>102.453</v>
      </c>
      <c r="BI139" s="36" t="n">
        <f aca="false">BI137*$AC$135*BI138*BI$38*'⑫ Roll-out Plan'!$O$19</f>
        <v>94.424</v>
      </c>
      <c r="BJ139" s="36" t="n">
        <f aca="false">BJ137*$AC$135*BJ138*BJ$38*'⑫ Roll-out Plan'!$O$19</f>
        <v>78.144</v>
      </c>
      <c r="BK139" s="36" t="n">
        <f aca="false">BK137*$AC$135*BK138*BK$38*'⑫ Roll-out Plan'!$O$19</f>
        <v>63.936</v>
      </c>
      <c r="BL139" s="36" t="n">
        <f aca="false">BL137*$AC$135*BL138*BL$38*'⑫ Roll-out Plan'!$O$19</f>
        <v>98.124</v>
      </c>
      <c r="BM139" s="36" t="n">
        <f aca="false">BM137*$AC$135*BM138*BM$38*'⑫ Roll-out Plan'!$O$19</f>
        <v>111.888</v>
      </c>
      <c r="BN139" s="36" t="n">
        <f aca="false">BN137*$AC$135*BN138*BN$38*'⑫ Roll-out Plan'!$O$19</f>
        <v>91.02</v>
      </c>
      <c r="BO139" s="36" t="n">
        <f aca="false">BO137*$AC$135*BO138*BO$38*'⑫ Roll-out Plan'!$O$19</f>
        <v>128.76</v>
      </c>
      <c r="BP139" s="36" t="n">
        <f aca="false">BP137*$AC$135*BP138*BP$38*'⑫ Roll-out Plan'!$O$19</f>
        <v>153.846</v>
      </c>
      <c r="BQ139" s="36" t="n">
        <f aca="false">BQ137*$AC$135*BQ138*BQ$38*'⑫ Roll-out Plan'!$O$19</f>
        <v>134.7984</v>
      </c>
      <c r="BR139" s="36" t="n">
        <f aca="false">BR137*$AC$135*BR138*BR$38*'⑫ Roll-out Plan'!$O$19</f>
        <v>122.544</v>
      </c>
      <c r="BS139" s="36" t="n">
        <f aca="false">BS137*$AC$135*BS138*BS$38*'⑫ Roll-out Plan'!$O$19</f>
        <v>132.4008</v>
      </c>
      <c r="BT139" s="36" t="n">
        <f aca="false">BT137*$AC$135*BT138*BT$38*'⑫ Roll-out Plan'!$O$19</f>
        <v>223.8204</v>
      </c>
      <c r="BU139" s="36" t="n">
        <f aca="false">BU137*$AC$135*BU138*BU$38*'⑫ Roll-out Plan'!$O$19</f>
        <v>187.9896</v>
      </c>
      <c r="BV139" s="36" t="n">
        <f aca="false">BV137*$AC$135*BV138*BV$38*'⑫ Roll-out Plan'!$O$19</f>
        <v>159.84</v>
      </c>
      <c r="BW139" s="36" t="n">
        <f aca="false">BW137*$AC$135*BW138*BW$38*'⑫ Roll-out Plan'!$O$19</f>
        <v>123.0768</v>
      </c>
      <c r="BX139" s="36" t="n">
        <f aca="false">BX137*$AC$135*BX138*BX$38*'⑫ Roll-out Plan'!$O$19</f>
        <v>178.8876</v>
      </c>
      <c r="BY139" s="36" t="n">
        <f aca="false">BY137*$AC$135*BY138*BY$38*'⑫ Roll-out Plan'!$O$19</f>
        <v>189.4104</v>
      </c>
      <c r="BZ139" s="36" t="n">
        <f aca="false">BZ137*$AC$135*BZ138*BZ$38*'⑫ Roll-out Plan'!$O$19</f>
        <v>145.632</v>
      </c>
      <c r="CA139" s="36" t="n">
        <f aca="false">CA137*$AC$135*CA138*CA$38*'⑫ Roll-out Plan'!$O$19</f>
        <v>211.1664</v>
      </c>
      <c r="CB139" s="36" t="n">
        <f aca="false">CB137*$AC$135*CB138*CB$38*'⑫ Roll-out Plan'!$O$19</f>
        <v>205.128</v>
      </c>
      <c r="CC139" s="36" t="n">
        <f aca="false">CC137*$AC$135*CC138*CC$38*'⑫ Roll-out Plan'!$O$19</f>
        <v>173.604</v>
      </c>
      <c r="CD139" s="36" t="n">
        <f aca="false">CD137*$AC$135*CD138*CD$38*'⑫ Roll-out Plan'!$O$19</f>
        <v>150.96</v>
      </c>
      <c r="CE139" s="36" t="n">
        <f aca="false">CE137*$AC$135*CE138*CE$38*'⑫ Roll-out Plan'!$O$19</f>
        <v>160.3728</v>
      </c>
      <c r="CF139" s="36" t="n">
        <f aca="false">CF137*$AC$135*CF138*CF$38*'⑫ Roll-out Plan'!$O$19</f>
        <v>277.4112</v>
      </c>
      <c r="CG139" s="36" t="n">
        <f aca="false">CG137*$AC$135*CG138*CG$38*'⑫ Roll-out Plan'!$O$19</f>
        <v>229.1928</v>
      </c>
      <c r="CH139" s="36" t="n">
        <f aca="false">CH137*$AC$135*CH138*CH$38*'⑫ Roll-out Plan'!$O$19</f>
        <v>191.808</v>
      </c>
      <c r="CI139" s="36" t="n">
        <f aca="false">CI137*$AC$135*CI138*CI$38*'⑫ Roll-out Plan'!$O$19</f>
        <v>143.856</v>
      </c>
      <c r="CJ139" s="36" t="n">
        <f aca="false">CJ137*$AC$135*CJ138*CJ$38*'⑫ Roll-out Plan'!$O$19</f>
        <v>208.3248</v>
      </c>
      <c r="CK139" s="36" t="n">
        <f aca="false">CK137*$AC$135*CK138*CK$38*'⑫ Roll-out Plan'!$O$19</f>
        <v>222.9768</v>
      </c>
      <c r="CL139" s="36" t="n">
        <f aca="false">CL137*$AC$135*CL138*CL$38*'⑫ Roll-out Plan'!$O$19</f>
        <v>171.1176</v>
      </c>
      <c r="CM139" s="36" t="n">
        <f aca="false">CM137*$AC$135*CM138*CM$38*'⑫ Roll-out Plan'!$O$19</f>
        <v>244.644</v>
      </c>
      <c r="CN139" s="36" t="n">
        <f aca="false">CN137*$AC$135*CN138*CN$38*'⑫ Roll-out Plan'!$O$19</f>
        <v>231.99</v>
      </c>
      <c r="CO139" s="36" t="n">
        <f aca="false">CO137*$AC$135*CO138*CO$38*'⑫ Roll-out Plan'!$O$19</f>
        <v>198.1128</v>
      </c>
      <c r="CP139" s="36" t="n">
        <f aca="false">CP137*$AC$135*CP138*CP$38*'⑫ Roll-out Plan'!$O$19</f>
        <v>174.048</v>
      </c>
      <c r="CQ139" s="36" t="n">
        <f aca="false">CQ137*$AC$135*CQ138*CQ$38*'⑫ Roll-out Plan'!$O$19</f>
        <v>184.6152</v>
      </c>
      <c r="CR139" s="36" t="n">
        <f aca="false">CR137*$AC$135*CR138*CR$38*'⑫ Roll-out Plan'!$O$19</f>
        <v>315.24</v>
      </c>
      <c r="CS139" s="36" t="n">
        <f aca="false">CS137*$AC$135*CS138*CS$38*'⑫ Roll-out Plan'!$O$19</f>
        <v>257.52</v>
      </c>
      <c r="CT139" s="36" t="n">
        <f aca="false">CT137*$AC$135*CT138*CT$38*'⑫ Roll-out Plan'!$O$19</f>
        <v>213.12</v>
      </c>
      <c r="CU139" s="36" t="n">
        <f aca="false">CU137*$AC$135*CU138*CU$38*'⑫ Roll-out Plan'!$O$19</f>
        <v>159.84</v>
      </c>
      <c r="CV139" s="36" t="n">
        <f aca="false">CV137*$AC$135*CV138*CV$38*'⑫ Roll-out Plan'!$O$19</f>
        <v>226.44</v>
      </c>
      <c r="CW139" s="36" t="n">
        <f aca="false">CW137*$AC$135*CW138*CW$38*'⑫ Roll-out Plan'!$O$19</f>
        <v>239.76</v>
      </c>
      <c r="CX139" s="36" t="n">
        <f aca="false">CX137*$AC$135*CX138*CX$38*'⑫ Roll-out Plan'!$O$19</f>
        <v>182.04</v>
      </c>
      <c r="CY139" s="36" t="n">
        <f aca="false">CY137*$AC$135*CY138*CY$38*'⑫ Roll-out Plan'!$O$19</f>
        <v>257.52</v>
      </c>
      <c r="CZ139" s="36" t="n">
        <f aca="false">CZ137*$AC$135*CZ138*CZ$38*'⑫ Roll-out Plan'!$O$19</f>
        <v>244.2</v>
      </c>
      <c r="DA139" s="36" t="n">
        <f aca="false">DA137*$AC$135*DA138*DA$38*'⑫ Roll-out Plan'!$O$19</f>
        <v>204.24</v>
      </c>
      <c r="DB139" s="36" t="n">
        <f aca="false">DB137*$AC$135*DB138*DB$38*'⑫ Roll-out Plan'!$O$19</f>
        <v>177.6</v>
      </c>
      <c r="DC139" s="36" t="n">
        <f aca="false">DC137*$AC$135*DC138*DC$38*'⑫ Roll-out Plan'!$O$19</f>
        <v>186.48</v>
      </c>
      <c r="DD139" s="36" t="n">
        <f aca="false">DD137*$AC$135*DD138*DD$38*'⑫ Roll-out Plan'!$O$19</f>
        <v>315.24</v>
      </c>
      <c r="DE139" s="36" t="n">
        <f aca="false">DE137*$AC$135*DE138*DE$38*'⑫ Roll-out Plan'!$O$19</f>
        <v>257.52</v>
      </c>
      <c r="DF139" s="36" t="n">
        <f aca="false">DF137*$AC$135*DF138*DF$38*'⑫ Roll-out Plan'!$O$19</f>
        <v>213.12</v>
      </c>
      <c r="DG139" s="36" t="n">
        <f aca="false">DG137*$AC$135*DG138*DG$38*'⑫ Roll-out Plan'!$O$19</f>
        <v>159.84</v>
      </c>
      <c r="DH139" s="36" t="n">
        <f aca="false">DH137*$AC$135*DH138*DH$38*'⑫ Roll-out Plan'!$O$19</f>
        <v>226.44</v>
      </c>
      <c r="DI139" s="36" t="n">
        <f aca="false">DI137*$AC$135*DI138*DI$38*'⑫ Roll-out Plan'!$O$19</f>
        <v>239.76</v>
      </c>
      <c r="DJ139" s="36" t="n">
        <f aca="false">DJ137*$AC$135*DJ138*DJ$38*'⑫ Roll-out Plan'!$O$19</f>
        <v>182.04</v>
      </c>
      <c r="DK139" s="36" t="n">
        <f aca="false">DK137*$AC$135*DK138*DK$38*'⑫ Roll-out Plan'!$O$19</f>
        <v>257.52</v>
      </c>
      <c r="DL139" s="36" t="n">
        <f aca="false">DL137*$AC$135*DL138*DL$38*'⑫ Roll-out Plan'!$O$19</f>
        <v>244.2</v>
      </c>
      <c r="DM139" s="36" t="n">
        <f aca="false">DM137*$AC$135*DM138*DM$38*'⑫ Roll-out Plan'!$O$19</f>
        <v>204.24</v>
      </c>
      <c r="DN139" s="36" t="n">
        <f aca="false">DN137*$AC$135*DN138*DN$38*'⑫ Roll-out Plan'!$O$19</f>
        <v>177.6</v>
      </c>
      <c r="DO139" s="36" t="n">
        <f aca="false">DO137*$AC$135*DO138*DO$38*'⑫ Roll-out Plan'!$O$19</f>
        <v>186.48</v>
      </c>
      <c r="DP139" s="36" t="n">
        <f aca="false">DP137*$AC$135*DP138*DP$38*'⑫ Roll-out Plan'!$O$19</f>
        <v>315.24</v>
      </c>
      <c r="DQ139" s="36" t="n">
        <f aca="false">DQ137*$AC$135*DQ138*DQ$38*'⑫ Roll-out Plan'!$O$19</f>
        <v>257.52</v>
      </c>
      <c r="DR139" s="36" t="n">
        <f aca="false">DR137*$AC$135*DR138*DR$38*'⑫ Roll-out Plan'!$O$19</f>
        <v>213.12</v>
      </c>
      <c r="DS139" s="36" t="n">
        <f aca="false">DS137*$AC$135*DS138*DS$38*'⑫ Roll-out Plan'!$O$19</f>
        <v>159.84</v>
      </c>
      <c r="DT139" s="36" t="n">
        <f aca="false">DT137*$AC$135*DT138*DT$38*'⑫ Roll-out Plan'!$O$19</f>
        <v>226.44</v>
      </c>
      <c r="DU139" s="36" t="n">
        <f aca="false">DU137*$AC$135*DU138*DU$38*'⑫ Roll-out Plan'!$O$19</f>
        <v>239.76</v>
      </c>
      <c r="DV139" s="36" t="n">
        <f aca="false">DV137*$AC$135*DV138*DV$38*'⑫ Roll-out Plan'!$O$19</f>
        <v>182.04</v>
      </c>
      <c r="DW139" s="36" t="n">
        <f aca="false">DW137*$AC$135*DW138*DW$38*'⑫ Roll-out Plan'!$O$19</f>
        <v>257.52</v>
      </c>
      <c r="DX139" s="36" t="n">
        <f aca="false">DX137*$AC$135*DX138*DX$38*'⑫ Roll-out Plan'!$O$19</f>
        <v>244.2</v>
      </c>
      <c r="DY139" s="36" t="n">
        <f aca="false">DY137*$AC$135*DY138*DY$38*'⑫ Roll-out Plan'!$O$19</f>
        <v>204.24</v>
      </c>
      <c r="DZ139" s="36" t="n">
        <f aca="false">DZ137*$AC$135*DZ138*DZ$38*'⑫ Roll-out Plan'!$O$19</f>
        <v>177.6</v>
      </c>
      <c r="EA139" s="36" t="n">
        <f aca="false">EA137*$AC$135*EA138*EA$38*'⑫ Roll-out Plan'!$O$19</f>
        <v>186.48</v>
      </c>
      <c r="EB139" s="36" t="n">
        <f aca="false">EB137*$AC$135*EB138*EB$38*'⑫ Roll-out Plan'!$O$19</f>
        <v>315.24</v>
      </c>
      <c r="EC139" s="36" t="n">
        <f aca="false">EC137*$AC$135*EC138*EC$38*'⑫ Roll-out Plan'!$O$19</f>
        <v>257.52</v>
      </c>
      <c r="ED139" s="36" t="n">
        <f aca="false">ED137*$AC$135*ED138*ED$38*'⑫ Roll-out Plan'!$O$19</f>
        <v>213.12</v>
      </c>
      <c r="EE139" s="36" t="n">
        <f aca="false">EE137*$AC$135*EE138*EE$38*'⑫ Roll-out Plan'!$O$19</f>
        <v>159.84</v>
      </c>
      <c r="EF139" s="36" t="n">
        <f aca="false">EF137*$AC$135*EF138*EF$38*'⑫ Roll-out Plan'!$O$19</f>
        <v>226.44</v>
      </c>
      <c r="EG139" s="36" t="n">
        <f aca="false">EG137*$AC$135*EG138*EG$38*'⑫ Roll-out Plan'!$O$19</f>
        <v>239.76</v>
      </c>
      <c r="EH139" s="36" t="n">
        <f aca="false">EH137*$AC$135*EH138*EH$38*'⑫ Roll-out Plan'!$O$19</f>
        <v>182.04</v>
      </c>
      <c r="EI139" s="36" t="n">
        <f aca="false">EI137*$AC$135*EI138*EI$38*'⑫ Roll-out Plan'!$O$19</f>
        <v>257.52</v>
      </c>
      <c r="EJ139" s="36" t="n">
        <f aca="false">EJ137*$AC$135*EJ138*EJ$38*'⑫ Roll-out Plan'!$O$19</f>
        <v>244.2</v>
      </c>
      <c r="EK139" s="36" t="n">
        <f aca="false">EK137*$AC$135*EK138*EK$38*'⑫ Roll-out Plan'!$O$19</f>
        <v>204.24</v>
      </c>
      <c r="EL139" s="36" t="n">
        <f aca="false">EL137*$AC$135*EL138*EL$38*'⑫ Roll-out Plan'!$O$19</f>
        <v>177.6</v>
      </c>
      <c r="EM139" s="36" t="n">
        <f aca="false">EM137*$AC$135*EM138*EM$38*'⑫ Roll-out Plan'!$O$19</f>
        <v>186.48</v>
      </c>
      <c r="EN139" s="36" t="n">
        <f aca="false">EN137*$AC$135*EN138*EN$38*'⑫ Roll-out Plan'!$O$19</f>
        <v>315.24</v>
      </c>
      <c r="EO139" s="36" t="n">
        <f aca="false">EO137*$AC$135*EO138*EO$38*'⑫ Roll-out Plan'!$O$19</f>
        <v>257.52</v>
      </c>
      <c r="EP139" s="36" t="n">
        <f aca="false">EP137*$AC$135*EP138*EP$38*'⑫ Roll-out Plan'!$O$19</f>
        <v>213.12</v>
      </c>
      <c r="EQ139" s="36" t="n">
        <f aca="false">EQ137*$AC$135*EQ138*EQ$38*'⑫ Roll-out Plan'!$O$19</f>
        <v>159.84</v>
      </c>
      <c r="ER139" s="36" t="n">
        <f aca="false">ER137*$AC$135*ER138*ER$38*'⑫ Roll-out Plan'!$O$19</f>
        <v>226.44</v>
      </c>
      <c r="ES139" s="9" t="n">
        <f aca="false">ES137*$AC$135*ES138*ES$38*'⑫ Roll-out Plan'!$O$19</f>
        <v>239.76</v>
      </c>
      <c r="ET139" s="9" t="n">
        <f aca="false">ET137*$AC$135*ET138*ET$38*'⑫ Roll-out Plan'!$O$19</f>
        <v>182.04</v>
      </c>
      <c r="EU139" s="9" t="n">
        <f aca="false">EU137*$AC$135*EU138*EU$38*'⑫ Roll-out Plan'!$O$19</f>
        <v>257.52</v>
      </c>
      <c r="EV139" s="9" t="n">
        <f aca="false">EV137*$AC$135*EV138*EV$38*'⑫ Roll-out Plan'!$O$19</f>
        <v>244.2</v>
      </c>
      <c r="EW139" s="9" t="n">
        <f aca="false">EW137*$AC$135*EW138*EW$38*'⑫ Roll-out Plan'!$O$19</f>
        <v>204.24</v>
      </c>
      <c r="EX139" s="9" t="n">
        <f aca="false">EX137*$AC$135*EX138*EX$38*'⑫ Roll-out Plan'!$O$19</f>
        <v>177.6</v>
      </c>
      <c r="EY139" s="9" t="n">
        <f aca="false">EY137*$AC$135*EY138*EY$38*'⑫ Roll-out Plan'!$O$19</f>
        <v>186.48</v>
      </c>
      <c r="EZ139" s="9" t="n">
        <f aca="false">EZ137*$AC$135*EZ138*EZ$38*'⑫ Roll-out Plan'!$O$19</f>
        <v>315.24</v>
      </c>
      <c r="FA139" s="9" t="n">
        <f aca="false">FA137*$AC$135*FA138*FA$38*'⑫ Roll-out Plan'!$O$19</f>
        <v>257.52</v>
      </c>
      <c r="FB139" s="9" t="n">
        <f aca="false">FB137*$AC$135*FB138*FB$38*'⑫ Roll-out Plan'!$O$19</f>
        <v>213.12</v>
      </c>
      <c r="FC139" s="9" t="n">
        <f aca="false">FC137*$AC$135*FC138*FC$38*'⑫ Roll-out Plan'!$O$19</f>
        <v>159.84</v>
      </c>
      <c r="FD139" s="9" t="n">
        <f aca="false">FD137*$AC$135*FD138*FD$38*'⑫ Roll-out Plan'!$O$19</f>
        <v>226.44</v>
      </c>
      <c r="FE139" s="9" t="n">
        <f aca="false">FE137*$AC$135*FE138*FE$38*'⑫ Roll-out Plan'!$O$19</f>
        <v>239.76</v>
      </c>
      <c r="FF139" s="9" t="n">
        <f aca="false">FF137*$AC$135*FF138*FF$38*'⑫ Roll-out Plan'!$O$19</f>
        <v>182.04</v>
      </c>
      <c r="FG139" s="9" t="n">
        <f aca="false">FG137*$AC$135*FG138*FG$38*'⑫ Roll-out Plan'!$O$19</f>
        <v>257.52</v>
      </c>
      <c r="FH139" s="9" t="n">
        <f aca="false">FH137*$AC$135*FH138*FH$38*'⑫ Roll-out Plan'!$O$19</f>
        <v>244.2</v>
      </c>
      <c r="FI139" s="9" t="n">
        <f aca="false">FI137*$AC$135*FI138*FI$38*'⑫ Roll-out Plan'!$O$19</f>
        <v>204.24</v>
      </c>
      <c r="FJ139" s="9" t="n">
        <f aca="false">FJ137*$AC$135*FJ138*FJ$38*'⑫ Roll-out Plan'!$O$19</f>
        <v>177.6</v>
      </c>
      <c r="FK139" s="9" t="n">
        <f aca="false">FK137*$AC$135*FK138*FK$38*'⑫ Roll-out Plan'!$O$19</f>
        <v>186.48</v>
      </c>
      <c r="FL139" s="9" t="n">
        <f aca="false">FL137*$AC$135*FL138*FL$38*'⑫ Roll-out Plan'!$O$19</f>
        <v>315.24</v>
      </c>
      <c r="FM139" s="9" t="n">
        <f aca="false">FM137*$AC$135*FM138*FM$38*'⑫ Roll-out Plan'!$O$19</f>
        <v>257.52</v>
      </c>
      <c r="FN139" s="9" t="n">
        <f aca="false">FN137*$AC$135*FN138*FN$38*'⑫ Roll-out Plan'!$O$19</f>
        <v>213.12</v>
      </c>
      <c r="FO139" s="9" t="n">
        <f aca="false">FO137*$AC$135*FO138*FO$38*'⑫ Roll-out Plan'!$O$19</f>
        <v>159.84</v>
      </c>
      <c r="FP139" s="9" t="n">
        <f aca="false">FP137*$AC$135*FP138*FP$38*'⑫ Roll-out Plan'!$O$19</f>
        <v>226.44</v>
      </c>
    </row>
    <row r="140" customFormat="false" ht="15" hidden="false" customHeight="false" outlineLevel="2" collapsed="false">
      <c r="B140" s="9" t="s">
        <v>877</v>
      </c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112" t="n">
        <f aca="true">IFERROR(SUMPRODUCT(OFFSET($BJ$31,0,1-MIN(60,COLUMN()-29),1,MIN(60,COLUMN()-29)),OFFSET(AC139,0,-MIN(60,COLUMN()-29),1,MIN(60,COLUMN()-29))),0)</f>
        <v>0</v>
      </c>
      <c r="AD140" s="112" t="n">
        <f aca="true">IFERROR(SUMPRODUCT(OFFSET($BJ$31,0,1-MIN(60,COLUMN()-29),1,MIN(60,COLUMN()-29)),OFFSET(AD139,0,-MIN(60,COLUMN()-29),1,MIN(60,COLUMN()-29))),0)</f>
        <v>0</v>
      </c>
      <c r="AE140" s="112" t="n">
        <f aca="true">IFERROR(SUMPRODUCT(OFFSET($BJ$31,0,1-MIN(60,COLUMN()-29),1,MIN(60,COLUMN()-29)),OFFSET(AE139,0,-MIN(60,COLUMN()-29),1,MIN(60,COLUMN()-29))),0)</f>
        <v>0</v>
      </c>
      <c r="AF140" s="112" t="n">
        <f aca="true">IFERROR(SUMPRODUCT(OFFSET($BJ$31,0,1-MIN(60,COLUMN()-29),1,MIN(60,COLUMN()-29)),OFFSET(AF139,0,-MIN(60,COLUMN()-29),1,MIN(60,COLUMN()-29))),0)</f>
        <v>0</v>
      </c>
      <c r="AG140" s="112" t="n">
        <f aca="true">IFERROR(SUMPRODUCT(OFFSET($BJ$31,0,1-MIN(60,COLUMN()-29),1,MIN(60,COLUMN()-29)),OFFSET(AG139,0,-MIN(60,COLUMN()-29),1,MIN(60,COLUMN()-29))),0)</f>
        <v>0</v>
      </c>
      <c r="AH140" s="112" t="n">
        <f aca="true">IFERROR(SUMPRODUCT(OFFSET($BJ$31,0,1-MIN(60,COLUMN()-29),1,MIN(60,COLUMN()-29)),OFFSET(AH139,0,-MIN(60,COLUMN()-29),1,MIN(60,COLUMN()-29))),0)</f>
        <v>0</v>
      </c>
      <c r="AI140" s="112" t="n">
        <f aca="true">IFERROR(SUMPRODUCT(OFFSET($BJ$31,0,1-MIN(60,COLUMN()-29),1,MIN(60,COLUMN()-29)),OFFSET(AI139,0,-MIN(60,COLUMN()-29),1,MIN(60,COLUMN()-29))),0)</f>
        <v>0</v>
      </c>
      <c r="AJ140" s="112" t="n">
        <f aca="true">IFERROR(SUMPRODUCT(OFFSET($BJ$31,0,1-MIN(60,COLUMN()-29),1,MIN(60,COLUMN()-29)),OFFSET(AJ139,0,-MIN(60,COLUMN()-29),1,MIN(60,COLUMN()-29))),0)</f>
        <v>0</v>
      </c>
      <c r="AK140" s="112" t="n">
        <f aca="true">IFERROR(SUMPRODUCT(OFFSET($BJ$31,0,1-MIN(60,COLUMN()-29),1,MIN(60,COLUMN()-29)),OFFSET(AK139,0,-MIN(60,COLUMN()-29),1,MIN(60,COLUMN()-29))),0)</f>
        <v>0</v>
      </c>
      <c r="AL140" s="112" t="n">
        <f aca="true">IFERROR(SUMPRODUCT(OFFSET($BJ$31,0,1-MIN(60,COLUMN()-29),1,MIN(60,COLUMN()-29)),OFFSET(AL139,0,-MIN(60,COLUMN()-29),1,MIN(60,COLUMN()-29))),0)</f>
        <v>0</v>
      </c>
      <c r="AM140" s="112" t="n">
        <f aca="true">IFERROR(SUMPRODUCT(OFFSET($BJ$31,0,1-MIN(60,COLUMN()-29),1,MIN(60,COLUMN()-29)),OFFSET(AM139,0,-MIN(60,COLUMN()-29),1,MIN(60,COLUMN()-29))),0)</f>
        <v>0</v>
      </c>
      <c r="AN140" s="112" t="n">
        <f aca="true">IFERROR(SUMPRODUCT(OFFSET($BJ$31,0,1-MIN(60,COLUMN()-29),1,MIN(60,COLUMN()-29)),OFFSET(AN139,0,-MIN(60,COLUMN()-29),1,MIN(60,COLUMN()-29))),0)</f>
        <v>0</v>
      </c>
      <c r="AO140" s="112" t="n">
        <f aca="true">IFERROR(SUMPRODUCT(OFFSET($BJ$31,0,1-MIN(60,COLUMN()-29),1,MIN(60,COLUMN()-29)),OFFSET(AO139,0,-MIN(60,COLUMN()-29),1,MIN(60,COLUMN()-29))),0)</f>
        <v>0</v>
      </c>
      <c r="AP140" s="112" t="n">
        <f aca="true">IFERROR(SUMPRODUCT(OFFSET($BJ$31,0,1-MIN(60,COLUMN()-29),1,MIN(60,COLUMN()-29)),OFFSET(AP139,0,-MIN(60,COLUMN()-29),1,MIN(60,COLUMN()-29))),0)</f>
        <v>0</v>
      </c>
      <c r="AQ140" s="112" t="n">
        <f aca="true">IFERROR(SUMPRODUCT(OFFSET($BJ$31,0,1-MIN(60,COLUMN()-29),1,MIN(60,COLUMN()-29)),OFFSET(AQ139,0,-MIN(60,COLUMN()-29),1,MIN(60,COLUMN()-29))),0)</f>
        <v>0</v>
      </c>
      <c r="AR140" s="112" t="n">
        <f aca="true">IFERROR(SUMPRODUCT(OFFSET($BJ$31,0,1-MIN(60,COLUMN()-29),1,MIN(60,COLUMN()-29)),OFFSET(AR139,0,-MIN(60,COLUMN()-29),1,MIN(60,COLUMN()-29))),0)</f>
        <v>0</v>
      </c>
      <c r="AS140" s="112" t="n">
        <f aca="true">IFERROR(SUMPRODUCT(OFFSET($BJ$31,0,1-MIN(60,COLUMN()-29),1,MIN(60,COLUMN()-29)),OFFSET(AS139,0,-MIN(60,COLUMN()-29),1,MIN(60,COLUMN()-29))),0)</f>
        <v>0</v>
      </c>
      <c r="AT140" s="112" t="n">
        <f aca="true">IFERROR(SUMPRODUCT(OFFSET($BJ$31,0,1-MIN(60,COLUMN()-29),1,MIN(60,COLUMN()-29)),OFFSET(AT139,0,-MIN(60,COLUMN()-29),1,MIN(60,COLUMN()-29))),0)</f>
        <v>0</v>
      </c>
      <c r="AU140" s="112" t="n">
        <f aca="true">IFERROR(SUMPRODUCT(OFFSET($BJ$31,0,1-MIN(60,COLUMN()-29),1,MIN(60,COLUMN()-29)),OFFSET(AU139,0,-MIN(60,COLUMN()-29),1,MIN(60,COLUMN()-29))),0)</f>
        <v>0</v>
      </c>
      <c r="AV140" s="112" t="n">
        <f aca="true">IFERROR(SUMPRODUCT(OFFSET($BJ$31,0,1-MIN(60,COLUMN()-29),1,MIN(60,COLUMN()-29)),OFFSET(AV139,0,-MIN(60,COLUMN()-29),1,MIN(60,COLUMN()-29))),0)</f>
        <v>0</v>
      </c>
      <c r="AW140" s="112" t="n">
        <f aca="true">IFERROR(SUMPRODUCT(OFFSET($BJ$31,0,1-MIN(60,COLUMN()-29),1,MIN(60,COLUMN()-29)),OFFSET(AW139,0,-MIN(60,COLUMN()-29),1,MIN(60,COLUMN()-29))),0)</f>
        <v>0</v>
      </c>
      <c r="AX140" s="112" t="n">
        <f aca="true">IFERROR(SUMPRODUCT(OFFSET($BJ$31,0,1-MIN(60,COLUMN()-29),1,MIN(60,COLUMN()-29)),OFFSET(AX139,0,-MIN(60,COLUMN()-29),1,MIN(60,COLUMN()-29))),0)</f>
        <v>0</v>
      </c>
      <c r="AY140" s="112" t="n">
        <f aca="true">IFERROR(SUMPRODUCT(OFFSET($BJ$31,0,1-MIN(60,COLUMN()-29),1,MIN(60,COLUMN()-29)),OFFSET(AY139,0,-MIN(60,COLUMN()-29),1,MIN(60,COLUMN()-29))),0)</f>
        <v>0</v>
      </c>
      <c r="AZ140" s="112" t="n">
        <f aca="true">IFERROR(SUMPRODUCT(OFFSET($BJ$31,0,1-MIN(60,COLUMN()-29),1,MIN(60,COLUMN()-29)),OFFSET(AZ139,0,-MIN(60,COLUMN()-29),1,MIN(60,COLUMN()-29))),0)</f>
        <v>0</v>
      </c>
      <c r="BA140" s="112" t="n">
        <f aca="true">IFERROR(SUMPRODUCT(OFFSET($BJ$31,0,1-MIN(60,COLUMN()-29),1,MIN(60,COLUMN()-29)),OFFSET(BA139,0,-MIN(60,COLUMN()-29),1,MIN(60,COLUMN()-29))),0)</f>
        <v>0</v>
      </c>
      <c r="BB140" s="112" t="n">
        <f aca="true">IFERROR(SUMPRODUCT(OFFSET($BJ$31,0,1-MIN(60,COLUMN()-29),1,MIN(60,COLUMN()-29)),OFFSET(BB139,0,-MIN(60,COLUMN()-29),1,MIN(60,COLUMN()-29))),0)</f>
        <v>5.11488</v>
      </c>
      <c r="BC140" s="112" t="n">
        <f aca="true">IFERROR(SUMPRODUCT(OFFSET($BJ$31,0,1-MIN(60,COLUMN()-29),1,MIN(60,COLUMN()-29)),OFFSET(BC139,0,-MIN(60,COLUMN()-29),1,MIN(60,COLUMN()-29))),0)</f>
        <v>4.975168</v>
      </c>
      <c r="BD140" s="112" t="n">
        <f aca="true">IFERROR(SUMPRODUCT(OFFSET($BJ$31,0,1-MIN(60,COLUMN()-29),1,MIN(60,COLUMN()-29)),OFFSET(BD139,0,-MIN(60,COLUMN()-29),1,MIN(60,COLUMN()-29))),0)</f>
        <v>8.0749984</v>
      </c>
      <c r="BE140" s="112" t="n">
        <f aca="true">IFERROR(SUMPRODUCT(OFFSET($BJ$31,0,1-MIN(60,COLUMN()-29),1,MIN(60,COLUMN()-29)),OFFSET(BE139,0,-MIN(60,COLUMN()-29),1,MIN(60,COLUMN()-29))),0)</f>
        <v>9.198496</v>
      </c>
      <c r="BF140" s="112" t="n">
        <f aca="true">IFERROR(SUMPRODUCT(OFFSET($BJ$31,0,1-MIN(60,COLUMN()-29),1,MIN(60,COLUMN()-29)),OFFSET(BF139,0,-MIN(60,COLUMN()-29),1,MIN(60,COLUMN()-29))),0)</f>
        <v>8.8136368</v>
      </c>
      <c r="BG140" s="112" t="n">
        <f aca="true">IFERROR(SUMPRODUCT(OFFSET($BJ$31,0,1-MIN(60,COLUMN()-29),1,MIN(60,COLUMN()-29)),OFFSET(BG139,0,-MIN(60,COLUMN()-29),1,MIN(60,COLUMN()-29))),0)</f>
        <v>9.083648</v>
      </c>
      <c r="BH140" s="112" t="n">
        <f aca="true">IFERROR(SUMPRODUCT(OFFSET($BJ$31,0,1-MIN(60,COLUMN()-29),1,MIN(60,COLUMN()-29)),OFFSET(BH139,0,-MIN(60,COLUMN()-29),1,MIN(60,COLUMN()-29))),0)</f>
        <v>10.7960672</v>
      </c>
      <c r="BI140" s="112" t="n">
        <f aca="true">IFERROR(SUMPRODUCT(OFFSET($BJ$31,0,1-MIN(60,COLUMN()-29),1,MIN(60,COLUMN()-29)),OFFSET(BI139,0,-MIN(60,COLUMN()-29),1,MIN(60,COLUMN()-29))),0)</f>
        <v>17.1876544</v>
      </c>
      <c r="BJ140" s="112" t="n">
        <f aca="true">IFERROR(SUMPRODUCT(OFFSET($BJ$31,0,1-MIN(60,COLUMN()-29),1,MIN(60,COLUMN()-29)),OFFSET(BJ139,0,-MIN(60,COLUMN()-29),1,MIN(60,COLUMN()-29))),0)</f>
        <v>17.7678144</v>
      </c>
      <c r="BK140" s="112" t="n">
        <f aca="true">IFERROR(SUMPRODUCT(OFFSET($BJ$31,0,1-MIN(60,COLUMN()-29),1,MIN(60,COLUMN()-29)),OFFSET(BK139,0,-MIN(60,COLUMN()-29),1,MIN(60,COLUMN()-29))),0)</f>
        <v>17.4664864</v>
      </c>
      <c r="BL140" s="112" t="n">
        <f aca="true">IFERROR(SUMPRODUCT(OFFSET($BJ$31,0,1-MIN(60,COLUMN()-29),1,MIN(60,COLUMN()-29)),OFFSET(BL139,0,-MIN(60,COLUMN()-29),1,MIN(60,COLUMN()-29))),0)</f>
        <v>15.9366992</v>
      </c>
      <c r="BM140" s="112" t="n">
        <f aca="true">IFERROR(SUMPRODUCT(OFFSET($BJ$31,0,1-MIN(60,COLUMN()-29),1,MIN(60,COLUMN()-29)),OFFSET(BM139,0,-MIN(60,COLUMN()-29),1,MIN(60,COLUMN()-29))),0)</f>
        <v>21.4711296</v>
      </c>
      <c r="BN140" s="112" t="n">
        <f aca="true">IFERROR(SUMPRODUCT(OFFSET($BJ$31,0,1-MIN(60,COLUMN()-29),1,MIN(60,COLUMN()-29)),OFFSET(BN139,0,-MIN(60,COLUMN()-29),1,MIN(60,COLUMN()-29))),0)</f>
        <v>24.8571328</v>
      </c>
      <c r="BO140" s="112" t="n">
        <f aca="true">IFERROR(SUMPRODUCT(OFFSET($BJ$31,0,1-MIN(60,COLUMN()-29),1,MIN(60,COLUMN()-29)),OFFSET(BO139,0,-MIN(60,COLUMN()-29),1,MIN(60,COLUMN()-29))),0)</f>
        <v>24.1881728</v>
      </c>
      <c r="BP140" s="112" t="n">
        <f aca="true">IFERROR(SUMPRODUCT(OFFSET($BJ$31,0,1-MIN(60,COLUMN()-29),1,MIN(60,COLUMN()-29)),OFFSET(BP139,0,-MIN(60,COLUMN()-29),1,MIN(60,COLUMN()-29))),0)</f>
        <v>30.442416</v>
      </c>
      <c r="BQ140" s="112" t="n">
        <f aca="true">IFERROR(SUMPRODUCT(OFFSET($BJ$31,0,1-MIN(60,COLUMN()-29),1,MIN(60,COLUMN()-29)),OFFSET(BQ139,0,-MIN(60,COLUMN()-29),1,MIN(60,COLUMN()-29))),0)</f>
        <v>34.923856</v>
      </c>
      <c r="BR140" s="112" t="n">
        <f aca="true">IFERROR(SUMPRODUCT(OFFSET($BJ$31,0,1-MIN(60,COLUMN()-29),1,MIN(60,COLUMN()-29)),OFFSET(BR139,0,-MIN(60,COLUMN()-29),1,MIN(60,COLUMN()-29))),0)</f>
        <v>35.3376048</v>
      </c>
      <c r="BS140" s="112" t="n">
        <f aca="true">IFERROR(SUMPRODUCT(OFFSET($BJ$31,0,1-MIN(60,COLUMN()-29),1,MIN(60,COLUMN()-29)),OFFSET(BS139,0,-MIN(60,COLUMN()-29),1,MIN(60,COLUMN()-29))),0)</f>
        <v>35.97249224</v>
      </c>
      <c r="BT140" s="112" t="n">
        <f aca="true">IFERROR(SUMPRODUCT(OFFSET($BJ$31,0,1-MIN(60,COLUMN()-29),1,MIN(60,COLUMN()-29)),OFFSET(BT139,0,-MIN(60,COLUMN()-29),1,MIN(60,COLUMN()-29))),0)</f>
        <v>40.15784936</v>
      </c>
      <c r="BU140" s="112" t="n">
        <f aca="true">IFERROR(SUMPRODUCT(OFFSET($BJ$31,0,1-MIN(60,COLUMN()-29),1,MIN(60,COLUMN()-29)),OFFSET(BU139,0,-MIN(60,COLUMN()-29),1,MIN(60,COLUMN()-29))),0)</f>
        <v>54.8063018</v>
      </c>
      <c r="BV140" s="112" t="n">
        <f aca="true">IFERROR(SUMPRODUCT(OFFSET($BJ$31,0,1-MIN(60,COLUMN()-29),1,MIN(60,COLUMN()-29)),OFFSET(BV139,0,-MIN(60,COLUMN()-29),1,MIN(60,COLUMN()-29))),0)</f>
        <v>54.2811238</v>
      </c>
      <c r="BW140" s="112" t="n">
        <f aca="true">IFERROR(SUMPRODUCT(OFFSET($BJ$31,0,1-MIN(60,COLUMN()-29),1,MIN(60,COLUMN()-29)),OFFSET(BW139,0,-MIN(60,COLUMN()-29),1,MIN(60,COLUMN()-29))),0)</f>
        <v>53.65191068</v>
      </c>
      <c r="BX140" s="112" t="n">
        <f aca="true">IFERROR(SUMPRODUCT(OFFSET($BJ$31,0,1-MIN(60,COLUMN()-29),1,MIN(60,COLUMN()-29)),OFFSET(BX139,0,-MIN(60,COLUMN()-29),1,MIN(60,COLUMN()-29))),0)</f>
        <v>50.84997764</v>
      </c>
      <c r="BY140" s="112" t="n">
        <f aca="true">IFERROR(SUMPRODUCT(OFFSET($BJ$31,0,1-MIN(60,COLUMN()-29),1,MIN(60,COLUMN()-29)),OFFSET(BY139,0,-MIN(60,COLUMN()-29),1,MIN(60,COLUMN()-29))),0)</f>
        <v>61.91747536</v>
      </c>
      <c r="BZ140" s="112" t="n">
        <f aca="true">IFERROR(SUMPRODUCT(OFFSET($BJ$31,0,1-MIN(60,COLUMN()-29),1,MIN(60,COLUMN()-29)),OFFSET(BZ139,0,-MIN(60,COLUMN()-29),1,MIN(60,COLUMN()-29))),0)</f>
        <v>66.4224888</v>
      </c>
      <c r="CA140" s="112" t="n">
        <f aca="true">IFERROR(SUMPRODUCT(OFFSET($BJ$31,0,1-MIN(60,COLUMN()-29),1,MIN(60,COLUMN()-29)),OFFSET(CA139,0,-MIN(60,COLUMN()-29),1,MIN(60,COLUMN()-29))),0)</f>
        <v>65.49165168</v>
      </c>
      <c r="CB140" s="112" t="n">
        <f aca="true">IFERROR(SUMPRODUCT(OFFSET($BJ$31,0,1-MIN(60,COLUMN()-29),1,MIN(60,COLUMN()-29)),OFFSET(CB139,0,-MIN(60,COLUMN()-29),1,MIN(60,COLUMN()-29))),0)</f>
        <v>77.3395608</v>
      </c>
      <c r="CC140" s="112" t="n">
        <f aca="true">IFERROR(SUMPRODUCT(OFFSET($BJ$31,0,1-MIN(60,COLUMN()-29),1,MIN(60,COLUMN()-29)),OFFSET(CC139,0,-MIN(60,COLUMN()-29),1,MIN(60,COLUMN()-29))),0)</f>
        <v>81.17179584</v>
      </c>
      <c r="CD140" s="112" t="n">
        <f aca="true">IFERROR(SUMPRODUCT(OFFSET($BJ$31,0,1-MIN(60,COLUMN()-29),1,MIN(60,COLUMN()-29)),OFFSET(CD139,0,-MIN(60,COLUMN()-29),1,MIN(60,COLUMN()-29))),0)</f>
        <v>81.70260672</v>
      </c>
      <c r="CE140" s="112" t="n">
        <f aca="true">IFERROR(SUMPRODUCT(OFFSET($BJ$31,0,1-MIN(60,COLUMN()-29),1,MIN(60,COLUMN()-29)),OFFSET(CE139,0,-MIN(60,COLUMN()-29),1,MIN(60,COLUMN()-29))),0)</f>
        <v>81.57365136</v>
      </c>
      <c r="CF140" s="112" t="n">
        <f aca="true">IFERROR(SUMPRODUCT(OFFSET($BJ$31,0,1-MIN(60,COLUMN()-29),1,MIN(60,COLUMN()-29)),OFFSET(CF139,0,-MIN(60,COLUMN()-29),1,MIN(60,COLUMN()-29))),0)</f>
        <v>87.95798064</v>
      </c>
      <c r="CG140" s="112" t="n">
        <f aca="true">IFERROR(SUMPRODUCT(OFFSET($BJ$31,0,1-MIN(60,COLUMN()-29),1,MIN(60,COLUMN()-29)),OFFSET(CG139,0,-MIN(60,COLUMN()-29),1,MIN(60,COLUMN()-29))),0)</f>
        <v>108.18636312</v>
      </c>
      <c r="CH140" s="112" t="n">
        <f aca="true">IFERROR(SUMPRODUCT(OFFSET($BJ$31,0,1-MIN(60,COLUMN()-29),1,MIN(60,COLUMN()-29)),OFFSET(CH139,0,-MIN(60,COLUMN()-29),1,MIN(60,COLUMN()-29))),0)</f>
        <v>108.44015352</v>
      </c>
      <c r="CI140" s="112" t="n">
        <f aca="true">IFERROR(SUMPRODUCT(OFFSET($BJ$31,0,1-MIN(60,COLUMN()-29),1,MIN(60,COLUMN()-29)),OFFSET(CI139,0,-MIN(60,COLUMN()-29),1,MIN(60,COLUMN()-29))),0)</f>
        <v>107.6545932</v>
      </c>
      <c r="CJ140" s="112" t="n">
        <f aca="true">IFERROR(SUMPRODUCT(OFFSET($BJ$31,0,1-MIN(60,COLUMN()-29),1,MIN(60,COLUMN()-29)),OFFSET(CJ139,0,-MIN(60,COLUMN()-29),1,MIN(60,COLUMN()-29))),0)</f>
        <v>104.74871976</v>
      </c>
      <c r="CK140" s="112" t="n">
        <f aca="true">IFERROR(SUMPRODUCT(OFFSET($BJ$31,0,1-MIN(60,COLUMN()-29),1,MIN(60,COLUMN()-29)),OFFSET(CK139,0,-MIN(60,COLUMN()-29),1,MIN(60,COLUMN()-29))),0)</f>
        <v>120.13004304</v>
      </c>
      <c r="CL140" s="112" t="n">
        <f aca="true">IFERROR(SUMPRODUCT(OFFSET($BJ$31,0,1-MIN(60,COLUMN()-29),1,MIN(60,COLUMN()-29)),OFFSET(CL139,0,-MIN(60,COLUMN()-29),1,MIN(60,COLUMN()-29))),0)</f>
        <v>126.22376544</v>
      </c>
      <c r="CM140" s="112" t="n">
        <f aca="true">IFERROR(SUMPRODUCT(OFFSET($BJ$31,0,1-MIN(60,COLUMN()-29),1,MIN(60,COLUMN()-29)),OFFSET(CM139,0,-MIN(60,COLUMN()-29),1,MIN(60,COLUMN()-29))),0)</f>
        <v>126.59956704</v>
      </c>
      <c r="CN140" s="112" t="n">
        <f aca="true">IFERROR(SUMPRODUCT(OFFSET($BJ$31,0,1-MIN(60,COLUMN()-29),1,MIN(60,COLUMN()-29)),OFFSET(CN139,0,-MIN(60,COLUMN()-29),1,MIN(60,COLUMN()-29))),0)</f>
        <v>140.82813312</v>
      </c>
      <c r="CO140" s="112" t="n">
        <f aca="true">IFERROR(SUMPRODUCT(OFFSET($BJ$31,0,1-MIN(60,COLUMN()-29),1,MIN(60,COLUMN()-29)),OFFSET(CO139,0,-MIN(60,COLUMN()-29),1,MIN(60,COLUMN()-29))),0)</f>
        <v>144.82142472</v>
      </c>
      <c r="CP140" s="112" t="n">
        <f aca="true">IFERROR(SUMPRODUCT(OFFSET($BJ$31,0,1-MIN(60,COLUMN()-29),1,MIN(60,COLUMN()-29)),OFFSET(CP139,0,-MIN(60,COLUMN()-29),1,MIN(60,COLUMN()-29))),0)</f>
        <v>146.53538904</v>
      </c>
      <c r="CQ140" s="112" t="n">
        <f aca="true">IFERROR(SUMPRODUCT(OFFSET($BJ$31,0,1-MIN(60,COLUMN()-29),1,MIN(60,COLUMN()-29)),OFFSET(CQ139,0,-MIN(60,COLUMN()-29),1,MIN(60,COLUMN()-29))),0)</f>
        <v>146.90145816</v>
      </c>
      <c r="CR140" s="112" t="n">
        <f aca="true">IFERROR(SUMPRODUCT(OFFSET($BJ$31,0,1-MIN(60,COLUMN()-29),1,MIN(60,COLUMN()-29)),OFFSET(CR139,0,-MIN(60,COLUMN()-29),1,MIN(60,COLUMN()-29))),0)</f>
        <v>155.70597816</v>
      </c>
      <c r="CS140" s="112" t="n">
        <f aca="true">IFERROR(SUMPRODUCT(OFFSET($BJ$31,0,1-MIN(60,COLUMN()-29),1,MIN(60,COLUMN()-29)),OFFSET(CS139,0,-MIN(60,COLUMN()-29),1,MIN(60,COLUMN()-29))),0)</f>
        <v>179.2051932</v>
      </c>
      <c r="CT140" s="112" t="n">
        <f aca="true">IFERROR(SUMPRODUCT(OFFSET($BJ$31,0,1-MIN(60,COLUMN()-29),1,MIN(60,COLUMN()-29)),OFFSET(CT139,0,-MIN(60,COLUMN()-29),1,MIN(60,COLUMN()-29))),0)</f>
        <v>179.33301192</v>
      </c>
      <c r="CU140" s="112" t="n">
        <f aca="true">IFERROR(SUMPRODUCT(OFFSET($BJ$31,0,1-MIN(60,COLUMN()-29),1,MIN(60,COLUMN()-29)),OFFSET(CU139,0,-MIN(60,COLUMN()-29),1,MIN(60,COLUMN()-29))),0)</f>
        <v>178.08242376</v>
      </c>
      <c r="CV140" s="112" t="n">
        <f aca="true">IFERROR(SUMPRODUCT(OFFSET($BJ$31,0,1-MIN(60,COLUMN()-29),1,MIN(60,COLUMN()-29)),OFFSET(CV139,0,-MIN(60,COLUMN()-29),1,MIN(60,COLUMN()-29))),0)</f>
        <v>174.84154344</v>
      </c>
      <c r="CW140" s="112" t="n">
        <f aca="true">IFERROR(SUMPRODUCT(OFFSET($BJ$31,0,1-MIN(60,COLUMN()-29),1,MIN(60,COLUMN()-29)),OFFSET(CW139,0,-MIN(60,COLUMN()-29),1,MIN(60,COLUMN()-29))),0)</f>
        <v>191.9411556</v>
      </c>
      <c r="CX140" s="112" t="n">
        <f aca="true">IFERROR(SUMPRODUCT(OFFSET($BJ$31,0,1-MIN(60,COLUMN()-29),1,MIN(60,COLUMN()-29)),OFFSET(CX139,0,-MIN(60,COLUMN()-29),1,MIN(60,COLUMN()-29))),0)</f>
        <v>198.000246</v>
      </c>
      <c r="CY140" s="112" t="n">
        <f aca="true">IFERROR(SUMPRODUCT(OFFSET($BJ$31,0,1-MIN(60,COLUMN()-29),1,MIN(60,COLUMN()-29)),OFFSET(CY139,0,-MIN(60,COLUMN()-29),1,MIN(60,COLUMN()-29))),0)</f>
        <v>198.04160016</v>
      </c>
      <c r="CZ140" s="112" t="n">
        <f aca="true">IFERROR(SUMPRODUCT(OFFSET($BJ$31,0,1-MIN(60,COLUMN()-29),1,MIN(60,COLUMN()-29)),OFFSET(CZ139,0,-MIN(60,COLUMN()-29),1,MIN(60,COLUMN()-29))),0)</f>
        <v>212.18616144</v>
      </c>
      <c r="DA140" s="112" t="n">
        <f aca="true">IFERROR(SUMPRODUCT(OFFSET($BJ$31,0,1-MIN(60,COLUMN()-29),1,MIN(60,COLUMN()-29)),OFFSET(DA139,0,-MIN(60,COLUMN()-29),1,MIN(60,COLUMN()-29))),0)</f>
        <v>215.739933</v>
      </c>
      <c r="DB140" s="112" t="n">
        <f aca="true">IFERROR(SUMPRODUCT(OFFSET($BJ$31,0,1-MIN(60,COLUMN()-29),1,MIN(60,COLUMN()-29)),OFFSET(DB139,0,-MIN(60,COLUMN()-29),1,MIN(60,COLUMN()-29))),0)</f>
        <v>216.78927372</v>
      </c>
      <c r="DC140" s="112" t="n">
        <f aca="true">IFERROR(SUMPRODUCT(OFFSET($BJ$31,0,1-MIN(60,COLUMN()-29),1,MIN(60,COLUMN()-29)),OFFSET(DC139,0,-MIN(60,COLUMN()-29),1,MIN(60,COLUMN()-29))),0)</f>
        <v>216.48946716</v>
      </c>
      <c r="DD140" s="112" t="n">
        <f aca="true">IFERROR(SUMPRODUCT(OFFSET($BJ$31,0,1-MIN(60,COLUMN()-29),1,MIN(60,COLUMN()-29)),OFFSET(DD139,0,-MIN(60,COLUMN()-29),1,MIN(60,COLUMN()-29))),0)</f>
        <v>225.14582436</v>
      </c>
      <c r="DE140" s="112" t="n">
        <f aca="true">IFERROR(SUMPRODUCT(OFFSET($BJ$31,0,1-MIN(60,COLUMN()-29),1,MIN(60,COLUMN()-29)),OFFSET(DE139,0,-MIN(60,COLUMN()-29),1,MIN(60,COLUMN()-29))),0)</f>
        <v>247.4990976</v>
      </c>
      <c r="DF140" s="112" t="n">
        <f aca="true">IFERROR(SUMPRODUCT(OFFSET($BJ$31,0,1-MIN(60,COLUMN()-29),1,MIN(60,COLUMN()-29)),OFFSET(DF139,0,-MIN(60,COLUMN()-29),1,MIN(60,COLUMN()-29))),0)</f>
        <v>246.40520592</v>
      </c>
      <c r="DG140" s="112" t="n">
        <f aca="true">IFERROR(SUMPRODUCT(OFFSET($BJ$31,0,1-MIN(60,COLUMN()-29),1,MIN(60,COLUMN()-29)),OFFSET(DG139,0,-MIN(60,COLUMN()-29),1,MIN(60,COLUMN()-29))),0)</f>
        <v>244.13292048</v>
      </c>
      <c r="DH140" s="112" t="n">
        <f aca="true">IFERROR(SUMPRODUCT(OFFSET($BJ$31,0,1-MIN(60,COLUMN()-29),1,MIN(60,COLUMN()-29)),OFFSET(DH139,0,-MIN(60,COLUMN()-29),1,MIN(60,COLUMN()-29))),0)</f>
        <v>240.19824576</v>
      </c>
      <c r="DI140" s="112" t="n">
        <f aca="true">IFERROR(SUMPRODUCT(OFFSET($BJ$31,0,1-MIN(60,COLUMN()-29),1,MIN(60,COLUMN()-29)),OFFSET(DI139,0,-MIN(60,COLUMN()-29),1,MIN(60,COLUMN()-29))),0)</f>
        <v>256.67552976</v>
      </c>
      <c r="DJ140" s="112" t="n">
        <f aca="true">IFERROR(SUMPRODUCT(OFFSET($BJ$31,0,1-MIN(60,COLUMN()-29),1,MIN(60,COLUMN()-29)),OFFSET(DJ139,0,-MIN(60,COLUMN()-29),1,MIN(60,COLUMN()-29))),0)</f>
        <v>261.50269776</v>
      </c>
      <c r="DK140" s="112" t="n">
        <f aca="true">IFERROR(SUMPRODUCT(OFFSET($BJ$31,0,1-MIN(60,COLUMN()-29),1,MIN(60,COLUMN()-29)),OFFSET(DK139,0,-MIN(60,COLUMN()-29),1,MIN(60,COLUMN()-29))),0)</f>
        <v>260.46666816</v>
      </c>
      <c r="DL140" s="112" t="n">
        <f aca="true">IFERROR(SUMPRODUCT(OFFSET($BJ$31,0,1-MIN(60,COLUMN()-29),1,MIN(60,COLUMN()-29)),OFFSET(DL139,0,-MIN(60,COLUMN()-29),1,MIN(60,COLUMN()-29))),0)</f>
        <v>273.07786656</v>
      </c>
      <c r="DM140" s="112" t="n">
        <f aca="true">IFERROR(SUMPRODUCT(OFFSET($BJ$31,0,1-MIN(60,COLUMN()-29),1,MIN(60,COLUMN()-29)),OFFSET(DM139,0,-MIN(60,COLUMN()-29),1,MIN(60,COLUMN()-29))),0)</f>
        <v>274.59035256</v>
      </c>
      <c r="DN140" s="112" t="n">
        <f aca="true">IFERROR(SUMPRODUCT(OFFSET($BJ$31,0,1-MIN(60,COLUMN()-29),1,MIN(60,COLUMN()-29)),OFFSET(DN139,0,-MIN(60,COLUMN()-29),1,MIN(60,COLUMN()-29))),0)</f>
        <v>273.78387096</v>
      </c>
      <c r="DO140" s="112" t="n">
        <f aca="true">IFERROR(SUMPRODUCT(OFFSET($BJ$31,0,1-MIN(60,COLUMN()-29),1,MIN(60,COLUMN()-29)),OFFSET(DO139,0,-MIN(60,COLUMN()-29),1,MIN(60,COLUMN()-29))),0)</f>
        <v>271.79208696</v>
      </c>
      <c r="DP140" s="112" t="n">
        <f aca="true">IFERROR(SUMPRODUCT(OFFSET($BJ$31,0,1-MIN(60,COLUMN()-29),1,MIN(60,COLUMN()-29)),OFFSET(DP139,0,-MIN(60,COLUMN()-29),1,MIN(60,COLUMN()-29))),0)</f>
        <v>278.66121096</v>
      </c>
      <c r="DQ140" s="112" t="n">
        <f aca="true">IFERROR(SUMPRODUCT(OFFSET($BJ$31,0,1-MIN(60,COLUMN()-29),1,MIN(60,COLUMN()-29)),OFFSET(DQ139,0,-MIN(60,COLUMN()-29),1,MIN(60,COLUMN()-29))),0)</f>
        <v>297.91558176</v>
      </c>
      <c r="DR140" s="112" t="n">
        <f aca="true">IFERROR(SUMPRODUCT(OFFSET($BJ$31,0,1-MIN(60,COLUMN()-29),1,MIN(60,COLUMN()-29)),OFFSET(DR139,0,-MIN(60,COLUMN()-29),1,MIN(60,COLUMN()-29))),0)</f>
        <v>294.17825616</v>
      </c>
      <c r="DS140" s="112" t="n">
        <f aca="true">IFERROR(SUMPRODUCT(OFFSET($BJ$31,0,1-MIN(60,COLUMN()-29),1,MIN(60,COLUMN()-29)),OFFSET(DS139,0,-MIN(60,COLUMN()-29),1,MIN(60,COLUMN()-29))),0)</f>
        <v>289.62530256</v>
      </c>
      <c r="DT140" s="112" t="n">
        <f aca="true">IFERROR(SUMPRODUCT(OFFSET($BJ$31,0,1-MIN(60,COLUMN()-29),1,MIN(60,COLUMN()-29)),OFFSET(DT139,0,-MIN(60,COLUMN()-29),1,MIN(60,COLUMN()-29))),0)</f>
        <v>283.92274416</v>
      </c>
      <c r="DU140" s="112" t="n">
        <f aca="true">IFERROR(SUMPRODUCT(OFFSET($BJ$31,0,1-MIN(60,COLUMN()-29),1,MIN(60,COLUMN()-29)),OFFSET(DU139,0,-MIN(60,COLUMN()-29),1,MIN(60,COLUMN()-29))),0)</f>
        <v>297.77558856</v>
      </c>
      <c r="DV140" s="112" t="n">
        <f aca="true">IFERROR(SUMPRODUCT(OFFSET($BJ$31,0,1-MIN(60,COLUMN()-29),1,MIN(60,COLUMN()-29)),OFFSET(DV139,0,-MIN(60,COLUMN()-29),1,MIN(60,COLUMN()-29))),0)</f>
        <v>300.40415736</v>
      </c>
      <c r="DW140" s="112" t="n">
        <f aca="true">IFERROR(SUMPRODUCT(OFFSET($BJ$31,0,1-MIN(60,COLUMN()-29),1,MIN(60,COLUMN()-29)),OFFSET(DW139,0,-MIN(60,COLUMN()-29),1,MIN(60,COLUMN()-29))),0)</f>
        <v>297.71884536</v>
      </c>
      <c r="DX140" s="112" t="n">
        <f aca="true">IFERROR(SUMPRODUCT(OFFSET($BJ$31,0,1-MIN(60,COLUMN()-29),1,MIN(60,COLUMN()-29)),OFFSET(DX139,0,-MIN(60,COLUMN()-29),1,MIN(60,COLUMN()-29))),0)</f>
        <v>307.98146136</v>
      </c>
      <c r="DY140" s="112" t="n">
        <f aca="true">IFERROR(SUMPRODUCT(OFFSET($BJ$31,0,1-MIN(60,COLUMN()-29),1,MIN(60,COLUMN()-29)),OFFSET(DY139,0,-MIN(60,COLUMN()-29),1,MIN(60,COLUMN()-29))),0)</f>
        <v>307.30054296</v>
      </c>
      <c r="DZ140" s="112" t="n">
        <f aca="true">IFERROR(SUMPRODUCT(OFFSET($BJ$31,0,1-MIN(60,COLUMN()-29),1,MIN(60,COLUMN()-29)),OFFSET(DZ139,0,-MIN(60,COLUMN()-29),1,MIN(60,COLUMN()-29))),0)</f>
        <v>304.632618</v>
      </c>
      <c r="EA140" s="112" t="n">
        <f aca="true">IFERROR(SUMPRODUCT(OFFSET($BJ$31,0,1-MIN(60,COLUMN()-29),1,MIN(60,COLUMN()-29)),OFFSET(EA139,0,-MIN(60,COLUMN()-29),1,MIN(60,COLUMN()-29))),0)</f>
        <v>301.1106324</v>
      </c>
      <c r="EB140" s="112" t="n">
        <f aca="true">IFERROR(SUMPRODUCT(OFFSET($BJ$31,0,1-MIN(60,COLUMN()-29),1,MIN(60,COLUMN()-29)),OFFSET(EB139,0,-MIN(60,COLUMN()-29),1,MIN(60,COLUMN()-29))),0)</f>
        <v>306.43682088</v>
      </c>
      <c r="EC140" s="112" t="n">
        <f aca="true">IFERROR(SUMPRODUCT(OFFSET($BJ$31,0,1-MIN(60,COLUMN()-29),1,MIN(60,COLUMN()-29)),OFFSET(EC139,0,-MIN(60,COLUMN()-29),1,MIN(60,COLUMN()-29))),0)</f>
        <v>323.13963912</v>
      </c>
      <c r="ED140" s="112" t="n">
        <f aca="true">IFERROR(SUMPRODUCT(OFFSET($BJ$31,0,1-MIN(60,COLUMN()-29),1,MIN(60,COLUMN()-29)),OFFSET(ED139,0,-MIN(60,COLUMN()-29),1,MIN(60,COLUMN()-29))),0)</f>
        <v>317.43692088</v>
      </c>
      <c r="EE140" s="112" t="n">
        <f aca="true">IFERROR(SUMPRODUCT(OFFSET($BJ$31,0,1-MIN(60,COLUMN()-29),1,MIN(60,COLUMN()-29)),OFFSET(EE139,0,-MIN(60,COLUMN()-29),1,MIN(60,COLUMN()-29))),0)</f>
        <v>311.22802488</v>
      </c>
      <c r="EF140" s="112" t="n">
        <f aca="true">IFERROR(SUMPRODUCT(OFFSET($BJ$31,0,1-MIN(60,COLUMN()-29),1,MIN(60,COLUMN()-29)),OFFSET(EF139,0,-MIN(60,COLUMN()-29),1,MIN(60,COLUMN()-29))),0)</f>
        <v>304.36215096</v>
      </c>
      <c r="EG140" s="112" t="n">
        <f aca="true">IFERROR(SUMPRODUCT(OFFSET($BJ$31,0,1-MIN(60,COLUMN()-29),1,MIN(60,COLUMN()-29)),OFFSET(EG139,0,-MIN(60,COLUMN()-29),1,MIN(60,COLUMN()-29))),0)</f>
        <v>316.61044152</v>
      </c>
      <c r="EH140" s="112" t="n">
        <f aca="true">IFERROR(SUMPRODUCT(OFFSET($BJ$31,0,1-MIN(60,COLUMN()-29),1,MIN(60,COLUMN()-29)),OFFSET(EH139,0,-MIN(60,COLUMN()-29),1,MIN(60,COLUMN()-29))),0)</f>
        <v>317.61919176</v>
      </c>
      <c r="EI140" s="112" t="n">
        <f aca="true">IFERROR(SUMPRODUCT(OFFSET($BJ$31,0,1-MIN(60,COLUMN()-29),1,MIN(60,COLUMN()-29)),OFFSET(EI139,0,-MIN(60,COLUMN()-29),1,MIN(60,COLUMN()-29))),0)</f>
        <v>313.76518296</v>
      </c>
      <c r="EJ140" s="112" t="n">
        <f aca="true">IFERROR(SUMPRODUCT(OFFSET($BJ$31,0,1-MIN(60,COLUMN()-29),1,MIN(60,COLUMN()-29)),OFFSET(EJ139,0,-MIN(60,COLUMN()-29),1,MIN(60,COLUMN()-29))),0)</f>
        <v>322.3389828</v>
      </c>
      <c r="EK140" s="112" t="n">
        <f aca="true">IFERROR(SUMPRODUCT(OFFSET($BJ$31,0,1-MIN(60,COLUMN()-29),1,MIN(60,COLUMN()-29)),OFFSET(EK139,0,-MIN(60,COLUMN()-29),1,MIN(60,COLUMN()-29))),0)</f>
        <v>320.5166736</v>
      </c>
      <c r="EL140" s="112" t="n">
        <f aca="true">IFERROR(SUMPRODUCT(OFFSET($BJ$31,0,1-MIN(60,COLUMN()-29),1,MIN(60,COLUMN()-29)),OFFSET(EL139,0,-MIN(60,COLUMN()-29),1,MIN(60,COLUMN()-29))),0)</f>
        <v>316.922316</v>
      </c>
      <c r="EM140" s="112" t="n">
        <f aca="true">IFERROR(SUMPRODUCT(OFFSET($BJ$31,0,1-MIN(60,COLUMN()-29),1,MIN(60,COLUMN()-29)),OFFSET(EM139,0,-MIN(60,COLUMN()-29),1,MIN(60,COLUMN()-29))),0)</f>
        <v>312.64482</v>
      </c>
      <c r="EN140" s="112" t="n">
        <f aca="true">IFERROR(SUMPRODUCT(OFFSET($BJ$31,0,1-MIN(60,COLUMN()-29),1,MIN(60,COLUMN()-29)),OFFSET(EN139,0,-MIN(60,COLUMN()-29),1,MIN(60,COLUMN()-29))),0)</f>
        <v>317.20457568</v>
      </c>
      <c r="EO140" s="112" t="n">
        <f aca="true">IFERROR(SUMPRODUCT(OFFSET($BJ$31,0,1-MIN(60,COLUMN()-29),1,MIN(60,COLUMN()-29)),OFFSET(EO139,0,-MIN(60,COLUMN()-29),1,MIN(60,COLUMN()-29))),0)</f>
        <v>332.5682544</v>
      </c>
      <c r="EP140" s="112" t="n">
        <f aca="true">IFERROR(SUMPRODUCT(OFFSET($BJ$31,0,1-MIN(60,COLUMN()-29),1,MIN(60,COLUMN()-29)),OFFSET(EP139,0,-MIN(60,COLUMN()-29),1,MIN(60,COLUMN()-29))),0)</f>
        <v>325.84730208</v>
      </c>
      <c r="EQ140" s="112" t="n">
        <f aca="true">IFERROR(SUMPRODUCT(OFFSET($BJ$31,0,1-MIN(60,COLUMN()-29),1,MIN(60,COLUMN()-29)),OFFSET(EQ139,0,-MIN(60,COLUMN()-29),1,MIN(60,COLUMN()-29))),0)</f>
        <v>318.85838688</v>
      </c>
      <c r="ER140" s="112" t="n">
        <f aca="true">IFERROR(SUMPRODUCT(OFFSET($BJ$31,0,1-MIN(60,COLUMN()-29),1,MIN(60,COLUMN()-29)),OFFSET(ER139,0,-MIN(60,COLUMN()-29),1,MIN(60,COLUMN()-29))),0)</f>
        <v>311.45353248</v>
      </c>
      <c r="ES140" s="9" t="n">
        <f aca="true">IFERROR(SUMPRODUCT(OFFSET($BJ$31,0,1-MIN(60,COLUMN()-29),1,MIN(60,COLUMN()-29)),OFFSET(ES139,0,-MIN(60,COLUMN()-29),1,MIN(60,COLUMN()-29))),0)</f>
        <v>323.00619936</v>
      </c>
      <c r="ET140" s="9" t="n">
        <f aca="true">IFERROR(SUMPRODUCT(OFFSET($BJ$31,0,1-MIN(60,COLUMN()-29),1,MIN(60,COLUMN()-29)),OFFSET(ET139,0,-MIN(60,COLUMN()-29),1,MIN(60,COLUMN()-29))),0)</f>
        <v>323.27984544</v>
      </c>
      <c r="EU140" s="9" t="n">
        <f aca="true">IFERROR(SUMPRODUCT(OFFSET($BJ$31,0,1-MIN(60,COLUMN()-29),1,MIN(60,COLUMN()-29)),OFFSET(EU139,0,-MIN(60,COLUMN()-29),1,MIN(60,COLUMN()-29))),0)</f>
        <v>318.895008</v>
      </c>
      <c r="EV140" s="9" t="n">
        <f aca="true">IFERROR(SUMPRODUCT(OFFSET($BJ$31,0,1-MIN(60,COLUMN()-29),1,MIN(60,COLUMN()-29)),OFFSET(EV139,0,-MIN(60,COLUMN()-29),1,MIN(60,COLUMN()-29))),0)</f>
        <v>326.7935904</v>
      </c>
      <c r="EW140" s="9" t="n">
        <f aca="true">IFERROR(SUMPRODUCT(OFFSET($BJ$31,0,1-MIN(60,COLUMN()-29),1,MIN(60,COLUMN()-29)),OFFSET(EW139,0,-MIN(60,COLUMN()-29),1,MIN(60,COLUMN()-29))),0)</f>
        <v>324.4013184</v>
      </c>
      <c r="EX140" s="9" t="n">
        <f aca="true">IFERROR(SUMPRODUCT(OFFSET($BJ$31,0,1-MIN(60,COLUMN()-29),1,MIN(60,COLUMN()-29)),OFFSET(EX139,0,-MIN(60,COLUMN()-29),1,MIN(60,COLUMN()-29))),0)</f>
        <v>320.36212608</v>
      </c>
      <c r="EY140" s="9" t="n">
        <f aca="true">IFERROR(SUMPRODUCT(OFFSET($BJ$31,0,1-MIN(60,COLUMN()-29),1,MIN(60,COLUMN()-29)),OFFSET(EY139,0,-MIN(60,COLUMN()-29),1,MIN(60,COLUMN()-29))),0)</f>
        <v>315.69888288</v>
      </c>
      <c r="EZ140" s="9" t="n">
        <f aca="true">IFERROR(SUMPRODUCT(OFFSET($BJ$31,0,1-MIN(60,COLUMN()-29),1,MIN(60,COLUMN()-29)),OFFSET(EZ139,0,-MIN(60,COLUMN()-29),1,MIN(60,COLUMN()-29))),0)</f>
        <v>319.881576</v>
      </c>
      <c r="FA140" s="9" t="n">
        <f aca="true">IFERROR(SUMPRODUCT(OFFSET($BJ$31,0,1-MIN(60,COLUMN()-29),1,MIN(60,COLUMN()-29)),OFFSET(FA139,0,-MIN(60,COLUMN()-29),1,MIN(60,COLUMN()-29))),0)</f>
        <v>334.70052</v>
      </c>
      <c r="FB140" s="9" t="n">
        <f aca="true">IFERROR(SUMPRODUCT(OFFSET($BJ$31,0,1-MIN(60,COLUMN()-29),1,MIN(60,COLUMN()-29)),OFFSET(FB139,0,-MIN(60,COLUMN()-29),1,MIN(60,COLUMN()-29))),0)</f>
        <v>327.571656</v>
      </c>
      <c r="FC140" s="9" t="n">
        <f aca="true">IFERROR(SUMPRODUCT(OFFSET($BJ$31,0,1-MIN(60,COLUMN()-29),1,MIN(60,COLUMN()-29)),OFFSET(FC139,0,-MIN(60,COLUMN()-29),1,MIN(60,COLUMN()-29))),0)</f>
        <v>320.275848</v>
      </c>
      <c r="FD140" s="9" t="n">
        <f aca="true">IFERROR(SUMPRODUCT(OFFSET($BJ$31,0,1-MIN(60,COLUMN()-29),1,MIN(60,COLUMN()-29)),OFFSET(FD139,0,-MIN(60,COLUMN()-29),1,MIN(60,COLUMN()-29))),0)</f>
        <v>312.640824</v>
      </c>
      <c r="FE140" s="9" t="n">
        <f aca="true">IFERROR(SUMPRODUCT(OFFSET($BJ$31,0,1-MIN(60,COLUMN()-29),1,MIN(60,COLUMN()-29)),OFFSET(FE139,0,-MIN(60,COLUMN()-29),1,MIN(60,COLUMN()-29))),0)</f>
        <v>323.932632</v>
      </c>
      <c r="FF140" s="9" t="n">
        <f aca="true">IFERROR(SUMPRODUCT(OFFSET($BJ$31,0,1-MIN(60,COLUMN()-29),1,MIN(60,COLUMN()-29)),OFFSET(FF139,0,-MIN(60,COLUMN()-29),1,MIN(60,COLUMN()-29))),0)</f>
        <v>323.9646</v>
      </c>
      <c r="FG140" s="9" t="n">
        <f aca="true">IFERROR(SUMPRODUCT(OFFSET($BJ$31,0,1-MIN(60,COLUMN()-29),1,MIN(60,COLUMN()-29)),OFFSET(FG139,0,-MIN(60,COLUMN()-29),1,MIN(60,COLUMN()-29))),0)</f>
        <v>319.42248</v>
      </c>
      <c r="FH140" s="9" t="n">
        <f aca="true">IFERROR(SUMPRODUCT(OFFSET($BJ$31,0,1-MIN(60,COLUMN()-29),1,MIN(60,COLUMN()-29)),OFFSET(FH139,0,-MIN(60,COLUMN()-29),1,MIN(60,COLUMN()-29))),0)</f>
        <v>327.135648</v>
      </c>
      <c r="FI140" s="9" t="n">
        <f aca="true">IFERROR(SUMPRODUCT(OFFSET($BJ$31,0,1-MIN(60,COLUMN()-29),1,MIN(60,COLUMN()-29)),OFFSET(FI139,0,-MIN(60,COLUMN()-29),1,MIN(60,COLUMN()-29))),0)</f>
        <v>324.567552</v>
      </c>
      <c r="FJ140" s="9" t="n">
        <f aca="true">IFERROR(SUMPRODUCT(OFFSET($BJ$31,0,1-MIN(60,COLUMN()-29),1,MIN(60,COLUMN()-29)),OFFSET(FJ139,0,-MIN(60,COLUMN()-29),1,MIN(60,COLUMN()-29))),0)</f>
        <v>320.440128</v>
      </c>
      <c r="FK140" s="9" t="n">
        <f aca="true">IFERROR(SUMPRODUCT(OFFSET($BJ$31,0,1-MIN(60,COLUMN()-29),1,MIN(60,COLUMN()-29)),OFFSET(FK139,0,-MIN(60,COLUMN()-29),1,MIN(60,COLUMN()-29))),0)</f>
        <v>315.725736</v>
      </c>
      <c r="FL140" s="9" t="n">
        <f aca="true">IFERROR(SUMPRODUCT(OFFSET($BJ$31,0,1-MIN(60,COLUMN()-29),1,MIN(60,COLUMN()-29)),OFFSET(FL139,0,-MIN(60,COLUMN()-29),1,MIN(60,COLUMN()-29))),0)</f>
        <v>319.881576</v>
      </c>
      <c r="FM140" s="9" t="n">
        <f aca="true">IFERROR(SUMPRODUCT(OFFSET($BJ$31,0,1-MIN(60,COLUMN()-29),1,MIN(60,COLUMN()-29)),OFFSET(FM139,0,-MIN(60,COLUMN()-29),1,MIN(60,COLUMN()-29))),0)</f>
        <v>334.70052</v>
      </c>
      <c r="FN140" s="9" t="n">
        <f aca="true">IFERROR(SUMPRODUCT(OFFSET($BJ$31,0,1-MIN(60,COLUMN()-29),1,MIN(60,COLUMN()-29)),OFFSET(FN139,0,-MIN(60,COLUMN()-29),1,MIN(60,COLUMN()-29))),0)</f>
        <v>327.571656</v>
      </c>
      <c r="FO140" s="9" t="n">
        <f aca="true">IFERROR(SUMPRODUCT(OFFSET($BJ$31,0,1-MIN(60,COLUMN()-29),1,MIN(60,COLUMN()-29)),OFFSET(FO139,0,-MIN(60,COLUMN()-29),1,MIN(60,COLUMN()-29))),0)</f>
        <v>320.275848</v>
      </c>
      <c r="FP140" s="9" t="n">
        <f aca="true">IFERROR(SUMPRODUCT(OFFSET($BJ$31,0,1-MIN(60,COLUMN()-29),1,MIN(60,COLUMN()-29)),OFFSET(FP139,0,-MIN(60,COLUMN()-29),1,MIN(60,COLUMN()-29))),0)</f>
        <v>312.640824</v>
      </c>
    </row>
    <row r="141" customFormat="false" ht="15" hidden="false" customHeight="false" outlineLevel="2" collapsed="false">
      <c r="B141" s="90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237"/>
      <c r="AD141" s="237"/>
      <c r="AE141" s="237"/>
      <c r="AF141" s="237"/>
      <c r="AG141" s="237"/>
      <c r="AH141" s="237"/>
      <c r="AI141" s="237"/>
      <c r="AJ141" s="237"/>
      <c r="AK141" s="237"/>
      <c r="AL141" s="237"/>
      <c r="AM141" s="237"/>
      <c r="AN141" s="237"/>
      <c r="AO141" s="237"/>
      <c r="AP141" s="237"/>
      <c r="AQ141" s="237"/>
      <c r="AR141" s="237"/>
      <c r="AS141" s="237"/>
      <c r="AT141" s="237"/>
      <c r="AU141" s="237"/>
      <c r="AV141" s="237"/>
      <c r="AW141" s="237"/>
      <c r="AX141" s="237"/>
      <c r="AY141" s="237"/>
      <c r="AZ141" s="237"/>
      <c r="BA141" s="237"/>
      <c r="BB141" s="237"/>
      <c r="BC141" s="237"/>
      <c r="BD141" s="237"/>
      <c r="BE141" s="237"/>
      <c r="BF141" s="237"/>
      <c r="BG141" s="237"/>
      <c r="BH141" s="237"/>
      <c r="BI141" s="237"/>
      <c r="BJ141" s="237"/>
      <c r="BK141" s="237"/>
      <c r="BL141" s="237"/>
      <c r="BM141" s="237"/>
      <c r="BN141" s="237"/>
      <c r="BO141" s="237"/>
      <c r="BP141" s="237"/>
      <c r="BQ141" s="237"/>
      <c r="BR141" s="237"/>
      <c r="BS141" s="237"/>
      <c r="BT141" s="237"/>
      <c r="BU141" s="237"/>
      <c r="BV141" s="237"/>
      <c r="BW141" s="237"/>
      <c r="BX141" s="237"/>
      <c r="BY141" s="237"/>
      <c r="BZ141" s="237"/>
      <c r="CA141" s="237"/>
      <c r="CB141" s="237"/>
      <c r="CC141" s="237"/>
      <c r="CD141" s="237"/>
      <c r="CE141" s="237"/>
      <c r="CF141" s="237"/>
      <c r="CG141" s="237"/>
      <c r="CH141" s="237"/>
      <c r="CI141" s="237"/>
      <c r="CJ141" s="237"/>
      <c r="CK141" s="237"/>
      <c r="CL141" s="237"/>
      <c r="CM141" s="237"/>
      <c r="CN141" s="237"/>
      <c r="CO141" s="237"/>
      <c r="CP141" s="237"/>
      <c r="CQ141" s="237"/>
      <c r="CR141" s="237"/>
      <c r="CS141" s="237"/>
      <c r="CT141" s="237"/>
      <c r="CU141" s="237"/>
      <c r="CV141" s="237"/>
      <c r="CW141" s="237"/>
      <c r="CX141" s="237"/>
      <c r="CY141" s="237"/>
      <c r="CZ141" s="237"/>
      <c r="DA141" s="237"/>
      <c r="DB141" s="237"/>
      <c r="DC141" s="237"/>
      <c r="DD141" s="237"/>
      <c r="DE141" s="237"/>
      <c r="DF141" s="237"/>
      <c r="DG141" s="237"/>
      <c r="DH141" s="237"/>
      <c r="DI141" s="237"/>
      <c r="DJ141" s="237"/>
      <c r="DK141" s="237"/>
      <c r="DL141" s="237"/>
      <c r="DM141" s="237"/>
      <c r="DN141" s="237"/>
      <c r="DO141" s="237"/>
      <c r="DP141" s="237"/>
      <c r="DQ141" s="237"/>
      <c r="DR141" s="237"/>
      <c r="DS141" s="237"/>
      <c r="DT141" s="237"/>
      <c r="DU141" s="237"/>
      <c r="DV141" s="237"/>
      <c r="DW141" s="237"/>
      <c r="DX141" s="237"/>
      <c r="DY141" s="237"/>
      <c r="DZ141" s="237"/>
      <c r="EA141" s="237"/>
      <c r="EB141" s="237"/>
      <c r="EC141" s="237"/>
      <c r="ED141" s="237"/>
      <c r="EE141" s="237"/>
      <c r="EF141" s="237"/>
      <c r="EG141" s="237"/>
      <c r="EH141" s="237"/>
      <c r="EI141" s="237"/>
      <c r="EJ141" s="237"/>
      <c r="EK141" s="237"/>
      <c r="EL141" s="237"/>
      <c r="EM141" s="237"/>
      <c r="EN141" s="237"/>
      <c r="EO141" s="237"/>
      <c r="EP141" s="237"/>
      <c r="EQ141" s="237"/>
      <c r="ER141" s="237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</row>
    <row r="142" customFormat="false" ht="15" hidden="false" customHeight="false" outlineLevel="2" collapsed="false">
      <c r="B142" s="240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237"/>
      <c r="AD142" s="237"/>
      <c r="AE142" s="237"/>
      <c r="AF142" s="237"/>
      <c r="AG142" s="237"/>
      <c r="AH142" s="237"/>
      <c r="AI142" s="237"/>
      <c r="AJ142" s="237"/>
      <c r="AK142" s="237"/>
      <c r="AL142" s="237"/>
      <c r="AM142" s="237"/>
      <c r="AN142" s="237"/>
      <c r="AO142" s="237"/>
      <c r="AP142" s="237"/>
      <c r="AQ142" s="237"/>
      <c r="AR142" s="237"/>
      <c r="AS142" s="237"/>
      <c r="AT142" s="237"/>
      <c r="AU142" s="237"/>
      <c r="AV142" s="237"/>
      <c r="AW142" s="237"/>
      <c r="AX142" s="237"/>
      <c r="AY142" s="237"/>
      <c r="AZ142" s="237"/>
      <c r="BA142" s="237"/>
      <c r="BB142" s="237"/>
      <c r="BC142" s="237"/>
      <c r="BD142" s="237"/>
      <c r="BE142" s="237"/>
      <c r="BF142" s="237"/>
      <c r="BG142" s="237"/>
      <c r="BH142" s="237"/>
      <c r="BI142" s="237"/>
      <c r="BJ142" s="237"/>
      <c r="BK142" s="237"/>
      <c r="BL142" s="237"/>
      <c r="BM142" s="237"/>
      <c r="BN142" s="237"/>
      <c r="BO142" s="237"/>
      <c r="BP142" s="237"/>
      <c r="BQ142" s="237"/>
      <c r="BR142" s="237"/>
      <c r="BS142" s="237"/>
      <c r="BT142" s="237"/>
      <c r="BU142" s="237"/>
      <c r="BV142" s="237"/>
      <c r="BW142" s="237"/>
      <c r="BX142" s="237"/>
      <c r="BY142" s="237"/>
      <c r="BZ142" s="237"/>
      <c r="CA142" s="237"/>
      <c r="CB142" s="237"/>
      <c r="CC142" s="237"/>
      <c r="CD142" s="237"/>
      <c r="CE142" s="237"/>
      <c r="CF142" s="237"/>
      <c r="CG142" s="237"/>
      <c r="CH142" s="237"/>
      <c r="CI142" s="237"/>
      <c r="CJ142" s="237"/>
      <c r="CK142" s="237"/>
      <c r="CL142" s="237"/>
      <c r="CM142" s="237"/>
      <c r="CN142" s="237"/>
      <c r="CO142" s="237"/>
      <c r="CP142" s="237"/>
      <c r="CQ142" s="237"/>
      <c r="CR142" s="237"/>
      <c r="CS142" s="237"/>
      <c r="CT142" s="237"/>
      <c r="CU142" s="237"/>
      <c r="CV142" s="237"/>
      <c r="CW142" s="237"/>
      <c r="CX142" s="237"/>
      <c r="CY142" s="237"/>
      <c r="CZ142" s="237"/>
      <c r="DA142" s="237"/>
      <c r="DB142" s="237"/>
      <c r="DC142" s="237"/>
      <c r="DD142" s="237"/>
      <c r="DE142" s="237"/>
      <c r="DF142" s="237"/>
      <c r="DG142" s="237"/>
      <c r="DH142" s="237"/>
      <c r="DI142" s="237"/>
      <c r="DJ142" s="237"/>
      <c r="DK142" s="237"/>
      <c r="DL142" s="237"/>
      <c r="DM142" s="237"/>
      <c r="DN142" s="237"/>
      <c r="DO142" s="237"/>
      <c r="DP142" s="237"/>
      <c r="DQ142" s="237"/>
      <c r="DR142" s="237"/>
      <c r="DS142" s="237"/>
      <c r="DT142" s="237"/>
      <c r="DU142" s="237"/>
      <c r="DV142" s="237"/>
      <c r="DW142" s="237"/>
      <c r="DX142" s="237"/>
      <c r="DY142" s="237"/>
      <c r="DZ142" s="237"/>
      <c r="EA142" s="237"/>
      <c r="EB142" s="237"/>
      <c r="EC142" s="237"/>
      <c r="ED142" s="237"/>
      <c r="EE142" s="237"/>
      <c r="EF142" s="237"/>
      <c r="EG142" s="237"/>
      <c r="EH142" s="237"/>
      <c r="EI142" s="237"/>
      <c r="EJ142" s="237"/>
      <c r="EK142" s="237"/>
      <c r="EL142" s="237"/>
      <c r="EM142" s="237"/>
      <c r="EN142" s="237"/>
      <c r="EO142" s="237"/>
      <c r="EP142" s="237"/>
      <c r="EQ142" s="237"/>
      <c r="ER142" s="237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</row>
    <row r="143" customFormat="false" ht="15" hidden="false" customHeight="false" outlineLevel="2" collapsed="false">
      <c r="B143" s="21" t="s">
        <v>887</v>
      </c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</row>
    <row r="144" customFormat="false" ht="15" hidden="false" customHeight="false" outlineLevel="2" collapsed="false">
      <c r="B144" s="9" t="s">
        <v>872</v>
      </c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234" t="n">
        <f aca="false">('⑫ Roll-out Plan'!G20-2025)*12+'⑫ Roll-out Plan'!F20</f>
        <v>27</v>
      </c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</row>
    <row r="145" customFormat="false" ht="15" hidden="false" customHeight="false" outlineLevel="2" collapsed="false">
      <c r="B145" s="9" t="s">
        <v>873</v>
      </c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235" t="n">
        <f aca="false">VLOOKUP("B",$B$14:$C$18,2,FALSE())</f>
        <v>185</v>
      </c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</row>
    <row r="146" customFormat="false" ht="15" hidden="false" customHeight="false" outlineLevel="2" collapsed="false">
      <c r="B146" s="9" t="s">
        <v>799</v>
      </c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63" t="n">
        <f aca="false">IF(AC$35&gt;=$AC$144,AC$35-$AC$144+1,0)</f>
        <v>0</v>
      </c>
      <c r="AD146" s="63" t="n">
        <f aca="false">IF(AD$35&gt;=$AC$144,AD$35-$AC$144+1,0)</f>
        <v>0</v>
      </c>
      <c r="AE146" s="63" t="n">
        <f aca="false">IF(AE$35&gt;=$AC$144,AE$35-$AC$144+1,0)</f>
        <v>0</v>
      </c>
      <c r="AF146" s="63" t="n">
        <f aca="false">IF(AF$35&gt;=$AC$144,AF$35-$AC$144+1,0)</f>
        <v>0</v>
      </c>
      <c r="AG146" s="63" t="n">
        <f aca="false">IF(AG$35&gt;=$AC$144,AG$35-$AC$144+1,0)</f>
        <v>0</v>
      </c>
      <c r="AH146" s="63" t="n">
        <f aca="false">IF(AH$35&gt;=$AC$144,AH$35-$AC$144+1,0)</f>
        <v>0</v>
      </c>
      <c r="AI146" s="63" t="n">
        <f aca="false">IF(AI$35&gt;=$AC$144,AI$35-$AC$144+1,0)</f>
        <v>0</v>
      </c>
      <c r="AJ146" s="63" t="n">
        <f aca="false">IF(AJ$35&gt;=$AC$144,AJ$35-$AC$144+1,0)</f>
        <v>0</v>
      </c>
      <c r="AK146" s="63" t="n">
        <f aca="false">IF(AK$35&gt;=$AC$144,AK$35-$AC$144+1,0)</f>
        <v>0</v>
      </c>
      <c r="AL146" s="63" t="n">
        <f aca="false">IF(AL$35&gt;=$AC$144,AL$35-$AC$144+1,0)</f>
        <v>0</v>
      </c>
      <c r="AM146" s="63" t="n">
        <f aca="false">IF(AM$35&gt;=$AC$144,AM$35-$AC$144+1,0)</f>
        <v>0</v>
      </c>
      <c r="AN146" s="63" t="n">
        <f aca="false">IF(AN$35&gt;=$AC$144,AN$35-$AC$144+1,0)</f>
        <v>0</v>
      </c>
      <c r="AO146" s="63" t="n">
        <f aca="false">IF(AO$35&gt;=$AC$144,AO$35-$AC$144+1,0)</f>
        <v>0</v>
      </c>
      <c r="AP146" s="63" t="n">
        <f aca="false">IF(AP$35&gt;=$AC$144,AP$35-$AC$144+1,0)</f>
        <v>0</v>
      </c>
      <c r="AQ146" s="63" t="n">
        <f aca="false">IF(AQ$35&gt;=$AC$144,AQ$35-$AC$144+1,0)</f>
        <v>0</v>
      </c>
      <c r="AR146" s="63" t="n">
        <f aca="false">IF(AR$35&gt;=$AC$144,AR$35-$AC$144+1,0)</f>
        <v>0</v>
      </c>
      <c r="AS146" s="63" t="n">
        <f aca="false">IF(AS$35&gt;=$AC$144,AS$35-$AC$144+1,0)</f>
        <v>0</v>
      </c>
      <c r="AT146" s="63" t="n">
        <f aca="false">IF(AT$35&gt;=$AC$144,AT$35-$AC$144+1,0)</f>
        <v>0</v>
      </c>
      <c r="AU146" s="63" t="n">
        <f aca="false">IF(AU$35&gt;=$AC$144,AU$35-$AC$144+1,0)</f>
        <v>0</v>
      </c>
      <c r="AV146" s="63" t="n">
        <f aca="false">IF(AV$35&gt;=$AC$144,AV$35-$AC$144+1,0)</f>
        <v>0</v>
      </c>
      <c r="AW146" s="63" t="n">
        <f aca="false">IF(AW$35&gt;=$AC$144,AW$35-$AC$144+1,0)</f>
        <v>0</v>
      </c>
      <c r="AX146" s="63" t="n">
        <f aca="false">IF(AX$35&gt;=$AC$144,AX$35-$AC$144+1,0)</f>
        <v>0</v>
      </c>
      <c r="AY146" s="63" t="n">
        <f aca="false">IF(AY$35&gt;=$AC$144,AY$35-$AC$144+1,0)</f>
        <v>0</v>
      </c>
      <c r="AZ146" s="63" t="n">
        <f aca="false">IF(AZ$35&gt;=$AC$144,AZ$35-$AC$144+1,0)</f>
        <v>0</v>
      </c>
      <c r="BA146" s="63" t="n">
        <f aca="false">IF(BA$35&gt;=$AC$144,BA$35-$AC$144+1,0)</f>
        <v>0</v>
      </c>
      <c r="BB146" s="63" t="n">
        <f aca="false">IF(BB$35&gt;=$AC$144,BB$35-$AC$144+1,0)</f>
        <v>0</v>
      </c>
      <c r="BC146" s="63" t="n">
        <f aca="false">IF(BC$35&gt;=$AC$144,BC$35-$AC$144+1,0)</f>
        <v>1</v>
      </c>
      <c r="BD146" s="63" t="n">
        <f aca="false">IF(BD$35&gt;=$AC$144,BD$35-$AC$144+1,0)</f>
        <v>2</v>
      </c>
      <c r="BE146" s="63" t="n">
        <f aca="false">IF(BE$35&gt;=$AC$144,BE$35-$AC$144+1,0)</f>
        <v>3</v>
      </c>
      <c r="BF146" s="63" t="n">
        <f aca="false">IF(BF$35&gt;=$AC$144,BF$35-$AC$144+1,0)</f>
        <v>4</v>
      </c>
      <c r="BG146" s="63" t="n">
        <f aca="false">IF(BG$35&gt;=$AC$144,BG$35-$AC$144+1,0)</f>
        <v>5</v>
      </c>
      <c r="BH146" s="63" t="n">
        <f aca="false">IF(BH$35&gt;=$AC$144,BH$35-$AC$144+1,0)</f>
        <v>6</v>
      </c>
      <c r="BI146" s="63" t="n">
        <f aca="false">IF(BI$35&gt;=$AC$144,BI$35-$AC$144+1,0)</f>
        <v>7</v>
      </c>
      <c r="BJ146" s="63" t="n">
        <f aca="false">IF(BJ$35&gt;=$AC$144,BJ$35-$AC$144+1,0)</f>
        <v>8</v>
      </c>
      <c r="BK146" s="63" t="n">
        <f aca="false">IF(BK$35&gt;=$AC$144,BK$35-$AC$144+1,0)</f>
        <v>9</v>
      </c>
      <c r="BL146" s="63" t="n">
        <f aca="false">IF(BL$35&gt;=$AC$144,BL$35-$AC$144+1,0)</f>
        <v>10</v>
      </c>
      <c r="BM146" s="63" t="n">
        <f aca="false">IF(BM$35&gt;=$AC$144,BM$35-$AC$144+1,0)</f>
        <v>11</v>
      </c>
      <c r="BN146" s="63" t="n">
        <f aca="false">IF(BN$35&gt;=$AC$144,BN$35-$AC$144+1,0)</f>
        <v>12</v>
      </c>
      <c r="BO146" s="63" t="n">
        <f aca="false">IF(BO$35&gt;=$AC$144,BO$35-$AC$144+1,0)</f>
        <v>13</v>
      </c>
      <c r="BP146" s="63" t="n">
        <f aca="false">IF(BP$35&gt;=$AC$144,BP$35-$AC$144+1,0)</f>
        <v>14</v>
      </c>
      <c r="BQ146" s="63" t="n">
        <f aca="false">IF(BQ$35&gt;=$AC$144,BQ$35-$AC$144+1,0)</f>
        <v>15</v>
      </c>
      <c r="BR146" s="63" t="n">
        <f aca="false">IF(BR$35&gt;=$AC$144,BR$35-$AC$144+1,0)</f>
        <v>16</v>
      </c>
      <c r="BS146" s="63" t="n">
        <f aca="false">IF(BS$35&gt;=$AC$144,BS$35-$AC$144+1,0)</f>
        <v>17</v>
      </c>
      <c r="BT146" s="63" t="n">
        <f aca="false">IF(BT$35&gt;=$AC$144,BT$35-$AC$144+1,0)</f>
        <v>18</v>
      </c>
      <c r="BU146" s="63" t="n">
        <f aca="false">IF(BU$35&gt;=$AC$144,BU$35-$AC$144+1,0)</f>
        <v>19</v>
      </c>
      <c r="BV146" s="63" t="n">
        <f aca="false">IF(BV$35&gt;=$AC$144,BV$35-$AC$144+1,0)</f>
        <v>20</v>
      </c>
      <c r="BW146" s="63" t="n">
        <f aca="false">IF(BW$35&gt;=$AC$144,BW$35-$AC$144+1,0)</f>
        <v>21</v>
      </c>
      <c r="BX146" s="63" t="n">
        <f aca="false">IF(BX$35&gt;=$AC$144,BX$35-$AC$144+1,0)</f>
        <v>22</v>
      </c>
      <c r="BY146" s="63" t="n">
        <f aca="false">IF(BY$35&gt;=$AC$144,BY$35-$AC$144+1,0)</f>
        <v>23</v>
      </c>
      <c r="BZ146" s="63" t="n">
        <f aca="false">IF(BZ$35&gt;=$AC$144,BZ$35-$AC$144+1,0)</f>
        <v>24</v>
      </c>
      <c r="CA146" s="63" t="n">
        <f aca="false">IF(CA$35&gt;=$AC$144,CA$35-$AC$144+1,0)</f>
        <v>25</v>
      </c>
      <c r="CB146" s="63" t="n">
        <f aca="false">IF(CB$35&gt;=$AC$144,CB$35-$AC$144+1,0)</f>
        <v>26</v>
      </c>
      <c r="CC146" s="63" t="n">
        <f aca="false">IF(CC$35&gt;=$AC$144,CC$35-$AC$144+1,0)</f>
        <v>27</v>
      </c>
      <c r="CD146" s="63" t="n">
        <f aca="false">IF(CD$35&gt;=$AC$144,CD$35-$AC$144+1,0)</f>
        <v>28</v>
      </c>
      <c r="CE146" s="63" t="n">
        <f aca="false">IF(CE$35&gt;=$AC$144,CE$35-$AC$144+1,0)</f>
        <v>29</v>
      </c>
      <c r="CF146" s="63" t="n">
        <f aca="false">IF(CF$35&gt;=$AC$144,CF$35-$AC$144+1,0)</f>
        <v>30</v>
      </c>
      <c r="CG146" s="63" t="n">
        <f aca="false">IF(CG$35&gt;=$AC$144,CG$35-$AC$144+1,0)</f>
        <v>31</v>
      </c>
      <c r="CH146" s="63" t="n">
        <f aca="false">IF(CH$35&gt;=$AC$144,CH$35-$AC$144+1,0)</f>
        <v>32</v>
      </c>
      <c r="CI146" s="63" t="n">
        <f aca="false">IF(CI$35&gt;=$AC$144,CI$35-$AC$144+1,0)</f>
        <v>33</v>
      </c>
      <c r="CJ146" s="63" t="n">
        <f aca="false">IF(CJ$35&gt;=$AC$144,CJ$35-$AC$144+1,0)</f>
        <v>34</v>
      </c>
      <c r="CK146" s="63" t="n">
        <f aca="false">IF(CK$35&gt;=$AC$144,CK$35-$AC$144+1,0)</f>
        <v>35</v>
      </c>
      <c r="CL146" s="63" t="n">
        <f aca="false">IF(CL$35&gt;=$AC$144,CL$35-$AC$144+1,0)</f>
        <v>36</v>
      </c>
      <c r="CM146" s="63" t="n">
        <f aca="false">IF(CM$35&gt;=$AC$144,CM$35-$AC$144+1,0)</f>
        <v>37</v>
      </c>
      <c r="CN146" s="63" t="n">
        <f aca="false">IF(CN$35&gt;=$AC$144,CN$35-$AC$144+1,0)</f>
        <v>38</v>
      </c>
      <c r="CO146" s="63" t="n">
        <f aca="false">IF(CO$35&gt;=$AC$144,CO$35-$AC$144+1,0)</f>
        <v>39</v>
      </c>
      <c r="CP146" s="63" t="n">
        <f aca="false">IF(CP$35&gt;=$AC$144,CP$35-$AC$144+1,0)</f>
        <v>40</v>
      </c>
      <c r="CQ146" s="63" t="n">
        <f aca="false">IF(CQ$35&gt;=$AC$144,CQ$35-$AC$144+1,0)</f>
        <v>41</v>
      </c>
      <c r="CR146" s="63" t="n">
        <f aca="false">IF(CR$35&gt;=$AC$144,CR$35-$AC$144+1,0)</f>
        <v>42</v>
      </c>
      <c r="CS146" s="63" t="n">
        <f aca="false">IF(CS$35&gt;=$AC$144,CS$35-$AC$144+1,0)</f>
        <v>43</v>
      </c>
      <c r="CT146" s="63" t="n">
        <f aca="false">IF(CT$35&gt;=$AC$144,CT$35-$AC$144+1,0)</f>
        <v>44</v>
      </c>
      <c r="CU146" s="63" t="n">
        <f aca="false">IF(CU$35&gt;=$AC$144,CU$35-$AC$144+1,0)</f>
        <v>45</v>
      </c>
      <c r="CV146" s="63" t="n">
        <f aca="false">IF(CV$35&gt;=$AC$144,CV$35-$AC$144+1,0)</f>
        <v>46</v>
      </c>
      <c r="CW146" s="63" t="n">
        <f aca="false">IF(CW$35&gt;=$AC$144,CW$35-$AC$144+1,0)</f>
        <v>47</v>
      </c>
      <c r="CX146" s="63" t="n">
        <f aca="false">IF(CX$35&gt;=$AC$144,CX$35-$AC$144+1,0)</f>
        <v>48</v>
      </c>
      <c r="CY146" s="63" t="n">
        <f aca="false">IF(CY$35&gt;=$AC$144,CY$35-$AC$144+1,0)</f>
        <v>49</v>
      </c>
      <c r="CZ146" s="63" t="n">
        <f aca="false">IF(CZ$35&gt;=$AC$144,CZ$35-$AC$144+1,0)</f>
        <v>50</v>
      </c>
      <c r="DA146" s="63" t="n">
        <f aca="false">IF(DA$35&gt;=$AC$144,DA$35-$AC$144+1,0)</f>
        <v>51</v>
      </c>
      <c r="DB146" s="63" t="n">
        <f aca="false">IF(DB$35&gt;=$AC$144,DB$35-$AC$144+1,0)</f>
        <v>52</v>
      </c>
      <c r="DC146" s="63" t="n">
        <f aca="false">IF(DC$35&gt;=$AC$144,DC$35-$AC$144+1,0)</f>
        <v>53</v>
      </c>
      <c r="DD146" s="63" t="n">
        <f aca="false">IF(DD$35&gt;=$AC$144,DD$35-$AC$144+1,0)</f>
        <v>54</v>
      </c>
      <c r="DE146" s="63" t="n">
        <f aca="false">IF(DE$35&gt;=$AC$144,DE$35-$AC$144+1,0)</f>
        <v>55</v>
      </c>
      <c r="DF146" s="63" t="n">
        <f aca="false">IF(DF$35&gt;=$AC$144,DF$35-$AC$144+1,0)</f>
        <v>56</v>
      </c>
      <c r="DG146" s="63" t="n">
        <f aca="false">IF(DG$35&gt;=$AC$144,DG$35-$AC$144+1,0)</f>
        <v>57</v>
      </c>
      <c r="DH146" s="63" t="n">
        <f aca="false">IF(DH$35&gt;=$AC$144,DH$35-$AC$144+1,0)</f>
        <v>58</v>
      </c>
      <c r="DI146" s="63" t="n">
        <f aca="false">IF(DI$35&gt;=$AC$144,DI$35-$AC$144+1,0)</f>
        <v>59</v>
      </c>
      <c r="DJ146" s="63" t="n">
        <f aca="false">IF(DJ$35&gt;=$AC$144,DJ$35-$AC$144+1,0)</f>
        <v>60</v>
      </c>
      <c r="DK146" s="63" t="n">
        <f aca="false">IF(DK$35&gt;=$AC$144,DK$35-$AC$144+1,0)</f>
        <v>61</v>
      </c>
      <c r="DL146" s="63" t="n">
        <f aca="false">IF(DL$35&gt;=$AC$144,DL$35-$AC$144+1,0)</f>
        <v>62</v>
      </c>
      <c r="DM146" s="63" t="n">
        <f aca="false">IF(DM$35&gt;=$AC$144,DM$35-$AC$144+1,0)</f>
        <v>63</v>
      </c>
      <c r="DN146" s="63" t="n">
        <f aca="false">IF(DN$35&gt;=$AC$144,DN$35-$AC$144+1,0)</f>
        <v>64</v>
      </c>
      <c r="DO146" s="63" t="n">
        <f aca="false">IF(DO$35&gt;=$AC$144,DO$35-$AC$144+1,0)</f>
        <v>65</v>
      </c>
      <c r="DP146" s="63" t="n">
        <f aca="false">IF(DP$35&gt;=$AC$144,DP$35-$AC$144+1,0)</f>
        <v>66</v>
      </c>
      <c r="DQ146" s="63" t="n">
        <f aca="false">IF(DQ$35&gt;=$AC$144,DQ$35-$AC$144+1,0)</f>
        <v>67</v>
      </c>
      <c r="DR146" s="63" t="n">
        <f aca="false">IF(DR$35&gt;=$AC$144,DR$35-$AC$144+1,0)</f>
        <v>68</v>
      </c>
      <c r="DS146" s="63" t="n">
        <f aca="false">IF(DS$35&gt;=$AC$144,DS$35-$AC$144+1,0)</f>
        <v>69</v>
      </c>
      <c r="DT146" s="63" t="n">
        <f aca="false">IF(DT$35&gt;=$AC$144,DT$35-$AC$144+1,0)</f>
        <v>70</v>
      </c>
      <c r="DU146" s="63" t="n">
        <f aca="false">IF(DU$35&gt;=$AC$144,DU$35-$AC$144+1,0)</f>
        <v>71</v>
      </c>
      <c r="DV146" s="63" t="n">
        <f aca="false">IF(DV$35&gt;=$AC$144,DV$35-$AC$144+1,0)</f>
        <v>72</v>
      </c>
      <c r="DW146" s="63" t="n">
        <f aca="false">IF(DW$35&gt;=$AC$144,DW$35-$AC$144+1,0)</f>
        <v>73</v>
      </c>
      <c r="DX146" s="63" t="n">
        <f aca="false">IF(DX$35&gt;=$AC$144,DX$35-$AC$144+1,0)</f>
        <v>74</v>
      </c>
      <c r="DY146" s="63" t="n">
        <f aca="false">IF(DY$35&gt;=$AC$144,DY$35-$AC$144+1,0)</f>
        <v>75</v>
      </c>
      <c r="DZ146" s="63" t="n">
        <f aca="false">IF(DZ$35&gt;=$AC$144,DZ$35-$AC$144+1,0)</f>
        <v>76</v>
      </c>
      <c r="EA146" s="63" t="n">
        <f aca="false">IF(EA$35&gt;=$AC$144,EA$35-$AC$144+1,0)</f>
        <v>77</v>
      </c>
      <c r="EB146" s="63" t="n">
        <f aca="false">IF(EB$35&gt;=$AC$144,EB$35-$AC$144+1,0)</f>
        <v>78</v>
      </c>
      <c r="EC146" s="63" t="n">
        <f aca="false">IF(EC$35&gt;=$AC$144,EC$35-$AC$144+1,0)</f>
        <v>79</v>
      </c>
      <c r="ED146" s="63" t="n">
        <f aca="false">IF(ED$35&gt;=$AC$144,ED$35-$AC$144+1,0)</f>
        <v>80</v>
      </c>
      <c r="EE146" s="63" t="n">
        <f aca="false">IF(EE$35&gt;=$AC$144,EE$35-$AC$144+1,0)</f>
        <v>81</v>
      </c>
      <c r="EF146" s="63" t="n">
        <f aca="false">IF(EF$35&gt;=$AC$144,EF$35-$AC$144+1,0)</f>
        <v>82</v>
      </c>
      <c r="EG146" s="63" t="n">
        <f aca="false">IF(EG$35&gt;=$AC$144,EG$35-$AC$144+1,0)</f>
        <v>83</v>
      </c>
      <c r="EH146" s="63" t="n">
        <f aca="false">IF(EH$35&gt;=$AC$144,EH$35-$AC$144+1,0)</f>
        <v>84</v>
      </c>
      <c r="EI146" s="63" t="n">
        <f aca="false">IF(EI$35&gt;=$AC$144,EI$35-$AC$144+1,0)</f>
        <v>85</v>
      </c>
      <c r="EJ146" s="63" t="n">
        <f aca="false">IF(EJ$35&gt;=$AC$144,EJ$35-$AC$144+1,0)</f>
        <v>86</v>
      </c>
      <c r="EK146" s="63" t="n">
        <f aca="false">IF(EK$35&gt;=$AC$144,EK$35-$AC$144+1,0)</f>
        <v>87</v>
      </c>
      <c r="EL146" s="63" t="n">
        <f aca="false">IF(EL$35&gt;=$AC$144,EL$35-$AC$144+1,0)</f>
        <v>88</v>
      </c>
      <c r="EM146" s="63" t="n">
        <f aca="false">IF(EM$35&gt;=$AC$144,EM$35-$AC$144+1,0)</f>
        <v>89</v>
      </c>
      <c r="EN146" s="63" t="n">
        <f aca="false">IF(EN$35&gt;=$AC$144,EN$35-$AC$144+1,0)</f>
        <v>90</v>
      </c>
      <c r="EO146" s="63" t="n">
        <f aca="false">IF(EO$35&gt;=$AC$144,EO$35-$AC$144+1,0)</f>
        <v>91</v>
      </c>
      <c r="EP146" s="63" t="n">
        <f aca="false">IF(EP$35&gt;=$AC$144,EP$35-$AC$144+1,0)</f>
        <v>92</v>
      </c>
      <c r="EQ146" s="63" t="n">
        <f aca="false">IF(EQ$35&gt;=$AC$144,EQ$35-$AC$144+1,0)</f>
        <v>93</v>
      </c>
      <c r="ER146" s="63" t="n">
        <f aca="false">IF(ER$35&gt;=$AC$144,ER$35-$AC$144+1,0)</f>
        <v>94</v>
      </c>
      <c r="ES146" s="9" t="n">
        <f aca="false">IF(ES$35&gt;=$AC$144,ES$35-$AC$144+1,0)</f>
        <v>95</v>
      </c>
      <c r="ET146" s="9" t="n">
        <f aca="false">IF(ET$35&gt;=$AC$144,ET$35-$AC$144+1,0)</f>
        <v>96</v>
      </c>
      <c r="EU146" s="9" t="n">
        <f aca="false">IF(EU$35&gt;=$AC$144,EU$35-$AC$144+1,0)</f>
        <v>97</v>
      </c>
      <c r="EV146" s="9" t="n">
        <f aca="false">IF(EV$35&gt;=$AC$144,EV$35-$AC$144+1,0)</f>
        <v>98</v>
      </c>
      <c r="EW146" s="9" t="n">
        <f aca="false">IF(EW$35&gt;=$AC$144,EW$35-$AC$144+1,0)</f>
        <v>99</v>
      </c>
      <c r="EX146" s="9" t="n">
        <f aca="false">IF(EX$35&gt;=$AC$144,EX$35-$AC$144+1,0)</f>
        <v>100</v>
      </c>
      <c r="EY146" s="9" t="n">
        <f aca="false">IF(EY$35&gt;=$AC$144,EY$35-$AC$144+1,0)</f>
        <v>101</v>
      </c>
      <c r="EZ146" s="9" t="n">
        <f aca="false">IF(EZ$35&gt;=$AC$144,EZ$35-$AC$144+1,0)</f>
        <v>102</v>
      </c>
      <c r="FA146" s="9" t="n">
        <f aca="false">IF(FA$35&gt;=$AC$144,FA$35-$AC$144+1,0)</f>
        <v>103</v>
      </c>
      <c r="FB146" s="9" t="n">
        <f aca="false">IF(FB$35&gt;=$AC$144,FB$35-$AC$144+1,0)</f>
        <v>104</v>
      </c>
      <c r="FC146" s="9" t="n">
        <f aca="false">IF(FC$35&gt;=$AC$144,FC$35-$AC$144+1,0)</f>
        <v>105</v>
      </c>
      <c r="FD146" s="9" t="n">
        <f aca="false">IF(FD$35&gt;=$AC$144,FD$35-$AC$144+1,0)</f>
        <v>106</v>
      </c>
      <c r="FE146" s="9" t="n">
        <f aca="false">IF(FE$35&gt;=$AC$144,FE$35-$AC$144+1,0)</f>
        <v>107</v>
      </c>
      <c r="FF146" s="9" t="n">
        <f aca="false">IF(FF$35&gt;=$AC$144,FF$35-$AC$144+1,0)</f>
        <v>108</v>
      </c>
      <c r="FG146" s="9" t="n">
        <f aca="false">IF(FG$35&gt;=$AC$144,FG$35-$AC$144+1,0)</f>
        <v>109</v>
      </c>
      <c r="FH146" s="9" t="n">
        <f aca="false">IF(FH$35&gt;=$AC$144,FH$35-$AC$144+1,0)</f>
        <v>110</v>
      </c>
      <c r="FI146" s="9" t="n">
        <f aca="false">IF(FI$35&gt;=$AC$144,FI$35-$AC$144+1,0)</f>
        <v>111</v>
      </c>
      <c r="FJ146" s="9" t="n">
        <f aca="false">IF(FJ$35&gt;=$AC$144,FJ$35-$AC$144+1,0)</f>
        <v>112</v>
      </c>
      <c r="FK146" s="9" t="n">
        <f aca="false">IF(FK$35&gt;=$AC$144,FK$35-$AC$144+1,0)</f>
        <v>113</v>
      </c>
      <c r="FL146" s="9" t="n">
        <f aca="false">IF(FL$35&gt;=$AC$144,FL$35-$AC$144+1,0)</f>
        <v>114</v>
      </c>
      <c r="FM146" s="9" t="n">
        <f aca="false">IF(FM$35&gt;=$AC$144,FM$35-$AC$144+1,0)</f>
        <v>115</v>
      </c>
      <c r="FN146" s="9" t="n">
        <f aca="false">IF(FN$35&gt;=$AC$144,FN$35-$AC$144+1,0)</f>
        <v>116</v>
      </c>
      <c r="FO146" s="9" t="n">
        <f aca="false">IF(FO$35&gt;=$AC$144,FO$35-$AC$144+1,0)</f>
        <v>117</v>
      </c>
      <c r="FP146" s="9" t="n">
        <f aca="false">IF(FP$35&gt;=$AC$144,FP$35-$AC$144+1,0)</f>
        <v>118</v>
      </c>
    </row>
    <row r="147" customFormat="false" ht="15" hidden="false" customHeight="false" outlineLevel="2" collapsed="false">
      <c r="B147" s="9" t="s">
        <v>874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236" t="n">
        <f aca="false" t="array" ref="AC147:AC147">IF(AC146=0,0,IF(AC146/'🎚️ Escenario'!$C$11&gt;=36,$AL$23,INDEX($C$23:$AL$23,MAX(1,ROUNDUP(AC146/'🎚️ Escenario'!$C$11,0)))))</f>
        <v>0</v>
      </c>
      <c r="AD147" s="236" t="n">
        <f aca="false" t="array" ref="AD147:AD147">IF(AD146=0,0,IF(AD146/'🎚️ Escenario'!$C$11&gt;=36,$AL$23,INDEX($C$23:$AL$23,MAX(1,ROUNDUP(AD146/'🎚️ Escenario'!$C$11,0)))))</f>
        <v>0</v>
      </c>
      <c r="AE147" s="236" t="n">
        <f aca="false" t="array" ref="AE147:AE147">IF(AE146=0,0,IF(AE146/'🎚️ Escenario'!$C$11&gt;=36,$AL$23,INDEX($C$23:$AL$23,MAX(1,ROUNDUP(AE146/'🎚️ Escenario'!$C$11,0)))))</f>
        <v>0</v>
      </c>
      <c r="AF147" s="236" t="n">
        <f aca="false" t="array" ref="AF147:AF147">IF(AF146=0,0,IF(AF146/'🎚️ Escenario'!$C$11&gt;=36,$AL$23,INDEX($C$23:$AL$23,MAX(1,ROUNDUP(AF146/'🎚️ Escenario'!$C$11,0)))))</f>
        <v>0</v>
      </c>
      <c r="AG147" s="236" t="n">
        <f aca="false" t="array" ref="AG147:AG147">IF(AG146=0,0,IF(AG146/'🎚️ Escenario'!$C$11&gt;=36,$AL$23,INDEX($C$23:$AL$23,MAX(1,ROUNDUP(AG146/'🎚️ Escenario'!$C$11,0)))))</f>
        <v>0</v>
      </c>
      <c r="AH147" s="236" t="n">
        <f aca="false" t="array" ref="AH147:AH147">IF(AH146=0,0,IF(AH146/'🎚️ Escenario'!$C$11&gt;=36,$AL$23,INDEX($C$23:$AL$23,MAX(1,ROUNDUP(AH146/'🎚️ Escenario'!$C$11,0)))))</f>
        <v>0</v>
      </c>
      <c r="AI147" s="236" t="n">
        <f aca="false" t="array" ref="AI147:AI147">IF(AI146=0,0,IF(AI146/'🎚️ Escenario'!$C$11&gt;=36,$AL$23,INDEX($C$23:$AL$23,MAX(1,ROUNDUP(AI146/'🎚️ Escenario'!$C$11,0)))))</f>
        <v>0</v>
      </c>
      <c r="AJ147" s="236" t="n">
        <f aca="false" t="array" ref="AJ147:AJ147">IF(AJ146=0,0,IF(AJ146/'🎚️ Escenario'!$C$11&gt;=36,$AL$23,INDEX($C$23:$AL$23,MAX(1,ROUNDUP(AJ146/'🎚️ Escenario'!$C$11,0)))))</f>
        <v>0</v>
      </c>
      <c r="AK147" s="236" t="n">
        <f aca="false" t="array" ref="AK147:AK147">IF(AK146=0,0,IF(AK146/'🎚️ Escenario'!$C$11&gt;=36,$AL$23,INDEX($C$23:$AL$23,MAX(1,ROUNDUP(AK146/'🎚️ Escenario'!$C$11,0)))))</f>
        <v>0</v>
      </c>
      <c r="AL147" s="236" t="n">
        <f aca="false" t="array" ref="AL147:AL147">IF(AL146=0,0,IF(AL146/'🎚️ Escenario'!$C$11&gt;=36,$AL$23,INDEX($C$23:$AL$23,MAX(1,ROUNDUP(AL146/'🎚️ Escenario'!$C$11,0)))))</f>
        <v>0</v>
      </c>
      <c r="AM147" s="236" t="n">
        <f aca="false" t="array" ref="AM147:AM147">IF(AM146=0,0,IF(AM146/'🎚️ Escenario'!$C$11&gt;=36,$AL$23,INDEX($C$23:$AL$23,MAX(1,ROUNDUP(AM146/'🎚️ Escenario'!$C$11,0)))))</f>
        <v>0</v>
      </c>
      <c r="AN147" s="236" t="n">
        <f aca="false" t="array" ref="AN147:AN147">IF(AN146=0,0,IF(AN146/'🎚️ Escenario'!$C$11&gt;=36,$AL$23,INDEX($C$23:$AL$23,MAX(1,ROUNDUP(AN146/'🎚️ Escenario'!$C$11,0)))))</f>
        <v>0</v>
      </c>
      <c r="AO147" s="236" t="n">
        <f aca="false" t="array" ref="AO147:AO147">IF(AO146=0,0,IF(AO146/'🎚️ Escenario'!$C$11&gt;=36,$AL$23,INDEX($C$23:$AL$23,MAX(1,ROUNDUP(AO146/'🎚️ Escenario'!$C$11,0)))))</f>
        <v>0</v>
      </c>
      <c r="AP147" s="236" t="n">
        <f aca="false" t="array" ref="AP147:AP147">IF(AP146=0,0,IF(AP146/'🎚️ Escenario'!$C$11&gt;=36,$AL$23,INDEX($C$23:$AL$23,MAX(1,ROUNDUP(AP146/'🎚️ Escenario'!$C$11,0)))))</f>
        <v>0</v>
      </c>
      <c r="AQ147" s="236" t="n">
        <f aca="false" t="array" ref="AQ147:AQ147">IF(AQ146=0,0,IF(AQ146/'🎚️ Escenario'!$C$11&gt;=36,$AL$23,INDEX($C$23:$AL$23,MAX(1,ROUNDUP(AQ146/'🎚️ Escenario'!$C$11,0)))))</f>
        <v>0</v>
      </c>
      <c r="AR147" s="236" t="n">
        <f aca="false" t="array" ref="AR147:AR147">IF(AR146=0,0,IF(AR146/'🎚️ Escenario'!$C$11&gt;=36,$AL$23,INDEX($C$23:$AL$23,MAX(1,ROUNDUP(AR146/'🎚️ Escenario'!$C$11,0)))))</f>
        <v>0</v>
      </c>
      <c r="AS147" s="236" t="n">
        <f aca="false" t="array" ref="AS147:AS147">IF(AS146=0,0,IF(AS146/'🎚️ Escenario'!$C$11&gt;=36,$AL$23,INDEX($C$23:$AL$23,MAX(1,ROUNDUP(AS146/'🎚️ Escenario'!$C$11,0)))))</f>
        <v>0</v>
      </c>
      <c r="AT147" s="236" t="n">
        <f aca="false" t="array" ref="AT147:AT147">IF(AT146=0,0,IF(AT146/'🎚️ Escenario'!$C$11&gt;=36,$AL$23,INDEX($C$23:$AL$23,MAX(1,ROUNDUP(AT146/'🎚️ Escenario'!$C$11,0)))))</f>
        <v>0</v>
      </c>
      <c r="AU147" s="236" t="n">
        <f aca="false" t="array" ref="AU147:AU147">IF(AU146=0,0,IF(AU146/'🎚️ Escenario'!$C$11&gt;=36,$AL$23,INDEX($C$23:$AL$23,MAX(1,ROUNDUP(AU146/'🎚️ Escenario'!$C$11,0)))))</f>
        <v>0</v>
      </c>
      <c r="AV147" s="236" t="n">
        <f aca="false" t="array" ref="AV147:AV147">IF(AV146=0,0,IF(AV146/'🎚️ Escenario'!$C$11&gt;=36,$AL$23,INDEX($C$23:$AL$23,MAX(1,ROUNDUP(AV146/'🎚️ Escenario'!$C$11,0)))))</f>
        <v>0</v>
      </c>
      <c r="AW147" s="236" t="n">
        <f aca="false" t="array" ref="AW147:AW147">IF(AW146=0,0,IF(AW146/'🎚️ Escenario'!$C$11&gt;=36,$AL$23,INDEX($C$23:$AL$23,MAX(1,ROUNDUP(AW146/'🎚️ Escenario'!$C$11,0)))))</f>
        <v>0</v>
      </c>
      <c r="AX147" s="236" t="n">
        <f aca="false" t="array" ref="AX147:AX147">IF(AX146=0,0,IF(AX146/'🎚️ Escenario'!$C$11&gt;=36,$AL$23,INDEX($C$23:$AL$23,MAX(1,ROUNDUP(AX146/'🎚️ Escenario'!$C$11,0)))))</f>
        <v>0</v>
      </c>
      <c r="AY147" s="236" t="n">
        <f aca="false" t="array" ref="AY147:AY147">IF(AY146=0,0,IF(AY146/'🎚️ Escenario'!$C$11&gt;=36,$AL$23,INDEX($C$23:$AL$23,MAX(1,ROUNDUP(AY146/'🎚️ Escenario'!$C$11,0)))))</f>
        <v>0</v>
      </c>
      <c r="AZ147" s="236" t="n">
        <f aca="false" t="array" ref="AZ147:AZ147">IF(AZ146=0,0,IF(AZ146/'🎚️ Escenario'!$C$11&gt;=36,$AL$23,INDEX($C$23:$AL$23,MAX(1,ROUNDUP(AZ146/'🎚️ Escenario'!$C$11,0)))))</f>
        <v>0</v>
      </c>
      <c r="BA147" s="236" t="n">
        <f aca="false" t="array" ref="BA147:BA147">IF(BA146=0,0,IF(BA146/'🎚️ Escenario'!$C$11&gt;=36,$AL$23,INDEX($C$23:$AL$23,MAX(1,ROUNDUP(BA146/'🎚️ Escenario'!$C$11,0)))))</f>
        <v>0</v>
      </c>
      <c r="BB147" s="236" t="n">
        <f aca="false" t="array" ref="BB147:BB147">IF(BB146=0,0,IF(BB146/'🎚️ Escenario'!$C$11&gt;=36,$AL$23,INDEX($C$23:$AL$23,MAX(1,ROUNDUP(BB146/'🎚️ Escenario'!$C$11,0)))))</f>
        <v>0</v>
      </c>
      <c r="BC147" s="236" t="n">
        <f aca="false" t="array" ref="BC147:BC147">IF(BC146=0,0,IF(BC146/'🎚️ Escenario'!$C$11&gt;=36,$AL$23,INDEX($C$23:$AL$23,MAX(1,ROUNDUP(BC146/'🎚️ Escenario'!$C$11,0)))))</f>
        <v>0.2</v>
      </c>
      <c r="BD147" s="236" t="n">
        <f aca="false" t="array" ref="BD147:BD147">IF(BD146=0,0,IF(BD146/'🎚️ Escenario'!$C$11&gt;=36,$AL$23,INDEX($C$23:$AL$23,MAX(1,ROUNDUP(BD146/'🎚️ Escenario'!$C$11,0)))))</f>
        <v>0.22</v>
      </c>
      <c r="BE147" s="236" t="n">
        <f aca="false" t="array" ref="BE147:BE147">IF(BE146=0,0,IF(BE146/'🎚️ Escenario'!$C$11&gt;=36,$AL$23,INDEX($C$23:$AL$23,MAX(1,ROUNDUP(BE146/'🎚️ Escenario'!$C$11,0)))))</f>
        <v>0.24</v>
      </c>
      <c r="BF147" s="236" t="n">
        <f aca="false" t="array" ref="BF147:BF147">IF(BF146=0,0,IF(BF146/'🎚️ Escenario'!$C$11&gt;=36,$AL$23,INDEX($C$23:$AL$23,MAX(1,ROUNDUP(BF146/'🎚️ Escenario'!$C$11,0)))))</f>
        <v>0.27</v>
      </c>
      <c r="BG147" s="236" t="n">
        <f aca="false" t="array" ref="BG147:BG147">IF(BG146=0,0,IF(BG146/'🎚️ Escenario'!$C$11&gt;=36,$AL$23,INDEX($C$23:$AL$23,MAX(1,ROUNDUP(BG146/'🎚️ Escenario'!$C$11,0)))))</f>
        <v>0.27</v>
      </c>
      <c r="BH147" s="236" t="n">
        <f aca="false" t="array" ref="BH147:BH147">IF(BH146=0,0,IF(BH146/'🎚️ Escenario'!$C$11&gt;=36,$AL$23,INDEX($C$23:$AL$23,MAX(1,ROUNDUP(BH146/'🎚️ Escenario'!$C$11,0)))))</f>
        <v>0.31</v>
      </c>
      <c r="BI147" s="236" t="n">
        <f aca="false" t="array" ref="BI147:BI147">IF(BI146=0,0,IF(BI146/'🎚️ Escenario'!$C$11&gt;=36,$AL$23,INDEX($C$23:$AL$23,MAX(1,ROUNDUP(BI146/'🎚️ Escenario'!$C$11,0)))))</f>
        <v>0.35</v>
      </c>
      <c r="BJ147" s="236" t="n">
        <f aca="false" t="array" ref="BJ147:BJ147">IF(BJ146=0,0,IF(BJ146/'🎚️ Escenario'!$C$11&gt;=36,$AL$23,INDEX($C$23:$AL$23,MAX(1,ROUNDUP(BJ146/'🎚️ Escenario'!$C$11,0)))))</f>
        <v>0.39</v>
      </c>
      <c r="BK147" s="236" t="n">
        <f aca="false" t="array" ref="BK147:BK147">IF(BK146=0,0,IF(BK146/'🎚️ Escenario'!$C$11&gt;=36,$AL$23,INDEX($C$23:$AL$23,MAX(1,ROUNDUP(BK146/'🎚️ Escenario'!$C$11,0)))))</f>
        <v>0.44</v>
      </c>
      <c r="BL147" s="236" t="n">
        <f aca="false" t="array" ref="BL147:BL147">IF(BL146=0,0,IF(BL146/'🎚️ Escenario'!$C$11&gt;=36,$AL$23,INDEX($C$23:$AL$23,MAX(1,ROUNDUP(BL146/'🎚️ Escenario'!$C$11,0)))))</f>
        <v>0.44</v>
      </c>
      <c r="BM147" s="236" t="n">
        <f aca="false" t="array" ref="BM147:BM147">IF(BM146=0,0,IF(BM146/'🎚️ Escenario'!$C$11&gt;=36,$AL$23,INDEX($C$23:$AL$23,MAX(1,ROUNDUP(BM146/'🎚️ Escenario'!$C$11,0)))))</f>
        <v>0.48</v>
      </c>
      <c r="BN147" s="236" t="n">
        <f aca="false" t="array" ref="BN147:BN147">IF(BN146=0,0,IF(BN146/'🎚️ Escenario'!$C$11&gt;=36,$AL$23,INDEX($C$23:$AL$23,MAX(1,ROUNDUP(BN146/'🎚️ Escenario'!$C$11,0)))))</f>
        <v>0.52</v>
      </c>
      <c r="BO147" s="236" t="n">
        <f aca="false" t="array" ref="BO147:BO147">IF(BO146=0,0,IF(BO146/'🎚️ Escenario'!$C$11&gt;=36,$AL$23,INDEX($C$23:$AL$23,MAX(1,ROUNDUP(BO146/'🎚️ Escenario'!$C$11,0)))))</f>
        <v>0.56</v>
      </c>
      <c r="BP147" s="236" t="n">
        <f aca="false" t="array" ref="BP147:BP147">IF(BP146=0,0,IF(BP146/'🎚️ Escenario'!$C$11&gt;=36,$AL$23,INDEX($C$23:$AL$23,MAX(1,ROUNDUP(BP146/'🎚️ Escenario'!$C$11,0)))))</f>
        <v>0.6</v>
      </c>
      <c r="BQ147" s="236" t="n">
        <f aca="false" t="array" ref="BQ147:BQ147">IF(BQ146=0,0,IF(BQ146/'🎚️ Escenario'!$C$11&gt;=36,$AL$23,INDEX($C$23:$AL$23,MAX(1,ROUNDUP(BQ146/'🎚️ Escenario'!$C$11,0)))))</f>
        <v>0.6</v>
      </c>
      <c r="BR147" s="236" t="n">
        <f aca="false" t="array" ref="BR147:BR147">IF(BR146=0,0,IF(BR146/'🎚️ Escenario'!$C$11&gt;=36,$AL$23,INDEX($C$23:$AL$23,MAX(1,ROUNDUP(BR146/'🎚️ Escenario'!$C$11,0)))))</f>
        <v>0.63</v>
      </c>
      <c r="BS147" s="236" t="n">
        <f aca="false" t="array" ref="BS147:BS147">IF(BS146=0,0,IF(BS146/'🎚️ Escenario'!$C$11&gt;=36,$AL$23,INDEX($C$23:$AL$23,MAX(1,ROUNDUP(BS146/'🎚️ Escenario'!$C$11,0)))))</f>
        <v>0.66</v>
      </c>
      <c r="BT147" s="236" t="n">
        <f aca="false" t="array" ref="BT147:BT147">IF(BT146=0,0,IF(BT146/'🎚️ Escenario'!$C$11&gt;=36,$AL$23,INDEX($C$23:$AL$23,MAX(1,ROUNDUP(BT146/'🎚️ Escenario'!$C$11,0)))))</f>
        <v>0.69</v>
      </c>
      <c r="BU147" s="236" t="n">
        <f aca="false" t="array" ref="BU147:BU147">IF(BU146=0,0,IF(BU146/'🎚️ Escenario'!$C$11&gt;=36,$AL$23,INDEX($C$23:$AL$23,MAX(1,ROUNDUP(BU146/'🎚️ Escenario'!$C$11,0)))))</f>
        <v>0.71</v>
      </c>
      <c r="BV147" s="236" t="n">
        <f aca="false" t="array" ref="BV147:BV147">IF(BV146=0,0,IF(BV146/'🎚️ Escenario'!$C$11&gt;=36,$AL$23,INDEX($C$23:$AL$23,MAX(1,ROUNDUP(BV146/'🎚️ Escenario'!$C$11,0)))))</f>
        <v>0.71</v>
      </c>
      <c r="BW147" s="236" t="n">
        <f aca="false" t="array" ref="BW147:BW147">IF(BW146=0,0,IF(BW146/'🎚️ Escenario'!$C$11&gt;=36,$AL$23,INDEX($C$23:$AL$23,MAX(1,ROUNDUP(BW146/'🎚️ Escenario'!$C$11,0)))))</f>
        <v>0.73</v>
      </c>
      <c r="BX147" s="236" t="n">
        <f aca="false" t="array" ref="BX147:BX147">IF(BX146=0,0,IF(BX146/'🎚️ Escenario'!$C$11&gt;=36,$AL$23,INDEX($C$23:$AL$23,MAX(1,ROUNDUP(BX146/'🎚️ Escenario'!$C$11,0)))))</f>
        <v>0.75</v>
      </c>
      <c r="BY147" s="236" t="n">
        <f aca="false" t="array" ref="BY147:BY147">IF(BY146=0,0,IF(BY146/'🎚️ Escenario'!$C$11&gt;=36,$AL$23,INDEX($C$23:$AL$23,MAX(1,ROUNDUP(BY146/'🎚️ Escenario'!$C$11,0)))))</f>
        <v>0.77</v>
      </c>
      <c r="BZ147" s="236" t="n">
        <f aca="false" t="array" ref="BZ147:BZ147">IF(BZ146=0,0,IF(BZ146/'🎚️ Escenario'!$C$11&gt;=36,$AL$23,INDEX($C$23:$AL$23,MAX(1,ROUNDUP(BZ146/'🎚️ Escenario'!$C$11,0)))))</f>
        <v>0.79</v>
      </c>
      <c r="CA147" s="236" t="n">
        <f aca="false" t="array" ref="CA147:CA147">IF(CA146=0,0,IF(CA146/'🎚️ Escenario'!$C$11&gt;=36,$AL$23,INDEX($C$23:$AL$23,MAX(1,ROUNDUP(CA146/'🎚️ Escenario'!$C$11,0)))))</f>
        <v>0.79</v>
      </c>
      <c r="CB147" s="236" t="n">
        <f aca="false" t="array" ref="CB147:CB147">IF(CB146=0,0,IF(CB146/'🎚️ Escenario'!$C$11&gt;=36,$AL$23,INDEX($C$23:$AL$23,MAX(1,ROUNDUP(CB146/'🎚️ Escenario'!$C$11,0)))))</f>
        <v>0.8</v>
      </c>
      <c r="CC147" s="236" t="n">
        <f aca="false" t="array" ref="CC147:CC147">IF(CC146=0,0,IF(CC146/'🎚️ Escenario'!$C$11&gt;=36,$AL$23,INDEX($C$23:$AL$23,MAX(1,ROUNDUP(CC146/'🎚️ Escenario'!$C$11,0)))))</f>
        <v>0.82</v>
      </c>
      <c r="CD147" s="236" t="n">
        <f aca="false" t="array" ref="CD147:CD147">IF(CD146=0,0,IF(CD146/'🎚️ Escenario'!$C$11&gt;=36,$AL$23,INDEX($C$23:$AL$23,MAX(1,ROUNDUP(CD146/'🎚️ Escenario'!$C$11,0)))))</f>
        <v>0.84</v>
      </c>
      <c r="CE147" s="236" t="n">
        <f aca="false" t="array" ref="CE147:CE147">IF(CE146=0,0,IF(CE146/'🎚️ Escenario'!$C$11&gt;=36,$AL$23,INDEX($C$23:$AL$23,MAX(1,ROUNDUP(CE146/'🎚️ Escenario'!$C$11,0)))))</f>
        <v>0.85</v>
      </c>
      <c r="CF147" s="236" t="n">
        <f aca="false" t="array" ref="CF147:CF147">IF(CF146=0,0,IF(CF146/'🎚️ Escenario'!$C$11&gt;=36,$AL$23,INDEX($C$23:$AL$23,MAX(1,ROUNDUP(CF146/'🎚️ Escenario'!$C$11,0)))))</f>
        <v>0.85</v>
      </c>
      <c r="CG147" s="236" t="n">
        <f aca="false" t="array" ref="CG147:CG147">IF(CG146=0,0,IF(CG146/'🎚️ Escenario'!$C$11&gt;=36,$AL$23,INDEX($C$23:$AL$23,MAX(1,ROUNDUP(CG146/'🎚️ Escenario'!$C$11,0)))))</f>
        <v>0.86</v>
      </c>
      <c r="CH147" s="236" t="n">
        <f aca="false" t="array" ref="CH147:CH147">IF(CH146=0,0,IF(CH146/'🎚️ Escenario'!$C$11&gt;=36,$AL$23,INDEX($C$23:$AL$23,MAX(1,ROUNDUP(CH146/'🎚️ Escenario'!$C$11,0)))))</f>
        <v>0.88</v>
      </c>
      <c r="CI147" s="236" t="n">
        <f aca="false" t="array" ref="CI147:CI147">IF(CI146=0,0,IF(CI146/'🎚️ Escenario'!$C$11&gt;=36,$AL$23,INDEX($C$23:$AL$23,MAX(1,ROUNDUP(CI146/'🎚️ Escenario'!$C$11,0)))))</f>
        <v>0.89</v>
      </c>
      <c r="CJ147" s="236" t="n">
        <f aca="false" t="array" ref="CJ147:CJ147">IF(CJ146=0,0,IF(CJ146/'🎚️ Escenario'!$C$11&gt;=36,$AL$23,INDEX($C$23:$AL$23,MAX(1,ROUNDUP(CJ146/'🎚️ Escenario'!$C$11,0)))))</f>
        <v>0.9</v>
      </c>
      <c r="CK147" s="236" t="n">
        <f aca="false" t="array" ref="CK147:CK147">IF(CK146=0,0,IF(CK146/'🎚️ Escenario'!$C$11&gt;=36,$AL$23,INDEX($C$23:$AL$23,MAX(1,ROUNDUP(CK146/'🎚️ Escenario'!$C$11,0)))))</f>
        <v>0.9</v>
      </c>
      <c r="CL147" s="236" t="n">
        <f aca="false" t="array" ref="CL147:CL147">IF(CL146=0,0,IF(CL146/'🎚️ Escenario'!$C$11&gt;=36,$AL$23,INDEX($C$23:$AL$23,MAX(1,ROUNDUP(CL146/'🎚️ Escenario'!$C$11,0)))))</f>
        <v>0.92</v>
      </c>
      <c r="CM147" s="236" t="n">
        <f aca="false" t="array" ref="CM147:CM147">IF(CM146=0,0,IF(CM146/'🎚️ Escenario'!$C$11&gt;=36,$AL$23,INDEX($C$23:$AL$23,MAX(1,ROUNDUP(CM146/'🎚️ Escenario'!$C$11,0)))))</f>
        <v>0.93</v>
      </c>
      <c r="CN147" s="236" t="n">
        <f aca="false" t="array" ref="CN147:CN147">IF(CN146=0,0,IF(CN146/'🎚️ Escenario'!$C$11&gt;=36,$AL$23,INDEX($C$23:$AL$23,MAX(1,ROUNDUP(CN146/'🎚️ Escenario'!$C$11,0)))))</f>
        <v>0.94</v>
      </c>
      <c r="CO147" s="236" t="n">
        <f aca="false" t="array" ref="CO147:CO147">IF(CO146=0,0,IF(CO146/'🎚️ Escenario'!$C$11&gt;=36,$AL$23,INDEX($C$23:$AL$23,MAX(1,ROUNDUP(CO146/'🎚️ Escenario'!$C$11,0)))))</f>
        <v>0.95</v>
      </c>
      <c r="CP147" s="236" t="n">
        <f aca="false" t="array" ref="CP147:CP147">IF(CP146=0,0,IF(CP146/'🎚️ Escenario'!$C$11&gt;=36,$AL$23,INDEX($C$23:$AL$23,MAX(1,ROUNDUP(CP146/'🎚️ Escenario'!$C$11,0)))))</f>
        <v>0.95</v>
      </c>
      <c r="CQ147" s="236" t="n">
        <f aca="false" t="array" ref="CQ147:CQ147">IF(CQ146=0,0,IF(CQ146/'🎚️ Escenario'!$C$11&gt;=36,$AL$23,INDEX($C$23:$AL$23,MAX(1,ROUNDUP(CQ146/'🎚️ Escenario'!$C$11,0)))))</f>
        <v>0.97</v>
      </c>
      <c r="CR147" s="236" t="n">
        <f aca="false" t="array" ref="CR147:CR147">IF(CR146=0,0,IF(CR146/'🎚️ Escenario'!$C$11&gt;=36,$AL$23,INDEX($C$23:$AL$23,MAX(1,ROUNDUP(CR146/'🎚️ Escenario'!$C$11,0)))))</f>
        <v>0.98</v>
      </c>
      <c r="CS147" s="236" t="n">
        <f aca="false" t="array" ref="CS147:CS147">IF(CS146=0,0,IF(CS146/'🎚️ Escenario'!$C$11&gt;=36,$AL$23,INDEX($C$23:$AL$23,MAX(1,ROUNDUP(CS146/'🎚️ Escenario'!$C$11,0)))))</f>
        <v>0.99</v>
      </c>
      <c r="CT147" s="236" t="n">
        <f aca="false" t="array" ref="CT147:CT147">IF(CT146=0,0,IF(CT146/'🎚️ Escenario'!$C$11&gt;=36,$AL$23,INDEX($C$23:$AL$23,MAX(1,ROUNDUP(CT146/'🎚️ Escenario'!$C$11,0)))))</f>
        <v>1</v>
      </c>
      <c r="CU147" s="236" t="n">
        <f aca="false" t="array" ref="CU147:CU147">IF(CU146=0,0,IF(CU146/'🎚️ Escenario'!$C$11&gt;=36,$AL$23,INDEX($C$23:$AL$23,MAX(1,ROUNDUP(CU146/'🎚️ Escenario'!$C$11,0)))))</f>
        <v>1</v>
      </c>
      <c r="CV147" s="236" t="n">
        <f aca="false" t="array" ref="CV147:CV147">IF(CV146=0,0,IF(CV146/'🎚️ Escenario'!$C$11&gt;=36,$AL$23,INDEX($C$23:$AL$23,MAX(1,ROUNDUP(CV146/'🎚️ Escenario'!$C$11,0)))))</f>
        <v>1</v>
      </c>
      <c r="CW147" s="236" t="n">
        <f aca="false" t="array" ref="CW147:CW147">IF(CW146=0,0,IF(CW146/'🎚️ Escenario'!$C$11&gt;=36,$AL$23,INDEX($C$23:$AL$23,MAX(1,ROUNDUP(CW146/'🎚️ Escenario'!$C$11,0)))))</f>
        <v>1</v>
      </c>
      <c r="CX147" s="236" t="n">
        <f aca="false" t="array" ref="CX147:CX147">IF(CX146=0,0,IF(CX146/'🎚️ Escenario'!$C$11&gt;=36,$AL$23,INDEX($C$23:$AL$23,MAX(1,ROUNDUP(CX146/'🎚️ Escenario'!$C$11,0)))))</f>
        <v>1</v>
      </c>
      <c r="CY147" s="236" t="n">
        <f aca="false" t="array" ref="CY147:CY147">IF(CY146=0,0,IF(CY146/'🎚️ Escenario'!$C$11&gt;=36,$AL$23,INDEX($C$23:$AL$23,MAX(1,ROUNDUP(CY146/'🎚️ Escenario'!$C$11,0)))))</f>
        <v>1</v>
      </c>
      <c r="CZ147" s="236" t="n">
        <f aca="false" t="array" ref="CZ147:CZ147">IF(CZ146=0,0,IF(CZ146/'🎚️ Escenario'!$C$11&gt;=36,$AL$23,INDEX($C$23:$AL$23,MAX(1,ROUNDUP(CZ146/'🎚️ Escenario'!$C$11,0)))))</f>
        <v>1</v>
      </c>
      <c r="DA147" s="236" t="n">
        <f aca="false" t="array" ref="DA147:DA147">IF(DA146=0,0,IF(DA146/'🎚️ Escenario'!$C$11&gt;=36,$AL$23,INDEX($C$23:$AL$23,MAX(1,ROUNDUP(DA146/'🎚️ Escenario'!$C$11,0)))))</f>
        <v>1</v>
      </c>
      <c r="DB147" s="236" t="n">
        <f aca="false" t="array" ref="DB147:DB147">IF(DB146=0,0,IF(DB146/'🎚️ Escenario'!$C$11&gt;=36,$AL$23,INDEX($C$23:$AL$23,MAX(1,ROUNDUP(DB146/'🎚️ Escenario'!$C$11,0)))))</f>
        <v>1</v>
      </c>
      <c r="DC147" s="236" t="n">
        <f aca="false" t="array" ref="DC147:DC147">IF(DC146=0,0,IF(DC146/'🎚️ Escenario'!$C$11&gt;=36,$AL$23,INDEX($C$23:$AL$23,MAX(1,ROUNDUP(DC146/'🎚️ Escenario'!$C$11,0)))))</f>
        <v>1</v>
      </c>
      <c r="DD147" s="236" t="n">
        <f aca="false" t="array" ref="DD147:DD147">IF(DD146=0,0,IF(DD146/'🎚️ Escenario'!$C$11&gt;=36,$AL$23,INDEX($C$23:$AL$23,MAX(1,ROUNDUP(DD146/'🎚️ Escenario'!$C$11,0)))))</f>
        <v>1</v>
      </c>
      <c r="DE147" s="236" t="n">
        <f aca="false" t="array" ref="DE147:DE147">IF(DE146=0,0,IF(DE146/'🎚️ Escenario'!$C$11&gt;=36,$AL$23,INDEX($C$23:$AL$23,MAX(1,ROUNDUP(DE146/'🎚️ Escenario'!$C$11,0)))))</f>
        <v>1</v>
      </c>
      <c r="DF147" s="236" t="n">
        <f aca="false" t="array" ref="DF147:DF147">IF(DF146=0,0,IF(DF146/'🎚️ Escenario'!$C$11&gt;=36,$AL$23,INDEX($C$23:$AL$23,MAX(1,ROUNDUP(DF146/'🎚️ Escenario'!$C$11,0)))))</f>
        <v>1</v>
      </c>
      <c r="DG147" s="236" t="n">
        <f aca="false" t="array" ref="DG147:DG147">IF(DG146=0,0,IF(DG146/'🎚️ Escenario'!$C$11&gt;=36,$AL$23,INDEX($C$23:$AL$23,MAX(1,ROUNDUP(DG146/'🎚️ Escenario'!$C$11,0)))))</f>
        <v>1</v>
      </c>
      <c r="DH147" s="236" t="n">
        <f aca="false" t="array" ref="DH147:DH147">IF(DH146=0,0,IF(DH146/'🎚️ Escenario'!$C$11&gt;=36,$AL$23,INDEX($C$23:$AL$23,MAX(1,ROUNDUP(DH146/'🎚️ Escenario'!$C$11,0)))))</f>
        <v>1</v>
      </c>
      <c r="DI147" s="236" t="n">
        <f aca="false" t="array" ref="DI147:DI147">IF(DI146=0,0,IF(DI146/'🎚️ Escenario'!$C$11&gt;=36,$AL$23,INDEX($C$23:$AL$23,MAX(1,ROUNDUP(DI146/'🎚️ Escenario'!$C$11,0)))))</f>
        <v>1</v>
      </c>
      <c r="DJ147" s="236" t="n">
        <f aca="false" t="array" ref="DJ147:DJ147">IF(DJ146=0,0,IF(DJ146/'🎚️ Escenario'!$C$11&gt;=36,$AL$23,INDEX($C$23:$AL$23,MAX(1,ROUNDUP(DJ146/'🎚️ Escenario'!$C$11,0)))))</f>
        <v>1</v>
      </c>
      <c r="DK147" s="236" t="n">
        <f aca="false" t="array" ref="DK147:DK147">IF(DK146=0,0,IF(DK146/'🎚️ Escenario'!$C$11&gt;=36,$AL$23,INDEX($C$23:$AL$23,MAX(1,ROUNDUP(DK146/'🎚️ Escenario'!$C$11,0)))))</f>
        <v>1</v>
      </c>
      <c r="DL147" s="236" t="n">
        <f aca="false" t="array" ref="DL147:DL147">IF(DL146=0,0,IF(DL146/'🎚️ Escenario'!$C$11&gt;=36,$AL$23,INDEX($C$23:$AL$23,MAX(1,ROUNDUP(DL146/'🎚️ Escenario'!$C$11,0)))))</f>
        <v>1</v>
      </c>
      <c r="DM147" s="236" t="n">
        <f aca="false" t="array" ref="DM147:DM147">IF(DM146=0,0,IF(DM146/'🎚️ Escenario'!$C$11&gt;=36,$AL$23,INDEX($C$23:$AL$23,MAX(1,ROUNDUP(DM146/'🎚️ Escenario'!$C$11,0)))))</f>
        <v>1</v>
      </c>
      <c r="DN147" s="236" t="n">
        <f aca="false" t="array" ref="DN147:DN147">IF(DN146=0,0,IF(DN146/'🎚️ Escenario'!$C$11&gt;=36,$AL$23,INDEX($C$23:$AL$23,MAX(1,ROUNDUP(DN146/'🎚️ Escenario'!$C$11,0)))))</f>
        <v>1</v>
      </c>
      <c r="DO147" s="236" t="n">
        <f aca="false" t="array" ref="DO147:DO147">IF(DO146=0,0,IF(DO146/'🎚️ Escenario'!$C$11&gt;=36,$AL$23,INDEX($C$23:$AL$23,MAX(1,ROUNDUP(DO146/'🎚️ Escenario'!$C$11,0)))))</f>
        <v>1</v>
      </c>
      <c r="DP147" s="236" t="n">
        <f aca="false" t="array" ref="DP147:DP147">IF(DP146=0,0,IF(DP146/'🎚️ Escenario'!$C$11&gt;=36,$AL$23,INDEX($C$23:$AL$23,MAX(1,ROUNDUP(DP146/'🎚️ Escenario'!$C$11,0)))))</f>
        <v>1</v>
      </c>
      <c r="DQ147" s="236" t="n">
        <f aca="false" t="array" ref="DQ147:DQ147">IF(DQ146=0,0,IF(DQ146/'🎚️ Escenario'!$C$11&gt;=36,$AL$23,INDEX($C$23:$AL$23,MAX(1,ROUNDUP(DQ146/'🎚️ Escenario'!$C$11,0)))))</f>
        <v>1</v>
      </c>
      <c r="DR147" s="236" t="n">
        <f aca="false" t="array" ref="DR147:DR147">IF(DR146=0,0,IF(DR146/'🎚️ Escenario'!$C$11&gt;=36,$AL$23,INDEX($C$23:$AL$23,MAX(1,ROUNDUP(DR146/'🎚️ Escenario'!$C$11,0)))))</f>
        <v>1</v>
      </c>
      <c r="DS147" s="236" t="n">
        <f aca="false" t="array" ref="DS147:DS147">IF(DS146=0,0,IF(DS146/'🎚️ Escenario'!$C$11&gt;=36,$AL$23,INDEX($C$23:$AL$23,MAX(1,ROUNDUP(DS146/'🎚️ Escenario'!$C$11,0)))))</f>
        <v>1</v>
      </c>
      <c r="DT147" s="236" t="n">
        <f aca="false" t="array" ref="DT147:DT147">IF(DT146=0,0,IF(DT146/'🎚️ Escenario'!$C$11&gt;=36,$AL$23,INDEX($C$23:$AL$23,MAX(1,ROUNDUP(DT146/'🎚️ Escenario'!$C$11,0)))))</f>
        <v>1</v>
      </c>
      <c r="DU147" s="236" t="n">
        <f aca="false" t="array" ref="DU147:DU147">IF(DU146=0,0,IF(DU146/'🎚️ Escenario'!$C$11&gt;=36,$AL$23,INDEX($C$23:$AL$23,MAX(1,ROUNDUP(DU146/'🎚️ Escenario'!$C$11,0)))))</f>
        <v>1</v>
      </c>
      <c r="DV147" s="236" t="n">
        <f aca="false" t="array" ref="DV147:DV147">IF(DV146=0,0,IF(DV146/'🎚️ Escenario'!$C$11&gt;=36,$AL$23,INDEX($C$23:$AL$23,MAX(1,ROUNDUP(DV146/'🎚️ Escenario'!$C$11,0)))))</f>
        <v>1</v>
      </c>
      <c r="DW147" s="236" t="n">
        <f aca="false" t="array" ref="DW147:DW147">IF(DW146=0,0,IF(DW146/'🎚️ Escenario'!$C$11&gt;=36,$AL$23,INDEX($C$23:$AL$23,MAX(1,ROUNDUP(DW146/'🎚️ Escenario'!$C$11,0)))))</f>
        <v>1</v>
      </c>
      <c r="DX147" s="236" t="n">
        <f aca="false" t="array" ref="DX147:DX147">IF(DX146=0,0,IF(DX146/'🎚️ Escenario'!$C$11&gt;=36,$AL$23,INDEX($C$23:$AL$23,MAX(1,ROUNDUP(DX146/'🎚️ Escenario'!$C$11,0)))))</f>
        <v>1</v>
      </c>
      <c r="DY147" s="236" t="n">
        <f aca="false" t="array" ref="DY147:DY147">IF(DY146=0,0,IF(DY146/'🎚️ Escenario'!$C$11&gt;=36,$AL$23,INDEX($C$23:$AL$23,MAX(1,ROUNDUP(DY146/'🎚️ Escenario'!$C$11,0)))))</f>
        <v>1</v>
      </c>
      <c r="DZ147" s="236" t="n">
        <f aca="false" t="array" ref="DZ147:DZ147">IF(DZ146=0,0,IF(DZ146/'🎚️ Escenario'!$C$11&gt;=36,$AL$23,INDEX($C$23:$AL$23,MAX(1,ROUNDUP(DZ146/'🎚️ Escenario'!$C$11,0)))))</f>
        <v>1</v>
      </c>
      <c r="EA147" s="236" t="n">
        <f aca="false" t="array" ref="EA147:EA147">IF(EA146=0,0,IF(EA146/'🎚️ Escenario'!$C$11&gt;=36,$AL$23,INDEX($C$23:$AL$23,MAX(1,ROUNDUP(EA146/'🎚️ Escenario'!$C$11,0)))))</f>
        <v>1</v>
      </c>
      <c r="EB147" s="236" t="n">
        <f aca="false" t="array" ref="EB147:EB147">IF(EB146=0,0,IF(EB146/'🎚️ Escenario'!$C$11&gt;=36,$AL$23,INDEX($C$23:$AL$23,MAX(1,ROUNDUP(EB146/'🎚️ Escenario'!$C$11,0)))))</f>
        <v>1</v>
      </c>
      <c r="EC147" s="236" t="n">
        <f aca="false" t="array" ref="EC147:EC147">IF(EC146=0,0,IF(EC146/'🎚️ Escenario'!$C$11&gt;=36,$AL$23,INDEX($C$23:$AL$23,MAX(1,ROUNDUP(EC146/'🎚️ Escenario'!$C$11,0)))))</f>
        <v>1</v>
      </c>
      <c r="ED147" s="236" t="n">
        <f aca="false" t="array" ref="ED147:ED147">IF(ED146=0,0,IF(ED146/'🎚️ Escenario'!$C$11&gt;=36,$AL$23,INDEX($C$23:$AL$23,MAX(1,ROUNDUP(ED146/'🎚️ Escenario'!$C$11,0)))))</f>
        <v>1</v>
      </c>
      <c r="EE147" s="236" t="n">
        <f aca="false" t="array" ref="EE147:EE147">IF(EE146=0,0,IF(EE146/'🎚️ Escenario'!$C$11&gt;=36,$AL$23,INDEX($C$23:$AL$23,MAX(1,ROUNDUP(EE146/'🎚️ Escenario'!$C$11,0)))))</f>
        <v>1</v>
      </c>
      <c r="EF147" s="236" t="n">
        <f aca="false" t="array" ref="EF147:EF147">IF(EF146=0,0,IF(EF146/'🎚️ Escenario'!$C$11&gt;=36,$AL$23,INDEX($C$23:$AL$23,MAX(1,ROUNDUP(EF146/'🎚️ Escenario'!$C$11,0)))))</f>
        <v>1</v>
      </c>
      <c r="EG147" s="236" t="n">
        <f aca="false" t="array" ref="EG147:EG147">IF(EG146=0,0,IF(EG146/'🎚️ Escenario'!$C$11&gt;=36,$AL$23,INDEX($C$23:$AL$23,MAX(1,ROUNDUP(EG146/'🎚️ Escenario'!$C$11,0)))))</f>
        <v>1</v>
      </c>
      <c r="EH147" s="236" t="n">
        <f aca="false" t="array" ref="EH147:EH147">IF(EH146=0,0,IF(EH146/'🎚️ Escenario'!$C$11&gt;=36,$AL$23,INDEX($C$23:$AL$23,MAX(1,ROUNDUP(EH146/'🎚️ Escenario'!$C$11,0)))))</f>
        <v>1</v>
      </c>
      <c r="EI147" s="236" t="n">
        <f aca="false" t="array" ref="EI147:EI147">IF(EI146=0,0,IF(EI146/'🎚️ Escenario'!$C$11&gt;=36,$AL$23,INDEX($C$23:$AL$23,MAX(1,ROUNDUP(EI146/'🎚️ Escenario'!$C$11,0)))))</f>
        <v>1</v>
      </c>
      <c r="EJ147" s="236" t="n">
        <f aca="false" t="array" ref="EJ147:EJ147">IF(EJ146=0,0,IF(EJ146/'🎚️ Escenario'!$C$11&gt;=36,$AL$23,INDEX($C$23:$AL$23,MAX(1,ROUNDUP(EJ146/'🎚️ Escenario'!$C$11,0)))))</f>
        <v>1</v>
      </c>
      <c r="EK147" s="236" t="n">
        <f aca="false" t="array" ref="EK147:EK147">IF(EK146=0,0,IF(EK146/'🎚️ Escenario'!$C$11&gt;=36,$AL$23,INDEX($C$23:$AL$23,MAX(1,ROUNDUP(EK146/'🎚️ Escenario'!$C$11,0)))))</f>
        <v>1</v>
      </c>
      <c r="EL147" s="236" t="n">
        <f aca="false" t="array" ref="EL147:EL147">IF(EL146=0,0,IF(EL146/'🎚️ Escenario'!$C$11&gt;=36,$AL$23,INDEX($C$23:$AL$23,MAX(1,ROUNDUP(EL146/'🎚️ Escenario'!$C$11,0)))))</f>
        <v>1</v>
      </c>
      <c r="EM147" s="236" t="n">
        <f aca="false" t="array" ref="EM147:EM147">IF(EM146=0,0,IF(EM146/'🎚️ Escenario'!$C$11&gt;=36,$AL$23,INDEX($C$23:$AL$23,MAX(1,ROUNDUP(EM146/'🎚️ Escenario'!$C$11,0)))))</f>
        <v>1</v>
      </c>
      <c r="EN147" s="236" t="n">
        <f aca="false" t="array" ref="EN147:EN147">IF(EN146=0,0,IF(EN146/'🎚️ Escenario'!$C$11&gt;=36,$AL$23,INDEX($C$23:$AL$23,MAX(1,ROUNDUP(EN146/'🎚️ Escenario'!$C$11,0)))))</f>
        <v>1</v>
      </c>
      <c r="EO147" s="236" t="n">
        <f aca="false" t="array" ref="EO147:EO147">IF(EO146=0,0,IF(EO146/'🎚️ Escenario'!$C$11&gt;=36,$AL$23,INDEX($C$23:$AL$23,MAX(1,ROUNDUP(EO146/'🎚️ Escenario'!$C$11,0)))))</f>
        <v>1</v>
      </c>
      <c r="EP147" s="236" t="n">
        <f aca="false" t="array" ref="EP147:EP147">IF(EP146=0,0,IF(EP146/'🎚️ Escenario'!$C$11&gt;=36,$AL$23,INDEX($C$23:$AL$23,MAX(1,ROUNDUP(EP146/'🎚️ Escenario'!$C$11,0)))))</f>
        <v>1</v>
      </c>
      <c r="EQ147" s="236" t="n">
        <f aca="false" t="array" ref="EQ147:EQ147">IF(EQ146=0,0,IF(EQ146/'🎚️ Escenario'!$C$11&gt;=36,$AL$23,INDEX($C$23:$AL$23,MAX(1,ROUNDUP(EQ146/'🎚️ Escenario'!$C$11,0)))))</f>
        <v>1</v>
      </c>
      <c r="ER147" s="236" t="n">
        <f aca="false" t="array" ref="ER147:ER147">IF(ER146=0,0,IF(ER146/'🎚️ Escenario'!$C$11&gt;=36,$AL$23,INDEX($C$23:$AL$23,MAX(1,ROUNDUP(ER146/'🎚️ Escenario'!$C$11,0)))))</f>
        <v>1</v>
      </c>
      <c r="ES147" s="9" t="n">
        <f aca="false" t="array" ref="ES147:ES147">IF(ES146=0,0,IF(ES146/'🎚️ Escenario'!$C$11&gt;=36,$AL$23,INDEX($C$23:$AL$23,MAX(1,ROUNDUP(ES146/'🎚️ Escenario'!$C$11,0)))))</f>
        <v>1</v>
      </c>
      <c r="ET147" s="9" t="n">
        <f aca="false" t="array" ref="ET147:ET147">IF(ET146=0,0,IF(ET146/'🎚️ Escenario'!$C$11&gt;=36,$AL$23,INDEX($C$23:$AL$23,MAX(1,ROUNDUP(ET146/'🎚️ Escenario'!$C$11,0)))))</f>
        <v>1</v>
      </c>
      <c r="EU147" s="9" t="n">
        <f aca="false" t="array" ref="EU147:EU147">IF(EU146=0,0,IF(EU146/'🎚️ Escenario'!$C$11&gt;=36,$AL$23,INDEX($C$23:$AL$23,MAX(1,ROUNDUP(EU146/'🎚️ Escenario'!$C$11,0)))))</f>
        <v>1</v>
      </c>
      <c r="EV147" s="9" t="n">
        <f aca="false" t="array" ref="EV147:EV147">IF(EV146=0,0,IF(EV146/'🎚️ Escenario'!$C$11&gt;=36,$AL$23,INDEX($C$23:$AL$23,MAX(1,ROUNDUP(EV146/'🎚️ Escenario'!$C$11,0)))))</f>
        <v>1</v>
      </c>
      <c r="EW147" s="9" t="n">
        <f aca="false" t="array" ref="EW147:EW147">IF(EW146=0,0,IF(EW146/'🎚️ Escenario'!$C$11&gt;=36,$AL$23,INDEX($C$23:$AL$23,MAX(1,ROUNDUP(EW146/'🎚️ Escenario'!$C$11,0)))))</f>
        <v>1</v>
      </c>
      <c r="EX147" s="9" t="n">
        <f aca="false" t="array" ref="EX147:EX147">IF(EX146=0,0,IF(EX146/'🎚️ Escenario'!$C$11&gt;=36,$AL$23,INDEX($C$23:$AL$23,MAX(1,ROUNDUP(EX146/'🎚️ Escenario'!$C$11,0)))))</f>
        <v>1</v>
      </c>
      <c r="EY147" s="9" t="n">
        <f aca="false" t="array" ref="EY147:EY147">IF(EY146=0,0,IF(EY146/'🎚️ Escenario'!$C$11&gt;=36,$AL$23,INDEX($C$23:$AL$23,MAX(1,ROUNDUP(EY146/'🎚️ Escenario'!$C$11,0)))))</f>
        <v>1</v>
      </c>
      <c r="EZ147" s="9" t="n">
        <f aca="false" t="array" ref="EZ147:EZ147">IF(EZ146=0,0,IF(EZ146/'🎚️ Escenario'!$C$11&gt;=36,$AL$23,INDEX($C$23:$AL$23,MAX(1,ROUNDUP(EZ146/'🎚️ Escenario'!$C$11,0)))))</f>
        <v>1</v>
      </c>
      <c r="FA147" s="9" t="n">
        <f aca="false" t="array" ref="FA147:FA147">IF(FA146=0,0,IF(FA146/'🎚️ Escenario'!$C$11&gt;=36,$AL$23,INDEX($C$23:$AL$23,MAX(1,ROUNDUP(FA146/'🎚️ Escenario'!$C$11,0)))))</f>
        <v>1</v>
      </c>
      <c r="FB147" s="9" t="n">
        <f aca="false" t="array" ref="FB147:FB147">IF(FB146=0,0,IF(FB146/'🎚️ Escenario'!$C$11&gt;=36,$AL$23,INDEX($C$23:$AL$23,MAX(1,ROUNDUP(FB146/'🎚️ Escenario'!$C$11,0)))))</f>
        <v>1</v>
      </c>
      <c r="FC147" s="9" t="n">
        <f aca="false" t="array" ref="FC147:FC147">IF(FC146=0,0,IF(FC146/'🎚️ Escenario'!$C$11&gt;=36,$AL$23,INDEX($C$23:$AL$23,MAX(1,ROUNDUP(FC146/'🎚️ Escenario'!$C$11,0)))))</f>
        <v>1</v>
      </c>
      <c r="FD147" s="9" t="n">
        <f aca="false" t="array" ref="FD147:FD147">IF(FD146=0,0,IF(FD146/'🎚️ Escenario'!$C$11&gt;=36,$AL$23,INDEX($C$23:$AL$23,MAX(1,ROUNDUP(FD146/'🎚️ Escenario'!$C$11,0)))))</f>
        <v>1</v>
      </c>
      <c r="FE147" s="9" t="n">
        <f aca="false" t="array" ref="FE147:FE147">IF(FE146=0,0,IF(FE146/'🎚️ Escenario'!$C$11&gt;=36,$AL$23,INDEX($C$23:$AL$23,MAX(1,ROUNDUP(FE146/'🎚️ Escenario'!$C$11,0)))))</f>
        <v>1</v>
      </c>
      <c r="FF147" s="9" t="n">
        <f aca="false" t="array" ref="FF147:FF147">IF(FF146=0,0,IF(FF146/'🎚️ Escenario'!$C$11&gt;=36,$AL$23,INDEX($C$23:$AL$23,MAX(1,ROUNDUP(FF146/'🎚️ Escenario'!$C$11,0)))))</f>
        <v>1</v>
      </c>
      <c r="FG147" s="9" t="n">
        <f aca="false" t="array" ref="FG147:FG147">IF(FG146=0,0,IF(FG146/'🎚️ Escenario'!$C$11&gt;=36,$AL$23,INDEX($C$23:$AL$23,MAX(1,ROUNDUP(FG146/'🎚️ Escenario'!$C$11,0)))))</f>
        <v>1</v>
      </c>
      <c r="FH147" s="9" t="n">
        <f aca="false" t="array" ref="FH147:FH147">IF(FH146=0,0,IF(FH146/'🎚️ Escenario'!$C$11&gt;=36,$AL$23,INDEX($C$23:$AL$23,MAX(1,ROUNDUP(FH146/'🎚️ Escenario'!$C$11,0)))))</f>
        <v>1</v>
      </c>
      <c r="FI147" s="9" t="n">
        <f aca="false" t="array" ref="FI147:FI147">IF(FI146=0,0,IF(FI146/'🎚️ Escenario'!$C$11&gt;=36,$AL$23,INDEX($C$23:$AL$23,MAX(1,ROUNDUP(FI146/'🎚️ Escenario'!$C$11,0)))))</f>
        <v>1</v>
      </c>
      <c r="FJ147" s="9" t="n">
        <f aca="false" t="array" ref="FJ147:FJ147">IF(FJ146=0,0,IF(FJ146/'🎚️ Escenario'!$C$11&gt;=36,$AL$23,INDEX($C$23:$AL$23,MAX(1,ROUNDUP(FJ146/'🎚️ Escenario'!$C$11,0)))))</f>
        <v>1</v>
      </c>
      <c r="FK147" s="9" t="n">
        <f aca="false" t="array" ref="FK147:FK147">IF(FK146=0,0,IF(FK146/'🎚️ Escenario'!$C$11&gt;=36,$AL$23,INDEX($C$23:$AL$23,MAX(1,ROUNDUP(FK146/'🎚️ Escenario'!$C$11,0)))))</f>
        <v>1</v>
      </c>
      <c r="FL147" s="9" t="n">
        <f aca="false" t="array" ref="FL147:FL147">IF(FL146=0,0,IF(FL146/'🎚️ Escenario'!$C$11&gt;=36,$AL$23,INDEX($C$23:$AL$23,MAX(1,ROUNDUP(FL146/'🎚️ Escenario'!$C$11,0)))))</f>
        <v>1</v>
      </c>
      <c r="FM147" s="9" t="n">
        <f aca="false" t="array" ref="FM147:FM147">IF(FM146=0,0,IF(FM146/'🎚️ Escenario'!$C$11&gt;=36,$AL$23,INDEX($C$23:$AL$23,MAX(1,ROUNDUP(FM146/'🎚️ Escenario'!$C$11,0)))))</f>
        <v>1</v>
      </c>
      <c r="FN147" s="9" t="n">
        <f aca="false" t="array" ref="FN147:FN147">IF(FN146=0,0,IF(FN146/'🎚️ Escenario'!$C$11&gt;=36,$AL$23,INDEX($C$23:$AL$23,MAX(1,ROUNDUP(FN146/'🎚️ Escenario'!$C$11,0)))))</f>
        <v>1</v>
      </c>
      <c r="FO147" s="9" t="n">
        <f aca="false" t="array" ref="FO147:FO147">IF(FO146=0,0,IF(FO146/'🎚️ Escenario'!$C$11&gt;=36,$AL$23,INDEX($C$23:$AL$23,MAX(1,ROUNDUP(FO146/'🎚️ Escenario'!$C$11,0)))))</f>
        <v>1</v>
      </c>
      <c r="FP147" s="9" t="n">
        <f aca="false" t="array" ref="FP147:FP147">IF(FP146=0,0,IF(FP146/'🎚️ Escenario'!$C$11&gt;=36,$AL$23,INDEX($C$23:$AL$23,MAX(1,ROUNDUP(FP146/'🎚️ Escenario'!$C$11,0)))))</f>
        <v>1</v>
      </c>
    </row>
    <row r="148" customFormat="false" ht="15" hidden="false" customHeight="false" outlineLevel="2" collapsed="false">
      <c r="B148" s="9" t="s">
        <v>875</v>
      </c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237" t="n">
        <f aca="false">IF(AC146=0,0,IF(AC146&lt;=12*'🎚️ Escenario'!$C$11,1,1+$C$6))</f>
        <v>0</v>
      </c>
      <c r="AD148" s="237" t="n">
        <f aca="false">IF(AD146=0,0,IF(AD146&lt;=12*'🎚️ Escenario'!$C$11,1,1+$C$6))</f>
        <v>0</v>
      </c>
      <c r="AE148" s="237" t="n">
        <f aca="false">IF(AE146=0,0,IF(AE146&lt;=12*'🎚️ Escenario'!$C$11,1,1+$C$6))</f>
        <v>0</v>
      </c>
      <c r="AF148" s="237" t="n">
        <f aca="false">IF(AF146=0,0,IF(AF146&lt;=12*'🎚️ Escenario'!$C$11,1,1+$C$6))</f>
        <v>0</v>
      </c>
      <c r="AG148" s="237" t="n">
        <f aca="false">IF(AG146=0,0,IF(AG146&lt;=12*'🎚️ Escenario'!$C$11,1,1+$C$6))</f>
        <v>0</v>
      </c>
      <c r="AH148" s="237" t="n">
        <f aca="false">IF(AH146=0,0,IF(AH146&lt;=12*'🎚️ Escenario'!$C$11,1,1+$C$6))</f>
        <v>0</v>
      </c>
      <c r="AI148" s="237" t="n">
        <f aca="false">IF(AI146=0,0,IF(AI146&lt;=12*'🎚️ Escenario'!$C$11,1,1+$C$6))</f>
        <v>0</v>
      </c>
      <c r="AJ148" s="237" t="n">
        <f aca="false">IF(AJ146=0,0,IF(AJ146&lt;=12*'🎚️ Escenario'!$C$11,1,1+$C$6))</f>
        <v>0</v>
      </c>
      <c r="AK148" s="237" t="n">
        <f aca="false">IF(AK146=0,0,IF(AK146&lt;=12*'🎚️ Escenario'!$C$11,1,1+$C$6))</f>
        <v>0</v>
      </c>
      <c r="AL148" s="237" t="n">
        <f aca="false">IF(AL146=0,0,IF(AL146&lt;=12*'🎚️ Escenario'!$C$11,1,1+$C$6))</f>
        <v>0</v>
      </c>
      <c r="AM148" s="237" t="n">
        <f aca="false">IF(AM146=0,0,IF(AM146&lt;=12*'🎚️ Escenario'!$C$11,1,1+$C$6))</f>
        <v>0</v>
      </c>
      <c r="AN148" s="237" t="n">
        <f aca="false">IF(AN146=0,0,IF(AN146&lt;=12*'🎚️ Escenario'!$C$11,1,1+$C$6))</f>
        <v>0</v>
      </c>
      <c r="AO148" s="237" t="n">
        <f aca="false">IF(AO146=0,0,IF(AO146&lt;=12*'🎚️ Escenario'!$C$11,1,1+$C$6))</f>
        <v>0</v>
      </c>
      <c r="AP148" s="237" t="n">
        <f aca="false">IF(AP146=0,0,IF(AP146&lt;=12*'🎚️ Escenario'!$C$11,1,1+$C$6))</f>
        <v>0</v>
      </c>
      <c r="AQ148" s="237" t="n">
        <f aca="false">IF(AQ146=0,0,IF(AQ146&lt;=12*'🎚️ Escenario'!$C$11,1,1+$C$6))</f>
        <v>0</v>
      </c>
      <c r="AR148" s="237" t="n">
        <f aca="false">IF(AR146=0,0,IF(AR146&lt;=12*'🎚️ Escenario'!$C$11,1,1+$C$6))</f>
        <v>0</v>
      </c>
      <c r="AS148" s="237" t="n">
        <f aca="false">IF(AS146=0,0,IF(AS146&lt;=12*'🎚️ Escenario'!$C$11,1,1+$C$6))</f>
        <v>0</v>
      </c>
      <c r="AT148" s="237" t="n">
        <f aca="false">IF(AT146=0,0,IF(AT146&lt;=12*'🎚️ Escenario'!$C$11,1,1+$C$6))</f>
        <v>0</v>
      </c>
      <c r="AU148" s="237" t="n">
        <f aca="false">IF(AU146=0,0,IF(AU146&lt;=12*'🎚️ Escenario'!$C$11,1,1+$C$6))</f>
        <v>0</v>
      </c>
      <c r="AV148" s="237" t="n">
        <f aca="false">IF(AV146=0,0,IF(AV146&lt;=12*'🎚️ Escenario'!$C$11,1,1+$C$6))</f>
        <v>0</v>
      </c>
      <c r="AW148" s="237" t="n">
        <f aca="false">IF(AW146=0,0,IF(AW146&lt;=12*'🎚️ Escenario'!$C$11,1,1+$C$6))</f>
        <v>0</v>
      </c>
      <c r="AX148" s="237" t="n">
        <f aca="false">IF(AX146=0,0,IF(AX146&lt;=12*'🎚️ Escenario'!$C$11,1,1+$C$6))</f>
        <v>0</v>
      </c>
      <c r="AY148" s="237" t="n">
        <f aca="false">IF(AY146=0,0,IF(AY146&lt;=12*'🎚️ Escenario'!$C$11,1,1+$C$6))</f>
        <v>0</v>
      </c>
      <c r="AZ148" s="237" t="n">
        <f aca="false">IF(AZ146=0,0,IF(AZ146&lt;=12*'🎚️ Escenario'!$C$11,1,1+$C$6))</f>
        <v>0</v>
      </c>
      <c r="BA148" s="237" t="n">
        <f aca="false">IF(BA146=0,0,IF(BA146&lt;=12*'🎚️ Escenario'!$C$11,1,1+$C$6))</f>
        <v>0</v>
      </c>
      <c r="BB148" s="237" t="n">
        <f aca="false">IF(BB146=0,0,IF(BB146&lt;=12*'🎚️ Escenario'!$C$11,1,1+$C$6))</f>
        <v>0</v>
      </c>
      <c r="BC148" s="237" t="n">
        <f aca="false">IF(BC146=0,0,IF(BC146&lt;=12*'🎚️ Escenario'!$C$11,1,1+$C$6))</f>
        <v>1</v>
      </c>
      <c r="BD148" s="237" t="n">
        <f aca="false">IF(BD146=0,0,IF(BD146&lt;=12*'🎚️ Escenario'!$C$11,1,1+$C$6))</f>
        <v>1</v>
      </c>
      <c r="BE148" s="237" t="n">
        <f aca="false">IF(BE146=0,0,IF(BE146&lt;=12*'🎚️ Escenario'!$C$11,1,1+$C$6))</f>
        <v>1</v>
      </c>
      <c r="BF148" s="237" t="n">
        <f aca="false">IF(BF146=0,0,IF(BF146&lt;=12*'🎚️ Escenario'!$C$11,1,1+$C$6))</f>
        <v>1</v>
      </c>
      <c r="BG148" s="237" t="n">
        <f aca="false">IF(BG146=0,0,IF(BG146&lt;=12*'🎚️ Escenario'!$C$11,1,1+$C$6))</f>
        <v>1</v>
      </c>
      <c r="BH148" s="237" t="n">
        <f aca="false">IF(BH146=0,0,IF(BH146&lt;=12*'🎚️ Escenario'!$C$11,1,1+$C$6))</f>
        <v>1</v>
      </c>
      <c r="BI148" s="237" t="n">
        <f aca="false">IF(BI146=0,0,IF(BI146&lt;=12*'🎚️ Escenario'!$C$11,1,1+$C$6))</f>
        <v>1</v>
      </c>
      <c r="BJ148" s="237" t="n">
        <f aca="false">IF(BJ146=0,0,IF(BJ146&lt;=12*'🎚️ Escenario'!$C$11,1,1+$C$6))</f>
        <v>1</v>
      </c>
      <c r="BK148" s="237" t="n">
        <f aca="false">IF(BK146=0,0,IF(BK146&lt;=12*'🎚️ Escenario'!$C$11,1,1+$C$6))</f>
        <v>1</v>
      </c>
      <c r="BL148" s="237" t="n">
        <f aca="false">IF(BL146=0,0,IF(BL146&lt;=12*'🎚️ Escenario'!$C$11,1,1+$C$6))</f>
        <v>1</v>
      </c>
      <c r="BM148" s="237" t="n">
        <f aca="false">IF(BM146=0,0,IF(BM146&lt;=12*'🎚️ Escenario'!$C$11,1,1+$C$6))</f>
        <v>1</v>
      </c>
      <c r="BN148" s="237" t="n">
        <f aca="false">IF(BN146=0,0,IF(BN146&lt;=12*'🎚️ Escenario'!$C$11,1,1+$C$6))</f>
        <v>1</v>
      </c>
      <c r="BO148" s="237" t="n">
        <f aca="false">IF(BO146=0,0,IF(BO146&lt;=12*'🎚️ Escenario'!$C$11,1,1+$C$6))</f>
        <v>1</v>
      </c>
      <c r="BP148" s="237" t="n">
        <f aca="false">IF(BP146=0,0,IF(BP146&lt;=12*'🎚️ Escenario'!$C$11,1,1+$C$6))</f>
        <v>1</v>
      </c>
      <c r="BQ148" s="237" t="n">
        <f aca="false">IF(BQ146=0,0,IF(BQ146&lt;=12*'🎚️ Escenario'!$C$11,1,1+$C$6))</f>
        <v>1</v>
      </c>
      <c r="BR148" s="237" t="n">
        <f aca="false">IF(BR146=0,0,IF(BR146&lt;=12*'🎚️ Escenario'!$C$11,1,1+$C$6))</f>
        <v>1.2</v>
      </c>
      <c r="BS148" s="237" t="n">
        <f aca="false">IF(BS146=0,0,IF(BS146&lt;=12*'🎚️ Escenario'!$C$11,1,1+$C$6))</f>
        <v>1.2</v>
      </c>
      <c r="BT148" s="237" t="n">
        <f aca="false">IF(BT146=0,0,IF(BT146&lt;=12*'🎚️ Escenario'!$C$11,1,1+$C$6))</f>
        <v>1.2</v>
      </c>
      <c r="BU148" s="237" t="n">
        <f aca="false">IF(BU146=0,0,IF(BU146&lt;=12*'🎚️ Escenario'!$C$11,1,1+$C$6))</f>
        <v>1.2</v>
      </c>
      <c r="BV148" s="237" t="n">
        <f aca="false">IF(BV146=0,0,IF(BV146&lt;=12*'🎚️ Escenario'!$C$11,1,1+$C$6))</f>
        <v>1.2</v>
      </c>
      <c r="BW148" s="237" t="n">
        <f aca="false">IF(BW146=0,0,IF(BW146&lt;=12*'🎚️ Escenario'!$C$11,1,1+$C$6))</f>
        <v>1.2</v>
      </c>
      <c r="BX148" s="237" t="n">
        <f aca="false">IF(BX146=0,0,IF(BX146&lt;=12*'🎚️ Escenario'!$C$11,1,1+$C$6))</f>
        <v>1.2</v>
      </c>
      <c r="BY148" s="237" t="n">
        <f aca="false">IF(BY146=0,0,IF(BY146&lt;=12*'🎚️ Escenario'!$C$11,1,1+$C$6))</f>
        <v>1.2</v>
      </c>
      <c r="BZ148" s="237" t="n">
        <f aca="false">IF(BZ146=0,0,IF(BZ146&lt;=12*'🎚️ Escenario'!$C$11,1,1+$C$6))</f>
        <v>1.2</v>
      </c>
      <c r="CA148" s="237" t="n">
        <f aca="false">IF(CA146=0,0,IF(CA146&lt;=12*'🎚️ Escenario'!$C$11,1,1+$C$6))</f>
        <v>1.2</v>
      </c>
      <c r="CB148" s="237" t="n">
        <f aca="false">IF(CB146=0,0,IF(CB146&lt;=12*'🎚️ Escenario'!$C$11,1,1+$C$6))</f>
        <v>1.2</v>
      </c>
      <c r="CC148" s="237" t="n">
        <f aca="false">IF(CC146=0,0,IF(CC146&lt;=12*'🎚️ Escenario'!$C$11,1,1+$C$6))</f>
        <v>1.2</v>
      </c>
      <c r="CD148" s="237" t="n">
        <f aca="false">IF(CD146=0,0,IF(CD146&lt;=12*'🎚️ Escenario'!$C$11,1,1+$C$6))</f>
        <v>1.2</v>
      </c>
      <c r="CE148" s="237" t="n">
        <f aca="false">IF(CE146=0,0,IF(CE146&lt;=12*'🎚️ Escenario'!$C$11,1,1+$C$6))</f>
        <v>1.2</v>
      </c>
      <c r="CF148" s="237" t="n">
        <f aca="false">IF(CF146=0,0,IF(CF146&lt;=12*'🎚️ Escenario'!$C$11,1,1+$C$6))</f>
        <v>1.2</v>
      </c>
      <c r="CG148" s="237" t="n">
        <f aca="false">IF(CG146=0,0,IF(CG146&lt;=12*'🎚️ Escenario'!$C$11,1,1+$C$6))</f>
        <v>1.2</v>
      </c>
      <c r="CH148" s="237" t="n">
        <f aca="false">IF(CH146=0,0,IF(CH146&lt;=12*'🎚️ Escenario'!$C$11,1,1+$C$6))</f>
        <v>1.2</v>
      </c>
      <c r="CI148" s="237" t="n">
        <f aca="false">IF(CI146=0,0,IF(CI146&lt;=12*'🎚️ Escenario'!$C$11,1,1+$C$6))</f>
        <v>1.2</v>
      </c>
      <c r="CJ148" s="237" t="n">
        <f aca="false">IF(CJ146=0,0,IF(CJ146&lt;=12*'🎚️ Escenario'!$C$11,1,1+$C$6))</f>
        <v>1.2</v>
      </c>
      <c r="CK148" s="237" t="n">
        <f aca="false">IF(CK146=0,0,IF(CK146&lt;=12*'🎚️ Escenario'!$C$11,1,1+$C$6))</f>
        <v>1.2</v>
      </c>
      <c r="CL148" s="237" t="n">
        <f aca="false">IF(CL146=0,0,IF(CL146&lt;=12*'🎚️ Escenario'!$C$11,1,1+$C$6))</f>
        <v>1.2</v>
      </c>
      <c r="CM148" s="237" t="n">
        <f aca="false">IF(CM146=0,0,IF(CM146&lt;=12*'🎚️ Escenario'!$C$11,1,1+$C$6))</f>
        <v>1.2</v>
      </c>
      <c r="CN148" s="237" t="n">
        <f aca="false">IF(CN146=0,0,IF(CN146&lt;=12*'🎚️ Escenario'!$C$11,1,1+$C$6))</f>
        <v>1.2</v>
      </c>
      <c r="CO148" s="237" t="n">
        <f aca="false">IF(CO146=0,0,IF(CO146&lt;=12*'🎚️ Escenario'!$C$11,1,1+$C$6))</f>
        <v>1.2</v>
      </c>
      <c r="CP148" s="237" t="n">
        <f aca="false">IF(CP146=0,0,IF(CP146&lt;=12*'🎚️ Escenario'!$C$11,1,1+$C$6))</f>
        <v>1.2</v>
      </c>
      <c r="CQ148" s="237" t="n">
        <f aca="false">IF(CQ146=0,0,IF(CQ146&lt;=12*'🎚️ Escenario'!$C$11,1,1+$C$6))</f>
        <v>1.2</v>
      </c>
      <c r="CR148" s="237" t="n">
        <f aca="false">IF(CR146=0,0,IF(CR146&lt;=12*'🎚️ Escenario'!$C$11,1,1+$C$6))</f>
        <v>1.2</v>
      </c>
      <c r="CS148" s="237" t="n">
        <f aca="false">IF(CS146=0,0,IF(CS146&lt;=12*'🎚️ Escenario'!$C$11,1,1+$C$6))</f>
        <v>1.2</v>
      </c>
      <c r="CT148" s="237" t="n">
        <f aca="false">IF(CT146=0,0,IF(CT146&lt;=12*'🎚️ Escenario'!$C$11,1,1+$C$6))</f>
        <v>1.2</v>
      </c>
      <c r="CU148" s="237" t="n">
        <f aca="false">IF(CU146=0,0,IF(CU146&lt;=12*'🎚️ Escenario'!$C$11,1,1+$C$6))</f>
        <v>1.2</v>
      </c>
      <c r="CV148" s="237" t="n">
        <f aca="false">IF(CV146=0,0,IF(CV146&lt;=12*'🎚️ Escenario'!$C$11,1,1+$C$6))</f>
        <v>1.2</v>
      </c>
      <c r="CW148" s="237" t="n">
        <f aca="false">IF(CW146=0,0,IF(CW146&lt;=12*'🎚️ Escenario'!$C$11,1,1+$C$6))</f>
        <v>1.2</v>
      </c>
      <c r="CX148" s="237" t="n">
        <f aca="false">IF(CX146=0,0,IF(CX146&lt;=12*'🎚️ Escenario'!$C$11,1,1+$C$6))</f>
        <v>1.2</v>
      </c>
      <c r="CY148" s="237" t="n">
        <f aca="false">IF(CY146=0,0,IF(CY146&lt;=12*'🎚️ Escenario'!$C$11,1,1+$C$6))</f>
        <v>1.2</v>
      </c>
      <c r="CZ148" s="237" t="n">
        <f aca="false">IF(CZ146=0,0,IF(CZ146&lt;=12*'🎚️ Escenario'!$C$11,1,1+$C$6))</f>
        <v>1.2</v>
      </c>
      <c r="DA148" s="237" t="n">
        <f aca="false">IF(DA146=0,0,IF(DA146&lt;=12*'🎚️ Escenario'!$C$11,1,1+$C$6))</f>
        <v>1.2</v>
      </c>
      <c r="DB148" s="237" t="n">
        <f aca="false">IF(DB146=0,0,IF(DB146&lt;=12*'🎚️ Escenario'!$C$11,1,1+$C$6))</f>
        <v>1.2</v>
      </c>
      <c r="DC148" s="237" t="n">
        <f aca="false">IF(DC146=0,0,IF(DC146&lt;=12*'🎚️ Escenario'!$C$11,1,1+$C$6))</f>
        <v>1.2</v>
      </c>
      <c r="DD148" s="237" t="n">
        <f aca="false">IF(DD146=0,0,IF(DD146&lt;=12*'🎚️ Escenario'!$C$11,1,1+$C$6))</f>
        <v>1.2</v>
      </c>
      <c r="DE148" s="237" t="n">
        <f aca="false">IF(DE146=0,0,IF(DE146&lt;=12*'🎚️ Escenario'!$C$11,1,1+$C$6))</f>
        <v>1.2</v>
      </c>
      <c r="DF148" s="237" t="n">
        <f aca="false">IF(DF146=0,0,IF(DF146&lt;=12*'🎚️ Escenario'!$C$11,1,1+$C$6))</f>
        <v>1.2</v>
      </c>
      <c r="DG148" s="237" t="n">
        <f aca="false">IF(DG146=0,0,IF(DG146&lt;=12*'🎚️ Escenario'!$C$11,1,1+$C$6))</f>
        <v>1.2</v>
      </c>
      <c r="DH148" s="237" t="n">
        <f aca="false">IF(DH146=0,0,IF(DH146&lt;=12*'🎚️ Escenario'!$C$11,1,1+$C$6))</f>
        <v>1.2</v>
      </c>
      <c r="DI148" s="237" t="n">
        <f aca="false">IF(DI146=0,0,IF(DI146&lt;=12*'🎚️ Escenario'!$C$11,1,1+$C$6))</f>
        <v>1.2</v>
      </c>
      <c r="DJ148" s="237" t="n">
        <f aca="false">IF(DJ146=0,0,IF(DJ146&lt;=12*'🎚️ Escenario'!$C$11,1,1+$C$6))</f>
        <v>1.2</v>
      </c>
      <c r="DK148" s="237" t="n">
        <f aca="false">IF(DK146=0,0,IF(DK146&lt;=12*'🎚️ Escenario'!$C$11,1,1+$C$6))</f>
        <v>1.2</v>
      </c>
      <c r="DL148" s="237" t="n">
        <f aca="false">IF(DL146=0,0,IF(DL146&lt;=12*'🎚️ Escenario'!$C$11,1,1+$C$6))</f>
        <v>1.2</v>
      </c>
      <c r="DM148" s="237" t="n">
        <f aca="false">IF(DM146=0,0,IF(DM146&lt;=12*'🎚️ Escenario'!$C$11,1,1+$C$6))</f>
        <v>1.2</v>
      </c>
      <c r="DN148" s="237" t="n">
        <f aca="false">IF(DN146=0,0,IF(DN146&lt;=12*'🎚️ Escenario'!$C$11,1,1+$C$6))</f>
        <v>1.2</v>
      </c>
      <c r="DO148" s="237" t="n">
        <f aca="false">IF(DO146=0,0,IF(DO146&lt;=12*'🎚️ Escenario'!$C$11,1,1+$C$6))</f>
        <v>1.2</v>
      </c>
      <c r="DP148" s="237" t="n">
        <f aca="false">IF(DP146=0,0,IF(DP146&lt;=12*'🎚️ Escenario'!$C$11,1,1+$C$6))</f>
        <v>1.2</v>
      </c>
      <c r="DQ148" s="237" t="n">
        <f aca="false">IF(DQ146=0,0,IF(DQ146&lt;=12*'🎚️ Escenario'!$C$11,1,1+$C$6))</f>
        <v>1.2</v>
      </c>
      <c r="DR148" s="237" t="n">
        <f aca="false">IF(DR146=0,0,IF(DR146&lt;=12*'🎚️ Escenario'!$C$11,1,1+$C$6))</f>
        <v>1.2</v>
      </c>
      <c r="DS148" s="237" t="n">
        <f aca="false">IF(DS146=0,0,IF(DS146&lt;=12*'🎚️ Escenario'!$C$11,1,1+$C$6))</f>
        <v>1.2</v>
      </c>
      <c r="DT148" s="237" t="n">
        <f aca="false">IF(DT146=0,0,IF(DT146&lt;=12*'🎚️ Escenario'!$C$11,1,1+$C$6))</f>
        <v>1.2</v>
      </c>
      <c r="DU148" s="237" t="n">
        <f aca="false">IF(DU146=0,0,IF(DU146&lt;=12*'🎚️ Escenario'!$C$11,1,1+$C$6))</f>
        <v>1.2</v>
      </c>
      <c r="DV148" s="237" t="n">
        <f aca="false">IF(DV146=0,0,IF(DV146&lt;=12*'🎚️ Escenario'!$C$11,1,1+$C$6))</f>
        <v>1.2</v>
      </c>
      <c r="DW148" s="237" t="n">
        <f aca="false">IF(DW146=0,0,IF(DW146&lt;=12*'🎚️ Escenario'!$C$11,1,1+$C$6))</f>
        <v>1.2</v>
      </c>
      <c r="DX148" s="237" t="n">
        <f aca="false">IF(DX146=0,0,IF(DX146&lt;=12*'🎚️ Escenario'!$C$11,1,1+$C$6))</f>
        <v>1.2</v>
      </c>
      <c r="DY148" s="237" t="n">
        <f aca="false">IF(DY146=0,0,IF(DY146&lt;=12*'🎚️ Escenario'!$C$11,1,1+$C$6))</f>
        <v>1.2</v>
      </c>
      <c r="DZ148" s="237" t="n">
        <f aca="false">IF(DZ146=0,0,IF(DZ146&lt;=12*'🎚️ Escenario'!$C$11,1,1+$C$6))</f>
        <v>1.2</v>
      </c>
      <c r="EA148" s="237" t="n">
        <f aca="false">IF(EA146=0,0,IF(EA146&lt;=12*'🎚️ Escenario'!$C$11,1,1+$C$6))</f>
        <v>1.2</v>
      </c>
      <c r="EB148" s="237" t="n">
        <f aca="false">IF(EB146=0,0,IF(EB146&lt;=12*'🎚️ Escenario'!$C$11,1,1+$C$6))</f>
        <v>1.2</v>
      </c>
      <c r="EC148" s="237" t="n">
        <f aca="false">IF(EC146=0,0,IF(EC146&lt;=12*'🎚️ Escenario'!$C$11,1,1+$C$6))</f>
        <v>1.2</v>
      </c>
      <c r="ED148" s="237" t="n">
        <f aca="false">IF(ED146=0,0,IF(ED146&lt;=12*'🎚️ Escenario'!$C$11,1,1+$C$6))</f>
        <v>1.2</v>
      </c>
      <c r="EE148" s="237" t="n">
        <f aca="false">IF(EE146=0,0,IF(EE146&lt;=12*'🎚️ Escenario'!$C$11,1,1+$C$6))</f>
        <v>1.2</v>
      </c>
      <c r="EF148" s="237" t="n">
        <f aca="false">IF(EF146=0,0,IF(EF146&lt;=12*'🎚️ Escenario'!$C$11,1,1+$C$6))</f>
        <v>1.2</v>
      </c>
      <c r="EG148" s="237" t="n">
        <f aca="false">IF(EG146=0,0,IF(EG146&lt;=12*'🎚️ Escenario'!$C$11,1,1+$C$6))</f>
        <v>1.2</v>
      </c>
      <c r="EH148" s="237" t="n">
        <f aca="false">IF(EH146=0,0,IF(EH146&lt;=12*'🎚️ Escenario'!$C$11,1,1+$C$6))</f>
        <v>1.2</v>
      </c>
      <c r="EI148" s="237" t="n">
        <f aca="false">IF(EI146=0,0,IF(EI146&lt;=12*'🎚️ Escenario'!$C$11,1,1+$C$6))</f>
        <v>1.2</v>
      </c>
      <c r="EJ148" s="237" t="n">
        <f aca="false">IF(EJ146=0,0,IF(EJ146&lt;=12*'🎚️ Escenario'!$C$11,1,1+$C$6))</f>
        <v>1.2</v>
      </c>
      <c r="EK148" s="237" t="n">
        <f aca="false">IF(EK146=0,0,IF(EK146&lt;=12*'🎚️ Escenario'!$C$11,1,1+$C$6))</f>
        <v>1.2</v>
      </c>
      <c r="EL148" s="237" t="n">
        <f aca="false">IF(EL146=0,0,IF(EL146&lt;=12*'🎚️ Escenario'!$C$11,1,1+$C$6))</f>
        <v>1.2</v>
      </c>
      <c r="EM148" s="237" t="n">
        <f aca="false">IF(EM146=0,0,IF(EM146&lt;=12*'🎚️ Escenario'!$C$11,1,1+$C$6))</f>
        <v>1.2</v>
      </c>
      <c r="EN148" s="237" t="n">
        <f aca="false">IF(EN146=0,0,IF(EN146&lt;=12*'🎚️ Escenario'!$C$11,1,1+$C$6))</f>
        <v>1.2</v>
      </c>
      <c r="EO148" s="237" t="n">
        <f aca="false">IF(EO146=0,0,IF(EO146&lt;=12*'🎚️ Escenario'!$C$11,1,1+$C$6))</f>
        <v>1.2</v>
      </c>
      <c r="EP148" s="237" t="n">
        <f aca="false">IF(EP146=0,0,IF(EP146&lt;=12*'🎚️ Escenario'!$C$11,1,1+$C$6))</f>
        <v>1.2</v>
      </c>
      <c r="EQ148" s="237" t="n">
        <f aca="false">IF(EQ146=0,0,IF(EQ146&lt;=12*'🎚️ Escenario'!$C$11,1,1+$C$6))</f>
        <v>1.2</v>
      </c>
      <c r="ER148" s="237" t="n">
        <f aca="false">IF(ER146=0,0,IF(ER146&lt;=12*'🎚️ Escenario'!$C$11,1,1+$C$6))</f>
        <v>1.2</v>
      </c>
      <c r="ES148" s="238" t="n">
        <f aca="false">IF(ES146=0,0,IF(ES146&lt;=12*'🎚️ Escenario'!$C$11,1,1+$C$6))</f>
        <v>1.2</v>
      </c>
      <c r="ET148" s="238" t="n">
        <f aca="false">IF(ET146=0,0,IF(ET146&lt;=12*'🎚️ Escenario'!$C$11,1,1+$C$6))</f>
        <v>1.2</v>
      </c>
      <c r="EU148" s="238" t="n">
        <f aca="false">IF(EU146=0,0,IF(EU146&lt;=12*'🎚️ Escenario'!$C$11,1,1+$C$6))</f>
        <v>1.2</v>
      </c>
      <c r="EV148" s="238" t="n">
        <f aca="false">IF(EV146=0,0,IF(EV146&lt;=12*'🎚️ Escenario'!$C$11,1,1+$C$6))</f>
        <v>1.2</v>
      </c>
      <c r="EW148" s="238" t="n">
        <f aca="false">IF(EW146=0,0,IF(EW146&lt;=12*'🎚️ Escenario'!$C$11,1,1+$C$6))</f>
        <v>1.2</v>
      </c>
      <c r="EX148" s="238" t="n">
        <f aca="false">IF(EX146=0,0,IF(EX146&lt;=12*'🎚️ Escenario'!$C$11,1,1+$C$6))</f>
        <v>1.2</v>
      </c>
      <c r="EY148" s="238" t="n">
        <f aca="false">IF(EY146=0,0,IF(EY146&lt;=12*'🎚️ Escenario'!$C$11,1,1+$C$6))</f>
        <v>1.2</v>
      </c>
      <c r="EZ148" s="238" t="n">
        <f aca="false">IF(EZ146=0,0,IF(EZ146&lt;=12*'🎚️ Escenario'!$C$11,1,1+$C$6))</f>
        <v>1.2</v>
      </c>
      <c r="FA148" s="238" t="n">
        <f aca="false">IF(FA146=0,0,IF(FA146&lt;=12*'🎚️ Escenario'!$C$11,1,1+$C$6))</f>
        <v>1.2</v>
      </c>
      <c r="FB148" s="238" t="n">
        <f aca="false">IF(FB146=0,0,IF(FB146&lt;=12*'🎚️ Escenario'!$C$11,1,1+$C$6))</f>
        <v>1.2</v>
      </c>
      <c r="FC148" s="238" t="n">
        <f aca="false">IF(FC146=0,0,IF(FC146&lt;=12*'🎚️ Escenario'!$C$11,1,1+$C$6))</f>
        <v>1.2</v>
      </c>
      <c r="FD148" s="238" t="n">
        <f aca="false">IF(FD146=0,0,IF(FD146&lt;=12*'🎚️ Escenario'!$C$11,1,1+$C$6))</f>
        <v>1.2</v>
      </c>
      <c r="FE148" s="238" t="n">
        <f aca="false">IF(FE146=0,0,IF(FE146&lt;=12*'🎚️ Escenario'!$C$11,1,1+$C$6))</f>
        <v>1.2</v>
      </c>
      <c r="FF148" s="238" t="n">
        <f aca="false">IF(FF146=0,0,IF(FF146&lt;=12*'🎚️ Escenario'!$C$11,1,1+$C$6))</f>
        <v>1.2</v>
      </c>
      <c r="FG148" s="238" t="n">
        <f aca="false">IF(FG146=0,0,IF(FG146&lt;=12*'🎚️ Escenario'!$C$11,1,1+$C$6))</f>
        <v>1.2</v>
      </c>
      <c r="FH148" s="238" t="n">
        <f aca="false">IF(FH146=0,0,IF(FH146&lt;=12*'🎚️ Escenario'!$C$11,1,1+$C$6))</f>
        <v>1.2</v>
      </c>
      <c r="FI148" s="238" t="n">
        <f aca="false">IF(FI146=0,0,IF(FI146&lt;=12*'🎚️ Escenario'!$C$11,1,1+$C$6))</f>
        <v>1.2</v>
      </c>
      <c r="FJ148" s="238" t="n">
        <f aca="false">IF(FJ146=0,0,IF(FJ146&lt;=12*'🎚️ Escenario'!$C$11,1,1+$C$6))</f>
        <v>1.2</v>
      </c>
      <c r="FK148" s="238" t="n">
        <f aca="false">IF(FK146=0,0,IF(FK146&lt;=12*'🎚️ Escenario'!$C$11,1,1+$C$6))</f>
        <v>1.2</v>
      </c>
      <c r="FL148" s="238" t="n">
        <f aca="false">IF(FL146=0,0,IF(FL146&lt;=12*'🎚️ Escenario'!$C$11,1,1+$C$6))</f>
        <v>1.2</v>
      </c>
      <c r="FM148" s="238" t="n">
        <f aca="false">IF(FM146=0,0,IF(FM146&lt;=12*'🎚️ Escenario'!$C$11,1,1+$C$6))</f>
        <v>1.2</v>
      </c>
      <c r="FN148" s="238" t="n">
        <f aca="false">IF(FN146=0,0,IF(FN146&lt;=12*'🎚️ Escenario'!$C$11,1,1+$C$6))</f>
        <v>1.2</v>
      </c>
      <c r="FO148" s="238" t="n">
        <f aca="false">IF(FO146=0,0,IF(FO146&lt;=12*'🎚️ Escenario'!$C$11,1,1+$C$6))</f>
        <v>1.2</v>
      </c>
      <c r="FP148" s="238" t="n">
        <f aca="false">IF(FP146=0,0,IF(FP146&lt;=12*'🎚️ Escenario'!$C$11,1,1+$C$6))</f>
        <v>1.2</v>
      </c>
    </row>
    <row r="149" customFormat="false" ht="15" hidden="false" customHeight="false" outlineLevel="2" collapsed="false">
      <c r="B149" s="9" t="s">
        <v>876</v>
      </c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36" t="n">
        <f aca="false">AC147*$AC$145*AC148*AC$38*'⑫ Roll-out Plan'!$O$20</f>
        <v>0</v>
      </c>
      <c r="AD149" s="36" t="n">
        <f aca="false">AD147*$AC$145*AD148*AD$38*'⑫ Roll-out Plan'!$O$20</f>
        <v>0</v>
      </c>
      <c r="AE149" s="36" t="n">
        <f aca="false">AE147*$AC$145*AE148*AE$38*'⑫ Roll-out Plan'!$O$20</f>
        <v>0</v>
      </c>
      <c r="AF149" s="36" t="n">
        <f aca="false">AF147*$AC$145*AF148*AF$38*'⑫ Roll-out Plan'!$O$20</f>
        <v>0</v>
      </c>
      <c r="AG149" s="36" t="n">
        <f aca="false">AG147*$AC$145*AG148*AG$38*'⑫ Roll-out Plan'!$O$20</f>
        <v>0</v>
      </c>
      <c r="AH149" s="36" t="n">
        <f aca="false">AH147*$AC$145*AH148*AH$38*'⑫ Roll-out Plan'!$O$20</f>
        <v>0</v>
      </c>
      <c r="AI149" s="36" t="n">
        <f aca="false">AI147*$AC$145*AI148*AI$38*'⑫ Roll-out Plan'!$O$20</f>
        <v>0</v>
      </c>
      <c r="AJ149" s="36" t="n">
        <f aca="false">AJ147*$AC$145*AJ148*AJ$38*'⑫ Roll-out Plan'!$O$20</f>
        <v>0</v>
      </c>
      <c r="AK149" s="36" t="n">
        <f aca="false">AK147*$AC$145*AK148*AK$38*'⑫ Roll-out Plan'!$O$20</f>
        <v>0</v>
      </c>
      <c r="AL149" s="36" t="n">
        <f aca="false">AL147*$AC$145*AL148*AL$38*'⑫ Roll-out Plan'!$O$20</f>
        <v>0</v>
      </c>
      <c r="AM149" s="36" t="n">
        <f aca="false">AM147*$AC$145*AM148*AM$38*'⑫ Roll-out Plan'!$O$20</f>
        <v>0</v>
      </c>
      <c r="AN149" s="36" t="n">
        <f aca="false">AN147*$AC$145*AN148*AN$38*'⑫ Roll-out Plan'!$O$20</f>
        <v>0</v>
      </c>
      <c r="AO149" s="36" t="n">
        <f aca="false">AO147*$AC$145*AO148*AO$38*'⑫ Roll-out Plan'!$O$20</f>
        <v>0</v>
      </c>
      <c r="AP149" s="36" t="n">
        <f aca="false">AP147*$AC$145*AP148*AP$38*'⑫ Roll-out Plan'!$O$20</f>
        <v>0</v>
      </c>
      <c r="AQ149" s="36" t="n">
        <f aca="false">AQ147*$AC$145*AQ148*AQ$38*'⑫ Roll-out Plan'!$O$20</f>
        <v>0</v>
      </c>
      <c r="AR149" s="36" t="n">
        <f aca="false">AR147*$AC$145*AR148*AR$38*'⑫ Roll-out Plan'!$O$20</f>
        <v>0</v>
      </c>
      <c r="AS149" s="36" t="n">
        <f aca="false">AS147*$AC$145*AS148*AS$38*'⑫ Roll-out Plan'!$O$20</f>
        <v>0</v>
      </c>
      <c r="AT149" s="36" t="n">
        <f aca="false">AT147*$AC$145*AT148*AT$38*'⑫ Roll-out Plan'!$O$20</f>
        <v>0</v>
      </c>
      <c r="AU149" s="36" t="n">
        <f aca="false">AU147*$AC$145*AU148*AU$38*'⑫ Roll-out Plan'!$O$20</f>
        <v>0</v>
      </c>
      <c r="AV149" s="36" t="n">
        <f aca="false">AV147*$AC$145*AV148*AV$38*'⑫ Roll-out Plan'!$O$20</f>
        <v>0</v>
      </c>
      <c r="AW149" s="36" t="n">
        <f aca="false">AW147*$AC$145*AW148*AW$38*'⑫ Roll-out Plan'!$O$20</f>
        <v>0</v>
      </c>
      <c r="AX149" s="36" t="n">
        <f aca="false">AX147*$AC$145*AX148*AX$38*'⑫ Roll-out Plan'!$O$20</f>
        <v>0</v>
      </c>
      <c r="AY149" s="36" t="n">
        <f aca="false">AY147*$AC$145*AY148*AY$38*'⑫ Roll-out Plan'!$O$20</f>
        <v>0</v>
      </c>
      <c r="AZ149" s="36" t="n">
        <f aca="false">AZ147*$AC$145*AZ148*AZ$38*'⑫ Roll-out Plan'!$O$20</f>
        <v>0</v>
      </c>
      <c r="BA149" s="36" t="n">
        <f aca="false">BA147*$AC$145*BA148*BA$38*'⑫ Roll-out Plan'!$O$20</f>
        <v>0</v>
      </c>
      <c r="BB149" s="36" t="n">
        <f aca="false">BB147*$AC$145*BB148*BB$38*'⑫ Roll-out Plan'!$O$20</f>
        <v>0</v>
      </c>
      <c r="BC149" s="36" t="n">
        <f aca="false">BC147*$AC$145*BC148*BC$38*'⑫ Roll-out Plan'!$O$20</f>
        <v>42.92</v>
      </c>
      <c r="BD149" s="36" t="n">
        <f aca="false">BD147*$AC$145*BD148*BD$38*'⑫ Roll-out Plan'!$O$20</f>
        <v>44.77</v>
      </c>
      <c r="BE149" s="36" t="n">
        <f aca="false">BE147*$AC$145*BE148*BE$38*'⑫ Roll-out Plan'!$O$20</f>
        <v>40.848</v>
      </c>
      <c r="BF149" s="36" t="n">
        <f aca="false">BF147*$AC$145*BF148*BF$38*'⑫ Roll-out Plan'!$O$20</f>
        <v>39.96</v>
      </c>
      <c r="BG149" s="36" t="n">
        <f aca="false">BG147*$AC$145*BG148*BG$38*'⑫ Roll-out Plan'!$O$20</f>
        <v>41.958</v>
      </c>
      <c r="BH149" s="36" t="n">
        <f aca="false">BH147*$AC$145*BH148*BH$38*'⑫ Roll-out Plan'!$O$20</f>
        <v>81.437</v>
      </c>
      <c r="BI149" s="36" t="n">
        <f aca="false">BI147*$AC$145*BI148*BI$38*'⑫ Roll-out Plan'!$O$20</f>
        <v>75.11</v>
      </c>
      <c r="BJ149" s="36" t="n">
        <f aca="false">BJ147*$AC$145*BJ148*BJ$38*'⑫ Roll-out Plan'!$O$20</f>
        <v>69.264</v>
      </c>
      <c r="BK149" s="36" t="n">
        <f aca="false">BK147*$AC$145*BK148*BK$38*'⑫ Roll-out Plan'!$O$20</f>
        <v>58.608</v>
      </c>
      <c r="BL149" s="36" t="n">
        <f aca="false">BL147*$AC$145*BL148*BL$38*'⑫ Roll-out Plan'!$O$20</f>
        <v>83.028</v>
      </c>
      <c r="BM149" s="36" t="n">
        <f aca="false">BM147*$AC$145*BM148*BM$38*'⑫ Roll-out Plan'!$O$20</f>
        <v>95.904</v>
      </c>
      <c r="BN149" s="36" t="n">
        <f aca="false">BN147*$AC$145*BN148*BN$38*'⑫ Roll-out Plan'!$O$20</f>
        <v>78.884</v>
      </c>
      <c r="BO149" s="36" t="n">
        <f aca="false">BO147*$AC$145*BO148*BO$38*'⑫ Roll-out Plan'!$O$20</f>
        <v>120.176</v>
      </c>
      <c r="BP149" s="36" t="n">
        <f aca="false">BP147*$AC$145*BP148*BP$38*'⑫ Roll-out Plan'!$O$20</f>
        <v>122.1</v>
      </c>
      <c r="BQ149" s="36" t="n">
        <f aca="false">BQ147*$AC$145*BQ148*BQ$38*'⑫ Roll-out Plan'!$O$20</f>
        <v>102.12</v>
      </c>
      <c r="BR149" s="36" t="n">
        <f aca="false">BR147*$AC$145*BR148*BR$38*'⑫ Roll-out Plan'!$O$20</f>
        <v>111.888</v>
      </c>
      <c r="BS149" s="36" t="n">
        <f aca="false">BS147*$AC$145*BS148*BS$38*'⑫ Roll-out Plan'!$O$20</f>
        <v>123.0768</v>
      </c>
      <c r="BT149" s="36" t="n">
        <f aca="false">BT147*$AC$145*BT148*BT$38*'⑫ Roll-out Plan'!$O$20</f>
        <v>217.5156</v>
      </c>
      <c r="BU149" s="36" t="n">
        <f aca="false">BU147*$AC$145*BU148*BU$38*'⑫ Roll-out Plan'!$O$20</f>
        <v>182.8392</v>
      </c>
      <c r="BV149" s="36" t="n">
        <f aca="false">BV147*$AC$145*BV148*BV$38*'⑫ Roll-out Plan'!$O$20</f>
        <v>151.3152</v>
      </c>
      <c r="BW149" s="36" t="n">
        <f aca="false">BW147*$AC$145*BW148*BW$38*'⑫ Roll-out Plan'!$O$20</f>
        <v>116.6832</v>
      </c>
      <c r="BX149" s="36" t="n">
        <f aca="false">BX147*$AC$145*BX148*BX$38*'⑫ Roll-out Plan'!$O$20</f>
        <v>169.83</v>
      </c>
      <c r="BY149" s="36" t="n">
        <f aca="false">BY147*$AC$145*BY148*BY$38*'⑫ Roll-out Plan'!$O$20</f>
        <v>184.6152</v>
      </c>
      <c r="BZ149" s="36" t="n">
        <f aca="false">BZ147*$AC$145*BZ148*BZ$38*'⑫ Roll-out Plan'!$O$20</f>
        <v>143.8116</v>
      </c>
      <c r="CA149" s="36" t="n">
        <f aca="false">CA147*$AC$145*CA148*CA$38*'⑫ Roll-out Plan'!$O$20</f>
        <v>203.4408</v>
      </c>
      <c r="CB149" s="36" t="n">
        <f aca="false">CB147*$AC$145*CB148*CB$38*'⑫ Roll-out Plan'!$O$20</f>
        <v>195.36</v>
      </c>
      <c r="CC149" s="36" t="n">
        <f aca="false">CC147*$AC$145*CC148*CC$38*'⑫ Roll-out Plan'!$O$20</f>
        <v>167.4768</v>
      </c>
      <c r="CD149" s="36" t="n">
        <f aca="false">CD147*$AC$145*CD148*CD$38*'⑫ Roll-out Plan'!$O$20</f>
        <v>149.184</v>
      </c>
      <c r="CE149" s="36" t="n">
        <f aca="false">CE147*$AC$145*CE148*CE$38*'⑫ Roll-out Plan'!$O$20</f>
        <v>158.508</v>
      </c>
      <c r="CF149" s="36" t="n">
        <f aca="false">CF147*$AC$145*CF148*CF$38*'⑫ Roll-out Plan'!$O$20</f>
        <v>267.954</v>
      </c>
      <c r="CG149" s="36" t="n">
        <f aca="false">CG147*$AC$145*CG148*CG$38*'⑫ Roll-out Plan'!$O$20</f>
        <v>221.4672</v>
      </c>
      <c r="CH149" s="36" t="n">
        <f aca="false">CH147*$AC$145*CH148*CH$38*'⑫ Roll-out Plan'!$O$20</f>
        <v>187.5456</v>
      </c>
      <c r="CI149" s="36" t="n">
        <f aca="false">CI147*$AC$145*CI148*CI$38*'⑫ Roll-out Plan'!$O$20</f>
        <v>142.2576</v>
      </c>
      <c r="CJ149" s="36" t="n">
        <f aca="false">CJ147*$AC$145*CJ148*CJ$38*'⑫ Roll-out Plan'!$O$20</f>
        <v>203.796</v>
      </c>
      <c r="CK149" s="36" t="n">
        <f aca="false">CK147*$AC$145*CK148*CK$38*'⑫ Roll-out Plan'!$O$20</f>
        <v>215.784</v>
      </c>
      <c r="CL149" s="36" t="n">
        <f aca="false">CL147*$AC$145*CL148*CL$38*'⑫ Roll-out Plan'!$O$20</f>
        <v>167.4768</v>
      </c>
      <c r="CM149" s="36" t="n">
        <f aca="false">CM147*$AC$145*CM148*CM$38*'⑫ Roll-out Plan'!$O$20</f>
        <v>239.4936</v>
      </c>
      <c r="CN149" s="36" t="n">
        <f aca="false">CN147*$AC$145*CN148*CN$38*'⑫ Roll-out Plan'!$O$20</f>
        <v>229.548</v>
      </c>
      <c r="CO149" s="36" t="n">
        <f aca="false">CO147*$AC$145*CO148*CO$38*'⑫ Roll-out Plan'!$O$20</f>
        <v>194.028</v>
      </c>
      <c r="CP149" s="36" t="n">
        <f aca="false">CP147*$AC$145*CP148*CP$38*'⑫ Roll-out Plan'!$O$20</f>
        <v>168.72</v>
      </c>
      <c r="CQ149" s="36" t="n">
        <f aca="false">CQ147*$AC$145*CQ148*CQ$38*'⑫ Roll-out Plan'!$O$20</f>
        <v>180.8856</v>
      </c>
      <c r="CR149" s="36" t="n">
        <f aca="false">CR147*$AC$145*CR148*CR$38*'⑫ Roll-out Plan'!$O$20</f>
        <v>308.9352</v>
      </c>
      <c r="CS149" s="36" t="n">
        <f aca="false">CS147*$AC$145*CS148*CS$38*'⑫ Roll-out Plan'!$O$20</f>
        <v>254.9448</v>
      </c>
      <c r="CT149" s="36" t="n">
        <f aca="false">CT147*$AC$145*CT148*CT$38*'⑫ Roll-out Plan'!$O$20</f>
        <v>213.12</v>
      </c>
      <c r="CU149" s="36" t="n">
        <f aca="false">CU147*$AC$145*CU148*CU$38*'⑫ Roll-out Plan'!$O$20</f>
        <v>159.84</v>
      </c>
      <c r="CV149" s="36" t="n">
        <f aca="false">CV147*$AC$145*CV148*CV$38*'⑫ Roll-out Plan'!$O$20</f>
        <v>226.44</v>
      </c>
      <c r="CW149" s="36" t="n">
        <f aca="false">CW147*$AC$145*CW148*CW$38*'⑫ Roll-out Plan'!$O$20</f>
        <v>239.76</v>
      </c>
      <c r="CX149" s="36" t="n">
        <f aca="false">CX147*$AC$145*CX148*CX$38*'⑫ Roll-out Plan'!$O$20</f>
        <v>182.04</v>
      </c>
      <c r="CY149" s="36" t="n">
        <f aca="false">CY147*$AC$145*CY148*CY$38*'⑫ Roll-out Plan'!$O$20</f>
        <v>257.52</v>
      </c>
      <c r="CZ149" s="36" t="n">
        <f aca="false">CZ147*$AC$145*CZ148*CZ$38*'⑫ Roll-out Plan'!$O$20</f>
        <v>244.2</v>
      </c>
      <c r="DA149" s="36" t="n">
        <f aca="false">DA147*$AC$145*DA148*DA$38*'⑫ Roll-out Plan'!$O$20</f>
        <v>204.24</v>
      </c>
      <c r="DB149" s="36" t="n">
        <f aca="false">DB147*$AC$145*DB148*DB$38*'⑫ Roll-out Plan'!$O$20</f>
        <v>177.6</v>
      </c>
      <c r="DC149" s="36" t="n">
        <f aca="false">DC147*$AC$145*DC148*DC$38*'⑫ Roll-out Plan'!$O$20</f>
        <v>186.48</v>
      </c>
      <c r="DD149" s="36" t="n">
        <f aca="false">DD147*$AC$145*DD148*DD$38*'⑫ Roll-out Plan'!$O$20</f>
        <v>315.24</v>
      </c>
      <c r="DE149" s="36" t="n">
        <f aca="false">DE147*$AC$145*DE148*DE$38*'⑫ Roll-out Plan'!$O$20</f>
        <v>257.52</v>
      </c>
      <c r="DF149" s="36" t="n">
        <f aca="false">DF147*$AC$145*DF148*DF$38*'⑫ Roll-out Plan'!$O$20</f>
        <v>213.12</v>
      </c>
      <c r="DG149" s="36" t="n">
        <f aca="false">DG147*$AC$145*DG148*DG$38*'⑫ Roll-out Plan'!$O$20</f>
        <v>159.84</v>
      </c>
      <c r="DH149" s="36" t="n">
        <f aca="false">DH147*$AC$145*DH148*DH$38*'⑫ Roll-out Plan'!$O$20</f>
        <v>226.44</v>
      </c>
      <c r="DI149" s="36" t="n">
        <f aca="false">DI147*$AC$145*DI148*DI$38*'⑫ Roll-out Plan'!$O$20</f>
        <v>239.76</v>
      </c>
      <c r="DJ149" s="36" t="n">
        <f aca="false">DJ147*$AC$145*DJ148*DJ$38*'⑫ Roll-out Plan'!$O$20</f>
        <v>182.04</v>
      </c>
      <c r="DK149" s="36" t="n">
        <f aca="false">DK147*$AC$145*DK148*DK$38*'⑫ Roll-out Plan'!$O$20</f>
        <v>257.52</v>
      </c>
      <c r="DL149" s="36" t="n">
        <f aca="false">DL147*$AC$145*DL148*DL$38*'⑫ Roll-out Plan'!$O$20</f>
        <v>244.2</v>
      </c>
      <c r="DM149" s="36" t="n">
        <f aca="false">DM147*$AC$145*DM148*DM$38*'⑫ Roll-out Plan'!$O$20</f>
        <v>204.24</v>
      </c>
      <c r="DN149" s="36" t="n">
        <f aca="false">DN147*$AC$145*DN148*DN$38*'⑫ Roll-out Plan'!$O$20</f>
        <v>177.6</v>
      </c>
      <c r="DO149" s="36" t="n">
        <f aca="false">DO147*$AC$145*DO148*DO$38*'⑫ Roll-out Plan'!$O$20</f>
        <v>186.48</v>
      </c>
      <c r="DP149" s="36" t="n">
        <f aca="false">DP147*$AC$145*DP148*DP$38*'⑫ Roll-out Plan'!$O$20</f>
        <v>315.24</v>
      </c>
      <c r="DQ149" s="36" t="n">
        <f aca="false">DQ147*$AC$145*DQ148*DQ$38*'⑫ Roll-out Plan'!$O$20</f>
        <v>257.52</v>
      </c>
      <c r="DR149" s="36" t="n">
        <f aca="false">DR147*$AC$145*DR148*DR$38*'⑫ Roll-out Plan'!$O$20</f>
        <v>213.12</v>
      </c>
      <c r="DS149" s="36" t="n">
        <f aca="false">DS147*$AC$145*DS148*DS$38*'⑫ Roll-out Plan'!$O$20</f>
        <v>159.84</v>
      </c>
      <c r="DT149" s="36" t="n">
        <f aca="false">DT147*$AC$145*DT148*DT$38*'⑫ Roll-out Plan'!$O$20</f>
        <v>226.44</v>
      </c>
      <c r="DU149" s="36" t="n">
        <f aca="false">DU147*$AC$145*DU148*DU$38*'⑫ Roll-out Plan'!$O$20</f>
        <v>239.76</v>
      </c>
      <c r="DV149" s="36" t="n">
        <f aca="false">DV147*$AC$145*DV148*DV$38*'⑫ Roll-out Plan'!$O$20</f>
        <v>182.04</v>
      </c>
      <c r="DW149" s="36" t="n">
        <f aca="false">DW147*$AC$145*DW148*DW$38*'⑫ Roll-out Plan'!$O$20</f>
        <v>257.52</v>
      </c>
      <c r="DX149" s="36" t="n">
        <f aca="false">DX147*$AC$145*DX148*DX$38*'⑫ Roll-out Plan'!$O$20</f>
        <v>244.2</v>
      </c>
      <c r="DY149" s="36" t="n">
        <f aca="false">DY147*$AC$145*DY148*DY$38*'⑫ Roll-out Plan'!$O$20</f>
        <v>204.24</v>
      </c>
      <c r="DZ149" s="36" t="n">
        <f aca="false">DZ147*$AC$145*DZ148*DZ$38*'⑫ Roll-out Plan'!$O$20</f>
        <v>177.6</v>
      </c>
      <c r="EA149" s="36" t="n">
        <f aca="false">EA147*$AC$145*EA148*EA$38*'⑫ Roll-out Plan'!$O$20</f>
        <v>186.48</v>
      </c>
      <c r="EB149" s="36" t="n">
        <f aca="false">EB147*$AC$145*EB148*EB$38*'⑫ Roll-out Plan'!$O$20</f>
        <v>315.24</v>
      </c>
      <c r="EC149" s="36" t="n">
        <f aca="false">EC147*$AC$145*EC148*EC$38*'⑫ Roll-out Plan'!$O$20</f>
        <v>257.52</v>
      </c>
      <c r="ED149" s="36" t="n">
        <f aca="false">ED147*$AC$145*ED148*ED$38*'⑫ Roll-out Plan'!$O$20</f>
        <v>213.12</v>
      </c>
      <c r="EE149" s="36" t="n">
        <f aca="false">EE147*$AC$145*EE148*EE$38*'⑫ Roll-out Plan'!$O$20</f>
        <v>159.84</v>
      </c>
      <c r="EF149" s="36" t="n">
        <f aca="false">EF147*$AC$145*EF148*EF$38*'⑫ Roll-out Plan'!$O$20</f>
        <v>226.44</v>
      </c>
      <c r="EG149" s="36" t="n">
        <f aca="false">EG147*$AC$145*EG148*EG$38*'⑫ Roll-out Plan'!$O$20</f>
        <v>239.76</v>
      </c>
      <c r="EH149" s="36" t="n">
        <f aca="false">EH147*$AC$145*EH148*EH$38*'⑫ Roll-out Plan'!$O$20</f>
        <v>182.04</v>
      </c>
      <c r="EI149" s="36" t="n">
        <f aca="false">EI147*$AC$145*EI148*EI$38*'⑫ Roll-out Plan'!$O$20</f>
        <v>257.52</v>
      </c>
      <c r="EJ149" s="36" t="n">
        <f aca="false">EJ147*$AC$145*EJ148*EJ$38*'⑫ Roll-out Plan'!$O$20</f>
        <v>244.2</v>
      </c>
      <c r="EK149" s="36" t="n">
        <f aca="false">EK147*$AC$145*EK148*EK$38*'⑫ Roll-out Plan'!$O$20</f>
        <v>204.24</v>
      </c>
      <c r="EL149" s="36" t="n">
        <f aca="false">EL147*$AC$145*EL148*EL$38*'⑫ Roll-out Plan'!$O$20</f>
        <v>177.6</v>
      </c>
      <c r="EM149" s="36" t="n">
        <f aca="false">EM147*$AC$145*EM148*EM$38*'⑫ Roll-out Plan'!$O$20</f>
        <v>186.48</v>
      </c>
      <c r="EN149" s="36" t="n">
        <f aca="false">EN147*$AC$145*EN148*EN$38*'⑫ Roll-out Plan'!$O$20</f>
        <v>315.24</v>
      </c>
      <c r="EO149" s="36" t="n">
        <f aca="false">EO147*$AC$145*EO148*EO$38*'⑫ Roll-out Plan'!$O$20</f>
        <v>257.52</v>
      </c>
      <c r="EP149" s="36" t="n">
        <f aca="false">EP147*$AC$145*EP148*EP$38*'⑫ Roll-out Plan'!$O$20</f>
        <v>213.12</v>
      </c>
      <c r="EQ149" s="36" t="n">
        <f aca="false">EQ147*$AC$145*EQ148*EQ$38*'⑫ Roll-out Plan'!$O$20</f>
        <v>159.84</v>
      </c>
      <c r="ER149" s="36" t="n">
        <f aca="false">ER147*$AC$145*ER148*ER$38*'⑫ Roll-out Plan'!$O$20</f>
        <v>226.44</v>
      </c>
      <c r="ES149" s="9" t="n">
        <f aca="false">ES147*$AC$145*ES148*ES$38*'⑫ Roll-out Plan'!$O$20</f>
        <v>239.76</v>
      </c>
      <c r="ET149" s="9" t="n">
        <f aca="false">ET147*$AC$145*ET148*ET$38*'⑫ Roll-out Plan'!$O$20</f>
        <v>182.04</v>
      </c>
      <c r="EU149" s="9" t="n">
        <f aca="false">EU147*$AC$145*EU148*EU$38*'⑫ Roll-out Plan'!$O$20</f>
        <v>257.52</v>
      </c>
      <c r="EV149" s="9" t="n">
        <f aca="false">EV147*$AC$145*EV148*EV$38*'⑫ Roll-out Plan'!$O$20</f>
        <v>244.2</v>
      </c>
      <c r="EW149" s="9" t="n">
        <f aca="false">EW147*$AC$145*EW148*EW$38*'⑫ Roll-out Plan'!$O$20</f>
        <v>204.24</v>
      </c>
      <c r="EX149" s="9" t="n">
        <f aca="false">EX147*$AC$145*EX148*EX$38*'⑫ Roll-out Plan'!$O$20</f>
        <v>177.6</v>
      </c>
      <c r="EY149" s="9" t="n">
        <f aca="false">EY147*$AC$145*EY148*EY$38*'⑫ Roll-out Plan'!$O$20</f>
        <v>186.48</v>
      </c>
      <c r="EZ149" s="9" t="n">
        <f aca="false">EZ147*$AC$145*EZ148*EZ$38*'⑫ Roll-out Plan'!$O$20</f>
        <v>315.24</v>
      </c>
      <c r="FA149" s="9" t="n">
        <f aca="false">FA147*$AC$145*FA148*FA$38*'⑫ Roll-out Plan'!$O$20</f>
        <v>257.52</v>
      </c>
      <c r="FB149" s="9" t="n">
        <f aca="false">FB147*$AC$145*FB148*FB$38*'⑫ Roll-out Plan'!$O$20</f>
        <v>213.12</v>
      </c>
      <c r="FC149" s="9" t="n">
        <f aca="false">FC147*$AC$145*FC148*FC$38*'⑫ Roll-out Plan'!$O$20</f>
        <v>159.84</v>
      </c>
      <c r="FD149" s="9" t="n">
        <f aca="false">FD147*$AC$145*FD148*FD$38*'⑫ Roll-out Plan'!$O$20</f>
        <v>226.44</v>
      </c>
      <c r="FE149" s="9" t="n">
        <f aca="false">FE147*$AC$145*FE148*FE$38*'⑫ Roll-out Plan'!$O$20</f>
        <v>239.76</v>
      </c>
      <c r="FF149" s="9" t="n">
        <f aca="false">FF147*$AC$145*FF148*FF$38*'⑫ Roll-out Plan'!$O$20</f>
        <v>182.04</v>
      </c>
      <c r="FG149" s="9" t="n">
        <f aca="false">FG147*$AC$145*FG148*FG$38*'⑫ Roll-out Plan'!$O$20</f>
        <v>257.52</v>
      </c>
      <c r="FH149" s="9" t="n">
        <f aca="false">FH147*$AC$145*FH148*FH$38*'⑫ Roll-out Plan'!$O$20</f>
        <v>244.2</v>
      </c>
      <c r="FI149" s="9" t="n">
        <f aca="false">FI147*$AC$145*FI148*FI$38*'⑫ Roll-out Plan'!$O$20</f>
        <v>204.24</v>
      </c>
      <c r="FJ149" s="9" t="n">
        <f aca="false">FJ147*$AC$145*FJ148*FJ$38*'⑫ Roll-out Plan'!$O$20</f>
        <v>177.6</v>
      </c>
      <c r="FK149" s="9" t="n">
        <f aca="false">FK147*$AC$145*FK148*FK$38*'⑫ Roll-out Plan'!$O$20</f>
        <v>186.48</v>
      </c>
      <c r="FL149" s="9" t="n">
        <f aca="false">FL147*$AC$145*FL148*FL$38*'⑫ Roll-out Plan'!$O$20</f>
        <v>315.24</v>
      </c>
      <c r="FM149" s="9" t="n">
        <f aca="false">FM147*$AC$145*FM148*FM$38*'⑫ Roll-out Plan'!$O$20</f>
        <v>257.52</v>
      </c>
      <c r="FN149" s="9" t="n">
        <f aca="false">FN147*$AC$145*FN148*FN$38*'⑫ Roll-out Plan'!$O$20</f>
        <v>213.12</v>
      </c>
      <c r="FO149" s="9" t="n">
        <f aca="false">FO147*$AC$145*FO148*FO$38*'⑫ Roll-out Plan'!$O$20</f>
        <v>159.84</v>
      </c>
      <c r="FP149" s="9" t="n">
        <f aca="false">FP147*$AC$145*FP148*FP$38*'⑫ Roll-out Plan'!$O$20</f>
        <v>226.44</v>
      </c>
    </row>
    <row r="150" customFormat="false" ht="15" hidden="false" customHeight="false" outlineLevel="2" collapsed="false">
      <c r="B150" s="9" t="s">
        <v>877</v>
      </c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112" t="n">
        <f aca="true">IFERROR(SUMPRODUCT(OFFSET($BJ$31,0,1-MIN(60,COLUMN()-29),1,MIN(60,COLUMN()-29)),OFFSET(AC149,0,-MIN(60,COLUMN()-29),1,MIN(60,COLUMN()-29))),0)</f>
        <v>0</v>
      </c>
      <c r="AD150" s="112" t="n">
        <f aca="true">IFERROR(SUMPRODUCT(OFFSET($BJ$31,0,1-MIN(60,COLUMN()-29),1,MIN(60,COLUMN()-29)),OFFSET(AD149,0,-MIN(60,COLUMN()-29),1,MIN(60,COLUMN()-29))),0)</f>
        <v>0</v>
      </c>
      <c r="AE150" s="112" t="n">
        <f aca="true">IFERROR(SUMPRODUCT(OFFSET($BJ$31,0,1-MIN(60,COLUMN()-29),1,MIN(60,COLUMN()-29)),OFFSET(AE149,0,-MIN(60,COLUMN()-29),1,MIN(60,COLUMN()-29))),0)</f>
        <v>0</v>
      </c>
      <c r="AF150" s="112" t="n">
        <f aca="true">IFERROR(SUMPRODUCT(OFFSET($BJ$31,0,1-MIN(60,COLUMN()-29),1,MIN(60,COLUMN()-29)),OFFSET(AF149,0,-MIN(60,COLUMN()-29),1,MIN(60,COLUMN()-29))),0)</f>
        <v>0</v>
      </c>
      <c r="AG150" s="112" t="n">
        <f aca="true">IFERROR(SUMPRODUCT(OFFSET($BJ$31,0,1-MIN(60,COLUMN()-29),1,MIN(60,COLUMN()-29)),OFFSET(AG149,0,-MIN(60,COLUMN()-29),1,MIN(60,COLUMN()-29))),0)</f>
        <v>0</v>
      </c>
      <c r="AH150" s="112" t="n">
        <f aca="true">IFERROR(SUMPRODUCT(OFFSET($BJ$31,0,1-MIN(60,COLUMN()-29),1,MIN(60,COLUMN()-29)),OFFSET(AH149,0,-MIN(60,COLUMN()-29),1,MIN(60,COLUMN()-29))),0)</f>
        <v>0</v>
      </c>
      <c r="AI150" s="112" t="n">
        <f aca="true">IFERROR(SUMPRODUCT(OFFSET($BJ$31,0,1-MIN(60,COLUMN()-29),1,MIN(60,COLUMN()-29)),OFFSET(AI149,0,-MIN(60,COLUMN()-29),1,MIN(60,COLUMN()-29))),0)</f>
        <v>0</v>
      </c>
      <c r="AJ150" s="112" t="n">
        <f aca="true">IFERROR(SUMPRODUCT(OFFSET($BJ$31,0,1-MIN(60,COLUMN()-29),1,MIN(60,COLUMN()-29)),OFFSET(AJ149,0,-MIN(60,COLUMN()-29),1,MIN(60,COLUMN()-29))),0)</f>
        <v>0</v>
      </c>
      <c r="AK150" s="112" t="n">
        <f aca="true">IFERROR(SUMPRODUCT(OFFSET($BJ$31,0,1-MIN(60,COLUMN()-29),1,MIN(60,COLUMN()-29)),OFFSET(AK149,0,-MIN(60,COLUMN()-29),1,MIN(60,COLUMN()-29))),0)</f>
        <v>0</v>
      </c>
      <c r="AL150" s="112" t="n">
        <f aca="true">IFERROR(SUMPRODUCT(OFFSET($BJ$31,0,1-MIN(60,COLUMN()-29),1,MIN(60,COLUMN()-29)),OFFSET(AL149,0,-MIN(60,COLUMN()-29),1,MIN(60,COLUMN()-29))),0)</f>
        <v>0</v>
      </c>
      <c r="AM150" s="112" t="n">
        <f aca="true">IFERROR(SUMPRODUCT(OFFSET($BJ$31,0,1-MIN(60,COLUMN()-29),1,MIN(60,COLUMN()-29)),OFFSET(AM149,0,-MIN(60,COLUMN()-29),1,MIN(60,COLUMN()-29))),0)</f>
        <v>0</v>
      </c>
      <c r="AN150" s="112" t="n">
        <f aca="true">IFERROR(SUMPRODUCT(OFFSET($BJ$31,0,1-MIN(60,COLUMN()-29),1,MIN(60,COLUMN()-29)),OFFSET(AN149,0,-MIN(60,COLUMN()-29),1,MIN(60,COLUMN()-29))),0)</f>
        <v>0</v>
      </c>
      <c r="AO150" s="112" t="n">
        <f aca="true">IFERROR(SUMPRODUCT(OFFSET($BJ$31,0,1-MIN(60,COLUMN()-29),1,MIN(60,COLUMN()-29)),OFFSET(AO149,0,-MIN(60,COLUMN()-29),1,MIN(60,COLUMN()-29))),0)</f>
        <v>0</v>
      </c>
      <c r="AP150" s="112" t="n">
        <f aca="true">IFERROR(SUMPRODUCT(OFFSET($BJ$31,0,1-MIN(60,COLUMN()-29),1,MIN(60,COLUMN()-29)),OFFSET(AP149,0,-MIN(60,COLUMN()-29),1,MIN(60,COLUMN()-29))),0)</f>
        <v>0</v>
      </c>
      <c r="AQ150" s="112" t="n">
        <f aca="true">IFERROR(SUMPRODUCT(OFFSET($BJ$31,0,1-MIN(60,COLUMN()-29),1,MIN(60,COLUMN()-29)),OFFSET(AQ149,0,-MIN(60,COLUMN()-29),1,MIN(60,COLUMN()-29))),0)</f>
        <v>0</v>
      </c>
      <c r="AR150" s="112" t="n">
        <f aca="true">IFERROR(SUMPRODUCT(OFFSET($BJ$31,0,1-MIN(60,COLUMN()-29),1,MIN(60,COLUMN()-29)),OFFSET(AR149,0,-MIN(60,COLUMN()-29),1,MIN(60,COLUMN()-29))),0)</f>
        <v>0</v>
      </c>
      <c r="AS150" s="112" t="n">
        <f aca="true">IFERROR(SUMPRODUCT(OFFSET($BJ$31,0,1-MIN(60,COLUMN()-29),1,MIN(60,COLUMN()-29)),OFFSET(AS149,0,-MIN(60,COLUMN()-29),1,MIN(60,COLUMN()-29))),0)</f>
        <v>0</v>
      </c>
      <c r="AT150" s="112" t="n">
        <f aca="true">IFERROR(SUMPRODUCT(OFFSET($BJ$31,0,1-MIN(60,COLUMN()-29),1,MIN(60,COLUMN()-29)),OFFSET(AT149,0,-MIN(60,COLUMN()-29),1,MIN(60,COLUMN()-29))),0)</f>
        <v>0</v>
      </c>
      <c r="AU150" s="112" t="n">
        <f aca="true">IFERROR(SUMPRODUCT(OFFSET($BJ$31,0,1-MIN(60,COLUMN()-29),1,MIN(60,COLUMN()-29)),OFFSET(AU149,0,-MIN(60,COLUMN()-29),1,MIN(60,COLUMN()-29))),0)</f>
        <v>0</v>
      </c>
      <c r="AV150" s="112" t="n">
        <f aca="true">IFERROR(SUMPRODUCT(OFFSET($BJ$31,0,1-MIN(60,COLUMN()-29),1,MIN(60,COLUMN()-29)),OFFSET(AV149,0,-MIN(60,COLUMN()-29),1,MIN(60,COLUMN()-29))),0)</f>
        <v>0</v>
      </c>
      <c r="AW150" s="112" t="n">
        <f aca="true">IFERROR(SUMPRODUCT(OFFSET($BJ$31,0,1-MIN(60,COLUMN()-29),1,MIN(60,COLUMN()-29)),OFFSET(AW149,0,-MIN(60,COLUMN()-29),1,MIN(60,COLUMN()-29))),0)</f>
        <v>0</v>
      </c>
      <c r="AX150" s="112" t="n">
        <f aca="true">IFERROR(SUMPRODUCT(OFFSET($BJ$31,0,1-MIN(60,COLUMN()-29),1,MIN(60,COLUMN()-29)),OFFSET(AX149,0,-MIN(60,COLUMN()-29),1,MIN(60,COLUMN()-29))),0)</f>
        <v>0</v>
      </c>
      <c r="AY150" s="112" t="n">
        <f aca="true">IFERROR(SUMPRODUCT(OFFSET($BJ$31,0,1-MIN(60,COLUMN()-29),1,MIN(60,COLUMN()-29)),OFFSET(AY149,0,-MIN(60,COLUMN()-29),1,MIN(60,COLUMN()-29))),0)</f>
        <v>0</v>
      </c>
      <c r="AZ150" s="112" t="n">
        <f aca="true">IFERROR(SUMPRODUCT(OFFSET($BJ$31,0,1-MIN(60,COLUMN()-29),1,MIN(60,COLUMN()-29)),OFFSET(AZ149,0,-MIN(60,COLUMN()-29),1,MIN(60,COLUMN()-29))),0)</f>
        <v>0</v>
      </c>
      <c r="BA150" s="112" t="n">
        <f aca="true">IFERROR(SUMPRODUCT(OFFSET($BJ$31,0,1-MIN(60,COLUMN()-29),1,MIN(60,COLUMN()-29)),OFFSET(BA149,0,-MIN(60,COLUMN()-29),1,MIN(60,COLUMN()-29))),0)</f>
        <v>0</v>
      </c>
      <c r="BB150" s="112" t="n">
        <f aca="true">IFERROR(SUMPRODUCT(OFFSET($BJ$31,0,1-MIN(60,COLUMN()-29),1,MIN(60,COLUMN()-29)),OFFSET(BB149,0,-MIN(60,COLUMN()-29),1,MIN(60,COLUMN()-29))),0)</f>
        <v>0</v>
      </c>
      <c r="BC150" s="112" t="n">
        <f aca="true">IFERROR(SUMPRODUCT(OFFSET($BJ$31,0,1-MIN(60,COLUMN()-29),1,MIN(60,COLUMN()-29)),OFFSET(BC149,0,-MIN(60,COLUMN()-29),1,MIN(60,COLUMN()-29))),0)</f>
        <v>0</v>
      </c>
      <c r="BD150" s="112" t="n">
        <f aca="true">IFERROR(SUMPRODUCT(OFFSET($BJ$31,0,1-MIN(60,COLUMN()-29),1,MIN(60,COLUMN()-29)),OFFSET(BD149,0,-MIN(60,COLUMN()-29),1,MIN(60,COLUMN()-29))),0)</f>
        <v>5.49376</v>
      </c>
      <c r="BE150" s="112" t="n">
        <f aca="true">IFERROR(SUMPRODUCT(OFFSET($BJ$31,0,1-MIN(60,COLUMN()-29),1,MIN(60,COLUMN()-29)),OFFSET(BE149,0,-MIN(60,COLUMN()-29),1,MIN(60,COLUMN()-29))),0)</f>
        <v>6.485952</v>
      </c>
      <c r="BF150" s="112" t="n">
        <f aca="true">IFERROR(SUMPRODUCT(OFFSET($BJ$31,0,1-MIN(60,COLUMN()-29),1,MIN(60,COLUMN()-29)),OFFSET(BF149,0,-MIN(60,COLUMN()-29),1,MIN(60,COLUMN()-29))),0)</f>
        <v>6.977904</v>
      </c>
      <c r="BG150" s="112" t="n">
        <f aca="true">IFERROR(SUMPRODUCT(OFFSET($BJ$31,0,1-MIN(60,COLUMN()-29),1,MIN(60,COLUMN()-29)),OFFSET(BG149,0,-MIN(60,COLUMN()-29),1,MIN(60,COLUMN()-29))),0)</f>
        <v>7.3860288</v>
      </c>
      <c r="BH150" s="112" t="n">
        <f aca="true">IFERROR(SUMPRODUCT(OFFSET($BJ$31,0,1-MIN(60,COLUMN()-29),1,MIN(60,COLUMN()-29)),OFFSET(BH149,0,-MIN(60,COLUMN()-29),1,MIN(60,COLUMN()-29))),0)</f>
        <v>7.9740032</v>
      </c>
      <c r="BI150" s="112" t="n">
        <f aca="true">IFERROR(SUMPRODUCT(OFFSET($BJ$31,0,1-MIN(60,COLUMN()-29),1,MIN(60,COLUMN()-29)),OFFSET(BI149,0,-MIN(60,COLUMN()-29),1,MIN(60,COLUMN()-29))),0)</f>
        <v>13.2161632</v>
      </c>
      <c r="BJ150" s="112" t="n">
        <f aca="true">IFERROR(SUMPRODUCT(OFFSET($BJ$31,0,1-MIN(60,COLUMN()-29),1,MIN(60,COLUMN()-29)),OFFSET(BJ149,0,-MIN(60,COLUMN()-29),1,MIN(60,COLUMN()-29))),0)</f>
        <v>13.7924752</v>
      </c>
      <c r="BK150" s="112" t="n">
        <f aca="true">IFERROR(SUMPRODUCT(OFFSET($BJ$31,0,1-MIN(60,COLUMN()-29),1,MIN(60,COLUMN()-29)),OFFSET(BK149,0,-MIN(60,COLUMN()-29),1,MIN(60,COLUMN()-29))),0)</f>
        <v>14.0510016</v>
      </c>
      <c r="BL150" s="112" t="n">
        <f aca="true">IFERROR(SUMPRODUCT(OFFSET($BJ$31,0,1-MIN(60,COLUMN()-29),1,MIN(60,COLUMN()-29)),OFFSET(BL149,0,-MIN(60,COLUMN()-29),1,MIN(60,COLUMN()-29))),0)</f>
        <v>13.3208288</v>
      </c>
      <c r="BM150" s="112" t="n">
        <f aca="true">IFERROR(SUMPRODUCT(OFFSET($BJ$31,0,1-MIN(60,COLUMN()-29),1,MIN(60,COLUMN()-29)),OFFSET(BM149,0,-MIN(60,COLUMN()-29),1,MIN(60,COLUMN()-29))),0)</f>
        <v>17.1758144</v>
      </c>
      <c r="BN150" s="112" t="n">
        <f aca="true">IFERROR(SUMPRODUCT(OFFSET($BJ$31,0,1-MIN(60,COLUMN()-29),1,MIN(60,COLUMN()-29)),OFFSET(BN149,0,-MIN(60,COLUMN()-29),1,MIN(60,COLUMN()-29))),0)</f>
        <v>19.2289296</v>
      </c>
      <c r="BO150" s="112" t="n">
        <f aca="true">IFERROR(SUMPRODUCT(OFFSET($BJ$31,0,1-MIN(60,COLUMN()-29),1,MIN(60,COLUMN()-29)),OFFSET(BO149,0,-MIN(60,COLUMN()-29),1,MIN(60,COLUMN()-29))),0)</f>
        <v>19.3381536</v>
      </c>
      <c r="BP150" s="112" t="n">
        <f aca="true">IFERROR(SUMPRODUCT(OFFSET($BJ$31,0,1-MIN(60,COLUMN()-29),1,MIN(60,COLUMN()-29)),OFFSET(BP149,0,-MIN(60,COLUMN()-29),1,MIN(60,COLUMN()-29))),0)</f>
        <v>26.4349904</v>
      </c>
      <c r="BQ150" s="112" t="n">
        <f aca="true">IFERROR(SUMPRODUCT(OFFSET($BJ$31,0,1-MIN(60,COLUMN()-29),1,MIN(60,COLUMN()-29)),OFFSET(BQ149,0,-MIN(60,COLUMN()-29),1,MIN(60,COLUMN()-29))),0)</f>
        <v>28.1014112</v>
      </c>
      <c r="BR150" s="112" t="n">
        <f aca="true">IFERROR(SUMPRODUCT(OFFSET($BJ$31,0,1-MIN(60,COLUMN()-29),1,MIN(60,COLUMN()-29)),OFFSET(BR149,0,-MIN(60,COLUMN()-29),1,MIN(60,COLUMN()-29))),0)</f>
        <v>27.306888</v>
      </c>
      <c r="BS150" s="112" t="n">
        <f aca="true">IFERROR(SUMPRODUCT(OFFSET($BJ$31,0,1-MIN(60,COLUMN()-29),1,MIN(60,COLUMN()-29)),OFFSET(BS149,0,-MIN(60,COLUMN()-29),1,MIN(60,COLUMN()-29))),0)</f>
        <v>29.3172608</v>
      </c>
      <c r="BT150" s="112" t="n">
        <f aca="true">IFERROR(SUMPRODUCT(OFFSET($BJ$31,0,1-MIN(60,COLUMN()-29),1,MIN(60,COLUMN()-29)),OFFSET(BT149,0,-MIN(60,COLUMN()-29),1,MIN(60,COLUMN()-29))),0)</f>
        <v>33.2778592</v>
      </c>
      <c r="BU150" s="112" t="n">
        <f aca="true">IFERROR(SUMPRODUCT(OFFSET($BJ$31,0,1-MIN(60,COLUMN()-29),1,MIN(60,COLUMN()-29)),OFFSET(BU149,0,-MIN(60,COLUMN()-29),1,MIN(60,COLUMN()-29))),0)</f>
        <v>48.07520408</v>
      </c>
      <c r="BV150" s="112" t="n">
        <f aca="true">IFERROR(SUMPRODUCT(OFFSET($BJ$31,0,1-MIN(60,COLUMN()-29),1,MIN(60,COLUMN()-29)),OFFSET(BV149,0,-MIN(60,COLUMN()-29),1,MIN(60,COLUMN()-29))),0)</f>
        <v>47.86676088</v>
      </c>
      <c r="BW150" s="112" t="n">
        <f aca="true">IFERROR(SUMPRODUCT(OFFSET($BJ$31,0,1-MIN(60,COLUMN()-29),1,MIN(60,COLUMN()-29)),OFFSET(BW149,0,-MIN(60,COLUMN()-29),1,MIN(60,COLUMN()-29))),0)</f>
        <v>46.914742</v>
      </c>
      <c r="BX150" s="112" t="n">
        <f aca="true">IFERROR(SUMPRODUCT(OFFSET($BJ$31,0,1-MIN(60,COLUMN()-29),1,MIN(60,COLUMN()-29)),OFFSET(BX149,0,-MIN(60,COLUMN()-29),1,MIN(60,COLUMN()-29))),0)</f>
        <v>44.04318976</v>
      </c>
      <c r="BY150" s="112" t="n">
        <f aca="true">IFERROR(SUMPRODUCT(OFFSET($BJ$31,0,1-MIN(60,COLUMN()-29),1,MIN(60,COLUMN()-29)),OFFSET(BY149,0,-MIN(60,COLUMN()-29),1,MIN(60,COLUMN()-29))),0)</f>
        <v>54.16653036</v>
      </c>
      <c r="BZ150" s="112" t="n">
        <f aca="true">IFERROR(SUMPRODUCT(OFFSET($BJ$31,0,1-MIN(60,COLUMN()-29),1,MIN(60,COLUMN()-29)),OFFSET(BZ149,0,-MIN(60,COLUMN()-29),1,MIN(60,COLUMN()-29))),0)</f>
        <v>58.44157844</v>
      </c>
      <c r="CA150" s="112" t="n">
        <f aca="true">IFERROR(SUMPRODUCT(OFFSET($BJ$31,0,1-MIN(60,COLUMN()-29),1,MIN(60,COLUMN()-29)),OFFSET(CA149,0,-MIN(60,COLUMN()-29),1,MIN(60,COLUMN()-29))),0)</f>
        <v>57.9629346</v>
      </c>
      <c r="CB150" s="112" t="n">
        <f aca="true">IFERROR(SUMPRODUCT(OFFSET($BJ$31,0,1-MIN(60,COLUMN()-29),1,MIN(60,COLUMN()-29)),OFFSET(CB149,0,-MIN(60,COLUMN()-29),1,MIN(60,COLUMN()-29))),0)</f>
        <v>68.89672468</v>
      </c>
      <c r="CC150" s="112" t="n">
        <f aca="true">IFERROR(SUMPRODUCT(OFFSET($BJ$31,0,1-MIN(60,COLUMN()-29),1,MIN(60,COLUMN()-29)),OFFSET(CC149,0,-MIN(60,COLUMN()-29),1,MIN(60,COLUMN()-29))),0)</f>
        <v>71.33519044</v>
      </c>
      <c r="CD150" s="112" t="n">
        <f aca="true">IFERROR(SUMPRODUCT(OFFSET($BJ$31,0,1-MIN(60,COLUMN()-29),1,MIN(60,COLUMN()-29)),OFFSET(CD149,0,-MIN(60,COLUMN()-29),1,MIN(60,COLUMN()-29))),0)</f>
        <v>72.22380612</v>
      </c>
      <c r="CE150" s="112" t="n">
        <f aca="true">IFERROR(SUMPRODUCT(OFFSET($BJ$31,0,1-MIN(60,COLUMN()-29),1,MIN(60,COLUMN()-29)),OFFSET(CE149,0,-MIN(60,COLUMN()-29),1,MIN(60,COLUMN()-29))),0)</f>
        <v>72.82193332</v>
      </c>
      <c r="CF150" s="112" t="n">
        <f aca="true">IFERROR(SUMPRODUCT(OFFSET($BJ$31,0,1-MIN(60,COLUMN()-29),1,MIN(60,COLUMN()-29)),OFFSET(CF149,0,-MIN(60,COLUMN()-29),1,MIN(60,COLUMN()-29))),0)</f>
        <v>79.23220404</v>
      </c>
      <c r="CG150" s="112" t="n">
        <f aca="true">IFERROR(SUMPRODUCT(OFFSET($BJ$31,0,1-MIN(60,COLUMN()-29),1,MIN(60,COLUMN()-29)),OFFSET(CG149,0,-MIN(60,COLUMN()-29),1,MIN(60,COLUMN()-29))),0)</f>
        <v>98.11095972</v>
      </c>
      <c r="CH150" s="112" t="n">
        <f aca="true">IFERROR(SUMPRODUCT(OFFSET($BJ$31,0,1-MIN(60,COLUMN()-29),1,MIN(60,COLUMN()-29)),OFFSET(CH149,0,-MIN(60,COLUMN()-29),1,MIN(60,COLUMN()-29))),0)</f>
        <v>97.66529028</v>
      </c>
      <c r="CI150" s="112" t="n">
        <f aca="true">IFERROR(SUMPRODUCT(OFFSET($BJ$31,0,1-MIN(60,COLUMN()-29),1,MIN(60,COLUMN()-29)),OFFSET(CI149,0,-MIN(60,COLUMN()-29),1,MIN(60,COLUMN()-29))),0)</f>
        <v>96.95886852</v>
      </c>
      <c r="CJ150" s="112" t="n">
        <f aca="true">IFERROR(SUMPRODUCT(OFFSET($BJ$31,0,1-MIN(60,COLUMN()-29),1,MIN(60,COLUMN()-29)),OFFSET(CJ149,0,-MIN(60,COLUMN()-29),1,MIN(60,COLUMN()-29))),0)</f>
        <v>94.20205476</v>
      </c>
      <c r="CK150" s="112" t="n">
        <f aca="true">IFERROR(SUMPRODUCT(OFFSET($BJ$31,0,1-MIN(60,COLUMN()-29),1,MIN(60,COLUMN()-29)),OFFSET(CK149,0,-MIN(60,COLUMN()-29),1,MIN(60,COLUMN()-29))),0)</f>
        <v>109.08679068</v>
      </c>
      <c r="CL150" s="112" t="n">
        <f aca="true">IFERROR(SUMPRODUCT(OFFSET($BJ$31,0,1-MIN(60,COLUMN()-29),1,MIN(60,COLUMN()-29)),OFFSET(CL149,0,-MIN(60,COLUMN()-29),1,MIN(60,COLUMN()-29))),0)</f>
        <v>114.91826892</v>
      </c>
      <c r="CM150" s="112" t="n">
        <f aca="true">IFERROR(SUMPRODUCT(OFFSET($BJ$31,0,1-MIN(60,COLUMN()-29),1,MIN(60,COLUMN()-29)),OFFSET(CM149,0,-MIN(60,COLUMN()-29),1,MIN(60,COLUMN()-29))),0)</f>
        <v>115.41768012</v>
      </c>
      <c r="CN150" s="112" t="n">
        <f aca="true">IFERROR(SUMPRODUCT(OFFSET($BJ$31,0,1-MIN(60,COLUMN()-29),1,MIN(60,COLUMN()-29)),OFFSET(CN149,0,-MIN(60,COLUMN()-29),1,MIN(60,COLUMN()-29))),0)</f>
        <v>129.1475454</v>
      </c>
      <c r="CO150" s="112" t="n">
        <f aca="true">IFERROR(SUMPRODUCT(OFFSET($BJ$31,0,1-MIN(60,COLUMN()-29),1,MIN(60,COLUMN()-29)),OFFSET(CO149,0,-MIN(60,COLUMN()-29),1,MIN(60,COLUMN()-29))),0)</f>
        <v>133.25638356</v>
      </c>
      <c r="CP150" s="112" t="n">
        <f aca="true">IFERROR(SUMPRODUCT(OFFSET($BJ$31,0,1-MIN(60,COLUMN()-29),1,MIN(60,COLUMN()-29)),OFFSET(CP149,0,-MIN(60,COLUMN()-29),1,MIN(60,COLUMN()-29))),0)</f>
        <v>134.76202308</v>
      </c>
      <c r="CQ150" s="112" t="n">
        <f aca="true">IFERROR(SUMPRODUCT(OFFSET($BJ$31,0,1-MIN(60,COLUMN()-29),1,MIN(60,COLUMN()-29)),OFFSET(CQ149,0,-MIN(60,COLUMN()-29),1,MIN(60,COLUMN()-29))),0)</f>
        <v>135.0759222</v>
      </c>
      <c r="CR150" s="112" t="n">
        <f aca="true">IFERROR(SUMPRODUCT(OFFSET($BJ$31,0,1-MIN(60,COLUMN()-29),1,MIN(60,COLUMN()-29)),OFFSET(CR149,0,-MIN(60,COLUMN()-29),1,MIN(60,COLUMN()-29))),0)</f>
        <v>143.73536076</v>
      </c>
      <c r="CS150" s="112" t="n">
        <f aca="true">IFERROR(SUMPRODUCT(OFFSET($BJ$31,0,1-MIN(60,COLUMN()-29),1,MIN(60,COLUMN()-29)),OFFSET(CS149,0,-MIN(60,COLUMN()-29),1,MIN(60,COLUMN()-29))),0)</f>
        <v>166.5463758</v>
      </c>
      <c r="CT150" s="112" t="n">
        <f aca="true">IFERROR(SUMPRODUCT(OFFSET($BJ$31,0,1-MIN(60,COLUMN()-29),1,MIN(60,COLUMN()-29)),OFFSET(CT149,0,-MIN(60,COLUMN()-29),1,MIN(60,COLUMN()-29))),0)</f>
        <v>166.97144364</v>
      </c>
      <c r="CU150" s="112" t="n">
        <f aca="true">IFERROR(SUMPRODUCT(OFFSET($BJ$31,0,1-MIN(60,COLUMN()-29),1,MIN(60,COLUMN()-29)),OFFSET(CU149,0,-MIN(60,COLUMN()-29),1,MIN(60,COLUMN()-29))),0)</f>
        <v>166.14880044</v>
      </c>
      <c r="CV150" s="112" t="n">
        <f aca="true">IFERROR(SUMPRODUCT(OFFSET($BJ$31,0,1-MIN(60,COLUMN()-29),1,MIN(60,COLUMN()-29)),OFFSET(CV149,0,-MIN(60,COLUMN()-29),1,MIN(60,COLUMN()-29))),0)</f>
        <v>162.99609852</v>
      </c>
      <c r="CW150" s="112" t="n">
        <f aca="true">IFERROR(SUMPRODUCT(OFFSET($BJ$31,0,1-MIN(60,COLUMN()-29),1,MIN(60,COLUMN()-29)),OFFSET(CW149,0,-MIN(60,COLUMN()-29),1,MIN(60,COLUMN()-29))),0)</f>
        <v>179.79593076</v>
      </c>
      <c r="CX150" s="112" t="n">
        <f aca="true">IFERROR(SUMPRODUCT(OFFSET($BJ$31,0,1-MIN(60,COLUMN()-29),1,MIN(60,COLUMN()-29)),OFFSET(CX149,0,-MIN(60,COLUMN()-29),1,MIN(60,COLUMN()-29))),0)</f>
        <v>186.35793108</v>
      </c>
      <c r="CY150" s="112" t="n">
        <f aca="true">IFERROR(SUMPRODUCT(OFFSET($BJ$31,0,1-MIN(60,COLUMN()-29),1,MIN(60,COLUMN()-29)),OFFSET(CY149,0,-MIN(60,COLUMN()-29),1,MIN(60,COLUMN()-29))),0)</f>
        <v>186.79411668</v>
      </c>
      <c r="CZ150" s="112" t="n">
        <f aca="true">IFERROR(SUMPRODUCT(OFFSET($BJ$31,0,1-MIN(60,COLUMN()-29),1,MIN(60,COLUMN()-29)),OFFSET(CZ149,0,-MIN(60,COLUMN()-29),1,MIN(60,COLUMN()-29))),0)</f>
        <v>201.07535892</v>
      </c>
      <c r="DA150" s="112" t="n">
        <f aca="true">IFERROR(SUMPRODUCT(OFFSET($BJ$31,0,1-MIN(60,COLUMN()-29),1,MIN(60,COLUMN()-29)),OFFSET(DA149,0,-MIN(60,COLUMN()-29),1,MIN(60,COLUMN()-29))),0)</f>
        <v>204.75936012</v>
      </c>
      <c r="DB150" s="112" t="n">
        <f aca="true">IFERROR(SUMPRODUCT(OFFSET($BJ$31,0,1-MIN(60,COLUMN()-29),1,MIN(60,COLUMN()-29)),OFFSET(DB149,0,-MIN(60,COLUMN()-29),1,MIN(60,COLUMN()-29))),0)</f>
        <v>205.63197996</v>
      </c>
      <c r="DC150" s="112" t="n">
        <f aca="true">IFERROR(SUMPRODUCT(OFFSET($BJ$31,0,1-MIN(60,COLUMN()-29),1,MIN(60,COLUMN()-29)),OFFSET(DC149,0,-MIN(60,COLUMN()-29),1,MIN(60,COLUMN()-29))),0)</f>
        <v>205.39562988</v>
      </c>
      <c r="DD150" s="112" t="n">
        <f aca="true">IFERROR(SUMPRODUCT(OFFSET($BJ$31,0,1-MIN(60,COLUMN()-29),1,MIN(60,COLUMN()-29)),OFFSET(DD149,0,-MIN(60,COLUMN()-29),1,MIN(60,COLUMN()-29))),0)</f>
        <v>214.1198658</v>
      </c>
      <c r="DE150" s="112" t="n">
        <f aca="true">IFERROR(SUMPRODUCT(OFFSET($BJ$31,0,1-MIN(60,COLUMN()-29),1,MIN(60,COLUMN()-29)),OFFSET(DE149,0,-MIN(60,COLUMN()-29),1,MIN(60,COLUMN()-29))),0)</f>
        <v>236.7264588</v>
      </c>
      <c r="DF150" s="112" t="n">
        <f aca="true">IFERROR(SUMPRODUCT(OFFSET($BJ$31,0,1-MIN(60,COLUMN()-29),1,MIN(60,COLUMN()-29)),OFFSET(DF149,0,-MIN(60,COLUMN()-29),1,MIN(60,COLUMN()-29))),0)</f>
        <v>235.9826256</v>
      </c>
      <c r="DG150" s="112" t="n">
        <f aca="true">IFERROR(SUMPRODUCT(OFFSET($BJ$31,0,1-MIN(60,COLUMN()-29),1,MIN(60,COLUMN()-29)),OFFSET(DG149,0,-MIN(60,COLUMN()-29),1,MIN(60,COLUMN()-29))),0)</f>
        <v>233.80326048</v>
      </c>
      <c r="DH150" s="112" t="n">
        <f aca="true">IFERROR(SUMPRODUCT(OFFSET($BJ$31,0,1-MIN(60,COLUMN()-29),1,MIN(60,COLUMN()-29)),OFFSET(DH149,0,-MIN(60,COLUMN()-29),1,MIN(60,COLUMN()-29))),0)</f>
        <v>229.88886768</v>
      </c>
      <c r="DI150" s="112" t="n">
        <f aca="true">IFERROR(SUMPRODUCT(OFFSET($BJ$31,0,1-MIN(60,COLUMN()-29),1,MIN(60,COLUMN()-29)),OFFSET(DI149,0,-MIN(60,COLUMN()-29),1,MIN(60,COLUMN()-29))),0)</f>
        <v>246.4659096</v>
      </c>
      <c r="DJ150" s="112" t="n">
        <f aca="true">IFERROR(SUMPRODUCT(OFFSET($BJ$31,0,1-MIN(60,COLUMN()-29),1,MIN(60,COLUMN()-29)),OFFSET(DJ149,0,-MIN(60,COLUMN()-29),1,MIN(60,COLUMN()-29))),0)</f>
        <v>252.05315232</v>
      </c>
      <c r="DK150" s="112" t="n">
        <f aca="true">IFERROR(SUMPRODUCT(OFFSET($BJ$31,0,1-MIN(60,COLUMN()-29),1,MIN(60,COLUMN()-29)),OFFSET(DK149,0,-MIN(60,COLUMN()-29),1,MIN(60,COLUMN()-29))),0)</f>
        <v>251.67974832</v>
      </c>
      <c r="DL150" s="112" t="n">
        <f aca="true">IFERROR(SUMPRODUCT(OFFSET($BJ$31,0,1-MIN(60,COLUMN()-29),1,MIN(60,COLUMN()-29)),OFFSET(DL149,0,-MIN(60,COLUMN()-29),1,MIN(60,COLUMN()-29))),0)</f>
        <v>264.54331632</v>
      </c>
      <c r="DM150" s="112" t="n">
        <f aca="true">IFERROR(SUMPRODUCT(OFFSET($BJ$31,0,1-MIN(60,COLUMN()-29),1,MIN(60,COLUMN()-29)),OFFSET(DM149,0,-MIN(60,COLUMN()-29),1,MIN(60,COLUMN()-29))),0)</f>
        <v>266.67851232</v>
      </c>
      <c r="DN150" s="112" t="n">
        <f aca="true">IFERROR(SUMPRODUCT(OFFSET($BJ$31,0,1-MIN(60,COLUMN()-29),1,MIN(60,COLUMN()-29)),OFFSET(DN149,0,-MIN(60,COLUMN()-29),1,MIN(60,COLUMN()-29))),0)</f>
        <v>266.43573312</v>
      </c>
      <c r="DO150" s="112" t="n">
        <f aca="true">IFERROR(SUMPRODUCT(OFFSET($BJ$31,0,1-MIN(60,COLUMN()-29),1,MIN(60,COLUMN()-29)),OFFSET(DO149,0,-MIN(60,COLUMN()-29),1,MIN(60,COLUMN()-29))),0)</f>
        <v>264.68903712</v>
      </c>
      <c r="DP150" s="112" t="n">
        <f aca="true">IFERROR(SUMPRODUCT(OFFSET($BJ$31,0,1-MIN(60,COLUMN()-29),1,MIN(60,COLUMN()-29)),OFFSET(DP149,0,-MIN(60,COLUMN()-29),1,MIN(60,COLUMN()-29))),0)</f>
        <v>271.87704192</v>
      </c>
      <c r="DQ150" s="112" t="n">
        <f aca="true">IFERROR(SUMPRODUCT(OFFSET($BJ$31,0,1-MIN(60,COLUMN()-29),1,MIN(60,COLUMN()-29)),OFFSET(DQ149,0,-MIN(60,COLUMN()-29),1,MIN(60,COLUMN()-29))),0)</f>
        <v>291.52861512</v>
      </c>
      <c r="DR150" s="112" t="n">
        <f aca="true">IFERROR(SUMPRODUCT(OFFSET($BJ$31,0,1-MIN(60,COLUMN()-29),1,MIN(60,COLUMN()-29)),OFFSET(DR149,0,-MIN(60,COLUMN()-29),1,MIN(60,COLUMN()-29))),0)</f>
        <v>288.14666712</v>
      </c>
      <c r="DS150" s="112" t="n">
        <f aca="true">IFERROR(SUMPRODUCT(OFFSET($BJ$31,0,1-MIN(60,COLUMN()-29),1,MIN(60,COLUMN()-29)),OFFSET(DS149,0,-MIN(60,COLUMN()-29),1,MIN(60,COLUMN()-29))),0)</f>
        <v>283.84945752</v>
      </c>
      <c r="DT150" s="112" t="n">
        <f aca="true">IFERROR(SUMPRODUCT(OFFSET($BJ$31,0,1-MIN(60,COLUMN()-29),1,MIN(60,COLUMN()-29)),OFFSET(DT149,0,-MIN(60,COLUMN()-29),1,MIN(60,COLUMN()-29))),0)</f>
        <v>278.31952632</v>
      </c>
      <c r="DU150" s="112" t="n">
        <f aca="true">IFERROR(SUMPRODUCT(OFFSET($BJ$31,0,1-MIN(60,COLUMN()-29),1,MIN(60,COLUMN()-29)),OFFSET(DU149,0,-MIN(60,COLUMN()-29),1,MIN(60,COLUMN()-29))),0)</f>
        <v>292.52561712</v>
      </c>
      <c r="DV150" s="112" t="n">
        <f aca="true">IFERROR(SUMPRODUCT(OFFSET($BJ$31,0,1-MIN(60,COLUMN()-29),1,MIN(60,COLUMN()-29)),OFFSET(DV149,0,-MIN(60,COLUMN()-29),1,MIN(60,COLUMN()-29))),0)</f>
        <v>295.45628352</v>
      </c>
      <c r="DW150" s="112" t="n">
        <f aca="true">IFERROR(SUMPRODUCT(OFFSET($BJ$31,0,1-MIN(60,COLUMN()-29),1,MIN(60,COLUMN()-29)),OFFSET(DW149,0,-MIN(60,COLUMN()-29),1,MIN(60,COLUMN()-29))),0)</f>
        <v>292.97303592</v>
      </c>
      <c r="DX150" s="112" t="n">
        <f aca="true">IFERROR(SUMPRODUCT(OFFSET($BJ$31,0,1-MIN(60,COLUMN()-29),1,MIN(60,COLUMN()-29)),OFFSET(DX149,0,-MIN(60,COLUMN()-29),1,MIN(60,COLUMN()-29))),0)</f>
        <v>303.47514552</v>
      </c>
      <c r="DY150" s="112" t="n">
        <f aca="true">IFERROR(SUMPRODUCT(OFFSET($BJ$31,0,1-MIN(60,COLUMN()-29),1,MIN(60,COLUMN()-29)),OFFSET(DY149,0,-MIN(60,COLUMN()-29),1,MIN(60,COLUMN()-29))),0)</f>
        <v>303.39788952</v>
      </c>
      <c r="DZ150" s="112" t="n">
        <f aca="true">IFERROR(SUMPRODUCT(OFFSET($BJ$31,0,1-MIN(60,COLUMN()-29),1,MIN(60,COLUMN()-29)),OFFSET(DZ149,0,-MIN(60,COLUMN()-29),1,MIN(60,COLUMN()-29))),0)</f>
        <v>301.29244152</v>
      </c>
      <c r="EA150" s="112" t="n">
        <f aca="true">IFERROR(SUMPRODUCT(OFFSET($BJ$31,0,1-MIN(60,COLUMN()-29),1,MIN(60,COLUMN()-29)),OFFSET(EA149,0,-MIN(60,COLUMN()-29),1,MIN(60,COLUMN()-29))),0)</f>
        <v>297.95054232</v>
      </c>
      <c r="EB150" s="112" t="n">
        <f aca="true">IFERROR(SUMPRODUCT(OFFSET($BJ$31,0,1-MIN(60,COLUMN()-29),1,MIN(60,COLUMN()-29)),OFFSET(EB149,0,-MIN(60,COLUMN()-29),1,MIN(60,COLUMN()-29))),0)</f>
        <v>303.4389684</v>
      </c>
      <c r="EC150" s="112" t="n">
        <f aca="true">IFERROR(SUMPRODUCT(OFFSET($BJ$31,0,1-MIN(60,COLUMN()-29),1,MIN(60,COLUMN()-29)),OFFSET(EC149,0,-MIN(60,COLUMN()-29),1,MIN(60,COLUMN()-29))),0)</f>
        <v>320.37443376</v>
      </c>
      <c r="ED150" s="112" t="n">
        <f aca="true">IFERROR(SUMPRODUCT(OFFSET($BJ$31,0,1-MIN(60,COLUMN()-29),1,MIN(60,COLUMN()-29)),OFFSET(ED149,0,-MIN(60,COLUMN()-29),1,MIN(60,COLUMN()-29))),0)</f>
        <v>314.86176528</v>
      </c>
      <c r="EE150" s="112" t="n">
        <f aca="true">IFERROR(SUMPRODUCT(OFFSET($BJ$31,0,1-MIN(60,COLUMN()-29),1,MIN(60,COLUMN()-29)),OFFSET(EE149,0,-MIN(60,COLUMN()-29),1,MIN(60,COLUMN()-29))),0)</f>
        <v>308.8395624</v>
      </c>
      <c r="EF150" s="112" t="n">
        <f aca="true">IFERROR(SUMPRODUCT(OFFSET($BJ$31,0,1-MIN(60,COLUMN()-29),1,MIN(60,COLUMN()-29)),OFFSET(EF149,0,-MIN(60,COLUMN()-29),1,MIN(60,COLUMN()-29))),0)</f>
        <v>302.08973232</v>
      </c>
      <c r="EG150" s="112" t="n">
        <f aca="true">IFERROR(SUMPRODUCT(OFFSET($BJ$31,0,1-MIN(60,COLUMN()-29),1,MIN(60,COLUMN()-29)),OFFSET(EG149,0,-MIN(60,COLUMN()-29),1,MIN(60,COLUMN()-29))),0)</f>
        <v>314.53638432</v>
      </c>
      <c r="EH150" s="112" t="n">
        <f aca="true">IFERROR(SUMPRODUCT(OFFSET($BJ$31,0,1-MIN(60,COLUMN()-29),1,MIN(60,COLUMN()-29)),OFFSET(EH149,0,-MIN(60,COLUMN()-29),1,MIN(60,COLUMN()-29))),0)</f>
        <v>315.72207744</v>
      </c>
      <c r="EI150" s="112" t="n">
        <f aca="true">IFERROR(SUMPRODUCT(OFFSET($BJ$31,0,1-MIN(60,COLUMN()-29),1,MIN(60,COLUMN()-29)),OFFSET(EI149,0,-MIN(60,COLUMN()-29),1,MIN(60,COLUMN()-29))),0)</f>
        <v>311.9488944</v>
      </c>
      <c r="EJ150" s="112" t="n">
        <f aca="true">IFERROR(SUMPRODUCT(OFFSET($BJ$31,0,1-MIN(60,COLUMN()-29),1,MIN(60,COLUMN()-29)),OFFSET(EJ149,0,-MIN(60,COLUMN()-29),1,MIN(60,COLUMN()-29))),0)</f>
        <v>320.71119888</v>
      </c>
      <c r="EK150" s="112" t="n">
        <f aca="true">IFERROR(SUMPRODUCT(OFFSET($BJ$31,0,1-MIN(60,COLUMN()-29),1,MIN(60,COLUMN()-29)),OFFSET(EK149,0,-MIN(60,COLUMN()-29),1,MIN(60,COLUMN()-29))),0)</f>
        <v>319.06617888</v>
      </c>
      <c r="EL150" s="112" t="n">
        <f aca="true">IFERROR(SUMPRODUCT(OFFSET($BJ$31,0,1-MIN(60,COLUMN()-29),1,MIN(60,COLUMN()-29)),OFFSET(EL149,0,-MIN(60,COLUMN()-29),1,MIN(60,COLUMN()-29))),0)</f>
        <v>315.62132496</v>
      </c>
      <c r="EM150" s="112" t="n">
        <f aca="true">IFERROR(SUMPRODUCT(OFFSET($BJ$31,0,1-MIN(60,COLUMN()-29),1,MIN(60,COLUMN()-29)),OFFSET(EM149,0,-MIN(60,COLUMN()-29),1,MIN(60,COLUMN()-29))),0)</f>
        <v>311.44932336</v>
      </c>
      <c r="EN150" s="112" t="n">
        <f aca="true">IFERROR(SUMPRODUCT(OFFSET($BJ$31,0,1-MIN(60,COLUMN()-29),1,MIN(60,COLUMN()-29)),OFFSET(EN149,0,-MIN(60,COLUMN()-29),1,MIN(60,COLUMN()-29))),0)</f>
        <v>316.09187616</v>
      </c>
      <c r="EO150" s="112" t="n">
        <f aca="true">IFERROR(SUMPRODUCT(OFFSET($BJ$31,0,1-MIN(60,COLUMN()-29),1,MIN(60,COLUMN()-29)),OFFSET(EO149,0,-MIN(60,COLUMN()-29),1,MIN(60,COLUMN()-29))),0)</f>
        <v>331.68631056</v>
      </c>
      <c r="EP150" s="112" t="n">
        <f aca="true">IFERROR(SUMPRODUCT(OFFSET($BJ$31,0,1-MIN(60,COLUMN()-29),1,MIN(60,COLUMN()-29)),OFFSET(EP149,0,-MIN(60,COLUMN()-29),1,MIN(60,COLUMN()-29))),0)</f>
        <v>325.11523488</v>
      </c>
      <c r="EQ150" s="112" t="n">
        <f aca="true">IFERROR(SUMPRODUCT(OFFSET($BJ$31,0,1-MIN(60,COLUMN()-29),1,MIN(60,COLUMN()-29)),OFFSET(EQ149,0,-MIN(60,COLUMN()-29),1,MIN(60,COLUMN()-29))),0)</f>
        <v>318.18769824</v>
      </c>
      <c r="ER150" s="112" t="n">
        <f aca="true">IFERROR(SUMPRODUCT(OFFSET($BJ$31,0,1-MIN(60,COLUMN()-29),1,MIN(60,COLUMN()-29)),OFFSET(ER149,0,-MIN(60,COLUMN()-29),1,MIN(60,COLUMN()-29))),0)</f>
        <v>310.8058608</v>
      </c>
      <c r="ES150" s="9" t="n">
        <f aca="true">IFERROR(SUMPRODUCT(OFFSET($BJ$31,0,1-MIN(60,COLUMN()-29),1,MIN(60,COLUMN()-29)),OFFSET(ES149,0,-MIN(60,COLUMN()-29),1,MIN(60,COLUMN()-29))),0)</f>
        <v>322.4237424</v>
      </c>
      <c r="ET150" s="9" t="n">
        <f aca="true">IFERROR(SUMPRODUCT(OFFSET($BJ$31,0,1-MIN(60,COLUMN()-29),1,MIN(60,COLUMN()-29)),OFFSET(ET149,0,-MIN(60,COLUMN()-29),1,MIN(60,COLUMN()-29))),0)</f>
        <v>322.8009648</v>
      </c>
      <c r="EU150" s="9" t="n">
        <f aca="true">IFERROR(SUMPRODUCT(OFFSET($BJ$31,0,1-MIN(60,COLUMN()-29),1,MIN(60,COLUMN()-29)),OFFSET(EU149,0,-MIN(60,COLUMN()-29),1,MIN(60,COLUMN()-29))),0)</f>
        <v>318.46855488</v>
      </c>
      <c r="EV150" s="9" t="n">
        <f aca="true">IFERROR(SUMPRODUCT(OFFSET($BJ$31,0,1-MIN(60,COLUMN()-29),1,MIN(60,COLUMN()-29)),OFFSET(EV149,0,-MIN(60,COLUMN()-29),1,MIN(60,COLUMN()-29))),0)</f>
        <v>326.44130304</v>
      </c>
      <c r="EW150" s="9" t="n">
        <f aca="true">IFERROR(SUMPRODUCT(OFFSET($BJ$31,0,1-MIN(60,COLUMN()-29),1,MIN(60,COLUMN()-29)),OFFSET(EW149,0,-MIN(60,COLUMN()-29),1,MIN(60,COLUMN()-29))),0)</f>
        <v>324.08419584</v>
      </c>
      <c r="EX150" s="9" t="n">
        <f aca="true">IFERROR(SUMPRODUCT(OFFSET($BJ$31,0,1-MIN(60,COLUMN()-29),1,MIN(60,COLUMN()-29)),OFFSET(EX149,0,-MIN(60,COLUMN()-29),1,MIN(60,COLUMN()-29))),0)</f>
        <v>320.10382464</v>
      </c>
      <c r="EY150" s="9" t="n">
        <f aca="true">IFERROR(SUMPRODUCT(OFFSET($BJ$31,0,1-MIN(60,COLUMN()-29),1,MIN(60,COLUMN()-29)),OFFSET(EY149,0,-MIN(60,COLUMN()-29),1,MIN(60,COLUMN()-29))),0)</f>
        <v>315.51730464</v>
      </c>
      <c r="EZ150" s="9" t="n">
        <f aca="true">IFERROR(SUMPRODUCT(OFFSET($BJ$31,0,1-MIN(60,COLUMN()-29),1,MIN(60,COLUMN()-29)),OFFSET(EZ149,0,-MIN(60,COLUMN()-29),1,MIN(60,COLUMN()-29))),0)</f>
        <v>319.753704</v>
      </c>
      <c r="FA150" s="9" t="n">
        <f aca="true">IFERROR(SUMPRODUCT(OFFSET($BJ$31,0,1-MIN(60,COLUMN()-29),1,MIN(60,COLUMN()-29)),OFFSET(FA149,0,-MIN(60,COLUMN()-29),1,MIN(60,COLUMN()-29))),0)</f>
        <v>334.66343712</v>
      </c>
      <c r="FB150" s="9" t="n">
        <f aca="true">IFERROR(SUMPRODUCT(OFFSET($BJ$31,0,1-MIN(60,COLUMN()-29),1,MIN(60,COLUMN()-29)),OFFSET(FB149,0,-MIN(60,COLUMN()-29),1,MIN(60,COLUMN()-29))),0)</f>
        <v>327.571656</v>
      </c>
      <c r="FC150" s="9" t="n">
        <f aca="true">IFERROR(SUMPRODUCT(OFFSET($BJ$31,0,1-MIN(60,COLUMN()-29),1,MIN(60,COLUMN()-29)),OFFSET(FC149,0,-MIN(60,COLUMN()-29),1,MIN(60,COLUMN()-29))),0)</f>
        <v>320.275848</v>
      </c>
      <c r="FD150" s="9" t="n">
        <f aca="true">IFERROR(SUMPRODUCT(OFFSET($BJ$31,0,1-MIN(60,COLUMN()-29),1,MIN(60,COLUMN()-29)),OFFSET(FD149,0,-MIN(60,COLUMN()-29),1,MIN(60,COLUMN()-29))),0)</f>
        <v>312.640824</v>
      </c>
      <c r="FE150" s="9" t="n">
        <f aca="true">IFERROR(SUMPRODUCT(OFFSET($BJ$31,0,1-MIN(60,COLUMN()-29),1,MIN(60,COLUMN()-29)),OFFSET(FE149,0,-MIN(60,COLUMN()-29),1,MIN(60,COLUMN()-29))),0)</f>
        <v>323.932632</v>
      </c>
      <c r="FF150" s="9" t="n">
        <f aca="true">IFERROR(SUMPRODUCT(OFFSET($BJ$31,0,1-MIN(60,COLUMN()-29),1,MIN(60,COLUMN()-29)),OFFSET(FF149,0,-MIN(60,COLUMN()-29),1,MIN(60,COLUMN()-29))),0)</f>
        <v>323.9646</v>
      </c>
      <c r="FG150" s="9" t="n">
        <f aca="true">IFERROR(SUMPRODUCT(OFFSET($BJ$31,0,1-MIN(60,COLUMN()-29),1,MIN(60,COLUMN()-29)),OFFSET(FG149,0,-MIN(60,COLUMN()-29),1,MIN(60,COLUMN()-29))),0)</f>
        <v>319.42248</v>
      </c>
      <c r="FH150" s="9" t="n">
        <f aca="true">IFERROR(SUMPRODUCT(OFFSET($BJ$31,0,1-MIN(60,COLUMN()-29),1,MIN(60,COLUMN()-29)),OFFSET(FH149,0,-MIN(60,COLUMN()-29),1,MIN(60,COLUMN()-29))),0)</f>
        <v>327.135648</v>
      </c>
      <c r="FI150" s="9" t="n">
        <f aca="true">IFERROR(SUMPRODUCT(OFFSET($BJ$31,0,1-MIN(60,COLUMN()-29),1,MIN(60,COLUMN()-29)),OFFSET(FI149,0,-MIN(60,COLUMN()-29),1,MIN(60,COLUMN()-29))),0)</f>
        <v>324.567552</v>
      </c>
      <c r="FJ150" s="9" t="n">
        <f aca="true">IFERROR(SUMPRODUCT(OFFSET($BJ$31,0,1-MIN(60,COLUMN()-29),1,MIN(60,COLUMN()-29)),OFFSET(FJ149,0,-MIN(60,COLUMN()-29),1,MIN(60,COLUMN()-29))),0)</f>
        <v>320.440128</v>
      </c>
      <c r="FK150" s="9" t="n">
        <f aca="true">IFERROR(SUMPRODUCT(OFFSET($BJ$31,0,1-MIN(60,COLUMN()-29),1,MIN(60,COLUMN()-29)),OFFSET(FK149,0,-MIN(60,COLUMN()-29),1,MIN(60,COLUMN()-29))),0)</f>
        <v>315.725736</v>
      </c>
      <c r="FL150" s="9" t="n">
        <f aca="true">IFERROR(SUMPRODUCT(OFFSET($BJ$31,0,1-MIN(60,COLUMN()-29),1,MIN(60,COLUMN()-29)),OFFSET(FL149,0,-MIN(60,COLUMN()-29),1,MIN(60,COLUMN()-29))),0)</f>
        <v>319.881576</v>
      </c>
      <c r="FM150" s="9" t="n">
        <f aca="true">IFERROR(SUMPRODUCT(OFFSET($BJ$31,0,1-MIN(60,COLUMN()-29),1,MIN(60,COLUMN()-29)),OFFSET(FM149,0,-MIN(60,COLUMN()-29),1,MIN(60,COLUMN()-29))),0)</f>
        <v>334.70052</v>
      </c>
      <c r="FN150" s="9" t="n">
        <f aca="true">IFERROR(SUMPRODUCT(OFFSET($BJ$31,0,1-MIN(60,COLUMN()-29),1,MIN(60,COLUMN()-29)),OFFSET(FN149,0,-MIN(60,COLUMN()-29),1,MIN(60,COLUMN()-29))),0)</f>
        <v>327.571656</v>
      </c>
      <c r="FO150" s="9" t="n">
        <f aca="true">IFERROR(SUMPRODUCT(OFFSET($BJ$31,0,1-MIN(60,COLUMN()-29),1,MIN(60,COLUMN()-29)),OFFSET(FO149,0,-MIN(60,COLUMN()-29),1,MIN(60,COLUMN()-29))),0)</f>
        <v>320.275848</v>
      </c>
      <c r="FP150" s="9" t="n">
        <f aca="true">IFERROR(SUMPRODUCT(OFFSET($BJ$31,0,1-MIN(60,COLUMN()-29),1,MIN(60,COLUMN()-29)),OFFSET(FP149,0,-MIN(60,COLUMN()-29),1,MIN(60,COLUMN()-29))),0)</f>
        <v>312.640824</v>
      </c>
    </row>
    <row r="151" customFormat="false" ht="15" hidden="false" customHeight="false" outlineLevel="2" collapsed="false">
      <c r="B151" s="90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237"/>
      <c r="AD151" s="237"/>
      <c r="AE151" s="237"/>
      <c r="AF151" s="237"/>
      <c r="AG151" s="237"/>
      <c r="AH151" s="237"/>
      <c r="AI151" s="237"/>
      <c r="AJ151" s="237"/>
      <c r="AK151" s="237"/>
      <c r="AL151" s="237"/>
      <c r="AM151" s="237"/>
      <c r="AN151" s="237"/>
      <c r="AO151" s="237"/>
      <c r="AP151" s="237"/>
      <c r="AQ151" s="237"/>
      <c r="AR151" s="237"/>
      <c r="AS151" s="237"/>
      <c r="AT151" s="237"/>
      <c r="AU151" s="237"/>
      <c r="AV151" s="237"/>
      <c r="AW151" s="237"/>
      <c r="AX151" s="237"/>
      <c r="AY151" s="237"/>
      <c r="AZ151" s="237"/>
      <c r="BA151" s="237"/>
      <c r="BB151" s="237"/>
      <c r="BC151" s="237"/>
      <c r="BD151" s="237"/>
      <c r="BE151" s="237"/>
      <c r="BF151" s="237"/>
      <c r="BG151" s="237"/>
      <c r="BH151" s="237"/>
      <c r="BI151" s="237"/>
      <c r="BJ151" s="237"/>
      <c r="BK151" s="237"/>
      <c r="BL151" s="237"/>
      <c r="BM151" s="237"/>
      <c r="BN151" s="237"/>
      <c r="BO151" s="237"/>
      <c r="BP151" s="237"/>
      <c r="BQ151" s="237"/>
      <c r="BR151" s="237"/>
      <c r="BS151" s="237"/>
      <c r="BT151" s="237"/>
      <c r="BU151" s="237"/>
      <c r="BV151" s="237"/>
      <c r="BW151" s="237"/>
      <c r="BX151" s="237"/>
      <c r="BY151" s="237"/>
      <c r="BZ151" s="237"/>
      <c r="CA151" s="237"/>
      <c r="CB151" s="237"/>
      <c r="CC151" s="237"/>
      <c r="CD151" s="237"/>
      <c r="CE151" s="237"/>
      <c r="CF151" s="237"/>
      <c r="CG151" s="237"/>
      <c r="CH151" s="237"/>
      <c r="CI151" s="237"/>
      <c r="CJ151" s="237"/>
      <c r="CK151" s="237"/>
      <c r="CL151" s="237"/>
      <c r="CM151" s="237"/>
      <c r="CN151" s="237"/>
      <c r="CO151" s="237"/>
      <c r="CP151" s="237"/>
      <c r="CQ151" s="237"/>
      <c r="CR151" s="237"/>
      <c r="CS151" s="237"/>
      <c r="CT151" s="237"/>
      <c r="CU151" s="237"/>
      <c r="CV151" s="237"/>
      <c r="CW151" s="237"/>
      <c r="CX151" s="237"/>
      <c r="CY151" s="237"/>
      <c r="CZ151" s="237"/>
      <c r="DA151" s="237"/>
      <c r="DB151" s="237"/>
      <c r="DC151" s="237"/>
      <c r="DD151" s="237"/>
      <c r="DE151" s="237"/>
      <c r="DF151" s="237"/>
      <c r="DG151" s="237"/>
      <c r="DH151" s="237"/>
      <c r="DI151" s="237"/>
      <c r="DJ151" s="237"/>
      <c r="DK151" s="237"/>
      <c r="DL151" s="237"/>
      <c r="DM151" s="237"/>
      <c r="DN151" s="237"/>
      <c r="DO151" s="237"/>
      <c r="DP151" s="237"/>
      <c r="DQ151" s="237"/>
      <c r="DR151" s="237"/>
      <c r="DS151" s="237"/>
      <c r="DT151" s="237"/>
      <c r="DU151" s="237"/>
      <c r="DV151" s="237"/>
      <c r="DW151" s="237"/>
      <c r="DX151" s="237"/>
      <c r="DY151" s="237"/>
      <c r="DZ151" s="237"/>
      <c r="EA151" s="237"/>
      <c r="EB151" s="237"/>
      <c r="EC151" s="237"/>
      <c r="ED151" s="237"/>
      <c r="EE151" s="237"/>
      <c r="EF151" s="237"/>
      <c r="EG151" s="237"/>
      <c r="EH151" s="237"/>
      <c r="EI151" s="237"/>
      <c r="EJ151" s="237"/>
      <c r="EK151" s="237"/>
      <c r="EL151" s="237"/>
      <c r="EM151" s="237"/>
      <c r="EN151" s="237"/>
      <c r="EO151" s="237"/>
      <c r="EP151" s="237"/>
      <c r="EQ151" s="237"/>
      <c r="ER151" s="237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</row>
    <row r="152" customFormat="false" ht="15" hidden="false" customHeight="false" outlineLevel="2" collapsed="false">
      <c r="B152" s="240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237"/>
      <c r="AD152" s="237"/>
      <c r="AE152" s="237"/>
      <c r="AF152" s="237"/>
      <c r="AG152" s="237"/>
      <c r="AH152" s="237"/>
      <c r="AI152" s="237"/>
      <c r="AJ152" s="237"/>
      <c r="AK152" s="237"/>
      <c r="AL152" s="237"/>
      <c r="AM152" s="237"/>
      <c r="AN152" s="237"/>
      <c r="AO152" s="237"/>
      <c r="AP152" s="237"/>
      <c r="AQ152" s="237"/>
      <c r="AR152" s="237"/>
      <c r="AS152" s="237"/>
      <c r="AT152" s="237"/>
      <c r="AU152" s="237"/>
      <c r="AV152" s="237"/>
      <c r="AW152" s="237"/>
      <c r="AX152" s="237"/>
      <c r="AY152" s="237"/>
      <c r="AZ152" s="237"/>
      <c r="BA152" s="237"/>
      <c r="BB152" s="237"/>
      <c r="BC152" s="237"/>
      <c r="BD152" s="237"/>
      <c r="BE152" s="237"/>
      <c r="BF152" s="237"/>
      <c r="BG152" s="237"/>
      <c r="BH152" s="237"/>
      <c r="BI152" s="237"/>
      <c r="BJ152" s="237"/>
      <c r="BK152" s="237"/>
      <c r="BL152" s="237"/>
      <c r="BM152" s="237"/>
      <c r="BN152" s="237"/>
      <c r="BO152" s="237"/>
      <c r="BP152" s="237"/>
      <c r="BQ152" s="237"/>
      <c r="BR152" s="237"/>
      <c r="BS152" s="237"/>
      <c r="BT152" s="237"/>
      <c r="BU152" s="237"/>
      <c r="BV152" s="237"/>
      <c r="BW152" s="237"/>
      <c r="BX152" s="237"/>
      <c r="BY152" s="237"/>
      <c r="BZ152" s="237"/>
      <c r="CA152" s="237"/>
      <c r="CB152" s="237"/>
      <c r="CC152" s="237"/>
      <c r="CD152" s="237"/>
      <c r="CE152" s="237"/>
      <c r="CF152" s="237"/>
      <c r="CG152" s="237"/>
      <c r="CH152" s="237"/>
      <c r="CI152" s="237"/>
      <c r="CJ152" s="237"/>
      <c r="CK152" s="237"/>
      <c r="CL152" s="237"/>
      <c r="CM152" s="237"/>
      <c r="CN152" s="237"/>
      <c r="CO152" s="237"/>
      <c r="CP152" s="237"/>
      <c r="CQ152" s="237"/>
      <c r="CR152" s="237"/>
      <c r="CS152" s="237"/>
      <c r="CT152" s="237"/>
      <c r="CU152" s="237"/>
      <c r="CV152" s="237"/>
      <c r="CW152" s="237"/>
      <c r="CX152" s="237"/>
      <c r="CY152" s="237"/>
      <c r="CZ152" s="237"/>
      <c r="DA152" s="237"/>
      <c r="DB152" s="237"/>
      <c r="DC152" s="237"/>
      <c r="DD152" s="237"/>
      <c r="DE152" s="237"/>
      <c r="DF152" s="237"/>
      <c r="DG152" s="237"/>
      <c r="DH152" s="237"/>
      <c r="DI152" s="237"/>
      <c r="DJ152" s="237"/>
      <c r="DK152" s="237"/>
      <c r="DL152" s="237"/>
      <c r="DM152" s="237"/>
      <c r="DN152" s="237"/>
      <c r="DO152" s="237"/>
      <c r="DP152" s="237"/>
      <c r="DQ152" s="237"/>
      <c r="DR152" s="237"/>
      <c r="DS152" s="237"/>
      <c r="DT152" s="237"/>
      <c r="DU152" s="237"/>
      <c r="DV152" s="237"/>
      <c r="DW152" s="237"/>
      <c r="DX152" s="237"/>
      <c r="DY152" s="237"/>
      <c r="DZ152" s="237"/>
      <c r="EA152" s="237"/>
      <c r="EB152" s="237"/>
      <c r="EC152" s="237"/>
      <c r="ED152" s="237"/>
      <c r="EE152" s="237"/>
      <c r="EF152" s="237"/>
      <c r="EG152" s="237"/>
      <c r="EH152" s="237"/>
      <c r="EI152" s="237"/>
      <c r="EJ152" s="237"/>
      <c r="EK152" s="237"/>
      <c r="EL152" s="237"/>
      <c r="EM152" s="237"/>
      <c r="EN152" s="237"/>
      <c r="EO152" s="237"/>
      <c r="EP152" s="237"/>
      <c r="EQ152" s="237"/>
      <c r="ER152" s="237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</row>
    <row r="153" customFormat="false" ht="15" hidden="false" customHeight="false" outlineLevel="2" collapsed="false">
      <c r="B153" s="21" t="s">
        <v>888</v>
      </c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</row>
    <row r="154" customFormat="false" ht="15" hidden="false" customHeight="false" outlineLevel="2" collapsed="false">
      <c r="B154" s="9" t="s">
        <v>872</v>
      </c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234" t="n">
        <f aca="false">('⑫ Roll-out Plan'!G21-2025)*12+'⑫ Roll-out Plan'!F21</f>
        <v>41</v>
      </c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</row>
    <row r="155" customFormat="false" ht="15" hidden="false" customHeight="false" outlineLevel="2" collapsed="false">
      <c r="B155" s="9" t="s">
        <v>873</v>
      </c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235" t="n">
        <f aca="false">VLOOKUP("B",$B$14:$C$18,2,FALSE())</f>
        <v>185</v>
      </c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</row>
    <row r="156" customFormat="false" ht="15" hidden="false" customHeight="false" outlineLevel="2" collapsed="false">
      <c r="B156" s="9" t="s">
        <v>799</v>
      </c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63" t="n">
        <f aca="false">IF(AC$35&gt;=$AC$154,AC$35-$AC$154+1,0)</f>
        <v>0</v>
      </c>
      <c r="AD156" s="63" t="n">
        <f aca="false">IF(AD$35&gt;=$AC$154,AD$35-$AC$154+1,0)</f>
        <v>0</v>
      </c>
      <c r="AE156" s="63" t="n">
        <f aca="false">IF(AE$35&gt;=$AC$154,AE$35-$AC$154+1,0)</f>
        <v>0</v>
      </c>
      <c r="AF156" s="63" t="n">
        <f aca="false">IF(AF$35&gt;=$AC$154,AF$35-$AC$154+1,0)</f>
        <v>0</v>
      </c>
      <c r="AG156" s="63" t="n">
        <f aca="false">IF(AG$35&gt;=$AC$154,AG$35-$AC$154+1,0)</f>
        <v>0</v>
      </c>
      <c r="AH156" s="63" t="n">
        <f aca="false">IF(AH$35&gt;=$AC$154,AH$35-$AC$154+1,0)</f>
        <v>0</v>
      </c>
      <c r="AI156" s="63" t="n">
        <f aca="false">IF(AI$35&gt;=$AC$154,AI$35-$AC$154+1,0)</f>
        <v>0</v>
      </c>
      <c r="AJ156" s="63" t="n">
        <f aca="false">IF(AJ$35&gt;=$AC$154,AJ$35-$AC$154+1,0)</f>
        <v>0</v>
      </c>
      <c r="AK156" s="63" t="n">
        <f aca="false">IF(AK$35&gt;=$AC$154,AK$35-$AC$154+1,0)</f>
        <v>0</v>
      </c>
      <c r="AL156" s="63" t="n">
        <f aca="false">IF(AL$35&gt;=$AC$154,AL$35-$AC$154+1,0)</f>
        <v>0</v>
      </c>
      <c r="AM156" s="63" t="n">
        <f aca="false">IF(AM$35&gt;=$AC$154,AM$35-$AC$154+1,0)</f>
        <v>0</v>
      </c>
      <c r="AN156" s="63" t="n">
        <f aca="false">IF(AN$35&gt;=$AC$154,AN$35-$AC$154+1,0)</f>
        <v>0</v>
      </c>
      <c r="AO156" s="63" t="n">
        <f aca="false">IF(AO$35&gt;=$AC$154,AO$35-$AC$154+1,0)</f>
        <v>0</v>
      </c>
      <c r="AP156" s="63" t="n">
        <f aca="false">IF(AP$35&gt;=$AC$154,AP$35-$AC$154+1,0)</f>
        <v>0</v>
      </c>
      <c r="AQ156" s="63" t="n">
        <f aca="false">IF(AQ$35&gt;=$AC$154,AQ$35-$AC$154+1,0)</f>
        <v>0</v>
      </c>
      <c r="AR156" s="63" t="n">
        <f aca="false">IF(AR$35&gt;=$AC$154,AR$35-$AC$154+1,0)</f>
        <v>0</v>
      </c>
      <c r="AS156" s="63" t="n">
        <f aca="false">IF(AS$35&gt;=$AC$154,AS$35-$AC$154+1,0)</f>
        <v>0</v>
      </c>
      <c r="AT156" s="63" t="n">
        <f aca="false">IF(AT$35&gt;=$AC$154,AT$35-$AC$154+1,0)</f>
        <v>0</v>
      </c>
      <c r="AU156" s="63" t="n">
        <f aca="false">IF(AU$35&gt;=$AC$154,AU$35-$AC$154+1,0)</f>
        <v>0</v>
      </c>
      <c r="AV156" s="63" t="n">
        <f aca="false">IF(AV$35&gt;=$AC$154,AV$35-$AC$154+1,0)</f>
        <v>0</v>
      </c>
      <c r="AW156" s="63" t="n">
        <f aca="false">IF(AW$35&gt;=$AC$154,AW$35-$AC$154+1,0)</f>
        <v>0</v>
      </c>
      <c r="AX156" s="63" t="n">
        <f aca="false">IF(AX$35&gt;=$AC$154,AX$35-$AC$154+1,0)</f>
        <v>0</v>
      </c>
      <c r="AY156" s="63" t="n">
        <f aca="false">IF(AY$35&gt;=$AC$154,AY$35-$AC$154+1,0)</f>
        <v>0</v>
      </c>
      <c r="AZ156" s="63" t="n">
        <f aca="false">IF(AZ$35&gt;=$AC$154,AZ$35-$AC$154+1,0)</f>
        <v>0</v>
      </c>
      <c r="BA156" s="63" t="n">
        <f aca="false">IF(BA$35&gt;=$AC$154,BA$35-$AC$154+1,0)</f>
        <v>0</v>
      </c>
      <c r="BB156" s="63" t="n">
        <f aca="false">IF(BB$35&gt;=$AC$154,BB$35-$AC$154+1,0)</f>
        <v>0</v>
      </c>
      <c r="BC156" s="63" t="n">
        <f aca="false">IF(BC$35&gt;=$AC$154,BC$35-$AC$154+1,0)</f>
        <v>0</v>
      </c>
      <c r="BD156" s="63" t="n">
        <f aca="false">IF(BD$35&gt;=$AC$154,BD$35-$AC$154+1,0)</f>
        <v>0</v>
      </c>
      <c r="BE156" s="63" t="n">
        <f aca="false">IF(BE$35&gt;=$AC$154,BE$35-$AC$154+1,0)</f>
        <v>0</v>
      </c>
      <c r="BF156" s="63" t="n">
        <f aca="false">IF(BF$35&gt;=$AC$154,BF$35-$AC$154+1,0)</f>
        <v>0</v>
      </c>
      <c r="BG156" s="63" t="n">
        <f aca="false">IF(BG$35&gt;=$AC$154,BG$35-$AC$154+1,0)</f>
        <v>0</v>
      </c>
      <c r="BH156" s="63" t="n">
        <f aca="false">IF(BH$35&gt;=$AC$154,BH$35-$AC$154+1,0)</f>
        <v>0</v>
      </c>
      <c r="BI156" s="63" t="n">
        <f aca="false">IF(BI$35&gt;=$AC$154,BI$35-$AC$154+1,0)</f>
        <v>0</v>
      </c>
      <c r="BJ156" s="63" t="n">
        <f aca="false">IF(BJ$35&gt;=$AC$154,BJ$35-$AC$154+1,0)</f>
        <v>0</v>
      </c>
      <c r="BK156" s="63" t="n">
        <f aca="false">IF(BK$35&gt;=$AC$154,BK$35-$AC$154+1,0)</f>
        <v>0</v>
      </c>
      <c r="BL156" s="63" t="n">
        <f aca="false">IF(BL$35&gt;=$AC$154,BL$35-$AC$154+1,0)</f>
        <v>0</v>
      </c>
      <c r="BM156" s="63" t="n">
        <f aca="false">IF(BM$35&gt;=$AC$154,BM$35-$AC$154+1,0)</f>
        <v>0</v>
      </c>
      <c r="BN156" s="63" t="n">
        <f aca="false">IF(BN$35&gt;=$AC$154,BN$35-$AC$154+1,0)</f>
        <v>0</v>
      </c>
      <c r="BO156" s="63" t="n">
        <f aca="false">IF(BO$35&gt;=$AC$154,BO$35-$AC$154+1,0)</f>
        <v>0</v>
      </c>
      <c r="BP156" s="63" t="n">
        <f aca="false">IF(BP$35&gt;=$AC$154,BP$35-$AC$154+1,0)</f>
        <v>0</v>
      </c>
      <c r="BQ156" s="63" t="n">
        <f aca="false">IF(BQ$35&gt;=$AC$154,BQ$35-$AC$154+1,0)</f>
        <v>1</v>
      </c>
      <c r="BR156" s="63" t="n">
        <f aca="false">IF(BR$35&gt;=$AC$154,BR$35-$AC$154+1,0)</f>
        <v>2</v>
      </c>
      <c r="BS156" s="63" t="n">
        <f aca="false">IF(BS$35&gt;=$AC$154,BS$35-$AC$154+1,0)</f>
        <v>3</v>
      </c>
      <c r="BT156" s="63" t="n">
        <f aca="false">IF(BT$35&gt;=$AC$154,BT$35-$AC$154+1,0)</f>
        <v>4</v>
      </c>
      <c r="BU156" s="63" t="n">
        <f aca="false">IF(BU$35&gt;=$AC$154,BU$35-$AC$154+1,0)</f>
        <v>5</v>
      </c>
      <c r="BV156" s="63" t="n">
        <f aca="false">IF(BV$35&gt;=$AC$154,BV$35-$AC$154+1,0)</f>
        <v>6</v>
      </c>
      <c r="BW156" s="63" t="n">
        <f aca="false">IF(BW$35&gt;=$AC$154,BW$35-$AC$154+1,0)</f>
        <v>7</v>
      </c>
      <c r="BX156" s="63" t="n">
        <f aca="false">IF(BX$35&gt;=$AC$154,BX$35-$AC$154+1,0)</f>
        <v>8</v>
      </c>
      <c r="BY156" s="63" t="n">
        <f aca="false">IF(BY$35&gt;=$AC$154,BY$35-$AC$154+1,0)</f>
        <v>9</v>
      </c>
      <c r="BZ156" s="63" t="n">
        <f aca="false">IF(BZ$35&gt;=$AC$154,BZ$35-$AC$154+1,0)</f>
        <v>10</v>
      </c>
      <c r="CA156" s="63" t="n">
        <f aca="false">IF(CA$35&gt;=$AC$154,CA$35-$AC$154+1,0)</f>
        <v>11</v>
      </c>
      <c r="CB156" s="63" t="n">
        <f aca="false">IF(CB$35&gt;=$AC$154,CB$35-$AC$154+1,0)</f>
        <v>12</v>
      </c>
      <c r="CC156" s="63" t="n">
        <f aca="false">IF(CC$35&gt;=$AC$154,CC$35-$AC$154+1,0)</f>
        <v>13</v>
      </c>
      <c r="CD156" s="63" t="n">
        <f aca="false">IF(CD$35&gt;=$AC$154,CD$35-$AC$154+1,0)</f>
        <v>14</v>
      </c>
      <c r="CE156" s="63" t="n">
        <f aca="false">IF(CE$35&gt;=$AC$154,CE$35-$AC$154+1,0)</f>
        <v>15</v>
      </c>
      <c r="CF156" s="63" t="n">
        <f aca="false">IF(CF$35&gt;=$AC$154,CF$35-$AC$154+1,0)</f>
        <v>16</v>
      </c>
      <c r="CG156" s="63" t="n">
        <f aca="false">IF(CG$35&gt;=$AC$154,CG$35-$AC$154+1,0)</f>
        <v>17</v>
      </c>
      <c r="CH156" s="63" t="n">
        <f aca="false">IF(CH$35&gt;=$AC$154,CH$35-$AC$154+1,0)</f>
        <v>18</v>
      </c>
      <c r="CI156" s="63" t="n">
        <f aca="false">IF(CI$35&gt;=$AC$154,CI$35-$AC$154+1,0)</f>
        <v>19</v>
      </c>
      <c r="CJ156" s="63" t="n">
        <f aca="false">IF(CJ$35&gt;=$AC$154,CJ$35-$AC$154+1,0)</f>
        <v>20</v>
      </c>
      <c r="CK156" s="63" t="n">
        <f aca="false">IF(CK$35&gt;=$AC$154,CK$35-$AC$154+1,0)</f>
        <v>21</v>
      </c>
      <c r="CL156" s="63" t="n">
        <f aca="false">IF(CL$35&gt;=$AC$154,CL$35-$AC$154+1,0)</f>
        <v>22</v>
      </c>
      <c r="CM156" s="63" t="n">
        <f aca="false">IF(CM$35&gt;=$AC$154,CM$35-$AC$154+1,0)</f>
        <v>23</v>
      </c>
      <c r="CN156" s="63" t="n">
        <f aca="false">IF(CN$35&gt;=$AC$154,CN$35-$AC$154+1,0)</f>
        <v>24</v>
      </c>
      <c r="CO156" s="63" t="n">
        <f aca="false">IF(CO$35&gt;=$AC$154,CO$35-$AC$154+1,0)</f>
        <v>25</v>
      </c>
      <c r="CP156" s="63" t="n">
        <f aca="false">IF(CP$35&gt;=$AC$154,CP$35-$AC$154+1,0)</f>
        <v>26</v>
      </c>
      <c r="CQ156" s="63" t="n">
        <f aca="false">IF(CQ$35&gt;=$AC$154,CQ$35-$AC$154+1,0)</f>
        <v>27</v>
      </c>
      <c r="CR156" s="63" t="n">
        <f aca="false">IF(CR$35&gt;=$AC$154,CR$35-$AC$154+1,0)</f>
        <v>28</v>
      </c>
      <c r="CS156" s="63" t="n">
        <f aca="false">IF(CS$35&gt;=$AC$154,CS$35-$AC$154+1,0)</f>
        <v>29</v>
      </c>
      <c r="CT156" s="63" t="n">
        <f aca="false">IF(CT$35&gt;=$AC$154,CT$35-$AC$154+1,0)</f>
        <v>30</v>
      </c>
      <c r="CU156" s="63" t="n">
        <f aca="false">IF(CU$35&gt;=$AC$154,CU$35-$AC$154+1,0)</f>
        <v>31</v>
      </c>
      <c r="CV156" s="63" t="n">
        <f aca="false">IF(CV$35&gt;=$AC$154,CV$35-$AC$154+1,0)</f>
        <v>32</v>
      </c>
      <c r="CW156" s="63" t="n">
        <f aca="false">IF(CW$35&gt;=$AC$154,CW$35-$AC$154+1,0)</f>
        <v>33</v>
      </c>
      <c r="CX156" s="63" t="n">
        <f aca="false">IF(CX$35&gt;=$AC$154,CX$35-$AC$154+1,0)</f>
        <v>34</v>
      </c>
      <c r="CY156" s="63" t="n">
        <f aca="false">IF(CY$35&gt;=$AC$154,CY$35-$AC$154+1,0)</f>
        <v>35</v>
      </c>
      <c r="CZ156" s="63" t="n">
        <f aca="false">IF(CZ$35&gt;=$AC$154,CZ$35-$AC$154+1,0)</f>
        <v>36</v>
      </c>
      <c r="DA156" s="63" t="n">
        <f aca="false">IF(DA$35&gt;=$AC$154,DA$35-$AC$154+1,0)</f>
        <v>37</v>
      </c>
      <c r="DB156" s="63" t="n">
        <f aca="false">IF(DB$35&gt;=$AC$154,DB$35-$AC$154+1,0)</f>
        <v>38</v>
      </c>
      <c r="DC156" s="63" t="n">
        <f aca="false">IF(DC$35&gt;=$AC$154,DC$35-$AC$154+1,0)</f>
        <v>39</v>
      </c>
      <c r="DD156" s="63" t="n">
        <f aca="false">IF(DD$35&gt;=$AC$154,DD$35-$AC$154+1,0)</f>
        <v>40</v>
      </c>
      <c r="DE156" s="63" t="n">
        <f aca="false">IF(DE$35&gt;=$AC$154,DE$35-$AC$154+1,0)</f>
        <v>41</v>
      </c>
      <c r="DF156" s="63" t="n">
        <f aca="false">IF(DF$35&gt;=$AC$154,DF$35-$AC$154+1,0)</f>
        <v>42</v>
      </c>
      <c r="DG156" s="63" t="n">
        <f aca="false">IF(DG$35&gt;=$AC$154,DG$35-$AC$154+1,0)</f>
        <v>43</v>
      </c>
      <c r="DH156" s="63" t="n">
        <f aca="false">IF(DH$35&gt;=$AC$154,DH$35-$AC$154+1,0)</f>
        <v>44</v>
      </c>
      <c r="DI156" s="63" t="n">
        <f aca="false">IF(DI$35&gt;=$AC$154,DI$35-$AC$154+1,0)</f>
        <v>45</v>
      </c>
      <c r="DJ156" s="63" t="n">
        <f aca="false">IF(DJ$35&gt;=$AC$154,DJ$35-$AC$154+1,0)</f>
        <v>46</v>
      </c>
      <c r="DK156" s="63" t="n">
        <f aca="false">IF(DK$35&gt;=$AC$154,DK$35-$AC$154+1,0)</f>
        <v>47</v>
      </c>
      <c r="DL156" s="63" t="n">
        <f aca="false">IF(DL$35&gt;=$AC$154,DL$35-$AC$154+1,0)</f>
        <v>48</v>
      </c>
      <c r="DM156" s="63" t="n">
        <f aca="false">IF(DM$35&gt;=$AC$154,DM$35-$AC$154+1,0)</f>
        <v>49</v>
      </c>
      <c r="DN156" s="63" t="n">
        <f aca="false">IF(DN$35&gt;=$AC$154,DN$35-$AC$154+1,0)</f>
        <v>50</v>
      </c>
      <c r="DO156" s="63" t="n">
        <f aca="false">IF(DO$35&gt;=$AC$154,DO$35-$AC$154+1,0)</f>
        <v>51</v>
      </c>
      <c r="DP156" s="63" t="n">
        <f aca="false">IF(DP$35&gt;=$AC$154,DP$35-$AC$154+1,0)</f>
        <v>52</v>
      </c>
      <c r="DQ156" s="63" t="n">
        <f aca="false">IF(DQ$35&gt;=$AC$154,DQ$35-$AC$154+1,0)</f>
        <v>53</v>
      </c>
      <c r="DR156" s="63" t="n">
        <f aca="false">IF(DR$35&gt;=$AC$154,DR$35-$AC$154+1,0)</f>
        <v>54</v>
      </c>
      <c r="DS156" s="63" t="n">
        <f aca="false">IF(DS$35&gt;=$AC$154,DS$35-$AC$154+1,0)</f>
        <v>55</v>
      </c>
      <c r="DT156" s="63" t="n">
        <f aca="false">IF(DT$35&gt;=$AC$154,DT$35-$AC$154+1,0)</f>
        <v>56</v>
      </c>
      <c r="DU156" s="63" t="n">
        <f aca="false">IF(DU$35&gt;=$AC$154,DU$35-$AC$154+1,0)</f>
        <v>57</v>
      </c>
      <c r="DV156" s="63" t="n">
        <f aca="false">IF(DV$35&gt;=$AC$154,DV$35-$AC$154+1,0)</f>
        <v>58</v>
      </c>
      <c r="DW156" s="63" t="n">
        <f aca="false">IF(DW$35&gt;=$AC$154,DW$35-$AC$154+1,0)</f>
        <v>59</v>
      </c>
      <c r="DX156" s="63" t="n">
        <f aca="false">IF(DX$35&gt;=$AC$154,DX$35-$AC$154+1,0)</f>
        <v>60</v>
      </c>
      <c r="DY156" s="63" t="n">
        <f aca="false">IF(DY$35&gt;=$AC$154,DY$35-$AC$154+1,0)</f>
        <v>61</v>
      </c>
      <c r="DZ156" s="63" t="n">
        <f aca="false">IF(DZ$35&gt;=$AC$154,DZ$35-$AC$154+1,0)</f>
        <v>62</v>
      </c>
      <c r="EA156" s="63" t="n">
        <f aca="false">IF(EA$35&gt;=$AC$154,EA$35-$AC$154+1,0)</f>
        <v>63</v>
      </c>
      <c r="EB156" s="63" t="n">
        <f aca="false">IF(EB$35&gt;=$AC$154,EB$35-$AC$154+1,0)</f>
        <v>64</v>
      </c>
      <c r="EC156" s="63" t="n">
        <f aca="false">IF(EC$35&gt;=$AC$154,EC$35-$AC$154+1,0)</f>
        <v>65</v>
      </c>
      <c r="ED156" s="63" t="n">
        <f aca="false">IF(ED$35&gt;=$AC$154,ED$35-$AC$154+1,0)</f>
        <v>66</v>
      </c>
      <c r="EE156" s="63" t="n">
        <f aca="false">IF(EE$35&gt;=$AC$154,EE$35-$AC$154+1,0)</f>
        <v>67</v>
      </c>
      <c r="EF156" s="63" t="n">
        <f aca="false">IF(EF$35&gt;=$AC$154,EF$35-$AC$154+1,0)</f>
        <v>68</v>
      </c>
      <c r="EG156" s="63" t="n">
        <f aca="false">IF(EG$35&gt;=$AC$154,EG$35-$AC$154+1,0)</f>
        <v>69</v>
      </c>
      <c r="EH156" s="63" t="n">
        <f aca="false">IF(EH$35&gt;=$AC$154,EH$35-$AC$154+1,0)</f>
        <v>70</v>
      </c>
      <c r="EI156" s="63" t="n">
        <f aca="false">IF(EI$35&gt;=$AC$154,EI$35-$AC$154+1,0)</f>
        <v>71</v>
      </c>
      <c r="EJ156" s="63" t="n">
        <f aca="false">IF(EJ$35&gt;=$AC$154,EJ$35-$AC$154+1,0)</f>
        <v>72</v>
      </c>
      <c r="EK156" s="63" t="n">
        <f aca="false">IF(EK$35&gt;=$AC$154,EK$35-$AC$154+1,0)</f>
        <v>73</v>
      </c>
      <c r="EL156" s="63" t="n">
        <f aca="false">IF(EL$35&gt;=$AC$154,EL$35-$AC$154+1,0)</f>
        <v>74</v>
      </c>
      <c r="EM156" s="63" t="n">
        <f aca="false">IF(EM$35&gt;=$AC$154,EM$35-$AC$154+1,0)</f>
        <v>75</v>
      </c>
      <c r="EN156" s="63" t="n">
        <f aca="false">IF(EN$35&gt;=$AC$154,EN$35-$AC$154+1,0)</f>
        <v>76</v>
      </c>
      <c r="EO156" s="63" t="n">
        <f aca="false">IF(EO$35&gt;=$AC$154,EO$35-$AC$154+1,0)</f>
        <v>77</v>
      </c>
      <c r="EP156" s="63" t="n">
        <f aca="false">IF(EP$35&gt;=$AC$154,EP$35-$AC$154+1,0)</f>
        <v>78</v>
      </c>
      <c r="EQ156" s="63" t="n">
        <f aca="false">IF(EQ$35&gt;=$AC$154,EQ$35-$AC$154+1,0)</f>
        <v>79</v>
      </c>
      <c r="ER156" s="63" t="n">
        <f aca="false">IF(ER$35&gt;=$AC$154,ER$35-$AC$154+1,0)</f>
        <v>80</v>
      </c>
      <c r="ES156" s="9" t="n">
        <f aca="false">IF(ES$35&gt;=$AC$154,ES$35-$AC$154+1,0)</f>
        <v>81</v>
      </c>
      <c r="ET156" s="9" t="n">
        <f aca="false">IF(ET$35&gt;=$AC$154,ET$35-$AC$154+1,0)</f>
        <v>82</v>
      </c>
      <c r="EU156" s="9" t="n">
        <f aca="false">IF(EU$35&gt;=$AC$154,EU$35-$AC$154+1,0)</f>
        <v>83</v>
      </c>
      <c r="EV156" s="9" t="n">
        <f aca="false">IF(EV$35&gt;=$AC$154,EV$35-$AC$154+1,0)</f>
        <v>84</v>
      </c>
      <c r="EW156" s="9" t="n">
        <f aca="false">IF(EW$35&gt;=$AC$154,EW$35-$AC$154+1,0)</f>
        <v>85</v>
      </c>
      <c r="EX156" s="9" t="n">
        <f aca="false">IF(EX$35&gt;=$AC$154,EX$35-$AC$154+1,0)</f>
        <v>86</v>
      </c>
      <c r="EY156" s="9" t="n">
        <f aca="false">IF(EY$35&gt;=$AC$154,EY$35-$AC$154+1,0)</f>
        <v>87</v>
      </c>
      <c r="EZ156" s="9" t="n">
        <f aca="false">IF(EZ$35&gt;=$AC$154,EZ$35-$AC$154+1,0)</f>
        <v>88</v>
      </c>
      <c r="FA156" s="9" t="n">
        <f aca="false">IF(FA$35&gt;=$AC$154,FA$35-$AC$154+1,0)</f>
        <v>89</v>
      </c>
      <c r="FB156" s="9" t="n">
        <f aca="false">IF(FB$35&gt;=$AC$154,FB$35-$AC$154+1,0)</f>
        <v>90</v>
      </c>
      <c r="FC156" s="9" t="n">
        <f aca="false">IF(FC$35&gt;=$AC$154,FC$35-$AC$154+1,0)</f>
        <v>91</v>
      </c>
      <c r="FD156" s="9" t="n">
        <f aca="false">IF(FD$35&gt;=$AC$154,FD$35-$AC$154+1,0)</f>
        <v>92</v>
      </c>
      <c r="FE156" s="9" t="n">
        <f aca="false">IF(FE$35&gt;=$AC$154,FE$35-$AC$154+1,0)</f>
        <v>93</v>
      </c>
      <c r="FF156" s="9" t="n">
        <f aca="false">IF(FF$35&gt;=$AC$154,FF$35-$AC$154+1,0)</f>
        <v>94</v>
      </c>
      <c r="FG156" s="9" t="n">
        <f aca="false">IF(FG$35&gt;=$AC$154,FG$35-$AC$154+1,0)</f>
        <v>95</v>
      </c>
      <c r="FH156" s="9" t="n">
        <f aca="false">IF(FH$35&gt;=$AC$154,FH$35-$AC$154+1,0)</f>
        <v>96</v>
      </c>
      <c r="FI156" s="9" t="n">
        <f aca="false">IF(FI$35&gt;=$AC$154,FI$35-$AC$154+1,0)</f>
        <v>97</v>
      </c>
      <c r="FJ156" s="9" t="n">
        <f aca="false">IF(FJ$35&gt;=$AC$154,FJ$35-$AC$154+1,0)</f>
        <v>98</v>
      </c>
      <c r="FK156" s="9" t="n">
        <f aca="false">IF(FK$35&gt;=$AC$154,FK$35-$AC$154+1,0)</f>
        <v>99</v>
      </c>
      <c r="FL156" s="9" t="n">
        <f aca="false">IF(FL$35&gt;=$AC$154,FL$35-$AC$154+1,0)</f>
        <v>100</v>
      </c>
      <c r="FM156" s="9" t="n">
        <f aca="false">IF(FM$35&gt;=$AC$154,FM$35-$AC$154+1,0)</f>
        <v>101</v>
      </c>
      <c r="FN156" s="9" t="n">
        <f aca="false">IF(FN$35&gt;=$AC$154,FN$35-$AC$154+1,0)</f>
        <v>102</v>
      </c>
      <c r="FO156" s="9" t="n">
        <f aca="false">IF(FO$35&gt;=$AC$154,FO$35-$AC$154+1,0)</f>
        <v>103</v>
      </c>
      <c r="FP156" s="9" t="n">
        <f aca="false">IF(FP$35&gt;=$AC$154,FP$35-$AC$154+1,0)</f>
        <v>104</v>
      </c>
    </row>
    <row r="157" customFormat="false" ht="15" hidden="false" customHeight="false" outlineLevel="2" collapsed="false">
      <c r="B157" s="9" t="s">
        <v>874</v>
      </c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236" t="n">
        <f aca="false" t="array" ref="AC157:AC157">IF(AC156=0,0,IF(AC156/'🎚️ Escenario'!$C$11&gt;=36,$AL$23,INDEX($C$23:$AL$23,MAX(1,ROUNDUP(AC156/'🎚️ Escenario'!$C$11,0)))))</f>
        <v>0</v>
      </c>
      <c r="AD157" s="236" t="n">
        <f aca="false" t="array" ref="AD157:AD157">IF(AD156=0,0,IF(AD156/'🎚️ Escenario'!$C$11&gt;=36,$AL$23,INDEX($C$23:$AL$23,MAX(1,ROUNDUP(AD156/'🎚️ Escenario'!$C$11,0)))))</f>
        <v>0</v>
      </c>
      <c r="AE157" s="236" t="n">
        <f aca="false" t="array" ref="AE157:AE157">IF(AE156=0,0,IF(AE156/'🎚️ Escenario'!$C$11&gt;=36,$AL$23,INDEX($C$23:$AL$23,MAX(1,ROUNDUP(AE156/'🎚️ Escenario'!$C$11,0)))))</f>
        <v>0</v>
      </c>
      <c r="AF157" s="236" t="n">
        <f aca="false" t="array" ref="AF157:AF157">IF(AF156=0,0,IF(AF156/'🎚️ Escenario'!$C$11&gt;=36,$AL$23,INDEX($C$23:$AL$23,MAX(1,ROUNDUP(AF156/'🎚️ Escenario'!$C$11,0)))))</f>
        <v>0</v>
      </c>
      <c r="AG157" s="236" t="n">
        <f aca="false" t="array" ref="AG157:AG157">IF(AG156=0,0,IF(AG156/'🎚️ Escenario'!$C$11&gt;=36,$AL$23,INDEX($C$23:$AL$23,MAX(1,ROUNDUP(AG156/'🎚️ Escenario'!$C$11,0)))))</f>
        <v>0</v>
      </c>
      <c r="AH157" s="236" t="n">
        <f aca="false" t="array" ref="AH157:AH157">IF(AH156=0,0,IF(AH156/'🎚️ Escenario'!$C$11&gt;=36,$AL$23,INDEX($C$23:$AL$23,MAX(1,ROUNDUP(AH156/'🎚️ Escenario'!$C$11,0)))))</f>
        <v>0</v>
      </c>
      <c r="AI157" s="236" t="n">
        <f aca="false" t="array" ref="AI157:AI157">IF(AI156=0,0,IF(AI156/'🎚️ Escenario'!$C$11&gt;=36,$AL$23,INDEX($C$23:$AL$23,MAX(1,ROUNDUP(AI156/'🎚️ Escenario'!$C$11,0)))))</f>
        <v>0</v>
      </c>
      <c r="AJ157" s="236" t="n">
        <f aca="false" t="array" ref="AJ157:AJ157">IF(AJ156=0,0,IF(AJ156/'🎚️ Escenario'!$C$11&gt;=36,$AL$23,INDEX($C$23:$AL$23,MAX(1,ROUNDUP(AJ156/'🎚️ Escenario'!$C$11,0)))))</f>
        <v>0</v>
      </c>
      <c r="AK157" s="236" t="n">
        <f aca="false" t="array" ref="AK157:AK157">IF(AK156=0,0,IF(AK156/'🎚️ Escenario'!$C$11&gt;=36,$AL$23,INDEX($C$23:$AL$23,MAX(1,ROUNDUP(AK156/'🎚️ Escenario'!$C$11,0)))))</f>
        <v>0</v>
      </c>
      <c r="AL157" s="236" t="n">
        <f aca="false" t="array" ref="AL157:AL157">IF(AL156=0,0,IF(AL156/'🎚️ Escenario'!$C$11&gt;=36,$AL$23,INDEX($C$23:$AL$23,MAX(1,ROUNDUP(AL156/'🎚️ Escenario'!$C$11,0)))))</f>
        <v>0</v>
      </c>
      <c r="AM157" s="236" t="n">
        <f aca="false" t="array" ref="AM157:AM157">IF(AM156=0,0,IF(AM156/'🎚️ Escenario'!$C$11&gt;=36,$AL$23,INDEX($C$23:$AL$23,MAX(1,ROUNDUP(AM156/'🎚️ Escenario'!$C$11,0)))))</f>
        <v>0</v>
      </c>
      <c r="AN157" s="236" t="n">
        <f aca="false" t="array" ref="AN157:AN157">IF(AN156=0,0,IF(AN156/'🎚️ Escenario'!$C$11&gt;=36,$AL$23,INDEX($C$23:$AL$23,MAX(1,ROUNDUP(AN156/'🎚️ Escenario'!$C$11,0)))))</f>
        <v>0</v>
      </c>
      <c r="AO157" s="236" t="n">
        <f aca="false" t="array" ref="AO157:AO157">IF(AO156=0,0,IF(AO156/'🎚️ Escenario'!$C$11&gt;=36,$AL$23,INDEX($C$23:$AL$23,MAX(1,ROUNDUP(AO156/'🎚️ Escenario'!$C$11,0)))))</f>
        <v>0</v>
      </c>
      <c r="AP157" s="236" t="n">
        <f aca="false" t="array" ref="AP157:AP157">IF(AP156=0,0,IF(AP156/'🎚️ Escenario'!$C$11&gt;=36,$AL$23,INDEX($C$23:$AL$23,MAX(1,ROUNDUP(AP156/'🎚️ Escenario'!$C$11,0)))))</f>
        <v>0</v>
      </c>
      <c r="AQ157" s="236" t="n">
        <f aca="false" t="array" ref="AQ157:AQ157">IF(AQ156=0,0,IF(AQ156/'🎚️ Escenario'!$C$11&gt;=36,$AL$23,INDEX($C$23:$AL$23,MAX(1,ROUNDUP(AQ156/'🎚️ Escenario'!$C$11,0)))))</f>
        <v>0</v>
      </c>
      <c r="AR157" s="236" t="n">
        <f aca="false" t="array" ref="AR157:AR157">IF(AR156=0,0,IF(AR156/'🎚️ Escenario'!$C$11&gt;=36,$AL$23,INDEX($C$23:$AL$23,MAX(1,ROUNDUP(AR156/'🎚️ Escenario'!$C$11,0)))))</f>
        <v>0</v>
      </c>
      <c r="AS157" s="236" t="n">
        <f aca="false" t="array" ref="AS157:AS157">IF(AS156=0,0,IF(AS156/'🎚️ Escenario'!$C$11&gt;=36,$AL$23,INDEX($C$23:$AL$23,MAX(1,ROUNDUP(AS156/'🎚️ Escenario'!$C$11,0)))))</f>
        <v>0</v>
      </c>
      <c r="AT157" s="236" t="n">
        <f aca="false" t="array" ref="AT157:AT157">IF(AT156=0,0,IF(AT156/'🎚️ Escenario'!$C$11&gt;=36,$AL$23,INDEX($C$23:$AL$23,MAX(1,ROUNDUP(AT156/'🎚️ Escenario'!$C$11,0)))))</f>
        <v>0</v>
      </c>
      <c r="AU157" s="236" t="n">
        <f aca="false" t="array" ref="AU157:AU157">IF(AU156=0,0,IF(AU156/'🎚️ Escenario'!$C$11&gt;=36,$AL$23,INDEX($C$23:$AL$23,MAX(1,ROUNDUP(AU156/'🎚️ Escenario'!$C$11,0)))))</f>
        <v>0</v>
      </c>
      <c r="AV157" s="236" t="n">
        <f aca="false" t="array" ref="AV157:AV157">IF(AV156=0,0,IF(AV156/'🎚️ Escenario'!$C$11&gt;=36,$AL$23,INDEX($C$23:$AL$23,MAX(1,ROUNDUP(AV156/'🎚️ Escenario'!$C$11,0)))))</f>
        <v>0</v>
      </c>
      <c r="AW157" s="236" t="n">
        <f aca="false" t="array" ref="AW157:AW157">IF(AW156=0,0,IF(AW156/'🎚️ Escenario'!$C$11&gt;=36,$AL$23,INDEX($C$23:$AL$23,MAX(1,ROUNDUP(AW156/'🎚️ Escenario'!$C$11,0)))))</f>
        <v>0</v>
      </c>
      <c r="AX157" s="236" t="n">
        <f aca="false" t="array" ref="AX157:AX157">IF(AX156=0,0,IF(AX156/'🎚️ Escenario'!$C$11&gt;=36,$AL$23,INDEX($C$23:$AL$23,MAX(1,ROUNDUP(AX156/'🎚️ Escenario'!$C$11,0)))))</f>
        <v>0</v>
      </c>
      <c r="AY157" s="236" t="n">
        <f aca="false" t="array" ref="AY157:AY157">IF(AY156=0,0,IF(AY156/'🎚️ Escenario'!$C$11&gt;=36,$AL$23,INDEX($C$23:$AL$23,MAX(1,ROUNDUP(AY156/'🎚️ Escenario'!$C$11,0)))))</f>
        <v>0</v>
      </c>
      <c r="AZ157" s="236" t="n">
        <f aca="false" t="array" ref="AZ157:AZ157">IF(AZ156=0,0,IF(AZ156/'🎚️ Escenario'!$C$11&gt;=36,$AL$23,INDEX($C$23:$AL$23,MAX(1,ROUNDUP(AZ156/'🎚️ Escenario'!$C$11,0)))))</f>
        <v>0</v>
      </c>
      <c r="BA157" s="236" t="n">
        <f aca="false" t="array" ref="BA157:BA157">IF(BA156=0,0,IF(BA156/'🎚️ Escenario'!$C$11&gt;=36,$AL$23,INDEX($C$23:$AL$23,MAX(1,ROUNDUP(BA156/'🎚️ Escenario'!$C$11,0)))))</f>
        <v>0</v>
      </c>
      <c r="BB157" s="236" t="n">
        <f aca="false" t="array" ref="BB157:BB157">IF(BB156=0,0,IF(BB156/'🎚️ Escenario'!$C$11&gt;=36,$AL$23,INDEX($C$23:$AL$23,MAX(1,ROUNDUP(BB156/'🎚️ Escenario'!$C$11,0)))))</f>
        <v>0</v>
      </c>
      <c r="BC157" s="236" t="n">
        <f aca="false" t="array" ref="BC157:BC157">IF(BC156=0,0,IF(BC156/'🎚️ Escenario'!$C$11&gt;=36,$AL$23,INDEX($C$23:$AL$23,MAX(1,ROUNDUP(BC156/'🎚️ Escenario'!$C$11,0)))))</f>
        <v>0</v>
      </c>
      <c r="BD157" s="236" t="n">
        <f aca="false" t="array" ref="BD157:BD157">IF(BD156=0,0,IF(BD156/'🎚️ Escenario'!$C$11&gt;=36,$AL$23,INDEX($C$23:$AL$23,MAX(1,ROUNDUP(BD156/'🎚️ Escenario'!$C$11,0)))))</f>
        <v>0</v>
      </c>
      <c r="BE157" s="236" t="n">
        <f aca="false" t="array" ref="BE157:BE157">IF(BE156=0,0,IF(BE156/'🎚️ Escenario'!$C$11&gt;=36,$AL$23,INDEX($C$23:$AL$23,MAX(1,ROUNDUP(BE156/'🎚️ Escenario'!$C$11,0)))))</f>
        <v>0</v>
      </c>
      <c r="BF157" s="236" t="n">
        <f aca="false" t="array" ref="BF157:BF157">IF(BF156=0,0,IF(BF156/'🎚️ Escenario'!$C$11&gt;=36,$AL$23,INDEX($C$23:$AL$23,MAX(1,ROUNDUP(BF156/'🎚️ Escenario'!$C$11,0)))))</f>
        <v>0</v>
      </c>
      <c r="BG157" s="236" t="n">
        <f aca="false" t="array" ref="BG157:BG157">IF(BG156=0,0,IF(BG156/'🎚️ Escenario'!$C$11&gt;=36,$AL$23,INDEX($C$23:$AL$23,MAX(1,ROUNDUP(BG156/'🎚️ Escenario'!$C$11,0)))))</f>
        <v>0</v>
      </c>
      <c r="BH157" s="236" t="n">
        <f aca="false" t="array" ref="BH157:BH157">IF(BH156=0,0,IF(BH156/'🎚️ Escenario'!$C$11&gt;=36,$AL$23,INDEX($C$23:$AL$23,MAX(1,ROUNDUP(BH156/'🎚️ Escenario'!$C$11,0)))))</f>
        <v>0</v>
      </c>
      <c r="BI157" s="236" t="n">
        <f aca="false" t="array" ref="BI157:BI157">IF(BI156=0,0,IF(BI156/'🎚️ Escenario'!$C$11&gt;=36,$AL$23,INDEX($C$23:$AL$23,MAX(1,ROUNDUP(BI156/'🎚️ Escenario'!$C$11,0)))))</f>
        <v>0</v>
      </c>
      <c r="BJ157" s="236" t="n">
        <f aca="false" t="array" ref="BJ157:BJ157">IF(BJ156=0,0,IF(BJ156/'🎚️ Escenario'!$C$11&gt;=36,$AL$23,INDEX($C$23:$AL$23,MAX(1,ROUNDUP(BJ156/'🎚️ Escenario'!$C$11,0)))))</f>
        <v>0</v>
      </c>
      <c r="BK157" s="236" t="n">
        <f aca="false" t="array" ref="BK157:BK157">IF(BK156=0,0,IF(BK156/'🎚️ Escenario'!$C$11&gt;=36,$AL$23,INDEX($C$23:$AL$23,MAX(1,ROUNDUP(BK156/'🎚️ Escenario'!$C$11,0)))))</f>
        <v>0</v>
      </c>
      <c r="BL157" s="236" t="n">
        <f aca="false" t="array" ref="BL157:BL157">IF(BL156=0,0,IF(BL156/'🎚️ Escenario'!$C$11&gt;=36,$AL$23,INDEX($C$23:$AL$23,MAX(1,ROUNDUP(BL156/'🎚️ Escenario'!$C$11,0)))))</f>
        <v>0</v>
      </c>
      <c r="BM157" s="236" t="n">
        <f aca="false" t="array" ref="BM157:BM157">IF(BM156=0,0,IF(BM156/'🎚️ Escenario'!$C$11&gt;=36,$AL$23,INDEX($C$23:$AL$23,MAX(1,ROUNDUP(BM156/'🎚️ Escenario'!$C$11,0)))))</f>
        <v>0</v>
      </c>
      <c r="BN157" s="236" t="n">
        <f aca="false" t="array" ref="BN157:BN157">IF(BN156=0,0,IF(BN156/'🎚️ Escenario'!$C$11&gt;=36,$AL$23,INDEX($C$23:$AL$23,MAX(1,ROUNDUP(BN156/'🎚️ Escenario'!$C$11,0)))))</f>
        <v>0</v>
      </c>
      <c r="BO157" s="236" t="n">
        <f aca="false" t="array" ref="BO157:BO157">IF(BO156=0,0,IF(BO156/'🎚️ Escenario'!$C$11&gt;=36,$AL$23,INDEX($C$23:$AL$23,MAX(1,ROUNDUP(BO156/'🎚️ Escenario'!$C$11,0)))))</f>
        <v>0</v>
      </c>
      <c r="BP157" s="236" t="n">
        <f aca="false" t="array" ref="BP157:BP157">IF(BP156=0,0,IF(BP156/'🎚️ Escenario'!$C$11&gt;=36,$AL$23,INDEX($C$23:$AL$23,MAX(1,ROUNDUP(BP156/'🎚️ Escenario'!$C$11,0)))))</f>
        <v>0</v>
      </c>
      <c r="BQ157" s="236" t="n">
        <f aca="false" t="array" ref="BQ157:BQ157">IF(BQ156=0,0,IF(BQ156/'🎚️ Escenario'!$C$11&gt;=36,$AL$23,INDEX($C$23:$AL$23,MAX(1,ROUNDUP(BQ156/'🎚️ Escenario'!$C$11,0)))))</f>
        <v>0.2</v>
      </c>
      <c r="BR157" s="236" t="n">
        <f aca="false" t="array" ref="BR157:BR157">IF(BR156=0,0,IF(BR156/'🎚️ Escenario'!$C$11&gt;=36,$AL$23,INDEX($C$23:$AL$23,MAX(1,ROUNDUP(BR156/'🎚️ Escenario'!$C$11,0)))))</f>
        <v>0.22</v>
      </c>
      <c r="BS157" s="236" t="n">
        <f aca="false" t="array" ref="BS157:BS157">IF(BS156=0,0,IF(BS156/'🎚️ Escenario'!$C$11&gt;=36,$AL$23,INDEX($C$23:$AL$23,MAX(1,ROUNDUP(BS156/'🎚️ Escenario'!$C$11,0)))))</f>
        <v>0.24</v>
      </c>
      <c r="BT157" s="236" t="n">
        <f aca="false" t="array" ref="BT157:BT157">IF(BT156=0,0,IF(BT156/'🎚️ Escenario'!$C$11&gt;=36,$AL$23,INDEX($C$23:$AL$23,MAX(1,ROUNDUP(BT156/'🎚️ Escenario'!$C$11,0)))))</f>
        <v>0.27</v>
      </c>
      <c r="BU157" s="236" t="n">
        <f aca="false" t="array" ref="BU157:BU157">IF(BU156=0,0,IF(BU156/'🎚️ Escenario'!$C$11&gt;=36,$AL$23,INDEX($C$23:$AL$23,MAX(1,ROUNDUP(BU156/'🎚️ Escenario'!$C$11,0)))))</f>
        <v>0.27</v>
      </c>
      <c r="BV157" s="236" t="n">
        <f aca="false" t="array" ref="BV157:BV157">IF(BV156=0,0,IF(BV156/'🎚️ Escenario'!$C$11&gt;=36,$AL$23,INDEX($C$23:$AL$23,MAX(1,ROUNDUP(BV156/'🎚️ Escenario'!$C$11,0)))))</f>
        <v>0.31</v>
      </c>
      <c r="BW157" s="236" t="n">
        <f aca="false" t="array" ref="BW157:BW157">IF(BW156=0,0,IF(BW156/'🎚️ Escenario'!$C$11&gt;=36,$AL$23,INDEX($C$23:$AL$23,MAX(1,ROUNDUP(BW156/'🎚️ Escenario'!$C$11,0)))))</f>
        <v>0.35</v>
      </c>
      <c r="BX157" s="236" t="n">
        <f aca="false" t="array" ref="BX157:BX157">IF(BX156=0,0,IF(BX156/'🎚️ Escenario'!$C$11&gt;=36,$AL$23,INDEX($C$23:$AL$23,MAX(1,ROUNDUP(BX156/'🎚️ Escenario'!$C$11,0)))))</f>
        <v>0.39</v>
      </c>
      <c r="BY157" s="236" t="n">
        <f aca="false" t="array" ref="BY157:BY157">IF(BY156=0,0,IF(BY156/'🎚️ Escenario'!$C$11&gt;=36,$AL$23,INDEX($C$23:$AL$23,MAX(1,ROUNDUP(BY156/'🎚️ Escenario'!$C$11,0)))))</f>
        <v>0.44</v>
      </c>
      <c r="BZ157" s="236" t="n">
        <f aca="false" t="array" ref="BZ157:BZ157">IF(BZ156=0,0,IF(BZ156/'🎚️ Escenario'!$C$11&gt;=36,$AL$23,INDEX($C$23:$AL$23,MAX(1,ROUNDUP(BZ156/'🎚️ Escenario'!$C$11,0)))))</f>
        <v>0.44</v>
      </c>
      <c r="CA157" s="236" t="n">
        <f aca="false" t="array" ref="CA157:CA157">IF(CA156=0,0,IF(CA156/'🎚️ Escenario'!$C$11&gt;=36,$AL$23,INDEX($C$23:$AL$23,MAX(1,ROUNDUP(CA156/'🎚️ Escenario'!$C$11,0)))))</f>
        <v>0.48</v>
      </c>
      <c r="CB157" s="236" t="n">
        <f aca="false" t="array" ref="CB157:CB157">IF(CB156=0,0,IF(CB156/'🎚️ Escenario'!$C$11&gt;=36,$AL$23,INDEX($C$23:$AL$23,MAX(1,ROUNDUP(CB156/'🎚️ Escenario'!$C$11,0)))))</f>
        <v>0.52</v>
      </c>
      <c r="CC157" s="236" t="n">
        <f aca="false" t="array" ref="CC157:CC157">IF(CC156=0,0,IF(CC156/'🎚️ Escenario'!$C$11&gt;=36,$AL$23,INDEX($C$23:$AL$23,MAX(1,ROUNDUP(CC156/'🎚️ Escenario'!$C$11,0)))))</f>
        <v>0.56</v>
      </c>
      <c r="CD157" s="236" t="n">
        <f aca="false" t="array" ref="CD157:CD157">IF(CD156=0,0,IF(CD156/'🎚️ Escenario'!$C$11&gt;=36,$AL$23,INDEX($C$23:$AL$23,MAX(1,ROUNDUP(CD156/'🎚️ Escenario'!$C$11,0)))))</f>
        <v>0.6</v>
      </c>
      <c r="CE157" s="236" t="n">
        <f aca="false" t="array" ref="CE157:CE157">IF(CE156=0,0,IF(CE156/'🎚️ Escenario'!$C$11&gt;=36,$AL$23,INDEX($C$23:$AL$23,MAX(1,ROUNDUP(CE156/'🎚️ Escenario'!$C$11,0)))))</f>
        <v>0.6</v>
      </c>
      <c r="CF157" s="236" t="n">
        <f aca="false" t="array" ref="CF157:CF157">IF(CF156=0,0,IF(CF156/'🎚️ Escenario'!$C$11&gt;=36,$AL$23,INDEX($C$23:$AL$23,MAX(1,ROUNDUP(CF156/'🎚️ Escenario'!$C$11,0)))))</f>
        <v>0.63</v>
      </c>
      <c r="CG157" s="236" t="n">
        <f aca="false" t="array" ref="CG157:CG157">IF(CG156=0,0,IF(CG156/'🎚️ Escenario'!$C$11&gt;=36,$AL$23,INDEX($C$23:$AL$23,MAX(1,ROUNDUP(CG156/'🎚️ Escenario'!$C$11,0)))))</f>
        <v>0.66</v>
      </c>
      <c r="CH157" s="236" t="n">
        <f aca="false" t="array" ref="CH157:CH157">IF(CH156=0,0,IF(CH156/'🎚️ Escenario'!$C$11&gt;=36,$AL$23,INDEX($C$23:$AL$23,MAX(1,ROUNDUP(CH156/'🎚️ Escenario'!$C$11,0)))))</f>
        <v>0.69</v>
      </c>
      <c r="CI157" s="236" t="n">
        <f aca="false" t="array" ref="CI157:CI157">IF(CI156=0,0,IF(CI156/'🎚️ Escenario'!$C$11&gt;=36,$AL$23,INDEX($C$23:$AL$23,MAX(1,ROUNDUP(CI156/'🎚️ Escenario'!$C$11,0)))))</f>
        <v>0.71</v>
      </c>
      <c r="CJ157" s="236" t="n">
        <f aca="false" t="array" ref="CJ157:CJ157">IF(CJ156=0,0,IF(CJ156/'🎚️ Escenario'!$C$11&gt;=36,$AL$23,INDEX($C$23:$AL$23,MAX(1,ROUNDUP(CJ156/'🎚️ Escenario'!$C$11,0)))))</f>
        <v>0.71</v>
      </c>
      <c r="CK157" s="236" t="n">
        <f aca="false" t="array" ref="CK157:CK157">IF(CK156=0,0,IF(CK156/'🎚️ Escenario'!$C$11&gt;=36,$AL$23,INDEX($C$23:$AL$23,MAX(1,ROUNDUP(CK156/'🎚️ Escenario'!$C$11,0)))))</f>
        <v>0.73</v>
      </c>
      <c r="CL157" s="236" t="n">
        <f aca="false" t="array" ref="CL157:CL157">IF(CL156=0,0,IF(CL156/'🎚️ Escenario'!$C$11&gt;=36,$AL$23,INDEX($C$23:$AL$23,MAX(1,ROUNDUP(CL156/'🎚️ Escenario'!$C$11,0)))))</f>
        <v>0.75</v>
      </c>
      <c r="CM157" s="236" t="n">
        <f aca="false" t="array" ref="CM157:CM157">IF(CM156=0,0,IF(CM156/'🎚️ Escenario'!$C$11&gt;=36,$AL$23,INDEX($C$23:$AL$23,MAX(1,ROUNDUP(CM156/'🎚️ Escenario'!$C$11,0)))))</f>
        <v>0.77</v>
      </c>
      <c r="CN157" s="236" t="n">
        <f aca="false" t="array" ref="CN157:CN157">IF(CN156=0,0,IF(CN156/'🎚️ Escenario'!$C$11&gt;=36,$AL$23,INDEX($C$23:$AL$23,MAX(1,ROUNDUP(CN156/'🎚️ Escenario'!$C$11,0)))))</f>
        <v>0.79</v>
      </c>
      <c r="CO157" s="236" t="n">
        <f aca="false" t="array" ref="CO157:CO157">IF(CO156=0,0,IF(CO156/'🎚️ Escenario'!$C$11&gt;=36,$AL$23,INDEX($C$23:$AL$23,MAX(1,ROUNDUP(CO156/'🎚️ Escenario'!$C$11,0)))))</f>
        <v>0.79</v>
      </c>
      <c r="CP157" s="236" t="n">
        <f aca="false" t="array" ref="CP157:CP157">IF(CP156=0,0,IF(CP156/'🎚️ Escenario'!$C$11&gt;=36,$AL$23,INDEX($C$23:$AL$23,MAX(1,ROUNDUP(CP156/'🎚️ Escenario'!$C$11,0)))))</f>
        <v>0.8</v>
      </c>
      <c r="CQ157" s="236" t="n">
        <f aca="false" t="array" ref="CQ157:CQ157">IF(CQ156=0,0,IF(CQ156/'🎚️ Escenario'!$C$11&gt;=36,$AL$23,INDEX($C$23:$AL$23,MAX(1,ROUNDUP(CQ156/'🎚️ Escenario'!$C$11,0)))))</f>
        <v>0.82</v>
      </c>
      <c r="CR157" s="236" t="n">
        <f aca="false" t="array" ref="CR157:CR157">IF(CR156=0,0,IF(CR156/'🎚️ Escenario'!$C$11&gt;=36,$AL$23,INDEX($C$23:$AL$23,MAX(1,ROUNDUP(CR156/'🎚️ Escenario'!$C$11,0)))))</f>
        <v>0.84</v>
      </c>
      <c r="CS157" s="236" t="n">
        <f aca="false" t="array" ref="CS157:CS157">IF(CS156=0,0,IF(CS156/'🎚️ Escenario'!$C$11&gt;=36,$AL$23,INDEX($C$23:$AL$23,MAX(1,ROUNDUP(CS156/'🎚️ Escenario'!$C$11,0)))))</f>
        <v>0.85</v>
      </c>
      <c r="CT157" s="236" t="n">
        <f aca="false" t="array" ref="CT157:CT157">IF(CT156=0,0,IF(CT156/'🎚️ Escenario'!$C$11&gt;=36,$AL$23,INDEX($C$23:$AL$23,MAX(1,ROUNDUP(CT156/'🎚️ Escenario'!$C$11,0)))))</f>
        <v>0.85</v>
      </c>
      <c r="CU157" s="236" t="n">
        <f aca="false" t="array" ref="CU157:CU157">IF(CU156=0,0,IF(CU156/'🎚️ Escenario'!$C$11&gt;=36,$AL$23,INDEX($C$23:$AL$23,MAX(1,ROUNDUP(CU156/'🎚️ Escenario'!$C$11,0)))))</f>
        <v>0.86</v>
      </c>
      <c r="CV157" s="236" t="n">
        <f aca="false" t="array" ref="CV157:CV157">IF(CV156=0,0,IF(CV156/'🎚️ Escenario'!$C$11&gt;=36,$AL$23,INDEX($C$23:$AL$23,MAX(1,ROUNDUP(CV156/'🎚️ Escenario'!$C$11,0)))))</f>
        <v>0.88</v>
      </c>
      <c r="CW157" s="236" t="n">
        <f aca="false" t="array" ref="CW157:CW157">IF(CW156=0,0,IF(CW156/'🎚️ Escenario'!$C$11&gt;=36,$AL$23,INDEX($C$23:$AL$23,MAX(1,ROUNDUP(CW156/'🎚️ Escenario'!$C$11,0)))))</f>
        <v>0.89</v>
      </c>
      <c r="CX157" s="236" t="n">
        <f aca="false" t="array" ref="CX157:CX157">IF(CX156=0,0,IF(CX156/'🎚️ Escenario'!$C$11&gt;=36,$AL$23,INDEX($C$23:$AL$23,MAX(1,ROUNDUP(CX156/'🎚️ Escenario'!$C$11,0)))))</f>
        <v>0.9</v>
      </c>
      <c r="CY157" s="236" t="n">
        <f aca="false" t="array" ref="CY157:CY157">IF(CY156=0,0,IF(CY156/'🎚️ Escenario'!$C$11&gt;=36,$AL$23,INDEX($C$23:$AL$23,MAX(1,ROUNDUP(CY156/'🎚️ Escenario'!$C$11,0)))))</f>
        <v>0.9</v>
      </c>
      <c r="CZ157" s="236" t="n">
        <f aca="false" t="array" ref="CZ157:CZ157">IF(CZ156=0,0,IF(CZ156/'🎚️ Escenario'!$C$11&gt;=36,$AL$23,INDEX($C$23:$AL$23,MAX(1,ROUNDUP(CZ156/'🎚️ Escenario'!$C$11,0)))))</f>
        <v>0.92</v>
      </c>
      <c r="DA157" s="236" t="n">
        <f aca="false" t="array" ref="DA157:DA157">IF(DA156=0,0,IF(DA156/'🎚️ Escenario'!$C$11&gt;=36,$AL$23,INDEX($C$23:$AL$23,MAX(1,ROUNDUP(DA156/'🎚️ Escenario'!$C$11,0)))))</f>
        <v>0.93</v>
      </c>
      <c r="DB157" s="236" t="n">
        <f aca="false" t="array" ref="DB157:DB157">IF(DB156=0,0,IF(DB156/'🎚️ Escenario'!$C$11&gt;=36,$AL$23,INDEX($C$23:$AL$23,MAX(1,ROUNDUP(DB156/'🎚️ Escenario'!$C$11,0)))))</f>
        <v>0.94</v>
      </c>
      <c r="DC157" s="236" t="n">
        <f aca="false" t="array" ref="DC157:DC157">IF(DC156=0,0,IF(DC156/'🎚️ Escenario'!$C$11&gt;=36,$AL$23,INDEX($C$23:$AL$23,MAX(1,ROUNDUP(DC156/'🎚️ Escenario'!$C$11,0)))))</f>
        <v>0.95</v>
      </c>
      <c r="DD157" s="236" t="n">
        <f aca="false" t="array" ref="DD157:DD157">IF(DD156=0,0,IF(DD156/'🎚️ Escenario'!$C$11&gt;=36,$AL$23,INDEX($C$23:$AL$23,MAX(1,ROUNDUP(DD156/'🎚️ Escenario'!$C$11,0)))))</f>
        <v>0.95</v>
      </c>
      <c r="DE157" s="236" t="n">
        <f aca="false" t="array" ref="DE157:DE157">IF(DE156=0,0,IF(DE156/'🎚️ Escenario'!$C$11&gt;=36,$AL$23,INDEX($C$23:$AL$23,MAX(1,ROUNDUP(DE156/'🎚️ Escenario'!$C$11,0)))))</f>
        <v>0.97</v>
      </c>
      <c r="DF157" s="236" t="n">
        <f aca="false" t="array" ref="DF157:DF157">IF(DF156=0,0,IF(DF156/'🎚️ Escenario'!$C$11&gt;=36,$AL$23,INDEX($C$23:$AL$23,MAX(1,ROUNDUP(DF156/'🎚️ Escenario'!$C$11,0)))))</f>
        <v>0.98</v>
      </c>
      <c r="DG157" s="236" t="n">
        <f aca="false" t="array" ref="DG157:DG157">IF(DG156=0,0,IF(DG156/'🎚️ Escenario'!$C$11&gt;=36,$AL$23,INDEX($C$23:$AL$23,MAX(1,ROUNDUP(DG156/'🎚️ Escenario'!$C$11,0)))))</f>
        <v>0.99</v>
      </c>
      <c r="DH157" s="236" t="n">
        <f aca="false" t="array" ref="DH157:DH157">IF(DH156=0,0,IF(DH156/'🎚️ Escenario'!$C$11&gt;=36,$AL$23,INDEX($C$23:$AL$23,MAX(1,ROUNDUP(DH156/'🎚️ Escenario'!$C$11,0)))))</f>
        <v>1</v>
      </c>
      <c r="DI157" s="236" t="n">
        <f aca="false" t="array" ref="DI157:DI157">IF(DI156=0,0,IF(DI156/'🎚️ Escenario'!$C$11&gt;=36,$AL$23,INDEX($C$23:$AL$23,MAX(1,ROUNDUP(DI156/'🎚️ Escenario'!$C$11,0)))))</f>
        <v>1</v>
      </c>
      <c r="DJ157" s="236" t="n">
        <f aca="false" t="array" ref="DJ157:DJ157">IF(DJ156=0,0,IF(DJ156/'🎚️ Escenario'!$C$11&gt;=36,$AL$23,INDEX($C$23:$AL$23,MAX(1,ROUNDUP(DJ156/'🎚️ Escenario'!$C$11,0)))))</f>
        <v>1</v>
      </c>
      <c r="DK157" s="236" t="n">
        <f aca="false" t="array" ref="DK157:DK157">IF(DK156=0,0,IF(DK156/'🎚️ Escenario'!$C$11&gt;=36,$AL$23,INDEX($C$23:$AL$23,MAX(1,ROUNDUP(DK156/'🎚️ Escenario'!$C$11,0)))))</f>
        <v>1</v>
      </c>
      <c r="DL157" s="236" t="n">
        <f aca="false" t="array" ref="DL157:DL157">IF(DL156=0,0,IF(DL156/'🎚️ Escenario'!$C$11&gt;=36,$AL$23,INDEX($C$23:$AL$23,MAX(1,ROUNDUP(DL156/'🎚️ Escenario'!$C$11,0)))))</f>
        <v>1</v>
      </c>
      <c r="DM157" s="236" t="n">
        <f aca="false" t="array" ref="DM157:DM157">IF(DM156=0,0,IF(DM156/'🎚️ Escenario'!$C$11&gt;=36,$AL$23,INDEX($C$23:$AL$23,MAX(1,ROUNDUP(DM156/'🎚️ Escenario'!$C$11,0)))))</f>
        <v>1</v>
      </c>
      <c r="DN157" s="236" t="n">
        <f aca="false" t="array" ref="DN157:DN157">IF(DN156=0,0,IF(DN156/'🎚️ Escenario'!$C$11&gt;=36,$AL$23,INDEX($C$23:$AL$23,MAX(1,ROUNDUP(DN156/'🎚️ Escenario'!$C$11,0)))))</f>
        <v>1</v>
      </c>
      <c r="DO157" s="236" t="n">
        <f aca="false" t="array" ref="DO157:DO157">IF(DO156=0,0,IF(DO156/'🎚️ Escenario'!$C$11&gt;=36,$AL$23,INDEX($C$23:$AL$23,MAX(1,ROUNDUP(DO156/'🎚️ Escenario'!$C$11,0)))))</f>
        <v>1</v>
      </c>
      <c r="DP157" s="236" t="n">
        <f aca="false" t="array" ref="DP157:DP157">IF(DP156=0,0,IF(DP156/'🎚️ Escenario'!$C$11&gt;=36,$AL$23,INDEX($C$23:$AL$23,MAX(1,ROUNDUP(DP156/'🎚️ Escenario'!$C$11,0)))))</f>
        <v>1</v>
      </c>
      <c r="DQ157" s="236" t="n">
        <f aca="false" t="array" ref="DQ157:DQ157">IF(DQ156=0,0,IF(DQ156/'🎚️ Escenario'!$C$11&gt;=36,$AL$23,INDEX($C$23:$AL$23,MAX(1,ROUNDUP(DQ156/'🎚️ Escenario'!$C$11,0)))))</f>
        <v>1</v>
      </c>
      <c r="DR157" s="236" t="n">
        <f aca="false" t="array" ref="DR157:DR157">IF(DR156=0,0,IF(DR156/'🎚️ Escenario'!$C$11&gt;=36,$AL$23,INDEX($C$23:$AL$23,MAX(1,ROUNDUP(DR156/'🎚️ Escenario'!$C$11,0)))))</f>
        <v>1</v>
      </c>
      <c r="DS157" s="236" t="n">
        <f aca="false" t="array" ref="DS157:DS157">IF(DS156=0,0,IF(DS156/'🎚️ Escenario'!$C$11&gt;=36,$AL$23,INDEX($C$23:$AL$23,MAX(1,ROUNDUP(DS156/'🎚️ Escenario'!$C$11,0)))))</f>
        <v>1</v>
      </c>
      <c r="DT157" s="236" t="n">
        <f aca="false" t="array" ref="DT157:DT157">IF(DT156=0,0,IF(DT156/'🎚️ Escenario'!$C$11&gt;=36,$AL$23,INDEX($C$23:$AL$23,MAX(1,ROUNDUP(DT156/'🎚️ Escenario'!$C$11,0)))))</f>
        <v>1</v>
      </c>
      <c r="DU157" s="236" t="n">
        <f aca="false" t="array" ref="DU157:DU157">IF(DU156=0,0,IF(DU156/'🎚️ Escenario'!$C$11&gt;=36,$AL$23,INDEX($C$23:$AL$23,MAX(1,ROUNDUP(DU156/'🎚️ Escenario'!$C$11,0)))))</f>
        <v>1</v>
      </c>
      <c r="DV157" s="236" t="n">
        <f aca="false" t="array" ref="DV157:DV157">IF(DV156=0,0,IF(DV156/'🎚️ Escenario'!$C$11&gt;=36,$AL$23,INDEX($C$23:$AL$23,MAX(1,ROUNDUP(DV156/'🎚️ Escenario'!$C$11,0)))))</f>
        <v>1</v>
      </c>
      <c r="DW157" s="236" t="n">
        <f aca="false" t="array" ref="DW157:DW157">IF(DW156=0,0,IF(DW156/'🎚️ Escenario'!$C$11&gt;=36,$AL$23,INDEX($C$23:$AL$23,MAX(1,ROUNDUP(DW156/'🎚️ Escenario'!$C$11,0)))))</f>
        <v>1</v>
      </c>
      <c r="DX157" s="236" t="n">
        <f aca="false" t="array" ref="DX157:DX157">IF(DX156=0,0,IF(DX156/'🎚️ Escenario'!$C$11&gt;=36,$AL$23,INDEX($C$23:$AL$23,MAX(1,ROUNDUP(DX156/'🎚️ Escenario'!$C$11,0)))))</f>
        <v>1</v>
      </c>
      <c r="DY157" s="236" t="n">
        <f aca="false" t="array" ref="DY157:DY157">IF(DY156=0,0,IF(DY156/'🎚️ Escenario'!$C$11&gt;=36,$AL$23,INDEX($C$23:$AL$23,MAX(1,ROUNDUP(DY156/'🎚️ Escenario'!$C$11,0)))))</f>
        <v>1</v>
      </c>
      <c r="DZ157" s="236" t="n">
        <f aca="false" t="array" ref="DZ157:DZ157">IF(DZ156=0,0,IF(DZ156/'🎚️ Escenario'!$C$11&gt;=36,$AL$23,INDEX($C$23:$AL$23,MAX(1,ROUNDUP(DZ156/'🎚️ Escenario'!$C$11,0)))))</f>
        <v>1</v>
      </c>
      <c r="EA157" s="236" t="n">
        <f aca="false" t="array" ref="EA157:EA157">IF(EA156=0,0,IF(EA156/'🎚️ Escenario'!$C$11&gt;=36,$AL$23,INDEX($C$23:$AL$23,MAX(1,ROUNDUP(EA156/'🎚️ Escenario'!$C$11,0)))))</f>
        <v>1</v>
      </c>
      <c r="EB157" s="236" t="n">
        <f aca="false" t="array" ref="EB157:EB157">IF(EB156=0,0,IF(EB156/'🎚️ Escenario'!$C$11&gt;=36,$AL$23,INDEX($C$23:$AL$23,MAX(1,ROUNDUP(EB156/'🎚️ Escenario'!$C$11,0)))))</f>
        <v>1</v>
      </c>
      <c r="EC157" s="236" t="n">
        <f aca="false" t="array" ref="EC157:EC157">IF(EC156=0,0,IF(EC156/'🎚️ Escenario'!$C$11&gt;=36,$AL$23,INDEX($C$23:$AL$23,MAX(1,ROUNDUP(EC156/'🎚️ Escenario'!$C$11,0)))))</f>
        <v>1</v>
      </c>
      <c r="ED157" s="236" t="n">
        <f aca="false" t="array" ref="ED157:ED157">IF(ED156=0,0,IF(ED156/'🎚️ Escenario'!$C$11&gt;=36,$AL$23,INDEX($C$23:$AL$23,MAX(1,ROUNDUP(ED156/'🎚️ Escenario'!$C$11,0)))))</f>
        <v>1</v>
      </c>
      <c r="EE157" s="236" t="n">
        <f aca="false" t="array" ref="EE157:EE157">IF(EE156=0,0,IF(EE156/'🎚️ Escenario'!$C$11&gt;=36,$AL$23,INDEX($C$23:$AL$23,MAX(1,ROUNDUP(EE156/'🎚️ Escenario'!$C$11,0)))))</f>
        <v>1</v>
      </c>
      <c r="EF157" s="236" t="n">
        <f aca="false" t="array" ref="EF157:EF157">IF(EF156=0,0,IF(EF156/'🎚️ Escenario'!$C$11&gt;=36,$AL$23,INDEX($C$23:$AL$23,MAX(1,ROUNDUP(EF156/'🎚️ Escenario'!$C$11,0)))))</f>
        <v>1</v>
      </c>
      <c r="EG157" s="236" t="n">
        <f aca="false" t="array" ref="EG157:EG157">IF(EG156=0,0,IF(EG156/'🎚️ Escenario'!$C$11&gt;=36,$AL$23,INDEX($C$23:$AL$23,MAX(1,ROUNDUP(EG156/'🎚️ Escenario'!$C$11,0)))))</f>
        <v>1</v>
      </c>
      <c r="EH157" s="236" t="n">
        <f aca="false" t="array" ref="EH157:EH157">IF(EH156=0,0,IF(EH156/'🎚️ Escenario'!$C$11&gt;=36,$AL$23,INDEX($C$23:$AL$23,MAX(1,ROUNDUP(EH156/'🎚️ Escenario'!$C$11,0)))))</f>
        <v>1</v>
      </c>
      <c r="EI157" s="236" t="n">
        <f aca="false" t="array" ref="EI157:EI157">IF(EI156=0,0,IF(EI156/'🎚️ Escenario'!$C$11&gt;=36,$AL$23,INDEX($C$23:$AL$23,MAX(1,ROUNDUP(EI156/'🎚️ Escenario'!$C$11,0)))))</f>
        <v>1</v>
      </c>
      <c r="EJ157" s="236" t="n">
        <f aca="false" t="array" ref="EJ157:EJ157">IF(EJ156=0,0,IF(EJ156/'🎚️ Escenario'!$C$11&gt;=36,$AL$23,INDEX($C$23:$AL$23,MAX(1,ROUNDUP(EJ156/'🎚️ Escenario'!$C$11,0)))))</f>
        <v>1</v>
      </c>
      <c r="EK157" s="236" t="n">
        <f aca="false" t="array" ref="EK157:EK157">IF(EK156=0,0,IF(EK156/'🎚️ Escenario'!$C$11&gt;=36,$AL$23,INDEX($C$23:$AL$23,MAX(1,ROUNDUP(EK156/'🎚️ Escenario'!$C$11,0)))))</f>
        <v>1</v>
      </c>
      <c r="EL157" s="236" t="n">
        <f aca="false" t="array" ref="EL157:EL157">IF(EL156=0,0,IF(EL156/'🎚️ Escenario'!$C$11&gt;=36,$AL$23,INDEX($C$23:$AL$23,MAX(1,ROUNDUP(EL156/'🎚️ Escenario'!$C$11,0)))))</f>
        <v>1</v>
      </c>
      <c r="EM157" s="236" t="n">
        <f aca="false" t="array" ref="EM157:EM157">IF(EM156=0,0,IF(EM156/'🎚️ Escenario'!$C$11&gt;=36,$AL$23,INDEX($C$23:$AL$23,MAX(1,ROUNDUP(EM156/'🎚️ Escenario'!$C$11,0)))))</f>
        <v>1</v>
      </c>
      <c r="EN157" s="236" t="n">
        <f aca="false" t="array" ref="EN157:EN157">IF(EN156=0,0,IF(EN156/'🎚️ Escenario'!$C$11&gt;=36,$AL$23,INDEX($C$23:$AL$23,MAX(1,ROUNDUP(EN156/'🎚️ Escenario'!$C$11,0)))))</f>
        <v>1</v>
      </c>
      <c r="EO157" s="236" t="n">
        <f aca="false" t="array" ref="EO157:EO157">IF(EO156=0,0,IF(EO156/'🎚️ Escenario'!$C$11&gt;=36,$AL$23,INDEX($C$23:$AL$23,MAX(1,ROUNDUP(EO156/'🎚️ Escenario'!$C$11,0)))))</f>
        <v>1</v>
      </c>
      <c r="EP157" s="236" t="n">
        <f aca="false" t="array" ref="EP157:EP157">IF(EP156=0,0,IF(EP156/'🎚️ Escenario'!$C$11&gt;=36,$AL$23,INDEX($C$23:$AL$23,MAX(1,ROUNDUP(EP156/'🎚️ Escenario'!$C$11,0)))))</f>
        <v>1</v>
      </c>
      <c r="EQ157" s="236" t="n">
        <f aca="false" t="array" ref="EQ157:EQ157">IF(EQ156=0,0,IF(EQ156/'🎚️ Escenario'!$C$11&gt;=36,$AL$23,INDEX($C$23:$AL$23,MAX(1,ROUNDUP(EQ156/'🎚️ Escenario'!$C$11,0)))))</f>
        <v>1</v>
      </c>
      <c r="ER157" s="236" t="n">
        <f aca="false" t="array" ref="ER157:ER157">IF(ER156=0,0,IF(ER156/'🎚️ Escenario'!$C$11&gt;=36,$AL$23,INDEX($C$23:$AL$23,MAX(1,ROUNDUP(ER156/'🎚️ Escenario'!$C$11,0)))))</f>
        <v>1</v>
      </c>
      <c r="ES157" s="9" t="n">
        <f aca="false" t="array" ref="ES157:ES157">IF(ES156=0,0,IF(ES156/'🎚️ Escenario'!$C$11&gt;=36,$AL$23,INDEX($C$23:$AL$23,MAX(1,ROUNDUP(ES156/'🎚️ Escenario'!$C$11,0)))))</f>
        <v>1</v>
      </c>
      <c r="ET157" s="9" t="n">
        <f aca="false" t="array" ref="ET157:ET157">IF(ET156=0,0,IF(ET156/'🎚️ Escenario'!$C$11&gt;=36,$AL$23,INDEX($C$23:$AL$23,MAX(1,ROUNDUP(ET156/'🎚️ Escenario'!$C$11,0)))))</f>
        <v>1</v>
      </c>
      <c r="EU157" s="9" t="n">
        <f aca="false" t="array" ref="EU157:EU157">IF(EU156=0,0,IF(EU156/'🎚️ Escenario'!$C$11&gt;=36,$AL$23,INDEX($C$23:$AL$23,MAX(1,ROUNDUP(EU156/'🎚️ Escenario'!$C$11,0)))))</f>
        <v>1</v>
      </c>
      <c r="EV157" s="9" t="n">
        <f aca="false" t="array" ref="EV157:EV157">IF(EV156=0,0,IF(EV156/'🎚️ Escenario'!$C$11&gt;=36,$AL$23,INDEX($C$23:$AL$23,MAX(1,ROUNDUP(EV156/'🎚️ Escenario'!$C$11,0)))))</f>
        <v>1</v>
      </c>
      <c r="EW157" s="9" t="n">
        <f aca="false" t="array" ref="EW157:EW157">IF(EW156=0,0,IF(EW156/'🎚️ Escenario'!$C$11&gt;=36,$AL$23,INDEX($C$23:$AL$23,MAX(1,ROUNDUP(EW156/'🎚️ Escenario'!$C$11,0)))))</f>
        <v>1</v>
      </c>
      <c r="EX157" s="9" t="n">
        <f aca="false" t="array" ref="EX157:EX157">IF(EX156=0,0,IF(EX156/'🎚️ Escenario'!$C$11&gt;=36,$AL$23,INDEX($C$23:$AL$23,MAX(1,ROUNDUP(EX156/'🎚️ Escenario'!$C$11,0)))))</f>
        <v>1</v>
      </c>
      <c r="EY157" s="9" t="n">
        <f aca="false" t="array" ref="EY157:EY157">IF(EY156=0,0,IF(EY156/'🎚️ Escenario'!$C$11&gt;=36,$AL$23,INDEX($C$23:$AL$23,MAX(1,ROUNDUP(EY156/'🎚️ Escenario'!$C$11,0)))))</f>
        <v>1</v>
      </c>
      <c r="EZ157" s="9" t="n">
        <f aca="false" t="array" ref="EZ157:EZ157">IF(EZ156=0,0,IF(EZ156/'🎚️ Escenario'!$C$11&gt;=36,$AL$23,INDEX($C$23:$AL$23,MAX(1,ROUNDUP(EZ156/'🎚️ Escenario'!$C$11,0)))))</f>
        <v>1</v>
      </c>
      <c r="FA157" s="9" t="n">
        <f aca="false" t="array" ref="FA157:FA157">IF(FA156=0,0,IF(FA156/'🎚️ Escenario'!$C$11&gt;=36,$AL$23,INDEX($C$23:$AL$23,MAX(1,ROUNDUP(FA156/'🎚️ Escenario'!$C$11,0)))))</f>
        <v>1</v>
      </c>
      <c r="FB157" s="9" t="n">
        <f aca="false" t="array" ref="FB157:FB157">IF(FB156=0,0,IF(FB156/'🎚️ Escenario'!$C$11&gt;=36,$AL$23,INDEX($C$23:$AL$23,MAX(1,ROUNDUP(FB156/'🎚️ Escenario'!$C$11,0)))))</f>
        <v>1</v>
      </c>
      <c r="FC157" s="9" t="n">
        <f aca="false" t="array" ref="FC157:FC157">IF(FC156=0,0,IF(FC156/'🎚️ Escenario'!$C$11&gt;=36,$AL$23,INDEX($C$23:$AL$23,MAX(1,ROUNDUP(FC156/'🎚️ Escenario'!$C$11,0)))))</f>
        <v>1</v>
      </c>
      <c r="FD157" s="9" t="n">
        <f aca="false" t="array" ref="FD157:FD157">IF(FD156=0,0,IF(FD156/'🎚️ Escenario'!$C$11&gt;=36,$AL$23,INDEX($C$23:$AL$23,MAX(1,ROUNDUP(FD156/'🎚️ Escenario'!$C$11,0)))))</f>
        <v>1</v>
      </c>
      <c r="FE157" s="9" t="n">
        <f aca="false" t="array" ref="FE157:FE157">IF(FE156=0,0,IF(FE156/'🎚️ Escenario'!$C$11&gt;=36,$AL$23,INDEX($C$23:$AL$23,MAX(1,ROUNDUP(FE156/'🎚️ Escenario'!$C$11,0)))))</f>
        <v>1</v>
      </c>
      <c r="FF157" s="9" t="n">
        <f aca="false" t="array" ref="FF157:FF157">IF(FF156=0,0,IF(FF156/'🎚️ Escenario'!$C$11&gt;=36,$AL$23,INDEX($C$23:$AL$23,MAX(1,ROUNDUP(FF156/'🎚️ Escenario'!$C$11,0)))))</f>
        <v>1</v>
      </c>
      <c r="FG157" s="9" t="n">
        <f aca="false" t="array" ref="FG157:FG157">IF(FG156=0,0,IF(FG156/'🎚️ Escenario'!$C$11&gt;=36,$AL$23,INDEX($C$23:$AL$23,MAX(1,ROUNDUP(FG156/'🎚️ Escenario'!$C$11,0)))))</f>
        <v>1</v>
      </c>
      <c r="FH157" s="9" t="n">
        <f aca="false" t="array" ref="FH157:FH157">IF(FH156=0,0,IF(FH156/'🎚️ Escenario'!$C$11&gt;=36,$AL$23,INDEX($C$23:$AL$23,MAX(1,ROUNDUP(FH156/'🎚️ Escenario'!$C$11,0)))))</f>
        <v>1</v>
      </c>
      <c r="FI157" s="9" t="n">
        <f aca="false" t="array" ref="FI157:FI157">IF(FI156=0,0,IF(FI156/'🎚️ Escenario'!$C$11&gt;=36,$AL$23,INDEX($C$23:$AL$23,MAX(1,ROUNDUP(FI156/'🎚️ Escenario'!$C$11,0)))))</f>
        <v>1</v>
      </c>
      <c r="FJ157" s="9" t="n">
        <f aca="false" t="array" ref="FJ157:FJ157">IF(FJ156=0,0,IF(FJ156/'🎚️ Escenario'!$C$11&gt;=36,$AL$23,INDEX($C$23:$AL$23,MAX(1,ROUNDUP(FJ156/'🎚️ Escenario'!$C$11,0)))))</f>
        <v>1</v>
      </c>
      <c r="FK157" s="9" t="n">
        <f aca="false" t="array" ref="FK157:FK157">IF(FK156=0,0,IF(FK156/'🎚️ Escenario'!$C$11&gt;=36,$AL$23,INDEX($C$23:$AL$23,MAX(1,ROUNDUP(FK156/'🎚️ Escenario'!$C$11,0)))))</f>
        <v>1</v>
      </c>
      <c r="FL157" s="9" t="n">
        <f aca="false" t="array" ref="FL157:FL157">IF(FL156=0,0,IF(FL156/'🎚️ Escenario'!$C$11&gt;=36,$AL$23,INDEX($C$23:$AL$23,MAX(1,ROUNDUP(FL156/'🎚️ Escenario'!$C$11,0)))))</f>
        <v>1</v>
      </c>
      <c r="FM157" s="9" t="n">
        <f aca="false" t="array" ref="FM157:FM157">IF(FM156=0,0,IF(FM156/'🎚️ Escenario'!$C$11&gt;=36,$AL$23,INDEX($C$23:$AL$23,MAX(1,ROUNDUP(FM156/'🎚️ Escenario'!$C$11,0)))))</f>
        <v>1</v>
      </c>
      <c r="FN157" s="9" t="n">
        <f aca="false" t="array" ref="FN157:FN157">IF(FN156=0,0,IF(FN156/'🎚️ Escenario'!$C$11&gt;=36,$AL$23,INDEX($C$23:$AL$23,MAX(1,ROUNDUP(FN156/'🎚️ Escenario'!$C$11,0)))))</f>
        <v>1</v>
      </c>
      <c r="FO157" s="9" t="n">
        <f aca="false" t="array" ref="FO157:FO157">IF(FO156=0,0,IF(FO156/'🎚️ Escenario'!$C$11&gt;=36,$AL$23,INDEX($C$23:$AL$23,MAX(1,ROUNDUP(FO156/'🎚️ Escenario'!$C$11,0)))))</f>
        <v>1</v>
      </c>
      <c r="FP157" s="9" t="n">
        <f aca="false" t="array" ref="FP157:FP157">IF(FP156=0,0,IF(FP156/'🎚️ Escenario'!$C$11&gt;=36,$AL$23,INDEX($C$23:$AL$23,MAX(1,ROUNDUP(FP156/'🎚️ Escenario'!$C$11,0)))))</f>
        <v>1</v>
      </c>
    </row>
    <row r="158" customFormat="false" ht="15" hidden="false" customHeight="false" outlineLevel="2" collapsed="false">
      <c r="B158" s="9" t="s">
        <v>875</v>
      </c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237" t="n">
        <f aca="false">IF(AC156=0,0,IF(AC156&lt;=12*'🎚️ Escenario'!$C$11,1,1+$C$6))</f>
        <v>0</v>
      </c>
      <c r="AD158" s="237" t="n">
        <f aca="false">IF(AD156=0,0,IF(AD156&lt;=12*'🎚️ Escenario'!$C$11,1,1+$C$6))</f>
        <v>0</v>
      </c>
      <c r="AE158" s="237" t="n">
        <f aca="false">IF(AE156=0,0,IF(AE156&lt;=12*'🎚️ Escenario'!$C$11,1,1+$C$6))</f>
        <v>0</v>
      </c>
      <c r="AF158" s="237" t="n">
        <f aca="false">IF(AF156=0,0,IF(AF156&lt;=12*'🎚️ Escenario'!$C$11,1,1+$C$6))</f>
        <v>0</v>
      </c>
      <c r="AG158" s="237" t="n">
        <f aca="false">IF(AG156=0,0,IF(AG156&lt;=12*'🎚️ Escenario'!$C$11,1,1+$C$6))</f>
        <v>0</v>
      </c>
      <c r="AH158" s="237" t="n">
        <f aca="false">IF(AH156=0,0,IF(AH156&lt;=12*'🎚️ Escenario'!$C$11,1,1+$C$6))</f>
        <v>0</v>
      </c>
      <c r="AI158" s="237" t="n">
        <f aca="false">IF(AI156=0,0,IF(AI156&lt;=12*'🎚️ Escenario'!$C$11,1,1+$C$6))</f>
        <v>0</v>
      </c>
      <c r="AJ158" s="237" t="n">
        <f aca="false">IF(AJ156=0,0,IF(AJ156&lt;=12*'🎚️ Escenario'!$C$11,1,1+$C$6))</f>
        <v>0</v>
      </c>
      <c r="AK158" s="237" t="n">
        <f aca="false">IF(AK156=0,0,IF(AK156&lt;=12*'🎚️ Escenario'!$C$11,1,1+$C$6))</f>
        <v>0</v>
      </c>
      <c r="AL158" s="237" t="n">
        <f aca="false">IF(AL156=0,0,IF(AL156&lt;=12*'🎚️ Escenario'!$C$11,1,1+$C$6))</f>
        <v>0</v>
      </c>
      <c r="AM158" s="237" t="n">
        <f aca="false">IF(AM156=0,0,IF(AM156&lt;=12*'🎚️ Escenario'!$C$11,1,1+$C$6))</f>
        <v>0</v>
      </c>
      <c r="AN158" s="237" t="n">
        <f aca="false">IF(AN156=0,0,IF(AN156&lt;=12*'🎚️ Escenario'!$C$11,1,1+$C$6))</f>
        <v>0</v>
      </c>
      <c r="AO158" s="237" t="n">
        <f aca="false">IF(AO156=0,0,IF(AO156&lt;=12*'🎚️ Escenario'!$C$11,1,1+$C$6))</f>
        <v>0</v>
      </c>
      <c r="AP158" s="237" t="n">
        <f aca="false">IF(AP156=0,0,IF(AP156&lt;=12*'🎚️ Escenario'!$C$11,1,1+$C$6))</f>
        <v>0</v>
      </c>
      <c r="AQ158" s="237" t="n">
        <f aca="false">IF(AQ156=0,0,IF(AQ156&lt;=12*'🎚️ Escenario'!$C$11,1,1+$C$6))</f>
        <v>0</v>
      </c>
      <c r="AR158" s="237" t="n">
        <f aca="false">IF(AR156=0,0,IF(AR156&lt;=12*'🎚️ Escenario'!$C$11,1,1+$C$6))</f>
        <v>0</v>
      </c>
      <c r="AS158" s="237" t="n">
        <f aca="false">IF(AS156=0,0,IF(AS156&lt;=12*'🎚️ Escenario'!$C$11,1,1+$C$6))</f>
        <v>0</v>
      </c>
      <c r="AT158" s="237" t="n">
        <f aca="false">IF(AT156=0,0,IF(AT156&lt;=12*'🎚️ Escenario'!$C$11,1,1+$C$6))</f>
        <v>0</v>
      </c>
      <c r="AU158" s="237" t="n">
        <f aca="false">IF(AU156=0,0,IF(AU156&lt;=12*'🎚️ Escenario'!$C$11,1,1+$C$6))</f>
        <v>0</v>
      </c>
      <c r="AV158" s="237" t="n">
        <f aca="false">IF(AV156=0,0,IF(AV156&lt;=12*'🎚️ Escenario'!$C$11,1,1+$C$6))</f>
        <v>0</v>
      </c>
      <c r="AW158" s="237" t="n">
        <f aca="false">IF(AW156=0,0,IF(AW156&lt;=12*'🎚️ Escenario'!$C$11,1,1+$C$6))</f>
        <v>0</v>
      </c>
      <c r="AX158" s="237" t="n">
        <f aca="false">IF(AX156=0,0,IF(AX156&lt;=12*'🎚️ Escenario'!$C$11,1,1+$C$6))</f>
        <v>0</v>
      </c>
      <c r="AY158" s="237" t="n">
        <f aca="false">IF(AY156=0,0,IF(AY156&lt;=12*'🎚️ Escenario'!$C$11,1,1+$C$6))</f>
        <v>0</v>
      </c>
      <c r="AZ158" s="237" t="n">
        <f aca="false">IF(AZ156=0,0,IF(AZ156&lt;=12*'🎚️ Escenario'!$C$11,1,1+$C$6))</f>
        <v>0</v>
      </c>
      <c r="BA158" s="237" t="n">
        <f aca="false">IF(BA156=0,0,IF(BA156&lt;=12*'🎚️ Escenario'!$C$11,1,1+$C$6))</f>
        <v>0</v>
      </c>
      <c r="BB158" s="237" t="n">
        <f aca="false">IF(BB156=0,0,IF(BB156&lt;=12*'🎚️ Escenario'!$C$11,1,1+$C$6))</f>
        <v>0</v>
      </c>
      <c r="BC158" s="237" t="n">
        <f aca="false">IF(BC156=0,0,IF(BC156&lt;=12*'🎚️ Escenario'!$C$11,1,1+$C$6))</f>
        <v>0</v>
      </c>
      <c r="BD158" s="237" t="n">
        <f aca="false">IF(BD156=0,0,IF(BD156&lt;=12*'🎚️ Escenario'!$C$11,1,1+$C$6))</f>
        <v>0</v>
      </c>
      <c r="BE158" s="237" t="n">
        <f aca="false">IF(BE156=0,0,IF(BE156&lt;=12*'🎚️ Escenario'!$C$11,1,1+$C$6))</f>
        <v>0</v>
      </c>
      <c r="BF158" s="237" t="n">
        <f aca="false">IF(BF156=0,0,IF(BF156&lt;=12*'🎚️ Escenario'!$C$11,1,1+$C$6))</f>
        <v>0</v>
      </c>
      <c r="BG158" s="237" t="n">
        <f aca="false">IF(BG156=0,0,IF(BG156&lt;=12*'🎚️ Escenario'!$C$11,1,1+$C$6))</f>
        <v>0</v>
      </c>
      <c r="BH158" s="237" t="n">
        <f aca="false">IF(BH156=0,0,IF(BH156&lt;=12*'🎚️ Escenario'!$C$11,1,1+$C$6))</f>
        <v>0</v>
      </c>
      <c r="BI158" s="237" t="n">
        <f aca="false">IF(BI156=0,0,IF(BI156&lt;=12*'🎚️ Escenario'!$C$11,1,1+$C$6))</f>
        <v>0</v>
      </c>
      <c r="BJ158" s="237" t="n">
        <f aca="false">IF(BJ156=0,0,IF(BJ156&lt;=12*'🎚️ Escenario'!$C$11,1,1+$C$6))</f>
        <v>0</v>
      </c>
      <c r="BK158" s="237" t="n">
        <f aca="false">IF(BK156=0,0,IF(BK156&lt;=12*'🎚️ Escenario'!$C$11,1,1+$C$6))</f>
        <v>0</v>
      </c>
      <c r="BL158" s="237" t="n">
        <f aca="false">IF(BL156=0,0,IF(BL156&lt;=12*'🎚️ Escenario'!$C$11,1,1+$C$6))</f>
        <v>0</v>
      </c>
      <c r="BM158" s="237" t="n">
        <f aca="false">IF(BM156=0,0,IF(BM156&lt;=12*'🎚️ Escenario'!$C$11,1,1+$C$6))</f>
        <v>0</v>
      </c>
      <c r="BN158" s="237" t="n">
        <f aca="false">IF(BN156=0,0,IF(BN156&lt;=12*'🎚️ Escenario'!$C$11,1,1+$C$6))</f>
        <v>0</v>
      </c>
      <c r="BO158" s="237" t="n">
        <f aca="false">IF(BO156=0,0,IF(BO156&lt;=12*'🎚️ Escenario'!$C$11,1,1+$C$6))</f>
        <v>0</v>
      </c>
      <c r="BP158" s="237" t="n">
        <f aca="false">IF(BP156=0,0,IF(BP156&lt;=12*'🎚️ Escenario'!$C$11,1,1+$C$6))</f>
        <v>0</v>
      </c>
      <c r="BQ158" s="237" t="n">
        <f aca="false">IF(BQ156=0,0,IF(BQ156&lt;=12*'🎚️ Escenario'!$C$11,1,1+$C$6))</f>
        <v>1</v>
      </c>
      <c r="BR158" s="237" t="n">
        <f aca="false">IF(BR156=0,0,IF(BR156&lt;=12*'🎚️ Escenario'!$C$11,1,1+$C$6))</f>
        <v>1</v>
      </c>
      <c r="BS158" s="237" t="n">
        <f aca="false">IF(BS156=0,0,IF(BS156&lt;=12*'🎚️ Escenario'!$C$11,1,1+$C$6))</f>
        <v>1</v>
      </c>
      <c r="BT158" s="237" t="n">
        <f aca="false">IF(BT156=0,0,IF(BT156&lt;=12*'🎚️ Escenario'!$C$11,1,1+$C$6))</f>
        <v>1</v>
      </c>
      <c r="BU158" s="237" t="n">
        <f aca="false">IF(BU156=0,0,IF(BU156&lt;=12*'🎚️ Escenario'!$C$11,1,1+$C$6))</f>
        <v>1</v>
      </c>
      <c r="BV158" s="237" t="n">
        <f aca="false">IF(BV156=0,0,IF(BV156&lt;=12*'🎚️ Escenario'!$C$11,1,1+$C$6))</f>
        <v>1</v>
      </c>
      <c r="BW158" s="237" t="n">
        <f aca="false">IF(BW156=0,0,IF(BW156&lt;=12*'🎚️ Escenario'!$C$11,1,1+$C$6))</f>
        <v>1</v>
      </c>
      <c r="BX158" s="237" t="n">
        <f aca="false">IF(BX156=0,0,IF(BX156&lt;=12*'🎚️ Escenario'!$C$11,1,1+$C$6))</f>
        <v>1</v>
      </c>
      <c r="BY158" s="237" t="n">
        <f aca="false">IF(BY156=0,0,IF(BY156&lt;=12*'🎚️ Escenario'!$C$11,1,1+$C$6))</f>
        <v>1</v>
      </c>
      <c r="BZ158" s="237" t="n">
        <f aca="false">IF(BZ156=0,0,IF(BZ156&lt;=12*'🎚️ Escenario'!$C$11,1,1+$C$6))</f>
        <v>1</v>
      </c>
      <c r="CA158" s="237" t="n">
        <f aca="false">IF(CA156=0,0,IF(CA156&lt;=12*'🎚️ Escenario'!$C$11,1,1+$C$6))</f>
        <v>1</v>
      </c>
      <c r="CB158" s="237" t="n">
        <f aca="false">IF(CB156=0,0,IF(CB156&lt;=12*'🎚️ Escenario'!$C$11,1,1+$C$6))</f>
        <v>1</v>
      </c>
      <c r="CC158" s="237" t="n">
        <f aca="false">IF(CC156=0,0,IF(CC156&lt;=12*'🎚️ Escenario'!$C$11,1,1+$C$6))</f>
        <v>1</v>
      </c>
      <c r="CD158" s="237" t="n">
        <f aca="false">IF(CD156=0,0,IF(CD156&lt;=12*'🎚️ Escenario'!$C$11,1,1+$C$6))</f>
        <v>1</v>
      </c>
      <c r="CE158" s="237" t="n">
        <f aca="false">IF(CE156=0,0,IF(CE156&lt;=12*'🎚️ Escenario'!$C$11,1,1+$C$6))</f>
        <v>1</v>
      </c>
      <c r="CF158" s="237" t="n">
        <f aca="false">IF(CF156=0,0,IF(CF156&lt;=12*'🎚️ Escenario'!$C$11,1,1+$C$6))</f>
        <v>1.2</v>
      </c>
      <c r="CG158" s="237" t="n">
        <f aca="false">IF(CG156=0,0,IF(CG156&lt;=12*'🎚️ Escenario'!$C$11,1,1+$C$6))</f>
        <v>1.2</v>
      </c>
      <c r="CH158" s="237" t="n">
        <f aca="false">IF(CH156=0,0,IF(CH156&lt;=12*'🎚️ Escenario'!$C$11,1,1+$C$6))</f>
        <v>1.2</v>
      </c>
      <c r="CI158" s="237" t="n">
        <f aca="false">IF(CI156=0,0,IF(CI156&lt;=12*'🎚️ Escenario'!$C$11,1,1+$C$6))</f>
        <v>1.2</v>
      </c>
      <c r="CJ158" s="237" t="n">
        <f aca="false">IF(CJ156=0,0,IF(CJ156&lt;=12*'🎚️ Escenario'!$C$11,1,1+$C$6))</f>
        <v>1.2</v>
      </c>
      <c r="CK158" s="237" t="n">
        <f aca="false">IF(CK156=0,0,IF(CK156&lt;=12*'🎚️ Escenario'!$C$11,1,1+$C$6))</f>
        <v>1.2</v>
      </c>
      <c r="CL158" s="237" t="n">
        <f aca="false">IF(CL156=0,0,IF(CL156&lt;=12*'🎚️ Escenario'!$C$11,1,1+$C$6))</f>
        <v>1.2</v>
      </c>
      <c r="CM158" s="237" t="n">
        <f aca="false">IF(CM156=0,0,IF(CM156&lt;=12*'🎚️ Escenario'!$C$11,1,1+$C$6))</f>
        <v>1.2</v>
      </c>
      <c r="CN158" s="237" t="n">
        <f aca="false">IF(CN156=0,0,IF(CN156&lt;=12*'🎚️ Escenario'!$C$11,1,1+$C$6))</f>
        <v>1.2</v>
      </c>
      <c r="CO158" s="237" t="n">
        <f aca="false">IF(CO156=0,0,IF(CO156&lt;=12*'🎚️ Escenario'!$C$11,1,1+$C$6))</f>
        <v>1.2</v>
      </c>
      <c r="CP158" s="237" t="n">
        <f aca="false">IF(CP156=0,0,IF(CP156&lt;=12*'🎚️ Escenario'!$C$11,1,1+$C$6))</f>
        <v>1.2</v>
      </c>
      <c r="CQ158" s="237" t="n">
        <f aca="false">IF(CQ156=0,0,IF(CQ156&lt;=12*'🎚️ Escenario'!$C$11,1,1+$C$6))</f>
        <v>1.2</v>
      </c>
      <c r="CR158" s="237" t="n">
        <f aca="false">IF(CR156=0,0,IF(CR156&lt;=12*'🎚️ Escenario'!$C$11,1,1+$C$6))</f>
        <v>1.2</v>
      </c>
      <c r="CS158" s="237" t="n">
        <f aca="false">IF(CS156=0,0,IF(CS156&lt;=12*'🎚️ Escenario'!$C$11,1,1+$C$6))</f>
        <v>1.2</v>
      </c>
      <c r="CT158" s="237" t="n">
        <f aca="false">IF(CT156=0,0,IF(CT156&lt;=12*'🎚️ Escenario'!$C$11,1,1+$C$6))</f>
        <v>1.2</v>
      </c>
      <c r="CU158" s="237" t="n">
        <f aca="false">IF(CU156=0,0,IF(CU156&lt;=12*'🎚️ Escenario'!$C$11,1,1+$C$6))</f>
        <v>1.2</v>
      </c>
      <c r="CV158" s="237" t="n">
        <f aca="false">IF(CV156=0,0,IF(CV156&lt;=12*'🎚️ Escenario'!$C$11,1,1+$C$6))</f>
        <v>1.2</v>
      </c>
      <c r="CW158" s="237" t="n">
        <f aca="false">IF(CW156=0,0,IF(CW156&lt;=12*'🎚️ Escenario'!$C$11,1,1+$C$6))</f>
        <v>1.2</v>
      </c>
      <c r="CX158" s="237" t="n">
        <f aca="false">IF(CX156=0,0,IF(CX156&lt;=12*'🎚️ Escenario'!$C$11,1,1+$C$6))</f>
        <v>1.2</v>
      </c>
      <c r="CY158" s="237" t="n">
        <f aca="false">IF(CY156=0,0,IF(CY156&lt;=12*'🎚️ Escenario'!$C$11,1,1+$C$6))</f>
        <v>1.2</v>
      </c>
      <c r="CZ158" s="237" t="n">
        <f aca="false">IF(CZ156=0,0,IF(CZ156&lt;=12*'🎚️ Escenario'!$C$11,1,1+$C$6))</f>
        <v>1.2</v>
      </c>
      <c r="DA158" s="237" t="n">
        <f aca="false">IF(DA156=0,0,IF(DA156&lt;=12*'🎚️ Escenario'!$C$11,1,1+$C$6))</f>
        <v>1.2</v>
      </c>
      <c r="DB158" s="237" t="n">
        <f aca="false">IF(DB156=0,0,IF(DB156&lt;=12*'🎚️ Escenario'!$C$11,1,1+$C$6))</f>
        <v>1.2</v>
      </c>
      <c r="DC158" s="237" t="n">
        <f aca="false">IF(DC156=0,0,IF(DC156&lt;=12*'🎚️ Escenario'!$C$11,1,1+$C$6))</f>
        <v>1.2</v>
      </c>
      <c r="DD158" s="237" t="n">
        <f aca="false">IF(DD156=0,0,IF(DD156&lt;=12*'🎚️ Escenario'!$C$11,1,1+$C$6))</f>
        <v>1.2</v>
      </c>
      <c r="DE158" s="237" t="n">
        <f aca="false">IF(DE156=0,0,IF(DE156&lt;=12*'🎚️ Escenario'!$C$11,1,1+$C$6))</f>
        <v>1.2</v>
      </c>
      <c r="DF158" s="237" t="n">
        <f aca="false">IF(DF156=0,0,IF(DF156&lt;=12*'🎚️ Escenario'!$C$11,1,1+$C$6))</f>
        <v>1.2</v>
      </c>
      <c r="DG158" s="237" t="n">
        <f aca="false">IF(DG156=0,0,IF(DG156&lt;=12*'🎚️ Escenario'!$C$11,1,1+$C$6))</f>
        <v>1.2</v>
      </c>
      <c r="DH158" s="237" t="n">
        <f aca="false">IF(DH156=0,0,IF(DH156&lt;=12*'🎚️ Escenario'!$C$11,1,1+$C$6))</f>
        <v>1.2</v>
      </c>
      <c r="DI158" s="237" t="n">
        <f aca="false">IF(DI156=0,0,IF(DI156&lt;=12*'🎚️ Escenario'!$C$11,1,1+$C$6))</f>
        <v>1.2</v>
      </c>
      <c r="DJ158" s="237" t="n">
        <f aca="false">IF(DJ156=0,0,IF(DJ156&lt;=12*'🎚️ Escenario'!$C$11,1,1+$C$6))</f>
        <v>1.2</v>
      </c>
      <c r="DK158" s="237" t="n">
        <f aca="false">IF(DK156=0,0,IF(DK156&lt;=12*'🎚️ Escenario'!$C$11,1,1+$C$6))</f>
        <v>1.2</v>
      </c>
      <c r="DL158" s="237" t="n">
        <f aca="false">IF(DL156=0,0,IF(DL156&lt;=12*'🎚️ Escenario'!$C$11,1,1+$C$6))</f>
        <v>1.2</v>
      </c>
      <c r="DM158" s="237" t="n">
        <f aca="false">IF(DM156=0,0,IF(DM156&lt;=12*'🎚️ Escenario'!$C$11,1,1+$C$6))</f>
        <v>1.2</v>
      </c>
      <c r="DN158" s="237" t="n">
        <f aca="false">IF(DN156=0,0,IF(DN156&lt;=12*'🎚️ Escenario'!$C$11,1,1+$C$6))</f>
        <v>1.2</v>
      </c>
      <c r="DO158" s="237" t="n">
        <f aca="false">IF(DO156=0,0,IF(DO156&lt;=12*'🎚️ Escenario'!$C$11,1,1+$C$6))</f>
        <v>1.2</v>
      </c>
      <c r="DP158" s="237" t="n">
        <f aca="false">IF(DP156=0,0,IF(DP156&lt;=12*'🎚️ Escenario'!$C$11,1,1+$C$6))</f>
        <v>1.2</v>
      </c>
      <c r="DQ158" s="237" t="n">
        <f aca="false">IF(DQ156=0,0,IF(DQ156&lt;=12*'🎚️ Escenario'!$C$11,1,1+$C$6))</f>
        <v>1.2</v>
      </c>
      <c r="DR158" s="237" t="n">
        <f aca="false">IF(DR156=0,0,IF(DR156&lt;=12*'🎚️ Escenario'!$C$11,1,1+$C$6))</f>
        <v>1.2</v>
      </c>
      <c r="DS158" s="237" t="n">
        <f aca="false">IF(DS156=0,0,IF(DS156&lt;=12*'🎚️ Escenario'!$C$11,1,1+$C$6))</f>
        <v>1.2</v>
      </c>
      <c r="DT158" s="237" t="n">
        <f aca="false">IF(DT156=0,0,IF(DT156&lt;=12*'🎚️ Escenario'!$C$11,1,1+$C$6))</f>
        <v>1.2</v>
      </c>
      <c r="DU158" s="237" t="n">
        <f aca="false">IF(DU156=0,0,IF(DU156&lt;=12*'🎚️ Escenario'!$C$11,1,1+$C$6))</f>
        <v>1.2</v>
      </c>
      <c r="DV158" s="237" t="n">
        <f aca="false">IF(DV156=0,0,IF(DV156&lt;=12*'🎚️ Escenario'!$C$11,1,1+$C$6))</f>
        <v>1.2</v>
      </c>
      <c r="DW158" s="237" t="n">
        <f aca="false">IF(DW156=0,0,IF(DW156&lt;=12*'🎚️ Escenario'!$C$11,1,1+$C$6))</f>
        <v>1.2</v>
      </c>
      <c r="DX158" s="237" t="n">
        <f aca="false">IF(DX156=0,0,IF(DX156&lt;=12*'🎚️ Escenario'!$C$11,1,1+$C$6))</f>
        <v>1.2</v>
      </c>
      <c r="DY158" s="237" t="n">
        <f aca="false">IF(DY156=0,0,IF(DY156&lt;=12*'🎚️ Escenario'!$C$11,1,1+$C$6))</f>
        <v>1.2</v>
      </c>
      <c r="DZ158" s="237" t="n">
        <f aca="false">IF(DZ156=0,0,IF(DZ156&lt;=12*'🎚️ Escenario'!$C$11,1,1+$C$6))</f>
        <v>1.2</v>
      </c>
      <c r="EA158" s="237" t="n">
        <f aca="false">IF(EA156=0,0,IF(EA156&lt;=12*'🎚️ Escenario'!$C$11,1,1+$C$6))</f>
        <v>1.2</v>
      </c>
      <c r="EB158" s="237" t="n">
        <f aca="false">IF(EB156=0,0,IF(EB156&lt;=12*'🎚️ Escenario'!$C$11,1,1+$C$6))</f>
        <v>1.2</v>
      </c>
      <c r="EC158" s="237" t="n">
        <f aca="false">IF(EC156=0,0,IF(EC156&lt;=12*'🎚️ Escenario'!$C$11,1,1+$C$6))</f>
        <v>1.2</v>
      </c>
      <c r="ED158" s="237" t="n">
        <f aca="false">IF(ED156=0,0,IF(ED156&lt;=12*'🎚️ Escenario'!$C$11,1,1+$C$6))</f>
        <v>1.2</v>
      </c>
      <c r="EE158" s="237" t="n">
        <f aca="false">IF(EE156=0,0,IF(EE156&lt;=12*'🎚️ Escenario'!$C$11,1,1+$C$6))</f>
        <v>1.2</v>
      </c>
      <c r="EF158" s="237" t="n">
        <f aca="false">IF(EF156=0,0,IF(EF156&lt;=12*'🎚️ Escenario'!$C$11,1,1+$C$6))</f>
        <v>1.2</v>
      </c>
      <c r="EG158" s="237" t="n">
        <f aca="false">IF(EG156=0,0,IF(EG156&lt;=12*'🎚️ Escenario'!$C$11,1,1+$C$6))</f>
        <v>1.2</v>
      </c>
      <c r="EH158" s="237" t="n">
        <f aca="false">IF(EH156=0,0,IF(EH156&lt;=12*'🎚️ Escenario'!$C$11,1,1+$C$6))</f>
        <v>1.2</v>
      </c>
      <c r="EI158" s="237" t="n">
        <f aca="false">IF(EI156=0,0,IF(EI156&lt;=12*'🎚️ Escenario'!$C$11,1,1+$C$6))</f>
        <v>1.2</v>
      </c>
      <c r="EJ158" s="237" t="n">
        <f aca="false">IF(EJ156=0,0,IF(EJ156&lt;=12*'🎚️ Escenario'!$C$11,1,1+$C$6))</f>
        <v>1.2</v>
      </c>
      <c r="EK158" s="237" t="n">
        <f aca="false">IF(EK156=0,0,IF(EK156&lt;=12*'🎚️ Escenario'!$C$11,1,1+$C$6))</f>
        <v>1.2</v>
      </c>
      <c r="EL158" s="237" t="n">
        <f aca="false">IF(EL156=0,0,IF(EL156&lt;=12*'🎚️ Escenario'!$C$11,1,1+$C$6))</f>
        <v>1.2</v>
      </c>
      <c r="EM158" s="237" t="n">
        <f aca="false">IF(EM156=0,0,IF(EM156&lt;=12*'🎚️ Escenario'!$C$11,1,1+$C$6))</f>
        <v>1.2</v>
      </c>
      <c r="EN158" s="237" t="n">
        <f aca="false">IF(EN156=0,0,IF(EN156&lt;=12*'🎚️ Escenario'!$C$11,1,1+$C$6))</f>
        <v>1.2</v>
      </c>
      <c r="EO158" s="237" t="n">
        <f aca="false">IF(EO156=0,0,IF(EO156&lt;=12*'🎚️ Escenario'!$C$11,1,1+$C$6))</f>
        <v>1.2</v>
      </c>
      <c r="EP158" s="237" t="n">
        <f aca="false">IF(EP156=0,0,IF(EP156&lt;=12*'🎚️ Escenario'!$C$11,1,1+$C$6))</f>
        <v>1.2</v>
      </c>
      <c r="EQ158" s="237" t="n">
        <f aca="false">IF(EQ156=0,0,IF(EQ156&lt;=12*'🎚️ Escenario'!$C$11,1,1+$C$6))</f>
        <v>1.2</v>
      </c>
      <c r="ER158" s="237" t="n">
        <f aca="false">IF(ER156=0,0,IF(ER156&lt;=12*'🎚️ Escenario'!$C$11,1,1+$C$6))</f>
        <v>1.2</v>
      </c>
      <c r="ES158" s="238" t="n">
        <f aca="false">IF(ES156=0,0,IF(ES156&lt;=12*'🎚️ Escenario'!$C$11,1,1+$C$6))</f>
        <v>1.2</v>
      </c>
      <c r="ET158" s="238" t="n">
        <f aca="false">IF(ET156=0,0,IF(ET156&lt;=12*'🎚️ Escenario'!$C$11,1,1+$C$6))</f>
        <v>1.2</v>
      </c>
      <c r="EU158" s="238" t="n">
        <f aca="false">IF(EU156=0,0,IF(EU156&lt;=12*'🎚️ Escenario'!$C$11,1,1+$C$6))</f>
        <v>1.2</v>
      </c>
      <c r="EV158" s="238" t="n">
        <f aca="false">IF(EV156=0,0,IF(EV156&lt;=12*'🎚️ Escenario'!$C$11,1,1+$C$6))</f>
        <v>1.2</v>
      </c>
      <c r="EW158" s="238" t="n">
        <f aca="false">IF(EW156=0,0,IF(EW156&lt;=12*'🎚️ Escenario'!$C$11,1,1+$C$6))</f>
        <v>1.2</v>
      </c>
      <c r="EX158" s="238" t="n">
        <f aca="false">IF(EX156=0,0,IF(EX156&lt;=12*'🎚️ Escenario'!$C$11,1,1+$C$6))</f>
        <v>1.2</v>
      </c>
      <c r="EY158" s="238" t="n">
        <f aca="false">IF(EY156=0,0,IF(EY156&lt;=12*'🎚️ Escenario'!$C$11,1,1+$C$6))</f>
        <v>1.2</v>
      </c>
      <c r="EZ158" s="238" t="n">
        <f aca="false">IF(EZ156=0,0,IF(EZ156&lt;=12*'🎚️ Escenario'!$C$11,1,1+$C$6))</f>
        <v>1.2</v>
      </c>
      <c r="FA158" s="238" t="n">
        <f aca="false">IF(FA156=0,0,IF(FA156&lt;=12*'🎚️ Escenario'!$C$11,1,1+$C$6))</f>
        <v>1.2</v>
      </c>
      <c r="FB158" s="238" t="n">
        <f aca="false">IF(FB156=0,0,IF(FB156&lt;=12*'🎚️ Escenario'!$C$11,1,1+$C$6))</f>
        <v>1.2</v>
      </c>
      <c r="FC158" s="238" t="n">
        <f aca="false">IF(FC156=0,0,IF(FC156&lt;=12*'🎚️ Escenario'!$C$11,1,1+$C$6))</f>
        <v>1.2</v>
      </c>
      <c r="FD158" s="238" t="n">
        <f aca="false">IF(FD156=0,0,IF(FD156&lt;=12*'🎚️ Escenario'!$C$11,1,1+$C$6))</f>
        <v>1.2</v>
      </c>
      <c r="FE158" s="238" t="n">
        <f aca="false">IF(FE156=0,0,IF(FE156&lt;=12*'🎚️ Escenario'!$C$11,1,1+$C$6))</f>
        <v>1.2</v>
      </c>
      <c r="FF158" s="238" t="n">
        <f aca="false">IF(FF156=0,0,IF(FF156&lt;=12*'🎚️ Escenario'!$C$11,1,1+$C$6))</f>
        <v>1.2</v>
      </c>
      <c r="FG158" s="238" t="n">
        <f aca="false">IF(FG156=0,0,IF(FG156&lt;=12*'🎚️ Escenario'!$C$11,1,1+$C$6))</f>
        <v>1.2</v>
      </c>
      <c r="FH158" s="238" t="n">
        <f aca="false">IF(FH156=0,0,IF(FH156&lt;=12*'🎚️ Escenario'!$C$11,1,1+$C$6))</f>
        <v>1.2</v>
      </c>
      <c r="FI158" s="238" t="n">
        <f aca="false">IF(FI156=0,0,IF(FI156&lt;=12*'🎚️ Escenario'!$C$11,1,1+$C$6))</f>
        <v>1.2</v>
      </c>
      <c r="FJ158" s="238" t="n">
        <f aca="false">IF(FJ156=0,0,IF(FJ156&lt;=12*'🎚️ Escenario'!$C$11,1,1+$C$6))</f>
        <v>1.2</v>
      </c>
      <c r="FK158" s="238" t="n">
        <f aca="false">IF(FK156=0,0,IF(FK156&lt;=12*'🎚️ Escenario'!$C$11,1,1+$C$6))</f>
        <v>1.2</v>
      </c>
      <c r="FL158" s="238" t="n">
        <f aca="false">IF(FL156=0,0,IF(FL156&lt;=12*'🎚️ Escenario'!$C$11,1,1+$C$6))</f>
        <v>1.2</v>
      </c>
      <c r="FM158" s="238" t="n">
        <f aca="false">IF(FM156=0,0,IF(FM156&lt;=12*'🎚️ Escenario'!$C$11,1,1+$C$6))</f>
        <v>1.2</v>
      </c>
      <c r="FN158" s="238" t="n">
        <f aca="false">IF(FN156=0,0,IF(FN156&lt;=12*'🎚️ Escenario'!$C$11,1,1+$C$6))</f>
        <v>1.2</v>
      </c>
      <c r="FO158" s="238" t="n">
        <f aca="false">IF(FO156=0,0,IF(FO156&lt;=12*'🎚️ Escenario'!$C$11,1,1+$C$6))</f>
        <v>1.2</v>
      </c>
      <c r="FP158" s="238" t="n">
        <f aca="false">IF(FP156=0,0,IF(FP156&lt;=12*'🎚️ Escenario'!$C$11,1,1+$C$6))</f>
        <v>1.2</v>
      </c>
    </row>
    <row r="159" customFormat="false" ht="15" hidden="false" customHeight="false" outlineLevel="2" collapsed="false">
      <c r="B159" s="9" t="s">
        <v>876</v>
      </c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36" t="n">
        <f aca="false">AC157*$AC$155*AC158*AC$38*'⑫ Roll-out Plan'!$O$21</f>
        <v>0</v>
      </c>
      <c r="AD159" s="36" t="n">
        <f aca="false">AD157*$AC$155*AD158*AD$38*'⑫ Roll-out Plan'!$O$21</f>
        <v>0</v>
      </c>
      <c r="AE159" s="36" t="n">
        <f aca="false">AE157*$AC$155*AE158*AE$38*'⑫ Roll-out Plan'!$O$21</f>
        <v>0</v>
      </c>
      <c r="AF159" s="36" t="n">
        <f aca="false">AF157*$AC$155*AF158*AF$38*'⑫ Roll-out Plan'!$O$21</f>
        <v>0</v>
      </c>
      <c r="AG159" s="36" t="n">
        <f aca="false">AG157*$AC$155*AG158*AG$38*'⑫ Roll-out Plan'!$O$21</f>
        <v>0</v>
      </c>
      <c r="AH159" s="36" t="n">
        <f aca="false">AH157*$AC$155*AH158*AH$38*'⑫ Roll-out Plan'!$O$21</f>
        <v>0</v>
      </c>
      <c r="AI159" s="36" t="n">
        <f aca="false">AI157*$AC$155*AI158*AI$38*'⑫ Roll-out Plan'!$O$21</f>
        <v>0</v>
      </c>
      <c r="AJ159" s="36" t="n">
        <f aca="false">AJ157*$AC$155*AJ158*AJ$38*'⑫ Roll-out Plan'!$O$21</f>
        <v>0</v>
      </c>
      <c r="AK159" s="36" t="n">
        <f aca="false">AK157*$AC$155*AK158*AK$38*'⑫ Roll-out Plan'!$O$21</f>
        <v>0</v>
      </c>
      <c r="AL159" s="36" t="n">
        <f aca="false">AL157*$AC$155*AL158*AL$38*'⑫ Roll-out Plan'!$O$21</f>
        <v>0</v>
      </c>
      <c r="AM159" s="36" t="n">
        <f aca="false">AM157*$AC$155*AM158*AM$38*'⑫ Roll-out Plan'!$O$21</f>
        <v>0</v>
      </c>
      <c r="AN159" s="36" t="n">
        <f aca="false">AN157*$AC$155*AN158*AN$38*'⑫ Roll-out Plan'!$O$21</f>
        <v>0</v>
      </c>
      <c r="AO159" s="36" t="n">
        <f aca="false">AO157*$AC$155*AO158*AO$38*'⑫ Roll-out Plan'!$O$21</f>
        <v>0</v>
      </c>
      <c r="AP159" s="36" t="n">
        <f aca="false">AP157*$AC$155*AP158*AP$38*'⑫ Roll-out Plan'!$O$21</f>
        <v>0</v>
      </c>
      <c r="AQ159" s="36" t="n">
        <f aca="false">AQ157*$AC$155*AQ158*AQ$38*'⑫ Roll-out Plan'!$O$21</f>
        <v>0</v>
      </c>
      <c r="AR159" s="36" t="n">
        <f aca="false">AR157*$AC$155*AR158*AR$38*'⑫ Roll-out Plan'!$O$21</f>
        <v>0</v>
      </c>
      <c r="AS159" s="36" t="n">
        <f aca="false">AS157*$AC$155*AS158*AS$38*'⑫ Roll-out Plan'!$O$21</f>
        <v>0</v>
      </c>
      <c r="AT159" s="36" t="n">
        <f aca="false">AT157*$AC$155*AT158*AT$38*'⑫ Roll-out Plan'!$O$21</f>
        <v>0</v>
      </c>
      <c r="AU159" s="36" t="n">
        <f aca="false">AU157*$AC$155*AU158*AU$38*'⑫ Roll-out Plan'!$O$21</f>
        <v>0</v>
      </c>
      <c r="AV159" s="36" t="n">
        <f aca="false">AV157*$AC$155*AV158*AV$38*'⑫ Roll-out Plan'!$O$21</f>
        <v>0</v>
      </c>
      <c r="AW159" s="36" t="n">
        <f aca="false">AW157*$AC$155*AW158*AW$38*'⑫ Roll-out Plan'!$O$21</f>
        <v>0</v>
      </c>
      <c r="AX159" s="36" t="n">
        <f aca="false">AX157*$AC$155*AX158*AX$38*'⑫ Roll-out Plan'!$O$21</f>
        <v>0</v>
      </c>
      <c r="AY159" s="36" t="n">
        <f aca="false">AY157*$AC$155*AY158*AY$38*'⑫ Roll-out Plan'!$O$21</f>
        <v>0</v>
      </c>
      <c r="AZ159" s="36" t="n">
        <f aca="false">AZ157*$AC$155*AZ158*AZ$38*'⑫ Roll-out Plan'!$O$21</f>
        <v>0</v>
      </c>
      <c r="BA159" s="36" t="n">
        <f aca="false">BA157*$AC$155*BA158*BA$38*'⑫ Roll-out Plan'!$O$21</f>
        <v>0</v>
      </c>
      <c r="BB159" s="36" t="n">
        <f aca="false">BB157*$AC$155*BB158*BB$38*'⑫ Roll-out Plan'!$O$21</f>
        <v>0</v>
      </c>
      <c r="BC159" s="36" t="n">
        <f aca="false">BC157*$AC$155*BC158*BC$38*'⑫ Roll-out Plan'!$O$21</f>
        <v>0</v>
      </c>
      <c r="BD159" s="36" t="n">
        <f aca="false">BD157*$AC$155*BD158*BD$38*'⑫ Roll-out Plan'!$O$21</f>
        <v>0</v>
      </c>
      <c r="BE159" s="36" t="n">
        <f aca="false">BE157*$AC$155*BE158*BE$38*'⑫ Roll-out Plan'!$O$21</f>
        <v>0</v>
      </c>
      <c r="BF159" s="36" t="n">
        <f aca="false">BF157*$AC$155*BF158*BF$38*'⑫ Roll-out Plan'!$O$21</f>
        <v>0</v>
      </c>
      <c r="BG159" s="36" t="n">
        <f aca="false">BG157*$AC$155*BG158*BG$38*'⑫ Roll-out Plan'!$O$21</f>
        <v>0</v>
      </c>
      <c r="BH159" s="36" t="n">
        <f aca="false">BH157*$AC$155*BH158*BH$38*'⑫ Roll-out Plan'!$O$21</f>
        <v>0</v>
      </c>
      <c r="BI159" s="36" t="n">
        <f aca="false">BI157*$AC$155*BI158*BI$38*'⑫ Roll-out Plan'!$O$21</f>
        <v>0</v>
      </c>
      <c r="BJ159" s="36" t="n">
        <f aca="false">BJ157*$AC$155*BJ158*BJ$38*'⑫ Roll-out Plan'!$O$21</f>
        <v>0</v>
      </c>
      <c r="BK159" s="36" t="n">
        <f aca="false">BK157*$AC$155*BK158*BK$38*'⑫ Roll-out Plan'!$O$21</f>
        <v>0</v>
      </c>
      <c r="BL159" s="36" t="n">
        <f aca="false">BL157*$AC$155*BL158*BL$38*'⑫ Roll-out Plan'!$O$21</f>
        <v>0</v>
      </c>
      <c r="BM159" s="36" t="n">
        <f aca="false">BM157*$AC$155*BM158*BM$38*'⑫ Roll-out Plan'!$O$21</f>
        <v>0</v>
      </c>
      <c r="BN159" s="36" t="n">
        <f aca="false">BN157*$AC$155*BN158*BN$38*'⑫ Roll-out Plan'!$O$21</f>
        <v>0</v>
      </c>
      <c r="BO159" s="36" t="n">
        <f aca="false">BO157*$AC$155*BO158*BO$38*'⑫ Roll-out Plan'!$O$21</f>
        <v>0</v>
      </c>
      <c r="BP159" s="36" t="n">
        <f aca="false">BP157*$AC$155*BP158*BP$38*'⑫ Roll-out Plan'!$O$21</f>
        <v>0</v>
      </c>
      <c r="BQ159" s="36" t="n">
        <f aca="false">BQ157*$AC$155*BQ158*BQ$38*'⑫ Roll-out Plan'!$O$21</f>
        <v>34.04</v>
      </c>
      <c r="BR159" s="36" t="n">
        <f aca="false">BR157*$AC$155*BR158*BR$38*'⑫ Roll-out Plan'!$O$21</f>
        <v>32.56</v>
      </c>
      <c r="BS159" s="36" t="n">
        <f aca="false">BS157*$AC$155*BS158*BS$38*'⑫ Roll-out Plan'!$O$21</f>
        <v>37.296</v>
      </c>
      <c r="BT159" s="36" t="n">
        <f aca="false">BT157*$AC$155*BT158*BT$38*'⑫ Roll-out Plan'!$O$21</f>
        <v>70.929</v>
      </c>
      <c r="BU159" s="36" t="n">
        <f aca="false">BU157*$AC$155*BU158*BU$38*'⑫ Roll-out Plan'!$O$21</f>
        <v>57.942</v>
      </c>
      <c r="BV159" s="36" t="n">
        <f aca="false">BV157*$AC$155*BV158*BV$38*'⑫ Roll-out Plan'!$O$21</f>
        <v>55.056</v>
      </c>
      <c r="BW159" s="36" t="n">
        <f aca="false">BW157*$AC$155*BW158*BW$38*'⑫ Roll-out Plan'!$O$21</f>
        <v>46.62</v>
      </c>
      <c r="BX159" s="36" t="n">
        <f aca="false">BX157*$AC$155*BX158*BX$38*'⑫ Roll-out Plan'!$O$21</f>
        <v>73.593</v>
      </c>
      <c r="BY159" s="36" t="n">
        <f aca="false">BY157*$AC$155*BY158*BY$38*'⑫ Roll-out Plan'!$O$21</f>
        <v>87.912</v>
      </c>
      <c r="BZ159" s="36" t="n">
        <f aca="false">BZ157*$AC$155*BZ158*BZ$38*'⑫ Roll-out Plan'!$O$21</f>
        <v>66.748</v>
      </c>
      <c r="CA159" s="36" t="n">
        <f aca="false">CA157*$AC$155*CA158*CA$38*'⑫ Roll-out Plan'!$O$21</f>
        <v>103.008</v>
      </c>
      <c r="CB159" s="36" t="n">
        <f aca="false">CB157*$AC$155*CB158*CB$38*'⑫ Roll-out Plan'!$O$21</f>
        <v>105.82</v>
      </c>
      <c r="CC159" s="36" t="n">
        <f aca="false">CC157*$AC$155*CC158*CC$38*'⑫ Roll-out Plan'!$O$21</f>
        <v>95.312</v>
      </c>
      <c r="CD159" s="36" t="n">
        <f aca="false">CD157*$AC$155*CD158*CD$38*'⑫ Roll-out Plan'!$O$21</f>
        <v>88.8</v>
      </c>
      <c r="CE159" s="36" t="n">
        <f aca="false">CE157*$AC$155*CE158*CE$38*'⑫ Roll-out Plan'!$O$21</f>
        <v>93.24</v>
      </c>
      <c r="CF159" s="36" t="n">
        <f aca="false">CF157*$AC$155*CF158*CF$38*'⑫ Roll-out Plan'!$O$21</f>
        <v>198.6012</v>
      </c>
      <c r="CG159" s="36" t="n">
        <f aca="false">CG157*$AC$155*CG158*CG$38*'⑫ Roll-out Plan'!$O$21</f>
        <v>169.9632</v>
      </c>
      <c r="CH159" s="36" t="n">
        <f aca="false">CH157*$AC$155*CH158*CH$38*'⑫ Roll-out Plan'!$O$21</f>
        <v>147.0528</v>
      </c>
      <c r="CI159" s="36" t="n">
        <f aca="false">CI157*$AC$155*CI158*CI$38*'⑫ Roll-out Plan'!$O$21</f>
        <v>113.4864</v>
      </c>
      <c r="CJ159" s="36" t="n">
        <f aca="false">CJ157*$AC$155*CJ158*CJ$38*'⑫ Roll-out Plan'!$O$21</f>
        <v>160.7724</v>
      </c>
      <c r="CK159" s="36" t="n">
        <f aca="false">CK157*$AC$155*CK158*CK$38*'⑫ Roll-out Plan'!$O$21</f>
        <v>175.0248</v>
      </c>
      <c r="CL159" s="36" t="n">
        <f aca="false">CL157*$AC$155*CL158*CL$38*'⑫ Roll-out Plan'!$O$21</f>
        <v>136.53</v>
      </c>
      <c r="CM159" s="36" t="n">
        <f aca="false">CM157*$AC$155*CM158*CM$38*'⑫ Roll-out Plan'!$O$21</f>
        <v>198.2904</v>
      </c>
      <c r="CN159" s="36" t="n">
        <f aca="false">CN157*$AC$155*CN158*CN$38*'⑫ Roll-out Plan'!$O$21</f>
        <v>192.918</v>
      </c>
      <c r="CO159" s="36" t="n">
        <f aca="false">CO157*$AC$155*CO158*CO$38*'⑫ Roll-out Plan'!$O$21</f>
        <v>161.3496</v>
      </c>
      <c r="CP159" s="36" t="n">
        <f aca="false">CP157*$AC$155*CP158*CP$38*'⑫ Roll-out Plan'!$O$21</f>
        <v>142.08</v>
      </c>
      <c r="CQ159" s="36" t="n">
        <f aca="false">CQ157*$AC$155*CQ158*CQ$38*'⑫ Roll-out Plan'!$O$21</f>
        <v>152.9136</v>
      </c>
      <c r="CR159" s="36" t="n">
        <f aca="false">CR157*$AC$155*CR158*CR$38*'⑫ Roll-out Plan'!$O$21</f>
        <v>264.8016</v>
      </c>
      <c r="CS159" s="36" t="n">
        <f aca="false">CS157*$AC$155*CS158*CS$38*'⑫ Roll-out Plan'!$O$21</f>
        <v>218.892</v>
      </c>
      <c r="CT159" s="36" t="n">
        <f aca="false">CT157*$AC$155*CT158*CT$38*'⑫ Roll-out Plan'!$O$21</f>
        <v>181.152</v>
      </c>
      <c r="CU159" s="36" t="n">
        <f aca="false">CU157*$AC$155*CU158*CU$38*'⑫ Roll-out Plan'!$O$21</f>
        <v>137.4624</v>
      </c>
      <c r="CV159" s="36" t="n">
        <f aca="false">CV157*$AC$155*CV158*CV$38*'⑫ Roll-out Plan'!$O$21</f>
        <v>199.2672</v>
      </c>
      <c r="CW159" s="36" t="n">
        <f aca="false">CW157*$AC$155*CW158*CW$38*'⑫ Roll-out Plan'!$O$21</f>
        <v>213.3864</v>
      </c>
      <c r="CX159" s="36" t="n">
        <f aca="false">CX157*$AC$155*CX158*CX$38*'⑫ Roll-out Plan'!$O$21</f>
        <v>163.836</v>
      </c>
      <c r="CY159" s="36" t="n">
        <f aca="false">CY157*$AC$155*CY158*CY$38*'⑫ Roll-out Plan'!$O$21</f>
        <v>231.768</v>
      </c>
      <c r="CZ159" s="36" t="n">
        <f aca="false">CZ157*$AC$155*CZ158*CZ$38*'⑫ Roll-out Plan'!$O$21</f>
        <v>224.664</v>
      </c>
      <c r="DA159" s="36" t="n">
        <f aca="false">DA157*$AC$155*DA158*DA$38*'⑫ Roll-out Plan'!$O$21</f>
        <v>189.9432</v>
      </c>
      <c r="DB159" s="36" t="n">
        <f aca="false">DB157*$AC$155*DB158*DB$38*'⑫ Roll-out Plan'!$O$21</f>
        <v>166.944</v>
      </c>
      <c r="DC159" s="36" t="n">
        <f aca="false">DC157*$AC$155*DC158*DC$38*'⑫ Roll-out Plan'!$O$21</f>
        <v>177.156</v>
      </c>
      <c r="DD159" s="36" t="n">
        <f aca="false">DD157*$AC$155*DD158*DD$38*'⑫ Roll-out Plan'!$O$21</f>
        <v>299.478</v>
      </c>
      <c r="DE159" s="36" t="n">
        <f aca="false">DE157*$AC$155*DE158*DE$38*'⑫ Roll-out Plan'!$O$21</f>
        <v>249.7944</v>
      </c>
      <c r="DF159" s="36" t="n">
        <f aca="false">DF157*$AC$155*DF158*DF$38*'⑫ Roll-out Plan'!$O$21</f>
        <v>208.8576</v>
      </c>
      <c r="DG159" s="36" t="n">
        <f aca="false">DG157*$AC$155*DG158*DG$38*'⑫ Roll-out Plan'!$O$21</f>
        <v>158.2416</v>
      </c>
      <c r="DH159" s="36" t="n">
        <f aca="false">DH157*$AC$155*DH158*DH$38*'⑫ Roll-out Plan'!$O$21</f>
        <v>226.44</v>
      </c>
      <c r="DI159" s="36" t="n">
        <f aca="false">DI157*$AC$155*DI158*DI$38*'⑫ Roll-out Plan'!$O$21</f>
        <v>239.76</v>
      </c>
      <c r="DJ159" s="36" t="n">
        <f aca="false">DJ157*$AC$155*DJ158*DJ$38*'⑫ Roll-out Plan'!$O$21</f>
        <v>182.04</v>
      </c>
      <c r="DK159" s="36" t="n">
        <f aca="false">DK157*$AC$155*DK158*DK$38*'⑫ Roll-out Plan'!$O$21</f>
        <v>257.52</v>
      </c>
      <c r="DL159" s="36" t="n">
        <f aca="false">DL157*$AC$155*DL158*DL$38*'⑫ Roll-out Plan'!$O$21</f>
        <v>244.2</v>
      </c>
      <c r="DM159" s="36" t="n">
        <f aca="false">DM157*$AC$155*DM158*DM$38*'⑫ Roll-out Plan'!$O$21</f>
        <v>204.24</v>
      </c>
      <c r="DN159" s="36" t="n">
        <f aca="false">DN157*$AC$155*DN158*DN$38*'⑫ Roll-out Plan'!$O$21</f>
        <v>177.6</v>
      </c>
      <c r="DO159" s="36" t="n">
        <f aca="false">DO157*$AC$155*DO158*DO$38*'⑫ Roll-out Plan'!$O$21</f>
        <v>186.48</v>
      </c>
      <c r="DP159" s="36" t="n">
        <f aca="false">DP157*$AC$155*DP158*DP$38*'⑫ Roll-out Plan'!$O$21</f>
        <v>315.24</v>
      </c>
      <c r="DQ159" s="36" t="n">
        <f aca="false">DQ157*$AC$155*DQ158*DQ$38*'⑫ Roll-out Plan'!$O$21</f>
        <v>257.52</v>
      </c>
      <c r="DR159" s="36" t="n">
        <f aca="false">DR157*$AC$155*DR158*DR$38*'⑫ Roll-out Plan'!$O$21</f>
        <v>213.12</v>
      </c>
      <c r="DS159" s="36" t="n">
        <f aca="false">DS157*$AC$155*DS158*DS$38*'⑫ Roll-out Plan'!$O$21</f>
        <v>159.84</v>
      </c>
      <c r="DT159" s="36" t="n">
        <f aca="false">DT157*$AC$155*DT158*DT$38*'⑫ Roll-out Plan'!$O$21</f>
        <v>226.44</v>
      </c>
      <c r="DU159" s="36" t="n">
        <f aca="false">DU157*$AC$155*DU158*DU$38*'⑫ Roll-out Plan'!$O$21</f>
        <v>239.76</v>
      </c>
      <c r="DV159" s="36" t="n">
        <f aca="false">DV157*$AC$155*DV158*DV$38*'⑫ Roll-out Plan'!$O$21</f>
        <v>182.04</v>
      </c>
      <c r="DW159" s="36" t="n">
        <f aca="false">DW157*$AC$155*DW158*DW$38*'⑫ Roll-out Plan'!$O$21</f>
        <v>257.52</v>
      </c>
      <c r="DX159" s="36" t="n">
        <f aca="false">DX157*$AC$155*DX158*DX$38*'⑫ Roll-out Plan'!$O$21</f>
        <v>244.2</v>
      </c>
      <c r="DY159" s="36" t="n">
        <f aca="false">DY157*$AC$155*DY158*DY$38*'⑫ Roll-out Plan'!$O$21</f>
        <v>204.24</v>
      </c>
      <c r="DZ159" s="36" t="n">
        <f aca="false">DZ157*$AC$155*DZ158*DZ$38*'⑫ Roll-out Plan'!$O$21</f>
        <v>177.6</v>
      </c>
      <c r="EA159" s="36" t="n">
        <f aca="false">EA157*$AC$155*EA158*EA$38*'⑫ Roll-out Plan'!$O$21</f>
        <v>186.48</v>
      </c>
      <c r="EB159" s="36" t="n">
        <f aca="false">EB157*$AC$155*EB158*EB$38*'⑫ Roll-out Plan'!$O$21</f>
        <v>315.24</v>
      </c>
      <c r="EC159" s="36" t="n">
        <f aca="false">EC157*$AC$155*EC158*EC$38*'⑫ Roll-out Plan'!$O$21</f>
        <v>257.52</v>
      </c>
      <c r="ED159" s="36" t="n">
        <f aca="false">ED157*$AC$155*ED158*ED$38*'⑫ Roll-out Plan'!$O$21</f>
        <v>213.12</v>
      </c>
      <c r="EE159" s="36" t="n">
        <f aca="false">EE157*$AC$155*EE158*EE$38*'⑫ Roll-out Plan'!$O$21</f>
        <v>159.84</v>
      </c>
      <c r="EF159" s="36" t="n">
        <f aca="false">EF157*$AC$155*EF158*EF$38*'⑫ Roll-out Plan'!$O$21</f>
        <v>226.44</v>
      </c>
      <c r="EG159" s="36" t="n">
        <f aca="false">EG157*$AC$155*EG158*EG$38*'⑫ Roll-out Plan'!$O$21</f>
        <v>239.76</v>
      </c>
      <c r="EH159" s="36" t="n">
        <f aca="false">EH157*$AC$155*EH158*EH$38*'⑫ Roll-out Plan'!$O$21</f>
        <v>182.04</v>
      </c>
      <c r="EI159" s="36" t="n">
        <f aca="false">EI157*$AC$155*EI158*EI$38*'⑫ Roll-out Plan'!$O$21</f>
        <v>257.52</v>
      </c>
      <c r="EJ159" s="36" t="n">
        <f aca="false">EJ157*$AC$155*EJ158*EJ$38*'⑫ Roll-out Plan'!$O$21</f>
        <v>244.2</v>
      </c>
      <c r="EK159" s="36" t="n">
        <f aca="false">EK157*$AC$155*EK158*EK$38*'⑫ Roll-out Plan'!$O$21</f>
        <v>204.24</v>
      </c>
      <c r="EL159" s="36" t="n">
        <f aca="false">EL157*$AC$155*EL158*EL$38*'⑫ Roll-out Plan'!$O$21</f>
        <v>177.6</v>
      </c>
      <c r="EM159" s="36" t="n">
        <f aca="false">EM157*$AC$155*EM158*EM$38*'⑫ Roll-out Plan'!$O$21</f>
        <v>186.48</v>
      </c>
      <c r="EN159" s="36" t="n">
        <f aca="false">EN157*$AC$155*EN158*EN$38*'⑫ Roll-out Plan'!$O$21</f>
        <v>315.24</v>
      </c>
      <c r="EO159" s="36" t="n">
        <f aca="false">EO157*$AC$155*EO158*EO$38*'⑫ Roll-out Plan'!$O$21</f>
        <v>257.52</v>
      </c>
      <c r="EP159" s="36" t="n">
        <f aca="false">EP157*$AC$155*EP158*EP$38*'⑫ Roll-out Plan'!$O$21</f>
        <v>213.12</v>
      </c>
      <c r="EQ159" s="36" t="n">
        <f aca="false">EQ157*$AC$155*EQ158*EQ$38*'⑫ Roll-out Plan'!$O$21</f>
        <v>159.84</v>
      </c>
      <c r="ER159" s="36" t="n">
        <f aca="false">ER157*$AC$155*ER158*ER$38*'⑫ Roll-out Plan'!$O$21</f>
        <v>226.44</v>
      </c>
      <c r="ES159" s="9" t="n">
        <f aca="false">ES157*$AC$155*ES158*ES$38*'⑫ Roll-out Plan'!$O$21</f>
        <v>239.76</v>
      </c>
      <c r="ET159" s="9" t="n">
        <f aca="false">ET157*$AC$155*ET158*ET$38*'⑫ Roll-out Plan'!$O$21</f>
        <v>182.04</v>
      </c>
      <c r="EU159" s="9" t="n">
        <f aca="false">EU157*$AC$155*EU158*EU$38*'⑫ Roll-out Plan'!$O$21</f>
        <v>257.52</v>
      </c>
      <c r="EV159" s="9" t="n">
        <f aca="false">EV157*$AC$155*EV158*EV$38*'⑫ Roll-out Plan'!$O$21</f>
        <v>244.2</v>
      </c>
      <c r="EW159" s="9" t="n">
        <f aca="false">EW157*$AC$155*EW158*EW$38*'⑫ Roll-out Plan'!$O$21</f>
        <v>204.24</v>
      </c>
      <c r="EX159" s="9" t="n">
        <f aca="false">EX157*$AC$155*EX158*EX$38*'⑫ Roll-out Plan'!$O$21</f>
        <v>177.6</v>
      </c>
      <c r="EY159" s="9" t="n">
        <f aca="false">EY157*$AC$155*EY158*EY$38*'⑫ Roll-out Plan'!$O$21</f>
        <v>186.48</v>
      </c>
      <c r="EZ159" s="9" t="n">
        <f aca="false">EZ157*$AC$155*EZ158*EZ$38*'⑫ Roll-out Plan'!$O$21</f>
        <v>315.24</v>
      </c>
      <c r="FA159" s="9" t="n">
        <f aca="false">FA157*$AC$155*FA158*FA$38*'⑫ Roll-out Plan'!$O$21</f>
        <v>257.52</v>
      </c>
      <c r="FB159" s="9" t="n">
        <f aca="false">FB157*$AC$155*FB158*FB$38*'⑫ Roll-out Plan'!$O$21</f>
        <v>213.12</v>
      </c>
      <c r="FC159" s="9" t="n">
        <f aca="false">FC157*$AC$155*FC158*FC$38*'⑫ Roll-out Plan'!$O$21</f>
        <v>159.84</v>
      </c>
      <c r="FD159" s="9" t="n">
        <f aca="false">FD157*$AC$155*FD158*FD$38*'⑫ Roll-out Plan'!$O$21</f>
        <v>226.44</v>
      </c>
      <c r="FE159" s="9" t="n">
        <f aca="false">FE157*$AC$155*FE158*FE$38*'⑫ Roll-out Plan'!$O$21</f>
        <v>239.76</v>
      </c>
      <c r="FF159" s="9" t="n">
        <f aca="false">FF157*$AC$155*FF158*FF$38*'⑫ Roll-out Plan'!$O$21</f>
        <v>182.04</v>
      </c>
      <c r="FG159" s="9" t="n">
        <f aca="false">FG157*$AC$155*FG158*FG$38*'⑫ Roll-out Plan'!$O$21</f>
        <v>257.52</v>
      </c>
      <c r="FH159" s="9" t="n">
        <f aca="false">FH157*$AC$155*FH158*FH$38*'⑫ Roll-out Plan'!$O$21</f>
        <v>244.2</v>
      </c>
      <c r="FI159" s="9" t="n">
        <f aca="false">FI157*$AC$155*FI158*FI$38*'⑫ Roll-out Plan'!$O$21</f>
        <v>204.24</v>
      </c>
      <c r="FJ159" s="9" t="n">
        <f aca="false">FJ157*$AC$155*FJ158*FJ$38*'⑫ Roll-out Plan'!$O$21</f>
        <v>177.6</v>
      </c>
      <c r="FK159" s="9" t="n">
        <f aca="false">FK157*$AC$155*FK158*FK$38*'⑫ Roll-out Plan'!$O$21</f>
        <v>186.48</v>
      </c>
      <c r="FL159" s="9" t="n">
        <f aca="false">FL157*$AC$155*FL158*FL$38*'⑫ Roll-out Plan'!$O$21</f>
        <v>315.24</v>
      </c>
      <c r="FM159" s="9" t="n">
        <f aca="false">FM157*$AC$155*FM158*FM$38*'⑫ Roll-out Plan'!$O$21</f>
        <v>257.52</v>
      </c>
      <c r="FN159" s="9" t="n">
        <f aca="false">FN157*$AC$155*FN158*FN$38*'⑫ Roll-out Plan'!$O$21</f>
        <v>213.12</v>
      </c>
      <c r="FO159" s="9" t="n">
        <f aca="false">FO157*$AC$155*FO158*FO$38*'⑫ Roll-out Plan'!$O$21</f>
        <v>159.84</v>
      </c>
      <c r="FP159" s="9" t="n">
        <f aca="false">FP157*$AC$155*FP158*FP$38*'⑫ Roll-out Plan'!$O$21</f>
        <v>226.44</v>
      </c>
    </row>
    <row r="160" customFormat="false" ht="15" hidden="false" customHeight="false" outlineLevel="2" collapsed="false">
      <c r="B160" s="9" t="s">
        <v>877</v>
      </c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112" t="n">
        <f aca="true">IFERROR(SUMPRODUCT(OFFSET($BJ$31,0,1-MIN(60,COLUMN()-29),1,MIN(60,COLUMN()-29)),OFFSET(AC159,0,-MIN(60,COLUMN()-29),1,MIN(60,COLUMN()-29))),0)</f>
        <v>0</v>
      </c>
      <c r="AD160" s="112" t="n">
        <f aca="true">IFERROR(SUMPRODUCT(OFFSET($BJ$31,0,1-MIN(60,COLUMN()-29),1,MIN(60,COLUMN()-29)),OFFSET(AD159,0,-MIN(60,COLUMN()-29),1,MIN(60,COLUMN()-29))),0)</f>
        <v>0</v>
      </c>
      <c r="AE160" s="112" t="n">
        <f aca="true">IFERROR(SUMPRODUCT(OFFSET($BJ$31,0,1-MIN(60,COLUMN()-29),1,MIN(60,COLUMN()-29)),OFFSET(AE159,0,-MIN(60,COLUMN()-29),1,MIN(60,COLUMN()-29))),0)</f>
        <v>0</v>
      </c>
      <c r="AF160" s="112" t="n">
        <f aca="true">IFERROR(SUMPRODUCT(OFFSET($BJ$31,0,1-MIN(60,COLUMN()-29),1,MIN(60,COLUMN()-29)),OFFSET(AF159,0,-MIN(60,COLUMN()-29),1,MIN(60,COLUMN()-29))),0)</f>
        <v>0</v>
      </c>
      <c r="AG160" s="112" t="n">
        <f aca="true">IFERROR(SUMPRODUCT(OFFSET($BJ$31,0,1-MIN(60,COLUMN()-29),1,MIN(60,COLUMN()-29)),OFFSET(AG159,0,-MIN(60,COLUMN()-29),1,MIN(60,COLUMN()-29))),0)</f>
        <v>0</v>
      </c>
      <c r="AH160" s="112" t="n">
        <f aca="true">IFERROR(SUMPRODUCT(OFFSET($BJ$31,0,1-MIN(60,COLUMN()-29),1,MIN(60,COLUMN()-29)),OFFSET(AH159,0,-MIN(60,COLUMN()-29),1,MIN(60,COLUMN()-29))),0)</f>
        <v>0</v>
      </c>
      <c r="AI160" s="112" t="n">
        <f aca="true">IFERROR(SUMPRODUCT(OFFSET($BJ$31,0,1-MIN(60,COLUMN()-29),1,MIN(60,COLUMN()-29)),OFFSET(AI159,0,-MIN(60,COLUMN()-29),1,MIN(60,COLUMN()-29))),0)</f>
        <v>0</v>
      </c>
      <c r="AJ160" s="112" t="n">
        <f aca="true">IFERROR(SUMPRODUCT(OFFSET($BJ$31,0,1-MIN(60,COLUMN()-29),1,MIN(60,COLUMN()-29)),OFFSET(AJ159,0,-MIN(60,COLUMN()-29),1,MIN(60,COLUMN()-29))),0)</f>
        <v>0</v>
      </c>
      <c r="AK160" s="112" t="n">
        <f aca="true">IFERROR(SUMPRODUCT(OFFSET($BJ$31,0,1-MIN(60,COLUMN()-29),1,MIN(60,COLUMN()-29)),OFFSET(AK159,0,-MIN(60,COLUMN()-29),1,MIN(60,COLUMN()-29))),0)</f>
        <v>0</v>
      </c>
      <c r="AL160" s="112" t="n">
        <f aca="true">IFERROR(SUMPRODUCT(OFFSET($BJ$31,0,1-MIN(60,COLUMN()-29),1,MIN(60,COLUMN()-29)),OFFSET(AL159,0,-MIN(60,COLUMN()-29),1,MIN(60,COLUMN()-29))),0)</f>
        <v>0</v>
      </c>
      <c r="AM160" s="112" t="n">
        <f aca="true">IFERROR(SUMPRODUCT(OFFSET($BJ$31,0,1-MIN(60,COLUMN()-29),1,MIN(60,COLUMN()-29)),OFFSET(AM159,0,-MIN(60,COLUMN()-29),1,MIN(60,COLUMN()-29))),0)</f>
        <v>0</v>
      </c>
      <c r="AN160" s="112" t="n">
        <f aca="true">IFERROR(SUMPRODUCT(OFFSET($BJ$31,0,1-MIN(60,COLUMN()-29),1,MIN(60,COLUMN()-29)),OFFSET(AN159,0,-MIN(60,COLUMN()-29),1,MIN(60,COLUMN()-29))),0)</f>
        <v>0</v>
      </c>
      <c r="AO160" s="112" t="n">
        <f aca="true">IFERROR(SUMPRODUCT(OFFSET($BJ$31,0,1-MIN(60,COLUMN()-29),1,MIN(60,COLUMN()-29)),OFFSET(AO159,0,-MIN(60,COLUMN()-29),1,MIN(60,COLUMN()-29))),0)</f>
        <v>0</v>
      </c>
      <c r="AP160" s="112" t="n">
        <f aca="true">IFERROR(SUMPRODUCT(OFFSET($BJ$31,0,1-MIN(60,COLUMN()-29),1,MIN(60,COLUMN()-29)),OFFSET(AP159,0,-MIN(60,COLUMN()-29),1,MIN(60,COLUMN()-29))),0)</f>
        <v>0</v>
      </c>
      <c r="AQ160" s="112" t="n">
        <f aca="true">IFERROR(SUMPRODUCT(OFFSET($BJ$31,0,1-MIN(60,COLUMN()-29),1,MIN(60,COLUMN()-29)),OFFSET(AQ159,0,-MIN(60,COLUMN()-29),1,MIN(60,COLUMN()-29))),0)</f>
        <v>0</v>
      </c>
      <c r="AR160" s="112" t="n">
        <f aca="true">IFERROR(SUMPRODUCT(OFFSET($BJ$31,0,1-MIN(60,COLUMN()-29),1,MIN(60,COLUMN()-29)),OFFSET(AR159,0,-MIN(60,COLUMN()-29),1,MIN(60,COLUMN()-29))),0)</f>
        <v>0</v>
      </c>
      <c r="AS160" s="112" t="n">
        <f aca="true">IFERROR(SUMPRODUCT(OFFSET($BJ$31,0,1-MIN(60,COLUMN()-29),1,MIN(60,COLUMN()-29)),OFFSET(AS159,0,-MIN(60,COLUMN()-29),1,MIN(60,COLUMN()-29))),0)</f>
        <v>0</v>
      </c>
      <c r="AT160" s="112" t="n">
        <f aca="true">IFERROR(SUMPRODUCT(OFFSET($BJ$31,0,1-MIN(60,COLUMN()-29),1,MIN(60,COLUMN()-29)),OFFSET(AT159,0,-MIN(60,COLUMN()-29),1,MIN(60,COLUMN()-29))),0)</f>
        <v>0</v>
      </c>
      <c r="AU160" s="112" t="n">
        <f aca="true">IFERROR(SUMPRODUCT(OFFSET($BJ$31,0,1-MIN(60,COLUMN()-29),1,MIN(60,COLUMN()-29)),OFFSET(AU159,0,-MIN(60,COLUMN()-29),1,MIN(60,COLUMN()-29))),0)</f>
        <v>0</v>
      </c>
      <c r="AV160" s="112" t="n">
        <f aca="true">IFERROR(SUMPRODUCT(OFFSET($BJ$31,0,1-MIN(60,COLUMN()-29),1,MIN(60,COLUMN()-29)),OFFSET(AV159,0,-MIN(60,COLUMN()-29),1,MIN(60,COLUMN()-29))),0)</f>
        <v>0</v>
      </c>
      <c r="AW160" s="112" t="n">
        <f aca="true">IFERROR(SUMPRODUCT(OFFSET($BJ$31,0,1-MIN(60,COLUMN()-29),1,MIN(60,COLUMN()-29)),OFFSET(AW159,0,-MIN(60,COLUMN()-29),1,MIN(60,COLUMN()-29))),0)</f>
        <v>0</v>
      </c>
      <c r="AX160" s="112" t="n">
        <f aca="true">IFERROR(SUMPRODUCT(OFFSET($BJ$31,0,1-MIN(60,COLUMN()-29),1,MIN(60,COLUMN()-29)),OFFSET(AX159,0,-MIN(60,COLUMN()-29),1,MIN(60,COLUMN()-29))),0)</f>
        <v>0</v>
      </c>
      <c r="AY160" s="112" t="n">
        <f aca="true">IFERROR(SUMPRODUCT(OFFSET($BJ$31,0,1-MIN(60,COLUMN()-29),1,MIN(60,COLUMN()-29)),OFFSET(AY159,0,-MIN(60,COLUMN()-29),1,MIN(60,COLUMN()-29))),0)</f>
        <v>0</v>
      </c>
      <c r="AZ160" s="112" t="n">
        <f aca="true">IFERROR(SUMPRODUCT(OFFSET($BJ$31,0,1-MIN(60,COLUMN()-29),1,MIN(60,COLUMN()-29)),OFFSET(AZ159,0,-MIN(60,COLUMN()-29),1,MIN(60,COLUMN()-29))),0)</f>
        <v>0</v>
      </c>
      <c r="BA160" s="112" t="n">
        <f aca="true">IFERROR(SUMPRODUCT(OFFSET($BJ$31,0,1-MIN(60,COLUMN()-29),1,MIN(60,COLUMN()-29)),OFFSET(BA159,0,-MIN(60,COLUMN()-29),1,MIN(60,COLUMN()-29))),0)</f>
        <v>0</v>
      </c>
      <c r="BB160" s="112" t="n">
        <f aca="true">IFERROR(SUMPRODUCT(OFFSET($BJ$31,0,1-MIN(60,COLUMN()-29),1,MIN(60,COLUMN()-29)),OFFSET(BB159,0,-MIN(60,COLUMN()-29),1,MIN(60,COLUMN()-29))),0)</f>
        <v>0</v>
      </c>
      <c r="BC160" s="112" t="n">
        <f aca="true">IFERROR(SUMPRODUCT(OFFSET($BJ$31,0,1-MIN(60,COLUMN()-29),1,MIN(60,COLUMN()-29)),OFFSET(BC159,0,-MIN(60,COLUMN()-29),1,MIN(60,COLUMN()-29))),0)</f>
        <v>0</v>
      </c>
      <c r="BD160" s="112" t="n">
        <f aca="true">IFERROR(SUMPRODUCT(OFFSET($BJ$31,0,1-MIN(60,COLUMN()-29),1,MIN(60,COLUMN()-29)),OFFSET(BD159,0,-MIN(60,COLUMN()-29),1,MIN(60,COLUMN()-29))),0)</f>
        <v>0</v>
      </c>
      <c r="BE160" s="112" t="n">
        <f aca="true">IFERROR(SUMPRODUCT(OFFSET($BJ$31,0,1-MIN(60,COLUMN()-29),1,MIN(60,COLUMN()-29)),OFFSET(BE159,0,-MIN(60,COLUMN()-29),1,MIN(60,COLUMN()-29))),0)</f>
        <v>0</v>
      </c>
      <c r="BF160" s="112" t="n">
        <f aca="true">IFERROR(SUMPRODUCT(OFFSET($BJ$31,0,1-MIN(60,COLUMN()-29),1,MIN(60,COLUMN()-29)),OFFSET(BF159,0,-MIN(60,COLUMN()-29),1,MIN(60,COLUMN()-29))),0)</f>
        <v>0</v>
      </c>
      <c r="BG160" s="112" t="n">
        <f aca="true">IFERROR(SUMPRODUCT(OFFSET($BJ$31,0,1-MIN(60,COLUMN()-29),1,MIN(60,COLUMN()-29)),OFFSET(BG159,0,-MIN(60,COLUMN()-29),1,MIN(60,COLUMN()-29))),0)</f>
        <v>0</v>
      </c>
      <c r="BH160" s="112" t="n">
        <f aca="true">IFERROR(SUMPRODUCT(OFFSET($BJ$31,0,1-MIN(60,COLUMN()-29),1,MIN(60,COLUMN()-29)),OFFSET(BH159,0,-MIN(60,COLUMN()-29),1,MIN(60,COLUMN()-29))),0)</f>
        <v>0</v>
      </c>
      <c r="BI160" s="112" t="n">
        <f aca="true">IFERROR(SUMPRODUCT(OFFSET($BJ$31,0,1-MIN(60,COLUMN()-29),1,MIN(60,COLUMN()-29)),OFFSET(BI159,0,-MIN(60,COLUMN()-29),1,MIN(60,COLUMN()-29))),0)</f>
        <v>0</v>
      </c>
      <c r="BJ160" s="112" t="n">
        <f aca="true">IFERROR(SUMPRODUCT(OFFSET($BJ$31,0,1-MIN(60,COLUMN()-29),1,MIN(60,COLUMN()-29)),OFFSET(BJ159,0,-MIN(60,COLUMN()-29),1,MIN(60,COLUMN()-29))),0)</f>
        <v>0</v>
      </c>
      <c r="BK160" s="112" t="n">
        <f aca="true">IFERROR(SUMPRODUCT(OFFSET($BJ$31,0,1-MIN(60,COLUMN()-29),1,MIN(60,COLUMN()-29)),OFFSET(BK159,0,-MIN(60,COLUMN()-29),1,MIN(60,COLUMN()-29))),0)</f>
        <v>0</v>
      </c>
      <c r="BL160" s="112" t="n">
        <f aca="true">IFERROR(SUMPRODUCT(OFFSET($BJ$31,0,1-MIN(60,COLUMN()-29),1,MIN(60,COLUMN()-29)),OFFSET(BL159,0,-MIN(60,COLUMN()-29),1,MIN(60,COLUMN()-29))),0)</f>
        <v>0</v>
      </c>
      <c r="BM160" s="112" t="n">
        <f aca="true">IFERROR(SUMPRODUCT(OFFSET($BJ$31,0,1-MIN(60,COLUMN()-29),1,MIN(60,COLUMN()-29)),OFFSET(BM159,0,-MIN(60,COLUMN()-29),1,MIN(60,COLUMN()-29))),0)</f>
        <v>0</v>
      </c>
      <c r="BN160" s="112" t="n">
        <f aca="true">IFERROR(SUMPRODUCT(OFFSET($BJ$31,0,1-MIN(60,COLUMN()-29),1,MIN(60,COLUMN()-29)),OFFSET(BN159,0,-MIN(60,COLUMN()-29),1,MIN(60,COLUMN()-29))),0)</f>
        <v>0</v>
      </c>
      <c r="BO160" s="112" t="n">
        <f aca="true">IFERROR(SUMPRODUCT(OFFSET($BJ$31,0,1-MIN(60,COLUMN()-29),1,MIN(60,COLUMN()-29)),OFFSET(BO159,0,-MIN(60,COLUMN()-29),1,MIN(60,COLUMN()-29))),0)</f>
        <v>0</v>
      </c>
      <c r="BP160" s="112" t="n">
        <f aca="true">IFERROR(SUMPRODUCT(OFFSET($BJ$31,0,1-MIN(60,COLUMN()-29),1,MIN(60,COLUMN()-29)),OFFSET(BP159,0,-MIN(60,COLUMN()-29),1,MIN(60,COLUMN()-29))),0)</f>
        <v>0</v>
      </c>
      <c r="BQ160" s="112" t="n">
        <f aca="true">IFERROR(SUMPRODUCT(OFFSET($BJ$31,0,1-MIN(60,COLUMN()-29),1,MIN(60,COLUMN()-29)),OFFSET(BQ159,0,-MIN(60,COLUMN()-29),1,MIN(60,COLUMN()-29))),0)</f>
        <v>0</v>
      </c>
      <c r="BR160" s="112" t="n">
        <f aca="true">IFERROR(SUMPRODUCT(OFFSET($BJ$31,0,1-MIN(60,COLUMN()-29),1,MIN(60,COLUMN()-29)),OFFSET(BR159,0,-MIN(60,COLUMN()-29),1,MIN(60,COLUMN()-29))),0)</f>
        <v>4.35712</v>
      </c>
      <c r="BS160" s="112" t="n">
        <f aca="true">IFERROR(SUMPRODUCT(OFFSET($BJ$31,0,1-MIN(60,COLUMN()-29),1,MIN(60,COLUMN()-29)),OFFSET(BS159,0,-MIN(60,COLUMN()-29),1,MIN(60,COLUMN()-29))),0)</f>
        <v>4.766784</v>
      </c>
      <c r="BT160" s="112" t="n">
        <f aca="true">IFERROR(SUMPRODUCT(OFFSET($BJ$31,0,1-MIN(60,COLUMN()-29),1,MIN(60,COLUMN()-29)),OFFSET(BT159,0,-MIN(60,COLUMN()-29),1,MIN(60,COLUMN()-29))),0)</f>
        <v>6.10944</v>
      </c>
      <c r="BU160" s="112" t="n">
        <f aca="true">IFERROR(SUMPRODUCT(OFFSET($BJ$31,0,1-MIN(60,COLUMN()-29),1,MIN(60,COLUMN()-29)),OFFSET(BU159,0,-MIN(60,COLUMN()-29),1,MIN(60,COLUMN()-29))),0)</f>
        <v>10.9003776</v>
      </c>
      <c r="BV160" s="112" t="n">
        <f aca="true">IFERROR(SUMPRODUCT(OFFSET($BJ$31,0,1-MIN(60,COLUMN()-29),1,MIN(60,COLUMN()-29)),OFFSET(BV159,0,-MIN(60,COLUMN()-29),1,MIN(60,COLUMN()-29))),0)</f>
        <v>10.2439088</v>
      </c>
      <c r="BW160" s="112" t="n">
        <f aca="true">IFERROR(SUMPRODUCT(OFFSET($BJ$31,0,1-MIN(60,COLUMN()-29),1,MIN(60,COLUMN()-29)),OFFSET(BW159,0,-MIN(60,COLUMN()-29),1,MIN(60,COLUMN()-29))),0)</f>
        <v>10.6091136</v>
      </c>
      <c r="BX160" s="112" t="n">
        <f aca="true">IFERROR(SUMPRODUCT(OFFSET($BJ$31,0,1-MIN(60,COLUMN()-29),1,MIN(60,COLUMN()-29)),OFFSET(BX159,0,-MIN(60,COLUMN()-29),1,MIN(60,COLUMN()-29))),0)</f>
        <v>10.2011072</v>
      </c>
      <c r="BY160" s="112" t="n">
        <f aca="true">IFERROR(SUMPRODUCT(OFFSET($BJ$31,0,1-MIN(60,COLUMN()-29),1,MIN(60,COLUMN()-29)),OFFSET(BY159,0,-MIN(60,COLUMN()-29),1,MIN(60,COLUMN()-29))),0)</f>
        <v>13.7596192</v>
      </c>
      <c r="BZ160" s="112" t="n">
        <f aca="true">IFERROR(SUMPRODUCT(OFFSET($BJ$31,0,1-MIN(60,COLUMN()-29),1,MIN(60,COLUMN()-29)),OFFSET(BZ159,0,-MIN(60,COLUMN()-29),1,MIN(60,COLUMN()-29))),0)</f>
        <v>16.273488</v>
      </c>
      <c r="CA160" s="112" t="n">
        <f aca="true">IFERROR(SUMPRODUCT(OFFSET($BJ$31,0,1-MIN(60,COLUMN()-29),1,MIN(60,COLUMN()-29)),OFFSET(CA159,0,-MIN(60,COLUMN()-29),1,MIN(60,COLUMN()-29))),0)</f>
        <v>15.3684384</v>
      </c>
      <c r="CB160" s="112" t="n">
        <f aca="true">IFERROR(SUMPRODUCT(OFFSET($BJ$31,0,1-MIN(60,COLUMN()-29),1,MIN(60,COLUMN()-29)),OFFSET(CB159,0,-MIN(60,COLUMN()-29),1,MIN(60,COLUMN()-29))),0)</f>
        <v>20.2903856</v>
      </c>
      <c r="CC160" s="112" t="n">
        <f aca="true">IFERROR(SUMPRODUCT(OFFSET($BJ$31,0,1-MIN(60,COLUMN()-29),1,MIN(60,COLUMN()-29)),OFFSET(CC159,0,-MIN(60,COLUMN()-29),1,MIN(60,COLUMN()-29))),0)</f>
        <v>22.435024</v>
      </c>
      <c r="CD160" s="112" t="n">
        <f aca="true">IFERROR(SUMPRODUCT(OFFSET($BJ$31,0,1-MIN(60,COLUMN()-29),1,MIN(60,COLUMN()-29)),OFFSET(CD159,0,-MIN(60,COLUMN()-29),1,MIN(60,COLUMN()-29))),0)</f>
        <v>23.4392928</v>
      </c>
      <c r="CE160" s="112" t="n">
        <f aca="true">IFERROR(SUMPRODUCT(OFFSET($BJ$31,0,1-MIN(60,COLUMN()-29),1,MIN(60,COLUMN()-29)),OFFSET(CE159,0,-MIN(60,COLUMN()-29),1,MIN(60,COLUMN()-29))),0)</f>
        <v>23.5138848</v>
      </c>
      <c r="CF160" s="112" t="n">
        <f aca="true">IFERROR(SUMPRODUCT(OFFSET($BJ$31,0,1-MIN(60,COLUMN()-29),1,MIN(60,COLUMN()-29)),OFFSET(CF159,0,-MIN(60,COLUMN()-29),1,MIN(60,COLUMN()-29))),0)</f>
        <v>25.6461504</v>
      </c>
      <c r="CG160" s="112" t="n">
        <f aca="true">IFERROR(SUMPRODUCT(OFFSET($BJ$31,0,1-MIN(60,COLUMN()-29),1,MIN(60,COLUMN()-29)),OFFSET(CG159,0,-MIN(60,COLUMN()-29),1,MIN(60,COLUMN()-29))),0)</f>
        <v>40.1019616</v>
      </c>
      <c r="CH160" s="112" t="n">
        <f aca="true">IFERROR(SUMPRODUCT(OFFSET($BJ$31,0,1-MIN(60,COLUMN()-29),1,MIN(60,COLUMN()-29)),OFFSET(CH159,0,-MIN(60,COLUMN()-29),1,MIN(60,COLUMN()-29))),0)</f>
        <v>40.16616992</v>
      </c>
      <c r="CI160" s="112" t="n">
        <f aca="true">IFERROR(SUMPRODUCT(OFFSET($BJ$31,0,1-MIN(60,COLUMN()-29),1,MIN(60,COLUMN()-29)),OFFSET(CI159,0,-MIN(60,COLUMN()-29),1,MIN(60,COLUMN()-29))),0)</f>
        <v>40.2831136</v>
      </c>
      <c r="CJ160" s="112" t="n">
        <f aca="true">IFERROR(SUMPRODUCT(OFFSET($BJ$31,0,1-MIN(60,COLUMN()-29),1,MIN(60,COLUMN()-29)),OFFSET(CJ159,0,-MIN(60,COLUMN()-29),1,MIN(60,COLUMN()-29))),0)</f>
        <v>37.79319712</v>
      </c>
      <c r="CK160" s="112" t="n">
        <f aca="true">IFERROR(SUMPRODUCT(OFFSET($BJ$31,0,1-MIN(60,COLUMN()-29),1,MIN(60,COLUMN()-29)),OFFSET(CK159,0,-MIN(60,COLUMN()-29),1,MIN(60,COLUMN()-29))),0)</f>
        <v>47.04440924</v>
      </c>
      <c r="CL160" s="112" t="n">
        <f aca="true">IFERROR(SUMPRODUCT(OFFSET($BJ$31,0,1-MIN(60,COLUMN()-29),1,MIN(60,COLUMN()-29)),OFFSET(CL159,0,-MIN(60,COLUMN()-29),1,MIN(60,COLUMN()-29))),0)</f>
        <v>50.80743652</v>
      </c>
      <c r="CM160" s="112" t="n">
        <f aca="true">IFERROR(SUMPRODUCT(OFFSET($BJ$31,0,1-MIN(60,COLUMN()-29),1,MIN(60,COLUMN()-29)),OFFSET(CM159,0,-MIN(60,COLUMN()-29),1,MIN(60,COLUMN()-29))),0)</f>
        <v>50.1266602</v>
      </c>
      <c r="CN160" s="112" t="n">
        <f aca="true">IFERROR(SUMPRODUCT(OFFSET($BJ$31,0,1-MIN(60,COLUMN()-29),1,MIN(60,COLUMN()-29)),OFFSET(CN159,0,-MIN(60,COLUMN()-29),1,MIN(60,COLUMN()-29))),0)</f>
        <v>60.65128948</v>
      </c>
      <c r="CO160" s="112" t="n">
        <f aca="true">IFERROR(SUMPRODUCT(OFFSET($BJ$31,0,1-MIN(60,COLUMN()-29),1,MIN(60,COLUMN()-29)),OFFSET(CO159,0,-MIN(60,COLUMN()-29),1,MIN(60,COLUMN()-29))),0)</f>
        <v>63.48874992</v>
      </c>
      <c r="CP160" s="112" t="n">
        <f aca="true">IFERROR(SUMPRODUCT(OFFSET($BJ$31,0,1-MIN(60,COLUMN()-29),1,MIN(60,COLUMN()-29)),OFFSET(CP159,0,-MIN(60,COLUMN()-29),1,MIN(60,COLUMN()-29))),0)</f>
        <v>63.86044304</v>
      </c>
      <c r="CQ160" s="112" t="n">
        <f aca="true">IFERROR(SUMPRODUCT(OFFSET($BJ$31,0,1-MIN(60,COLUMN()-29),1,MIN(60,COLUMN()-29)),OFFSET(CQ159,0,-MIN(60,COLUMN()-29),1,MIN(60,COLUMN()-29))),0)</f>
        <v>63.47384928</v>
      </c>
      <c r="CR160" s="112" t="n">
        <f aca="true">IFERROR(SUMPRODUCT(OFFSET($BJ$31,0,1-MIN(60,COLUMN()-29),1,MIN(60,COLUMN()-29)),OFFSET(CR159,0,-MIN(60,COLUMN()-29),1,MIN(60,COLUMN()-29))),0)</f>
        <v>69.67396</v>
      </c>
      <c r="CS160" s="112" t="n">
        <f aca="true">IFERROR(SUMPRODUCT(OFFSET($BJ$31,0,1-MIN(60,COLUMN()-29),1,MIN(60,COLUMN()-29)),OFFSET(CS159,0,-MIN(60,COLUMN()-29),1,MIN(60,COLUMN()-29))),0)</f>
        <v>88.77141232</v>
      </c>
      <c r="CT160" s="112" t="n">
        <f aca="true">IFERROR(SUMPRODUCT(OFFSET($BJ$31,0,1-MIN(60,COLUMN()-29),1,MIN(60,COLUMN()-29)),OFFSET(CT159,0,-MIN(60,COLUMN()-29),1,MIN(60,COLUMN()-29))),0)</f>
        <v>88.5450552</v>
      </c>
      <c r="CU160" s="112" t="n">
        <f aca="true">IFERROR(SUMPRODUCT(OFFSET($BJ$31,0,1-MIN(60,COLUMN()-29),1,MIN(60,COLUMN()-29)),OFFSET(CU159,0,-MIN(60,COLUMN()-29),1,MIN(60,COLUMN()-29))),0)</f>
        <v>87.2439576</v>
      </c>
      <c r="CV160" s="112" t="n">
        <f aca="true">IFERROR(SUMPRODUCT(OFFSET($BJ$31,0,1-MIN(60,COLUMN()-29),1,MIN(60,COLUMN()-29)),OFFSET(CV159,0,-MIN(60,COLUMN()-29),1,MIN(60,COLUMN()-29))),0)</f>
        <v>83.9443272</v>
      </c>
      <c r="CW160" s="112" t="n">
        <f aca="true">IFERROR(SUMPRODUCT(OFFSET($BJ$31,0,1-MIN(60,COLUMN()-29),1,MIN(60,COLUMN()-29)),OFFSET(CW159,0,-MIN(60,COLUMN()-29),1,MIN(60,COLUMN()-29))),0)</f>
        <v>98.26125816</v>
      </c>
      <c r="CX160" s="112" t="n">
        <f aca="true">IFERROR(SUMPRODUCT(OFFSET($BJ$31,0,1-MIN(60,COLUMN()-29),1,MIN(60,COLUMN()-29)),OFFSET(CX159,0,-MIN(60,COLUMN()-29),1,MIN(60,COLUMN()-29))),0)</f>
        <v>104.09367768</v>
      </c>
      <c r="CY160" s="112" t="n">
        <f aca="true">IFERROR(SUMPRODUCT(OFFSET($BJ$31,0,1-MIN(60,COLUMN()-29),1,MIN(60,COLUMN()-29)),OFFSET(CY159,0,-MIN(60,COLUMN()-29),1,MIN(60,COLUMN()-29))),0)</f>
        <v>104.39559768</v>
      </c>
      <c r="CZ160" s="112" t="n">
        <f aca="true">IFERROR(SUMPRODUCT(OFFSET($BJ$31,0,1-MIN(60,COLUMN()-29),1,MIN(60,COLUMN()-29)),OFFSET(CZ159,0,-MIN(60,COLUMN()-29),1,MIN(60,COLUMN()-29))),0)</f>
        <v>117.6630636</v>
      </c>
      <c r="DA160" s="112" t="n">
        <f aca="true">IFERROR(SUMPRODUCT(OFFSET($BJ$31,0,1-MIN(60,COLUMN()-29),1,MIN(60,COLUMN()-29)),OFFSET(DA159,0,-MIN(60,COLUMN()-29),1,MIN(60,COLUMN()-29))),0)</f>
        <v>121.83622848</v>
      </c>
      <c r="DB160" s="112" t="n">
        <f aca="true">IFERROR(SUMPRODUCT(OFFSET($BJ$31,0,1-MIN(60,COLUMN()-29),1,MIN(60,COLUMN()-29)),OFFSET(DB159,0,-MIN(60,COLUMN()-29),1,MIN(60,COLUMN()-29))),0)</f>
        <v>123.1035288</v>
      </c>
      <c r="DC160" s="112" t="n">
        <f aca="true">IFERROR(SUMPRODUCT(OFFSET($BJ$31,0,1-MIN(60,COLUMN()-29),1,MIN(60,COLUMN()-29)),OFFSET(DC159,0,-MIN(60,COLUMN()-29),1,MIN(60,COLUMN()-29))),0)</f>
        <v>123.52864104</v>
      </c>
      <c r="DD160" s="112" t="n">
        <f aca="true">IFERROR(SUMPRODUCT(OFFSET($BJ$31,0,1-MIN(60,COLUMN()-29),1,MIN(60,COLUMN()-29)),OFFSET(DD159,0,-MIN(60,COLUMN()-29),1,MIN(60,COLUMN()-29))),0)</f>
        <v>131.91070392</v>
      </c>
      <c r="DE160" s="112" t="n">
        <f aca="true">IFERROR(SUMPRODUCT(OFFSET($BJ$31,0,1-MIN(60,COLUMN()-29),1,MIN(60,COLUMN()-29)),OFFSET(DE159,0,-MIN(60,COLUMN()-29),1,MIN(60,COLUMN()-29))),0)</f>
        <v>154.03898016</v>
      </c>
      <c r="DF160" s="112" t="n">
        <f aca="true">IFERROR(SUMPRODUCT(OFFSET($BJ$31,0,1-MIN(60,COLUMN()-29),1,MIN(60,COLUMN()-29)),OFFSET(DF159,0,-MIN(60,COLUMN()-29),1,MIN(60,COLUMN()-29))),0)</f>
        <v>154.65331632</v>
      </c>
      <c r="DG160" s="112" t="n">
        <f aca="true">IFERROR(SUMPRODUCT(OFFSET($BJ$31,0,1-MIN(60,COLUMN()-29),1,MIN(60,COLUMN()-29)),OFFSET(DG159,0,-MIN(60,COLUMN()-29),1,MIN(60,COLUMN()-29))),0)</f>
        <v>153.6912216</v>
      </c>
      <c r="DH160" s="112" t="n">
        <f aca="true">IFERROR(SUMPRODUCT(OFFSET($BJ$31,0,1-MIN(60,COLUMN()-29),1,MIN(60,COLUMN()-29)),OFFSET(DH159,0,-MIN(60,COLUMN()-29),1,MIN(60,COLUMN()-29))),0)</f>
        <v>150.76504848</v>
      </c>
      <c r="DI160" s="112" t="n">
        <f aca="true">IFERROR(SUMPRODUCT(OFFSET($BJ$31,0,1-MIN(60,COLUMN()-29),1,MIN(60,COLUMN()-29)),OFFSET(DI159,0,-MIN(60,COLUMN()-29),1,MIN(60,COLUMN()-29))),0)</f>
        <v>167.77362288</v>
      </c>
      <c r="DJ160" s="112" t="n">
        <f aca="true">IFERROR(SUMPRODUCT(OFFSET($BJ$31,0,1-MIN(60,COLUMN()-29),1,MIN(60,COLUMN()-29)),OFFSET(DJ159,0,-MIN(60,COLUMN()-29),1,MIN(60,COLUMN()-29))),0)</f>
        <v>174.42891648</v>
      </c>
      <c r="DK160" s="112" t="n">
        <f aca="true">IFERROR(SUMPRODUCT(OFFSET($BJ$31,0,1-MIN(60,COLUMN()-29),1,MIN(60,COLUMN()-29)),OFFSET(DK159,0,-MIN(60,COLUMN()-29),1,MIN(60,COLUMN()-29))),0)</f>
        <v>174.6053088</v>
      </c>
      <c r="DL160" s="112" t="n">
        <f aca="true">IFERROR(SUMPRODUCT(OFFSET($BJ$31,0,1-MIN(60,COLUMN()-29),1,MIN(60,COLUMN()-29)),OFFSET(DL159,0,-MIN(60,COLUMN()-29),1,MIN(60,COLUMN()-29))),0)</f>
        <v>189.45110592</v>
      </c>
      <c r="DM160" s="112" t="n">
        <f aca="true">IFERROR(SUMPRODUCT(OFFSET($BJ$31,0,1-MIN(60,COLUMN()-29),1,MIN(60,COLUMN()-29)),OFFSET(DM159,0,-MIN(60,COLUMN()-29),1,MIN(60,COLUMN()-29))),0)</f>
        <v>193.73368128</v>
      </c>
      <c r="DN160" s="112" t="n">
        <f aca="true">IFERROR(SUMPRODUCT(OFFSET($BJ$31,0,1-MIN(60,COLUMN()-29),1,MIN(60,COLUMN()-29)),OFFSET(DN159,0,-MIN(60,COLUMN()-29),1,MIN(60,COLUMN()-29))),0)</f>
        <v>194.69384016</v>
      </c>
      <c r="DO160" s="112" t="n">
        <f aca="true">IFERROR(SUMPRODUCT(OFFSET($BJ$31,0,1-MIN(60,COLUMN()-29),1,MIN(60,COLUMN()-29)),OFFSET(DO159,0,-MIN(60,COLUMN()-29),1,MIN(60,COLUMN()-29))),0)</f>
        <v>194.60203872</v>
      </c>
      <c r="DP160" s="112" t="n">
        <f aca="true">IFERROR(SUMPRODUCT(OFFSET($BJ$31,0,1-MIN(60,COLUMN()-29),1,MIN(60,COLUMN()-29)),OFFSET(DP159,0,-MIN(60,COLUMN()-29),1,MIN(60,COLUMN()-29))),0)</f>
        <v>203.06471424</v>
      </c>
      <c r="DQ160" s="112" t="n">
        <f aca="true">IFERROR(SUMPRODUCT(OFFSET($BJ$31,0,1-MIN(60,COLUMN()-29),1,MIN(60,COLUMN()-29)),OFFSET(DQ159,0,-MIN(60,COLUMN()-29),1,MIN(60,COLUMN()-29))),0)</f>
        <v>225.67631556</v>
      </c>
      <c r="DR160" s="112" t="n">
        <f aca="true">IFERROR(SUMPRODUCT(OFFSET($BJ$31,0,1-MIN(60,COLUMN()-29),1,MIN(60,COLUMN()-29)),OFFSET(DR159,0,-MIN(60,COLUMN()-29),1,MIN(60,COLUMN()-29))),0)</f>
        <v>225.2147598</v>
      </c>
      <c r="DS160" s="112" t="n">
        <f aca="true">IFERROR(SUMPRODUCT(OFFSET($BJ$31,0,1-MIN(60,COLUMN()-29),1,MIN(60,COLUMN()-29)),OFFSET(DS159,0,-MIN(60,COLUMN()-29),1,MIN(60,COLUMN()-29))),0)</f>
        <v>223.2735918</v>
      </c>
      <c r="DT160" s="112" t="n">
        <f aca="true">IFERROR(SUMPRODUCT(OFFSET($BJ$31,0,1-MIN(60,COLUMN()-29),1,MIN(60,COLUMN()-29)),OFFSET(DT159,0,-MIN(60,COLUMN()-29),1,MIN(60,COLUMN()-29))),0)</f>
        <v>219.578979</v>
      </c>
      <c r="DU160" s="112" t="n">
        <f aca="true">IFERROR(SUMPRODUCT(OFFSET($BJ$31,0,1-MIN(60,COLUMN()-29),1,MIN(60,COLUMN()-29)),OFFSET(DU159,0,-MIN(60,COLUMN()-29),1,MIN(60,COLUMN()-29))),0)</f>
        <v>236.15000472</v>
      </c>
      <c r="DV160" s="112" t="n">
        <f aca="true">IFERROR(SUMPRODUCT(OFFSET($BJ$31,0,1-MIN(60,COLUMN()-29),1,MIN(60,COLUMN()-29)),OFFSET(DV159,0,-MIN(60,COLUMN()-29),1,MIN(60,COLUMN()-29))),0)</f>
        <v>241.76054856</v>
      </c>
      <c r="DW160" s="112" t="n">
        <f aca="true">IFERROR(SUMPRODUCT(OFFSET($BJ$31,0,1-MIN(60,COLUMN()-29),1,MIN(60,COLUMN()-29)),OFFSET(DW159,0,-MIN(60,COLUMN()-29),1,MIN(60,COLUMN()-29))),0)</f>
        <v>241.48308408</v>
      </c>
      <c r="DX160" s="112" t="n">
        <f aca="true">IFERROR(SUMPRODUCT(OFFSET($BJ$31,0,1-MIN(60,COLUMN()-29),1,MIN(60,COLUMN()-29)),OFFSET(DX159,0,-MIN(60,COLUMN()-29),1,MIN(60,COLUMN()-29))),0)</f>
        <v>255.18801432</v>
      </c>
      <c r="DY160" s="112" t="n">
        <f aca="true">IFERROR(SUMPRODUCT(OFFSET($BJ$31,0,1-MIN(60,COLUMN()-29),1,MIN(60,COLUMN()-29)),OFFSET(DY159,0,-MIN(60,COLUMN()-29),1,MIN(60,COLUMN()-29))),0)</f>
        <v>258.21209832</v>
      </c>
      <c r="DZ160" s="112" t="n">
        <f aca="true">IFERROR(SUMPRODUCT(OFFSET($BJ$31,0,1-MIN(60,COLUMN()-29),1,MIN(60,COLUMN()-29)),OFFSET(DZ159,0,-MIN(60,COLUMN()-29),1,MIN(60,COLUMN()-29))),0)</f>
        <v>258.16947432</v>
      </c>
      <c r="EA160" s="112" t="n">
        <f aca="true">IFERROR(SUMPRODUCT(OFFSET($BJ$31,0,1-MIN(60,COLUMN()-29),1,MIN(60,COLUMN()-29)),OFFSET(EA159,0,-MIN(60,COLUMN()-29),1,MIN(60,COLUMN()-29))),0)</f>
        <v>256.87565832</v>
      </c>
      <c r="EB160" s="112" t="n">
        <f aca="true">IFERROR(SUMPRODUCT(OFFSET($BJ$31,0,1-MIN(60,COLUMN()-29),1,MIN(60,COLUMN()-29)),OFFSET(EB159,0,-MIN(60,COLUMN()-29),1,MIN(60,COLUMN()-29))),0)</f>
        <v>264.57834792</v>
      </c>
      <c r="EC160" s="112" t="n">
        <f aca="true">IFERROR(SUMPRODUCT(OFFSET($BJ$31,0,1-MIN(60,COLUMN()-29),1,MIN(60,COLUMN()-29)),OFFSET(EC159,0,-MIN(60,COLUMN()-29),1,MIN(60,COLUMN()-29))),0)</f>
        <v>284.66495232</v>
      </c>
      <c r="ED160" s="112" t="n">
        <f aca="true">IFERROR(SUMPRODUCT(OFFSET($BJ$31,0,1-MIN(60,COLUMN()-29),1,MIN(60,COLUMN()-29)),OFFSET(ED159,0,-MIN(60,COLUMN()-29),1,MIN(60,COLUMN()-29))),0)</f>
        <v>281.72336352</v>
      </c>
      <c r="EE160" s="112" t="n">
        <f aca="true">IFERROR(SUMPRODUCT(OFFSET($BJ$31,0,1-MIN(60,COLUMN()-29),1,MIN(60,COLUMN()-29)),OFFSET(EE159,0,-MIN(60,COLUMN()-29),1,MIN(60,COLUMN()-29))),0)</f>
        <v>277.69468512</v>
      </c>
      <c r="EF160" s="112" t="n">
        <f aca="true">IFERROR(SUMPRODUCT(OFFSET($BJ$31,0,1-MIN(60,COLUMN()-29),1,MIN(60,COLUMN()-29)),OFFSET(EF159,0,-MIN(60,COLUMN()-29),1,MIN(60,COLUMN()-29))),0)</f>
        <v>272.38533312</v>
      </c>
      <c r="EG160" s="112" t="n">
        <f aca="true">IFERROR(SUMPRODUCT(OFFSET($BJ$31,0,1-MIN(60,COLUMN()-29),1,MIN(60,COLUMN()-29)),OFFSET(EG159,0,-MIN(60,COLUMN()-29),1,MIN(60,COLUMN()-29))),0)</f>
        <v>286.86315192</v>
      </c>
      <c r="EH160" s="112" t="n">
        <f aca="true">IFERROR(SUMPRODUCT(OFFSET($BJ$31,0,1-MIN(60,COLUMN()-29),1,MIN(60,COLUMN()-29)),OFFSET(EH159,0,-MIN(60,COLUMN()-29),1,MIN(60,COLUMN()-29))),0)</f>
        <v>290.05275912</v>
      </c>
      <c r="EI160" s="112" t="n">
        <f aca="true">IFERROR(SUMPRODUCT(OFFSET($BJ$31,0,1-MIN(60,COLUMN()-29),1,MIN(60,COLUMN()-29)),OFFSET(EI159,0,-MIN(60,COLUMN()-29),1,MIN(60,COLUMN()-29))),0)</f>
        <v>287.85349392</v>
      </c>
      <c r="EJ160" s="112" t="n">
        <f aca="true">IFERROR(SUMPRODUCT(OFFSET($BJ$31,0,1-MIN(60,COLUMN()-29),1,MIN(60,COLUMN()-29)),OFFSET(EJ159,0,-MIN(60,COLUMN()-29),1,MIN(60,COLUMN()-29))),0)</f>
        <v>298.68007872</v>
      </c>
      <c r="EK160" s="112" t="n">
        <f aca="true">IFERROR(SUMPRODUCT(OFFSET($BJ$31,0,1-MIN(60,COLUMN()-29),1,MIN(60,COLUMN()-29)),OFFSET(EK159,0,-MIN(60,COLUMN()-29),1,MIN(60,COLUMN()-29))),0)</f>
        <v>298.87388472</v>
      </c>
      <c r="EL160" s="112" t="n">
        <f aca="true">IFERROR(SUMPRODUCT(OFFSET($BJ$31,0,1-MIN(60,COLUMN()-29),1,MIN(60,COLUMN()-29)),OFFSET(EL159,0,-MIN(60,COLUMN()-29),1,MIN(60,COLUMN()-29))),0)</f>
        <v>296.95837992</v>
      </c>
      <c r="EM160" s="112" t="n">
        <f aca="true">IFERROR(SUMPRODUCT(OFFSET($BJ$31,0,1-MIN(60,COLUMN()-29),1,MIN(60,COLUMN()-29)),OFFSET(EM159,0,-MIN(60,COLUMN()-29),1,MIN(60,COLUMN()-29))),0)</f>
        <v>294.05550792</v>
      </c>
      <c r="EN160" s="112" t="n">
        <f aca="true">IFERROR(SUMPRODUCT(OFFSET($BJ$31,0,1-MIN(60,COLUMN()-29),1,MIN(60,COLUMN()-29)),OFFSET(EN159,0,-MIN(60,COLUMN()-29),1,MIN(60,COLUMN()-29))),0)</f>
        <v>300.05749992</v>
      </c>
      <c r="EO160" s="112" t="n">
        <f aca="true">IFERROR(SUMPRODUCT(OFFSET($BJ$31,0,1-MIN(60,COLUMN()-29),1,MIN(60,COLUMN()-29)),OFFSET(EO159,0,-MIN(60,COLUMN()-29),1,MIN(60,COLUMN()-29))),0)</f>
        <v>317.31261864</v>
      </c>
      <c r="EP160" s="112" t="n">
        <f aca="true">IFERROR(SUMPRODUCT(OFFSET($BJ$31,0,1-MIN(60,COLUMN()-29),1,MIN(60,COLUMN()-29)),OFFSET(EP159,0,-MIN(60,COLUMN()-29),1,MIN(60,COLUMN()-29))),0)</f>
        <v>312.02399256</v>
      </c>
      <c r="EQ160" s="112" t="n">
        <f aca="true">IFERROR(SUMPRODUCT(OFFSET($BJ$31,0,1-MIN(60,COLUMN()-29),1,MIN(60,COLUMN()-29)),OFFSET(EQ159,0,-MIN(60,COLUMN()-29),1,MIN(60,COLUMN()-29))),0)</f>
        <v>306.15907224</v>
      </c>
      <c r="ER160" s="112" t="n">
        <f aca="true">IFERROR(SUMPRODUCT(OFFSET($BJ$31,0,1-MIN(60,COLUMN()-29),1,MIN(60,COLUMN()-29)),OFFSET(ER159,0,-MIN(60,COLUMN()-29),1,MIN(60,COLUMN()-29))),0)</f>
        <v>299.52720408</v>
      </c>
      <c r="ES160" s="9" t="n">
        <f aca="true">IFERROR(SUMPRODUCT(OFFSET($BJ$31,0,1-MIN(60,COLUMN()-29),1,MIN(60,COLUMN()-29)),OFFSET(ES159,0,-MIN(60,COLUMN()-29),1,MIN(60,COLUMN()-29))),0)</f>
        <v>312.17221752</v>
      </c>
      <c r="ET160" s="9" t="n">
        <f aca="true">IFERROR(SUMPRODUCT(OFFSET($BJ$31,0,1-MIN(60,COLUMN()-29),1,MIN(60,COLUMN()-29)),OFFSET(ET159,0,-MIN(60,COLUMN()-29),1,MIN(60,COLUMN()-29))),0)</f>
        <v>313.5319764</v>
      </c>
      <c r="EU160" s="9" t="n">
        <f aca="true">IFERROR(SUMPRODUCT(OFFSET($BJ$31,0,1-MIN(60,COLUMN()-29),1,MIN(60,COLUMN()-29)),OFFSET(EU159,0,-MIN(60,COLUMN()-29),1,MIN(60,COLUMN()-29))),0)</f>
        <v>309.9182604</v>
      </c>
      <c r="EV160" s="9" t="n">
        <f aca="true">IFERROR(SUMPRODUCT(OFFSET($BJ$31,0,1-MIN(60,COLUMN()-29),1,MIN(60,COLUMN()-29)),OFFSET(EV159,0,-MIN(60,COLUMN()-29),1,MIN(60,COLUMN()-29))),0)</f>
        <v>318.87061464</v>
      </c>
      <c r="EW160" s="9" t="n">
        <f aca="true">IFERROR(SUMPRODUCT(OFFSET($BJ$31,0,1-MIN(60,COLUMN()-29),1,MIN(60,COLUMN()-29)),OFFSET(EW159,0,-MIN(60,COLUMN()-29),1,MIN(60,COLUMN()-29))),0)</f>
        <v>317.33401944</v>
      </c>
      <c r="EX160" s="9" t="n">
        <f aca="true">IFERROR(SUMPRODUCT(OFFSET($BJ$31,0,1-MIN(60,COLUMN()-29),1,MIN(60,COLUMN()-29)),OFFSET(EX159,0,-MIN(60,COLUMN()-29),1,MIN(60,COLUMN()-29))),0)</f>
        <v>314.0386692</v>
      </c>
      <c r="EY160" s="9" t="n">
        <f aca="true">IFERROR(SUMPRODUCT(OFFSET($BJ$31,0,1-MIN(60,COLUMN()-29),1,MIN(60,COLUMN()-29)),OFFSET(EY159,0,-MIN(60,COLUMN()-29),1,MIN(60,COLUMN()-29))),0)</f>
        <v>309.9956052</v>
      </c>
      <c r="EZ160" s="9" t="n">
        <f aca="true">IFERROR(SUMPRODUCT(OFFSET($BJ$31,0,1-MIN(60,COLUMN()-29),1,MIN(60,COLUMN()-29)),OFFSET(EZ159,0,-MIN(60,COLUMN()-29),1,MIN(60,COLUMN()-29))),0)</f>
        <v>314.77466136</v>
      </c>
      <c r="FA160" s="9" t="n">
        <f aca="true">IFERROR(SUMPRODUCT(OFFSET($BJ$31,0,1-MIN(60,COLUMN()-29),1,MIN(60,COLUMN()-29)),OFFSET(FA159,0,-MIN(60,COLUMN()-29),1,MIN(60,COLUMN()-29))),0)</f>
        <v>330.55634832</v>
      </c>
      <c r="FB160" s="9" t="n">
        <f aca="true">IFERROR(SUMPRODUCT(OFFSET($BJ$31,0,1-MIN(60,COLUMN()-29),1,MIN(60,COLUMN()-29)),OFFSET(FB159,0,-MIN(60,COLUMN()-29),1,MIN(60,COLUMN()-29))),0)</f>
        <v>324.09961152</v>
      </c>
      <c r="FC160" s="9" t="n">
        <f aca="true">IFERROR(SUMPRODUCT(OFFSET($BJ$31,0,1-MIN(60,COLUMN()-29),1,MIN(60,COLUMN()-29)),OFFSET(FC159,0,-MIN(60,COLUMN()-29),1,MIN(60,COLUMN()-29))),0)</f>
        <v>317.32807872</v>
      </c>
      <c r="FD160" s="9" t="n">
        <f aca="true">IFERROR(SUMPRODUCT(OFFSET($BJ$31,0,1-MIN(60,COLUMN()-29),1,MIN(60,COLUMN()-29)),OFFSET(FD159,0,-MIN(60,COLUMN()-29),1,MIN(60,COLUMN()-29))),0)</f>
        <v>310.03926816</v>
      </c>
      <c r="FE160" s="9" t="n">
        <f aca="true">IFERROR(SUMPRODUCT(OFFSET($BJ$31,0,1-MIN(60,COLUMN()-29),1,MIN(60,COLUMN()-29)),OFFSET(FE159,0,-MIN(60,COLUMN()-29),1,MIN(60,COLUMN()-29))),0)</f>
        <v>321.72236448</v>
      </c>
      <c r="FF160" s="9" t="n">
        <f aca="true">IFERROR(SUMPRODUCT(OFFSET($BJ$31,0,1-MIN(60,COLUMN()-29),1,MIN(60,COLUMN()-29)),OFFSET(FF159,0,-MIN(60,COLUMN()-29),1,MIN(60,COLUMN()-29))),0)</f>
        <v>322.13411232</v>
      </c>
      <c r="FG160" s="9" t="n">
        <f aca="true">IFERROR(SUMPRODUCT(OFFSET($BJ$31,0,1-MIN(60,COLUMN()-29),1,MIN(60,COLUMN()-29)),OFFSET(FG159,0,-MIN(60,COLUMN()-29),1,MIN(60,COLUMN()-29))),0)</f>
        <v>317.85412992</v>
      </c>
      <c r="FH160" s="9" t="n">
        <f aca="true">IFERROR(SUMPRODUCT(OFFSET($BJ$31,0,1-MIN(60,COLUMN()-29),1,MIN(60,COLUMN()-29)),OFFSET(FH159,0,-MIN(60,COLUMN()-29),1,MIN(60,COLUMN()-29))),0)</f>
        <v>325.93812672</v>
      </c>
      <c r="FI160" s="9" t="n">
        <f aca="true">IFERROR(SUMPRODUCT(OFFSET($BJ$31,0,1-MIN(60,COLUMN()-29),1,MIN(60,COLUMN()-29)),OFFSET(FI159,0,-MIN(60,COLUMN()-29),1,MIN(60,COLUMN()-29))),0)</f>
        <v>323.65134912</v>
      </c>
      <c r="FJ160" s="9" t="n">
        <f aca="true">IFERROR(SUMPRODUCT(OFFSET($BJ$31,0,1-MIN(60,COLUMN()-29),1,MIN(60,COLUMN()-29)),OFFSET(FJ159,0,-MIN(60,COLUMN()-29),1,MIN(60,COLUMN()-29))),0)</f>
        <v>319.72979904</v>
      </c>
      <c r="FK160" s="9" t="n">
        <f aca="true">IFERROR(SUMPRODUCT(OFFSET($BJ$31,0,1-MIN(60,COLUMN()-29),1,MIN(60,COLUMN()-29)),OFFSET(FK159,0,-MIN(60,COLUMN()-29),1,MIN(60,COLUMN()-29))),0)</f>
        <v>315.16885344</v>
      </c>
      <c r="FL160" s="9" t="n">
        <f aca="true">IFERROR(SUMPRODUCT(OFFSET($BJ$31,0,1-MIN(60,COLUMN()-29),1,MIN(60,COLUMN()-29)),OFFSET(FL159,0,-MIN(60,COLUMN()-29),1,MIN(60,COLUMN()-29))),0)</f>
        <v>319.45895904</v>
      </c>
      <c r="FM160" s="9" t="n">
        <f aca="true">IFERROR(SUMPRODUCT(OFFSET($BJ$31,0,1-MIN(60,COLUMN()-29),1,MIN(60,COLUMN()-29)),OFFSET(FM159,0,-MIN(60,COLUMN()-29),1,MIN(60,COLUMN()-29))),0)</f>
        <v>334.50487584</v>
      </c>
      <c r="FN160" s="9" t="n">
        <f aca="true">IFERROR(SUMPRODUCT(OFFSET($BJ$31,0,1-MIN(60,COLUMN()-29),1,MIN(60,COLUMN()-29)),OFFSET(FN159,0,-MIN(60,COLUMN()-29),1,MIN(60,COLUMN()-29))),0)</f>
        <v>327.48726048</v>
      </c>
      <c r="FO160" s="9" t="n">
        <f aca="true">IFERROR(SUMPRODUCT(OFFSET($BJ$31,0,1-MIN(60,COLUMN()-29),1,MIN(60,COLUMN()-29)),OFFSET(FO159,0,-MIN(60,COLUMN()-29),1,MIN(60,COLUMN()-29))),0)</f>
        <v>320.25283104</v>
      </c>
      <c r="FP160" s="9" t="n">
        <f aca="true">IFERROR(SUMPRODUCT(OFFSET($BJ$31,0,1-MIN(60,COLUMN()-29),1,MIN(60,COLUMN()-29)),OFFSET(FP159,0,-MIN(60,COLUMN()-29),1,MIN(60,COLUMN()-29))),0)</f>
        <v>312.640824</v>
      </c>
    </row>
    <row r="161" customFormat="false" ht="15" hidden="false" customHeight="false" outlineLevel="2" collapsed="false">
      <c r="B161" s="90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237"/>
      <c r="AD161" s="237"/>
      <c r="AE161" s="237"/>
      <c r="AF161" s="237"/>
      <c r="AG161" s="237"/>
      <c r="AH161" s="237"/>
      <c r="AI161" s="237"/>
      <c r="AJ161" s="237"/>
      <c r="AK161" s="237"/>
      <c r="AL161" s="237"/>
      <c r="AM161" s="237"/>
      <c r="AN161" s="237"/>
      <c r="AO161" s="237"/>
      <c r="AP161" s="237"/>
      <c r="AQ161" s="237"/>
      <c r="AR161" s="237"/>
      <c r="AS161" s="237"/>
      <c r="AT161" s="237"/>
      <c r="AU161" s="237"/>
      <c r="AV161" s="237"/>
      <c r="AW161" s="237"/>
      <c r="AX161" s="237"/>
      <c r="AY161" s="237"/>
      <c r="AZ161" s="237"/>
      <c r="BA161" s="237"/>
      <c r="BB161" s="237"/>
      <c r="BC161" s="237"/>
      <c r="BD161" s="237"/>
      <c r="BE161" s="237"/>
      <c r="BF161" s="237"/>
      <c r="BG161" s="237"/>
      <c r="BH161" s="237"/>
      <c r="BI161" s="237"/>
      <c r="BJ161" s="237"/>
      <c r="BK161" s="237"/>
      <c r="BL161" s="237"/>
      <c r="BM161" s="237"/>
      <c r="BN161" s="237"/>
      <c r="BO161" s="237"/>
      <c r="BP161" s="237"/>
      <c r="BQ161" s="237"/>
      <c r="BR161" s="237"/>
      <c r="BS161" s="237"/>
      <c r="BT161" s="237"/>
      <c r="BU161" s="237"/>
      <c r="BV161" s="237"/>
      <c r="BW161" s="237"/>
      <c r="BX161" s="237"/>
      <c r="BY161" s="237"/>
      <c r="BZ161" s="237"/>
      <c r="CA161" s="237"/>
      <c r="CB161" s="237"/>
      <c r="CC161" s="237"/>
      <c r="CD161" s="237"/>
      <c r="CE161" s="237"/>
      <c r="CF161" s="237"/>
      <c r="CG161" s="237"/>
      <c r="CH161" s="237"/>
      <c r="CI161" s="237"/>
      <c r="CJ161" s="237"/>
      <c r="CK161" s="237"/>
      <c r="CL161" s="237"/>
      <c r="CM161" s="237"/>
      <c r="CN161" s="237"/>
      <c r="CO161" s="237"/>
      <c r="CP161" s="237"/>
      <c r="CQ161" s="237"/>
      <c r="CR161" s="237"/>
      <c r="CS161" s="237"/>
      <c r="CT161" s="237"/>
      <c r="CU161" s="237"/>
      <c r="CV161" s="237"/>
      <c r="CW161" s="237"/>
      <c r="CX161" s="237"/>
      <c r="CY161" s="237"/>
      <c r="CZ161" s="237"/>
      <c r="DA161" s="237"/>
      <c r="DB161" s="237"/>
      <c r="DC161" s="237"/>
      <c r="DD161" s="237"/>
      <c r="DE161" s="237"/>
      <c r="DF161" s="237"/>
      <c r="DG161" s="237"/>
      <c r="DH161" s="237"/>
      <c r="DI161" s="237"/>
      <c r="DJ161" s="237"/>
      <c r="DK161" s="237"/>
      <c r="DL161" s="237"/>
      <c r="DM161" s="237"/>
      <c r="DN161" s="237"/>
      <c r="DO161" s="237"/>
      <c r="DP161" s="237"/>
      <c r="DQ161" s="237"/>
      <c r="DR161" s="237"/>
      <c r="DS161" s="237"/>
      <c r="DT161" s="237"/>
      <c r="DU161" s="237"/>
      <c r="DV161" s="237"/>
      <c r="DW161" s="237"/>
      <c r="DX161" s="237"/>
      <c r="DY161" s="237"/>
      <c r="DZ161" s="237"/>
      <c r="EA161" s="237"/>
      <c r="EB161" s="237"/>
      <c r="EC161" s="237"/>
      <c r="ED161" s="237"/>
      <c r="EE161" s="237"/>
      <c r="EF161" s="237"/>
      <c r="EG161" s="237"/>
      <c r="EH161" s="237"/>
      <c r="EI161" s="237"/>
      <c r="EJ161" s="237"/>
      <c r="EK161" s="237"/>
      <c r="EL161" s="237"/>
      <c r="EM161" s="237"/>
      <c r="EN161" s="237"/>
      <c r="EO161" s="237"/>
      <c r="EP161" s="237"/>
      <c r="EQ161" s="237"/>
      <c r="ER161" s="237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</row>
    <row r="162" customFormat="false" ht="15" hidden="false" customHeight="false" outlineLevel="2" collapsed="false">
      <c r="B162" s="240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237"/>
      <c r="AD162" s="237"/>
      <c r="AE162" s="237"/>
      <c r="AF162" s="237"/>
      <c r="AG162" s="237"/>
      <c r="AH162" s="237"/>
      <c r="AI162" s="237"/>
      <c r="AJ162" s="237"/>
      <c r="AK162" s="237"/>
      <c r="AL162" s="237"/>
      <c r="AM162" s="237"/>
      <c r="AN162" s="237"/>
      <c r="AO162" s="237"/>
      <c r="AP162" s="237"/>
      <c r="AQ162" s="237"/>
      <c r="AR162" s="237"/>
      <c r="AS162" s="237"/>
      <c r="AT162" s="237"/>
      <c r="AU162" s="237"/>
      <c r="AV162" s="237"/>
      <c r="AW162" s="237"/>
      <c r="AX162" s="237"/>
      <c r="AY162" s="237"/>
      <c r="AZ162" s="237"/>
      <c r="BA162" s="237"/>
      <c r="BB162" s="237"/>
      <c r="BC162" s="237"/>
      <c r="BD162" s="237"/>
      <c r="BE162" s="237"/>
      <c r="BF162" s="237"/>
      <c r="BG162" s="237"/>
      <c r="BH162" s="237"/>
      <c r="BI162" s="237"/>
      <c r="BJ162" s="237"/>
      <c r="BK162" s="237"/>
      <c r="BL162" s="237"/>
      <c r="BM162" s="237"/>
      <c r="BN162" s="237"/>
      <c r="BO162" s="237"/>
      <c r="BP162" s="237"/>
      <c r="BQ162" s="237"/>
      <c r="BR162" s="237"/>
      <c r="BS162" s="237"/>
      <c r="BT162" s="237"/>
      <c r="BU162" s="237"/>
      <c r="BV162" s="237"/>
      <c r="BW162" s="237"/>
      <c r="BX162" s="237"/>
      <c r="BY162" s="237"/>
      <c r="BZ162" s="237"/>
      <c r="CA162" s="237"/>
      <c r="CB162" s="237"/>
      <c r="CC162" s="237"/>
      <c r="CD162" s="237"/>
      <c r="CE162" s="237"/>
      <c r="CF162" s="237"/>
      <c r="CG162" s="237"/>
      <c r="CH162" s="237"/>
      <c r="CI162" s="237"/>
      <c r="CJ162" s="237"/>
      <c r="CK162" s="237"/>
      <c r="CL162" s="237"/>
      <c r="CM162" s="237"/>
      <c r="CN162" s="237"/>
      <c r="CO162" s="237"/>
      <c r="CP162" s="237"/>
      <c r="CQ162" s="237"/>
      <c r="CR162" s="237"/>
      <c r="CS162" s="237"/>
      <c r="CT162" s="237"/>
      <c r="CU162" s="237"/>
      <c r="CV162" s="237"/>
      <c r="CW162" s="237"/>
      <c r="CX162" s="237"/>
      <c r="CY162" s="237"/>
      <c r="CZ162" s="237"/>
      <c r="DA162" s="237"/>
      <c r="DB162" s="237"/>
      <c r="DC162" s="237"/>
      <c r="DD162" s="237"/>
      <c r="DE162" s="237"/>
      <c r="DF162" s="237"/>
      <c r="DG162" s="237"/>
      <c r="DH162" s="237"/>
      <c r="DI162" s="237"/>
      <c r="DJ162" s="237"/>
      <c r="DK162" s="237"/>
      <c r="DL162" s="237"/>
      <c r="DM162" s="237"/>
      <c r="DN162" s="237"/>
      <c r="DO162" s="237"/>
      <c r="DP162" s="237"/>
      <c r="DQ162" s="237"/>
      <c r="DR162" s="237"/>
      <c r="DS162" s="237"/>
      <c r="DT162" s="237"/>
      <c r="DU162" s="237"/>
      <c r="DV162" s="237"/>
      <c r="DW162" s="237"/>
      <c r="DX162" s="237"/>
      <c r="DY162" s="237"/>
      <c r="DZ162" s="237"/>
      <c r="EA162" s="237"/>
      <c r="EB162" s="237"/>
      <c r="EC162" s="237"/>
      <c r="ED162" s="237"/>
      <c r="EE162" s="237"/>
      <c r="EF162" s="237"/>
      <c r="EG162" s="237"/>
      <c r="EH162" s="237"/>
      <c r="EI162" s="237"/>
      <c r="EJ162" s="237"/>
      <c r="EK162" s="237"/>
      <c r="EL162" s="237"/>
      <c r="EM162" s="237"/>
      <c r="EN162" s="237"/>
      <c r="EO162" s="237"/>
      <c r="EP162" s="237"/>
      <c r="EQ162" s="237"/>
      <c r="ER162" s="237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</row>
    <row r="163" customFormat="false" ht="15" hidden="false" customHeight="false" outlineLevel="2" collapsed="false">
      <c r="B163" s="21" t="s">
        <v>889</v>
      </c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</row>
    <row r="164" customFormat="false" ht="15" hidden="false" customHeight="false" outlineLevel="2" collapsed="false">
      <c r="B164" s="9" t="s">
        <v>872</v>
      </c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234" t="n">
        <f aca="false">('⑫ Roll-out Plan'!G22-2025)*12+'⑫ Roll-out Plan'!F22</f>
        <v>47</v>
      </c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</row>
    <row r="165" customFormat="false" ht="15" hidden="false" customHeight="false" outlineLevel="2" collapsed="false">
      <c r="B165" s="9" t="s">
        <v>873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235" t="n">
        <f aca="false">VLOOKUP("A",$B$14:$C$18,2,FALSE())</f>
        <v>210</v>
      </c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</row>
    <row r="166" customFormat="false" ht="15" hidden="false" customHeight="false" outlineLevel="2" collapsed="false">
      <c r="B166" s="9" t="s">
        <v>799</v>
      </c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63" t="n">
        <f aca="false">IF(AC$35&gt;=$AC$164,AC$35-$AC$164+1,0)</f>
        <v>0</v>
      </c>
      <c r="AD166" s="63" t="n">
        <f aca="false">IF(AD$35&gt;=$AC$164,AD$35-$AC$164+1,0)</f>
        <v>0</v>
      </c>
      <c r="AE166" s="63" t="n">
        <f aca="false">IF(AE$35&gt;=$AC$164,AE$35-$AC$164+1,0)</f>
        <v>0</v>
      </c>
      <c r="AF166" s="63" t="n">
        <f aca="false">IF(AF$35&gt;=$AC$164,AF$35-$AC$164+1,0)</f>
        <v>0</v>
      </c>
      <c r="AG166" s="63" t="n">
        <f aca="false">IF(AG$35&gt;=$AC$164,AG$35-$AC$164+1,0)</f>
        <v>0</v>
      </c>
      <c r="AH166" s="63" t="n">
        <f aca="false">IF(AH$35&gt;=$AC$164,AH$35-$AC$164+1,0)</f>
        <v>0</v>
      </c>
      <c r="AI166" s="63" t="n">
        <f aca="false">IF(AI$35&gt;=$AC$164,AI$35-$AC$164+1,0)</f>
        <v>0</v>
      </c>
      <c r="AJ166" s="63" t="n">
        <f aca="false">IF(AJ$35&gt;=$AC$164,AJ$35-$AC$164+1,0)</f>
        <v>0</v>
      </c>
      <c r="AK166" s="63" t="n">
        <f aca="false">IF(AK$35&gt;=$AC$164,AK$35-$AC$164+1,0)</f>
        <v>0</v>
      </c>
      <c r="AL166" s="63" t="n">
        <f aca="false">IF(AL$35&gt;=$AC$164,AL$35-$AC$164+1,0)</f>
        <v>0</v>
      </c>
      <c r="AM166" s="63" t="n">
        <f aca="false">IF(AM$35&gt;=$AC$164,AM$35-$AC$164+1,0)</f>
        <v>0</v>
      </c>
      <c r="AN166" s="63" t="n">
        <f aca="false">IF(AN$35&gt;=$AC$164,AN$35-$AC$164+1,0)</f>
        <v>0</v>
      </c>
      <c r="AO166" s="63" t="n">
        <f aca="false">IF(AO$35&gt;=$AC$164,AO$35-$AC$164+1,0)</f>
        <v>0</v>
      </c>
      <c r="AP166" s="63" t="n">
        <f aca="false">IF(AP$35&gt;=$AC$164,AP$35-$AC$164+1,0)</f>
        <v>0</v>
      </c>
      <c r="AQ166" s="63" t="n">
        <f aca="false">IF(AQ$35&gt;=$AC$164,AQ$35-$AC$164+1,0)</f>
        <v>0</v>
      </c>
      <c r="AR166" s="63" t="n">
        <f aca="false">IF(AR$35&gt;=$AC$164,AR$35-$AC$164+1,0)</f>
        <v>0</v>
      </c>
      <c r="AS166" s="63" t="n">
        <f aca="false">IF(AS$35&gt;=$AC$164,AS$35-$AC$164+1,0)</f>
        <v>0</v>
      </c>
      <c r="AT166" s="63" t="n">
        <f aca="false">IF(AT$35&gt;=$AC$164,AT$35-$AC$164+1,0)</f>
        <v>0</v>
      </c>
      <c r="AU166" s="63" t="n">
        <f aca="false">IF(AU$35&gt;=$AC$164,AU$35-$AC$164+1,0)</f>
        <v>0</v>
      </c>
      <c r="AV166" s="63" t="n">
        <f aca="false">IF(AV$35&gt;=$AC$164,AV$35-$AC$164+1,0)</f>
        <v>0</v>
      </c>
      <c r="AW166" s="63" t="n">
        <f aca="false">IF(AW$35&gt;=$AC$164,AW$35-$AC$164+1,0)</f>
        <v>0</v>
      </c>
      <c r="AX166" s="63" t="n">
        <f aca="false">IF(AX$35&gt;=$AC$164,AX$35-$AC$164+1,0)</f>
        <v>0</v>
      </c>
      <c r="AY166" s="63" t="n">
        <f aca="false">IF(AY$35&gt;=$AC$164,AY$35-$AC$164+1,0)</f>
        <v>0</v>
      </c>
      <c r="AZ166" s="63" t="n">
        <f aca="false">IF(AZ$35&gt;=$AC$164,AZ$35-$AC$164+1,0)</f>
        <v>0</v>
      </c>
      <c r="BA166" s="63" t="n">
        <f aca="false">IF(BA$35&gt;=$AC$164,BA$35-$AC$164+1,0)</f>
        <v>0</v>
      </c>
      <c r="BB166" s="63" t="n">
        <f aca="false">IF(BB$35&gt;=$AC$164,BB$35-$AC$164+1,0)</f>
        <v>0</v>
      </c>
      <c r="BC166" s="63" t="n">
        <f aca="false">IF(BC$35&gt;=$AC$164,BC$35-$AC$164+1,0)</f>
        <v>0</v>
      </c>
      <c r="BD166" s="63" t="n">
        <f aca="false">IF(BD$35&gt;=$AC$164,BD$35-$AC$164+1,0)</f>
        <v>0</v>
      </c>
      <c r="BE166" s="63" t="n">
        <f aca="false">IF(BE$35&gt;=$AC$164,BE$35-$AC$164+1,0)</f>
        <v>0</v>
      </c>
      <c r="BF166" s="63" t="n">
        <f aca="false">IF(BF$35&gt;=$AC$164,BF$35-$AC$164+1,0)</f>
        <v>0</v>
      </c>
      <c r="BG166" s="63" t="n">
        <f aca="false">IF(BG$35&gt;=$AC$164,BG$35-$AC$164+1,0)</f>
        <v>0</v>
      </c>
      <c r="BH166" s="63" t="n">
        <f aca="false">IF(BH$35&gt;=$AC$164,BH$35-$AC$164+1,0)</f>
        <v>0</v>
      </c>
      <c r="BI166" s="63" t="n">
        <f aca="false">IF(BI$35&gt;=$AC$164,BI$35-$AC$164+1,0)</f>
        <v>0</v>
      </c>
      <c r="BJ166" s="63" t="n">
        <f aca="false">IF(BJ$35&gt;=$AC$164,BJ$35-$AC$164+1,0)</f>
        <v>0</v>
      </c>
      <c r="BK166" s="63" t="n">
        <f aca="false">IF(BK$35&gt;=$AC$164,BK$35-$AC$164+1,0)</f>
        <v>0</v>
      </c>
      <c r="BL166" s="63" t="n">
        <f aca="false">IF(BL$35&gt;=$AC$164,BL$35-$AC$164+1,0)</f>
        <v>0</v>
      </c>
      <c r="BM166" s="63" t="n">
        <f aca="false">IF(BM$35&gt;=$AC$164,BM$35-$AC$164+1,0)</f>
        <v>0</v>
      </c>
      <c r="BN166" s="63" t="n">
        <f aca="false">IF(BN$35&gt;=$AC$164,BN$35-$AC$164+1,0)</f>
        <v>0</v>
      </c>
      <c r="BO166" s="63" t="n">
        <f aca="false">IF(BO$35&gt;=$AC$164,BO$35-$AC$164+1,0)</f>
        <v>0</v>
      </c>
      <c r="BP166" s="63" t="n">
        <f aca="false">IF(BP$35&gt;=$AC$164,BP$35-$AC$164+1,0)</f>
        <v>0</v>
      </c>
      <c r="BQ166" s="63" t="n">
        <f aca="false">IF(BQ$35&gt;=$AC$164,BQ$35-$AC$164+1,0)</f>
        <v>0</v>
      </c>
      <c r="BR166" s="63" t="n">
        <f aca="false">IF(BR$35&gt;=$AC$164,BR$35-$AC$164+1,0)</f>
        <v>0</v>
      </c>
      <c r="BS166" s="63" t="n">
        <f aca="false">IF(BS$35&gt;=$AC$164,BS$35-$AC$164+1,0)</f>
        <v>0</v>
      </c>
      <c r="BT166" s="63" t="n">
        <f aca="false">IF(BT$35&gt;=$AC$164,BT$35-$AC$164+1,0)</f>
        <v>0</v>
      </c>
      <c r="BU166" s="63" t="n">
        <f aca="false">IF(BU$35&gt;=$AC$164,BU$35-$AC$164+1,0)</f>
        <v>0</v>
      </c>
      <c r="BV166" s="63" t="n">
        <f aca="false">IF(BV$35&gt;=$AC$164,BV$35-$AC$164+1,0)</f>
        <v>0</v>
      </c>
      <c r="BW166" s="63" t="n">
        <f aca="false">IF(BW$35&gt;=$AC$164,BW$35-$AC$164+1,0)</f>
        <v>1</v>
      </c>
      <c r="BX166" s="63" t="n">
        <f aca="false">IF(BX$35&gt;=$AC$164,BX$35-$AC$164+1,0)</f>
        <v>2</v>
      </c>
      <c r="BY166" s="63" t="n">
        <f aca="false">IF(BY$35&gt;=$AC$164,BY$35-$AC$164+1,0)</f>
        <v>3</v>
      </c>
      <c r="BZ166" s="63" t="n">
        <f aca="false">IF(BZ$35&gt;=$AC$164,BZ$35-$AC$164+1,0)</f>
        <v>4</v>
      </c>
      <c r="CA166" s="63" t="n">
        <f aca="false">IF(CA$35&gt;=$AC$164,CA$35-$AC$164+1,0)</f>
        <v>5</v>
      </c>
      <c r="CB166" s="63" t="n">
        <f aca="false">IF(CB$35&gt;=$AC$164,CB$35-$AC$164+1,0)</f>
        <v>6</v>
      </c>
      <c r="CC166" s="63" t="n">
        <f aca="false">IF(CC$35&gt;=$AC$164,CC$35-$AC$164+1,0)</f>
        <v>7</v>
      </c>
      <c r="CD166" s="63" t="n">
        <f aca="false">IF(CD$35&gt;=$AC$164,CD$35-$AC$164+1,0)</f>
        <v>8</v>
      </c>
      <c r="CE166" s="63" t="n">
        <f aca="false">IF(CE$35&gt;=$AC$164,CE$35-$AC$164+1,0)</f>
        <v>9</v>
      </c>
      <c r="CF166" s="63" t="n">
        <f aca="false">IF(CF$35&gt;=$AC$164,CF$35-$AC$164+1,0)</f>
        <v>10</v>
      </c>
      <c r="CG166" s="63" t="n">
        <f aca="false">IF(CG$35&gt;=$AC$164,CG$35-$AC$164+1,0)</f>
        <v>11</v>
      </c>
      <c r="CH166" s="63" t="n">
        <f aca="false">IF(CH$35&gt;=$AC$164,CH$35-$AC$164+1,0)</f>
        <v>12</v>
      </c>
      <c r="CI166" s="63" t="n">
        <f aca="false">IF(CI$35&gt;=$AC$164,CI$35-$AC$164+1,0)</f>
        <v>13</v>
      </c>
      <c r="CJ166" s="63" t="n">
        <f aca="false">IF(CJ$35&gt;=$AC$164,CJ$35-$AC$164+1,0)</f>
        <v>14</v>
      </c>
      <c r="CK166" s="63" t="n">
        <f aca="false">IF(CK$35&gt;=$AC$164,CK$35-$AC$164+1,0)</f>
        <v>15</v>
      </c>
      <c r="CL166" s="63" t="n">
        <f aca="false">IF(CL$35&gt;=$AC$164,CL$35-$AC$164+1,0)</f>
        <v>16</v>
      </c>
      <c r="CM166" s="63" t="n">
        <f aca="false">IF(CM$35&gt;=$AC$164,CM$35-$AC$164+1,0)</f>
        <v>17</v>
      </c>
      <c r="CN166" s="63" t="n">
        <f aca="false">IF(CN$35&gt;=$AC$164,CN$35-$AC$164+1,0)</f>
        <v>18</v>
      </c>
      <c r="CO166" s="63" t="n">
        <f aca="false">IF(CO$35&gt;=$AC$164,CO$35-$AC$164+1,0)</f>
        <v>19</v>
      </c>
      <c r="CP166" s="63" t="n">
        <f aca="false">IF(CP$35&gt;=$AC$164,CP$35-$AC$164+1,0)</f>
        <v>20</v>
      </c>
      <c r="CQ166" s="63" t="n">
        <f aca="false">IF(CQ$35&gt;=$AC$164,CQ$35-$AC$164+1,0)</f>
        <v>21</v>
      </c>
      <c r="CR166" s="63" t="n">
        <f aca="false">IF(CR$35&gt;=$AC$164,CR$35-$AC$164+1,0)</f>
        <v>22</v>
      </c>
      <c r="CS166" s="63" t="n">
        <f aca="false">IF(CS$35&gt;=$AC$164,CS$35-$AC$164+1,0)</f>
        <v>23</v>
      </c>
      <c r="CT166" s="63" t="n">
        <f aca="false">IF(CT$35&gt;=$AC$164,CT$35-$AC$164+1,0)</f>
        <v>24</v>
      </c>
      <c r="CU166" s="63" t="n">
        <f aca="false">IF(CU$35&gt;=$AC$164,CU$35-$AC$164+1,0)</f>
        <v>25</v>
      </c>
      <c r="CV166" s="63" t="n">
        <f aca="false">IF(CV$35&gt;=$AC$164,CV$35-$AC$164+1,0)</f>
        <v>26</v>
      </c>
      <c r="CW166" s="63" t="n">
        <f aca="false">IF(CW$35&gt;=$AC$164,CW$35-$AC$164+1,0)</f>
        <v>27</v>
      </c>
      <c r="CX166" s="63" t="n">
        <f aca="false">IF(CX$35&gt;=$AC$164,CX$35-$AC$164+1,0)</f>
        <v>28</v>
      </c>
      <c r="CY166" s="63" t="n">
        <f aca="false">IF(CY$35&gt;=$AC$164,CY$35-$AC$164+1,0)</f>
        <v>29</v>
      </c>
      <c r="CZ166" s="63" t="n">
        <f aca="false">IF(CZ$35&gt;=$AC$164,CZ$35-$AC$164+1,0)</f>
        <v>30</v>
      </c>
      <c r="DA166" s="63" t="n">
        <f aca="false">IF(DA$35&gt;=$AC$164,DA$35-$AC$164+1,0)</f>
        <v>31</v>
      </c>
      <c r="DB166" s="63" t="n">
        <f aca="false">IF(DB$35&gt;=$AC$164,DB$35-$AC$164+1,0)</f>
        <v>32</v>
      </c>
      <c r="DC166" s="63" t="n">
        <f aca="false">IF(DC$35&gt;=$AC$164,DC$35-$AC$164+1,0)</f>
        <v>33</v>
      </c>
      <c r="DD166" s="63" t="n">
        <f aca="false">IF(DD$35&gt;=$AC$164,DD$35-$AC$164+1,0)</f>
        <v>34</v>
      </c>
      <c r="DE166" s="63" t="n">
        <f aca="false">IF(DE$35&gt;=$AC$164,DE$35-$AC$164+1,0)</f>
        <v>35</v>
      </c>
      <c r="DF166" s="63" t="n">
        <f aca="false">IF(DF$35&gt;=$AC$164,DF$35-$AC$164+1,0)</f>
        <v>36</v>
      </c>
      <c r="DG166" s="63" t="n">
        <f aca="false">IF(DG$35&gt;=$AC$164,DG$35-$AC$164+1,0)</f>
        <v>37</v>
      </c>
      <c r="DH166" s="63" t="n">
        <f aca="false">IF(DH$35&gt;=$AC$164,DH$35-$AC$164+1,0)</f>
        <v>38</v>
      </c>
      <c r="DI166" s="63" t="n">
        <f aca="false">IF(DI$35&gt;=$AC$164,DI$35-$AC$164+1,0)</f>
        <v>39</v>
      </c>
      <c r="DJ166" s="63" t="n">
        <f aca="false">IF(DJ$35&gt;=$AC$164,DJ$35-$AC$164+1,0)</f>
        <v>40</v>
      </c>
      <c r="DK166" s="63" t="n">
        <f aca="false">IF(DK$35&gt;=$AC$164,DK$35-$AC$164+1,0)</f>
        <v>41</v>
      </c>
      <c r="DL166" s="63" t="n">
        <f aca="false">IF(DL$35&gt;=$AC$164,DL$35-$AC$164+1,0)</f>
        <v>42</v>
      </c>
      <c r="DM166" s="63" t="n">
        <f aca="false">IF(DM$35&gt;=$AC$164,DM$35-$AC$164+1,0)</f>
        <v>43</v>
      </c>
      <c r="DN166" s="63" t="n">
        <f aca="false">IF(DN$35&gt;=$AC$164,DN$35-$AC$164+1,0)</f>
        <v>44</v>
      </c>
      <c r="DO166" s="63" t="n">
        <f aca="false">IF(DO$35&gt;=$AC$164,DO$35-$AC$164+1,0)</f>
        <v>45</v>
      </c>
      <c r="DP166" s="63" t="n">
        <f aca="false">IF(DP$35&gt;=$AC$164,DP$35-$AC$164+1,0)</f>
        <v>46</v>
      </c>
      <c r="DQ166" s="63" t="n">
        <f aca="false">IF(DQ$35&gt;=$AC$164,DQ$35-$AC$164+1,0)</f>
        <v>47</v>
      </c>
      <c r="DR166" s="63" t="n">
        <f aca="false">IF(DR$35&gt;=$AC$164,DR$35-$AC$164+1,0)</f>
        <v>48</v>
      </c>
      <c r="DS166" s="63" t="n">
        <f aca="false">IF(DS$35&gt;=$AC$164,DS$35-$AC$164+1,0)</f>
        <v>49</v>
      </c>
      <c r="DT166" s="63" t="n">
        <f aca="false">IF(DT$35&gt;=$AC$164,DT$35-$AC$164+1,0)</f>
        <v>50</v>
      </c>
      <c r="DU166" s="63" t="n">
        <f aca="false">IF(DU$35&gt;=$AC$164,DU$35-$AC$164+1,0)</f>
        <v>51</v>
      </c>
      <c r="DV166" s="63" t="n">
        <f aca="false">IF(DV$35&gt;=$AC$164,DV$35-$AC$164+1,0)</f>
        <v>52</v>
      </c>
      <c r="DW166" s="63" t="n">
        <f aca="false">IF(DW$35&gt;=$AC$164,DW$35-$AC$164+1,0)</f>
        <v>53</v>
      </c>
      <c r="DX166" s="63" t="n">
        <f aca="false">IF(DX$35&gt;=$AC$164,DX$35-$AC$164+1,0)</f>
        <v>54</v>
      </c>
      <c r="DY166" s="63" t="n">
        <f aca="false">IF(DY$35&gt;=$AC$164,DY$35-$AC$164+1,0)</f>
        <v>55</v>
      </c>
      <c r="DZ166" s="63" t="n">
        <f aca="false">IF(DZ$35&gt;=$AC$164,DZ$35-$AC$164+1,0)</f>
        <v>56</v>
      </c>
      <c r="EA166" s="63" t="n">
        <f aca="false">IF(EA$35&gt;=$AC$164,EA$35-$AC$164+1,0)</f>
        <v>57</v>
      </c>
      <c r="EB166" s="63" t="n">
        <f aca="false">IF(EB$35&gt;=$AC$164,EB$35-$AC$164+1,0)</f>
        <v>58</v>
      </c>
      <c r="EC166" s="63" t="n">
        <f aca="false">IF(EC$35&gt;=$AC$164,EC$35-$AC$164+1,0)</f>
        <v>59</v>
      </c>
      <c r="ED166" s="63" t="n">
        <f aca="false">IF(ED$35&gt;=$AC$164,ED$35-$AC$164+1,0)</f>
        <v>60</v>
      </c>
      <c r="EE166" s="63" t="n">
        <f aca="false">IF(EE$35&gt;=$AC$164,EE$35-$AC$164+1,0)</f>
        <v>61</v>
      </c>
      <c r="EF166" s="63" t="n">
        <f aca="false">IF(EF$35&gt;=$AC$164,EF$35-$AC$164+1,0)</f>
        <v>62</v>
      </c>
      <c r="EG166" s="63" t="n">
        <f aca="false">IF(EG$35&gt;=$AC$164,EG$35-$AC$164+1,0)</f>
        <v>63</v>
      </c>
      <c r="EH166" s="63" t="n">
        <f aca="false">IF(EH$35&gt;=$AC$164,EH$35-$AC$164+1,0)</f>
        <v>64</v>
      </c>
      <c r="EI166" s="63" t="n">
        <f aca="false">IF(EI$35&gt;=$AC$164,EI$35-$AC$164+1,0)</f>
        <v>65</v>
      </c>
      <c r="EJ166" s="63" t="n">
        <f aca="false">IF(EJ$35&gt;=$AC$164,EJ$35-$AC$164+1,0)</f>
        <v>66</v>
      </c>
      <c r="EK166" s="63" t="n">
        <f aca="false">IF(EK$35&gt;=$AC$164,EK$35-$AC$164+1,0)</f>
        <v>67</v>
      </c>
      <c r="EL166" s="63" t="n">
        <f aca="false">IF(EL$35&gt;=$AC$164,EL$35-$AC$164+1,0)</f>
        <v>68</v>
      </c>
      <c r="EM166" s="63" t="n">
        <f aca="false">IF(EM$35&gt;=$AC$164,EM$35-$AC$164+1,0)</f>
        <v>69</v>
      </c>
      <c r="EN166" s="63" t="n">
        <f aca="false">IF(EN$35&gt;=$AC$164,EN$35-$AC$164+1,0)</f>
        <v>70</v>
      </c>
      <c r="EO166" s="63" t="n">
        <f aca="false">IF(EO$35&gt;=$AC$164,EO$35-$AC$164+1,0)</f>
        <v>71</v>
      </c>
      <c r="EP166" s="63" t="n">
        <f aca="false">IF(EP$35&gt;=$AC$164,EP$35-$AC$164+1,0)</f>
        <v>72</v>
      </c>
      <c r="EQ166" s="63" t="n">
        <f aca="false">IF(EQ$35&gt;=$AC$164,EQ$35-$AC$164+1,0)</f>
        <v>73</v>
      </c>
      <c r="ER166" s="63" t="n">
        <f aca="false">IF(ER$35&gt;=$AC$164,ER$35-$AC$164+1,0)</f>
        <v>74</v>
      </c>
      <c r="ES166" s="9" t="n">
        <f aca="false">IF(ES$35&gt;=$AC$164,ES$35-$AC$164+1,0)</f>
        <v>75</v>
      </c>
      <c r="ET166" s="9" t="n">
        <f aca="false">IF(ET$35&gt;=$AC$164,ET$35-$AC$164+1,0)</f>
        <v>76</v>
      </c>
      <c r="EU166" s="9" t="n">
        <f aca="false">IF(EU$35&gt;=$AC$164,EU$35-$AC$164+1,0)</f>
        <v>77</v>
      </c>
      <c r="EV166" s="9" t="n">
        <f aca="false">IF(EV$35&gt;=$AC$164,EV$35-$AC$164+1,0)</f>
        <v>78</v>
      </c>
      <c r="EW166" s="9" t="n">
        <f aca="false">IF(EW$35&gt;=$AC$164,EW$35-$AC$164+1,0)</f>
        <v>79</v>
      </c>
      <c r="EX166" s="9" t="n">
        <f aca="false">IF(EX$35&gt;=$AC$164,EX$35-$AC$164+1,0)</f>
        <v>80</v>
      </c>
      <c r="EY166" s="9" t="n">
        <f aca="false">IF(EY$35&gt;=$AC$164,EY$35-$AC$164+1,0)</f>
        <v>81</v>
      </c>
      <c r="EZ166" s="9" t="n">
        <f aca="false">IF(EZ$35&gt;=$AC$164,EZ$35-$AC$164+1,0)</f>
        <v>82</v>
      </c>
      <c r="FA166" s="9" t="n">
        <f aca="false">IF(FA$35&gt;=$AC$164,FA$35-$AC$164+1,0)</f>
        <v>83</v>
      </c>
      <c r="FB166" s="9" t="n">
        <f aca="false">IF(FB$35&gt;=$AC$164,FB$35-$AC$164+1,0)</f>
        <v>84</v>
      </c>
      <c r="FC166" s="9" t="n">
        <f aca="false">IF(FC$35&gt;=$AC$164,FC$35-$AC$164+1,0)</f>
        <v>85</v>
      </c>
      <c r="FD166" s="9" t="n">
        <f aca="false">IF(FD$35&gt;=$AC$164,FD$35-$AC$164+1,0)</f>
        <v>86</v>
      </c>
      <c r="FE166" s="9" t="n">
        <f aca="false">IF(FE$35&gt;=$AC$164,FE$35-$AC$164+1,0)</f>
        <v>87</v>
      </c>
      <c r="FF166" s="9" t="n">
        <f aca="false">IF(FF$35&gt;=$AC$164,FF$35-$AC$164+1,0)</f>
        <v>88</v>
      </c>
      <c r="FG166" s="9" t="n">
        <f aca="false">IF(FG$35&gt;=$AC$164,FG$35-$AC$164+1,0)</f>
        <v>89</v>
      </c>
      <c r="FH166" s="9" t="n">
        <f aca="false">IF(FH$35&gt;=$AC$164,FH$35-$AC$164+1,0)</f>
        <v>90</v>
      </c>
      <c r="FI166" s="9" t="n">
        <f aca="false">IF(FI$35&gt;=$AC$164,FI$35-$AC$164+1,0)</f>
        <v>91</v>
      </c>
      <c r="FJ166" s="9" t="n">
        <f aca="false">IF(FJ$35&gt;=$AC$164,FJ$35-$AC$164+1,0)</f>
        <v>92</v>
      </c>
      <c r="FK166" s="9" t="n">
        <f aca="false">IF(FK$35&gt;=$AC$164,FK$35-$AC$164+1,0)</f>
        <v>93</v>
      </c>
      <c r="FL166" s="9" t="n">
        <f aca="false">IF(FL$35&gt;=$AC$164,FL$35-$AC$164+1,0)</f>
        <v>94</v>
      </c>
      <c r="FM166" s="9" t="n">
        <f aca="false">IF(FM$35&gt;=$AC$164,FM$35-$AC$164+1,0)</f>
        <v>95</v>
      </c>
      <c r="FN166" s="9" t="n">
        <f aca="false">IF(FN$35&gt;=$AC$164,FN$35-$AC$164+1,0)</f>
        <v>96</v>
      </c>
      <c r="FO166" s="9" t="n">
        <f aca="false">IF(FO$35&gt;=$AC$164,FO$35-$AC$164+1,0)</f>
        <v>97</v>
      </c>
      <c r="FP166" s="9" t="n">
        <f aca="false">IF(FP$35&gt;=$AC$164,FP$35-$AC$164+1,0)</f>
        <v>98</v>
      </c>
    </row>
    <row r="167" customFormat="false" ht="15" hidden="false" customHeight="false" outlineLevel="2" collapsed="false">
      <c r="B167" s="9" t="s">
        <v>874</v>
      </c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236" t="n">
        <f aca="false" t="array" ref="AC167:AC167">IF(AC166=0,0,IF(AC166/'🎚️ Escenario'!$C$11&gt;=36,$AL$23,INDEX($C$23:$AL$23,MAX(1,ROUNDUP(AC166/'🎚️ Escenario'!$C$11,0)))))</f>
        <v>0</v>
      </c>
      <c r="AD167" s="236" t="n">
        <f aca="false" t="array" ref="AD167:AD167">IF(AD166=0,0,IF(AD166/'🎚️ Escenario'!$C$11&gt;=36,$AL$23,INDEX($C$23:$AL$23,MAX(1,ROUNDUP(AD166/'🎚️ Escenario'!$C$11,0)))))</f>
        <v>0</v>
      </c>
      <c r="AE167" s="236" t="n">
        <f aca="false" t="array" ref="AE167:AE167">IF(AE166=0,0,IF(AE166/'🎚️ Escenario'!$C$11&gt;=36,$AL$23,INDEX($C$23:$AL$23,MAX(1,ROUNDUP(AE166/'🎚️ Escenario'!$C$11,0)))))</f>
        <v>0</v>
      </c>
      <c r="AF167" s="236" t="n">
        <f aca="false" t="array" ref="AF167:AF167">IF(AF166=0,0,IF(AF166/'🎚️ Escenario'!$C$11&gt;=36,$AL$23,INDEX($C$23:$AL$23,MAX(1,ROUNDUP(AF166/'🎚️ Escenario'!$C$11,0)))))</f>
        <v>0</v>
      </c>
      <c r="AG167" s="236" t="n">
        <f aca="false" t="array" ref="AG167:AG167">IF(AG166=0,0,IF(AG166/'🎚️ Escenario'!$C$11&gt;=36,$AL$23,INDEX($C$23:$AL$23,MAX(1,ROUNDUP(AG166/'🎚️ Escenario'!$C$11,0)))))</f>
        <v>0</v>
      </c>
      <c r="AH167" s="236" t="n">
        <f aca="false" t="array" ref="AH167:AH167">IF(AH166=0,0,IF(AH166/'🎚️ Escenario'!$C$11&gt;=36,$AL$23,INDEX($C$23:$AL$23,MAX(1,ROUNDUP(AH166/'🎚️ Escenario'!$C$11,0)))))</f>
        <v>0</v>
      </c>
      <c r="AI167" s="236" t="n">
        <f aca="false" t="array" ref="AI167:AI167">IF(AI166=0,0,IF(AI166/'🎚️ Escenario'!$C$11&gt;=36,$AL$23,INDEX($C$23:$AL$23,MAX(1,ROUNDUP(AI166/'🎚️ Escenario'!$C$11,0)))))</f>
        <v>0</v>
      </c>
      <c r="AJ167" s="236" t="n">
        <f aca="false" t="array" ref="AJ167:AJ167">IF(AJ166=0,0,IF(AJ166/'🎚️ Escenario'!$C$11&gt;=36,$AL$23,INDEX($C$23:$AL$23,MAX(1,ROUNDUP(AJ166/'🎚️ Escenario'!$C$11,0)))))</f>
        <v>0</v>
      </c>
      <c r="AK167" s="236" t="n">
        <f aca="false" t="array" ref="AK167:AK167">IF(AK166=0,0,IF(AK166/'🎚️ Escenario'!$C$11&gt;=36,$AL$23,INDEX($C$23:$AL$23,MAX(1,ROUNDUP(AK166/'🎚️ Escenario'!$C$11,0)))))</f>
        <v>0</v>
      </c>
      <c r="AL167" s="236" t="n">
        <f aca="false" t="array" ref="AL167:AL167">IF(AL166=0,0,IF(AL166/'🎚️ Escenario'!$C$11&gt;=36,$AL$23,INDEX($C$23:$AL$23,MAX(1,ROUNDUP(AL166/'🎚️ Escenario'!$C$11,0)))))</f>
        <v>0</v>
      </c>
      <c r="AM167" s="236" t="n">
        <f aca="false" t="array" ref="AM167:AM167">IF(AM166=0,0,IF(AM166/'🎚️ Escenario'!$C$11&gt;=36,$AL$23,INDEX($C$23:$AL$23,MAX(1,ROUNDUP(AM166/'🎚️ Escenario'!$C$11,0)))))</f>
        <v>0</v>
      </c>
      <c r="AN167" s="236" t="n">
        <f aca="false" t="array" ref="AN167:AN167">IF(AN166=0,0,IF(AN166/'🎚️ Escenario'!$C$11&gt;=36,$AL$23,INDEX($C$23:$AL$23,MAX(1,ROUNDUP(AN166/'🎚️ Escenario'!$C$11,0)))))</f>
        <v>0</v>
      </c>
      <c r="AO167" s="236" t="n">
        <f aca="false" t="array" ref="AO167:AO167">IF(AO166=0,0,IF(AO166/'🎚️ Escenario'!$C$11&gt;=36,$AL$23,INDEX($C$23:$AL$23,MAX(1,ROUNDUP(AO166/'🎚️ Escenario'!$C$11,0)))))</f>
        <v>0</v>
      </c>
      <c r="AP167" s="236" t="n">
        <f aca="false" t="array" ref="AP167:AP167">IF(AP166=0,0,IF(AP166/'🎚️ Escenario'!$C$11&gt;=36,$AL$23,INDEX($C$23:$AL$23,MAX(1,ROUNDUP(AP166/'🎚️ Escenario'!$C$11,0)))))</f>
        <v>0</v>
      </c>
      <c r="AQ167" s="236" t="n">
        <f aca="false" t="array" ref="AQ167:AQ167">IF(AQ166=0,0,IF(AQ166/'🎚️ Escenario'!$C$11&gt;=36,$AL$23,INDEX($C$23:$AL$23,MAX(1,ROUNDUP(AQ166/'🎚️ Escenario'!$C$11,0)))))</f>
        <v>0</v>
      </c>
      <c r="AR167" s="236" t="n">
        <f aca="false" t="array" ref="AR167:AR167">IF(AR166=0,0,IF(AR166/'🎚️ Escenario'!$C$11&gt;=36,$AL$23,INDEX($C$23:$AL$23,MAX(1,ROUNDUP(AR166/'🎚️ Escenario'!$C$11,0)))))</f>
        <v>0</v>
      </c>
      <c r="AS167" s="236" t="n">
        <f aca="false" t="array" ref="AS167:AS167">IF(AS166=0,0,IF(AS166/'🎚️ Escenario'!$C$11&gt;=36,$AL$23,INDEX($C$23:$AL$23,MAX(1,ROUNDUP(AS166/'🎚️ Escenario'!$C$11,0)))))</f>
        <v>0</v>
      </c>
      <c r="AT167" s="236" t="n">
        <f aca="false" t="array" ref="AT167:AT167">IF(AT166=0,0,IF(AT166/'🎚️ Escenario'!$C$11&gt;=36,$AL$23,INDEX($C$23:$AL$23,MAX(1,ROUNDUP(AT166/'🎚️ Escenario'!$C$11,0)))))</f>
        <v>0</v>
      </c>
      <c r="AU167" s="236" t="n">
        <f aca="false" t="array" ref="AU167:AU167">IF(AU166=0,0,IF(AU166/'🎚️ Escenario'!$C$11&gt;=36,$AL$23,INDEX($C$23:$AL$23,MAX(1,ROUNDUP(AU166/'🎚️ Escenario'!$C$11,0)))))</f>
        <v>0</v>
      </c>
      <c r="AV167" s="236" t="n">
        <f aca="false" t="array" ref="AV167:AV167">IF(AV166=0,0,IF(AV166/'🎚️ Escenario'!$C$11&gt;=36,$AL$23,INDEX($C$23:$AL$23,MAX(1,ROUNDUP(AV166/'🎚️ Escenario'!$C$11,0)))))</f>
        <v>0</v>
      </c>
      <c r="AW167" s="236" t="n">
        <f aca="false" t="array" ref="AW167:AW167">IF(AW166=0,0,IF(AW166/'🎚️ Escenario'!$C$11&gt;=36,$AL$23,INDEX($C$23:$AL$23,MAX(1,ROUNDUP(AW166/'🎚️ Escenario'!$C$11,0)))))</f>
        <v>0</v>
      </c>
      <c r="AX167" s="236" t="n">
        <f aca="false" t="array" ref="AX167:AX167">IF(AX166=0,0,IF(AX166/'🎚️ Escenario'!$C$11&gt;=36,$AL$23,INDEX($C$23:$AL$23,MAX(1,ROUNDUP(AX166/'🎚️ Escenario'!$C$11,0)))))</f>
        <v>0</v>
      </c>
      <c r="AY167" s="236" t="n">
        <f aca="false" t="array" ref="AY167:AY167">IF(AY166=0,0,IF(AY166/'🎚️ Escenario'!$C$11&gt;=36,$AL$23,INDEX($C$23:$AL$23,MAX(1,ROUNDUP(AY166/'🎚️ Escenario'!$C$11,0)))))</f>
        <v>0</v>
      </c>
      <c r="AZ167" s="236" t="n">
        <f aca="false" t="array" ref="AZ167:AZ167">IF(AZ166=0,0,IF(AZ166/'🎚️ Escenario'!$C$11&gt;=36,$AL$23,INDEX($C$23:$AL$23,MAX(1,ROUNDUP(AZ166/'🎚️ Escenario'!$C$11,0)))))</f>
        <v>0</v>
      </c>
      <c r="BA167" s="236" t="n">
        <f aca="false" t="array" ref="BA167:BA167">IF(BA166=0,0,IF(BA166/'🎚️ Escenario'!$C$11&gt;=36,$AL$23,INDEX($C$23:$AL$23,MAX(1,ROUNDUP(BA166/'🎚️ Escenario'!$C$11,0)))))</f>
        <v>0</v>
      </c>
      <c r="BB167" s="236" t="n">
        <f aca="false" t="array" ref="BB167:BB167">IF(BB166=0,0,IF(BB166/'🎚️ Escenario'!$C$11&gt;=36,$AL$23,INDEX($C$23:$AL$23,MAX(1,ROUNDUP(BB166/'🎚️ Escenario'!$C$11,0)))))</f>
        <v>0</v>
      </c>
      <c r="BC167" s="236" t="n">
        <f aca="false" t="array" ref="BC167:BC167">IF(BC166=0,0,IF(BC166/'🎚️ Escenario'!$C$11&gt;=36,$AL$23,INDEX($C$23:$AL$23,MAX(1,ROUNDUP(BC166/'🎚️ Escenario'!$C$11,0)))))</f>
        <v>0</v>
      </c>
      <c r="BD167" s="236" t="n">
        <f aca="false" t="array" ref="BD167:BD167">IF(BD166=0,0,IF(BD166/'🎚️ Escenario'!$C$11&gt;=36,$AL$23,INDEX($C$23:$AL$23,MAX(1,ROUNDUP(BD166/'🎚️ Escenario'!$C$11,0)))))</f>
        <v>0</v>
      </c>
      <c r="BE167" s="236" t="n">
        <f aca="false" t="array" ref="BE167:BE167">IF(BE166=0,0,IF(BE166/'🎚️ Escenario'!$C$11&gt;=36,$AL$23,INDEX($C$23:$AL$23,MAX(1,ROUNDUP(BE166/'🎚️ Escenario'!$C$11,0)))))</f>
        <v>0</v>
      </c>
      <c r="BF167" s="236" t="n">
        <f aca="false" t="array" ref="BF167:BF167">IF(BF166=0,0,IF(BF166/'🎚️ Escenario'!$C$11&gt;=36,$AL$23,INDEX($C$23:$AL$23,MAX(1,ROUNDUP(BF166/'🎚️ Escenario'!$C$11,0)))))</f>
        <v>0</v>
      </c>
      <c r="BG167" s="236" t="n">
        <f aca="false" t="array" ref="BG167:BG167">IF(BG166=0,0,IF(BG166/'🎚️ Escenario'!$C$11&gt;=36,$AL$23,INDEX($C$23:$AL$23,MAX(1,ROUNDUP(BG166/'🎚️ Escenario'!$C$11,0)))))</f>
        <v>0</v>
      </c>
      <c r="BH167" s="236" t="n">
        <f aca="false" t="array" ref="BH167:BH167">IF(BH166=0,0,IF(BH166/'🎚️ Escenario'!$C$11&gt;=36,$AL$23,INDEX($C$23:$AL$23,MAX(1,ROUNDUP(BH166/'🎚️ Escenario'!$C$11,0)))))</f>
        <v>0</v>
      </c>
      <c r="BI167" s="236" t="n">
        <f aca="false" t="array" ref="BI167:BI167">IF(BI166=0,0,IF(BI166/'🎚️ Escenario'!$C$11&gt;=36,$AL$23,INDEX($C$23:$AL$23,MAX(1,ROUNDUP(BI166/'🎚️ Escenario'!$C$11,0)))))</f>
        <v>0</v>
      </c>
      <c r="BJ167" s="236" t="n">
        <f aca="false" t="array" ref="BJ167:BJ167">IF(BJ166=0,0,IF(BJ166/'🎚️ Escenario'!$C$11&gt;=36,$AL$23,INDEX($C$23:$AL$23,MAX(1,ROUNDUP(BJ166/'🎚️ Escenario'!$C$11,0)))))</f>
        <v>0</v>
      </c>
      <c r="BK167" s="236" t="n">
        <f aca="false" t="array" ref="BK167:BK167">IF(BK166=0,0,IF(BK166/'🎚️ Escenario'!$C$11&gt;=36,$AL$23,INDEX($C$23:$AL$23,MAX(1,ROUNDUP(BK166/'🎚️ Escenario'!$C$11,0)))))</f>
        <v>0</v>
      </c>
      <c r="BL167" s="236" t="n">
        <f aca="false" t="array" ref="BL167:BL167">IF(BL166=0,0,IF(BL166/'🎚️ Escenario'!$C$11&gt;=36,$AL$23,INDEX($C$23:$AL$23,MAX(1,ROUNDUP(BL166/'🎚️ Escenario'!$C$11,0)))))</f>
        <v>0</v>
      </c>
      <c r="BM167" s="236" t="n">
        <f aca="false" t="array" ref="BM167:BM167">IF(BM166=0,0,IF(BM166/'🎚️ Escenario'!$C$11&gt;=36,$AL$23,INDEX($C$23:$AL$23,MAX(1,ROUNDUP(BM166/'🎚️ Escenario'!$C$11,0)))))</f>
        <v>0</v>
      </c>
      <c r="BN167" s="236" t="n">
        <f aca="false" t="array" ref="BN167:BN167">IF(BN166=0,0,IF(BN166/'🎚️ Escenario'!$C$11&gt;=36,$AL$23,INDEX($C$23:$AL$23,MAX(1,ROUNDUP(BN166/'🎚️ Escenario'!$C$11,0)))))</f>
        <v>0</v>
      </c>
      <c r="BO167" s="236" t="n">
        <f aca="false" t="array" ref="BO167:BO167">IF(BO166=0,0,IF(BO166/'🎚️ Escenario'!$C$11&gt;=36,$AL$23,INDEX($C$23:$AL$23,MAX(1,ROUNDUP(BO166/'🎚️ Escenario'!$C$11,0)))))</f>
        <v>0</v>
      </c>
      <c r="BP167" s="236" t="n">
        <f aca="false" t="array" ref="BP167:BP167">IF(BP166=0,0,IF(BP166/'🎚️ Escenario'!$C$11&gt;=36,$AL$23,INDEX($C$23:$AL$23,MAX(1,ROUNDUP(BP166/'🎚️ Escenario'!$C$11,0)))))</f>
        <v>0</v>
      </c>
      <c r="BQ167" s="236" t="n">
        <f aca="false" t="array" ref="BQ167:BQ167">IF(BQ166=0,0,IF(BQ166/'🎚️ Escenario'!$C$11&gt;=36,$AL$23,INDEX($C$23:$AL$23,MAX(1,ROUNDUP(BQ166/'🎚️ Escenario'!$C$11,0)))))</f>
        <v>0</v>
      </c>
      <c r="BR167" s="236" t="n">
        <f aca="false" t="array" ref="BR167:BR167">IF(BR166=0,0,IF(BR166/'🎚️ Escenario'!$C$11&gt;=36,$AL$23,INDEX($C$23:$AL$23,MAX(1,ROUNDUP(BR166/'🎚️ Escenario'!$C$11,0)))))</f>
        <v>0</v>
      </c>
      <c r="BS167" s="236" t="n">
        <f aca="false" t="array" ref="BS167:BS167">IF(BS166=0,0,IF(BS166/'🎚️ Escenario'!$C$11&gt;=36,$AL$23,INDEX($C$23:$AL$23,MAX(1,ROUNDUP(BS166/'🎚️ Escenario'!$C$11,0)))))</f>
        <v>0</v>
      </c>
      <c r="BT167" s="236" t="n">
        <f aca="false" t="array" ref="BT167:BT167">IF(BT166=0,0,IF(BT166/'🎚️ Escenario'!$C$11&gt;=36,$AL$23,INDEX($C$23:$AL$23,MAX(1,ROUNDUP(BT166/'🎚️ Escenario'!$C$11,0)))))</f>
        <v>0</v>
      </c>
      <c r="BU167" s="236" t="n">
        <f aca="false" t="array" ref="BU167:BU167">IF(BU166=0,0,IF(BU166/'🎚️ Escenario'!$C$11&gt;=36,$AL$23,INDEX($C$23:$AL$23,MAX(1,ROUNDUP(BU166/'🎚️ Escenario'!$C$11,0)))))</f>
        <v>0</v>
      </c>
      <c r="BV167" s="236" t="n">
        <f aca="false" t="array" ref="BV167:BV167">IF(BV166=0,0,IF(BV166/'🎚️ Escenario'!$C$11&gt;=36,$AL$23,INDEX($C$23:$AL$23,MAX(1,ROUNDUP(BV166/'🎚️ Escenario'!$C$11,0)))))</f>
        <v>0</v>
      </c>
      <c r="BW167" s="236" t="n">
        <f aca="false" t="array" ref="BW167:BW167">IF(BW166=0,0,IF(BW166/'🎚️ Escenario'!$C$11&gt;=36,$AL$23,INDEX($C$23:$AL$23,MAX(1,ROUNDUP(BW166/'🎚️ Escenario'!$C$11,0)))))</f>
        <v>0.2</v>
      </c>
      <c r="BX167" s="236" t="n">
        <f aca="false" t="array" ref="BX167:BX167">IF(BX166=0,0,IF(BX166/'🎚️ Escenario'!$C$11&gt;=36,$AL$23,INDEX($C$23:$AL$23,MAX(1,ROUNDUP(BX166/'🎚️ Escenario'!$C$11,0)))))</f>
        <v>0.22</v>
      </c>
      <c r="BY167" s="236" t="n">
        <f aca="false" t="array" ref="BY167:BY167">IF(BY166=0,0,IF(BY166/'🎚️ Escenario'!$C$11&gt;=36,$AL$23,INDEX($C$23:$AL$23,MAX(1,ROUNDUP(BY166/'🎚️ Escenario'!$C$11,0)))))</f>
        <v>0.24</v>
      </c>
      <c r="BZ167" s="236" t="n">
        <f aca="false" t="array" ref="BZ167:BZ167">IF(BZ166=0,0,IF(BZ166/'🎚️ Escenario'!$C$11&gt;=36,$AL$23,INDEX($C$23:$AL$23,MAX(1,ROUNDUP(BZ166/'🎚️ Escenario'!$C$11,0)))))</f>
        <v>0.27</v>
      </c>
      <c r="CA167" s="236" t="n">
        <f aca="false" t="array" ref="CA167:CA167">IF(CA166=0,0,IF(CA166/'🎚️ Escenario'!$C$11&gt;=36,$AL$23,INDEX($C$23:$AL$23,MAX(1,ROUNDUP(CA166/'🎚️ Escenario'!$C$11,0)))))</f>
        <v>0.27</v>
      </c>
      <c r="CB167" s="236" t="n">
        <f aca="false" t="array" ref="CB167:CB167">IF(CB166=0,0,IF(CB166/'🎚️ Escenario'!$C$11&gt;=36,$AL$23,INDEX($C$23:$AL$23,MAX(1,ROUNDUP(CB166/'🎚️ Escenario'!$C$11,0)))))</f>
        <v>0.31</v>
      </c>
      <c r="CC167" s="236" t="n">
        <f aca="false" t="array" ref="CC167:CC167">IF(CC166=0,0,IF(CC166/'🎚️ Escenario'!$C$11&gt;=36,$AL$23,INDEX($C$23:$AL$23,MAX(1,ROUNDUP(CC166/'🎚️ Escenario'!$C$11,0)))))</f>
        <v>0.35</v>
      </c>
      <c r="CD167" s="236" t="n">
        <f aca="false" t="array" ref="CD167:CD167">IF(CD166=0,0,IF(CD166/'🎚️ Escenario'!$C$11&gt;=36,$AL$23,INDEX($C$23:$AL$23,MAX(1,ROUNDUP(CD166/'🎚️ Escenario'!$C$11,0)))))</f>
        <v>0.39</v>
      </c>
      <c r="CE167" s="236" t="n">
        <f aca="false" t="array" ref="CE167:CE167">IF(CE166=0,0,IF(CE166/'🎚️ Escenario'!$C$11&gt;=36,$AL$23,INDEX($C$23:$AL$23,MAX(1,ROUNDUP(CE166/'🎚️ Escenario'!$C$11,0)))))</f>
        <v>0.44</v>
      </c>
      <c r="CF167" s="236" t="n">
        <f aca="false" t="array" ref="CF167:CF167">IF(CF166=0,0,IF(CF166/'🎚️ Escenario'!$C$11&gt;=36,$AL$23,INDEX($C$23:$AL$23,MAX(1,ROUNDUP(CF166/'🎚️ Escenario'!$C$11,0)))))</f>
        <v>0.44</v>
      </c>
      <c r="CG167" s="236" t="n">
        <f aca="false" t="array" ref="CG167:CG167">IF(CG166=0,0,IF(CG166/'🎚️ Escenario'!$C$11&gt;=36,$AL$23,INDEX($C$23:$AL$23,MAX(1,ROUNDUP(CG166/'🎚️ Escenario'!$C$11,0)))))</f>
        <v>0.48</v>
      </c>
      <c r="CH167" s="236" t="n">
        <f aca="false" t="array" ref="CH167:CH167">IF(CH166=0,0,IF(CH166/'🎚️ Escenario'!$C$11&gt;=36,$AL$23,INDEX($C$23:$AL$23,MAX(1,ROUNDUP(CH166/'🎚️ Escenario'!$C$11,0)))))</f>
        <v>0.52</v>
      </c>
      <c r="CI167" s="236" t="n">
        <f aca="false" t="array" ref="CI167:CI167">IF(CI166=0,0,IF(CI166/'🎚️ Escenario'!$C$11&gt;=36,$AL$23,INDEX($C$23:$AL$23,MAX(1,ROUNDUP(CI166/'🎚️ Escenario'!$C$11,0)))))</f>
        <v>0.56</v>
      </c>
      <c r="CJ167" s="236" t="n">
        <f aca="false" t="array" ref="CJ167:CJ167">IF(CJ166=0,0,IF(CJ166/'🎚️ Escenario'!$C$11&gt;=36,$AL$23,INDEX($C$23:$AL$23,MAX(1,ROUNDUP(CJ166/'🎚️ Escenario'!$C$11,0)))))</f>
        <v>0.6</v>
      </c>
      <c r="CK167" s="236" t="n">
        <f aca="false" t="array" ref="CK167:CK167">IF(CK166=0,0,IF(CK166/'🎚️ Escenario'!$C$11&gt;=36,$AL$23,INDEX($C$23:$AL$23,MAX(1,ROUNDUP(CK166/'🎚️ Escenario'!$C$11,0)))))</f>
        <v>0.6</v>
      </c>
      <c r="CL167" s="236" t="n">
        <f aca="false" t="array" ref="CL167:CL167">IF(CL166=0,0,IF(CL166/'🎚️ Escenario'!$C$11&gt;=36,$AL$23,INDEX($C$23:$AL$23,MAX(1,ROUNDUP(CL166/'🎚️ Escenario'!$C$11,0)))))</f>
        <v>0.63</v>
      </c>
      <c r="CM167" s="236" t="n">
        <f aca="false" t="array" ref="CM167:CM167">IF(CM166=0,0,IF(CM166/'🎚️ Escenario'!$C$11&gt;=36,$AL$23,INDEX($C$23:$AL$23,MAX(1,ROUNDUP(CM166/'🎚️ Escenario'!$C$11,0)))))</f>
        <v>0.66</v>
      </c>
      <c r="CN167" s="236" t="n">
        <f aca="false" t="array" ref="CN167:CN167">IF(CN166=0,0,IF(CN166/'🎚️ Escenario'!$C$11&gt;=36,$AL$23,INDEX($C$23:$AL$23,MAX(1,ROUNDUP(CN166/'🎚️ Escenario'!$C$11,0)))))</f>
        <v>0.69</v>
      </c>
      <c r="CO167" s="236" t="n">
        <f aca="false" t="array" ref="CO167:CO167">IF(CO166=0,0,IF(CO166/'🎚️ Escenario'!$C$11&gt;=36,$AL$23,INDEX($C$23:$AL$23,MAX(1,ROUNDUP(CO166/'🎚️ Escenario'!$C$11,0)))))</f>
        <v>0.71</v>
      </c>
      <c r="CP167" s="236" t="n">
        <f aca="false" t="array" ref="CP167:CP167">IF(CP166=0,0,IF(CP166/'🎚️ Escenario'!$C$11&gt;=36,$AL$23,INDEX($C$23:$AL$23,MAX(1,ROUNDUP(CP166/'🎚️ Escenario'!$C$11,0)))))</f>
        <v>0.71</v>
      </c>
      <c r="CQ167" s="236" t="n">
        <f aca="false" t="array" ref="CQ167:CQ167">IF(CQ166=0,0,IF(CQ166/'🎚️ Escenario'!$C$11&gt;=36,$AL$23,INDEX($C$23:$AL$23,MAX(1,ROUNDUP(CQ166/'🎚️ Escenario'!$C$11,0)))))</f>
        <v>0.73</v>
      </c>
      <c r="CR167" s="236" t="n">
        <f aca="false" t="array" ref="CR167:CR167">IF(CR166=0,0,IF(CR166/'🎚️ Escenario'!$C$11&gt;=36,$AL$23,INDEX($C$23:$AL$23,MAX(1,ROUNDUP(CR166/'🎚️ Escenario'!$C$11,0)))))</f>
        <v>0.75</v>
      </c>
      <c r="CS167" s="236" t="n">
        <f aca="false" t="array" ref="CS167:CS167">IF(CS166=0,0,IF(CS166/'🎚️ Escenario'!$C$11&gt;=36,$AL$23,INDEX($C$23:$AL$23,MAX(1,ROUNDUP(CS166/'🎚️ Escenario'!$C$11,0)))))</f>
        <v>0.77</v>
      </c>
      <c r="CT167" s="236" t="n">
        <f aca="false" t="array" ref="CT167:CT167">IF(CT166=0,0,IF(CT166/'🎚️ Escenario'!$C$11&gt;=36,$AL$23,INDEX($C$23:$AL$23,MAX(1,ROUNDUP(CT166/'🎚️ Escenario'!$C$11,0)))))</f>
        <v>0.79</v>
      </c>
      <c r="CU167" s="236" t="n">
        <f aca="false" t="array" ref="CU167:CU167">IF(CU166=0,0,IF(CU166/'🎚️ Escenario'!$C$11&gt;=36,$AL$23,INDEX($C$23:$AL$23,MAX(1,ROUNDUP(CU166/'🎚️ Escenario'!$C$11,0)))))</f>
        <v>0.79</v>
      </c>
      <c r="CV167" s="236" t="n">
        <f aca="false" t="array" ref="CV167:CV167">IF(CV166=0,0,IF(CV166/'🎚️ Escenario'!$C$11&gt;=36,$AL$23,INDEX($C$23:$AL$23,MAX(1,ROUNDUP(CV166/'🎚️ Escenario'!$C$11,0)))))</f>
        <v>0.8</v>
      </c>
      <c r="CW167" s="236" t="n">
        <f aca="false" t="array" ref="CW167:CW167">IF(CW166=0,0,IF(CW166/'🎚️ Escenario'!$C$11&gt;=36,$AL$23,INDEX($C$23:$AL$23,MAX(1,ROUNDUP(CW166/'🎚️ Escenario'!$C$11,0)))))</f>
        <v>0.82</v>
      </c>
      <c r="CX167" s="236" t="n">
        <f aca="false" t="array" ref="CX167:CX167">IF(CX166=0,0,IF(CX166/'🎚️ Escenario'!$C$11&gt;=36,$AL$23,INDEX($C$23:$AL$23,MAX(1,ROUNDUP(CX166/'🎚️ Escenario'!$C$11,0)))))</f>
        <v>0.84</v>
      </c>
      <c r="CY167" s="236" t="n">
        <f aca="false" t="array" ref="CY167:CY167">IF(CY166=0,0,IF(CY166/'🎚️ Escenario'!$C$11&gt;=36,$AL$23,INDEX($C$23:$AL$23,MAX(1,ROUNDUP(CY166/'🎚️ Escenario'!$C$11,0)))))</f>
        <v>0.85</v>
      </c>
      <c r="CZ167" s="236" t="n">
        <f aca="false" t="array" ref="CZ167:CZ167">IF(CZ166=0,0,IF(CZ166/'🎚️ Escenario'!$C$11&gt;=36,$AL$23,INDEX($C$23:$AL$23,MAX(1,ROUNDUP(CZ166/'🎚️ Escenario'!$C$11,0)))))</f>
        <v>0.85</v>
      </c>
      <c r="DA167" s="236" t="n">
        <f aca="false" t="array" ref="DA167:DA167">IF(DA166=0,0,IF(DA166/'🎚️ Escenario'!$C$11&gt;=36,$AL$23,INDEX($C$23:$AL$23,MAX(1,ROUNDUP(DA166/'🎚️ Escenario'!$C$11,0)))))</f>
        <v>0.86</v>
      </c>
      <c r="DB167" s="236" t="n">
        <f aca="false" t="array" ref="DB167:DB167">IF(DB166=0,0,IF(DB166/'🎚️ Escenario'!$C$11&gt;=36,$AL$23,INDEX($C$23:$AL$23,MAX(1,ROUNDUP(DB166/'🎚️ Escenario'!$C$11,0)))))</f>
        <v>0.88</v>
      </c>
      <c r="DC167" s="236" t="n">
        <f aca="false" t="array" ref="DC167:DC167">IF(DC166=0,0,IF(DC166/'🎚️ Escenario'!$C$11&gt;=36,$AL$23,INDEX($C$23:$AL$23,MAX(1,ROUNDUP(DC166/'🎚️ Escenario'!$C$11,0)))))</f>
        <v>0.89</v>
      </c>
      <c r="DD167" s="236" t="n">
        <f aca="false" t="array" ref="DD167:DD167">IF(DD166=0,0,IF(DD166/'🎚️ Escenario'!$C$11&gt;=36,$AL$23,INDEX($C$23:$AL$23,MAX(1,ROUNDUP(DD166/'🎚️ Escenario'!$C$11,0)))))</f>
        <v>0.9</v>
      </c>
      <c r="DE167" s="236" t="n">
        <f aca="false" t="array" ref="DE167:DE167">IF(DE166=0,0,IF(DE166/'🎚️ Escenario'!$C$11&gt;=36,$AL$23,INDEX($C$23:$AL$23,MAX(1,ROUNDUP(DE166/'🎚️ Escenario'!$C$11,0)))))</f>
        <v>0.9</v>
      </c>
      <c r="DF167" s="236" t="n">
        <f aca="false" t="array" ref="DF167:DF167">IF(DF166=0,0,IF(DF166/'🎚️ Escenario'!$C$11&gt;=36,$AL$23,INDEX($C$23:$AL$23,MAX(1,ROUNDUP(DF166/'🎚️ Escenario'!$C$11,0)))))</f>
        <v>0.92</v>
      </c>
      <c r="DG167" s="236" t="n">
        <f aca="false" t="array" ref="DG167:DG167">IF(DG166=0,0,IF(DG166/'🎚️ Escenario'!$C$11&gt;=36,$AL$23,INDEX($C$23:$AL$23,MAX(1,ROUNDUP(DG166/'🎚️ Escenario'!$C$11,0)))))</f>
        <v>0.93</v>
      </c>
      <c r="DH167" s="236" t="n">
        <f aca="false" t="array" ref="DH167:DH167">IF(DH166=0,0,IF(DH166/'🎚️ Escenario'!$C$11&gt;=36,$AL$23,INDEX($C$23:$AL$23,MAX(1,ROUNDUP(DH166/'🎚️ Escenario'!$C$11,0)))))</f>
        <v>0.94</v>
      </c>
      <c r="DI167" s="236" t="n">
        <f aca="false" t="array" ref="DI167:DI167">IF(DI166=0,0,IF(DI166/'🎚️ Escenario'!$C$11&gt;=36,$AL$23,INDEX($C$23:$AL$23,MAX(1,ROUNDUP(DI166/'🎚️ Escenario'!$C$11,0)))))</f>
        <v>0.95</v>
      </c>
      <c r="DJ167" s="236" t="n">
        <f aca="false" t="array" ref="DJ167:DJ167">IF(DJ166=0,0,IF(DJ166/'🎚️ Escenario'!$C$11&gt;=36,$AL$23,INDEX($C$23:$AL$23,MAX(1,ROUNDUP(DJ166/'🎚️ Escenario'!$C$11,0)))))</f>
        <v>0.95</v>
      </c>
      <c r="DK167" s="236" t="n">
        <f aca="false" t="array" ref="DK167:DK167">IF(DK166=0,0,IF(DK166/'🎚️ Escenario'!$C$11&gt;=36,$AL$23,INDEX($C$23:$AL$23,MAX(1,ROUNDUP(DK166/'🎚️ Escenario'!$C$11,0)))))</f>
        <v>0.97</v>
      </c>
      <c r="DL167" s="236" t="n">
        <f aca="false" t="array" ref="DL167:DL167">IF(DL166=0,0,IF(DL166/'🎚️ Escenario'!$C$11&gt;=36,$AL$23,INDEX($C$23:$AL$23,MAX(1,ROUNDUP(DL166/'🎚️ Escenario'!$C$11,0)))))</f>
        <v>0.98</v>
      </c>
      <c r="DM167" s="236" t="n">
        <f aca="false" t="array" ref="DM167:DM167">IF(DM166=0,0,IF(DM166/'🎚️ Escenario'!$C$11&gt;=36,$AL$23,INDEX($C$23:$AL$23,MAX(1,ROUNDUP(DM166/'🎚️ Escenario'!$C$11,0)))))</f>
        <v>0.99</v>
      </c>
      <c r="DN167" s="236" t="n">
        <f aca="false" t="array" ref="DN167:DN167">IF(DN166=0,0,IF(DN166/'🎚️ Escenario'!$C$11&gt;=36,$AL$23,INDEX($C$23:$AL$23,MAX(1,ROUNDUP(DN166/'🎚️ Escenario'!$C$11,0)))))</f>
        <v>1</v>
      </c>
      <c r="DO167" s="236" t="n">
        <f aca="false" t="array" ref="DO167:DO167">IF(DO166=0,0,IF(DO166/'🎚️ Escenario'!$C$11&gt;=36,$AL$23,INDEX($C$23:$AL$23,MAX(1,ROUNDUP(DO166/'🎚️ Escenario'!$C$11,0)))))</f>
        <v>1</v>
      </c>
      <c r="DP167" s="236" t="n">
        <f aca="false" t="array" ref="DP167:DP167">IF(DP166=0,0,IF(DP166/'🎚️ Escenario'!$C$11&gt;=36,$AL$23,INDEX($C$23:$AL$23,MAX(1,ROUNDUP(DP166/'🎚️ Escenario'!$C$11,0)))))</f>
        <v>1</v>
      </c>
      <c r="DQ167" s="236" t="n">
        <f aca="false" t="array" ref="DQ167:DQ167">IF(DQ166=0,0,IF(DQ166/'🎚️ Escenario'!$C$11&gt;=36,$AL$23,INDEX($C$23:$AL$23,MAX(1,ROUNDUP(DQ166/'🎚️ Escenario'!$C$11,0)))))</f>
        <v>1</v>
      </c>
      <c r="DR167" s="236" t="n">
        <f aca="false" t="array" ref="DR167:DR167">IF(DR166=0,0,IF(DR166/'🎚️ Escenario'!$C$11&gt;=36,$AL$23,INDEX($C$23:$AL$23,MAX(1,ROUNDUP(DR166/'🎚️ Escenario'!$C$11,0)))))</f>
        <v>1</v>
      </c>
      <c r="DS167" s="236" t="n">
        <f aca="false" t="array" ref="DS167:DS167">IF(DS166=0,0,IF(DS166/'🎚️ Escenario'!$C$11&gt;=36,$AL$23,INDEX($C$23:$AL$23,MAX(1,ROUNDUP(DS166/'🎚️ Escenario'!$C$11,0)))))</f>
        <v>1</v>
      </c>
      <c r="DT167" s="236" t="n">
        <f aca="false" t="array" ref="DT167:DT167">IF(DT166=0,0,IF(DT166/'🎚️ Escenario'!$C$11&gt;=36,$AL$23,INDEX($C$23:$AL$23,MAX(1,ROUNDUP(DT166/'🎚️ Escenario'!$C$11,0)))))</f>
        <v>1</v>
      </c>
      <c r="DU167" s="236" t="n">
        <f aca="false" t="array" ref="DU167:DU167">IF(DU166=0,0,IF(DU166/'🎚️ Escenario'!$C$11&gt;=36,$AL$23,INDEX($C$23:$AL$23,MAX(1,ROUNDUP(DU166/'🎚️ Escenario'!$C$11,0)))))</f>
        <v>1</v>
      </c>
      <c r="DV167" s="236" t="n">
        <f aca="false" t="array" ref="DV167:DV167">IF(DV166=0,0,IF(DV166/'🎚️ Escenario'!$C$11&gt;=36,$AL$23,INDEX($C$23:$AL$23,MAX(1,ROUNDUP(DV166/'🎚️ Escenario'!$C$11,0)))))</f>
        <v>1</v>
      </c>
      <c r="DW167" s="236" t="n">
        <f aca="false" t="array" ref="DW167:DW167">IF(DW166=0,0,IF(DW166/'🎚️ Escenario'!$C$11&gt;=36,$AL$23,INDEX($C$23:$AL$23,MAX(1,ROUNDUP(DW166/'🎚️ Escenario'!$C$11,0)))))</f>
        <v>1</v>
      </c>
      <c r="DX167" s="236" t="n">
        <f aca="false" t="array" ref="DX167:DX167">IF(DX166=0,0,IF(DX166/'🎚️ Escenario'!$C$11&gt;=36,$AL$23,INDEX($C$23:$AL$23,MAX(1,ROUNDUP(DX166/'🎚️ Escenario'!$C$11,0)))))</f>
        <v>1</v>
      </c>
      <c r="DY167" s="236" t="n">
        <f aca="false" t="array" ref="DY167:DY167">IF(DY166=0,0,IF(DY166/'🎚️ Escenario'!$C$11&gt;=36,$AL$23,INDEX($C$23:$AL$23,MAX(1,ROUNDUP(DY166/'🎚️ Escenario'!$C$11,0)))))</f>
        <v>1</v>
      </c>
      <c r="DZ167" s="236" t="n">
        <f aca="false" t="array" ref="DZ167:DZ167">IF(DZ166=0,0,IF(DZ166/'🎚️ Escenario'!$C$11&gt;=36,$AL$23,INDEX($C$23:$AL$23,MAX(1,ROUNDUP(DZ166/'🎚️ Escenario'!$C$11,0)))))</f>
        <v>1</v>
      </c>
      <c r="EA167" s="236" t="n">
        <f aca="false" t="array" ref="EA167:EA167">IF(EA166=0,0,IF(EA166/'🎚️ Escenario'!$C$11&gt;=36,$AL$23,INDEX($C$23:$AL$23,MAX(1,ROUNDUP(EA166/'🎚️ Escenario'!$C$11,0)))))</f>
        <v>1</v>
      </c>
      <c r="EB167" s="236" t="n">
        <f aca="false" t="array" ref="EB167:EB167">IF(EB166=0,0,IF(EB166/'🎚️ Escenario'!$C$11&gt;=36,$AL$23,INDEX($C$23:$AL$23,MAX(1,ROUNDUP(EB166/'🎚️ Escenario'!$C$11,0)))))</f>
        <v>1</v>
      </c>
      <c r="EC167" s="236" t="n">
        <f aca="false" t="array" ref="EC167:EC167">IF(EC166=0,0,IF(EC166/'🎚️ Escenario'!$C$11&gt;=36,$AL$23,INDEX($C$23:$AL$23,MAX(1,ROUNDUP(EC166/'🎚️ Escenario'!$C$11,0)))))</f>
        <v>1</v>
      </c>
      <c r="ED167" s="236" t="n">
        <f aca="false" t="array" ref="ED167:ED167">IF(ED166=0,0,IF(ED166/'🎚️ Escenario'!$C$11&gt;=36,$AL$23,INDEX($C$23:$AL$23,MAX(1,ROUNDUP(ED166/'🎚️ Escenario'!$C$11,0)))))</f>
        <v>1</v>
      </c>
      <c r="EE167" s="236" t="n">
        <f aca="false" t="array" ref="EE167:EE167">IF(EE166=0,0,IF(EE166/'🎚️ Escenario'!$C$11&gt;=36,$AL$23,INDEX($C$23:$AL$23,MAX(1,ROUNDUP(EE166/'🎚️ Escenario'!$C$11,0)))))</f>
        <v>1</v>
      </c>
      <c r="EF167" s="236" t="n">
        <f aca="false" t="array" ref="EF167:EF167">IF(EF166=0,0,IF(EF166/'🎚️ Escenario'!$C$11&gt;=36,$AL$23,INDEX($C$23:$AL$23,MAX(1,ROUNDUP(EF166/'🎚️ Escenario'!$C$11,0)))))</f>
        <v>1</v>
      </c>
      <c r="EG167" s="236" t="n">
        <f aca="false" t="array" ref="EG167:EG167">IF(EG166=0,0,IF(EG166/'🎚️ Escenario'!$C$11&gt;=36,$AL$23,INDEX($C$23:$AL$23,MAX(1,ROUNDUP(EG166/'🎚️ Escenario'!$C$11,0)))))</f>
        <v>1</v>
      </c>
      <c r="EH167" s="236" t="n">
        <f aca="false" t="array" ref="EH167:EH167">IF(EH166=0,0,IF(EH166/'🎚️ Escenario'!$C$11&gt;=36,$AL$23,INDEX($C$23:$AL$23,MAX(1,ROUNDUP(EH166/'🎚️ Escenario'!$C$11,0)))))</f>
        <v>1</v>
      </c>
      <c r="EI167" s="236" t="n">
        <f aca="false" t="array" ref="EI167:EI167">IF(EI166=0,0,IF(EI166/'🎚️ Escenario'!$C$11&gt;=36,$AL$23,INDEX($C$23:$AL$23,MAX(1,ROUNDUP(EI166/'🎚️ Escenario'!$C$11,0)))))</f>
        <v>1</v>
      </c>
      <c r="EJ167" s="236" t="n">
        <f aca="false" t="array" ref="EJ167:EJ167">IF(EJ166=0,0,IF(EJ166/'🎚️ Escenario'!$C$11&gt;=36,$AL$23,INDEX($C$23:$AL$23,MAX(1,ROUNDUP(EJ166/'🎚️ Escenario'!$C$11,0)))))</f>
        <v>1</v>
      </c>
      <c r="EK167" s="236" t="n">
        <f aca="false" t="array" ref="EK167:EK167">IF(EK166=0,0,IF(EK166/'🎚️ Escenario'!$C$11&gt;=36,$AL$23,INDEX($C$23:$AL$23,MAX(1,ROUNDUP(EK166/'🎚️ Escenario'!$C$11,0)))))</f>
        <v>1</v>
      </c>
      <c r="EL167" s="236" t="n">
        <f aca="false" t="array" ref="EL167:EL167">IF(EL166=0,0,IF(EL166/'🎚️ Escenario'!$C$11&gt;=36,$AL$23,INDEX($C$23:$AL$23,MAX(1,ROUNDUP(EL166/'🎚️ Escenario'!$C$11,0)))))</f>
        <v>1</v>
      </c>
      <c r="EM167" s="236" t="n">
        <f aca="false" t="array" ref="EM167:EM167">IF(EM166=0,0,IF(EM166/'🎚️ Escenario'!$C$11&gt;=36,$AL$23,INDEX($C$23:$AL$23,MAX(1,ROUNDUP(EM166/'🎚️ Escenario'!$C$11,0)))))</f>
        <v>1</v>
      </c>
      <c r="EN167" s="236" t="n">
        <f aca="false" t="array" ref="EN167:EN167">IF(EN166=0,0,IF(EN166/'🎚️ Escenario'!$C$11&gt;=36,$AL$23,INDEX($C$23:$AL$23,MAX(1,ROUNDUP(EN166/'🎚️ Escenario'!$C$11,0)))))</f>
        <v>1</v>
      </c>
      <c r="EO167" s="236" t="n">
        <f aca="false" t="array" ref="EO167:EO167">IF(EO166=0,0,IF(EO166/'🎚️ Escenario'!$C$11&gt;=36,$AL$23,INDEX($C$23:$AL$23,MAX(1,ROUNDUP(EO166/'🎚️ Escenario'!$C$11,0)))))</f>
        <v>1</v>
      </c>
      <c r="EP167" s="236" t="n">
        <f aca="false" t="array" ref="EP167:EP167">IF(EP166=0,0,IF(EP166/'🎚️ Escenario'!$C$11&gt;=36,$AL$23,INDEX($C$23:$AL$23,MAX(1,ROUNDUP(EP166/'🎚️ Escenario'!$C$11,0)))))</f>
        <v>1</v>
      </c>
      <c r="EQ167" s="236" t="n">
        <f aca="false" t="array" ref="EQ167:EQ167">IF(EQ166=0,0,IF(EQ166/'🎚️ Escenario'!$C$11&gt;=36,$AL$23,INDEX($C$23:$AL$23,MAX(1,ROUNDUP(EQ166/'🎚️ Escenario'!$C$11,0)))))</f>
        <v>1</v>
      </c>
      <c r="ER167" s="236" t="n">
        <f aca="false" t="array" ref="ER167:ER167">IF(ER166=0,0,IF(ER166/'🎚️ Escenario'!$C$11&gt;=36,$AL$23,INDEX($C$23:$AL$23,MAX(1,ROUNDUP(ER166/'🎚️ Escenario'!$C$11,0)))))</f>
        <v>1</v>
      </c>
      <c r="ES167" s="9" t="n">
        <f aca="false" t="array" ref="ES167:ES167">IF(ES166=0,0,IF(ES166/'🎚️ Escenario'!$C$11&gt;=36,$AL$23,INDEX($C$23:$AL$23,MAX(1,ROUNDUP(ES166/'🎚️ Escenario'!$C$11,0)))))</f>
        <v>1</v>
      </c>
      <c r="ET167" s="9" t="n">
        <f aca="false" t="array" ref="ET167:ET167">IF(ET166=0,0,IF(ET166/'🎚️ Escenario'!$C$11&gt;=36,$AL$23,INDEX($C$23:$AL$23,MAX(1,ROUNDUP(ET166/'🎚️ Escenario'!$C$11,0)))))</f>
        <v>1</v>
      </c>
      <c r="EU167" s="9" t="n">
        <f aca="false" t="array" ref="EU167:EU167">IF(EU166=0,0,IF(EU166/'🎚️ Escenario'!$C$11&gt;=36,$AL$23,INDEX($C$23:$AL$23,MAX(1,ROUNDUP(EU166/'🎚️ Escenario'!$C$11,0)))))</f>
        <v>1</v>
      </c>
      <c r="EV167" s="9" t="n">
        <f aca="false" t="array" ref="EV167:EV167">IF(EV166=0,0,IF(EV166/'🎚️ Escenario'!$C$11&gt;=36,$AL$23,INDEX($C$23:$AL$23,MAX(1,ROUNDUP(EV166/'🎚️ Escenario'!$C$11,0)))))</f>
        <v>1</v>
      </c>
      <c r="EW167" s="9" t="n">
        <f aca="false" t="array" ref="EW167:EW167">IF(EW166=0,0,IF(EW166/'🎚️ Escenario'!$C$11&gt;=36,$AL$23,INDEX($C$23:$AL$23,MAX(1,ROUNDUP(EW166/'🎚️ Escenario'!$C$11,0)))))</f>
        <v>1</v>
      </c>
      <c r="EX167" s="9" t="n">
        <f aca="false" t="array" ref="EX167:EX167">IF(EX166=0,0,IF(EX166/'🎚️ Escenario'!$C$11&gt;=36,$AL$23,INDEX($C$23:$AL$23,MAX(1,ROUNDUP(EX166/'🎚️ Escenario'!$C$11,0)))))</f>
        <v>1</v>
      </c>
      <c r="EY167" s="9" t="n">
        <f aca="false" t="array" ref="EY167:EY167">IF(EY166=0,0,IF(EY166/'🎚️ Escenario'!$C$11&gt;=36,$AL$23,INDEX($C$23:$AL$23,MAX(1,ROUNDUP(EY166/'🎚️ Escenario'!$C$11,0)))))</f>
        <v>1</v>
      </c>
      <c r="EZ167" s="9" t="n">
        <f aca="false" t="array" ref="EZ167:EZ167">IF(EZ166=0,0,IF(EZ166/'🎚️ Escenario'!$C$11&gt;=36,$AL$23,INDEX($C$23:$AL$23,MAX(1,ROUNDUP(EZ166/'🎚️ Escenario'!$C$11,0)))))</f>
        <v>1</v>
      </c>
      <c r="FA167" s="9" t="n">
        <f aca="false" t="array" ref="FA167:FA167">IF(FA166=0,0,IF(FA166/'🎚️ Escenario'!$C$11&gt;=36,$AL$23,INDEX($C$23:$AL$23,MAX(1,ROUNDUP(FA166/'🎚️ Escenario'!$C$11,0)))))</f>
        <v>1</v>
      </c>
      <c r="FB167" s="9" t="n">
        <f aca="false" t="array" ref="FB167:FB167">IF(FB166=0,0,IF(FB166/'🎚️ Escenario'!$C$11&gt;=36,$AL$23,INDEX($C$23:$AL$23,MAX(1,ROUNDUP(FB166/'🎚️ Escenario'!$C$11,0)))))</f>
        <v>1</v>
      </c>
      <c r="FC167" s="9" t="n">
        <f aca="false" t="array" ref="FC167:FC167">IF(FC166=0,0,IF(FC166/'🎚️ Escenario'!$C$11&gt;=36,$AL$23,INDEX($C$23:$AL$23,MAX(1,ROUNDUP(FC166/'🎚️ Escenario'!$C$11,0)))))</f>
        <v>1</v>
      </c>
      <c r="FD167" s="9" t="n">
        <f aca="false" t="array" ref="FD167:FD167">IF(FD166=0,0,IF(FD166/'🎚️ Escenario'!$C$11&gt;=36,$AL$23,INDEX($C$23:$AL$23,MAX(1,ROUNDUP(FD166/'🎚️ Escenario'!$C$11,0)))))</f>
        <v>1</v>
      </c>
      <c r="FE167" s="9" t="n">
        <f aca="false" t="array" ref="FE167:FE167">IF(FE166=0,0,IF(FE166/'🎚️ Escenario'!$C$11&gt;=36,$AL$23,INDEX($C$23:$AL$23,MAX(1,ROUNDUP(FE166/'🎚️ Escenario'!$C$11,0)))))</f>
        <v>1</v>
      </c>
      <c r="FF167" s="9" t="n">
        <f aca="false" t="array" ref="FF167:FF167">IF(FF166=0,0,IF(FF166/'🎚️ Escenario'!$C$11&gt;=36,$AL$23,INDEX($C$23:$AL$23,MAX(1,ROUNDUP(FF166/'🎚️ Escenario'!$C$11,0)))))</f>
        <v>1</v>
      </c>
      <c r="FG167" s="9" t="n">
        <f aca="false" t="array" ref="FG167:FG167">IF(FG166=0,0,IF(FG166/'🎚️ Escenario'!$C$11&gt;=36,$AL$23,INDEX($C$23:$AL$23,MAX(1,ROUNDUP(FG166/'🎚️ Escenario'!$C$11,0)))))</f>
        <v>1</v>
      </c>
      <c r="FH167" s="9" t="n">
        <f aca="false" t="array" ref="FH167:FH167">IF(FH166=0,0,IF(FH166/'🎚️ Escenario'!$C$11&gt;=36,$AL$23,INDEX($C$23:$AL$23,MAX(1,ROUNDUP(FH166/'🎚️ Escenario'!$C$11,0)))))</f>
        <v>1</v>
      </c>
      <c r="FI167" s="9" t="n">
        <f aca="false" t="array" ref="FI167:FI167">IF(FI166=0,0,IF(FI166/'🎚️ Escenario'!$C$11&gt;=36,$AL$23,INDEX($C$23:$AL$23,MAX(1,ROUNDUP(FI166/'🎚️ Escenario'!$C$11,0)))))</f>
        <v>1</v>
      </c>
      <c r="FJ167" s="9" t="n">
        <f aca="false" t="array" ref="FJ167:FJ167">IF(FJ166=0,0,IF(FJ166/'🎚️ Escenario'!$C$11&gt;=36,$AL$23,INDEX($C$23:$AL$23,MAX(1,ROUNDUP(FJ166/'🎚️ Escenario'!$C$11,0)))))</f>
        <v>1</v>
      </c>
      <c r="FK167" s="9" t="n">
        <f aca="false" t="array" ref="FK167:FK167">IF(FK166=0,0,IF(FK166/'🎚️ Escenario'!$C$11&gt;=36,$AL$23,INDEX($C$23:$AL$23,MAX(1,ROUNDUP(FK166/'🎚️ Escenario'!$C$11,0)))))</f>
        <v>1</v>
      </c>
      <c r="FL167" s="9" t="n">
        <f aca="false" t="array" ref="FL167:FL167">IF(FL166=0,0,IF(FL166/'🎚️ Escenario'!$C$11&gt;=36,$AL$23,INDEX($C$23:$AL$23,MAX(1,ROUNDUP(FL166/'🎚️ Escenario'!$C$11,0)))))</f>
        <v>1</v>
      </c>
      <c r="FM167" s="9" t="n">
        <f aca="false" t="array" ref="FM167:FM167">IF(FM166=0,0,IF(FM166/'🎚️ Escenario'!$C$11&gt;=36,$AL$23,INDEX($C$23:$AL$23,MAX(1,ROUNDUP(FM166/'🎚️ Escenario'!$C$11,0)))))</f>
        <v>1</v>
      </c>
      <c r="FN167" s="9" t="n">
        <f aca="false" t="array" ref="FN167:FN167">IF(FN166=0,0,IF(FN166/'🎚️ Escenario'!$C$11&gt;=36,$AL$23,INDEX($C$23:$AL$23,MAX(1,ROUNDUP(FN166/'🎚️ Escenario'!$C$11,0)))))</f>
        <v>1</v>
      </c>
      <c r="FO167" s="9" t="n">
        <f aca="false" t="array" ref="FO167:FO167">IF(FO166=0,0,IF(FO166/'🎚️ Escenario'!$C$11&gt;=36,$AL$23,INDEX($C$23:$AL$23,MAX(1,ROUNDUP(FO166/'🎚️ Escenario'!$C$11,0)))))</f>
        <v>1</v>
      </c>
      <c r="FP167" s="9" t="n">
        <f aca="false" t="array" ref="FP167:FP167">IF(FP166=0,0,IF(FP166/'🎚️ Escenario'!$C$11&gt;=36,$AL$23,INDEX($C$23:$AL$23,MAX(1,ROUNDUP(FP166/'🎚️ Escenario'!$C$11,0)))))</f>
        <v>1</v>
      </c>
    </row>
    <row r="168" customFormat="false" ht="15" hidden="false" customHeight="false" outlineLevel="2" collapsed="false">
      <c r="B168" s="9" t="s">
        <v>875</v>
      </c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237" t="n">
        <f aca="false">IF(AC166=0,0,IF(AC166&lt;=12*'🎚️ Escenario'!$C$11,1,1+$C$6))</f>
        <v>0</v>
      </c>
      <c r="AD168" s="237" t="n">
        <f aca="false">IF(AD166=0,0,IF(AD166&lt;=12*'🎚️ Escenario'!$C$11,1,1+$C$6))</f>
        <v>0</v>
      </c>
      <c r="AE168" s="237" t="n">
        <f aca="false">IF(AE166=0,0,IF(AE166&lt;=12*'🎚️ Escenario'!$C$11,1,1+$C$6))</f>
        <v>0</v>
      </c>
      <c r="AF168" s="237" t="n">
        <f aca="false">IF(AF166=0,0,IF(AF166&lt;=12*'🎚️ Escenario'!$C$11,1,1+$C$6))</f>
        <v>0</v>
      </c>
      <c r="AG168" s="237" t="n">
        <f aca="false">IF(AG166=0,0,IF(AG166&lt;=12*'🎚️ Escenario'!$C$11,1,1+$C$6))</f>
        <v>0</v>
      </c>
      <c r="AH168" s="237" t="n">
        <f aca="false">IF(AH166=0,0,IF(AH166&lt;=12*'🎚️ Escenario'!$C$11,1,1+$C$6))</f>
        <v>0</v>
      </c>
      <c r="AI168" s="237" t="n">
        <f aca="false">IF(AI166=0,0,IF(AI166&lt;=12*'🎚️ Escenario'!$C$11,1,1+$C$6))</f>
        <v>0</v>
      </c>
      <c r="AJ168" s="237" t="n">
        <f aca="false">IF(AJ166=0,0,IF(AJ166&lt;=12*'🎚️ Escenario'!$C$11,1,1+$C$6))</f>
        <v>0</v>
      </c>
      <c r="AK168" s="237" t="n">
        <f aca="false">IF(AK166=0,0,IF(AK166&lt;=12*'🎚️ Escenario'!$C$11,1,1+$C$6))</f>
        <v>0</v>
      </c>
      <c r="AL168" s="237" t="n">
        <f aca="false">IF(AL166=0,0,IF(AL166&lt;=12*'🎚️ Escenario'!$C$11,1,1+$C$6))</f>
        <v>0</v>
      </c>
      <c r="AM168" s="237" t="n">
        <f aca="false">IF(AM166=0,0,IF(AM166&lt;=12*'🎚️ Escenario'!$C$11,1,1+$C$6))</f>
        <v>0</v>
      </c>
      <c r="AN168" s="237" t="n">
        <f aca="false">IF(AN166=0,0,IF(AN166&lt;=12*'🎚️ Escenario'!$C$11,1,1+$C$6))</f>
        <v>0</v>
      </c>
      <c r="AO168" s="237" t="n">
        <f aca="false">IF(AO166=0,0,IF(AO166&lt;=12*'🎚️ Escenario'!$C$11,1,1+$C$6))</f>
        <v>0</v>
      </c>
      <c r="AP168" s="237" t="n">
        <f aca="false">IF(AP166=0,0,IF(AP166&lt;=12*'🎚️ Escenario'!$C$11,1,1+$C$6))</f>
        <v>0</v>
      </c>
      <c r="AQ168" s="237" t="n">
        <f aca="false">IF(AQ166=0,0,IF(AQ166&lt;=12*'🎚️ Escenario'!$C$11,1,1+$C$6))</f>
        <v>0</v>
      </c>
      <c r="AR168" s="237" t="n">
        <f aca="false">IF(AR166=0,0,IF(AR166&lt;=12*'🎚️ Escenario'!$C$11,1,1+$C$6))</f>
        <v>0</v>
      </c>
      <c r="AS168" s="237" t="n">
        <f aca="false">IF(AS166=0,0,IF(AS166&lt;=12*'🎚️ Escenario'!$C$11,1,1+$C$6))</f>
        <v>0</v>
      </c>
      <c r="AT168" s="237" t="n">
        <f aca="false">IF(AT166=0,0,IF(AT166&lt;=12*'🎚️ Escenario'!$C$11,1,1+$C$6))</f>
        <v>0</v>
      </c>
      <c r="AU168" s="237" t="n">
        <f aca="false">IF(AU166=0,0,IF(AU166&lt;=12*'🎚️ Escenario'!$C$11,1,1+$C$6))</f>
        <v>0</v>
      </c>
      <c r="AV168" s="237" t="n">
        <f aca="false">IF(AV166=0,0,IF(AV166&lt;=12*'🎚️ Escenario'!$C$11,1,1+$C$6))</f>
        <v>0</v>
      </c>
      <c r="AW168" s="237" t="n">
        <f aca="false">IF(AW166=0,0,IF(AW166&lt;=12*'🎚️ Escenario'!$C$11,1,1+$C$6))</f>
        <v>0</v>
      </c>
      <c r="AX168" s="237" t="n">
        <f aca="false">IF(AX166=0,0,IF(AX166&lt;=12*'🎚️ Escenario'!$C$11,1,1+$C$6))</f>
        <v>0</v>
      </c>
      <c r="AY168" s="237" t="n">
        <f aca="false">IF(AY166=0,0,IF(AY166&lt;=12*'🎚️ Escenario'!$C$11,1,1+$C$6))</f>
        <v>0</v>
      </c>
      <c r="AZ168" s="237" t="n">
        <f aca="false">IF(AZ166=0,0,IF(AZ166&lt;=12*'🎚️ Escenario'!$C$11,1,1+$C$6))</f>
        <v>0</v>
      </c>
      <c r="BA168" s="237" t="n">
        <f aca="false">IF(BA166=0,0,IF(BA166&lt;=12*'🎚️ Escenario'!$C$11,1,1+$C$6))</f>
        <v>0</v>
      </c>
      <c r="BB168" s="237" t="n">
        <f aca="false">IF(BB166=0,0,IF(BB166&lt;=12*'🎚️ Escenario'!$C$11,1,1+$C$6))</f>
        <v>0</v>
      </c>
      <c r="BC168" s="237" t="n">
        <f aca="false">IF(BC166=0,0,IF(BC166&lt;=12*'🎚️ Escenario'!$C$11,1,1+$C$6))</f>
        <v>0</v>
      </c>
      <c r="BD168" s="237" t="n">
        <f aca="false">IF(BD166=0,0,IF(BD166&lt;=12*'🎚️ Escenario'!$C$11,1,1+$C$6))</f>
        <v>0</v>
      </c>
      <c r="BE168" s="237" t="n">
        <f aca="false">IF(BE166=0,0,IF(BE166&lt;=12*'🎚️ Escenario'!$C$11,1,1+$C$6))</f>
        <v>0</v>
      </c>
      <c r="BF168" s="237" t="n">
        <f aca="false">IF(BF166=0,0,IF(BF166&lt;=12*'🎚️ Escenario'!$C$11,1,1+$C$6))</f>
        <v>0</v>
      </c>
      <c r="BG168" s="237" t="n">
        <f aca="false">IF(BG166=0,0,IF(BG166&lt;=12*'🎚️ Escenario'!$C$11,1,1+$C$6))</f>
        <v>0</v>
      </c>
      <c r="BH168" s="237" t="n">
        <f aca="false">IF(BH166=0,0,IF(BH166&lt;=12*'🎚️ Escenario'!$C$11,1,1+$C$6))</f>
        <v>0</v>
      </c>
      <c r="BI168" s="237" t="n">
        <f aca="false">IF(BI166=0,0,IF(BI166&lt;=12*'🎚️ Escenario'!$C$11,1,1+$C$6))</f>
        <v>0</v>
      </c>
      <c r="BJ168" s="237" t="n">
        <f aca="false">IF(BJ166=0,0,IF(BJ166&lt;=12*'🎚️ Escenario'!$C$11,1,1+$C$6))</f>
        <v>0</v>
      </c>
      <c r="BK168" s="237" t="n">
        <f aca="false">IF(BK166=0,0,IF(BK166&lt;=12*'🎚️ Escenario'!$C$11,1,1+$C$6))</f>
        <v>0</v>
      </c>
      <c r="BL168" s="237" t="n">
        <f aca="false">IF(BL166=0,0,IF(BL166&lt;=12*'🎚️ Escenario'!$C$11,1,1+$C$6))</f>
        <v>0</v>
      </c>
      <c r="BM168" s="237" t="n">
        <f aca="false">IF(BM166=0,0,IF(BM166&lt;=12*'🎚️ Escenario'!$C$11,1,1+$C$6))</f>
        <v>0</v>
      </c>
      <c r="BN168" s="237" t="n">
        <f aca="false">IF(BN166=0,0,IF(BN166&lt;=12*'🎚️ Escenario'!$C$11,1,1+$C$6))</f>
        <v>0</v>
      </c>
      <c r="BO168" s="237" t="n">
        <f aca="false">IF(BO166=0,0,IF(BO166&lt;=12*'🎚️ Escenario'!$C$11,1,1+$C$6))</f>
        <v>0</v>
      </c>
      <c r="BP168" s="237" t="n">
        <f aca="false">IF(BP166=0,0,IF(BP166&lt;=12*'🎚️ Escenario'!$C$11,1,1+$C$6))</f>
        <v>0</v>
      </c>
      <c r="BQ168" s="237" t="n">
        <f aca="false">IF(BQ166=0,0,IF(BQ166&lt;=12*'🎚️ Escenario'!$C$11,1,1+$C$6))</f>
        <v>0</v>
      </c>
      <c r="BR168" s="237" t="n">
        <f aca="false">IF(BR166=0,0,IF(BR166&lt;=12*'🎚️ Escenario'!$C$11,1,1+$C$6))</f>
        <v>0</v>
      </c>
      <c r="BS168" s="237" t="n">
        <f aca="false">IF(BS166=0,0,IF(BS166&lt;=12*'🎚️ Escenario'!$C$11,1,1+$C$6))</f>
        <v>0</v>
      </c>
      <c r="BT168" s="237" t="n">
        <f aca="false">IF(BT166=0,0,IF(BT166&lt;=12*'🎚️ Escenario'!$C$11,1,1+$C$6))</f>
        <v>0</v>
      </c>
      <c r="BU168" s="237" t="n">
        <f aca="false">IF(BU166=0,0,IF(BU166&lt;=12*'🎚️ Escenario'!$C$11,1,1+$C$6))</f>
        <v>0</v>
      </c>
      <c r="BV168" s="237" t="n">
        <f aca="false">IF(BV166=0,0,IF(BV166&lt;=12*'🎚️ Escenario'!$C$11,1,1+$C$6))</f>
        <v>0</v>
      </c>
      <c r="BW168" s="237" t="n">
        <f aca="false">IF(BW166=0,0,IF(BW166&lt;=12*'🎚️ Escenario'!$C$11,1,1+$C$6))</f>
        <v>1</v>
      </c>
      <c r="BX168" s="237" t="n">
        <f aca="false">IF(BX166=0,0,IF(BX166&lt;=12*'🎚️ Escenario'!$C$11,1,1+$C$6))</f>
        <v>1</v>
      </c>
      <c r="BY168" s="237" t="n">
        <f aca="false">IF(BY166=0,0,IF(BY166&lt;=12*'🎚️ Escenario'!$C$11,1,1+$C$6))</f>
        <v>1</v>
      </c>
      <c r="BZ168" s="237" t="n">
        <f aca="false">IF(BZ166=0,0,IF(BZ166&lt;=12*'🎚️ Escenario'!$C$11,1,1+$C$6))</f>
        <v>1</v>
      </c>
      <c r="CA168" s="237" t="n">
        <f aca="false">IF(CA166=0,0,IF(CA166&lt;=12*'🎚️ Escenario'!$C$11,1,1+$C$6))</f>
        <v>1</v>
      </c>
      <c r="CB168" s="237" t="n">
        <f aca="false">IF(CB166=0,0,IF(CB166&lt;=12*'🎚️ Escenario'!$C$11,1,1+$C$6))</f>
        <v>1</v>
      </c>
      <c r="CC168" s="237" t="n">
        <f aca="false">IF(CC166=0,0,IF(CC166&lt;=12*'🎚️ Escenario'!$C$11,1,1+$C$6))</f>
        <v>1</v>
      </c>
      <c r="CD168" s="237" t="n">
        <f aca="false">IF(CD166=0,0,IF(CD166&lt;=12*'🎚️ Escenario'!$C$11,1,1+$C$6))</f>
        <v>1</v>
      </c>
      <c r="CE168" s="237" t="n">
        <f aca="false">IF(CE166=0,0,IF(CE166&lt;=12*'🎚️ Escenario'!$C$11,1,1+$C$6))</f>
        <v>1</v>
      </c>
      <c r="CF168" s="237" t="n">
        <f aca="false">IF(CF166=0,0,IF(CF166&lt;=12*'🎚️ Escenario'!$C$11,1,1+$C$6))</f>
        <v>1</v>
      </c>
      <c r="CG168" s="237" t="n">
        <f aca="false">IF(CG166=0,0,IF(CG166&lt;=12*'🎚️ Escenario'!$C$11,1,1+$C$6))</f>
        <v>1</v>
      </c>
      <c r="CH168" s="237" t="n">
        <f aca="false">IF(CH166=0,0,IF(CH166&lt;=12*'🎚️ Escenario'!$C$11,1,1+$C$6))</f>
        <v>1</v>
      </c>
      <c r="CI168" s="237" t="n">
        <f aca="false">IF(CI166=0,0,IF(CI166&lt;=12*'🎚️ Escenario'!$C$11,1,1+$C$6))</f>
        <v>1</v>
      </c>
      <c r="CJ168" s="237" t="n">
        <f aca="false">IF(CJ166=0,0,IF(CJ166&lt;=12*'🎚️ Escenario'!$C$11,1,1+$C$6))</f>
        <v>1</v>
      </c>
      <c r="CK168" s="237" t="n">
        <f aca="false">IF(CK166=0,0,IF(CK166&lt;=12*'🎚️ Escenario'!$C$11,1,1+$C$6))</f>
        <v>1</v>
      </c>
      <c r="CL168" s="237" t="n">
        <f aca="false">IF(CL166=0,0,IF(CL166&lt;=12*'🎚️ Escenario'!$C$11,1,1+$C$6))</f>
        <v>1.2</v>
      </c>
      <c r="CM168" s="237" t="n">
        <f aca="false">IF(CM166=0,0,IF(CM166&lt;=12*'🎚️ Escenario'!$C$11,1,1+$C$6))</f>
        <v>1.2</v>
      </c>
      <c r="CN168" s="237" t="n">
        <f aca="false">IF(CN166=0,0,IF(CN166&lt;=12*'🎚️ Escenario'!$C$11,1,1+$C$6))</f>
        <v>1.2</v>
      </c>
      <c r="CO168" s="237" t="n">
        <f aca="false">IF(CO166=0,0,IF(CO166&lt;=12*'🎚️ Escenario'!$C$11,1,1+$C$6))</f>
        <v>1.2</v>
      </c>
      <c r="CP168" s="237" t="n">
        <f aca="false">IF(CP166=0,0,IF(CP166&lt;=12*'🎚️ Escenario'!$C$11,1,1+$C$6))</f>
        <v>1.2</v>
      </c>
      <c r="CQ168" s="237" t="n">
        <f aca="false">IF(CQ166=0,0,IF(CQ166&lt;=12*'🎚️ Escenario'!$C$11,1,1+$C$6))</f>
        <v>1.2</v>
      </c>
      <c r="CR168" s="237" t="n">
        <f aca="false">IF(CR166=0,0,IF(CR166&lt;=12*'🎚️ Escenario'!$C$11,1,1+$C$6))</f>
        <v>1.2</v>
      </c>
      <c r="CS168" s="237" t="n">
        <f aca="false">IF(CS166=0,0,IF(CS166&lt;=12*'🎚️ Escenario'!$C$11,1,1+$C$6))</f>
        <v>1.2</v>
      </c>
      <c r="CT168" s="237" t="n">
        <f aca="false">IF(CT166=0,0,IF(CT166&lt;=12*'🎚️ Escenario'!$C$11,1,1+$C$6))</f>
        <v>1.2</v>
      </c>
      <c r="CU168" s="237" t="n">
        <f aca="false">IF(CU166=0,0,IF(CU166&lt;=12*'🎚️ Escenario'!$C$11,1,1+$C$6))</f>
        <v>1.2</v>
      </c>
      <c r="CV168" s="237" t="n">
        <f aca="false">IF(CV166=0,0,IF(CV166&lt;=12*'🎚️ Escenario'!$C$11,1,1+$C$6))</f>
        <v>1.2</v>
      </c>
      <c r="CW168" s="237" t="n">
        <f aca="false">IF(CW166=0,0,IF(CW166&lt;=12*'🎚️ Escenario'!$C$11,1,1+$C$6))</f>
        <v>1.2</v>
      </c>
      <c r="CX168" s="237" t="n">
        <f aca="false">IF(CX166=0,0,IF(CX166&lt;=12*'🎚️ Escenario'!$C$11,1,1+$C$6))</f>
        <v>1.2</v>
      </c>
      <c r="CY168" s="237" t="n">
        <f aca="false">IF(CY166=0,0,IF(CY166&lt;=12*'🎚️ Escenario'!$C$11,1,1+$C$6))</f>
        <v>1.2</v>
      </c>
      <c r="CZ168" s="237" t="n">
        <f aca="false">IF(CZ166=0,0,IF(CZ166&lt;=12*'🎚️ Escenario'!$C$11,1,1+$C$6))</f>
        <v>1.2</v>
      </c>
      <c r="DA168" s="237" t="n">
        <f aca="false">IF(DA166=0,0,IF(DA166&lt;=12*'🎚️ Escenario'!$C$11,1,1+$C$6))</f>
        <v>1.2</v>
      </c>
      <c r="DB168" s="237" t="n">
        <f aca="false">IF(DB166=0,0,IF(DB166&lt;=12*'🎚️ Escenario'!$C$11,1,1+$C$6))</f>
        <v>1.2</v>
      </c>
      <c r="DC168" s="237" t="n">
        <f aca="false">IF(DC166=0,0,IF(DC166&lt;=12*'🎚️ Escenario'!$C$11,1,1+$C$6))</f>
        <v>1.2</v>
      </c>
      <c r="DD168" s="237" t="n">
        <f aca="false">IF(DD166=0,0,IF(DD166&lt;=12*'🎚️ Escenario'!$C$11,1,1+$C$6))</f>
        <v>1.2</v>
      </c>
      <c r="DE168" s="237" t="n">
        <f aca="false">IF(DE166=0,0,IF(DE166&lt;=12*'🎚️ Escenario'!$C$11,1,1+$C$6))</f>
        <v>1.2</v>
      </c>
      <c r="DF168" s="237" t="n">
        <f aca="false">IF(DF166=0,0,IF(DF166&lt;=12*'🎚️ Escenario'!$C$11,1,1+$C$6))</f>
        <v>1.2</v>
      </c>
      <c r="DG168" s="237" t="n">
        <f aca="false">IF(DG166=0,0,IF(DG166&lt;=12*'🎚️ Escenario'!$C$11,1,1+$C$6))</f>
        <v>1.2</v>
      </c>
      <c r="DH168" s="237" t="n">
        <f aca="false">IF(DH166=0,0,IF(DH166&lt;=12*'🎚️ Escenario'!$C$11,1,1+$C$6))</f>
        <v>1.2</v>
      </c>
      <c r="DI168" s="237" t="n">
        <f aca="false">IF(DI166=0,0,IF(DI166&lt;=12*'🎚️ Escenario'!$C$11,1,1+$C$6))</f>
        <v>1.2</v>
      </c>
      <c r="DJ168" s="237" t="n">
        <f aca="false">IF(DJ166=0,0,IF(DJ166&lt;=12*'🎚️ Escenario'!$C$11,1,1+$C$6))</f>
        <v>1.2</v>
      </c>
      <c r="DK168" s="237" t="n">
        <f aca="false">IF(DK166=0,0,IF(DK166&lt;=12*'🎚️ Escenario'!$C$11,1,1+$C$6))</f>
        <v>1.2</v>
      </c>
      <c r="DL168" s="237" t="n">
        <f aca="false">IF(DL166=0,0,IF(DL166&lt;=12*'🎚️ Escenario'!$C$11,1,1+$C$6))</f>
        <v>1.2</v>
      </c>
      <c r="DM168" s="237" t="n">
        <f aca="false">IF(DM166=0,0,IF(DM166&lt;=12*'🎚️ Escenario'!$C$11,1,1+$C$6))</f>
        <v>1.2</v>
      </c>
      <c r="DN168" s="237" t="n">
        <f aca="false">IF(DN166=0,0,IF(DN166&lt;=12*'🎚️ Escenario'!$C$11,1,1+$C$6))</f>
        <v>1.2</v>
      </c>
      <c r="DO168" s="237" t="n">
        <f aca="false">IF(DO166=0,0,IF(DO166&lt;=12*'🎚️ Escenario'!$C$11,1,1+$C$6))</f>
        <v>1.2</v>
      </c>
      <c r="DP168" s="237" t="n">
        <f aca="false">IF(DP166=0,0,IF(DP166&lt;=12*'🎚️ Escenario'!$C$11,1,1+$C$6))</f>
        <v>1.2</v>
      </c>
      <c r="DQ168" s="237" t="n">
        <f aca="false">IF(DQ166=0,0,IF(DQ166&lt;=12*'🎚️ Escenario'!$C$11,1,1+$C$6))</f>
        <v>1.2</v>
      </c>
      <c r="DR168" s="237" t="n">
        <f aca="false">IF(DR166=0,0,IF(DR166&lt;=12*'🎚️ Escenario'!$C$11,1,1+$C$6))</f>
        <v>1.2</v>
      </c>
      <c r="DS168" s="237" t="n">
        <f aca="false">IF(DS166=0,0,IF(DS166&lt;=12*'🎚️ Escenario'!$C$11,1,1+$C$6))</f>
        <v>1.2</v>
      </c>
      <c r="DT168" s="237" t="n">
        <f aca="false">IF(DT166=0,0,IF(DT166&lt;=12*'🎚️ Escenario'!$C$11,1,1+$C$6))</f>
        <v>1.2</v>
      </c>
      <c r="DU168" s="237" t="n">
        <f aca="false">IF(DU166=0,0,IF(DU166&lt;=12*'🎚️ Escenario'!$C$11,1,1+$C$6))</f>
        <v>1.2</v>
      </c>
      <c r="DV168" s="237" t="n">
        <f aca="false">IF(DV166=0,0,IF(DV166&lt;=12*'🎚️ Escenario'!$C$11,1,1+$C$6))</f>
        <v>1.2</v>
      </c>
      <c r="DW168" s="237" t="n">
        <f aca="false">IF(DW166=0,0,IF(DW166&lt;=12*'🎚️ Escenario'!$C$11,1,1+$C$6))</f>
        <v>1.2</v>
      </c>
      <c r="DX168" s="237" t="n">
        <f aca="false">IF(DX166=0,0,IF(DX166&lt;=12*'🎚️ Escenario'!$C$11,1,1+$C$6))</f>
        <v>1.2</v>
      </c>
      <c r="DY168" s="237" t="n">
        <f aca="false">IF(DY166=0,0,IF(DY166&lt;=12*'🎚️ Escenario'!$C$11,1,1+$C$6))</f>
        <v>1.2</v>
      </c>
      <c r="DZ168" s="237" t="n">
        <f aca="false">IF(DZ166=0,0,IF(DZ166&lt;=12*'🎚️ Escenario'!$C$11,1,1+$C$6))</f>
        <v>1.2</v>
      </c>
      <c r="EA168" s="237" t="n">
        <f aca="false">IF(EA166=0,0,IF(EA166&lt;=12*'🎚️ Escenario'!$C$11,1,1+$C$6))</f>
        <v>1.2</v>
      </c>
      <c r="EB168" s="237" t="n">
        <f aca="false">IF(EB166=0,0,IF(EB166&lt;=12*'🎚️ Escenario'!$C$11,1,1+$C$6))</f>
        <v>1.2</v>
      </c>
      <c r="EC168" s="237" t="n">
        <f aca="false">IF(EC166=0,0,IF(EC166&lt;=12*'🎚️ Escenario'!$C$11,1,1+$C$6))</f>
        <v>1.2</v>
      </c>
      <c r="ED168" s="237" t="n">
        <f aca="false">IF(ED166=0,0,IF(ED166&lt;=12*'🎚️ Escenario'!$C$11,1,1+$C$6))</f>
        <v>1.2</v>
      </c>
      <c r="EE168" s="237" t="n">
        <f aca="false">IF(EE166=0,0,IF(EE166&lt;=12*'🎚️ Escenario'!$C$11,1,1+$C$6))</f>
        <v>1.2</v>
      </c>
      <c r="EF168" s="237" t="n">
        <f aca="false">IF(EF166=0,0,IF(EF166&lt;=12*'🎚️ Escenario'!$C$11,1,1+$C$6))</f>
        <v>1.2</v>
      </c>
      <c r="EG168" s="237" t="n">
        <f aca="false">IF(EG166=0,0,IF(EG166&lt;=12*'🎚️ Escenario'!$C$11,1,1+$C$6))</f>
        <v>1.2</v>
      </c>
      <c r="EH168" s="237" t="n">
        <f aca="false">IF(EH166=0,0,IF(EH166&lt;=12*'🎚️ Escenario'!$C$11,1,1+$C$6))</f>
        <v>1.2</v>
      </c>
      <c r="EI168" s="237" t="n">
        <f aca="false">IF(EI166=0,0,IF(EI166&lt;=12*'🎚️ Escenario'!$C$11,1,1+$C$6))</f>
        <v>1.2</v>
      </c>
      <c r="EJ168" s="237" t="n">
        <f aca="false">IF(EJ166=0,0,IF(EJ166&lt;=12*'🎚️ Escenario'!$C$11,1,1+$C$6))</f>
        <v>1.2</v>
      </c>
      <c r="EK168" s="237" t="n">
        <f aca="false">IF(EK166=0,0,IF(EK166&lt;=12*'🎚️ Escenario'!$C$11,1,1+$C$6))</f>
        <v>1.2</v>
      </c>
      <c r="EL168" s="237" t="n">
        <f aca="false">IF(EL166=0,0,IF(EL166&lt;=12*'🎚️ Escenario'!$C$11,1,1+$C$6))</f>
        <v>1.2</v>
      </c>
      <c r="EM168" s="237" t="n">
        <f aca="false">IF(EM166=0,0,IF(EM166&lt;=12*'🎚️ Escenario'!$C$11,1,1+$C$6))</f>
        <v>1.2</v>
      </c>
      <c r="EN168" s="237" t="n">
        <f aca="false">IF(EN166=0,0,IF(EN166&lt;=12*'🎚️ Escenario'!$C$11,1,1+$C$6))</f>
        <v>1.2</v>
      </c>
      <c r="EO168" s="237" t="n">
        <f aca="false">IF(EO166=0,0,IF(EO166&lt;=12*'🎚️ Escenario'!$C$11,1,1+$C$6))</f>
        <v>1.2</v>
      </c>
      <c r="EP168" s="237" t="n">
        <f aca="false">IF(EP166=0,0,IF(EP166&lt;=12*'🎚️ Escenario'!$C$11,1,1+$C$6))</f>
        <v>1.2</v>
      </c>
      <c r="EQ168" s="237" t="n">
        <f aca="false">IF(EQ166=0,0,IF(EQ166&lt;=12*'🎚️ Escenario'!$C$11,1,1+$C$6))</f>
        <v>1.2</v>
      </c>
      <c r="ER168" s="237" t="n">
        <f aca="false">IF(ER166=0,0,IF(ER166&lt;=12*'🎚️ Escenario'!$C$11,1,1+$C$6))</f>
        <v>1.2</v>
      </c>
      <c r="ES168" s="238" t="n">
        <f aca="false">IF(ES166=0,0,IF(ES166&lt;=12*'🎚️ Escenario'!$C$11,1,1+$C$6))</f>
        <v>1.2</v>
      </c>
      <c r="ET168" s="238" t="n">
        <f aca="false">IF(ET166=0,0,IF(ET166&lt;=12*'🎚️ Escenario'!$C$11,1,1+$C$6))</f>
        <v>1.2</v>
      </c>
      <c r="EU168" s="238" t="n">
        <f aca="false">IF(EU166=0,0,IF(EU166&lt;=12*'🎚️ Escenario'!$C$11,1,1+$C$6))</f>
        <v>1.2</v>
      </c>
      <c r="EV168" s="238" t="n">
        <f aca="false">IF(EV166=0,0,IF(EV166&lt;=12*'🎚️ Escenario'!$C$11,1,1+$C$6))</f>
        <v>1.2</v>
      </c>
      <c r="EW168" s="238" t="n">
        <f aca="false">IF(EW166=0,0,IF(EW166&lt;=12*'🎚️ Escenario'!$C$11,1,1+$C$6))</f>
        <v>1.2</v>
      </c>
      <c r="EX168" s="238" t="n">
        <f aca="false">IF(EX166=0,0,IF(EX166&lt;=12*'🎚️ Escenario'!$C$11,1,1+$C$6))</f>
        <v>1.2</v>
      </c>
      <c r="EY168" s="238" t="n">
        <f aca="false">IF(EY166=0,0,IF(EY166&lt;=12*'🎚️ Escenario'!$C$11,1,1+$C$6))</f>
        <v>1.2</v>
      </c>
      <c r="EZ168" s="238" t="n">
        <f aca="false">IF(EZ166=0,0,IF(EZ166&lt;=12*'🎚️ Escenario'!$C$11,1,1+$C$6))</f>
        <v>1.2</v>
      </c>
      <c r="FA168" s="238" t="n">
        <f aca="false">IF(FA166=0,0,IF(FA166&lt;=12*'🎚️ Escenario'!$C$11,1,1+$C$6))</f>
        <v>1.2</v>
      </c>
      <c r="FB168" s="238" t="n">
        <f aca="false">IF(FB166=0,0,IF(FB166&lt;=12*'🎚️ Escenario'!$C$11,1,1+$C$6))</f>
        <v>1.2</v>
      </c>
      <c r="FC168" s="238" t="n">
        <f aca="false">IF(FC166=0,0,IF(FC166&lt;=12*'🎚️ Escenario'!$C$11,1,1+$C$6))</f>
        <v>1.2</v>
      </c>
      <c r="FD168" s="238" t="n">
        <f aca="false">IF(FD166=0,0,IF(FD166&lt;=12*'🎚️ Escenario'!$C$11,1,1+$C$6))</f>
        <v>1.2</v>
      </c>
      <c r="FE168" s="238" t="n">
        <f aca="false">IF(FE166=0,0,IF(FE166&lt;=12*'🎚️ Escenario'!$C$11,1,1+$C$6))</f>
        <v>1.2</v>
      </c>
      <c r="FF168" s="238" t="n">
        <f aca="false">IF(FF166=0,0,IF(FF166&lt;=12*'🎚️ Escenario'!$C$11,1,1+$C$6))</f>
        <v>1.2</v>
      </c>
      <c r="FG168" s="238" t="n">
        <f aca="false">IF(FG166=0,0,IF(FG166&lt;=12*'🎚️ Escenario'!$C$11,1,1+$C$6))</f>
        <v>1.2</v>
      </c>
      <c r="FH168" s="238" t="n">
        <f aca="false">IF(FH166=0,0,IF(FH166&lt;=12*'🎚️ Escenario'!$C$11,1,1+$C$6))</f>
        <v>1.2</v>
      </c>
      <c r="FI168" s="238" t="n">
        <f aca="false">IF(FI166=0,0,IF(FI166&lt;=12*'🎚️ Escenario'!$C$11,1,1+$C$6))</f>
        <v>1.2</v>
      </c>
      <c r="FJ168" s="238" t="n">
        <f aca="false">IF(FJ166=0,0,IF(FJ166&lt;=12*'🎚️ Escenario'!$C$11,1,1+$C$6))</f>
        <v>1.2</v>
      </c>
      <c r="FK168" s="238" t="n">
        <f aca="false">IF(FK166=0,0,IF(FK166&lt;=12*'🎚️ Escenario'!$C$11,1,1+$C$6))</f>
        <v>1.2</v>
      </c>
      <c r="FL168" s="238" t="n">
        <f aca="false">IF(FL166=0,0,IF(FL166&lt;=12*'🎚️ Escenario'!$C$11,1,1+$C$6))</f>
        <v>1.2</v>
      </c>
      <c r="FM168" s="238" t="n">
        <f aca="false">IF(FM166=0,0,IF(FM166&lt;=12*'🎚️ Escenario'!$C$11,1,1+$C$6))</f>
        <v>1.2</v>
      </c>
      <c r="FN168" s="238" t="n">
        <f aca="false">IF(FN166=0,0,IF(FN166&lt;=12*'🎚️ Escenario'!$C$11,1,1+$C$6))</f>
        <v>1.2</v>
      </c>
      <c r="FO168" s="238" t="n">
        <f aca="false">IF(FO166=0,0,IF(FO166&lt;=12*'🎚️ Escenario'!$C$11,1,1+$C$6))</f>
        <v>1.2</v>
      </c>
      <c r="FP168" s="238" t="n">
        <f aca="false">IF(FP166=0,0,IF(FP166&lt;=12*'🎚️ Escenario'!$C$11,1,1+$C$6))</f>
        <v>1.2</v>
      </c>
    </row>
    <row r="169" customFormat="false" ht="15" hidden="false" customHeight="false" outlineLevel="2" collapsed="false">
      <c r="B169" s="9" t="s">
        <v>876</v>
      </c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36" t="n">
        <f aca="false">AC167*$AC$165*AC168*AC$38*'⑫ Roll-out Plan'!$O$22</f>
        <v>0</v>
      </c>
      <c r="AD169" s="36" t="n">
        <f aca="false">AD167*$AC$165*AD168*AD$38*'⑫ Roll-out Plan'!$O$22</f>
        <v>0</v>
      </c>
      <c r="AE169" s="36" t="n">
        <f aca="false">AE167*$AC$165*AE168*AE$38*'⑫ Roll-out Plan'!$O$22</f>
        <v>0</v>
      </c>
      <c r="AF169" s="36" t="n">
        <f aca="false">AF167*$AC$165*AF168*AF$38*'⑫ Roll-out Plan'!$O$22</f>
        <v>0</v>
      </c>
      <c r="AG169" s="36" t="n">
        <f aca="false">AG167*$AC$165*AG168*AG$38*'⑫ Roll-out Plan'!$O$22</f>
        <v>0</v>
      </c>
      <c r="AH169" s="36" t="n">
        <f aca="false">AH167*$AC$165*AH168*AH$38*'⑫ Roll-out Plan'!$O$22</f>
        <v>0</v>
      </c>
      <c r="AI169" s="36" t="n">
        <f aca="false">AI167*$AC$165*AI168*AI$38*'⑫ Roll-out Plan'!$O$22</f>
        <v>0</v>
      </c>
      <c r="AJ169" s="36" t="n">
        <f aca="false">AJ167*$AC$165*AJ168*AJ$38*'⑫ Roll-out Plan'!$O$22</f>
        <v>0</v>
      </c>
      <c r="AK169" s="36" t="n">
        <f aca="false">AK167*$AC$165*AK168*AK$38*'⑫ Roll-out Plan'!$O$22</f>
        <v>0</v>
      </c>
      <c r="AL169" s="36" t="n">
        <f aca="false">AL167*$AC$165*AL168*AL$38*'⑫ Roll-out Plan'!$O$22</f>
        <v>0</v>
      </c>
      <c r="AM169" s="36" t="n">
        <f aca="false">AM167*$AC$165*AM168*AM$38*'⑫ Roll-out Plan'!$O$22</f>
        <v>0</v>
      </c>
      <c r="AN169" s="36" t="n">
        <f aca="false">AN167*$AC$165*AN168*AN$38*'⑫ Roll-out Plan'!$O$22</f>
        <v>0</v>
      </c>
      <c r="AO169" s="36" t="n">
        <f aca="false">AO167*$AC$165*AO168*AO$38*'⑫ Roll-out Plan'!$O$22</f>
        <v>0</v>
      </c>
      <c r="AP169" s="36" t="n">
        <f aca="false">AP167*$AC$165*AP168*AP$38*'⑫ Roll-out Plan'!$O$22</f>
        <v>0</v>
      </c>
      <c r="AQ169" s="36" t="n">
        <f aca="false">AQ167*$AC$165*AQ168*AQ$38*'⑫ Roll-out Plan'!$O$22</f>
        <v>0</v>
      </c>
      <c r="AR169" s="36" t="n">
        <f aca="false">AR167*$AC$165*AR168*AR$38*'⑫ Roll-out Plan'!$O$22</f>
        <v>0</v>
      </c>
      <c r="AS169" s="36" t="n">
        <f aca="false">AS167*$AC$165*AS168*AS$38*'⑫ Roll-out Plan'!$O$22</f>
        <v>0</v>
      </c>
      <c r="AT169" s="36" t="n">
        <f aca="false">AT167*$AC$165*AT168*AT$38*'⑫ Roll-out Plan'!$O$22</f>
        <v>0</v>
      </c>
      <c r="AU169" s="36" t="n">
        <f aca="false">AU167*$AC$165*AU168*AU$38*'⑫ Roll-out Plan'!$O$22</f>
        <v>0</v>
      </c>
      <c r="AV169" s="36" t="n">
        <f aca="false">AV167*$AC$165*AV168*AV$38*'⑫ Roll-out Plan'!$O$22</f>
        <v>0</v>
      </c>
      <c r="AW169" s="36" t="n">
        <f aca="false">AW167*$AC$165*AW168*AW$38*'⑫ Roll-out Plan'!$O$22</f>
        <v>0</v>
      </c>
      <c r="AX169" s="36" t="n">
        <f aca="false">AX167*$AC$165*AX168*AX$38*'⑫ Roll-out Plan'!$O$22</f>
        <v>0</v>
      </c>
      <c r="AY169" s="36" t="n">
        <f aca="false">AY167*$AC$165*AY168*AY$38*'⑫ Roll-out Plan'!$O$22</f>
        <v>0</v>
      </c>
      <c r="AZ169" s="36" t="n">
        <f aca="false">AZ167*$AC$165*AZ168*AZ$38*'⑫ Roll-out Plan'!$O$22</f>
        <v>0</v>
      </c>
      <c r="BA169" s="36" t="n">
        <f aca="false">BA167*$AC$165*BA168*BA$38*'⑫ Roll-out Plan'!$O$22</f>
        <v>0</v>
      </c>
      <c r="BB169" s="36" t="n">
        <f aca="false">BB167*$AC$165*BB168*BB$38*'⑫ Roll-out Plan'!$O$22</f>
        <v>0</v>
      </c>
      <c r="BC169" s="36" t="n">
        <f aca="false">BC167*$AC$165*BC168*BC$38*'⑫ Roll-out Plan'!$O$22</f>
        <v>0</v>
      </c>
      <c r="BD169" s="36" t="n">
        <f aca="false">BD167*$AC$165*BD168*BD$38*'⑫ Roll-out Plan'!$O$22</f>
        <v>0</v>
      </c>
      <c r="BE169" s="36" t="n">
        <f aca="false">BE167*$AC$165*BE168*BE$38*'⑫ Roll-out Plan'!$O$22</f>
        <v>0</v>
      </c>
      <c r="BF169" s="36" t="n">
        <f aca="false">BF167*$AC$165*BF168*BF$38*'⑫ Roll-out Plan'!$O$22</f>
        <v>0</v>
      </c>
      <c r="BG169" s="36" t="n">
        <f aca="false">BG167*$AC$165*BG168*BG$38*'⑫ Roll-out Plan'!$O$22</f>
        <v>0</v>
      </c>
      <c r="BH169" s="36" t="n">
        <f aca="false">BH167*$AC$165*BH168*BH$38*'⑫ Roll-out Plan'!$O$22</f>
        <v>0</v>
      </c>
      <c r="BI169" s="36" t="n">
        <f aca="false">BI167*$AC$165*BI168*BI$38*'⑫ Roll-out Plan'!$O$22</f>
        <v>0</v>
      </c>
      <c r="BJ169" s="36" t="n">
        <f aca="false">BJ167*$AC$165*BJ168*BJ$38*'⑫ Roll-out Plan'!$O$22</f>
        <v>0</v>
      </c>
      <c r="BK169" s="36" t="n">
        <f aca="false">BK167*$AC$165*BK168*BK$38*'⑫ Roll-out Plan'!$O$22</f>
        <v>0</v>
      </c>
      <c r="BL169" s="36" t="n">
        <f aca="false">BL167*$AC$165*BL168*BL$38*'⑫ Roll-out Plan'!$O$22</f>
        <v>0</v>
      </c>
      <c r="BM169" s="36" t="n">
        <f aca="false">BM167*$AC$165*BM168*BM$38*'⑫ Roll-out Plan'!$O$22</f>
        <v>0</v>
      </c>
      <c r="BN169" s="36" t="n">
        <f aca="false">BN167*$AC$165*BN168*BN$38*'⑫ Roll-out Plan'!$O$22</f>
        <v>0</v>
      </c>
      <c r="BO169" s="36" t="n">
        <f aca="false">BO167*$AC$165*BO168*BO$38*'⑫ Roll-out Plan'!$O$22</f>
        <v>0</v>
      </c>
      <c r="BP169" s="36" t="n">
        <f aca="false">BP167*$AC$165*BP168*BP$38*'⑫ Roll-out Plan'!$O$22</f>
        <v>0</v>
      </c>
      <c r="BQ169" s="36" t="n">
        <f aca="false">BQ167*$AC$165*BQ168*BQ$38*'⑫ Roll-out Plan'!$O$22</f>
        <v>0</v>
      </c>
      <c r="BR169" s="36" t="n">
        <f aca="false">BR167*$AC$165*BR168*BR$38*'⑫ Roll-out Plan'!$O$22</f>
        <v>0</v>
      </c>
      <c r="BS169" s="36" t="n">
        <f aca="false">BS167*$AC$165*BS168*BS$38*'⑫ Roll-out Plan'!$O$22</f>
        <v>0</v>
      </c>
      <c r="BT169" s="36" t="n">
        <f aca="false">BT167*$AC$165*BT168*BT$38*'⑫ Roll-out Plan'!$O$22</f>
        <v>0</v>
      </c>
      <c r="BU169" s="36" t="n">
        <f aca="false">BU167*$AC$165*BU168*BU$38*'⑫ Roll-out Plan'!$O$22</f>
        <v>0</v>
      </c>
      <c r="BV169" s="36" t="n">
        <f aca="false">BV167*$AC$165*BV168*BV$38*'⑫ Roll-out Plan'!$O$22</f>
        <v>0</v>
      </c>
      <c r="BW169" s="36" t="n">
        <f aca="false">BW167*$AC$165*BW168*BW$38*'⑫ Roll-out Plan'!$O$22</f>
        <v>30.24</v>
      </c>
      <c r="BX169" s="36" t="n">
        <f aca="false">BX167*$AC$165*BX168*BX$38*'⑫ Roll-out Plan'!$O$22</f>
        <v>47.124</v>
      </c>
      <c r="BY169" s="36" t="n">
        <f aca="false">BY167*$AC$165*BY168*BY$38*'⑫ Roll-out Plan'!$O$22</f>
        <v>54.432</v>
      </c>
      <c r="BZ169" s="36" t="n">
        <f aca="false">BZ167*$AC$165*BZ168*BZ$38*'⑫ Roll-out Plan'!$O$22</f>
        <v>46.494</v>
      </c>
      <c r="CA169" s="36" t="n">
        <f aca="false">CA167*$AC$165*CA168*CA$38*'⑫ Roll-out Plan'!$O$22</f>
        <v>65.772</v>
      </c>
      <c r="CB169" s="36" t="n">
        <f aca="false">CB167*$AC$165*CB168*CB$38*'⑫ Roll-out Plan'!$O$22</f>
        <v>71.61</v>
      </c>
      <c r="CC169" s="36" t="n">
        <f aca="false">CC167*$AC$165*CC168*CC$38*'⑫ Roll-out Plan'!$O$22</f>
        <v>67.62</v>
      </c>
      <c r="CD169" s="36" t="n">
        <f aca="false">CD167*$AC$165*CD168*CD$38*'⑫ Roll-out Plan'!$O$22</f>
        <v>65.52</v>
      </c>
      <c r="CE169" s="36" t="n">
        <f aca="false">CE167*$AC$165*CE168*CE$38*'⑫ Roll-out Plan'!$O$22</f>
        <v>77.616</v>
      </c>
      <c r="CF169" s="36" t="n">
        <f aca="false">CF167*$AC$165*CF168*CF$38*'⑫ Roll-out Plan'!$O$22</f>
        <v>131.208</v>
      </c>
      <c r="CG169" s="36" t="n">
        <f aca="false">CG167*$AC$165*CG168*CG$38*'⑫ Roll-out Plan'!$O$22</f>
        <v>116.928</v>
      </c>
      <c r="CH169" s="36" t="n">
        <f aca="false">CH167*$AC$165*CH168*CH$38*'⑫ Roll-out Plan'!$O$22</f>
        <v>104.832</v>
      </c>
      <c r="CI169" s="36" t="n">
        <f aca="false">CI167*$AC$165*CI168*CI$38*'⑫ Roll-out Plan'!$O$22</f>
        <v>84.672</v>
      </c>
      <c r="CJ169" s="36" t="n">
        <f aca="false">CJ167*$AC$165*CJ168*CJ$38*'⑫ Roll-out Plan'!$O$22</f>
        <v>128.52</v>
      </c>
      <c r="CK169" s="36" t="n">
        <f aca="false">CK167*$AC$165*CK168*CK$38*'⑫ Roll-out Plan'!$O$22</f>
        <v>136.08</v>
      </c>
      <c r="CL169" s="36" t="n">
        <f aca="false">CL167*$AC$165*CL168*CL$38*'⑫ Roll-out Plan'!$O$22</f>
        <v>130.1832</v>
      </c>
      <c r="CM169" s="36" t="n">
        <f aca="false">CM167*$AC$165*CM168*CM$38*'⑫ Roll-out Plan'!$O$22</f>
        <v>192.9312</v>
      </c>
      <c r="CN169" s="36" t="n">
        <f aca="false">CN167*$AC$165*CN168*CN$38*'⑫ Roll-out Plan'!$O$22</f>
        <v>191.268</v>
      </c>
      <c r="CO169" s="36" t="n">
        <f aca="false">CO167*$AC$165*CO168*CO$38*'⑫ Roll-out Plan'!$O$22</f>
        <v>164.6064</v>
      </c>
      <c r="CP169" s="36" t="n">
        <f aca="false">CP167*$AC$165*CP168*CP$38*'⑫ Roll-out Plan'!$O$22</f>
        <v>143.136</v>
      </c>
      <c r="CQ169" s="36" t="n">
        <f aca="false">CQ167*$AC$165*CQ168*CQ$38*'⑫ Roll-out Plan'!$O$22</f>
        <v>154.5264</v>
      </c>
      <c r="CR169" s="36" t="n">
        <f aca="false">CR167*$AC$165*CR168*CR$38*'⑫ Roll-out Plan'!$O$22</f>
        <v>268.38</v>
      </c>
      <c r="CS169" s="36" t="n">
        <f aca="false">CS167*$AC$165*CS168*CS$38*'⑫ Roll-out Plan'!$O$22</f>
        <v>225.0864</v>
      </c>
      <c r="CT169" s="36" t="n">
        <f aca="false">CT167*$AC$165*CT168*CT$38*'⑫ Roll-out Plan'!$O$22</f>
        <v>191.1168</v>
      </c>
      <c r="CU169" s="36" t="n">
        <f aca="false">CU167*$AC$165*CU168*CU$38*'⑫ Roll-out Plan'!$O$22</f>
        <v>143.3376</v>
      </c>
      <c r="CV169" s="36" t="n">
        <f aca="false">CV167*$AC$165*CV168*CV$38*'⑫ Roll-out Plan'!$O$22</f>
        <v>205.632</v>
      </c>
      <c r="CW169" s="36" t="n">
        <f aca="false">CW167*$AC$165*CW168*CW$38*'⑫ Roll-out Plan'!$O$22</f>
        <v>223.1712</v>
      </c>
      <c r="CX169" s="36" t="n">
        <f aca="false">CX167*$AC$165*CX168*CX$38*'⑫ Roll-out Plan'!$O$22</f>
        <v>173.5776</v>
      </c>
      <c r="CY169" s="36" t="n">
        <f aca="false">CY167*$AC$165*CY168*CY$38*'⑫ Roll-out Plan'!$O$22</f>
        <v>248.472</v>
      </c>
      <c r="CZ169" s="36" t="n">
        <f aca="false">CZ167*$AC$165*CZ168*CZ$38*'⑫ Roll-out Plan'!$O$22</f>
        <v>235.62</v>
      </c>
      <c r="DA169" s="36" t="n">
        <f aca="false">DA167*$AC$165*DA168*DA$38*'⑫ Roll-out Plan'!$O$22</f>
        <v>199.3824</v>
      </c>
      <c r="DB169" s="36" t="n">
        <f aca="false">DB167*$AC$165*DB168*DB$38*'⑫ Roll-out Plan'!$O$22</f>
        <v>177.408</v>
      </c>
      <c r="DC169" s="36" t="n">
        <f aca="false">DC167*$AC$165*DC168*DC$38*'⑫ Roll-out Plan'!$O$22</f>
        <v>188.3952</v>
      </c>
      <c r="DD169" s="36" t="n">
        <f aca="false">DD167*$AC$165*DD168*DD$38*'⑫ Roll-out Plan'!$O$22</f>
        <v>322.056</v>
      </c>
      <c r="DE169" s="36" t="n">
        <f aca="false">DE167*$AC$165*DE168*DE$38*'⑫ Roll-out Plan'!$O$22</f>
        <v>263.088</v>
      </c>
      <c r="DF169" s="36" t="n">
        <f aca="false">DF167*$AC$165*DF168*DF$38*'⑫ Roll-out Plan'!$O$22</f>
        <v>222.5664</v>
      </c>
      <c r="DG169" s="36" t="n">
        <f aca="false">DG167*$AC$165*DG168*DG$38*'⑫ Roll-out Plan'!$O$22</f>
        <v>168.7392</v>
      </c>
      <c r="DH169" s="36" t="n">
        <f aca="false">DH167*$AC$165*DH168*DH$38*'⑫ Roll-out Plan'!$O$22</f>
        <v>241.6176</v>
      </c>
      <c r="DI169" s="36" t="n">
        <f aca="false">DI167*$AC$165*DI168*DI$38*'⑫ Roll-out Plan'!$O$22</f>
        <v>258.552</v>
      </c>
      <c r="DJ169" s="36" t="n">
        <f aca="false">DJ167*$AC$165*DJ168*DJ$38*'⑫ Roll-out Plan'!$O$22</f>
        <v>196.308</v>
      </c>
      <c r="DK169" s="36" t="n">
        <f aca="false">DK167*$AC$165*DK168*DK$38*'⑫ Roll-out Plan'!$O$22</f>
        <v>283.5504</v>
      </c>
      <c r="DL169" s="36" t="n">
        <f aca="false">DL167*$AC$165*DL168*DL$38*'⑫ Roll-out Plan'!$O$22</f>
        <v>271.656</v>
      </c>
      <c r="DM169" s="36" t="n">
        <f aca="false">DM167*$AC$165*DM168*DM$38*'⑫ Roll-out Plan'!$O$22</f>
        <v>229.5216</v>
      </c>
      <c r="DN169" s="36" t="n">
        <f aca="false">DN167*$AC$165*DN168*DN$38*'⑫ Roll-out Plan'!$O$22</f>
        <v>201.6</v>
      </c>
      <c r="DO169" s="36" t="n">
        <f aca="false">DO167*$AC$165*DO168*DO$38*'⑫ Roll-out Plan'!$O$22</f>
        <v>211.68</v>
      </c>
      <c r="DP169" s="36" t="n">
        <f aca="false">DP167*$AC$165*DP168*DP$38*'⑫ Roll-out Plan'!$O$22</f>
        <v>357.84</v>
      </c>
      <c r="DQ169" s="36" t="n">
        <f aca="false">DQ167*$AC$165*DQ168*DQ$38*'⑫ Roll-out Plan'!$O$22</f>
        <v>292.32</v>
      </c>
      <c r="DR169" s="36" t="n">
        <f aca="false">DR167*$AC$165*DR168*DR$38*'⑫ Roll-out Plan'!$O$22</f>
        <v>241.92</v>
      </c>
      <c r="DS169" s="36" t="n">
        <f aca="false">DS167*$AC$165*DS168*DS$38*'⑫ Roll-out Plan'!$O$22</f>
        <v>181.44</v>
      </c>
      <c r="DT169" s="36" t="n">
        <f aca="false">DT167*$AC$165*DT168*DT$38*'⑫ Roll-out Plan'!$O$22</f>
        <v>257.04</v>
      </c>
      <c r="DU169" s="36" t="n">
        <f aca="false">DU167*$AC$165*DU168*DU$38*'⑫ Roll-out Plan'!$O$22</f>
        <v>272.16</v>
      </c>
      <c r="DV169" s="36" t="n">
        <f aca="false">DV167*$AC$165*DV168*DV$38*'⑫ Roll-out Plan'!$O$22</f>
        <v>206.64</v>
      </c>
      <c r="DW169" s="36" t="n">
        <f aca="false">DW167*$AC$165*DW168*DW$38*'⑫ Roll-out Plan'!$O$22</f>
        <v>292.32</v>
      </c>
      <c r="DX169" s="36" t="n">
        <f aca="false">DX167*$AC$165*DX168*DX$38*'⑫ Roll-out Plan'!$O$22</f>
        <v>277.2</v>
      </c>
      <c r="DY169" s="36" t="n">
        <f aca="false">DY167*$AC$165*DY168*DY$38*'⑫ Roll-out Plan'!$O$22</f>
        <v>231.84</v>
      </c>
      <c r="DZ169" s="36" t="n">
        <f aca="false">DZ167*$AC$165*DZ168*DZ$38*'⑫ Roll-out Plan'!$O$22</f>
        <v>201.6</v>
      </c>
      <c r="EA169" s="36" t="n">
        <f aca="false">EA167*$AC$165*EA168*EA$38*'⑫ Roll-out Plan'!$O$22</f>
        <v>211.68</v>
      </c>
      <c r="EB169" s="36" t="n">
        <f aca="false">EB167*$AC$165*EB168*EB$38*'⑫ Roll-out Plan'!$O$22</f>
        <v>357.84</v>
      </c>
      <c r="EC169" s="36" t="n">
        <f aca="false">EC167*$AC$165*EC168*EC$38*'⑫ Roll-out Plan'!$O$22</f>
        <v>292.32</v>
      </c>
      <c r="ED169" s="36" t="n">
        <f aca="false">ED167*$AC$165*ED168*ED$38*'⑫ Roll-out Plan'!$O$22</f>
        <v>241.92</v>
      </c>
      <c r="EE169" s="36" t="n">
        <f aca="false">EE167*$AC$165*EE168*EE$38*'⑫ Roll-out Plan'!$O$22</f>
        <v>181.44</v>
      </c>
      <c r="EF169" s="36" t="n">
        <f aca="false">EF167*$AC$165*EF168*EF$38*'⑫ Roll-out Plan'!$O$22</f>
        <v>257.04</v>
      </c>
      <c r="EG169" s="36" t="n">
        <f aca="false">EG167*$AC$165*EG168*EG$38*'⑫ Roll-out Plan'!$O$22</f>
        <v>272.16</v>
      </c>
      <c r="EH169" s="36" t="n">
        <f aca="false">EH167*$AC$165*EH168*EH$38*'⑫ Roll-out Plan'!$O$22</f>
        <v>206.64</v>
      </c>
      <c r="EI169" s="36" t="n">
        <f aca="false">EI167*$AC$165*EI168*EI$38*'⑫ Roll-out Plan'!$O$22</f>
        <v>292.32</v>
      </c>
      <c r="EJ169" s="36" t="n">
        <f aca="false">EJ167*$AC$165*EJ168*EJ$38*'⑫ Roll-out Plan'!$O$22</f>
        <v>277.2</v>
      </c>
      <c r="EK169" s="36" t="n">
        <f aca="false">EK167*$AC$165*EK168*EK$38*'⑫ Roll-out Plan'!$O$22</f>
        <v>231.84</v>
      </c>
      <c r="EL169" s="36" t="n">
        <f aca="false">EL167*$AC$165*EL168*EL$38*'⑫ Roll-out Plan'!$O$22</f>
        <v>201.6</v>
      </c>
      <c r="EM169" s="36" t="n">
        <f aca="false">EM167*$AC$165*EM168*EM$38*'⑫ Roll-out Plan'!$O$22</f>
        <v>211.68</v>
      </c>
      <c r="EN169" s="36" t="n">
        <f aca="false">EN167*$AC$165*EN168*EN$38*'⑫ Roll-out Plan'!$O$22</f>
        <v>357.84</v>
      </c>
      <c r="EO169" s="36" t="n">
        <f aca="false">EO167*$AC$165*EO168*EO$38*'⑫ Roll-out Plan'!$O$22</f>
        <v>292.32</v>
      </c>
      <c r="EP169" s="36" t="n">
        <f aca="false">EP167*$AC$165*EP168*EP$38*'⑫ Roll-out Plan'!$O$22</f>
        <v>241.92</v>
      </c>
      <c r="EQ169" s="36" t="n">
        <f aca="false">EQ167*$AC$165*EQ168*EQ$38*'⑫ Roll-out Plan'!$O$22</f>
        <v>181.44</v>
      </c>
      <c r="ER169" s="36" t="n">
        <f aca="false">ER167*$AC$165*ER168*ER$38*'⑫ Roll-out Plan'!$O$22</f>
        <v>257.04</v>
      </c>
      <c r="ES169" s="9" t="n">
        <f aca="false">ES167*$AC$165*ES168*ES$38*'⑫ Roll-out Plan'!$O$22</f>
        <v>272.16</v>
      </c>
      <c r="ET169" s="9" t="n">
        <f aca="false">ET167*$AC$165*ET168*ET$38*'⑫ Roll-out Plan'!$O$22</f>
        <v>206.64</v>
      </c>
      <c r="EU169" s="9" t="n">
        <f aca="false">EU167*$AC$165*EU168*EU$38*'⑫ Roll-out Plan'!$O$22</f>
        <v>292.32</v>
      </c>
      <c r="EV169" s="9" t="n">
        <f aca="false">EV167*$AC$165*EV168*EV$38*'⑫ Roll-out Plan'!$O$22</f>
        <v>277.2</v>
      </c>
      <c r="EW169" s="9" t="n">
        <f aca="false">EW167*$AC$165*EW168*EW$38*'⑫ Roll-out Plan'!$O$22</f>
        <v>231.84</v>
      </c>
      <c r="EX169" s="9" t="n">
        <f aca="false">EX167*$AC$165*EX168*EX$38*'⑫ Roll-out Plan'!$O$22</f>
        <v>201.6</v>
      </c>
      <c r="EY169" s="9" t="n">
        <f aca="false">EY167*$AC$165*EY168*EY$38*'⑫ Roll-out Plan'!$O$22</f>
        <v>211.68</v>
      </c>
      <c r="EZ169" s="9" t="n">
        <f aca="false">EZ167*$AC$165*EZ168*EZ$38*'⑫ Roll-out Plan'!$O$22</f>
        <v>357.84</v>
      </c>
      <c r="FA169" s="9" t="n">
        <f aca="false">FA167*$AC$165*FA168*FA$38*'⑫ Roll-out Plan'!$O$22</f>
        <v>292.32</v>
      </c>
      <c r="FB169" s="9" t="n">
        <f aca="false">FB167*$AC$165*FB168*FB$38*'⑫ Roll-out Plan'!$O$22</f>
        <v>241.92</v>
      </c>
      <c r="FC169" s="9" t="n">
        <f aca="false">FC167*$AC$165*FC168*FC$38*'⑫ Roll-out Plan'!$O$22</f>
        <v>181.44</v>
      </c>
      <c r="FD169" s="9" t="n">
        <f aca="false">FD167*$AC$165*FD168*FD$38*'⑫ Roll-out Plan'!$O$22</f>
        <v>257.04</v>
      </c>
      <c r="FE169" s="9" t="n">
        <f aca="false">FE167*$AC$165*FE168*FE$38*'⑫ Roll-out Plan'!$O$22</f>
        <v>272.16</v>
      </c>
      <c r="FF169" s="9" t="n">
        <f aca="false">FF167*$AC$165*FF168*FF$38*'⑫ Roll-out Plan'!$O$22</f>
        <v>206.64</v>
      </c>
      <c r="FG169" s="9" t="n">
        <f aca="false">FG167*$AC$165*FG168*FG$38*'⑫ Roll-out Plan'!$O$22</f>
        <v>292.32</v>
      </c>
      <c r="FH169" s="9" t="n">
        <f aca="false">FH167*$AC$165*FH168*FH$38*'⑫ Roll-out Plan'!$O$22</f>
        <v>277.2</v>
      </c>
      <c r="FI169" s="9" t="n">
        <f aca="false">FI167*$AC$165*FI168*FI$38*'⑫ Roll-out Plan'!$O$22</f>
        <v>231.84</v>
      </c>
      <c r="FJ169" s="9" t="n">
        <f aca="false">FJ167*$AC$165*FJ168*FJ$38*'⑫ Roll-out Plan'!$O$22</f>
        <v>201.6</v>
      </c>
      <c r="FK169" s="9" t="n">
        <f aca="false">FK167*$AC$165*FK168*FK$38*'⑫ Roll-out Plan'!$O$22</f>
        <v>211.68</v>
      </c>
      <c r="FL169" s="9" t="n">
        <f aca="false">FL167*$AC$165*FL168*FL$38*'⑫ Roll-out Plan'!$O$22</f>
        <v>357.84</v>
      </c>
      <c r="FM169" s="9" t="n">
        <f aca="false">FM167*$AC$165*FM168*FM$38*'⑫ Roll-out Plan'!$O$22</f>
        <v>292.32</v>
      </c>
      <c r="FN169" s="9" t="n">
        <f aca="false">FN167*$AC$165*FN168*FN$38*'⑫ Roll-out Plan'!$O$22</f>
        <v>241.92</v>
      </c>
      <c r="FO169" s="9" t="n">
        <f aca="false">FO167*$AC$165*FO168*FO$38*'⑫ Roll-out Plan'!$O$22</f>
        <v>181.44</v>
      </c>
      <c r="FP169" s="9" t="n">
        <f aca="false">FP167*$AC$165*FP168*FP$38*'⑫ Roll-out Plan'!$O$22</f>
        <v>257.04</v>
      </c>
    </row>
    <row r="170" customFormat="false" ht="15" hidden="false" customHeight="false" outlineLevel="2" collapsed="false">
      <c r="B170" s="9" t="s">
        <v>877</v>
      </c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112" t="n">
        <f aca="true">IFERROR(SUMPRODUCT(OFFSET($BJ$31,0,1-MIN(60,COLUMN()-29),1,MIN(60,COLUMN()-29)),OFFSET(AC169,0,-MIN(60,COLUMN()-29),1,MIN(60,COLUMN()-29))),0)</f>
        <v>0</v>
      </c>
      <c r="AD170" s="112" t="n">
        <f aca="true">IFERROR(SUMPRODUCT(OFFSET($BJ$31,0,1-MIN(60,COLUMN()-29),1,MIN(60,COLUMN()-29)),OFFSET(AD169,0,-MIN(60,COLUMN()-29),1,MIN(60,COLUMN()-29))),0)</f>
        <v>0</v>
      </c>
      <c r="AE170" s="112" t="n">
        <f aca="true">IFERROR(SUMPRODUCT(OFFSET($BJ$31,0,1-MIN(60,COLUMN()-29),1,MIN(60,COLUMN()-29)),OFFSET(AE169,0,-MIN(60,COLUMN()-29),1,MIN(60,COLUMN()-29))),0)</f>
        <v>0</v>
      </c>
      <c r="AF170" s="112" t="n">
        <f aca="true">IFERROR(SUMPRODUCT(OFFSET($BJ$31,0,1-MIN(60,COLUMN()-29),1,MIN(60,COLUMN()-29)),OFFSET(AF169,0,-MIN(60,COLUMN()-29),1,MIN(60,COLUMN()-29))),0)</f>
        <v>0</v>
      </c>
      <c r="AG170" s="112" t="n">
        <f aca="true">IFERROR(SUMPRODUCT(OFFSET($BJ$31,0,1-MIN(60,COLUMN()-29),1,MIN(60,COLUMN()-29)),OFFSET(AG169,0,-MIN(60,COLUMN()-29),1,MIN(60,COLUMN()-29))),0)</f>
        <v>0</v>
      </c>
      <c r="AH170" s="112" t="n">
        <f aca="true">IFERROR(SUMPRODUCT(OFFSET($BJ$31,0,1-MIN(60,COLUMN()-29),1,MIN(60,COLUMN()-29)),OFFSET(AH169,0,-MIN(60,COLUMN()-29),1,MIN(60,COLUMN()-29))),0)</f>
        <v>0</v>
      </c>
      <c r="AI170" s="112" t="n">
        <f aca="true">IFERROR(SUMPRODUCT(OFFSET($BJ$31,0,1-MIN(60,COLUMN()-29),1,MIN(60,COLUMN()-29)),OFFSET(AI169,0,-MIN(60,COLUMN()-29),1,MIN(60,COLUMN()-29))),0)</f>
        <v>0</v>
      </c>
      <c r="AJ170" s="112" t="n">
        <f aca="true">IFERROR(SUMPRODUCT(OFFSET($BJ$31,0,1-MIN(60,COLUMN()-29),1,MIN(60,COLUMN()-29)),OFFSET(AJ169,0,-MIN(60,COLUMN()-29),1,MIN(60,COLUMN()-29))),0)</f>
        <v>0</v>
      </c>
      <c r="AK170" s="112" t="n">
        <f aca="true">IFERROR(SUMPRODUCT(OFFSET($BJ$31,0,1-MIN(60,COLUMN()-29),1,MIN(60,COLUMN()-29)),OFFSET(AK169,0,-MIN(60,COLUMN()-29),1,MIN(60,COLUMN()-29))),0)</f>
        <v>0</v>
      </c>
      <c r="AL170" s="112" t="n">
        <f aca="true">IFERROR(SUMPRODUCT(OFFSET($BJ$31,0,1-MIN(60,COLUMN()-29),1,MIN(60,COLUMN()-29)),OFFSET(AL169,0,-MIN(60,COLUMN()-29),1,MIN(60,COLUMN()-29))),0)</f>
        <v>0</v>
      </c>
      <c r="AM170" s="112" t="n">
        <f aca="true">IFERROR(SUMPRODUCT(OFFSET($BJ$31,0,1-MIN(60,COLUMN()-29),1,MIN(60,COLUMN()-29)),OFFSET(AM169,0,-MIN(60,COLUMN()-29),1,MIN(60,COLUMN()-29))),0)</f>
        <v>0</v>
      </c>
      <c r="AN170" s="112" t="n">
        <f aca="true">IFERROR(SUMPRODUCT(OFFSET($BJ$31,0,1-MIN(60,COLUMN()-29),1,MIN(60,COLUMN()-29)),OFFSET(AN169,0,-MIN(60,COLUMN()-29),1,MIN(60,COLUMN()-29))),0)</f>
        <v>0</v>
      </c>
      <c r="AO170" s="112" t="n">
        <f aca="true">IFERROR(SUMPRODUCT(OFFSET($BJ$31,0,1-MIN(60,COLUMN()-29),1,MIN(60,COLUMN()-29)),OFFSET(AO169,0,-MIN(60,COLUMN()-29),1,MIN(60,COLUMN()-29))),0)</f>
        <v>0</v>
      </c>
      <c r="AP170" s="112" t="n">
        <f aca="true">IFERROR(SUMPRODUCT(OFFSET($BJ$31,0,1-MIN(60,COLUMN()-29),1,MIN(60,COLUMN()-29)),OFFSET(AP169,0,-MIN(60,COLUMN()-29),1,MIN(60,COLUMN()-29))),0)</f>
        <v>0</v>
      </c>
      <c r="AQ170" s="112" t="n">
        <f aca="true">IFERROR(SUMPRODUCT(OFFSET($BJ$31,0,1-MIN(60,COLUMN()-29),1,MIN(60,COLUMN()-29)),OFFSET(AQ169,0,-MIN(60,COLUMN()-29),1,MIN(60,COLUMN()-29))),0)</f>
        <v>0</v>
      </c>
      <c r="AR170" s="112" t="n">
        <f aca="true">IFERROR(SUMPRODUCT(OFFSET($BJ$31,0,1-MIN(60,COLUMN()-29),1,MIN(60,COLUMN()-29)),OFFSET(AR169,0,-MIN(60,COLUMN()-29),1,MIN(60,COLUMN()-29))),0)</f>
        <v>0</v>
      </c>
      <c r="AS170" s="112" t="n">
        <f aca="true">IFERROR(SUMPRODUCT(OFFSET($BJ$31,0,1-MIN(60,COLUMN()-29),1,MIN(60,COLUMN()-29)),OFFSET(AS169,0,-MIN(60,COLUMN()-29),1,MIN(60,COLUMN()-29))),0)</f>
        <v>0</v>
      </c>
      <c r="AT170" s="112" t="n">
        <f aca="true">IFERROR(SUMPRODUCT(OFFSET($BJ$31,0,1-MIN(60,COLUMN()-29),1,MIN(60,COLUMN()-29)),OFFSET(AT169,0,-MIN(60,COLUMN()-29),1,MIN(60,COLUMN()-29))),0)</f>
        <v>0</v>
      </c>
      <c r="AU170" s="112" t="n">
        <f aca="true">IFERROR(SUMPRODUCT(OFFSET($BJ$31,0,1-MIN(60,COLUMN()-29),1,MIN(60,COLUMN()-29)),OFFSET(AU169,0,-MIN(60,COLUMN()-29),1,MIN(60,COLUMN()-29))),0)</f>
        <v>0</v>
      </c>
      <c r="AV170" s="112" t="n">
        <f aca="true">IFERROR(SUMPRODUCT(OFFSET($BJ$31,0,1-MIN(60,COLUMN()-29),1,MIN(60,COLUMN()-29)),OFFSET(AV169,0,-MIN(60,COLUMN()-29),1,MIN(60,COLUMN()-29))),0)</f>
        <v>0</v>
      </c>
      <c r="AW170" s="112" t="n">
        <f aca="true">IFERROR(SUMPRODUCT(OFFSET($BJ$31,0,1-MIN(60,COLUMN()-29),1,MIN(60,COLUMN()-29)),OFFSET(AW169,0,-MIN(60,COLUMN()-29),1,MIN(60,COLUMN()-29))),0)</f>
        <v>0</v>
      </c>
      <c r="AX170" s="112" t="n">
        <f aca="true">IFERROR(SUMPRODUCT(OFFSET($BJ$31,0,1-MIN(60,COLUMN()-29),1,MIN(60,COLUMN()-29)),OFFSET(AX169,0,-MIN(60,COLUMN()-29),1,MIN(60,COLUMN()-29))),0)</f>
        <v>0</v>
      </c>
      <c r="AY170" s="112" t="n">
        <f aca="true">IFERROR(SUMPRODUCT(OFFSET($BJ$31,0,1-MIN(60,COLUMN()-29),1,MIN(60,COLUMN()-29)),OFFSET(AY169,0,-MIN(60,COLUMN()-29),1,MIN(60,COLUMN()-29))),0)</f>
        <v>0</v>
      </c>
      <c r="AZ170" s="112" t="n">
        <f aca="true">IFERROR(SUMPRODUCT(OFFSET($BJ$31,0,1-MIN(60,COLUMN()-29),1,MIN(60,COLUMN()-29)),OFFSET(AZ169,0,-MIN(60,COLUMN()-29),1,MIN(60,COLUMN()-29))),0)</f>
        <v>0</v>
      </c>
      <c r="BA170" s="112" t="n">
        <f aca="true">IFERROR(SUMPRODUCT(OFFSET($BJ$31,0,1-MIN(60,COLUMN()-29),1,MIN(60,COLUMN()-29)),OFFSET(BA169,0,-MIN(60,COLUMN()-29),1,MIN(60,COLUMN()-29))),0)</f>
        <v>0</v>
      </c>
      <c r="BB170" s="112" t="n">
        <f aca="true">IFERROR(SUMPRODUCT(OFFSET($BJ$31,0,1-MIN(60,COLUMN()-29),1,MIN(60,COLUMN()-29)),OFFSET(BB169,0,-MIN(60,COLUMN()-29),1,MIN(60,COLUMN()-29))),0)</f>
        <v>0</v>
      </c>
      <c r="BC170" s="112" t="n">
        <f aca="true">IFERROR(SUMPRODUCT(OFFSET($BJ$31,0,1-MIN(60,COLUMN()-29),1,MIN(60,COLUMN()-29)),OFFSET(BC169,0,-MIN(60,COLUMN()-29),1,MIN(60,COLUMN()-29))),0)</f>
        <v>0</v>
      </c>
      <c r="BD170" s="112" t="n">
        <f aca="true">IFERROR(SUMPRODUCT(OFFSET($BJ$31,0,1-MIN(60,COLUMN()-29),1,MIN(60,COLUMN()-29)),OFFSET(BD169,0,-MIN(60,COLUMN()-29),1,MIN(60,COLUMN()-29))),0)</f>
        <v>0</v>
      </c>
      <c r="BE170" s="112" t="n">
        <f aca="true">IFERROR(SUMPRODUCT(OFFSET($BJ$31,0,1-MIN(60,COLUMN()-29),1,MIN(60,COLUMN()-29)),OFFSET(BE169,0,-MIN(60,COLUMN()-29),1,MIN(60,COLUMN()-29))),0)</f>
        <v>0</v>
      </c>
      <c r="BF170" s="112" t="n">
        <f aca="true">IFERROR(SUMPRODUCT(OFFSET($BJ$31,0,1-MIN(60,COLUMN()-29),1,MIN(60,COLUMN()-29)),OFFSET(BF169,0,-MIN(60,COLUMN()-29),1,MIN(60,COLUMN()-29))),0)</f>
        <v>0</v>
      </c>
      <c r="BG170" s="112" t="n">
        <f aca="true">IFERROR(SUMPRODUCT(OFFSET($BJ$31,0,1-MIN(60,COLUMN()-29),1,MIN(60,COLUMN()-29)),OFFSET(BG169,0,-MIN(60,COLUMN()-29),1,MIN(60,COLUMN()-29))),0)</f>
        <v>0</v>
      </c>
      <c r="BH170" s="112" t="n">
        <f aca="true">IFERROR(SUMPRODUCT(OFFSET($BJ$31,0,1-MIN(60,COLUMN()-29),1,MIN(60,COLUMN()-29)),OFFSET(BH169,0,-MIN(60,COLUMN()-29),1,MIN(60,COLUMN()-29))),0)</f>
        <v>0</v>
      </c>
      <c r="BI170" s="112" t="n">
        <f aca="true">IFERROR(SUMPRODUCT(OFFSET($BJ$31,0,1-MIN(60,COLUMN()-29),1,MIN(60,COLUMN()-29)),OFFSET(BI169,0,-MIN(60,COLUMN()-29),1,MIN(60,COLUMN()-29))),0)</f>
        <v>0</v>
      </c>
      <c r="BJ170" s="112" t="n">
        <f aca="true">IFERROR(SUMPRODUCT(OFFSET($BJ$31,0,1-MIN(60,COLUMN()-29),1,MIN(60,COLUMN()-29)),OFFSET(BJ169,0,-MIN(60,COLUMN()-29),1,MIN(60,COLUMN()-29))),0)</f>
        <v>0</v>
      </c>
      <c r="BK170" s="112" t="n">
        <f aca="true">IFERROR(SUMPRODUCT(OFFSET($BJ$31,0,1-MIN(60,COLUMN()-29),1,MIN(60,COLUMN()-29)),OFFSET(BK169,0,-MIN(60,COLUMN()-29),1,MIN(60,COLUMN()-29))),0)</f>
        <v>0</v>
      </c>
      <c r="BL170" s="112" t="n">
        <f aca="true">IFERROR(SUMPRODUCT(OFFSET($BJ$31,0,1-MIN(60,COLUMN()-29),1,MIN(60,COLUMN()-29)),OFFSET(BL169,0,-MIN(60,COLUMN()-29),1,MIN(60,COLUMN()-29))),0)</f>
        <v>0</v>
      </c>
      <c r="BM170" s="112" t="n">
        <f aca="true">IFERROR(SUMPRODUCT(OFFSET($BJ$31,0,1-MIN(60,COLUMN()-29),1,MIN(60,COLUMN()-29)),OFFSET(BM169,0,-MIN(60,COLUMN()-29),1,MIN(60,COLUMN()-29))),0)</f>
        <v>0</v>
      </c>
      <c r="BN170" s="112" t="n">
        <f aca="true">IFERROR(SUMPRODUCT(OFFSET($BJ$31,0,1-MIN(60,COLUMN()-29),1,MIN(60,COLUMN()-29)),OFFSET(BN169,0,-MIN(60,COLUMN()-29),1,MIN(60,COLUMN()-29))),0)</f>
        <v>0</v>
      </c>
      <c r="BO170" s="112" t="n">
        <f aca="true">IFERROR(SUMPRODUCT(OFFSET($BJ$31,0,1-MIN(60,COLUMN()-29),1,MIN(60,COLUMN()-29)),OFFSET(BO169,0,-MIN(60,COLUMN()-29),1,MIN(60,COLUMN()-29))),0)</f>
        <v>0</v>
      </c>
      <c r="BP170" s="112" t="n">
        <f aca="true">IFERROR(SUMPRODUCT(OFFSET($BJ$31,0,1-MIN(60,COLUMN()-29),1,MIN(60,COLUMN()-29)),OFFSET(BP169,0,-MIN(60,COLUMN()-29),1,MIN(60,COLUMN()-29))),0)</f>
        <v>0</v>
      </c>
      <c r="BQ170" s="112" t="n">
        <f aca="true">IFERROR(SUMPRODUCT(OFFSET($BJ$31,0,1-MIN(60,COLUMN()-29),1,MIN(60,COLUMN()-29)),OFFSET(BQ169,0,-MIN(60,COLUMN()-29),1,MIN(60,COLUMN()-29))),0)</f>
        <v>0</v>
      </c>
      <c r="BR170" s="112" t="n">
        <f aca="true">IFERROR(SUMPRODUCT(OFFSET($BJ$31,0,1-MIN(60,COLUMN()-29),1,MIN(60,COLUMN()-29)),OFFSET(BR169,0,-MIN(60,COLUMN()-29),1,MIN(60,COLUMN()-29))),0)</f>
        <v>0</v>
      </c>
      <c r="BS170" s="112" t="n">
        <f aca="true">IFERROR(SUMPRODUCT(OFFSET($BJ$31,0,1-MIN(60,COLUMN()-29),1,MIN(60,COLUMN()-29)),OFFSET(BS169,0,-MIN(60,COLUMN()-29),1,MIN(60,COLUMN()-29))),0)</f>
        <v>0</v>
      </c>
      <c r="BT170" s="112" t="n">
        <f aca="true">IFERROR(SUMPRODUCT(OFFSET($BJ$31,0,1-MIN(60,COLUMN()-29),1,MIN(60,COLUMN()-29)),OFFSET(BT169,0,-MIN(60,COLUMN()-29),1,MIN(60,COLUMN()-29))),0)</f>
        <v>0</v>
      </c>
      <c r="BU170" s="112" t="n">
        <f aca="true">IFERROR(SUMPRODUCT(OFFSET($BJ$31,0,1-MIN(60,COLUMN()-29),1,MIN(60,COLUMN()-29)),OFFSET(BU169,0,-MIN(60,COLUMN()-29),1,MIN(60,COLUMN()-29))),0)</f>
        <v>0</v>
      </c>
      <c r="BV170" s="112" t="n">
        <f aca="true">IFERROR(SUMPRODUCT(OFFSET($BJ$31,0,1-MIN(60,COLUMN()-29),1,MIN(60,COLUMN()-29)),OFFSET(BV169,0,-MIN(60,COLUMN()-29),1,MIN(60,COLUMN()-29))),0)</f>
        <v>0</v>
      </c>
      <c r="BW170" s="112" t="n">
        <f aca="true">IFERROR(SUMPRODUCT(OFFSET($BJ$31,0,1-MIN(60,COLUMN()-29),1,MIN(60,COLUMN()-29)),OFFSET(BW169,0,-MIN(60,COLUMN()-29),1,MIN(60,COLUMN()-29))),0)</f>
        <v>0</v>
      </c>
      <c r="BX170" s="112" t="n">
        <f aca="true">IFERROR(SUMPRODUCT(OFFSET($BJ$31,0,1-MIN(60,COLUMN()-29),1,MIN(60,COLUMN()-29)),OFFSET(BX169,0,-MIN(60,COLUMN()-29),1,MIN(60,COLUMN()-29))),0)</f>
        <v>3.87072</v>
      </c>
      <c r="BY170" s="112" t="n">
        <f aca="true">IFERROR(SUMPRODUCT(OFFSET($BJ$31,0,1-MIN(60,COLUMN()-29),1,MIN(60,COLUMN()-29)),OFFSET(BY169,0,-MIN(60,COLUMN()-29),1,MIN(60,COLUMN()-29))),0)</f>
        <v>6.564096</v>
      </c>
      <c r="BZ170" s="112" t="n">
        <f aca="true">IFERROR(SUMPRODUCT(OFFSET($BJ$31,0,1-MIN(60,COLUMN()-29),1,MIN(60,COLUMN()-29)),OFFSET(BZ169,0,-MIN(60,COLUMN()-29),1,MIN(60,COLUMN()-29))),0)</f>
        <v>8.4740544</v>
      </c>
      <c r="CA170" s="112" t="n">
        <f aca="true">IFERROR(SUMPRODUCT(OFFSET($BJ$31,0,1-MIN(60,COLUMN()-29),1,MIN(60,COLUMN()-29)),OFFSET(CA169,0,-MIN(60,COLUMN()-29),1,MIN(60,COLUMN()-29))),0)</f>
        <v>8.3518848</v>
      </c>
      <c r="CB170" s="112" t="n">
        <f aca="true">IFERROR(SUMPRODUCT(OFFSET($BJ$31,0,1-MIN(60,COLUMN()-29),1,MIN(60,COLUMN()-29)),OFFSET(CB169,0,-MIN(60,COLUMN()-29),1,MIN(60,COLUMN()-29))),0)</f>
        <v>11.3498784</v>
      </c>
      <c r="CC170" s="112" t="n">
        <f aca="true">IFERROR(SUMPRODUCT(OFFSET($BJ$31,0,1-MIN(60,COLUMN()-29),1,MIN(60,COLUMN()-29)),OFFSET(CC169,0,-MIN(60,COLUMN()-29),1,MIN(60,COLUMN()-29))),0)</f>
        <v>12.6594048</v>
      </c>
      <c r="CD170" s="112" t="n">
        <f aca="true">IFERROR(SUMPRODUCT(OFFSET($BJ$31,0,1-MIN(60,COLUMN()-29),1,MIN(60,COLUMN()-29)),OFFSET(CD169,0,-MIN(60,COLUMN()-29),1,MIN(60,COLUMN()-29))),0)</f>
        <v>13.2166944</v>
      </c>
      <c r="CE170" s="112" t="n">
        <f aca="true">IFERROR(SUMPRODUCT(OFFSET($BJ$31,0,1-MIN(60,COLUMN()-29),1,MIN(60,COLUMN()-29)),OFFSET(CE169,0,-MIN(60,COLUMN()-29),1,MIN(60,COLUMN()-29))),0)</f>
        <v>13.6293696</v>
      </c>
      <c r="CF170" s="112" t="n">
        <f aca="true">IFERROR(SUMPRODUCT(OFFSET($BJ$31,0,1-MIN(60,COLUMN()-29),1,MIN(60,COLUMN()-29)),OFFSET(CF169,0,-MIN(60,COLUMN()-29),1,MIN(60,COLUMN()-29))),0)</f>
        <v>15.7612896</v>
      </c>
      <c r="CG170" s="112" t="n">
        <f aca="true">IFERROR(SUMPRODUCT(OFFSET($BJ$31,0,1-MIN(60,COLUMN()-29),1,MIN(60,COLUMN()-29)),OFFSET(CG169,0,-MIN(60,COLUMN()-29),1,MIN(60,COLUMN()-29))),0)</f>
        <v>23.4868032</v>
      </c>
      <c r="CH170" s="112" t="n">
        <f aca="true">IFERROR(SUMPRODUCT(OFFSET($BJ$31,0,1-MIN(60,COLUMN()-29),1,MIN(60,COLUMN()-29)),OFFSET(CH169,0,-MIN(60,COLUMN()-29),1,MIN(60,COLUMN()-29))),0)</f>
        <v>23.5704</v>
      </c>
      <c r="CI170" s="112" t="n">
        <f aca="true">IFERROR(SUMPRODUCT(OFFSET($BJ$31,0,1-MIN(60,COLUMN()-29),1,MIN(60,COLUMN()-29)),OFFSET(CI169,0,-MIN(60,COLUMN()-29),1,MIN(60,COLUMN()-29))),0)</f>
        <v>24.2016768</v>
      </c>
      <c r="CJ170" s="112" t="n">
        <f aca="true">IFERROR(SUMPRODUCT(OFFSET($BJ$31,0,1-MIN(60,COLUMN()-29),1,MIN(60,COLUMN()-29)),OFFSET(CJ169,0,-MIN(60,COLUMN()-29),1,MIN(60,COLUMN()-29))),0)</f>
        <v>23.4370752</v>
      </c>
      <c r="CK170" s="112" t="n">
        <f aca="true">IFERROR(SUMPRODUCT(OFFSET($BJ$31,0,1-MIN(60,COLUMN()-29),1,MIN(60,COLUMN()-29)),OFFSET(CK169,0,-MIN(60,COLUMN()-29),1,MIN(60,COLUMN()-29))),0)</f>
        <v>30.2625792</v>
      </c>
      <c r="CL170" s="112" t="n">
        <f aca="true">IFERROR(SUMPRODUCT(OFFSET($BJ$31,0,1-MIN(60,COLUMN()-29),1,MIN(60,COLUMN()-29)),OFFSET(CL169,0,-MIN(60,COLUMN()-29),1,MIN(60,COLUMN()-29))),0)</f>
        <v>32.394432</v>
      </c>
      <c r="CM170" s="112" t="n">
        <f aca="true">IFERROR(SUMPRODUCT(OFFSET($BJ$31,0,1-MIN(60,COLUMN()-29),1,MIN(60,COLUMN()-29)),OFFSET(CM169,0,-MIN(60,COLUMN()-29),1,MIN(60,COLUMN()-29))),0)</f>
        <v>33.913824</v>
      </c>
      <c r="CN170" s="112" t="n">
        <f aca="true">IFERROR(SUMPRODUCT(OFFSET($BJ$31,0,1-MIN(60,COLUMN()-29),1,MIN(60,COLUMN()-29)),OFFSET(CN169,0,-MIN(60,COLUMN()-29),1,MIN(60,COLUMN()-29))),0)</f>
        <v>44.27039232</v>
      </c>
      <c r="CO170" s="112" t="n">
        <f aca="true">IFERROR(SUMPRODUCT(OFFSET($BJ$31,0,1-MIN(60,COLUMN()-29),1,MIN(60,COLUMN()-29)),OFFSET(CO169,0,-MIN(60,COLUMN()-29),1,MIN(60,COLUMN()-29))),0)</f>
        <v>47.57718</v>
      </c>
      <c r="CP170" s="112" t="n">
        <f aca="true">IFERROR(SUMPRODUCT(OFFSET($BJ$31,0,1-MIN(60,COLUMN()-29),1,MIN(60,COLUMN()-29)),OFFSET(CP169,0,-MIN(60,COLUMN()-29),1,MIN(60,COLUMN()-29))),0)</f>
        <v>47.83309104</v>
      </c>
      <c r="CQ170" s="112" t="n">
        <f aca="true">IFERROR(SUMPRODUCT(OFFSET($BJ$31,0,1-MIN(60,COLUMN()-29),1,MIN(60,COLUMN()-29)),OFFSET(CQ169,0,-MIN(60,COLUMN()-29),1,MIN(60,COLUMN()-29))),0)</f>
        <v>47.56701432</v>
      </c>
      <c r="CR170" s="112" t="n">
        <f aca="true">IFERROR(SUMPRODUCT(OFFSET($BJ$31,0,1-MIN(60,COLUMN()-29),1,MIN(60,COLUMN()-29)),OFFSET(CR169,0,-MIN(60,COLUMN()-29),1,MIN(60,COLUMN()-29))),0)</f>
        <v>52.27765704</v>
      </c>
      <c r="CS170" s="112" t="n">
        <f aca="true">IFERROR(SUMPRODUCT(OFFSET($BJ$31,0,1-MIN(60,COLUMN()-29),1,MIN(60,COLUMN()-29)),OFFSET(CS169,0,-MIN(60,COLUMN()-29),1,MIN(60,COLUMN()-29))),0)</f>
        <v>70.16715552</v>
      </c>
      <c r="CT170" s="112" t="n">
        <f aca="true">IFERROR(SUMPRODUCT(OFFSET($BJ$31,0,1-MIN(60,COLUMN()-29),1,MIN(60,COLUMN()-29)),OFFSET(CT169,0,-MIN(60,COLUMN()-29),1,MIN(60,COLUMN()-29))),0)</f>
        <v>69.97650576</v>
      </c>
      <c r="CU170" s="112" t="n">
        <f aca="true">IFERROR(SUMPRODUCT(OFFSET($BJ$31,0,1-MIN(60,COLUMN()-29),1,MIN(60,COLUMN()-29)),OFFSET(CU169,0,-MIN(60,COLUMN()-29),1,MIN(60,COLUMN()-29))),0)</f>
        <v>69.20901456</v>
      </c>
      <c r="CV170" s="112" t="n">
        <f aca="true">IFERROR(SUMPRODUCT(OFFSET($BJ$31,0,1-MIN(60,COLUMN()-29),1,MIN(60,COLUMN()-29)),OFFSET(CV169,0,-MIN(60,COLUMN()-29),1,MIN(60,COLUMN()-29))),0)</f>
        <v>65.97574032</v>
      </c>
      <c r="CW170" s="112" t="n">
        <f aca="true">IFERROR(SUMPRODUCT(OFFSET($BJ$31,0,1-MIN(60,COLUMN()-29),1,MIN(60,COLUMN()-29)),OFFSET(CW169,0,-MIN(60,COLUMN()-29),1,MIN(60,COLUMN()-29))),0)</f>
        <v>78.6702168</v>
      </c>
      <c r="CX170" s="112" t="n">
        <f aca="true">IFERROR(SUMPRODUCT(OFFSET($BJ$31,0,1-MIN(60,COLUMN()-29),1,MIN(60,COLUMN()-29)),OFFSET(CX169,0,-MIN(60,COLUMN()-29),1,MIN(60,COLUMN()-29))),0)</f>
        <v>84.34412784</v>
      </c>
      <c r="CY170" s="112" t="n">
        <f aca="true">IFERROR(SUMPRODUCT(OFFSET($BJ$31,0,1-MIN(60,COLUMN()-29),1,MIN(60,COLUMN()-29)),OFFSET(CY169,0,-MIN(60,COLUMN()-29),1,MIN(60,COLUMN()-29))),0)</f>
        <v>84.74611824</v>
      </c>
      <c r="CZ170" s="112" t="n">
        <f aca="true">IFERROR(SUMPRODUCT(OFFSET($BJ$31,0,1-MIN(60,COLUMN()-29),1,MIN(60,COLUMN()-29)),OFFSET(CZ169,0,-MIN(60,COLUMN()-29),1,MIN(60,COLUMN()-29))),0)</f>
        <v>98.55047664</v>
      </c>
      <c r="DA170" s="112" t="n">
        <f aca="true">IFERROR(SUMPRODUCT(OFFSET($BJ$31,0,1-MIN(60,COLUMN()-29),1,MIN(60,COLUMN()-29)),OFFSET(DA169,0,-MIN(60,COLUMN()-29),1,MIN(60,COLUMN()-29))),0)</f>
        <v>101.871252</v>
      </c>
      <c r="DB170" s="112" t="n">
        <f aca="true">IFERROR(SUMPRODUCT(OFFSET($BJ$31,0,1-MIN(60,COLUMN()-29),1,MIN(60,COLUMN()-29)),OFFSET(DB169,0,-MIN(60,COLUMN()-29),1,MIN(60,COLUMN()-29))),0)</f>
        <v>102.32924688</v>
      </c>
      <c r="DC170" s="112" t="n">
        <f aca="true">IFERROR(SUMPRODUCT(OFFSET($BJ$31,0,1-MIN(60,COLUMN()-29),1,MIN(60,COLUMN()-29)),OFFSET(DC169,0,-MIN(60,COLUMN()-29),1,MIN(60,COLUMN()-29))),0)</f>
        <v>102.7674144</v>
      </c>
      <c r="DD170" s="112" t="n">
        <f aca="true">IFERROR(SUMPRODUCT(OFFSET($BJ$31,0,1-MIN(60,COLUMN()-29),1,MIN(60,COLUMN()-29)),OFFSET(DD169,0,-MIN(60,COLUMN()-29),1,MIN(60,COLUMN()-29))),0)</f>
        <v>111.29384448</v>
      </c>
      <c r="DE170" s="112" t="n">
        <f aca="true">IFERROR(SUMPRODUCT(OFFSET($BJ$31,0,1-MIN(60,COLUMN()-29),1,MIN(60,COLUMN()-29)),OFFSET(DE169,0,-MIN(60,COLUMN()-29),1,MIN(60,COLUMN()-29))),0)</f>
        <v>134.94209904</v>
      </c>
      <c r="DF170" s="112" t="n">
        <f aca="true">IFERROR(SUMPRODUCT(OFFSET($BJ$31,0,1-MIN(60,COLUMN()-29),1,MIN(60,COLUMN()-29)),OFFSET(DF169,0,-MIN(60,COLUMN()-29),1,MIN(60,COLUMN()-29))),0)</f>
        <v>134.99651088</v>
      </c>
      <c r="DG170" s="112" t="n">
        <f aca="true">IFERROR(SUMPRODUCT(OFFSET($BJ$31,0,1-MIN(60,COLUMN()-29),1,MIN(60,COLUMN()-29)),OFFSET(DG169,0,-MIN(60,COLUMN()-29),1,MIN(60,COLUMN()-29))),0)</f>
        <v>134.30171664</v>
      </c>
      <c r="DH170" s="112" t="n">
        <f aca="true">IFERROR(SUMPRODUCT(OFFSET($BJ$31,0,1-MIN(60,COLUMN()-29),1,MIN(60,COLUMN()-29)),OFFSET(DH169,0,-MIN(60,COLUMN()-29),1,MIN(60,COLUMN()-29))),0)</f>
        <v>130.95054</v>
      </c>
      <c r="DI170" s="112" t="n">
        <f aca="true">IFERROR(SUMPRODUCT(OFFSET($BJ$31,0,1-MIN(60,COLUMN()-29),1,MIN(60,COLUMN()-29)),OFFSET(DI169,0,-MIN(60,COLUMN()-29),1,MIN(60,COLUMN()-29))),0)</f>
        <v>148.81382208</v>
      </c>
      <c r="DJ170" s="112" t="n">
        <f aca="true">IFERROR(SUMPRODUCT(OFFSET($BJ$31,0,1-MIN(60,COLUMN()-29),1,MIN(60,COLUMN()-29)),OFFSET(DJ169,0,-MIN(60,COLUMN()-29),1,MIN(60,COLUMN()-29))),0)</f>
        <v>156.12784992</v>
      </c>
      <c r="DK170" s="112" t="n">
        <f aca="true">IFERROR(SUMPRODUCT(OFFSET($BJ$31,0,1-MIN(60,COLUMN()-29),1,MIN(60,COLUMN()-29)),OFFSET(DK169,0,-MIN(60,COLUMN()-29),1,MIN(60,COLUMN()-29))),0)</f>
        <v>156.45371616</v>
      </c>
      <c r="DL170" s="112" t="n">
        <f aca="true">IFERROR(SUMPRODUCT(OFFSET($BJ$31,0,1-MIN(60,COLUMN()-29),1,MIN(60,COLUMN()-29)),OFFSET(DL169,0,-MIN(60,COLUMN()-29),1,MIN(60,COLUMN()-29))),0)</f>
        <v>173.06720928</v>
      </c>
      <c r="DM170" s="112" t="n">
        <f aca="true">IFERROR(SUMPRODUCT(OFFSET($BJ$31,0,1-MIN(60,COLUMN()-29),1,MIN(60,COLUMN()-29)),OFFSET(DM169,0,-MIN(60,COLUMN()-29),1,MIN(60,COLUMN()-29))),0)</f>
        <v>177.84996768</v>
      </c>
      <c r="DN170" s="112" t="n">
        <f aca="true">IFERROR(SUMPRODUCT(OFFSET($BJ$31,0,1-MIN(60,COLUMN()-29),1,MIN(60,COLUMN()-29)),OFFSET(DN169,0,-MIN(60,COLUMN()-29),1,MIN(60,COLUMN()-29))),0)</f>
        <v>179.66916576</v>
      </c>
      <c r="DO170" s="112" t="n">
        <f aca="true">IFERROR(SUMPRODUCT(OFFSET($BJ$31,0,1-MIN(60,COLUMN()-29),1,MIN(60,COLUMN()-29)),OFFSET(DO169,0,-MIN(60,COLUMN()-29),1,MIN(60,COLUMN()-29))),0)</f>
        <v>180.27408672</v>
      </c>
      <c r="DP170" s="112" t="n">
        <f aca="true">IFERROR(SUMPRODUCT(OFFSET($BJ$31,0,1-MIN(60,COLUMN()-29),1,MIN(60,COLUMN()-29)),OFFSET(DP169,0,-MIN(60,COLUMN()-29),1,MIN(60,COLUMN()-29))),0)</f>
        <v>190.29036096</v>
      </c>
      <c r="DQ170" s="112" t="n">
        <f aca="true">IFERROR(SUMPRODUCT(OFFSET($BJ$31,0,1-MIN(60,COLUMN()-29),1,MIN(60,COLUMN()-29)),OFFSET(DQ169,0,-MIN(60,COLUMN()-29),1,MIN(60,COLUMN()-29))),0)</f>
        <v>216.63924912</v>
      </c>
      <c r="DR170" s="112" t="n">
        <f aca="true">IFERROR(SUMPRODUCT(OFFSET($BJ$31,0,1-MIN(60,COLUMN()-29),1,MIN(60,COLUMN()-29)),OFFSET(DR169,0,-MIN(60,COLUMN()-29),1,MIN(60,COLUMN()-29))),0)</f>
        <v>216.73025136</v>
      </c>
      <c r="DS170" s="112" t="n">
        <f aca="true">IFERROR(SUMPRODUCT(OFFSET($BJ$31,0,1-MIN(60,COLUMN()-29),1,MIN(60,COLUMN()-29)),OFFSET(DS169,0,-MIN(60,COLUMN()-29),1,MIN(60,COLUMN()-29))),0)</f>
        <v>215.47057392</v>
      </c>
      <c r="DT170" s="112" t="n">
        <f aca="true">IFERROR(SUMPRODUCT(OFFSET($BJ$31,0,1-MIN(60,COLUMN()-29),1,MIN(60,COLUMN()-29)),OFFSET(DT169,0,-MIN(60,COLUMN()-29),1,MIN(60,COLUMN()-29))),0)</f>
        <v>211.40081424</v>
      </c>
      <c r="DU170" s="112" t="n">
        <f aca="true">IFERROR(SUMPRODUCT(OFFSET($BJ$31,0,1-MIN(60,COLUMN()-29),1,MIN(60,COLUMN()-29)),OFFSET(DU169,0,-MIN(60,COLUMN()-29),1,MIN(60,COLUMN()-29))),0)</f>
        <v>230.32924992</v>
      </c>
      <c r="DV170" s="112" t="n">
        <f aca="true">IFERROR(SUMPRODUCT(OFFSET($BJ$31,0,1-MIN(60,COLUMN()-29),1,MIN(60,COLUMN()-29)),OFFSET(DV169,0,-MIN(60,COLUMN()-29),1,MIN(60,COLUMN()-29))),0)</f>
        <v>237.07103616</v>
      </c>
      <c r="DW170" s="112" t="n">
        <f aca="true">IFERROR(SUMPRODUCT(OFFSET($BJ$31,0,1-MIN(60,COLUMN()-29),1,MIN(60,COLUMN()-29)),OFFSET(DW169,0,-MIN(60,COLUMN()-29),1,MIN(60,COLUMN()-29))),0)</f>
        <v>237.01414968</v>
      </c>
      <c r="DX170" s="112" t="n">
        <f aca="true">IFERROR(SUMPRODUCT(OFFSET($BJ$31,0,1-MIN(60,COLUMN()-29),1,MIN(60,COLUMN()-29)),OFFSET(DX169,0,-MIN(60,COLUMN()-29),1,MIN(60,COLUMN()-29))),0)</f>
        <v>253.2329604</v>
      </c>
      <c r="DY170" s="112" t="n">
        <f aca="true">IFERROR(SUMPRODUCT(OFFSET($BJ$31,0,1-MIN(60,COLUMN()-29),1,MIN(60,COLUMN()-29)),OFFSET(DY169,0,-MIN(60,COLUMN()-29),1,MIN(60,COLUMN()-29))),0)</f>
        <v>257.21733744</v>
      </c>
      <c r="DZ170" s="112" t="n">
        <f aca="true">IFERROR(SUMPRODUCT(OFFSET($BJ$31,0,1-MIN(60,COLUMN()-29),1,MIN(60,COLUMN()-29)),OFFSET(DZ169,0,-MIN(60,COLUMN()-29),1,MIN(60,COLUMN()-29))),0)</f>
        <v>258.19030944</v>
      </c>
      <c r="EA170" s="112" t="n">
        <f aca="true">IFERROR(SUMPRODUCT(OFFSET($BJ$31,0,1-MIN(60,COLUMN()-29),1,MIN(60,COLUMN()-29)),OFFSET(EA169,0,-MIN(60,COLUMN()-29),1,MIN(60,COLUMN()-29))),0)</f>
        <v>257.64567696</v>
      </c>
      <c r="EB170" s="112" t="n">
        <f aca="true">IFERROR(SUMPRODUCT(OFFSET($BJ$31,0,1-MIN(60,COLUMN()-29),1,MIN(60,COLUMN()-29)),OFFSET(EB169,0,-MIN(60,COLUMN()-29),1,MIN(60,COLUMN()-29))),0)</f>
        <v>267.25234032</v>
      </c>
      <c r="EC170" s="112" t="n">
        <f aca="true">IFERROR(SUMPRODUCT(OFFSET($BJ$31,0,1-MIN(60,COLUMN()-29),1,MIN(60,COLUMN()-29)),OFFSET(EC169,0,-MIN(60,COLUMN()-29),1,MIN(60,COLUMN()-29))),0)</f>
        <v>292.5149976</v>
      </c>
      <c r="ED170" s="112" t="n">
        <f aca="true">IFERROR(SUMPRODUCT(OFFSET($BJ$31,0,1-MIN(60,COLUMN()-29),1,MIN(60,COLUMN()-29)),OFFSET(ED169,0,-MIN(60,COLUMN()-29),1,MIN(60,COLUMN()-29))),0)</f>
        <v>291.21344784</v>
      </c>
      <c r="EE170" s="112" t="n">
        <f aca="true">IFERROR(SUMPRODUCT(OFFSET($BJ$31,0,1-MIN(60,COLUMN()-29),1,MIN(60,COLUMN()-29)),OFFSET(EE169,0,-MIN(60,COLUMN()-29),1,MIN(60,COLUMN()-29))),0)</f>
        <v>288.47168784</v>
      </c>
      <c r="EF170" s="112" t="n">
        <f aca="true">IFERROR(SUMPRODUCT(OFFSET($BJ$31,0,1-MIN(60,COLUMN()-29),1,MIN(60,COLUMN()-29)),OFFSET(EF169,0,-MIN(60,COLUMN()-29),1,MIN(60,COLUMN()-29))),0)</f>
        <v>283.43370384</v>
      </c>
      <c r="EG170" s="112" t="n">
        <f aca="true">IFERROR(SUMPRODUCT(OFFSET($BJ$31,0,1-MIN(60,COLUMN()-29),1,MIN(60,COLUMN()-29)),OFFSET(EG169,0,-MIN(60,COLUMN()-29),1,MIN(60,COLUMN()-29))),0)</f>
        <v>301.20202224</v>
      </c>
      <c r="EH170" s="112" t="n">
        <f aca="true">IFERROR(SUMPRODUCT(OFFSET($BJ$31,0,1-MIN(60,COLUMN()-29),1,MIN(60,COLUMN()-29)),OFFSET(EH169,0,-MIN(60,COLUMN()-29),1,MIN(60,COLUMN()-29))),0)</f>
        <v>306.41479344</v>
      </c>
      <c r="EI170" s="112" t="n">
        <f aca="true">IFERROR(SUMPRODUCT(OFFSET($BJ$31,0,1-MIN(60,COLUMN()-29),1,MIN(60,COLUMN()-29)),OFFSET(EI169,0,-MIN(60,COLUMN()-29),1,MIN(60,COLUMN()-29))),0)</f>
        <v>304.71182784</v>
      </c>
      <c r="EJ170" s="112" t="n">
        <f aca="true">IFERROR(SUMPRODUCT(OFFSET($BJ$31,0,1-MIN(60,COLUMN()-29),1,MIN(60,COLUMN()-29)),OFFSET(EJ169,0,-MIN(60,COLUMN()-29),1,MIN(60,COLUMN()-29))),0)</f>
        <v>318.22043904</v>
      </c>
      <c r="EK170" s="112" t="n">
        <f aca="true">IFERROR(SUMPRODUCT(OFFSET($BJ$31,0,1-MIN(60,COLUMN()-29),1,MIN(60,COLUMN()-29)),OFFSET(EK169,0,-MIN(60,COLUMN()-29),1,MIN(60,COLUMN()-29))),0)</f>
        <v>319.55477904</v>
      </c>
      <c r="EL170" s="112" t="n">
        <f aca="true">IFERROR(SUMPRODUCT(OFFSET($BJ$31,0,1-MIN(60,COLUMN()-29),1,MIN(60,COLUMN()-29)),OFFSET(EL169,0,-MIN(60,COLUMN()-29),1,MIN(60,COLUMN()-29))),0)</f>
        <v>318.24286704</v>
      </c>
      <c r="EM170" s="112" t="n">
        <f aca="true">IFERROR(SUMPRODUCT(OFFSET($BJ$31,0,1-MIN(60,COLUMN()-29),1,MIN(60,COLUMN()-29)),OFFSET(EM169,0,-MIN(60,COLUMN()-29),1,MIN(60,COLUMN()-29))),0)</f>
        <v>315.72790704</v>
      </c>
      <c r="EN170" s="112" t="n">
        <f aca="true">IFERROR(SUMPRODUCT(OFFSET($BJ$31,0,1-MIN(60,COLUMN()-29),1,MIN(60,COLUMN()-29)),OFFSET(EN169,0,-MIN(60,COLUMN()-29),1,MIN(60,COLUMN()-29))),0)</f>
        <v>323.23317264</v>
      </c>
      <c r="EO170" s="112" t="n">
        <f aca="true">IFERROR(SUMPRODUCT(OFFSET($BJ$31,0,1-MIN(60,COLUMN()-29),1,MIN(60,COLUMN()-29)),OFFSET(EO169,0,-MIN(60,COLUMN()-29),1,MIN(60,COLUMN()-29))),0)</f>
        <v>344.66007744</v>
      </c>
      <c r="EP170" s="112" t="n">
        <f aca="true">IFERROR(SUMPRODUCT(OFFSET($BJ$31,0,1-MIN(60,COLUMN()-29),1,MIN(60,COLUMN()-29)),OFFSET(EP169,0,-MIN(60,COLUMN()-29),1,MIN(60,COLUMN()-29))),0)</f>
        <v>340.10200224</v>
      </c>
      <c r="EQ170" s="112" t="n">
        <f aca="true">IFERROR(SUMPRODUCT(OFFSET($BJ$31,0,1-MIN(60,COLUMN()-29),1,MIN(60,COLUMN()-29)),OFFSET(EQ169,0,-MIN(60,COLUMN()-29),1,MIN(60,COLUMN()-29))),0)</f>
        <v>334.55638944</v>
      </c>
      <c r="ER170" s="112" t="n">
        <f aca="true">IFERROR(SUMPRODUCT(OFFSET($BJ$31,0,1-MIN(60,COLUMN()-29),1,MIN(60,COLUMN()-29)),OFFSET(ER169,0,-MIN(60,COLUMN()-29),1,MIN(60,COLUMN()-29))),0)</f>
        <v>327.85460064</v>
      </c>
      <c r="ES170" s="9" t="n">
        <f aca="true">IFERROR(SUMPRODUCT(OFFSET($BJ$31,0,1-MIN(60,COLUMN()-29),1,MIN(60,COLUMN()-29)),OFFSET(ES169,0,-MIN(60,COLUMN()-29),1,MIN(60,COLUMN()-29))),0)</f>
        <v>343.29413664</v>
      </c>
      <c r="ET170" s="9" t="n">
        <f aca="true">IFERROR(SUMPRODUCT(OFFSET($BJ$31,0,1-MIN(60,COLUMN()-29),1,MIN(60,COLUMN()-29)),OFFSET(ET169,0,-MIN(60,COLUMN()-29),1,MIN(60,COLUMN()-29))),0)</f>
        <v>346.02480864</v>
      </c>
      <c r="EU170" s="9" t="n">
        <f aca="true">IFERROR(SUMPRODUCT(OFFSET($BJ$31,0,1-MIN(60,COLUMN()-29),1,MIN(60,COLUMN()-29)),OFFSET(EU169,0,-MIN(60,COLUMN()-29),1,MIN(60,COLUMN()-29))),0)</f>
        <v>342.46580256</v>
      </c>
      <c r="EV170" s="9" t="n">
        <f aca="true">IFERROR(SUMPRODUCT(OFFSET($BJ$31,0,1-MIN(60,COLUMN()-29),1,MIN(60,COLUMN()-29)),OFFSET(EV169,0,-MIN(60,COLUMN()-29),1,MIN(60,COLUMN()-29))),0)</f>
        <v>353.31020928</v>
      </c>
      <c r="EW170" s="9" t="n">
        <f aca="true">IFERROR(SUMPRODUCT(OFFSET($BJ$31,0,1-MIN(60,COLUMN()-29),1,MIN(60,COLUMN()-29)),OFFSET(EW169,0,-MIN(60,COLUMN()-29),1,MIN(60,COLUMN()-29))),0)</f>
        <v>352.25619408</v>
      </c>
      <c r="EX170" s="9" t="n">
        <f aca="true">IFERROR(SUMPRODUCT(OFFSET($BJ$31,0,1-MIN(60,COLUMN()-29),1,MIN(60,COLUMN()-29)),OFFSET(EX169,0,-MIN(60,COLUMN()-29),1,MIN(60,COLUMN()-29))),0)</f>
        <v>349.02603792</v>
      </c>
      <c r="EY170" s="9" t="n">
        <f aca="true">IFERROR(SUMPRODUCT(OFFSET($BJ$31,0,1-MIN(60,COLUMN()-29),1,MIN(60,COLUMN()-29)),OFFSET(EY169,0,-MIN(60,COLUMN()-29),1,MIN(60,COLUMN()-29))),0)</f>
        <v>344.87932752</v>
      </c>
      <c r="EZ170" s="9" t="n">
        <f aca="true">IFERROR(SUMPRODUCT(OFFSET($BJ$31,0,1-MIN(60,COLUMN()-29),1,MIN(60,COLUMN()-29)),OFFSET(EZ169,0,-MIN(60,COLUMN()-29),1,MIN(60,COLUMN()-29))),0)</f>
        <v>350.76905136</v>
      </c>
      <c r="FA170" s="9" t="n">
        <f aca="true">IFERROR(SUMPRODUCT(OFFSET($BJ$31,0,1-MIN(60,COLUMN()-29),1,MIN(60,COLUMN()-29)),OFFSET(FA169,0,-MIN(60,COLUMN()-29),1,MIN(60,COLUMN()-29))),0)</f>
        <v>369.41553936</v>
      </c>
      <c r="FB170" s="9" t="n">
        <f aca="true">IFERROR(SUMPRODUCT(OFFSET($BJ$31,0,1-MIN(60,COLUMN()-29),1,MIN(60,COLUMN()-29)),OFFSET(FB169,0,-MIN(60,COLUMN()-29),1,MIN(60,COLUMN()-29))),0)</f>
        <v>362.7299592</v>
      </c>
      <c r="FC170" s="9" t="n">
        <f aca="true">IFERROR(SUMPRODUCT(OFFSET($BJ$31,0,1-MIN(60,COLUMN()-29),1,MIN(60,COLUMN()-29)),OFFSET(FC169,0,-MIN(60,COLUMN()-29),1,MIN(60,COLUMN()-29))),0)</f>
        <v>355.47010128</v>
      </c>
      <c r="FD170" s="9" t="n">
        <f aca="true">IFERROR(SUMPRODUCT(OFFSET($BJ$31,0,1-MIN(60,COLUMN()-29),1,MIN(60,COLUMN()-29)),OFFSET(FD169,0,-MIN(60,COLUMN()-29),1,MIN(60,COLUMN()-29))),0)</f>
        <v>347.54250384</v>
      </c>
      <c r="FE170" s="9" t="n">
        <f aca="true">IFERROR(SUMPRODUCT(OFFSET($BJ$31,0,1-MIN(60,COLUMN()-29),1,MIN(60,COLUMN()-29)),OFFSET(FE169,0,-MIN(60,COLUMN()-29),1,MIN(60,COLUMN()-29))),0)</f>
        <v>361.33184304</v>
      </c>
      <c r="FF170" s="9" t="n">
        <f aca="true">IFERROR(SUMPRODUCT(OFFSET($BJ$31,0,1-MIN(60,COLUMN()-29),1,MIN(60,COLUMN()-29)),OFFSET(FF169,0,-MIN(60,COLUMN()-29),1,MIN(60,COLUMN()-29))),0)</f>
        <v>362.27768976</v>
      </c>
      <c r="FG170" s="9" t="n">
        <f aca="true">IFERROR(SUMPRODUCT(OFFSET($BJ$31,0,1-MIN(60,COLUMN()-29),1,MIN(60,COLUMN()-29)),OFFSET(FG169,0,-MIN(60,COLUMN()-29),1,MIN(60,COLUMN()-29))),0)</f>
        <v>357.75284832</v>
      </c>
      <c r="FH170" s="9" t="n">
        <f aca="true">IFERROR(SUMPRODUCT(OFFSET($BJ$31,0,1-MIN(60,COLUMN()-29),1,MIN(60,COLUMN()-29)),OFFSET(FH169,0,-MIN(60,COLUMN()-29),1,MIN(60,COLUMN()-29))),0)</f>
        <v>367.27129152</v>
      </c>
      <c r="FI170" s="9" t="n">
        <f aca="true">IFERROR(SUMPRODUCT(OFFSET($BJ$31,0,1-MIN(60,COLUMN()-29),1,MIN(60,COLUMN()-29)),OFFSET(FI169,0,-MIN(60,COLUMN()-29),1,MIN(60,COLUMN()-29))),0)</f>
        <v>365.03806752</v>
      </c>
      <c r="FJ170" s="9" t="n">
        <f aca="true">IFERROR(SUMPRODUCT(OFFSET($BJ$31,0,1-MIN(60,COLUMN()-29),1,MIN(60,COLUMN()-29)),OFFSET(FJ169,0,-MIN(60,COLUMN()-29),1,MIN(60,COLUMN()-29))),0)</f>
        <v>360.85504896</v>
      </c>
      <c r="FK170" s="9" t="n">
        <f aca="true">IFERROR(SUMPRODUCT(OFFSET($BJ$31,0,1-MIN(60,COLUMN()-29),1,MIN(60,COLUMN()-29)),OFFSET(FK169,0,-MIN(60,COLUMN()-29),1,MIN(60,COLUMN()-29))),0)</f>
        <v>355.85194176</v>
      </c>
      <c r="FL170" s="9" t="n">
        <f aca="true">IFERROR(SUMPRODUCT(OFFSET($BJ$31,0,1-MIN(60,COLUMN()-29),1,MIN(60,COLUMN()-29)),OFFSET(FL169,0,-MIN(60,COLUMN()-29),1,MIN(60,COLUMN()-29))),0)</f>
        <v>360.90468288</v>
      </c>
      <c r="FM170" s="9" t="n">
        <f aca="true">IFERROR(SUMPRODUCT(OFFSET($BJ$31,0,1-MIN(60,COLUMN()-29),1,MIN(60,COLUMN()-29)),OFFSET(FM169,0,-MIN(60,COLUMN()-29),1,MIN(60,COLUMN()-29))),0)</f>
        <v>378.24147648</v>
      </c>
      <c r="FN170" s="9" t="n">
        <f aca="true">IFERROR(SUMPRODUCT(OFFSET($BJ$31,0,1-MIN(60,COLUMN()-29),1,MIN(60,COLUMN()-29)),OFFSET(FN169,0,-MIN(60,COLUMN()-29),1,MIN(60,COLUMN()-29))),0)</f>
        <v>370.57019328</v>
      </c>
      <c r="FO170" s="9" t="n">
        <f aca="true">IFERROR(SUMPRODUCT(OFFSET($BJ$31,0,1-MIN(60,COLUMN()-29),1,MIN(60,COLUMN()-29)),OFFSET(FO169,0,-MIN(60,COLUMN()-29),1,MIN(60,COLUMN()-29))),0)</f>
        <v>362.56715712</v>
      </c>
      <c r="FP170" s="9" t="n">
        <f aca="true">IFERROR(SUMPRODUCT(OFFSET($BJ$31,0,1-MIN(60,COLUMN()-29),1,MIN(60,COLUMN()-29)),OFFSET(FP169,0,-MIN(60,COLUMN()-29),1,MIN(60,COLUMN()-29))),0)</f>
        <v>354.08326464</v>
      </c>
    </row>
    <row r="171" customFormat="false" ht="15" hidden="false" customHeight="false" outlineLevel="2" collapsed="false">
      <c r="B171" s="90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237"/>
      <c r="AD171" s="237"/>
      <c r="AE171" s="237"/>
      <c r="AF171" s="237"/>
      <c r="AG171" s="237"/>
      <c r="AH171" s="237"/>
      <c r="AI171" s="237"/>
      <c r="AJ171" s="237"/>
      <c r="AK171" s="237"/>
      <c r="AL171" s="237"/>
      <c r="AM171" s="237"/>
      <c r="AN171" s="237"/>
      <c r="AO171" s="237"/>
      <c r="AP171" s="237"/>
      <c r="AQ171" s="237"/>
      <c r="AR171" s="237"/>
      <c r="AS171" s="237"/>
      <c r="AT171" s="237"/>
      <c r="AU171" s="237"/>
      <c r="AV171" s="237"/>
      <c r="AW171" s="237"/>
      <c r="AX171" s="237"/>
      <c r="AY171" s="237"/>
      <c r="AZ171" s="237"/>
      <c r="BA171" s="237"/>
      <c r="BB171" s="237"/>
      <c r="BC171" s="237"/>
      <c r="BD171" s="237"/>
      <c r="BE171" s="237"/>
      <c r="BF171" s="237"/>
      <c r="BG171" s="237"/>
      <c r="BH171" s="237"/>
      <c r="BI171" s="237"/>
      <c r="BJ171" s="237"/>
      <c r="BK171" s="237"/>
      <c r="BL171" s="237"/>
      <c r="BM171" s="237"/>
      <c r="BN171" s="237"/>
      <c r="BO171" s="237"/>
      <c r="BP171" s="237"/>
      <c r="BQ171" s="237"/>
      <c r="BR171" s="237"/>
      <c r="BS171" s="237"/>
      <c r="BT171" s="237"/>
      <c r="BU171" s="237"/>
      <c r="BV171" s="237"/>
      <c r="BW171" s="237"/>
      <c r="BX171" s="237"/>
      <c r="BY171" s="237"/>
      <c r="BZ171" s="237"/>
      <c r="CA171" s="237"/>
      <c r="CB171" s="237"/>
      <c r="CC171" s="237"/>
      <c r="CD171" s="237"/>
      <c r="CE171" s="237"/>
      <c r="CF171" s="237"/>
      <c r="CG171" s="237"/>
      <c r="CH171" s="237"/>
      <c r="CI171" s="237"/>
      <c r="CJ171" s="237"/>
      <c r="CK171" s="237"/>
      <c r="CL171" s="237"/>
      <c r="CM171" s="237"/>
      <c r="CN171" s="237"/>
      <c r="CO171" s="237"/>
      <c r="CP171" s="237"/>
      <c r="CQ171" s="237"/>
      <c r="CR171" s="237"/>
      <c r="CS171" s="237"/>
      <c r="CT171" s="237"/>
      <c r="CU171" s="237"/>
      <c r="CV171" s="237"/>
      <c r="CW171" s="237"/>
      <c r="CX171" s="237"/>
      <c r="CY171" s="237"/>
      <c r="CZ171" s="237"/>
      <c r="DA171" s="237"/>
      <c r="DB171" s="237"/>
      <c r="DC171" s="237"/>
      <c r="DD171" s="237"/>
      <c r="DE171" s="237"/>
      <c r="DF171" s="237"/>
      <c r="DG171" s="237"/>
      <c r="DH171" s="237"/>
      <c r="DI171" s="237"/>
      <c r="DJ171" s="237"/>
      <c r="DK171" s="237"/>
      <c r="DL171" s="237"/>
      <c r="DM171" s="237"/>
      <c r="DN171" s="237"/>
      <c r="DO171" s="237"/>
      <c r="DP171" s="237"/>
      <c r="DQ171" s="237"/>
      <c r="DR171" s="237"/>
      <c r="DS171" s="237"/>
      <c r="DT171" s="237"/>
      <c r="DU171" s="237"/>
      <c r="DV171" s="237"/>
      <c r="DW171" s="237"/>
      <c r="DX171" s="237"/>
      <c r="DY171" s="237"/>
      <c r="DZ171" s="237"/>
      <c r="EA171" s="237"/>
      <c r="EB171" s="237"/>
      <c r="EC171" s="237"/>
      <c r="ED171" s="237"/>
      <c r="EE171" s="237"/>
      <c r="EF171" s="237"/>
      <c r="EG171" s="237"/>
      <c r="EH171" s="237"/>
      <c r="EI171" s="237"/>
      <c r="EJ171" s="237"/>
      <c r="EK171" s="237"/>
      <c r="EL171" s="237"/>
      <c r="EM171" s="237"/>
      <c r="EN171" s="237"/>
      <c r="EO171" s="237"/>
      <c r="EP171" s="237"/>
      <c r="EQ171" s="237"/>
      <c r="ER171" s="237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</row>
    <row r="172" customFormat="false" ht="15" hidden="false" customHeight="false" outlineLevel="2" collapsed="false">
      <c r="B172" s="240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237"/>
      <c r="AD172" s="237"/>
      <c r="AE172" s="237"/>
      <c r="AF172" s="237"/>
      <c r="AG172" s="237"/>
      <c r="AH172" s="237"/>
      <c r="AI172" s="237"/>
      <c r="AJ172" s="237"/>
      <c r="AK172" s="237"/>
      <c r="AL172" s="237"/>
      <c r="AM172" s="237"/>
      <c r="AN172" s="237"/>
      <c r="AO172" s="237"/>
      <c r="AP172" s="237"/>
      <c r="AQ172" s="237"/>
      <c r="AR172" s="237"/>
      <c r="AS172" s="237"/>
      <c r="AT172" s="237"/>
      <c r="AU172" s="237"/>
      <c r="AV172" s="237"/>
      <c r="AW172" s="237"/>
      <c r="AX172" s="237"/>
      <c r="AY172" s="237"/>
      <c r="AZ172" s="237"/>
      <c r="BA172" s="237"/>
      <c r="BB172" s="237"/>
      <c r="BC172" s="237"/>
      <c r="BD172" s="237"/>
      <c r="BE172" s="237"/>
      <c r="BF172" s="237"/>
      <c r="BG172" s="237"/>
      <c r="BH172" s="237"/>
      <c r="BI172" s="237"/>
      <c r="BJ172" s="237"/>
      <c r="BK172" s="237"/>
      <c r="BL172" s="237"/>
      <c r="BM172" s="237"/>
      <c r="BN172" s="237"/>
      <c r="BO172" s="237"/>
      <c r="BP172" s="237"/>
      <c r="BQ172" s="237"/>
      <c r="BR172" s="237"/>
      <c r="BS172" s="237"/>
      <c r="BT172" s="237"/>
      <c r="BU172" s="237"/>
      <c r="BV172" s="237"/>
      <c r="BW172" s="237"/>
      <c r="BX172" s="237"/>
      <c r="BY172" s="237"/>
      <c r="BZ172" s="237"/>
      <c r="CA172" s="237"/>
      <c r="CB172" s="237"/>
      <c r="CC172" s="237"/>
      <c r="CD172" s="237"/>
      <c r="CE172" s="237"/>
      <c r="CF172" s="237"/>
      <c r="CG172" s="237"/>
      <c r="CH172" s="237"/>
      <c r="CI172" s="237"/>
      <c r="CJ172" s="237"/>
      <c r="CK172" s="237"/>
      <c r="CL172" s="237"/>
      <c r="CM172" s="237"/>
      <c r="CN172" s="237"/>
      <c r="CO172" s="237"/>
      <c r="CP172" s="237"/>
      <c r="CQ172" s="237"/>
      <c r="CR172" s="237"/>
      <c r="CS172" s="237"/>
      <c r="CT172" s="237"/>
      <c r="CU172" s="237"/>
      <c r="CV172" s="237"/>
      <c r="CW172" s="237"/>
      <c r="CX172" s="237"/>
      <c r="CY172" s="237"/>
      <c r="CZ172" s="237"/>
      <c r="DA172" s="237"/>
      <c r="DB172" s="237"/>
      <c r="DC172" s="237"/>
      <c r="DD172" s="237"/>
      <c r="DE172" s="237"/>
      <c r="DF172" s="237"/>
      <c r="DG172" s="237"/>
      <c r="DH172" s="237"/>
      <c r="DI172" s="237"/>
      <c r="DJ172" s="237"/>
      <c r="DK172" s="237"/>
      <c r="DL172" s="237"/>
      <c r="DM172" s="237"/>
      <c r="DN172" s="237"/>
      <c r="DO172" s="237"/>
      <c r="DP172" s="237"/>
      <c r="DQ172" s="237"/>
      <c r="DR172" s="237"/>
      <c r="DS172" s="237"/>
      <c r="DT172" s="237"/>
      <c r="DU172" s="237"/>
      <c r="DV172" s="237"/>
      <c r="DW172" s="237"/>
      <c r="DX172" s="237"/>
      <c r="DY172" s="237"/>
      <c r="DZ172" s="237"/>
      <c r="EA172" s="237"/>
      <c r="EB172" s="237"/>
      <c r="EC172" s="237"/>
      <c r="ED172" s="237"/>
      <c r="EE172" s="237"/>
      <c r="EF172" s="237"/>
      <c r="EG172" s="237"/>
      <c r="EH172" s="237"/>
      <c r="EI172" s="237"/>
      <c r="EJ172" s="237"/>
      <c r="EK172" s="237"/>
      <c r="EL172" s="237"/>
      <c r="EM172" s="237"/>
      <c r="EN172" s="237"/>
      <c r="EO172" s="237"/>
      <c r="EP172" s="237"/>
      <c r="EQ172" s="237"/>
      <c r="ER172" s="237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</row>
    <row r="173" customFormat="false" ht="15" hidden="false" customHeight="false" outlineLevel="2" collapsed="false">
      <c r="B173" s="21" t="s">
        <v>890</v>
      </c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</row>
    <row r="174" customFormat="false" ht="15" hidden="false" customHeight="false" outlineLevel="2" collapsed="false">
      <c r="B174" s="9" t="s">
        <v>872</v>
      </c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234" t="n">
        <f aca="false">('⑫ Roll-out Plan'!G23-2025)*12+'⑫ Roll-out Plan'!F23</f>
        <v>43</v>
      </c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</row>
    <row r="175" customFormat="false" ht="15" hidden="false" customHeight="false" outlineLevel="2" collapsed="false">
      <c r="B175" s="9" t="s">
        <v>873</v>
      </c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235" t="n">
        <f aca="false">VLOOKUP("B",$B$14:$C$18,2,FALSE())</f>
        <v>185</v>
      </c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</row>
    <row r="176" customFormat="false" ht="15" hidden="false" customHeight="false" outlineLevel="2" collapsed="false">
      <c r="B176" s="9" t="s">
        <v>799</v>
      </c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63" t="n">
        <f aca="false">IF(AC$35&gt;=$AC$174,AC$35-$AC$174+1,0)</f>
        <v>0</v>
      </c>
      <c r="AD176" s="63" t="n">
        <f aca="false">IF(AD$35&gt;=$AC$174,AD$35-$AC$174+1,0)</f>
        <v>0</v>
      </c>
      <c r="AE176" s="63" t="n">
        <f aca="false">IF(AE$35&gt;=$AC$174,AE$35-$AC$174+1,0)</f>
        <v>0</v>
      </c>
      <c r="AF176" s="63" t="n">
        <f aca="false">IF(AF$35&gt;=$AC$174,AF$35-$AC$174+1,0)</f>
        <v>0</v>
      </c>
      <c r="AG176" s="63" t="n">
        <f aca="false">IF(AG$35&gt;=$AC$174,AG$35-$AC$174+1,0)</f>
        <v>0</v>
      </c>
      <c r="AH176" s="63" t="n">
        <f aca="false">IF(AH$35&gt;=$AC$174,AH$35-$AC$174+1,0)</f>
        <v>0</v>
      </c>
      <c r="AI176" s="63" t="n">
        <f aca="false">IF(AI$35&gt;=$AC$174,AI$35-$AC$174+1,0)</f>
        <v>0</v>
      </c>
      <c r="AJ176" s="63" t="n">
        <f aca="false">IF(AJ$35&gt;=$AC$174,AJ$35-$AC$174+1,0)</f>
        <v>0</v>
      </c>
      <c r="AK176" s="63" t="n">
        <f aca="false">IF(AK$35&gt;=$AC$174,AK$35-$AC$174+1,0)</f>
        <v>0</v>
      </c>
      <c r="AL176" s="63" t="n">
        <f aca="false">IF(AL$35&gt;=$AC$174,AL$35-$AC$174+1,0)</f>
        <v>0</v>
      </c>
      <c r="AM176" s="63" t="n">
        <f aca="false">IF(AM$35&gt;=$AC$174,AM$35-$AC$174+1,0)</f>
        <v>0</v>
      </c>
      <c r="AN176" s="63" t="n">
        <f aca="false">IF(AN$35&gt;=$AC$174,AN$35-$AC$174+1,0)</f>
        <v>0</v>
      </c>
      <c r="AO176" s="63" t="n">
        <f aca="false">IF(AO$35&gt;=$AC$174,AO$35-$AC$174+1,0)</f>
        <v>0</v>
      </c>
      <c r="AP176" s="63" t="n">
        <f aca="false">IF(AP$35&gt;=$AC$174,AP$35-$AC$174+1,0)</f>
        <v>0</v>
      </c>
      <c r="AQ176" s="63" t="n">
        <f aca="false">IF(AQ$35&gt;=$AC$174,AQ$35-$AC$174+1,0)</f>
        <v>0</v>
      </c>
      <c r="AR176" s="63" t="n">
        <f aca="false">IF(AR$35&gt;=$AC$174,AR$35-$AC$174+1,0)</f>
        <v>0</v>
      </c>
      <c r="AS176" s="63" t="n">
        <f aca="false">IF(AS$35&gt;=$AC$174,AS$35-$AC$174+1,0)</f>
        <v>0</v>
      </c>
      <c r="AT176" s="63" t="n">
        <f aca="false">IF(AT$35&gt;=$AC$174,AT$35-$AC$174+1,0)</f>
        <v>0</v>
      </c>
      <c r="AU176" s="63" t="n">
        <f aca="false">IF(AU$35&gt;=$AC$174,AU$35-$AC$174+1,0)</f>
        <v>0</v>
      </c>
      <c r="AV176" s="63" t="n">
        <f aca="false">IF(AV$35&gt;=$AC$174,AV$35-$AC$174+1,0)</f>
        <v>0</v>
      </c>
      <c r="AW176" s="63" t="n">
        <f aca="false">IF(AW$35&gt;=$AC$174,AW$35-$AC$174+1,0)</f>
        <v>0</v>
      </c>
      <c r="AX176" s="63" t="n">
        <f aca="false">IF(AX$35&gt;=$AC$174,AX$35-$AC$174+1,0)</f>
        <v>0</v>
      </c>
      <c r="AY176" s="63" t="n">
        <f aca="false">IF(AY$35&gt;=$AC$174,AY$35-$AC$174+1,0)</f>
        <v>0</v>
      </c>
      <c r="AZ176" s="63" t="n">
        <f aca="false">IF(AZ$35&gt;=$AC$174,AZ$35-$AC$174+1,0)</f>
        <v>0</v>
      </c>
      <c r="BA176" s="63" t="n">
        <f aca="false">IF(BA$35&gt;=$AC$174,BA$35-$AC$174+1,0)</f>
        <v>0</v>
      </c>
      <c r="BB176" s="63" t="n">
        <f aca="false">IF(BB$35&gt;=$AC$174,BB$35-$AC$174+1,0)</f>
        <v>0</v>
      </c>
      <c r="BC176" s="63" t="n">
        <f aca="false">IF(BC$35&gt;=$AC$174,BC$35-$AC$174+1,0)</f>
        <v>0</v>
      </c>
      <c r="BD176" s="63" t="n">
        <f aca="false">IF(BD$35&gt;=$AC$174,BD$35-$AC$174+1,0)</f>
        <v>0</v>
      </c>
      <c r="BE176" s="63" t="n">
        <f aca="false">IF(BE$35&gt;=$AC$174,BE$35-$AC$174+1,0)</f>
        <v>0</v>
      </c>
      <c r="BF176" s="63" t="n">
        <f aca="false">IF(BF$35&gt;=$AC$174,BF$35-$AC$174+1,0)</f>
        <v>0</v>
      </c>
      <c r="BG176" s="63" t="n">
        <f aca="false">IF(BG$35&gt;=$AC$174,BG$35-$AC$174+1,0)</f>
        <v>0</v>
      </c>
      <c r="BH176" s="63" t="n">
        <f aca="false">IF(BH$35&gt;=$AC$174,BH$35-$AC$174+1,0)</f>
        <v>0</v>
      </c>
      <c r="BI176" s="63" t="n">
        <f aca="false">IF(BI$35&gt;=$AC$174,BI$35-$AC$174+1,0)</f>
        <v>0</v>
      </c>
      <c r="BJ176" s="63" t="n">
        <f aca="false">IF(BJ$35&gt;=$AC$174,BJ$35-$AC$174+1,0)</f>
        <v>0</v>
      </c>
      <c r="BK176" s="63" t="n">
        <f aca="false">IF(BK$35&gt;=$AC$174,BK$35-$AC$174+1,0)</f>
        <v>0</v>
      </c>
      <c r="BL176" s="63" t="n">
        <f aca="false">IF(BL$35&gt;=$AC$174,BL$35-$AC$174+1,0)</f>
        <v>0</v>
      </c>
      <c r="BM176" s="63" t="n">
        <f aca="false">IF(BM$35&gt;=$AC$174,BM$35-$AC$174+1,0)</f>
        <v>0</v>
      </c>
      <c r="BN176" s="63" t="n">
        <f aca="false">IF(BN$35&gt;=$AC$174,BN$35-$AC$174+1,0)</f>
        <v>0</v>
      </c>
      <c r="BO176" s="63" t="n">
        <f aca="false">IF(BO$35&gt;=$AC$174,BO$35-$AC$174+1,0)</f>
        <v>0</v>
      </c>
      <c r="BP176" s="63" t="n">
        <f aca="false">IF(BP$35&gt;=$AC$174,BP$35-$AC$174+1,0)</f>
        <v>0</v>
      </c>
      <c r="BQ176" s="63" t="n">
        <f aca="false">IF(BQ$35&gt;=$AC$174,BQ$35-$AC$174+1,0)</f>
        <v>0</v>
      </c>
      <c r="BR176" s="63" t="n">
        <f aca="false">IF(BR$35&gt;=$AC$174,BR$35-$AC$174+1,0)</f>
        <v>0</v>
      </c>
      <c r="BS176" s="63" t="n">
        <f aca="false">IF(BS$35&gt;=$AC$174,BS$35-$AC$174+1,0)</f>
        <v>1</v>
      </c>
      <c r="BT176" s="63" t="n">
        <f aca="false">IF(BT$35&gt;=$AC$174,BT$35-$AC$174+1,0)</f>
        <v>2</v>
      </c>
      <c r="BU176" s="63" t="n">
        <f aca="false">IF(BU$35&gt;=$AC$174,BU$35-$AC$174+1,0)</f>
        <v>3</v>
      </c>
      <c r="BV176" s="63" t="n">
        <f aca="false">IF(BV$35&gt;=$AC$174,BV$35-$AC$174+1,0)</f>
        <v>4</v>
      </c>
      <c r="BW176" s="63" t="n">
        <f aca="false">IF(BW$35&gt;=$AC$174,BW$35-$AC$174+1,0)</f>
        <v>5</v>
      </c>
      <c r="BX176" s="63" t="n">
        <f aca="false">IF(BX$35&gt;=$AC$174,BX$35-$AC$174+1,0)</f>
        <v>6</v>
      </c>
      <c r="BY176" s="63" t="n">
        <f aca="false">IF(BY$35&gt;=$AC$174,BY$35-$AC$174+1,0)</f>
        <v>7</v>
      </c>
      <c r="BZ176" s="63" t="n">
        <f aca="false">IF(BZ$35&gt;=$AC$174,BZ$35-$AC$174+1,0)</f>
        <v>8</v>
      </c>
      <c r="CA176" s="63" t="n">
        <f aca="false">IF(CA$35&gt;=$AC$174,CA$35-$AC$174+1,0)</f>
        <v>9</v>
      </c>
      <c r="CB176" s="63" t="n">
        <f aca="false">IF(CB$35&gt;=$AC$174,CB$35-$AC$174+1,0)</f>
        <v>10</v>
      </c>
      <c r="CC176" s="63" t="n">
        <f aca="false">IF(CC$35&gt;=$AC$174,CC$35-$AC$174+1,0)</f>
        <v>11</v>
      </c>
      <c r="CD176" s="63" t="n">
        <f aca="false">IF(CD$35&gt;=$AC$174,CD$35-$AC$174+1,0)</f>
        <v>12</v>
      </c>
      <c r="CE176" s="63" t="n">
        <f aca="false">IF(CE$35&gt;=$AC$174,CE$35-$AC$174+1,0)</f>
        <v>13</v>
      </c>
      <c r="CF176" s="63" t="n">
        <f aca="false">IF(CF$35&gt;=$AC$174,CF$35-$AC$174+1,0)</f>
        <v>14</v>
      </c>
      <c r="CG176" s="63" t="n">
        <f aca="false">IF(CG$35&gt;=$AC$174,CG$35-$AC$174+1,0)</f>
        <v>15</v>
      </c>
      <c r="CH176" s="63" t="n">
        <f aca="false">IF(CH$35&gt;=$AC$174,CH$35-$AC$174+1,0)</f>
        <v>16</v>
      </c>
      <c r="CI176" s="63" t="n">
        <f aca="false">IF(CI$35&gt;=$AC$174,CI$35-$AC$174+1,0)</f>
        <v>17</v>
      </c>
      <c r="CJ176" s="63" t="n">
        <f aca="false">IF(CJ$35&gt;=$AC$174,CJ$35-$AC$174+1,0)</f>
        <v>18</v>
      </c>
      <c r="CK176" s="63" t="n">
        <f aca="false">IF(CK$35&gt;=$AC$174,CK$35-$AC$174+1,0)</f>
        <v>19</v>
      </c>
      <c r="CL176" s="63" t="n">
        <f aca="false">IF(CL$35&gt;=$AC$174,CL$35-$AC$174+1,0)</f>
        <v>20</v>
      </c>
      <c r="CM176" s="63" t="n">
        <f aca="false">IF(CM$35&gt;=$AC$174,CM$35-$AC$174+1,0)</f>
        <v>21</v>
      </c>
      <c r="CN176" s="63" t="n">
        <f aca="false">IF(CN$35&gt;=$AC$174,CN$35-$AC$174+1,0)</f>
        <v>22</v>
      </c>
      <c r="CO176" s="63" t="n">
        <f aca="false">IF(CO$35&gt;=$AC$174,CO$35-$AC$174+1,0)</f>
        <v>23</v>
      </c>
      <c r="CP176" s="63" t="n">
        <f aca="false">IF(CP$35&gt;=$AC$174,CP$35-$AC$174+1,0)</f>
        <v>24</v>
      </c>
      <c r="CQ176" s="63" t="n">
        <f aca="false">IF(CQ$35&gt;=$AC$174,CQ$35-$AC$174+1,0)</f>
        <v>25</v>
      </c>
      <c r="CR176" s="63" t="n">
        <f aca="false">IF(CR$35&gt;=$AC$174,CR$35-$AC$174+1,0)</f>
        <v>26</v>
      </c>
      <c r="CS176" s="63" t="n">
        <f aca="false">IF(CS$35&gt;=$AC$174,CS$35-$AC$174+1,0)</f>
        <v>27</v>
      </c>
      <c r="CT176" s="63" t="n">
        <f aca="false">IF(CT$35&gt;=$AC$174,CT$35-$AC$174+1,0)</f>
        <v>28</v>
      </c>
      <c r="CU176" s="63" t="n">
        <f aca="false">IF(CU$35&gt;=$AC$174,CU$35-$AC$174+1,0)</f>
        <v>29</v>
      </c>
      <c r="CV176" s="63" t="n">
        <f aca="false">IF(CV$35&gt;=$AC$174,CV$35-$AC$174+1,0)</f>
        <v>30</v>
      </c>
      <c r="CW176" s="63" t="n">
        <f aca="false">IF(CW$35&gt;=$AC$174,CW$35-$AC$174+1,0)</f>
        <v>31</v>
      </c>
      <c r="CX176" s="63" t="n">
        <f aca="false">IF(CX$35&gt;=$AC$174,CX$35-$AC$174+1,0)</f>
        <v>32</v>
      </c>
      <c r="CY176" s="63" t="n">
        <f aca="false">IF(CY$35&gt;=$AC$174,CY$35-$AC$174+1,0)</f>
        <v>33</v>
      </c>
      <c r="CZ176" s="63" t="n">
        <f aca="false">IF(CZ$35&gt;=$AC$174,CZ$35-$AC$174+1,0)</f>
        <v>34</v>
      </c>
      <c r="DA176" s="63" t="n">
        <f aca="false">IF(DA$35&gt;=$AC$174,DA$35-$AC$174+1,0)</f>
        <v>35</v>
      </c>
      <c r="DB176" s="63" t="n">
        <f aca="false">IF(DB$35&gt;=$AC$174,DB$35-$AC$174+1,0)</f>
        <v>36</v>
      </c>
      <c r="DC176" s="63" t="n">
        <f aca="false">IF(DC$35&gt;=$AC$174,DC$35-$AC$174+1,0)</f>
        <v>37</v>
      </c>
      <c r="DD176" s="63" t="n">
        <f aca="false">IF(DD$35&gt;=$AC$174,DD$35-$AC$174+1,0)</f>
        <v>38</v>
      </c>
      <c r="DE176" s="63" t="n">
        <f aca="false">IF(DE$35&gt;=$AC$174,DE$35-$AC$174+1,0)</f>
        <v>39</v>
      </c>
      <c r="DF176" s="63" t="n">
        <f aca="false">IF(DF$35&gt;=$AC$174,DF$35-$AC$174+1,0)</f>
        <v>40</v>
      </c>
      <c r="DG176" s="63" t="n">
        <f aca="false">IF(DG$35&gt;=$AC$174,DG$35-$AC$174+1,0)</f>
        <v>41</v>
      </c>
      <c r="DH176" s="63" t="n">
        <f aca="false">IF(DH$35&gt;=$AC$174,DH$35-$AC$174+1,0)</f>
        <v>42</v>
      </c>
      <c r="DI176" s="63" t="n">
        <f aca="false">IF(DI$35&gt;=$AC$174,DI$35-$AC$174+1,0)</f>
        <v>43</v>
      </c>
      <c r="DJ176" s="63" t="n">
        <f aca="false">IF(DJ$35&gt;=$AC$174,DJ$35-$AC$174+1,0)</f>
        <v>44</v>
      </c>
      <c r="DK176" s="63" t="n">
        <f aca="false">IF(DK$35&gt;=$AC$174,DK$35-$AC$174+1,0)</f>
        <v>45</v>
      </c>
      <c r="DL176" s="63" t="n">
        <f aca="false">IF(DL$35&gt;=$AC$174,DL$35-$AC$174+1,0)</f>
        <v>46</v>
      </c>
      <c r="DM176" s="63" t="n">
        <f aca="false">IF(DM$35&gt;=$AC$174,DM$35-$AC$174+1,0)</f>
        <v>47</v>
      </c>
      <c r="DN176" s="63" t="n">
        <f aca="false">IF(DN$35&gt;=$AC$174,DN$35-$AC$174+1,0)</f>
        <v>48</v>
      </c>
      <c r="DO176" s="63" t="n">
        <f aca="false">IF(DO$35&gt;=$AC$174,DO$35-$AC$174+1,0)</f>
        <v>49</v>
      </c>
      <c r="DP176" s="63" t="n">
        <f aca="false">IF(DP$35&gt;=$AC$174,DP$35-$AC$174+1,0)</f>
        <v>50</v>
      </c>
      <c r="DQ176" s="63" t="n">
        <f aca="false">IF(DQ$35&gt;=$AC$174,DQ$35-$AC$174+1,0)</f>
        <v>51</v>
      </c>
      <c r="DR176" s="63" t="n">
        <f aca="false">IF(DR$35&gt;=$AC$174,DR$35-$AC$174+1,0)</f>
        <v>52</v>
      </c>
      <c r="DS176" s="63" t="n">
        <f aca="false">IF(DS$35&gt;=$AC$174,DS$35-$AC$174+1,0)</f>
        <v>53</v>
      </c>
      <c r="DT176" s="63" t="n">
        <f aca="false">IF(DT$35&gt;=$AC$174,DT$35-$AC$174+1,0)</f>
        <v>54</v>
      </c>
      <c r="DU176" s="63" t="n">
        <f aca="false">IF(DU$35&gt;=$AC$174,DU$35-$AC$174+1,0)</f>
        <v>55</v>
      </c>
      <c r="DV176" s="63" t="n">
        <f aca="false">IF(DV$35&gt;=$AC$174,DV$35-$AC$174+1,0)</f>
        <v>56</v>
      </c>
      <c r="DW176" s="63" t="n">
        <f aca="false">IF(DW$35&gt;=$AC$174,DW$35-$AC$174+1,0)</f>
        <v>57</v>
      </c>
      <c r="DX176" s="63" t="n">
        <f aca="false">IF(DX$35&gt;=$AC$174,DX$35-$AC$174+1,0)</f>
        <v>58</v>
      </c>
      <c r="DY176" s="63" t="n">
        <f aca="false">IF(DY$35&gt;=$AC$174,DY$35-$AC$174+1,0)</f>
        <v>59</v>
      </c>
      <c r="DZ176" s="63" t="n">
        <f aca="false">IF(DZ$35&gt;=$AC$174,DZ$35-$AC$174+1,0)</f>
        <v>60</v>
      </c>
      <c r="EA176" s="63" t="n">
        <f aca="false">IF(EA$35&gt;=$AC$174,EA$35-$AC$174+1,0)</f>
        <v>61</v>
      </c>
      <c r="EB176" s="63" t="n">
        <f aca="false">IF(EB$35&gt;=$AC$174,EB$35-$AC$174+1,0)</f>
        <v>62</v>
      </c>
      <c r="EC176" s="63" t="n">
        <f aca="false">IF(EC$35&gt;=$AC$174,EC$35-$AC$174+1,0)</f>
        <v>63</v>
      </c>
      <c r="ED176" s="63" t="n">
        <f aca="false">IF(ED$35&gt;=$AC$174,ED$35-$AC$174+1,0)</f>
        <v>64</v>
      </c>
      <c r="EE176" s="63" t="n">
        <f aca="false">IF(EE$35&gt;=$AC$174,EE$35-$AC$174+1,0)</f>
        <v>65</v>
      </c>
      <c r="EF176" s="63" t="n">
        <f aca="false">IF(EF$35&gt;=$AC$174,EF$35-$AC$174+1,0)</f>
        <v>66</v>
      </c>
      <c r="EG176" s="63" t="n">
        <f aca="false">IF(EG$35&gt;=$AC$174,EG$35-$AC$174+1,0)</f>
        <v>67</v>
      </c>
      <c r="EH176" s="63" t="n">
        <f aca="false">IF(EH$35&gt;=$AC$174,EH$35-$AC$174+1,0)</f>
        <v>68</v>
      </c>
      <c r="EI176" s="63" t="n">
        <f aca="false">IF(EI$35&gt;=$AC$174,EI$35-$AC$174+1,0)</f>
        <v>69</v>
      </c>
      <c r="EJ176" s="63" t="n">
        <f aca="false">IF(EJ$35&gt;=$AC$174,EJ$35-$AC$174+1,0)</f>
        <v>70</v>
      </c>
      <c r="EK176" s="63" t="n">
        <f aca="false">IF(EK$35&gt;=$AC$174,EK$35-$AC$174+1,0)</f>
        <v>71</v>
      </c>
      <c r="EL176" s="63" t="n">
        <f aca="false">IF(EL$35&gt;=$AC$174,EL$35-$AC$174+1,0)</f>
        <v>72</v>
      </c>
      <c r="EM176" s="63" t="n">
        <f aca="false">IF(EM$35&gt;=$AC$174,EM$35-$AC$174+1,0)</f>
        <v>73</v>
      </c>
      <c r="EN176" s="63" t="n">
        <f aca="false">IF(EN$35&gt;=$AC$174,EN$35-$AC$174+1,0)</f>
        <v>74</v>
      </c>
      <c r="EO176" s="63" t="n">
        <f aca="false">IF(EO$35&gt;=$AC$174,EO$35-$AC$174+1,0)</f>
        <v>75</v>
      </c>
      <c r="EP176" s="63" t="n">
        <f aca="false">IF(EP$35&gt;=$AC$174,EP$35-$AC$174+1,0)</f>
        <v>76</v>
      </c>
      <c r="EQ176" s="63" t="n">
        <f aca="false">IF(EQ$35&gt;=$AC$174,EQ$35-$AC$174+1,0)</f>
        <v>77</v>
      </c>
      <c r="ER176" s="63" t="n">
        <f aca="false">IF(ER$35&gt;=$AC$174,ER$35-$AC$174+1,0)</f>
        <v>78</v>
      </c>
      <c r="ES176" s="9" t="n">
        <f aca="false">IF(ES$35&gt;=$AC$174,ES$35-$AC$174+1,0)</f>
        <v>79</v>
      </c>
      <c r="ET176" s="9" t="n">
        <f aca="false">IF(ET$35&gt;=$AC$174,ET$35-$AC$174+1,0)</f>
        <v>80</v>
      </c>
      <c r="EU176" s="9" t="n">
        <f aca="false">IF(EU$35&gt;=$AC$174,EU$35-$AC$174+1,0)</f>
        <v>81</v>
      </c>
      <c r="EV176" s="9" t="n">
        <f aca="false">IF(EV$35&gt;=$AC$174,EV$35-$AC$174+1,0)</f>
        <v>82</v>
      </c>
      <c r="EW176" s="9" t="n">
        <f aca="false">IF(EW$35&gt;=$AC$174,EW$35-$AC$174+1,0)</f>
        <v>83</v>
      </c>
      <c r="EX176" s="9" t="n">
        <f aca="false">IF(EX$35&gt;=$AC$174,EX$35-$AC$174+1,0)</f>
        <v>84</v>
      </c>
      <c r="EY176" s="9" t="n">
        <f aca="false">IF(EY$35&gt;=$AC$174,EY$35-$AC$174+1,0)</f>
        <v>85</v>
      </c>
      <c r="EZ176" s="9" t="n">
        <f aca="false">IF(EZ$35&gt;=$AC$174,EZ$35-$AC$174+1,0)</f>
        <v>86</v>
      </c>
      <c r="FA176" s="9" t="n">
        <f aca="false">IF(FA$35&gt;=$AC$174,FA$35-$AC$174+1,0)</f>
        <v>87</v>
      </c>
      <c r="FB176" s="9" t="n">
        <f aca="false">IF(FB$35&gt;=$AC$174,FB$35-$AC$174+1,0)</f>
        <v>88</v>
      </c>
      <c r="FC176" s="9" t="n">
        <f aca="false">IF(FC$35&gt;=$AC$174,FC$35-$AC$174+1,0)</f>
        <v>89</v>
      </c>
      <c r="FD176" s="9" t="n">
        <f aca="false">IF(FD$35&gt;=$AC$174,FD$35-$AC$174+1,0)</f>
        <v>90</v>
      </c>
      <c r="FE176" s="9" t="n">
        <f aca="false">IF(FE$35&gt;=$AC$174,FE$35-$AC$174+1,0)</f>
        <v>91</v>
      </c>
      <c r="FF176" s="9" t="n">
        <f aca="false">IF(FF$35&gt;=$AC$174,FF$35-$AC$174+1,0)</f>
        <v>92</v>
      </c>
      <c r="FG176" s="9" t="n">
        <f aca="false">IF(FG$35&gt;=$AC$174,FG$35-$AC$174+1,0)</f>
        <v>93</v>
      </c>
      <c r="FH176" s="9" t="n">
        <f aca="false">IF(FH$35&gt;=$AC$174,FH$35-$AC$174+1,0)</f>
        <v>94</v>
      </c>
      <c r="FI176" s="9" t="n">
        <f aca="false">IF(FI$35&gt;=$AC$174,FI$35-$AC$174+1,0)</f>
        <v>95</v>
      </c>
      <c r="FJ176" s="9" t="n">
        <f aca="false">IF(FJ$35&gt;=$AC$174,FJ$35-$AC$174+1,0)</f>
        <v>96</v>
      </c>
      <c r="FK176" s="9" t="n">
        <f aca="false">IF(FK$35&gt;=$AC$174,FK$35-$AC$174+1,0)</f>
        <v>97</v>
      </c>
      <c r="FL176" s="9" t="n">
        <f aca="false">IF(FL$35&gt;=$AC$174,FL$35-$AC$174+1,0)</f>
        <v>98</v>
      </c>
      <c r="FM176" s="9" t="n">
        <f aca="false">IF(FM$35&gt;=$AC$174,FM$35-$AC$174+1,0)</f>
        <v>99</v>
      </c>
      <c r="FN176" s="9" t="n">
        <f aca="false">IF(FN$35&gt;=$AC$174,FN$35-$AC$174+1,0)</f>
        <v>100</v>
      </c>
      <c r="FO176" s="9" t="n">
        <f aca="false">IF(FO$35&gt;=$AC$174,FO$35-$AC$174+1,0)</f>
        <v>101</v>
      </c>
      <c r="FP176" s="9" t="n">
        <f aca="false">IF(FP$35&gt;=$AC$174,FP$35-$AC$174+1,0)</f>
        <v>102</v>
      </c>
    </row>
    <row r="177" customFormat="false" ht="15" hidden="false" customHeight="false" outlineLevel="2" collapsed="false">
      <c r="B177" s="9" t="s">
        <v>874</v>
      </c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236" t="n">
        <f aca="false" t="array" ref="AC177:AC177">IF(AC176=0,0,IF(AC176/'🎚️ Escenario'!$C$11&gt;=36,$AL$23,INDEX($C$23:$AL$23,MAX(1,ROUNDUP(AC176/'🎚️ Escenario'!$C$11,0)))))</f>
        <v>0</v>
      </c>
      <c r="AD177" s="236" t="n">
        <f aca="false" t="array" ref="AD177:AD177">IF(AD176=0,0,IF(AD176/'🎚️ Escenario'!$C$11&gt;=36,$AL$23,INDEX($C$23:$AL$23,MAX(1,ROUNDUP(AD176/'🎚️ Escenario'!$C$11,0)))))</f>
        <v>0</v>
      </c>
      <c r="AE177" s="236" t="n">
        <f aca="false" t="array" ref="AE177:AE177">IF(AE176=0,0,IF(AE176/'🎚️ Escenario'!$C$11&gt;=36,$AL$23,INDEX($C$23:$AL$23,MAX(1,ROUNDUP(AE176/'🎚️ Escenario'!$C$11,0)))))</f>
        <v>0</v>
      </c>
      <c r="AF177" s="236" t="n">
        <f aca="false" t="array" ref="AF177:AF177">IF(AF176=0,0,IF(AF176/'🎚️ Escenario'!$C$11&gt;=36,$AL$23,INDEX($C$23:$AL$23,MAX(1,ROUNDUP(AF176/'🎚️ Escenario'!$C$11,0)))))</f>
        <v>0</v>
      </c>
      <c r="AG177" s="236" t="n">
        <f aca="false" t="array" ref="AG177:AG177">IF(AG176=0,0,IF(AG176/'🎚️ Escenario'!$C$11&gt;=36,$AL$23,INDEX($C$23:$AL$23,MAX(1,ROUNDUP(AG176/'🎚️ Escenario'!$C$11,0)))))</f>
        <v>0</v>
      </c>
      <c r="AH177" s="236" t="n">
        <f aca="false" t="array" ref="AH177:AH177">IF(AH176=0,0,IF(AH176/'🎚️ Escenario'!$C$11&gt;=36,$AL$23,INDEX($C$23:$AL$23,MAX(1,ROUNDUP(AH176/'🎚️ Escenario'!$C$11,0)))))</f>
        <v>0</v>
      </c>
      <c r="AI177" s="236" t="n">
        <f aca="false" t="array" ref="AI177:AI177">IF(AI176=0,0,IF(AI176/'🎚️ Escenario'!$C$11&gt;=36,$AL$23,INDEX($C$23:$AL$23,MAX(1,ROUNDUP(AI176/'🎚️ Escenario'!$C$11,0)))))</f>
        <v>0</v>
      </c>
      <c r="AJ177" s="236" t="n">
        <f aca="false" t="array" ref="AJ177:AJ177">IF(AJ176=0,0,IF(AJ176/'🎚️ Escenario'!$C$11&gt;=36,$AL$23,INDEX($C$23:$AL$23,MAX(1,ROUNDUP(AJ176/'🎚️ Escenario'!$C$11,0)))))</f>
        <v>0</v>
      </c>
      <c r="AK177" s="236" t="n">
        <f aca="false" t="array" ref="AK177:AK177">IF(AK176=0,0,IF(AK176/'🎚️ Escenario'!$C$11&gt;=36,$AL$23,INDEX($C$23:$AL$23,MAX(1,ROUNDUP(AK176/'🎚️ Escenario'!$C$11,0)))))</f>
        <v>0</v>
      </c>
      <c r="AL177" s="236" t="n">
        <f aca="false" t="array" ref="AL177:AL177">IF(AL176=0,0,IF(AL176/'🎚️ Escenario'!$C$11&gt;=36,$AL$23,INDEX($C$23:$AL$23,MAX(1,ROUNDUP(AL176/'🎚️ Escenario'!$C$11,0)))))</f>
        <v>0</v>
      </c>
      <c r="AM177" s="236" t="n">
        <f aca="false" t="array" ref="AM177:AM177">IF(AM176=0,0,IF(AM176/'🎚️ Escenario'!$C$11&gt;=36,$AL$23,INDEX($C$23:$AL$23,MAX(1,ROUNDUP(AM176/'🎚️ Escenario'!$C$11,0)))))</f>
        <v>0</v>
      </c>
      <c r="AN177" s="236" t="n">
        <f aca="false" t="array" ref="AN177:AN177">IF(AN176=0,0,IF(AN176/'🎚️ Escenario'!$C$11&gt;=36,$AL$23,INDEX($C$23:$AL$23,MAX(1,ROUNDUP(AN176/'🎚️ Escenario'!$C$11,0)))))</f>
        <v>0</v>
      </c>
      <c r="AO177" s="236" t="n">
        <f aca="false" t="array" ref="AO177:AO177">IF(AO176=0,0,IF(AO176/'🎚️ Escenario'!$C$11&gt;=36,$AL$23,INDEX($C$23:$AL$23,MAX(1,ROUNDUP(AO176/'🎚️ Escenario'!$C$11,0)))))</f>
        <v>0</v>
      </c>
      <c r="AP177" s="236" t="n">
        <f aca="false" t="array" ref="AP177:AP177">IF(AP176=0,0,IF(AP176/'🎚️ Escenario'!$C$11&gt;=36,$AL$23,INDEX($C$23:$AL$23,MAX(1,ROUNDUP(AP176/'🎚️ Escenario'!$C$11,0)))))</f>
        <v>0</v>
      </c>
      <c r="AQ177" s="236" t="n">
        <f aca="false" t="array" ref="AQ177:AQ177">IF(AQ176=0,0,IF(AQ176/'🎚️ Escenario'!$C$11&gt;=36,$AL$23,INDEX($C$23:$AL$23,MAX(1,ROUNDUP(AQ176/'🎚️ Escenario'!$C$11,0)))))</f>
        <v>0</v>
      </c>
      <c r="AR177" s="236" t="n">
        <f aca="false" t="array" ref="AR177:AR177">IF(AR176=0,0,IF(AR176/'🎚️ Escenario'!$C$11&gt;=36,$AL$23,INDEX($C$23:$AL$23,MAX(1,ROUNDUP(AR176/'🎚️ Escenario'!$C$11,0)))))</f>
        <v>0</v>
      </c>
      <c r="AS177" s="236" t="n">
        <f aca="false" t="array" ref="AS177:AS177">IF(AS176=0,0,IF(AS176/'🎚️ Escenario'!$C$11&gt;=36,$AL$23,INDEX($C$23:$AL$23,MAX(1,ROUNDUP(AS176/'🎚️ Escenario'!$C$11,0)))))</f>
        <v>0</v>
      </c>
      <c r="AT177" s="236" t="n">
        <f aca="false" t="array" ref="AT177:AT177">IF(AT176=0,0,IF(AT176/'🎚️ Escenario'!$C$11&gt;=36,$AL$23,INDEX($C$23:$AL$23,MAX(1,ROUNDUP(AT176/'🎚️ Escenario'!$C$11,0)))))</f>
        <v>0</v>
      </c>
      <c r="AU177" s="236" t="n">
        <f aca="false" t="array" ref="AU177:AU177">IF(AU176=0,0,IF(AU176/'🎚️ Escenario'!$C$11&gt;=36,$AL$23,INDEX($C$23:$AL$23,MAX(1,ROUNDUP(AU176/'🎚️ Escenario'!$C$11,0)))))</f>
        <v>0</v>
      </c>
      <c r="AV177" s="236" t="n">
        <f aca="false" t="array" ref="AV177:AV177">IF(AV176=0,0,IF(AV176/'🎚️ Escenario'!$C$11&gt;=36,$AL$23,INDEX($C$23:$AL$23,MAX(1,ROUNDUP(AV176/'🎚️ Escenario'!$C$11,0)))))</f>
        <v>0</v>
      </c>
      <c r="AW177" s="236" t="n">
        <f aca="false" t="array" ref="AW177:AW177">IF(AW176=0,0,IF(AW176/'🎚️ Escenario'!$C$11&gt;=36,$AL$23,INDEX($C$23:$AL$23,MAX(1,ROUNDUP(AW176/'🎚️ Escenario'!$C$11,0)))))</f>
        <v>0</v>
      </c>
      <c r="AX177" s="236" t="n">
        <f aca="false" t="array" ref="AX177:AX177">IF(AX176=0,0,IF(AX176/'🎚️ Escenario'!$C$11&gt;=36,$AL$23,INDEX($C$23:$AL$23,MAX(1,ROUNDUP(AX176/'🎚️ Escenario'!$C$11,0)))))</f>
        <v>0</v>
      </c>
      <c r="AY177" s="236" t="n">
        <f aca="false" t="array" ref="AY177:AY177">IF(AY176=0,0,IF(AY176/'🎚️ Escenario'!$C$11&gt;=36,$AL$23,INDEX($C$23:$AL$23,MAX(1,ROUNDUP(AY176/'🎚️ Escenario'!$C$11,0)))))</f>
        <v>0</v>
      </c>
      <c r="AZ177" s="236" t="n">
        <f aca="false" t="array" ref="AZ177:AZ177">IF(AZ176=0,0,IF(AZ176/'🎚️ Escenario'!$C$11&gt;=36,$AL$23,INDEX($C$23:$AL$23,MAX(1,ROUNDUP(AZ176/'🎚️ Escenario'!$C$11,0)))))</f>
        <v>0</v>
      </c>
      <c r="BA177" s="236" t="n">
        <f aca="false" t="array" ref="BA177:BA177">IF(BA176=0,0,IF(BA176/'🎚️ Escenario'!$C$11&gt;=36,$AL$23,INDEX($C$23:$AL$23,MAX(1,ROUNDUP(BA176/'🎚️ Escenario'!$C$11,0)))))</f>
        <v>0</v>
      </c>
      <c r="BB177" s="236" t="n">
        <f aca="false" t="array" ref="BB177:BB177">IF(BB176=0,0,IF(BB176/'🎚️ Escenario'!$C$11&gt;=36,$AL$23,INDEX($C$23:$AL$23,MAX(1,ROUNDUP(BB176/'🎚️ Escenario'!$C$11,0)))))</f>
        <v>0</v>
      </c>
      <c r="BC177" s="236" t="n">
        <f aca="false" t="array" ref="BC177:BC177">IF(BC176=0,0,IF(BC176/'🎚️ Escenario'!$C$11&gt;=36,$AL$23,INDEX($C$23:$AL$23,MAX(1,ROUNDUP(BC176/'🎚️ Escenario'!$C$11,0)))))</f>
        <v>0</v>
      </c>
      <c r="BD177" s="236" t="n">
        <f aca="false" t="array" ref="BD177:BD177">IF(BD176=0,0,IF(BD176/'🎚️ Escenario'!$C$11&gt;=36,$AL$23,INDEX($C$23:$AL$23,MAX(1,ROUNDUP(BD176/'🎚️ Escenario'!$C$11,0)))))</f>
        <v>0</v>
      </c>
      <c r="BE177" s="236" t="n">
        <f aca="false" t="array" ref="BE177:BE177">IF(BE176=0,0,IF(BE176/'🎚️ Escenario'!$C$11&gt;=36,$AL$23,INDEX($C$23:$AL$23,MAX(1,ROUNDUP(BE176/'🎚️ Escenario'!$C$11,0)))))</f>
        <v>0</v>
      </c>
      <c r="BF177" s="236" t="n">
        <f aca="false" t="array" ref="BF177:BF177">IF(BF176=0,0,IF(BF176/'🎚️ Escenario'!$C$11&gt;=36,$AL$23,INDEX($C$23:$AL$23,MAX(1,ROUNDUP(BF176/'🎚️ Escenario'!$C$11,0)))))</f>
        <v>0</v>
      </c>
      <c r="BG177" s="236" t="n">
        <f aca="false" t="array" ref="BG177:BG177">IF(BG176=0,0,IF(BG176/'🎚️ Escenario'!$C$11&gt;=36,$AL$23,INDEX($C$23:$AL$23,MAX(1,ROUNDUP(BG176/'🎚️ Escenario'!$C$11,0)))))</f>
        <v>0</v>
      </c>
      <c r="BH177" s="236" t="n">
        <f aca="false" t="array" ref="BH177:BH177">IF(BH176=0,0,IF(BH176/'🎚️ Escenario'!$C$11&gt;=36,$AL$23,INDEX($C$23:$AL$23,MAX(1,ROUNDUP(BH176/'🎚️ Escenario'!$C$11,0)))))</f>
        <v>0</v>
      </c>
      <c r="BI177" s="236" t="n">
        <f aca="false" t="array" ref="BI177:BI177">IF(BI176=0,0,IF(BI176/'🎚️ Escenario'!$C$11&gt;=36,$AL$23,INDEX($C$23:$AL$23,MAX(1,ROUNDUP(BI176/'🎚️ Escenario'!$C$11,0)))))</f>
        <v>0</v>
      </c>
      <c r="BJ177" s="236" t="n">
        <f aca="false" t="array" ref="BJ177:BJ177">IF(BJ176=0,0,IF(BJ176/'🎚️ Escenario'!$C$11&gt;=36,$AL$23,INDEX($C$23:$AL$23,MAX(1,ROUNDUP(BJ176/'🎚️ Escenario'!$C$11,0)))))</f>
        <v>0</v>
      </c>
      <c r="BK177" s="236" t="n">
        <f aca="false" t="array" ref="BK177:BK177">IF(BK176=0,0,IF(BK176/'🎚️ Escenario'!$C$11&gt;=36,$AL$23,INDEX($C$23:$AL$23,MAX(1,ROUNDUP(BK176/'🎚️ Escenario'!$C$11,0)))))</f>
        <v>0</v>
      </c>
      <c r="BL177" s="236" t="n">
        <f aca="false" t="array" ref="BL177:BL177">IF(BL176=0,0,IF(BL176/'🎚️ Escenario'!$C$11&gt;=36,$AL$23,INDEX($C$23:$AL$23,MAX(1,ROUNDUP(BL176/'🎚️ Escenario'!$C$11,0)))))</f>
        <v>0</v>
      </c>
      <c r="BM177" s="236" t="n">
        <f aca="false" t="array" ref="BM177:BM177">IF(BM176=0,0,IF(BM176/'🎚️ Escenario'!$C$11&gt;=36,$AL$23,INDEX($C$23:$AL$23,MAX(1,ROUNDUP(BM176/'🎚️ Escenario'!$C$11,0)))))</f>
        <v>0</v>
      </c>
      <c r="BN177" s="236" t="n">
        <f aca="false" t="array" ref="BN177:BN177">IF(BN176=0,0,IF(BN176/'🎚️ Escenario'!$C$11&gt;=36,$AL$23,INDEX($C$23:$AL$23,MAX(1,ROUNDUP(BN176/'🎚️ Escenario'!$C$11,0)))))</f>
        <v>0</v>
      </c>
      <c r="BO177" s="236" t="n">
        <f aca="false" t="array" ref="BO177:BO177">IF(BO176=0,0,IF(BO176/'🎚️ Escenario'!$C$11&gt;=36,$AL$23,INDEX($C$23:$AL$23,MAX(1,ROUNDUP(BO176/'🎚️ Escenario'!$C$11,0)))))</f>
        <v>0</v>
      </c>
      <c r="BP177" s="236" t="n">
        <f aca="false" t="array" ref="BP177:BP177">IF(BP176=0,0,IF(BP176/'🎚️ Escenario'!$C$11&gt;=36,$AL$23,INDEX($C$23:$AL$23,MAX(1,ROUNDUP(BP176/'🎚️ Escenario'!$C$11,0)))))</f>
        <v>0</v>
      </c>
      <c r="BQ177" s="236" t="n">
        <f aca="false" t="array" ref="BQ177:BQ177">IF(BQ176=0,0,IF(BQ176/'🎚️ Escenario'!$C$11&gt;=36,$AL$23,INDEX($C$23:$AL$23,MAX(1,ROUNDUP(BQ176/'🎚️ Escenario'!$C$11,0)))))</f>
        <v>0</v>
      </c>
      <c r="BR177" s="236" t="n">
        <f aca="false" t="array" ref="BR177:BR177">IF(BR176=0,0,IF(BR176/'🎚️ Escenario'!$C$11&gt;=36,$AL$23,INDEX($C$23:$AL$23,MAX(1,ROUNDUP(BR176/'🎚️ Escenario'!$C$11,0)))))</f>
        <v>0</v>
      </c>
      <c r="BS177" s="236" t="n">
        <f aca="false" t="array" ref="BS177:BS177">IF(BS176=0,0,IF(BS176/'🎚️ Escenario'!$C$11&gt;=36,$AL$23,INDEX($C$23:$AL$23,MAX(1,ROUNDUP(BS176/'🎚️ Escenario'!$C$11,0)))))</f>
        <v>0.2</v>
      </c>
      <c r="BT177" s="236" t="n">
        <f aca="false" t="array" ref="BT177:BT177">IF(BT176=0,0,IF(BT176/'🎚️ Escenario'!$C$11&gt;=36,$AL$23,INDEX($C$23:$AL$23,MAX(1,ROUNDUP(BT176/'🎚️ Escenario'!$C$11,0)))))</f>
        <v>0.22</v>
      </c>
      <c r="BU177" s="236" t="n">
        <f aca="false" t="array" ref="BU177:BU177">IF(BU176=0,0,IF(BU176/'🎚️ Escenario'!$C$11&gt;=36,$AL$23,INDEX($C$23:$AL$23,MAX(1,ROUNDUP(BU176/'🎚️ Escenario'!$C$11,0)))))</f>
        <v>0.24</v>
      </c>
      <c r="BV177" s="236" t="n">
        <f aca="false" t="array" ref="BV177:BV177">IF(BV176=0,0,IF(BV176/'🎚️ Escenario'!$C$11&gt;=36,$AL$23,INDEX($C$23:$AL$23,MAX(1,ROUNDUP(BV176/'🎚️ Escenario'!$C$11,0)))))</f>
        <v>0.27</v>
      </c>
      <c r="BW177" s="236" t="n">
        <f aca="false" t="array" ref="BW177:BW177">IF(BW176=0,0,IF(BW176/'🎚️ Escenario'!$C$11&gt;=36,$AL$23,INDEX($C$23:$AL$23,MAX(1,ROUNDUP(BW176/'🎚️ Escenario'!$C$11,0)))))</f>
        <v>0.27</v>
      </c>
      <c r="BX177" s="236" t="n">
        <f aca="false" t="array" ref="BX177:BX177">IF(BX176=0,0,IF(BX176/'🎚️ Escenario'!$C$11&gt;=36,$AL$23,INDEX($C$23:$AL$23,MAX(1,ROUNDUP(BX176/'🎚️ Escenario'!$C$11,0)))))</f>
        <v>0.31</v>
      </c>
      <c r="BY177" s="236" t="n">
        <f aca="false" t="array" ref="BY177:BY177">IF(BY176=0,0,IF(BY176/'🎚️ Escenario'!$C$11&gt;=36,$AL$23,INDEX($C$23:$AL$23,MAX(1,ROUNDUP(BY176/'🎚️ Escenario'!$C$11,0)))))</f>
        <v>0.35</v>
      </c>
      <c r="BZ177" s="236" t="n">
        <f aca="false" t="array" ref="BZ177:BZ177">IF(BZ176=0,0,IF(BZ176/'🎚️ Escenario'!$C$11&gt;=36,$AL$23,INDEX($C$23:$AL$23,MAX(1,ROUNDUP(BZ176/'🎚️ Escenario'!$C$11,0)))))</f>
        <v>0.39</v>
      </c>
      <c r="CA177" s="236" t="n">
        <f aca="false" t="array" ref="CA177:CA177">IF(CA176=0,0,IF(CA176/'🎚️ Escenario'!$C$11&gt;=36,$AL$23,INDEX($C$23:$AL$23,MAX(1,ROUNDUP(CA176/'🎚️ Escenario'!$C$11,0)))))</f>
        <v>0.44</v>
      </c>
      <c r="CB177" s="236" t="n">
        <f aca="false" t="array" ref="CB177:CB177">IF(CB176=0,0,IF(CB176/'🎚️ Escenario'!$C$11&gt;=36,$AL$23,INDEX($C$23:$AL$23,MAX(1,ROUNDUP(CB176/'🎚️ Escenario'!$C$11,0)))))</f>
        <v>0.44</v>
      </c>
      <c r="CC177" s="236" t="n">
        <f aca="false" t="array" ref="CC177:CC177">IF(CC176=0,0,IF(CC176/'🎚️ Escenario'!$C$11&gt;=36,$AL$23,INDEX($C$23:$AL$23,MAX(1,ROUNDUP(CC176/'🎚️ Escenario'!$C$11,0)))))</f>
        <v>0.48</v>
      </c>
      <c r="CD177" s="236" t="n">
        <f aca="false" t="array" ref="CD177:CD177">IF(CD176=0,0,IF(CD176/'🎚️ Escenario'!$C$11&gt;=36,$AL$23,INDEX($C$23:$AL$23,MAX(1,ROUNDUP(CD176/'🎚️ Escenario'!$C$11,0)))))</f>
        <v>0.52</v>
      </c>
      <c r="CE177" s="236" t="n">
        <f aca="false" t="array" ref="CE177:CE177">IF(CE176=0,0,IF(CE176/'🎚️ Escenario'!$C$11&gt;=36,$AL$23,INDEX($C$23:$AL$23,MAX(1,ROUNDUP(CE176/'🎚️ Escenario'!$C$11,0)))))</f>
        <v>0.56</v>
      </c>
      <c r="CF177" s="236" t="n">
        <f aca="false" t="array" ref="CF177:CF177">IF(CF176=0,0,IF(CF176/'🎚️ Escenario'!$C$11&gt;=36,$AL$23,INDEX($C$23:$AL$23,MAX(1,ROUNDUP(CF176/'🎚️ Escenario'!$C$11,0)))))</f>
        <v>0.6</v>
      </c>
      <c r="CG177" s="236" t="n">
        <f aca="false" t="array" ref="CG177:CG177">IF(CG176=0,0,IF(CG176/'🎚️ Escenario'!$C$11&gt;=36,$AL$23,INDEX($C$23:$AL$23,MAX(1,ROUNDUP(CG176/'🎚️ Escenario'!$C$11,0)))))</f>
        <v>0.6</v>
      </c>
      <c r="CH177" s="236" t="n">
        <f aca="false" t="array" ref="CH177:CH177">IF(CH176=0,0,IF(CH176/'🎚️ Escenario'!$C$11&gt;=36,$AL$23,INDEX($C$23:$AL$23,MAX(1,ROUNDUP(CH176/'🎚️ Escenario'!$C$11,0)))))</f>
        <v>0.63</v>
      </c>
      <c r="CI177" s="236" t="n">
        <f aca="false" t="array" ref="CI177:CI177">IF(CI176=0,0,IF(CI176/'🎚️ Escenario'!$C$11&gt;=36,$AL$23,INDEX($C$23:$AL$23,MAX(1,ROUNDUP(CI176/'🎚️ Escenario'!$C$11,0)))))</f>
        <v>0.66</v>
      </c>
      <c r="CJ177" s="236" t="n">
        <f aca="false" t="array" ref="CJ177:CJ177">IF(CJ176=0,0,IF(CJ176/'🎚️ Escenario'!$C$11&gt;=36,$AL$23,INDEX($C$23:$AL$23,MAX(1,ROUNDUP(CJ176/'🎚️ Escenario'!$C$11,0)))))</f>
        <v>0.69</v>
      </c>
      <c r="CK177" s="236" t="n">
        <f aca="false" t="array" ref="CK177:CK177">IF(CK176=0,0,IF(CK176/'🎚️ Escenario'!$C$11&gt;=36,$AL$23,INDEX($C$23:$AL$23,MAX(1,ROUNDUP(CK176/'🎚️ Escenario'!$C$11,0)))))</f>
        <v>0.71</v>
      </c>
      <c r="CL177" s="236" t="n">
        <f aca="false" t="array" ref="CL177:CL177">IF(CL176=0,0,IF(CL176/'🎚️ Escenario'!$C$11&gt;=36,$AL$23,INDEX($C$23:$AL$23,MAX(1,ROUNDUP(CL176/'🎚️ Escenario'!$C$11,0)))))</f>
        <v>0.71</v>
      </c>
      <c r="CM177" s="236" t="n">
        <f aca="false" t="array" ref="CM177:CM177">IF(CM176=0,0,IF(CM176/'🎚️ Escenario'!$C$11&gt;=36,$AL$23,INDEX($C$23:$AL$23,MAX(1,ROUNDUP(CM176/'🎚️ Escenario'!$C$11,0)))))</f>
        <v>0.73</v>
      </c>
      <c r="CN177" s="236" t="n">
        <f aca="false" t="array" ref="CN177:CN177">IF(CN176=0,0,IF(CN176/'🎚️ Escenario'!$C$11&gt;=36,$AL$23,INDEX($C$23:$AL$23,MAX(1,ROUNDUP(CN176/'🎚️ Escenario'!$C$11,0)))))</f>
        <v>0.75</v>
      </c>
      <c r="CO177" s="236" t="n">
        <f aca="false" t="array" ref="CO177:CO177">IF(CO176=0,0,IF(CO176/'🎚️ Escenario'!$C$11&gt;=36,$AL$23,INDEX($C$23:$AL$23,MAX(1,ROUNDUP(CO176/'🎚️ Escenario'!$C$11,0)))))</f>
        <v>0.77</v>
      </c>
      <c r="CP177" s="236" t="n">
        <f aca="false" t="array" ref="CP177:CP177">IF(CP176=0,0,IF(CP176/'🎚️ Escenario'!$C$11&gt;=36,$AL$23,INDEX($C$23:$AL$23,MAX(1,ROUNDUP(CP176/'🎚️ Escenario'!$C$11,0)))))</f>
        <v>0.79</v>
      </c>
      <c r="CQ177" s="236" t="n">
        <f aca="false" t="array" ref="CQ177:CQ177">IF(CQ176=0,0,IF(CQ176/'🎚️ Escenario'!$C$11&gt;=36,$AL$23,INDEX($C$23:$AL$23,MAX(1,ROUNDUP(CQ176/'🎚️ Escenario'!$C$11,0)))))</f>
        <v>0.79</v>
      </c>
      <c r="CR177" s="236" t="n">
        <f aca="false" t="array" ref="CR177:CR177">IF(CR176=0,0,IF(CR176/'🎚️ Escenario'!$C$11&gt;=36,$AL$23,INDEX($C$23:$AL$23,MAX(1,ROUNDUP(CR176/'🎚️ Escenario'!$C$11,0)))))</f>
        <v>0.8</v>
      </c>
      <c r="CS177" s="236" t="n">
        <f aca="false" t="array" ref="CS177:CS177">IF(CS176=0,0,IF(CS176/'🎚️ Escenario'!$C$11&gt;=36,$AL$23,INDEX($C$23:$AL$23,MAX(1,ROUNDUP(CS176/'🎚️ Escenario'!$C$11,0)))))</f>
        <v>0.82</v>
      </c>
      <c r="CT177" s="236" t="n">
        <f aca="false" t="array" ref="CT177:CT177">IF(CT176=0,0,IF(CT176/'🎚️ Escenario'!$C$11&gt;=36,$AL$23,INDEX($C$23:$AL$23,MAX(1,ROUNDUP(CT176/'🎚️ Escenario'!$C$11,0)))))</f>
        <v>0.84</v>
      </c>
      <c r="CU177" s="236" t="n">
        <f aca="false" t="array" ref="CU177:CU177">IF(CU176=0,0,IF(CU176/'🎚️ Escenario'!$C$11&gt;=36,$AL$23,INDEX($C$23:$AL$23,MAX(1,ROUNDUP(CU176/'🎚️ Escenario'!$C$11,0)))))</f>
        <v>0.85</v>
      </c>
      <c r="CV177" s="236" t="n">
        <f aca="false" t="array" ref="CV177:CV177">IF(CV176=0,0,IF(CV176/'🎚️ Escenario'!$C$11&gt;=36,$AL$23,INDEX($C$23:$AL$23,MAX(1,ROUNDUP(CV176/'🎚️ Escenario'!$C$11,0)))))</f>
        <v>0.85</v>
      </c>
      <c r="CW177" s="236" t="n">
        <f aca="false" t="array" ref="CW177:CW177">IF(CW176=0,0,IF(CW176/'🎚️ Escenario'!$C$11&gt;=36,$AL$23,INDEX($C$23:$AL$23,MAX(1,ROUNDUP(CW176/'🎚️ Escenario'!$C$11,0)))))</f>
        <v>0.86</v>
      </c>
      <c r="CX177" s="236" t="n">
        <f aca="false" t="array" ref="CX177:CX177">IF(CX176=0,0,IF(CX176/'🎚️ Escenario'!$C$11&gt;=36,$AL$23,INDEX($C$23:$AL$23,MAX(1,ROUNDUP(CX176/'🎚️ Escenario'!$C$11,0)))))</f>
        <v>0.88</v>
      </c>
      <c r="CY177" s="236" t="n">
        <f aca="false" t="array" ref="CY177:CY177">IF(CY176=0,0,IF(CY176/'🎚️ Escenario'!$C$11&gt;=36,$AL$23,INDEX($C$23:$AL$23,MAX(1,ROUNDUP(CY176/'🎚️ Escenario'!$C$11,0)))))</f>
        <v>0.89</v>
      </c>
      <c r="CZ177" s="236" t="n">
        <f aca="false" t="array" ref="CZ177:CZ177">IF(CZ176=0,0,IF(CZ176/'🎚️ Escenario'!$C$11&gt;=36,$AL$23,INDEX($C$23:$AL$23,MAX(1,ROUNDUP(CZ176/'🎚️ Escenario'!$C$11,0)))))</f>
        <v>0.9</v>
      </c>
      <c r="DA177" s="236" t="n">
        <f aca="false" t="array" ref="DA177:DA177">IF(DA176=0,0,IF(DA176/'🎚️ Escenario'!$C$11&gt;=36,$AL$23,INDEX($C$23:$AL$23,MAX(1,ROUNDUP(DA176/'🎚️ Escenario'!$C$11,0)))))</f>
        <v>0.9</v>
      </c>
      <c r="DB177" s="236" t="n">
        <f aca="false" t="array" ref="DB177:DB177">IF(DB176=0,0,IF(DB176/'🎚️ Escenario'!$C$11&gt;=36,$AL$23,INDEX($C$23:$AL$23,MAX(1,ROUNDUP(DB176/'🎚️ Escenario'!$C$11,0)))))</f>
        <v>0.92</v>
      </c>
      <c r="DC177" s="236" t="n">
        <f aca="false" t="array" ref="DC177:DC177">IF(DC176=0,0,IF(DC176/'🎚️ Escenario'!$C$11&gt;=36,$AL$23,INDEX($C$23:$AL$23,MAX(1,ROUNDUP(DC176/'🎚️ Escenario'!$C$11,0)))))</f>
        <v>0.93</v>
      </c>
      <c r="DD177" s="236" t="n">
        <f aca="false" t="array" ref="DD177:DD177">IF(DD176=0,0,IF(DD176/'🎚️ Escenario'!$C$11&gt;=36,$AL$23,INDEX($C$23:$AL$23,MAX(1,ROUNDUP(DD176/'🎚️ Escenario'!$C$11,0)))))</f>
        <v>0.94</v>
      </c>
      <c r="DE177" s="236" t="n">
        <f aca="false" t="array" ref="DE177:DE177">IF(DE176=0,0,IF(DE176/'🎚️ Escenario'!$C$11&gt;=36,$AL$23,INDEX($C$23:$AL$23,MAX(1,ROUNDUP(DE176/'🎚️ Escenario'!$C$11,0)))))</f>
        <v>0.95</v>
      </c>
      <c r="DF177" s="236" t="n">
        <f aca="false" t="array" ref="DF177:DF177">IF(DF176=0,0,IF(DF176/'🎚️ Escenario'!$C$11&gt;=36,$AL$23,INDEX($C$23:$AL$23,MAX(1,ROUNDUP(DF176/'🎚️ Escenario'!$C$11,0)))))</f>
        <v>0.95</v>
      </c>
      <c r="DG177" s="236" t="n">
        <f aca="false" t="array" ref="DG177:DG177">IF(DG176=0,0,IF(DG176/'🎚️ Escenario'!$C$11&gt;=36,$AL$23,INDEX($C$23:$AL$23,MAX(1,ROUNDUP(DG176/'🎚️ Escenario'!$C$11,0)))))</f>
        <v>0.97</v>
      </c>
      <c r="DH177" s="236" t="n">
        <f aca="false" t="array" ref="DH177:DH177">IF(DH176=0,0,IF(DH176/'🎚️ Escenario'!$C$11&gt;=36,$AL$23,INDEX($C$23:$AL$23,MAX(1,ROUNDUP(DH176/'🎚️ Escenario'!$C$11,0)))))</f>
        <v>0.98</v>
      </c>
      <c r="DI177" s="236" t="n">
        <f aca="false" t="array" ref="DI177:DI177">IF(DI176=0,0,IF(DI176/'🎚️ Escenario'!$C$11&gt;=36,$AL$23,INDEX($C$23:$AL$23,MAX(1,ROUNDUP(DI176/'🎚️ Escenario'!$C$11,0)))))</f>
        <v>0.99</v>
      </c>
      <c r="DJ177" s="236" t="n">
        <f aca="false" t="array" ref="DJ177:DJ177">IF(DJ176=0,0,IF(DJ176/'🎚️ Escenario'!$C$11&gt;=36,$AL$23,INDEX($C$23:$AL$23,MAX(1,ROUNDUP(DJ176/'🎚️ Escenario'!$C$11,0)))))</f>
        <v>1</v>
      </c>
      <c r="DK177" s="236" t="n">
        <f aca="false" t="array" ref="DK177:DK177">IF(DK176=0,0,IF(DK176/'🎚️ Escenario'!$C$11&gt;=36,$AL$23,INDEX($C$23:$AL$23,MAX(1,ROUNDUP(DK176/'🎚️ Escenario'!$C$11,0)))))</f>
        <v>1</v>
      </c>
      <c r="DL177" s="236" t="n">
        <f aca="false" t="array" ref="DL177:DL177">IF(DL176=0,0,IF(DL176/'🎚️ Escenario'!$C$11&gt;=36,$AL$23,INDEX($C$23:$AL$23,MAX(1,ROUNDUP(DL176/'🎚️ Escenario'!$C$11,0)))))</f>
        <v>1</v>
      </c>
      <c r="DM177" s="236" t="n">
        <f aca="false" t="array" ref="DM177:DM177">IF(DM176=0,0,IF(DM176/'🎚️ Escenario'!$C$11&gt;=36,$AL$23,INDEX($C$23:$AL$23,MAX(1,ROUNDUP(DM176/'🎚️ Escenario'!$C$11,0)))))</f>
        <v>1</v>
      </c>
      <c r="DN177" s="236" t="n">
        <f aca="false" t="array" ref="DN177:DN177">IF(DN176=0,0,IF(DN176/'🎚️ Escenario'!$C$11&gt;=36,$AL$23,INDEX($C$23:$AL$23,MAX(1,ROUNDUP(DN176/'🎚️ Escenario'!$C$11,0)))))</f>
        <v>1</v>
      </c>
      <c r="DO177" s="236" t="n">
        <f aca="false" t="array" ref="DO177:DO177">IF(DO176=0,0,IF(DO176/'🎚️ Escenario'!$C$11&gt;=36,$AL$23,INDEX($C$23:$AL$23,MAX(1,ROUNDUP(DO176/'🎚️ Escenario'!$C$11,0)))))</f>
        <v>1</v>
      </c>
      <c r="DP177" s="236" t="n">
        <f aca="false" t="array" ref="DP177:DP177">IF(DP176=0,0,IF(DP176/'🎚️ Escenario'!$C$11&gt;=36,$AL$23,INDEX($C$23:$AL$23,MAX(1,ROUNDUP(DP176/'🎚️ Escenario'!$C$11,0)))))</f>
        <v>1</v>
      </c>
      <c r="DQ177" s="236" t="n">
        <f aca="false" t="array" ref="DQ177:DQ177">IF(DQ176=0,0,IF(DQ176/'🎚️ Escenario'!$C$11&gt;=36,$AL$23,INDEX($C$23:$AL$23,MAX(1,ROUNDUP(DQ176/'🎚️ Escenario'!$C$11,0)))))</f>
        <v>1</v>
      </c>
      <c r="DR177" s="236" t="n">
        <f aca="false" t="array" ref="DR177:DR177">IF(DR176=0,0,IF(DR176/'🎚️ Escenario'!$C$11&gt;=36,$AL$23,INDEX($C$23:$AL$23,MAX(1,ROUNDUP(DR176/'🎚️ Escenario'!$C$11,0)))))</f>
        <v>1</v>
      </c>
      <c r="DS177" s="236" t="n">
        <f aca="false" t="array" ref="DS177:DS177">IF(DS176=0,0,IF(DS176/'🎚️ Escenario'!$C$11&gt;=36,$AL$23,INDEX($C$23:$AL$23,MAX(1,ROUNDUP(DS176/'🎚️ Escenario'!$C$11,0)))))</f>
        <v>1</v>
      </c>
      <c r="DT177" s="236" t="n">
        <f aca="false" t="array" ref="DT177:DT177">IF(DT176=0,0,IF(DT176/'🎚️ Escenario'!$C$11&gt;=36,$AL$23,INDEX($C$23:$AL$23,MAX(1,ROUNDUP(DT176/'🎚️ Escenario'!$C$11,0)))))</f>
        <v>1</v>
      </c>
      <c r="DU177" s="236" t="n">
        <f aca="false" t="array" ref="DU177:DU177">IF(DU176=0,0,IF(DU176/'🎚️ Escenario'!$C$11&gt;=36,$AL$23,INDEX($C$23:$AL$23,MAX(1,ROUNDUP(DU176/'🎚️ Escenario'!$C$11,0)))))</f>
        <v>1</v>
      </c>
      <c r="DV177" s="236" t="n">
        <f aca="false" t="array" ref="DV177:DV177">IF(DV176=0,0,IF(DV176/'🎚️ Escenario'!$C$11&gt;=36,$AL$23,INDEX($C$23:$AL$23,MAX(1,ROUNDUP(DV176/'🎚️ Escenario'!$C$11,0)))))</f>
        <v>1</v>
      </c>
      <c r="DW177" s="236" t="n">
        <f aca="false" t="array" ref="DW177:DW177">IF(DW176=0,0,IF(DW176/'🎚️ Escenario'!$C$11&gt;=36,$AL$23,INDEX($C$23:$AL$23,MAX(1,ROUNDUP(DW176/'🎚️ Escenario'!$C$11,0)))))</f>
        <v>1</v>
      </c>
      <c r="DX177" s="236" t="n">
        <f aca="false" t="array" ref="DX177:DX177">IF(DX176=0,0,IF(DX176/'🎚️ Escenario'!$C$11&gt;=36,$AL$23,INDEX($C$23:$AL$23,MAX(1,ROUNDUP(DX176/'🎚️ Escenario'!$C$11,0)))))</f>
        <v>1</v>
      </c>
      <c r="DY177" s="236" t="n">
        <f aca="false" t="array" ref="DY177:DY177">IF(DY176=0,0,IF(DY176/'🎚️ Escenario'!$C$11&gt;=36,$AL$23,INDEX($C$23:$AL$23,MAX(1,ROUNDUP(DY176/'🎚️ Escenario'!$C$11,0)))))</f>
        <v>1</v>
      </c>
      <c r="DZ177" s="236" t="n">
        <f aca="false" t="array" ref="DZ177:DZ177">IF(DZ176=0,0,IF(DZ176/'🎚️ Escenario'!$C$11&gt;=36,$AL$23,INDEX($C$23:$AL$23,MAX(1,ROUNDUP(DZ176/'🎚️ Escenario'!$C$11,0)))))</f>
        <v>1</v>
      </c>
      <c r="EA177" s="236" t="n">
        <f aca="false" t="array" ref="EA177:EA177">IF(EA176=0,0,IF(EA176/'🎚️ Escenario'!$C$11&gt;=36,$AL$23,INDEX($C$23:$AL$23,MAX(1,ROUNDUP(EA176/'🎚️ Escenario'!$C$11,0)))))</f>
        <v>1</v>
      </c>
      <c r="EB177" s="236" t="n">
        <f aca="false" t="array" ref="EB177:EB177">IF(EB176=0,0,IF(EB176/'🎚️ Escenario'!$C$11&gt;=36,$AL$23,INDEX($C$23:$AL$23,MAX(1,ROUNDUP(EB176/'🎚️ Escenario'!$C$11,0)))))</f>
        <v>1</v>
      </c>
      <c r="EC177" s="236" t="n">
        <f aca="false" t="array" ref="EC177:EC177">IF(EC176=0,0,IF(EC176/'🎚️ Escenario'!$C$11&gt;=36,$AL$23,INDEX($C$23:$AL$23,MAX(1,ROUNDUP(EC176/'🎚️ Escenario'!$C$11,0)))))</f>
        <v>1</v>
      </c>
      <c r="ED177" s="236" t="n">
        <f aca="false" t="array" ref="ED177:ED177">IF(ED176=0,0,IF(ED176/'🎚️ Escenario'!$C$11&gt;=36,$AL$23,INDEX($C$23:$AL$23,MAX(1,ROUNDUP(ED176/'🎚️ Escenario'!$C$11,0)))))</f>
        <v>1</v>
      </c>
      <c r="EE177" s="236" t="n">
        <f aca="false" t="array" ref="EE177:EE177">IF(EE176=0,0,IF(EE176/'🎚️ Escenario'!$C$11&gt;=36,$AL$23,INDEX($C$23:$AL$23,MAX(1,ROUNDUP(EE176/'🎚️ Escenario'!$C$11,0)))))</f>
        <v>1</v>
      </c>
      <c r="EF177" s="236" t="n">
        <f aca="false" t="array" ref="EF177:EF177">IF(EF176=0,0,IF(EF176/'🎚️ Escenario'!$C$11&gt;=36,$AL$23,INDEX($C$23:$AL$23,MAX(1,ROUNDUP(EF176/'🎚️ Escenario'!$C$11,0)))))</f>
        <v>1</v>
      </c>
      <c r="EG177" s="236" t="n">
        <f aca="false" t="array" ref="EG177:EG177">IF(EG176=0,0,IF(EG176/'🎚️ Escenario'!$C$11&gt;=36,$AL$23,INDEX($C$23:$AL$23,MAX(1,ROUNDUP(EG176/'🎚️ Escenario'!$C$11,0)))))</f>
        <v>1</v>
      </c>
      <c r="EH177" s="236" t="n">
        <f aca="false" t="array" ref="EH177:EH177">IF(EH176=0,0,IF(EH176/'🎚️ Escenario'!$C$11&gt;=36,$AL$23,INDEX($C$23:$AL$23,MAX(1,ROUNDUP(EH176/'🎚️ Escenario'!$C$11,0)))))</f>
        <v>1</v>
      </c>
      <c r="EI177" s="236" t="n">
        <f aca="false" t="array" ref="EI177:EI177">IF(EI176=0,0,IF(EI176/'🎚️ Escenario'!$C$11&gt;=36,$AL$23,INDEX($C$23:$AL$23,MAX(1,ROUNDUP(EI176/'🎚️ Escenario'!$C$11,0)))))</f>
        <v>1</v>
      </c>
      <c r="EJ177" s="236" t="n">
        <f aca="false" t="array" ref="EJ177:EJ177">IF(EJ176=0,0,IF(EJ176/'🎚️ Escenario'!$C$11&gt;=36,$AL$23,INDEX($C$23:$AL$23,MAX(1,ROUNDUP(EJ176/'🎚️ Escenario'!$C$11,0)))))</f>
        <v>1</v>
      </c>
      <c r="EK177" s="236" t="n">
        <f aca="false" t="array" ref="EK177:EK177">IF(EK176=0,0,IF(EK176/'🎚️ Escenario'!$C$11&gt;=36,$AL$23,INDEX($C$23:$AL$23,MAX(1,ROUNDUP(EK176/'🎚️ Escenario'!$C$11,0)))))</f>
        <v>1</v>
      </c>
      <c r="EL177" s="236" t="n">
        <f aca="false" t="array" ref="EL177:EL177">IF(EL176=0,0,IF(EL176/'🎚️ Escenario'!$C$11&gt;=36,$AL$23,INDEX($C$23:$AL$23,MAX(1,ROUNDUP(EL176/'🎚️ Escenario'!$C$11,0)))))</f>
        <v>1</v>
      </c>
      <c r="EM177" s="236" t="n">
        <f aca="false" t="array" ref="EM177:EM177">IF(EM176=0,0,IF(EM176/'🎚️ Escenario'!$C$11&gt;=36,$AL$23,INDEX($C$23:$AL$23,MAX(1,ROUNDUP(EM176/'🎚️ Escenario'!$C$11,0)))))</f>
        <v>1</v>
      </c>
      <c r="EN177" s="236" t="n">
        <f aca="false" t="array" ref="EN177:EN177">IF(EN176=0,0,IF(EN176/'🎚️ Escenario'!$C$11&gt;=36,$AL$23,INDEX($C$23:$AL$23,MAX(1,ROUNDUP(EN176/'🎚️ Escenario'!$C$11,0)))))</f>
        <v>1</v>
      </c>
      <c r="EO177" s="236" t="n">
        <f aca="false" t="array" ref="EO177:EO177">IF(EO176=0,0,IF(EO176/'🎚️ Escenario'!$C$11&gt;=36,$AL$23,INDEX($C$23:$AL$23,MAX(1,ROUNDUP(EO176/'🎚️ Escenario'!$C$11,0)))))</f>
        <v>1</v>
      </c>
      <c r="EP177" s="236" t="n">
        <f aca="false" t="array" ref="EP177:EP177">IF(EP176=0,0,IF(EP176/'🎚️ Escenario'!$C$11&gt;=36,$AL$23,INDEX($C$23:$AL$23,MAX(1,ROUNDUP(EP176/'🎚️ Escenario'!$C$11,0)))))</f>
        <v>1</v>
      </c>
      <c r="EQ177" s="236" t="n">
        <f aca="false" t="array" ref="EQ177:EQ177">IF(EQ176=0,0,IF(EQ176/'🎚️ Escenario'!$C$11&gt;=36,$AL$23,INDEX($C$23:$AL$23,MAX(1,ROUNDUP(EQ176/'🎚️ Escenario'!$C$11,0)))))</f>
        <v>1</v>
      </c>
      <c r="ER177" s="236" t="n">
        <f aca="false" t="array" ref="ER177:ER177">IF(ER176=0,0,IF(ER176/'🎚️ Escenario'!$C$11&gt;=36,$AL$23,INDEX($C$23:$AL$23,MAX(1,ROUNDUP(ER176/'🎚️ Escenario'!$C$11,0)))))</f>
        <v>1</v>
      </c>
      <c r="ES177" s="9" t="n">
        <f aca="false" t="array" ref="ES177:ES177">IF(ES176=0,0,IF(ES176/'🎚️ Escenario'!$C$11&gt;=36,$AL$23,INDEX($C$23:$AL$23,MAX(1,ROUNDUP(ES176/'🎚️ Escenario'!$C$11,0)))))</f>
        <v>1</v>
      </c>
      <c r="ET177" s="9" t="n">
        <f aca="false" t="array" ref="ET177:ET177">IF(ET176=0,0,IF(ET176/'🎚️ Escenario'!$C$11&gt;=36,$AL$23,INDEX($C$23:$AL$23,MAX(1,ROUNDUP(ET176/'🎚️ Escenario'!$C$11,0)))))</f>
        <v>1</v>
      </c>
      <c r="EU177" s="9" t="n">
        <f aca="false" t="array" ref="EU177:EU177">IF(EU176=0,0,IF(EU176/'🎚️ Escenario'!$C$11&gt;=36,$AL$23,INDEX($C$23:$AL$23,MAX(1,ROUNDUP(EU176/'🎚️ Escenario'!$C$11,0)))))</f>
        <v>1</v>
      </c>
      <c r="EV177" s="9" t="n">
        <f aca="false" t="array" ref="EV177:EV177">IF(EV176=0,0,IF(EV176/'🎚️ Escenario'!$C$11&gt;=36,$AL$23,INDEX($C$23:$AL$23,MAX(1,ROUNDUP(EV176/'🎚️ Escenario'!$C$11,0)))))</f>
        <v>1</v>
      </c>
      <c r="EW177" s="9" t="n">
        <f aca="false" t="array" ref="EW177:EW177">IF(EW176=0,0,IF(EW176/'🎚️ Escenario'!$C$11&gt;=36,$AL$23,INDEX($C$23:$AL$23,MAX(1,ROUNDUP(EW176/'🎚️ Escenario'!$C$11,0)))))</f>
        <v>1</v>
      </c>
      <c r="EX177" s="9" t="n">
        <f aca="false" t="array" ref="EX177:EX177">IF(EX176=0,0,IF(EX176/'🎚️ Escenario'!$C$11&gt;=36,$AL$23,INDEX($C$23:$AL$23,MAX(1,ROUNDUP(EX176/'🎚️ Escenario'!$C$11,0)))))</f>
        <v>1</v>
      </c>
      <c r="EY177" s="9" t="n">
        <f aca="false" t="array" ref="EY177:EY177">IF(EY176=0,0,IF(EY176/'🎚️ Escenario'!$C$11&gt;=36,$AL$23,INDEX($C$23:$AL$23,MAX(1,ROUNDUP(EY176/'🎚️ Escenario'!$C$11,0)))))</f>
        <v>1</v>
      </c>
      <c r="EZ177" s="9" t="n">
        <f aca="false" t="array" ref="EZ177:EZ177">IF(EZ176=0,0,IF(EZ176/'🎚️ Escenario'!$C$11&gt;=36,$AL$23,INDEX($C$23:$AL$23,MAX(1,ROUNDUP(EZ176/'🎚️ Escenario'!$C$11,0)))))</f>
        <v>1</v>
      </c>
      <c r="FA177" s="9" t="n">
        <f aca="false" t="array" ref="FA177:FA177">IF(FA176=0,0,IF(FA176/'🎚️ Escenario'!$C$11&gt;=36,$AL$23,INDEX($C$23:$AL$23,MAX(1,ROUNDUP(FA176/'🎚️ Escenario'!$C$11,0)))))</f>
        <v>1</v>
      </c>
      <c r="FB177" s="9" t="n">
        <f aca="false" t="array" ref="FB177:FB177">IF(FB176=0,0,IF(FB176/'🎚️ Escenario'!$C$11&gt;=36,$AL$23,INDEX($C$23:$AL$23,MAX(1,ROUNDUP(FB176/'🎚️ Escenario'!$C$11,0)))))</f>
        <v>1</v>
      </c>
      <c r="FC177" s="9" t="n">
        <f aca="false" t="array" ref="FC177:FC177">IF(FC176=0,0,IF(FC176/'🎚️ Escenario'!$C$11&gt;=36,$AL$23,INDEX($C$23:$AL$23,MAX(1,ROUNDUP(FC176/'🎚️ Escenario'!$C$11,0)))))</f>
        <v>1</v>
      </c>
      <c r="FD177" s="9" t="n">
        <f aca="false" t="array" ref="FD177:FD177">IF(FD176=0,0,IF(FD176/'🎚️ Escenario'!$C$11&gt;=36,$AL$23,INDEX($C$23:$AL$23,MAX(1,ROUNDUP(FD176/'🎚️ Escenario'!$C$11,0)))))</f>
        <v>1</v>
      </c>
      <c r="FE177" s="9" t="n">
        <f aca="false" t="array" ref="FE177:FE177">IF(FE176=0,0,IF(FE176/'🎚️ Escenario'!$C$11&gt;=36,$AL$23,INDEX($C$23:$AL$23,MAX(1,ROUNDUP(FE176/'🎚️ Escenario'!$C$11,0)))))</f>
        <v>1</v>
      </c>
      <c r="FF177" s="9" t="n">
        <f aca="false" t="array" ref="FF177:FF177">IF(FF176=0,0,IF(FF176/'🎚️ Escenario'!$C$11&gt;=36,$AL$23,INDEX($C$23:$AL$23,MAX(1,ROUNDUP(FF176/'🎚️ Escenario'!$C$11,0)))))</f>
        <v>1</v>
      </c>
      <c r="FG177" s="9" t="n">
        <f aca="false" t="array" ref="FG177:FG177">IF(FG176=0,0,IF(FG176/'🎚️ Escenario'!$C$11&gt;=36,$AL$23,INDEX($C$23:$AL$23,MAX(1,ROUNDUP(FG176/'🎚️ Escenario'!$C$11,0)))))</f>
        <v>1</v>
      </c>
      <c r="FH177" s="9" t="n">
        <f aca="false" t="array" ref="FH177:FH177">IF(FH176=0,0,IF(FH176/'🎚️ Escenario'!$C$11&gt;=36,$AL$23,INDEX($C$23:$AL$23,MAX(1,ROUNDUP(FH176/'🎚️ Escenario'!$C$11,0)))))</f>
        <v>1</v>
      </c>
      <c r="FI177" s="9" t="n">
        <f aca="false" t="array" ref="FI177:FI177">IF(FI176=0,0,IF(FI176/'🎚️ Escenario'!$C$11&gt;=36,$AL$23,INDEX($C$23:$AL$23,MAX(1,ROUNDUP(FI176/'🎚️ Escenario'!$C$11,0)))))</f>
        <v>1</v>
      </c>
      <c r="FJ177" s="9" t="n">
        <f aca="false" t="array" ref="FJ177:FJ177">IF(FJ176=0,0,IF(FJ176/'🎚️ Escenario'!$C$11&gt;=36,$AL$23,INDEX($C$23:$AL$23,MAX(1,ROUNDUP(FJ176/'🎚️ Escenario'!$C$11,0)))))</f>
        <v>1</v>
      </c>
      <c r="FK177" s="9" t="n">
        <f aca="false" t="array" ref="FK177:FK177">IF(FK176=0,0,IF(FK176/'🎚️ Escenario'!$C$11&gt;=36,$AL$23,INDEX($C$23:$AL$23,MAX(1,ROUNDUP(FK176/'🎚️ Escenario'!$C$11,0)))))</f>
        <v>1</v>
      </c>
      <c r="FL177" s="9" t="n">
        <f aca="false" t="array" ref="FL177:FL177">IF(FL176=0,0,IF(FL176/'🎚️ Escenario'!$C$11&gt;=36,$AL$23,INDEX($C$23:$AL$23,MAX(1,ROUNDUP(FL176/'🎚️ Escenario'!$C$11,0)))))</f>
        <v>1</v>
      </c>
      <c r="FM177" s="9" t="n">
        <f aca="false" t="array" ref="FM177:FM177">IF(FM176=0,0,IF(FM176/'🎚️ Escenario'!$C$11&gt;=36,$AL$23,INDEX($C$23:$AL$23,MAX(1,ROUNDUP(FM176/'🎚️ Escenario'!$C$11,0)))))</f>
        <v>1</v>
      </c>
      <c r="FN177" s="9" t="n">
        <f aca="false" t="array" ref="FN177:FN177">IF(FN176=0,0,IF(FN176/'🎚️ Escenario'!$C$11&gt;=36,$AL$23,INDEX($C$23:$AL$23,MAX(1,ROUNDUP(FN176/'🎚️ Escenario'!$C$11,0)))))</f>
        <v>1</v>
      </c>
      <c r="FO177" s="9" t="n">
        <f aca="false" t="array" ref="FO177:FO177">IF(FO176=0,0,IF(FO176/'🎚️ Escenario'!$C$11&gt;=36,$AL$23,INDEX($C$23:$AL$23,MAX(1,ROUNDUP(FO176/'🎚️ Escenario'!$C$11,0)))))</f>
        <v>1</v>
      </c>
      <c r="FP177" s="9" t="n">
        <f aca="false" t="array" ref="FP177:FP177">IF(FP176=0,0,IF(FP176/'🎚️ Escenario'!$C$11&gt;=36,$AL$23,INDEX($C$23:$AL$23,MAX(1,ROUNDUP(FP176/'🎚️ Escenario'!$C$11,0)))))</f>
        <v>1</v>
      </c>
    </row>
    <row r="178" customFormat="false" ht="15" hidden="false" customHeight="false" outlineLevel="2" collapsed="false">
      <c r="B178" s="9" t="s">
        <v>875</v>
      </c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237" t="n">
        <f aca="false">IF(AC176=0,0,IF(AC176&lt;=12*'🎚️ Escenario'!$C$11,1,1+$C$6))</f>
        <v>0</v>
      </c>
      <c r="AD178" s="237" t="n">
        <f aca="false">IF(AD176=0,0,IF(AD176&lt;=12*'🎚️ Escenario'!$C$11,1,1+$C$6))</f>
        <v>0</v>
      </c>
      <c r="AE178" s="237" t="n">
        <f aca="false">IF(AE176=0,0,IF(AE176&lt;=12*'🎚️ Escenario'!$C$11,1,1+$C$6))</f>
        <v>0</v>
      </c>
      <c r="AF178" s="237" t="n">
        <f aca="false">IF(AF176=0,0,IF(AF176&lt;=12*'🎚️ Escenario'!$C$11,1,1+$C$6))</f>
        <v>0</v>
      </c>
      <c r="AG178" s="237" t="n">
        <f aca="false">IF(AG176=0,0,IF(AG176&lt;=12*'🎚️ Escenario'!$C$11,1,1+$C$6))</f>
        <v>0</v>
      </c>
      <c r="AH178" s="237" t="n">
        <f aca="false">IF(AH176=0,0,IF(AH176&lt;=12*'🎚️ Escenario'!$C$11,1,1+$C$6))</f>
        <v>0</v>
      </c>
      <c r="AI178" s="237" t="n">
        <f aca="false">IF(AI176=0,0,IF(AI176&lt;=12*'🎚️ Escenario'!$C$11,1,1+$C$6))</f>
        <v>0</v>
      </c>
      <c r="AJ178" s="237" t="n">
        <f aca="false">IF(AJ176=0,0,IF(AJ176&lt;=12*'🎚️ Escenario'!$C$11,1,1+$C$6))</f>
        <v>0</v>
      </c>
      <c r="AK178" s="237" t="n">
        <f aca="false">IF(AK176=0,0,IF(AK176&lt;=12*'🎚️ Escenario'!$C$11,1,1+$C$6))</f>
        <v>0</v>
      </c>
      <c r="AL178" s="237" t="n">
        <f aca="false">IF(AL176=0,0,IF(AL176&lt;=12*'🎚️ Escenario'!$C$11,1,1+$C$6))</f>
        <v>0</v>
      </c>
      <c r="AM178" s="237" t="n">
        <f aca="false">IF(AM176=0,0,IF(AM176&lt;=12*'🎚️ Escenario'!$C$11,1,1+$C$6))</f>
        <v>0</v>
      </c>
      <c r="AN178" s="237" t="n">
        <f aca="false">IF(AN176=0,0,IF(AN176&lt;=12*'🎚️ Escenario'!$C$11,1,1+$C$6))</f>
        <v>0</v>
      </c>
      <c r="AO178" s="237" t="n">
        <f aca="false">IF(AO176=0,0,IF(AO176&lt;=12*'🎚️ Escenario'!$C$11,1,1+$C$6))</f>
        <v>0</v>
      </c>
      <c r="AP178" s="237" t="n">
        <f aca="false">IF(AP176=0,0,IF(AP176&lt;=12*'🎚️ Escenario'!$C$11,1,1+$C$6))</f>
        <v>0</v>
      </c>
      <c r="AQ178" s="237" t="n">
        <f aca="false">IF(AQ176=0,0,IF(AQ176&lt;=12*'🎚️ Escenario'!$C$11,1,1+$C$6))</f>
        <v>0</v>
      </c>
      <c r="AR178" s="237" t="n">
        <f aca="false">IF(AR176=0,0,IF(AR176&lt;=12*'🎚️ Escenario'!$C$11,1,1+$C$6))</f>
        <v>0</v>
      </c>
      <c r="AS178" s="237" t="n">
        <f aca="false">IF(AS176=0,0,IF(AS176&lt;=12*'🎚️ Escenario'!$C$11,1,1+$C$6))</f>
        <v>0</v>
      </c>
      <c r="AT178" s="237" t="n">
        <f aca="false">IF(AT176=0,0,IF(AT176&lt;=12*'🎚️ Escenario'!$C$11,1,1+$C$6))</f>
        <v>0</v>
      </c>
      <c r="AU178" s="237" t="n">
        <f aca="false">IF(AU176=0,0,IF(AU176&lt;=12*'🎚️ Escenario'!$C$11,1,1+$C$6))</f>
        <v>0</v>
      </c>
      <c r="AV178" s="237" t="n">
        <f aca="false">IF(AV176=0,0,IF(AV176&lt;=12*'🎚️ Escenario'!$C$11,1,1+$C$6))</f>
        <v>0</v>
      </c>
      <c r="AW178" s="237" t="n">
        <f aca="false">IF(AW176=0,0,IF(AW176&lt;=12*'🎚️ Escenario'!$C$11,1,1+$C$6))</f>
        <v>0</v>
      </c>
      <c r="AX178" s="237" t="n">
        <f aca="false">IF(AX176=0,0,IF(AX176&lt;=12*'🎚️ Escenario'!$C$11,1,1+$C$6))</f>
        <v>0</v>
      </c>
      <c r="AY178" s="237" t="n">
        <f aca="false">IF(AY176=0,0,IF(AY176&lt;=12*'🎚️ Escenario'!$C$11,1,1+$C$6))</f>
        <v>0</v>
      </c>
      <c r="AZ178" s="237" t="n">
        <f aca="false">IF(AZ176=0,0,IF(AZ176&lt;=12*'🎚️ Escenario'!$C$11,1,1+$C$6))</f>
        <v>0</v>
      </c>
      <c r="BA178" s="237" t="n">
        <f aca="false">IF(BA176=0,0,IF(BA176&lt;=12*'🎚️ Escenario'!$C$11,1,1+$C$6))</f>
        <v>0</v>
      </c>
      <c r="BB178" s="237" t="n">
        <f aca="false">IF(BB176=0,0,IF(BB176&lt;=12*'🎚️ Escenario'!$C$11,1,1+$C$6))</f>
        <v>0</v>
      </c>
      <c r="BC178" s="237" t="n">
        <f aca="false">IF(BC176=0,0,IF(BC176&lt;=12*'🎚️ Escenario'!$C$11,1,1+$C$6))</f>
        <v>0</v>
      </c>
      <c r="BD178" s="237" t="n">
        <f aca="false">IF(BD176=0,0,IF(BD176&lt;=12*'🎚️ Escenario'!$C$11,1,1+$C$6))</f>
        <v>0</v>
      </c>
      <c r="BE178" s="237" t="n">
        <f aca="false">IF(BE176=0,0,IF(BE176&lt;=12*'🎚️ Escenario'!$C$11,1,1+$C$6))</f>
        <v>0</v>
      </c>
      <c r="BF178" s="237" t="n">
        <f aca="false">IF(BF176=0,0,IF(BF176&lt;=12*'🎚️ Escenario'!$C$11,1,1+$C$6))</f>
        <v>0</v>
      </c>
      <c r="BG178" s="237" t="n">
        <f aca="false">IF(BG176=0,0,IF(BG176&lt;=12*'🎚️ Escenario'!$C$11,1,1+$C$6))</f>
        <v>0</v>
      </c>
      <c r="BH178" s="237" t="n">
        <f aca="false">IF(BH176=0,0,IF(BH176&lt;=12*'🎚️ Escenario'!$C$11,1,1+$C$6))</f>
        <v>0</v>
      </c>
      <c r="BI178" s="237" t="n">
        <f aca="false">IF(BI176=0,0,IF(BI176&lt;=12*'🎚️ Escenario'!$C$11,1,1+$C$6))</f>
        <v>0</v>
      </c>
      <c r="BJ178" s="237" t="n">
        <f aca="false">IF(BJ176=0,0,IF(BJ176&lt;=12*'🎚️ Escenario'!$C$11,1,1+$C$6))</f>
        <v>0</v>
      </c>
      <c r="BK178" s="237" t="n">
        <f aca="false">IF(BK176=0,0,IF(BK176&lt;=12*'🎚️ Escenario'!$C$11,1,1+$C$6))</f>
        <v>0</v>
      </c>
      <c r="BL178" s="237" t="n">
        <f aca="false">IF(BL176=0,0,IF(BL176&lt;=12*'🎚️ Escenario'!$C$11,1,1+$C$6))</f>
        <v>0</v>
      </c>
      <c r="BM178" s="237" t="n">
        <f aca="false">IF(BM176=0,0,IF(BM176&lt;=12*'🎚️ Escenario'!$C$11,1,1+$C$6))</f>
        <v>0</v>
      </c>
      <c r="BN178" s="237" t="n">
        <f aca="false">IF(BN176=0,0,IF(BN176&lt;=12*'🎚️ Escenario'!$C$11,1,1+$C$6))</f>
        <v>0</v>
      </c>
      <c r="BO178" s="237" t="n">
        <f aca="false">IF(BO176=0,0,IF(BO176&lt;=12*'🎚️ Escenario'!$C$11,1,1+$C$6))</f>
        <v>0</v>
      </c>
      <c r="BP178" s="237" t="n">
        <f aca="false">IF(BP176=0,0,IF(BP176&lt;=12*'🎚️ Escenario'!$C$11,1,1+$C$6))</f>
        <v>0</v>
      </c>
      <c r="BQ178" s="237" t="n">
        <f aca="false">IF(BQ176=0,0,IF(BQ176&lt;=12*'🎚️ Escenario'!$C$11,1,1+$C$6))</f>
        <v>0</v>
      </c>
      <c r="BR178" s="237" t="n">
        <f aca="false">IF(BR176=0,0,IF(BR176&lt;=12*'🎚️ Escenario'!$C$11,1,1+$C$6))</f>
        <v>0</v>
      </c>
      <c r="BS178" s="237" t="n">
        <f aca="false">IF(BS176=0,0,IF(BS176&lt;=12*'🎚️ Escenario'!$C$11,1,1+$C$6))</f>
        <v>1</v>
      </c>
      <c r="BT178" s="237" t="n">
        <f aca="false">IF(BT176=0,0,IF(BT176&lt;=12*'🎚️ Escenario'!$C$11,1,1+$C$6))</f>
        <v>1</v>
      </c>
      <c r="BU178" s="237" t="n">
        <f aca="false">IF(BU176=0,0,IF(BU176&lt;=12*'🎚️ Escenario'!$C$11,1,1+$C$6))</f>
        <v>1</v>
      </c>
      <c r="BV178" s="237" t="n">
        <f aca="false">IF(BV176=0,0,IF(BV176&lt;=12*'🎚️ Escenario'!$C$11,1,1+$C$6))</f>
        <v>1</v>
      </c>
      <c r="BW178" s="237" t="n">
        <f aca="false">IF(BW176=0,0,IF(BW176&lt;=12*'🎚️ Escenario'!$C$11,1,1+$C$6))</f>
        <v>1</v>
      </c>
      <c r="BX178" s="237" t="n">
        <f aca="false">IF(BX176=0,0,IF(BX176&lt;=12*'🎚️ Escenario'!$C$11,1,1+$C$6))</f>
        <v>1</v>
      </c>
      <c r="BY178" s="237" t="n">
        <f aca="false">IF(BY176=0,0,IF(BY176&lt;=12*'🎚️ Escenario'!$C$11,1,1+$C$6))</f>
        <v>1</v>
      </c>
      <c r="BZ178" s="237" t="n">
        <f aca="false">IF(BZ176=0,0,IF(BZ176&lt;=12*'🎚️ Escenario'!$C$11,1,1+$C$6))</f>
        <v>1</v>
      </c>
      <c r="CA178" s="237" t="n">
        <f aca="false">IF(CA176=0,0,IF(CA176&lt;=12*'🎚️ Escenario'!$C$11,1,1+$C$6))</f>
        <v>1</v>
      </c>
      <c r="CB178" s="237" t="n">
        <f aca="false">IF(CB176=0,0,IF(CB176&lt;=12*'🎚️ Escenario'!$C$11,1,1+$C$6))</f>
        <v>1</v>
      </c>
      <c r="CC178" s="237" t="n">
        <f aca="false">IF(CC176=0,0,IF(CC176&lt;=12*'🎚️ Escenario'!$C$11,1,1+$C$6))</f>
        <v>1</v>
      </c>
      <c r="CD178" s="237" t="n">
        <f aca="false">IF(CD176=0,0,IF(CD176&lt;=12*'🎚️ Escenario'!$C$11,1,1+$C$6))</f>
        <v>1</v>
      </c>
      <c r="CE178" s="237" t="n">
        <f aca="false">IF(CE176=0,0,IF(CE176&lt;=12*'🎚️ Escenario'!$C$11,1,1+$C$6))</f>
        <v>1</v>
      </c>
      <c r="CF178" s="237" t="n">
        <f aca="false">IF(CF176=0,0,IF(CF176&lt;=12*'🎚️ Escenario'!$C$11,1,1+$C$6))</f>
        <v>1</v>
      </c>
      <c r="CG178" s="237" t="n">
        <f aca="false">IF(CG176=0,0,IF(CG176&lt;=12*'🎚️ Escenario'!$C$11,1,1+$C$6))</f>
        <v>1</v>
      </c>
      <c r="CH178" s="237" t="n">
        <f aca="false">IF(CH176=0,0,IF(CH176&lt;=12*'🎚️ Escenario'!$C$11,1,1+$C$6))</f>
        <v>1.2</v>
      </c>
      <c r="CI178" s="237" t="n">
        <f aca="false">IF(CI176=0,0,IF(CI176&lt;=12*'🎚️ Escenario'!$C$11,1,1+$C$6))</f>
        <v>1.2</v>
      </c>
      <c r="CJ178" s="237" t="n">
        <f aca="false">IF(CJ176=0,0,IF(CJ176&lt;=12*'🎚️ Escenario'!$C$11,1,1+$C$6))</f>
        <v>1.2</v>
      </c>
      <c r="CK178" s="237" t="n">
        <f aca="false">IF(CK176=0,0,IF(CK176&lt;=12*'🎚️ Escenario'!$C$11,1,1+$C$6))</f>
        <v>1.2</v>
      </c>
      <c r="CL178" s="237" t="n">
        <f aca="false">IF(CL176=0,0,IF(CL176&lt;=12*'🎚️ Escenario'!$C$11,1,1+$C$6))</f>
        <v>1.2</v>
      </c>
      <c r="CM178" s="237" t="n">
        <f aca="false">IF(CM176=0,0,IF(CM176&lt;=12*'🎚️ Escenario'!$C$11,1,1+$C$6))</f>
        <v>1.2</v>
      </c>
      <c r="CN178" s="237" t="n">
        <f aca="false">IF(CN176=0,0,IF(CN176&lt;=12*'🎚️ Escenario'!$C$11,1,1+$C$6))</f>
        <v>1.2</v>
      </c>
      <c r="CO178" s="237" t="n">
        <f aca="false">IF(CO176=0,0,IF(CO176&lt;=12*'🎚️ Escenario'!$C$11,1,1+$C$6))</f>
        <v>1.2</v>
      </c>
      <c r="CP178" s="237" t="n">
        <f aca="false">IF(CP176=0,0,IF(CP176&lt;=12*'🎚️ Escenario'!$C$11,1,1+$C$6))</f>
        <v>1.2</v>
      </c>
      <c r="CQ178" s="237" t="n">
        <f aca="false">IF(CQ176=0,0,IF(CQ176&lt;=12*'🎚️ Escenario'!$C$11,1,1+$C$6))</f>
        <v>1.2</v>
      </c>
      <c r="CR178" s="237" t="n">
        <f aca="false">IF(CR176=0,0,IF(CR176&lt;=12*'🎚️ Escenario'!$C$11,1,1+$C$6))</f>
        <v>1.2</v>
      </c>
      <c r="CS178" s="237" t="n">
        <f aca="false">IF(CS176=0,0,IF(CS176&lt;=12*'🎚️ Escenario'!$C$11,1,1+$C$6))</f>
        <v>1.2</v>
      </c>
      <c r="CT178" s="237" t="n">
        <f aca="false">IF(CT176=0,0,IF(CT176&lt;=12*'🎚️ Escenario'!$C$11,1,1+$C$6))</f>
        <v>1.2</v>
      </c>
      <c r="CU178" s="237" t="n">
        <f aca="false">IF(CU176=0,0,IF(CU176&lt;=12*'🎚️ Escenario'!$C$11,1,1+$C$6))</f>
        <v>1.2</v>
      </c>
      <c r="CV178" s="237" t="n">
        <f aca="false">IF(CV176=0,0,IF(CV176&lt;=12*'🎚️ Escenario'!$C$11,1,1+$C$6))</f>
        <v>1.2</v>
      </c>
      <c r="CW178" s="237" t="n">
        <f aca="false">IF(CW176=0,0,IF(CW176&lt;=12*'🎚️ Escenario'!$C$11,1,1+$C$6))</f>
        <v>1.2</v>
      </c>
      <c r="CX178" s="237" t="n">
        <f aca="false">IF(CX176=0,0,IF(CX176&lt;=12*'🎚️ Escenario'!$C$11,1,1+$C$6))</f>
        <v>1.2</v>
      </c>
      <c r="CY178" s="237" t="n">
        <f aca="false">IF(CY176=0,0,IF(CY176&lt;=12*'🎚️ Escenario'!$C$11,1,1+$C$6))</f>
        <v>1.2</v>
      </c>
      <c r="CZ178" s="237" t="n">
        <f aca="false">IF(CZ176=0,0,IF(CZ176&lt;=12*'🎚️ Escenario'!$C$11,1,1+$C$6))</f>
        <v>1.2</v>
      </c>
      <c r="DA178" s="237" t="n">
        <f aca="false">IF(DA176=0,0,IF(DA176&lt;=12*'🎚️ Escenario'!$C$11,1,1+$C$6))</f>
        <v>1.2</v>
      </c>
      <c r="DB178" s="237" t="n">
        <f aca="false">IF(DB176=0,0,IF(DB176&lt;=12*'🎚️ Escenario'!$C$11,1,1+$C$6))</f>
        <v>1.2</v>
      </c>
      <c r="DC178" s="237" t="n">
        <f aca="false">IF(DC176=0,0,IF(DC176&lt;=12*'🎚️ Escenario'!$C$11,1,1+$C$6))</f>
        <v>1.2</v>
      </c>
      <c r="DD178" s="237" t="n">
        <f aca="false">IF(DD176=0,0,IF(DD176&lt;=12*'🎚️ Escenario'!$C$11,1,1+$C$6))</f>
        <v>1.2</v>
      </c>
      <c r="DE178" s="237" t="n">
        <f aca="false">IF(DE176=0,0,IF(DE176&lt;=12*'🎚️ Escenario'!$C$11,1,1+$C$6))</f>
        <v>1.2</v>
      </c>
      <c r="DF178" s="237" t="n">
        <f aca="false">IF(DF176=0,0,IF(DF176&lt;=12*'🎚️ Escenario'!$C$11,1,1+$C$6))</f>
        <v>1.2</v>
      </c>
      <c r="DG178" s="237" t="n">
        <f aca="false">IF(DG176=0,0,IF(DG176&lt;=12*'🎚️ Escenario'!$C$11,1,1+$C$6))</f>
        <v>1.2</v>
      </c>
      <c r="DH178" s="237" t="n">
        <f aca="false">IF(DH176=0,0,IF(DH176&lt;=12*'🎚️ Escenario'!$C$11,1,1+$C$6))</f>
        <v>1.2</v>
      </c>
      <c r="DI178" s="237" t="n">
        <f aca="false">IF(DI176=0,0,IF(DI176&lt;=12*'🎚️ Escenario'!$C$11,1,1+$C$6))</f>
        <v>1.2</v>
      </c>
      <c r="DJ178" s="237" t="n">
        <f aca="false">IF(DJ176=0,0,IF(DJ176&lt;=12*'🎚️ Escenario'!$C$11,1,1+$C$6))</f>
        <v>1.2</v>
      </c>
      <c r="DK178" s="237" t="n">
        <f aca="false">IF(DK176=0,0,IF(DK176&lt;=12*'🎚️ Escenario'!$C$11,1,1+$C$6))</f>
        <v>1.2</v>
      </c>
      <c r="DL178" s="237" t="n">
        <f aca="false">IF(DL176=0,0,IF(DL176&lt;=12*'🎚️ Escenario'!$C$11,1,1+$C$6))</f>
        <v>1.2</v>
      </c>
      <c r="DM178" s="237" t="n">
        <f aca="false">IF(DM176=0,0,IF(DM176&lt;=12*'🎚️ Escenario'!$C$11,1,1+$C$6))</f>
        <v>1.2</v>
      </c>
      <c r="DN178" s="237" t="n">
        <f aca="false">IF(DN176=0,0,IF(DN176&lt;=12*'🎚️ Escenario'!$C$11,1,1+$C$6))</f>
        <v>1.2</v>
      </c>
      <c r="DO178" s="237" t="n">
        <f aca="false">IF(DO176=0,0,IF(DO176&lt;=12*'🎚️ Escenario'!$C$11,1,1+$C$6))</f>
        <v>1.2</v>
      </c>
      <c r="DP178" s="237" t="n">
        <f aca="false">IF(DP176=0,0,IF(DP176&lt;=12*'🎚️ Escenario'!$C$11,1,1+$C$6))</f>
        <v>1.2</v>
      </c>
      <c r="DQ178" s="237" t="n">
        <f aca="false">IF(DQ176=0,0,IF(DQ176&lt;=12*'🎚️ Escenario'!$C$11,1,1+$C$6))</f>
        <v>1.2</v>
      </c>
      <c r="DR178" s="237" t="n">
        <f aca="false">IF(DR176=0,0,IF(DR176&lt;=12*'🎚️ Escenario'!$C$11,1,1+$C$6))</f>
        <v>1.2</v>
      </c>
      <c r="DS178" s="237" t="n">
        <f aca="false">IF(DS176=0,0,IF(DS176&lt;=12*'🎚️ Escenario'!$C$11,1,1+$C$6))</f>
        <v>1.2</v>
      </c>
      <c r="DT178" s="237" t="n">
        <f aca="false">IF(DT176=0,0,IF(DT176&lt;=12*'🎚️ Escenario'!$C$11,1,1+$C$6))</f>
        <v>1.2</v>
      </c>
      <c r="DU178" s="237" t="n">
        <f aca="false">IF(DU176=0,0,IF(DU176&lt;=12*'🎚️ Escenario'!$C$11,1,1+$C$6))</f>
        <v>1.2</v>
      </c>
      <c r="DV178" s="237" t="n">
        <f aca="false">IF(DV176=0,0,IF(DV176&lt;=12*'🎚️ Escenario'!$C$11,1,1+$C$6))</f>
        <v>1.2</v>
      </c>
      <c r="DW178" s="237" t="n">
        <f aca="false">IF(DW176=0,0,IF(DW176&lt;=12*'🎚️ Escenario'!$C$11,1,1+$C$6))</f>
        <v>1.2</v>
      </c>
      <c r="DX178" s="237" t="n">
        <f aca="false">IF(DX176=0,0,IF(DX176&lt;=12*'🎚️ Escenario'!$C$11,1,1+$C$6))</f>
        <v>1.2</v>
      </c>
      <c r="DY178" s="237" t="n">
        <f aca="false">IF(DY176=0,0,IF(DY176&lt;=12*'🎚️ Escenario'!$C$11,1,1+$C$6))</f>
        <v>1.2</v>
      </c>
      <c r="DZ178" s="237" t="n">
        <f aca="false">IF(DZ176=0,0,IF(DZ176&lt;=12*'🎚️ Escenario'!$C$11,1,1+$C$6))</f>
        <v>1.2</v>
      </c>
      <c r="EA178" s="237" t="n">
        <f aca="false">IF(EA176=0,0,IF(EA176&lt;=12*'🎚️ Escenario'!$C$11,1,1+$C$6))</f>
        <v>1.2</v>
      </c>
      <c r="EB178" s="237" t="n">
        <f aca="false">IF(EB176=0,0,IF(EB176&lt;=12*'🎚️ Escenario'!$C$11,1,1+$C$6))</f>
        <v>1.2</v>
      </c>
      <c r="EC178" s="237" t="n">
        <f aca="false">IF(EC176=0,0,IF(EC176&lt;=12*'🎚️ Escenario'!$C$11,1,1+$C$6))</f>
        <v>1.2</v>
      </c>
      <c r="ED178" s="237" t="n">
        <f aca="false">IF(ED176=0,0,IF(ED176&lt;=12*'🎚️ Escenario'!$C$11,1,1+$C$6))</f>
        <v>1.2</v>
      </c>
      <c r="EE178" s="237" t="n">
        <f aca="false">IF(EE176=0,0,IF(EE176&lt;=12*'🎚️ Escenario'!$C$11,1,1+$C$6))</f>
        <v>1.2</v>
      </c>
      <c r="EF178" s="237" t="n">
        <f aca="false">IF(EF176=0,0,IF(EF176&lt;=12*'🎚️ Escenario'!$C$11,1,1+$C$6))</f>
        <v>1.2</v>
      </c>
      <c r="EG178" s="237" t="n">
        <f aca="false">IF(EG176=0,0,IF(EG176&lt;=12*'🎚️ Escenario'!$C$11,1,1+$C$6))</f>
        <v>1.2</v>
      </c>
      <c r="EH178" s="237" t="n">
        <f aca="false">IF(EH176=0,0,IF(EH176&lt;=12*'🎚️ Escenario'!$C$11,1,1+$C$6))</f>
        <v>1.2</v>
      </c>
      <c r="EI178" s="237" t="n">
        <f aca="false">IF(EI176=0,0,IF(EI176&lt;=12*'🎚️ Escenario'!$C$11,1,1+$C$6))</f>
        <v>1.2</v>
      </c>
      <c r="EJ178" s="237" t="n">
        <f aca="false">IF(EJ176=0,0,IF(EJ176&lt;=12*'🎚️ Escenario'!$C$11,1,1+$C$6))</f>
        <v>1.2</v>
      </c>
      <c r="EK178" s="237" t="n">
        <f aca="false">IF(EK176=0,0,IF(EK176&lt;=12*'🎚️ Escenario'!$C$11,1,1+$C$6))</f>
        <v>1.2</v>
      </c>
      <c r="EL178" s="237" t="n">
        <f aca="false">IF(EL176=0,0,IF(EL176&lt;=12*'🎚️ Escenario'!$C$11,1,1+$C$6))</f>
        <v>1.2</v>
      </c>
      <c r="EM178" s="237" t="n">
        <f aca="false">IF(EM176=0,0,IF(EM176&lt;=12*'🎚️ Escenario'!$C$11,1,1+$C$6))</f>
        <v>1.2</v>
      </c>
      <c r="EN178" s="237" t="n">
        <f aca="false">IF(EN176=0,0,IF(EN176&lt;=12*'🎚️ Escenario'!$C$11,1,1+$C$6))</f>
        <v>1.2</v>
      </c>
      <c r="EO178" s="237" t="n">
        <f aca="false">IF(EO176=0,0,IF(EO176&lt;=12*'🎚️ Escenario'!$C$11,1,1+$C$6))</f>
        <v>1.2</v>
      </c>
      <c r="EP178" s="237" t="n">
        <f aca="false">IF(EP176=0,0,IF(EP176&lt;=12*'🎚️ Escenario'!$C$11,1,1+$C$6))</f>
        <v>1.2</v>
      </c>
      <c r="EQ178" s="237" t="n">
        <f aca="false">IF(EQ176=0,0,IF(EQ176&lt;=12*'🎚️ Escenario'!$C$11,1,1+$C$6))</f>
        <v>1.2</v>
      </c>
      <c r="ER178" s="237" t="n">
        <f aca="false">IF(ER176=0,0,IF(ER176&lt;=12*'🎚️ Escenario'!$C$11,1,1+$C$6))</f>
        <v>1.2</v>
      </c>
      <c r="ES178" s="238" t="n">
        <f aca="false">IF(ES176=0,0,IF(ES176&lt;=12*'🎚️ Escenario'!$C$11,1,1+$C$6))</f>
        <v>1.2</v>
      </c>
      <c r="ET178" s="238" t="n">
        <f aca="false">IF(ET176=0,0,IF(ET176&lt;=12*'🎚️ Escenario'!$C$11,1,1+$C$6))</f>
        <v>1.2</v>
      </c>
      <c r="EU178" s="238" t="n">
        <f aca="false">IF(EU176=0,0,IF(EU176&lt;=12*'🎚️ Escenario'!$C$11,1,1+$C$6))</f>
        <v>1.2</v>
      </c>
      <c r="EV178" s="238" t="n">
        <f aca="false">IF(EV176=0,0,IF(EV176&lt;=12*'🎚️ Escenario'!$C$11,1,1+$C$6))</f>
        <v>1.2</v>
      </c>
      <c r="EW178" s="238" t="n">
        <f aca="false">IF(EW176=0,0,IF(EW176&lt;=12*'🎚️ Escenario'!$C$11,1,1+$C$6))</f>
        <v>1.2</v>
      </c>
      <c r="EX178" s="238" t="n">
        <f aca="false">IF(EX176=0,0,IF(EX176&lt;=12*'🎚️ Escenario'!$C$11,1,1+$C$6))</f>
        <v>1.2</v>
      </c>
      <c r="EY178" s="238" t="n">
        <f aca="false">IF(EY176=0,0,IF(EY176&lt;=12*'🎚️ Escenario'!$C$11,1,1+$C$6))</f>
        <v>1.2</v>
      </c>
      <c r="EZ178" s="238" t="n">
        <f aca="false">IF(EZ176=0,0,IF(EZ176&lt;=12*'🎚️ Escenario'!$C$11,1,1+$C$6))</f>
        <v>1.2</v>
      </c>
      <c r="FA178" s="238" t="n">
        <f aca="false">IF(FA176=0,0,IF(FA176&lt;=12*'🎚️ Escenario'!$C$11,1,1+$C$6))</f>
        <v>1.2</v>
      </c>
      <c r="FB178" s="238" t="n">
        <f aca="false">IF(FB176=0,0,IF(FB176&lt;=12*'🎚️ Escenario'!$C$11,1,1+$C$6))</f>
        <v>1.2</v>
      </c>
      <c r="FC178" s="238" t="n">
        <f aca="false">IF(FC176=0,0,IF(FC176&lt;=12*'🎚️ Escenario'!$C$11,1,1+$C$6))</f>
        <v>1.2</v>
      </c>
      <c r="FD178" s="238" t="n">
        <f aca="false">IF(FD176=0,0,IF(FD176&lt;=12*'🎚️ Escenario'!$C$11,1,1+$C$6))</f>
        <v>1.2</v>
      </c>
      <c r="FE178" s="238" t="n">
        <f aca="false">IF(FE176=0,0,IF(FE176&lt;=12*'🎚️ Escenario'!$C$11,1,1+$C$6))</f>
        <v>1.2</v>
      </c>
      <c r="FF178" s="238" t="n">
        <f aca="false">IF(FF176=0,0,IF(FF176&lt;=12*'🎚️ Escenario'!$C$11,1,1+$C$6))</f>
        <v>1.2</v>
      </c>
      <c r="FG178" s="238" t="n">
        <f aca="false">IF(FG176=0,0,IF(FG176&lt;=12*'🎚️ Escenario'!$C$11,1,1+$C$6))</f>
        <v>1.2</v>
      </c>
      <c r="FH178" s="238" t="n">
        <f aca="false">IF(FH176=0,0,IF(FH176&lt;=12*'🎚️ Escenario'!$C$11,1,1+$C$6))</f>
        <v>1.2</v>
      </c>
      <c r="FI178" s="238" t="n">
        <f aca="false">IF(FI176=0,0,IF(FI176&lt;=12*'🎚️ Escenario'!$C$11,1,1+$C$6))</f>
        <v>1.2</v>
      </c>
      <c r="FJ178" s="238" t="n">
        <f aca="false">IF(FJ176=0,0,IF(FJ176&lt;=12*'🎚️ Escenario'!$C$11,1,1+$C$6))</f>
        <v>1.2</v>
      </c>
      <c r="FK178" s="238" t="n">
        <f aca="false">IF(FK176=0,0,IF(FK176&lt;=12*'🎚️ Escenario'!$C$11,1,1+$C$6))</f>
        <v>1.2</v>
      </c>
      <c r="FL178" s="238" t="n">
        <f aca="false">IF(FL176=0,0,IF(FL176&lt;=12*'🎚️ Escenario'!$C$11,1,1+$C$6))</f>
        <v>1.2</v>
      </c>
      <c r="FM178" s="238" t="n">
        <f aca="false">IF(FM176=0,0,IF(FM176&lt;=12*'🎚️ Escenario'!$C$11,1,1+$C$6))</f>
        <v>1.2</v>
      </c>
      <c r="FN178" s="238" t="n">
        <f aca="false">IF(FN176=0,0,IF(FN176&lt;=12*'🎚️ Escenario'!$C$11,1,1+$C$6))</f>
        <v>1.2</v>
      </c>
      <c r="FO178" s="238" t="n">
        <f aca="false">IF(FO176=0,0,IF(FO176&lt;=12*'🎚️ Escenario'!$C$11,1,1+$C$6))</f>
        <v>1.2</v>
      </c>
      <c r="FP178" s="238" t="n">
        <f aca="false">IF(FP176=0,0,IF(FP176&lt;=12*'🎚️ Escenario'!$C$11,1,1+$C$6))</f>
        <v>1.2</v>
      </c>
    </row>
    <row r="179" customFormat="false" ht="15" hidden="false" customHeight="false" outlineLevel="2" collapsed="false">
      <c r="B179" s="9" t="s">
        <v>876</v>
      </c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36" t="n">
        <f aca="false">AC177*$AC$175*AC178*AC$38*'⑫ Roll-out Plan'!$O$23</f>
        <v>0</v>
      </c>
      <c r="AD179" s="36" t="n">
        <f aca="false">AD177*$AC$175*AD178*AD$38*'⑫ Roll-out Plan'!$O$23</f>
        <v>0</v>
      </c>
      <c r="AE179" s="36" t="n">
        <f aca="false">AE177*$AC$175*AE178*AE$38*'⑫ Roll-out Plan'!$O$23</f>
        <v>0</v>
      </c>
      <c r="AF179" s="36" t="n">
        <f aca="false">AF177*$AC$175*AF178*AF$38*'⑫ Roll-out Plan'!$O$23</f>
        <v>0</v>
      </c>
      <c r="AG179" s="36" t="n">
        <f aca="false">AG177*$AC$175*AG178*AG$38*'⑫ Roll-out Plan'!$O$23</f>
        <v>0</v>
      </c>
      <c r="AH179" s="36" t="n">
        <f aca="false">AH177*$AC$175*AH178*AH$38*'⑫ Roll-out Plan'!$O$23</f>
        <v>0</v>
      </c>
      <c r="AI179" s="36" t="n">
        <f aca="false">AI177*$AC$175*AI178*AI$38*'⑫ Roll-out Plan'!$O$23</f>
        <v>0</v>
      </c>
      <c r="AJ179" s="36" t="n">
        <f aca="false">AJ177*$AC$175*AJ178*AJ$38*'⑫ Roll-out Plan'!$O$23</f>
        <v>0</v>
      </c>
      <c r="AK179" s="36" t="n">
        <f aca="false">AK177*$AC$175*AK178*AK$38*'⑫ Roll-out Plan'!$O$23</f>
        <v>0</v>
      </c>
      <c r="AL179" s="36" t="n">
        <f aca="false">AL177*$AC$175*AL178*AL$38*'⑫ Roll-out Plan'!$O$23</f>
        <v>0</v>
      </c>
      <c r="AM179" s="36" t="n">
        <f aca="false">AM177*$AC$175*AM178*AM$38*'⑫ Roll-out Plan'!$O$23</f>
        <v>0</v>
      </c>
      <c r="AN179" s="36" t="n">
        <f aca="false">AN177*$AC$175*AN178*AN$38*'⑫ Roll-out Plan'!$O$23</f>
        <v>0</v>
      </c>
      <c r="AO179" s="36" t="n">
        <f aca="false">AO177*$AC$175*AO178*AO$38*'⑫ Roll-out Plan'!$O$23</f>
        <v>0</v>
      </c>
      <c r="AP179" s="36" t="n">
        <f aca="false">AP177*$AC$175*AP178*AP$38*'⑫ Roll-out Plan'!$O$23</f>
        <v>0</v>
      </c>
      <c r="AQ179" s="36" t="n">
        <f aca="false">AQ177*$AC$175*AQ178*AQ$38*'⑫ Roll-out Plan'!$O$23</f>
        <v>0</v>
      </c>
      <c r="AR179" s="36" t="n">
        <f aca="false">AR177*$AC$175*AR178*AR$38*'⑫ Roll-out Plan'!$O$23</f>
        <v>0</v>
      </c>
      <c r="AS179" s="36" t="n">
        <f aca="false">AS177*$AC$175*AS178*AS$38*'⑫ Roll-out Plan'!$O$23</f>
        <v>0</v>
      </c>
      <c r="AT179" s="36" t="n">
        <f aca="false">AT177*$AC$175*AT178*AT$38*'⑫ Roll-out Plan'!$O$23</f>
        <v>0</v>
      </c>
      <c r="AU179" s="36" t="n">
        <f aca="false">AU177*$AC$175*AU178*AU$38*'⑫ Roll-out Plan'!$O$23</f>
        <v>0</v>
      </c>
      <c r="AV179" s="36" t="n">
        <f aca="false">AV177*$AC$175*AV178*AV$38*'⑫ Roll-out Plan'!$O$23</f>
        <v>0</v>
      </c>
      <c r="AW179" s="36" t="n">
        <f aca="false">AW177*$AC$175*AW178*AW$38*'⑫ Roll-out Plan'!$O$23</f>
        <v>0</v>
      </c>
      <c r="AX179" s="36" t="n">
        <f aca="false">AX177*$AC$175*AX178*AX$38*'⑫ Roll-out Plan'!$O$23</f>
        <v>0</v>
      </c>
      <c r="AY179" s="36" t="n">
        <f aca="false">AY177*$AC$175*AY178*AY$38*'⑫ Roll-out Plan'!$O$23</f>
        <v>0</v>
      </c>
      <c r="AZ179" s="36" t="n">
        <f aca="false">AZ177*$AC$175*AZ178*AZ$38*'⑫ Roll-out Plan'!$O$23</f>
        <v>0</v>
      </c>
      <c r="BA179" s="36" t="n">
        <f aca="false">BA177*$AC$175*BA178*BA$38*'⑫ Roll-out Plan'!$O$23</f>
        <v>0</v>
      </c>
      <c r="BB179" s="36" t="n">
        <f aca="false">BB177*$AC$175*BB178*BB$38*'⑫ Roll-out Plan'!$O$23</f>
        <v>0</v>
      </c>
      <c r="BC179" s="36" t="n">
        <f aca="false">BC177*$AC$175*BC178*BC$38*'⑫ Roll-out Plan'!$O$23</f>
        <v>0</v>
      </c>
      <c r="BD179" s="36" t="n">
        <f aca="false">BD177*$AC$175*BD178*BD$38*'⑫ Roll-out Plan'!$O$23</f>
        <v>0</v>
      </c>
      <c r="BE179" s="36" t="n">
        <f aca="false">BE177*$AC$175*BE178*BE$38*'⑫ Roll-out Plan'!$O$23</f>
        <v>0</v>
      </c>
      <c r="BF179" s="36" t="n">
        <f aca="false">BF177*$AC$175*BF178*BF$38*'⑫ Roll-out Plan'!$O$23</f>
        <v>0</v>
      </c>
      <c r="BG179" s="36" t="n">
        <f aca="false">BG177*$AC$175*BG178*BG$38*'⑫ Roll-out Plan'!$O$23</f>
        <v>0</v>
      </c>
      <c r="BH179" s="36" t="n">
        <f aca="false">BH177*$AC$175*BH178*BH$38*'⑫ Roll-out Plan'!$O$23</f>
        <v>0</v>
      </c>
      <c r="BI179" s="36" t="n">
        <f aca="false">BI177*$AC$175*BI178*BI$38*'⑫ Roll-out Plan'!$O$23</f>
        <v>0</v>
      </c>
      <c r="BJ179" s="36" t="n">
        <f aca="false">BJ177*$AC$175*BJ178*BJ$38*'⑫ Roll-out Plan'!$O$23</f>
        <v>0</v>
      </c>
      <c r="BK179" s="36" t="n">
        <f aca="false">BK177*$AC$175*BK178*BK$38*'⑫ Roll-out Plan'!$O$23</f>
        <v>0</v>
      </c>
      <c r="BL179" s="36" t="n">
        <f aca="false">BL177*$AC$175*BL178*BL$38*'⑫ Roll-out Plan'!$O$23</f>
        <v>0</v>
      </c>
      <c r="BM179" s="36" t="n">
        <f aca="false">BM177*$AC$175*BM178*BM$38*'⑫ Roll-out Plan'!$O$23</f>
        <v>0</v>
      </c>
      <c r="BN179" s="36" t="n">
        <f aca="false">BN177*$AC$175*BN178*BN$38*'⑫ Roll-out Plan'!$O$23</f>
        <v>0</v>
      </c>
      <c r="BO179" s="36" t="n">
        <f aca="false">BO177*$AC$175*BO178*BO$38*'⑫ Roll-out Plan'!$O$23</f>
        <v>0</v>
      </c>
      <c r="BP179" s="36" t="n">
        <f aca="false">BP177*$AC$175*BP178*BP$38*'⑫ Roll-out Plan'!$O$23</f>
        <v>0</v>
      </c>
      <c r="BQ179" s="36" t="n">
        <f aca="false">BQ177*$AC$175*BQ178*BQ$38*'⑫ Roll-out Plan'!$O$23</f>
        <v>0</v>
      </c>
      <c r="BR179" s="36" t="n">
        <f aca="false">BR177*$AC$175*BR178*BR$38*'⑫ Roll-out Plan'!$O$23</f>
        <v>0</v>
      </c>
      <c r="BS179" s="36" t="n">
        <f aca="false">BS177*$AC$175*BS178*BS$38*'⑫ Roll-out Plan'!$O$23</f>
        <v>31.08</v>
      </c>
      <c r="BT179" s="36" t="n">
        <f aca="false">BT177*$AC$175*BT178*BT$38*'⑫ Roll-out Plan'!$O$23</f>
        <v>57.794</v>
      </c>
      <c r="BU179" s="36" t="n">
        <f aca="false">BU177*$AC$175*BU178*BU$38*'⑫ Roll-out Plan'!$O$23</f>
        <v>51.504</v>
      </c>
      <c r="BV179" s="36" t="n">
        <f aca="false">BV177*$AC$175*BV178*BV$38*'⑫ Roll-out Plan'!$O$23</f>
        <v>47.952</v>
      </c>
      <c r="BW179" s="36" t="n">
        <f aca="false">BW177*$AC$175*BW178*BW$38*'⑫ Roll-out Plan'!$O$23</f>
        <v>35.964</v>
      </c>
      <c r="BX179" s="36" t="n">
        <f aca="false">BX177*$AC$175*BX178*BX$38*'⑫ Roll-out Plan'!$O$23</f>
        <v>58.497</v>
      </c>
      <c r="BY179" s="36" t="n">
        <f aca="false">BY177*$AC$175*BY178*BY$38*'⑫ Roll-out Plan'!$O$23</f>
        <v>69.93</v>
      </c>
      <c r="BZ179" s="36" t="n">
        <f aca="false">BZ177*$AC$175*BZ178*BZ$38*'⑫ Roll-out Plan'!$O$23</f>
        <v>59.163</v>
      </c>
      <c r="CA179" s="36" t="n">
        <f aca="false">CA177*$AC$175*CA178*CA$38*'⑫ Roll-out Plan'!$O$23</f>
        <v>94.424</v>
      </c>
      <c r="CB179" s="36" t="n">
        <f aca="false">CB177*$AC$175*CB178*CB$38*'⑫ Roll-out Plan'!$O$23</f>
        <v>89.54</v>
      </c>
      <c r="CC179" s="36" t="n">
        <f aca="false">CC177*$AC$175*CC178*CC$38*'⑫ Roll-out Plan'!$O$23</f>
        <v>81.696</v>
      </c>
      <c r="CD179" s="36" t="n">
        <f aca="false">CD177*$AC$175*CD178*CD$38*'⑫ Roll-out Plan'!$O$23</f>
        <v>76.96</v>
      </c>
      <c r="CE179" s="36" t="n">
        <f aca="false">CE177*$AC$175*CE178*CE$38*'⑫ Roll-out Plan'!$O$23</f>
        <v>87.024</v>
      </c>
      <c r="CF179" s="36" t="n">
        <f aca="false">CF177*$AC$175*CF178*CF$38*'⑫ Roll-out Plan'!$O$23</f>
        <v>157.62</v>
      </c>
      <c r="CG179" s="36" t="n">
        <f aca="false">CG177*$AC$175*CG178*CG$38*'⑫ Roll-out Plan'!$O$23</f>
        <v>128.76</v>
      </c>
      <c r="CH179" s="36" t="n">
        <f aca="false">CH177*$AC$175*CH178*CH$38*'⑫ Roll-out Plan'!$O$23</f>
        <v>134.2656</v>
      </c>
      <c r="CI179" s="36" t="n">
        <f aca="false">CI177*$AC$175*CI178*CI$38*'⑫ Roll-out Plan'!$O$23</f>
        <v>105.4944</v>
      </c>
      <c r="CJ179" s="36" t="n">
        <f aca="false">CJ177*$AC$175*CJ178*CJ$38*'⑫ Roll-out Plan'!$O$23</f>
        <v>156.2436</v>
      </c>
      <c r="CK179" s="36" t="n">
        <f aca="false">CK177*$AC$175*CK178*CK$38*'⑫ Roll-out Plan'!$O$23</f>
        <v>170.2296</v>
      </c>
      <c r="CL179" s="36" t="n">
        <f aca="false">CL177*$AC$175*CL178*CL$38*'⑫ Roll-out Plan'!$O$23</f>
        <v>129.2484</v>
      </c>
      <c r="CM179" s="36" t="n">
        <f aca="false">CM177*$AC$175*CM178*CM$38*'⑫ Roll-out Plan'!$O$23</f>
        <v>187.9896</v>
      </c>
      <c r="CN179" s="36" t="n">
        <f aca="false">CN177*$AC$175*CN178*CN$38*'⑫ Roll-out Plan'!$O$23</f>
        <v>183.15</v>
      </c>
      <c r="CO179" s="36" t="n">
        <f aca="false">CO177*$AC$175*CO178*CO$38*'⑫ Roll-out Plan'!$O$23</f>
        <v>157.2648</v>
      </c>
      <c r="CP179" s="36" t="n">
        <f aca="false">CP177*$AC$175*CP178*CP$38*'⑫ Roll-out Plan'!$O$23</f>
        <v>140.304</v>
      </c>
      <c r="CQ179" s="36" t="n">
        <f aca="false">CQ177*$AC$175*CQ178*CQ$38*'⑫ Roll-out Plan'!$O$23</f>
        <v>147.3192</v>
      </c>
      <c r="CR179" s="36" t="n">
        <f aca="false">CR177*$AC$175*CR178*CR$38*'⑫ Roll-out Plan'!$O$23</f>
        <v>252.192</v>
      </c>
      <c r="CS179" s="36" t="n">
        <f aca="false">CS177*$AC$175*CS178*CS$38*'⑫ Roll-out Plan'!$O$23</f>
        <v>211.1664</v>
      </c>
      <c r="CT179" s="36" t="n">
        <f aca="false">CT177*$AC$175*CT178*CT$38*'⑫ Roll-out Plan'!$O$23</f>
        <v>179.0208</v>
      </c>
      <c r="CU179" s="36" t="n">
        <f aca="false">CU177*$AC$175*CU178*CU$38*'⑫ Roll-out Plan'!$O$23</f>
        <v>135.864</v>
      </c>
      <c r="CV179" s="36" t="n">
        <f aca="false">CV177*$AC$175*CV178*CV$38*'⑫ Roll-out Plan'!$O$23</f>
        <v>192.474</v>
      </c>
      <c r="CW179" s="36" t="n">
        <f aca="false">CW177*$AC$175*CW178*CW$38*'⑫ Roll-out Plan'!$O$23</f>
        <v>206.1936</v>
      </c>
      <c r="CX179" s="36" t="n">
        <f aca="false">CX177*$AC$175*CX178*CX$38*'⑫ Roll-out Plan'!$O$23</f>
        <v>160.1952</v>
      </c>
      <c r="CY179" s="36" t="n">
        <f aca="false">CY177*$AC$175*CY178*CY$38*'⑫ Roll-out Plan'!$O$23</f>
        <v>229.1928</v>
      </c>
      <c r="CZ179" s="36" t="n">
        <f aca="false">CZ177*$AC$175*CZ178*CZ$38*'⑫ Roll-out Plan'!$O$23</f>
        <v>219.78</v>
      </c>
      <c r="DA179" s="36" t="n">
        <f aca="false">DA177*$AC$175*DA178*DA$38*'⑫ Roll-out Plan'!$O$23</f>
        <v>183.816</v>
      </c>
      <c r="DB179" s="36" t="n">
        <f aca="false">DB177*$AC$175*DB178*DB$38*'⑫ Roll-out Plan'!$O$23</f>
        <v>163.392</v>
      </c>
      <c r="DC179" s="36" t="n">
        <f aca="false">DC177*$AC$175*DC178*DC$38*'⑫ Roll-out Plan'!$O$23</f>
        <v>173.4264</v>
      </c>
      <c r="DD179" s="36" t="n">
        <f aca="false">DD177*$AC$175*DD178*DD$38*'⑫ Roll-out Plan'!$O$23</f>
        <v>296.3256</v>
      </c>
      <c r="DE179" s="36" t="n">
        <f aca="false">DE177*$AC$175*DE178*DE$38*'⑫ Roll-out Plan'!$O$23</f>
        <v>244.644</v>
      </c>
      <c r="DF179" s="36" t="n">
        <f aca="false">DF177*$AC$175*DF178*DF$38*'⑫ Roll-out Plan'!$O$23</f>
        <v>202.464</v>
      </c>
      <c r="DG179" s="36" t="n">
        <f aca="false">DG177*$AC$175*DG178*DG$38*'⑫ Roll-out Plan'!$O$23</f>
        <v>155.0448</v>
      </c>
      <c r="DH179" s="36" t="n">
        <f aca="false">DH177*$AC$175*DH178*DH$38*'⑫ Roll-out Plan'!$O$23</f>
        <v>221.9112</v>
      </c>
      <c r="DI179" s="36" t="n">
        <f aca="false">DI177*$AC$175*DI178*DI$38*'⑫ Roll-out Plan'!$O$23</f>
        <v>237.3624</v>
      </c>
      <c r="DJ179" s="36" t="n">
        <f aca="false">DJ177*$AC$175*DJ178*DJ$38*'⑫ Roll-out Plan'!$O$23</f>
        <v>182.04</v>
      </c>
      <c r="DK179" s="36" t="n">
        <f aca="false">DK177*$AC$175*DK178*DK$38*'⑫ Roll-out Plan'!$O$23</f>
        <v>257.52</v>
      </c>
      <c r="DL179" s="36" t="n">
        <f aca="false">DL177*$AC$175*DL178*DL$38*'⑫ Roll-out Plan'!$O$23</f>
        <v>244.2</v>
      </c>
      <c r="DM179" s="36" t="n">
        <f aca="false">DM177*$AC$175*DM178*DM$38*'⑫ Roll-out Plan'!$O$23</f>
        <v>204.24</v>
      </c>
      <c r="DN179" s="36" t="n">
        <f aca="false">DN177*$AC$175*DN178*DN$38*'⑫ Roll-out Plan'!$O$23</f>
        <v>177.6</v>
      </c>
      <c r="DO179" s="36" t="n">
        <f aca="false">DO177*$AC$175*DO178*DO$38*'⑫ Roll-out Plan'!$O$23</f>
        <v>186.48</v>
      </c>
      <c r="DP179" s="36" t="n">
        <f aca="false">DP177*$AC$175*DP178*DP$38*'⑫ Roll-out Plan'!$O$23</f>
        <v>315.24</v>
      </c>
      <c r="DQ179" s="36" t="n">
        <f aca="false">DQ177*$AC$175*DQ178*DQ$38*'⑫ Roll-out Plan'!$O$23</f>
        <v>257.52</v>
      </c>
      <c r="DR179" s="36" t="n">
        <f aca="false">DR177*$AC$175*DR178*DR$38*'⑫ Roll-out Plan'!$O$23</f>
        <v>213.12</v>
      </c>
      <c r="DS179" s="36" t="n">
        <f aca="false">DS177*$AC$175*DS178*DS$38*'⑫ Roll-out Plan'!$O$23</f>
        <v>159.84</v>
      </c>
      <c r="DT179" s="36" t="n">
        <f aca="false">DT177*$AC$175*DT178*DT$38*'⑫ Roll-out Plan'!$O$23</f>
        <v>226.44</v>
      </c>
      <c r="DU179" s="36" t="n">
        <f aca="false">DU177*$AC$175*DU178*DU$38*'⑫ Roll-out Plan'!$O$23</f>
        <v>239.76</v>
      </c>
      <c r="DV179" s="36" t="n">
        <f aca="false">DV177*$AC$175*DV178*DV$38*'⑫ Roll-out Plan'!$O$23</f>
        <v>182.04</v>
      </c>
      <c r="DW179" s="36" t="n">
        <f aca="false">DW177*$AC$175*DW178*DW$38*'⑫ Roll-out Plan'!$O$23</f>
        <v>257.52</v>
      </c>
      <c r="DX179" s="36" t="n">
        <f aca="false">DX177*$AC$175*DX178*DX$38*'⑫ Roll-out Plan'!$O$23</f>
        <v>244.2</v>
      </c>
      <c r="DY179" s="36" t="n">
        <f aca="false">DY177*$AC$175*DY178*DY$38*'⑫ Roll-out Plan'!$O$23</f>
        <v>204.24</v>
      </c>
      <c r="DZ179" s="36" t="n">
        <f aca="false">DZ177*$AC$175*DZ178*DZ$38*'⑫ Roll-out Plan'!$O$23</f>
        <v>177.6</v>
      </c>
      <c r="EA179" s="36" t="n">
        <f aca="false">EA177*$AC$175*EA178*EA$38*'⑫ Roll-out Plan'!$O$23</f>
        <v>186.48</v>
      </c>
      <c r="EB179" s="36" t="n">
        <f aca="false">EB177*$AC$175*EB178*EB$38*'⑫ Roll-out Plan'!$O$23</f>
        <v>315.24</v>
      </c>
      <c r="EC179" s="36" t="n">
        <f aca="false">EC177*$AC$175*EC178*EC$38*'⑫ Roll-out Plan'!$O$23</f>
        <v>257.52</v>
      </c>
      <c r="ED179" s="36" t="n">
        <f aca="false">ED177*$AC$175*ED178*ED$38*'⑫ Roll-out Plan'!$O$23</f>
        <v>213.12</v>
      </c>
      <c r="EE179" s="36" t="n">
        <f aca="false">EE177*$AC$175*EE178*EE$38*'⑫ Roll-out Plan'!$O$23</f>
        <v>159.84</v>
      </c>
      <c r="EF179" s="36" t="n">
        <f aca="false">EF177*$AC$175*EF178*EF$38*'⑫ Roll-out Plan'!$O$23</f>
        <v>226.44</v>
      </c>
      <c r="EG179" s="36" t="n">
        <f aca="false">EG177*$AC$175*EG178*EG$38*'⑫ Roll-out Plan'!$O$23</f>
        <v>239.76</v>
      </c>
      <c r="EH179" s="36" t="n">
        <f aca="false">EH177*$AC$175*EH178*EH$38*'⑫ Roll-out Plan'!$O$23</f>
        <v>182.04</v>
      </c>
      <c r="EI179" s="36" t="n">
        <f aca="false">EI177*$AC$175*EI178*EI$38*'⑫ Roll-out Plan'!$O$23</f>
        <v>257.52</v>
      </c>
      <c r="EJ179" s="36" t="n">
        <f aca="false">EJ177*$AC$175*EJ178*EJ$38*'⑫ Roll-out Plan'!$O$23</f>
        <v>244.2</v>
      </c>
      <c r="EK179" s="36" t="n">
        <f aca="false">EK177*$AC$175*EK178*EK$38*'⑫ Roll-out Plan'!$O$23</f>
        <v>204.24</v>
      </c>
      <c r="EL179" s="36" t="n">
        <f aca="false">EL177*$AC$175*EL178*EL$38*'⑫ Roll-out Plan'!$O$23</f>
        <v>177.6</v>
      </c>
      <c r="EM179" s="36" t="n">
        <f aca="false">EM177*$AC$175*EM178*EM$38*'⑫ Roll-out Plan'!$O$23</f>
        <v>186.48</v>
      </c>
      <c r="EN179" s="36" t="n">
        <f aca="false">EN177*$AC$175*EN178*EN$38*'⑫ Roll-out Plan'!$O$23</f>
        <v>315.24</v>
      </c>
      <c r="EO179" s="36" t="n">
        <f aca="false">EO177*$AC$175*EO178*EO$38*'⑫ Roll-out Plan'!$O$23</f>
        <v>257.52</v>
      </c>
      <c r="EP179" s="36" t="n">
        <f aca="false">EP177*$AC$175*EP178*EP$38*'⑫ Roll-out Plan'!$O$23</f>
        <v>213.12</v>
      </c>
      <c r="EQ179" s="36" t="n">
        <f aca="false">EQ177*$AC$175*EQ178*EQ$38*'⑫ Roll-out Plan'!$O$23</f>
        <v>159.84</v>
      </c>
      <c r="ER179" s="36" t="n">
        <f aca="false">ER177*$AC$175*ER178*ER$38*'⑫ Roll-out Plan'!$O$23</f>
        <v>226.44</v>
      </c>
      <c r="ES179" s="9" t="n">
        <f aca="false">ES177*$AC$175*ES178*ES$38*'⑫ Roll-out Plan'!$O$23</f>
        <v>239.76</v>
      </c>
      <c r="ET179" s="9" t="n">
        <f aca="false">ET177*$AC$175*ET178*ET$38*'⑫ Roll-out Plan'!$O$23</f>
        <v>182.04</v>
      </c>
      <c r="EU179" s="9" t="n">
        <f aca="false">EU177*$AC$175*EU178*EU$38*'⑫ Roll-out Plan'!$O$23</f>
        <v>257.52</v>
      </c>
      <c r="EV179" s="9" t="n">
        <f aca="false">EV177*$AC$175*EV178*EV$38*'⑫ Roll-out Plan'!$O$23</f>
        <v>244.2</v>
      </c>
      <c r="EW179" s="9" t="n">
        <f aca="false">EW177*$AC$175*EW178*EW$38*'⑫ Roll-out Plan'!$O$23</f>
        <v>204.24</v>
      </c>
      <c r="EX179" s="9" t="n">
        <f aca="false">EX177*$AC$175*EX178*EX$38*'⑫ Roll-out Plan'!$O$23</f>
        <v>177.6</v>
      </c>
      <c r="EY179" s="9" t="n">
        <f aca="false">EY177*$AC$175*EY178*EY$38*'⑫ Roll-out Plan'!$O$23</f>
        <v>186.48</v>
      </c>
      <c r="EZ179" s="9" t="n">
        <f aca="false">EZ177*$AC$175*EZ178*EZ$38*'⑫ Roll-out Plan'!$O$23</f>
        <v>315.24</v>
      </c>
      <c r="FA179" s="9" t="n">
        <f aca="false">FA177*$AC$175*FA178*FA$38*'⑫ Roll-out Plan'!$O$23</f>
        <v>257.52</v>
      </c>
      <c r="FB179" s="9" t="n">
        <f aca="false">FB177*$AC$175*FB178*FB$38*'⑫ Roll-out Plan'!$O$23</f>
        <v>213.12</v>
      </c>
      <c r="FC179" s="9" t="n">
        <f aca="false">FC177*$AC$175*FC178*FC$38*'⑫ Roll-out Plan'!$O$23</f>
        <v>159.84</v>
      </c>
      <c r="FD179" s="9" t="n">
        <f aca="false">FD177*$AC$175*FD178*FD$38*'⑫ Roll-out Plan'!$O$23</f>
        <v>226.44</v>
      </c>
      <c r="FE179" s="9" t="n">
        <f aca="false">FE177*$AC$175*FE178*FE$38*'⑫ Roll-out Plan'!$O$23</f>
        <v>239.76</v>
      </c>
      <c r="FF179" s="9" t="n">
        <f aca="false">FF177*$AC$175*FF178*FF$38*'⑫ Roll-out Plan'!$O$23</f>
        <v>182.04</v>
      </c>
      <c r="FG179" s="9" t="n">
        <f aca="false">FG177*$AC$175*FG178*FG$38*'⑫ Roll-out Plan'!$O$23</f>
        <v>257.52</v>
      </c>
      <c r="FH179" s="9" t="n">
        <f aca="false">FH177*$AC$175*FH178*FH$38*'⑫ Roll-out Plan'!$O$23</f>
        <v>244.2</v>
      </c>
      <c r="FI179" s="9" t="n">
        <f aca="false">FI177*$AC$175*FI178*FI$38*'⑫ Roll-out Plan'!$O$23</f>
        <v>204.24</v>
      </c>
      <c r="FJ179" s="9" t="n">
        <f aca="false">FJ177*$AC$175*FJ178*FJ$38*'⑫ Roll-out Plan'!$O$23</f>
        <v>177.6</v>
      </c>
      <c r="FK179" s="9" t="n">
        <f aca="false">FK177*$AC$175*FK178*FK$38*'⑫ Roll-out Plan'!$O$23</f>
        <v>186.48</v>
      </c>
      <c r="FL179" s="9" t="n">
        <f aca="false">FL177*$AC$175*FL178*FL$38*'⑫ Roll-out Plan'!$O$23</f>
        <v>315.24</v>
      </c>
      <c r="FM179" s="9" t="n">
        <f aca="false">FM177*$AC$175*FM178*FM$38*'⑫ Roll-out Plan'!$O$23</f>
        <v>257.52</v>
      </c>
      <c r="FN179" s="9" t="n">
        <f aca="false">FN177*$AC$175*FN178*FN$38*'⑫ Roll-out Plan'!$O$23</f>
        <v>213.12</v>
      </c>
      <c r="FO179" s="9" t="n">
        <f aca="false">FO177*$AC$175*FO178*FO$38*'⑫ Roll-out Plan'!$O$23</f>
        <v>159.84</v>
      </c>
      <c r="FP179" s="9" t="n">
        <f aca="false">FP177*$AC$175*FP178*FP$38*'⑫ Roll-out Plan'!$O$23</f>
        <v>226.44</v>
      </c>
    </row>
    <row r="180" customFormat="false" ht="15" hidden="false" customHeight="false" outlineLevel="2" collapsed="false">
      <c r="B180" s="9" t="s">
        <v>877</v>
      </c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112" t="n">
        <f aca="true">IFERROR(SUMPRODUCT(OFFSET($BJ$31,0,1-MIN(60,COLUMN()-29),1,MIN(60,COLUMN()-29)),OFFSET(AC179,0,-MIN(60,COLUMN()-29),1,MIN(60,COLUMN()-29))),0)</f>
        <v>0</v>
      </c>
      <c r="AD180" s="112" t="n">
        <f aca="true">IFERROR(SUMPRODUCT(OFFSET($BJ$31,0,1-MIN(60,COLUMN()-29),1,MIN(60,COLUMN()-29)),OFFSET(AD179,0,-MIN(60,COLUMN()-29),1,MIN(60,COLUMN()-29))),0)</f>
        <v>0</v>
      </c>
      <c r="AE180" s="112" t="n">
        <f aca="true">IFERROR(SUMPRODUCT(OFFSET($BJ$31,0,1-MIN(60,COLUMN()-29),1,MIN(60,COLUMN()-29)),OFFSET(AE179,0,-MIN(60,COLUMN()-29),1,MIN(60,COLUMN()-29))),0)</f>
        <v>0</v>
      </c>
      <c r="AF180" s="112" t="n">
        <f aca="true">IFERROR(SUMPRODUCT(OFFSET($BJ$31,0,1-MIN(60,COLUMN()-29),1,MIN(60,COLUMN()-29)),OFFSET(AF179,0,-MIN(60,COLUMN()-29),1,MIN(60,COLUMN()-29))),0)</f>
        <v>0</v>
      </c>
      <c r="AG180" s="112" t="n">
        <f aca="true">IFERROR(SUMPRODUCT(OFFSET($BJ$31,0,1-MIN(60,COLUMN()-29),1,MIN(60,COLUMN()-29)),OFFSET(AG179,0,-MIN(60,COLUMN()-29),1,MIN(60,COLUMN()-29))),0)</f>
        <v>0</v>
      </c>
      <c r="AH180" s="112" t="n">
        <f aca="true">IFERROR(SUMPRODUCT(OFFSET($BJ$31,0,1-MIN(60,COLUMN()-29),1,MIN(60,COLUMN()-29)),OFFSET(AH179,0,-MIN(60,COLUMN()-29),1,MIN(60,COLUMN()-29))),0)</f>
        <v>0</v>
      </c>
      <c r="AI180" s="112" t="n">
        <f aca="true">IFERROR(SUMPRODUCT(OFFSET($BJ$31,0,1-MIN(60,COLUMN()-29),1,MIN(60,COLUMN()-29)),OFFSET(AI179,0,-MIN(60,COLUMN()-29),1,MIN(60,COLUMN()-29))),0)</f>
        <v>0</v>
      </c>
      <c r="AJ180" s="112" t="n">
        <f aca="true">IFERROR(SUMPRODUCT(OFFSET($BJ$31,0,1-MIN(60,COLUMN()-29),1,MIN(60,COLUMN()-29)),OFFSET(AJ179,0,-MIN(60,COLUMN()-29),1,MIN(60,COLUMN()-29))),0)</f>
        <v>0</v>
      </c>
      <c r="AK180" s="112" t="n">
        <f aca="true">IFERROR(SUMPRODUCT(OFFSET($BJ$31,0,1-MIN(60,COLUMN()-29),1,MIN(60,COLUMN()-29)),OFFSET(AK179,0,-MIN(60,COLUMN()-29),1,MIN(60,COLUMN()-29))),0)</f>
        <v>0</v>
      </c>
      <c r="AL180" s="112" t="n">
        <f aca="true">IFERROR(SUMPRODUCT(OFFSET($BJ$31,0,1-MIN(60,COLUMN()-29),1,MIN(60,COLUMN()-29)),OFFSET(AL179,0,-MIN(60,COLUMN()-29),1,MIN(60,COLUMN()-29))),0)</f>
        <v>0</v>
      </c>
      <c r="AM180" s="112" t="n">
        <f aca="true">IFERROR(SUMPRODUCT(OFFSET($BJ$31,0,1-MIN(60,COLUMN()-29),1,MIN(60,COLUMN()-29)),OFFSET(AM179,0,-MIN(60,COLUMN()-29),1,MIN(60,COLUMN()-29))),0)</f>
        <v>0</v>
      </c>
      <c r="AN180" s="112" t="n">
        <f aca="true">IFERROR(SUMPRODUCT(OFFSET($BJ$31,0,1-MIN(60,COLUMN()-29),1,MIN(60,COLUMN()-29)),OFFSET(AN179,0,-MIN(60,COLUMN()-29),1,MIN(60,COLUMN()-29))),0)</f>
        <v>0</v>
      </c>
      <c r="AO180" s="112" t="n">
        <f aca="true">IFERROR(SUMPRODUCT(OFFSET($BJ$31,0,1-MIN(60,COLUMN()-29),1,MIN(60,COLUMN()-29)),OFFSET(AO179,0,-MIN(60,COLUMN()-29),1,MIN(60,COLUMN()-29))),0)</f>
        <v>0</v>
      </c>
      <c r="AP180" s="112" t="n">
        <f aca="true">IFERROR(SUMPRODUCT(OFFSET($BJ$31,0,1-MIN(60,COLUMN()-29),1,MIN(60,COLUMN()-29)),OFFSET(AP179,0,-MIN(60,COLUMN()-29),1,MIN(60,COLUMN()-29))),0)</f>
        <v>0</v>
      </c>
      <c r="AQ180" s="112" t="n">
        <f aca="true">IFERROR(SUMPRODUCT(OFFSET($BJ$31,0,1-MIN(60,COLUMN()-29),1,MIN(60,COLUMN()-29)),OFFSET(AQ179,0,-MIN(60,COLUMN()-29),1,MIN(60,COLUMN()-29))),0)</f>
        <v>0</v>
      </c>
      <c r="AR180" s="112" t="n">
        <f aca="true">IFERROR(SUMPRODUCT(OFFSET($BJ$31,0,1-MIN(60,COLUMN()-29),1,MIN(60,COLUMN()-29)),OFFSET(AR179,0,-MIN(60,COLUMN()-29),1,MIN(60,COLUMN()-29))),0)</f>
        <v>0</v>
      </c>
      <c r="AS180" s="112" t="n">
        <f aca="true">IFERROR(SUMPRODUCT(OFFSET($BJ$31,0,1-MIN(60,COLUMN()-29),1,MIN(60,COLUMN()-29)),OFFSET(AS179,0,-MIN(60,COLUMN()-29),1,MIN(60,COLUMN()-29))),0)</f>
        <v>0</v>
      </c>
      <c r="AT180" s="112" t="n">
        <f aca="true">IFERROR(SUMPRODUCT(OFFSET($BJ$31,0,1-MIN(60,COLUMN()-29),1,MIN(60,COLUMN()-29)),OFFSET(AT179,0,-MIN(60,COLUMN()-29),1,MIN(60,COLUMN()-29))),0)</f>
        <v>0</v>
      </c>
      <c r="AU180" s="112" t="n">
        <f aca="true">IFERROR(SUMPRODUCT(OFFSET($BJ$31,0,1-MIN(60,COLUMN()-29),1,MIN(60,COLUMN()-29)),OFFSET(AU179,0,-MIN(60,COLUMN()-29),1,MIN(60,COLUMN()-29))),0)</f>
        <v>0</v>
      </c>
      <c r="AV180" s="112" t="n">
        <f aca="true">IFERROR(SUMPRODUCT(OFFSET($BJ$31,0,1-MIN(60,COLUMN()-29),1,MIN(60,COLUMN()-29)),OFFSET(AV179,0,-MIN(60,COLUMN()-29),1,MIN(60,COLUMN()-29))),0)</f>
        <v>0</v>
      </c>
      <c r="AW180" s="112" t="n">
        <f aca="true">IFERROR(SUMPRODUCT(OFFSET($BJ$31,0,1-MIN(60,COLUMN()-29),1,MIN(60,COLUMN()-29)),OFFSET(AW179,0,-MIN(60,COLUMN()-29),1,MIN(60,COLUMN()-29))),0)</f>
        <v>0</v>
      </c>
      <c r="AX180" s="112" t="n">
        <f aca="true">IFERROR(SUMPRODUCT(OFFSET($BJ$31,0,1-MIN(60,COLUMN()-29),1,MIN(60,COLUMN()-29)),OFFSET(AX179,0,-MIN(60,COLUMN()-29),1,MIN(60,COLUMN()-29))),0)</f>
        <v>0</v>
      </c>
      <c r="AY180" s="112" t="n">
        <f aca="true">IFERROR(SUMPRODUCT(OFFSET($BJ$31,0,1-MIN(60,COLUMN()-29),1,MIN(60,COLUMN()-29)),OFFSET(AY179,0,-MIN(60,COLUMN()-29),1,MIN(60,COLUMN()-29))),0)</f>
        <v>0</v>
      </c>
      <c r="AZ180" s="112" t="n">
        <f aca="true">IFERROR(SUMPRODUCT(OFFSET($BJ$31,0,1-MIN(60,COLUMN()-29),1,MIN(60,COLUMN()-29)),OFFSET(AZ179,0,-MIN(60,COLUMN()-29),1,MIN(60,COLUMN()-29))),0)</f>
        <v>0</v>
      </c>
      <c r="BA180" s="112" t="n">
        <f aca="true">IFERROR(SUMPRODUCT(OFFSET($BJ$31,0,1-MIN(60,COLUMN()-29),1,MIN(60,COLUMN()-29)),OFFSET(BA179,0,-MIN(60,COLUMN()-29),1,MIN(60,COLUMN()-29))),0)</f>
        <v>0</v>
      </c>
      <c r="BB180" s="112" t="n">
        <f aca="true">IFERROR(SUMPRODUCT(OFFSET($BJ$31,0,1-MIN(60,COLUMN()-29),1,MIN(60,COLUMN()-29)),OFFSET(BB179,0,-MIN(60,COLUMN()-29),1,MIN(60,COLUMN()-29))),0)</f>
        <v>0</v>
      </c>
      <c r="BC180" s="112" t="n">
        <f aca="true">IFERROR(SUMPRODUCT(OFFSET($BJ$31,0,1-MIN(60,COLUMN()-29),1,MIN(60,COLUMN()-29)),OFFSET(BC179,0,-MIN(60,COLUMN()-29),1,MIN(60,COLUMN()-29))),0)</f>
        <v>0</v>
      </c>
      <c r="BD180" s="112" t="n">
        <f aca="true">IFERROR(SUMPRODUCT(OFFSET($BJ$31,0,1-MIN(60,COLUMN()-29),1,MIN(60,COLUMN()-29)),OFFSET(BD179,0,-MIN(60,COLUMN()-29),1,MIN(60,COLUMN()-29))),0)</f>
        <v>0</v>
      </c>
      <c r="BE180" s="112" t="n">
        <f aca="true">IFERROR(SUMPRODUCT(OFFSET($BJ$31,0,1-MIN(60,COLUMN()-29),1,MIN(60,COLUMN()-29)),OFFSET(BE179,0,-MIN(60,COLUMN()-29),1,MIN(60,COLUMN()-29))),0)</f>
        <v>0</v>
      </c>
      <c r="BF180" s="112" t="n">
        <f aca="true">IFERROR(SUMPRODUCT(OFFSET($BJ$31,0,1-MIN(60,COLUMN()-29),1,MIN(60,COLUMN()-29)),OFFSET(BF179,0,-MIN(60,COLUMN()-29),1,MIN(60,COLUMN()-29))),0)</f>
        <v>0</v>
      </c>
      <c r="BG180" s="112" t="n">
        <f aca="true">IFERROR(SUMPRODUCT(OFFSET($BJ$31,0,1-MIN(60,COLUMN()-29),1,MIN(60,COLUMN()-29)),OFFSET(BG179,0,-MIN(60,COLUMN()-29),1,MIN(60,COLUMN()-29))),0)</f>
        <v>0</v>
      </c>
      <c r="BH180" s="112" t="n">
        <f aca="true">IFERROR(SUMPRODUCT(OFFSET($BJ$31,0,1-MIN(60,COLUMN()-29),1,MIN(60,COLUMN()-29)),OFFSET(BH179,0,-MIN(60,COLUMN()-29),1,MIN(60,COLUMN()-29))),0)</f>
        <v>0</v>
      </c>
      <c r="BI180" s="112" t="n">
        <f aca="true">IFERROR(SUMPRODUCT(OFFSET($BJ$31,0,1-MIN(60,COLUMN()-29),1,MIN(60,COLUMN()-29)),OFFSET(BI179,0,-MIN(60,COLUMN()-29),1,MIN(60,COLUMN()-29))),0)</f>
        <v>0</v>
      </c>
      <c r="BJ180" s="112" t="n">
        <f aca="true">IFERROR(SUMPRODUCT(OFFSET($BJ$31,0,1-MIN(60,COLUMN()-29),1,MIN(60,COLUMN()-29)),OFFSET(BJ179,0,-MIN(60,COLUMN()-29),1,MIN(60,COLUMN()-29))),0)</f>
        <v>0</v>
      </c>
      <c r="BK180" s="112" t="n">
        <f aca="true">IFERROR(SUMPRODUCT(OFFSET($BJ$31,0,1-MIN(60,COLUMN()-29),1,MIN(60,COLUMN()-29)),OFFSET(BK179,0,-MIN(60,COLUMN()-29),1,MIN(60,COLUMN()-29))),0)</f>
        <v>0</v>
      </c>
      <c r="BL180" s="112" t="n">
        <f aca="true">IFERROR(SUMPRODUCT(OFFSET($BJ$31,0,1-MIN(60,COLUMN()-29),1,MIN(60,COLUMN()-29)),OFFSET(BL179,0,-MIN(60,COLUMN()-29),1,MIN(60,COLUMN()-29))),0)</f>
        <v>0</v>
      </c>
      <c r="BM180" s="112" t="n">
        <f aca="true">IFERROR(SUMPRODUCT(OFFSET($BJ$31,0,1-MIN(60,COLUMN()-29),1,MIN(60,COLUMN()-29)),OFFSET(BM179,0,-MIN(60,COLUMN()-29),1,MIN(60,COLUMN()-29))),0)</f>
        <v>0</v>
      </c>
      <c r="BN180" s="112" t="n">
        <f aca="true">IFERROR(SUMPRODUCT(OFFSET($BJ$31,0,1-MIN(60,COLUMN()-29),1,MIN(60,COLUMN()-29)),OFFSET(BN179,0,-MIN(60,COLUMN()-29),1,MIN(60,COLUMN()-29))),0)</f>
        <v>0</v>
      </c>
      <c r="BO180" s="112" t="n">
        <f aca="true">IFERROR(SUMPRODUCT(OFFSET($BJ$31,0,1-MIN(60,COLUMN()-29),1,MIN(60,COLUMN()-29)),OFFSET(BO179,0,-MIN(60,COLUMN()-29),1,MIN(60,COLUMN()-29))),0)</f>
        <v>0</v>
      </c>
      <c r="BP180" s="112" t="n">
        <f aca="true">IFERROR(SUMPRODUCT(OFFSET($BJ$31,0,1-MIN(60,COLUMN()-29),1,MIN(60,COLUMN()-29)),OFFSET(BP179,0,-MIN(60,COLUMN()-29),1,MIN(60,COLUMN()-29))),0)</f>
        <v>0</v>
      </c>
      <c r="BQ180" s="112" t="n">
        <f aca="true">IFERROR(SUMPRODUCT(OFFSET($BJ$31,0,1-MIN(60,COLUMN()-29),1,MIN(60,COLUMN()-29)),OFFSET(BQ179,0,-MIN(60,COLUMN()-29),1,MIN(60,COLUMN()-29))),0)</f>
        <v>0</v>
      </c>
      <c r="BR180" s="112" t="n">
        <f aca="true">IFERROR(SUMPRODUCT(OFFSET($BJ$31,0,1-MIN(60,COLUMN()-29),1,MIN(60,COLUMN()-29)),OFFSET(BR179,0,-MIN(60,COLUMN()-29),1,MIN(60,COLUMN()-29))),0)</f>
        <v>0</v>
      </c>
      <c r="BS180" s="112" t="n">
        <f aca="true">IFERROR(SUMPRODUCT(OFFSET($BJ$31,0,1-MIN(60,COLUMN()-29),1,MIN(60,COLUMN()-29)),OFFSET(BS179,0,-MIN(60,COLUMN()-29),1,MIN(60,COLUMN()-29))),0)</f>
        <v>0</v>
      </c>
      <c r="BT180" s="112" t="n">
        <f aca="true">IFERROR(SUMPRODUCT(OFFSET($BJ$31,0,1-MIN(60,COLUMN()-29),1,MIN(60,COLUMN()-29)),OFFSET(BT179,0,-MIN(60,COLUMN()-29),1,MIN(60,COLUMN()-29))),0)</f>
        <v>3.97824</v>
      </c>
      <c r="BU180" s="112" t="n">
        <f aca="true">IFERROR(SUMPRODUCT(OFFSET($BJ$31,0,1-MIN(60,COLUMN()-29),1,MIN(60,COLUMN()-29)),OFFSET(BU179,0,-MIN(60,COLUMN()-29),1,MIN(60,COLUMN()-29))),0)</f>
        <v>7.94464</v>
      </c>
      <c r="BV180" s="112" t="n">
        <f aca="true">IFERROR(SUMPRODUCT(OFFSET($BJ$31,0,1-MIN(60,COLUMN()-29),1,MIN(60,COLUMN()-29)),OFFSET(BV179,0,-MIN(60,COLUMN()-29),1,MIN(60,COLUMN()-29))),0)</f>
        <v>8.3058784</v>
      </c>
      <c r="BW180" s="112" t="n">
        <f aca="true">IFERROR(SUMPRODUCT(OFFSET($BJ$31,0,1-MIN(60,COLUMN()-29),1,MIN(60,COLUMN()-29)),OFFSET(BW179,0,-MIN(60,COLUMN()-29),1,MIN(60,COLUMN()-29))),0)</f>
        <v>8.736736</v>
      </c>
      <c r="BX180" s="112" t="n">
        <f aca="true">IFERROR(SUMPRODUCT(OFFSET($BJ$31,0,1-MIN(60,COLUMN()-29),1,MIN(60,COLUMN()-29)),OFFSET(BX179,0,-MIN(60,COLUMN()-29),1,MIN(60,COLUMN()-29))),0)</f>
        <v>7.639168</v>
      </c>
      <c r="BY180" s="112" t="n">
        <f aca="true">IFERROR(SUMPRODUCT(OFFSET($BJ$31,0,1-MIN(60,COLUMN()-29),1,MIN(60,COLUMN()-29)),OFFSET(BY179,0,-MIN(60,COLUMN()-29),1,MIN(60,COLUMN()-29))),0)</f>
        <v>10.5579648</v>
      </c>
      <c r="BZ180" s="112" t="n">
        <f aca="true">IFERROR(SUMPRODUCT(OFFSET($BJ$31,0,1-MIN(60,COLUMN()-29),1,MIN(60,COLUMN()-29)),OFFSET(BZ179,0,-MIN(60,COLUMN()-29),1,MIN(60,COLUMN()-29))),0)</f>
        <v>12.669096</v>
      </c>
      <c r="CA180" s="112" t="n">
        <f aca="true">IFERROR(SUMPRODUCT(OFFSET($BJ$31,0,1-MIN(60,COLUMN()-29),1,MIN(60,COLUMN()-29)),OFFSET(CA179,0,-MIN(60,COLUMN()-29),1,MIN(60,COLUMN()-29))),0)</f>
        <v>12.3557504</v>
      </c>
      <c r="CB180" s="112" t="n">
        <f aca="true">IFERROR(SUMPRODUCT(OFFSET($BJ$31,0,1-MIN(60,COLUMN()-29),1,MIN(60,COLUMN()-29)),OFFSET(CB179,0,-MIN(60,COLUMN()-29),1,MIN(60,COLUMN()-29))),0)</f>
        <v>17.4180016</v>
      </c>
      <c r="CC180" s="112" t="n">
        <f aca="true">IFERROR(SUMPRODUCT(OFFSET($BJ$31,0,1-MIN(60,COLUMN()-29),1,MIN(60,COLUMN()-29)),OFFSET(CC179,0,-MIN(60,COLUMN()-29),1,MIN(60,COLUMN()-29))),0)</f>
        <v>18.1938176</v>
      </c>
      <c r="CD180" s="112" t="n">
        <f aca="true">IFERROR(SUMPRODUCT(OFFSET($BJ$31,0,1-MIN(60,COLUMN()-29),1,MIN(60,COLUMN()-29)),OFFSET(CD179,0,-MIN(60,COLUMN()-29),1,MIN(60,COLUMN()-29))),0)</f>
        <v>18.274152</v>
      </c>
      <c r="CE180" s="112" t="n">
        <f aca="true">IFERROR(SUMPRODUCT(OFFSET($BJ$31,0,1-MIN(60,COLUMN()-29),1,MIN(60,COLUMN()-29)),OFFSET(CE179,0,-MIN(60,COLUMN()-29),1,MIN(60,COLUMN()-29))),0)</f>
        <v>18.9123872</v>
      </c>
      <c r="CF180" s="112" t="n">
        <f aca="true">IFERROR(SUMPRODUCT(OFFSET($BJ$31,0,1-MIN(60,COLUMN()-29),1,MIN(60,COLUMN()-29)),OFFSET(CF179,0,-MIN(60,COLUMN()-29),1,MIN(60,COLUMN()-29))),0)</f>
        <v>22.079824</v>
      </c>
      <c r="CG180" s="112" t="n">
        <f aca="true">IFERROR(SUMPRODUCT(OFFSET($BJ$31,0,1-MIN(60,COLUMN()-29),1,MIN(60,COLUMN()-29)),OFFSET(CG179,0,-MIN(60,COLUMN()-29),1,MIN(60,COLUMN()-29))),0)</f>
        <v>32.203024</v>
      </c>
      <c r="CH180" s="112" t="n">
        <f aca="true">IFERROR(SUMPRODUCT(OFFSET($BJ$31,0,1-MIN(60,COLUMN()-29),1,MIN(60,COLUMN()-29)),OFFSET(CH179,0,-MIN(60,COLUMN()-29),1,MIN(60,COLUMN()-29))),0)</f>
        <v>31.1272416</v>
      </c>
      <c r="CI180" s="112" t="n">
        <f aca="true">IFERROR(SUMPRODUCT(OFFSET($BJ$31,0,1-MIN(60,COLUMN()-29),1,MIN(60,COLUMN()-29)),OFFSET(CI179,0,-MIN(60,COLUMN()-29),1,MIN(60,COLUMN()-29))),0)</f>
        <v>33.238432</v>
      </c>
      <c r="CJ180" s="112" t="n">
        <f aca="true">IFERROR(SUMPRODUCT(OFFSET($BJ$31,0,1-MIN(60,COLUMN()-29),1,MIN(60,COLUMN()-29)),OFFSET(CJ179,0,-MIN(60,COLUMN()-29),1,MIN(60,COLUMN()-29))),0)</f>
        <v>31.22846176</v>
      </c>
      <c r="CK180" s="112" t="n">
        <f aca="true">IFERROR(SUMPRODUCT(OFFSET($BJ$31,0,1-MIN(60,COLUMN()-29),1,MIN(60,COLUMN()-29)),OFFSET(CK179,0,-MIN(60,COLUMN()-29),1,MIN(60,COLUMN()-29))),0)</f>
        <v>40.70267288</v>
      </c>
      <c r="CL180" s="112" t="n">
        <f aca="true">IFERROR(SUMPRODUCT(OFFSET($BJ$31,0,1-MIN(60,COLUMN()-29),1,MIN(60,COLUMN()-29)),OFFSET(CL179,0,-MIN(60,COLUMN()-29),1,MIN(60,COLUMN()-29))),0)</f>
        <v>44.6772188</v>
      </c>
      <c r="CM180" s="112" t="n">
        <f aca="true">IFERROR(SUMPRODUCT(OFFSET($BJ$31,0,1-MIN(60,COLUMN()-29),1,MIN(60,COLUMN()-29)),OFFSET(CM179,0,-MIN(60,COLUMN()-29),1,MIN(60,COLUMN()-29))),0)</f>
        <v>43.61371448</v>
      </c>
      <c r="CN180" s="112" t="n">
        <f aca="true">IFERROR(SUMPRODUCT(OFFSET($BJ$31,0,1-MIN(60,COLUMN()-29),1,MIN(60,COLUMN()-29)),OFFSET(CN179,0,-MIN(60,COLUMN()-29),1,MIN(60,COLUMN()-29))),0)</f>
        <v>53.34308648</v>
      </c>
      <c r="CO180" s="112" t="n">
        <f aca="true">IFERROR(SUMPRODUCT(OFFSET($BJ$31,0,1-MIN(60,COLUMN()-29),1,MIN(60,COLUMN()-29)),OFFSET(CO179,0,-MIN(60,COLUMN()-29),1,MIN(60,COLUMN()-29))),0)</f>
        <v>55.85718468</v>
      </c>
      <c r="CP180" s="112" t="n">
        <f aca="true">IFERROR(SUMPRODUCT(OFFSET($BJ$31,0,1-MIN(60,COLUMN()-29),1,MIN(60,COLUMN()-29)),OFFSET(CP179,0,-MIN(60,COLUMN()-29),1,MIN(60,COLUMN()-29))),0)</f>
        <v>56.09663388</v>
      </c>
      <c r="CQ180" s="112" t="n">
        <f aca="true">IFERROR(SUMPRODUCT(OFFSET($BJ$31,0,1-MIN(60,COLUMN()-29),1,MIN(60,COLUMN()-29)),OFFSET(CQ179,0,-MIN(60,COLUMN()-29),1,MIN(60,COLUMN()-29))),0)</f>
        <v>56.21793616</v>
      </c>
      <c r="CR180" s="112" t="n">
        <f aca="true">IFERROR(SUMPRODUCT(OFFSET($BJ$31,0,1-MIN(60,COLUMN()-29),1,MIN(60,COLUMN()-29)),OFFSET(CR179,0,-MIN(60,COLUMN()-29),1,MIN(60,COLUMN()-29))),0)</f>
        <v>61.60907888</v>
      </c>
      <c r="CS180" s="112" t="n">
        <f aca="true">IFERROR(SUMPRODUCT(OFFSET($BJ$31,0,1-MIN(60,COLUMN()-29),1,MIN(60,COLUMN()-29)),OFFSET(CS179,0,-MIN(60,COLUMN()-29),1,MIN(60,COLUMN()-29))),0)</f>
        <v>78.41976544</v>
      </c>
      <c r="CT180" s="112" t="n">
        <f aca="true">IFERROR(SUMPRODUCT(OFFSET($BJ$31,0,1-MIN(60,COLUMN()-29),1,MIN(60,COLUMN()-29)),OFFSET(CT179,0,-MIN(60,COLUMN()-29),1,MIN(60,COLUMN()-29))),0)</f>
        <v>78.762344</v>
      </c>
      <c r="CU180" s="112" t="n">
        <f aca="true">IFERROR(SUMPRODUCT(OFFSET($BJ$31,0,1-MIN(60,COLUMN()-29),1,MIN(60,COLUMN()-29)),OFFSET(CU179,0,-MIN(60,COLUMN()-29),1,MIN(60,COLUMN()-29))),0)</f>
        <v>78.51898464</v>
      </c>
      <c r="CV180" s="112" t="n">
        <f aca="true">IFERROR(SUMPRODUCT(OFFSET($BJ$31,0,1-MIN(60,COLUMN()-29),1,MIN(60,COLUMN()-29)),OFFSET(CV179,0,-MIN(60,COLUMN()-29),1,MIN(60,COLUMN()-29))),0)</f>
        <v>75.5178288</v>
      </c>
      <c r="CW180" s="112" t="n">
        <f aca="true">IFERROR(SUMPRODUCT(OFFSET($BJ$31,0,1-MIN(60,COLUMN()-29),1,MIN(60,COLUMN()-29)),OFFSET(CW179,0,-MIN(60,COLUMN()-29),1,MIN(60,COLUMN()-29))),0)</f>
        <v>88.56959952</v>
      </c>
      <c r="CX180" s="112" t="n">
        <f aca="true">IFERROR(SUMPRODUCT(OFFSET($BJ$31,0,1-MIN(60,COLUMN()-29),1,MIN(60,COLUMN()-29)),OFFSET(CX179,0,-MIN(60,COLUMN()-29),1,MIN(60,COLUMN()-29))),0)</f>
        <v>93.39190128</v>
      </c>
      <c r="CY180" s="112" t="n">
        <f aca="true">IFERROR(SUMPRODUCT(OFFSET($BJ$31,0,1-MIN(60,COLUMN()-29),1,MIN(60,COLUMN()-29)),OFFSET(CY179,0,-MIN(60,COLUMN()-29),1,MIN(60,COLUMN()-29))),0)</f>
        <v>93.63095088</v>
      </c>
      <c r="CZ180" s="112" t="n">
        <f aca="true">IFERROR(SUMPRODUCT(OFFSET($BJ$31,0,1-MIN(60,COLUMN()-29),1,MIN(60,COLUMN()-29)),OFFSET(CZ179,0,-MIN(60,COLUMN()-29),1,MIN(60,COLUMN()-29))),0)</f>
        <v>106.7906136</v>
      </c>
      <c r="DA180" s="112" t="n">
        <f aca="true">IFERROR(SUMPRODUCT(OFFSET($BJ$31,0,1-MIN(60,COLUMN()-29),1,MIN(60,COLUMN()-29)),OFFSET(DA179,0,-MIN(60,COLUMN()-29),1,MIN(60,COLUMN()-29))),0)</f>
        <v>110.67633288</v>
      </c>
      <c r="DB180" s="112" t="n">
        <f aca="true">IFERROR(SUMPRODUCT(OFFSET($BJ$31,0,1-MIN(60,COLUMN()-29),1,MIN(60,COLUMN()-29)),OFFSET(DB179,0,-MIN(60,COLUMN()-29),1,MIN(60,COLUMN()-29))),0)</f>
        <v>111.80514072</v>
      </c>
      <c r="DC180" s="112" t="n">
        <f aca="true">IFERROR(SUMPRODUCT(OFFSET($BJ$31,0,1-MIN(60,COLUMN()-29),1,MIN(60,COLUMN()-29)),OFFSET(DC179,0,-MIN(60,COLUMN()-29),1,MIN(60,COLUMN()-29))),0)</f>
        <v>112.3775544</v>
      </c>
      <c r="DD180" s="112" t="n">
        <f aca="true">IFERROR(SUMPRODUCT(OFFSET($BJ$31,0,1-MIN(60,COLUMN()-29),1,MIN(60,COLUMN()-29)),OFFSET(DD179,0,-MIN(60,COLUMN()-29),1,MIN(60,COLUMN()-29))),0)</f>
        <v>120.30567168</v>
      </c>
      <c r="DE180" s="112" t="n">
        <f aca="true">IFERROR(SUMPRODUCT(OFFSET($BJ$31,0,1-MIN(60,COLUMN()-29),1,MIN(60,COLUMN()-29)),OFFSET(DE179,0,-MIN(60,COLUMN()-29),1,MIN(60,COLUMN()-29))),0)</f>
        <v>142.18903752</v>
      </c>
      <c r="DF180" s="112" t="n">
        <f aca="true">IFERROR(SUMPRODUCT(OFFSET($BJ$31,0,1-MIN(60,COLUMN()-29),1,MIN(60,COLUMN()-29)),OFFSET(DF179,0,-MIN(60,COLUMN()-29),1,MIN(60,COLUMN()-29))),0)</f>
        <v>142.60542072</v>
      </c>
      <c r="DG180" s="112" t="n">
        <f aca="true">IFERROR(SUMPRODUCT(OFFSET($BJ$31,0,1-MIN(60,COLUMN()-29),1,MIN(60,COLUMN()-29)),OFFSET(DG179,0,-MIN(60,COLUMN()-29),1,MIN(60,COLUMN()-29))),0)</f>
        <v>141.56184312</v>
      </c>
      <c r="DH180" s="112" t="n">
        <f aca="true">IFERROR(SUMPRODUCT(OFFSET($BJ$31,0,1-MIN(60,COLUMN()-29),1,MIN(60,COLUMN()-29)),OFFSET(DH179,0,-MIN(60,COLUMN()-29),1,MIN(60,COLUMN()-29))),0)</f>
        <v>138.81097896</v>
      </c>
      <c r="DI180" s="112" t="n">
        <f aca="true">IFERROR(SUMPRODUCT(OFFSET($BJ$31,0,1-MIN(60,COLUMN()-29),1,MIN(60,COLUMN()-29)),OFFSET(DI179,0,-MIN(60,COLUMN()-29),1,MIN(60,COLUMN()-29))),0)</f>
        <v>155.24302824</v>
      </c>
      <c r="DJ180" s="112" t="n">
        <f aca="true">IFERROR(SUMPRODUCT(OFFSET($BJ$31,0,1-MIN(60,COLUMN()-29),1,MIN(60,COLUMN()-29)),OFFSET(DJ179,0,-MIN(60,COLUMN()-29),1,MIN(60,COLUMN()-29))),0)</f>
        <v>161.99527368</v>
      </c>
      <c r="DK180" s="112" t="n">
        <f aca="true">IFERROR(SUMPRODUCT(OFFSET($BJ$31,0,1-MIN(60,COLUMN()-29),1,MIN(60,COLUMN()-29)),OFFSET(DK179,0,-MIN(60,COLUMN()-29),1,MIN(60,COLUMN()-29))),0)</f>
        <v>162.54242376</v>
      </c>
      <c r="DL180" s="112" t="n">
        <f aca="true">IFERROR(SUMPRODUCT(OFFSET($BJ$31,0,1-MIN(60,COLUMN()-29),1,MIN(60,COLUMN()-29)),OFFSET(DL179,0,-MIN(60,COLUMN()-29),1,MIN(60,COLUMN()-29))),0)</f>
        <v>177.417738</v>
      </c>
      <c r="DM180" s="112" t="n">
        <f aca="true">IFERROR(SUMPRODUCT(OFFSET($BJ$31,0,1-MIN(60,COLUMN()-29),1,MIN(60,COLUMN()-29)),OFFSET(DM179,0,-MIN(60,COLUMN()-29),1,MIN(60,COLUMN()-29))),0)</f>
        <v>181.49874624</v>
      </c>
      <c r="DN180" s="112" t="n">
        <f aca="true">IFERROR(SUMPRODUCT(OFFSET($BJ$31,0,1-MIN(60,COLUMN()-29),1,MIN(60,COLUMN()-29)),OFFSET(DN179,0,-MIN(60,COLUMN()-29),1,MIN(60,COLUMN()-29))),0)</f>
        <v>182.87916</v>
      </c>
      <c r="DO180" s="112" t="n">
        <f aca="true">IFERROR(SUMPRODUCT(OFFSET($BJ$31,0,1-MIN(60,COLUMN()-29),1,MIN(60,COLUMN()-29)),OFFSET(DO179,0,-MIN(60,COLUMN()-29),1,MIN(60,COLUMN()-29))),0)</f>
        <v>183.20530464</v>
      </c>
      <c r="DP180" s="112" t="n">
        <f aca="true">IFERROR(SUMPRODUCT(OFFSET($BJ$31,0,1-MIN(60,COLUMN()-29),1,MIN(60,COLUMN()-29)),OFFSET(DP179,0,-MIN(60,COLUMN()-29),1,MIN(60,COLUMN()-29))),0)</f>
        <v>191.73303504</v>
      </c>
      <c r="DQ180" s="112" t="n">
        <f aca="true">IFERROR(SUMPRODUCT(OFFSET($BJ$31,0,1-MIN(60,COLUMN()-29),1,MIN(60,COLUMN()-29)),OFFSET(DQ179,0,-MIN(60,COLUMN()-29),1,MIN(60,COLUMN()-29))),0)</f>
        <v>214.46904072</v>
      </c>
      <c r="DR180" s="112" t="n">
        <f aca="true">IFERROR(SUMPRODUCT(OFFSET($BJ$31,0,1-MIN(60,COLUMN()-29),1,MIN(60,COLUMN()-29)),OFFSET(DR179,0,-MIN(60,COLUMN()-29),1,MIN(60,COLUMN()-29))),0)</f>
        <v>213.86360232</v>
      </c>
      <c r="DS180" s="112" t="n">
        <f aca="true">IFERROR(SUMPRODUCT(OFFSET($BJ$31,0,1-MIN(60,COLUMN()-29),1,MIN(60,COLUMN()-29)),OFFSET(DS179,0,-MIN(60,COLUMN()-29),1,MIN(60,COLUMN()-29))),0)</f>
        <v>212.00668776</v>
      </c>
      <c r="DT180" s="112" t="n">
        <f aca="true">IFERROR(SUMPRODUCT(OFFSET($BJ$31,0,1-MIN(60,COLUMN()-29),1,MIN(60,COLUMN()-29)),OFFSET(DT179,0,-MIN(60,COLUMN()-29),1,MIN(60,COLUMN()-29))),0)</f>
        <v>208.45589544</v>
      </c>
      <c r="DU180" s="112" t="n">
        <f aca="true">IFERROR(SUMPRODUCT(OFFSET($BJ$31,0,1-MIN(60,COLUMN()-29),1,MIN(60,COLUMN()-29)),OFFSET(DU179,0,-MIN(60,COLUMN()-29),1,MIN(60,COLUMN()-29))),0)</f>
        <v>225.18533148</v>
      </c>
      <c r="DV180" s="112" t="n">
        <f aca="true">IFERROR(SUMPRODUCT(OFFSET($BJ$31,0,1-MIN(60,COLUMN()-29),1,MIN(60,COLUMN()-29)),OFFSET(DV179,0,-MIN(60,COLUMN()-29),1,MIN(60,COLUMN()-29))),0)</f>
        <v>231.06535668</v>
      </c>
      <c r="DW180" s="112" t="n">
        <f aca="true">IFERROR(SUMPRODUCT(OFFSET($BJ$31,0,1-MIN(60,COLUMN()-29),1,MIN(60,COLUMN()-29)),OFFSET(DW179,0,-MIN(60,COLUMN()-29),1,MIN(60,COLUMN()-29))),0)</f>
        <v>230.83261632</v>
      </c>
      <c r="DX180" s="112" t="n">
        <f aca="true">IFERROR(SUMPRODUCT(OFFSET($BJ$31,0,1-MIN(60,COLUMN()-29),1,MIN(60,COLUMN()-29)),OFFSET(DX179,0,-MIN(60,COLUMN()-29),1,MIN(60,COLUMN()-29))),0)</f>
        <v>244.6123872</v>
      </c>
      <c r="DY180" s="112" t="n">
        <f aca="true">IFERROR(SUMPRODUCT(OFFSET($BJ$31,0,1-MIN(60,COLUMN()-29),1,MIN(60,COLUMN()-29)),OFFSET(DY179,0,-MIN(60,COLUMN()-29),1,MIN(60,COLUMN()-29))),0)</f>
        <v>247.7914272</v>
      </c>
      <c r="DZ180" s="112" t="n">
        <f aca="true">IFERROR(SUMPRODUCT(OFFSET($BJ$31,0,1-MIN(60,COLUMN()-29),1,MIN(60,COLUMN()-29)),OFFSET(DZ179,0,-MIN(60,COLUMN()-29),1,MIN(60,COLUMN()-29))),0)</f>
        <v>248.39191056</v>
      </c>
      <c r="EA180" s="112" t="n">
        <f aca="true">IFERROR(SUMPRODUCT(OFFSET($BJ$31,0,1-MIN(60,COLUMN()-29),1,MIN(60,COLUMN()-29)),OFFSET(EA179,0,-MIN(60,COLUMN()-29),1,MIN(60,COLUMN()-29))),0)</f>
        <v>247.74455856</v>
      </c>
      <c r="EB180" s="112" t="n">
        <f aca="true">IFERROR(SUMPRODUCT(OFFSET($BJ$31,0,1-MIN(60,COLUMN()-29),1,MIN(60,COLUMN()-29)),OFFSET(EB179,0,-MIN(60,COLUMN()-29),1,MIN(60,COLUMN()-29))),0)</f>
        <v>255.62999856</v>
      </c>
      <c r="EC180" s="112" t="n">
        <f aca="true">IFERROR(SUMPRODUCT(OFFSET($BJ$31,0,1-MIN(60,COLUMN()-29),1,MIN(60,COLUMN()-29)),OFFSET(EC179,0,-MIN(60,COLUMN()-29),1,MIN(60,COLUMN()-29))),0)</f>
        <v>276.52046496</v>
      </c>
      <c r="ED180" s="112" t="n">
        <f aca="true">IFERROR(SUMPRODUCT(OFFSET($BJ$31,0,1-MIN(60,COLUMN()-29),1,MIN(60,COLUMN()-29)),OFFSET(ED179,0,-MIN(60,COLUMN()-29),1,MIN(60,COLUMN()-29))),0)</f>
        <v>274.28963136</v>
      </c>
      <c r="EE180" s="112" t="n">
        <f aca="true">IFERROR(SUMPRODUCT(OFFSET($BJ$31,0,1-MIN(60,COLUMN()-29),1,MIN(60,COLUMN()-29)),OFFSET(EE179,0,-MIN(60,COLUMN()-29),1,MIN(60,COLUMN()-29))),0)</f>
        <v>270.55505856</v>
      </c>
      <c r="EF180" s="112" t="n">
        <f aca="true">IFERROR(SUMPRODUCT(OFFSET($BJ$31,0,1-MIN(60,COLUMN()-29),1,MIN(60,COLUMN()-29)),OFFSET(EF179,0,-MIN(60,COLUMN()-29),1,MIN(60,COLUMN()-29))),0)</f>
        <v>265.51903296</v>
      </c>
      <c r="EG180" s="112" t="n">
        <f aca="true">IFERROR(SUMPRODUCT(OFFSET($BJ$31,0,1-MIN(60,COLUMN()-29),1,MIN(60,COLUMN()-29)),OFFSET(EG179,0,-MIN(60,COLUMN()-29),1,MIN(60,COLUMN()-29))),0)</f>
        <v>280.28216616</v>
      </c>
      <c r="EH180" s="112" t="n">
        <f aca="true">IFERROR(SUMPRODUCT(OFFSET($BJ$31,0,1-MIN(60,COLUMN()-29),1,MIN(60,COLUMN()-29)),OFFSET(EH179,0,-MIN(60,COLUMN()-29),1,MIN(60,COLUMN()-29))),0)</f>
        <v>283.80264216</v>
      </c>
      <c r="EI180" s="112" t="n">
        <f aca="true">IFERROR(SUMPRODUCT(OFFSET($BJ$31,0,1-MIN(60,COLUMN()-29),1,MIN(60,COLUMN()-29)),OFFSET(EI179,0,-MIN(60,COLUMN()-29),1,MIN(60,COLUMN()-29))),0)</f>
        <v>281.82182496</v>
      </c>
      <c r="EJ180" s="112" t="n">
        <f aca="true">IFERROR(SUMPRODUCT(OFFSET($BJ$31,0,1-MIN(60,COLUMN()-29),1,MIN(60,COLUMN()-29)),OFFSET(EJ179,0,-MIN(60,COLUMN()-29),1,MIN(60,COLUMN()-29))),0)</f>
        <v>292.92653136</v>
      </c>
      <c r="EK180" s="112" t="n">
        <f aca="true">IFERROR(SUMPRODUCT(OFFSET($BJ$31,0,1-MIN(60,COLUMN()-29),1,MIN(60,COLUMN()-29)),OFFSET(EK179,0,-MIN(60,COLUMN()-29),1,MIN(60,COLUMN()-29))),0)</f>
        <v>293.50128936</v>
      </c>
      <c r="EL180" s="112" t="n">
        <f aca="true">IFERROR(SUMPRODUCT(OFFSET($BJ$31,0,1-MIN(60,COLUMN()-29),1,MIN(60,COLUMN()-29)),OFFSET(EL179,0,-MIN(60,COLUMN()-29),1,MIN(60,COLUMN()-29))),0)</f>
        <v>291.84312696</v>
      </c>
      <c r="EM180" s="112" t="n">
        <f aca="true">IFERROR(SUMPRODUCT(OFFSET($BJ$31,0,1-MIN(60,COLUMN()-29),1,MIN(60,COLUMN()-29)),OFFSET(EM179,0,-MIN(60,COLUMN()-29),1,MIN(60,COLUMN()-29))),0)</f>
        <v>289.13739096</v>
      </c>
      <c r="EN180" s="112" t="n">
        <f aca="true">IFERROR(SUMPRODUCT(OFFSET($BJ$31,0,1-MIN(60,COLUMN()-29),1,MIN(60,COLUMN()-29)),OFFSET(EN179,0,-MIN(60,COLUMN()-29),1,MIN(60,COLUMN()-29))),0)</f>
        <v>295.31280936</v>
      </c>
      <c r="EO180" s="112" t="n">
        <f aca="true">IFERROR(SUMPRODUCT(OFFSET($BJ$31,0,1-MIN(60,COLUMN()-29),1,MIN(60,COLUMN()-29)),OFFSET(EO179,0,-MIN(60,COLUMN()-29),1,MIN(60,COLUMN()-29))),0)</f>
        <v>313.34720136</v>
      </c>
      <c r="EP180" s="112" t="n">
        <f aca="true">IFERROR(SUMPRODUCT(OFFSET($BJ$31,0,1-MIN(60,COLUMN()-29),1,MIN(60,COLUMN()-29)),OFFSET(EP179,0,-MIN(60,COLUMN()-29),1,MIN(60,COLUMN()-29))),0)</f>
        <v>308.76778536</v>
      </c>
      <c r="EQ180" s="112" t="n">
        <f aca="true">IFERROR(SUMPRODUCT(OFFSET($BJ$31,0,1-MIN(60,COLUMN()-29),1,MIN(60,COLUMN()-29)),OFFSET(EQ179,0,-MIN(60,COLUMN()-29),1,MIN(60,COLUMN()-29))),0)</f>
        <v>303.11896872</v>
      </c>
      <c r="ER180" s="112" t="n">
        <f aca="true">IFERROR(SUMPRODUCT(OFFSET($BJ$31,0,1-MIN(60,COLUMN()-29),1,MIN(60,COLUMN()-29)),OFFSET(ER179,0,-MIN(60,COLUMN()-29),1,MIN(60,COLUMN()-29))),0)</f>
        <v>296.62616136</v>
      </c>
      <c r="ES180" s="9" t="n">
        <f aca="true">IFERROR(SUMPRODUCT(OFFSET($BJ$31,0,1-MIN(60,COLUMN()-29),1,MIN(60,COLUMN()-29)),OFFSET(ES179,0,-MIN(60,COLUMN()-29),1,MIN(60,COLUMN()-29))),0)</f>
        <v>309.43828752</v>
      </c>
      <c r="ET180" s="9" t="n">
        <f aca="true">IFERROR(SUMPRODUCT(OFFSET($BJ$31,0,1-MIN(60,COLUMN()-29),1,MIN(60,COLUMN()-29)),OFFSET(ET179,0,-MIN(60,COLUMN()-29),1,MIN(60,COLUMN()-29))),0)</f>
        <v>310.97498928</v>
      </c>
      <c r="EU180" s="9" t="n">
        <f aca="true">IFERROR(SUMPRODUCT(OFFSET($BJ$31,0,1-MIN(60,COLUMN()-29),1,MIN(60,COLUMN()-29)),OFFSET(EU179,0,-MIN(60,COLUMN()-29),1,MIN(60,COLUMN()-29))),0)</f>
        <v>307.52074032</v>
      </c>
      <c r="EV180" s="9" t="n">
        <f aca="true">IFERROR(SUMPRODUCT(OFFSET($BJ$31,0,1-MIN(60,COLUMN()-29),1,MIN(60,COLUMN()-29)),OFFSET(EV179,0,-MIN(60,COLUMN()-29),1,MIN(60,COLUMN()-29))),0)</f>
        <v>316.66005408</v>
      </c>
      <c r="EW180" s="9" t="n">
        <f aca="true">IFERROR(SUMPRODUCT(OFFSET($BJ$31,0,1-MIN(60,COLUMN()-29),1,MIN(60,COLUMN()-29)),OFFSET(EW179,0,-MIN(60,COLUMN()-29),1,MIN(60,COLUMN()-29))),0)</f>
        <v>315.33737808</v>
      </c>
      <c r="EX180" s="9" t="n">
        <f aca="true">IFERROR(SUMPRODUCT(OFFSET($BJ$31,0,1-MIN(60,COLUMN()-29),1,MIN(60,COLUMN()-29)),OFFSET(EX179,0,-MIN(60,COLUMN()-29),1,MIN(60,COLUMN()-29))),0)</f>
        <v>312.19275696</v>
      </c>
      <c r="EY180" s="9" t="n">
        <f aca="true">IFERROR(SUMPRODUCT(OFFSET($BJ$31,0,1-MIN(60,COLUMN()-29),1,MIN(60,COLUMN()-29)),OFFSET(EY179,0,-MIN(60,COLUMN()-29),1,MIN(60,COLUMN()-29))),0)</f>
        <v>308.22854736</v>
      </c>
      <c r="EZ180" s="9" t="n">
        <f aca="true">IFERROR(SUMPRODUCT(OFFSET($BJ$31,0,1-MIN(60,COLUMN()-29),1,MIN(60,COLUMN()-29)),OFFSET(EZ179,0,-MIN(60,COLUMN()-29),1,MIN(60,COLUMN()-29))),0)</f>
        <v>313.14410688</v>
      </c>
      <c r="FA180" s="9" t="n">
        <f aca="true">IFERROR(SUMPRODUCT(OFFSET($BJ$31,0,1-MIN(60,COLUMN()-29),1,MIN(60,COLUMN()-29)),OFFSET(FA179,0,-MIN(60,COLUMN()-29),1,MIN(60,COLUMN()-29))),0)</f>
        <v>329.15465808</v>
      </c>
      <c r="FB180" s="9" t="n">
        <f aca="true">IFERROR(SUMPRODUCT(OFFSET($BJ$31,0,1-MIN(60,COLUMN()-29),1,MIN(60,COLUMN()-29)),OFFSET(FB179,0,-MIN(60,COLUMN()-29),1,MIN(60,COLUMN()-29))),0)</f>
        <v>322.88642592</v>
      </c>
      <c r="FC180" s="9" t="n">
        <f aca="true">IFERROR(SUMPRODUCT(OFFSET($BJ$31,0,1-MIN(60,COLUMN()-29),1,MIN(60,COLUMN()-29)),OFFSET(FC179,0,-MIN(60,COLUMN()-29),1,MIN(60,COLUMN()-29))),0)</f>
        <v>316.2414864</v>
      </c>
      <c r="FD180" s="9" t="n">
        <f aca="true">IFERROR(SUMPRODUCT(OFFSET($BJ$31,0,1-MIN(60,COLUMN()-29),1,MIN(60,COLUMN()-29)),OFFSET(FD179,0,-MIN(60,COLUMN()-29),1,MIN(60,COLUMN()-29))),0)</f>
        <v>309.0236448</v>
      </c>
      <c r="FE180" s="9" t="n">
        <f aca="true">IFERROR(SUMPRODUCT(OFFSET($BJ$31,0,1-MIN(60,COLUMN()-29),1,MIN(60,COLUMN()-29)),OFFSET(FE179,0,-MIN(60,COLUMN()-29),1,MIN(60,COLUMN()-29))),0)</f>
        <v>320.8724952</v>
      </c>
      <c r="FF180" s="9" t="n">
        <f aca="true">IFERROR(SUMPRODUCT(OFFSET($BJ$31,0,1-MIN(60,COLUMN()-29),1,MIN(60,COLUMN()-29)),OFFSET(FF179,0,-MIN(60,COLUMN()-29),1,MIN(60,COLUMN()-29))),0)</f>
        <v>321.42378336</v>
      </c>
      <c r="FG180" s="9" t="n">
        <f aca="true">IFERROR(SUMPRODUCT(OFFSET($BJ$31,0,1-MIN(60,COLUMN()-29),1,MIN(60,COLUMN()-29)),OFFSET(FG179,0,-MIN(60,COLUMN()-29),1,MIN(60,COLUMN()-29))),0)</f>
        <v>317.19622848</v>
      </c>
      <c r="FH180" s="9" t="n">
        <f aca="true">IFERROR(SUMPRODUCT(OFFSET($BJ$31,0,1-MIN(60,COLUMN()-29),1,MIN(60,COLUMN()-29)),OFFSET(FH179,0,-MIN(60,COLUMN()-29),1,MIN(60,COLUMN()-29))),0)</f>
        <v>325.31730816</v>
      </c>
      <c r="FI180" s="9" t="n">
        <f aca="true">IFERROR(SUMPRODUCT(OFFSET($BJ$31,0,1-MIN(60,COLUMN()-29),1,MIN(60,COLUMN()-29)),OFFSET(FI179,0,-MIN(60,COLUMN()-29),1,MIN(60,COLUMN()-29))),0)</f>
        <v>323.10086016</v>
      </c>
      <c r="FJ180" s="9" t="n">
        <f aca="true">IFERROR(SUMPRODUCT(OFFSET($BJ$31,0,1-MIN(60,COLUMN()-29),1,MIN(60,COLUMN()-29)),OFFSET(FJ179,0,-MIN(60,COLUMN()-29),1,MIN(60,COLUMN()-29))),0)</f>
        <v>319.26754176</v>
      </c>
      <c r="FK180" s="9" t="n">
        <f aca="true">IFERROR(SUMPRODUCT(OFFSET($BJ$31,0,1-MIN(60,COLUMN()-29),1,MIN(60,COLUMN()-29)),OFFSET(FK179,0,-MIN(60,COLUMN()-29),1,MIN(60,COLUMN()-29))),0)</f>
        <v>314.75774496</v>
      </c>
      <c r="FL180" s="9" t="n">
        <f aca="true">IFERROR(SUMPRODUCT(OFFSET($BJ$31,0,1-MIN(60,COLUMN()-29),1,MIN(60,COLUMN()-29)),OFFSET(FL179,0,-MIN(60,COLUMN()-29),1,MIN(60,COLUMN()-29))),0)</f>
        <v>319.1015568</v>
      </c>
      <c r="FM180" s="9" t="n">
        <f aca="true">IFERROR(SUMPRODUCT(OFFSET($BJ$31,0,1-MIN(60,COLUMN()-29),1,MIN(60,COLUMN()-29)),OFFSET(FM179,0,-MIN(60,COLUMN()-29),1,MIN(60,COLUMN()-29))),0)</f>
        <v>334.19286816</v>
      </c>
      <c r="FN180" s="9" t="n">
        <f aca="true">IFERROR(SUMPRODUCT(OFFSET($BJ$31,0,1-MIN(60,COLUMN()-29),1,MIN(60,COLUMN()-29)),OFFSET(FN179,0,-MIN(60,COLUMN()-29),1,MIN(60,COLUMN()-29))),0)</f>
        <v>327.24941856</v>
      </c>
      <c r="FO180" s="9" t="n">
        <f aca="true">IFERROR(SUMPRODUCT(OFFSET($BJ$31,0,1-MIN(60,COLUMN()-29),1,MIN(60,COLUMN()-29)),OFFSET(FO179,0,-MIN(60,COLUMN()-29),1,MIN(60,COLUMN()-29))),0)</f>
        <v>320.10705696</v>
      </c>
      <c r="FP180" s="9" t="n">
        <f aca="true">IFERROR(SUMPRODUCT(OFFSET($BJ$31,0,1-MIN(60,COLUMN()-29),1,MIN(60,COLUMN()-29)),OFFSET(FP179,0,-MIN(60,COLUMN()-29),1,MIN(60,COLUMN()-29))),0)</f>
        <v>312.54108384</v>
      </c>
    </row>
    <row r="181" customFormat="false" ht="15" hidden="false" customHeight="false" outlineLevel="2" collapsed="false">
      <c r="B181" s="90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237"/>
      <c r="AD181" s="237"/>
      <c r="AE181" s="237"/>
      <c r="AF181" s="237"/>
      <c r="AG181" s="237"/>
      <c r="AH181" s="237"/>
      <c r="AI181" s="237"/>
      <c r="AJ181" s="237"/>
      <c r="AK181" s="237"/>
      <c r="AL181" s="237"/>
      <c r="AM181" s="237"/>
      <c r="AN181" s="237"/>
      <c r="AO181" s="237"/>
      <c r="AP181" s="237"/>
      <c r="AQ181" s="237"/>
      <c r="AR181" s="237"/>
      <c r="AS181" s="237"/>
      <c r="AT181" s="237"/>
      <c r="AU181" s="237"/>
      <c r="AV181" s="237"/>
      <c r="AW181" s="237"/>
      <c r="AX181" s="237"/>
      <c r="AY181" s="237"/>
      <c r="AZ181" s="237"/>
      <c r="BA181" s="237"/>
      <c r="BB181" s="237"/>
      <c r="BC181" s="237"/>
      <c r="BD181" s="237"/>
      <c r="BE181" s="237"/>
      <c r="BF181" s="237"/>
      <c r="BG181" s="237"/>
      <c r="BH181" s="237"/>
      <c r="BI181" s="237"/>
      <c r="BJ181" s="237"/>
      <c r="BK181" s="237"/>
      <c r="BL181" s="237"/>
      <c r="BM181" s="237"/>
      <c r="BN181" s="237"/>
      <c r="BO181" s="237"/>
      <c r="BP181" s="237"/>
      <c r="BQ181" s="237"/>
      <c r="BR181" s="237"/>
      <c r="BS181" s="237"/>
      <c r="BT181" s="237"/>
      <c r="BU181" s="237"/>
      <c r="BV181" s="237"/>
      <c r="BW181" s="237"/>
      <c r="BX181" s="237"/>
      <c r="BY181" s="237"/>
      <c r="BZ181" s="237"/>
      <c r="CA181" s="237"/>
      <c r="CB181" s="237"/>
      <c r="CC181" s="237"/>
      <c r="CD181" s="237"/>
      <c r="CE181" s="237"/>
      <c r="CF181" s="237"/>
      <c r="CG181" s="237"/>
      <c r="CH181" s="237"/>
      <c r="CI181" s="237"/>
      <c r="CJ181" s="237"/>
      <c r="CK181" s="237"/>
      <c r="CL181" s="237"/>
      <c r="CM181" s="237"/>
      <c r="CN181" s="237"/>
      <c r="CO181" s="237"/>
      <c r="CP181" s="237"/>
      <c r="CQ181" s="237"/>
      <c r="CR181" s="237"/>
      <c r="CS181" s="237"/>
      <c r="CT181" s="237"/>
      <c r="CU181" s="237"/>
      <c r="CV181" s="237"/>
      <c r="CW181" s="237"/>
      <c r="CX181" s="237"/>
      <c r="CY181" s="237"/>
      <c r="CZ181" s="237"/>
      <c r="DA181" s="237"/>
      <c r="DB181" s="237"/>
      <c r="DC181" s="237"/>
      <c r="DD181" s="237"/>
      <c r="DE181" s="237"/>
      <c r="DF181" s="237"/>
      <c r="DG181" s="237"/>
      <c r="DH181" s="237"/>
      <c r="DI181" s="237"/>
      <c r="DJ181" s="237"/>
      <c r="DK181" s="237"/>
      <c r="DL181" s="237"/>
      <c r="DM181" s="237"/>
      <c r="DN181" s="237"/>
      <c r="DO181" s="237"/>
      <c r="DP181" s="237"/>
      <c r="DQ181" s="237"/>
      <c r="DR181" s="237"/>
      <c r="DS181" s="237"/>
      <c r="DT181" s="237"/>
      <c r="DU181" s="237"/>
      <c r="DV181" s="237"/>
      <c r="DW181" s="237"/>
      <c r="DX181" s="237"/>
      <c r="DY181" s="237"/>
      <c r="DZ181" s="237"/>
      <c r="EA181" s="237"/>
      <c r="EB181" s="237"/>
      <c r="EC181" s="237"/>
      <c r="ED181" s="237"/>
      <c r="EE181" s="237"/>
      <c r="EF181" s="237"/>
      <c r="EG181" s="237"/>
      <c r="EH181" s="237"/>
      <c r="EI181" s="237"/>
      <c r="EJ181" s="237"/>
      <c r="EK181" s="237"/>
      <c r="EL181" s="237"/>
      <c r="EM181" s="237"/>
      <c r="EN181" s="237"/>
      <c r="EO181" s="237"/>
      <c r="EP181" s="237"/>
      <c r="EQ181" s="237"/>
      <c r="ER181" s="237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</row>
    <row r="182" customFormat="false" ht="15" hidden="false" customHeight="false" outlineLevel="2" collapsed="false">
      <c r="B182" s="240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237"/>
      <c r="AD182" s="237"/>
      <c r="AE182" s="237"/>
      <c r="AF182" s="237"/>
      <c r="AG182" s="237"/>
      <c r="AH182" s="237"/>
      <c r="AI182" s="237"/>
      <c r="AJ182" s="237"/>
      <c r="AK182" s="237"/>
      <c r="AL182" s="237"/>
      <c r="AM182" s="237"/>
      <c r="AN182" s="237"/>
      <c r="AO182" s="237"/>
      <c r="AP182" s="237"/>
      <c r="AQ182" s="237"/>
      <c r="AR182" s="237"/>
      <c r="AS182" s="237"/>
      <c r="AT182" s="237"/>
      <c r="AU182" s="237"/>
      <c r="AV182" s="237"/>
      <c r="AW182" s="237"/>
      <c r="AX182" s="237"/>
      <c r="AY182" s="237"/>
      <c r="AZ182" s="237"/>
      <c r="BA182" s="237"/>
      <c r="BB182" s="237"/>
      <c r="BC182" s="237"/>
      <c r="BD182" s="237"/>
      <c r="BE182" s="237"/>
      <c r="BF182" s="237"/>
      <c r="BG182" s="237"/>
      <c r="BH182" s="237"/>
      <c r="BI182" s="237"/>
      <c r="BJ182" s="237"/>
      <c r="BK182" s="237"/>
      <c r="BL182" s="237"/>
      <c r="BM182" s="237"/>
      <c r="BN182" s="237"/>
      <c r="BO182" s="237"/>
      <c r="BP182" s="237"/>
      <c r="BQ182" s="237"/>
      <c r="BR182" s="237"/>
      <c r="BS182" s="237"/>
      <c r="BT182" s="237"/>
      <c r="BU182" s="237"/>
      <c r="BV182" s="237"/>
      <c r="BW182" s="237"/>
      <c r="BX182" s="237"/>
      <c r="BY182" s="237"/>
      <c r="BZ182" s="237"/>
      <c r="CA182" s="237"/>
      <c r="CB182" s="237"/>
      <c r="CC182" s="237"/>
      <c r="CD182" s="237"/>
      <c r="CE182" s="237"/>
      <c r="CF182" s="237"/>
      <c r="CG182" s="237"/>
      <c r="CH182" s="237"/>
      <c r="CI182" s="237"/>
      <c r="CJ182" s="237"/>
      <c r="CK182" s="237"/>
      <c r="CL182" s="237"/>
      <c r="CM182" s="237"/>
      <c r="CN182" s="237"/>
      <c r="CO182" s="237"/>
      <c r="CP182" s="237"/>
      <c r="CQ182" s="237"/>
      <c r="CR182" s="237"/>
      <c r="CS182" s="237"/>
      <c r="CT182" s="237"/>
      <c r="CU182" s="237"/>
      <c r="CV182" s="237"/>
      <c r="CW182" s="237"/>
      <c r="CX182" s="237"/>
      <c r="CY182" s="237"/>
      <c r="CZ182" s="237"/>
      <c r="DA182" s="237"/>
      <c r="DB182" s="237"/>
      <c r="DC182" s="237"/>
      <c r="DD182" s="237"/>
      <c r="DE182" s="237"/>
      <c r="DF182" s="237"/>
      <c r="DG182" s="237"/>
      <c r="DH182" s="237"/>
      <c r="DI182" s="237"/>
      <c r="DJ182" s="237"/>
      <c r="DK182" s="237"/>
      <c r="DL182" s="237"/>
      <c r="DM182" s="237"/>
      <c r="DN182" s="237"/>
      <c r="DO182" s="237"/>
      <c r="DP182" s="237"/>
      <c r="DQ182" s="237"/>
      <c r="DR182" s="237"/>
      <c r="DS182" s="237"/>
      <c r="DT182" s="237"/>
      <c r="DU182" s="237"/>
      <c r="DV182" s="237"/>
      <c r="DW182" s="237"/>
      <c r="DX182" s="237"/>
      <c r="DY182" s="237"/>
      <c r="DZ182" s="237"/>
      <c r="EA182" s="237"/>
      <c r="EB182" s="237"/>
      <c r="EC182" s="237"/>
      <c r="ED182" s="237"/>
      <c r="EE182" s="237"/>
      <c r="EF182" s="237"/>
      <c r="EG182" s="237"/>
      <c r="EH182" s="237"/>
      <c r="EI182" s="237"/>
      <c r="EJ182" s="237"/>
      <c r="EK182" s="237"/>
      <c r="EL182" s="237"/>
      <c r="EM182" s="237"/>
      <c r="EN182" s="237"/>
      <c r="EO182" s="237"/>
      <c r="EP182" s="237"/>
      <c r="EQ182" s="237"/>
      <c r="ER182" s="237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</row>
    <row r="183" customFormat="false" ht="15" hidden="false" customHeight="false" outlineLevel="2" collapsed="false">
      <c r="B183" s="21" t="s">
        <v>891</v>
      </c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</row>
    <row r="184" customFormat="false" ht="15" hidden="false" customHeight="false" outlineLevel="2" collapsed="false">
      <c r="B184" s="9" t="s">
        <v>872</v>
      </c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234" t="n">
        <f aca="false">('⑫ Roll-out Plan'!G24-2025)*12+'⑫ Roll-out Plan'!F24</f>
        <v>45</v>
      </c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</row>
    <row r="185" customFormat="false" ht="15" hidden="false" customHeight="false" outlineLevel="2" collapsed="false">
      <c r="B185" s="9" t="s">
        <v>873</v>
      </c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235" t="n">
        <f aca="false">VLOOKUP("B",$B$14:$C$18,2,FALSE())</f>
        <v>185</v>
      </c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</row>
    <row r="186" customFormat="false" ht="15" hidden="false" customHeight="false" outlineLevel="2" collapsed="false">
      <c r="B186" s="9" t="s">
        <v>799</v>
      </c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63" t="n">
        <f aca="false">IF(AC$35&gt;=$AC$184,AC$35-$AC$184+1,0)</f>
        <v>0</v>
      </c>
      <c r="AD186" s="63" t="n">
        <f aca="false">IF(AD$35&gt;=$AC$184,AD$35-$AC$184+1,0)</f>
        <v>0</v>
      </c>
      <c r="AE186" s="63" t="n">
        <f aca="false">IF(AE$35&gt;=$AC$184,AE$35-$AC$184+1,0)</f>
        <v>0</v>
      </c>
      <c r="AF186" s="63" t="n">
        <f aca="false">IF(AF$35&gt;=$AC$184,AF$35-$AC$184+1,0)</f>
        <v>0</v>
      </c>
      <c r="AG186" s="63" t="n">
        <f aca="false">IF(AG$35&gt;=$AC$184,AG$35-$AC$184+1,0)</f>
        <v>0</v>
      </c>
      <c r="AH186" s="63" t="n">
        <f aca="false">IF(AH$35&gt;=$AC$184,AH$35-$AC$184+1,0)</f>
        <v>0</v>
      </c>
      <c r="AI186" s="63" t="n">
        <f aca="false">IF(AI$35&gt;=$AC$184,AI$35-$AC$184+1,0)</f>
        <v>0</v>
      </c>
      <c r="AJ186" s="63" t="n">
        <f aca="false">IF(AJ$35&gt;=$AC$184,AJ$35-$AC$184+1,0)</f>
        <v>0</v>
      </c>
      <c r="AK186" s="63" t="n">
        <f aca="false">IF(AK$35&gt;=$AC$184,AK$35-$AC$184+1,0)</f>
        <v>0</v>
      </c>
      <c r="AL186" s="63" t="n">
        <f aca="false">IF(AL$35&gt;=$AC$184,AL$35-$AC$184+1,0)</f>
        <v>0</v>
      </c>
      <c r="AM186" s="63" t="n">
        <f aca="false">IF(AM$35&gt;=$AC$184,AM$35-$AC$184+1,0)</f>
        <v>0</v>
      </c>
      <c r="AN186" s="63" t="n">
        <f aca="false">IF(AN$35&gt;=$AC$184,AN$35-$AC$184+1,0)</f>
        <v>0</v>
      </c>
      <c r="AO186" s="63" t="n">
        <f aca="false">IF(AO$35&gt;=$AC$184,AO$35-$AC$184+1,0)</f>
        <v>0</v>
      </c>
      <c r="AP186" s="63" t="n">
        <f aca="false">IF(AP$35&gt;=$AC$184,AP$35-$AC$184+1,0)</f>
        <v>0</v>
      </c>
      <c r="AQ186" s="63" t="n">
        <f aca="false">IF(AQ$35&gt;=$AC$184,AQ$35-$AC$184+1,0)</f>
        <v>0</v>
      </c>
      <c r="AR186" s="63" t="n">
        <f aca="false">IF(AR$35&gt;=$AC$184,AR$35-$AC$184+1,0)</f>
        <v>0</v>
      </c>
      <c r="AS186" s="63" t="n">
        <f aca="false">IF(AS$35&gt;=$AC$184,AS$35-$AC$184+1,0)</f>
        <v>0</v>
      </c>
      <c r="AT186" s="63" t="n">
        <f aca="false">IF(AT$35&gt;=$AC$184,AT$35-$AC$184+1,0)</f>
        <v>0</v>
      </c>
      <c r="AU186" s="63" t="n">
        <f aca="false">IF(AU$35&gt;=$AC$184,AU$35-$AC$184+1,0)</f>
        <v>0</v>
      </c>
      <c r="AV186" s="63" t="n">
        <f aca="false">IF(AV$35&gt;=$AC$184,AV$35-$AC$184+1,0)</f>
        <v>0</v>
      </c>
      <c r="AW186" s="63" t="n">
        <f aca="false">IF(AW$35&gt;=$AC$184,AW$35-$AC$184+1,0)</f>
        <v>0</v>
      </c>
      <c r="AX186" s="63" t="n">
        <f aca="false">IF(AX$35&gt;=$AC$184,AX$35-$AC$184+1,0)</f>
        <v>0</v>
      </c>
      <c r="AY186" s="63" t="n">
        <f aca="false">IF(AY$35&gt;=$AC$184,AY$35-$AC$184+1,0)</f>
        <v>0</v>
      </c>
      <c r="AZ186" s="63" t="n">
        <f aca="false">IF(AZ$35&gt;=$AC$184,AZ$35-$AC$184+1,0)</f>
        <v>0</v>
      </c>
      <c r="BA186" s="63" t="n">
        <f aca="false">IF(BA$35&gt;=$AC$184,BA$35-$AC$184+1,0)</f>
        <v>0</v>
      </c>
      <c r="BB186" s="63" t="n">
        <f aca="false">IF(BB$35&gt;=$AC$184,BB$35-$AC$184+1,0)</f>
        <v>0</v>
      </c>
      <c r="BC186" s="63" t="n">
        <f aca="false">IF(BC$35&gt;=$AC$184,BC$35-$AC$184+1,0)</f>
        <v>0</v>
      </c>
      <c r="BD186" s="63" t="n">
        <f aca="false">IF(BD$35&gt;=$AC$184,BD$35-$AC$184+1,0)</f>
        <v>0</v>
      </c>
      <c r="BE186" s="63" t="n">
        <f aca="false">IF(BE$35&gt;=$AC$184,BE$35-$AC$184+1,0)</f>
        <v>0</v>
      </c>
      <c r="BF186" s="63" t="n">
        <f aca="false">IF(BF$35&gt;=$AC$184,BF$35-$AC$184+1,0)</f>
        <v>0</v>
      </c>
      <c r="BG186" s="63" t="n">
        <f aca="false">IF(BG$35&gt;=$AC$184,BG$35-$AC$184+1,0)</f>
        <v>0</v>
      </c>
      <c r="BH186" s="63" t="n">
        <f aca="false">IF(BH$35&gt;=$AC$184,BH$35-$AC$184+1,0)</f>
        <v>0</v>
      </c>
      <c r="BI186" s="63" t="n">
        <f aca="false">IF(BI$35&gt;=$AC$184,BI$35-$AC$184+1,0)</f>
        <v>0</v>
      </c>
      <c r="BJ186" s="63" t="n">
        <f aca="false">IF(BJ$35&gt;=$AC$184,BJ$35-$AC$184+1,0)</f>
        <v>0</v>
      </c>
      <c r="BK186" s="63" t="n">
        <f aca="false">IF(BK$35&gt;=$AC$184,BK$35-$AC$184+1,0)</f>
        <v>0</v>
      </c>
      <c r="BL186" s="63" t="n">
        <f aca="false">IF(BL$35&gt;=$AC$184,BL$35-$AC$184+1,0)</f>
        <v>0</v>
      </c>
      <c r="BM186" s="63" t="n">
        <f aca="false">IF(BM$35&gt;=$AC$184,BM$35-$AC$184+1,0)</f>
        <v>0</v>
      </c>
      <c r="BN186" s="63" t="n">
        <f aca="false">IF(BN$35&gt;=$AC$184,BN$35-$AC$184+1,0)</f>
        <v>0</v>
      </c>
      <c r="BO186" s="63" t="n">
        <f aca="false">IF(BO$35&gt;=$AC$184,BO$35-$AC$184+1,0)</f>
        <v>0</v>
      </c>
      <c r="BP186" s="63" t="n">
        <f aca="false">IF(BP$35&gt;=$AC$184,BP$35-$AC$184+1,0)</f>
        <v>0</v>
      </c>
      <c r="BQ186" s="63" t="n">
        <f aca="false">IF(BQ$35&gt;=$AC$184,BQ$35-$AC$184+1,0)</f>
        <v>0</v>
      </c>
      <c r="BR186" s="63" t="n">
        <f aca="false">IF(BR$35&gt;=$AC$184,BR$35-$AC$184+1,0)</f>
        <v>0</v>
      </c>
      <c r="BS186" s="63" t="n">
        <f aca="false">IF(BS$35&gt;=$AC$184,BS$35-$AC$184+1,0)</f>
        <v>0</v>
      </c>
      <c r="BT186" s="63" t="n">
        <f aca="false">IF(BT$35&gt;=$AC$184,BT$35-$AC$184+1,0)</f>
        <v>0</v>
      </c>
      <c r="BU186" s="63" t="n">
        <f aca="false">IF(BU$35&gt;=$AC$184,BU$35-$AC$184+1,0)</f>
        <v>1</v>
      </c>
      <c r="BV186" s="63" t="n">
        <f aca="false">IF(BV$35&gt;=$AC$184,BV$35-$AC$184+1,0)</f>
        <v>2</v>
      </c>
      <c r="BW186" s="63" t="n">
        <f aca="false">IF(BW$35&gt;=$AC$184,BW$35-$AC$184+1,0)</f>
        <v>3</v>
      </c>
      <c r="BX186" s="63" t="n">
        <f aca="false">IF(BX$35&gt;=$AC$184,BX$35-$AC$184+1,0)</f>
        <v>4</v>
      </c>
      <c r="BY186" s="63" t="n">
        <f aca="false">IF(BY$35&gt;=$AC$184,BY$35-$AC$184+1,0)</f>
        <v>5</v>
      </c>
      <c r="BZ186" s="63" t="n">
        <f aca="false">IF(BZ$35&gt;=$AC$184,BZ$35-$AC$184+1,0)</f>
        <v>6</v>
      </c>
      <c r="CA186" s="63" t="n">
        <f aca="false">IF(CA$35&gt;=$AC$184,CA$35-$AC$184+1,0)</f>
        <v>7</v>
      </c>
      <c r="CB186" s="63" t="n">
        <f aca="false">IF(CB$35&gt;=$AC$184,CB$35-$AC$184+1,0)</f>
        <v>8</v>
      </c>
      <c r="CC186" s="63" t="n">
        <f aca="false">IF(CC$35&gt;=$AC$184,CC$35-$AC$184+1,0)</f>
        <v>9</v>
      </c>
      <c r="CD186" s="63" t="n">
        <f aca="false">IF(CD$35&gt;=$AC$184,CD$35-$AC$184+1,0)</f>
        <v>10</v>
      </c>
      <c r="CE186" s="63" t="n">
        <f aca="false">IF(CE$35&gt;=$AC$184,CE$35-$AC$184+1,0)</f>
        <v>11</v>
      </c>
      <c r="CF186" s="63" t="n">
        <f aca="false">IF(CF$35&gt;=$AC$184,CF$35-$AC$184+1,0)</f>
        <v>12</v>
      </c>
      <c r="CG186" s="63" t="n">
        <f aca="false">IF(CG$35&gt;=$AC$184,CG$35-$AC$184+1,0)</f>
        <v>13</v>
      </c>
      <c r="CH186" s="63" t="n">
        <f aca="false">IF(CH$35&gt;=$AC$184,CH$35-$AC$184+1,0)</f>
        <v>14</v>
      </c>
      <c r="CI186" s="63" t="n">
        <f aca="false">IF(CI$35&gt;=$AC$184,CI$35-$AC$184+1,0)</f>
        <v>15</v>
      </c>
      <c r="CJ186" s="63" t="n">
        <f aca="false">IF(CJ$35&gt;=$AC$184,CJ$35-$AC$184+1,0)</f>
        <v>16</v>
      </c>
      <c r="CK186" s="63" t="n">
        <f aca="false">IF(CK$35&gt;=$AC$184,CK$35-$AC$184+1,0)</f>
        <v>17</v>
      </c>
      <c r="CL186" s="63" t="n">
        <f aca="false">IF(CL$35&gt;=$AC$184,CL$35-$AC$184+1,0)</f>
        <v>18</v>
      </c>
      <c r="CM186" s="63" t="n">
        <f aca="false">IF(CM$35&gt;=$AC$184,CM$35-$AC$184+1,0)</f>
        <v>19</v>
      </c>
      <c r="CN186" s="63" t="n">
        <f aca="false">IF(CN$35&gt;=$AC$184,CN$35-$AC$184+1,0)</f>
        <v>20</v>
      </c>
      <c r="CO186" s="63" t="n">
        <f aca="false">IF(CO$35&gt;=$AC$184,CO$35-$AC$184+1,0)</f>
        <v>21</v>
      </c>
      <c r="CP186" s="63" t="n">
        <f aca="false">IF(CP$35&gt;=$AC$184,CP$35-$AC$184+1,0)</f>
        <v>22</v>
      </c>
      <c r="CQ186" s="63" t="n">
        <f aca="false">IF(CQ$35&gt;=$AC$184,CQ$35-$AC$184+1,0)</f>
        <v>23</v>
      </c>
      <c r="CR186" s="63" t="n">
        <f aca="false">IF(CR$35&gt;=$AC$184,CR$35-$AC$184+1,0)</f>
        <v>24</v>
      </c>
      <c r="CS186" s="63" t="n">
        <f aca="false">IF(CS$35&gt;=$AC$184,CS$35-$AC$184+1,0)</f>
        <v>25</v>
      </c>
      <c r="CT186" s="63" t="n">
        <f aca="false">IF(CT$35&gt;=$AC$184,CT$35-$AC$184+1,0)</f>
        <v>26</v>
      </c>
      <c r="CU186" s="63" t="n">
        <f aca="false">IF(CU$35&gt;=$AC$184,CU$35-$AC$184+1,0)</f>
        <v>27</v>
      </c>
      <c r="CV186" s="63" t="n">
        <f aca="false">IF(CV$35&gt;=$AC$184,CV$35-$AC$184+1,0)</f>
        <v>28</v>
      </c>
      <c r="CW186" s="63" t="n">
        <f aca="false">IF(CW$35&gt;=$AC$184,CW$35-$AC$184+1,0)</f>
        <v>29</v>
      </c>
      <c r="CX186" s="63" t="n">
        <f aca="false">IF(CX$35&gt;=$AC$184,CX$35-$AC$184+1,0)</f>
        <v>30</v>
      </c>
      <c r="CY186" s="63" t="n">
        <f aca="false">IF(CY$35&gt;=$AC$184,CY$35-$AC$184+1,0)</f>
        <v>31</v>
      </c>
      <c r="CZ186" s="63" t="n">
        <f aca="false">IF(CZ$35&gt;=$AC$184,CZ$35-$AC$184+1,0)</f>
        <v>32</v>
      </c>
      <c r="DA186" s="63" t="n">
        <f aca="false">IF(DA$35&gt;=$AC$184,DA$35-$AC$184+1,0)</f>
        <v>33</v>
      </c>
      <c r="DB186" s="63" t="n">
        <f aca="false">IF(DB$35&gt;=$AC$184,DB$35-$AC$184+1,0)</f>
        <v>34</v>
      </c>
      <c r="DC186" s="63" t="n">
        <f aca="false">IF(DC$35&gt;=$AC$184,DC$35-$AC$184+1,0)</f>
        <v>35</v>
      </c>
      <c r="DD186" s="63" t="n">
        <f aca="false">IF(DD$35&gt;=$AC$184,DD$35-$AC$184+1,0)</f>
        <v>36</v>
      </c>
      <c r="DE186" s="63" t="n">
        <f aca="false">IF(DE$35&gt;=$AC$184,DE$35-$AC$184+1,0)</f>
        <v>37</v>
      </c>
      <c r="DF186" s="63" t="n">
        <f aca="false">IF(DF$35&gt;=$AC$184,DF$35-$AC$184+1,0)</f>
        <v>38</v>
      </c>
      <c r="DG186" s="63" t="n">
        <f aca="false">IF(DG$35&gt;=$AC$184,DG$35-$AC$184+1,0)</f>
        <v>39</v>
      </c>
      <c r="DH186" s="63" t="n">
        <f aca="false">IF(DH$35&gt;=$AC$184,DH$35-$AC$184+1,0)</f>
        <v>40</v>
      </c>
      <c r="DI186" s="63" t="n">
        <f aca="false">IF(DI$35&gt;=$AC$184,DI$35-$AC$184+1,0)</f>
        <v>41</v>
      </c>
      <c r="DJ186" s="63" t="n">
        <f aca="false">IF(DJ$35&gt;=$AC$184,DJ$35-$AC$184+1,0)</f>
        <v>42</v>
      </c>
      <c r="DK186" s="63" t="n">
        <f aca="false">IF(DK$35&gt;=$AC$184,DK$35-$AC$184+1,0)</f>
        <v>43</v>
      </c>
      <c r="DL186" s="63" t="n">
        <f aca="false">IF(DL$35&gt;=$AC$184,DL$35-$AC$184+1,0)</f>
        <v>44</v>
      </c>
      <c r="DM186" s="63" t="n">
        <f aca="false">IF(DM$35&gt;=$AC$184,DM$35-$AC$184+1,0)</f>
        <v>45</v>
      </c>
      <c r="DN186" s="63" t="n">
        <f aca="false">IF(DN$35&gt;=$AC$184,DN$35-$AC$184+1,0)</f>
        <v>46</v>
      </c>
      <c r="DO186" s="63" t="n">
        <f aca="false">IF(DO$35&gt;=$AC$184,DO$35-$AC$184+1,0)</f>
        <v>47</v>
      </c>
      <c r="DP186" s="63" t="n">
        <f aca="false">IF(DP$35&gt;=$AC$184,DP$35-$AC$184+1,0)</f>
        <v>48</v>
      </c>
      <c r="DQ186" s="63" t="n">
        <f aca="false">IF(DQ$35&gt;=$AC$184,DQ$35-$AC$184+1,0)</f>
        <v>49</v>
      </c>
      <c r="DR186" s="63" t="n">
        <f aca="false">IF(DR$35&gt;=$AC$184,DR$35-$AC$184+1,0)</f>
        <v>50</v>
      </c>
      <c r="DS186" s="63" t="n">
        <f aca="false">IF(DS$35&gt;=$AC$184,DS$35-$AC$184+1,0)</f>
        <v>51</v>
      </c>
      <c r="DT186" s="63" t="n">
        <f aca="false">IF(DT$35&gt;=$AC$184,DT$35-$AC$184+1,0)</f>
        <v>52</v>
      </c>
      <c r="DU186" s="63" t="n">
        <f aca="false">IF(DU$35&gt;=$AC$184,DU$35-$AC$184+1,0)</f>
        <v>53</v>
      </c>
      <c r="DV186" s="63" t="n">
        <f aca="false">IF(DV$35&gt;=$AC$184,DV$35-$AC$184+1,0)</f>
        <v>54</v>
      </c>
      <c r="DW186" s="63" t="n">
        <f aca="false">IF(DW$35&gt;=$AC$184,DW$35-$AC$184+1,0)</f>
        <v>55</v>
      </c>
      <c r="DX186" s="63" t="n">
        <f aca="false">IF(DX$35&gt;=$AC$184,DX$35-$AC$184+1,0)</f>
        <v>56</v>
      </c>
      <c r="DY186" s="63" t="n">
        <f aca="false">IF(DY$35&gt;=$AC$184,DY$35-$AC$184+1,0)</f>
        <v>57</v>
      </c>
      <c r="DZ186" s="63" t="n">
        <f aca="false">IF(DZ$35&gt;=$AC$184,DZ$35-$AC$184+1,0)</f>
        <v>58</v>
      </c>
      <c r="EA186" s="63" t="n">
        <f aca="false">IF(EA$35&gt;=$AC$184,EA$35-$AC$184+1,0)</f>
        <v>59</v>
      </c>
      <c r="EB186" s="63" t="n">
        <f aca="false">IF(EB$35&gt;=$AC$184,EB$35-$AC$184+1,0)</f>
        <v>60</v>
      </c>
      <c r="EC186" s="63" t="n">
        <f aca="false">IF(EC$35&gt;=$AC$184,EC$35-$AC$184+1,0)</f>
        <v>61</v>
      </c>
      <c r="ED186" s="63" t="n">
        <f aca="false">IF(ED$35&gt;=$AC$184,ED$35-$AC$184+1,0)</f>
        <v>62</v>
      </c>
      <c r="EE186" s="63" t="n">
        <f aca="false">IF(EE$35&gt;=$AC$184,EE$35-$AC$184+1,0)</f>
        <v>63</v>
      </c>
      <c r="EF186" s="63" t="n">
        <f aca="false">IF(EF$35&gt;=$AC$184,EF$35-$AC$184+1,0)</f>
        <v>64</v>
      </c>
      <c r="EG186" s="63" t="n">
        <f aca="false">IF(EG$35&gt;=$AC$184,EG$35-$AC$184+1,0)</f>
        <v>65</v>
      </c>
      <c r="EH186" s="63" t="n">
        <f aca="false">IF(EH$35&gt;=$AC$184,EH$35-$AC$184+1,0)</f>
        <v>66</v>
      </c>
      <c r="EI186" s="63" t="n">
        <f aca="false">IF(EI$35&gt;=$AC$184,EI$35-$AC$184+1,0)</f>
        <v>67</v>
      </c>
      <c r="EJ186" s="63" t="n">
        <f aca="false">IF(EJ$35&gt;=$AC$184,EJ$35-$AC$184+1,0)</f>
        <v>68</v>
      </c>
      <c r="EK186" s="63" t="n">
        <f aca="false">IF(EK$35&gt;=$AC$184,EK$35-$AC$184+1,0)</f>
        <v>69</v>
      </c>
      <c r="EL186" s="63" t="n">
        <f aca="false">IF(EL$35&gt;=$AC$184,EL$35-$AC$184+1,0)</f>
        <v>70</v>
      </c>
      <c r="EM186" s="63" t="n">
        <f aca="false">IF(EM$35&gt;=$AC$184,EM$35-$AC$184+1,0)</f>
        <v>71</v>
      </c>
      <c r="EN186" s="63" t="n">
        <f aca="false">IF(EN$35&gt;=$AC$184,EN$35-$AC$184+1,0)</f>
        <v>72</v>
      </c>
      <c r="EO186" s="63" t="n">
        <f aca="false">IF(EO$35&gt;=$AC$184,EO$35-$AC$184+1,0)</f>
        <v>73</v>
      </c>
      <c r="EP186" s="63" t="n">
        <f aca="false">IF(EP$35&gt;=$AC$184,EP$35-$AC$184+1,0)</f>
        <v>74</v>
      </c>
      <c r="EQ186" s="63" t="n">
        <f aca="false">IF(EQ$35&gt;=$AC$184,EQ$35-$AC$184+1,0)</f>
        <v>75</v>
      </c>
      <c r="ER186" s="63" t="n">
        <f aca="false">IF(ER$35&gt;=$AC$184,ER$35-$AC$184+1,0)</f>
        <v>76</v>
      </c>
      <c r="ES186" s="9" t="n">
        <f aca="false">IF(ES$35&gt;=$AC$184,ES$35-$AC$184+1,0)</f>
        <v>77</v>
      </c>
      <c r="ET186" s="9" t="n">
        <f aca="false">IF(ET$35&gt;=$AC$184,ET$35-$AC$184+1,0)</f>
        <v>78</v>
      </c>
      <c r="EU186" s="9" t="n">
        <f aca="false">IF(EU$35&gt;=$AC$184,EU$35-$AC$184+1,0)</f>
        <v>79</v>
      </c>
      <c r="EV186" s="9" t="n">
        <f aca="false">IF(EV$35&gt;=$AC$184,EV$35-$AC$184+1,0)</f>
        <v>80</v>
      </c>
      <c r="EW186" s="9" t="n">
        <f aca="false">IF(EW$35&gt;=$AC$184,EW$35-$AC$184+1,0)</f>
        <v>81</v>
      </c>
      <c r="EX186" s="9" t="n">
        <f aca="false">IF(EX$35&gt;=$AC$184,EX$35-$AC$184+1,0)</f>
        <v>82</v>
      </c>
      <c r="EY186" s="9" t="n">
        <f aca="false">IF(EY$35&gt;=$AC$184,EY$35-$AC$184+1,0)</f>
        <v>83</v>
      </c>
      <c r="EZ186" s="9" t="n">
        <f aca="false">IF(EZ$35&gt;=$AC$184,EZ$35-$AC$184+1,0)</f>
        <v>84</v>
      </c>
      <c r="FA186" s="9" t="n">
        <f aca="false">IF(FA$35&gt;=$AC$184,FA$35-$AC$184+1,0)</f>
        <v>85</v>
      </c>
      <c r="FB186" s="9" t="n">
        <f aca="false">IF(FB$35&gt;=$AC$184,FB$35-$AC$184+1,0)</f>
        <v>86</v>
      </c>
      <c r="FC186" s="9" t="n">
        <f aca="false">IF(FC$35&gt;=$AC$184,FC$35-$AC$184+1,0)</f>
        <v>87</v>
      </c>
      <c r="FD186" s="9" t="n">
        <f aca="false">IF(FD$35&gt;=$AC$184,FD$35-$AC$184+1,0)</f>
        <v>88</v>
      </c>
      <c r="FE186" s="9" t="n">
        <f aca="false">IF(FE$35&gt;=$AC$184,FE$35-$AC$184+1,0)</f>
        <v>89</v>
      </c>
      <c r="FF186" s="9" t="n">
        <f aca="false">IF(FF$35&gt;=$AC$184,FF$35-$AC$184+1,0)</f>
        <v>90</v>
      </c>
      <c r="FG186" s="9" t="n">
        <f aca="false">IF(FG$35&gt;=$AC$184,FG$35-$AC$184+1,0)</f>
        <v>91</v>
      </c>
      <c r="FH186" s="9" t="n">
        <f aca="false">IF(FH$35&gt;=$AC$184,FH$35-$AC$184+1,0)</f>
        <v>92</v>
      </c>
      <c r="FI186" s="9" t="n">
        <f aca="false">IF(FI$35&gt;=$AC$184,FI$35-$AC$184+1,0)</f>
        <v>93</v>
      </c>
      <c r="FJ186" s="9" t="n">
        <f aca="false">IF(FJ$35&gt;=$AC$184,FJ$35-$AC$184+1,0)</f>
        <v>94</v>
      </c>
      <c r="FK186" s="9" t="n">
        <f aca="false">IF(FK$35&gt;=$AC$184,FK$35-$AC$184+1,0)</f>
        <v>95</v>
      </c>
      <c r="FL186" s="9" t="n">
        <f aca="false">IF(FL$35&gt;=$AC$184,FL$35-$AC$184+1,0)</f>
        <v>96</v>
      </c>
      <c r="FM186" s="9" t="n">
        <f aca="false">IF(FM$35&gt;=$AC$184,FM$35-$AC$184+1,0)</f>
        <v>97</v>
      </c>
      <c r="FN186" s="9" t="n">
        <f aca="false">IF(FN$35&gt;=$AC$184,FN$35-$AC$184+1,0)</f>
        <v>98</v>
      </c>
      <c r="FO186" s="9" t="n">
        <f aca="false">IF(FO$35&gt;=$AC$184,FO$35-$AC$184+1,0)</f>
        <v>99</v>
      </c>
      <c r="FP186" s="9" t="n">
        <f aca="false">IF(FP$35&gt;=$AC$184,FP$35-$AC$184+1,0)</f>
        <v>100</v>
      </c>
    </row>
    <row r="187" customFormat="false" ht="15" hidden="false" customHeight="false" outlineLevel="2" collapsed="false">
      <c r="B187" s="9" t="s">
        <v>874</v>
      </c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236" t="n">
        <f aca="false" t="array" ref="AC187:AC187">IF(AC186=0,0,IF(AC186/'🎚️ Escenario'!$C$11&gt;=36,$AL$23,INDEX($C$23:$AL$23,MAX(1,ROUNDUP(AC186/'🎚️ Escenario'!$C$11,0)))))</f>
        <v>0</v>
      </c>
      <c r="AD187" s="236" t="n">
        <f aca="false" t="array" ref="AD187:AD187">IF(AD186=0,0,IF(AD186/'🎚️ Escenario'!$C$11&gt;=36,$AL$23,INDEX($C$23:$AL$23,MAX(1,ROUNDUP(AD186/'🎚️ Escenario'!$C$11,0)))))</f>
        <v>0</v>
      </c>
      <c r="AE187" s="236" t="n">
        <f aca="false" t="array" ref="AE187:AE187">IF(AE186=0,0,IF(AE186/'🎚️ Escenario'!$C$11&gt;=36,$AL$23,INDEX($C$23:$AL$23,MAX(1,ROUNDUP(AE186/'🎚️ Escenario'!$C$11,0)))))</f>
        <v>0</v>
      </c>
      <c r="AF187" s="236" t="n">
        <f aca="false" t="array" ref="AF187:AF187">IF(AF186=0,0,IF(AF186/'🎚️ Escenario'!$C$11&gt;=36,$AL$23,INDEX($C$23:$AL$23,MAX(1,ROUNDUP(AF186/'🎚️ Escenario'!$C$11,0)))))</f>
        <v>0</v>
      </c>
      <c r="AG187" s="236" t="n">
        <f aca="false" t="array" ref="AG187:AG187">IF(AG186=0,0,IF(AG186/'🎚️ Escenario'!$C$11&gt;=36,$AL$23,INDEX($C$23:$AL$23,MAX(1,ROUNDUP(AG186/'🎚️ Escenario'!$C$11,0)))))</f>
        <v>0</v>
      </c>
      <c r="AH187" s="236" t="n">
        <f aca="false" t="array" ref="AH187:AH187">IF(AH186=0,0,IF(AH186/'🎚️ Escenario'!$C$11&gt;=36,$AL$23,INDEX($C$23:$AL$23,MAX(1,ROUNDUP(AH186/'🎚️ Escenario'!$C$11,0)))))</f>
        <v>0</v>
      </c>
      <c r="AI187" s="236" t="n">
        <f aca="false" t="array" ref="AI187:AI187">IF(AI186=0,0,IF(AI186/'🎚️ Escenario'!$C$11&gt;=36,$AL$23,INDEX($C$23:$AL$23,MAX(1,ROUNDUP(AI186/'🎚️ Escenario'!$C$11,0)))))</f>
        <v>0</v>
      </c>
      <c r="AJ187" s="236" t="n">
        <f aca="false" t="array" ref="AJ187:AJ187">IF(AJ186=0,0,IF(AJ186/'🎚️ Escenario'!$C$11&gt;=36,$AL$23,INDEX($C$23:$AL$23,MAX(1,ROUNDUP(AJ186/'🎚️ Escenario'!$C$11,0)))))</f>
        <v>0</v>
      </c>
      <c r="AK187" s="236" t="n">
        <f aca="false" t="array" ref="AK187:AK187">IF(AK186=0,0,IF(AK186/'🎚️ Escenario'!$C$11&gt;=36,$AL$23,INDEX($C$23:$AL$23,MAX(1,ROUNDUP(AK186/'🎚️ Escenario'!$C$11,0)))))</f>
        <v>0</v>
      </c>
      <c r="AL187" s="236" t="n">
        <f aca="false" t="array" ref="AL187:AL187">IF(AL186=0,0,IF(AL186/'🎚️ Escenario'!$C$11&gt;=36,$AL$23,INDEX($C$23:$AL$23,MAX(1,ROUNDUP(AL186/'🎚️ Escenario'!$C$11,0)))))</f>
        <v>0</v>
      </c>
      <c r="AM187" s="236" t="n">
        <f aca="false" t="array" ref="AM187:AM187">IF(AM186=0,0,IF(AM186/'🎚️ Escenario'!$C$11&gt;=36,$AL$23,INDEX($C$23:$AL$23,MAX(1,ROUNDUP(AM186/'🎚️ Escenario'!$C$11,0)))))</f>
        <v>0</v>
      </c>
      <c r="AN187" s="236" t="n">
        <f aca="false" t="array" ref="AN187:AN187">IF(AN186=0,0,IF(AN186/'🎚️ Escenario'!$C$11&gt;=36,$AL$23,INDEX($C$23:$AL$23,MAX(1,ROUNDUP(AN186/'🎚️ Escenario'!$C$11,0)))))</f>
        <v>0</v>
      </c>
      <c r="AO187" s="236" t="n">
        <f aca="false" t="array" ref="AO187:AO187">IF(AO186=0,0,IF(AO186/'🎚️ Escenario'!$C$11&gt;=36,$AL$23,INDEX($C$23:$AL$23,MAX(1,ROUNDUP(AO186/'🎚️ Escenario'!$C$11,0)))))</f>
        <v>0</v>
      </c>
      <c r="AP187" s="236" t="n">
        <f aca="false" t="array" ref="AP187:AP187">IF(AP186=0,0,IF(AP186/'🎚️ Escenario'!$C$11&gt;=36,$AL$23,INDEX($C$23:$AL$23,MAX(1,ROUNDUP(AP186/'🎚️ Escenario'!$C$11,0)))))</f>
        <v>0</v>
      </c>
      <c r="AQ187" s="236" t="n">
        <f aca="false" t="array" ref="AQ187:AQ187">IF(AQ186=0,0,IF(AQ186/'🎚️ Escenario'!$C$11&gt;=36,$AL$23,INDEX($C$23:$AL$23,MAX(1,ROUNDUP(AQ186/'🎚️ Escenario'!$C$11,0)))))</f>
        <v>0</v>
      </c>
      <c r="AR187" s="236" t="n">
        <f aca="false" t="array" ref="AR187:AR187">IF(AR186=0,0,IF(AR186/'🎚️ Escenario'!$C$11&gt;=36,$AL$23,INDEX($C$23:$AL$23,MAX(1,ROUNDUP(AR186/'🎚️ Escenario'!$C$11,0)))))</f>
        <v>0</v>
      </c>
      <c r="AS187" s="236" t="n">
        <f aca="false" t="array" ref="AS187:AS187">IF(AS186=0,0,IF(AS186/'🎚️ Escenario'!$C$11&gt;=36,$AL$23,INDEX($C$23:$AL$23,MAX(1,ROUNDUP(AS186/'🎚️ Escenario'!$C$11,0)))))</f>
        <v>0</v>
      </c>
      <c r="AT187" s="236" t="n">
        <f aca="false" t="array" ref="AT187:AT187">IF(AT186=0,0,IF(AT186/'🎚️ Escenario'!$C$11&gt;=36,$AL$23,INDEX($C$23:$AL$23,MAX(1,ROUNDUP(AT186/'🎚️ Escenario'!$C$11,0)))))</f>
        <v>0</v>
      </c>
      <c r="AU187" s="236" t="n">
        <f aca="false" t="array" ref="AU187:AU187">IF(AU186=0,0,IF(AU186/'🎚️ Escenario'!$C$11&gt;=36,$AL$23,INDEX($C$23:$AL$23,MAX(1,ROUNDUP(AU186/'🎚️ Escenario'!$C$11,0)))))</f>
        <v>0</v>
      </c>
      <c r="AV187" s="236" t="n">
        <f aca="false" t="array" ref="AV187:AV187">IF(AV186=0,0,IF(AV186/'🎚️ Escenario'!$C$11&gt;=36,$AL$23,INDEX($C$23:$AL$23,MAX(1,ROUNDUP(AV186/'🎚️ Escenario'!$C$11,0)))))</f>
        <v>0</v>
      </c>
      <c r="AW187" s="236" t="n">
        <f aca="false" t="array" ref="AW187:AW187">IF(AW186=0,0,IF(AW186/'🎚️ Escenario'!$C$11&gt;=36,$AL$23,INDEX($C$23:$AL$23,MAX(1,ROUNDUP(AW186/'🎚️ Escenario'!$C$11,0)))))</f>
        <v>0</v>
      </c>
      <c r="AX187" s="236" t="n">
        <f aca="false" t="array" ref="AX187:AX187">IF(AX186=0,0,IF(AX186/'🎚️ Escenario'!$C$11&gt;=36,$AL$23,INDEX($C$23:$AL$23,MAX(1,ROUNDUP(AX186/'🎚️ Escenario'!$C$11,0)))))</f>
        <v>0</v>
      </c>
      <c r="AY187" s="236" t="n">
        <f aca="false" t="array" ref="AY187:AY187">IF(AY186=0,0,IF(AY186/'🎚️ Escenario'!$C$11&gt;=36,$AL$23,INDEX($C$23:$AL$23,MAX(1,ROUNDUP(AY186/'🎚️ Escenario'!$C$11,0)))))</f>
        <v>0</v>
      </c>
      <c r="AZ187" s="236" t="n">
        <f aca="false" t="array" ref="AZ187:AZ187">IF(AZ186=0,0,IF(AZ186/'🎚️ Escenario'!$C$11&gt;=36,$AL$23,INDEX($C$23:$AL$23,MAX(1,ROUNDUP(AZ186/'🎚️ Escenario'!$C$11,0)))))</f>
        <v>0</v>
      </c>
      <c r="BA187" s="236" t="n">
        <f aca="false" t="array" ref="BA187:BA187">IF(BA186=0,0,IF(BA186/'🎚️ Escenario'!$C$11&gt;=36,$AL$23,INDEX($C$23:$AL$23,MAX(1,ROUNDUP(BA186/'🎚️ Escenario'!$C$11,0)))))</f>
        <v>0</v>
      </c>
      <c r="BB187" s="236" t="n">
        <f aca="false" t="array" ref="BB187:BB187">IF(BB186=0,0,IF(BB186/'🎚️ Escenario'!$C$11&gt;=36,$AL$23,INDEX($C$23:$AL$23,MAX(1,ROUNDUP(BB186/'🎚️ Escenario'!$C$11,0)))))</f>
        <v>0</v>
      </c>
      <c r="BC187" s="236" t="n">
        <f aca="false" t="array" ref="BC187:BC187">IF(BC186=0,0,IF(BC186/'🎚️ Escenario'!$C$11&gt;=36,$AL$23,INDEX($C$23:$AL$23,MAX(1,ROUNDUP(BC186/'🎚️ Escenario'!$C$11,0)))))</f>
        <v>0</v>
      </c>
      <c r="BD187" s="236" t="n">
        <f aca="false" t="array" ref="BD187:BD187">IF(BD186=0,0,IF(BD186/'🎚️ Escenario'!$C$11&gt;=36,$AL$23,INDEX($C$23:$AL$23,MAX(1,ROUNDUP(BD186/'🎚️ Escenario'!$C$11,0)))))</f>
        <v>0</v>
      </c>
      <c r="BE187" s="236" t="n">
        <f aca="false" t="array" ref="BE187:BE187">IF(BE186=0,0,IF(BE186/'🎚️ Escenario'!$C$11&gt;=36,$AL$23,INDEX($C$23:$AL$23,MAX(1,ROUNDUP(BE186/'🎚️ Escenario'!$C$11,0)))))</f>
        <v>0</v>
      </c>
      <c r="BF187" s="236" t="n">
        <f aca="false" t="array" ref="BF187:BF187">IF(BF186=0,0,IF(BF186/'🎚️ Escenario'!$C$11&gt;=36,$AL$23,INDEX($C$23:$AL$23,MAX(1,ROUNDUP(BF186/'🎚️ Escenario'!$C$11,0)))))</f>
        <v>0</v>
      </c>
      <c r="BG187" s="236" t="n">
        <f aca="false" t="array" ref="BG187:BG187">IF(BG186=0,0,IF(BG186/'🎚️ Escenario'!$C$11&gt;=36,$AL$23,INDEX($C$23:$AL$23,MAX(1,ROUNDUP(BG186/'🎚️ Escenario'!$C$11,0)))))</f>
        <v>0</v>
      </c>
      <c r="BH187" s="236" t="n">
        <f aca="false" t="array" ref="BH187:BH187">IF(BH186=0,0,IF(BH186/'🎚️ Escenario'!$C$11&gt;=36,$AL$23,INDEX($C$23:$AL$23,MAX(1,ROUNDUP(BH186/'🎚️ Escenario'!$C$11,0)))))</f>
        <v>0</v>
      </c>
      <c r="BI187" s="236" t="n">
        <f aca="false" t="array" ref="BI187:BI187">IF(BI186=0,0,IF(BI186/'🎚️ Escenario'!$C$11&gt;=36,$AL$23,INDEX($C$23:$AL$23,MAX(1,ROUNDUP(BI186/'🎚️ Escenario'!$C$11,0)))))</f>
        <v>0</v>
      </c>
      <c r="BJ187" s="236" t="n">
        <f aca="false" t="array" ref="BJ187:BJ187">IF(BJ186=0,0,IF(BJ186/'🎚️ Escenario'!$C$11&gt;=36,$AL$23,INDEX($C$23:$AL$23,MAX(1,ROUNDUP(BJ186/'🎚️ Escenario'!$C$11,0)))))</f>
        <v>0</v>
      </c>
      <c r="BK187" s="236" t="n">
        <f aca="false" t="array" ref="BK187:BK187">IF(BK186=0,0,IF(BK186/'🎚️ Escenario'!$C$11&gt;=36,$AL$23,INDEX($C$23:$AL$23,MAX(1,ROUNDUP(BK186/'🎚️ Escenario'!$C$11,0)))))</f>
        <v>0</v>
      </c>
      <c r="BL187" s="236" t="n">
        <f aca="false" t="array" ref="BL187:BL187">IF(BL186=0,0,IF(BL186/'🎚️ Escenario'!$C$11&gt;=36,$AL$23,INDEX($C$23:$AL$23,MAX(1,ROUNDUP(BL186/'🎚️ Escenario'!$C$11,0)))))</f>
        <v>0</v>
      </c>
      <c r="BM187" s="236" t="n">
        <f aca="false" t="array" ref="BM187:BM187">IF(BM186=0,0,IF(BM186/'🎚️ Escenario'!$C$11&gt;=36,$AL$23,INDEX($C$23:$AL$23,MAX(1,ROUNDUP(BM186/'🎚️ Escenario'!$C$11,0)))))</f>
        <v>0</v>
      </c>
      <c r="BN187" s="236" t="n">
        <f aca="false" t="array" ref="BN187:BN187">IF(BN186=0,0,IF(BN186/'🎚️ Escenario'!$C$11&gt;=36,$AL$23,INDEX($C$23:$AL$23,MAX(1,ROUNDUP(BN186/'🎚️ Escenario'!$C$11,0)))))</f>
        <v>0</v>
      </c>
      <c r="BO187" s="236" t="n">
        <f aca="false" t="array" ref="BO187:BO187">IF(BO186=0,0,IF(BO186/'🎚️ Escenario'!$C$11&gt;=36,$AL$23,INDEX($C$23:$AL$23,MAX(1,ROUNDUP(BO186/'🎚️ Escenario'!$C$11,0)))))</f>
        <v>0</v>
      </c>
      <c r="BP187" s="236" t="n">
        <f aca="false" t="array" ref="BP187:BP187">IF(BP186=0,0,IF(BP186/'🎚️ Escenario'!$C$11&gt;=36,$AL$23,INDEX($C$23:$AL$23,MAX(1,ROUNDUP(BP186/'🎚️ Escenario'!$C$11,0)))))</f>
        <v>0</v>
      </c>
      <c r="BQ187" s="236" t="n">
        <f aca="false" t="array" ref="BQ187:BQ187">IF(BQ186=0,0,IF(BQ186/'🎚️ Escenario'!$C$11&gt;=36,$AL$23,INDEX($C$23:$AL$23,MAX(1,ROUNDUP(BQ186/'🎚️ Escenario'!$C$11,0)))))</f>
        <v>0</v>
      </c>
      <c r="BR187" s="236" t="n">
        <f aca="false" t="array" ref="BR187:BR187">IF(BR186=0,0,IF(BR186/'🎚️ Escenario'!$C$11&gt;=36,$AL$23,INDEX($C$23:$AL$23,MAX(1,ROUNDUP(BR186/'🎚️ Escenario'!$C$11,0)))))</f>
        <v>0</v>
      </c>
      <c r="BS187" s="236" t="n">
        <f aca="false" t="array" ref="BS187:BS187">IF(BS186=0,0,IF(BS186/'🎚️ Escenario'!$C$11&gt;=36,$AL$23,INDEX($C$23:$AL$23,MAX(1,ROUNDUP(BS186/'🎚️ Escenario'!$C$11,0)))))</f>
        <v>0</v>
      </c>
      <c r="BT187" s="236" t="n">
        <f aca="false" t="array" ref="BT187:BT187">IF(BT186=0,0,IF(BT186/'🎚️ Escenario'!$C$11&gt;=36,$AL$23,INDEX($C$23:$AL$23,MAX(1,ROUNDUP(BT186/'🎚️ Escenario'!$C$11,0)))))</f>
        <v>0</v>
      </c>
      <c r="BU187" s="236" t="n">
        <f aca="false" t="array" ref="BU187:BU187">IF(BU186=0,0,IF(BU186/'🎚️ Escenario'!$C$11&gt;=36,$AL$23,INDEX($C$23:$AL$23,MAX(1,ROUNDUP(BU186/'🎚️ Escenario'!$C$11,0)))))</f>
        <v>0.2</v>
      </c>
      <c r="BV187" s="236" t="n">
        <f aca="false" t="array" ref="BV187:BV187">IF(BV186=0,0,IF(BV186/'🎚️ Escenario'!$C$11&gt;=36,$AL$23,INDEX($C$23:$AL$23,MAX(1,ROUNDUP(BV186/'🎚️ Escenario'!$C$11,0)))))</f>
        <v>0.22</v>
      </c>
      <c r="BW187" s="236" t="n">
        <f aca="false" t="array" ref="BW187:BW187">IF(BW186=0,0,IF(BW186/'🎚️ Escenario'!$C$11&gt;=36,$AL$23,INDEX($C$23:$AL$23,MAX(1,ROUNDUP(BW186/'🎚️ Escenario'!$C$11,0)))))</f>
        <v>0.24</v>
      </c>
      <c r="BX187" s="236" t="n">
        <f aca="false" t="array" ref="BX187:BX187">IF(BX186=0,0,IF(BX186/'🎚️ Escenario'!$C$11&gt;=36,$AL$23,INDEX($C$23:$AL$23,MAX(1,ROUNDUP(BX186/'🎚️ Escenario'!$C$11,0)))))</f>
        <v>0.27</v>
      </c>
      <c r="BY187" s="236" t="n">
        <f aca="false" t="array" ref="BY187:BY187">IF(BY186=0,0,IF(BY186/'🎚️ Escenario'!$C$11&gt;=36,$AL$23,INDEX($C$23:$AL$23,MAX(1,ROUNDUP(BY186/'🎚️ Escenario'!$C$11,0)))))</f>
        <v>0.27</v>
      </c>
      <c r="BZ187" s="236" t="n">
        <f aca="false" t="array" ref="BZ187:BZ187">IF(BZ186=0,0,IF(BZ186/'🎚️ Escenario'!$C$11&gt;=36,$AL$23,INDEX($C$23:$AL$23,MAX(1,ROUNDUP(BZ186/'🎚️ Escenario'!$C$11,0)))))</f>
        <v>0.31</v>
      </c>
      <c r="CA187" s="236" t="n">
        <f aca="false" t="array" ref="CA187:CA187">IF(CA186=0,0,IF(CA186/'🎚️ Escenario'!$C$11&gt;=36,$AL$23,INDEX($C$23:$AL$23,MAX(1,ROUNDUP(CA186/'🎚️ Escenario'!$C$11,0)))))</f>
        <v>0.35</v>
      </c>
      <c r="CB187" s="236" t="n">
        <f aca="false" t="array" ref="CB187:CB187">IF(CB186=0,0,IF(CB186/'🎚️ Escenario'!$C$11&gt;=36,$AL$23,INDEX($C$23:$AL$23,MAX(1,ROUNDUP(CB186/'🎚️ Escenario'!$C$11,0)))))</f>
        <v>0.39</v>
      </c>
      <c r="CC187" s="236" t="n">
        <f aca="false" t="array" ref="CC187:CC187">IF(CC186=0,0,IF(CC186/'🎚️ Escenario'!$C$11&gt;=36,$AL$23,INDEX($C$23:$AL$23,MAX(1,ROUNDUP(CC186/'🎚️ Escenario'!$C$11,0)))))</f>
        <v>0.44</v>
      </c>
      <c r="CD187" s="236" t="n">
        <f aca="false" t="array" ref="CD187:CD187">IF(CD186=0,0,IF(CD186/'🎚️ Escenario'!$C$11&gt;=36,$AL$23,INDEX($C$23:$AL$23,MAX(1,ROUNDUP(CD186/'🎚️ Escenario'!$C$11,0)))))</f>
        <v>0.44</v>
      </c>
      <c r="CE187" s="236" t="n">
        <f aca="false" t="array" ref="CE187:CE187">IF(CE186=0,0,IF(CE186/'🎚️ Escenario'!$C$11&gt;=36,$AL$23,INDEX($C$23:$AL$23,MAX(1,ROUNDUP(CE186/'🎚️ Escenario'!$C$11,0)))))</f>
        <v>0.48</v>
      </c>
      <c r="CF187" s="236" t="n">
        <f aca="false" t="array" ref="CF187:CF187">IF(CF186=0,0,IF(CF186/'🎚️ Escenario'!$C$11&gt;=36,$AL$23,INDEX($C$23:$AL$23,MAX(1,ROUNDUP(CF186/'🎚️ Escenario'!$C$11,0)))))</f>
        <v>0.52</v>
      </c>
      <c r="CG187" s="236" t="n">
        <f aca="false" t="array" ref="CG187:CG187">IF(CG186=0,0,IF(CG186/'🎚️ Escenario'!$C$11&gt;=36,$AL$23,INDEX($C$23:$AL$23,MAX(1,ROUNDUP(CG186/'🎚️ Escenario'!$C$11,0)))))</f>
        <v>0.56</v>
      </c>
      <c r="CH187" s="236" t="n">
        <f aca="false" t="array" ref="CH187:CH187">IF(CH186=0,0,IF(CH186/'🎚️ Escenario'!$C$11&gt;=36,$AL$23,INDEX($C$23:$AL$23,MAX(1,ROUNDUP(CH186/'🎚️ Escenario'!$C$11,0)))))</f>
        <v>0.6</v>
      </c>
      <c r="CI187" s="236" t="n">
        <f aca="false" t="array" ref="CI187:CI187">IF(CI186=0,0,IF(CI186/'🎚️ Escenario'!$C$11&gt;=36,$AL$23,INDEX($C$23:$AL$23,MAX(1,ROUNDUP(CI186/'🎚️ Escenario'!$C$11,0)))))</f>
        <v>0.6</v>
      </c>
      <c r="CJ187" s="236" t="n">
        <f aca="false" t="array" ref="CJ187:CJ187">IF(CJ186=0,0,IF(CJ186/'🎚️ Escenario'!$C$11&gt;=36,$AL$23,INDEX($C$23:$AL$23,MAX(1,ROUNDUP(CJ186/'🎚️ Escenario'!$C$11,0)))))</f>
        <v>0.63</v>
      </c>
      <c r="CK187" s="236" t="n">
        <f aca="false" t="array" ref="CK187:CK187">IF(CK186=0,0,IF(CK186/'🎚️ Escenario'!$C$11&gt;=36,$AL$23,INDEX($C$23:$AL$23,MAX(1,ROUNDUP(CK186/'🎚️ Escenario'!$C$11,0)))))</f>
        <v>0.66</v>
      </c>
      <c r="CL187" s="236" t="n">
        <f aca="false" t="array" ref="CL187:CL187">IF(CL186=0,0,IF(CL186/'🎚️ Escenario'!$C$11&gt;=36,$AL$23,INDEX($C$23:$AL$23,MAX(1,ROUNDUP(CL186/'🎚️ Escenario'!$C$11,0)))))</f>
        <v>0.69</v>
      </c>
      <c r="CM187" s="236" t="n">
        <f aca="false" t="array" ref="CM187:CM187">IF(CM186=0,0,IF(CM186/'🎚️ Escenario'!$C$11&gt;=36,$AL$23,INDEX($C$23:$AL$23,MAX(1,ROUNDUP(CM186/'🎚️ Escenario'!$C$11,0)))))</f>
        <v>0.71</v>
      </c>
      <c r="CN187" s="236" t="n">
        <f aca="false" t="array" ref="CN187:CN187">IF(CN186=0,0,IF(CN186/'🎚️ Escenario'!$C$11&gt;=36,$AL$23,INDEX($C$23:$AL$23,MAX(1,ROUNDUP(CN186/'🎚️ Escenario'!$C$11,0)))))</f>
        <v>0.71</v>
      </c>
      <c r="CO187" s="236" t="n">
        <f aca="false" t="array" ref="CO187:CO187">IF(CO186=0,0,IF(CO186/'🎚️ Escenario'!$C$11&gt;=36,$AL$23,INDEX($C$23:$AL$23,MAX(1,ROUNDUP(CO186/'🎚️ Escenario'!$C$11,0)))))</f>
        <v>0.73</v>
      </c>
      <c r="CP187" s="236" t="n">
        <f aca="false" t="array" ref="CP187:CP187">IF(CP186=0,0,IF(CP186/'🎚️ Escenario'!$C$11&gt;=36,$AL$23,INDEX($C$23:$AL$23,MAX(1,ROUNDUP(CP186/'🎚️ Escenario'!$C$11,0)))))</f>
        <v>0.75</v>
      </c>
      <c r="CQ187" s="236" t="n">
        <f aca="false" t="array" ref="CQ187:CQ187">IF(CQ186=0,0,IF(CQ186/'🎚️ Escenario'!$C$11&gt;=36,$AL$23,INDEX($C$23:$AL$23,MAX(1,ROUNDUP(CQ186/'🎚️ Escenario'!$C$11,0)))))</f>
        <v>0.77</v>
      </c>
      <c r="CR187" s="236" t="n">
        <f aca="false" t="array" ref="CR187:CR187">IF(CR186=0,0,IF(CR186/'🎚️ Escenario'!$C$11&gt;=36,$AL$23,INDEX($C$23:$AL$23,MAX(1,ROUNDUP(CR186/'🎚️ Escenario'!$C$11,0)))))</f>
        <v>0.79</v>
      </c>
      <c r="CS187" s="236" t="n">
        <f aca="false" t="array" ref="CS187:CS187">IF(CS186=0,0,IF(CS186/'🎚️ Escenario'!$C$11&gt;=36,$AL$23,INDEX($C$23:$AL$23,MAX(1,ROUNDUP(CS186/'🎚️ Escenario'!$C$11,0)))))</f>
        <v>0.79</v>
      </c>
      <c r="CT187" s="236" t="n">
        <f aca="false" t="array" ref="CT187:CT187">IF(CT186=0,0,IF(CT186/'🎚️ Escenario'!$C$11&gt;=36,$AL$23,INDEX($C$23:$AL$23,MAX(1,ROUNDUP(CT186/'🎚️ Escenario'!$C$11,0)))))</f>
        <v>0.8</v>
      </c>
      <c r="CU187" s="236" t="n">
        <f aca="false" t="array" ref="CU187:CU187">IF(CU186=0,0,IF(CU186/'🎚️ Escenario'!$C$11&gt;=36,$AL$23,INDEX($C$23:$AL$23,MAX(1,ROUNDUP(CU186/'🎚️ Escenario'!$C$11,0)))))</f>
        <v>0.82</v>
      </c>
      <c r="CV187" s="236" t="n">
        <f aca="false" t="array" ref="CV187:CV187">IF(CV186=0,0,IF(CV186/'🎚️ Escenario'!$C$11&gt;=36,$AL$23,INDEX($C$23:$AL$23,MAX(1,ROUNDUP(CV186/'🎚️ Escenario'!$C$11,0)))))</f>
        <v>0.84</v>
      </c>
      <c r="CW187" s="236" t="n">
        <f aca="false" t="array" ref="CW187:CW187">IF(CW186=0,0,IF(CW186/'🎚️ Escenario'!$C$11&gt;=36,$AL$23,INDEX($C$23:$AL$23,MAX(1,ROUNDUP(CW186/'🎚️ Escenario'!$C$11,0)))))</f>
        <v>0.85</v>
      </c>
      <c r="CX187" s="236" t="n">
        <f aca="false" t="array" ref="CX187:CX187">IF(CX186=0,0,IF(CX186/'🎚️ Escenario'!$C$11&gt;=36,$AL$23,INDEX($C$23:$AL$23,MAX(1,ROUNDUP(CX186/'🎚️ Escenario'!$C$11,0)))))</f>
        <v>0.85</v>
      </c>
      <c r="CY187" s="236" t="n">
        <f aca="false" t="array" ref="CY187:CY187">IF(CY186=0,0,IF(CY186/'🎚️ Escenario'!$C$11&gt;=36,$AL$23,INDEX($C$23:$AL$23,MAX(1,ROUNDUP(CY186/'🎚️ Escenario'!$C$11,0)))))</f>
        <v>0.86</v>
      </c>
      <c r="CZ187" s="236" t="n">
        <f aca="false" t="array" ref="CZ187:CZ187">IF(CZ186=0,0,IF(CZ186/'🎚️ Escenario'!$C$11&gt;=36,$AL$23,INDEX($C$23:$AL$23,MAX(1,ROUNDUP(CZ186/'🎚️ Escenario'!$C$11,0)))))</f>
        <v>0.88</v>
      </c>
      <c r="DA187" s="236" t="n">
        <f aca="false" t="array" ref="DA187:DA187">IF(DA186=0,0,IF(DA186/'🎚️ Escenario'!$C$11&gt;=36,$AL$23,INDEX($C$23:$AL$23,MAX(1,ROUNDUP(DA186/'🎚️ Escenario'!$C$11,0)))))</f>
        <v>0.89</v>
      </c>
      <c r="DB187" s="236" t="n">
        <f aca="false" t="array" ref="DB187:DB187">IF(DB186=0,0,IF(DB186/'🎚️ Escenario'!$C$11&gt;=36,$AL$23,INDEX($C$23:$AL$23,MAX(1,ROUNDUP(DB186/'🎚️ Escenario'!$C$11,0)))))</f>
        <v>0.9</v>
      </c>
      <c r="DC187" s="236" t="n">
        <f aca="false" t="array" ref="DC187:DC187">IF(DC186=0,0,IF(DC186/'🎚️ Escenario'!$C$11&gt;=36,$AL$23,INDEX($C$23:$AL$23,MAX(1,ROUNDUP(DC186/'🎚️ Escenario'!$C$11,0)))))</f>
        <v>0.9</v>
      </c>
      <c r="DD187" s="236" t="n">
        <f aca="false" t="array" ref="DD187:DD187">IF(DD186=0,0,IF(DD186/'🎚️ Escenario'!$C$11&gt;=36,$AL$23,INDEX($C$23:$AL$23,MAX(1,ROUNDUP(DD186/'🎚️ Escenario'!$C$11,0)))))</f>
        <v>0.92</v>
      </c>
      <c r="DE187" s="236" t="n">
        <f aca="false" t="array" ref="DE187:DE187">IF(DE186=0,0,IF(DE186/'🎚️ Escenario'!$C$11&gt;=36,$AL$23,INDEX($C$23:$AL$23,MAX(1,ROUNDUP(DE186/'🎚️ Escenario'!$C$11,0)))))</f>
        <v>0.93</v>
      </c>
      <c r="DF187" s="236" t="n">
        <f aca="false" t="array" ref="DF187:DF187">IF(DF186=0,0,IF(DF186/'🎚️ Escenario'!$C$11&gt;=36,$AL$23,INDEX($C$23:$AL$23,MAX(1,ROUNDUP(DF186/'🎚️ Escenario'!$C$11,0)))))</f>
        <v>0.94</v>
      </c>
      <c r="DG187" s="236" t="n">
        <f aca="false" t="array" ref="DG187:DG187">IF(DG186=0,0,IF(DG186/'🎚️ Escenario'!$C$11&gt;=36,$AL$23,INDEX($C$23:$AL$23,MAX(1,ROUNDUP(DG186/'🎚️ Escenario'!$C$11,0)))))</f>
        <v>0.95</v>
      </c>
      <c r="DH187" s="236" t="n">
        <f aca="false" t="array" ref="DH187:DH187">IF(DH186=0,0,IF(DH186/'🎚️ Escenario'!$C$11&gt;=36,$AL$23,INDEX($C$23:$AL$23,MAX(1,ROUNDUP(DH186/'🎚️ Escenario'!$C$11,0)))))</f>
        <v>0.95</v>
      </c>
      <c r="DI187" s="236" t="n">
        <f aca="false" t="array" ref="DI187:DI187">IF(DI186=0,0,IF(DI186/'🎚️ Escenario'!$C$11&gt;=36,$AL$23,INDEX($C$23:$AL$23,MAX(1,ROUNDUP(DI186/'🎚️ Escenario'!$C$11,0)))))</f>
        <v>0.97</v>
      </c>
      <c r="DJ187" s="236" t="n">
        <f aca="false" t="array" ref="DJ187:DJ187">IF(DJ186=0,0,IF(DJ186/'🎚️ Escenario'!$C$11&gt;=36,$AL$23,INDEX($C$23:$AL$23,MAX(1,ROUNDUP(DJ186/'🎚️ Escenario'!$C$11,0)))))</f>
        <v>0.98</v>
      </c>
      <c r="DK187" s="236" t="n">
        <f aca="false" t="array" ref="DK187:DK187">IF(DK186=0,0,IF(DK186/'🎚️ Escenario'!$C$11&gt;=36,$AL$23,INDEX($C$23:$AL$23,MAX(1,ROUNDUP(DK186/'🎚️ Escenario'!$C$11,0)))))</f>
        <v>0.99</v>
      </c>
      <c r="DL187" s="236" t="n">
        <f aca="false" t="array" ref="DL187:DL187">IF(DL186=0,0,IF(DL186/'🎚️ Escenario'!$C$11&gt;=36,$AL$23,INDEX($C$23:$AL$23,MAX(1,ROUNDUP(DL186/'🎚️ Escenario'!$C$11,0)))))</f>
        <v>1</v>
      </c>
      <c r="DM187" s="236" t="n">
        <f aca="false" t="array" ref="DM187:DM187">IF(DM186=0,0,IF(DM186/'🎚️ Escenario'!$C$11&gt;=36,$AL$23,INDEX($C$23:$AL$23,MAX(1,ROUNDUP(DM186/'🎚️ Escenario'!$C$11,0)))))</f>
        <v>1</v>
      </c>
      <c r="DN187" s="236" t="n">
        <f aca="false" t="array" ref="DN187:DN187">IF(DN186=0,0,IF(DN186/'🎚️ Escenario'!$C$11&gt;=36,$AL$23,INDEX($C$23:$AL$23,MAX(1,ROUNDUP(DN186/'🎚️ Escenario'!$C$11,0)))))</f>
        <v>1</v>
      </c>
      <c r="DO187" s="236" t="n">
        <f aca="false" t="array" ref="DO187:DO187">IF(DO186=0,0,IF(DO186/'🎚️ Escenario'!$C$11&gt;=36,$AL$23,INDEX($C$23:$AL$23,MAX(1,ROUNDUP(DO186/'🎚️ Escenario'!$C$11,0)))))</f>
        <v>1</v>
      </c>
      <c r="DP187" s="236" t="n">
        <f aca="false" t="array" ref="DP187:DP187">IF(DP186=0,0,IF(DP186/'🎚️ Escenario'!$C$11&gt;=36,$AL$23,INDEX($C$23:$AL$23,MAX(1,ROUNDUP(DP186/'🎚️ Escenario'!$C$11,0)))))</f>
        <v>1</v>
      </c>
      <c r="DQ187" s="236" t="n">
        <f aca="false" t="array" ref="DQ187:DQ187">IF(DQ186=0,0,IF(DQ186/'🎚️ Escenario'!$C$11&gt;=36,$AL$23,INDEX($C$23:$AL$23,MAX(1,ROUNDUP(DQ186/'🎚️ Escenario'!$C$11,0)))))</f>
        <v>1</v>
      </c>
      <c r="DR187" s="236" t="n">
        <f aca="false" t="array" ref="DR187:DR187">IF(DR186=0,0,IF(DR186/'🎚️ Escenario'!$C$11&gt;=36,$AL$23,INDEX($C$23:$AL$23,MAX(1,ROUNDUP(DR186/'🎚️ Escenario'!$C$11,0)))))</f>
        <v>1</v>
      </c>
      <c r="DS187" s="236" t="n">
        <f aca="false" t="array" ref="DS187:DS187">IF(DS186=0,0,IF(DS186/'🎚️ Escenario'!$C$11&gt;=36,$AL$23,INDEX($C$23:$AL$23,MAX(1,ROUNDUP(DS186/'🎚️ Escenario'!$C$11,0)))))</f>
        <v>1</v>
      </c>
      <c r="DT187" s="236" t="n">
        <f aca="false" t="array" ref="DT187:DT187">IF(DT186=0,0,IF(DT186/'🎚️ Escenario'!$C$11&gt;=36,$AL$23,INDEX($C$23:$AL$23,MAX(1,ROUNDUP(DT186/'🎚️ Escenario'!$C$11,0)))))</f>
        <v>1</v>
      </c>
      <c r="DU187" s="236" t="n">
        <f aca="false" t="array" ref="DU187:DU187">IF(DU186=0,0,IF(DU186/'🎚️ Escenario'!$C$11&gt;=36,$AL$23,INDEX($C$23:$AL$23,MAX(1,ROUNDUP(DU186/'🎚️ Escenario'!$C$11,0)))))</f>
        <v>1</v>
      </c>
      <c r="DV187" s="236" t="n">
        <f aca="false" t="array" ref="DV187:DV187">IF(DV186=0,0,IF(DV186/'🎚️ Escenario'!$C$11&gt;=36,$AL$23,INDEX($C$23:$AL$23,MAX(1,ROUNDUP(DV186/'🎚️ Escenario'!$C$11,0)))))</f>
        <v>1</v>
      </c>
      <c r="DW187" s="236" t="n">
        <f aca="false" t="array" ref="DW187:DW187">IF(DW186=0,0,IF(DW186/'🎚️ Escenario'!$C$11&gt;=36,$AL$23,INDEX($C$23:$AL$23,MAX(1,ROUNDUP(DW186/'🎚️ Escenario'!$C$11,0)))))</f>
        <v>1</v>
      </c>
      <c r="DX187" s="236" t="n">
        <f aca="false" t="array" ref="DX187:DX187">IF(DX186=0,0,IF(DX186/'🎚️ Escenario'!$C$11&gt;=36,$AL$23,INDEX($C$23:$AL$23,MAX(1,ROUNDUP(DX186/'🎚️ Escenario'!$C$11,0)))))</f>
        <v>1</v>
      </c>
      <c r="DY187" s="236" t="n">
        <f aca="false" t="array" ref="DY187:DY187">IF(DY186=0,0,IF(DY186/'🎚️ Escenario'!$C$11&gt;=36,$AL$23,INDEX($C$23:$AL$23,MAX(1,ROUNDUP(DY186/'🎚️ Escenario'!$C$11,0)))))</f>
        <v>1</v>
      </c>
      <c r="DZ187" s="236" t="n">
        <f aca="false" t="array" ref="DZ187:DZ187">IF(DZ186=0,0,IF(DZ186/'🎚️ Escenario'!$C$11&gt;=36,$AL$23,INDEX($C$23:$AL$23,MAX(1,ROUNDUP(DZ186/'🎚️ Escenario'!$C$11,0)))))</f>
        <v>1</v>
      </c>
      <c r="EA187" s="236" t="n">
        <f aca="false" t="array" ref="EA187:EA187">IF(EA186=0,0,IF(EA186/'🎚️ Escenario'!$C$11&gt;=36,$AL$23,INDEX($C$23:$AL$23,MAX(1,ROUNDUP(EA186/'🎚️ Escenario'!$C$11,0)))))</f>
        <v>1</v>
      </c>
      <c r="EB187" s="236" t="n">
        <f aca="false" t="array" ref="EB187:EB187">IF(EB186=0,0,IF(EB186/'🎚️ Escenario'!$C$11&gt;=36,$AL$23,INDEX($C$23:$AL$23,MAX(1,ROUNDUP(EB186/'🎚️ Escenario'!$C$11,0)))))</f>
        <v>1</v>
      </c>
      <c r="EC187" s="236" t="n">
        <f aca="false" t="array" ref="EC187:EC187">IF(EC186=0,0,IF(EC186/'🎚️ Escenario'!$C$11&gt;=36,$AL$23,INDEX($C$23:$AL$23,MAX(1,ROUNDUP(EC186/'🎚️ Escenario'!$C$11,0)))))</f>
        <v>1</v>
      </c>
      <c r="ED187" s="236" t="n">
        <f aca="false" t="array" ref="ED187:ED187">IF(ED186=0,0,IF(ED186/'🎚️ Escenario'!$C$11&gt;=36,$AL$23,INDEX($C$23:$AL$23,MAX(1,ROUNDUP(ED186/'🎚️ Escenario'!$C$11,0)))))</f>
        <v>1</v>
      </c>
      <c r="EE187" s="236" t="n">
        <f aca="false" t="array" ref="EE187:EE187">IF(EE186=0,0,IF(EE186/'🎚️ Escenario'!$C$11&gt;=36,$AL$23,INDEX($C$23:$AL$23,MAX(1,ROUNDUP(EE186/'🎚️ Escenario'!$C$11,0)))))</f>
        <v>1</v>
      </c>
      <c r="EF187" s="236" t="n">
        <f aca="false" t="array" ref="EF187:EF187">IF(EF186=0,0,IF(EF186/'🎚️ Escenario'!$C$11&gt;=36,$AL$23,INDEX($C$23:$AL$23,MAX(1,ROUNDUP(EF186/'🎚️ Escenario'!$C$11,0)))))</f>
        <v>1</v>
      </c>
      <c r="EG187" s="236" t="n">
        <f aca="false" t="array" ref="EG187:EG187">IF(EG186=0,0,IF(EG186/'🎚️ Escenario'!$C$11&gt;=36,$AL$23,INDEX($C$23:$AL$23,MAX(1,ROUNDUP(EG186/'🎚️ Escenario'!$C$11,0)))))</f>
        <v>1</v>
      </c>
      <c r="EH187" s="236" t="n">
        <f aca="false" t="array" ref="EH187:EH187">IF(EH186=0,0,IF(EH186/'🎚️ Escenario'!$C$11&gt;=36,$AL$23,INDEX($C$23:$AL$23,MAX(1,ROUNDUP(EH186/'🎚️ Escenario'!$C$11,0)))))</f>
        <v>1</v>
      </c>
      <c r="EI187" s="236" t="n">
        <f aca="false" t="array" ref="EI187:EI187">IF(EI186=0,0,IF(EI186/'🎚️ Escenario'!$C$11&gt;=36,$AL$23,INDEX($C$23:$AL$23,MAX(1,ROUNDUP(EI186/'🎚️ Escenario'!$C$11,0)))))</f>
        <v>1</v>
      </c>
      <c r="EJ187" s="236" t="n">
        <f aca="false" t="array" ref="EJ187:EJ187">IF(EJ186=0,0,IF(EJ186/'🎚️ Escenario'!$C$11&gt;=36,$AL$23,INDEX($C$23:$AL$23,MAX(1,ROUNDUP(EJ186/'🎚️ Escenario'!$C$11,0)))))</f>
        <v>1</v>
      </c>
      <c r="EK187" s="236" t="n">
        <f aca="false" t="array" ref="EK187:EK187">IF(EK186=0,0,IF(EK186/'🎚️ Escenario'!$C$11&gt;=36,$AL$23,INDEX($C$23:$AL$23,MAX(1,ROUNDUP(EK186/'🎚️ Escenario'!$C$11,0)))))</f>
        <v>1</v>
      </c>
      <c r="EL187" s="236" t="n">
        <f aca="false" t="array" ref="EL187:EL187">IF(EL186=0,0,IF(EL186/'🎚️ Escenario'!$C$11&gt;=36,$AL$23,INDEX($C$23:$AL$23,MAX(1,ROUNDUP(EL186/'🎚️ Escenario'!$C$11,0)))))</f>
        <v>1</v>
      </c>
      <c r="EM187" s="236" t="n">
        <f aca="false" t="array" ref="EM187:EM187">IF(EM186=0,0,IF(EM186/'🎚️ Escenario'!$C$11&gt;=36,$AL$23,INDEX($C$23:$AL$23,MAX(1,ROUNDUP(EM186/'🎚️ Escenario'!$C$11,0)))))</f>
        <v>1</v>
      </c>
      <c r="EN187" s="236" t="n">
        <f aca="false" t="array" ref="EN187:EN187">IF(EN186=0,0,IF(EN186/'🎚️ Escenario'!$C$11&gt;=36,$AL$23,INDEX($C$23:$AL$23,MAX(1,ROUNDUP(EN186/'🎚️ Escenario'!$C$11,0)))))</f>
        <v>1</v>
      </c>
      <c r="EO187" s="236" t="n">
        <f aca="false" t="array" ref="EO187:EO187">IF(EO186=0,0,IF(EO186/'🎚️ Escenario'!$C$11&gt;=36,$AL$23,INDEX($C$23:$AL$23,MAX(1,ROUNDUP(EO186/'🎚️ Escenario'!$C$11,0)))))</f>
        <v>1</v>
      </c>
      <c r="EP187" s="236" t="n">
        <f aca="false" t="array" ref="EP187:EP187">IF(EP186=0,0,IF(EP186/'🎚️ Escenario'!$C$11&gt;=36,$AL$23,INDEX($C$23:$AL$23,MAX(1,ROUNDUP(EP186/'🎚️ Escenario'!$C$11,0)))))</f>
        <v>1</v>
      </c>
      <c r="EQ187" s="236" t="n">
        <f aca="false" t="array" ref="EQ187:EQ187">IF(EQ186=0,0,IF(EQ186/'🎚️ Escenario'!$C$11&gt;=36,$AL$23,INDEX($C$23:$AL$23,MAX(1,ROUNDUP(EQ186/'🎚️ Escenario'!$C$11,0)))))</f>
        <v>1</v>
      </c>
      <c r="ER187" s="236" t="n">
        <f aca="false" t="array" ref="ER187:ER187">IF(ER186=0,0,IF(ER186/'🎚️ Escenario'!$C$11&gt;=36,$AL$23,INDEX($C$23:$AL$23,MAX(1,ROUNDUP(ER186/'🎚️ Escenario'!$C$11,0)))))</f>
        <v>1</v>
      </c>
      <c r="ES187" s="9" t="n">
        <f aca="false" t="array" ref="ES187:ES187">IF(ES186=0,0,IF(ES186/'🎚️ Escenario'!$C$11&gt;=36,$AL$23,INDEX($C$23:$AL$23,MAX(1,ROUNDUP(ES186/'🎚️ Escenario'!$C$11,0)))))</f>
        <v>1</v>
      </c>
      <c r="ET187" s="9" t="n">
        <f aca="false" t="array" ref="ET187:ET187">IF(ET186=0,0,IF(ET186/'🎚️ Escenario'!$C$11&gt;=36,$AL$23,INDEX($C$23:$AL$23,MAX(1,ROUNDUP(ET186/'🎚️ Escenario'!$C$11,0)))))</f>
        <v>1</v>
      </c>
      <c r="EU187" s="9" t="n">
        <f aca="false" t="array" ref="EU187:EU187">IF(EU186=0,0,IF(EU186/'🎚️ Escenario'!$C$11&gt;=36,$AL$23,INDEX($C$23:$AL$23,MAX(1,ROUNDUP(EU186/'🎚️ Escenario'!$C$11,0)))))</f>
        <v>1</v>
      </c>
      <c r="EV187" s="9" t="n">
        <f aca="false" t="array" ref="EV187:EV187">IF(EV186=0,0,IF(EV186/'🎚️ Escenario'!$C$11&gt;=36,$AL$23,INDEX($C$23:$AL$23,MAX(1,ROUNDUP(EV186/'🎚️ Escenario'!$C$11,0)))))</f>
        <v>1</v>
      </c>
      <c r="EW187" s="9" t="n">
        <f aca="false" t="array" ref="EW187:EW187">IF(EW186=0,0,IF(EW186/'🎚️ Escenario'!$C$11&gt;=36,$AL$23,INDEX($C$23:$AL$23,MAX(1,ROUNDUP(EW186/'🎚️ Escenario'!$C$11,0)))))</f>
        <v>1</v>
      </c>
      <c r="EX187" s="9" t="n">
        <f aca="false" t="array" ref="EX187:EX187">IF(EX186=0,0,IF(EX186/'🎚️ Escenario'!$C$11&gt;=36,$AL$23,INDEX($C$23:$AL$23,MAX(1,ROUNDUP(EX186/'🎚️ Escenario'!$C$11,0)))))</f>
        <v>1</v>
      </c>
      <c r="EY187" s="9" t="n">
        <f aca="false" t="array" ref="EY187:EY187">IF(EY186=0,0,IF(EY186/'🎚️ Escenario'!$C$11&gt;=36,$AL$23,INDEX($C$23:$AL$23,MAX(1,ROUNDUP(EY186/'🎚️ Escenario'!$C$11,0)))))</f>
        <v>1</v>
      </c>
      <c r="EZ187" s="9" t="n">
        <f aca="false" t="array" ref="EZ187:EZ187">IF(EZ186=0,0,IF(EZ186/'🎚️ Escenario'!$C$11&gt;=36,$AL$23,INDEX($C$23:$AL$23,MAX(1,ROUNDUP(EZ186/'🎚️ Escenario'!$C$11,0)))))</f>
        <v>1</v>
      </c>
      <c r="FA187" s="9" t="n">
        <f aca="false" t="array" ref="FA187:FA187">IF(FA186=0,0,IF(FA186/'🎚️ Escenario'!$C$11&gt;=36,$AL$23,INDEX($C$23:$AL$23,MAX(1,ROUNDUP(FA186/'🎚️ Escenario'!$C$11,0)))))</f>
        <v>1</v>
      </c>
      <c r="FB187" s="9" t="n">
        <f aca="false" t="array" ref="FB187:FB187">IF(FB186=0,0,IF(FB186/'🎚️ Escenario'!$C$11&gt;=36,$AL$23,INDEX($C$23:$AL$23,MAX(1,ROUNDUP(FB186/'🎚️ Escenario'!$C$11,0)))))</f>
        <v>1</v>
      </c>
      <c r="FC187" s="9" t="n">
        <f aca="false" t="array" ref="FC187:FC187">IF(FC186=0,0,IF(FC186/'🎚️ Escenario'!$C$11&gt;=36,$AL$23,INDEX($C$23:$AL$23,MAX(1,ROUNDUP(FC186/'🎚️ Escenario'!$C$11,0)))))</f>
        <v>1</v>
      </c>
      <c r="FD187" s="9" t="n">
        <f aca="false" t="array" ref="FD187:FD187">IF(FD186=0,0,IF(FD186/'🎚️ Escenario'!$C$11&gt;=36,$AL$23,INDEX($C$23:$AL$23,MAX(1,ROUNDUP(FD186/'🎚️ Escenario'!$C$11,0)))))</f>
        <v>1</v>
      </c>
      <c r="FE187" s="9" t="n">
        <f aca="false" t="array" ref="FE187:FE187">IF(FE186=0,0,IF(FE186/'🎚️ Escenario'!$C$11&gt;=36,$AL$23,INDEX($C$23:$AL$23,MAX(1,ROUNDUP(FE186/'🎚️ Escenario'!$C$11,0)))))</f>
        <v>1</v>
      </c>
      <c r="FF187" s="9" t="n">
        <f aca="false" t="array" ref="FF187:FF187">IF(FF186=0,0,IF(FF186/'🎚️ Escenario'!$C$11&gt;=36,$AL$23,INDEX($C$23:$AL$23,MAX(1,ROUNDUP(FF186/'🎚️ Escenario'!$C$11,0)))))</f>
        <v>1</v>
      </c>
      <c r="FG187" s="9" t="n">
        <f aca="false" t="array" ref="FG187:FG187">IF(FG186=0,0,IF(FG186/'🎚️ Escenario'!$C$11&gt;=36,$AL$23,INDEX($C$23:$AL$23,MAX(1,ROUNDUP(FG186/'🎚️ Escenario'!$C$11,0)))))</f>
        <v>1</v>
      </c>
      <c r="FH187" s="9" t="n">
        <f aca="false" t="array" ref="FH187:FH187">IF(FH186=0,0,IF(FH186/'🎚️ Escenario'!$C$11&gt;=36,$AL$23,INDEX($C$23:$AL$23,MAX(1,ROUNDUP(FH186/'🎚️ Escenario'!$C$11,0)))))</f>
        <v>1</v>
      </c>
      <c r="FI187" s="9" t="n">
        <f aca="false" t="array" ref="FI187:FI187">IF(FI186=0,0,IF(FI186/'🎚️ Escenario'!$C$11&gt;=36,$AL$23,INDEX($C$23:$AL$23,MAX(1,ROUNDUP(FI186/'🎚️ Escenario'!$C$11,0)))))</f>
        <v>1</v>
      </c>
      <c r="FJ187" s="9" t="n">
        <f aca="false" t="array" ref="FJ187:FJ187">IF(FJ186=0,0,IF(FJ186/'🎚️ Escenario'!$C$11&gt;=36,$AL$23,INDEX($C$23:$AL$23,MAX(1,ROUNDUP(FJ186/'🎚️ Escenario'!$C$11,0)))))</f>
        <v>1</v>
      </c>
      <c r="FK187" s="9" t="n">
        <f aca="false" t="array" ref="FK187:FK187">IF(FK186=0,0,IF(FK186/'🎚️ Escenario'!$C$11&gt;=36,$AL$23,INDEX($C$23:$AL$23,MAX(1,ROUNDUP(FK186/'🎚️ Escenario'!$C$11,0)))))</f>
        <v>1</v>
      </c>
      <c r="FL187" s="9" t="n">
        <f aca="false" t="array" ref="FL187:FL187">IF(FL186=0,0,IF(FL186/'🎚️ Escenario'!$C$11&gt;=36,$AL$23,INDEX($C$23:$AL$23,MAX(1,ROUNDUP(FL186/'🎚️ Escenario'!$C$11,0)))))</f>
        <v>1</v>
      </c>
      <c r="FM187" s="9" t="n">
        <f aca="false" t="array" ref="FM187:FM187">IF(FM186=0,0,IF(FM186/'🎚️ Escenario'!$C$11&gt;=36,$AL$23,INDEX($C$23:$AL$23,MAX(1,ROUNDUP(FM186/'🎚️ Escenario'!$C$11,0)))))</f>
        <v>1</v>
      </c>
      <c r="FN187" s="9" t="n">
        <f aca="false" t="array" ref="FN187:FN187">IF(FN186=0,0,IF(FN186/'🎚️ Escenario'!$C$11&gt;=36,$AL$23,INDEX($C$23:$AL$23,MAX(1,ROUNDUP(FN186/'🎚️ Escenario'!$C$11,0)))))</f>
        <v>1</v>
      </c>
      <c r="FO187" s="9" t="n">
        <f aca="false" t="array" ref="FO187:FO187">IF(FO186=0,0,IF(FO186/'🎚️ Escenario'!$C$11&gt;=36,$AL$23,INDEX($C$23:$AL$23,MAX(1,ROUNDUP(FO186/'🎚️ Escenario'!$C$11,0)))))</f>
        <v>1</v>
      </c>
      <c r="FP187" s="9" t="n">
        <f aca="false" t="array" ref="FP187:FP187">IF(FP186=0,0,IF(FP186/'🎚️ Escenario'!$C$11&gt;=36,$AL$23,INDEX($C$23:$AL$23,MAX(1,ROUNDUP(FP186/'🎚️ Escenario'!$C$11,0)))))</f>
        <v>1</v>
      </c>
    </row>
    <row r="188" customFormat="false" ht="15" hidden="false" customHeight="false" outlineLevel="2" collapsed="false">
      <c r="B188" s="9" t="s">
        <v>875</v>
      </c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237" t="n">
        <f aca="false">IF(AC186=0,0,IF(AC186&lt;=12*'🎚️ Escenario'!$C$11,1,1+$C$6))</f>
        <v>0</v>
      </c>
      <c r="AD188" s="237" t="n">
        <f aca="false">IF(AD186=0,0,IF(AD186&lt;=12*'🎚️ Escenario'!$C$11,1,1+$C$6))</f>
        <v>0</v>
      </c>
      <c r="AE188" s="237" t="n">
        <f aca="false">IF(AE186=0,0,IF(AE186&lt;=12*'🎚️ Escenario'!$C$11,1,1+$C$6))</f>
        <v>0</v>
      </c>
      <c r="AF188" s="237" t="n">
        <f aca="false">IF(AF186=0,0,IF(AF186&lt;=12*'🎚️ Escenario'!$C$11,1,1+$C$6))</f>
        <v>0</v>
      </c>
      <c r="AG188" s="237" t="n">
        <f aca="false">IF(AG186=0,0,IF(AG186&lt;=12*'🎚️ Escenario'!$C$11,1,1+$C$6))</f>
        <v>0</v>
      </c>
      <c r="AH188" s="237" t="n">
        <f aca="false">IF(AH186=0,0,IF(AH186&lt;=12*'🎚️ Escenario'!$C$11,1,1+$C$6))</f>
        <v>0</v>
      </c>
      <c r="AI188" s="237" t="n">
        <f aca="false">IF(AI186=0,0,IF(AI186&lt;=12*'🎚️ Escenario'!$C$11,1,1+$C$6))</f>
        <v>0</v>
      </c>
      <c r="AJ188" s="237" t="n">
        <f aca="false">IF(AJ186=0,0,IF(AJ186&lt;=12*'🎚️ Escenario'!$C$11,1,1+$C$6))</f>
        <v>0</v>
      </c>
      <c r="AK188" s="237" t="n">
        <f aca="false">IF(AK186=0,0,IF(AK186&lt;=12*'🎚️ Escenario'!$C$11,1,1+$C$6))</f>
        <v>0</v>
      </c>
      <c r="AL188" s="237" t="n">
        <f aca="false">IF(AL186=0,0,IF(AL186&lt;=12*'🎚️ Escenario'!$C$11,1,1+$C$6))</f>
        <v>0</v>
      </c>
      <c r="AM188" s="237" t="n">
        <f aca="false">IF(AM186=0,0,IF(AM186&lt;=12*'🎚️ Escenario'!$C$11,1,1+$C$6))</f>
        <v>0</v>
      </c>
      <c r="AN188" s="237" t="n">
        <f aca="false">IF(AN186=0,0,IF(AN186&lt;=12*'🎚️ Escenario'!$C$11,1,1+$C$6))</f>
        <v>0</v>
      </c>
      <c r="AO188" s="237" t="n">
        <f aca="false">IF(AO186=0,0,IF(AO186&lt;=12*'🎚️ Escenario'!$C$11,1,1+$C$6))</f>
        <v>0</v>
      </c>
      <c r="AP188" s="237" t="n">
        <f aca="false">IF(AP186=0,0,IF(AP186&lt;=12*'🎚️ Escenario'!$C$11,1,1+$C$6))</f>
        <v>0</v>
      </c>
      <c r="AQ188" s="237" t="n">
        <f aca="false">IF(AQ186=0,0,IF(AQ186&lt;=12*'🎚️ Escenario'!$C$11,1,1+$C$6))</f>
        <v>0</v>
      </c>
      <c r="AR188" s="237" t="n">
        <f aca="false">IF(AR186=0,0,IF(AR186&lt;=12*'🎚️ Escenario'!$C$11,1,1+$C$6))</f>
        <v>0</v>
      </c>
      <c r="AS188" s="237" t="n">
        <f aca="false">IF(AS186=0,0,IF(AS186&lt;=12*'🎚️ Escenario'!$C$11,1,1+$C$6))</f>
        <v>0</v>
      </c>
      <c r="AT188" s="237" t="n">
        <f aca="false">IF(AT186=0,0,IF(AT186&lt;=12*'🎚️ Escenario'!$C$11,1,1+$C$6))</f>
        <v>0</v>
      </c>
      <c r="AU188" s="237" t="n">
        <f aca="false">IF(AU186=0,0,IF(AU186&lt;=12*'🎚️ Escenario'!$C$11,1,1+$C$6))</f>
        <v>0</v>
      </c>
      <c r="AV188" s="237" t="n">
        <f aca="false">IF(AV186=0,0,IF(AV186&lt;=12*'🎚️ Escenario'!$C$11,1,1+$C$6))</f>
        <v>0</v>
      </c>
      <c r="AW188" s="237" t="n">
        <f aca="false">IF(AW186=0,0,IF(AW186&lt;=12*'🎚️ Escenario'!$C$11,1,1+$C$6))</f>
        <v>0</v>
      </c>
      <c r="AX188" s="237" t="n">
        <f aca="false">IF(AX186=0,0,IF(AX186&lt;=12*'🎚️ Escenario'!$C$11,1,1+$C$6))</f>
        <v>0</v>
      </c>
      <c r="AY188" s="237" t="n">
        <f aca="false">IF(AY186=0,0,IF(AY186&lt;=12*'🎚️ Escenario'!$C$11,1,1+$C$6))</f>
        <v>0</v>
      </c>
      <c r="AZ188" s="237" t="n">
        <f aca="false">IF(AZ186=0,0,IF(AZ186&lt;=12*'🎚️ Escenario'!$C$11,1,1+$C$6))</f>
        <v>0</v>
      </c>
      <c r="BA188" s="237" t="n">
        <f aca="false">IF(BA186=0,0,IF(BA186&lt;=12*'🎚️ Escenario'!$C$11,1,1+$C$6))</f>
        <v>0</v>
      </c>
      <c r="BB188" s="237" t="n">
        <f aca="false">IF(BB186=0,0,IF(BB186&lt;=12*'🎚️ Escenario'!$C$11,1,1+$C$6))</f>
        <v>0</v>
      </c>
      <c r="BC188" s="237" t="n">
        <f aca="false">IF(BC186=0,0,IF(BC186&lt;=12*'🎚️ Escenario'!$C$11,1,1+$C$6))</f>
        <v>0</v>
      </c>
      <c r="BD188" s="237" t="n">
        <f aca="false">IF(BD186=0,0,IF(BD186&lt;=12*'🎚️ Escenario'!$C$11,1,1+$C$6))</f>
        <v>0</v>
      </c>
      <c r="BE188" s="237" t="n">
        <f aca="false">IF(BE186=0,0,IF(BE186&lt;=12*'🎚️ Escenario'!$C$11,1,1+$C$6))</f>
        <v>0</v>
      </c>
      <c r="BF188" s="237" t="n">
        <f aca="false">IF(BF186=0,0,IF(BF186&lt;=12*'🎚️ Escenario'!$C$11,1,1+$C$6))</f>
        <v>0</v>
      </c>
      <c r="BG188" s="237" t="n">
        <f aca="false">IF(BG186=0,0,IF(BG186&lt;=12*'🎚️ Escenario'!$C$11,1,1+$C$6))</f>
        <v>0</v>
      </c>
      <c r="BH188" s="237" t="n">
        <f aca="false">IF(BH186=0,0,IF(BH186&lt;=12*'🎚️ Escenario'!$C$11,1,1+$C$6))</f>
        <v>0</v>
      </c>
      <c r="BI188" s="237" t="n">
        <f aca="false">IF(BI186=0,0,IF(BI186&lt;=12*'🎚️ Escenario'!$C$11,1,1+$C$6))</f>
        <v>0</v>
      </c>
      <c r="BJ188" s="237" t="n">
        <f aca="false">IF(BJ186=0,0,IF(BJ186&lt;=12*'🎚️ Escenario'!$C$11,1,1+$C$6))</f>
        <v>0</v>
      </c>
      <c r="BK188" s="237" t="n">
        <f aca="false">IF(BK186=0,0,IF(BK186&lt;=12*'🎚️ Escenario'!$C$11,1,1+$C$6))</f>
        <v>0</v>
      </c>
      <c r="BL188" s="237" t="n">
        <f aca="false">IF(BL186=0,0,IF(BL186&lt;=12*'🎚️ Escenario'!$C$11,1,1+$C$6))</f>
        <v>0</v>
      </c>
      <c r="BM188" s="237" t="n">
        <f aca="false">IF(BM186=0,0,IF(BM186&lt;=12*'🎚️ Escenario'!$C$11,1,1+$C$6))</f>
        <v>0</v>
      </c>
      <c r="BN188" s="237" t="n">
        <f aca="false">IF(BN186=0,0,IF(BN186&lt;=12*'🎚️ Escenario'!$C$11,1,1+$C$6))</f>
        <v>0</v>
      </c>
      <c r="BO188" s="237" t="n">
        <f aca="false">IF(BO186=0,0,IF(BO186&lt;=12*'🎚️ Escenario'!$C$11,1,1+$C$6))</f>
        <v>0</v>
      </c>
      <c r="BP188" s="237" t="n">
        <f aca="false">IF(BP186=0,0,IF(BP186&lt;=12*'🎚️ Escenario'!$C$11,1,1+$C$6))</f>
        <v>0</v>
      </c>
      <c r="BQ188" s="237" t="n">
        <f aca="false">IF(BQ186=0,0,IF(BQ186&lt;=12*'🎚️ Escenario'!$C$11,1,1+$C$6))</f>
        <v>0</v>
      </c>
      <c r="BR188" s="237" t="n">
        <f aca="false">IF(BR186=0,0,IF(BR186&lt;=12*'🎚️ Escenario'!$C$11,1,1+$C$6))</f>
        <v>0</v>
      </c>
      <c r="BS188" s="237" t="n">
        <f aca="false">IF(BS186=0,0,IF(BS186&lt;=12*'🎚️ Escenario'!$C$11,1,1+$C$6))</f>
        <v>0</v>
      </c>
      <c r="BT188" s="237" t="n">
        <f aca="false">IF(BT186=0,0,IF(BT186&lt;=12*'🎚️ Escenario'!$C$11,1,1+$C$6))</f>
        <v>0</v>
      </c>
      <c r="BU188" s="237" t="n">
        <f aca="false">IF(BU186=0,0,IF(BU186&lt;=12*'🎚️ Escenario'!$C$11,1,1+$C$6))</f>
        <v>1</v>
      </c>
      <c r="BV188" s="237" t="n">
        <f aca="false">IF(BV186=0,0,IF(BV186&lt;=12*'🎚️ Escenario'!$C$11,1,1+$C$6))</f>
        <v>1</v>
      </c>
      <c r="BW188" s="237" t="n">
        <f aca="false">IF(BW186=0,0,IF(BW186&lt;=12*'🎚️ Escenario'!$C$11,1,1+$C$6))</f>
        <v>1</v>
      </c>
      <c r="BX188" s="237" t="n">
        <f aca="false">IF(BX186=0,0,IF(BX186&lt;=12*'🎚️ Escenario'!$C$11,1,1+$C$6))</f>
        <v>1</v>
      </c>
      <c r="BY188" s="237" t="n">
        <f aca="false">IF(BY186=0,0,IF(BY186&lt;=12*'🎚️ Escenario'!$C$11,1,1+$C$6))</f>
        <v>1</v>
      </c>
      <c r="BZ188" s="237" t="n">
        <f aca="false">IF(BZ186=0,0,IF(BZ186&lt;=12*'🎚️ Escenario'!$C$11,1,1+$C$6))</f>
        <v>1</v>
      </c>
      <c r="CA188" s="237" t="n">
        <f aca="false">IF(CA186=0,0,IF(CA186&lt;=12*'🎚️ Escenario'!$C$11,1,1+$C$6))</f>
        <v>1</v>
      </c>
      <c r="CB188" s="237" t="n">
        <f aca="false">IF(CB186=0,0,IF(CB186&lt;=12*'🎚️ Escenario'!$C$11,1,1+$C$6))</f>
        <v>1</v>
      </c>
      <c r="CC188" s="237" t="n">
        <f aca="false">IF(CC186=0,0,IF(CC186&lt;=12*'🎚️ Escenario'!$C$11,1,1+$C$6))</f>
        <v>1</v>
      </c>
      <c r="CD188" s="237" t="n">
        <f aca="false">IF(CD186=0,0,IF(CD186&lt;=12*'🎚️ Escenario'!$C$11,1,1+$C$6))</f>
        <v>1</v>
      </c>
      <c r="CE188" s="237" t="n">
        <f aca="false">IF(CE186=0,0,IF(CE186&lt;=12*'🎚️ Escenario'!$C$11,1,1+$C$6))</f>
        <v>1</v>
      </c>
      <c r="CF188" s="237" t="n">
        <f aca="false">IF(CF186=0,0,IF(CF186&lt;=12*'🎚️ Escenario'!$C$11,1,1+$C$6))</f>
        <v>1</v>
      </c>
      <c r="CG188" s="237" t="n">
        <f aca="false">IF(CG186=0,0,IF(CG186&lt;=12*'🎚️ Escenario'!$C$11,1,1+$C$6))</f>
        <v>1</v>
      </c>
      <c r="CH188" s="237" t="n">
        <f aca="false">IF(CH186=0,0,IF(CH186&lt;=12*'🎚️ Escenario'!$C$11,1,1+$C$6))</f>
        <v>1</v>
      </c>
      <c r="CI188" s="237" t="n">
        <f aca="false">IF(CI186=0,0,IF(CI186&lt;=12*'🎚️ Escenario'!$C$11,1,1+$C$6))</f>
        <v>1</v>
      </c>
      <c r="CJ188" s="237" t="n">
        <f aca="false">IF(CJ186=0,0,IF(CJ186&lt;=12*'🎚️ Escenario'!$C$11,1,1+$C$6))</f>
        <v>1.2</v>
      </c>
      <c r="CK188" s="237" t="n">
        <f aca="false">IF(CK186=0,0,IF(CK186&lt;=12*'🎚️ Escenario'!$C$11,1,1+$C$6))</f>
        <v>1.2</v>
      </c>
      <c r="CL188" s="237" t="n">
        <f aca="false">IF(CL186=0,0,IF(CL186&lt;=12*'🎚️ Escenario'!$C$11,1,1+$C$6))</f>
        <v>1.2</v>
      </c>
      <c r="CM188" s="237" t="n">
        <f aca="false">IF(CM186=0,0,IF(CM186&lt;=12*'🎚️ Escenario'!$C$11,1,1+$C$6))</f>
        <v>1.2</v>
      </c>
      <c r="CN188" s="237" t="n">
        <f aca="false">IF(CN186=0,0,IF(CN186&lt;=12*'🎚️ Escenario'!$C$11,1,1+$C$6))</f>
        <v>1.2</v>
      </c>
      <c r="CO188" s="237" t="n">
        <f aca="false">IF(CO186=0,0,IF(CO186&lt;=12*'🎚️ Escenario'!$C$11,1,1+$C$6))</f>
        <v>1.2</v>
      </c>
      <c r="CP188" s="237" t="n">
        <f aca="false">IF(CP186=0,0,IF(CP186&lt;=12*'🎚️ Escenario'!$C$11,1,1+$C$6))</f>
        <v>1.2</v>
      </c>
      <c r="CQ188" s="237" t="n">
        <f aca="false">IF(CQ186=0,0,IF(CQ186&lt;=12*'🎚️ Escenario'!$C$11,1,1+$C$6))</f>
        <v>1.2</v>
      </c>
      <c r="CR188" s="237" t="n">
        <f aca="false">IF(CR186=0,0,IF(CR186&lt;=12*'🎚️ Escenario'!$C$11,1,1+$C$6))</f>
        <v>1.2</v>
      </c>
      <c r="CS188" s="237" t="n">
        <f aca="false">IF(CS186=0,0,IF(CS186&lt;=12*'🎚️ Escenario'!$C$11,1,1+$C$6))</f>
        <v>1.2</v>
      </c>
      <c r="CT188" s="237" t="n">
        <f aca="false">IF(CT186=0,0,IF(CT186&lt;=12*'🎚️ Escenario'!$C$11,1,1+$C$6))</f>
        <v>1.2</v>
      </c>
      <c r="CU188" s="237" t="n">
        <f aca="false">IF(CU186=0,0,IF(CU186&lt;=12*'🎚️ Escenario'!$C$11,1,1+$C$6))</f>
        <v>1.2</v>
      </c>
      <c r="CV188" s="237" t="n">
        <f aca="false">IF(CV186=0,0,IF(CV186&lt;=12*'🎚️ Escenario'!$C$11,1,1+$C$6))</f>
        <v>1.2</v>
      </c>
      <c r="CW188" s="237" t="n">
        <f aca="false">IF(CW186=0,0,IF(CW186&lt;=12*'🎚️ Escenario'!$C$11,1,1+$C$6))</f>
        <v>1.2</v>
      </c>
      <c r="CX188" s="237" t="n">
        <f aca="false">IF(CX186=0,0,IF(CX186&lt;=12*'🎚️ Escenario'!$C$11,1,1+$C$6))</f>
        <v>1.2</v>
      </c>
      <c r="CY188" s="237" t="n">
        <f aca="false">IF(CY186=0,0,IF(CY186&lt;=12*'🎚️ Escenario'!$C$11,1,1+$C$6))</f>
        <v>1.2</v>
      </c>
      <c r="CZ188" s="237" t="n">
        <f aca="false">IF(CZ186=0,0,IF(CZ186&lt;=12*'🎚️ Escenario'!$C$11,1,1+$C$6))</f>
        <v>1.2</v>
      </c>
      <c r="DA188" s="237" t="n">
        <f aca="false">IF(DA186=0,0,IF(DA186&lt;=12*'🎚️ Escenario'!$C$11,1,1+$C$6))</f>
        <v>1.2</v>
      </c>
      <c r="DB188" s="237" t="n">
        <f aca="false">IF(DB186=0,0,IF(DB186&lt;=12*'🎚️ Escenario'!$C$11,1,1+$C$6))</f>
        <v>1.2</v>
      </c>
      <c r="DC188" s="237" t="n">
        <f aca="false">IF(DC186=0,0,IF(DC186&lt;=12*'🎚️ Escenario'!$C$11,1,1+$C$6))</f>
        <v>1.2</v>
      </c>
      <c r="DD188" s="237" t="n">
        <f aca="false">IF(DD186=0,0,IF(DD186&lt;=12*'🎚️ Escenario'!$C$11,1,1+$C$6))</f>
        <v>1.2</v>
      </c>
      <c r="DE188" s="237" t="n">
        <f aca="false">IF(DE186=0,0,IF(DE186&lt;=12*'🎚️ Escenario'!$C$11,1,1+$C$6))</f>
        <v>1.2</v>
      </c>
      <c r="DF188" s="237" t="n">
        <f aca="false">IF(DF186=0,0,IF(DF186&lt;=12*'🎚️ Escenario'!$C$11,1,1+$C$6))</f>
        <v>1.2</v>
      </c>
      <c r="DG188" s="237" t="n">
        <f aca="false">IF(DG186=0,0,IF(DG186&lt;=12*'🎚️ Escenario'!$C$11,1,1+$C$6))</f>
        <v>1.2</v>
      </c>
      <c r="DH188" s="237" t="n">
        <f aca="false">IF(DH186=0,0,IF(DH186&lt;=12*'🎚️ Escenario'!$C$11,1,1+$C$6))</f>
        <v>1.2</v>
      </c>
      <c r="DI188" s="237" t="n">
        <f aca="false">IF(DI186=0,0,IF(DI186&lt;=12*'🎚️ Escenario'!$C$11,1,1+$C$6))</f>
        <v>1.2</v>
      </c>
      <c r="DJ188" s="237" t="n">
        <f aca="false">IF(DJ186=0,0,IF(DJ186&lt;=12*'🎚️ Escenario'!$C$11,1,1+$C$6))</f>
        <v>1.2</v>
      </c>
      <c r="DK188" s="237" t="n">
        <f aca="false">IF(DK186=0,0,IF(DK186&lt;=12*'🎚️ Escenario'!$C$11,1,1+$C$6))</f>
        <v>1.2</v>
      </c>
      <c r="DL188" s="237" t="n">
        <f aca="false">IF(DL186=0,0,IF(DL186&lt;=12*'🎚️ Escenario'!$C$11,1,1+$C$6))</f>
        <v>1.2</v>
      </c>
      <c r="DM188" s="237" t="n">
        <f aca="false">IF(DM186=0,0,IF(DM186&lt;=12*'🎚️ Escenario'!$C$11,1,1+$C$6))</f>
        <v>1.2</v>
      </c>
      <c r="DN188" s="237" t="n">
        <f aca="false">IF(DN186=0,0,IF(DN186&lt;=12*'🎚️ Escenario'!$C$11,1,1+$C$6))</f>
        <v>1.2</v>
      </c>
      <c r="DO188" s="237" t="n">
        <f aca="false">IF(DO186=0,0,IF(DO186&lt;=12*'🎚️ Escenario'!$C$11,1,1+$C$6))</f>
        <v>1.2</v>
      </c>
      <c r="DP188" s="237" t="n">
        <f aca="false">IF(DP186=0,0,IF(DP186&lt;=12*'🎚️ Escenario'!$C$11,1,1+$C$6))</f>
        <v>1.2</v>
      </c>
      <c r="DQ188" s="237" t="n">
        <f aca="false">IF(DQ186=0,0,IF(DQ186&lt;=12*'🎚️ Escenario'!$C$11,1,1+$C$6))</f>
        <v>1.2</v>
      </c>
      <c r="DR188" s="237" t="n">
        <f aca="false">IF(DR186=0,0,IF(DR186&lt;=12*'🎚️ Escenario'!$C$11,1,1+$C$6))</f>
        <v>1.2</v>
      </c>
      <c r="DS188" s="237" t="n">
        <f aca="false">IF(DS186=0,0,IF(DS186&lt;=12*'🎚️ Escenario'!$C$11,1,1+$C$6))</f>
        <v>1.2</v>
      </c>
      <c r="DT188" s="237" t="n">
        <f aca="false">IF(DT186=0,0,IF(DT186&lt;=12*'🎚️ Escenario'!$C$11,1,1+$C$6))</f>
        <v>1.2</v>
      </c>
      <c r="DU188" s="237" t="n">
        <f aca="false">IF(DU186=0,0,IF(DU186&lt;=12*'🎚️ Escenario'!$C$11,1,1+$C$6))</f>
        <v>1.2</v>
      </c>
      <c r="DV188" s="237" t="n">
        <f aca="false">IF(DV186=0,0,IF(DV186&lt;=12*'🎚️ Escenario'!$C$11,1,1+$C$6))</f>
        <v>1.2</v>
      </c>
      <c r="DW188" s="237" t="n">
        <f aca="false">IF(DW186=0,0,IF(DW186&lt;=12*'🎚️ Escenario'!$C$11,1,1+$C$6))</f>
        <v>1.2</v>
      </c>
      <c r="DX188" s="237" t="n">
        <f aca="false">IF(DX186=0,0,IF(DX186&lt;=12*'🎚️ Escenario'!$C$11,1,1+$C$6))</f>
        <v>1.2</v>
      </c>
      <c r="DY188" s="237" t="n">
        <f aca="false">IF(DY186=0,0,IF(DY186&lt;=12*'🎚️ Escenario'!$C$11,1,1+$C$6))</f>
        <v>1.2</v>
      </c>
      <c r="DZ188" s="237" t="n">
        <f aca="false">IF(DZ186=0,0,IF(DZ186&lt;=12*'🎚️ Escenario'!$C$11,1,1+$C$6))</f>
        <v>1.2</v>
      </c>
      <c r="EA188" s="237" t="n">
        <f aca="false">IF(EA186=0,0,IF(EA186&lt;=12*'🎚️ Escenario'!$C$11,1,1+$C$6))</f>
        <v>1.2</v>
      </c>
      <c r="EB188" s="237" t="n">
        <f aca="false">IF(EB186=0,0,IF(EB186&lt;=12*'🎚️ Escenario'!$C$11,1,1+$C$6))</f>
        <v>1.2</v>
      </c>
      <c r="EC188" s="237" t="n">
        <f aca="false">IF(EC186=0,0,IF(EC186&lt;=12*'🎚️ Escenario'!$C$11,1,1+$C$6))</f>
        <v>1.2</v>
      </c>
      <c r="ED188" s="237" t="n">
        <f aca="false">IF(ED186=0,0,IF(ED186&lt;=12*'🎚️ Escenario'!$C$11,1,1+$C$6))</f>
        <v>1.2</v>
      </c>
      <c r="EE188" s="237" t="n">
        <f aca="false">IF(EE186=0,0,IF(EE186&lt;=12*'🎚️ Escenario'!$C$11,1,1+$C$6))</f>
        <v>1.2</v>
      </c>
      <c r="EF188" s="237" t="n">
        <f aca="false">IF(EF186=0,0,IF(EF186&lt;=12*'🎚️ Escenario'!$C$11,1,1+$C$6))</f>
        <v>1.2</v>
      </c>
      <c r="EG188" s="237" t="n">
        <f aca="false">IF(EG186=0,0,IF(EG186&lt;=12*'🎚️ Escenario'!$C$11,1,1+$C$6))</f>
        <v>1.2</v>
      </c>
      <c r="EH188" s="237" t="n">
        <f aca="false">IF(EH186=0,0,IF(EH186&lt;=12*'🎚️ Escenario'!$C$11,1,1+$C$6))</f>
        <v>1.2</v>
      </c>
      <c r="EI188" s="237" t="n">
        <f aca="false">IF(EI186=0,0,IF(EI186&lt;=12*'🎚️ Escenario'!$C$11,1,1+$C$6))</f>
        <v>1.2</v>
      </c>
      <c r="EJ188" s="237" t="n">
        <f aca="false">IF(EJ186=0,0,IF(EJ186&lt;=12*'🎚️ Escenario'!$C$11,1,1+$C$6))</f>
        <v>1.2</v>
      </c>
      <c r="EK188" s="237" t="n">
        <f aca="false">IF(EK186=0,0,IF(EK186&lt;=12*'🎚️ Escenario'!$C$11,1,1+$C$6))</f>
        <v>1.2</v>
      </c>
      <c r="EL188" s="237" t="n">
        <f aca="false">IF(EL186=0,0,IF(EL186&lt;=12*'🎚️ Escenario'!$C$11,1,1+$C$6))</f>
        <v>1.2</v>
      </c>
      <c r="EM188" s="237" t="n">
        <f aca="false">IF(EM186=0,0,IF(EM186&lt;=12*'🎚️ Escenario'!$C$11,1,1+$C$6))</f>
        <v>1.2</v>
      </c>
      <c r="EN188" s="237" t="n">
        <f aca="false">IF(EN186=0,0,IF(EN186&lt;=12*'🎚️ Escenario'!$C$11,1,1+$C$6))</f>
        <v>1.2</v>
      </c>
      <c r="EO188" s="237" t="n">
        <f aca="false">IF(EO186=0,0,IF(EO186&lt;=12*'🎚️ Escenario'!$C$11,1,1+$C$6))</f>
        <v>1.2</v>
      </c>
      <c r="EP188" s="237" t="n">
        <f aca="false">IF(EP186=0,0,IF(EP186&lt;=12*'🎚️ Escenario'!$C$11,1,1+$C$6))</f>
        <v>1.2</v>
      </c>
      <c r="EQ188" s="237" t="n">
        <f aca="false">IF(EQ186=0,0,IF(EQ186&lt;=12*'🎚️ Escenario'!$C$11,1,1+$C$6))</f>
        <v>1.2</v>
      </c>
      <c r="ER188" s="237" t="n">
        <f aca="false">IF(ER186=0,0,IF(ER186&lt;=12*'🎚️ Escenario'!$C$11,1,1+$C$6))</f>
        <v>1.2</v>
      </c>
      <c r="ES188" s="238" t="n">
        <f aca="false">IF(ES186=0,0,IF(ES186&lt;=12*'🎚️ Escenario'!$C$11,1,1+$C$6))</f>
        <v>1.2</v>
      </c>
      <c r="ET188" s="238" t="n">
        <f aca="false">IF(ET186=0,0,IF(ET186&lt;=12*'🎚️ Escenario'!$C$11,1,1+$C$6))</f>
        <v>1.2</v>
      </c>
      <c r="EU188" s="238" t="n">
        <f aca="false">IF(EU186=0,0,IF(EU186&lt;=12*'🎚️ Escenario'!$C$11,1,1+$C$6))</f>
        <v>1.2</v>
      </c>
      <c r="EV188" s="238" t="n">
        <f aca="false">IF(EV186=0,0,IF(EV186&lt;=12*'🎚️ Escenario'!$C$11,1,1+$C$6))</f>
        <v>1.2</v>
      </c>
      <c r="EW188" s="238" t="n">
        <f aca="false">IF(EW186=0,0,IF(EW186&lt;=12*'🎚️ Escenario'!$C$11,1,1+$C$6))</f>
        <v>1.2</v>
      </c>
      <c r="EX188" s="238" t="n">
        <f aca="false">IF(EX186=0,0,IF(EX186&lt;=12*'🎚️ Escenario'!$C$11,1,1+$C$6))</f>
        <v>1.2</v>
      </c>
      <c r="EY188" s="238" t="n">
        <f aca="false">IF(EY186=0,0,IF(EY186&lt;=12*'🎚️ Escenario'!$C$11,1,1+$C$6))</f>
        <v>1.2</v>
      </c>
      <c r="EZ188" s="238" t="n">
        <f aca="false">IF(EZ186=0,0,IF(EZ186&lt;=12*'🎚️ Escenario'!$C$11,1,1+$C$6))</f>
        <v>1.2</v>
      </c>
      <c r="FA188" s="238" t="n">
        <f aca="false">IF(FA186=0,0,IF(FA186&lt;=12*'🎚️ Escenario'!$C$11,1,1+$C$6))</f>
        <v>1.2</v>
      </c>
      <c r="FB188" s="238" t="n">
        <f aca="false">IF(FB186=0,0,IF(FB186&lt;=12*'🎚️ Escenario'!$C$11,1,1+$C$6))</f>
        <v>1.2</v>
      </c>
      <c r="FC188" s="238" t="n">
        <f aca="false">IF(FC186=0,0,IF(FC186&lt;=12*'🎚️ Escenario'!$C$11,1,1+$C$6))</f>
        <v>1.2</v>
      </c>
      <c r="FD188" s="238" t="n">
        <f aca="false">IF(FD186=0,0,IF(FD186&lt;=12*'🎚️ Escenario'!$C$11,1,1+$C$6))</f>
        <v>1.2</v>
      </c>
      <c r="FE188" s="238" t="n">
        <f aca="false">IF(FE186=0,0,IF(FE186&lt;=12*'🎚️ Escenario'!$C$11,1,1+$C$6))</f>
        <v>1.2</v>
      </c>
      <c r="FF188" s="238" t="n">
        <f aca="false">IF(FF186=0,0,IF(FF186&lt;=12*'🎚️ Escenario'!$C$11,1,1+$C$6))</f>
        <v>1.2</v>
      </c>
      <c r="FG188" s="238" t="n">
        <f aca="false">IF(FG186=0,0,IF(FG186&lt;=12*'🎚️ Escenario'!$C$11,1,1+$C$6))</f>
        <v>1.2</v>
      </c>
      <c r="FH188" s="238" t="n">
        <f aca="false">IF(FH186=0,0,IF(FH186&lt;=12*'🎚️ Escenario'!$C$11,1,1+$C$6))</f>
        <v>1.2</v>
      </c>
      <c r="FI188" s="238" t="n">
        <f aca="false">IF(FI186=0,0,IF(FI186&lt;=12*'🎚️ Escenario'!$C$11,1,1+$C$6))</f>
        <v>1.2</v>
      </c>
      <c r="FJ188" s="238" t="n">
        <f aca="false">IF(FJ186=0,0,IF(FJ186&lt;=12*'🎚️ Escenario'!$C$11,1,1+$C$6))</f>
        <v>1.2</v>
      </c>
      <c r="FK188" s="238" t="n">
        <f aca="false">IF(FK186=0,0,IF(FK186&lt;=12*'🎚️ Escenario'!$C$11,1,1+$C$6))</f>
        <v>1.2</v>
      </c>
      <c r="FL188" s="238" t="n">
        <f aca="false">IF(FL186=0,0,IF(FL186&lt;=12*'🎚️ Escenario'!$C$11,1,1+$C$6))</f>
        <v>1.2</v>
      </c>
      <c r="FM188" s="238" t="n">
        <f aca="false">IF(FM186=0,0,IF(FM186&lt;=12*'🎚️ Escenario'!$C$11,1,1+$C$6))</f>
        <v>1.2</v>
      </c>
      <c r="FN188" s="238" t="n">
        <f aca="false">IF(FN186=0,0,IF(FN186&lt;=12*'🎚️ Escenario'!$C$11,1,1+$C$6))</f>
        <v>1.2</v>
      </c>
      <c r="FO188" s="238" t="n">
        <f aca="false">IF(FO186=0,0,IF(FO186&lt;=12*'🎚️ Escenario'!$C$11,1,1+$C$6))</f>
        <v>1.2</v>
      </c>
      <c r="FP188" s="238" t="n">
        <f aca="false">IF(FP186=0,0,IF(FP186&lt;=12*'🎚️ Escenario'!$C$11,1,1+$C$6))</f>
        <v>1.2</v>
      </c>
    </row>
    <row r="189" customFormat="false" ht="15" hidden="false" customHeight="false" outlineLevel="2" collapsed="false">
      <c r="B189" s="9" t="s">
        <v>876</v>
      </c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36" t="n">
        <f aca="false">AC187*$AC$185*AC188*AC$38*'⑫ Roll-out Plan'!$O$24</f>
        <v>0</v>
      </c>
      <c r="AD189" s="36" t="n">
        <f aca="false">AD187*$AC$185*AD188*AD$38*'⑫ Roll-out Plan'!$O$24</f>
        <v>0</v>
      </c>
      <c r="AE189" s="36" t="n">
        <f aca="false">AE187*$AC$185*AE188*AE$38*'⑫ Roll-out Plan'!$O$24</f>
        <v>0</v>
      </c>
      <c r="AF189" s="36" t="n">
        <f aca="false">AF187*$AC$185*AF188*AF$38*'⑫ Roll-out Plan'!$O$24</f>
        <v>0</v>
      </c>
      <c r="AG189" s="36" t="n">
        <f aca="false">AG187*$AC$185*AG188*AG$38*'⑫ Roll-out Plan'!$O$24</f>
        <v>0</v>
      </c>
      <c r="AH189" s="36" t="n">
        <f aca="false">AH187*$AC$185*AH188*AH$38*'⑫ Roll-out Plan'!$O$24</f>
        <v>0</v>
      </c>
      <c r="AI189" s="36" t="n">
        <f aca="false">AI187*$AC$185*AI188*AI$38*'⑫ Roll-out Plan'!$O$24</f>
        <v>0</v>
      </c>
      <c r="AJ189" s="36" t="n">
        <f aca="false">AJ187*$AC$185*AJ188*AJ$38*'⑫ Roll-out Plan'!$O$24</f>
        <v>0</v>
      </c>
      <c r="AK189" s="36" t="n">
        <f aca="false">AK187*$AC$185*AK188*AK$38*'⑫ Roll-out Plan'!$O$24</f>
        <v>0</v>
      </c>
      <c r="AL189" s="36" t="n">
        <f aca="false">AL187*$AC$185*AL188*AL$38*'⑫ Roll-out Plan'!$O$24</f>
        <v>0</v>
      </c>
      <c r="AM189" s="36" t="n">
        <f aca="false">AM187*$AC$185*AM188*AM$38*'⑫ Roll-out Plan'!$O$24</f>
        <v>0</v>
      </c>
      <c r="AN189" s="36" t="n">
        <f aca="false">AN187*$AC$185*AN188*AN$38*'⑫ Roll-out Plan'!$O$24</f>
        <v>0</v>
      </c>
      <c r="AO189" s="36" t="n">
        <f aca="false">AO187*$AC$185*AO188*AO$38*'⑫ Roll-out Plan'!$O$24</f>
        <v>0</v>
      </c>
      <c r="AP189" s="36" t="n">
        <f aca="false">AP187*$AC$185*AP188*AP$38*'⑫ Roll-out Plan'!$O$24</f>
        <v>0</v>
      </c>
      <c r="AQ189" s="36" t="n">
        <f aca="false">AQ187*$AC$185*AQ188*AQ$38*'⑫ Roll-out Plan'!$O$24</f>
        <v>0</v>
      </c>
      <c r="AR189" s="36" t="n">
        <f aca="false">AR187*$AC$185*AR188*AR$38*'⑫ Roll-out Plan'!$O$24</f>
        <v>0</v>
      </c>
      <c r="AS189" s="36" t="n">
        <f aca="false">AS187*$AC$185*AS188*AS$38*'⑫ Roll-out Plan'!$O$24</f>
        <v>0</v>
      </c>
      <c r="AT189" s="36" t="n">
        <f aca="false">AT187*$AC$185*AT188*AT$38*'⑫ Roll-out Plan'!$O$24</f>
        <v>0</v>
      </c>
      <c r="AU189" s="36" t="n">
        <f aca="false">AU187*$AC$185*AU188*AU$38*'⑫ Roll-out Plan'!$O$24</f>
        <v>0</v>
      </c>
      <c r="AV189" s="36" t="n">
        <f aca="false">AV187*$AC$185*AV188*AV$38*'⑫ Roll-out Plan'!$O$24</f>
        <v>0</v>
      </c>
      <c r="AW189" s="36" t="n">
        <f aca="false">AW187*$AC$185*AW188*AW$38*'⑫ Roll-out Plan'!$O$24</f>
        <v>0</v>
      </c>
      <c r="AX189" s="36" t="n">
        <f aca="false">AX187*$AC$185*AX188*AX$38*'⑫ Roll-out Plan'!$O$24</f>
        <v>0</v>
      </c>
      <c r="AY189" s="36" t="n">
        <f aca="false">AY187*$AC$185*AY188*AY$38*'⑫ Roll-out Plan'!$O$24</f>
        <v>0</v>
      </c>
      <c r="AZ189" s="36" t="n">
        <f aca="false">AZ187*$AC$185*AZ188*AZ$38*'⑫ Roll-out Plan'!$O$24</f>
        <v>0</v>
      </c>
      <c r="BA189" s="36" t="n">
        <f aca="false">BA187*$AC$185*BA188*BA$38*'⑫ Roll-out Plan'!$O$24</f>
        <v>0</v>
      </c>
      <c r="BB189" s="36" t="n">
        <f aca="false">BB187*$AC$185*BB188*BB$38*'⑫ Roll-out Plan'!$O$24</f>
        <v>0</v>
      </c>
      <c r="BC189" s="36" t="n">
        <f aca="false">BC187*$AC$185*BC188*BC$38*'⑫ Roll-out Plan'!$O$24</f>
        <v>0</v>
      </c>
      <c r="BD189" s="36" t="n">
        <f aca="false">BD187*$AC$185*BD188*BD$38*'⑫ Roll-out Plan'!$O$24</f>
        <v>0</v>
      </c>
      <c r="BE189" s="36" t="n">
        <f aca="false">BE187*$AC$185*BE188*BE$38*'⑫ Roll-out Plan'!$O$24</f>
        <v>0</v>
      </c>
      <c r="BF189" s="36" t="n">
        <f aca="false">BF187*$AC$185*BF188*BF$38*'⑫ Roll-out Plan'!$O$24</f>
        <v>0</v>
      </c>
      <c r="BG189" s="36" t="n">
        <f aca="false">BG187*$AC$185*BG188*BG$38*'⑫ Roll-out Plan'!$O$24</f>
        <v>0</v>
      </c>
      <c r="BH189" s="36" t="n">
        <f aca="false">BH187*$AC$185*BH188*BH$38*'⑫ Roll-out Plan'!$O$24</f>
        <v>0</v>
      </c>
      <c r="BI189" s="36" t="n">
        <f aca="false">BI187*$AC$185*BI188*BI$38*'⑫ Roll-out Plan'!$O$24</f>
        <v>0</v>
      </c>
      <c r="BJ189" s="36" t="n">
        <f aca="false">BJ187*$AC$185*BJ188*BJ$38*'⑫ Roll-out Plan'!$O$24</f>
        <v>0</v>
      </c>
      <c r="BK189" s="36" t="n">
        <f aca="false">BK187*$AC$185*BK188*BK$38*'⑫ Roll-out Plan'!$O$24</f>
        <v>0</v>
      </c>
      <c r="BL189" s="36" t="n">
        <f aca="false">BL187*$AC$185*BL188*BL$38*'⑫ Roll-out Plan'!$O$24</f>
        <v>0</v>
      </c>
      <c r="BM189" s="36" t="n">
        <f aca="false">BM187*$AC$185*BM188*BM$38*'⑫ Roll-out Plan'!$O$24</f>
        <v>0</v>
      </c>
      <c r="BN189" s="36" t="n">
        <f aca="false">BN187*$AC$185*BN188*BN$38*'⑫ Roll-out Plan'!$O$24</f>
        <v>0</v>
      </c>
      <c r="BO189" s="36" t="n">
        <f aca="false">BO187*$AC$185*BO188*BO$38*'⑫ Roll-out Plan'!$O$24</f>
        <v>0</v>
      </c>
      <c r="BP189" s="36" t="n">
        <f aca="false">BP187*$AC$185*BP188*BP$38*'⑫ Roll-out Plan'!$O$24</f>
        <v>0</v>
      </c>
      <c r="BQ189" s="36" t="n">
        <f aca="false">BQ187*$AC$185*BQ188*BQ$38*'⑫ Roll-out Plan'!$O$24</f>
        <v>0</v>
      </c>
      <c r="BR189" s="36" t="n">
        <f aca="false">BR187*$AC$185*BR188*BR$38*'⑫ Roll-out Plan'!$O$24</f>
        <v>0</v>
      </c>
      <c r="BS189" s="36" t="n">
        <f aca="false">BS187*$AC$185*BS188*BS$38*'⑫ Roll-out Plan'!$O$24</f>
        <v>0</v>
      </c>
      <c r="BT189" s="36" t="n">
        <f aca="false">BT187*$AC$185*BT188*BT$38*'⑫ Roll-out Plan'!$O$24</f>
        <v>0</v>
      </c>
      <c r="BU189" s="36" t="n">
        <f aca="false">BU187*$AC$185*BU188*BU$38*'⑫ Roll-out Plan'!$O$24</f>
        <v>42.92</v>
      </c>
      <c r="BV189" s="36" t="n">
        <f aca="false">BV187*$AC$185*BV188*BV$38*'⑫ Roll-out Plan'!$O$24</f>
        <v>39.072</v>
      </c>
      <c r="BW189" s="36" t="n">
        <f aca="false">BW187*$AC$185*BW188*BW$38*'⑫ Roll-out Plan'!$O$24</f>
        <v>31.968</v>
      </c>
      <c r="BX189" s="36" t="n">
        <f aca="false">BX187*$AC$185*BX188*BX$38*'⑫ Roll-out Plan'!$O$24</f>
        <v>50.949</v>
      </c>
      <c r="BY189" s="36" t="n">
        <f aca="false">BY187*$AC$185*BY188*BY$38*'⑫ Roll-out Plan'!$O$24</f>
        <v>53.946</v>
      </c>
      <c r="BZ189" s="36" t="n">
        <f aca="false">BZ187*$AC$185*BZ188*BZ$38*'⑫ Roll-out Plan'!$O$24</f>
        <v>47.027</v>
      </c>
      <c r="CA189" s="36" t="n">
        <f aca="false">CA187*$AC$185*CA188*CA$38*'⑫ Roll-out Plan'!$O$24</f>
        <v>75.11</v>
      </c>
      <c r="CB189" s="36" t="n">
        <f aca="false">CB187*$AC$185*CB188*CB$38*'⑫ Roll-out Plan'!$O$24</f>
        <v>79.365</v>
      </c>
      <c r="CC189" s="36" t="n">
        <f aca="false">CC187*$AC$185*CC188*CC$38*'⑫ Roll-out Plan'!$O$24</f>
        <v>74.888</v>
      </c>
      <c r="CD189" s="36" t="n">
        <f aca="false">CD187*$AC$185*CD188*CD$38*'⑫ Roll-out Plan'!$O$24</f>
        <v>65.12</v>
      </c>
      <c r="CE189" s="36" t="n">
        <f aca="false">CE187*$AC$185*CE188*CE$38*'⑫ Roll-out Plan'!$O$24</f>
        <v>74.592</v>
      </c>
      <c r="CF189" s="36" t="n">
        <f aca="false">CF187*$AC$185*CF188*CF$38*'⑫ Roll-out Plan'!$O$24</f>
        <v>136.604</v>
      </c>
      <c r="CG189" s="36" t="n">
        <f aca="false">CG187*$AC$185*CG188*CG$38*'⑫ Roll-out Plan'!$O$24</f>
        <v>120.176</v>
      </c>
      <c r="CH189" s="36" t="n">
        <f aca="false">CH187*$AC$185*CH188*CH$38*'⑫ Roll-out Plan'!$O$24</f>
        <v>106.56</v>
      </c>
      <c r="CI189" s="36" t="n">
        <f aca="false">CI187*$AC$185*CI188*CI$38*'⑫ Roll-out Plan'!$O$24</f>
        <v>79.92</v>
      </c>
      <c r="CJ189" s="36" t="n">
        <f aca="false">CJ187*$AC$185*CJ188*CJ$38*'⑫ Roll-out Plan'!$O$24</f>
        <v>142.6572</v>
      </c>
      <c r="CK189" s="36" t="n">
        <f aca="false">CK187*$AC$185*CK188*CK$38*'⑫ Roll-out Plan'!$O$24</f>
        <v>158.2416</v>
      </c>
      <c r="CL189" s="36" t="n">
        <f aca="false">CL187*$AC$185*CL188*CL$38*'⑫ Roll-out Plan'!$O$24</f>
        <v>125.6076</v>
      </c>
      <c r="CM189" s="36" t="n">
        <f aca="false">CM187*$AC$185*CM188*CM$38*'⑫ Roll-out Plan'!$O$24</f>
        <v>182.8392</v>
      </c>
      <c r="CN189" s="36" t="n">
        <f aca="false">CN187*$AC$185*CN188*CN$38*'⑫ Roll-out Plan'!$O$24</f>
        <v>173.382</v>
      </c>
      <c r="CO189" s="36" t="n">
        <f aca="false">CO187*$AC$185*CO188*CO$38*'⑫ Roll-out Plan'!$O$24</f>
        <v>149.0952</v>
      </c>
      <c r="CP189" s="36" t="n">
        <f aca="false">CP187*$AC$185*CP188*CP$38*'⑫ Roll-out Plan'!$O$24</f>
        <v>133.2</v>
      </c>
      <c r="CQ189" s="36" t="n">
        <f aca="false">CQ187*$AC$185*CQ188*CQ$38*'⑫ Roll-out Plan'!$O$24</f>
        <v>143.5896</v>
      </c>
      <c r="CR189" s="36" t="n">
        <f aca="false">CR187*$AC$185*CR188*CR$38*'⑫ Roll-out Plan'!$O$24</f>
        <v>249.0396</v>
      </c>
      <c r="CS189" s="36" t="n">
        <f aca="false">CS187*$AC$185*CS188*CS$38*'⑫ Roll-out Plan'!$O$24</f>
        <v>203.4408</v>
      </c>
      <c r="CT189" s="36" t="n">
        <f aca="false">CT187*$AC$185*CT188*CT$38*'⑫ Roll-out Plan'!$O$24</f>
        <v>170.496</v>
      </c>
      <c r="CU189" s="36" t="n">
        <f aca="false">CU187*$AC$185*CU188*CU$38*'⑫ Roll-out Plan'!$O$24</f>
        <v>131.0688</v>
      </c>
      <c r="CV189" s="36" t="n">
        <f aca="false">CV187*$AC$185*CV188*CV$38*'⑫ Roll-out Plan'!$O$24</f>
        <v>190.2096</v>
      </c>
      <c r="CW189" s="36" t="n">
        <f aca="false">CW187*$AC$185*CW188*CW$38*'⑫ Roll-out Plan'!$O$24</f>
        <v>203.796</v>
      </c>
      <c r="CX189" s="36" t="n">
        <f aca="false">CX187*$AC$185*CX188*CX$38*'⑫ Roll-out Plan'!$O$24</f>
        <v>154.734</v>
      </c>
      <c r="CY189" s="36" t="n">
        <f aca="false">CY187*$AC$185*CY188*CY$38*'⑫ Roll-out Plan'!$O$24</f>
        <v>221.4672</v>
      </c>
      <c r="CZ189" s="36" t="n">
        <f aca="false">CZ187*$AC$185*CZ188*CZ$38*'⑫ Roll-out Plan'!$O$24</f>
        <v>214.896</v>
      </c>
      <c r="DA189" s="36" t="n">
        <f aca="false">DA187*$AC$185*DA188*DA$38*'⑫ Roll-out Plan'!$O$24</f>
        <v>181.7736</v>
      </c>
      <c r="DB189" s="36" t="n">
        <f aca="false">DB187*$AC$185*DB188*DB$38*'⑫ Roll-out Plan'!$O$24</f>
        <v>159.84</v>
      </c>
      <c r="DC189" s="36" t="n">
        <f aca="false">DC187*$AC$185*DC188*DC$38*'⑫ Roll-out Plan'!$O$24</f>
        <v>167.832</v>
      </c>
      <c r="DD189" s="36" t="n">
        <f aca="false">DD187*$AC$185*DD188*DD$38*'⑫ Roll-out Plan'!$O$24</f>
        <v>290.0208</v>
      </c>
      <c r="DE189" s="36" t="n">
        <f aca="false">DE187*$AC$185*DE188*DE$38*'⑫ Roll-out Plan'!$O$24</f>
        <v>239.4936</v>
      </c>
      <c r="DF189" s="36" t="n">
        <f aca="false">DF187*$AC$185*DF188*DF$38*'⑫ Roll-out Plan'!$O$24</f>
        <v>200.3328</v>
      </c>
      <c r="DG189" s="36" t="n">
        <f aca="false">DG187*$AC$185*DG188*DG$38*'⑫ Roll-out Plan'!$O$24</f>
        <v>151.848</v>
      </c>
      <c r="DH189" s="36" t="n">
        <f aca="false">DH187*$AC$185*DH188*DH$38*'⑫ Roll-out Plan'!$O$24</f>
        <v>215.118</v>
      </c>
      <c r="DI189" s="36" t="n">
        <f aca="false">DI187*$AC$185*DI188*DI$38*'⑫ Roll-out Plan'!$O$24</f>
        <v>232.5672</v>
      </c>
      <c r="DJ189" s="36" t="n">
        <f aca="false">DJ187*$AC$185*DJ188*DJ$38*'⑫ Roll-out Plan'!$O$24</f>
        <v>178.3992</v>
      </c>
      <c r="DK189" s="36" t="n">
        <f aca="false">DK187*$AC$185*DK188*DK$38*'⑫ Roll-out Plan'!$O$24</f>
        <v>254.9448</v>
      </c>
      <c r="DL189" s="36" t="n">
        <f aca="false">DL187*$AC$185*DL188*DL$38*'⑫ Roll-out Plan'!$O$24</f>
        <v>244.2</v>
      </c>
      <c r="DM189" s="36" t="n">
        <f aca="false">DM187*$AC$185*DM188*DM$38*'⑫ Roll-out Plan'!$O$24</f>
        <v>204.24</v>
      </c>
      <c r="DN189" s="36" t="n">
        <f aca="false">DN187*$AC$185*DN188*DN$38*'⑫ Roll-out Plan'!$O$24</f>
        <v>177.6</v>
      </c>
      <c r="DO189" s="36" t="n">
        <f aca="false">DO187*$AC$185*DO188*DO$38*'⑫ Roll-out Plan'!$O$24</f>
        <v>186.48</v>
      </c>
      <c r="DP189" s="36" t="n">
        <f aca="false">DP187*$AC$185*DP188*DP$38*'⑫ Roll-out Plan'!$O$24</f>
        <v>315.24</v>
      </c>
      <c r="DQ189" s="36" t="n">
        <f aca="false">DQ187*$AC$185*DQ188*DQ$38*'⑫ Roll-out Plan'!$O$24</f>
        <v>257.52</v>
      </c>
      <c r="DR189" s="36" t="n">
        <f aca="false">DR187*$AC$185*DR188*DR$38*'⑫ Roll-out Plan'!$O$24</f>
        <v>213.12</v>
      </c>
      <c r="DS189" s="36" t="n">
        <f aca="false">DS187*$AC$185*DS188*DS$38*'⑫ Roll-out Plan'!$O$24</f>
        <v>159.84</v>
      </c>
      <c r="DT189" s="36" t="n">
        <f aca="false">DT187*$AC$185*DT188*DT$38*'⑫ Roll-out Plan'!$O$24</f>
        <v>226.44</v>
      </c>
      <c r="DU189" s="36" t="n">
        <f aca="false">DU187*$AC$185*DU188*DU$38*'⑫ Roll-out Plan'!$O$24</f>
        <v>239.76</v>
      </c>
      <c r="DV189" s="36" t="n">
        <f aca="false">DV187*$AC$185*DV188*DV$38*'⑫ Roll-out Plan'!$O$24</f>
        <v>182.04</v>
      </c>
      <c r="DW189" s="36" t="n">
        <f aca="false">DW187*$AC$185*DW188*DW$38*'⑫ Roll-out Plan'!$O$24</f>
        <v>257.52</v>
      </c>
      <c r="DX189" s="36" t="n">
        <f aca="false">DX187*$AC$185*DX188*DX$38*'⑫ Roll-out Plan'!$O$24</f>
        <v>244.2</v>
      </c>
      <c r="DY189" s="36" t="n">
        <f aca="false">DY187*$AC$185*DY188*DY$38*'⑫ Roll-out Plan'!$O$24</f>
        <v>204.24</v>
      </c>
      <c r="DZ189" s="36" t="n">
        <f aca="false">DZ187*$AC$185*DZ188*DZ$38*'⑫ Roll-out Plan'!$O$24</f>
        <v>177.6</v>
      </c>
      <c r="EA189" s="36" t="n">
        <f aca="false">EA187*$AC$185*EA188*EA$38*'⑫ Roll-out Plan'!$O$24</f>
        <v>186.48</v>
      </c>
      <c r="EB189" s="36" t="n">
        <f aca="false">EB187*$AC$185*EB188*EB$38*'⑫ Roll-out Plan'!$O$24</f>
        <v>315.24</v>
      </c>
      <c r="EC189" s="36" t="n">
        <f aca="false">EC187*$AC$185*EC188*EC$38*'⑫ Roll-out Plan'!$O$24</f>
        <v>257.52</v>
      </c>
      <c r="ED189" s="36" t="n">
        <f aca="false">ED187*$AC$185*ED188*ED$38*'⑫ Roll-out Plan'!$O$24</f>
        <v>213.12</v>
      </c>
      <c r="EE189" s="36" t="n">
        <f aca="false">EE187*$AC$185*EE188*EE$38*'⑫ Roll-out Plan'!$O$24</f>
        <v>159.84</v>
      </c>
      <c r="EF189" s="36" t="n">
        <f aca="false">EF187*$AC$185*EF188*EF$38*'⑫ Roll-out Plan'!$O$24</f>
        <v>226.44</v>
      </c>
      <c r="EG189" s="36" t="n">
        <f aca="false">EG187*$AC$185*EG188*EG$38*'⑫ Roll-out Plan'!$O$24</f>
        <v>239.76</v>
      </c>
      <c r="EH189" s="36" t="n">
        <f aca="false">EH187*$AC$185*EH188*EH$38*'⑫ Roll-out Plan'!$O$24</f>
        <v>182.04</v>
      </c>
      <c r="EI189" s="36" t="n">
        <f aca="false">EI187*$AC$185*EI188*EI$38*'⑫ Roll-out Plan'!$O$24</f>
        <v>257.52</v>
      </c>
      <c r="EJ189" s="36" t="n">
        <f aca="false">EJ187*$AC$185*EJ188*EJ$38*'⑫ Roll-out Plan'!$O$24</f>
        <v>244.2</v>
      </c>
      <c r="EK189" s="36" t="n">
        <f aca="false">EK187*$AC$185*EK188*EK$38*'⑫ Roll-out Plan'!$O$24</f>
        <v>204.24</v>
      </c>
      <c r="EL189" s="36" t="n">
        <f aca="false">EL187*$AC$185*EL188*EL$38*'⑫ Roll-out Plan'!$O$24</f>
        <v>177.6</v>
      </c>
      <c r="EM189" s="36" t="n">
        <f aca="false">EM187*$AC$185*EM188*EM$38*'⑫ Roll-out Plan'!$O$24</f>
        <v>186.48</v>
      </c>
      <c r="EN189" s="36" t="n">
        <f aca="false">EN187*$AC$185*EN188*EN$38*'⑫ Roll-out Plan'!$O$24</f>
        <v>315.24</v>
      </c>
      <c r="EO189" s="36" t="n">
        <f aca="false">EO187*$AC$185*EO188*EO$38*'⑫ Roll-out Plan'!$O$24</f>
        <v>257.52</v>
      </c>
      <c r="EP189" s="36" t="n">
        <f aca="false">EP187*$AC$185*EP188*EP$38*'⑫ Roll-out Plan'!$O$24</f>
        <v>213.12</v>
      </c>
      <c r="EQ189" s="36" t="n">
        <f aca="false">EQ187*$AC$185*EQ188*EQ$38*'⑫ Roll-out Plan'!$O$24</f>
        <v>159.84</v>
      </c>
      <c r="ER189" s="36" t="n">
        <f aca="false">ER187*$AC$185*ER188*ER$38*'⑫ Roll-out Plan'!$O$24</f>
        <v>226.44</v>
      </c>
      <c r="ES189" s="9" t="n">
        <f aca="false">ES187*$AC$185*ES188*ES$38*'⑫ Roll-out Plan'!$O$24</f>
        <v>239.76</v>
      </c>
      <c r="ET189" s="9" t="n">
        <f aca="false">ET187*$AC$185*ET188*ET$38*'⑫ Roll-out Plan'!$O$24</f>
        <v>182.04</v>
      </c>
      <c r="EU189" s="9" t="n">
        <f aca="false">EU187*$AC$185*EU188*EU$38*'⑫ Roll-out Plan'!$O$24</f>
        <v>257.52</v>
      </c>
      <c r="EV189" s="9" t="n">
        <f aca="false">EV187*$AC$185*EV188*EV$38*'⑫ Roll-out Plan'!$O$24</f>
        <v>244.2</v>
      </c>
      <c r="EW189" s="9" t="n">
        <f aca="false">EW187*$AC$185*EW188*EW$38*'⑫ Roll-out Plan'!$O$24</f>
        <v>204.24</v>
      </c>
      <c r="EX189" s="9" t="n">
        <f aca="false">EX187*$AC$185*EX188*EX$38*'⑫ Roll-out Plan'!$O$24</f>
        <v>177.6</v>
      </c>
      <c r="EY189" s="9" t="n">
        <f aca="false">EY187*$AC$185*EY188*EY$38*'⑫ Roll-out Plan'!$O$24</f>
        <v>186.48</v>
      </c>
      <c r="EZ189" s="9" t="n">
        <f aca="false">EZ187*$AC$185*EZ188*EZ$38*'⑫ Roll-out Plan'!$O$24</f>
        <v>315.24</v>
      </c>
      <c r="FA189" s="9" t="n">
        <f aca="false">FA187*$AC$185*FA188*FA$38*'⑫ Roll-out Plan'!$O$24</f>
        <v>257.52</v>
      </c>
      <c r="FB189" s="9" t="n">
        <f aca="false">FB187*$AC$185*FB188*FB$38*'⑫ Roll-out Plan'!$O$24</f>
        <v>213.12</v>
      </c>
      <c r="FC189" s="9" t="n">
        <f aca="false">FC187*$AC$185*FC188*FC$38*'⑫ Roll-out Plan'!$O$24</f>
        <v>159.84</v>
      </c>
      <c r="FD189" s="9" t="n">
        <f aca="false">FD187*$AC$185*FD188*FD$38*'⑫ Roll-out Plan'!$O$24</f>
        <v>226.44</v>
      </c>
      <c r="FE189" s="9" t="n">
        <f aca="false">FE187*$AC$185*FE188*FE$38*'⑫ Roll-out Plan'!$O$24</f>
        <v>239.76</v>
      </c>
      <c r="FF189" s="9" t="n">
        <f aca="false">FF187*$AC$185*FF188*FF$38*'⑫ Roll-out Plan'!$O$24</f>
        <v>182.04</v>
      </c>
      <c r="FG189" s="9" t="n">
        <f aca="false">FG187*$AC$185*FG188*FG$38*'⑫ Roll-out Plan'!$O$24</f>
        <v>257.52</v>
      </c>
      <c r="FH189" s="9" t="n">
        <f aca="false">FH187*$AC$185*FH188*FH$38*'⑫ Roll-out Plan'!$O$24</f>
        <v>244.2</v>
      </c>
      <c r="FI189" s="9" t="n">
        <f aca="false">FI187*$AC$185*FI188*FI$38*'⑫ Roll-out Plan'!$O$24</f>
        <v>204.24</v>
      </c>
      <c r="FJ189" s="9" t="n">
        <f aca="false">FJ187*$AC$185*FJ188*FJ$38*'⑫ Roll-out Plan'!$O$24</f>
        <v>177.6</v>
      </c>
      <c r="FK189" s="9" t="n">
        <f aca="false">FK187*$AC$185*FK188*FK$38*'⑫ Roll-out Plan'!$O$24</f>
        <v>186.48</v>
      </c>
      <c r="FL189" s="9" t="n">
        <f aca="false">FL187*$AC$185*FL188*FL$38*'⑫ Roll-out Plan'!$O$24</f>
        <v>315.24</v>
      </c>
      <c r="FM189" s="9" t="n">
        <f aca="false">FM187*$AC$185*FM188*FM$38*'⑫ Roll-out Plan'!$O$24</f>
        <v>257.52</v>
      </c>
      <c r="FN189" s="9" t="n">
        <f aca="false">FN187*$AC$185*FN188*FN$38*'⑫ Roll-out Plan'!$O$24</f>
        <v>213.12</v>
      </c>
      <c r="FO189" s="9" t="n">
        <f aca="false">FO187*$AC$185*FO188*FO$38*'⑫ Roll-out Plan'!$O$24</f>
        <v>159.84</v>
      </c>
      <c r="FP189" s="9" t="n">
        <f aca="false">FP187*$AC$185*FP188*FP$38*'⑫ Roll-out Plan'!$O$24</f>
        <v>226.44</v>
      </c>
    </row>
    <row r="190" customFormat="false" ht="15" hidden="false" customHeight="false" outlineLevel="2" collapsed="false">
      <c r="B190" s="9" t="s">
        <v>877</v>
      </c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112" t="n">
        <f aca="true">IFERROR(SUMPRODUCT(OFFSET($BJ$31,0,1-MIN(60,COLUMN()-29),1,MIN(60,COLUMN()-29)),OFFSET(AC189,0,-MIN(60,COLUMN()-29),1,MIN(60,COLUMN()-29))),0)</f>
        <v>0</v>
      </c>
      <c r="AD190" s="112" t="n">
        <f aca="true">IFERROR(SUMPRODUCT(OFFSET($BJ$31,0,1-MIN(60,COLUMN()-29),1,MIN(60,COLUMN()-29)),OFFSET(AD189,0,-MIN(60,COLUMN()-29),1,MIN(60,COLUMN()-29))),0)</f>
        <v>0</v>
      </c>
      <c r="AE190" s="112" t="n">
        <f aca="true">IFERROR(SUMPRODUCT(OFFSET($BJ$31,0,1-MIN(60,COLUMN()-29),1,MIN(60,COLUMN()-29)),OFFSET(AE189,0,-MIN(60,COLUMN()-29),1,MIN(60,COLUMN()-29))),0)</f>
        <v>0</v>
      </c>
      <c r="AF190" s="112" t="n">
        <f aca="true">IFERROR(SUMPRODUCT(OFFSET($BJ$31,0,1-MIN(60,COLUMN()-29),1,MIN(60,COLUMN()-29)),OFFSET(AF189,0,-MIN(60,COLUMN()-29),1,MIN(60,COLUMN()-29))),0)</f>
        <v>0</v>
      </c>
      <c r="AG190" s="112" t="n">
        <f aca="true">IFERROR(SUMPRODUCT(OFFSET($BJ$31,0,1-MIN(60,COLUMN()-29),1,MIN(60,COLUMN()-29)),OFFSET(AG189,0,-MIN(60,COLUMN()-29),1,MIN(60,COLUMN()-29))),0)</f>
        <v>0</v>
      </c>
      <c r="AH190" s="112" t="n">
        <f aca="true">IFERROR(SUMPRODUCT(OFFSET($BJ$31,0,1-MIN(60,COLUMN()-29),1,MIN(60,COLUMN()-29)),OFFSET(AH189,0,-MIN(60,COLUMN()-29),1,MIN(60,COLUMN()-29))),0)</f>
        <v>0</v>
      </c>
      <c r="AI190" s="112" t="n">
        <f aca="true">IFERROR(SUMPRODUCT(OFFSET($BJ$31,0,1-MIN(60,COLUMN()-29),1,MIN(60,COLUMN()-29)),OFFSET(AI189,0,-MIN(60,COLUMN()-29),1,MIN(60,COLUMN()-29))),0)</f>
        <v>0</v>
      </c>
      <c r="AJ190" s="112" t="n">
        <f aca="true">IFERROR(SUMPRODUCT(OFFSET($BJ$31,0,1-MIN(60,COLUMN()-29),1,MIN(60,COLUMN()-29)),OFFSET(AJ189,0,-MIN(60,COLUMN()-29),1,MIN(60,COLUMN()-29))),0)</f>
        <v>0</v>
      </c>
      <c r="AK190" s="112" t="n">
        <f aca="true">IFERROR(SUMPRODUCT(OFFSET($BJ$31,0,1-MIN(60,COLUMN()-29),1,MIN(60,COLUMN()-29)),OFFSET(AK189,0,-MIN(60,COLUMN()-29),1,MIN(60,COLUMN()-29))),0)</f>
        <v>0</v>
      </c>
      <c r="AL190" s="112" t="n">
        <f aca="true">IFERROR(SUMPRODUCT(OFFSET($BJ$31,0,1-MIN(60,COLUMN()-29),1,MIN(60,COLUMN()-29)),OFFSET(AL189,0,-MIN(60,COLUMN()-29),1,MIN(60,COLUMN()-29))),0)</f>
        <v>0</v>
      </c>
      <c r="AM190" s="112" t="n">
        <f aca="true">IFERROR(SUMPRODUCT(OFFSET($BJ$31,0,1-MIN(60,COLUMN()-29),1,MIN(60,COLUMN()-29)),OFFSET(AM189,0,-MIN(60,COLUMN()-29),1,MIN(60,COLUMN()-29))),0)</f>
        <v>0</v>
      </c>
      <c r="AN190" s="112" t="n">
        <f aca="true">IFERROR(SUMPRODUCT(OFFSET($BJ$31,0,1-MIN(60,COLUMN()-29),1,MIN(60,COLUMN()-29)),OFFSET(AN189,0,-MIN(60,COLUMN()-29),1,MIN(60,COLUMN()-29))),0)</f>
        <v>0</v>
      </c>
      <c r="AO190" s="112" t="n">
        <f aca="true">IFERROR(SUMPRODUCT(OFFSET($BJ$31,0,1-MIN(60,COLUMN()-29),1,MIN(60,COLUMN()-29)),OFFSET(AO189,0,-MIN(60,COLUMN()-29),1,MIN(60,COLUMN()-29))),0)</f>
        <v>0</v>
      </c>
      <c r="AP190" s="112" t="n">
        <f aca="true">IFERROR(SUMPRODUCT(OFFSET($BJ$31,0,1-MIN(60,COLUMN()-29),1,MIN(60,COLUMN()-29)),OFFSET(AP189,0,-MIN(60,COLUMN()-29),1,MIN(60,COLUMN()-29))),0)</f>
        <v>0</v>
      </c>
      <c r="AQ190" s="112" t="n">
        <f aca="true">IFERROR(SUMPRODUCT(OFFSET($BJ$31,0,1-MIN(60,COLUMN()-29),1,MIN(60,COLUMN()-29)),OFFSET(AQ189,0,-MIN(60,COLUMN()-29),1,MIN(60,COLUMN()-29))),0)</f>
        <v>0</v>
      </c>
      <c r="AR190" s="112" t="n">
        <f aca="true">IFERROR(SUMPRODUCT(OFFSET($BJ$31,0,1-MIN(60,COLUMN()-29),1,MIN(60,COLUMN()-29)),OFFSET(AR189,0,-MIN(60,COLUMN()-29),1,MIN(60,COLUMN()-29))),0)</f>
        <v>0</v>
      </c>
      <c r="AS190" s="112" t="n">
        <f aca="true">IFERROR(SUMPRODUCT(OFFSET($BJ$31,0,1-MIN(60,COLUMN()-29),1,MIN(60,COLUMN()-29)),OFFSET(AS189,0,-MIN(60,COLUMN()-29),1,MIN(60,COLUMN()-29))),0)</f>
        <v>0</v>
      </c>
      <c r="AT190" s="112" t="n">
        <f aca="true">IFERROR(SUMPRODUCT(OFFSET($BJ$31,0,1-MIN(60,COLUMN()-29),1,MIN(60,COLUMN()-29)),OFFSET(AT189,0,-MIN(60,COLUMN()-29),1,MIN(60,COLUMN()-29))),0)</f>
        <v>0</v>
      </c>
      <c r="AU190" s="112" t="n">
        <f aca="true">IFERROR(SUMPRODUCT(OFFSET($BJ$31,0,1-MIN(60,COLUMN()-29),1,MIN(60,COLUMN()-29)),OFFSET(AU189,0,-MIN(60,COLUMN()-29),1,MIN(60,COLUMN()-29))),0)</f>
        <v>0</v>
      </c>
      <c r="AV190" s="112" t="n">
        <f aca="true">IFERROR(SUMPRODUCT(OFFSET($BJ$31,0,1-MIN(60,COLUMN()-29),1,MIN(60,COLUMN()-29)),OFFSET(AV189,0,-MIN(60,COLUMN()-29),1,MIN(60,COLUMN()-29))),0)</f>
        <v>0</v>
      </c>
      <c r="AW190" s="112" t="n">
        <f aca="true">IFERROR(SUMPRODUCT(OFFSET($BJ$31,0,1-MIN(60,COLUMN()-29),1,MIN(60,COLUMN()-29)),OFFSET(AW189,0,-MIN(60,COLUMN()-29),1,MIN(60,COLUMN()-29))),0)</f>
        <v>0</v>
      </c>
      <c r="AX190" s="112" t="n">
        <f aca="true">IFERROR(SUMPRODUCT(OFFSET($BJ$31,0,1-MIN(60,COLUMN()-29),1,MIN(60,COLUMN()-29)),OFFSET(AX189,0,-MIN(60,COLUMN()-29),1,MIN(60,COLUMN()-29))),0)</f>
        <v>0</v>
      </c>
      <c r="AY190" s="112" t="n">
        <f aca="true">IFERROR(SUMPRODUCT(OFFSET($BJ$31,0,1-MIN(60,COLUMN()-29),1,MIN(60,COLUMN()-29)),OFFSET(AY189,0,-MIN(60,COLUMN()-29),1,MIN(60,COLUMN()-29))),0)</f>
        <v>0</v>
      </c>
      <c r="AZ190" s="112" t="n">
        <f aca="true">IFERROR(SUMPRODUCT(OFFSET($BJ$31,0,1-MIN(60,COLUMN()-29),1,MIN(60,COLUMN()-29)),OFFSET(AZ189,0,-MIN(60,COLUMN()-29),1,MIN(60,COLUMN()-29))),0)</f>
        <v>0</v>
      </c>
      <c r="BA190" s="112" t="n">
        <f aca="true">IFERROR(SUMPRODUCT(OFFSET($BJ$31,0,1-MIN(60,COLUMN()-29),1,MIN(60,COLUMN()-29)),OFFSET(BA189,0,-MIN(60,COLUMN()-29),1,MIN(60,COLUMN()-29))),0)</f>
        <v>0</v>
      </c>
      <c r="BB190" s="112" t="n">
        <f aca="true">IFERROR(SUMPRODUCT(OFFSET($BJ$31,0,1-MIN(60,COLUMN()-29),1,MIN(60,COLUMN()-29)),OFFSET(BB189,0,-MIN(60,COLUMN()-29),1,MIN(60,COLUMN()-29))),0)</f>
        <v>0</v>
      </c>
      <c r="BC190" s="112" t="n">
        <f aca="true">IFERROR(SUMPRODUCT(OFFSET($BJ$31,0,1-MIN(60,COLUMN()-29),1,MIN(60,COLUMN()-29)),OFFSET(BC189,0,-MIN(60,COLUMN()-29),1,MIN(60,COLUMN()-29))),0)</f>
        <v>0</v>
      </c>
      <c r="BD190" s="112" t="n">
        <f aca="true">IFERROR(SUMPRODUCT(OFFSET($BJ$31,0,1-MIN(60,COLUMN()-29),1,MIN(60,COLUMN()-29)),OFFSET(BD189,0,-MIN(60,COLUMN()-29),1,MIN(60,COLUMN()-29))),0)</f>
        <v>0</v>
      </c>
      <c r="BE190" s="112" t="n">
        <f aca="true">IFERROR(SUMPRODUCT(OFFSET($BJ$31,0,1-MIN(60,COLUMN()-29),1,MIN(60,COLUMN()-29)),OFFSET(BE189,0,-MIN(60,COLUMN()-29),1,MIN(60,COLUMN()-29))),0)</f>
        <v>0</v>
      </c>
      <c r="BF190" s="112" t="n">
        <f aca="true">IFERROR(SUMPRODUCT(OFFSET($BJ$31,0,1-MIN(60,COLUMN()-29),1,MIN(60,COLUMN()-29)),OFFSET(BF189,0,-MIN(60,COLUMN()-29),1,MIN(60,COLUMN()-29))),0)</f>
        <v>0</v>
      </c>
      <c r="BG190" s="112" t="n">
        <f aca="true">IFERROR(SUMPRODUCT(OFFSET($BJ$31,0,1-MIN(60,COLUMN()-29),1,MIN(60,COLUMN()-29)),OFFSET(BG189,0,-MIN(60,COLUMN()-29),1,MIN(60,COLUMN()-29))),0)</f>
        <v>0</v>
      </c>
      <c r="BH190" s="112" t="n">
        <f aca="true">IFERROR(SUMPRODUCT(OFFSET($BJ$31,0,1-MIN(60,COLUMN()-29),1,MIN(60,COLUMN()-29)),OFFSET(BH189,0,-MIN(60,COLUMN()-29),1,MIN(60,COLUMN()-29))),0)</f>
        <v>0</v>
      </c>
      <c r="BI190" s="112" t="n">
        <f aca="true">IFERROR(SUMPRODUCT(OFFSET($BJ$31,0,1-MIN(60,COLUMN()-29),1,MIN(60,COLUMN()-29)),OFFSET(BI189,0,-MIN(60,COLUMN()-29),1,MIN(60,COLUMN()-29))),0)</f>
        <v>0</v>
      </c>
      <c r="BJ190" s="112" t="n">
        <f aca="true">IFERROR(SUMPRODUCT(OFFSET($BJ$31,0,1-MIN(60,COLUMN()-29),1,MIN(60,COLUMN()-29)),OFFSET(BJ189,0,-MIN(60,COLUMN()-29),1,MIN(60,COLUMN()-29))),0)</f>
        <v>0</v>
      </c>
      <c r="BK190" s="112" t="n">
        <f aca="true">IFERROR(SUMPRODUCT(OFFSET($BJ$31,0,1-MIN(60,COLUMN()-29),1,MIN(60,COLUMN()-29)),OFFSET(BK189,0,-MIN(60,COLUMN()-29),1,MIN(60,COLUMN()-29))),0)</f>
        <v>0</v>
      </c>
      <c r="BL190" s="112" t="n">
        <f aca="true">IFERROR(SUMPRODUCT(OFFSET($BJ$31,0,1-MIN(60,COLUMN()-29),1,MIN(60,COLUMN()-29)),OFFSET(BL189,0,-MIN(60,COLUMN()-29),1,MIN(60,COLUMN()-29))),0)</f>
        <v>0</v>
      </c>
      <c r="BM190" s="112" t="n">
        <f aca="true">IFERROR(SUMPRODUCT(OFFSET($BJ$31,0,1-MIN(60,COLUMN()-29),1,MIN(60,COLUMN()-29)),OFFSET(BM189,0,-MIN(60,COLUMN()-29),1,MIN(60,COLUMN()-29))),0)</f>
        <v>0</v>
      </c>
      <c r="BN190" s="112" t="n">
        <f aca="true">IFERROR(SUMPRODUCT(OFFSET($BJ$31,0,1-MIN(60,COLUMN()-29),1,MIN(60,COLUMN()-29)),OFFSET(BN189,0,-MIN(60,COLUMN()-29),1,MIN(60,COLUMN()-29))),0)</f>
        <v>0</v>
      </c>
      <c r="BO190" s="112" t="n">
        <f aca="true">IFERROR(SUMPRODUCT(OFFSET($BJ$31,0,1-MIN(60,COLUMN()-29),1,MIN(60,COLUMN()-29)),OFFSET(BO189,0,-MIN(60,COLUMN()-29),1,MIN(60,COLUMN()-29))),0)</f>
        <v>0</v>
      </c>
      <c r="BP190" s="112" t="n">
        <f aca="true">IFERROR(SUMPRODUCT(OFFSET($BJ$31,0,1-MIN(60,COLUMN()-29),1,MIN(60,COLUMN()-29)),OFFSET(BP189,0,-MIN(60,COLUMN()-29),1,MIN(60,COLUMN()-29))),0)</f>
        <v>0</v>
      </c>
      <c r="BQ190" s="112" t="n">
        <f aca="true">IFERROR(SUMPRODUCT(OFFSET($BJ$31,0,1-MIN(60,COLUMN()-29),1,MIN(60,COLUMN()-29)),OFFSET(BQ189,0,-MIN(60,COLUMN()-29),1,MIN(60,COLUMN()-29))),0)</f>
        <v>0</v>
      </c>
      <c r="BR190" s="112" t="n">
        <f aca="true">IFERROR(SUMPRODUCT(OFFSET($BJ$31,0,1-MIN(60,COLUMN()-29),1,MIN(60,COLUMN()-29)),OFFSET(BR189,0,-MIN(60,COLUMN()-29),1,MIN(60,COLUMN()-29))),0)</f>
        <v>0</v>
      </c>
      <c r="BS190" s="112" t="n">
        <f aca="true">IFERROR(SUMPRODUCT(OFFSET($BJ$31,0,1-MIN(60,COLUMN()-29),1,MIN(60,COLUMN()-29)),OFFSET(BS189,0,-MIN(60,COLUMN()-29),1,MIN(60,COLUMN()-29))),0)</f>
        <v>0</v>
      </c>
      <c r="BT190" s="112" t="n">
        <f aca="true">IFERROR(SUMPRODUCT(OFFSET($BJ$31,0,1-MIN(60,COLUMN()-29),1,MIN(60,COLUMN()-29)),OFFSET(BT189,0,-MIN(60,COLUMN()-29),1,MIN(60,COLUMN()-29))),0)</f>
        <v>0</v>
      </c>
      <c r="BU190" s="112" t="n">
        <f aca="true">IFERROR(SUMPRODUCT(OFFSET($BJ$31,0,1-MIN(60,COLUMN()-29),1,MIN(60,COLUMN()-29)),OFFSET(BU189,0,-MIN(60,COLUMN()-29),1,MIN(60,COLUMN()-29))),0)</f>
        <v>0</v>
      </c>
      <c r="BV190" s="112" t="n">
        <f aca="true">IFERROR(SUMPRODUCT(OFFSET($BJ$31,0,1-MIN(60,COLUMN()-29),1,MIN(60,COLUMN()-29)),OFFSET(BV189,0,-MIN(60,COLUMN()-29),1,MIN(60,COLUMN()-29))),0)</f>
        <v>5.49376</v>
      </c>
      <c r="BW190" s="112" t="n">
        <f aca="true">IFERROR(SUMPRODUCT(OFFSET($BJ$31,0,1-MIN(60,COLUMN()-29),1,MIN(60,COLUMN()-29)),OFFSET(BW189,0,-MIN(60,COLUMN()-29),1,MIN(60,COLUMN()-29))),0)</f>
        <v>5.756608</v>
      </c>
      <c r="BX190" s="112" t="n">
        <f aca="true">IFERROR(SUMPRODUCT(OFFSET($BJ$31,0,1-MIN(60,COLUMN()-29),1,MIN(60,COLUMN()-29)),OFFSET(BX189,0,-MIN(60,COLUMN()-29),1,MIN(60,COLUMN()-29))),0)</f>
        <v>5.7409792</v>
      </c>
      <c r="BY190" s="112" t="n">
        <f aca="true">IFERROR(SUMPRODUCT(OFFSET($BJ$31,0,1-MIN(60,COLUMN()-29),1,MIN(60,COLUMN()-29)),OFFSET(BY189,0,-MIN(60,COLUMN()-29),1,MIN(60,COLUMN()-29))),0)</f>
        <v>8.5086976</v>
      </c>
      <c r="BZ190" s="112" t="n">
        <f aca="true">IFERROR(SUMPRODUCT(OFFSET($BJ$31,0,1-MIN(60,COLUMN()-29),1,MIN(60,COLUMN()-29)),OFFSET(BZ189,0,-MIN(60,COLUMN()-29),1,MIN(60,COLUMN()-29))),0)</f>
        <v>9.4300272</v>
      </c>
      <c r="CA190" s="112" t="n">
        <f aca="true">IFERROR(SUMPRODUCT(OFFSET($BJ$31,0,1-MIN(60,COLUMN()-29),1,MIN(60,COLUMN()-29)),OFFSET(CA189,0,-MIN(60,COLUMN()-29),1,MIN(60,COLUMN()-29))),0)</f>
        <v>9.1004608</v>
      </c>
      <c r="CB190" s="112" t="n">
        <f aca="true">IFERROR(SUMPRODUCT(OFFSET($BJ$31,0,1-MIN(60,COLUMN()-29),1,MIN(60,COLUMN()-29)),OFFSET(CB189,0,-MIN(60,COLUMN()-29),1,MIN(60,COLUMN()-29))),0)</f>
        <v>13.4834512</v>
      </c>
      <c r="CC190" s="112" t="n">
        <f aca="true">IFERROR(SUMPRODUCT(OFFSET($BJ$31,0,1-MIN(60,COLUMN()-29),1,MIN(60,COLUMN()-29)),OFFSET(CC189,0,-MIN(60,COLUMN()-29),1,MIN(60,COLUMN()-29))),0)</f>
        <v>14.6982944</v>
      </c>
      <c r="CD190" s="112" t="n">
        <f aca="true">IFERROR(SUMPRODUCT(OFFSET($BJ$31,0,1-MIN(60,COLUMN()-29),1,MIN(60,COLUMN()-29)),OFFSET(CD189,0,-MIN(60,COLUMN()-29),1,MIN(60,COLUMN()-29))),0)</f>
        <v>15.1404</v>
      </c>
      <c r="CE190" s="112" t="n">
        <f aca="true">IFERROR(SUMPRODUCT(OFFSET($BJ$31,0,1-MIN(60,COLUMN()-29),1,MIN(60,COLUMN()-29)),OFFSET(CE189,0,-MIN(60,COLUMN()-29),1,MIN(60,COLUMN()-29))),0)</f>
        <v>15.2020864</v>
      </c>
      <c r="CF190" s="112" t="n">
        <f aca="true">IFERROR(SUMPRODUCT(OFFSET($BJ$31,0,1-MIN(60,COLUMN()-29),1,MIN(60,COLUMN()-29)),OFFSET(CF189,0,-MIN(60,COLUMN()-29),1,MIN(60,COLUMN()-29))),0)</f>
        <v>16.573632</v>
      </c>
      <c r="CG190" s="112" t="n">
        <f aca="true">IFERROR(SUMPRODUCT(OFFSET($BJ$31,0,1-MIN(60,COLUMN()-29),1,MIN(60,COLUMN()-29)),OFFSET(CG189,0,-MIN(60,COLUMN()-29),1,MIN(60,COLUMN()-29))),0)</f>
        <v>25.693392</v>
      </c>
      <c r="CH190" s="112" t="n">
        <f aca="true">IFERROR(SUMPRODUCT(OFFSET($BJ$31,0,1-MIN(60,COLUMN()-29),1,MIN(60,COLUMN()-29)),OFFSET(CH189,0,-MIN(60,COLUMN()-29),1,MIN(60,COLUMN()-29))),0)</f>
        <v>26.9089456</v>
      </c>
      <c r="CI190" s="112" t="n">
        <f aca="true">IFERROR(SUMPRODUCT(OFFSET($BJ$31,0,1-MIN(60,COLUMN()-29),1,MIN(60,COLUMN()-29)),OFFSET(CI189,0,-MIN(60,COLUMN()-29),1,MIN(60,COLUMN()-29))),0)</f>
        <v>26.6739808</v>
      </c>
      <c r="CJ190" s="112" t="n">
        <f aca="true">IFERROR(SUMPRODUCT(OFFSET($BJ$31,0,1-MIN(60,COLUMN()-29),1,MIN(60,COLUMN()-29)),OFFSET(CJ189,0,-MIN(60,COLUMN()-29),1,MIN(60,COLUMN()-29))),0)</f>
        <v>24.304264</v>
      </c>
      <c r="CK190" s="112" t="n">
        <f aca="true">IFERROR(SUMPRODUCT(OFFSET($BJ$31,0,1-MIN(60,COLUMN()-29),1,MIN(60,COLUMN()-29)),OFFSET(CK189,0,-MIN(60,COLUMN()-29),1,MIN(60,COLUMN()-29))),0)</f>
        <v>33.2968032</v>
      </c>
      <c r="CL190" s="112" t="n">
        <f aca="true">IFERROR(SUMPRODUCT(OFFSET($BJ$31,0,1-MIN(60,COLUMN()-29),1,MIN(60,COLUMN()-29)),OFFSET(CL189,0,-MIN(60,COLUMN()-29),1,MIN(60,COLUMN()-29))),0)</f>
        <v>37.27253312</v>
      </c>
      <c r="CM190" s="112" t="n">
        <f aca="true">IFERROR(SUMPRODUCT(OFFSET($BJ$31,0,1-MIN(60,COLUMN()-29),1,MIN(60,COLUMN()-29)),OFFSET(CM189,0,-MIN(60,COLUMN()-29),1,MIN(60,COLUMN()-29))),0)</f>
        <v>36.96147264</v>
      </c>
      <c r="CN190" s="112" t="n">
        <f aca="true">IFERROR(SUMPRODUCT(OFFSET($BJ$31,0,1-MIN(60,COLUMN()-29),1,MIN(60,COLUMN()-29)),OFFSET(CN189,0,-MIN(60,COLUMN()-29),1,MIN(60,COLUMN()-29))),0)</f>
        <v>46.63532096</v>
      </c>
      <c r="CO190" s="112" t="n">
        <f aca="true">IFERROR(SUMPRODUCT(OFFSET($BJ$31,0,1-MIN(60,COLUMN()-29),1,MIN(60,COLUMN()-29)),OFFSET(CO189,0,-MIN(60,COLUMN()-29),1,MIN(60,COLUMN()-29))),0)</f>
        <v>48.59592876</v>
      </c>
      <c r="CP190" s="112" t="n">
        <f aca="true">IFERROR(SUMPRODUCT(OFFSET($BJ$31,0,1-MIN(60,COLUMN()-29),1,MIN(60,COLUMN()-29)),OFFSET(CP189,0,-MIN(60,COLUMN()-29),1,MIN(60,COLUMN()-29))),0)</f>
        <v>48.57777508</v>
      </c>
      <c r="CQ190" s="112" t="n">
        <f aca="true">IFERROR(SUMPRODUCT(OFFSET($BJ$31,0,1-MIN(60,COLUMN()-29),1,MIN(60,COLUMN()-29)),OFFSET(CQ189,0,-MIN(60,COLUMN()-29),1,MIN(60,COLUMN()-29))),0)</f>
        <v>48.57107512</v>
      </c>
      <c r="CR190" s="112" t="n">
        <f aca="true">IFERROR(SUMPRODUCT(OFFSET($BJ$31,0,1-MIN(60,COLUMN()-29),1,MIN(60,COLUMN()-29)),OFFSET(CR189,0,-MIN(60,COLUMN()-29),1,MIN(60,COLUMN()-29))),0)</f>
        <v>53.45429664</v>
      </c>
      <c r="CS190" s="112" t="n">
        <f aca="true">IFERROR(SUMPRODUCT(OFFSET($BJ$31,0,1-MIN(60,COLUMN()-29),1,MIN(60,COLUMN()-29)),OFFSET(CS189,0,-MIN(60,COLUMN()-29),1,MIN(60,COLUMN()-29))),0)</f>
        <v>70.32443628</v>
      </c>
      <c r="CT190" s="112" t="n">
        <f aca="true">IFERROR(SUMPRODUCT(OFFSET($BJ$31,0,1-MIN(60,COLUMN()-29),1,MIN(60,COLUMN()-29)),OFFSET(CT189,0,-MIN(60,COLUMN()-29),1,MIN(60,COLUMN()-29))),0)</f>
        <v>69.99759308</v>
      </c>
      <c r="CU190" s="112" t="n">
        <f aca="true">IFERROR(SUMPRODUCT(OFFSET($BJ$31,0,1-MIN(60,COLUMN()-29),1,MIN(60,COLUMN()-29)),OFFSET(CU189,0,-MIN(60,COLUMN()-29),1,MIN(60,COLUMN()-29))),0)</f>
        <v>68.78612428</v>
      </c>
      <c r="CV190" s="112" t="n">
        <f aca="true">IFERROR(SUMPRODUCT(OFFSET($BJ$31,0,1-MIN(60,COLUMN()-29),1,MIN(60,COLUMN()-29)),OFFSET(CV189,0,-MIN(60,COLUMN()-29),1,MIN(60,COLUMN()-29))),0)</f>
        <v>66.2236878</v>
      </c>
      <c r="CW190" s="112" t="n">
        <f aca="true">IFERROR(SUMPRODUCT(OFFSET($BJ$31,0,1-MIN(60,COLUMN()-29),1,MIN(60,COLUMN()-29)),OFFSET(CW189,0,-MIN(60,COLUMN()-29),1,MIN(60,COLUMN()-29))),0)</f>
        <v>79.34762332</v>
      </c>
      <c r="CX190" s="112" t="n">
        <f aca="true">IFERROR(SUMPRODUCT(OFFSET($BJ$31,0,1-MIN(60,COLUMN()-29),1,MIN(60,COLUMN()-29)),OFFSET(CX189,0,-MIN(60,COLUMN()-29),1,MIN(60,COLUMN()-29))),0)</f>
        <v>84.25404828</v>
      </c>
      <c r="CY190" s="112" t="n">
        <f aca="true">IFERROR(SUMPRODUCT(OFFSET($BJ$31,0,1-MIN(60,COLUMN()-29),1,MIN(60,COLUMN()-29)),OFFSET(CY189,0,-MIN(60,COLUMN()-29),1,MIN(60,COLUMN()-29))),0)</f>
        <v>83.82986844</v>
      </c>
      <c r="CZ190" s="112" t="n">
        <f aca="true">IFERROR(SUMPRODUCT(OFFSET($BJ$31,0,1-MIN(60,COLUMN()-29),1,MIN(60,COLUMN()-29)),OFFSET(CZ189,0,-MIN(60,COLUMN()-29),1,MIN(60,COLUMN()-29))),0)</f>
        <v>95.96968092</v>
      </c>
      <c r="DA190" s="112" t="n">
        <f aca="true">IFERROR(SUMPRODUCT(OFFSET($BJ$31,0,1-MIN(60,COLUMN()-29),1,MIN(60,COLUMN()-29)),OFFSET(DA189,0,-MIN(60,COLUMN()-29),1,MIN(60,COLUMN()-29))),0)</f>
        <v>99.75560676</v>
      </c>
      <c r="DB190" s="112" t="n">
        <f aca="true">IFERROR(SUMPRODUCT(OFFSET($BJ$31,0,1-MIN(60,COLUMN()-29),1,MIN(60,COLUMN()-29)),OFFSET(DB189,0,-MIN(60,COLUMN()-29),1,MIN(60,COLUMN()-29))),0)</f>
        <v>100.98292932</v>
      </c>
      <c r="DC190" s="112" t="n">
        <f aca="true">IFERROR(SUMPRODUCT(OFFSET($BJ$31,0,1-MIN(60,COLUMN()-29),1,MIN(60,COLUMN()-29)),OFFSET(DC189,0,-MIN(60,COLUMN()-29),1,MIN(60,COLUMN()-29))),0)</f>
        <v>101.36518668</v>
      </c>
      <c r="DD190" s="112" t="n">
        <f aca="true">IFERROR(SUMPRODUCT(OFFSET($BJ$31,0,1-MIN(60,COLUMN()-29),1,MIN(60,COLUMN()-29)),OFFSET(DD189,0,-MIN(60,COLUMN()-29),1,MIN(60,COLUMN()-29))),0)</f>
        <v>109.0619622</v>
      </c>
      <c r="DE190" s="112" t="n">
        <f aca="true">IFERROR(SUMPRODUCT(OFFSET($BJ$31,0,1-MIN(60,COLUMN()-29),1,MIN(60,COLUMN()-29)),OFFSET(DE189,0,-MIN(60,COLUMN()-29),1,MIN(60,COLUMN()-29))),0)</f>
        <v>130.54640292</v>
      </c>
      <c r="DF190" s="112" t="n">
        <f aca="true">IFERROR(SUMPRODUCT(OFFSET($BJ$31,0,1-MIN(60,COLUMN()-29),1,MIN(60,COLUMN()-29)),OFFSET(DF189,0,-MIN(60,COLUMN()-29),1,MIN(60,COLUMN()-29))),0)</f>
        <v>130.70803668</v>
      </c>
      <c r="DG190" s="112" t="n">
        <f aca="true">IFERROR(SUMPRODUCT(OFFSET($BJ$31,0,1-MIN(60,COLUMN()-29),1,MIN(60,COLUMN()-29)),OFFSET(DG189,0,-MIN(60,COLUMN()-29),1,MIN(60,COLUMN()-29))),0)</f>
        <v>129.8859618</v>
      </c>
      <c r="DH190" s="112" t="n">
        <f aca="true">IFERROR(SUMPRODUCT(OFFSET($BJ$31,0,1-MIN(60,COLUMN()-29),1,MIN(60,COLUMN()-29)),OFFSET(DH189,0,-MIN(60,COLUMN()-29),1,MIN(60,COLUMN()-29))),0)</f>
        <v>127.05968868</v>
      </c>
      <c r="DI190" s="112" t="n">
        <f aca="true">IFERROR(SUMPRODUCT(OFFSET($BJ$31,0,1-MIN(60,COLUMN()-29),1,MIN(60,COLUMN()-29)),OFFSET(DI189,0,-MIN(60,COLUMN()-29),1,MIN(60,COLUMN()-29))),0)</f>
        <v>143.03455116</v>
      </c>
      <c r="DJ190" s="112" t="n">
        <f aca="true">IFERROR(SUMPRODUCT(OFFSET($BJ$31,0,1-MIN(60,COLUMN()-29),1,MIN(60,COLUMN()-29)),OFFSET(DJ189,0,-MIN(60,COLUMN()-29),1,MIN(60,COLUMN()-29))),0)</f>
        <v>149.78038524</v>
      </c>
      <c r="DK190" s="112" t="n">
        <f aca="true">IFERROR(SUMPRODUCT(OFFSET($BJ$31,0,1-MIN(60,COLUMN()-29),1,MIN(60,COLUMN()-29)),OFFSET(DK189,0,-MIN(60,COLUMN()-29),1,MIN(60,COLUMN()-29))),0)</f>
        <v>150.11086332</v>
      </c>
      <c r="DL190" s="112" t="n">
        <f aca="true">IFERROR(SUMPRODUCT(OFFSET($BJ$31,0,1-MIN(60,COLUMN()-29),1,MIN(60,COLUMN()-29)),OFFSET(DL189,0,-MIN(60,COLUMN()-29),1,MIN(60,COLUMN()-29))),0)</f>
        <v>164.96490108</v>
      </c>
      <c r="DM190" s="112" t="n">
        <f aca="true">IFERROR(SUMPRODUCT(OFFSET($BJ$31,0,1-MIN(60,COLUMN()-29),1,MIN(60,COLUMN()-29)),OFFSET(DM189,0,-MIN(60,COLUMN()-29),1,MIN(60,COLUMN()-29))),0)</f>
        <v>169.46233692</v>
      </c>
      <c r="DN190" s="112" t="n">
        <f aca="true">IFERROR(SUMPRODUCT(OFFSET($BJ$31,0,1-MIN(60,COLUMN()-29),1,MIN(60,COLUMN()-29)),OFFSET(DN189,0,-MIN(60,COLUMN()-29),1,MIN(60,COLUMN()-29))),0)</f>
        <v>170.88855372</v>
      </c>
      <c r="DO190" s="112" t="n">
        <f aca="true">IFERROR(SUMPRODUCT(OFFSET($BJ$31,0,1-MIN(60,COLUMN()-29),1,MIN(60,COLUMN()-29)),OFFSET(DO189,0,-MIN(60,COLUMN()-29),1,MIN(60,COLUMN()-29))),0)</f>
        <v>171.06735252</v>
      </c>
      <c r="DP190" s="112" t="n">
        <f aca="true">IFERROR(SUMPRODUCT(OFFSET($BJ$31,0,1-MIN(60,COLUMN()-29),1,MIN(60,COLUMN()-29)),OFFSET(DP189,0,-MIN(60,COLUMN()-29),1,MIN(60,COLUMN()-29))),0)</f>
        <v>179.89062708</v>
      </c>
      <c r="DQ190" s="112" t="n">
        <f aca="true">IFERROR(SUMPRODUCT(OFFSET($BJ$31,0,1-MIN(60,COLUMN()-29),1,MIN(60,COLUMN()-29)),OFFSET(DQ189,0,-MIN(60,COLUMN()-29),1,MIN(60,COLUMN()-29))),0)</f>
        <v>203.3535762</v>
      </c>
      <c r="DR190" s="112" t="n">
        <f aca="true">IFERROR(SUMPRODUCT(OFFSET($BJ$31,0,1-MIN(60,COLUMN()-29),1,MIN(60,COLUMN()-29)),OFFSET(DR189,0,-MIN(60,COLUMN()-29),1,MIN(60,COLUMN()-29))),0)</f>
        <v>202.88412612</v>
      </c>
      <c r="DS190" s="112" t="n">
        <f aca="true">IFERROR(SUMPRODUCT(OFFSET($BJ$31,0,1-MIN(60,COLUMN()-29),1,MIN(60,COLUMN()-29)),OFFSET(DS189,0,-MIN(60,COLUMN()-29),1,MIN(60,COLUMN()-29))),0)</f>
        <v>201.20296452</v>
      </c>
      <c r="DT190" s="112" t="n">
        <f aca="true">IFERROR(SUMPRODUCT(OFFSET($BJ$31,0,1-MIN(60,COLUMN()-29),1,MIN(60,COLUMN()-29)),OFFSET(DT189,0,-MIN(60,COLUMN()-29),1,MIN(60,COLUMN()-29))),0)</f>
        <v>197.50266852</v>
      </c>
      <c r="DU190" s="112" t="n">
        <f aca="true">IFERROR(SUMPRODUCT(OFFSET($BJ$31,0,1-MIN(60,COLUMN()-29),1,MIN(60,COLUMN()-29)),OFFSET(DU189,0,-MIN(60,COLUMN()-29),1,MIN(60,COLUMN()-29))),0)</f>
        <v>214.16600184</v>
      </c>
      <c r="DV190" s="112" t="n">
        <f aca="true">IFERROR(SUMPRODUCT(OFFSET($BJ$31,0,1-MIN(60,COLUMN()-29),1,MIN(60,COLUMN()-29)),OFFSET(DV189,0,-MIN(60,COLUMN()-29),1,MIN(60,COLUMN()-29))),0)</f>
        <v>220.2567672</v>
      </c>
      <c r="DW190" s="112" t="n">
        <f aca="true">IFERROR(SUMPRODUCT(OFFSET($BJ$31,0,1-MIN(60,COLUMN()-29),1,MIN(60,COLUMN()-29)),OFFSET(DW189,0,-MIN(60,COLUMN()-29),1,MIN(60,COLUMN()-29))),0)</f>
        <v>220.19484252</v>
      </c>
      <c r="DX190" s="112" t="n">
        <f aca="true">IFERROR(SUMPRODUCT(OFFSET($BJ$31,0,1-MIN(60,COLUMN()-29),1,MIN(60,COLUMN()-29)),OFFSET(DX189,0,-MIN(60,COLUMN()-29),1,MIN(60,COLUMN()-29))),0)</f>
        <v>234.28442772</v>
      </c>
      <c r="DY190" s="112" t="n">
        <f aca="true">IFERROR(SUMPRODUCT(OFFSET($BJ$31,0,1-MIN(60,COLUMN()-29),1,MIN(60,COLUMN()-29)),OFFSET(DY189,0,-MIN(60,COLUMN()-29),1,MIN(60,COLUMN()-29))),0)</f>
        <v>237.54786768</v>
      </c>
      <c r="DZ190" s="112" t="n">
        <f aca="true">IFERROR(SUMPRODUCT(OFFSET($BJ$31,0,1-MIN(60,COLUMN()-29),1,MIN(60,COLUMN()-29)),OFFSET(DZ189,0,-MIN(60,COLUMN()-29),1,MIN(60,COLUMN()-29))),0)</f>
        <v>238.15950432</v>
      </c>
      <c r="EA190" s="112" t="n">
        <f aca="true">IFERROR(SUMPRODUCT(OFFSET($BJ$31,0,1-MIN(60,COLUMN()-29),1,MIN(60,COLUMN()-29)),OFFSET(EA189,0,-MIN(60,COLUMN()-29),1,MIN(60,COLUMN()-29))),0)</f>
        <v>237.62007984</v>
      </c>
      <c r="EB190" s="112" t="n">
        <f aca="true">IFERROR(SUMPRODUCT(OFFSET($BJ$31,0,1-MIN(60,COLUMN()-29),1,MIN(60,COLUMN()-29)),OFFSET(EB189,0,-MIN(60,COLUMN()-29),1,MIN(60,COLUMN()-29))),0)</f>
        <v>246.08444256</v>
      </c>
      <c r="EC190" s="112" t="n">
        <f aca="true">IFERROR(SUMPRODUCT(OFFSET($BJ$31,0,1-MIN(60,COLUMN()-29),1,MIN(60,COLUMN()-29)),OFFSET(EC189,0,-MIN(60,COLUMN()-29),1,MIN(60,COLUMN()-29))),0)</f>
        <v>268.12238256</v>
      </c>
      <c r="ED190" s="112" t="n">
        <f aca="true">IFERROR(SUMPRODUCT(OFFSET($BJ$31,0,1-MIN(60,COLUMN()-29),1,MIN(60,COLUMN()-29)),OFFSET(ED189,0,-MIN(60,COLUMN()-29),1,MIN(60,COLUMN()-29))),0)</f>
        <v>266.14391856</v>
      </c>
      <c r="EE190" s="112" t="n">
        <f aca="true">IFERROR(SUMPRODUCT(OFFSET($BJ$31,0,1-MIN(60,COLUMN()-29),1,MIN(60,COLUMN()-29)),OFFSET(EE189,0,-MIN(60,COLUMN()-29),1,MIN(60,COLUMN()-29))),0)</f>
        <v>262.95280176</v>
      </c>
      <c r="EF190" s="112" t="n">
        <f aca="true">IFERROR(SUMPRODUCT(OFFSET($BJ$31,0,1-MIN(60,COLUMN()-29),1,MIN(60,COLUMN()-29)),OFFSET(EF189,0,-MIN(60,COLUMN()-29),1,MIN(60,COLUMN()-29))),0)</f>
        <v>258.35793456</v>
      </c>
      <c r="EG190" s="112" t="n">
        <f aca="true">IFERROR(SUMPRODUCT(OFFSET($BJ$31,0,1-MIN(60,COLUMN()-29),1,MIN(60,COLUMN()-29)),OFFSET(EG189,0,-MIN(60,COLUMN()-29),1,MIN(60,COLUMN()-29))),0)</f>
        <v>273.43355496</v>
      </c>
      <c r="EH190" s="112" t="n">
        <f aca="true">IFERROR(SUMPRODUCT(OFFSET($BJ$31,0,1-MIN(60,COLUMN()-29),1,MIN(60,COLUMN()-29)),OFFSET(EH189,0,-MIN(60,COLUMN()-29),1,MIN(60,COLUMN()-29))),0)</f>
        <v>277.36402056</v>
      </c>
      <c r="EI190" s="112" t="n">
        <f aca="true">IFERROR(SUMPRODUCT(OFFSET($BJ$31,0,1-MIN(60,COLUMN()-29),1,MIN(60,COLUMN()-29)),OFFSET(EI189,0,-MIN(60,COLUMN()-29),1,MIN(60,COLUMN()-29))),0)</f>
        <v>275.61257376</v>
      </c>
      <c r="EJ190" s="112" t="n">
        <f aca="true">IFERROR(SUMPRODUCT(OFFSET($BJ$31,0,1-MIN(60,COLUMN()-29),1,MIN(60,COLUMN()-29)),OFFSET(EJ189,0,-MIN(60,COLUMN()-29),1,MIN(60,COLUMN()-29))),0)</f>
        <v>287.07265776</v>
      </c>
      <c r="EK190" s="112" t="n">
        <f aca="true">IFERROR(SUMPRODUCT(OFFSET($BJ$31,0,1-MIN(60,COLUMN()-29),1,MIN(60,COLUMN()-29)),OFFSET(EK189,0,-MIN(60,COLUMN()-29),1,MIN(60,COLUMN()-29))),0)</f>
        <v>287.94045576</v>
      </c>
      <c r="EL190" s="112" t="n">
        <f aca="true">IFERROR(SUMPRODUCT(OFFSET($BJ$31,0,1-MIN(60,COLUMN()-29),1,MIN(60,COLUMN()-29)),OFFSET(EL189,0,-MIN(60,COLUMN()-29),1,MIN(60,COLUMN()-29))),0)</f>
        <v>286.50287256</v>
      </c>
      <c r="EM190" s="112" t="n">
        <f aca="true">IFERROR(SUMPRODUCT(OFFSET($BJ$31,0,1-MIN(60,COLUMN()-29),1,MIN(60,COLUMN()-29)),OFFSET(EM189,0,-MIN(60,COLUMN()-29),1,MIN(60,COLUMN()-29))),0)</f>
        <v>284.07419256</v>
      </c>
      <c r="EN190" s="112" t="n">
        <f aca="true">IFERROR(SUMPRODUCT(OFFSET($BJ$31,0,1-MIN(60,COLUMN()-29),1,MIN(60,COLUMN()-29)),OFFSET(EN189,0,-MIN(60,COLUMN()-29),1,MIN(60,COLUMN()-29))),0)</f>
        <v>290.48457576</v>
      </c>
      <c r="EO190" s="112" t="n">
        <f aca="true">IFERROR(SUMPRODUCT(OFFSET($BJ$31,0,1-MIN(60,COLUMN()-29),1,MIN(60,COLUMN()-29)),OFFSET(EO189,0,-MIN(60,COLUMN()-29),1,MIN(60,COLUMN()-29))),0)</f>
        <v>308.86888416</v>
      </c>
      <c r="EP190" s="112" t="n">
        <f aca="true">IFERROR(SUMPRODUCT(OFFSET($BJ$31,0,1-MIN(60,COLUMN()-29),1,MIN(60,COLUMN()-29)),OFFSET(EP189,0,-MIN(60,COLUMN()-29),1,MIN(60,COLUMN()-29))),0)</f>
        <v>304.52896176</v>
      </c>
      <c r="EQ190" s="112" t="n">
        <f aca="true">IFERROR(SUMPRODUCT(OFFSET($BJ$31,0,1-MIN(60,COLUMN()-29),1,MIN(60,COLUMN()-29)),OFFSET(EQ189,0,-MIN(60,COLUMN()-29),1,MIN(60,COLUMN()-29))),0)</f>
        <v>299.40697776</v>
      </c>
      <c r="ER190" s="112" t="n">
        <f aca="true">IFERROR(SUMPRODUCT(OFFSET($BJ$31,0,1-MIN(60,COLUMN()-29),1,MIN(60,COLUMN()-29)),OFFSET(ER189,0,-MIN(60,COLUMN()-29),1,MIN(60,COLUMN()-29))),0)</f>
        <v>293.35436976</v>
      </c>
      <c r="ES190" s="9" t="n">
        <f aca="true">IFERROR(SUMPRODUCT(OFFSET($BJ$31,0,1-MIN(60,COLUMN()-29),1,MIN(60,COLUMN()-29)),OFFSET(ES189,0,-MIN(60,COLUMN()-29),1,MIN(60,COLUMN()-29))),0)</f>
        <v>306.39610608</v>
      </c>
      <c r="ET190" s="9" t="n">
        <f aca="true">IFERROR(SUMPRODUCT(OFFSET($BJ$31,0,1-MIN(60,COLUMN()-29),1,MIN(60,COLUMN()-29)),OFFSET(ET189,0,-MIN(60,COLUMN()-29),1,MIN(60,COLUMN()-29))),0)</f>
        <v>308.14139904</v>
      </c>
      <c r="EU190" s="9" t="n">
        <f aca="true">IFERROR(SUMPRODUCT(OFFSET($BJ$31,0,1-MIN(60,COLUMN()-29),1,MIN(60,COLUMN()-29)),OFFSET(EU189,0,-MIN(60,COLUMN()-29),1,MIN(60,COLUMN()-29))),0)</f>
        <v>304.8214956</v>
      </c>
      <c r="EV190" s="9" t="n">
        <f aca="true">IFERROR(SUMPRODUCT(OFFSET($BJ$31,0,1-MIN(60,COLUMN()-29),1,MIN(60,COLUMN()-29)),OFFSET(EV189,0,-MIN(60,COLUMN()-29),1,MIN(60,COLUMN()-29))),0)</f>
        <v>314.15085912</v>
      </c>
      <c r="EW190" s="9" t="n">
        <f aca="true">IFERROR(SUMPRODUCT(OFFSET($BJ$31,0,1-MIN(60,COLUMN()-29),1,MIN(60,COLUMN()-29)),OFFSET(EW189,0,-MIN(60,COLUMN()-29),1,MIN(60,COLUMN()-29))),0)</f>
        <v>313.04210232</v>
      </c>
      <c r="EX190" s="9" t="n">
        <f aca="true">IFERROR(SUMPRODUCT(OFFSET($BJ$31,0,1-MIN(60,COLUMN()-29),1,MIN(60,COLUMN()-29)),OFFSET(EX189,0,-MIN(60,COLUMN()-29),1,MIN(60,COLUMN()-29))),0)</f>
        <v>310.04575944</v>
      </c>
      <c r="EY190" s="9" t="n">
        <f aca="true">IFERROR(SUMPRODUCT(OFFSET($BJ$31,0,1-MIN(60,COLUMN()-29),1,MIN(60,COLUMN()-29)),OFFSET(EY189,0,-MIN(60,COLUMN()-29),1,MIN(60,COLUMN()-29))),0)</f>
        <v>306.23712744</v>
      </c>
      <c r="EZ190" s="9" t="n">
        <f aca="true">IFERROR(SUMPRODUCT(OFFSET($BJ$31,0,1-MIN(60,COLUMN()-29),1,MIN(60,COLUMN()-29)),OFFSET(EZ189,0,-MIN(60,COLUMN()-29),1,MIN(60,COLUMN()-29))),0)</f>
        <v>311.2903092</v>
      </c>
      <c r="FA190" s="9" t="n">
        <f aca="true">IFERROR(SUMPRODUCT(OFFSET($BJ$31,0,1-MIN(60,COLUMN()-29),1,MIN(60,COLUMN()-29)),OFFSET(FA189,0,-MIN(60,COLUMN()-29),1,MIN(60,COLUMN()-29))),0)</f>
        <v>327.44082696</v>
      </c>
      <c r="FB190" s="9" t="n">
        <f aca="true">IFERROR(SUMPRODUCT(OFFSET($BJ$31,0,1-MIN(60,COLUMN()-29),1,MIN(60,COLUMN()-29)),OFFSET(FB189,0,-MIN(60,COLUMN()-29),1,MIN(60,COLUMN()-29))),0)</f>
        <v>321.36109944</v>
      </c>
      <c r="FC190" s="9" t="n">
        <f aca="true">IFERROR(SUMPRODUCT(OFFSET($BJ$31,0,1-MIN(60,COLUMN()-29),1,MIN(60,COLUMN()-29)),OFFSET(FC189,0,-MIN(60,COLUMN()-29),1,MIN(60,COLUMN()-29))),0)</f>
        <v>314.87088504</v>
      </c>
      <c r="FD190" s="9" t="n">
        <f aca="true">IFERROR(SUMPRODUCT(OFFSET($BJ$31,0,1-MIN(60,COLUMN()-29),1,MIN(60,COLUMN()-29)),OFFSET(FD189,0,-MIN(60,COLUMN()-29),1,MIN(60,COLUMN()-29))),0)</f>
        <v>307.77004632</v>
      </c>
      <c r="FE190" s="9" t="n">
        <f aca="true">IFERROR(SUMPRODUCT(OFFSET($BJ$31,0,1-MIN(60,COLUMN()-29),1,MIN(60,COLUMN()-29)),OFFSET(FE189,0,-MIN(60,COLUMN()-29),1,MIN(60,COLUMN()-29))),0)</f>
        <v>319.75340208</v>
      </c>
      <c r="FF190" s="9" t="n">
        <f aca="true">IFERROR(SUMPRODUCT(OFFSET($BJ$31,0,1-MIN(60,COLUMN()-29),1,MIN(60,COLUMN()-29)),OFFSET(FF189,0,-MIN(60,COLUMN()-29),1,MIN(60,COLUMN()-29))),0)</f>
        <v>320.41114368</v>
      </c>
      <c r="FG190" s="9" t="n">
        <f aca="true">IFERROR(SUMPRODUCT(OFFSET($BJ$31,0,1-MIN(60,COLUMN()-29),1,MIN(60,COLUMN()-29)),OFFSET(FG189,0,-MIN(60,COLUMN()-29),1,MIN(60,COLUMN()-29))),0)</f>
        <v>316.31684208</v>
      </c>
      <c r="FH190" s="9" t="n">
        <f aca="true">IFERROR(SUMPRODUCT(OFFSET($BJ$31,0,1-MIN(60,COLUMN()-29),1,MIN(60,COLUMN()-29)),OFFSET(FH189,0,-MIN(60,COLUMN()-29),1,MIN(60,COLUMN()-29))),0)</f>
        <v>324.5877984</v>
      </c>
      <c r="FI190" s="9" t="n">
        <f aca="true">IFERROR(SUMPRODUCT(OFFSET($BJ$31,0,1-MIN(60,COLUMN()-29),1,MIN(60,COLUMN()-29)),OFFSET(FI189,0,-MIN(60,COLUMN()-29),1,MIN(60,COLUMN()-29))),0)</f>
        <v>322.44168</v>
      </c>
      <c r="FJ190" s="9" t="n">
        <f aca="true">IFERROR(SUMPRODUCT(OFFSET($BJ$31,0,1-MIN(60,COLUMN()-29),1,MIN(60,COLUMN()-29)),OFFSET(FJ189,0,-MIN(60,COLUMN()-29),1,MIN(60,COLUMN()-29))),0)</f>
        <v>318.63777216</v>
      </c>
      <c r="FK190" s="9" t="n">
        <f aca="true">IFERROR(SUMPRODUCT(OFFSET($BJ$31,0,1-MIN(60,COLUMN()-29),1,MIN(60,COLUMN()-29)),OFFSET(FK189,0,-MIN(60,COLUMN()-29),1,MIN(60,COLUMN()-29))),0)</f>
        <v>314.17912416</v>
      </c>
      <c r="FL190" s="9" t="n">
        <f aca="true">IFERROR(SUMPRODUCT(OFFSET($BJ$31,0,1-MIN(60,COLUMN()-29),1,MIN(60,COLUMN()-29)),OFFSET(FL189,0,-MIN(60,COLUMN()-29),1,MIN(60,COLUMN()-29))),0)</f>
        <v>318.60349536</v>
      </c>
      <c r="FM190" s="9" t="n">
        <f aca="true">IFERROR(SUMPRODUCT(OFFSET($BJ$31,0,1-MIN(60,COLUMN()-29),1,MIN(60,COLUMN()-29)),OFFSET(FM189,0,-MIN(60,COLUMN()-29),1,MIN(60,COLUMN()-29))),0)</f>
        <v>333.78559584</v>
      </c>
      <c r="FN190" s="9" t="n">
        <f aca="true">IFERROR(SUMPRODUCT(OFFSET($BJ$31,0,1-MIN(60,COLUMN()-29),1,MIN(60,COLUMN()-29)),OFFSET(FN189,0,-MIN(60,COLUMN()-29),1,MIN(60,COLUMN()-29))),0)</f>
        <v>326.916312</v>
      </c>
      <c r="FO190" s="9" t="n">
        <f aca="true">IFERROR(SUMPRODUCT(OFFSET($BJ$31,0,1-MIN(60,COLUMN()-29),1,MIN(60,COLUMN()-29)),OFFSET(FO189,0,-MIN(60,COLUMN()-29),1,MIN(60,COLUMN()-29))),0)</f>
        <v>319.80463968</v>
      </c>
      <c r="FP190" s="9" t="n">
        <f aca="true">IFERROR(SUMPRODUCT(OFFSET($BJ$31,0,1-MIN(60,COLUMN()-29),1,MIN(60,COLUMN()-29)),OFFSET(FP189,0,-MIN(60,COLUMN()-29),1,MIN(60,COLUMN()-29))),0)</f>
        <v>312.28470048</v>
      </c>
    </row>
    <row r="191" customFormat="false" ht="15" hidden="false" customHeight="false" outlineLevel="2" collapsed="false">
      <c r="B191" s="90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237"/>
      <c r="AD191" s="237"/>
      <c r="AE191" s="237"/>
      <c r="AF191" s="237"/>
      <c r="AG191" s="237"/>
      <c r="AH191" s="237"/>
      <c r="AI191" s="237"/>
      <c r="AJ191" s="237"/>
      <c r="AK191" s="237"/>
      <c r="AL191" s="237"/>
      <c r="AM191" s="237"/>
      <c r="AN191" s="237"/>
      <c r="AO191" s="237"/>
      <c r="AP191" s="237"/>
      <c r="AQ191" s="237"/>
      <c r="AR191" s="237"/>
      <c r="AS191" s="237"/>
      <c r="AT191" s="237"/>
      <c r="AU191" s="237"/>
      <c r="AV191" s="237"/>
      <c r="AW191" s="237"/>
      <c r="AX191" s="237"/>
      <c r="AY191" s="237"/>
      <c r="AZ191" s="237"/>
      <c r="BA191" s="237"/>
      <c r="BB191" s="237"/>
      <c r="BC191" s="237"/>
      <c r="BD191" s="237"/>
      <c r="BE191" s="237"/>
      <c r="BF191" s="237"/>
      <c r="BG191" s="237"/>
      <c r="BH191" s="237"/>
      <c r="BI191" s="237"/>
      <c r="BJ191" s="237"/>
      <c r="BK191" s="237"/>
      <c r="BL191" s="237"/>
      <c r="BM191" s="237"/>
      <c r="BN191" s="237"/>
      <c r="BO191" s="237"/>
      <c r="BP191" s="237"/>
      <c r="BQ191" s="237"/>
      <c r="BR191" s="237"/>
      <c r="BS191" s="237"/>
      <c r="BT191" s="237"/>
      <c r="BU191" s="237"/>
      <c r="BV191" s="237"/>
      <c r="BW191" s="237"/>
      <c r="BX191" s="237"/>
      <c r="BY191" s="237"/>
      <c r="BZ191" s="237"/>
      <c r="CA191" s="237"/>
      <c r="CB191" s="237"/>
      <c r="CC191" s="237"/>
      <c r="CD191" s="237"/>
      <c r="CE191" s="237"/>
      <c r="CF191" s="237"/>
      <c r="CG191" s="237"/>
      <c r="CH191" s="237"/>
      <c r="CI191" s="237"/>
      <c r="CJ191" s="237"/>
      <c r="CK191" s="237"/>
      <c r="CL191" s="237"/>
      <c r="CM191" s="237"/>
      <c r="CN191" s="237"/>
      <c r="CO191" s="237"/>
      <c r="CP191" s="237"/>
      <c r="CQ191" s="237"/>
      <c r="CR191" s="237"/>
      <c r="CS191" s="237"/>
      <c r="CT191" s="237"/>
      <c r="CU191" s="237"/>
      <c r="CV191" s="237"/>
      <c r="CW191" s="237"/>
      <c r="CX191" s="237"/>
      <c r="CY191" s="237"/>
      <c r="CZ191" s="237"/>
      <c r="DA191" s="237"/>
      <c r="DB191" s="237"/>
      <c r="DC191" s="237"/>
      <c r="DD191" s="237"/>
      <c r="DE191" s="237"/>
      <c r="DF191" s="237"/>
      <c r="DG191" s="237"/>
      <c r="DH191" s="237"/>
      <c r="DI191" s="237"/>
      <c r="DJ191" s="237"/>
      <c r="DK191" s="237"/>
      <c r="DL191" s="237"/>
      <c r="DM191" s="237"/>
      <c r="DN191" s="237"/>
      <c r="DO191" s="237"/>
      <c r="DP191" s="237"/>
      <c r="DQ191" s="237"/>
      <c r="DR191" s="237"/>
      <c r="DS191" s="237"/>
      <c r="DT191" s="237"/>
      <c r="DU191" s="237"/>
      <c r="DV191" s="237"/>
      <c r="DW191" s="237"/>
      <c r="DX191" s="237"/>
      <c r="DY191" s="237"/>
      <c r="DZ191" s="237"/>
      <c r="EA191" s="237"/>
      <c r="EB191" s="237"/>
      <c r="EC191" s="237"/>
      <c r="ED191" s="237"/>
      <c r="EE191" s="237"/>
      <c r="EF191" s="237"/>
      <c r="EG191" s="237"/>
      <c r="EH191" s="237"/>
      <c r="EI191" s="237"/>
      <c r="EJ191" s="237"/>
      <c r="EK191" s="237"/>
      <c r="EL191" s="237"/>
      <c r="EM191" s="237"/>
      <c r="EN191" s="237"/>
      <c r="EO191" s="237"/>
      <c r="EP191" s="237"/>
      <c r="EQ191" s="237"/>
      <c r="ER191" s="237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</row>
    <row r="192" customFormat="false" ht="15" hidden="false" customHeight="false" outlineLevel="2" collapsed="false">
      <c r="B192" s="240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237"/>
      <c r="AD192" s="237"/>
      <c r="AE192" s="237"/>
      <c r="AF192" s="237"/>
      <c r="AG192" s="237"/>
      <c r="AH192" s="237"/>
      <c r="AI192" s="237"/>
      <c r="AJ192" s="237"/>
      <c r="AK192" s="237"/>
      <c r="AL192" s="237"/>
      <c r="AM192" s="237"/>
      <c r="AN192" s="237"/>
      <c r="AO192" s="237"/>
      <c r="AP192" s="237"/>
      <c r="AQ192" s="237"/>
      <c r="AR192" s="237"/>
      <c r="AS192" s="237"/>
      <c r="AT192" s="237"/>
      <c r="AU192" s="237"/>
      <c r="AV192" s="237"/>
      <c r="AW192" s="237"/>
      <c r="AX192" s="237"/>
      <c r="AY192" s="237"/>
      <c r="AZ192" s="237"/>
      <c r="BA192" s="237"/>
      <c r="BB192" s="237"/>
      <c r="BC192" s="237"/>
      <c r="BD192" s="237"/>
      <c r="BE192" s="237"/>
      <c r="BF192" s="237"/>
      <c r="BG192" s="237"/>
      <c r="BH192" s="237"/>
      <c r="BI192" s="237"/>
      <c r="BJ192" s="237"/>
      <c r="BK192" s="237"/>
      <c r="BL192" s="237"/>
      <c r="BM192" s="237"/>
      <c r="BN192" s="237"/>
      <c r="BO192" s="237"/>
      <c r="BP192" s="237"/>
      <c r="BQ192" s="237"/>
      <c r="BR192" s="237"/>
      <c r="BS192" s="237"/>
      <c r="BT192" s="237"/>
      <c r="BU192" s="237"/>
      <c r="BV192" s="237"/>
      <c r="BW192" s="237"/>
      <c r="BX192" s="237"/>
      <c r="BY192" s="237"/>
      <c r="BZ192" s="237"/>
      <c r="CA192" s="237"/>
      <c r="CB192" s="237"/>
      <c r="CC192" s="237"/>
      <c r="CD192" s="237"/>
      <c r="CE192" s="237"/>
      <c r="CF192" s="237"/>
      <c r="CG192" s="237"/>
      <c r="CH192" s="237"/>
      <c r="CI192" s="237"/>
      <c r="CJ192" s="237"/>
      <c r="CK192" s="237"/>
      <c r="CL192" s="237"/>
      <c r="CM192" s="237"/>
      <c r="CN192" s="237"/>
      <c r="CO192" s="237"/>
      <c r="CP192" s="237"/>
      <c r="CQ192" s="237"/>
      <c r="CR192" s="237"/>
      <c r="CS192" s="237"/>
      <c r="CT192" s="237"/>
      <c r="CU192" s="237"/>
      <c r="CV192" s="237"/>
      <c r="CW192" s="237"/>
      <c r="CX192" s="237"/>
      <c r="CY192" s="237"/>
      <c r="CZ192" s="237"/>
      <c r="DA192" s="237"/>
      <c r="DB192" s="237"/>
      <c r="DC192" s="237"/>
      <c r="DD192" s="237"/>
      <c r="DE192" s="237"/>
      <c r="DF192" s="237"/>
      <c r="DG192" s="237"/>
      <c r="DH192" s="237"/>
      <c r="DI192" s="237"/>
      <c r="DJ192" s="237"/>
      <c r="DK192" s="237"/>
      <c r="DL192" s="237"/>
      <c r="DM192" s="237"/>
      <c r="DN192" s="237"/>
      <c r="DO192" s="237"/>
      <c r="DP192" s="237"/>
      <c r="DQ192" s="237"/>
      <c r="DR192" s="237"/>
      <c r="DS192" s="237"/>
      <c r="DT192" s="237"/>
      <c r="DU192" s="237"/>
      <c r="DV192" s="237"/>
      <c r="DW192" s="237"/>
      <c r="DX192" s="237"/>
      <c r="DY192" s="237"/>
      <c r="DZ192" s="237"/>
      <c r="EA192" s="237"/>
      <c r="EB192" s="237"/>
      <c r="EC192" s="237"/>
      <c r="ED192" s="237"/>
      <c r="EE192" s="237"/>
      <c r="EF192" s="237"/>
      <c r="EG192" s="237"/>
      <c r="EH192" s="237"/>
      <c r="EI192" s="237"/>
      <c r="EJ192" s="237"/>
      <c r="EK192" s="237"/>
      <c r="EL192" s="237"/>
      <c r="EM192" s="237"/>
      <c r="EN192" s="237"/>
      <c r="EO192" s="237"/>
      <c r="EP192" s="237"/>
      <c r="EQ192" s="237"/>
      <c r="ER192" s="237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</row>
    <row r="193" customFormat="false" ht="15" hidden="false" customHeight="false" outlineLevel="2" collapsed="false">
      <c r="B193" s="21" t="s">
        <v>892</v>
      </c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</row>
    <row r="194" customFormat="false" ht="15" hidden="false" customHeight="false" outlineLevel="2" collapsed="false">
      <c r="B194" s="9" t="s">
        <v>872</v>
      </c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234" t="n">
        <f aca="false">('⑫ Roll-out Plan'!G25-2025)*12+'⑫ Roll-out Plan'!F25</f>
        <v>48</v>
      </c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</row>
    <row r="195" customFormat="false" ht="15" hidden="false" customHeight="false" outlineLevel="2" collapsed="false">
      <c r="B195" s="9" t="s">
        <v>873</v>
      </c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235" t="n">
        <f aca="false">VLOOKUP("B",$B$14:$C$18,2,FALSE())</f>
        <v>185</v>
      </c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</row>
    <row r="196" customFormat="false" ht="15" hidden="false" customHeight="false" outlineLevel="2" collapsed="false">
      <c r="B196" s="9" t="s">
        <v>799</v>
      </c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63" t="n">
        <f aca="false">IF(AC$35&gt;=$AC$194,AC$35-$AC$194+1,0)</f>
        <v>0</v>
      </c>
      <c r="AD196" s="63" t="n">
        <f aca="false">IF(AD$35&gt;=$AC$194,AD$35-$AC$194+1,0)</f>
        <v>0</v>
      </c>
      <c r="AE196" s="63" t="n">
        <f aca="false">IF(AE$35&gt;=$AC$194,AE$35-$AC$194+1,0)</f>
        <v>0</v>
      </c>
      <c r="AF196" s="63" t="n">
        <f aca="false">IF(AF$35&gt;=$AC$194,AF$35-$AC$194+1,0)</f>
        <v>0</v>
      </c>
      <c r="AG196" s="63" t="n">
        <f aca="false">IF(AG$35&gt;=$AC$194,AG$35-$AC$194+1,0)</f>
        <v>0</v>
      </c>
      <c r="AH196" s="63" t="n">
        <f aca="false">IF(AH$35&gt;=$AC$194,AH$35-$AC$194+1,0)</f>
        <v>0</v>
      </c>
      <c r="AI196" s="63" t="n">
        <f aca="false">IF(AI$35&gt;=$AC$194,AI$35-$AC$194+1,0)</f>
        <v>0</v>
      </c>
      <c r="AJ196" s="63" t="n">
        <f aca="false">IF(AJ$35&gt;=$AC$194,AJ$35-$AC$194+1,0)</f>
        <v>0</v>
      </c>
      <c r="AK196" s="63" t="n">
        <f aca="false">IF(AK$35&gt;=$AC$194,AK$35-$AC$194+1,0)</f>
        <v>0</v>
      </c>
      <c r="AL196" s="63" t="n">
        <f aca="false">IF(AL$35&gt;=$AC$194,AL$35-$AC$194+1,0)</f>
        <v>0</v>
      </c>
      <c r="AM196" s="63" t="n">
        <f aca="false">IF(AM$35&gt;=$AC$194,AM$35-$AC$194+1,0)</f>
        <v>0</v>
      </c>
      <c r="AN196" s="63" t="n">
        <f aca="false">IF(AN$35&gt;=$AC$194,AN$35-$AC$194+1,0)</f>
        <v>0</v>
      </c>
      <c r="AO196" s="63" t="n">
        <f aca="false">IF(AO$35&gt;=$AC$194,AO$35-$AC$194+1,0)</f>
        <v>0</v>
      </c>
      <c r="AP196" s="63" t="n">
        <f aca="false">IF(AP$35&gt;=$AC$194,AP$35-$AC$194+1,0)</f>
        <v>0</v>
      </c>
      <c r="AQ196" s="63" t="n">
        <f aca="false">IF(AQ$35&gt;=$AC$194,AQ$35-$AC$194+1,0)</f>
        <v>0</v>
      </c>
      <c r="AR196" s="63" t="n">
        <f aca="false">IF(AR$35&gt;=$AC$194,AR$35-$AC$194+1,0)</f>
        <v>0</v>
      </c>
      <c r="AS196" s="63" t="n">
        <f aca="false">IF(AS$35&gt;=$AC$194,AS$35-$AC$194+1,0)</f>
        <v>0</v>
      </c>
      <c r="AT196" s="63" t="n">
        <f aca="false">IF(AT$35&gt;=$AC$194,AT$35-$AC$194+1,0)</f>
        <v>0</v>
      </c>
      <c r="AU196" s="63" t="n">
        <f aca="false">IF(AU$35&gt;=$AC$194,AU$35-$AC$194+1,0)</f>
        <v>0</v>
      </c>
      <c r="AV196" s="63" t="n">
        <f aca="false">IF(AV$35&gt;=$AC$194,AV$35-$AC$194+1,0)</f>
        <v>0</v>
      </c>
      <c r="AW196" s="63" t="n">
        <f aca="false">IF(AW$35&gt;=$AC$194,AW$35-$AC$194+1,0)</f>
        <v>0</v>
      </c>
      <c r="AX196" s="63" t="n">
        <f aca="false">IF(AX$35&gt;=$AC$194,AX$35-$AC$194+1,0)</f>
        <v>0</v>
      </c>
      <c r="AY196" s="63" t="n">
        <f aca="false">IF(AY$35&gt;=$AC$194,AY$35-$AC$194+1,0)</f>
        <v>0</v>
      </c>
      <c r="AZ196" s="63" t="n">
        <f aca="false">IF(AZ$35&gt;=$AC$194,AZ$35-$AC$194+1,0)</f>
        <v>0</v>
      </c>
      <c r="BA196" s="63" t="n">
        <f aca="false">IF(BA$35&gt;=$AC$194,BA$35-$AC$194+1,0)</f>
        <v>0</v>
      </c>
      <c r="BB196" s="63" t="n">
        <f aca="false">IF(BB$35&gt;=$AC$194,BB$35-$AC$194+1,0)</f>
        <v>0</v>
      </c>
      <c r="BC196" s="63" t="n">
        <f aca="false">IF(BC$35&gt;=$AC$194,BC$35-$AC$194+1,0)</f>
        <v>0</v>
      </c>
      <c r="BD196" s="63" t="n">
        <f aca="false">IF(BD$35&gt;=$AC$194,BD$35-$AC$194+1,0)</f>
        <v>0</v>
      </c>
      <c r="BE196" s="63" t="n">
        <f aca="false">IF(BE$35&gt;=$AC$194,BE$35-$AC$194+1,0)</f>
        <v>0</v>
      </c>
      <c r="BF196" s="63" t="n">
        <f aca="false">IF(BF$35&gt;=$AC$194,BF$35-$AC$194+1,0)</f>
        <v>0</v>
      </c>
      <c r="BG196" s="63" t="n">
        <f aca="false">IF(BG$35&gt;=$AC$194,BG$35-$AC$194+1,0)</f>
        <v>0</v>
      </c>
      <c r="BH196" s="63" t="n">
        <f aca="false">IF(BH$35&gt;=$AC$194,BH$35-$AC$194+1,0)</f>
        <v>0</v>
      </c>
      <c r="BI196" s="63" t="n">
        <f aca="false">IF(BI$35&gt;=$AC$194,BI$35-$AC$194+1,0)</f>
        <v>0</v>
      </c>
      <c r="BJ196" s="63" t="n">
        <f aca="false">IF(BJ$35&gt;=$AC$194,BJ$35-$AC$194+1,0)</f>
        <v>0</v>
      </c>
      <c r="BK196" s="63" t="n">
        <f aca="false">IF(BK$35&gt;=$AC$194,BK$35-$AC$194+1,0)</f>
        <v>0</v>
      </c>
      <c r="BL196" s="63" t="n">
        <f aca="false">IF(BL$35&gt;=$AC$194,BL$35-$AC$194+1,0)</f>
        <v>0</v>
      </c>
      <c r="BM196" s="63" t="n">
        <f aca="false">IF(BM$35&gt;=$AC$194,BM$35-$AC$194+1,0)</f>
        <v>0</v>
      </c>
      <c r="BN196" s="63" t="n">
        <f aca="false">IF(BN$35&gt;=$AC$194,BN$35-$AC$194+1,0)</f>
        <v>0</v>
      </c>
      <c r="BO196" s="63" t="n">
        <f aca="false">IF(BO$35&gt;=$AC$194,BO$35-$AC$194+1,0)</f>
        <v>0</v>
      </c>
      <c r="BP196" s="63" t="n">
        <f aca="false">IF(BP$35&gt;=$AC$194,BP$35-$AC$194+1,0)</f>
        <v>0</v>
      </c>
      <c r="BQ196" s="63" t="n">
        <f aca="false">IF(BQ$35&gt;=$AC$194,BQ$35-$AC$194+1,0)</f>
        <v>0</v>
      </c>
      <c r="BR196" s="63" t="n">
        <f aca="false">IF(BR$35&gt;=$AC$194,BR$35-$AC$194+1,0)</f>
        <v>0</v>
      </c>
      <c r="BS196" s="63" t="n">
        <f aca="false">IF(BS$35&gt;=$AC$194,BS$35-$AC$194+1,0)</f>
        <v>0</v>
      </c>
      <c r="BT196" s="63" t="n">
        <f aca="false">IF(BT$35&gt;=$AC$194,BT$35-$AC$194+1,0)</f>
        <v>0</v>
      </c>
      <c r="BU196" s="63" t="n">
        <f aca="false">IF(BU$35&gt;=$AC$194,BU$35-$AC$194+1,0)</f>
        <v>0</v>
      </c>
      <c r="BV196" s="63" t="n">
        <f aca="false">IF(BV$35&gt;=$AC$194,BV$35-$AC$194+1,0)</f>
        <v>0</v>
      </c>
      <c r="BW196" s="63" t="n">
        <f aca="false">IF(BW$35&gt;=$AC$194,BW$35-$AC$194+1,0)</f>
        <v>0</v>
      </c>
      <c r="BX196" s="63" t="n">
        <f aca="false">IF(BX$35&gt;=$AC$194,BX$35-$AC$194+1,0)</f>
        <v>1</v>
      </c>
      <c r="BY196" s="63" t="n">
        <f aca="false">IF(BY$35&gt;=$AC$194,BY$35-$AC$194+1,0)</f>
        <v>2</v>
      </c>
      <c r="BZ196" s="63" t="n">
        <f aca="false">IF(BZ$35&gt;=$AC$194,BZ$35-$AC$194+1,0)</f>
        <v>3</v>
      </c>
      <c r="CA196" s="63" t="n">
        <f aca="false">IF(CA$35&gt;=$AC$194,CA$35-$AC$194+1,0)</f>
        <v>4</v>
      </c>
      <c r="CB196" s="63" t="n">
        <f aca="false">IF(CB$35&gt;=$AC$194,CB$35-$AC$194+1,0)</f>
        <v>5</v>
      </c>
      <c r="CC196" s="63" t="n">
        <f aca="false">IF(CC$35&gt;=$AC$194,CC$35-$AC$194+1,0)</f>
        <v>6</v>
      </c>
      <c r="CD196" s="63" t="n">
        <f aca="false">IF(CD$35&gt;=$AC$194,CD$35-$AC$194+1,0)</f>
        <v>7</v>
      </c>
      <c r="CE196" s="63" t="n">
        <f aca="false">IF(CE$35&gt;=$AC$194,CE$35-$AC$194+1,0)</f>
        <v>8</v>
      </c>
      <c r="CF196" s="63" t="n">
        <f aca="false">IF(CF$35&gt;=$AC$194,CF$35-$AC$194+1,0)</f>
        <v>9</v>
      </c>
      <c r="CG196" s="63" t="n">
        <f aca="false">IF(CG$35&gt;=$AC$194,CG$35-$AC$194+1,0)</f>
        <v>10</v>
      </c>
      <c r="CH196" s="63" t="n">
        <f aca="false">IF(CH$35&gt;=$AC$194,CH$35-$AC$194+1,0)</f>
        <v>11</v>
      </c>
      <c r="CI196" s="63" t="n">
        <f aca="false">IF(CI$35&gt;=$AC$194,CI$35-$AC$194+1,0)</f>
        <v>12</v>
      </c>
      <c r="CJ196" s="63" t="n">
        <f aca="false">IF(CJ$35&gt;=$AC$194,CJ$35-$AC$194+1,0)</f>
        <v>13</v>
      </c>
      <c r="CK196" s="63" t="n">
        <f aca="false">IF(CK$35&gt;=$AC$194,CK$35-$AC$194+1,0)</f>
        <v>14</v>
      </c>
      <c r="CL196" s="63" t="n">
        <f aca="false">IF(CL$35&gt;=$AC$194,CL$35-$AC$194+1,0)</f>
        <v>15</v>
      </c>
      <c r="CM196" s="63" t="n">
        <f aca="false">IF(CM$35&gt;=$AC$194,CM$35-$AC$194+1,0)</f>
        <v>16</v>
      </c>
      <c r="CN196" s="63" t="n">
        <f aca="false">IF(CN$35&gt;=$AC$194,CN$35-$AC$194+1,0)</f>
        <v>17</v>
      </c>
      <c r="CO196" s="63" t="n">
        <f aca="false">IF(CO$35&gt;=$AC$194,CO$35-$AC$194+1,0)</f>
        <v>18</v>
      </c>
      <c r="CP196" s="63" t="n">
        <f aca="false">IF(CP$35&gt;=$AC$194,CP$35-$AC$194+1,0)</f>
        <v>19</v>
      </c>
      <c r="CQ196" s="63" t="n">
        <f aca="false">IF(CQ$35&gt;=$AC$194,CQ$35-$AC$194+1,0)</f>
        <v>20</v>
      </c>
      <c r="CR196" s="63" t="n">
        <f aca="false">IF(CR$35&gt;=$AC$194,CR$35-$AC$194+1,0)</f>
        <v>21</v>
      </c>
      <c r="CS196" s="63" t="n">
        <f aca="false">IF(CS$35&gt;=$AC$194,CS$35-$AC$194+1,0)</f>
        <v>22</v>
      </c>
      <c r="CT196" s="63" t="n">
        <f aca="false">IF(CT$35&gt;=$AC$194,CT$35-$AC$194+1,0)</f>
        <v>23</v>
      </c>
      <c r="CU196" s="63" t="n">
        <f aca="false">IF(CU$35&gt;=$AC$194,CU$35-$AC$194+1,0)</f>
        <v>24</v>
      </c>
      <c r="CV196" s="63" t="n">
        <f aca="false">IF(CV$35&gt;=$AC$194,CV$35-$AC$194+1,0)</f>
        <v>25</v>
      </c>
      <c r="CW196" s="63" t="n">
        <f aca="false">IF(CW$35&gt;=$AC$194,CW$35-$AC$194+1,0)</f>
        <v>26</v>
      </c>
      <c r="CX196" s="63" t="n">
        <f aca="false">IF(CX$35&gt;=$AC$194,CX$35-$AC$194+1,0)</f>
        <v>27</v>
      </c>
      <c r="CY196" s="63" t="n">
        <f aca="false">IF(CY$35&gt;=$AC$194,CY$35-$AC$194+1,0)</f>
        <v>28</v>
      </c>
      <c r="CZ196" s="63" t="n">
        <f aca="false">IF(CZ$35&gt;=$AC$194,CZ$35-$AC$194+1,0)</f>
        <v>29</v>
      </c>
      <c r="DA196" s="63" t="n">
        <f aca="false">IF(DA$35&gt;=$AC$194,DA$35-$AC$194+1,0)</f>
        <v>30</v>
      </c>
      <c r="DB196" s="63" t="n">
        <f aca="false">IF(DB$35&gt;=$AC$194,DB$35-$AC$194+1,0)</f>
        <v>31</v>
      </c>
      <c r="DC196" s="63" t="n">
        <f aca="false">IF(DC$35&gt;=$AC$194,DC$35-$AC$194+1,0)</f>
        <v>32</v>
      </c>
      <c r="DD196" s="63" t="n">
        <f aca="false">IF(DD$35&gt;=$AC$194,DD$35-$AC$194+1,0)</f>
        <v>33</v>
      </c>
      <c r="DE196" s="63" t="n">
        <f aca="false">IF(DE$35&gt;=$AC$194,DE$35-$AC$194+1,0)</f>
        <v>34</v>
      </c>
      <c r="DF196" s="63" t="n">
        <f aca="false">IF(DF$35&gt;=$AC$194,DF$35-$AC$194+1,0)</f>
        <v>35</v>
      </c>
      <c r="DG196" s="63" t="n">
        <f aca="false">IF(DG$35&gt;=$AC$194,DG$35-$AC$194+1,0)</f>
        <v>36</v>
      </c>
      <c r="DH196" s="63" t="n">
        <f aca="false">IF(DH$35&gt;=$AC$194,DH$35-$AC$194+1,0)</f>
        <v>37</v>
      </c>
      <c r="DI196" s="63" t="n">
        <f aca="false">IF(DI$35&gt;=$AC$194,DI$35-$AC$194+1,0)</f>
        <v>38</v>
      </c>
      <c r="DJ196" s="63" t="n">
        <f aca="false">IF(DJ$35&gt;=$AC$194,DJ$35-$AC$194+1,0)</f>
        <v>39</v>
      </c>
      <c r="DK196" s="63" t="n">
        <f aca="false">IF(DK$35&gt;=$AC$194,DK$35-$AC$194+1,0)</f>
        <v>40</v>
      </c>
      <c r="DL196" s="63" t="n">
        <f aca="false">IF(DL$35&gt;=$AC$194,DL$35-$AC$194+1,0)</f>
        <v>41</v>
      </c>
      <c r="DM196" s="63" t="n">
        <f aca="false">IF(DM$35&gt;=$AC$194,DM$35-$AC$194+1,0)</f>
        <v>42</v>
      </c>
      <c r="DN196" s="63" t="n">
        <f aca="false">IF(DN$35&gt;=$AC$194,DN$35-$AC$194+1,0)</f>
        <v>43</v>
      </c>
      <c r="DO196" s="63" t="n">
        <f aca="false">IF(DO$35&gt;=$AC$194,DO$35-$AC$194+1,0)</f>
        <v>44</v>
      </c>
      <c r="DP196" s="63" t="n">
        <f aca="false">IF(DP$35&gt;=$AC$194,DP$35-$AC$194+1,0)</f>
        <v>45</v>
      </c>
      <c r="DQ196" s="63" t="n">
        <f aca="false">IF(DQ$35&gt;=$AC$194,DQ$35-$AC$194+1,0)</f>
        <v>46</v>
      </c>
      <c r="DR196" s="63" t="n">
        <f aca="false">IF(DR$35&gt;=$AC$194,DR$35-$AC$194+1,0)</f>
        <v>47</v>
      </c>
      <c r="DS196" s="63" t="n">
        <f aca="false">IF(DS$35&gt;=$AC$194,DS$35-$AC$194+1,0)</f>
        <v>48</v>
      </c>
      <c r="DT196" s="63" t="n">
        <f aca="false">IF(DT$35&gt;=$AC$194,DT$35-$AC$194+1,0)</f>
        <v>49</v>
      </c>
      <c r="DU196" s="63" t="n">
        <f aca="false">IF(DU$35&gt;=$AC$194,DU$35-$AC$194+1,0)</f>
        <v>50</v>
      </c>
      <c r="DV196" s="63" t="n">
        <f aca="false">IF(DV$35&gt;=$AC$194,DV$35-$AC$194+1,0)</f>
        <v>51</v>
      </c>
      <c r="DW196" s="63" t="n">
        <f aca="false">IF(DW$35&gt;=$AC$194,DW$35-$AC$194+1,0)</f>
        <v>52</v>
      </c>
      <c r="DX196" s="63" t="n">
        <f aca="false">IF(DX$35&gt;=$AC$194,DX$35-$AC$194+1,0)</f>
        <v>53</v>
      </c>
      <c r="DY196" s="63" t="n">
        <f aca="false">IF(DY$35&gt;=$AC$194,DY$35-$AC$194+1,0)</f>
        <v>54</v>
      </c>
      <c r="DZ196" s="63" t="n">
        <f aca="false">IF(DZ$35&gt;=$AC$194,DZ$35-$AC$194+1,0)</f>
        <v>55</v>
      </c>
      <c r="EA196" s="63" t="n">
        <f aca="false">IF(EA$35&gt;=$AC$194,EA$35-$AC$194+1,0)</f>
        <v>56</v>
      </c>
      <c r="EB196" s="63" t="n">
        <f aca="false">IF(EB$35&gt;=$AC$194,EB$35-$AC$194+1,0)</f>
        <v>57</v>
      </c>
      <c r="EC196" s="63" t="n">
        <f aca="false">IF(EC$35&gt;=$AC$194,EC$35-$AC$194+1,0)</f>
        <v>58</v>
      </c>
      <c r="ED196" s="63" t="n">
        <f aca="false">IF(ED$35&gt;=$AC$194,ED$35-$AC$194+1,0)</f>
        <v>59</v>
      </c>
      <c r="EE196" s="63" t="n">
        <f aca="false">IF(EE$35&gt;=$AC$194,EE$35-$AC$194+1,0)</f>
        <v>60</v>
      </c>
      <c r="EF196" s="63" t="n">
        <f aca="false">IF(EF$35&gt;=$AC$194,EF$35-$AC$194+1,0)</f>
        <v>61</v>
      </c>
      <c r="EG196" s="63" t="n">
        <f aca="false">IF(EG$35&gt;=$AC$194,EG$35-$AC$194+1,0)</f>
        <v>62</v>
      </c>
      <c r="EH196" s="63" t="n">
        <f aca="false">IF(EH$35&gt;=$AC$194,EH$35-$AC$194+1,0)</f>
        <v>63</v>
      </c>
      <c r="EI196" s="63" t="n">
        <f aca="false">IF(EI$35&gt;=$AC$194,EI$35-$AC$194+1,0)</f>
        <v>64</v>
      </c>
      <c r="EJ196" s="63" t="n">
        <f aca="false">IF(EJ$35&gt;=$AC$194,EJ$35-$AC$194+1,0)</f>
        <v>65</v>
      </c>
      <c r="EK196" s="63" t="n">
        <f aca="false">IF(EK$35&gt;=$AC$194,EK$35-$AC$194+1,0)</f>
        <v>66</v>
      </c>
      <c r="EL196" s="63" t="n">
        <f aca="false">IF(EL$35&gt;=$AC$194,EL$35-$AC$194+1,0)</f>
        <v>67</v>
      </c>
      <c r="EM196" s="63" t="n">
        <f aca="false">IF(EM$35&gt;=$AC$194,EM$35-$AC$194+1,0)</f>
        <v>68</v>
      </c>
      <c r="EN196" s="63" t="n">
        <f aca="false">IF(EN$35&gt;=$AC$194,EN$35-$AC$194+1,0)</f>
        <v>69</v>
      </c>
      <c r="EO196" s="63" t="n">
        <f aca="false">IF(EO$35&gt;=$AC$194,EO$35-$AC$194+1,0)</f>
        <v>70</v>
      </c>
      <c r="EP196" s="63" t="n">
        <f aca="false">IF(EP$35&gt;=$AC$194,EP$35-$AC$194+1,0)</f>
        <v>71</v>
      </c>
      <c r="EQ196" s="63" t="n">
        <f aca="false">IF(EQ$35&gt;=$AC$194,EQ$35-$AC$194+1,0)</f>
        <v>72</v>
      </c>
      <c r="ER196" s="63" t="n">
        <f aca="false">IF(ER$35&gt;=$AC$194,ER$35-$AC$194+1,0)</f>
        <v>73</v>
      </c>
      <c r="ES196" s="9" t="n">
        <f aca="false">IF(ES$35&gt;=$AC$194,ES$35-$AC$194+1,0)</f>
        <v>74</v>
      </c>
      <c r="ET196" s="9" t="n">
        <f aca="false">IF(ET$35&gt;=$AC$194,ET$35-$AC$194+1,0)</f>
        <v>75</v>
      </c>
      <c r="EU196" s="9" t="n">
        <f aca="false">IF(EU$35&gt;=$AC$194,EU$35-$AC$194+1,0)</f>
        <v>76</v>
      </c>
      <c r="EV196" s="9" t="n">
        <f aca="false">IF(EV$35&gt;=$AC$194,EV$35-$AC$194+1,0)</f>
        <v>77</v>
      </c>
      <c r="EW196" s="9" t="n">
        <f aca="false">IF(EW$35&gt;=$AC$194,EW$35-$AC$194+1,0)</f>
        <v>78</v>
      </c>
      <c r="EX196" s="9" t="n">
        <f aca="false">IF(EX$35&gt;=$AC$194,EX$35-$AC$194+1,0)</f>
        <v>79</v>
      </c>
      <c r="EY196" s="9" t="n">
        <f aca="false">IF(EY$35&gt;=$AC$194,EY$35-$AC$194+1,0)</f>
        <v>80</v>
      </c>
      <c r="EZ196" s="9" t="n">
        <f aca="false">IF(EZ$35&gt;=$AC$194,EZ$35-$AC$194+1,0)</f>
        <v>81</v>
      </c>
      <c r="FA196" s="9" t="n">
        <f aca="false">IF(FA$35&gt;=$AC$194,FA$35-$AC$194+1,0)</f>
        <v>82</v>
      </c>
      <c r="FB196" s="9" t="n">
        <f aca="false">IF(FB$35&gt;=$AC$194,FB$35-$AC$194+1,0)</f>
        <v>83</v>
      </c>
      <c r="FC196" s="9" t="n">
        <f aca="false">IF(FC$35&gt;=$AC$194,FC$35-$AC$194+1,0)</f>
        <v>84</v>
      </c>
      <c r="FD196" s="9" t="n">
        <f aca="false">IF(FD$35&gt;=$AC$194,FD$35-$AC$194+1,0)</f>
        <v>85</v>
      </c>
      <c r="FE196" s="9" t="n">
        <f aca="false">IF(FE$35&gt;=$AC$194,FE$35-$AC$194+1,0)</f>
        <v>86</v>
      </c>
      <c r="FF196" s="9" t="n">
        <f aca="false">IF(FF$35&gt;=$AC$194,FF$35-$AC$194+1,0)</f>
        <v>87</v>
      </c>
      <c r="FG196" s="9" t="n">
        <f aca="false">IF(FG$35&gt;=$AC$194,FG$35-$AC$194+1,0)</f>
        <v>88</v>
      </c>
      <c r="FH196" s="9" t="n">
        <f aca="false">IF(FH$35&gt;=$AC$194,FH$35-$AC$194+1,0)</f>
        <v>89</v>
      </c>
      <c r="FI196" s="9" t="n">
        <f aca="false">IF(FI$35&gt;=$AC$194,FI$35-$AC$194+1,0)</f>
        <v>90</v>
      </c>
      <c r="FJ196" s="9" t="n">
        <f aca="false">IF(FJ$35&gt;=$AC$194,FJ$35-$AC$194+1,0)</f>
        <v>91</v>
      </c>
      <c r="FK196" s="9" t="n">
        <f aca="false">IF(FK$35&gt;=$AC$194,FK$35-$AC$194+1,0)</f>
        <v>92</v>
      </c>
      <c r="FL196" s="9" t="n">
        <f aca="false">IF(FL$35&gt;=$AC$194,FL$35-$AC$194+1,0)</f>
        <v>93</v>
      </c>
      <c r="FM196" s="9" t="n">
        <f aca="false">IF(FM$35&gt;=$AC$194,FM$35-$AC$194+1,0)</f>
        <v>94</v>
      </c>
      <c r="FN196" s="9" t="n">
        <f aca="false">IF(FN$35&gt;=$AC$194,FN$35-$AC$194+1,0)</f>
        <v>95</v>
      </c>
      <c r="FO196" s="9" t="n">
        <f aca="false">IF(FO$35&gt;=$AC$194,FO$35-$AC$194+1,0)</f>
        <v>96</v>
      </c>
      <c r="FP196" s="9" t="n">
        <f aca="false">IF(FP$35&gt;=$AC$194,FP$35-$AC$194+1,0)</f>
        <v>97</v>
      </c>
    </row>
    <row r="197" customFormat="false" ht="15" hidden="false" customHeight="false" outlineLevel="2" collapsed="false">
      <c r="B197" s="9" t="s">
        <v>874</v>
      </c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236" t="n">
        <f aca="false" t="array" ref="AC197:AC197">IF(AC196=0,0,IF(AC196/'🎚️ Escenario'!$C$11&gt;=36,$AL$23,INDEX($C$23:$AL$23,MAX(1,ROUNDUP(AC196/'🎚️ Escenario'!$C$11,0)))))</f>
        <v>0</v>
      </c>
      <c r="AD197" s="236" t="n">
        <f aca="false" t="array" ref="AD197:AD197">IF(AD196=0,0,IF(AD196/'🎚️ Escenario'!$C$11&gt;=36,$AL$23,INDEX($C$23:$AL$23,MAX(1,ROUNDUP(AD196/'🎚️ Escenario'!$C$11,0)))))</f>
        <v>0</v>
      </c>
      <c r="AE197" s="236" t="n">
        <f aca="false" t="array" ref="AE197:AE197">IF(AE196=0,0,IF(AE196/'🎚️ Escenario'!$C$11&gt;=36,$AL$23,INDEX($C$23:$AL$23,MAX(1,ROUNDUP(AE196/'🎚️ Escenario'!$C$11,0)))))</f>
        <v>0</v>
      </c>
      <c r="AF197" s="236" t="n">
        <f aca="false" t="array" ref="AF197:AF197">IF(AF196=0,0,IF(AF196/'🎚️ Escenario'!$C$11&gt;=36,$AL$23,INDEX($C$23:$AL$23,MAX(1,ROUNDUP(AF196/'🎚️ Escenario'!$C$11,0)))))</f>
        <v>0</v>
      </c>
      <c r="AG197" s="236" t="n">
        <f aca="false" t="array" ref="AG197:AG197">IF(AG196=0,0,IF(AG196/'🎚️ Escenario'!$C$11&gt;=36,$AL$23,INDEX($C$23:$AL$23,MAX(1,ROUNDUP(AG196/'🎚️ Escenario'!$C$11,0)))))</f>
        <v>0</v>
      </c>
      <c r="AH197" s="236" t="n">
        <f aca="false" t="array" ref="AH197:AH197">IF(AH196=0,0,IF(AH196/'🎚️ Escenario'!$C$11&gt;=36,$AL$23,INDEX($C$23:$AL$23,MAX(1,ROUNDUP(AH196/'🎚️ Escenario'!$C$11,0)))))</f>
        <v>0</v>
      </c>
      <c r="AI197" s="236" t="n">
        <f aca="false" t="array" ref="AI197:AI197">IF(AI196=0,0,IF(AI196/'🎚️ Escenario'!$C$11&gt;=36,$AL$23,INDEX($C$23:$AL$23,MAX(1,ROUNDUP(AI196/'🎚️ Escenario'!$C$11,0)))))</f>
        <v>0</v>
      </c>
      <c r="AJ197" s="236" t="n">
        <f aca="false" t="array" ref="AJ197:AJ197">IF(AJ196=0,0,IF(AJ196/'🎚️ Escenario'!$C$11&gt;=36,$AL$23,INDEX($C$23:$AL$23,MAX(1,ROUNDUP(AJ196/'🎚️ Escenario'!$C$11,0)))))</f>
        <v>0</v>
      </c>
      <c r="AK197" s="236" t="n">
        <f aca="false" t="array" ref="AK197:AK197">IF(AK196=0,0,IF(AK196/'🎚️ Escenario'!$C$11&gt;=36,$AL$23,INDEX($C$23:$AL$23,MAX(1,ROUNDUP(AK196/'🎚️ Escenario'!$C$11,0)))))</f>
        <v>0</v>
      </c>
      <c r="AL197" s="236" t="n">
        <f aca="false" t="array" ref="AL197:AL197">IF(AL196=0,0,IF(AL196/'🎚️ Escenario'!$C$11&gt;=36,$AL$23,INDEX($C$23:$AL$23,MAX(1,ROUNDUP(AL196/'🎚️ Escenario'!$C$11,0)))))</f>
        <v>0</v>
      </c>
      <c r="AM197" s="236" t="n">
        <f aca="false" t="array" ref="AM197:AM197">IF(AM196=0,0,IF(AM196/'🎚️ Escenario'!$C$11&gt;=36,$AL$23,INDEX($C$23:$AL$23,MAX(1,ROUNDUP(AM196/'🎚️ Escenario'!$C$11,0)))))</f>
        <v>0</v>
      </c>
      <c r="AN197" s="236" t="n">
        <f aca="false" t="array" ref="AN197:AN197">IF(AN196=0,0,IF(AN196/'🎚️ Escenario'!$C$11&gt;=36,$AL$23,INDEX($C$23:$AL$23,MAX(1,ROUNDUP(AN196/'🎚️ Escenario'!$C$11,0)))))</f>
        <v>0</v>
      </c>
      <c r="AO197" s="236" t="n">
        <f aca="false" t="array" ref="AO197:AO197">IF(AO196=0,0,IF(AO196/'🎚️ Escenario'!$C$11&gt;=36,$AL$23,INDEX($C$23:$AL$23,MAX(1,ROUNDUP(AO196/'🎚️ Escenario'!$C$11,0)))))</f>
        <v>0</v>
      </c>
      <c r="AP197" s="236" t="n">
        <f aca="false" t="array" ref="AP197:AP197">IF(AP196=0,0,IF(AP196/'🎚️ Escenario'!$C$11&gt;=36,$AL$23,INDEX($C$23:$AL$23,MAX(1,ROUNDUP(AP196/'🎚️ Escenario'!$C$11,0)))))</f>
        <v>0</v>
      </c>
      <c r="AQ197" s="236" t="n">
        <f aca="false" t="array" ref="AQ197:AQ197">IF(AQ196=0,0,IF(AQ196/'🎚️ Escenario'!$C$11&gt;=36,$AL$23,INDEX($C$23:$AL$23,MAX(1,ROUNDUP(AQ196/'🎚️ Escenario'!$C$11,0)))))</f>
        <v>0</v>
      </c>
      <c r="AR197" s="236" t="n">
        <f aca="false" t="array" ref="AR197:AR197">IF(AR196=0,0,IF(AR196/'🎚️ Escenario'!$C$11&gt;=36,$AL$23,INDEX($C$23:$AL$23,MAX(1,ROUNDUP(AR196/'🎚️ Escenario'!$C$11,0)))))</f>
        <v>0</v>
      </c>
      <c r="AS197" s="236" t="n">
        <f aca="false" t="array" ref="AS197:AS197">IF(AS196=0,0,IF(AS196/'🎚️ Escenario'!$C$11&gt;=36,$AL$23,INDEX($C$23:$AL$23,MAX(1,ROUNDUP(AS196/'🎚️ Escenario'!$C$11,0)))))</f>
        <v>0</v>
      </c>
      <c r="AT197" s="236" t="n">
        <f aca="false" t="array" ref="AT197:AT197">IF(AT196=0,0,IF(AT196/'🎚️ Escenario'!$C$11&gt;=36,$AL$23,INDEX($C$23:$AL$23,MAX(1,ROUNDUP(AT196/'🎚️ Escenario'!$C$11,0)))))</f>
        <v>0</v>
      </c>
      <c r="AU197" s="236" t="n">
        <f aca="false" t="array" ref="AU197:AU197">IF(AU196=0,0,IF(AU196/'🎚️ Escenario'!$C$11&gt;=36,$AL$23,INDEX($C$23:$AL$23,MAX(1,ROUNDUP(AU196/'🎚️ Escenario'!$C$11,0)))))</f>
        <v>0</v>
      </c>
      <c r="AV197" s="236" t="n">
        <f aca="false" t="array" ref="AV197:AV197">IF(AV196=0,0,IF(AV196/'🎚️ Escenario'!$C$11&gt;=36,$AL$23,INDEX($C$23:$AL$23,MAX(1,ROUNDUP(AV196/'🎚️ Escenario'!$C$11,0)))))</f>
        <v>0</v>
      </c>
      <c r="AW197" s="236" t="n">
        <f aca="false" t="array" ref="AW197:AW197">IF(AW196=0,0,IF(AW196/'🎚️ Escenario'!$C$11&gt;=36,$AL$23,INDEX($C$23:$AL$23,MAX(1,ROUNDUP(AW196/'🎚️ Escenario'!$C$11,0)))))</f>
        <v>0</v>
      </c>
      <c r="AX197" s="236" t="n">
        <f aca="false" t="array" ref="AX197:AX197">IF(AX196=0,0,IF(AX196/'🎚️ Escenario'!$C$11&gt;=36,$AL$23,INDEX($C$23:$AL$23,MAX(1,ROUNDUP(AX196/'🎚️ Escenario'!$C$11,0)))))</f>
        <v>0</v>
      </c>
      <c r="AY197" s="236" t="n">
        <f aca="false" t="array" ref="AY197:AY197">IF(AY196=0,0,IF(AY196/'🎚️ Escenario'!$C$11&gt;=36,$AL$23,INDEX($C$23:$AL$23,MAX(1,ROUNDUP(AY196/'🎚️ Escenario'!$C$11,0)))))</f>
        <v>0</v>
      </c>
      <c r="AZ197" s="236" t="n">
        <f aca="false" t="array" ref="AZ197:AZ197">IF(AZ196=0,0,IF(AZ196/'🎚️ Escenario'!$C$11&gt;=36,$AL$23,INDEX($C$23:$AL$23,MAX(1,ROUNDUP(AZ196/'🎚️ Escenario'!$C$11,0)))))</f>
        <v>0</v>
      </c>
      <c r="BA197" s="236" t="n">
        <f aca="false" t="array" ref="BA197:BA197">IF(BA196=0,0,IF(BA196/'🎚️ Escenario'!$C$11&gt;=36,$AL$23,INDEX($C$23:$AL$23,MAX(1,ROUNDUP(BA196/'🎚️ Escenario'!$C$11,0)))))</f>
        <v>0</v>
      </c>
      <c r="BB197" s="236" t="n">
        <f aca="false" t="array" ref="BB197:BB197">IF(BB196=0,0,IF(BB196/'🎚️ Escenario'!$C$11&gt;=36,$AL$23,INDEX($C$23:$AL$23,MAX(1,ROUNDUP(BB196/'🎚️ Escenario'!$C$11,0)))))</f>
        <v>0</v>
      </c>
      <c r="BC197" s="236" t="n">
        <f aca="false" t="array" ref="BC197:BC197">IF(BC196=0,0,IF(BC196/'🎚️ Escenario'!$C$11&gt;=36,$AL$23,INDEX($C$23:$AL$23,MAX(1,ROUNDUP(BC196/'🎚️ Escenario'!$C$11,0)))))</f>
        <v>0</v>
      </c>
      <c r="BD197" s="236" t="n">
        <f aca="false" t="array" ref="BD197:BD197">IF(BD196=0,0,IF(BD196/'🎚️ Escenario'!$C$11&gt;=36,$AL$23,INDEX($C$23:$AL$23,MAX(1,ROUNDUP(BD196/'🎚️ Escenario'!$C$11,0)))))</f>
        <v>0</v>
      </c>
      <c r="BE197" s="236" t="n">
        <f aca="false" t="array" ref="BE197:BE197">IF(BE196=0,0,IF(BE196/'🎚️ Escenario'!$C$11&gt;=36,$AL$23,INDEX($C$23:$AL$23,MAX(1,ROUNDUP(BE196/'🎚️ Escenario'!$C$11,0)))))</f>
        <v>0</v>
      </c>
      <c r="BF197" s="236" t="n">
        <f aca="false" t="array" ref="BF197:BF197">IF(BF196=0,0,IF(BF196/'🎚️ Escenario'!$C$11&gt;=36,$AL$23,INDEX($C$23:$AL$23,MAX(1,ROUNDUP(BF196/'🎚️ Escenario'!$C$11,0)))))</f>
        <v>0</v>
      </c>
      <c r="BG197" s="236" t="n">
        <f aca="false" t="array" ref="BG197:BG197">IF(BG196=0,0,IF(BG196/'🎚️ Escenario'!$C$11&gt;=36,$AL$23,INDEX($C$23:$AL$23,MAX(1,ROUNDUP(BG196/'🎚️ Escenario'!$C$11,0)))))</f>
        <v>0</v>
      </c>
      <c r="BH197" s="236" t="n">
        <f aca="false" t="array" ref="BH197:BH197">IF(BH196=0,0,IF(BH196/'🎚️ Escenario'!$C$11&gt;=36,$AL$23,INDEX($C$23:$AL$23,MAX(1,ROUNDUP(BH196/'🎚️ Escenario'!$C$11,0)))))</f>
        <v>0</v>
      </c>
      <c r="BI197" s="236" t="n">
        <f aca="false" t="array" ref="BI197:BI197">IF(BI196=0,0,IF(BI196/'🎚️ Escenario'!$C$11&gt;=36,$AL$23,INDEX($C$23:$AL$23,MAX(1,ROUNDUP(BI196/'🎚️ Escenario'!$C$11,0)))))</f>
        <v>0</v>
      </c>
      <c r="BJ197" s="236" t="n">
        <f aca="false" t="array" ref="BJ197:BJ197">IF(BJ196=0,0,IF(BJ196/'🎚️ Escenario'!$C$11&gt;=36,$AL$23,INDEX($C$23:$AL$23,MAX(1,ROUNDUP(BJ196/'🎚️ Escenario'!$C$11,0)))))</f>
        <v>0</v>
      </c>
      <c r="BK197" s="236" t="n">
        <f aca="false" t="array" ref="BK197:BK197">IF(BK196=0,0,IF(BK196/'🎚️ Escenario'!$C$11&gt;=36,$AL$23,INDEX($C$23:$AL$23,MAX(1,ROUNDUP(BK196/'🎚️ Escenario'!$C$11,0)))))</f>
        <v>0</v>
      </c>
      <c r="BL197" s="236" t="n">
        <f aca="false" t="array" ref="BL197:BL197">IF(BL196=0,0,IF(BL196/'🎚️ Escenario'!$C$11&gt;=36,$AL$23,INDEX($C$23:$AL$23,MAX(1,ROUNDUP(BL196/'🎚️ Escenario'!$C$11,0)))))</f>
        <v>0</v>
      </c>
      <c r="BM197" s="236" t="n">
        <f aca="false" t="array" ref="BM197:BM197">IF(BM196=0,0,IF(BM196/'🎚️ Escenario'!$C$11&gt;=36,$AL$23,INDEX($C$23:$AL$23,MAX(1,ROUNDUP(BM196/'🎚️ Escenario'!$C$11,0)))))</f>
        <v>0</v>
      </c>
      <c r="BN197" s="236" t="n">
        <f aca="false" t="array" ref="BN197:BN197">IF(BN196=0,0,IF(BN196/'🎚️ Escenario'!$C$11&gt;=36,$AL$23,INDEX($C$23:$AL$23,MAX(1,ROUNDUP(BN196/'🎚️ Escenario'!$C$11,0)))))</f>
        <v>0</v>
      </c>
      <c r="BO197" s="236" t="n">
        <f aca="false" t="array" ref="BO197:BO197">IF(BO196=0,0,IF(BO196/'🎚️ Escenario'!$C$11&gt;=36,$AL$23,INDEX($C$23:$AL$23,MAX(1,ROUNDUP(BO196/'🎚️ Escenario'!$C$11,0)))))</f>
        <v>0</v>
      </c>
      <c r="BP197" s="236" t="n">
        <f aca="false" t="array" ref="BP197:BP197">IF(BP196=0,0,IF(BP196/'🎚️ Escenario'!$C$11&gt;=36,$AL$23,INDEX($C$23:$AL$23,MAX(1,ROUNDUP(BP196/'🎚️ Escenario'!$C$11,0)))))</f>
        <v>0</v>
      </c>
      <c r="BQ197" s="236" t="n">
        <f aca="false" t="array" ref="BQ197:BQ197">IF(BQ196=0,0,IF(BQ196/'🎚️ Escenario'!$C$11&gt;=36,$AL$23,INDEX($C$23:$AL$23,MAX(1,ROUNDUP(BQ196/'🎚️ Escenario'!$C$11,0)))))</f>
        <v>0</v>
      </c>
      <c r="BR197" s="236" t="n">
        <f aca="false" t="array" ref="BR197:BR197">IF(BR196=0,0,IF(BR196/'🎚️ Escenario'!$C$11&gt;=36,$AL$23,INDEX($C$23:$AL$23,MAX(1,ROUNDUP(BR196/'🎚️ Escenario'!$C$11,0)))))</f>
        <v>0</v>
      </c>
      <c r="BS197" s="236" t="n">
        <f aca="false" t="array" ref="BS197:BS197">IF(BS196=0,0,IF(BS196/'🎚️ Escenario'!$C$11&gt;=36,$AL$23,INDEX($C$23:$AL$23,MAX(1,ROUNDUP(BS196/'🎚️ Escenario'!$C$11,0)))))</f>
        <v>0</v>
      </c>
      <c r="BT197" s="236" t="n">
        <f aca="false" t="array" ref="BT197:BT197">IF(BT196=0,0,IF(BT196/'🎚️ Escenario'!$C$11&gt;=36,$AL$23,INDEX($C$23:$AL$23,MAX(1,ROUNDUP(BT196/'🎚️ Escenario'!$C$11,0)))))</f>
        <v>0</v>
      </c>
      <c r="BU197" s="236" t="n">
        <f aca="false" t="array" ref="BU197:BU197">IF(BU196=0,0,IF(BU196/'🎚️ Escenario'!$C$11&gt;=36,$AL$23,INDEX($C$23:$AL$23,MAX(1,ROUNDUP(BU196/'🎚️ Escenario'!$C$11,0)))))</f>
        <v>0</v>
      </c>
      <c r="BV197" s="236" t="n">
        <f aca="false" t="array" ref="BV197:BV197">IF(BV196=0,0,IF(BV196/'🎚️ Escenario'!$C$11&gt;=36,$AL$23,INDEX($C$23:$AL$23,MAX(1,ROUNDUP(BV196/'🎚️ Escenario'!$C$11,0)))))</f>
        <v>0</v>
      </c>
      <c r="BW197" s="236" t="n">
        <f aca="false" t="array" ref="BW197:BW197">IF(BW196=0,0,IF(BW196/'🎚️ Escenario'!$C$11&gt;=36,$AL$23,INDEX($C$23:$AL$23,MAX(1,ROUNDUP(BW196/'🎚️ Escenario'!$C$11,0)))))</f>
        <v>0</v>
      </c>
      <c r="BX197" s="236" t="n">
        <f aca="false" t="array" ref="BX197:BX197">IF(BX196=0,0,IF(BX196/'🎚️ Escenario'!$C$11&gt;=36,$AL$23,INDEX($C$23:$AL$23,MAX(1,ROUNDUP(BX196/'🎚️ Escenario'!$C$11,0)))))</f>
        <v>0.2</v>
      </c>
      <c r="BY197" s="236" t="n">
        <f aca="false" t="array" ref="BY197:BY197">IF(BY196=0,0,IF(BY196/'🎚️ Escenario'!$C$11&gt;=36,$AL$23,INDEX($C$23:$AL$23,MAX(1,ROUNDUP(BY196/'🎚️ Escenario'!$C$11,0)))))</f>
        <v>0.22</v>
      </c>
      <c r="BZ197" s="236" t="n">
        <f aca="false" t="array" ref="BZ197:BZ197">IF(BZ196=0,0,IF(BZ196/'🎚️ Escenario'!$C$11&gt;=36,$AL$23,INDEX($C$23:$AL$23,MAX(1,ROUNDUP(BZ196/'🎚️ Escenario'!$C$11,0)))))</f>
        <v>0.24</v>
      </c>
      <c r="CA197" s="236" t="n">
        <f aca="false" t="array" ref="CA197:CA197">IF(CA196=0,0,IF(CA196/'🎚️ Escenario'!$C$11&gt;=36,$AL$23,INDEX($C$23:$AL$23,MAX(1,ROUNDUP(CA196/'🎚️ Escenario'!$C$11,0)))))</f>
        <v>0.27</v>
      </c>
      <c r="CB197" s="236" t="n">
        <f aca="false" t="array" ref="CB197:CB197">IF(CB196=0,0,IF(CB196/'🎚️ Escenario'!$C$11&gt;=36,$AL$23,INDEX($C$23:$AL$23,MAX(1,ROUNDUP(CB196/'🎚️ Escenario'!$C$11,0)))))</f>
        <v>0.27</v>
      </c>
      <c r="CC197" s="236" t="n">
        <f aca="false" t="array" ref="CC197:CC197">IF(CC196=0,0,IF(CC196/'🎚️ Escenario'!$C$11&gt;=36,$AL$23,INDEX($C$23:$AL$23,MAX(1,ROUNDUP(CC196/'🎚️ Escenario'!$C$11,0)))))</f>
        <v>0.31</v>
      </c>
      <c r="CD197" s="236" t="n">
        <f aca="false" t="array" ref="CD197:CD197">IF(CD196=0,0,IF(CD196/'🎚️ Escenario'!$C$11&gt;=36,$AL$23,INDEX($C$23:$AL$23,MAX(1,ROUNDUP(CD196/'🎚️ Escenario'!$C$11,0)))))</f>
        <v>0.35</v>
      </c>
      <c r="CE197" s="236" t="n">
        <f aca="false" t="array" ref="CE197:CE197">IF(CE196=0,0,IF(CE196/'🎚️ Escenario'!$C$11&gt;=36,$AL$23,INDEX($C$23:$AL$23,MAX(1,ROUNDUP(CE196/'🎚️ Escenario'!$C$11,0)))))</f>
        <v>0.39</v>
      </c>
      <c r="CF197" s="236" t="n">
        <f aca="false" t="array" ref="CF197:CF197">IF(CF196=0,0,IF(CF196/'🎚️ Escenario'!$C$11&gt;=36,$AL$23,INDEX($C$23:$AL$23,MAX(1,ROUNDUP(CF196/'🎚️ Escenario'!$C$11,0)))))</f>
        <v>0.44</v>
      </c>
      <c r="CG197" s="236" t="n">
        <f aca="false" t="array" ref="CG197:CG197">IF(CG196=0,0,IF(CG196/'🎚️ Escenario'!$C$11&gt;=36,$AL$23,INDEX($C$23:$AL$23,MAX(1,ROUNDUP(CG196/'🎚️ Escenario'!$C$11,0)))))</f>
        <v>0.44</v>
      </c>
      <c r="CH197" s="236" t="n">
        <f aca="false" t="array" ref="CH197:CH197">IF(CH196=0,0,IF(CH196/'🎚️ Escenario'!$C$11&gt;=36,$AL$23,INDEX($C$23:$AL$23,MAX(1,ROUNDUP(CH196/'🎚️ Escenario'!$C$11,0)))))</f>
        <v>0.48</v>
      </c>
      <c r="CI197" s="236" t="n">
        <f aca="false" t="array" ref="CI197:CI197">IF(CI196=0,0,IF(CI196/'🎚️ Escenario'!$C$11&gt;=36,$AL$23,INDEX($C$23:$AL$23,MAX(1,ROUNDUP(CI196/'🎚️ Escenario'!$C$11,0)))))</f>
        <v>0.52</v>
      </c>
      <c r="CJ197" s="236" t="n">
        <f aca="false" t="array" ref="CJ197:CJ197">IF(CJ196=0,0,IF(CJ196/'🎚️ Escenario'!$C$11&gt;=36,$AL$23,INDEX($C$23:$AL$23,MAX(1,ROUNDUP(CJ196/'🎚️ Escenario'!$C$11,0)))))</f>
        <v>0.56</v>
      </c>
      <c r="CK197" s="236" t="n">
        <f aca="false" t="array" ref="CK197:CK197">IF(CK196=0,0,IF(CK196/'🎚️ Escenario'!$C$11&gt;=36,$AL$23,INDEX($C$23:$AL$23,MAX(1,ROUNDUP(CK196/'🎚️ Escenario'!$C$11,0)))))</f>
        <v>0.6</v>
      </c>
      <c r="CL197" s="236" t="n">
        <f aca="false" t="array" ref="CL197:CL197">IF(CL196=0,0,IF(CL196/'🎚️ Escenario'!$C$11&gt;=36,$AL$23,INDEX($C$23:$AL$23,MAX(1,ROUNDUP(CL196/'🎚️ Escenario'!$C$11,0)))))</f>
        <v>0.6</v>
      </c>
      <c r="CM197" s="236" t="n">
        <f aca="false" t="array" ref="CM197:CM197">IF(CM196=0,0,IF(CM196/'🎚️ Escenario'!$C$11&gt;=36,$AL$23,INDEX($C$23:$AL$23,MAX(1,ROUNDUP(CM196/'🎚️ Escenario'!$C$11,0)))))</f>
        <v>0.63</v>
      </c>
      <c r="CN197" s="236" t="n">
        <f aca="false" t="array" ref="CN197:CN197">IF(CN196=0,0,IF(CN196/'🎚️ Escenario'!$C$11&gt;=36,$AL$23,INDEX($C$23:$AL$23,MAX(1,ROUNDUP(CN196/'🎚️ Escenario'!$C$11,0)))))</f>
        <v>0.66</v>
      </c>
      <c r="CO197" s="236" t="n">
        <f aca="false" t="array" ref="CO197:CO197">IF(CO196=0,0,IF(CO196/'🎚️ Escenario'!$C$11&gt;=36,$AL$23,INDEX($C$23:$AL$23,MAX(1,ROUNDUP(CO196/'🎚️ Escenario'!$C$11,0)))))</f>
        <v>0.69</v>
      </c>
      <c r="CP197" s="236" t="n">
        <f aca="false" t="array" ref="CP197:CP197">IF(CP196=0,0,IF(CP196/'🎚️ Escenario'!$C$11&gt;=36,$AL$23,INDEX($C$23:$AL$23,MAX(1,ROUNDUP(CP196/'🎚️ Escenario'!$C$11,0)))))</f>
        <v>0.71</v>
      </c>
      <c r="CQ197" s="236" t="n">
        <f aca="false" t="array" ref="CQ197:CQ197">IF(CQ196=0,0,IF(CQ196/'🎚️ Escenario'!$C$11&gt;=36,$AL$23,INDEX($C$23:$AL$23,MAX(1,ROUNDUP(CQ196/'🎚️ Escenario'!$C$11,0)))))</f>
        <v>0.71</v>
      </c>
      <c r="CR197" s="236" t="n">
        <f aca="false" t="array" ref="CR197:CR197">IF(CR196=0,0,IF(CR196/'🎚️ Escenario'!$C$11&gt;=36,$AL$23,INDEX($C$23:$AL$23,MAX(1,ROUNDUP(CR196/'🎚️ Escenario'!$C$11,0)))))</f>
        <v>0.73</v>
      </c>
      <c r="CS197" s="236" t="n">
        <f aca="false" t="array" ref="CS197:CS197">IF(CS196=0,0,IF(CS196/'🎚️ Escenario'!$C$11&gt;=36,$AL$23,INDEX($C$23:$AL$23,MAX(1,ROUNDUP(CS196/'🎚️ Escenario'!$C$11,0)))))</f>
        <v>0.75</v>
      </c>
      <c r="CT197" s="236" t="n">
        <f aca="false" t="array" ref="CT197:CT197">IF(CT196=0,0,IF(CT196/'🎚️ Escenario'!$C$11&gt;=36,$AL$23,INDEX($C$23:$AL$23,MAX(1,ROUNDUP(CT196/'🎚️ Escenario'!$C$11,0)))))</f>
        <v>0.77</v>
      </c>
      <c r="CU197" s="236" t="n">
        <f aca="false" t="array" ref="CU197:CU197">IF(CU196=0,0,IF(CU196/'🎚️ Escenario'!$C$11&gt;=36,$AL$23,INDEX($C$23:$AL$23,MAX(1,ROUNDUP(CU196/'🎚️ Escenario'!$C$11,0)))))</f>
        <v>0.79</v>
      </c>
      <c r="CV197" s="236" t="n">
        <f aca="false" t="array" ref="CV197:CV197">IF(CV196=0,0,IF(CV196/'🎚️ Escenario'!$C$11&gt;=36,$AL$23,INDEX($C$23:$AL$23,MAX(1,ROUNDUP(CV196/'🎚️ Escenario'!$C$11,0)))))</f>
        <v>0.79</v>
      </c>
      <c r="CW197" s="236" t="n">
        <f aca="false" t="array" ref="CW197:CW197">IF(CW196=0,0,IF(CW196/'🎚️ Escenario'!$C$11&gt;=36,$AL$23,INDEX($C$23:$AL$23,MAX(1,ROUNDUP(CW196/'🎚️ Escenario'!$C$11,0)))))</f>
        <v>0.8</v>
      </c>
      <c r="CX197" s="236" t="n">
        <f aca="false" t="array" ref="CX197:CX197">IF(CX196=0,0,IF(CX196/'🎚️ Escenario'!$C$11&gt;=36,$AL$23,INDEX($C$23:$AL$23,MAX(1,ROUNDUP(CX196/'🎚️ Escenario'!$C$11,0)))))</f>
        <v>0.82</v>
      </c>
      <c r="CY197" s="236" t="n">
        <f aca="false" t="array" ref="CY197:CY197">IF(CY196=0,0,IF(CY196/'🎚️ Escenario'!$C$11&gt;=36,$AL$23,INDEX($C$23:$AL$23,MAX(1,ROUNDUP(CY196/'🎚️ Escenario'!$C$11,0)))))</f>
        <v>0.84</v>
      </c>
      <c r="CZ197" s="236" t="n">
        <f aca="false" t="array" ref="CZ197:CZ197">IF(CZ196=0,0,IF(CZ196/'🎚️ Escenario'!$C$11&gt;=36,$AL$23,INDEX($C$23:$AL$23,MAX(1,ROUNDUP(CZ196/'🎚️ Escenario'!$C$11,0)))))</f>
        <v>0.85</v>
      </c>
      <c r="DA197" s="236" t="n">
        <f aca="false" t="array" ref="DA197:DA197">IF(DA196=0,0,IF(DA196/'🎚️ Escenario'!$C$11&gt;=36,$AL$23,INDEX($C$23:$AL$23,MAX(1,ROUNDUP(DA196/'🎚️ Escenario'!$C$11,0)))))</f>
        <v>0.85</v>
      </c>
      <c r="DB197" s="236" t="n">
        <f aca="false" t="array" ref="DB197:DB197">IF(DB196=0,0,IF(DB196/'🎚️ Escenario'!$C$11&gt;=36,$AL$23,INDEX($C$23:$AL$23,MAX(1,ROUNDUP(DB196/'🎚️ Escenario'!$C$11,0)))))</f>
        <v>0.86</v>
      </c>
      <c r="DC197" s="236" t="n">
        <f aca="false" t="array" ref="DC197:DC197">IF(DC196=0,0,IF(DC196/'🎚️ Escenario'!$C$11&gt;=36,$AL$23,INDEX($C$23:$AL$23,MAX(1,ROUNDUP(DC196/'🎚️ Escenario'!$C$11,0)))))</f>
        <v>0.88</v>
      </c>
      <c r="DD197" s="236" t="n">
        <f aca="false" t="array" ref="DD197:DD197">IF(DD196=0,0,IF(DD196/'🎚️ Escenario'!$C$11&gt;=36,$AL$23,INDEX($C$23:$AL$23,MAX(1,ROUNDUP(DD196/'🎚️ Escenario'!$C$11,0)))))</f>
        <v>0.89</v>
      </c>
      <c r="DE197" s="236" t="n">
        <f aca="false" t="array" ref="DE197:DE197">IF(DE196=0,0,IF(DE196/'🎚️ Escenario'!$C$11&gt;=36,$AL$23,INDEX($C$23:$AL$23,MAX(1,ROUNDUP(DE196/'🎚️ Escenario'!$C$11,0)))))</f>
        <v>0.9</v>
      </c>
      <c r="DF197" s="236" t="n">
        <f aca="false" t="array" ref="DF197:DF197">IF(DF196=0,0,IF(DF196/'🎚️ Escenario'!$C$11&gt;=36,$AL$23,INDEX($C$23:$AL$23,MAX(1,ROUNDUP(DF196/'🎚️ Escenario'!$C$11,0)))))</f>
        <v>0.9</v>
      </c>
      <c r="DG197" s="236" t="n">
        <f aca="false" t="array" ref="DG197:DG197">IF(DG196=0,0,IF(DG196/'🎚️ Escenario'!$C$11&gt;=36,$AL$23,INDEX($C$23:$AL$23,MAX(1,ROUNDUP(DG196/'🎚️ Escenario'!$C$11,0)))))</f>
        <v>0.92</v>
      </c>
      <c r="DH197" s="236" t="n">
        <f aca="false" t="array" ref="DH197:DH197">IF(DH196=0,0,IF(DH196/'🎚️ Escenario'!$C$11&gt;=36,$AL$23,INDEX($C$23:$AL$23,MAX(1,ROUNDUP(DH196/'🎚️ Escenario'!$C$11,0)))))</f>
        <v>0.93</v>
      </c>
      <c r="DI197" s="236" t="n">
        <f aca="false" t="array" ref="DI197:DI197">IF(DI196=0,0,IF(DI196/'🎚️ Escenario'!$C$11&gt;=36,$AL$23,INDEX($C$23:$AL$23,MAX(1,ROUNDUP(DI196/'🎚️ Escenario'!$C$11,0)))))</f>
        <v>0.94</v>
      </c>
      <c r="DJ197" s="236" t="n">
        <f aca="false" t="array" ref="DJ197:DJ197">IF(DJ196=0,0,IF(DJ196/'🎚️ Escenario'!$C$11&gt;=36,$AL$23,INDEX($C$23:$AL$23,MAX(1,ROUNDUP(DJ196/'🎚️ Escenario'!$C$11,0)))))</f>
        <v>0.95</v>
      </c>
      <c r="DK197" s="236" t="n">
        <f aca="false" t="array" ref="DK197:DK197">IF(DK196=0,0,IF(DK196/'🎚️ Escenario'!$C$11&gt;=36,$AL$23,INDEX($C$23:$AL$23,MAX(1,ROUNDUP(DK196/'🎚️ Escenario'!$C$11,0)))))</f>
        <v>0.95</v>
      </c>
      <c r="DL197" s="236" t="n">
        <f aca="false" t="array" ref="DL197:DL197">IF(DL196=0,0,IF(DL196/'🎚️ Escenario'!$C$11&gt;=36,$AL$23,INDEX($C$23:$AL$23,MAX(1,ROUNDUP(DL196/'🎚️ Escenario'!$C$11,0)))))</f>
        <v>0.97</v>
      </c>
      <c r="DM197" s="236" t="n">
        <f aca="false" t="array" ref="DM197:DM197">IF(DM196=0,0,IF(DM196/'🎚️ Escenario'!$C$11&gt;=36,$AL$23,INDEX($C$23:$AL$23,MAX(1,ROUNDUP(DM196/'🎚️ Escenario'!$C$11,0)))))</f>
        <v>0.98</v>
      </c>
      <c r="DN197" s="236" t="n">
        <f aca="false" t="array" ref="DN197:DN197">IF(DN196=0,0,IF(DN196/'🎚️ Escenario'!$C$11&gt;=36,$AL$23,INDEX($C$23:$AL$23,MAX(1,ROUNDUP(DN196/'🎚️ Escenario'!$C$11,0)))))</f>
        <v>0.99</v>
      </c>
      <c r="DO197" s="236" t="n">
        <f aca="false" t="array" ref="DO197:DO197">IF(DO196=0,0,IF(DO196/'🎚️ Escenario'!$C$11&gt;=36,$AL$23,INDEX($C$23:$AL$23,MAX(1,ROUNDUP(DO196/'🎚️ Escenario'!$C$11,0)))))</f>
        <v>1</v>
      </c>
      <c r="DP197" s="236" t="n">
        <f aca="false" t="array" ref="DP197:DP197">IF(DP196=0,0,IF(DP196/'🎚️ Escenario'!$C$11&gt;=36,$AL$23,INDEX($C$23:$AL$23,MAX(1,ROUNDUP(DP196/'🎚️ Escenario'!$C$11,0)))))</f>
        <v>1</v>
      </c>
      <c r="DQ197" s="236" t="n">
        <f aca="false" t="array" ref="DQ197:DQ197">IF(DQ196=0,0,IF(DQ196/'🎚️ Escenario'!$C$11&gt;=36,$AL$23,INDEX($C$23:$AL$23,MAX(1,ROUNDUP(DQ196/'🎚️ Escenario'!$C$11,0)))))</f>
        <v>1</v>
      </c>
      <c r="DR197" s="236" t="n">
        <f aca="false" t="array" ref="DR197:DR197">IF(DR196=0,0,IF(DR196/'🎚️ Escenario'!$C$11&gt;=36,$AL$23,INDEX($C$23:$AL$23,MAX(1,ROUNDUP(DR196/'🎚️ Escenario'!$C$11,0)))))</f>
        <v>1</v>
      </c>
      <c r="DS197" s="236" t="n">
        <f aca="false" t="array" ref="DS197:DS197">IF(DS196=0,0,IF(DS196/'🎚️ Escenario'!$C$11&gt;=36,$AL$23,INDEX($C$23:$AL$23,MAX(1,ROUNDUP(DS196/'🎚️ Escenario'!$C$11,0)))))</f>
        <v>1</v>
      </c>
      <c r="DT197" s="236" t="n">
        <f aca="false" t="array" ref="DT197:DT197">IF(DT196=0,0,IF(DT196/'🎚️ Escenario'!$C$11&gt;=36,$AL$23,INDEX($C$23:$AL$23,MAX(1,ROUNDUP(DT196/'🎚️ Escenario'!$C$11,0)))))</f>
        <v>1</v>
      </c>
      <c r="DU197" s="236" t="n">
        <f aca="false" t="array" ref="DU197:DU197">IF(DU196=0,0,IF(DU196/'🎚️ Escenario'!$C$11&gt;=36,$AL$23,INDEX($C$23:$AL$23,MAX(1,ROUNDUP(DU196/'🎚️ Escenario'!$C$11,0)))))</f>
        <v>1</v>
      </c>
      <c r="DV197" s="236" t="n">
        <f aca="false" t="array" ref="DV197:DV197">IF(DV196=0,0,IF(DV196/'🎚️ Escenario'!$C$11&gt;=36,$AL$23,INDEX($C$23:$AL$23,MAX(1,ROUNDUP(DV196/'🎚️ Escenario'!$C$11,0)))))</f>
        <v>1</v>
      </c>
      <c r="DW197" s="236" t="n">
        <f aca="false" t="array" ref="DW197:DW197">IF(DW196=0,0,IF(DW196/'🎚️ Escenario'!$C$11&gt;=36,$AL$23,INDEX($C$23:$AL$23,MAX(1,ROUNDUP(DW196/'🎚️ Escenario'!$C$11,0)))))</f>
        <v>1</v>
      </c>
      <c r="DX197" s="236" t="n">
        <f aca="false" t="array" ref="DX197:DX197">IF(DX196=0,0,IF(DX196/'🎚️ Escenario'!$C$11&gt;=36,$AL$23,INDEX($C$23:$AL$23,MAX(1,ROUNDUP(DX196/'🎚️ Escenario'!$C$11,0)))))</f>
        <v>1</v>
      </c>
      <c r="DY197" s="236" t="n">
        <f aca="false" t="array" ref="DY197:DY197">IF(DY196=0,0,IF(DY196/'🎚️ Escenario'!$C$11&gt;=36,$AL$23,INDEX($C$23:$AL$23,MAX(1,ROUNDUP(DY196/'🎚️ Escenario'!$C$11,0)))))</f>
        <v>1</v>
      </c>
      <c r="DZ197" s="236" t="n">
        <f aca="false" t="array" ref="DZ197:DZ197">IF(DZ196=0,0,IF(DZ196/'🎚️ Escenario'!$C$11&gt;=36,$AL$23,INDEX($C$23:$AL$23,MAX(1,ROUNDUP(DZ196/'🎚️ Escenario'!$C$11,0)))))</f>
        <v>1</v>
      </c>
      <c r="EA197" s="236" t="n">
        <f aca="false" t="array" ref="EA197:EA197">IF(EA196=0,0,IF(EA196/'🎚️ Escenario'!$C$11&gt;=36,$AL$23,INDEX($C$23:$AL$23,MAX(1,ROUNDUP(EA196/'🎚️ Escenario'!$C$11,0)))))</f>
        <v>1</v>
      </c>
      <c r="EB197" s="236" t="n">
        <f aca="false" t="array" ref="EB197:EB197">IF(EB196=0,0,IF(EB196/'🎚️ Escenario'!$C$11&gt;=36,$AL$23,INDEX($C$23:$AL$23,MAX(1,ROUNDUP(EB196/'🎚️ Escenario'!$C$11,0)))))</f>
        <v>1</v>
      </c>
      <c r="EC197" s="236" t="n">
        <f aca="false" t="array" ref="EC197:EC197">IF(EC196=0,0,IF(EC196/'🎚️ Escenario'!$C$11&gt;=36,$AL$23,INDEX($C$23:$AL$23,MAX(1,ROUNDUP(EC196/'🎚️ Escenario'!$C$11,0)))))</f>
        <v>1</v>
      </c>
      <c r="ED197" s="236" t="n">
        <f aca="false" t="array" ref="ED197:ED197">IF(ED196=0,0,IF(ED196/'🎚️ Escenario'!$C$11&gt;=36,$AL$23,INDEX($C$23:$AL$23,MAX(1,ROUNDUP(ED196/'🎚️ Escenario'!$C$11,0)))))</f>
        <v>1</v>
      </c>
      <c r="EE197" s="236" t="n">
        <f aca="false" t="array" ref="EE197:EE197">IF(EE196=0,0,IF(EE196/'🎚️ Escenario'!$C$11&gt;=36,$AL$23,INDEX($C$23:$AL$23,MAX(1,ROUNDUP(EE196/'🎚️ Escenario'!$C$11,0)))))</f>
        <v>1</v>
      </c>
      <c r="EF197" s="236" t="n">
        <f aca="false" t="array" ref="EF197:EF197">IF(EF196=0,0,IF(EF196/'🎚️ Escenario'!$C$11&gt;=36,$AL$23,INDEX($C$23:$AL$23,MAX(1,ROUNDUP(EF196/'🎚️ Escenario'!$C$11,0)))))</f>
        <v>1</v>
      </c>
      <c r="EG197" s="236" t="n">
        <f aca="false" t="array" ref="EG197:EG197">IF(EG196=0,0,IF(EG196/'🎚️ Escenario'!$C$11&gt;=36,$AL$23,INDEX($C$23:$AL$23,MAX(1,ROUNDUP(EG196/'🎚️ Escenario'!$C$11,0)))))</f>
        <v>1</v>
      </c>
      <c r="EH197" s="236" t="n">
        <f aca="false" t="array" ref="EH197:EH197">IF(EH196=0,0,IF(EH196/'🎚️ Escenario'!$C$11&gt;=36,$AL$23,INDEX($C$23:$AL$23,MAX(1,ROUNDUP(EH196/'🎚️ Escenario'!$C$11,0)))))</f>
        <v>1</v>
      </c>
      <c r="EI197" s="236" t="n">
        <f aca="false" t="array" ref="EI197:EI197">IF(EI196=0,0,IF(EI196/'🎚️ Escenario'!$C$11&gt;=36,$AL$23,INDEX($C$23:$AL$23,MAX(1,ROUNDUP(EI196/'🎚️ Escenario'!$C$11,0)))))</f>
        <v>1</v>
      </c>
      <c r="EJ197" s="236" t="n">
        <f aca="false" t="array" ref="EJ197:EJ197">IF(EJ196=0,0,IF(EJ196/'🎚️ Escenario'!$C$11&gt;=36,$AL$23,INDEX($C$23:$AL$23,MAX(1,ROUNDUP(EJ196/'🎚️ Escenario'!$C$11,0)))))</f>
        <v>1</v>
      </c>
      <c r="EK197" s="236" t="n">
        <f aca="false" t="array" ref="EK197:EK197">IF(EK196=0,0,IF(EK196/'🎚️ Escenario'!$C$11&gt;=36,$AL$23,INDEX($C$23:$AL$23,MAX(1,ROUNDUP(EK196/'🎚️ Escenario'!$C$11,0)))))</f>
        <v>1</v>
      </c>
      <c r="EL197" s="236" t="n">
        <f aca="false" t="array" ref="EL197:EL197">IF(EL196=0,0,IF(EL196/'🎚️ Escenario'!$C$11&gt;=36,$AL$23,INDEX($C$23:$AL$23,MAX(1,ROUNDUP(EL196/'🎚️ Escenario'!$C$11,0)))))</f>
        <v>1</v>
      </c>
      <c r="EM197" s="236" t="n">
        <f aca="false" t="array" ref="EM197:EM197">IF(EM196=0,0,IF(EM196/'🎚️ Escenario'!$C$11&gt;=36,$AL$23,INDEX($C$23:$AL$23,MAX(1,ROUNDUP(EM196/'🎚️ Escenario'!$C$11,0)))))</f>
        <v>1</v>
      </c>
      <c r="EN197" s="236" t="n">
        <f aca="false" t="array" ref="EN197:EN197">IF(EN196=0,0,IF(EN196/'🎚️ Escenario'!$C$11&gt;=36,$AL$23,INDEX($C$23:$AL$23,MAX(1,ROUNDUP(EN196/'🎚️ Escenario'!$C$11,0)))))</f>
        <v>1</v>
      </c>
      <c r="EO197" s="236" t="n">
        <f aca="false" t="array" ref="EO197:EO197">IF(EO196=0,0,IF(EO196/'🎚️ Escenario'!$C$11&gt;=36,$AL$23,INDEX($C$23:$AL$23,MAX(1,ROUNDUP(EO196/'🎚️ Escenario'!$C$11,0)))))</f>
        <v>1</v>
      </c>
      <c r="EP197" s="236" t="n">
        <f aca="false" t="array" ref="EP197:EP197">IF(EP196=0,0,IF(EP196/'🎚️ Escenario'!$C$11&gt;=36,$AL$23,INDEX($C$23:$AL$23,MAX(1,ROUNDUP(EP196/'🎚️ Escenario'!$C$11,0)))))</f>
        <v>1</v>
      </c>
      <c r="EQ197" s="236" t="n">
        <f aca="false" t="array" ref="EQ197:EQ197">IF(EQ196=0,0,IF(EQ196/'🎚️ Escenario'!$C$11&gt;=36,$AL$23,INDEX($C$23:$AL$23,MAX(1,ROUNDUP(EQ196/'🎚️ Escenario'!$C$11,0)))))</f>
        <v>1</v>
      </c>
      <c r="ER197" s="236" t="n">
        <f aca="false" t="array" ref="ER197:ER197">IF(ER196=0,0,IF(ER196/'🎚️ Escenario'!$C$11&gt;=36,$AL$23,INDEX($C$23:$AL$23,MAX(1,ROUNDUP(ER196/'🎚️ Escenario'!$C$11,0)))))</f>
        <v>1</v>
      </c>
      <c r="ES197" s="9" t="n">
        <f aca="false" t="array" ref="ES197:ES197">IF(ES196=0,0,IF(ES196/'🎚️ Escenario'!$C$11&gt;=36,$AL$23,INDEX($C$23:$AL$23,MAX(1,ROUNDUP(ES196/'🎚️ Escenario'!$C$11,0)))))</f>
        <v>1</v>
      </c>
      <c r="ET197" s="9" t="n">
        <f aca="false" t="array" ref="ET197:ET197">IF(ET196=0,0,IF(ET196/'🎚️ Escenario'!$C$11&gt;=36,$AL$23,INDEX($C$23:$AL$23,MAX(1,ROUNDUP(ET196/'🎚️ Escenario'!$C$11,0)))))</f>
        <v>1</v>
      </c>
      <c r="EU197" s="9" t="n">
        <f aca="false" t="array" ref="EU197:EU197">IF(EU196=0,0,IF(EU196/'🎚️ Escenario'!$C$11&gt;=36,$AL$23,INDEX($C$23:$AL$23,MAX(1,ROUNDUP(EU196/'🎚️ Escenario'!$C$11,0)))))</f>
        <v>1</v>
      </c>
      <c r="EV197" s="9" t="n">
        <f aca="false" t="array" ref="EV197:EV197">IF(EV196=0,0,IF(EV196/'🎚️ Escenario'!$C$11&gt;=36,$AL$23,INDEX($C$23:$AL$23,MAX(1,ROUNDUP(EV196/'🎚️ Escenario'!$C$11,0)))))</f>
        <v>1</v>
      </c>
      <c r="EW197" s="9" t="n">
        <f aca="false" t="array" ref="EW197:EW197">IF(EW196=0,0,IF(EW196/'🎚️ Escenario'!$C$11&gt;=36,$AL$23,INDEX($C$23:$AL$23,MAX(1,ROUNDUP(EW196/'🎚️ Escenario'!$C$11,0)))))</f>
        <v>1</v>
      </c>
      <c r="EX197" s="9" t="n">
        <f aca="false" t="array" ref="EX197:EX197">IF(EX196=0,0,IF(EX196/'🎚️ Escenario'!$C$11&gt;=36,$AL$23,INDEX($C$23:$AL$23,MAX(1,ROUNDUP(EX196/'🎚️ Escenario'!$C$11,0)))))</f>
        <v>1</v>
      </c>
      <c r="EY197" s="9" t="n">
        <f aca="false" t="array" ref="EY197:EY197">IF(EY196=0,0,IF(EY196/'🎚️ Escenario'!$C$11&gt;=36,$AL$23,INDEX($C$23:$AL$23,MAX(1,ROUNDUP(EY196/'🎚️ Escenario'!$C$11,0)))))</f>
        <v>1</v>
      </c>
      <c r="EZ197" s="9" t="n">
        <f aca="false" t="array" ref="EZ197:EZ197">IF(EZ196=0,0,IF(EZ196/'🎚️ Escenario'!$C$11&gt;=36,$AL$23,INDEX($C$23:$AL$23,MAX(1,ROUNDUP(EZ196/'🎚️ Escenario'!$C$11,0)))))</f>
        <v>1</v>
      </c>
      <c r="FA197" s="9" t="n">
        <f aca="false" t="array" ref="FA197:FA197">IF(FA196=0,0,IF(FA196/'🎚️ Escenario'!$C$11&gt;=36,$AL$23,INDEX($C$23:$AL$23,MAX(1,ROUNDUP(FA196/'🎚️ Escenario'!$C$11,0)))))</f>
        <v>1</v>
      </c>
      <c r="FB197" s="9" t="n">
        <f aca="false" t="array" ref="FB197:FB197">IF(FB196=0,0,IF(FB196/'🎚️ Escenario'!$C$11&gt;=36,$AL$23,INDEX($C$23:$AL$23,MAX(1,ROUNDUP(FB196/'🎚️ Escenario'!$C$11,0)))))</f>
        <v>1</v>
      </c>
      <c r="FC197" s="9" t="n">
        <f aca="false" t="array" ref="FC197:FC197">IF(FC196=0,0,IF(FC196/'🎚️ Escenario'!$C$11&gt;=36,$AL$23,INDEX($C$23:$AL$23,MAX(1,ROUNDUP(FC196/'🎚️ Escenario'!$C$11,0)))))</f>
        <v>1</v>
      </c>
      <c r="FD197" s="9" t="n">
        <f aca="false" t="array" ref="FD197:FD197">IF(FD196=0,0,IF(FD196/'🎚️ Escenario'!$C$11&gt;=36,$AL$23,INDEX($C$23:$AL$23,MAX(1,ROUNDUP(FD196/'🎚️ Escenario'!$C$11,0)))))</f>
        <v>1</v>
      </c>
      <c r="FE197" s="9" t="n">
        <f aca="false" t="array" ref="FE197:FE197">IF(FE196=0,0,IF(FE196/'🎚️ Escenario'!$C$11&gt;=36,$AL$23,INDEX($C$23:$AL$23,MAX(1,ROUNDUP(FE196/'🎚️ Escenario'!$C$11,0)))))</f>
        <v>1</v>
      </c>
      <c r="FF197" s="9" t="n">
        <f aca="false" t="array" ref="FF197:FF197">IF(FF196=0,0,IF(FF196/'🎚️ Escenario'!$C$11&gt;=36,$AL$23,INDEX($C$23:$AL$23,MAX(1,ROUNDUP(FF196/'🎚️ Escenario'!$C$11,0)))))</f>
        <v>1</v>
      </c>
      <c r="FG197" s="9" t="n">
        <f aca="false" t="array" ref="FG197:FG197">IF(FG196=0,0,IF(FG196/'🎚️ Escenario'!$C$11&gt;=36,$AL$23,INDEX($C$23:$AL$23,MAX(1,ROUNDUP(FG196/'🎚️ Escenario'!$C$11,0)))))</f>
        <v>1</v>
      </c>
      <c r="FH197" s="9" t="n">
        <f aca="false" t="array" ref="FH197:FH197">IF(FH196=0,0,IF(FH196/'🎚️ Escenario'!$C$11&gt;=36,$AL$23,INDEX($C$23:$AL$23,MAX(1,ROUNDUP(FH196/'🎚️ Escenario'!$C$11,0)))))</f>
        <v>1</v>
      </c>
      <c r="FI197" s="9" t="n">
        <f aca="false" t="array" ref="FI197:FI197">IF(FI196=0,0,IF(FI196/'🎚️ Escenario'!$C$11&gt;=36,$AL$23,INDEX($C$23:$AL$23,MAX(1,ROUNDUP(FI196/'🎚️ Escenario'!$C$11,0)))))</f>
        <v>1</v>
      </c>
      <c r="FJ197" s="9" t="n">
        <f aca="false" t="array" ref="FJ197:FJ197">IF(FJ196=0,0,IF(FJ196/'🎚️ Escenario'!$C$11&gt;=36,$AL$23,INDEX($C$23:$AL$23,MAX(1,ROUNDUP(FJ196/'🎚️ Escenario'!$C$11,0)))))</f>
        <v>1</v>
      </c>
      <c r="FK197" s="9" t="n">
        <f aca="false" t="array" ref="FK197:FK197">IF(FK196=0,0,IF(FK196/'🎚️ Escenario'!$C$11&gt;=36,$AL$23,INDEX($C$23:$AL$23,MAX(1,ROUNDUP(FK196/'🎚️ Escenario'!$C$11,0)))))</f>
        <v>1</v>
      </c>
      <c r="FL197" s="9" t="n">
        <f aca="false" t="array" ref="FL197:FL197">IF(FL196=0,0,IF(FL196/'🎚️ Escenario'!$C$11&gt;=36,$AL$23,INDEX($C$23:$AL$23,MAX(1,ROUNDUP(FL196/'🎚️ Escenario'!$C$11,0)))))</f>
        <v>1</v>
      </c>
      <c r="FM197" s="9" t="n">
        <f aca="false" t="array" ref="FM197:FM197">IF(FM196=0,0,IF(FM196/'🎚️ Escenario'!$C$11&gt;=36,$AL$23,INDEX($C$23:$AL$23,MAX(1,ROUNDUP(FM196/'🎚️ Escenario'!$C$11,0)))))</f>
        <v>1</v>
      </c>
      <c r="FN197" s="9" t="n">
        <f aca="false" t="array" ref="FN197:FN197">IF(FN196=0,0,IF(FN196/'🎚️ Escenario'!$C$11&gt;=36,$AL$23,INDEX($C$23:$AL$23,MAX(1,ROUNDUP(FN196/'🎚️ Escenario'!$C$11,0)))))</f>
        <v>1</v>
      </c>
      <c r="FO197" s="9" t="n">
        <f aca="false" t="array" ref="FO197:FO197">IF(FO196=0,0,IF(FO196/'🎚️ Escenario'!$C$11&gt;=36,$AL$23,INDEX($C$23:$AL$23,MAX(1,ROUNDUP(FO196/'🎚️ Escenario'!$C$11,0)))))</f>
        <v>1</v>
      </c>
      <c r="FP197" s="9" t="n">
        <f aca="false" t="array" ref="FP197:FP197">IF(FP196=0,0,IF(FP196/'🎚️ Escenario'!$C$11&gt;=36,$AL$23,INDEX($C$23:$AL$23,MAX(1,ROUNDUP(FP196/'🎚️ Escenario'!$C$11,0)))))</f>
        <v>1</v>
      </c>
    </row>
    <row r="198" customFormat="false" ht="15" hidden="false" customHeight="false" outlineLevel="2" collapsed="false">
      <c r="B198" s="9" t="s">
        <v>875</v>
      </c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237" t="n">
        <f aca="false">IF(AC196=0,0,IF(AC196&lt;=12*'🎚️ Escenario'!$C$11,1,1+$C$6))</f>
        <v>0</v>
      </c>
      <c r="AD198" s="237" t="n">
        <f aca="false">IF(AD196=0,0,IF(AD196&lt;=12*'🎚️ Escenario'!$C$11,1,1+$C$6))</f>
        <v>0</v>
      </c>
      <c r="AE198" s="237" t="n">
        <f aca="false">IF(AE196=0,0,IF(AE196&lt;=12*'🎚️ Escenario'!$C$11,1,1+$C$6))</f>
        <v>0</v>
      </c>
      <c r="AF198" s="237" t="n">
        <f aca="false">IF(AF196=0,0,IF(AF196&lt;=12*'🎚️ Escenario'!$C$11,1,1+$C$6))</f>
        <v>0</v>
      </c>
      <c r="AG198" s="237" t="n">
        <f aca="false">IF(AG196=0,0,IF(AG196&lt;=12*'🎚️ Escenario'!$C$11,1,1+$C$6))</f>
        <v>0</v>
      </c>
      <c r="AH198" s="237" t="n">
        <f aca="false">IF(AH196=0,0,IF(AH196&lt;=12*'🎚️ Escenario'!$C$11,1,1+$C$6))</f>
        <v>0</v>
      </c>
      <c r="AI198" s="237" t="n">
        <f aca="false">IF(AI196=0,0,IF(AI196&lt;=12*'🎚️ Escenario'!$C$11,1,1+$C$6))</f>
        <v>0</v>
      </c>
      <c r="AJ198" s="237" t="n">
        <f aca="false">IF(AJ196=0,0,IF(AJ196&lt;=12*'🎚️ Escenario'!$C$11,1,1+$C$6))</f>
        <v>0</v>
      </c>
      <c r="AK198" s="237" t="n">
        <f aca="false">IF(AK196=0,0,IF(AK196&lt;=12*'🎚️ Escenario'!$C$11,1,1+$C$6))</f>
        <v>0</v>
      </c>
      <c r="AL198" s="237" t="n">
        <f aca="false">IF(AL196=0,0,IF(AL196&lt;=12*'🎚️ Escenario'!$C$11,1,1+$C$6))</f>
        <v>0</v>
      </c>
      <c r="AM198" s="237" t="n">
        <f aca="false">IF(AM196=0,0,IF(AM196&lt;=12*'🎚️ Escenario'!$C$11,1,1+$C$6))</f>
        <v>0</v>
      </c>
      <c r="AN198" s="237" t="n">
        <f aca="false">IF(AN196=0,0,IF(AN196&lt;=12*'🎚️ Escenario'!$C$11,1,1+$C$6))</f>
        <v>0</v>
      </c>
      <c r="AO198" s="237" t="n">
        <f aca="false">IF(AO196=0,0,IF(AO196&lt;=12*'🎚️ Escenario'!$C$11,1,1+$C$6))</f>
        <v>0</v>
      </c>
      <c r="AP198" s="237" t="n">
        <f aca="false">IF(AP196=0,0,IF(AP196&lt;=12*'🎚️ Escenario'!$C$11,1,1+$C$6))</f>
        <v>0</v>
      </c>
      <c r="AQ198" s="237" t="n">
        <f aca="false">IF(AQ196=0,0,IF(AQ196&lt;=12*'🎚️ Escenario'!$C$11,1,1+$C$6))</f>
        <v>0</v>
      </c>
      <c r="AR198" s="237" t="n">
        <f aca="false">IF(AR196=0,0,IF(AR196&lt;=12*'🎚️ Escenario'!$C$11,1,1+$C$6))</f>
        <v>0</v>
      </c>
      <c r="AS198" s="237" t="n">
        <f aca="false">IF(AS196=0,0,IF(AS196&lt;=12*'🎚️ Escenario'!$C$11,1,1+$C$6))</f>
        <v>0</v>
      </c>
      <c r="AT198" s="237" t="n">
        <f aca="false">IF(AT196=0,0,IF(AT196&lt;=12*'🎚️ Escenario'!$C$11,1,1+$C$6))</f>
        <v>0</v>
      </c>
      <c r="AU198" s="237" t="n">
        <f aca="false">IF(AU196=0,0,IF(AU196&lt;=12*'🎚️ Escenario'!$C$11,1,1+$C$6))</f>
        <v>0</v>
      </c>
      <c r="AV198" s="237" t="n">
        <f aca="false">IF(AV196=0,0,IF(AV196&lt;=12*'🎚️ Escenario'!$C$11,1,1+$C$6))</f>
        <v>0</v>
      </c>
      <c r="AW198" s="237" t="n">
        <f aca="false">IF(AW196=0,0,IF(AW196&lt;=12*'🎚️ Escenario'!$C$11,1,1+$C$6))</f>
        <v>0</v>
      </c>
      <c r="AX198" s="237" t="n">
        <f aca="false">IF(AX196=0,0,IF(AX196&lt;=12*'🎚️ Escenario'!$C$11,1,1+$C$6))</f>
        <v>0</v>
      </c>
      <c r="AY198" s="237" t="n">
        <f aca="false">IF(AY196=0,0,IF(AY196&lt;=12*'🎚️ Escenario'!$C$11,1,1+$C$6))</f>
        <v>0</v>
      </c>
      <c r="AZ198" s="237" t="n">
        <f aca="false">IF(AZ196=0,0,IF(AZ196&lt;=12*'🎚️ Escenario'!$C$11,1,1+$C$6))</f>
        <v>0</v>
      </c>
      <c r="BA198" s="237" t="n">
        <f aca="false">IF(BA196=0,0,IF(BA196&lt;=12*'🎚️ Escenario'!$C$11,1,1+$C$6))</f>
        <v>0</v>
      </c>
      <c r="BB198" s="237" t="n">
        <f aca="false">IF(BB196=0,0,IF(BB196&lt;=12*'🎚️ Escenario'!$C$11,1,1+$C$6))</f>
        <v>0</v>
      </c>
      <c r="BC198" s="237" t="n">
        <f aca="false">IF(BC196=0,0,IF(BC196&lt;=12*'🎚️ Escenario'!$C$11,1,1+$C$6))</f>
        <v>0</v>
      </c>
      <c r="BD198" s="237" t="n">
        <f aca="false">IF(BD196=0,0,IF(BD196&lt;=12*'🎚️ Escenario'!$C$11,1,1+$C$6))</f>
        <v>0</v>
      </c>
      <c r="BE198" s="237" t="n">
        <f aca="false">IF(BE196=0,0,IF(BE196&lt;=12*'🎚️ Escenario'!$C$11,1,1+$C$6))</f>
        <v>0</v>
      </c>
      <c r="BF198" s="237" t="n">
        <f aca="false">IF(BF196=0,0,IF(BF196&lt;=12*'🎚️ Escenario'!$C$11,1,1+$C$6))</f>
        <v>0</v>
      </c>
      <c r="BG198" s="237" t="n">
        <f aca="false">IF(BG196=0,0,IF(BG196&lt;=12*'🎚️ Escenario'!$C$11,1,1+$C$6))</f>
        <v>0</v>
      </c>
      <c r="BH198" s="237" t="n">
        <f aca="false">IF(BH196=0,0,IF(BH196&lt;=12*'🎚️ Escenario'!$C$11,1,1+$C$6))</f>
        <v>0</v>
      </c>
      <c r="BI198" s="237" t="n">
        <f aca="false">IF(BI196=0,0,IF(BI196&lt;=12*'🎚️ Escenario'!$C$11,1,1+$C$6))</f>
        <v>0</v>
      </c>
      <c r="BJ198" s="237" t="n">
        <f aca="false">IF(BJ196=0,0,IF(BJ196&lt;=12*'🎚️ Escenario'!$C$11,1,1+$C$6))</f>
        <v>0</v>
      </c>
      <c r="BK198" s="237" t="n">
        <f aca="false">IF(BK196=0,0,IF(BK196&lt;=12*'🎚️ Escenario'!$C$11,1,1+$C$6))</f>
        <v>0</v>
      </c>
      <c r="BL198" s="237" t="n">
        <f aca="false">IF(BL196=0,0,IF(BL196&lt;=12*'🎚️ Escenario'!$C$11,1,1+$C$6))</f>
        <v>0</v>
      </c>
      <c r="BM198" s="237" t="n">
        <f aca="false">IF(BM196=0,0,IF(BM196&lt;=12*'🎚️ Escenario'!$C$11,1,1+$C$6))</f>
        <v>0</v>
      </c>
      <c r="BN198" s="237" t="n">
        <f aca="false">IF(BN196=0,0,IF(BN196&lt;=12*'🎚️ Escenario'!$C$11,1,1+$C$6))</f>
        <v>0</v>
      </c>
      <c r="BO198" s="237" t="n">
        <f aca="false">IF(BO196=0,0,IF(BO196&lt;=12*'🎚️ Escenario'!$C$11,1,1+$C$6))</f>
        <v>0</v>
      </c>
      <c r="BP198" s="237" t="n">
        <f aca="false">IF(BP196=0,0,IF(BP196&lt;=12*'🎚️ Escenario'!$C$11,1,1+$C$6))</f>
        <v>0</v>
      </c>
      <c r="BQ198" s="237" t="n">
        <f aca="false">IF(BQ196=0,0,IF(BQ196&lt;=12*'🎚️ Escenario'!$C$11,1,1+$C$6))</f>
        <v>0</v>
      </c>
      <c r="BR198" s="237" t="n">
        <f aca="false">IF(BR196=0,0,IF(BR196&lt;=12*'🎚️ Escenario'!$C$11,1,1+$C$6))</f>
        <v>0</v>
      </c>
      <c r="BS198" s="237" t="n">
        <f aca="false">IF(BS196=0,0,IF(BS196&lt;=12*'🎚️ Escenario'!$C$11,1,1+$C$6))</f>
        <v>0</v>
      </c>
      <c r="BT198" s="237" t="n">
        <f aca="false">IF(BT196=0,0,IF(BT196&lt;=12*'🎚️ Escenario'!$C$11,1,1+$C$6))</f>
        <v>0</v>
      </c>
      <c r="BU198" s="237" t="n">
        <f aca="false">IF(BU196=0,0,IF(BU196&lt;=12*'🎚️ Escenario'!$C$11,1,1+$C$6))</f>
        <v>0</v>
      </c>
      <c r="BV198" s="237" t="n">
        <f aca="false">IF(BV196=0,0,IF(BV196&lt;=12*'🎚️ Escenario'!$C$11,1,1+$C$6))</f>
        <v>0</v>
      </c>
      <c r="BW198" s="237" t="n">
        <f aca="false">IF(BW196=0,0,IF(BW196&lt;=12*'🎚️ Escenario'!$C$11,1,1+$C$6))</f>
        <v>0</v>
      </c>
      <c r="BX198" s="237" t="n">
        <f aca="false">IF(BX196=0,0,IF(BX196&lt;=12*'🎚️ Escenario'!$C$11,1,1+$C$6))</f>
        <v>1</v>
      </c>
      <c r="BY198" s="237" t="n">
        <f aca="false">IF(BY196=0,0,IF(BY196&lt;=12*'🎚️ Escenario'!$C$11,1,1+$C$6))</f>
        <v>1</v>
      </c>
      <c r="BZ198" s="237" t="n">
        <f aca="false">IF(BZ196=0,0,IF(BZ196&lt;=12*'🎚️ Escenario'!$C$11,1,1+$C$6))</f>
        <v>1</v>
      </c>
      <c r="CA198" s="237" t="n">
        <f aca="false">IF(CA196=0,0,IF(CA196&lt;=12*'🎚️ Escenario'!$C$11,1,1+$C$6))</f>
        <v>1</v>
      </c>
      <c r="CB198" s="237" t="n">
        <f aca="false">IF(CB196=0,0,IF(CB196&lt;=12*'🎚️ Escenario'!$C$11,1,1+$C$6))</f>
        <v>1</v>
      </c>
      <c r="CC198" s="237" t="n">
        <f aca="false">IF(CC196=0,0,IF(CC196&lt;=12*'🎚️ Escenario'!$C$11,1,1+$C$6))</f>
        <v>1</v>
      </c>
      <c r="CD198" s="237" t="n">
        <f aca="false">IF(CD196=0,0,IF(CD196&lt;=12*'🎚️ Escenario'!$C$11,1,1+$C$6))</f>
        <v>1</v>
      </c>
      <c r="CE198" s="237" t="n">
        <f aca="false">IF(CE196=0,0,IF(CE196&lt;=12*'🎚️ Escenario'!$C$11,1,1+$C$6))</f>
        <v>1</v>
      </c>
      <c r="CF198" s="237" t="n">
        <f aca="false">IF(CF196=0,0,IF(CF196&lt;=12*'🎚️ Escenario'!$C$11,1,1+$C$6))</f>
        <v>1</v>
      </c>
      <c r="CG198" s="237" t="n">
        <f aca="false">IF(CG196=0,0,IF(CG196&lt;=12*'🎚️ Escenario'!$C$11,1,1+$C$6))</f>
        <v>1</v>
      </c>
      <c r="CH198" s="237" t="n">
        <f aca="false">IF(CH196=0,0,IF(CH196&lt;=12*'🎚️ Escenario'!$C$11,1,1+$C$6))</f>
        <v>1</v>
      </c>
      <c r="CI198" s="237" t="n">
        <f aca="false">IF(CI196=0,0,IF(CI196&lt;=12*'🎚️ Escenario'!$C$11,1,1+$C$6))</f>
        <v>1</v>
      </c>
      <c r="CJ198" s="237" t="n">
        <f aca="false">IF(CJ196=0,0,IF(CJ196&lt;=12*'🎚️ Escenario'!$C$11,1,1+$C$6))</f>
        <v>1</v>
      </c>
      <c r="CK198" s="237" t="n">
        <f aca="false">IF(CK196=0,0,IF(CK196&lt;=12*'🎚️ Escenario'!$C$11,1,1+$C$6))</f>
        <v>1</v>
      </c>
      <c r="CL198" s="237" t="n">
        <f aca="false">IF(CL196=0,0,IF(CL196&lt;=12*'🎚️ Escenario'!$C$11,1,1+$C$6))</f>
        <v>1</v>
      </c>
      <c r="CM198" s="237" t="n">
        <f aca="false">IF(CM196=0,0,IF(CM196&lt;=12*'🎚️ Escenario'!$C$11,1,1+$C$6))</f>
        <v>1.2</v>
      </c>
      <c r="CN198" s="237" t="n">
        <f aca="false">IF(CN196=0,0,IF(CN196&lt;=12*'🎚️ Escenario'!$C$11,1,1+$C$6))</f>
        <v>1.2</v>
      </c>
      <c r="CO198" s="237" t="n">
        <f aca="false">IF(CO196=0,0,IF(CO196&lt;=12*'🎚️ Escenario'!$C$11,1,1+$C$6))</f>
        <v>1.2</v>
      </c>
      <c r="CP198" s="237" t="n">
        <f aca="false">IF(CP196=0,0,IF(CP196&lt;=12*'🎚️ Escenario'!$C$11,1,1+$C$6))</f>
        <v>1.2</v>
      </c>
      <c r="CQ198" s="237" t="n">
        <f aca="false">IF(CQ196=0,0,IF(CQ196&lt;=12*'🎚️ Escenario'!$C$11,1,1+$C$6))</f>
        <v>1.2</v>
      </c>
      <c r="CR198" s="237" t="n">
        <f aca="false">IF(CR196=0,0,IF(CR196&lt;=12*'🎚️ Escenario'!$C$11,1,1+$C$6))</f>
        <v>1.2</v>
      </c>
      <c r="CS198" s="237" t="n">
        <f aca="false">IF(CS196=0,0,IF(CS196&lt;=12*'🎚️ Escenario'!$C$11,1,1+$C$6))</f>
        <v>1.2</v>
      </c>
      <c r="CT198" s="237" t="n">
        <f aca="false">IF(CT196=0,0,IF(CT196&lt;=12*'🎚️ Escenario'!$C$11,1,1+$C$6))</f>
        <v>1.2</v>
      </c>
      <c r="CU198" s="237" t="n">
        <f aca="false">IF(CU196=0,0,IF(CU196&lt;=12*'🎚️ Escenario'!$C$11,1,1+$C$6))</f>
        <v>1.2</v>
      </c>
      <c r="CV198" s="237" t="n">
        <f aca="false">IF(CV196=0,0,IF(CV196&lt;=12*'🎚️ Escenario'!$C$11,1,1+$C$6))</f>
        <v>1.2</v>
      </c>
      <c r="CW198" s="237" t="n">
        <f aca="false">IF(CW196=0,0,IF(CW196&lt;=12*'🎚️ Escenario'!$C$11,1,1+$C$6))</f>
        <v>1.2</v>
      </c>
      <c r="CX198" s="237" t="n">
        <f aca="false">IF(CX196=0,0,IF(CX196&lt;=12*'🎚️ Escenario'!$C$11,1,1+$C$6))</f>
        <v>1.2</v>
      </c>
      <c r="CY198" s="237" t="n">
        <f aca="false">IF(CY196=0,0,IF(CY196&lt;=12*'🎚️ Escenario'!$C$11,1,1+$C$6))</f>
        <v>1.2</v>
      </c>
      <c r="CZ198" s="237" t="n">
        <f aca="false">IF(CZ196=0,0,IF(CZ196&lt;=12*'🎚️ Escenario'!$C$11,1,1+$C$6))</f>
        <v>1.2</v>
      </c>
      <c r="DA198" s="237" t="n">
        <f aca="false">IF(DA196=0,0,IF(DA196&lt;=12*'🎚️ Escenario'!$C$11,1,1+$C$6))</f>
        <v>1.2</v>
      </c>
      <c r="DB198" s="237" t="n">
        <f aca="false">IF(DB196=0,0,IF(DB196&lt;=12*'🎚️ Escenario'!$C$11,1,1+$C$6))</f>
        <v>1.2</v>
      </c>
      <c r="DC198" s="237" t="n">
        <f aca="false">IF(DC196=0,0,IF(DC196&lt;=12*'🎚️ Escenario'!$C$11,1,1+$C$6))</f>
        <v>1.2</v>
      </c>
      <c r="DD198" s="237" t="n">
        <f aca="false">IF(DD196=0,0,IF(DD196&lt;=12*'🎚️ Escenario'!$C$11,1,1+$C$6))</f>
        <v>1.2</v>
      </c>
      <c r="DE198" s="237" t="n">
        <f aca="false">IF(DE196=0,0,IF(DE196&lt;=12*'🎚️ Escenario'!$C$11,1,1+$C$6))</f>
        <v>1.2</v>
      </c>
      <c r="DF198" s="237" t="n">
        <f aca="false">IF(DF196=0,0,IF(DF196&lt;=12*'🎚️ Escenario'!$C$11,1,1+$C$6))</f>
        <v>1.2</v>
      </c>
      <c r="DG198" s="237" t="n">
        <f aca="false">IF(DG196=0,0,IF(DG196&lt;=12*'🎚️ Escenario'!$C$11,1,1+$C$6))</f>
        <v>1.2</v>
      </c>
      <c r="DH198" s="237" t="n">
        <f aca="false">IF(DH196=0,0,IF(DH196&lt;=12*'🎚️ Escenario'!$C$11,1,1+$C$6))</f>
        <v>1.2</v>
      </c>
      <c r="DI198" s="237" t="n">
        <f aca="false">IF(DI196=0,0,IF(DI196&lt;=12*'🎚️ Escenario'!$C$11,1,1+$C$6))</f>
        <v>1.2</v>
      </c>
      <c r="DJ198" s="237" t="n">
        <f aca="false">IF(DJ196=0,0,IF(DJ196&lt;=12*'🎚️ Escenario'!$C$11,1,1+$C$6))</f>
        <v>1.2</v>
      </c>
      <c r="DK198" s="237" t="n">
        <f aca="false">IF(DK196=0,0,IF(DK196&lt;=12*'🎚️ Escenario'!$C$11,1,1+$C$6))</f>
        <v>1.2</v>
      </c>
      <c r="DL198" s="237" t="n">
        <f aca="false">IF(DL196=0,0,IF(DL196&lt;=12*'🎚️ Escenario'!$C$11,1,1+$C$6))</f>
        <v>1.2</v>
      </c>
      <c r="DM198" s="237" t="n">
        <f aca="false">IF(DM196=0,0,IF(DM196&lt;=12*'🎚️ Escenario'!$C$11,1,1+$C$6))</f>
        <v>1.2</v>
      </c>
      <c r="DN198" s="237" t="n">
        <f aca="false">IF(DN196=0,0,IF(DN196&lt;=12*'🎚️ Escenario'!$C$11,1,1+$C$6))</f>
        <v>1.2</v>
      </c>
      <c r="DO198" s="237" t="n">
        <f aca="false">IF(DO196=0,0,IF(DO196&lt;=12*'🎚️ Escenario'!$C$11,1,1+$C$6))</f>
        <v>1.2</v>
      </c>
      <c r="DP198" s="237" t="n">
        <f aca="false">IF(DP196=0,0,IF(DP196&lt;=12*'🎚️ Escenario'!$C$11,1,1+$C$6))</f>
        <v>1.2</v>
      </c>
      <c r="DQ198" s="237" t="n">
        <f aca="false">IF(DQ196=0,0,IF(DQ196&lt;=12*'🎚️ Escenario'!$C$11,1,1+$C$6))</f>
        <v>1.2</v>
      </c>
      <c r="DR198" s="237" t="n">
        <f aca="false">IF(DR196=0,0,IF(DR196&lt;=12*'🎚️ Escenario'!$C$11,1,1+$C$6))</f>
        <v>1.2</v>
      </c>
      <c r="DS198" s="237" t="n">
        <f aca="false">IF(DS196=0,0,IF(DS196&lt;=12*'🎚️ Escenario'!$C$11,1,1+$C$6))</f>
        <v>1.2</v>
      </c>
      <c r="DT198" s="237" t="n">
        <f aca="false">IF(DT196=0,0,IF(DT196&lt;=12*'🎚️ Escenario'!$C$11,1,1+$C$6))</f>
        <v>1.2</v>
      </c>
      <c r="DU198" s="237" t="n">
        <f aca="false">IF(DU196=0,0,IF(DU196&lt;=12*'🎚️ Escenario'!$C$11,1,1+$C$6))</f>
        <v>1.2</v>
      </c>
      <c r="DV198" s="237" t="n">
        <f aca="false">IF(DV196=0,0,IF(DV196&lt;=12*'🎚️ Escenario'!$C$11,1,1+$C$6))</f>
        <v>1.2</v>
      </c>
      <c r="DW198" s="237" t="n">
        <f aca="false">IF(DW196=0,0,IF(DW196&lt;=12*'🎚️ Escenario'!$C$11,1,1+$C$6))</f>
        <v>1.2</v>
      </c>
      <c r="DX198" s="237" t="n">
        <f aca="false">IF(DX196=0,0,IF(DX196&lt;=12*'🎚️ Escenario'!$C$11,1,1+$C$6))</f>
        <v>1.2</v>
      </c>
      <c r="DY198" s="237" t="n">
        <f aca="false">IF(DY196=0,0,IF(DY196&lt;=12*'🎚️ Escenario'!$C$11,1,1+$C$6))</f>
        <v>1.2</v>
      </c>
      <c r="DZ198" s="237" t="n">
        <f aca="false">IF(DZ196=0,0,IF(DZ196&lt;=12*'🎚️ Escenario'!$C$11,1,1+$C$6))</f>
        <v>1.2</v>
      </c>
      <c r="EA198" s="237" t="n">
        <f aca="false">IF(EA196=0,0,IF(EA196&lt;=12*'🎚️ Escenario'!$C$11,1,1+$C$6))</f>
        <v>1.2</v>
      </c>
      <c r="EB198" s="237" t="n">
        <f aca="false">IF(EB196=0,0,IF(EB196&lt;=12*'🎚️ Escenario'!$C$11,1,1+$C$6))</f>
        <v>1.2</v>
      </c>
      <c r="EC198" s="237" t="n">
        <f aca="false">IF(EC196=0,0,IF(EC196&lt;=12*'🎚️ Escenario'!$C$11,1,1+$C$6))</f>
        <v>1.2</v>
      </c>
      <c r="ED198" s="237" t="n">
        <f aca="false">IF(ED196=0,0,IF(ED196&lt;=12*'🎚️ Escenario'!$C$11,1,1+$C$6))</f>
        <v>1.2</v>
      </c>
      <c r="EE198" s="237" t="n">
        <f aca="false">IF(EE196=0,0,IF(EE196&lt;=12*'🎚️ Escenario'!$C$11,1,1+$C$6))</f>
        <v>1.2</v>
      </c>
      <c r="EF198" s="237" t="n">
        <f aca="false">IF(EF196=0,0,IF(EF196&lt;=12*'🎚️ Escenario'!$C$11,1,1+$C$6))</f>
        <v>1.2</v>
      </c>
      <c r="EG198" s="237" t="n">
        <f aca="false">IF(EG196=0,0,IF(EG196&lt;=12*'🎚️ Escenario'!$C$11,1,1+$C$6))</f>
        <v>1.2</v>
      </c>
      <c r="EH198" s="237" t="n">
        <f aca="false">IF(EH196=0,0,IF(EH196&lt;=12*'🎚️ Escenario'!$C$11,1,1+$C$6))</f>
        <v>1.2</v>
      </c>
      <c r="EI198" s="237" t="n">
        <f aca="false">IF(EI196=0,0,IF(EI196&lt;=12*'🎚️ Escenario'!$C$11,1,1+$C$6))</f>
        <v>1.2</v>
      </c>
      <c r="EJ198" s="237" t="n">
        <f aca="false">IF(EJ196=0,0,IF(EJ196&lt;=12*'🎚️ Escenario'!$C$11,1,1+$C$6))</f>
        <v>1.2</v>
      </c>
      <c r="EK198" s="237" t="n">
        <f aca="false">IF(EK196=0,0,IF(EK196&lt;=12*'🎚️ Escenario'!$C$11,1,1+$C$6))</f>
        <v>1.2</v>
      </c>
      <c r="EL198" s="237" t="n">
        <f aca="false">IF(EL196=0,0,IF(EL196&lt;=12*'🎚️ Escenario'!$C$11,1,1+$C$6))</f>
        <v>1.2</v>
      </c>
      <c r="EM198" s="237" t="n">
        <f aca="false">IF(EM196=0,0,IF(EM196&lt;=12*'🎚️ Escenario'!$C$11,1,1+$C$6))</f>
        <v>1.2</v>
      </c>
      <c r="EN198" s="237" t="n">
        <f aca="false">IF(EN196=0,0,IF(EN196&lt;=12*'🎚️ Escenario'!$C$11,1,1+$C$6))</f>
        <v>1.2</v>
      </c>
      <c r="EO198" s="237" t="n">
        <f aca="false">IF(EO196=0,0,IF(EO196&lt;=12*'🎚️ Escenario'!$C$11,1,1+$C$6))</f>
        <v>1.2</v>
      </c>
      <c r="EP198" s="237" t="n">
        <f aca="false">IF(EP196=0,0,IF(EP196&lt;=12*'🎚️ Escenario'!$C$11,1,1+$C$6))</f>
        <v>1.2</v>
      </c>
      <c r="EQ198" s="237" t="n">
        <f aca="false">IF(EQ196=0,0,IF(EQ196&lt;=12*'🎚️ Escenario'!$C$11,1,1+$C$6))</f>
        <v>1.2</v>
      </c>
      <c r="ER198" s="237" t="n">
        <f aca="false">IF(ER196=0,0,IF(ER196&lt;=12*'🎚️ Escenario'!$C$11,1,1+$C$6))</f>
        <v>1.2</v>
      </c>
      <c r="ES198" s="238" t="n">
        <f aca="false">IF(ES196=0,0,IF(ES196&lt;=12*'🎚️ Escenario'!$C$11,1,1+$C$6))</f>
        <v>1.2</v>
      </c>
      <c r="ET198" s="238" t="n">
        <f aca="false">IF(ET196=0,0,IF(ET196&lt;=12*'🎚️ Escenario'!$C$11,1,1+$C$6))</f>
        <v>1.2</v>
      </c>
      <c r="EU198" s="238" t="n">
        <f aca="false">IF(EU196=0,0,IF(EU196&lt;=12*'🎚️ Escenario'!$C$11,1,1+$C$6))</f>
        <v>1.2</v>
      </c>
      <c r="EV198" s="238" t="n">
        <f aca="false">IF(EV196=0,0,IF(EV196&lt;=12*'🎚️ Escenario'!$C$11,1,1+$C$6))</f>
        <v>1.2</v>
      </c>
      <c r="EW198" s="238" t="n">
        <f aca="false">IF(EW196=0,0,IF(EW196&lt;=12*'🎚️ Escenario'!$C$11,1,1+$C$6))</f>
        <v>1.2</v>
      </c>
      <c r="EX198" s="238" t="n">
        <f aca="false">IF(EX196=0,0,IF(EX196&lt;=12*'🎚️ Escenario'!$C$11,1,1+$C$6))</f>
        <v>1.2</v>
      </c>
      <c r="EY198" s="238" t="n">
        <f aca="false">IF(EY196=0,0,IF(EY196&lt;=12*'🎚️ Escenario'!$C$11,1,1+$C$6))</f>
        <v>1.2</v>
      </c>
      <c r="EZ198" s="238" t="n">
        <f aca="false">IF(EZ196=0,0,IF(EZ196&lt;=12*'🎚️ Escenario'!$C$11,1,1+$C$6))</f>
        <v>1.2</v>
      </c>
      <c r="FA198" s="238" t="n">
        <f aca="false">IF(FA196=0,0,IF(FA196&lt;=12*'🎚️ Escenario'!$C$11,1,1+$C$6))</f>
        <v>1.2</v>
      </c>
      <c r="FB198" s="238" t="n">
        <f aca="false">IF(FB196=0,0,IF(FB196&lt;=12*'🎚️ Escenario'!$C$11,1,1+$C$6))</f>
        <v>1.2</v>
      </c>
      <c r="FC198" s="238" t="n">
        <f aca="false">IF(FC196=0,0,IF(FC196&lt;=12*'🎚️ Escenario'!$C$11,1,1+$C$6))</f>
        <v>1.2</v>
      </c>
      <c r="FD198" s="238" t="n">
        <f aca="false">IF(FD196=0,0,IF(FD196&lt;=12*'🎚️ Escenario'!$C$11,1,1+$C$6))</f>
        <v>1.2</v>
      </c>
      <c r="FE198" s="238" t="n">
        <f aca="false">IF(FE196=0,0,IF(FE196&lt;=12*'🎚️ Escenario'!$C$11,1,1+$C$6))</f>
        <v>1.2</v>
      </c>
      <c r="FF198" s="238" t="n">
        <f aca="false">IF(FF196=0,0,IF(FF196&lt;=12*'🎚️ Escenario'!$C$11,1,1+$C$6))</f>
        <v>1.2</v>
      </c>
      <c r="FG198" s="238" t="n">
        <f aca="false">IF(FG196=0,0,IF(FG196&lt;=12*'🎚️ Escenario'!$C$11,1,1+$C$6))</f>
        <v>1.2</v>
      </c>
      <c r="FH198" s="238" t="n">
        <f aca="false">IF(FH196=0,0,IF(FH196&lt;=12*'🎚️ Escenario'!$C$11,1,1+$C$6))</f>
        <v>1.2</v>
      </c>
      <c r="FI198" s="238" t="n">
        <f aca="false">IF(FI196=0,0,IF(FI196&lt;=12*'🎚️ Escenario'!$C$11,1,1+$C$6))</f>
        <v>1.2</v>
      </c>
      <c r="FJ198" s="238" t="n">
        <f aca="false">IF(FJ196=0,0,IF(FJ196&lt;=12*'🎚️ Escenario'!$C$11,1,1+$C$6))</f>
        <v>1.2</v>
      </c>
      <c r="FK198" s="238" t="n">
        <f aca="false">IF(FK196=0,0,IF(FK196&lt;=12*'🎚️ Escenario'!$C$11,1,1+$C$6))</f>
        <v>1.2</v>
      </c>
      <c r="FL198" s="238" t="n">
        <f aca="false">IF(FL196=0,0,IF(FL196&lt;=12*'🎚️ Escenario'!$C$11,1,1+$C$6))</f>
        <v>1.2</v>
      </c>
      <c r="FM198" s="238" t="n">
        <f aca="false">IF(FM196=0,0,IF(FM196&lt;=12*'🎚️ Escenario'!$C$11,1,1+$C$6))</f>
        <v>1.2</v>
      </c>
      <c r="FN198" s="238" t="n">
        <f aca="false">IF(FN196=0,0,IF(FN196&lt;=12*'🎚️ Escenario'!$C$11,1,1+$C$6))</f>
        <v>1.2</v>
      </c>
      <c r="FO198" s="238" t="n">
        <f aca="false">IF(FO196=0,0,IF(FO196&lt;=12*'🎚️ Escenario'!$C$11,1,1+$C$6))</f>
        <v>1.2</v>
      </c>
      <c r="FP198" s="238" t="n">
        <f aca="false">IF(FP196=0,0,IF(FP196&lt;=12*'🎚️ Escenario'!$C$11,1,1+$C$6))</f>
        <v>1.2</v>
      </c>
    </row>
    <row r="199" customFormat="false" ht="15" hidden="false" customHeight="false" outlineLevel="2" collapsed="false">
      <c r="B199" s="9" t="s">
        <v>876</v>
      </c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36" t="n">
        <f aca="false">AC197*$AC$195*AC198*AC$38*'⑫ Roll-out Plan'!$O$25</f>
        <v>0</v>
      </c>
      <c r="AD199" s="36" t="n">
        <f aca="false">AD197*$AC$195*AD198*AD$38*'⑫ Roll-out Plan'!$O$25</f>
        <v>0</v>
      </c>
      <c r="AE199" s="36" t="n">
        <f aca="false">AE197*$AC$195*AE198*AE$38*'⑫ Roll-out Plan'!$O$25</f>
        <v>0</v>
      </c>
      <c r="AF199" s="36" t="n">
        <f aca="false">AF197*$AC$195*AF198*AF$38*'⑫ Roll-out Plan'!$O$25</f>
        <v>0</v>
      </c>
      <c r="AG199" s="36" t="n">
        <f aca="false">AG197*$AC$195*AG198*AG$38*'⑫ Roll-out Plan'!$O$25</f>
        <v>0</v>
      </c>
      <c r="AH199" s="36" t="n">
        <f aca="false">AH197*$AC$195*AH198*AH$38*'⑫ Roll-out Plan'!$O$25</f>
        <v>0</v>
      </c>
      <c r="AI199" s="36" t="n">
        <f aca="false">AI197*$AC$195*AI198*AI$38*'⑫ Roll-out Plan'!$O$25</f>
        <v>0</v>
      </c>
      <c r="AJ199" s="36" t="n">
        <f aca="false">AJ197*$AC$195*AJ198*AJ$38*'⑫ Roll-out Plan'!$O$25</f>
        <v>0</v>
      </c>
      <c r="AK199" s="36" t="n">
        <f aca="false">AK197*$AC$195*AK198*AK$38*'⑫ Roll-out Plan'!$O$25</f>
        <v>0</v>
      </c>
      <c r="AL199" s="36" t="n">
        <f aca="false">AL197*$AC$195*AL198*AL$38*'⑫ Roll-out Plan'!$O$25</f>
        <v>0</v>
      </c>
      <c r="AM199" s="36" t="n">
        <f aca="false">AM197*$AC$195*AM198*AM$38*'⑫ Roll-out Plan'!$O$25</f>
        <v>0</v>
      </c>
      <c r="AN199" s="36" t="n">
        <f aca="false">AN197*$AC$195*AN198*AN$38*'⑫ Roll-out Plan'!$O$25</f>
        <v>0</v>
      </c>
      <c r="AO199" s="36" t="n">
        <f aca="false">AO197*$AC$195*AO198*AO$38*'⑫ Roll-out Plan'!$O$25</f>
        <v>0</v>
      </c>
      <c r="AP199" s="36" t="n">
        <f aca="false">AP197*$AC$195*AP198*AP$38*'⑫ Roll-out Plan'!$O$25</f>
        <v>0</v>
      </c>
      <c r="AQ199" s="36" t="n">
        <f aca="false">AQ197*$AC$195*AQ198*AQ$38*'⑫ Roll-out Plan'!$O$25</f>
        <v>0</v>
      </c>
      <c r="AR199" s="36" t="n">
        <f aca="false">AR197*$AC$195*AR198*AR$38*'⑫ Roll-out Plan'!$O$25</f>
        <v>0</v>
      </c>
      <c r="AS199" s="36" t="n">
        <f aca="false">AS197*$AC$195*AS198*AS$38*'⑫ Roll-out Plan'!$O$25</f>
        <v>0</v>
      </c>
      <c r="AT199" s="36" t="n">
        <f aca="false">AT197*$AC$195*AT198*AT$38*'⑫ Roll-out Plan'!$O$25</f>
        <v>0</v>
      </c>
      <c r="AU199" s="36" t="n">
        <f aca="false">AU197*$AC$195*AU198*AU$38*'⑫ Roll-out Plan'!$O$25</f>
        <v>0</v>
      </c>
      <c r="AV199" s="36" t="n">
        <f aca="false">AV197*$AC$195*AV198*AV$38*'⑫ Roll-out Plan'!$O$25</f>
        <v>0</v>
      </c>
      <c r="AW199" s="36" t="n">
        <f aca="false">AW197*$AC$195*AW198*AW$38*'⑫ Roll-out Plan'!$O$25</f>
        <v>0</v>
      </c>
      <c r="AX199" s="36" t="n">
        <f aca="false">AX197*$AC$195*AX198*AX$38*'⑫ Roll-out Plan'!$O$25</f>
        <v>0</v>
      </c>
      <c r="AY199" s="36" t="n">
        <f aca="false">AY197*$AC$195*AY198*AY$38*'⑫ Roll-out Plan'!$O$25</f>
        <v>0</v>
      </c>
      <c r="AZ199" s="36" t="n">
        <f aca="false">AZ197*$AC$195*AZ198*AZ$38*'⑫ Roll-out Plan'!$O$25</f>
        <v>0</v>
      </c>
      <c r="BA199" s="36" t="n">
        <f aca="false">BA197*$AC$195*BA198*BA$38*'⑫ Roll-out Plan'!$O$25</f>
        <v>0</v>
      </c>
      <c r="BB199" s="36" t="n">
        <f aca="false">BB197*$AC$195*BB198*BB$38*'⑫ Roll-out Plan'!$O$25</f>
        <v>0</v>
      </c>
      <c r="BC199" s="36" t="n">
        <f aca="false">BC197*$AC$195*BC198*BC$38*'⑫ Roll-out Plan'!$O$25</f>
        <v>0</v>
      </c>
      <c r="BD199" s="36" t="n">
        <f aca="false">BD197*$AC$195*BD198*BD$38*'⑫ Roll-out Plan'!$O$25</f>
        <v>0</v>
      </c>
      <c r="BE199" s="36" t="n">
        <f aca="false">BE197*$AC$195*BE198*BE$38*'⑫ Roll-out Plan'!$O$25</f>
        <v>0</v>
      </c>
      <c r="BF199" s="36" t="n">
        <f aca="false">BF197*$AC$195*BF198*BF$38*'⑫ Roll-out Plan'!$O$25</f>
        <v>0</v>
      </c>
      <c r="BG199" s="36" t="n">
        <f aca="false">BG197*$AC$195*BG198*BG$38*'⑫ Roll-out Plan'!$O$25</f>
        <v>0</v>
      </c>
      <c r="BH199" s="36" t="n">
        <f aca="false">BH197*$AC$195*BH198*BH$38*'⑫ Roll-out Plan'!$O$25</f>
        <v>0</v>
      </c>
      <c r="BI199" s="36" t="n">
        <f aca="false">BI197*$AC$195*BI198*BI$38*'⑫ Roll-out Plan'!$O$25</f>
        <v>0</v>
      </c>
      <c r="BJ199" s="36" t="n">
        <f aca="false">BJ197*$AC$195*BJ198*BJ$38*'⑫ Roll-out Plan'!$O$25</f>
        <v>0</v>
      </c>
      <c r="BK199" s="36" t="n">
        <f aca="false">BK197*$AC$195*BK198*BK$38*'⑫ Roll-out Plan'!$O$25</f>
        <v>0</v>
      </c>
      <c r="BL199" s="36" t="n">
        <f aca="false">BL197*$AC$195*BL198*BL$38*'⑫ Roll-out Plan'!$O$25</f>
        <v>0</v>
      </c>
      <c r="BM199" s="36" t="n">
        <f aca="false">BM197*$AC$195*BM198*BM$38*'⑫ Roll-out Plan'!$O$25</f>
        <v>0</v>
      </c>
      <c r="BN199" s="36" t="n">
        <f aca="false">BN197*$AC$195*BN198*BN$38*'⑫ Roll-out Plan'!$O$25</f>
        <v>0</v>
      </c>
      <c r="BO199" s="36" t="n">
        <f aca="false">BO197*$AC$195*BO198*BO$38*'⑫ Roll-out Plan'!$O$25</f>
        <v>0</v>
      </c>
      <c r="BP199" s="36" t="n">
        <f aca="false">BP197*$AC$195*BP198*BP$38*'⑫ Roll-out Plan'!$O$25</f>
        <v>0</v>
      </c>
      <c r="BQ199" s="36" t="n">
        <f aca="false">BQ197*$AC$195*BQ198*BQ$38*'⑫ Roll-out Plan'!$O$25</f>
        <v>0</v>
      </c>
      <c r="BR199" s="36" t="n">
        <f aca="false">BR197*$AC$195*BR198*BR$38*'⑫ Roll-out Plan'!$O$25</f>
        <v>0</v>
      </c>
      <c r="BS199" s="36" t="n">
        <f aca="false">BS197*$AC$195*BS198*BS$38*'⑫ Roll-out Plan'!$O$25</f>
        <v>0</v>
      </c>
      <c r="BT199" s="36" t="n">
        <f aca="false">BT197*$AC$195*BT198*BT$38*'⑫ Roll-out Plan'!$O$25</f>
        <v>0</v>
      </c>
      <c r="BU199" s="36" t="n">
        <f aca="false">BU197*$AC$195*BU198*BU$38*'⑫ Roll-out Plan'!$O$25</f>
        <v>0</v>
      </c>
      <c r="BV199" s="36" t="n">
        <f aca="false">BV197*$AC$195*BV198*BV$38*'⑫ Roll-out Plan'!$O$25</f>
        <v>0</v>
      </c>
      <c r="BW199" s="36" t="n">
        <f aca="false">BW197*$AC$195*BW198*BW$38*'⑫ Roll-out Plan'!$O$25</f>
        <v>0</v>
      </c>
      <c r="BX199" s="36" t="n">
        <f aca="false">BX197*$AC$195*BX198*BX$38*'⑫ Roll-out Plan'!$O$25</f>
        <v>37.74</v>
      </c>
      <c r="BY199" s="36" t="n">
        <f aca="false">BY197*$AC$195*BY198*BY$38*'⑫ Roll-out Plan'!$O$25</f>
        <v>43.956</v>
      </c>
      <c r="BZ199" s="36" t="n">
        <f aca="false">BZ197*$AC$195*BZ198*BZ$38*'⑫ Roll-out Plan'!$O$25</f>
        <v>36.408</v>
      </c>
      <c r="CA199" s="36" t="n">
        <f aca="false">CA197*$AC$195*CA198*CA$38*'⑫ Roll-out Plan'!$O$25</f>
        <v>57.942</v>
      </c>
      <c r="CB199" s="36" t="n">
        <f aca="false">CB197*$AC$195*CB198*CB$38*'⑫ Roll-out Plan'!$O$25</f>
        <v>54.945</v>
      </c>
      <c r="CC199" s="36" t="n">
        <f aca="false">CC197*$AC$195*CC198*CC$38*'⑫ Roll-out Plan'!$O$25</f>
        <v>52.762</v>
      </c>
      <c r="CD199" s="36" t="n">
        <f aca="false">CD197*$AC$195*CD198*CD$38*'⑫ Roll-out Plan'!$O$25</f>
        <v>51.8</v>
      </c>
      <c r="CE199" s="36" t="n">
        <f aca="false">CE197*$AC$195*CE198*CE$38*'⑫ Roll-out Plan'!$O$25</f>
        <v>60.606</v>
      </c>
      <c r="CF199" s="36" t="n">
        <f aca="false">CF197*$AC$195*CF198*CF$38*'⑫ Roll-out Plan'!$O$25</f>
        <v>115.588</v>
      </c>
      <c r="CG199" s="36" t="n">
        <f aca="false">CG197*$AC$195*CG198*CG$38*'⑫ Roll-out Plan'!$O$25</f>
        <v>94.424</v>
      </c>
      <c r="CH199" s="36" t="n">
        <f aca="false">CH197*$AC$195*CH198*CH$38*'⑫ Roll-out Plan'!$O$25</f>
        <v>85.248</v>
      </c>
      <c r="CI199" s="36" t="n">
        <f aca="false">CI197*$AC$195*CI198*CI$38*'⑫ Roll-out Plan'!$O$25</f>
        <v>69.264</v>
      </c>
      <c r="CJ199" s="36" t="n">
        <f aca="false">CJ197*$AC$195*CJ198*CJ$38*'⑫ Roll-out Plan'!$O$25</f>
        <v>105.672</v>
      </c>
      <c r="CK199" s="36" t="n">
        <f aca="false">CK197*$AC$195*CK198*CK$38*'⑫ Roll-out Plan'!$O$25</f>
        <v>119.88</v>
      </c>
      <c r="CL199" s="36" t="n">
        <f aca="false">CL197*$AC$195*CL198*CL$38*'⑫ Roll-out Plan'!$O$25</f>
        <v>91.02</v>
      </c>
      <c r="CM199" s="36" t="n">
        <f aca="false">CM197*$AC$195*CM198*CM$38*'⑫ Roll-out Plan'!$O$25</f>
        <v>162.2376</v>
      </c>
      <c r="CN199" s="36" t="n">
        <f aca="false">CN197*$AC$195*CN198*CN$38*'⑫ Roll-out Plan'!$O$25</f>
        <v>161.172</v>
      </c>
      <c r="CO199" s="36" t="n">
        <f aca="false">CO197*$AC$195*CO198*CO$38*'⑫ Roll-out Plan'!$O$25</f>
        <v>140.9256</v>
      </c>
      <c r="CP199" s="36" t="n">
        <f aca="false">CP197*$AC$195*CP198*CP$38*'⑫ Roll-out Plan'!$O$25</f>
        <v>126.096</v>
      </c>
      <c r="CQ199" s="36" t="n">
        <f aca="false">CQ197*$AC$195*CQ198*CQ$38*'⑫ Roll-out Plan'!$O$25</f>
        <v>132.4008</v>
      </c>
      <c r="CR199" s="36" t="n">
        <f aca="false">CR197*$AC$195*CR198*CR$38*'⑫ Roll-out Plan'!$O$25</f>
        <v>230.1252</v>
      </c>
      <c r="CS199" s="36" t="n">
        <f aca="false">CS197*$AC$195*CS198*CS$38*'⑫ Roll-out Plan'!$O$25</f>
        <v>193.14</v>
      </c>
      <c r="CT199" s="36" t="n">
        <f aca="false">CT197*$AC$195*CT198*CT$38*'⑫ Roll-out Plan'!$O$25</f>
        <v>164.1024</v>
      </c>
      <c r="CU199" s="36" t="n">
        <f aca="false">CU197*$AC$195*CU198*CU$38*'⑫ Roll-out Plan'!$O$25</f>
        <v>126.2736</v>
      </c>
      <c r="CV199" s="36" t="n">
        <f aca="false">CV197*$AC$195*CV198*CV$38*'⑫ Roll-out Plan'!$O$25</f>
        <v>178.8876</v>
      </c>
      <c r="CW199" s="36" t="n">
        <f aca="false">CW197*$AC$195*CW198*CW$38*'⑫ Roll-out Plan'!$O$25</f>
        <v>191.808</v>
      </c>
      <c r="CX199" s="36" t="n">
        <f aca="false">CX197*$AC$195*CX198*CX$38*'⑫ Roll-out Plan'!$O$25</f>
        <v>149.2728</v>
      </c>
      <c r="CY199" s="36" t="n">
        <f aca="false">CY197*$AC$195*CY198*CY$38*'⑫ Roll-out Plan'!$O$25</f>
        <v>216.3168</v>
      </c>
      <c r="CZ199" s="36" t="n">
        <f aca="false">CZ197*$AC$195*CZ198*CZ$38*'⑫ Roll-out Plan'!$O$25</f>
        <v>207.57</v>
      </c>
      <c r="DA199" s="36" t="n">
        <f aca="false">DA197*$AC$195*DA198*DA$38*'⑫ Roll-out Plan'!$O$25</f>
        <v>173.604</v>
      </c>
      <c r="DB199" s="36" t="n">
        <f aca="false">DB197*$AC$195*DB198*DB$38*'⑫ Roll-out Plan'!$O$25</f>
        <v>152.736</v>
      </c>
      <c r="DC199" s="36" t="n">
        <f aca="false">DC197*$AC$195*DC198*DC$38*'⑫ Roll-out Plan'!$O$25</f>
        <v>164.1024</v>
      </c>
      <c r="DD199" s="36" t="n">
        <f aca="false">DD197*$AC$195*DD198*DD$38*'⑫ Roll-out Plan'!$O$25</f>
        <v>280.5636</v>
      </c>
      <c r="DE199" s="36" t="n">
        <f aca="false">DE197*$AC$195*DE198*DE$38*'⑫ Roll-out Plan'!$O$25</f>
        <v>231.768</v>
      </c>
      <c r="DF199" s="36" t="n">
        <f aca="false">DF197*$AC$195*DF198*DF$38*'⑫ Roll-out Plan'!$O$25</f>
        <v>191.808</v>
      </c>
      <c r="DG199" s="36" t="n">
        <f aca="false">DG197*$AC$195*DG198*DG$38*'⑫ Roll-out Plan'!$O$25</f>
        <v>147.0528</v>
      </c>
      <c r="DH199" s="36" t="n">
        <f aca="false">DH197*$AC$195*DH198*DH$38*'⑫ Roll-out Plan'!$O$25</f>
        <v>210.5892</v>
      </c>
      <c r="DI199" s="36" t="n">
        <f aca="false">DI197*$AC$195*DI198*DI$38*'⑫ Roll-out Plan'!$O$25</f>
        <v>225.3744</v>
      </c>
      <c r="DJ199" s="36" t="n">
        <f aca="false">DJ197*$AC$195*DJ198*DJ$38*'⑫ Roll-out Plan'!$O$25</f>
        <v>172.938</v>
      </c>
      <c r="DK199" s="36" t="n">
        <f aca="false">DK197*$AC$195*DK198*DK$38*'⑫ Roll-out Plan'!$O$25</f>
        <v>244.644</v>
      </c>
      <c r="DL199" s="36" t="n">
        <f aca="false">DL197*$AC$195*DL198*DL$38*'⑫ Roll-out Plan'!$O$25</f>
        <v>236.874</v>
      </c>
      <c r="DM199" s="36" t="n">
        <f aca="false">DM197*$AC$195*DM198*DM$38*'⑫ Roll-out Plan'!$O$25</f>
        <v>200.1552</v>
      </c>
      <c r="DN199" s="36" t="n">
        <f aca="false">DN197*$AC$195*DN198*DN$38*'⑫ Roll-out Plan'!$O$25</f>
        <v>175.824</v>
      </c>
      <c r="DO199" s="36" t="n">
        <f aca="false">DO197*$AC$195*DO198*DO$38*'⑫ Roll-out Plan'!$O$25</f>
        <v>186.48</v>
      </c>
      <c r="DP199" s="36" t="n">
        <f aca="false">DP197*$AC$195*DP198*DP$38*'⑫ Roll-out Plan'!$O$25</f>
        <v>315.24</v>
      </c>
      <c r="DQ199" s="36" t="n">
        <f aca="false">DQ197*$AC$195*DQ198*DQ$38*'⑫ Roll-out Plan'!$O$25</f>
        <v>257.52</v>
      </c>
      <c r="DR199" s="36" t="n">
        <f aca="false">DR197*$AC$195*DR198*DR$38*'⑫ Roll-out Plan'!$O$25</f>
        <v>213.12</v>
      </c>
      <c r="DS199" s="36" t="n">
        <f aca="false">DS197*$AC$195*DS198*DS$38*'⑫ Roll-out Plan'!$O$25</f>
        <v>159.84</v>
      </c>
      <c r="DT199" s="36" t="n">
        <f aca="false">DT197*$AC$195*DT198*DT$38*'⑫ Roll-out Plan'!$O$25</f>
        <v>226.44</v>
      </c>
      <c r="DU199" s="36" t="n">
        <f aca="false">DU197*$AC$195*DU198*DU$38*'⑫ Roll-out Plan'!$O$25</f>
        <v>239.76</v>
      </c>
      <c r="DV199" s="36" t="n">
        <f aca="false">DV197*$AC$195*DV198*DV$38*'⑫ Roll-out Plan'!$O$25</f>
        <v>182.04</v>
      </c>
      <c r="DW199" s="36" t="n">
        <f aca="false">DW197*$AC$195*DW198*DW$38*'⑫ Roll-out Plan'!$O$25</f>
        <v>257.52</v>
      </c>
      <c r="DX199" s="36" t="n">
        <f aca="false">DX197*$AC$195*DX198*DX$38*'⑫ Roll-out Plan'!$O$25</f>
        <v>244.2</v>
      </c>
      <c r="DY199" s="36" t="n">
        <f aca="false">DY197*$AC$195*DY198*DY$38*'⑫ Roll-out Plan'!$O$25</f>
        <v>204.24</v>
      </c>
      <c r="DZ199" s="36" t="n">
        <f aca="false">DZ197*$AC$195*DZ198*DZ$38*'⑫ Roll-out Plan'!$O$25</f>
        <v>177.6</v>
      </c>
      <c r="EA199" s="36" t="n">
        <f aca="false">EA197*$AC$195*EA198*EA$38*'⑫ Roll-out Plan'!$O$25</f>
        <v>186.48</v>
      </c>
      <c r="EB199" s="36" t="n">
        <f aca="false">EB197*$AC$195*EB198*EB$38*'⑫ Roll-out Plan'!$O$25</f>
        <v>315.24</v>
      </c>
      <c r="EC199" s="36" t="n">
        <f aca="false">EC197*$AC$195*EC198*EC$38*'⑫ Roll-out Plan'!$O$25</f>
        <v>257.52</v>
      </c>
      <c r="ED199" s="36" t="n">
        <f aca="false">ED197*$AC$195*ED198*ED$38*'⑫ Roll-out Plan'!$O$25</f>
        <v>213.12</v>
      </c>
      <c r="EE199" s="36" t="n">
        <f aca="false">EE197*$AC$195*EE198*EE$38*'⑫ Roll-out Plan'!$O$25</f>
        <v>159.84</v>
      </c>
      <c r="EF199" s="36" t="n">
        <f aca="false">EF197*$AC$195*EF198*EF$38*'⑫ Roll-out Plan'!$O$25</f>
        <v>226.44</v>
      </c>
      <c r="EG199" s="36" t="n">
        <f aca="false">EG197*$AC$195*EG198*EG$38*'⑫ Roll-out Plan'!$O$25</f>
        <v>239.76</v>
      </c>
      <c r="EH199" s="36" t="n">
        <f aca="false">EH197*$AC$195*EH198*EH$38*'⑫ Roll-out Plan'!$O$25</f>
        <v>182.04</v>
      </c>
      <c r="EI199" s="36" t="n">
        <f aca="false">EI197*$AC$195*EI198*EI$38*'⑫ Roll-out Plan'!$O$25</f>
        <v>257.52</v>
      </c>
      <c r="EJ199" s="36" t="n">
        <f aca="false">EJ197*$AC$195*EJ198*EJ$38*'⑫ Roll-out Plan'!$O$25</f>
        <v>244.2</v>
      </c>
      <c r="EK199" s="36" t="n">
        <f aca="false">EK197*$AC$195*EK198*EK$38*'⑫ Roll-out Plan'!$O$25</f>
        <v>204.24</v>
      </c>
      <c r="EL199" s="36" t="n">
        <f aca="false">EL197*$AC$195*EL198*EL$38*'⑫ Roll-out Plan'!$O$25</f>
        <v>177.6</v>
      </c>
      <c r="EM199" s="36" t="n">
        <f aca="false">EM197*$AC$195*EM198*EM$38*'⑫ Roll-out Plan'!$O$25</f>
        <v>186.48</v>
      </c>
      <c r="EN199" s="36" t="n">
        <f aca="false">EN197*$AC$195*EN198*EN$38*'⑫ Roll-out Plan'!$O$25</f>
        <v>315.24</v>
      </c>
      <c r="EO199" s="36" t="n">
        <f aca="false">EO197*$AC$195*EO198*EO$38*'⑫ Roll-out Plan'!$O$25</f>
        <v>257.52</v>
      </c>
      <c r="EP199" s="36" t="n">
        <f aca="false">EP197*$AC$195*EP198*EP$38*'⑫ Roll-out Plan'!$O$25</f>
        <v>213.12</v>
      </c>
      <c r="EQ199" s="36" t="n">
        <f aca="false">EQ197*$AC$195*EQ198*EQ$38*'⑫ Roll-out Plan'!$O$25</f>
        <v>159.84</v>
      </c>
      <c r="ER199" s="36" t="n">
        <f aca="false">ER197*$AC$195*ER198*ER$38*'⑫ Roll-out Plan'!$O$25</f>
        <v>226.44</v>
      </c>
      <c r="ES199" s="9" t="n">
        <f aca="false">ES197*$AC$195*ES198*ES$38*'⑫ Roll-out Plan'!$O$25</f>
        <v>239.76</v>
      </c>
      <c r="ET199" s="9" t="n">
        <f aca="false">ET197*$AC$195*ET198*ET$38*'⑫ Roll-out Plan'!$O$25</f>
        <v>182.04</v>
      </c>
      <c r="EU199" s="9" t="n">
        <f aca="false">EU197*$AC$195*EU198*EU$38*'⑫ Roll-out Plan'!$O$25</f>
        <v>257.52</v>
      </c>
      <c r="EV199" s="9" t="n">
        <f aca="false">EV197*$AC$195*EV198*EV$38*'⑫ Roll-out Plan'!$O$25</f>
        <v>244.2</v>
      </c>
      <c r="EW199" s="9" t="n">
        <f aca="false">EW197*$AC$195*EW198*EW$38*'⑫ Roll-out Plan'!$O$25</f>
        <v>204.24</v>
      </c>
      <c r="EX199" s="9" t="n">
        <f aca="false">EX197*$AC$195*EX198*EX$38*'⑫ Roll-out Plan'!$O$25</f>
        <v>177.6</v>
      </c>
      <c r="EY199" s="9" t="n">
        <f aca="false">EY197*$AC$195*EY198*EY$38*'⑫ Roll-out Plan'!$O$25</f>
        <v>186.48</v>
      </c>
      <c r="EZ199" s="9" t="n">
        <f aca="false">EZ197*$AC$195*EZ198*EZ$38*'⑫ Roll-out Plan'!$O$25</f>
        <v>315.24</v>
      </c>
      <c r="FA199" s="9" t="n">
        <f aca="false">FA197*$AC$195*FA198*FA$38*'⑫ Roll-out Plan'!$O$25</f>
        <v>257.52</v>
      </c>
      <c r="FB199" s="9" t="n">
        <f aca="false">FB197*$AC$195*FB198*FB$38*'⑫ Roll-out Plan'!$O$25</f>
        <v>213.12</v>
      </c>
      <c r="FC199" s="9" t="n">
        <f aca="false">FC197*$AC$195*FC198*FC$38*'⑫ Roll-out Plan'!$O$25</f>
        <v>159.84</v>
      </c>
      <c r="FD199" s="9" t="n">
        <f aca="false">FD197*$AC$195*FD198*FD$38*'⑫ Roll-out Plan'!$O$25</f>
        <v>226.44</v>
      </c>
      <c r="FE199" s="9" t="n">
        <f aca="false">FE197*$AC$195*FE198*FE$38*'⑫ Roll-out Plan'!$O$25</f>
        <v>239.76</v>
      </c>
      <c r="FF199" s="9" t="n">
        <f aca="false">FF197*$AC$195*FF198*FF$38*'⑫ Roll-out Plan'!$O$25</f>
        <v>182.04</v>
      </c>
      <c r="FG199" s="9" t="n">
        <f aca="false">FG197*$AC$195*FG198*FG$38*'⑫ Roll-out Plan'!$O$25</f>
        <v>257.52</v>
      </c>
      <c r="FH199" s="9" t="n">
        <f aca="false">FH197*$AC$195*FH198*FH$38*'⑫ Roll-out Plan'!$O$25</f>
        <v>244.2</v>
      </c>
      <c r="FI199" s="9" t="n">
        <f aca="false">FI197*$AC$195*FI198*FI$38*'⑫ Roll-out Plan'!$O$25</f>
        <v>204.24</v>
      </c>
      <c r="FJ199" s="9" t="n">
        <f aca="false">FJ197*$AC$195*FJ198*FJ$38*'⑫ Roll-out Plan'!$O$25</f>
        <v>177.6</v>
      </c>
      <c r="FK199" s="9" t="n">
        <f aca="false">FK197*$AC$195*FK198*FK$38*'⑫ Roll-out Plan'!$O$25</f>
        <v>186.48</v>
      </c>
      <c r="FL199" s="9" t="n">
        <f aca="false">FL197*$AC$195*FL198*FL$38*'⑫ Roll-out Plan'!$O$25</f>
        <v>315.24</v>
      </c>
      <c r="FM199" s="9" t="n">
        <f aca="false">FM197*$AC$195*FM198*FM$38*'⑫ Roll-out Plan'!$O$25</f>
        <v>257.52</v>
      </c>
      <c r="FN199" s="9" t="n">
        <f aca="false">FN197*$AC$195*FN198*FN$38*'⑫ Roll-out Plan'!$O$25</f>
        <v>213.12</v>
      </c>
      <c r="FO199" s="9" t="n">
        <f aca="false">FO197*$AC$195*FO198*FO$38*'⑫ Roll-out Plan'!$O$25</f>
        <v>159.84</v>
      </c>
      <c r="FP199" s="9" t="n">
        <f aca="false">FP197*$AC$195*FP198*FP$38*'⑫ Roll-out Plan'!$O$25</f>
        <v>226.44</v>
      </c>
    </row>
    <row r="200" customFormat="false" ht="15" hidden="false" customHeight="false" outlineLevel="2" collapsed="false">
      <c r="B200" s="9" t="s">
        <v>877</v>
      </c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112" t="n">
        <f aca="true">IFERROR(SUMPRODUCT(OFFSET($BJ$31,0,1-MIN(60,COLUMN()-29),1,MIN(60,COLUMN()-29)),OFFSET(AC199,0,-MIN(60,COLUMN()-29),1,MIN(60,COLUMN()-29))),0)</f>
        <v>0</v>
      </c>
      <c r="AD200" s="112" t="n">
        <f aca="true">IFERROR(SUMPRODUCT(OFFSET($BJ$31,0,1-MIN(60,COLUMN()-29),1,MIN(60,COLUMN()-29)),OFFSET(AD199,0,-MIN(60,COLUMN()-29),1,MIN(60,COLUMN()-29))),0)</f>
        <v>0</v>
      </c>
      <c r="AE200" s="112" t="n">
        <f aca="true">IFERROR(SUMPRODUCT(OFFSET($BJ$31,0,1-MIN(60,COLUMN()-29),1,MIN(60,COLUMN()-29)),OFFSET(AE199,0,-MIN(60,COLUMN()-29),1,MIN(60,COLUMN()-29))),0)</f>
        <v>0</v>
      </c>
      <c r="AF200" s="112" t="n">
        <f aca="true">IFERROR(SUMPRODUCT(OFFSET($BJ$31,0,1-MIN(60,COLUMN()-29),1,MIN(60,COLUMN()-29)),OFFSET(AF199,0,-MIN(60,COLUMN()-29),1,MIN(60,COLUMN()-29))),0)</f>
        <v>0</v>
      </c>
      <c r="AG200" s="112" t="n">
        <f aca="true">IFERROR(SUMPRODUCT(OFFSET($BJ$31,0,1-MIN(60,COLUMN()-29),1,MIN(60,COLUMN()-29)),OFFSET(AG199,0,-MIN(60,COLUMN()-29),1,MIN(60,COLUMN()-29))),0)</f>
        <v>0</v>
      </c>
      <c r="AH200" s="112" t="n">
        <f aca="true">IFERROR(SUMPRODUCT(OFFSET($BJ$31,0,1-MIN(60,COLUMN()-29),1,MIN(60,COLUMN()-29)),OFFSET(AH199,0,-MIN(60,COLUMN()-29),1,MIN(60,COLUMN()-29))),0)</f>
        <v>0</v>
      </c>
      <c r="AI200" s="112" t="n">
        <f aca="true">IFERROR(SUMPRODUCT(OFFSET($BJ$31,0,1-MIN(60,COLUMN()-29),1,MIN(60,COLUMN()-29)),OFFSET(AI199,0,-MIN(60,COLUMN()-29),1,MIN(60,COLUMN()-29))),0)</f>
        <v>0</v>
      </c>
      <c r="AJ200" s="112" t="n">
        <f aca="true">IFERROR(SUMPRODUCT(OFFSET($BJ$31,0,1-MIN(60,COLUMN()-29),1,MIN(60,COLUMN()-29)),OFFSET(AJ199,0,-MIN(60,COLUMN()-29),1,MIN(60,COLUMN()-29))),0)</f>
        <v>0</v>
      </c>
      <c r="AK200" s="112" t="n">
        <f aca="true">IFERROR(SUMPRODUCT(OFFSET($BJ$31,0,1-MIN(60,COLUMN()-29),1,MIN(60,COLUMN()-29)),OFFSET(AK199,0,-MIN(60,COLUMN()-29),1,MIN(60,COLUMN()-29))),0)</f>
        <v>0</v>
      </c>
      <c r="AL200" s="112" t="n">
        <f aca="true">IFERROR(SUMPRODUCT(OFFSET($BJ$31,0,1-MIN(60,COLUMN()-29),1,MIN(60,COLUMN()-29)),OFFSET(AL199,0,-MIN(60,COLUMN()-29),1,MIN(60,COLUMN()-29))),0)</f>
        <v>0</v>
      </c>
      <c r="AM200" s="112" t="n">
        <f aca="true">IFERROR(SUMPRODUCT(OFFSET($BJ$31,0,1-MIN(60,COLUMN()-29),1,MIN(60,COLUMN()-29)),OFFSET(AM199,0,-MIN(60,COLUMN()-29),1,MIN(60,COLUMN()-29))),0)</f>
        <v>0</v>
      </c>
      <c r="AN200" s="112" t="n">
        <f aca="true">IFERROR(SUMPRODUCT(OFFSET($BJ$31,0,1-MIN(60,COLUMN()-29),1,MIN(60,COLUMN()-29)),OFFSET(AN199,0,-MIN(60,COLUMN()-29),1,MIN(60,COLUMN()-29))),0)</f>
        <v>0</v>
      </c>
      <c r="AO200" s="112" t="n">
        <f aca="true">IFERROR(SUMPRODUCT(OFFSET($BJ$31,0,1-MIN(60,COLUMN()-29),1,MIN(60,COLUMN()-29)),OFFSET(AO199,0,-MIN(60,COLUMN()-29),1,MIN(60,COLUMN()-29))),0)</f>
        <v>0</v>
      </c>
      <c r="AP200" s="112" t="n">
        <f aca="true">IFERROR(SUMPRODUCT(OFFSET($BJ$31,0,1-MIN(60,COLUMN()-29),1,MIN(60,COLUMN()-29)),OFFSET(AP199,0,-MIN(60,COLUMN()-29),1,MIN(60,COLUMN()-29))),0)</f>
        <v>0</v>
      </c>
      <c r="AQ200" s="112" t="n">
        <f aca="true">IFERROR(SUMPRODUCT(OFFSET($BJ$31,0,1-MIN(60,COLUMN()-29),1,MIN(60,COLUMN()-29)),OFFSET(AQ199,0,-MIN(60,COLUMN()-29),1,MIN(60,COLUMN()-29))),0)</f>
        <v>0</v>
      </c>
      <c r="AR200" s="112" t="n">
        <f aca="true">IFERROR(SUMPRODUCT(OFFSET($BJ$31,0,1-MIN(60,COLUMN()-29),1,MIN(60,COLUMN()-29)),OFFSET(AR199,0,-MIN(60,COLUMN()-29),1,MIN(60,COLUMN()-29))),0)</f>
        <v>0</v>
      </c>
      <c r="AS200" s="112" t="n">
        <f aca="true">IFERROR(SUMPRODUCT(OFFSET($BJ$31,0,1-MIN(60,COLUMN()-29),1,MIN(60,COLUMN()-29)),OFFSET(AS199,0,-MIN(60,COLUMN()-29),1,MIN(60,COLUMN()-29))),0)</f>
        <v>0</v>
      </c>
      <c r="AT200" s="112" t="n">
        <f aca="true">IFERROR(SUMPRODUCT(OFFSET($BJ$31,0,1-MIN(60,COLUMN()-29),1,MIN(60,COLUMN()-29)),OFFSET(AT199,0,-MIN(60,COLUMN()-29),1,MIN(60,COLUMN()-29))),0)</f>
        <v>0</v>
      </c>
      <c r="AU200" s="112" t="n">
        <f aca="true">IFERROR(SUMPRODUCT(OFFSET($BJ$31,0,1-MIN(60,COLUMN()-29),1,MIN(60,COLUMN()-29)),OFFSET(AU199,0,-MIN(60,COLUMN()-29),1,MIN(60,COLUMN()-29))),0)</f>
        <v>0</v>
      </c>
      <c r="AV200" s="112" t="n">
        <f aca="true">IFERROR(SUMPRODUCT(OFFSET($BJ$31,0,1-MIN(60,COLUMN()-29),1,MIN(60,COLUMN()-29)),OFFSET(AV199,0,-MIN(60,COLUMN()-29),1,MIN(60,COLUMN()-29))),0)</f>
        <v>0</v>
      </c>
      <c r="AW200" s="112" t="n">
        <f aca="true">IFERROR(SUMPRODUCT(OFFSET($BJ$31,0,1-MIN(60,COLUMN()-29),1,MIN(60,COLUMN()-29)),OFFSET(AW199,0,-MIN(60,COLUMN()-29),1,MIN(60,COLUMN()-29))),0)</f>
        <v>0</v>
      </c>
      <c r="AX200" s="112" t="n">
        <f aca="true">IFERROR(SUMPRODUCT(OFFSET($BJ$31,0,1-MIN(60,COLUMN()-29),1,MIN(60,COLUMN()-29)),OFFSET(AX199,0,-MIN(60,COLUMN()-29),1,MIN(60,COLUMN()-29))),0)</f>
        <v>0</v>
      </c>
      <c r="AY200" s="112" t="n">
        <f aca="true">IFERROR(SUMPRODUCT(OFFSET($BJ$31,0,1-MIN(60,COLUMN()-29),1,MIN(60,COLUMN()-29)),OFFSET(AY199,0,-MIN(60,COLUMN()-29),1,MIN(60,COLUMN()-29))),0)</f>
        <v>0</v>
      </c>
      <c r="AZ200" s="112" t="n">
        <f aca="true">IFERROR(SUMPRODUCT(OFFSET($BJ$31,0,1-MIN(60,COLUMN()-29),1,MIN(60,COLUMN()-29)),OFFSET(AZ199,0,-MIN(60,COLUMN()-29),1,MIN(60,COLUMN()-29))),0)</f>
        <v>0</v>
      </c>
      <c r="BA200" s="112" t="n">
        <f aca="true">IFERROR(SUMPRODUCT(OFFSET($BJ$31,0,1-MIN(60,COLUMN()-29),1,MIN(60,COLUMN()-29)),OFFSET(BA199,0,-MIN(60,COLUMN()-29),1,MIN(60,COLUMN()-29))),0)</f>
        <v>0</v>
      </c>
      <c r="BB200" s="112" t="n">
        <f aca="true">IFERROR(SUMPRODUCT(OFFSET($BJ$31,0,1-MIN(60,COLUMN()-29),1,MIN(60,COLUMN()-29)),OFFSET(BB199,0,-MIN(60,COLUMN()-29),1,MIN(60,COLUMN()-29))),0)</f>
        <v>0</v>
      </c>
      <c r="BC200" s="112" t="n">
        <f aca="true">IFERROR(SUMPRODUCT(OFFSET($BJ$31,0,1-MIN(60,COLUMN()-29),1,MIN(60,COLUMN()-29)),OFFSET(BC199,0,-MIN(60,COLUMN()-29),1,MIN(60,COLUMN()-29))),0)</f>
        <v>0</v>
      </c>
      <c r="BD200" s="112" t="n">
        <f aca="true">IFERROR(SUMPRODUCT(OFFSET($BJ$31,0,1-MIN(60,COLUMN()-29),1,MIN(60,COLUMN()-29)),OFFSET(BD199,0,-MIN(60,COLUMN()-29),1,MIN(60,COLUMN()-29))),0)</f>
        <v>0</v>
      </c>
      <c r="BE200" s="112" t="n">
        <f aca="true">IFERROR(SUMPRODUCT(OFFSET($BJ$31,0,1-MIN(60,COLUMN()-29),1,MIN(60,COLUMN()-29)),OFFSET(BE199,0,-MIN(60,COLUMN()-29),1,MIN(60,COLUMN()-29))),0)</f>
        <v>0</v>
      </c>
      <c r="BF200" s="112" t="n">
        <f aca="true">IFERROR(SUMPRODUCT(OFFSET($BJ$31,0,1-MIN(60,COLUMN()-29),1,MIN(60,COLUMN()-29)),OFFSET(BF199,0,-MIN(60,COLUMN()-29),1,MIN(60,COLUMN()-29))),0)</f>
        <v>0</v>
      </c>
      <c r="BG200" s="112" t="n">
        <f aca="true">IFERROR(SUMPRODUCT(OFFSET($BJ$31,0,1-MIN(60,COLUMN()-29),1,MIN(60,COLUMN()-29)),OFFSET(BG199,0,-MIN(60,COLUMN()-29),1,MIN(60,COLUMN()-29))),0)</f>
        <v>0</v>
      </c>
      <c r="BH200" s="112" t="n">
        <f aca="true">IFERROR(SUMPRODUCT(OFFSET($BJ$31,0,1-MIN(60,COLUMN()-29),1,MIN(60,COLUMN()-29)),OFFSET(BH199,0,-MIN(60,COLUMN()-29),1,MIN(60,COLUMN()-29))),0)</f>
        <v>0</v>
      </c>
      <c r="BI200" s="112" t="n">
        <f aca="true">IFERROR(SUMPRODUCT(OFFSET($BJ$31,0,1-MIN(60,COLUMN()-29),1,MIN(60,COLUMN()-29)),OFFSET(BI199,0,-MIN(60,COLUMN()-29),1,MIN(60,COLUMN()-29))),0)</f>
        <v>0</v>
      </c>
      <c r="BJ200" s="112" t="n">
        <f aca="true">IFERROR(SUMPRODUCT(OFFSET($BJ$31,0,1-MIN(60,COLUMN()-29),1,MIN(60,COLUMN()-29)),OFFSET(BJ199,0,-MIN(60,COLUMN()-29),1,MIN(60,COLUMN()-29))),0)</f>
        <v>0</v>
      </c>
      <c r="BK200" s="112" t="n">
        <f aca="true">IFERROR(SUMPRODUCT(OFFSET($BJ$31,0,1-MIN(60,COLUMN()-29),1,MIN(60,COLUMN()-29)),OFFSET(BK199,0,-MIN(60,COLUMN()-29),1,MIN(60,COLUMN()-29))),0)</f>
        <v>0</v>
      </c>
      <c r="BL200" s="112" t="n">
        <f aca="true">IFERROR(SUMPRODUCT(OFFSET($BJ$31,0,1-MIN(60,COLUMN()-29),1,MIN(60,COLUMN()-29)),OFFSET(BL199,0,-MIN(60,COLUMN()-29),1,MIN(60,COLUMN()-29))),0)</f>
        <v>0</v>
      </c>
      <c r="BM200" s="112" t="n">
        <f aca="true">IFERROR(SUMPRODUCT(OFFSET($BJ$31,0,1-MIN(60,COLUMN()-29),1,MIN(60,COLUMN()-29)),OFFSET(BM199,0,-MIN(60,COLUMN()-29),1,MIN(60,COLUMN()-29))),0)</f>
        <v>0</v>
      </c>
      <c r="BN200" s="112" t="n">
        <f aca="true">IFERROR(SUMPRODUCT(OFFSET($BJ$31,0,1-MIN(60,COLUMN()-29),1,MIN(60,COLUMN()-29)),OFFSET(BN199,0,-MIN(60,COLUMN()-29),1,MIN(60,COLUMN()-29))),0)</f>
        <v>0</v>
      </c>
      <c r="BO200" s="112" t="n">
        <f aca="true">IFERROR(SUMPRODUCT(OFFSET($BJ$31,0,1-MIN(60,COLUMN()-29),1,MIN(60,COLUMN()-29)),OFFSET(BO199,0,-MIN(60,COLUMN()-29),1,MIN(60,COLUMN()-29))),0)</f>
        <v>0</v>
      </c>
      <c r="BP200" s="112" t="n">
        <f aca="true">IFERROR(SUMPRODUCT(OFFSET($BJ$31,0,1-MIN(60,COLUMN()-29),1,MIN(60,COLUMN()-29)),OFFSET(BP199,0,-MIN(60,COLUMN()-29),1,MIN(60,COLUMN()-29))),0)</f>
        <v>0</v>
      </c>
      <c r="BQ200" s="112" t="n">
        <f aca="true">IFERROR(SUMPRODUCT(OFFSET($BJ$31,0,1-MIN(60,COLUMN()-29),1,MIN(60,COLUMN()-29)),OFFSET(BQ199,0,-MIN(60,COLUMN()-29),1,MIN(60,COLUMN()-29))),0)</f>
        <v>0</v>
      </c>
      <c r="BR200" s="112" t="n">
        <f aca="true">IFERROR(SUMPRODUCT(OFFSET($BJ$31,0,1-MIN(60,COLUMN()-29),1,MIN(60,COLUMN()-29)),OFFSET(BR199,0,-MIN(60,COLUMN()-29),1,MIN(60,COLUMN()-29))),0)</f>
        <v>0</v>
      </c>
      <c r="BS200" s="112" t="n">
        <f aca="true">IFERROR(SUMPRODUCT(OFFSET($BJ$31,0,1-MIN(60,COLUMN()-29),1,MIN(60,COLUMN()-29)),OFFSET(BS199,0,-MIN(60,COLUMN()-29),1,MIN(60,COLUMN()-29))),0)</f>
        <v>0</v>
      </c>
      <c r="BT200" s="112" t="n">
        <f aca="true">IFERROR(SUMPRODUCT(OFFSET($BJ$31,0,1-MIN(60,COLUMN()-29),1,MIN(60,COLUMN()-29)),OFFSET(BT199,0,-MIN(60,COLUMN()-29),1,MIN(60,COLUMN()-29))),0)</f>
        <v>0</v>
      </c>
      <c r="BU200" s="112" t="n">
        <f aca="true">IFERROR(SUMPRODUCT(OFFSET($BJ$31,0,1-MIN(60,COLUMN()-29),1,MIN(60,COLUMN()-29)),OFFSET(BU199,0,-MIN(60,COLUMN()-29),1,MIN(60,COLUMN()-29))),0)</f>
        <v>0</v>
      </c>
      <c r="BV200" s="112" t="n">
        <f aca="true">IFERROR(SUMPRODUCT(OFFSET($BJ$31,0,1-MIN(60,COLUMN()-29),1,MIN(60,COLUMN()-29)),OFFSET(BV199,0,-MIN(60,COLUMN()-29),1,MIN(60,COLUMN()-29))),0)</f>
        <v>0</v>
      </c>
      <c r="BW200" s="112" t="n">
        <f aca="true">IFERROR(SUMPRODUCT(OFFSET($BJ$31,0,1-MIN(60,COLUMN()-29),1,MIN(60,COLUMN()-29)),OFFSET(BW199,0,-MIN(60,COLUMN()-29),1,MIN(60,COLUMN()-29))),0)</f>
        <v>0</v>
      </c>
      <c r="BX200" s="112" t="n">
        <f aca="true">IFERROR(SUMPRODUCT(OFFSET($BJ$31,0,1-MIN(60,COLUMN()-29),1,MIN(60,COLUMN()-29)),OFFSET(BX199,0,-MIN(60,COLUMN()-29),1,MIN(60,COLUMN()-29))),0)</f>
        <v>0</v>
      </c>
      <c r="BY200" s="112" t="n">
        <f aca="true">IFERROR(SUMPRODUCT(OFFSET($BJ$31,0,1-MIN(60,COLUMN()-29),1,MIN(60,COLUMN()-29)),OFFSET(BY199,0,-MIN(60,COLUMN()-29),1,MIN(60,COLUMN()-29))),0)</f>
        <v>4.83072</v>
      </c>
      <c r="BZ200" s="112" t="n">
        <f aca="true">IFERROR(SUMPRODUCT(OFFSET($BJ$31,0,1-MIN(60,COLUMN()-29),1,MIN(60,COLUMN()-29)),OFFSET(BZ199,0,-MIN(60,COLUMN()-29),1,MIN(60,COLUMN()-29))),0)</f>
        <v>6.290592</v>
      </c>
      <c r="CA200" s="112" t="n">
        <f aca="true">IFERROR(SUMPRODUCT(OFFSET($BJ$31,0,1-MIN(60,COLUMN()-29),1,MIN(60,COLUMN()-29)),OFFSET(CA199,0,-MIN(60,COLUMN()-29),1,MIN(60,COLUMN()-29))),0)</f>
        <v>6.2792256</v>
      </c>
      <c r="CB200" s="112" t="n">
        <f aca="true">IFERROR(SUMPRODUCT(OFFSET($BJ$31,0,1-MIN(60,COLUMN()-29),1,MIN(60,COLUMN()-29)),OFFSET(CB199,0,-MIN(60,COLUMN()-29),1,MIN(60,COLUMN()-29))),0)</f>
        <v>9.5250432</v>
      </c>
      <c r="CC200" s="112" t="n">
        <f aca="true">IFERROR(SUMPRODUCT(OFFSET($BJ$31,0,1-MIN(60,COLUMN()-29),1,MIN(60,COLUMN()-29)),OFFSET(CC199,0,-MIN(60,COLUMN()-29),1,MIN(60,COLUMN()-29))),0)</f>
        <v>9.7932192</v>
      </c>
      <c r="CD200" s="112" t="n">
        <f aca="true">IFERROR(SUMPRODUCT(OFFSET($BJ$31,0,1-MIN(60,COLUMN()-29),1,MIN(60,COLUMN()-29)),OFFSET(CD199,0,-MIN(60,COLUMN()-29),1,MIN(60,COLUMN()-29))),0)</f>
        <v>10.0876208</v>
      </c>
      <c r="CE200" s="112" t="n">
        <f aca="true">IFERROR(SUMPRODUCT(OFFSET($BJ$31,0,1-MIN(60,COLUMN()-29),1,MIN(60,COLUMN()-29)),OFFSET(CE199,0,-MIN(60,COLUMN()-29),1,MIN(60,COLUMN()-29))),0)</f>
        <v>10.6957824</v>
      </c>
      <c r="CF200" s="112" t="n">
        <f aca="true">IFERROR(SUMPRODUCT(OFFSET($BJ$31,0,1-MIN(60,COLUMN()-29),1,MIN(60,COLUMN()-29)),OFFSET(CF199,0,-MIN(60,COLUMN()-29),1,MIN(60,COLUMN()-29))),0)</f>
        <v>12.1698624</v>
      </c>
      <c r="CG200" s="112" t="n">
        <f aca="true">IFERROR(SUMPRODUCT(OFFSET($BJ$31,0,1-MIN(60,COLUMN()-29),1,MIN(60,COLUMN()-29)),OFFSET(CG199,0,-MIN(60,COLUMN()-29),1,MIN(60,COLUMN()-29))),0)</f>
        <v>19.6590176</v>
      </c>
      <c r="CH200" s="112" t="n">
        <f aca="true">IFERROR(SUMPRODUCT(OFFSET($BJ$31,0,1-MIN(60,COLUMN()-29),1,MIN(60,COLUMN()-29)),OFFSET(CH199,0,-MIN(60,COLUMN()-29),1,MIN(60,COLUMN()-29))),0)</f>
        <v>19.0995184</v>
      </c>
      <c r="CI200" s="112" t="n">
        <f aca="true">IFERROR(SUMPRODUCT(OFFSET($BJ$31,0,1-MIN(60,COLUMN()-29),1,MIN(60,COLUMN()-29)),OFFSET(CI199,0,-MIN(60,COLUMN()-29),1,MIN(60,COLUMN()-29))),0)</f>
        <v>19.090224</v>
      </c>
      <c r="CJ200" s="112" t="n">
        <f aca="true">IFERROR(SUMPRODUCT(OFFSET($BJ$31,0,1-MIN(60,COLUMN()-29),1,MIN(60,COLUMN()-29)),OFFSET(CJ199,0,-MIN(60,COLUMN()-29),1,MIN(60,COLUMN()-29))),0)</f>
        <v>18.2633776</v>
      </c>
      <c r="CK200" s="112" t="n">
        <f aca="true">IFERROR(SUMPRODUCT(OFFSET($BJ$31,0,1-MIN(60,COLUMN()-29),1,MIN(60,COLUMN()-29)),OFFSET(CK199,0,-MIN(60,COLUMN()-29),1,MIN(60,COLUMN()-29))),0)</f>
        <v>24.533664</v>
      </c>
      <c r="CL200" s="112" t="n">
        <f aca="true">IFERROR(SUMPRODUCT(OFFSET($BJ$31,0,1-MIN(60,COLUMN()-29),1,MIN(60,COLUMN()-29)),OFFSET(CL199,0,-MIN(60,COLUMN()-29),1,MIN(60,COLUMN()-29))),0)</f>
        <v>27.1459824</v>
      </c>
      <c r="CM200" s="112" t="n">
        <f aca="true">IFERROR(SUMPRODUCT(OFFSET($BJ$31,0,1-MIN(60,COLUMN()-29),1,MIN(60,COLUMN()-29)),OFFSET(CM199,0,-MIN(60,COLUMN()-29),1,MIN(60,COLUMN()-29))),0)</f>
        <v>25.8003072</v>
      </c>
      <c r="CN200" s="112" t="n">
        <f aca="true">IFERROR(SUMPRODUCT(OFFSET($BJ$31,0,1-MIN(60,COLUMN()-29),1,MIN(60,COLUMN()-29)),OFFSET(CN199,0,-MIN(60,COLUMN()-29),1,MIN(60,COLUMN()-29))),0)</f>
        <v>35.9444048</v>
      </c>
      <c r="CO200" s="112" t="n">
        <f aca="true">IFERROR(SUMPRODUCT(OFFSET($BJ$31,0,1-MIN(60,COLUMN()-29),1,MIN(60,COLUMN()-29)),OFFSET(CO199,0,-MIN(60,COLUMN()-29),1,MIN(60,COLUMN()-29))),0)</f>
        <v>38.45201616</v>
      </c>
      <c r="CP200" s="112" t="n">
        <f aca="true">IFERROR(SUMPRODUCT(OFFSET($BJ$31,0,1-MIN(60,COLUMN()-29),1,MIN(60,COLUMN()-29)),OFFSET(CP199,0,-MIN(60,COLUMN()-29),1,MIN(60,COLUMN()-29))),0)</f>
        <v>39.20817184</v>
      </c>
      <c r="CQ200" s="112" t="n">
        <f aca="true">IFERROR(SUMPRODUCT(OFFSET($BJ$31,0,1-MIN(60,COLUMN()-29),1,MIN(60,COLUMN()-29)),OFFSET(CQ199,0,-MIN(60,COLUMN()-29),1,MIN(60,COLUMN()-29))),0)</f>
        <v>39.24398784</v>
      </c>
      <c r="CR200" s="112" t="n">
        <f aca="true">IFERROR(SUMPRODUCT(OFFSET($BJ$31,0,1-MIN(60,COLUMN()-29),1,MIN(60,COLUMN()-29)),OFFSET(CR199,0,-MIN(60,COLUMN()-29),1,MIN(60,COLUMN()-29))),0)</f>
        <v>43.3371972</v>
      </c>
      <c r="CS200" s="112" t="n">
        <f aca="true">IFERROR(SUMPRODUCT(OFFSET($BJ$31,0,1-MIN(60,COLUMN()-29),1,MIN(60,COLUMN()-29)),OFFSET(CS199,0,-MIN(60,COLUMN()-29),1,MIN(60,COLUMN()-29))),0)</f>
        <v>58.38791364</v>
      </c>
      <c r="CT200" s="112" t="n">
        <f aca="true">IFERROR(SUMPRODUCT(OFFSET($BJ$31,0,1-MIN(60,COLUMN()-29),1,MIN(60,COLUMN()-29)),OFFSET(CT199,0,-MIN(60,COLUMN()-29),1,MIN(60,COLUMN()-29))),0)</f>
        <v>58.1160406</v>
      </c>
      <c r="CU200" s="112" t="n">
        <f aca="true">IFERROR(SUMPRODUCT(OFFSET($BJ$31,0,1-MIN(60,COLUMN()-29),1,MIN(60,COLUMN()-29)),OFFSET(CU199,0,-MIN(60,COLUMN()-29),1,MIN(60,COLUMN()-29))),0)</f>
        <v>57.40714428</v>
      </c>
      <c r="CV200" s="112" t="n">
        <f aca="true">IFERROR(SUMPRODUCT(OFFSET($BJ$31,0,1-MIN(60,COLUMN()-29),1,MIN(60,COLUMN()-29)),OFFSET(CV199,0,-MIN(60,COLUMN()-29),1,MIN(60,COLUMN()-29))),0)</f>
        <v>54.66743044</v>
      </c>
      <c r="CW200" s="112" t="n">
        <f aca="true">IFERROR(SUMPRODUCT(OFFSET($BJ$31,0,1-MIN(60,COLUMN()-29),1,MIN(60,COLUMN()-29)),OFFSET(CW199,0,-MIN(60,COLUMN()-29),1,MIN(60,COLUMN()-29))),0)</f>
        <v>66.01239412</v>
      </c>
      <c r="CX200" s="112" t="n">
        <f aca="true">IFERROR(SUMPRODUCT(OFFSET($BJ$31,0,1-MIN(60,COLUMN()-29),1,MIN(60,COLUMN()-29)),OFFSET(CX199,0,-MIN(60,COLUMN()-29),1,MIN(60,COLUMN()-29))),0)</f>
        <v>70.17819156</v>
      </c>
      <c r="CY200" s="112" t="n">
        <f aca="true">IFERROR(SUMPRODUCT(OFFSET($BJ$31,0,1-MIN(60,COLUMN()-29),1,MIN(60,COLUMN()-29)),OFFSET(CY199,0,-MIN(60,COLUMN()-29),1,MIN(60,COLUMN()-29))),0)</f>
        <v>70.15744788</v>
      </c>
      <c r="CZ200" s="112" t="n">
        <f aca="true">IFERROR(SUMPRODUCT(OFFSET($BJ$31,0,1-MIN(60,COLUMN()-29),1,MIN(60,COLUMN()-29)),OFFSET(CZ199,0,-MIN(60,COLUMN()-29),1,MIN(60,COLUMN()-29))),0)</f>
        <v>82.70424852</v>
      </c>
      <c r="DA200" s="112" t="n">
        <f aca="true">IFERROR(SUMPRODUCT(OFFSET($BJ$31,0,1-MIN(60,COLUMN()-29),1,MIN(60,COLUMN()-29)),OFFSET(DA199,0,-MIN(60,COLUMN()-29),1,MIN(60,COLUMN()-29))),0)</f>
        <v>85.76688948</v>
      </c>
      <c r="DB200" s="112" t="n">
        <f aca="true">IFERROR(SUMPRODUCT(OFFSET($BJ$31,0,1-MIN(60,COLUMN()-29),1,MIN(60,COLUMN()-29)),OFFSET(DB199,0,-MIN(60,COLUMN()-29),1,MIN(60,COLUMN()-29))),0)</f>
        <v>86.20289748</v>
      </c>
      <c r="DC200" s="112" t="n">
        <f aca="true">IFERROR(SUMPRODUCT(OFFSET($BJ$31,0,1-MIN(60,COLUMN()-29),1,MIN(60,COLUMN()-29)),OFFSET(DC199,0,-MIN(60,COLUMN()-29),1,MIN(60,COLUMN()-29))),0)</f>
        <v>85.94969316</v>
      </c>
      <c r="DD200" s="112" t="n">
        <f aca="true">IFERROR(SUMPRODUCT(OFFSET($BJ$31,0,1-MIN(60,COLUMN()-29),1,MIN(60,COLUMN()-29)),OFFSET(DD199,0,-MIN(60,COLUMN()-29),1,MIN(60,COLUMN()-29))),0)</f>
        <v>93.31911636</v>
      </c>
      <c r="DE200" s="112" t="n">
        <f aca="true">IFERROR(SUMPRODUCT(OFFSET($BJ$31,0,1-MIN(60,COLUMN()-29),1,MIN(60,COLUMN()-29)),OFFSET(DE199,0,-MIN(60,COLUMN()-29),1,MIN(60,COLUMN()-29))),0)</f>
        <v>113.80458372</v>
      </c>
      <c r="DF200" s="112" t="n">
        <f aca="true">IFERROR(SUMPRODUCT(OFFSET($BJ$31,0,1-MIN(60,COLUMN()-29),1,MIN(60,COLUMN()-29)),OFFSET(DF199,0,-MIN(60,COLUMN()-29),1,MIN(60,COLUMN()-29))),0)</f>
        <v>114.123429</v>
      </c>
      <c r="DG200" s="112" t="n">
        <f aca="true">IFERROR(SUMPRODUCT(OFFSET($BJ$31,0,1-MIN(60,COLUMN()-29),1,MIN(60,COLUMN()-29)),OFFSET(DG199,0,-MIN(60,COLUMN()-29),1,MIN(60,COLUMN()-29))),0)</f>
        <v>113.09675892</v>
      </c>
      <c r="DH200" s="112" t="n">
        <f aca="true">IFERROR(SUMPRODUCT(OFFSET($BJ$31,0,1-MIN(60,COLUMN()-29),1,MIN(60,COLUMN()-29)),OFFSET(DH199,0,-MIN(60,COLUMN()-29),1,MIN(60,COLUMN()-29))),0)</f>
        <v>110.4567882</v>
      </c>
      <c r="DI200" s="112" t="n">
        <f aca="true">IFERROR(SUMPRODUCT(OFFSET($BJ$31,0,1-MIN(60,COLUMN()-29),1,MIN(60,COLUMN()-29)),OFFSET(DI199,0,-MIN(60,COLUMN()-29),1,MIN(60,COLUMN()-29))),0)</f>
        <v>125.8419654</v>
      </c>
      <c r="DJ200" s="112" t="n">
        <f aca="true">IFERROR(SUMPRODUCT(OFFSET($BJ$31,0,1-MIN(60,COLUMN()-29),1,MIN(60,COLUMN()-29)),OFFSET(DJ199,0,-MIN(60,COLUMN()-29),1,MIN(60,COLUMN()-29))),0)</f>
        <v>132.15495276</v>
      </c>
      <c r="DK200" s="112" t="n">
        <f aca="true">IFERROR(SUMPRODUCT(OFFSET($BJ$31,0,1-MIN(60,COLUMN()-29),1,MIN(60,COLUMN()-29)),OFFSET(DK199,0,-MIN(60,COLUMN()-29),1,MIN(60,COLUMN()-29))),0)</f>
        <v>132.60996396</v>
      </c>
      <c r="DL200" s="112" t="n">
        <f aca="true">IFERROR(SUMPRODUCT(OFFSET($BJ$31,0,1-MIN(60,COLUMN()-29),1,MIN(60,COLUMN()-29)),OFFSET(DL199,0,-MIN(60,COLUMN()-29),1,MIN(60,COLUMN()-29))),0)</f>
        <v>146.72358732</v>
      </c>
      <c r="DM200" s="112" t="n">
        <f aca="true">IFERROR(SUMPRODUCT(OFFSET($BJ$31,0,1-MIN(60,COLUMN()-29),1,MIN(60,COLUMN()-29)),OFFSET(DM199,0,-MIN(60,COLUMN()-29),1,MIN(60,COLUMN()-29))),0)</f>
        <v>151.18396692</v>
      </c>
      <c r="DN200" s="112" t="n">
        <f aca="true">IFERROR(SUMPRODUCT(OFFSET($BJ$31,0,1-MIN(60,COLUMN()-29),1,MIN(60,COLUMN()-29)),OFFSET(DN199,0,-MIN(60,COLUMN()-29),1,MIN(60,COLUMN()-29))),0)</f>
        <v>152.62749972</v>
      </c>
      <c r="DO200" s="112" t="n">
        <f aca="true">IFERROR(SUMPRODUCT(OFFSET($BJ$31,0,1-MIN(60,COLUMN()-29),1,MIN(60,COLUMN()-29)),OFFSET(DO199,0,-MIN(60,COLUMN()-29),1,MIN(60,COLUMN()-29))),0)</f>
        <v>153.13143972</v>
      </c>
      <c r="DP200" s="112" t="n">
        <f aca="true">IFERROR(SUMPRODUCT(OFFSET($BJ$31,0,1-MIN(60,COLUMN()-29),1,MIN(60,COLUMN()-29)),OFFSET(DP199,0,-MIN(60,COLUMN()-29),1,MIN(60,COLUMN()-29))),0)</f>
        <v>162.07779108</v>
      </c>
      <c r="DQ200" s="112" t="n">
        <f aca="true">IFERROR(SUMPRODUCT(OFFSET($BJ$31,0,1-MIN(60,COLUMN()-29),1,MIN(60,COLUMN()-29)),OFFSET(DQ199,0,-MIN(60,COLUMN()-29),1,MIN(60,COLUMN()-29))),0)</f>
        <v>185.42417244</v>
      </c>
      <c r="DR200" s="112" t="n">
        <f aca="true">IFERROR(SUMPRODUCT(OFFSET($BJ$31,0,1-MIN(60,COLUMN()-29),1,MIN(60,COLUMN()-29)),OFFSET(DR199,0,-MIN(60,COLUMN()-29),1,MIN(60,COLUMN()-29))),0)</f>
        <v>185.4163758</v>
      </c>
      <c r="DS200" s="112" t="n">
        <f aca="true">IFERROR(SUMPRODUCT(OFFSET($BJ$31,0,1-MIN(60,COLUMN()-29),1,MIN(60,COLUMN()-29)),OFFSET(DS199,0,-MIN(60,COLUMN()-29),1,MIN(60,COLUMN()-29))),0)</f>
        <v>184.22340108</v>
      </c>
      <c r="DT200" s="112" t="n">
        <f aca="true">IFERROR(SUMPRODUCT(OFFSET($BJ$31,0,1-MIN(60,COLUMN()-29),1,MIN(60,COLUMN()-29)),OFFSET(DT199,0,-MIN(60,COLUMN()-29),1,MIN(60,COLUMN()-29))),0)</f>
        <v>181.0658862</v>
      </c>
      <c r="DU200" s="112" t="n">
        <f aca="true">IFERROR(SUMPRODUCT(OFFSET($BJ$31,0,1-MIN(60,COLUMN()-29),1,MIN(60,COLUMN()-29)),OFFSET(DU199,0,-MIN(60,COLUMN()-29),1,MIN(60,COLUMN()-29))),0)</f>
        <v>197.6428482</v>
      </c>
      <c r="DV200" s="112" t="n">
        <f aca="true">IFERROR(SUMPRODUCT(OFFSET($BJ$31,0,1-MIN(60,COLUMN()-29),1,MIN(60,COLUMN()-29)),OFFSET(DV199,0,-MIN(60,COLUMN()-29),1,MIN(60,COLUMN()-29))),0)</f>
        <v>203.75550276</v>
      </c>
      <c r="DW200" s="112" t="n">
        <f aca="true">IFERROR(SUMPRODUCT(OFFSET($BJ$31,0,1-MIN(60,COLUMN()-29),1,MIN(60,COLUMN()-29)),OFFSET(DW199,0,-MIN(60,COLUMN()-29),1,MIN(60,COLUMN()-29))),0)</f>
        <v>203.6317866</v>
      </c>
      <c r="DX200" s="112" t="n">
        <f aca="true">IFERROR(SUMPRODUCT(OFFSET($BJ$31,0,1-MIN(60,COLUMN()-29),1,MIN(60,COLUMN()-29)),OFFSET(DX199,0,-MIN(60,COLUMN()-29),1,MIN(60,COLUMN()-29))),0)</f>
        <v>217.8082182</v>
      </c>
      <c r="DY200" s="112" t="n">
        <f aca="true">IFERROR(SUMPRODUCT(OFFSET($BJ$31,0,1-MIN(60,COLUMN()-29),1,MIN(60,COLUMN()-29)),OFFSET(DY199,0,-MIN(60,COLUMN()-29),1,MIN(60,COLUMN()-29))),0)</f>
        <v>221.4802092</v>
      </c>
      <c r="DZ200" s="112" t="n">
        <f aca="true">IFERROR(SUMPRODUCT(OFFSET($BJ$31,0,1-MIN(60,COLUMN()-29),1,MIN(60,COLUMN()-29)),OFFSET(DZ199,0,-MIN(60,COLUMN()-29),1,MIN(60,COLUMN()-29))),0)</f>
        <v>222.38780736</v>
      </c>
      <c r="EA200" s="112" t="n">
        <f aca="true">IFERROR(SUMPRODUCT(OFFSET($BJ$31,0,1-MIN(60,COLUMN()-29),1,MIN(60,COLUMN()-29)),OFFSET(EA199,0,-MIN(60,COLUMN()-29),1,MIN(60,COLUMN()-29))),0)</f>
        <v>222.04810296</v>
      </c>
      <c r="EB200" s="112" t="n">
        <f aca="true">IFERROR(SUMPRODUCT(OFFSET($BJ$31,0,1-MIN(60,COLUMN()-29),1,MIN(60,COLUMN()-29)),OFFSET(EB199,0,-MIN(60,COLUMN()-29),1,MIN(60,COLUMN()-29))),0)</f>
        <v>230.56788576</v>
      </c>
      <c r="EC200" s="112" t="n">
        <f aca="true">IFERROR(SUMPRODUCT(OFFSET($BJ$31,0,1-MIN(60,COLUMN()-29),1,MIN(60,COLUMN()-29)),OFFSET(EC199,0,-MIN(60,COLUMN()-29),1,MIN(60,COLUMN()-29))),0)</f>
        <v>252.77736072</v>
      </c>
      <c r="ED200" s="112" t="n">
        <f aca="true">IFERROR(SUMPRODUCT(OFFSET($BJ$31,0,1-MIN(60,COLUMN()-29),1,MIN(60,COLUMN()-29)),OFFSET(ED199,0,-MIN(60,COLUMN()-29),1,MIN(60,COLUMN()-29))),0)</f>
        <v>251.7214932</v>
      </c>
      <c r="EE200" s="112" t="n">
        <f aca="true">IFERROR(SUMPRODUCT(OFFSET($BJ$31,0,1-MIN(60,COLUMN()-29),1,MIN(60,COLUMN()-29)),OFFSET(EE199,0,-MIN(60,COLUMN()-29),1,MIN(60,COLUMN()-29))),0)</f>
        <v>249.3746868</v>
      </c>
      <c r="EF200" s="112" t="n">
        <f aca="true">IFERROR(SUMPRODUCT(OFFSET($BJ$31,0,1-MIN(60,COLUMN()-29),1,MIN(60,COLUMN()-29)),OFFSET(EF199,0,-MIN(60,COLUMN()-29),1,MIN(60,COLUMN()-29))),0)</f>
        <v>245.3999988</v>
      </c>
      <c r="EG200" s="112" t="n">
        <f aca="true">IFERROR(SUMPRODUCT(OFFSET($BJ$31,0,1-MIN(60,COLUMN()-29),1,MIN(60,COLUMN()-29)),OFFSET(EG199,0,-MIN(60,COLUMN()-29),1,MIN(60,COLUMN()-29))),0)</f>
        <v>261.2206068</v>
      </c>
      <c r="EH200" s="112" t="n">
        <f aca="true">IFERROR(SUMPRODUCT(OFFSET($BJ$31,0,1-MIN(60,COLUMN()-29),1,MIN(60,COLUMN()-29)),OFFSET(EH199,0,-MIN(60,COLUMN()-29),1,MIN(60,COLUMN()-29))),0)</f>
        <v>265.8703524</v>
      </c>
      <c r="EI200" s="112" t="n">
        <f aca="true">IFERROR(SUMPRODUCT(OFFSET($BJ$31,0,1-MIN(60,COLUMN()-29),1,MIN(60,COLUMN()-29)),OFFSET(EI199,0,-MIN(60,COLUMN()-29),1,MIN(60,COLUMN()-29))),0)</f>
        <v>264.7906332</v>
      </c>
      <c r="EJ200" s="112" t="n">
        <f aca="true">IFERROR(SUMPRODUCT(OFFSET($BJ$31,0,1-MIN(60,COLUMN()-29),1,MIN(60,COLUMN()-29)),OFFSET(EJ199,0,-MIN(60,COLUMN()-29),1,MIN(60,COLUMN()-29))),0)</f>
        <v>276.8069604</v>
      </c>
      <c r="EK200" s="112" t="n">
        <f aca="true">IFERROR(SUMPRODUCT(OFFSET($BJ$31,0,1-MIN(60,COLUMN()-29),1,MIN(60,COLUMN()-29)),OFFSET(EK199,0,-MIN(60,COLUMN()-29),1,MIN(60,COLUMN()-29))),0)</f>
        <v>278.2095564</v>
      </c>
      <c r="EL200" s="112" t="n">
        <f aca="true">IFERROR(SUMPRODUCT(OFFSET($BJ$31,0,1-MIN(60,COLUMN()-29),1,MIN(60,COLUMN()-29)),OFFSET(EL199,0,-MIN(60,COLUMN()-29),1,MIN(60,COLUMN()-29))),0)</f>
        <v>277.2131316</v>
      </c>
      <c r="EM200" s="112" t="n">
        <f aca="true">IFERROR(SUMPRODUCT(OFFSET($BJ$31,0,1-MIN(60,COLUMN()-29),1,MIN(60,COLUMN()-29)),OFFSET(EM199,0,-MIN(60,COLUMN()-29),1,MIN(60,COLUMN()-29))),0)</f>
        <v>275.0828196</v>
      </c>
      <c r="EN200" s="112" t="n">
        <f aca="true">IFERROR(SUMPRODUCT(OFFSET($BJ$31,0,1-MIN(60,COLUMN()-29),1,MIN(60,COLUMN()-29)),OFFSET(EN199,0,-MIN(60,COLUMN()-29),1,MIN(60,COLUMN()-29))),0)</f>
        <v>281.8624332</v>
      </c>
      <c r="EO200" s="112" t="n">
        <f aca="true">IFERROR(SUMPRODUCT(OFFSET($BJ$31,0,1-MIN(60,COLUMN()-29),1,MIN(60,COLUMN()-29)),OFFSET(EO199,0,-MIN(60,COLUMN()-29),1,MIN(60,COLUMN()-29))),0)</f>
        <v>300.833088</v>
      </c>
      <c r="EP200" s="112" t="n">
        <f aca="true">IFERROR(SUMPRODUCT(OFFSET($BJ$31,0,1-MIN(60,COLUMN()-29),1,MIN(60,COLUMN()-29)),OFFSET(EP199,0,-MIN(60,COLUMN()-29),1,MIN(60,COLUMN()-29))),0)</f>
        <v>297.0185064</v>
      </c>
      <c r="EQ200" s="112" t="n">
        <f aca="true">IFERROR(SUMPRODUCT(OFFSET($BJ$31,0,1-MIN(60,COLUMN()-29),1,MIN(60,COLUMN()-29)),OFFSET(EQ199,0,-MIN(60,COLUMN()-29),1,MIN(60,COLUMN()-29))),0)</f>
        <v>292.2993192</v>
      </c>
      <c r="ER200" s="112" t="n">
        <f aca="true">IFERROR(SUMPRODUCT(OFFSET($BJ$31,0,1-MIN(60,COLUMN()-29),1,MIN(60,COLUMN()-29)),OFFSET(ER199,0,-MIN(60,COLUMN()-29),1,MIN(60,COLUMN()-29))),0)</f>
        <v>286.4720856</v>
      </c>
      <c r="ES200" s="9" t="n">
        <f aca="true">IFERROR(SUMPRODUCT(OFFSET($BJ$31,0,1-MIN(60,COLUMN()-29),1,MIN(60,COLUMN()-29)),OFFSET(ES199,0,-MIN(60,COLUMN()-29),1,MIN(60,COLUMN()-29))),0)</f>
        <v>300.2162388</v>
      </c>
      <c r="ET200" s="9" t="n">
        <f aca="true">IFERROR(SUMPRODUCT(OFFSET($BJ$31,0,1-MIN(60,COLUMN()-29),1,MIN(60,COLUMN()-29)),OFFSET(ET199,0,-MIN(60,COLUMN()-29),1,MIN(60,COLUMN()-29))),0)</f>
        <v>302.6937588</v>
      </c>
      <c r="EU200" s="9" t="n">
        <f aca="true">IFERROR(SUMPRODUCT(OFFSET($BJ$31,0,1-MIN(60,COLUMN()-29),1,MIN(60,COLUMN()-29)),OFFSET(EU199,0,-MIN(60,COLUMN()-29),1,MIN(60,COLUMN()-29))),0)</f>
        <v>299.9538348</v>
      </c>
      <c r="EV200" s="9" t="n">
        <f aca="true">IFERROR(SUMPRODUCT(OFFSET($BJ$31,0,1-MIN(60,COLUMN()-29),1,MIN(60,COLUMN()-29)),OFFSET(EV199,0,-MIN(60,COLUMN()-29),1,MIN(60,COLUMN()-29))),0)</f>
        <v>309.65711736</v>
      </c>
      <c r="EW200" s="9" t="n">
        <f aca="true">IFERROR(SUMPRODUCT(OFFSET($BJ$31,0,1-MIN(60,COLUMN()-29),1,MIN(60,COLUMN()-29)),OFFSET(EW199,0,-MIN(60,COLUMN()-29),1,MIN(60,COLUMN()-29))),0)</f>
        <v>308.83407456</v>
      </c>
      <c r="EX200" s="9" t="n">
        <f aca="true">IFERROR(SUMPRODUCT(OFFSET($BJ$31,0,1-MIN(60,COLUMN()-29),1,MIN(60,COLUMN()-29)),OFFSET(EX199,0,-MIN(60,COLUMN()-29),1,MIN(60,COLUMN()-29))),0)</f>
        <v>306.07791792</v>
      </c>
      <c r="EY200" s="9" t="n">
        <f aca="true">IFERROR(SUMPRODUCT(OFFSET($BJ$31,0,1-MIN(60,COLUMN()-29),1,MIN(60,COLUMN()-29)),OFFSET(EY199,0,-MIN(60,COLUMN()-29),1,MIN(60,COLUMN()-29))),0)</f>
        <v>302.47814352</v>
      </c>
      <c r="EZ200" s="9" t="n">
        <f aca="true">IFERROR(SUMPRODUCT(OFFSET($BJ$31,0,1-MIN(60,COLUMN()-29),1,MIN(60,COLUMN()-29)),OFFSET(EZ199,0,-MIN(60,COLUMN()-29),1,MIN(60,COLUMN()-29))),0)</f>
        <v>307.748388</v>
      </c>
      <c r="FA200" s="9" t="n">
        <f aca="true">IFERROR(SUMPRODUCT(OFFSET($BJ$31,0,1-MIN(60,COLUMN()-29),1,MIN(60,COLUMN()-29)),OFFSET(FA199,0,-MIN(60,COLUMN()-29),1,MIN(60,COLUMN()-29))),0)</f>
        <v>324.31313112</v>
      </c>
      <c r="FB200" s="9" t="n">
        <f aca="true">IFERROR(SUMPRODUCT(OFFSET($BJ$31,0,1-MIN(60,COLUMN()-29),1,MIN(60,COLUMN()-29)),OFFSET(FB199,0,-MIN(60,COLUMN()-29),1,MIN(60,COLUMN()-29))),0)</f>
        <v>318.49761912</v>
      </c>
      <c r="FC200" s="9" t="n">
        <f aca="true">IFERROR(SUMPRODUCT(OFFSET($BJ$31,0,1-MIN(60,COLUMN()-29),1,MIN(60,COLUMN()-29)),OFFSET(FC199,0,-MIN(60,COLUMN()-29),1,MIN(60,COLUMN()-29))),0)</f>
        <v>312.22734456</v>
      </c>
      <c r="FD200" s="9" t="n">
        <f aca="true">IFERROR(SUMPRODUCT(OFFSET($BJ$31,0,1-MIN(60,COLUMN()-29),1,MIN(60,COLUMN()-29)),OFFSET(FD199,0,-MIN(60,COLUMN()-29),1,MIN(60,COLUMN()-29))),0)</f>
        <v>305.26748472</v>
      </c>
      <c r="FE200" s="9" t="n">
        <f aca="true">IFERROR(SUMPRODUCT(OFFSET($BJ$31,0,1-MIN(60,COLUMN()-29),1,MIN(60,COLUMN()-29)),OFFSET(FE199,0,-MIN(60,COLUMN()-29),1,MIN(60,COLUMN()-29))),0)</f>
        <v>317.48180928</v>
      </c>
      <c r="FF200" s="9" t="n">
        <f aca="true">IFERROR(SUMPRODUCT(OFFSET($BJ$31,0,1-MIN(60,COLUMN()-29),1,MIN(60,COLUMN()-29)),OFFSET(FF199,0,-MIN(60,COLUMN()-29),1,MIN(60,COLUMN()-29))),0)</f>
        <v>318.42007008</v>
      </c>
      <c r="FG200" s="9" t="n">
        <f aca="true">IFERROR(SUMPRODUCT(OFFSET($BJ$31,0,1-MIN(60,COLUMN()-29),1,MIN(60,COLUMN()-29)),OFFSET(FG199,0,-MIN(60,COLUMN()-29),1,MIN(60,COLUMN()-29))),0)</f>
        <v>314.48632776</v>
      </c>
      <c r="FH200" s="9" t="n">
        <f aca="true">IFERROR(SUMPRODUCT(OFFSET($BJ$31,0,1-MIN(60,COLUMN()-29),1,MIN(60,COLUMN()-29)),OFFSET(FH199,0,-MIN(60,COLUMN()-29),1,MIN(60,COLUMN()-29))),0)</f>
        <v>322.98596184</v>
      </c>
      <c r="FI200" s="9" t="n">
        <f aca="true">IFERROR(SUMPRODUCT(OFFSET($BJ$31,0,1-MIN(60,COLUMN()-29),1,MIN(60,COLUMN()-29)),OFFSET(FI199,0,-MIN(60,COLUMN()-29),1,MIN(60,COLUMN()-29))),0)</f>
        <v>321.05522784</v>
      </c>
      <c r="FJ200" s="9" t="n">
        <f aca="true">IFERROR(SUMPRODUCT(OFFSET($BJ$31,0,1-MIN(60,COLUMN()-29),1,MIN(60,COLUMN()-29)),OFFSET(FJ199,0,-MIN(60,COLUMN()-29),1,MIN(60,COLUMN()-29))),0)</f>
        <v>317.43023424</v>
      </c>
      <c r="FK200" s="9" t="n">
        <f aca="true">IFERROR(SUMPRODUCT(OFFSET($BJ$31,0,1-MIN(60,COLUMN()-29),1,MIN(60,COLUMN()-29)),OFFSET(FK199,0,-MIN(60,COLUMN()-29),1,MIN(60,COLUMN()-29))),0)</f>
        <v>313.10052384</v>
      </c>
      <c r="FL200" s="9" t="n">
        <f aca="true">IFERROR(SUMPRODUCT(OFFSET($BJ$31,0,1-MIN(60,COLUMN()-29),1,MIN(60,COLUMN()-29)),OFFSET(FL199,0,-MIN(60,COLUMN()-29),1,MIN(60,COLUMN()-29))),0)</f>
        <v>317.57860128</v>
      </c>
      <c r="FM200" s="9" t="n">
        <f aca="true">IFERROR(SUMPRODUCT(OFFSET($BJ$31,0,1-MIN(60,COLUMN()-29),1,MIN(60,COLUMN()-29)),OFFSET(FM199,0,-MIN(60,COLUMN()-29),1,MIN(60,COLUMN()-29))),0)</f>
        <v>332.89688544</v>
      </c>
      <c r="FN200" s="9" t="n">
        <f aca="true">IFERROR(SUMPRODUCT(OFFSET($BJ$31,0,1-MIN(60,COLUMN()-29),1,MIN(60,COLUMN()-29)),OFFSET(FN199,0,-MIN(60,COLUMN()-29),1,MIN(60,COLUMN()-29))),0)</f>
        <v>326.13885024</v>
      </c>
      <c r="FO200" s="9" t="n">
        <f aca="true">IFERROR(SUMPRODUCT(OFFSET($BJ$31,0,1-MIN(60,COLUMN()-29),1,MIN(60,COLUMN()-29)),OFFSET(FO199,0,-MIN(60,COLUMN()-29),1,MIN(60,COLUMN()-29))),0)</f>
        <v>319.14993504</v>
      </c>
      <c r="FP200" s="9" t="n">
        <f aca="true">IFERROR(SUMPRODUCT(OFFSET($BJ$31,0,1-MIN(60,COLUMN()-29),1,MIN(60,COLUMN()-29)),OFFSET(FP199,0,-MIN(60,COLUMN()-29),1,MIN(60,COLUMN()-29))),0)</f>
        <v>311.69904672</v>
      </c>
    </row>
    <row r="201" customFormat="false" ht="15" hidden="false" customHeight="false" outlineLevel="2" collapsed="false">
      <c r="B201" s="90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237"/>
      <c r="AD201" s="237"/>
      <c r="AE201" s="237"/>
      <c r="AF201" s="237"/>
      <c r="AG201" s="237"/>
      <c r="AH201" s="237"/>
      <c r="AI201" s="237"/>
      <c r="AJ201" s="237"/>
      <c r="AK201" s="237"/>
      <c r="AL201" s="237"/>
      <c r="AM201" s="237"/>
      <c r="AN201" s="237"/>
      <c r="AO201" s="237"/>
      <c r="AP201" s="237"/>
      <c r="AQ201" s="237"/>
      <c r="AR201" s="237"/>
      <c r="AS201" s="237"/>
      <c r="AT201" s="237"/>
      <c r="AU201" s="237"/>
      <c r="AV201" s="237"/>
      <c r="AW201" s="237"/>
      <c r="AX201" s="237"/>
      <c r="AY201" s="237"/>
      <c r="AZ201" s="237"/>
      <c r="BA201" s="237"/>
      <c r="BB201" s="237"/>
      <c r="BC201" s="237"/>
      <c r="BD201" s="237"/>
      <c r="BE201" s="237"/>
      <c r="BF201" s="237"/>
      <c r="BG201" s="237"/>
      <c r="BH201" s="237"/>
      <c r="BI201" s="237"/>
      <c r="BJ201" s="237"/>
      <c r="BK201" s="237"/>
      <c r="BL201" s="237"/>
      <c r="BM201" s="237"/>
      <c r="BN201" s="237"/>
      <c r="BO201" s="237"/>
      <c r="BP201" s="237"/>
      <c r="BQ201" s="237"/>
      <c r="BR201" s="237"/>
      <c r="BS201" s="237"/>
      <c r="BT201" s="237"/>
      <c r="BU201" s="237"/>
      <c r="BV201" s="237"/>
      <c r="BW201" s="237"/>
      <c r="BX201" s="237"/>
      <c r="BY201" s="237"/>
      <c r="BZ201" s="237"/>
      <c r="CA201" s="237"/>
      <c r="CB201" s="237"/>
      <c r="CC201" s="237"/>
      <c r="CD201" s="237"/>
      <c r="CE201" s="237"/>
      <c r="CF201" s="237"/>
      <c r="CG201" s="237"/>
      <c r="CH201" s="237"/>
      <c r="CI201" s="237"/>
      <c r="CJ201" s="237"/>
      <c r="CK201" s="237"/>
      <c r="CL201" s="237"/>
      <c r="CM201" s="237"/>
      <c r="CN201" s="237"/>
      <c r="CO201" s="237"/>
      <c r="CP201" s="237"/>
      <c r="CQ201" s="237"/>
      <c r="CR201" s="237"/>
      <c r="CS201" s="237"/>
      <c r="CT201" s="237"/>
      <c r="CU201" s="237"/>
      <c r="CV201" s="237"/>
      <c r="CW201" s="237"/>
      <c r="CX201" s="237"/>
      <c r="CY201" s="237"/>
      <c r="CZ201" s="237"/>
      <c r="DA201" s="237"/>
      <c r="DB201" s="237"/>
      <c r="DC201" s="237"/>
      <c r="DD201" s="237"/>
      <c r="DE201" s="237"/>
      <c r="DF201" s="237"/>
      <c r="DG201" s="237"/>
      <c r="DH201" s="237"/>
      <c r="DI201" s="237"/>
      <c r="DJ201" s="237"/>
      <c r="DK201" s="237"/>
      <c r="DL201" s="237"/>
      <c r="DM201" s="237"/>
      <c r="DN201" s="237"/>
      <c r="DO201" s="237"/>
      <c r="DP201" s="237"/>
      <c r="DQ201" s="237"/>
      <c r="DR201" s="237"/>
      <c r="DS201" s="237"/>
      <c r="DT201" s="237"/>
      <c r="DU201" s="237"/>
      <c r="DV201" s="237"/>
      <c r="DW201" s="237"/>
      <c r="DX201" s="237"/>
      <c r="DY201" s="237"/>
      <c r="DZ201" s="237"/>
      <c r="EA201" s="237"/>
      <c r="EB201" s="237"/>
      <c r="EC201" s="237"/>
      <c r="ED201" s="237"/>
      <c r="EE201" s="237"/>
      <c r="EF201" s="237"/>
      <c r="EG201" s="237"/>
      <c r="EH201" s="237"/>
      <c r="EI201" s="237"/>
      <c r="EJ201" s="237"/>
      <c r="EK201" s="237"/>
      <c r="EL201" s="237"/>
      <c r="EM201" s="237"/>
      <c r="EN201" s="237"/>
      <c r="EO201" s="237"/>
      <c r="EP201" s="237"/>
      <c r="EQ201" s="237"/>
      <c r="ER201" s="237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</row>
    <row r="202" customFormat="false" ht="15" hidden="false" customHeight="false" outlineLevel="2" collapsed="false">
      <c r="B202" s="240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237"/>
      <c r="AD202" s="237"/>
      <c r="AE202" s="237"/>
      <c r="AF202" s="237"/>
      <c r="AG202" s="237"/>
      <c r="AH202" s="237"/>
      <c r="AI202" s="237"/>
      <c r="AJ202" s="237"/>
      <c r="AK202" s="237"/>
      <c r="AL202" s="237"/>
      <c r="AM202" s="237"/>
      <c r="AN202" s="237"/>
      <c r="AO202" s="237"/>
      <c r="AP202" s="237"/>
      <c r="AQ202" s="237"/>
      <c r="AR202" s="237"/>
      <c r="AS202" s="237"/>
      <c r="AT202" s="237"/>
      <c r="AU202" s="237"/>
      <c r="AV202" s="237"/>
      <c r="AW202" s="237"/>
      <c r="AX202" s="237"/>
      <c r="AY202" s="237"/>
      <c r="AZ202" s="237"/>
      <c r="BA202" s="237"/>
      <c r="BB202" s="237"/>
      <c r="BC202" s="237"/>
      <c r="BD202" s="237"/>
      <c r="BE202" s="237"/>
      <c r="BF202" s="237"/>
      <c r="BG202" s="237"/>
      <c r="BH202" s="237"/>
      <c r="BI202" s="237"/>
      <c r="BJ202" s="237"/>
      <c r="BK202" s="237"/>
      <c r="BL202" s="237"/>
      <c r="BM202" s="237"/>
      <c r="BN202" s="237"/>
      <c r="BO202" s="237"/>
      <c r="BP202" s="237"/>
      <c r="BQ202" s="237"/>
      <c r="BR202" s="237"/>
      <c r="BS202" s="237"/>
      <c r="BT202" s="237"/>
      <c r="BU202" s="237"/>
      <c r="BV202" s="237"/>
      <c r="BW202" s="237"/>
      <c r="BX202" s="237"/>
      <c r="BY202" s="237"/>
      <c r="BZ202" s="237"/>
      <c r="CA202" s="237"/>
      <c r="CB202" s="237"/>
      <c r="CC202" s="237"/>
      <c r="CD202" s="237"/>
      <c r="CE202" s="237"/>
      <c r="CF202" s="237"/>
      <c r="CG202" s="237"/>
      <c r="CH202" s="237"/>
      <c r="CI202" s="237"/>
      <c r="CJ202" s="237"/>
      <c r="CK202" s="237"/>
      <c r="CL202" s="237"/>
      <c r="CM202" s="237"/>
      <c r="CN202" s="237"/>
      <c r="CO202" s="237"/>
      <c r="CP202" s="237"/>
      <c r="CQ202" s="237"/>
      <c r="CR202" s="237"/>
      <c r="CS202" s="237"/>
      <c r="CT202" s="237"/>
      <c r="CU202" s="237"/>
      <c r="CV202" s="237"/>
      <c r="CW202" s="237"/>
      <c r="CX202" s="237"/>
      <c r="CY202" s="237"/>
      <c r="CZ202" s="237"/>
      <c r="DA202" s="237"/>
      <c r="DB202" s="237"/>
      <c r="DC202" s="237"/>
      <c r="DD202" s="237"/>
      <c r="DE202" s="237"/>
      <c r="DF202" s="237"/>
      <c r="DG202" s="237"/>
      <c r="DH202" s="237"/>
      <c r="DI202" s="237"/>
      <c r="DJ202" s="237"/>
      <c r="DK202" s="237"/>
      <c r="DL202" s="237"/>
      <c r="DM202" s="237"/>
      <c r="DN202" s="237"/>
      <c r="DO202" s="237"/>
      <c r="DP202" s="237"/>
      <c r="DQ202" s="237"/>
      <c r="DR202" s="237"/>
      <c r="DS202" s="237"/>
      <c r="DT202" s="237"/>
      <c r="DU202" s="237"/>
      <c r="DV202" s="237"/>
      <c r="DW202" s="237"/>
      <c r="DX202" s="237"/>
      <c r="DY202" s="237"/>
      <c r="DZ202" s="237"/>
      <c r="EA202" s="237"/>
      <c r="EB202" s="237"/>
      <c r="EC202" s="237"/>
      <c r="ED202" s="237"/>
      <c r="EE202" s="237"/>
      <c r="EF202" s="237"/>
      <c r="EG202" s="237"/>
      <c r="EH202" s="237"/>
      <c r="EI202" s="237"/>
      <c r="EJ202" s="237"/>
      <c r="EK202" s="237"/>
      <c r="EL202" s="237"/>
      <c r="EM202" s="237"/>
      <c r="EN202" s="237"/>
      <c r="EO202" s="237"/>
      <c r="EP202" s="237"/>
      <c r="EQ202" s="237"/>
      <c r="ER202" s="237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</row>
    <row r="203" customFormat="false" ht="15" hidden="false" customHeight="false" outlineLevel="2" collapsed="false">
      <c r="B203" s="21" t="s">
        <v>893</v>
      </c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</row>
    <row r="204" customFormat="false" ht="15" hidden="false" customHeight="false" outlineLevel="2" collapsed="false">
      <c r="B204" s="9" t="s">
        <v>872</v>
      </c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234" t="n">
        <f aca="false">('⑫ Roll-out Plan'!G26-2025)*12+'⑫ Roll-out Plan'!F26</f>
        <v>39</v>
      </c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</row>
    <row r="205" customFormat="false" ht="15" hidden="false" customHeight="false" outlineLevel="2" collapsed="false">
      <c r="B205" s="9" t="s">
        <v>873</v>
      </c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235" t="n">
        <f aca="false">VLOOKUP("B",$B$14:$C$18,2,FALSE())</f>
        <v>185</v>
      </c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</row>
    <row r="206" customFormat="false" ht="15" hidden="false" customHeight="false" outlineLevel="2" collapsed="false">
      <c r="B206" s="9" t="s">
        <v>799</v>
      </c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63" t="n">
        <f aca="false">IF(AC$35&gt;=$AC$204,AC$35-$AC$204+1,0)</f>
        <v>0</v>
      </c>
      <c r="AD206" s="63" t="n">
        <f aca="false">IF(AD$35&gt;=$AC$204,AD$35-$AC$204+1,0)</f>
        <v>0</v>
      </c>
      <c r="AE206" s="63" t="n">
        <f aca="false">IF(AE$35&gt;=$AC$204,AE$35-$AC$204+1,0)</f>
        <v>0</v>
      </c>
      <c r="AF206" s="63" t="n">
        <f aca="false">IF(AF$35&gt;=$AC$204,AF$35-$AC$204+1,0)</f>
        <v>0</v>
      </c>
      <c r="AG206" s="63" t="n">
        <f aca="false">IF(AG$35&gt;=$AC$204,AG$35-$AC$204+1,0)</f>
        <v>0</v>
      </c>
      <c r="AH206" s="63" t="n">
        <f aca="false">IF(AH$35&gt;=$AC$204,AH$35-$AC$204+1,0)</f>
        <v>0</v>
      </c>
      <c r="AI206" s="63" t="n">
        <f aca="false">IF(AI$35&gt;=$AC$204,AI$35-$AC$204+1,0)</f>
        <v>0</v>
      </c>
      <c r="AJ206" s="63" t="n">
        <f aca="false">IF(AJ$35&gt;=$AC$204,AJ$35-$AC$204+1,0)</f>
        <v>0</v>
      </c>
      <c r="AK206" s="63" t="n">
        <f aca="false">IF(AK$35&gt;=$AC$204,AK$35-$AC$204+1,0)</f>
        <v>0</v>
      </c>
      <c r="AL206" s="63" t="n">
        <f aca="false">IF(AL$35&gt;=$AC$204,AL$35-$AC$204+1,0)</f>
        <v>0</v>
      </c>
      <c r="AM206" s="63" t="n">
        <f aca="false">IF(AM$35&gt;=$AC$204,AM$35-$AC$204+1,0)</f>
        <v>0</v>
      </c>
      <c r="AN206" s="63" t="n">
        <f aca="false">IF(AN$35&gt;=$AC$204,AN$35-$AC$204+1,0)</f>
        <v>0</v>
      </c>
      <c r="AO206" s="63" t="n">
        <f aca="false">IF(AO$35&gt;=$AC$204,AO$35-$AC$204+1,0)</f>
        <v>0</v>
      </c>
      <c r="AP206" s="63" t="n">
        <f aca="false">IF(AP$35&gt;=$AC$204,AP$35-$AC$204+1,0)</f>
        <v>0</v>
      </c>
      <c r="AQ206" s="63" t="n">
        <f aca="false">IF(AQ$35&gt;=$AC$204,AQ$35-$AC$204+1,0)</f>
        <v>0</v>
      </c>
      <c r="AR206" s="63" t="n">
        <f aca="false">IF(AR$35&gt;=$AC$204,AR$35-$AC$204+1,0)</f>
        <v>0</v>
      </c>
      <c r="AS206" s="63" t="n">
        <f aca="false">IF(AS$35&gt;=$AC$204,AS$35-$AC$204+1,0)</f>
        <v>0</v>
      </c>
      <c r="AT206" s="63" t="n">
        <f aca="false">IF(AT$35&gt;=$AC$204,AT$35-$AC$204+1,0)</f>
        <v>0</v>
      </c>
      <c r="AU206" s="63" t="n">
        <f aca="false">IF(AU$35&gt;=$AC$204,AU$35-$AC$204+1,0)</f>
        <v>0</v>
      </c>
      <c r="AV206" s="63" t="n">
        <f aca="false">IF(AV$35&gt;=$AC$204,AV$35-$AC$204+1,0)</f>
        <v>0</v>
      </c>
      <c r="AW206" s="63" t="n">
        <f aca="false">IF(AW$35&gt;=$AC$204,AW$35-$AC$204+1,0)</f>
        <v>0</v>
      </c>
      <c r="AX206" s="63" t="n">
        <f aca="false">IF(AX$35&gt;=$AC$204,AX$35-$AC$204+1,0)</f>
        <v>0</v>
      </c>
      <c r="AY206" s="63" t="n">
        <f aca="false">IF(AY$35&gt;=$AC$204,AY$35-$AC$204+1,0)</f>
        <v>0</v>
      </c>
      <c r="AZ206" s="63" t="n">
        <f aca="false">IF(AZ$35&gt;=$AC$204,AZ$35-$AC$204+1,0)</f>
        <v>0</v>
      </c>
      <c r="BA206" s="63" t="n">
        <f aca="false">IF(BA$35&gt;=$AC$204,BA$35-$AC$204+1,0)</f>
        <v>0</v>
      </c>
      <c r="BB206" s="63" t="n">
        <f aca="false">IF(BB$35&gt;=$AC$204,BB$35-$AC$204+1,0)</f>
        <v>0</v>
      </c>
      <c r="BC206" s="63" t="n">
        <f aca="false">IF(BC$35&gt;=$AC$204,BC$35-$AC$204+1,0)</f>
        <v>0</v>
      </c>
      <c r="BD206" s="63" t="n">
        <f aca="false">IF(BD$35&gt;=$AC$204,BD$35-$AC$204+1,0)</f>
        <v>0</v>
      </c>
      <c r="BE206" s="63" t="n">
        <f aca="false">IF(BE$35&gt;=$AC$204,BE$35-$AC$204+1,0)</f>
        <v>0</v>
      </c>
      <c r="BF206" s="63" t="n">
        <f aca="false">IF(BF$35&gt;=$AC$204,BF$35-$AC$204+1,0)</f>
        <v>0</v>
      </c>
      <c r="BG206" s="63" t="n">
        <f aca="false">IF(BG$35&gt;=$AC$204,BG$35-$AC$204+1,0)</f>
        <v>0</v>
      </c>
      <c r="BH206" s="63" t="n">
        <f aca="false">IF(BH$35&gt;=$AC$204,BH$35-$AC$204+1,0)</f>
        <v>0</v>
      </c>
      <c r="BI206" s="63" t="n">
        <f aca="false">IF(BI$35&gt;=$AC$204,BI$35-$AC$204+1,0)</f>
        <v>0</v>
      </c>
      <c r="BJ206" s="63" t="n">
        <f aca="false">IF(BJ$35&gt;=$AC$204,BJ$35-$AC$204+1,0)</f>
        <v>0</v>
      </c>
      <c r="BK206" s="63" t="n">
        <f aca="false">IF(BK$35&gt;=$AC$204,BK$35-$AC$204+1,0)</f>
        <v>0</v>
      </c>
      <c r="BL206" s="63" t="n">
        <f aca="false">IF(BL$35&gt;=$AC$204,BL$35-$AC$204+1,0)</f>
        <v>0</v>
      </c>
      <c r="BM206" s="63" t="n">
        <f aca="false">IF(BM$35&gt;=$AC$204,BM$35-$AC$204+1,0)</f>
        <v>0</v>
      </c>
      <c r="BN206" s="63" t="n">
        <f aca="false">IF(BN$35&gt;=$AC$204,BN$35-$AC$204+1,0)</f>
        <v>0</v>
      </c>
      <c r="BO206" s="63" t="n">
        <f aca="false">IF(BO$35&gt;=$AC$204,BO$35-$AC$204+1,0)</f>
        <v>1</v>
      </c>
      <c r="BP206" s="63" t="n">
        <f aca="false">IF(BP$35&gt;=$AC$204,BP$35-$AC$204+1,0)</f>
        <v>2</v>
      </c>
      <c r="BQ206" s="63" t="n">
        <f aca="false">IF(BQ$35&gt;=$AC$204,BQ$35-$AC$204+1,0)</f>
        <v>3</v>
      </c>
      <c r="BR206" s="63" t="n">
        <f aca="false">IF(BR$35&gt;=$AC$204,BR$35-$AC$204+1,0)</f>
        <v>4</v>
      </c>
      <c r="BS206" s="63" t="n">
        <f aca="false">IF(BS$35&gt;=$AC$204,BS$35-$AC$204+1,0)</f>
        <v>5</v>
      </c>
      <c r="BT206" s="63" t="n">
        <f aca="false">IF(BT$35&gt;=$AC$204,BT$35-$AC$204+1,0)</f>
        <v>6</v>
      </c>
      <c r="BU206" s="63" t="n">
        <f aca="false">IF(BU$35&gt;=$AC$204,BU$35-$AC$204+1,0)</f>
        <v>7</v>
      </c>
      <c r="BV206" s="63" t="n">
        <f aca="false">IF(BV$35&gt;=$AC$204,BV$35-$AC$204+1,0)</f>
        <v>8</v>
      </c>
      <c r="BW206" s="63" t="n">
        <f aca="false">IF(BW$35&gt;=$AC$204,BW$35-$AC$204+1,0)</f>
        <v>9</v>
      </c>
      <c r="BX206" s="63" t="n">
        <f aca="false">IF(BX$35&gt;=$AC$204,BX$35-$AC$204+1,0)</f>
        <v>10</v>
      </c>
      <c r="BY206" s="63" t="n">
        <f aca="false">IF(BY$35&gt;=$AC$204,BY$35-$AC$204+1,0)</f>
        <v>11</v>
      </c>
      <c r="BZ206" s="63" t="n">
        <f aca="false">IF(BZ$35&gt;=$AC$204,BZ$35-$AC$204+1,0)</f>
        <v>12</v>
      </c>
      <c r="CA206" s="63" t="n">
        <f aca="false">IF(CA$35&gt;=$AC$204,CA$35-$AC$204+1,0)</f>
        <v>13</v>
      </c>
      <c r="CB206" s="63" t="n">
        <f aca="false">IF(CB$35&gt;=$AC$204,CB$35-$AC$204+1,0)</f>
        <v>14</v>
      </c>
      <c r="CC206" s="63" t="n">
        <f aca="false">IF(CC$35&gt;=$AC$204,CC$35-$AC$204+1,0)</f>
        <v>15</v>
      </c>
      <c r="CD206" s="63" t="n">
        <f aca="false">IF(CD$35&gt;=$AC$204,CD$35-$AC$204+1,0)</f>
        <v>16</v>
      </c>
      <c r="CE206" s="63" t="n">
        <f aca="false">IF(CE$35&gt;=$AC$204,CE$35-$AC$204+1,0)</f>
        <v>17</v>
      </c>
      <c r="CF206" s="63" t="n">
        <f aca="false">IF(CF$35&gt;=$AC$204,CF$35-$AC$204+1,0)</f>
        <v>18</v>
      </c>
      <c r="CG206" s="63" t="n">
        <f aca="false">IF(CG$35&gt;=$AC$204,CG$35-$AC$204+1,0)</f>
        <v>19</v>
      </c>
      <c r="CH206" s="63" t="n">
        <f aca="false">IF(CH$35&gt;=$AC$204,CH$35-$AC$204+1,0)</f>
        <v>20</v>
      </c>
      <c r="CI206" s="63" t="n">
        <f aca="false">IF(CI$35&gt;=$AC$204,CI$35-$AC$204+1,0)</f>
        <v>21</v>
      </c>
      <c r="CJ206" s="63" t="n">
        <f aca="false">IF(CJ$35&gt;=$AC$204,CJ$35-$AC$204+1,0)</f>
        <v>22</v>
      </c>
      <c r="CK206" s="63" t="n">
        <f aca="false">IF(CK$35&gt;=$AC$204,CK$35-$AC$204+1,0)</f>
        <v>23</v>
      </c>
      <c r="CL206" s="63" t="n">
        <f aca="false">IF(CL$35&gt;=$AC$204,CL$35-$AC$204+1,0)</f>
        <v>24</v>
      </c>
      <c r="CM206" s="63" t="n">
        <f aca="false">IF(CM$35&gt;=$AC$204,CM$35-$AC$204+1,0)</f>
        <v>25</v>
      </c>
      <c r="CN206" s="63" t="n">
        <f aca="false">IF(CN$35&gt;=$AC$204,CN$35-$AC$204+1,0)</f>
        <v>26</v>
      </c>
      <c r="CO206" s="63" t="n">
        <f aca="false">IF(CO$35&gt;=$AC$204,CO$35-$AC$204+1,0)</f>
        <v>27</v>
      </c>
      <c r="CP206" s="63" t="n">
        <f aca="false">IF(CP$35&gt;=$AC$204,CP$35-$AC$204+1,0)</f>
        <v>28</v>
      </c>
      <c r="CQ206" s="63" t="n">
        <f aca="false">IF(CQ$35&gt;=$AC$204,CQ$35-$AC$204+1,0)</f>
        <v>29</v>
      </c>
      <c r="CR206" s="63" t="n">
        <f aca="false">IF(CR$35&gt;=$AC$204,CR$35-$AC$204+1,0)</f>
        <v>30</v>
      </c>
      <c r="CS206" s="63" t="n">
        <f aca="false">IF(CS$35&gt;=$AC$204,CS$35-$AC$204+1,0)</f>
        <v>31</v>
      </c>
      <c r="CT206" s="63" t="n">
        <f aca="false">IF(CT$35&gt;=$AC$204,CT$35-$AC$204+1,0)</f>
        <v>32</v>
      </c>
      <c r="CU206" s="63" t="n">
        <f aca="false">IF(CU$35&gt;=$AC$204,CU$35-$AC$204+1,0)</f>
        <v>33</v>
      </c>
      <c r="CV206" s="63" t="n">
        <f aca="false">IF(CV$35&gt;=$AC$204,CV$35-$AC$204+1,0)</f>
        <v>34</v>
      </c>
      <c r="CW206" s="63" t="n">
        <f aca="false">IF(CW$35&gt;=$AC$204,CW$35-$AC$204+1,0)</f>
        <v>35</v>
      </c>
      <c r="CX206" s="63" t="n">
        <f aca="false">IF(CX$35&gt;=$AC$204,CX$35-$AC$204+1,0)</f>
        <v>36</v>
      </c>
      <c r="CY206" s="63" t="n">
        <f aca="false">IF(CY$35&gt;=$AC$204,CY$35-$AC$204+1,0)</f>
        <v>37</v>
      </c>
      <c r="CZ206" s="63" t="n">
        <f aca="false">IF(CZ$35&gt;=$AC$204,CZ$35-$AC$204+1,0)</f>
        <v>38</v>
      </c>
      <c r="DA206" s="63" t="n">
        <f aca="false">IF(DA$35&gt;=$AC$204,DA$35-$AC$204+1,0)</f>
        <v>39</v>
      </c>
      <c r="DB206" s="63" t="n">
        <f aca="false">IF(DB$35&gt;=$AC$204,DB$35-$AC$204+1,0)</f>
        <v>40</v>
      </c>
      <c r="DC206" s="63" t="n">
        <f aca="false">IF(DC$35&gt;=$AC$204,DC$35-$AC$204+1,0)</f>
        <v>41</v>
      </c>
      <c r="DD206" s="63" t="n">
        <f aca="false">IF(DD$35&gt;=$AC$204,DD$35-$AC$204+1,0)</f>
        <v>42</v>
      </c>
      <c r="DE206" s="63" t="n">
        <f aca="false">IF(DE$35&gt;=$AC$204,DE$35-$AC$204+1,0)</f>
        <v>43</v>
      </c>
      <c r="DF206" s="63" t="n">
        <f aca="false">IF(DF$35&gt;=$AC$204,DF$35-$AC$204+1,0)</f>
        <v>44</v>
      </c>
      <c r="DG206" s="63" t="n">
        <f aca="false">IF(DG$35&gt;=$AC$204,DG$35-$AC$204+1,0)</f>
        <v>45</v>
      </c>
      <c r="DH206" s="63" t="n">
        <f aca="false">IF(DH$35&gt;=$AC$204,DH$35-$AC$204+1,0)</f>
        <v>46</v>
      </c>
      <c r="DI206" s="63" t="n">
        <f aca="false">IF(DI$35&gt;=$AC$204,DI$35-$AC$204+1,0)</f>
        <v>47</v>
      </c>
      <c r="DJ206" s="63" t="n">
        <f aca="false">IF(DJ$35&gt;=$AC$204,DJ$35-$AC$204+1,0)</f>
        <v>48</v>
      </c>
      <c r="DK206" s="63" t="n">
        <f aca="false">IF(DK$35&gt;=$AC$204,DK$35-$AC$204+1,0)</f>
        <v>49</v>
      </c>
      <c r="DL206" s="63" t="n">
        <f aca="false">IF(DL$35&gt;=$AC$204,DL$35-$AC$204+1,0)</f>
        <v>50</v>
      </c>
      <c r="DM206" s="63" t="n">
        <f aca="false">IF(DM$35&gt;=$AC$204,DM$35-$AC$204+1,0)</f>
        <v>51</v>
      </c>
      <c r="DN206" s="63" t="n">
        <f aca="false">IF(DN$35&gt;=$AC$204,DN$35-$AC$204+1,0)</f>
        <v>52</v>
      </c>
      <c r="DO206" s="63" t="n">
        <f aca="false">IF(DO$35&gt;=$AC$204,DO$35-$AC$204+1,0)</f>
        <v>53</v>
      </c>
      <c r="DP206" s="63" t="n">
        <f aca="false">IF(DP$35&gt;=$AC$204,DP$35-$AC$204+1,0)</f>
        <v>54</v>
      </c>
      <c r="DQ206" s="63" t="n">
        <f aca="false">IF(DQ$35&gt;=$AC$204,DQ$35-$AC$204+1,0)</f>
        <v>55</v>
      </c>
      <c r="DR206" s="63" t="n">
        <f aca="false">IF(DR$35&gt;=$AC$204,DR$35-$AC$204+1,0)</f>
        <v>56</v>
      </c>
      <c r="DS206" s="63" t="n">
        <f aca="false">IF(DS$35&gt;=$AC$204,DS$35-$AC$204+1,0)</f>
        <v>57</v>
      </c>
      <c r="DT206" s="63" t="n">
        <f aca="false">IF(DT$35&gt;=$AC$204,DT$35-$AC$204+1,0)</f>
        <v>58</v>
      </c>
      <c r="DU206" s="63" t="n">
        <f aca="false">IF(DU$35&gt;=$AC$204,DU$35-$AC$204+1,0)</f>
        <v>59</v>
      </c>
      <c r="DV206" s="63" t="n">
        <f aca="false">IF(DV$35&gt;=$AC$204,DV$35-$AC$204+1,0)</f>
        <v>60</v>
      </c>
      <c r="DW206" s="63" t="n">
        <f aca="false">IF(DW$35&gt;=$AC$204,DW$35-$AC$204+1,0)</f>
        <v>61</v>
      </c>
      <c r="DX206" s="63" t="n">
        <f aca="false">IF(DX$35&gt;=$AC$204,DX$35-$AC$204+1,0)</f>
        <v>62</v>
      </c>
      <c r="DY206" s="63" t="n">
        <f aca="false">IF(DY$35&gt;=$AC$204,DY$35-$AC$204+1,0)</f>
        <v>63</v>
      </c>
      <c r="DZ206" s="63" t="n">
        <f aca="false">IF(DZ$35&gt;=$AC$204,DZ$35-$AC$204+1,0)</f>
        <v>64</v>
      </c>
      <c r="EA206" s="63" t="n">
        <f aca="false">IF(EA$35&gt;=$AC$204,EA$35-$AC$204+1,0)</f>
        <v>65</v>
      </c>
      <c r="EB206" s="63" t="n">
        <f aca="false">IF(EB$35&gt;=$AC$204,EB$35-$AC$204+1,0)</f>
        <v>66</v>
      </c>
      <c r="EC206" s="63" t="n">
        <f aca="false">IF(EC$35&gt;=$AC$204,EC$35-$AC$204+1,0)</f>
        <v>67</v>
      </c>
      <c r="ED206" s="63" t="n">
        <f aca="false">IF(ED$35&gt;=$AC$204,ED$35-$AC$204+1,0)</f>
        <v>68</v>
      </c>
      <c r="EE206" s="63" t="n">
        <f aca="false">IF(EE$35&gt;=$AC$204,EE$35-$AC$204+1,0)</f>
        <v>69</v>
      </c>
      <c r="EF206" s="63" t="n">
        <f aca="false">IF(EF$35&gt;=$AC$204,EF$35-$AC$204+1,0)</f>
        <v>70</v>
      </c>
      <c r="EG206" s="63" t="n">
        <f aca="false">IF(EG$35&gt;=$AC$204,EG$35-$AC$204+1,0)</f>
        <v>71</v>
      </c>
      <c r="EH206" s="63" t="n">
        <f aca="false">IF(EH$35&gt;=$AC$204,EH$35-$AC$204+1,0)</f>
        <v>72</v>
      </c>
      <c r="EI206" s="63" t="n">
        <f aca="false">IF(EI$35&gt;=$AC$204,EI$35-$AC$204+1,0)</f>
        <v>73</v>
      </c>
      <c r="EJ206" s="63" t="n">
        <f aca="false">IF(EJ$35&gt;=$AC$204,EJ$35-$AC$204+1,0)</f>
        <v>74</v>
      </c>
      <c r="EK206" s="63" t="n">
        <f aca="false">IF(EK$35&gt;=$AC$204,EK$35-$AC$204+1,0)</f>
        <v>75</v>
      </c>
      <c r="EL206" s="63" t="n">
        <f aca="false">IF(EL$35&gt;=$AC$204,EL$35-$AC$204+1,0)</f>
        <v>76</v>
      </c>
      <c r="EM206" s="63" t="n">
        <f aca="false">IF(EM$35&gt;=$AC$204,EM$35-$AC$204+1,0)</f>
        <v>77</v>
      </c>
      <c r="EN206" s="63" t="n">
        <f aca="false">IF(EN$35&gt;=$AC$204,EN$35-$AC$204+1,0)</f>
        <v>78</v>
      </c>
      <c r="EO206" s="63" t="n">
        <f aca="false">IF(EO$35&gt;=$AC$204,EO$35-$AC$204+1,0)</f>
        <v>79</v>
      </c>
      <c r="EP206" s="63" t="n">
        <f aca="false">IF(EP$35&gt;=$AC$204,EP$35-$AC$204+1,0)</f>
        <v>80</v>
      </c>
      <c r="EQ206" s="63" t="n">
        <f aca="false">IF(EQ$35&gt;=$AC$204,EQ$35-$AC$204+1,0)</f>
        <v>81</v>
      </c>
      <c r="ER206" s="63" t="n">
        <f aca="false">IF(ER$35&gt;=$AC$204,ER$35-$AC$204+1,0)</f>
        <v>82</v>
      </c>
      <c r="ES206" s="9" t="n">
        <f aca="false">IF(ES$35&gt;=$AC$204,ES$35-$AC$204+1,0)</f>
        <v>83</v>
      </c>
      <c r="ET206" s="9" t="n">
        <f aca="false">IF(ET$35&gt;=$AC$204,ET$35-$AC$204+1,0)</f>
        <v>84</v>
      </c>
      <c r="EU206" s="9" t="n">
        <f aca="false">IF(EU$35&gt;=$AC$204,EU$35-$AC$204+1,0)</f>
        <v>85</v>
      </c>
      <c r="EV206" s="9" t="n">
        <f aca="false">IF(EV$35&gt;=$AC$204,EV$35-$AC$204+1,0)</f>
        <v>86</v>
      </c>
      <c r="EW206" s="9" t="n">
        <f aca="false">IF(EW$35&gt;=$AC$204,EW$35-$AC$204+1,0)</f>
        <v>87</v>
      </c>
      <c r="EX206" s="9" t="n">
        <f aca="false">IF(EX$35&gt;=$AC$204,EX$35-$AC$204+1,0)</f>
        <v>88</v>
      </c>
      <c r="EY206" s="9" t="n">
        <f aca="false">IF(EY$35&gt;=$AC$204,EY$35-$AC$204+1,0)</f>
        <v>89</v>
      </c>
      <c r="EZ206" s="9" t="n">
        <f aca="false">IF(EZ$35&gt;=$AC$204,EZ$35-$AC$204+1,0)</f>
        <v>90</v>
      </c>
      <c r="FA206" s="9" t="n">
        <f aca="false">IF(FA$35&gt;=$AC$204,FA$35-$AC$204+1,0)</f>
        <v>91</v>
      </c>
      <c r="FB206" s="9" t="n">
        <f aca="false">IF(FB$35&gt;=$AC$204,FB$35-$AC$204+1,0)</f>
        <v>92</v>
      </c>
      <c r="FC206" s="9" t="n">
        <f aca="false">IF(FC$35&gt;=$AC$204,FC$35-$AC$204+1,0)</f>
        <v>93</v>
      </c>
      <c r="FD206" s="9" t="n">
        <f aca="false">IF(FD$35&gt;=$AC$204,FD$35-$AC$204+1,0)</f>
        <v>94</v>
      </c>
      <c r="FE206" s="9" t="n">
        <f aca="false">IF(FE$35&gt;=$AC$204,FE$35-$AC$204+1,0)</f>
        <v>95</v>
      </c>
      <c r="FF206" s="9" t="n">
        <f aca="false">IF(FF$35&gt;=$AC$204,FF$35-$AC$204+1,0)</f>
        <v>96</v>
      </c>
      <c r="FG206" s="9" t="n">
        <f aca="false">IF(FG$35&gt;=$AC$204,FG$35-$AC$204+1,0)</f>
        <v>97</v>
      </c>
      <c r="FH206" s="9" t="n">
        <f aca="false">IF(FH$35&gt;=$AC$204,FH$35-$AC$204+1,0)</f>
        <v>98</v>
      </c>
      <c r="FI206" s="9" t="n">
        <f aca="false">IF(FI$35&gt;=$AC$204,FI$35-$AC$204+1,0)</f>
        <v>99</v>
      </c>
      <c r="FJ206" s="9" t="n">
        <f aca="false">IF(FJ$35&gt;=$AC$204,FJ$35-$AC$204+1,0)</f>
        <v>100</v>
      </c>
      <c r="FK206" s="9" t="n">
        <f aca="false">IF(FK$35&gt;=$AC$204,FK$35-$AC$204+1,0)</f>
        <v>101</v>
      </c>
      <c r="FL206" s="9" t="n">
        <f aca="false">IF(FL$35&gt;=$AC$204,FL$35-$AC$204+1,0)</f>
        <v>102</v>
      </c>
      <c r="FM206" s="9" t="n">
        <f aca="false">IF(FM$35&gt;=$AC$204,FM$35-$AC$204+1,0)</f>
        <v>103</v>
      </c>
      <c r="FN206" s="9" t="n">
        <f aca="false">IF(FN$35&gt;=$AC$204,FN$35-$AC$204+1,0)</f>
        <v>104</v>
      </c>
      <c r="FO206" s="9" t="n">
        <f aca="false">IF(FO$35&gt;=$AC$204,FO$35-$AC$204+1,0)</f>
        <v>105</v>
      </c>
      <c r="FP206" s="9" t="n">
        <f aca="false">IF(FP$35&gt;=$AC$204,FP$35-$AC$204+1,0)</f>
        <v>106</v>
      </c>
    </row>
    <row r="207" customFormat="false" ht="15" hidden="false" customHeight="false" outlineLevel="2" collapsed="false">
      <c r="B207" s="9" t="s">
        <v>874</v>
      </c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236" t="n">
        <f aca="false" t="array" ref="AC207:AC207">IF(AC206=0,0,IF(AC206/'🎚️ Escenario'!$C$11&gt;=36,$AL$23,INDEX($C$23:$AL$23,MAX(1,ROUNDUP(AC206/'🎚️ Escenario'!$C$11,0)))))</f>
        <v>0</v>
      </c>
      <c r="AD207" s="236" t="n">
        <f aca="false" t="array" ref="AD207:AD207">IF(AD206=0,0,IF(AD206/'🎚️ Escenario'!$C$11&gt;=36,$AL$23,INDEX($C$23:$AL$23,MAX(1,ROUNDUP(AD206/'🎚️ Escenario'!$C$11,0)))))</f>
        <v>0</v>
      </c>
      <c r="AE207" s="236" t="n">
        <f aca="false" t="array" ref="AE207:AE207">IF(AE206=0,0,IF(AE206/'🎚️ Escenario'!$C$11&gt;=36,$AL$23,INDEX($C$23:$AL$23,MAX(1,ROUNDUP(AE206/'🎚️ Escenario'!$C$11,0)))))</f>
        <v>0</v>
      </c>
      <c r="AF207" s="236" t="n">
        <f aca="false" t="array" ref="AF207:AF207">IF(AF206=0,0,IF(AF206/'🎚️ Escenario'!$C$11&gt;=36,$AL$23,INDEX($C$23:$AL$23,MAX(1,ROUNDUP(AF206/'🎚️ Escenario'!$C$11,0)))))</f>
        <v>0</v>
      </c>
      <c r="AG207" s="236" t="n">
        <f aca="false" t="array" ref="AG207:AG207">IF(AG206=0,0,IF(AG206/'🎚️ Escenario'!$C$11&gt;=36,$AL$23,INDEX($C$23:$AL$23,MAX(1,ROUNDUP(AG206/'🎚️ Escenario'!$C$11,0)))))</f>
        <v>0</v>
      </c>
      <c r="AH207" s="236" t="n">
        <f aca="false" t="array" ref="AH207:AH207">IF(AH206=0,0,IF(AH206/'🎚️ Escenario'!$C$11&gt;=36,$AL$23,INDEX($C$23:$AL$23,MAX(1,ROUNDUP(AH206/'🎚️ Escenario'!$C$11,0)))))</f>
        <v>0</v>
      </c>
      <c r="AI207" s="236" t="n">
        <f aca="false" t="array" ref="AI207:AI207">IF(AI206=0,0,IF(AI206/'🎚️ Escenario'!$C$11&gt;=36,$AL$23,INDEX($C$23:$AL$23,MAX(1,ROUNDUP(AI206/'🎚️ Escenario'!$C$11,0)))))</f>
        <v>0</v>
      </c>
      <c r="AJ207" s="236" t="n">
        <f aca="false" t="array" ref="AJ207:AJ207">IF(AJ206=0,0,IF(AJ206/'🎚️ Escenario'!$C$11&gt;=36,$AL$23,INDEX($C$23:$AL$23,MAX(1,ROUNDUP(AJ206/'🎚️ Escenario'!$C$11,0)))))</f>
        <v>0</v>
      </c>
      <c r="AK207" s="236" t="n">
        <f aca="false" t="array" ref="AK207:AK207">IF(AK206=0,0,IF(AK206/'🎚️ Escenario'!$C$11&gt;=36,$AL$23,INDEX($C$23:$AL$23,MAX(1,ROUNDUP(AK206/'🎚️ Escenario'!$C$11,0)))))</f>
        <v>0</v>
      </c>
      <c r="AL207" s="236" t="n">
        <f aca="false" t="array" ref="AL207:AL207">IF(AL206=0,0,IF(AL206/'🎚️ Escenario'!$C$11&gt;=36,$AL$23,INDEX($C$23:$AL$23,MAX(1,ROUNDUP(AL206/'🎚️ Escenario'!$C$11,0)))))</f>
        <v>0</v>
      </c>
      <c r="AM207" s="236" t="n">
        <f aca="false" t="array" ref="AM207:AM207">IF(AM206=0,0,IF(AM206/'🎚️ Escenario'!$C$11&gt;=36,$AL$23,INDEX($C$23:$AL$23,MAX(1,ROUNDUP(AM206/'🎚️ Escenario'!$C$11,0)))))</f>
        <v>0</v>
      </c>
      <c r="AN207" s="236" t="n">
        <f aca="false" t="array" ref="AN207:AN207">IF(AN206=0,0,IF(AN206/'🎚️ Escenario'!$C$11&gt;=36,$AL$23,INDEX($C$23:$AL$23,MAX(1,ROUNDUP(AN206/'🎚️ Escenario'!$C$11,0)))))</f>
        <v>0</v>
      </c>
      <c r="AO207" s="236" t="n">
        <f aca="false" t="array" ref="AO207:AO207">IF(AO206=0,0,IF(AO206/'🎚️ Escenario'!$C$11&gt;=36,$AL$23,INDEX($C$23:$AL$23,MAX(1,ROUNDUP(AO206/'🎚️ Escenario'!$C$11,0)))))</f>
        <v>0</v>
      </c>
      <c r="AP207" s="236" t="n">
        <f aca="false" t="array" ref="AP207:AP207">IF(AP206=0,0,IF(AP206/'🎚️ Escenario'!$C$11&gt;=36,$AL$23,INDEX($C$23:$AL$23,MAX(1,ROUNDUP(AP206/'🎚️ Escenario'!$C$11,0)))))</f>
        <v>0</v>
      </c>
      <c r="AQ207" s="236" t="n">
        <f aca="false" t="array" ref="AQ207:AQ207">IF(AQ206=0,0,IF(AQ206/'🎚️ Escenario'!$C$11&gt;=36,$AL$23,INDEX($C$23:$AL$23,MAX(1,ROUNDUP(AQ206/'🎚️ Escenario'!$C$11,0)))))</f>
        <v>0</v>
      </c>
      <c r="AR207" s="236" t="n">
        <f aca="false" t="array" ref="AR207:AR207">IF(AR206=0,0,IF(AR206/'🎚️ Escenario'!$C$11&gt;=36,$AL$23,INDEX($C$23:$AL$23,MAX(1,ROUNDUP(AR206/'🎚️ Escenario'!$C$11,0)))))</f>
        <v>0</v>
      </c>
      <c r="AS207" s="236" t="n">
        <f aca="false" t="array" ref="AS207:AS207">IF(AS206=0,0,IF(AS206/'🎚️ Escenario'!$C$11&gt;=36,$AL$23,INDEX($C$23:$AL$23,MAX(1,ROUNDUP(AS206/'🎚️ Escenario'!$C$11,0)))))</f>
        <v>0</v>
      </c>
      <c r="AT207" s="236" t="n">
        <f aca="false" t="array" ref="AT207:AT207">IF(AT206=0,0,IF(AT206/'🎚️ Escenario'!$C$11&gt;=36,$AL$23,INDEX($C$23:$AL$23,MAX(1,ROUNDUP(AT206/'🎚️ Escenario'!$C$11,0)))))</f>
        <v>0</v>
      </c>
      <c r="AU207" s="236" t="n">
        <f aca="false" t="array" ref="AU207:AU207">IF(AU206=0,0,IF(AU206/'🎚️ Escenario'!$C$11&gt;=36,$AL$23,INDEX($C$23:$AL$23,MAX(1,ROUNDUP(AU206/'🎚️ Escenario'!$C$11,0)))))</f>
        <v>0</v>
      </c>
      <c r="AV207" s="236" t="n">
        <f aca="false" t="array" ref="AV207:AV207">IF(AV206=0,0,IF(AV206/'🎚️ Escenario'!$C$11&gt;=36,$AL$23,INDEX($C$23:$AL$23,MAX(1,ROUNDUP(AV206/'🎚️ Escenario'!$C$11,0)))))</f>
        <v>0</v>
      </c>
      <c r="AW207" s="236" t="n">
        <f aca="false" t="array" ref="AW207:AW207">IF(AW206=0,0,IF(AW206/'🎚️ Escenario'!$C$11&gt;=36,$AL$23,INDEX($C$23:$AL$23,MAX(1,ROUNDUP(AW206/'🎚️ Escenario'!$C$11,0)))))</f>
        <v>0</v>
      </c>
      <c r="AX207" s="236" t="n">
        <f aca="false" t="array" ref="AX207:AX207">IF(AX206=0,0,IF(AX206/'🎚️ Escenario'!$C$11&gt;=36,$AL$23,INDEX($C$23:$AL$23,MAX(1,ROUNDUP(AX206/'🎚️ Escenario'!$C$11,0)))))</f>
        <v>0</v>
      </c>
      <c r="AY207" s="236" t="n">
        <f aca="false" t="array" ref="AY207:AY207">IF(AY206=0,0,IF(AY206/'🎚️ Escenario'!$C$11&gt;=36,$AL$23,INDEX($C$23:$AL$23,MAX(1,ROUNDUP(AY206/'🎚️ Escenario'!$C$11,0)))))</f>
        <v>0</v>
      </c>
      <c r="AZ207" s="236" t="n">
        <f aca="false" t="array" ref="AZ207:AZ207">IF(AZ206=0,0,IF(AZ206/'🎚️ Escenario'!$C$11&gt;=36,$AL$23,INDEX($C$23:$AL$23,MAX(1,ROUNDUP(AZ206/'🎚️ Escenario'!$C$11,0)))))</f>
        <v>0</v>
      </c>
      <c r="BA207" s="236" t="n">
        <f aca="false" t="array" ref="BA207:BA207">IF(BA206=0,0,IF(BA206/'🎚️ Escenario'!$C$11&gt;=36,$AL$23,INDEX($C$23:$AL$23,MAX(1,ROUNDUP(BA206/'🎚️ Escenario'!$C$11,0)))))</f>
        <v>0</v>
      </c>
      <c r="BB207" s="236" t="n">
        <f aca="false" t="array" ref="BB207:BB207">IF(BB206=0,0,IF(BB206/'🎚️ Escenario'!$C$11&gt;=36,$AL$23,INDEX($C$23:$AL$23,MAX(1,ROUNDUP(BB206/'🎚️ Escenario'!$C$11,0)))))</f>
        <v>0</v>
      </c>
      <c r="BC207" s="236" t="n">
        <f aca="false" t="array" ref="BC207:BC207">IF(BC206=0,0,IF(BC206/'🎚️ Escenario'!$C$11&gt;=36,$AL$23,INDEX($C$23:$AL$23,MAX(1,ROUNDUP(BC206/'🎚️ Escenario'!$C$11,0)))))</f>
        <v>0</v>
      </c>
      <c r="BD207" s="236" t="n">
        <f aca="false" t="array" ref="BD207:BD207">IF(BD206=0,0,IF(BD206/'🎚️ Escenario'!$C$11&gt;=36,$AL$23,INDEX($C$23:$AL$23,MAX(1,ROUNDUP(BD206/'🎚️ Escenario'!$C$11,0)))))</f>
        <v>0</v>
      </c>
      <c r="BE207" s="236" t="n">
        <f aca="false" t="array" ref="BE207:BE207">IF(BE206=0,0,IF(BE206/'🎚️ Escenario'!$C$11&gt;=36,$AL$23,INDEX($C$23:$AL$23,MAX(1,ROUNDUP(BE206/'🎚️ Escenario'!$C$11,0)))))</f>
        <v>0</v>
      </c>
      <c r="BF207" s="236" t="n">
        <f aca="false" t="array" ref="BF207:BF207">IF(BF206=0,0,IF(BF206/'🎚️ Escenario'!$C$11&gt;=36,$AL$23,INDEX($C$23:$AL$23,MAX(1,ROUNDUP(BF206/'🎚️ Escenario'!$C$11,0)))))</f>
        <v>0</v>
      </c>
      <c r="BG207" s="236" t="n">
        <f aca="false" t="array" ref="BG207:BG207">IF(BG206=0,0,IF(BG206/'🎚️ Escenario'!$C$11&gt;=36,$AL$23,INDEX($C$23:$AL$23,MAX(1,ROUNDUP(BG206/'🎚️ Escenario'!$C$11,0)))))</f>
        <v>0</v>
      </c>
      <c r="BH207" s="236" t="n">
        <f aca="false" t="array" ref="BH207:BH207">IF(BH206=0,0,IF(BH206/'🎚️ Escenario'!$C$11&gt;=36,$AL$23,INDEX($C$23:$AL$23,MAX(1,ROUNDUP(BH206/'🎚️ Escenario'!$C$11,0)))))</f>
        <v>0</v>
      </c>
      <c r="BI207" s="236" t="n">
        <f aca="false" t="array" ref="BI207:BI207">IF(BI206=0,0,IF(BI206/'🎚️ Escenario'!$C$11&gt;=36,$AL$23,INDEX($C$23:$AL$23,MAX(1,ROUNDUP(BI206/'🎚️ Escenario'!$C$11,0)))))</f>
        <v>0</v>
      </c>
      <c r="BJ207" s="236" t="n">
        <f aca="false" t="array" ref="BJ207:BJ207">IF(BJ206=0,0,IF(BJ206/'🎚️ Escenario'!$C$11&gt;=36,$AL$23,INDEX($C$23:$AL$23,MAX(1,ROUNDUP(BJ206/'🎚️ Escenario'!$C$11,0)))))</f>
        <v>0</v>
      </c>
      <c r="BK207" s="236" t="n">
        <f aca="false" t="array" ref="BK207:BK207">IF(BK206=0,0,IF(BK206/'🎚️ Escenario'!$C$11&gt;=36,$AL$23,INDEX($C$23:$AL$23,MAX(1,ROUNDUP(BK206/'🎚️ Escenario'!$C$11,0)))))</f>
        <v>0</v>
      </c>
      <c r="BL207" s="236" t="n">
        <f aca="false" t="array" ref="BL207:BL207">IF(BL206=0,0,IF(BL206/'🎚️ Escenario'!$C$11&gt;=36,$AL$23,INDEX($C$23:$AL$23,MAX(1,ROUNDUP(BL206/'🎚️ Escenario'!$C$11,0)))))</f>
        <v>0</v>
      </c>
      <c r="BM207" s="236" t="n">
        <f aca="false" t="array" ref="BM207:BM207">IF(BM206=0,0,IF(BM206/'🎚️ Escenario'!$C$11&gt;=36,$AL$23,INDEX($C$23:$AL$23,MAX(1,ROUNDUP(BM206/'🎚️ Escenario'!$C$11,0)))))</f>
        <v>0</v>
      </c>
      <c r="BN207" s="236" t="n">
        <f aca="false" t="array" ref="BN207:BN207">IF(BN206=0,0,IF(BN206/'🎚️ Escenario'!$C$11&gt;=36,$AL$23,INDEX($C$23:$AL$23,MAX(1,ROUNDUP(BN206/'🎚️ Escenario'!$C$11,0)))))</f>
        <v>0</v>
      </c>
      <c r="BO207" s="236" t="n">
        <f aca="false" t="array" ref="BO207:BO207">IF(BO206=0,0,IF(BO206/'🎚️ Escenario'!$C$11&gt;=36,$AL$23,INDEX($C$23:$AL$23,MAX(1,ROUNDUP(BO206/'🎚️ Escenario'!$C$11,0)))))</f>
        <v>0.2</v>
      </c>
      <c r="BP207" s="236" t="n">
        <f aca="false" t="array" ref="BP207:BP207">IF(BP206=0,0,IF(BP206/'🎚️ Escenario'!$C$11&gt;=36,$AL$23,INDEX($C$23:$AL$23,MAX(1,ROUNDUP(BP206/'🎚️ Escenario'!$C$11,0)))))</f>
        <v>0.22</v>
      </c>
      <c r="BQ207" s="236" t="n">
        <f aca="false" t="array" ref="BQ207:BQ207">IF(BQ206=0,0,IF(BQ206/'🎚️ Escenario'!$C$11&gt;=36,$AL$23,INDEX($C$23:$AL$23,MAX(1,ROUNDUP(BQ206/'🎚️ Escenario'!$C$11,0)))))</f>
        <v>0.24</v>
      </c>
      <c r="BR207" s="236" t="n">
        <f aca="false" t="array" ref="BR207:BR207">IF(BR206=0,0,IF(BR206/'🎚️ Escenario'!$C$11&gt;=36,$AL$23,INDEX($C$23:$AL$23,MAX(1,ROUNDUP(BR206/'🎚️ Escenario'!$C$11,0)))))</f>
        <v>0.27</v>
      </c>
      <c r="BS207" s="236" t="n">
        <f aca="false" t="array" ref="BS207:BS207">IF(BS206=0,0,IF(BS206/'🎚️ Escenario'!$C$11&gt;=36,$AL$23,INDEX($C$23:$AL$23,MAX(1,ROUNDUP(BS206/'🎚️ Escenario'!$C$11,0)))))</f>
        <v>0.27</v>
      </c>
      <c r="BT207" s="236" t="n">
        <f aca="false" t="array" ref="BT207:BT207">IF(BT206=0,0,IF(BT206/'🎚️ Escenario'!$C$11&gt;=36,$AL$23,INDEX($C$23:$AL$23,MAX(1,ROUNDUP(BT206/'🎚️ Escenario'!$C$11,0)))))</f>
        <v>0.31</v>
      </c>
      <c r="BU207" s="236" t="n">
        <f aca="false" t="array" ref="BU207:BU207">IF(BU206=0,0,IF(BU206/'🎚️ Escenario'!$C$11&gt;=36,$AL$23,INDEX($C$23:$AL$23,MAX(1,ROUNDUP(BU206/'🎚️ Escenario'!$C$11,0)))))</f>
        <v>0.35</v>
      </c>
      <c r="BV207" s="236" t="n">
        <f aca="false" t="array" ref="BV207:BV207">IF(BV206=0,0,IF(BV206/'🎚️ Escenario'!$C$11&gt;=36,$AL$23,INDEX($C$23:$AL$23,MAX(1,ROUNDUP(BV206/'🎚️ Escenario'!$C$11,0)))))</f>
        <v>0.39</v>
      </c>
      <c r="BW207" s="236" t="n">
        <f aca="false" t="array" ref="BW207:BW207">IF(BW206=0,0,IF(BW206/'🎚️ Escenario'!$C$11&gt;=36,$AL$23,INDEX($C$23:$AL$23,MAX(1,ROUNDUP(BW206/'🎚️ Escenario'!$C$11,0)))))</f>
        <v>0.44</v>
      </c>
      <c r="BX207" s="236" t="n">
        <f aca="false" t="array" ref="BX207:BX207">IF(BX206=0,0,IF(BX206/'🎚️ Escenario'!$C$11&gt;=36,$AL$23,INDEX($C$23:$AL$23,MAX(1,ROUNDUP(BX206/'🎚️ Escenario'!$C$11,0)))))</f>
        <v>0.44</v>
      </c>
      <c r="BY207" s="236" t="n">
        <f aca="false" t="array" ref="BY207:BY207">IF(BY206=0,0,IF(BY206/'🎚️ Escenario'!$C$11&gt;=36,$AL$23,INDEX($C$23:$AL$23,MAX(1,ROUNDUP(BY206/'🎚️ Escenario'!$C$11,0)))))</f>
        <v>0.48</v>
      </c>
      <c r="BZ207" s="236" t="n">
        <f aca="false" t="array" ref="BZ207:BZ207">IF(BZ206=0,0,IF(BZ206/'🎚️ Escenario'!$C$11&gt;=36,$AL$23,INDEX($C$23:$AL$23,MAX(1,ROUNDUP(BZ206/'🎚️ Escenario'!$C$11,0)))))</f>
        <v>0.52</v>
      </c>
      <c r="CA207" s="236" t="n">
        <f aca="false" t="array" ref="CA207:CA207">IF(CA206=0,0,IF(CA206/'🎚️ Escenario'!$C$11&gt;=36,$AL$23,INDEX($C$23:$AL$23,MAX(1,ROUNDUP(CA206/'🎚️ Escenario'!$C$11,0)))))</f>
        <v>0.56</v>
      </c>
      <c r="CB207" s="236" t="n">
        <f aca="false" t="array" ref="CB207:CB207">IF(CB206=0,0,IF(CB206/'🎚️ Escenario'!$C$11&gt;=36,$AL$23,INDEX($C$23:$AL$23,MAX(1,ROUNDUP(CB206/'🎚️ Escenario'!$C$11,0)))))</f>
        <v>0.6</v>
      </c>
      <c r="CC207" s="236" t="n">
        <f aca="false" t="array" ref="CC207:CC207">IF(CC206=0,0,IF(CC206/'🎚️ Escenario'!$C$11&gt;=36,$AL$23,INDEX($C$23:$AL$23,MAX(1,ROUNDUP(CC206/'🎚️ Escenario'!$C$11,0)))))</f>
        <v>0.6</v>
      </c>
      <c r="CD207" s="236" t="n">
        <f aca="false" t="array" ref="CD207:CD207">IF(CD206=0,0,IF(CD206/'🎚️ Escenario'!$C$11&gt;=36,$AL$23,INDEX($C$23:$AL$23,MAX(1,ROUNDUP(CD206/'🎚️ Escenario'!$C$11,0)))))</f>
        <v>0.63</v>
      </c>
      <c r="CE207" s="236" t="n">
        <f aca="false" t="array" ref="CE207:CE207">IF(CE206=0,0,IF(CE206/'🎚️ Escenario'!$C$11&gt;=36,$AL$23,INDEX($C$23:$AL$23,MAX(1,ROUNDUP(CE206/'🎚️ Escenario'!$C$11,0)))))</f>
        <v>0.66</v>
      </c>
      <c r="CF207" s="236" t="n">
        <f aca="false" t="array" ref="CF207:CF207">IF(CF206=0,0,IF(CF206/'🎚️ Escenario'!$C$11&gt;=36,$AL$23,INDEX($C$23:$AL$23,MAX(1,ROUNDUP(CF206/'🎚️ Escenario'!$C$11,0)))))</f>
        <v>0.69</v>
      </c>
      <c r="CG207" s="236" t="n">
        <f aca="false" t="array" ref="CG207:CG207">IF(CG206=0,0,IF(CG206/'🎚️ Escenario'!$C$11&gt;=36,$AL$23,INDEX($C$23:$AL$23,MAX(1,ROUNDUP(CG206/'🎚️ Escenario'!$C$11,0)))))</f>
        <v>0.71</v>
      </c>
      <c r="CH207" s="236" t="n">
        <f aca="false" t="array" ref="CH207:CH207">IF(CH206=0,0,IF(CH206/'🎚️ Escenario'!$C$11&gt;=36,$AL$23,INDEX($C$23:$AL$23,MAX(1,ROUNDUP(CH206/'🎚️ Escenario'!$C$11,0)))))</f>
        <v>0.71</v>
      </c>
      <c r="CI207" s="236" t="n">
        <f aca="false" t="array" ref="CI207:CI207">IF(CI206=0,0,IF(CI206/'🎚️ Escenario'!$C$11&gt;=36,$AL$23,INDEX($C$23:$AL$23,MAX(1,ROUNDUP(CI206/'🎚️ Escenario'!$C$11,0)))))</f>
        <v>0.73</v>
      </c>
      <c r="CJ207" s="236" t="n">
        <f aca="false" t="array" ref="CJ207:CJ207">IF(CJ206=0,0,IF(CJ206/'🎚️ Escenario'!$C$11&gt;=36,$AL$23,INDEX($C$23:$AL$23,MAX(1,ROUNDUP(CJ206/'🎚️ Escenario'!$C$11,0)))))</f>
        <v>0.75</v>
      </c>
      <c r="CK207" s="236" t="n">
        <f aca="false" t="array" ref="CK207:CK207">IF(CK206=0,0,IF(CK206/'🎚️ Escenario'!$C$11&gt;=36,$AL$23,INDEX($C$23:$AL$23,MAX(1,ROUNDUP(CK206/'🎚️ Escenario'!$C$11,0)))))</f>
        <v>0.77</v>
      </c>
      <c r="CL207" s="236" t="n">
        <f aca="false" t="array" ref="CL207:CL207">IF(CL206=0,0,IF(CL206/'🎚️ Escenario'!$C$11&gt;=36,$AL$23,INDEX($C$23:$AL$23,MAX(1,ROUNDUP(CL206/'🎚️ Escenario'!$C$11,0)))))</f>
        <v>0.79</v>
      </c>
      <c r="CM207" s="236" t="n">
        <f aca="false" t="array" ref="CM207:CM207">IF(CM206=0,0,IF(CM206/'🎚️ Escenario'!$C$11&gt;=36,$AL$23,INDEX($C$23:$AL$23,MAX(1,ROUNDUP(CM206/'🎚️ Escenario'!$C$11,0)))))</f>
        <v>0.79</v>
      </c>
      <c r="CN207" s="236" t="n">
        <f aca="false" t="array" ref="CN207:CN207">IF(CN206=0,0,IF(CN206/'🎚️ Escenario'!$C$11&gt;=36,$AL$23,INDEX($C$23:$AL$23,MAX(1,ROUNDUP(CN206/'🎚️ Escenario'!$C$11,0)))))</f>
        <v>0.8</v>
      </c>
      <c r="CO207" s="236" t="n">
        <f aca="false" t="array" ref="CO207:CO207">IF(CO206=0,0,IF(CO206/'🎚️ Escenario'!$C$11&gt;=36,$AL$23,INDEX($C$23:$AL$23,MAX(1,ROUNDUP(CO206/'🎚️ Escenario'!$C$11,0)))))</f>
        <v>0.82</v>
      </c>
      <c r="CP207" s="236" t="n">
        <f aca="false" t="array" ref="CP207:CP207">IF(CP206=0,0,IF(CP206/'🎚️ Escenario'!$C$11&gt;=36,$AL$23,INDEX($C$23:$AL$23,MAX(1,ROUNDUP(CP206/'🎚️ Escenario'!$C$11,0)))))</f>
        <v>0.84</v>
      </c>
      <c r="CQ207" s="236" t="n">
        <f aca="false" t="array" ref="CQ207:CQ207">IF(CQ206=0,0,IF(CQ206/'🎚️ Escenario'!$C$11&gt;=36,$AL$23,INDEX($C$23:$AL$23,MAX(1,ROUNDUP(CQ206/'🎚️ Escenario'!$C$11,0)))))</f>
        <v>0.85</v>
      </c>
      <c r="CR207" s="236" t="n">
        <f aca="false" t="array" ref="CR207:CR207">IF(CR206=0,0,IF(CR206/'🎚️ Escenario'!$C$11&gt;=36,$AL$23,INDEX($C$23:$AL$23,MAX(1,ROUNDUP(CR206/'🎚️ Escenario'!$C$11,0)))))</f>
        <v>0.85</v>
      </c>
      <c r="CS207" s="236" t="n">
        <f aca="false" t="array" ref="CS207:CS207">IF(CS206=0,0,IF(CS206/'🎚️ Escenario'!$C$11&gt;=36,$AL$23,INDEX($C$23:$AL$23,MAX(1,ROUNDUP(CS206/'🎚️ Escenario'!$C$11,0)))))</f>
        <v>0.86</v>
      </c>
      <c r="CT207" s="236" t="n">
        <f aca="false" t="array" ref="CT207:CT207">IF(CT206=0,0,IF(CT206/'🎚️ Escenario'!$C$11&gt;=36,$AL$23,INDEX($C$23:$AL$23,MAX(1,ROUNDUP(CT206/'🎚️ Escenario'!$C$11,0)))))</f>
        <v>0.88</v>
      </c>
      <c r="CU207" s="236" t="n">
        <f aca="false" t="array" ref="CU207:CU207">IF(CU206=0,0,IF(CU206/'🎚️ Escenario'!$C$11&gt;=36,$AL$23,INDEX($C$23:$AL$23,MAX(1,ROUNDUP(CU206/'🎚️ Escenario'!$C$11,0)))))</f>
        <v>0.89</v>
      </c>
      <c r="CV207" s="236" t="n">
        <f aca="false" t="array" ref="CV207:CV207">IF(CV206=0,0,IF(CV206/'🎚️ Escenario'!$C$11&gt;=36,$AL$23,INDEX($C$23:$AL$23,MAX(1,ROUNDUP(CV206/'🎚️ Escenario'!$C$11,0)))))</f>
        <v>0.9</v>
      </c>
      <c r="CW207" s="236" t="n">
        <f aca="false" t="array" ref="CW207:CW207">IF(CW206=0,0,IF(CW206/'🎚️ Escenario'!$C$11&gt;=36,$AL$23,INDEX($C$23:$AL$23,MAX(1,ROUNDUP(CW206/'🎚️ Escenario'!$C$11,0)))))</f>
        <v>0.9</v>
      </c>
      <c r="CX207" s="236" t="n">
        <f aca="false" t="array" ref="CX207:CX207">IF(CX206=0,0,IF(CX206/'🎚️ Escenario'!$C$11&gt;=36,$AL$23,INDEX($C$23:$AL$23,MAX(1,ROUNDUP(CX206/'🎚️ Escenario'!$C$11,0)))))</f>
        <v>0.92</v>
      </c>
      <c r="CY207" s="236" t="n">
        <f aca="false" t="array" ref="CY207:CY207">IF(CY206=0,0,IF(CY206/'🎚️ Escenario'!$C$11&gt;=36,$AL$23,INDEX($C$23:$AL$23,MAX(1,ROUNDUP(CY206/'🎚️ Escenario'!$C$11,0)))))</f>
        <v>0.93</v>
      </c>
      <c r="CZ207" s="236" t="n">
        <f aca="false" t="array" ref="CZ207:CZ207">IF(CZ206=0,0,IF(CZ206/'🎚️ Escenario'!$C$11&gt;=36,$AL$23,INDEX($C$23:$AL$23,MAX(1,ROUNDUP(CZ206/'🎚️ Escenario'!$C$11,0)))))</f>
        <v>0.94</v>
      </c>
      <c r="DA207" s="236" t="n">
        <f aca="false" t="array" ref="DA207:DA207">IF(DA206=0,0,IF(DA206/'🎚️ Escenario'!$C$11&gt;=36,$AL$23,INDEX($C$23:$AL$23,MAX(1,ROUNDUP(DA206/'🎚️ Escenario'!$C$11,0)))))</f>
        <v>0.95</v>
      </c>
      <c r="DB207" s="236" t="n">
        <f aca="false" t="array" ref="DB207:DB207">IF(DB206=0,0,IF(DB206/'🎚️ Escenario'!$C$11&gt;=36,$AL$23,INDEX($C$23:$AL$23,MAX(1,ROUNDUP(DB206/'🎚️ Escenario'!$C$11,0)))))</f>
        <v>0.95</v>
      </c>
      <c r="DC207" s="236" t="n">
        <f aca="false" t="array" ref="DC207:DC207">IF(DC206=0,0,IF(DC206/'🎚️ Escenario'!$C$11&gt;=36,$AL$23,INDEX($C$23:$AL$23,MAX(1,ROUNDUP(DC206/'🎚️ Escenario'!$C$11,0)))))</f>
        <v>0.97</v>
      </c>
      <c r="DD207" s="236" t="n">
        <f aca="false" t="array" ref="DD207:DD207">IF(DD206=0,0,IF(DD206/'🎚️ Escenario'!$C$11&gt;=36,$AL$23,INDEX($C$23:$AL$23,MAX(1,ROUNDUP(DD206/'🎚️ Escenario'!$C$11,0)))))</f>
        <v>0.98</v>
      </c>
      <c r="DE207" s="236" t="n">
        <f aca="false" t="array" ref="DE207:DE207">IF(DE206=0,0,IF(DE206/'🎚️ Escenario'!$C$11&gt;=36,$AL$23,INDEX($C$23:$AL$23,MAX(1,ROUNDUP(DE206/'🎚️ Escenario'!$C$11,0)))))</f>
        <v>0.99</v>
      </c>
      <c r="DF207" s="236" t="n">
        <f aca="false" t="array" ref="DF207:DF207">IF(DF206=0,0,IF(DF206/'🎚️ Escenario'!$C$11&gt;=36,$AL$23,INDEX($C$23:$AL$23,MAX(1,ROUNDUP(DF206/'🎚️ Escenario'!$C$11,0)))))</f>
        <v>1</v>
      </c>
      <c r="DG207" s="236" t="n">
        <f aca="false" t="array" ref="DG207:DG207">IF(DG206=0,0,IF(DG206/'🎚️ Escenario'!$C$11&gt;=36,$AL$23,INDEX($C$23:$AL$23,MAX(1,ROUNDUP(DG206/'🎚️ Escenario'!$C$11,0)))))</f>
        <v>1</v>
      </c>
      <c r="DH207" s="236" t="n">
        <f aca="false" t="array" ref="DH207:DH207">IF(DH206=0,0,IF(DH206/'🎚️ Escenario'!$C$11&gt;=36,$AL$23,INDEX($C$23:$AL$23,MAX(1,ROUNDUP(DH206/'🎚️ Escenario'!$C$11,0)))))</f>
        <v>1</v>
      </c>
      <c r="DI207" s="236" t="n">
        <f aca="false" t="array" ref="DI207:DI207">IF(DI206=0,0,IF(DI206/'🎚️ Escenario'!$C$11&gt;=36,$AL$23,INDEX($C$23:$AL$23,MAX(1,ROUNDUP(DI206/'🎚️ Escenario'!$C$11,0)))))</f>
        <v>1</v>
      </c>
      <c r="DJ207" s="236" t="n">
        <f aca="false" t="array" ref="DJ207:DJ207">IF(DJ206=0,0,IF(DJ206/'🎚️ Escenario'!$C$11&gt;=36,$AL$23,INDEX($C$23:$AL$23,MAX(1,ROUNDUP(DJ206/'🎚️ Escenario'!$C$11,0)))))</f>
        <v>1</v>
      </c>
      <c r="DK207" s="236" t="n">
        <f aca="false" t="array" ref="DK207:DK207">IF(DK206=0,0,IF(DK206/'🎚️ Escenario'!$C$11&gt;=36,$AL$23,INDEX($C$23:$AL$23,MAX(1,ROUNDUP(DK206/'🎚️ Escenario'!$C$11,0)))))</f>
        <v>1</v>
      </c>
      <c r="DL207" s="236" t="n">
        <f aca="false" t="array" ref="DL207:DL207">IF(DL206=0,0,IF(DL206/'🎚️ Escenario'!$C$11&gt;=36,$AL$23,INDEX($C$23:$AL$23,MAX(1,ROUNDUP(DL206/'🎚️ Escenario'!$C$11,0)))))</f>
        <v>1</v>
      </c>
      <c r="DM207" s="236" t="n">
        <f aca="false" t="array" ref="DM207:DM207">IF(DM206=0,0,IF(DM206/'🎚️ Escenario'!$C$11&gt;=36,$AL$23,INDEX($C$23:$AL$23,MAX(1,ROUNDUP(DM206/'🎚️ Escenario'!$C$11,0)))))</f>
        <v>1</v>
      </c>
      <c r="DN207" s="236" t="n">
        <f aca="false" t="array" ref="DN207:DN207">IF(DN206=0,0,IF(DN206/'🎚️ Escenario'!$C$11&gt;=36,$AL$23,INDEX($C$23:$AL$23,MAX(1,ROUNDUP(DN206/'🎚️ Escenario'!$C$11,0)))))</f>
        <v>1</v>
      </c>
      <c r="DO207" s="236" t="n">
        <f aca="false" t="array" ref="DO207:DO207">IF(DO206=0,0,IF(DO206/'🎚️ Escenario'!$C$11&gt;=36,$AL$23,INDEX($C$23:$AL$23,MAX(1,ROUNDUP(DO206/'🎚️ Escenario'!$C$11,0)))))</f>
        <v>1</v>
      </c>
      <c r="DP207" s="236" t="n">
        <f aca="false" t="array" ref="DP207:DP207">IF(DP206=0,0,IF(DP206/'🎚️ Escenario'!$C$11&gt;=36,$AL$23,INDEX($C$23:$AL$23,MAX(1,ROUNDUP(DP206/'🎚️ Escenario'!$C$11,0)))))</f>
        <v>1</v>
      </c>
      <c r="DQ207" s="236" t="n">
        <f aca="false" t="array" ref="DQ207:DQ207">IF(DQ206=0,0,IF(DQ206/'🎚️ Escenario'!$C$11&gt;=36,$AL$23,INDEX($C$23:$AL$23,MAX(1,ROUNDUP(DQ206/'🎚️ Escenario'!$C$11,0)))))</f>
        <v>1</v>
      </c>
      <c r="DR207" s="236" t="n">
        <f aca="false" t="array" ref="DR207:DR207">IF(DR206=0,0,IF(DR206/'🎚️ Escenario'!$C$11&gt;=36,$AL$23,INDEX($C$23:$AL$23,MAX(1,ROUNDUP(DR206/'🎚️ Escenario'!$C$11,0)))))</f>
        <v>1</v>
      </c>
      <c r="DS207" s="236" t="n">
        <f aca="false" t="array" ref="DS207:DS207">IF(DS206=0,0,IF(DS206/'🎚️ Escenario'!$C$11&gt;=36,$AL$23,INDEX($C$23:$AL$23,MAX(1,ROUNDUP(DS206/'🎚️ Escenario'!$C$11,0)))))</f>
        <v>1</v>
      </c>
      <c r="DT207" s="236" t="n">
        <f aca="false" t="array" ref="DT207:DT207">IF(DT206=0,0,IF(DT206/'🎚️ Escenario'!$C$11&gt;=36,$AL$23,INDEX($C$23:$AL$23,MAX(1,ROUNDUP(DT206/'🎚️ Escenario'!$C$11,0)))))</f>
        <v>1</v>
      </c>
      <c r="DU207" s="236" t="n">
        <f aca="false" t="array" ref="DU207:DU207">IF(DU206=0,0,IF(DU206/'🎚️ Escenario'!$C$11&gt;=36,$AL$23,INDEX($C$23:$AL$23,MAX(1,ROUNDUP(DU206/'🎚️ Escenario'!$C$11,0)))))</f>
        <v>1</v>
      </c>
      <c r="DV207" s="236" t="n">
        <f aca="false" t="array" ref="DV207:DV207">IF(DV206=0,0,IF(DV206/'🎚️ Escenario'!$C$11&gt;=36,$AL$23,INDEX($C$23:$AL$23,MAX(1,ROUNDUP(DV206/'🎚️ Escenario'!$C$11,0)))))</f>
        <v>1</v>
      </c>
      <c r="DW207" s="236" t="n">
        <f aca="false" t="array" ref="DW207:DW207">IF(DW206=0,0,IF(DW206/'🎚️ Escenario'!$C$11&gt;=36,$AL$23,INDEX($C$23:$AL$23,MAX(1,ROUNDUP(DW206/'🎚️ Escenario'!$C$11,0)))))</f>
        <v>1</v>
      </c>
      <c r="DX207" s="236" t="n">
        <f aca="false" t="array" ref="DX207:DX207">IF(DX206=0,0,IF(DX206/'🎚️ Escenario'!$C$11&gt;=36,$AL$23,INDEX($C$23:$AL$23,MAX(1,ROUNDUP(DX206/'🎚️ Escenario'!$C$11,0)))))</f>
        <v>1</v>
      </c>
      <c r="DY207" s="236" t="n">
        <f aca="false" t="array" ref="DY207:DY207">IF(DY206=0,0,IF(DY206/'🎚️ Escenario'!$C$11&gt;=36,$AL$23,INDEX($C$23:$AL$23,MAX(1,ROUNDUP(DY206/'🎚️ Escenario'!$C$11,0)))))</f>
        <v>1</v>
      </c>
      <c r="DZ207" s="236" t="n">
        <f aca="false" t="array" ref="DZ207:DZ207">IF(DZ206=0,0,IF(DZ206/'🎚️ Escenario'!$C$11&gt;=36,$AL$23,INDEX($C$23:$AL$23,MAX(1,ROUNDUP(DZ206/'🎚️ Escenario'!$C$11,0)))))</f>
        <v>1</v>
      </c>
      <c r="EA207" s="236" t="n">
        <f aca="false" t="array" ref="EA207:EA207">IF(EA206=0,0,IF(EA206/'🎚️ Escenario'!$C$11&gt;=36,$AL$23,INDEX($C$23:$AL$23,MAX(1,ROUNDUP(EA206/'🎚️ Escenario'!$C$11,0)))))</f>
        <v>1</v>
      </c>
      <c r="EB207" s="236" t="n">
        <f aca="false" t="array" ref="EB207:EB207">IF(EB206=0,0,IF(EB206/'🎚️ Escenario'!$C$11&gt;=36,$AL$23,INDEX($C$23:$AL$23,MAX(1,ROUNDUP(EB206/'🎚️ Escenario'!$C$11,0)))))</f>
        <v>1</v>
      </c>
      <c r="EC207" s="236" t="n">
        <f aca="false" t="array" ref="EC207:EC207">IF(EC206=0,0,IF(EC206/'🎚️ Escenario'!$C$11&gt;=36,$AL$23,INDEX($C$23:$AL$23,MAX(1,ROUNDUP(EC206/'🎚️ Escenario'!$C$11,0)))))</f>
        <v>1</v>
      </c>
      <c r="ED207" s="236" t="n">
        <f aca="false" t="array" ref="ED207:ED207">IF(ED206=0,0,IF(ED206/'🎚️ Escenario'!$C$11&gt;=36,$AL$23,INDEX($C$23:$AL$23,MAX(1,ROUNDUP(ED206/'🎚️ Escenario'!$C$11,0)))))</f>
        <v>1</v>
      </c>
      <c r="EE207" s="236" t="n">
        <f aca="false" t="array" ref="EE207:EE207">IF(EE206=0,0,IF(EE206/'🎚️ Escenario'!$C$11&gt;=36,$AL$23,INDEX($C$23:$AL$23,MAX(1,ROUNDUP(EE206/'🎚️ Escenario'!$C$11,0)))))</f>
        <v>1</v>
      </c>
      <c r="EF207" s="236" t="n">
        <f aca="false" t="array" ref="EF207:EF207">IF(EF206=0,0,IF(EF206/'🎚️ Escenario'!$C$11&gt;=36,$AL$23,INDEX($C$23:$AL$23,MAX(1,ROUNDUP(EF206/'🎚️ Escenario'!$C$11,0)))))</f>
        <v>1</v>
      </c>
      <c r="EG207" s="236" t="n">
        <f aca="false" t="array" ref="EG207:EG207">IF(EG206=0,0,IF(EG206/'🎚️ Escenario'!$C$11&gt;=36,$AL$23,INDEX($C$23:$AL$23,MAX(1,ROUNDUP(EG206/'🎚️ Escenario'!$C$11,0)))))</f>
        <v>1</v>
      </c>
      <c r="EH207" s="236" t="n">
        <f aca="false" t="array" ref="EH207:EH207">IF(EH206=0,0,IF(EH206/'🎚️ Escenario'!$C$11&gt;=36,$AL$23,INDEX($C$23:$AL$23,MAX(1,ROUNDUP(EH206/'🎚️ Escenario'!$C$11,0)))))</f>
        <v>1</v>
      </c>
      <c r="EI207" s="236" t="n">
        <f aca="false" t="array" ref="EI207:EI207">IF(EI206=0,0,IF(EI206/'🎚️ Escenario'!$C$11&gt;=36,$AL$23,INDEX($C$23:$AL$23,MAX(1,ROUNDUP(EI206/'🎚️ Escenario'!$C$11,0)))))</f>
        <v>1</v>
      </c>
      <c r="EJ207" s="236" t="n">
        <f aca="false" t="array" ref="EJ207:EJ207">IF(EJ206=0,0,IF(EJ206/'🎚️ Escenario'!$C$11&gt;=36,$AL$23,INDEX($C$23:$AL$23,MAX(1,ROUNDUP(EJ206/'🎚️ Escenario'!$C$11,0)))))</f>
        <v>1</v>
      </c>
      <c r="EK207" s="236" t="n">
        <f aca="false" t="array" ref="EK207:EK207">IF(EK206=0,0,IF(EK206/'🎚️ Escenario'!$C$11&gt;=36,$AL$23,INDEX($C$23:$AL$23,MAX(1,ROUNDUP(EK206/'🎚️ Escenario'!$C$11,0)))))</f>
        <v>1</v>
      </c>
      <c r="EL207" s="236" t="n">
        <f aca="false" t="array" ref="EL207:EL207">IF(EL206=0,0,IF(EL206/'🎚️ Escenario'!$C$11&gt;=36,$AL$23,INDEX($C$23:$AL$23,MAX(1,ROUNDUP(EL206/'🎚️ Escenario'!$C$11,0)))))</f>
        <v>1</v>
      </c>
      <c r="EM207" s="236" t="n">
        <f aca="false" t="array" ref="EM207:EM207">IF(EM206=0,0,IF(EM206/'🎚️ Escenario'!$C$11&gt;=36,$AL$23,INDEX($C$23:$AL$23,MAX(1,ROUNDUP(EM206/'🎚️ Escenario'!$C$11,0)))))</f>
        <v>1</v>
      </c>
      <c r="EN207" s="236" t="n">
        <f aca="false" t="array" ref="EN207:EN207">IF(EN206=0,0,IF(EN206/'🎚️ Escenario'!$C$11&gt;=36,$AL$23,INDEX($C$23:$AL$23,MAX(1,ROUNDUP(EN206/'🎚️ Escenario'!$C$11,0)))))</f>
        <v>1</v>
      </c>
      <c r="EO207" s="236" t="n">
        <f aca="false" t="array" ref="EO207:EO207">IF(EO206=0,0,IF(EO206/'🎚️ Escenario'!$C$11&gt;=36,$AL$23,INDEX($C$23:$AL$23,MAX(1,ROUNDUP(EO206/'🎚️ Escenario'!$C$11,0)))))</f>
        <v>1</v>
      </c>
      <c r="EP207" s="236" t="n">
        <f aca="false" t="array" ref="EP207:EP207">IF(EP206=0,0,IF(EP206/'🎚️ Escenario'!$C$11&gt;=36,$AL$23,INDEX($C$23:$AL$23,MAX(1,ROUNDUP(EP206/'🎚️ Escenario'!$C$11,0)))))</f>
        <v>1</v>
      </c>
      <c r="EQ207" s="236" t="n">
        <f aca="false" t="array" ref="EQ207:EQ207">IF(EQ206=0,0,IF(EQ206/'🎚️ Escenario'!$C$11&gt;=36,$AL$23,INDEX($C$23:$AL$23,MAX(1,ROUNDUP(EQ206/'🎚️ Escenario'!$C$11,0)))))</f>
        <v>1</v>
      </c>
      <c r="ER207" s="236" t="n">
        <f aca="false" t="array" ref="ER207:ER207">IF(ER206=0,0,IF(ER206/'🎚️ Escenario'!$C$11&gt;=36,$AL$23,INDEX($C$23:$AL$23,MAX(1,ROUNDUP(ER206/'🎚️ Escenario'!$C$11,0)))))</f>
        <v>1</v>
      </c>
      <c r="ES207" s="9" t="n">
        <f aca="false" t="array" ref="ES207:ES207">IF(ES206=0,0,IF(ES206/'🎚️ Escenario'!$C$11&gt;=36,$AL$23,INDEX($C$23:$AL$23,MAX(1,ROUNDUP(ES206/'🎚️ Escenario'!$C$11,0)))))</f>
        <v>1</v>
      </c>
      <c r="ET207" s="9" t="n">
        <f aca="false" t="array" ref="ET207:ET207">IF(ET206=0,0,IF(ET206/'🎚️ Escenario'!$C$11&gt;=36,$AL$23,INDEX($C$23:$AL$23,MAX(1,ROUNDUP(ET206/'🎚️ Escenario'!$C$11,0)))))</f>
        <v>1</v>
      </c>
      <c r="EU207" s="9" t="n">
        <f aca="false" t="array" ref="EU207:EU207">IF(EU206=0,0,IF(EU206/'🎚️ Escenario'!$C$11&gt;=36,$AL$23,INDEX($C$23:$AL$23,MAX(1,ROUNDUP(EU206/'🎚️ Escenario'!$C$11,0)))))</f>
        <v>1</v>
      </c>
      <c r="EV207" s="9" t="n">
        <f aca="false" t="array" ref="EV207:EV207">IF(EV206=0,0,IF(EV206/'🎚️ Escenario'!$C$11&gt;=36,$AL$23,INDEX($C$23:$AL$23,MAX(1,ROUNDUP(EV206/'🎚️ Escenario'!$C$11,0)))))</f>
        <v>1</v>
      </c>
      <c r="EW207" s="9" t="n">
        <f aca="false" t="array" ref="EW207:EW207">IF(EW206=0,0,IF(EW206/'🎚️ Escenario'!$C$11&gt;=36,$AL$23,INDEX($C$23:$AL$23,MAX(1,ROUNDUP(EW206/'🎚️ Escenario'!$C$11,0)))))</f>
        <v>1</v>
      </c>
      <c r="EX207" s="9" t="n">
        <f aca="false" t="array" ref="EX207:EX207">IF(EX206=0,0,IF(EX206/'🎚️ Escenario'!$C$11&gt;=36,$AL$23,INDEX($C$23:$AL$23,MAX(1,ROUNDUP(EX206/'🎚️ Escenario'!$C$11,0)))))</f>
        <v>1</v>
      </c>
      <c r="EY207" s="9" t="n">
        <f aca="false" t="array" ref="EY207:EY207">IF(EY206=0,0,IF(EY206/'🎚️ Escenario'!$C$11&gt;=36,$AL$23,INDEX($C$23:$AL$23,MAX(1,ROUNDUP(EY206/'🎚️ Escenario'!$C$11,0)))))</f>
        <v>1</v>
      </c>
      <c r="EZ207" s="9" t="n">
        <f aca="false" t="array" ref="EZ207:EZ207">IF(EZ206=0,0,IF(EZ206/'🎚️ Escenario'!$C$11&gt;=36,$AL$23,INDEX($C$23:$AL$23,MAX(1,ROUNDUP(EZ206/'🎚️ Escenario'!$C$11,0)))))</f>
        <v>1</v>
      </c>
      <c r="FA207" s="9" t="n">
        <f aca="false" t="array" ref="FA207:FA207">IF(FA206=0,0,IF(FA206/'🎚️ Escenario'!$C$11&gt;=36,$AL$23,INDEX($C$23:$AL$23,MAX(1,ROUNDUP(FA206/'🎚️ Escenario'!$C$11,0)))))</f>
        <v>1</v>
      </c>
      <c r="FB207" s="9" t="n">
        <f aca="false" t="array" ref="FB207:FB207">IF(FB206=0,0,IF(FB206/'🎚️ Escenario'!$C$11&gt;=36,$AL$23,INDEX($C$23:$AL$23,MAX(1,ROUNDUP(FB206/'🎚️ Escenario'!$C$11,0)))))</f>
        <v>1</v>
      </c>
      <c r="FC207" s="9" t="n">
        <f aca="false" t="array" ref="FC207:FC207">IF(FC206=0,0,IF(FC206/'🎚️ Escenario'!$C$11&gt;=36,$AL$23,INDEX($C$23:$AL$23,MAX(1,ROUNDUP(FC206/'🎚️ Escenario'!$C$11,0)))))</f>
        <v>1</v>
      </c>
      <c r="FD207" s="9" t="n">
        <f aca="false" t="array" ref="FD207:FD207">IF(FD206=0,0,IF(FD206/'🎚️ Escenario'!$C$11&gt;=36,$AL$23,INDEX($C$23:$AL$23,MAX(1,ROUNDUP(FD206/'🎚️ Escenario'!$C$11,0)))))</f>
        <v>1</v>
      </c>
      <c r="FE207" s="9" t="n">
        <f aca="false" t="array" ref="FE207:FE207">IF(FE206=0,0,IF(FE206/'🎚️ Escenario'!$C$11&gt;=36,$AL$23,INDEX($C$23:$AL$23,MAX(1,ROUNDUP(FE206/'🎚️ Escenario'!$C$11,0)))))</f>
        <v>1</v>
      </c>
      <c r="FF207" s="9" t="n">
        <f aca="false" t="array" ref="FF207:FF207">IF(FF206=0,0,IF(FF206/'🎚️ Escenario'!$C$11&gt;=36,$AL$23,INDEX($C$23:$AL$23,MAX(1,ROUNDUP(FF206/'🎚️ Escenario'!$C$11,0)))))</f>
        <v>1</v>
      </c>
      <c r="FG207" s="9" t="n">
        <f aca="false" t="array" ref="FG207:FG207">IF(FG206=0,0,IF(FG206/'🎚️ Escenario'!$C$11&gt;=36,$AL$23,INDEX($C$23:$AL$23,MAX(1,ROUNDUP(FG206/'🎚️ Escenario'!$C$11,0)))))</f>
        <v>1</v>
      </c>
      <c r="FH207" s="9" t="n">
        <f aca="false" t="array" ref="FH207:FH207">IF(FH206=0,0,IF(FH206/'🎚️ Escenario'!$C$11&gt;=36,$AL$23,INDEX($C$23:$AL$23,MAX(1,ROUNDUP(FH206/'🎚️ Escenario'!$C$11,0)))))</f>
        <v>1</v>
      </c>
      <c r="FI207" s="9" t="n">
        <f aca="false" t="array" ref="FI207:FI207">IF(FI206=0,0,IF(FI206/'🎚️ Escenario'!$C$11&gt;=36,$AL$23,INDEX($C$23:$AL$23,MAX(1,ROUNDUP(FI206/'🎚️ Escenario'!$C$11,0)))))</f>
        <v>1</v>
      </c>
      <c r="FJ207" s="9" t="n">
        <f aca="false" t="array" ref="FJ207:FJ207">IF(FJ206=0,0,IF(FJ206/'🎚️ Escenario'!$C$11&gt;=36,$AL$23,INDEX($C$23:$AL$23,MAX(1,ROUNDUP(FJ206/'🎚️ Escenario'!$C$11,0)))))</f>
        <v>1</v>
      </c>
      <c r="FK207" s="9" t="n">
        <f aca="false" t="array" ref="FK207:FK207">IF(FK206=0,0,IF(FK206/'🎚️ Escenario'!$C$11&gt;=36,$AL$23,INDEX($C$23:$AL$23,MAX(1,ROUNDUP(FK206/'🎚️ Escenario'!$C$11,0)))))</f>
        <v>1</v>
      </c>
      <c r="FL207" s="9" t="n">
        <f aca="false" t="array" ref="FL207:FL207">IF(FL206=0,0,IF(FL206/'🎚️ Escenario'!$C$11&gt;=36,$AL$23,INDEX($C$23:$AL$23,MAX(1,ROUNDUP(FL206/'🎚️ Escenario'!$C$11,0)))))</f>
        <v>1</v>
      </c>
      <c r="FM207" s="9" t="n">
        <f aca="false" t="array" ref="FM207:FM207">IF(FM206=0,0,IF(FM206/'🎚️ Escenario'!$C$11&gt;=36,$AL$23,INDEX($C$23:$AL$23,MAX(1,ROUNDUP(FM206/'🎚️ Escenario'!$C$11,0)))))</f>
        <v>1</v>
      </c>
      <c r="FN207" s="9" t="n">
        <f aca="false" t="array" ref="FN207:FN207">IF(FN206=0,0,IF(FN206/'🎚️ Escenario'!$C$11&gt;=36,$AL$23,INDEX($C$23:$AL$23,MAX(1,ROUNDUP(FN206/'🎚️ Escenario'!$C$11,0)))))</f>
        <v>1</v>
      </c>
      <c r="FO207" s="9" t="n">
        <f aca="false" t="array" ref="FO207:FO207">IF(FO206=0,0,IF(FO206/'🎚️ Escenario'!$C$11&gt;=36,$AL$23,INDEX($C$23:$AL$23,MAX(1,ROUNDUP(FO206/'🎚️ Escenario'!$C$11,0)))))</f>
        <v>1</v>
      </c>
      <c r="FP207" s="9" t="n">
        <f aca="false" t="array" ref="FP207:FP207">IF(FP206=0,0,IF(FP206/'🎚️ Escenario'!$C$11&gt;=36,$AL$23,INDEX($C$23:$AL$23,MAX(1,ROUNDUP(FP206/'🎚️ Escenario'!$C$11,0)))))</f>
        <v>1</v>
      </c>
    </row>
    <row r="208" customFormat="false" ht="15" hidden="false" customHeight="false" outlineLevel="2" collapsed="false">
      <c r="B208" s="9" t="s">
        <v>875</v>
      </c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237" t="n">
        <f aca="false">IF(AC206=0,0,IF(AC206&lt;=12*'🎚️ Escenario'!$C$11,1,1+$C$6))</f>
        <v>0</v>
      </c>
      <c r="AD208" s="237" t="n">
        <f aca="false">IF(AD206=0,0,IF(AD206&lt;=12*'🎚️ Escenario'!$C$11,1,1+$C$6))</f>
        <v>0</v>
      </c>
      <c r="AE208" s="237" t="n">
        <f aca="false">IF(AE206=0,0,IF(AE206&lt;=12*'🎚️ Escenario'!$C$11,1,1+$C$6))</f>
        <v>0</v>
      </c>
      <c r="AF208" s="237" t="n">
        <f aca="false">IF(AF206=0,0,IF(AF206&lt;=12*'🎚️ Escenario'!$C$11,1,1+$C$6))</f>
        <v>0</v>
      </c>
      <c r="AG208" s="237" t="n">
        <f aca="false">IF(AG206=0,0,IF(AG206&lt;=12*'🎚️ Escenario'!$C$11,1,1+$C$6))</f>
        <v>0</v>
      </c>
      <c r="AH208" s="237" t="n">
        <f aca="false">IF(AH206=0,0,IF(AH206&lt;=12*'🎚️ Escenario'!$C$11,1,1+$C$6))</f>
        <v>0</v>
      </c>
      <c r="AI208" s="237" t="n">
        <f aca="false">IF(AI206=0,0,IF(AI206&lt;=12*'🎚️ Escenario'!$C$11,1,1+$C$6))</f>
        <v>0</v>
      </c>
      <c r="AJ208" s="237" t="n">
        <f aca="false">IF(AJ206=0,0,IF(AJ206&lt;=12*'🎚️ Escenario'!$C$11,1,1+$C$6))</f>
        <v>0</v>
      </c>
      <c r="AK208" s="237" t="n">
        <f aca="false">IF(AK206=0,0,IF(AK206&lt;=12*'🎚️ Escenario'!$C$11,1,1+$C$6))</f>
        <v>0</v>
      </c>
      <c r="AL208" s="237" t="n">
        <f aca="false">IF(AL206=0,0,IF(AL206&lt;=12*'🎚️ Escenario'!$C$11,1,1+$C$6))</f>
        <v>0</v>
      </c>
      <c r="AM208" s="237" t="n">
        <f aca="false">IF(AM206=0,0,IF(AM206&lt;=12*'🎚️ Escenario'!$C$11,1,1+$C$6))</f>
        <v>0</v>
      </c>
      <c r="AN208" s="237" t="n">
        <f aca="false">IF(AN206=0,0,IF(AN206&lt;=12*'🎚️ Escenario'!$C$11,1,1+$C$6))</f>
        <v>0</v>
      </c>
      <c r="AO208" s="237" t="n">
        <f aca="false">IF(AO206=0,0,IF(AO206&lt;=12*'🎚️ Escenario'!$C$11,1,1+$C$6))</f>
        <v>0</v>
      </c>
      <c r="AP208" s="237" t="n">
        <f aca="false">IF(AP206=0,0,IF(AP206&lt;=12*'🎚️ Escenario'!$C$11,1,1+$C$6))</f>
        <v>0</v>
      </c>
      <c r="AQ208" s="237" t="n">
        <f aca="false">IF(AQ206=0,0,IF(AQ206&lt;=12*'🎚️ Escenario'!$C$11,1,1+$C$6))</f>
        <v>0</v>
      </c>
      <c r="AR208" s="237" t="n">
        <f aca="false">IF(AR206=0,0,IF(AR206&lt;=12*'🎚️ Escenario'!$C$11,1,1+$C$6))</f>
        <v>0</v>
      </c>
      <c r="AS208" s="237" t="n">
        <f aca="false">IF(AS206=0,0,IF(AS206&lt;=12*'🎚️ Escenario'!$C$11,1,1+$C$6))</f>
        <v>0</v>
      </c>
      <c r="AT208" s="237" t="n">
        <f aca="false">IF(AT206=0,0,IF(AT206&lt;=12*'🎚️ Escenario'!$C$11,1,1+$C$6))</f>
        <v>0</v>
      </c>
      <c r="AU208" s="237" t="n">
        <f aca="false">IF(AU206=0,0,IF(AU206&lt;=12*'🎚️ Escenario'!$C$11,1,1+$C$6))</f>
        <v>0</v>
      </c>
      <c r="AV208" s="237" t="n">
        <f aca="false">IF(AV206=0,0,IF(AV206&lt;=12*'🎚️ Escenario'!$C$11,1,1+$C$6))</f>
        <v>0</v>
      </c>
      <c r="AW208" s="237" t="n">
        <f aca="false">IF(AW206=0,0,IF(AW206&lt;=12*'🎚️ Escenario'!$C$11,1,1+$C$6))</f>
        <v>0</v>
      </c>
      <c r="AX208" s="237" t="n">
        <f aca="false">IF(AX206=0,0,IF(AX206&lt;=12*'🎚️ Escenario'!$C$11,1,1+$C$6))</f>
        <v>0</v>
      </c>
      <c r="AY208" s="237" t="n">
        <f aca="false">IF(AY206=0,0,IF(AY206&lt;=12*'🎚️ Escenario'!$C$11,1,1+$C$6))</f>
        <v>0</v>
      </c>
      <c r="AZ208" s="237" t="n">
        <f aca="false">IF(AZ206=0,0,IF(AZ206&lt;=12*'🎚️ Escenario'!$C$11,1,1+$C$6))</f>
        <v>0</v>
      </c>
      <c r="BA208" s="237" t="n">
        <f aca="false">IF(BA206=0,0,IF(BA206&lt;=12*'🎚️ Escenario'!$C$11,1,1+$C$6))</f>
        <v>0</v>
      </c>
      <c r="BB208" s="237" t="n">
        <f aca="false">IF(BB206=0,0,IF(BB206&lt;=12*'🎚️ Escenario'!$C$11,1,1+$C$6))</f>
        <v>0</v>
      </c>
      <c r="BC208" s="237" t="n">
        <f aca="false">IF(BC206=0,0,IF(BC206&lt;=12*'🎚️ Escenario'!$C$11,1,1+$C$6))</f>
        <v>0</v>
      </c>
      <c r="BD208" s="237" t="n">
        <f aca="false">IF(BD206=0,0,IF(BD206&lt;=12*'🎚️ Escenario'!$C$11,1,1+$C$6))</f>
        <v>0</v>
      </c>
      <c r="BE208" s="237" t="n">
        <f aca="false">IF(BE206=0,0,IF(BE206&lt;=12*'🎚️ Escenario'!$C$11,1,1+$C$6))</f>
        <v>0</v>
      </c>
      <c r="BF208" s="237" t="n">
        <f aca="false">IF(BF206=0,0,IF(BF206&lt;=12*'🎚️ Escenario'!$C$11,1,1+$C$6))</f>
        <v>0</v>
      </c>
      <c r="BG208" s="237" t="n">
        <f aca="false">IF(BG206=0,0,IF(BG206&lt;=12*'🎚️ Escenario'!$C$11,1,1+$C$6))</f>
        <v>0</v>
      </c>
      <c r="BH208" s="237" t="n">
        <f aca="false">IF(BH206=0,0,IF(BH206&lt;=12*'🎚️ Escenario'!$C$11,1,1+$C$6))</f>
        <v>0</v>
      </c>
      <c r="BI208" s="237" t="n">
        <f aca="false">IF(BI206=0,0,IF(BI206&lt;=12*'🎚️ Escenario'!$C$11,1,1+$C$6))</f>
        <v>0</v>
      </c>
      <c r="BJ208" s="237" t="n">
        <f aca="false">IF(BJ206=0,0,IF(BJ206&lt;=12*'🎚️ Escenario'!$C$11,1,1+$C$6))</f>
        <v>0</v>
      </c>
      <c r="BK208" s="237" t="n">
        <f aca="false">IF(BK206=0,0,IF(BK206&lt;=12*'🎚️ Escenario'!$C$11,1,1+$C$6))</f>
        <v>0</v>
      </c>
      <c r="BL208" s="237" t="n">
        <f aca="false">IF(BL206=0,0,IF(BL206&lt;=12*'🎚️ Escenario'!$C$11,1,1+$C$6))</f>
        <v>0</v>
      </c>
      <c r="BM208" s="237" t="n">
        <f aca="false">IF(BM206=0,0,IF(BM206&lt;=12*'🎚️ Escenario'!$C$11,1,1+$C$6))</f>
        <v>0</v>
      </c>
      <c r="BN208" s="237" t="n">
        <f aca="false">IF(BN206=0,0,IF(BN206&lt;=12*'🎚️ Escenario'!$C$11,1,1+$C$6))</f>
        <v>0</v>
      </c>
      <c r="BO208" s="237" t="n">
        <f aca="false">IF(BO206=0,0,IF(BO206&lt;=12*'🎚️ Escenario'!$C$11,1,1+$C$6))</f>
        <v>1</v>
      </c>
      <c r="BP208" s="237" t="n">
        <f aca="false">IF(BP206=0,0,IF(BP206&lt;=12*'🎚️ Escenario'!$C$11,1,1+$C$6))</f>
        <v>1</v>
      </c>
      <c r="BQ208" s="237" t="n">
        <f aca="false">IF(BQ206=0,0,IF(BQ206&lt;=12*'🎚️ Escenario'!$C$11,1,1+$C$6))</f>
        <v>1</v>
      </c>
      <c r="BR208" s="237" t="n">
        <f aca="false">IF(BR206=0,0,IF(BR206&lt;=12*'🎚️ Escenario'!$C$11,1,1+$C$6))</f>
        <v>1</v>
      </c>
      <c r="BS208" s="237" t="n">
        <f aca="false">IF(BS206=0,0,IF(BS206&lt;=12*'🎚️ Escenario'!$C$11,1,1+$C$6))</f>
        <v>1</v>
      </c>
      <c r="BT208" s="237" t="n">
        <f aca="false">IF(BT206=0,0,IF(BT206&lt;=12*'🎚️ Escenario'!$C$11,1,1+$C$6))</f>
        <v>1</v>
      </c>
      <c r="BU208" s="237" t="n">
        <f aca="false">IF(BU206=0,0,IF(BU206&lt;=12*'🎚️ Escenario'!$C$11,1,1+$C$6))</f>
        <v>1</v>
      </c>
      <c r="BV208" s="237" t="n">
        <f aca="false">IF(BV206=0,0,IF(BV206&lt;=12*'🎚️ Escenario'!$C$11,1,1+$C$6))</f>
        <v>1</v>
      </c>
      <c r="BW208" s="237" t="n">
        <f aca="false">IF(BW206=0,0,IF(BW206&lt;=12*'🎚️ Escenario'!$C$11,1,1+$C$6))</f>
        <v>1</v>
      </c>
      <c r="BX208" s="237" t="n">
        <f aca="false">IF(BX206=0,0,IF(BX206&lt;=12*'🎚️ Escenario'!$C$11,1,1+$C$6))</f>
        <v>1</v>
      </c>
      <c r="BY208" s="237" t="n">
        <f aca="false">IF(BY206=0,0,IF(BY206&lt;=12*'🎚️ Escenario'!$C$11,1,1+$C$6))</f>
        <v>1</v>
      </c>
      <c r="BZ208" s="237" t="n">
        <f aca="false">IF(BZ206=0,0,IF(BZ206&lt;=12*'🎚️ Escenario'!$C$11,1,1+$C$6))</f>
        <v>1</v>
      </c>
      <c r="CA208" s="237" t="n">
        <f aca="false">IF(CA206=0,0,IF(CA206&lt;=12*'🎚️ Escenario'!$C$11,1,1+$C$6))</f>
        <v>1</v>
      </c>
      <c r="CB208" s="237" t="n">
        <f aca="false">IF(CB206=0,0,IF(CB206&lt;=12*'🎚️ Escenario'!$C$11,1,1+$C$6))</f>
        <v>1</v>
      </c>
      <c r="CC208" s="237" t="n">
        <f aca="false">IF(CC206=0,0,IF(CC206&lt;=12*'🎚️ Escenario'!$C$11,1,1+$C$6))</f>
        <v>1</v>
      </c>
      <c r="CD208" s="237" t="n">
        <f aca="false">IF(CD206=0,0,IF(CD206&lt;=12*'🎚️ Escenario'!$C$11,1,1+$C$6))</f>
        <v>1.2</v>
      </c>
      <c r="CE208" s="237" t="n">
        <f aca="false">IF(CE206=0,0,IF(CE206&lt;=12*'🎚️ Escenario'!$C$11,1,1+$C$6))</f>
        <v>1.2</v>
      </c>
      <c r="CF208" s="237" t="n">
        <f aca="false">IF(CF206=0,0,IF(CF206&lt;=12*'🎚️ Escenario'!$C$11,1,1+$C$6))</f>
        <v>1.2</v>
      </c>
      <c r="CG208" s="237" t="n">
        <f aca="false">IF(CG206=0,0,IF(CG206&lt;=12*'🎚️ Escenario'!$C$11,1,1+$C$6))</f>
        <v>1.2</v>
      </c>
      <c r="CH208" s="237" t="n">
        <f aca="false">IF(CH206=0,0,IF(CH206&lt;=12*'🎚️ Escenario'!$C$11,1,1+$C$6))</f>
        <v>1.2</v>
      </c>
      <c r="CI208" s="237" t="n">
        <f aca="false">IF(CI206=0,0,IF(CI206&lt;=12*'🎚️ Escenario'!$C$11,1,1+$C$6))</f>
        <v>1.2</v>
      </c>
      <c r="CJ208" s="237" t="n">
        <f aca="false">IF(CJ206=0,0,IF(CJ206&lt;=12*'🎚️ Escenario'!$C$11,1,1+$C$6))</f>
        <v>1.2</v>
      </c>
      <c r="CK208" s="237" t="n">
        <f aca="false">IF(CK206=0,0,IF(CK206&lt;=12*'🎚️ Escenario'!$C$11,1,1+$C$6))</f>
        <v>1.2</v>
      </c>
      <c r="CL208" s="237" t="n">
        <f aca="false">IF(CL206=0,0,IF(CL206&lt;=12*'🎚️ Escenario'!$C$11,1,1+$C$6))</f>
        <v>1.2</v>
      </c>
      <c r="CM208" s="237" t="n">
        <f aca="false">IF(CM206=0,0,IF(CM206&lt;=12*'🎚️ Escenario'!$C$11,1,1+$C$6))</f>
        <v>1.2</v>
      </c>
      <c r="CN208" s="237" t="n">
        <f aca="false">IF(CN206=0,0,IF(CN206&lt;=12*'🎚️ Escenario'!$C$11,1,1+$C$6))</f>
        <v>1.2</v>
      </c>
      <c r="CO208" s="237" t="n">
        <f aca="false">IF(CO206=0,0,IF(CO206&lt;=12*'🎚️ Escenario'!$C$11,1,1+$C$6))</f>
        <v>1.2</v>
      </c>
      <c r="CP208" s="237" t="n">
        <f aca="false">IF(CP206=0,0,IF(CP206&lt;=12*'🎚️ Escenario'!$C$11,1,1+$C$6))</f>
        <v>1.2</v>
      </c>
      <c r="CQ208" s="237" t="n">
        <f aca="false">IF(CQ206=0,0,IF(CQ206&lt;=12*'🎚️ Escenario'!$C$11,1,1+$C$6))</f>
        <v>1.2</v>
      </c>
      <c r="CR208" s="237" t="n">
        <f aca="false">IF(CR206=0,0,IF(CR206&lt;=12*'🎚️ Escenario'!$C$11,1,1+$C$6))</f>
        <v>1.2</v>
      </c>
      <c r="CS208" s="237" t="n">
        <f aca="false">IF(CS206=0,0,IF(CS206&lt;=12*'🎚️ Escenario'!$C$11,1,1+$C$6))</f>
        <v>1.2</v>
      </c>
      <c r="CT208" s="237" t="n">
        <f aca="false">IF(CT206=0,0,IF(CT206&lt;=12*'🎚️ Escenario'!$C$11,1,1+$C$6))</f>
        <v>1.2</v>
      </c>
      <c r="CU208" s="237" t="n">
        <f aca="false">IF(CU206=0,0,IF(CU206&lt;=12*'🎚️ Escenario'!$C$11,1,1+$C$6))</f>
        <v>1.2</v>
      </c>
      <c r="CV208" s="237" t="n">
        <f aca="false">IF(CV206=0,0,IF(CV206&lt;=12*'🎚️ Escenario'!$C$11,1,1+$C$6))</f>
        <v>1.2</v>
      </c>
      <c r="CW208" s="237" t="n">
        <f aca="false">IF(CW206=0,0,IF(CW206&lt;=12*'🎚️ Escenario'!$C$11,1,1+$C$6))</f>
        <v>1.2</v>
      </c>
      <c r="CX208" s="237" t="n">
        <f aca="false">IF(CX206=0,0,IF(CX206&lt;=12*'🎚️ Escenario'!$C$11,1,1+$C$6))</f>
        <v>1.2</v>
      </c>
      <c r="CY208" s="237" t="n">
        <f aca="false">IF(CY206=0,0,IF(CY206&lt;=12*'🎚️ Escenario'!$C$11,1,1+$C$6))</f>
        <v>1.2</v>
      </c>
      <c r="CZ208" s="237" t="n">
        <f aca="false">IF(CZ206=0,0,IF(CZ206&lt;=12*'🎚️ Escenario'!$C$11,1,1+$C$6))</f>
        <v>1.2</v>
      </c>
      <c r="DA208" s="237" t="n">
        <f aca="false">IF(DA206=0,0,IF(DA206&lt;=12*'🎚️ Escenario'!$C$11,1,1+$C$6))</f>
        <v>1.2</v>
      </c>
      <c r="DB208" s="237" t="n">
        <f aca="false">IF(DB206=0,0,IF(DB206&lt;=12*'🎚️ Escenario'!$C$11,1,1+$C$6))</f>
        <v>1.2</v>
      </c>
      <c r="DC208" s="237" t="n">
        <f aca="false">IF(DC206=0,0,IF(DC206&lt;=12*'🎚️ Escenario'!$C$11,1,1+$C$6))</f>
        <v>1.2</v>
      </c>
      <c r="DD208" s="237" t="n">
        <f aca="false">IF(DD206=0,0,IF(DD206&lt;=12*'🎚️ Escenario'!$C$11,1,1+$C$6))</f>
        <v>1.2</v>
      </c>
      <c r="DE208" s="237" t="n">
        <f aca="false">IF(DE206=0,0,IF(DE206&lt;=12*'🎚️ Escenario'!$C$11,1,1+$C$6))</f>
        <v>1.2</v>
      </c>
      <c r="DF208" s="237" t="n">
        <f aca="false">IF(DF206=0,0,IF(DF206&lt;=12*'🎚️ Escenario'!$C$11,1,1+$C$6))</f>
        <v>1.2</v>
      </c>
      <c r="DG208" s="237" t="n">
        <f aca="false">IF(DG206=0,0,IF(DG206&lt;=12*'🎚️ Escenario'!$C$11,1,1+$C$6))</f>
        <v>1.2</v>
      </c>
      <c r="DH208" s="237" t="n">
        <f aca="false">IF(DH206=0,0,IF(DH206&lt;=12*'🎚️ Escenario'!$C$11,1,1+$C$6))</f>
        <v>1.2</v>
      </c>
      <c r="DI208" s="237" t="n">
        <f aca="false">IF(DI206=0,0,IF(DI206&lt;=12*'🎚️ Escenario'!$C$11,1,1+$C$6))</f>
        <v>1.2</v>
      </c>
      <c r="DJ208" s="237" t="n">
        <f aca="false">IF(DJ206=0,0,IF(DJ206&lt;=12*'🎚️ Escenario'!$C$11,1,1+$C$6))</f>
        <v>1.2</v>
      </c>
      <c r="DK208" s="237" t="n">
        <f aca="false">IF(DK206=0,0,IF(DK206&lt;=12*'🎚️ Escenario'!$C$11,1,1+$C$6))</f>
        <v>1.2</v>
      </c>
      <c r="DL208" s="237" t="n">
        <f aca="false">IF(DL206=0,0,IF(DL206&lt;=12*'🎚️ Escenario'!$C$11,1,1+$C$6))</f>
        <v>1.2</v>
      </c>
      <c r="DM208" s="237" t="n">
        <f aca="false">IF(DM206=0,0,IF(DM206&lt;=12*'🎚️ Escenario'!$C$11,1,1+$C$6))</f>
        <v>1.2</v>
      </c>
      <c r="DN208" s="237" t="n">
        <f aca="false">IF(DN206=0,0,IF(DN206&lt;=12*'🎚️ Escenario'!$C$11,1,1+$C$6))</f>
        <v>1.2</v>
      </c>
      <c r="DO208" s="237" t="n">
        <f aca="false">IF(DO206=0,0,IF(DO206&lt;=12*'🎚️ Escenario'!$C$11,1,1+$C$6))</f>
        <v>1.2</v>
      </c>
      <c r="DP208" s="237" t="n">
        <f aca="false">IF(DP206=0,0,IF(DP206&lt;=12*'🎚️ Escenario'!$C$11,1,1+$C$6))</f>
        <v>1.2</v>
      </c>
      <c r="DQ208" s="237" t="n">
        <f aca="false">IF(DQ206=0,0,IF(DQ206&lt;=12*'🎚️ Escenario'!$C$11,1,1+$C$6))</f>
        <v>1.2</v>
      </c>
      <c r="DR208" s="237" t="n">
        <f aca="false">IF(DR206=0,0,IF(DR206&lt;=12*'🎚️ Escenario'!$C$11,1,1+$C$6))</f>
        <v>1.2</v>
      </c>
      <c r="DS208" s="237" t="n">
        <f aca="false">IF(DS206=0,0,IF(DS206&lt;=12*'🎚️ Escenario'!$C$11,1,1+$C$6))</f>
        <v>1.2</v>
      </c>
      <c r="DT208" s="237" t="n">
        <f aca="false">IF(DT206=0,0,IF(DT206&lt;=12*'🎚️ Escenario'!$C$11,1,1+$C$6))</f>
        <v>1.2</v>
      </c>
      <c r="DU208" s="237" t="n">
        <f aca="false">IF(DU206=0,0,IF(DU206&lt;=12*'🎚️ Escenario'!$C$11,1,1+$C$6))</f>
        <v>1.2</v>
      </c>
      <c r="DV208" s="237" t="n">
        <f aca="false">IF(DV206=0,0,IF(DV206&lt;=12*'🎚️ Escenario'!$C$11,1,1+$C$6))</f>
        <v>1.2</v>
      </c>
      <c r="DW208" s="237" t="n">
        <f aca="false">IF(DW206=0,0,IF(DW206&lt;=12*'🎚️ Escenario'!$C$11,1,1+$C$6))</f>
        <v>1.2</v>
      </c>
      <c r="DX208" s="237" t="n">
        <f aca="false">IF(DX206=0,0,IF(DX206&lt;=12*'🎚️ Escenario'!$C$11,1,1+$C$6))</f>
        <v>1.2</v>
      </c>
      <c r="DY208" s="237" t="n">
        <f aca="false">IF(DY206=0,0,IF(DY206&lt;=12*'🎚️ Escenario'!$C$11,1,1+$C$6))</f>
        <v>1.2</v>
      </c>
      <c r="DZ208" s="237" t="n">
        <f aca="false">IF(DZ206=0,0,IF(DZ206&lt;=12*'🎚️ Escenario'!$C$11,1,1+$C$6))</f>
        <v>1.2</v>
      </c>
      <c r="EA208" s="237" t="n">
        <f aca="false">IF(EA206=0,0,IF(EA206&lt;=12*'🎚️ Escenario'!$C$11,1,1+$C$6))</f>
        <v>1.2</v>
      </c>
      <c r="EB208" s="237" t="n">
        <f aca="false">IF(EB206=0,0,IF(EB206&lt;=12*'🎚️ Escenario'!$C$11,1,1+$C$6))</f>
        <v>1.2</v>
      </c>
      <c r="EC208" s="237" t="n">
        <f aca="false">IF(EC206=0,0,IF(EC206&lt;=12*'🎚️ Escenario'!$C$11,1,1+$C$6))</f>
        <v>1.2</v>
      </c>
      <c r="ED208" s="237" t="n">
        <f aca="false">IF(ED206=0,0,IF(ED206&lt;=12*'🎚️ Escenario'!$C$11,1,1+$C$6))</f>
        <v>1.2</v>
      </c>
      <c r="EE208" s="237" t="n">
        <f aca="false">IF(EE206=0,0,IF(EE206&lt;=12*'🎚️ Escenario'!$C$11,1,1+$C$6))</f>
        <v>1.2</v>
      </c>
      <c r="EF208" s="237" t="n">
        <f aca="false">IF(EF206=0,0,IF(EF206&lt;=12*'🎚️ Escenario'!$C$11,1,1+$C$6))</f>
        <v>1.2</v>
      </c>
      <c r="EG208" s="237" t="n">
        <f aca="false">IF(EG206=0,0,IF(EG206&lt;=12*'🎚️ Escenario'!$C$11,1,1+$C$6))</f>
        <v>1.2</v>
      </c>
      <c r="EH208" s="237" t="n">
        <f aca="false">IF(EH206=0,0,IF(EH206&lt;=12*'🎚️ Escenario'!$C$11,1,1+$C$6))</f>
        <v>1.2</v>
      </c>
      <c r="EI208" s="237" t="n">
        <f aca="false">IF(EI206=0,0,IF(EI206&lt;=12*'🎚️ Escenario'!$C$11,1,1+$C$6))</f>
        <v>1.2</v>
      </c>
      <c r="EJ208" s="237" t="n">
        <f aca="false">IF(EJ206=0,0,IF(EJ206&lt;=12*'🎚️ Escenario'!$C$11,1,1+$C$6))</f>
        <v>1.2</v>
      </c>
      <c r="EK208" s="237" t="n">
        <f aca="false">IF(EK206=0,0,IF(EK206&lt;=12*'🎚️ Escenario'!$C$11,1,1+$C$6))</f>
        <v>1.2</v>
      </c>
      <c r="EL208" s="237" t="n">
        <f aca="false">IF(EL206=0,0,IF(EL206&lt;=12*'🎚️ Escenario'!$C$11,1,1+$C$6))</f>
        <v>1.2</v>
      </c>
      <c r="EM208" s="237" t="n">
        <f aca="false">IF(EM206=0,0,IF(EM206&lt;=12*'🎚️ Escenario'!$C$11,1,1+$C$6))</f>
        <v>1.2</v>
      </c>
      <c r="EN208" s="237" t="n">
        <f aca="false">IF(EN206=0,0,IF(EN206&lt;=12*'🎚️ Escenario'!$C$11,1,1+$C$6))</f>
        <v>1.2</v>
      </c>
      <c r="EO208" s="237" t="n">
        <f aca="false">IF(EO206=0,0,IF(EO206&lt;=12*'🎚️ Escenario'!$C$11,1,1+$C$6))</f>
        <v>1.2</v>
      </c>
      <c r="EP208" s="237" t="n">
        <f aca="false">IF(EP206=0,0,IF(EP206&lt;=12*'🎚️ Escenario'!$C$11,1,1+$C$6))</f>
        <v>1.2</v>
      </c>
      <c r="EQ208" s="237" t="n">
        <f aca="false">IF(EQ206=0,0,IF(EQ206&lt;=12*'🎚️ Escenario'!$C$11,1,1+$C$6))</f>
        <v>1.2</v>
      </c>
      <c r="ER208" s="237" t="n">
        <f aca="false">IF(ER206=0,0,IF(ER206&lt;=12*'🎚️ Escenario'!$C$11,1,1+$C$6))</f>
        <v>1.2</v>
      </c>
      <c r="ES208" s="238" t="n">
        <f aca="false">IF(ES206=0,0,IF(ES206&lt;=12*'🎚️ Escenario'!$C$11,1,1+$C$6))</f>
        <v>1.2</v>
      </c>
      <c r="ET208" s="238" t="n">
        <f aca="false">IF(ET206=0,0,IF(ET206&lt;=12*'🎚️ Escenario'!$C$11,1,1+$C$6))</f>
        <v>1.2</v>
      </c>
      <c r="EU208" s="238" t="n">
        <f aca="false">IF(EU206=0,0,IF(EU206&lt;=12*'🎚️ Escenario'!$C$11,1,1+$C$6))</f>
        <v>1.2</v>
      </c>
      <c r="EV208" s="238" t="n">
        <f aca="false">IF(EV206=0,0,IF(EV206&lt;=12*'🎚️ Escenario'!$C$11,1,1+$C$6))</f>
        <v>1.2</v>
      </c>
      <c r="EW208" s="238" t="n">
        <f aca="false">IF(EW206=0,0,IF(EW206&lt;=12*'🎚️ Escenario'!$C$11,1,1+$C$6))</f>
        <v>1.2</v>
      </c>
      <c r="EX208" s="238" t="n">
        <f aca="false">IF(EX206=0,0,IF(EX206&lt;=12*'🎚️ Escenario'!$C$11,1,1+$C$6))</f>
        <v>1.2</v>
      </c>
      <c r="EY208" s="238" t="n">
        <f aca="false">IF(EY206=0,0,IF(EY206&lt;=12*'🎚️ Escenario'!$C$11,1,1+$C$6))</f>
        <v>1.2</v>
      </c>
      <c r="EZ208" s="238" t="n">
        <f aca="false">IF(EZ206=0,0,IF(EZ206&lt;=12*'🎚️ Escenario'!$C$11,1,1+$C$6))</f>
        <v>1.2</v>
      </c>
      <c r="FA208" s="238" t="n">
        <f aca="false">IF(FA206=0,0,IF(FA206&lt;=12*'🎚️ Escenario'!$C$11,1,1+$C$6))</f>
        <v>1.2</v>
      </c>
      <c r="FB208" s="238" t="n">
        <f aca="false">IF(FB206=0,0,IF(FB206&lt;=12*'🎚️ Escenario'!$C$11,1,1+$C$6))</f>
        <v>1.2</v>
      </c>
      <c r="FC208" s="238" t="n">
        <f aca="false">IF(FC206=0,0,IF(FC206&lt;=12*'🎚️ Escenario'!$C$11,1,1+$C$6))</f>
        <v>1.2</v>
      </c>
      <c r="FD208" s="238" t="n">
        <f aca="false">IF(FD206=0,0,IF(FD206&lt;=12*'🎚️ Escenario'!$C$11,1,1+$C$6))</f>
        <v>1.2</v>
      </c>
      <c r="FE208" s="238" t="n">
        <f aca="false">IF(FE206=0,0,IF(FE206&lt;=12*'🎚️ Escenario'!$C$11,1,1+$C$6))</f>
        <v>1.2</v>
      </c>
      <c r="FF208" s="238" t="n">
        <f aca="false">IF(FF206=0,0,IF(FF206&lt;=12*'🎚️ Escenario'!$C$11,1,1+$C$6))</f>
        <v>1.2</v>
      </c>
      <c r="FG208" s="238" t="n">
        <f aca="false">IF(FG206=0,0,IF(FG206&lt;=12*'🎚️ Escenario'!$C$11,1,1+$C$6))</f>
        <v>1.2</v>
      </c>
      <c r="FH208" s="238" t="n">
        <f aca="false">IF(FH206=0,0,IF(FH206&lt;=12*'🎚️ Escenario'!$C$11,1,1+$C$6))</f>
        <v>1.2</v>
      </c>
      <c r="FI208" s="238" t="n">
        <f aca="false">IF(FI206=0,0,IF(FI206&lt;=12*'🎚️ Escenario'!$C$11,1,1+$C$6))</f>
        <v>1.2</v>
      </c>
      <c r="FJ208" s="238" t="n">
        <f aca="false">IF(FJ206=0,0,IF(FJ206&lt;=12*'🎚️ Escenario'!$C$11,1,1+$C$6))</f>
        <v>1.2</v>
      </c>
      <c r="FK208" s="238" t="n">
        <f aca="false">IF(FK206=0,0,IF(FK206&lt;=12*'🎚️ Escenario'!$C$11,1,1+$C$6))</f>
        <v>1.2</v>
      </c>
      <c r="FL208" s="238" t="n">
        <f aca="false">IF(FL206=0,0,IF(FL206&lt;=12*'🎚️ Escenario'!$C$11,1,1+$C$6))</f>
        <v>1.2</v>
      </c>
      <c r="FM208" s="238" t="n">
        <f aca="false">IF(FM206=0,0,IF(FM206&lt;=12*'🎚️ Escenario'!$C$11,1,1+$C$6))</f>
        <v>1.2</v>
      </c>
      <c r="FN208" s="238" t="n">
        <f aca="false">IF(FN206=0,0,IF(FN206&lt;=12*'🎚️ Escenario'!$C$11,1,1+$C$6))</f>
        <v>1.2</v>
      </c>
      <c r="FO208" s="238" t="n">
        <f aca="false">IF(FO206=0,0,IF(FO206&lt;=12*'🎚️ Escenario'!$C$11,1,1+$C$6))</f>
        <v>1.2</v>
      </c>
      <c r="FP208" s="238" t="n">
        <f aca="false">IF(FP206=0,0,IF(FP206&lt;=12*'🎚️ Escenario'!$C$11,1,1+$C$6))</f>
        <v>1.2</v>
      </c>
    </row>
    <row r="209" customFormat="false" ht="15" hidden="false" customHeight="false" outlineLevel="2" collapsed="false">
      <c r="B209" s="9" t="s">
        <v>876</v>
      </c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36" t="n">
        <f aca="false">AC207*$AC$205*AC208*AC$38*'⑫ Roll-out Plan'!$O$26</f>
        <v>0</v>
      </c>
      <c r="AD209" s="36" t="n">
        <f aca="false">AD207*$AC$205*AD208*AD$38*'⑫ Roll-out Plan'!$O$26</f>
        <v>0</v>
      </c>
      <c r="AE209" s="36" t="n">
        <f aca="false">AE207*$AC$205*AE208*AE$38*'⑫ Roll-out Plan'!$O$26</f>
        <v>0</v>
      </c>
      <c r="AF209" s="36" t="n">
        <f aca="false">AF207*$AC$205*AF208*AF$38*'⑫ Roll-out Plan'!$O$26</f>
        <v>0</v>
      </c>
      <c r="AG209" s="36" t="n">
        <f aca="false">AG207*$AC$205*AG208*AG$38*'⑫ Roll-out Plan'!$O$26</f>
        <v>0</v>
      </c>
      <c r="AH209" s="36" t="n">
        <f aca="false">AH207*$AC$205*AH208*AH$38*'⑫ Roll-out Plan'!$O$26</f>
        <v>0</v>
      </c>
      <c r="AI209" s="36" t="n">
        <f aca="false">AI207*$AC$205*AI208*AI$38*'⑫ Roll-out Plan'!$O$26</f>
        <v>0</v>
      </c>
      <c r="AJ209" s="36" t="n">
        <f aca="false">AJ207*$AC$205*AJ208*AJ$38*'⑫ Roll-out Plan'!$O$26</f>
        <v>0</v>
      </c>
      <c r="AK209" s="36" t="n">
        <f aca="false">AK207*$AC$205*AK208*AK$38*'⑫ Roll-out Plan'!$O$26</f>
        <v>0</v>
      </c>
      <c r="AL209" s="36" t="n">
        <f aca="false">AL207*$AC$205*AL208*AL$38*'⑫ Roll-out Plan'!$O$26</f>
        <v>0</v>
      </c>
      <c r="AM209" s="36" t="n">
        <f aca="false">AM207*$AC$205*AM208*AM$38*'⑫ Roll-out Plan'!$O$26</f>
        <v>0</v>
      </c>
      <c r="AN209" s="36" t="n">
        <f aca="false">AN207*$AC$205*AN208*AN$38*'⑫ Roll-out Plan'!$O$26</f>
        <v>0</v>
      </c>
      <c r="AO209" s="36" t="n">
        <f aca="false">AO207*$AC$205*AO208*AO$38*'⑫ Roll-out Plan'!$O$26</f>
        <v>0</v>
      </c>
      <c r="AP209" s="36" t="n">
        <f aca="false">AP207*$AC$205*AP208*AP$38*'⑫ Roll-out Plan'!$O$26</f>
        <v>0</v>
      </c>
      <c r="AQ209" s="36" t="n">
        <f aca="false">AQ207*$AC$205*AQ208*AQ$38*'⑫ Roll-out Plan'!$O$26</f>
        <v>0</v>
      </c>
      <c r="AR209" s="36" t="n">
        <f aca="false">AR207*$AC$205*AR208*AR$38*'⑫ Roll-out Plan'!$O$26</f>
        <v>0</v>
      </c>
      <c r="AS209" s="36" t="n">
        <f aca="false">AS207*$AC$205*AS208*AS$38*'⑫ Roll-out Plan'!$O$26</f>
        <v>0</v>
      </c>
      <c r="AT209" s="36" t="n">
        <f aca="false">AT207*$AC$205*AT208*AT$38*'⑫ Roll-out Plan'!$O$26</f>
        <v>0</v>
      </c>
      <c r="AU209" s="36" t="n">
        <f aca="false">AU207*$AC$205*AU208*AU$38*'⑫ Roll-out Plan'!$O$26</f>
        <v>0</v>
      </c>
      <c r="AV209" s="36" t="n">
        <f aca="false">AV207*$AC$205*AV208*AV$38*'⑫ Roll-out Plan'!$O$26</f>
        <v>0</v>
      </c>
      <c r="AW209" s="36" t="n">
        <f aca="false">AW207*$AC$205*AW208*AW$38*'⑫ Roll-out Plan'!$O$26</f>
        <v>0</v>
      </c>
      <c r="AX209" s="36" t="n">
        <f aca="false">AX207*$AC$205*AX208*AX$38*'⑫ Roll-out Plan'!$O$26</f>
        <v>0</v>
      </c>
      <c r="AY209" s="36" t="n">
        <f aca="false">AY207*$AC$205*AY208*AY$38*'⑫ Roll-out Plan'!$O$26</f>
        <v>0</v>
      </c>
      <c r="AZ209" s="36" t="n">
        <f aca="false">AZ207*$AC$205*AZ208*AZ$38*'⑫ Roll-out Plan'!$O$26</f>
        <v>0</v>
      </c>
      <c r="BA209" s="36" t="n">
        <f aca="false">BA207*$AC$205*BA208*BA$38*'⑫ Roll-out Plan'!$O$26</f>
        <v>0</v>
      </c>
      <c r="BB209" s="36" t="n">
        <f aca="false">BB207*$AC$205*BB208*BB$38*'⑫ Roll-out Plan'!$O$26</f>
        <v>0</v>
      </c>
      <c r="BC209" s="36" t="n">
        <f aca="false">BC207*$AC$205*BC208*BC$38*'⑫ Roll-out Plan'!$O$26</f>
        <v>0</v>
      </c>
      <c r="BD209" s="36" t="n">
        <f aca="false">BD207*$AC$205*BD208*BD$38*'⑫ Roll-out Plan'!$O$26</f>
        <v>0</v>
      </c>
      <c r="BE209" s="36" t="n">
        <f aca="false">BE207*$AC$205*BE208*BE$38*'⑫ Roll-out Plan'!$O$26</f>
        <v>0</v>
      </c>
      <c r="BF209" s="36" t="n">
        <f aca="false">BF207*$AC$205*BF208*BF$38*'⑫ Roll-out Plan'!$O$26</f>
        <v>0</v>
      </c>
      <c r="BG209" s="36" t="n">
        <f aca="false">BG207*$AC$205*BG208*BG$38*'⑫ Roll-out Plan'!$O$26</f>
        <v>0</v>
      </c>
      <c r="BH209" s="36" t="n">
        <f aca="false">BH207*$AC$205*BH208*BH$38*'⑫ Roll-out Plan'!$O$26</f>
        <v>0</v>
      </c>
      <c r="BI209" s="36" t="n">
        <f aca="false">BI207*$AC$205*BI208*BI$38*'⑫ Roll-out Plan'!$O$26</f>
        <v>0</v>
      </c>
      <c r="BJ209" s="36" t="n">
        <f aca="false">BJ207*$AC$205*BJ208*BJ$38*'⑫ Roll-out Plan'!$O$26</f>
        <v>0</v>
      </c>
      <c r="BK209" s="36" t="n">
        <f aca="false">BK207*$AC$205*BK208*BK$38*'⑫ Roll-out Plan'!$O$26</f>
        <v>0</v>
      </c>
      <c r="BL209" s="36" t="n">
        <f aca="false">BL207*$AC$205*BL208*BL$38*'⑫ Roll-out Plan'!$O$26</f>
        <v>0</v>
      </c>
      <c r="BM209" s="36" t="n">
        <f aca="false">BM207*$AC$205*BM208*BM$38*'⑫ Roll-out Plan'!$O$26</f>
        <v>0</v>
      </c>
      <c r="BN209" s="36" t="n">
        <f aca="false">BN207*$AC$205*BN208*BN$38*'⑫ Roll-out Plan'!$O$26</f>
        <v>0</v>
      </c>
      <c r="BO209" s="36" t="n">
        <f aca="false">BO207*$AC$205*BO208*BO$38*'⑫ Roll-out Plan'!$O$26</f>
        <v>42.92</v>
      </c>
      <c r="BP209" s="36" t="n">
        <f aca="false">BP207*$AC$205*BP208*BP$38*'⑫ Roll-out Plan'!$O$26</f>
        <v>44.77</v>
      </c>
      <c r="BQ209" s="36" t="n">
        <f aca="false">BQ207*$AC$205*BQ208*BQ$38*'⑫ Roll-out Plan'!$O$26</f>
        <v>40.848</v>
      </c>
      <c r="BR209" s="36" t="n">
        <f aca="false">BR207*$AC$205*BR208*BR$38*'⑫ Roll-out Plan'!$O$26</f>
        <v>39.96</v>
      </c>
      <c r="BS209" s="36" t="n">
        <f aca="false">BS207*$AC$205*BS208*BS$38*'⑫ Roll-out Plan'!$O$26</f>
        <v>41.958</v>
      </c>
      <c r="BT209" s="36" t="n">
        <f aca="false">BT207*$AC$205*BT208*BT$38*'⑫ Roll-out Plan'!$O$26</f>
        <v>81.437</v>
      </c>
      <c r="BU209" s="36" t="n">
        <f aca="false">BU207*$AC$205*BU208*BU$38*'⑫ Roll-out Plan'!$O$26</f>
        <v>75.11</v>
      </c>
      <c r="BV209" s="36" t="n">
        <f aca="false">BV207*$AC$205*BV208*BV$38*'⑫ Roll-out Plan'!$O$26</f>
        <v>69.264</v>
      </c>
      <c r="BW209" s="36" t="n">
        <f aca="false">BW207*$AC$205*BW208*BW$38*'⑫ Roll-out Plan'!$O$26</f>
        <v>58.608</v>
      </c>
      <c r="BX209" s="36" t="n">
        <f aca="false">BX207*$AC$205*BX208*BX$38*'⑫ Roll-out Plan'!$O$26</f>
        <v>83.028</v>
      </c>
      <c r="BY209" s="36" t="n">
        <f aca="false">BY207*$AC$205*BY208*BY$38*'⑫ Roll-out Plan'!$O$26</f>
        <v>95.904</v>
      </c>
      <c r="BZ209" s="36" t="n">
        <f aca="false">BZ207*$AC$205*BZ208*BZ$38*'⑫ Roll-out Plan'!$O$26</f>
        <v>78.884</v>
      </c>
      <c r="CA209" s="36" t="n">
        <f aca="false">CA207*$AC$205*CA208*CA$38*'⑫ Roll-out Plan'!$O$26</f>
        <v>120.176</v>
      </c>
      <c r="CB209" s="36" t="n">
        <f aca="false">CB207*$AC$205*CB208*CB$38*'⑫ Roll-out Plan'!$O$26</f>
        <v>122.1</v>
      </c>
      <c r="CC209" s="36" t="n">
        <f aca="false">CC207*$AC$205*CC208*CC$38*'⑫ Roll-out Plan'!$O$26</f>
        <v>102.12</v>
      </c>
      <c r="CD209" s="36" t="n">
        <f aca="false">CD207*$AC$205*CD208*CD$38*'⑫ Roll-out Plan'!$O$26</f>
        <v>111.888</v>
      </c>
      <c r="CE209" s="36" t="n">
        <f aca="false">CE207*$AC$205*CE208*CE$38*'⑫ Roll-out Plan'!$O$26</f>
        <v>123.0768</v>
      </c>
      <c r="CF209" s="36" t="n">
        <f aca="false">CF207*$AC$205*CF208*CF$38*'⑫ Roll-out Plan'!$O$26</f>
        <v>217.5156</v>
      </c>
      <c r="CG209" s="36" t="n">
        <f aca="false">CG207*$AC$205*CG208*CG$38*'⑫ Roll-out Plan'!$O$26</f>
        <v>182.8392</v>
      </c>
      <c r="CH209" s="36" t="n">
        <f aca="false">CH207*$AC$205*CH208*CH$38*'⑫ Roll-out Plan'!$O$26</f>
        <v>151.3152</v>
      </c>
      <c r="CI209" s="36" t="n">
        <f aca="false">CI207*$AC$205*CI208*CI$38*'⑫ Roll-out Plan'!$O$26</f>
        <v>116.6832</v>
      </c>
      <c r="CJ209" s="36" t="n">
        <f aca="false">CJ207*$AC$205*CJ208*CJ$38*'⑫ Roll-out Plan'!$O$26</f>
        <v>169.83</v>
      </c>
      <c r="CK209" s="36" t="n">
        <f aca="false">CK207*$AC$205*CK208*CK$38*'⑫ Roll-out Plan'!$O$26</f>
        <v>184.6152</v>
      </c>
      <c r="CL209" s="36" t="n">
        <f aca="false">CL207*$AC$205*CL208*CL$38*'⑫ Roll-out Plan'!$O$26</f>
        <v>143.8116</v>
      </c>
      <c r="CM209" s="36" t="n">
        <f aca="false">CM207*$AC$205*CM208*CM$38*'⑫ Roll-out Plan'!$O$26</f>
        <v>203.4408</v>
      </c>
      <c r="CN209" s="36" t="n">
        <f aca="false">CN207*$AC$205*CN208*CN$38*'⑫ Roll-out Plan'!$O$26</f>
        <v>195.36</v>
      </c>
      <c r="CO209" s="36" t="n">
        <f aca="false">CO207*$AC$205*CO208*CO$38*'⑫ Roll-out Plan'!$O$26</f>
        <v>167.4768</v>
      </c>
      <c r="CP209" s="36" t="n">
        <f aca="false">CP207*$AC$205*CP208*CP$38*'⑫ Roll-out Plan'!$O$26</f>
        <v>149.184</v>
      </c>
      <c r="CQ209" s="36" t="n">
        <f aca="false">CQ207*$AC$205*CQ208*CQ$38*'⑫ Roll-out Plan'!$O$26</f>
        <v>158.508</v>
      </c>
      <c r="CR209" s="36" t="n">
        <f aca="false">CR207*$AC$205*CR208*CR$38*'⑫ Roll-out Plan'!$O$26</f>
        <v>267.954</v>
      </c>
      <c r="CS209" s="36" t="n">
        <f aca="false">CS207*$AC$205*CS208*CS$38*'⑫ Roll-out Plan'!$O$26</f>
        <v>221.4672</v>
      </c>
      <c r="CT209" s="36" t="n">
        <f aca="false">CT207*$AC$205*CT208*CT$38*'⑫ Roll-out Plan'!$O$26</f>
        <v>187.5456</v>
      </c>
      <c r="CU209" s="36" t="n">
        <f aca="false">CU207*$AC$205*CU208*CU$38*'⑫ Roll-out Plan'!$O$26</f>
        <v>142.2576</v>
      </c>
      <c r="CV209" s="36" t="n">
        <f aca="false">CV207*$AC$205*CV208*CV$38*'⑫ Roll-out Plan'!$O$26</f>
        <v>203.796</v>
      </c>
      <c r="CW209" s="36" t="n">
        <f aca="false">CW207*$AC$205*CW208*CW$38*'⑫ Roll-out Plan'!$O$26</f>
        <v>215.784</v>
      </c>
      <c r="CX209" s="36" t="n">
        <f aca="false">CX207*$AC$205*CX208*CX$38*'⑫ Roll-out Plan'!$O$26</f>
        <v>167.4768</v>
      </c>
      <c r="CY209" s="36" t="n">
        <f aca="false">CY207*$AC$205*CY208*CY$38*'⑫ Roll-out Plan'!$O$26</f>
        <v>239.4936</v>
      </c>
      <c r="CZ209" s="36" t="n">
        <f aca="false">CZ207*$AC$205*CZ208*CZ$38*'⑫ Roll-out Plan'!$O$26</f>
        <v>229.548</v>
      </c>
      <c r="DA209" s="36" t="n">
        <f aca="false">DA207*$AC$205*DA208*DA$38*'⑫ Roll-out Plan'!$O$26</f>
        <v>194.028</v>
      </c>
      <c r="DB209" s="36" t="n">
        <f aca="false">DB207*$AC$205*DB208*DB$38*'⑫ Roll-out Plan'!$O$26</f>
        <v>168.72</v>
      </c>
      <c r="DC209" s="36" t="n">
        <f aca="false">DC207*$AC$205*DC208*DC$38*'⑫ Roll-out Plan'!$O$26</f>
        <v>180.8856</v>
      </c>
      <c r="DD209" s="36" t="n">
        <f aca="false">DD207*$AC$205*DD208*DD$38*'⑫ Roll-out Plan'!$O$26</f>
        <v>308.9352</v>
      </c>
      <c r="DE209" s="36" t="n">
        <f aca="false">DE207*$AC$205*DE208*DE$38*'⑫ Roll-out Plan'!$O$26</f>
        <v>254.9448</v>
      </c>
      <c r="DF209" s="36" t="n">
        <f aca="false">DF207*$AC$205*DF208*DF$38*'⑫ Roll-out Plan'!$O$26</f>
        <v>213.12</v>
      </c>
      <c r="DG209" s="36" t="n">
        <f aca="false">DG207*$AC$205*DG208*DG$38*'⑫ Roll-out Plan'!$O$26</f>
        <v>159.84</v>
      </c>
      <c r="DH209" s="36" t="n">
        <f aca="false">DH207*$AC$205*DH208*DH$38*'⑫ Roll-out Plan'!$O$26</f>
        <v>226.44</v>
      </c>
      <c r="DI209" s="36" t="n">
        <f aca="false">DI207*$AC$205*DI208*DI$38*'⑫ Roll-out Plan'!$O$26</f>
        <v>239.76</v>
      </c>
      <c r="DJ209" s="36" t="n">
        <f aca="false">DJ207*$AC$205*DJ208*DJ$38*'⑫ Roll-out Plan'!$O$26</f>
        <v>182.04</v>
      </c>
      <c r="DK209" s="36" t="n">
        <f aca="false">DK207*$AC$205*DK208*DK$38*'⑫ Roll-out Plan'!$O$26</f>
        <v>257.52</v>
      </c>
      <c r="DL209" s="36" t="n">
        <f aca="false">DL207*$AC$205*DL208*DL$38*'⑫ Roll-out Plan'!$O$26</f>
        <v>244.2</v>
      </c>
      <c r="DM209" s="36" t="n">
        <f aca="false">DM207*$AC$205*DM208*DM$38*'⑫ Roll-out Plan'!$O$26</f>
        <v>204.24</v>
      </c>
      <c r="DN209" s="36" t="n">
        <f aca="false">DN207*$AC$205*DN208*DN$38*'⑫ Roll-out Plan'!$O$26</f>
        <v>177.6</v>
      </c>
      <c r="DO209" s="36" t="n">
        <f aca="false">DO207*$AC$205*DO208*DO$38*'⑫ Roll-out Plan'!$O$26</f>
        <v>186.48</v>
      </c>
      <c r="DP209" s="36" t="n">
        <f aca="false">DP207*$AC$205*DP208*DP$38*'⑫ Roll-out Plan'!$O$26</f>
        <v>315.24</v>
      </c>
      <c r="DQ209" s="36" t="n">
        <f aca="false">DQ207*$AC$205*DQ208*DQ$38*'⑫ Roll-out Plan'!$O$26</f>
        <v>257.52</v>
      </c>
      <c r="DR209" s="36" t="n">
        <f aca="false">DR207*$AC$205*DR208*DR$38*'⑫ Roll-out Plan'!$O$26</f>
        <v>213.12</v>
      </c>
      <c r="DS209" s="36" t="n">
        <f aca="false">DS207*$AC$205*DS208*DS$38*'⑫ Roll-out Plan'!$O$26</f>
        <v>159.84</v>
      </c>
      <c r="DT209" s="36" t="n">
        <f aca="false">DT207*$AC$205*DT208*DT$38*'⑫ Roll-out Plan'!$O$26</f>
        <v>226.44</v>
      </c>
      <c r="DU209" s="36" t="n">
        <f aca="false">DU207*$AC$205*DU208*DU$38*'⑫ Roll-out Plan'!$O$26</f>
        <v>239.76</v>
      </c>
      <c r="DV209" s="36" t="n">
        <f aca="false">DV207*$AC$205*DV208*DV$38*'⑫ Roll-out Plan'!$O$26</f>
        <v>182.04</v>
      </c>
      <c r="DW209" s="36" t="n">
        <f aca="false">DW207*$AC$205*DW208*DW$38*'⑫ Roll-out Plan'!$O$26</f>
        <v>257.52</v>
      </c>
      <c r="DX209" s="36" t="n">
        <f aca="false">DX207*$AC$205*DX208*DX$38*'⑫ Roll-out Plan'!$O$26</f>
        <v>244.2</v>
      </c>
      <c r="DY209" s="36" t="n">
        <f aca="false">DY207*$AC$205*DY208*DY$38*'⑫ Roll-out Plan'!$O$26</f>
        <v>204.24</v>
      </c>
      <c r="DZ209" s="36" t="n">
        <f aca="false">DZ207*$AC$205*DZ208*DZ$38*'⑫ Roll-out Plan'!$O$26</f>
        <v>177.6</v>
      </c>
      <c r="EA209" s="36" t="n">
        <f aca="false">EA207*$AC$205*EA208*EA$38*'⑫ Roll-out Plan'!$O$26</f>
        <v>186.48</v>
      </c>
      <c r="EB209" s="36" t="n">
        <f aca="false">EB207*$AC$205*EB208*EB$38*'⑫ Roll-out Plan'!$O$26</f>
        <v>315.24</v>
      </c>
      <c r="EC209" s="36" t="n">
        <f aca="false">EC207*$AC$205*EC208*EC$38*'⑫ Roll-out Plan'!$O$26</f>
        <v>257.52</v>
      </c>
      <c r="ED209" s="36" t="n">
        <f aca="false">ED207*$AC$205*ED208*ED$38*'⑫ Roll-out Plan'!$O$26</f>
        <v>213.12</v>
      </c>
      <c r="EE209" s="36" t="n">
        <f aca="false">EE207*$AC$205*EE208*EE$38*'⑫ Roll-out Plan'!$O$26</f>
        <v>159.84</v>
      </c>
      <c r="EF209" s="36" t="n">
        <f aca="false">EF207*$AC$205*EF208*EF$38*'⑫ Roll-out Plan'!$O$26</f>
        <v>226.44</v>
      </c>
      <c r="EG209" s="36" t="n">
        <f aca="false">EG207*$AC$205*EG208*EG$38*'⑫ Roll-out Plan'!$O$26</f>
        <v>239.76</v>
      </c>
      <c r="EH209" s="36" t="n">
        <f aca="false">EH207*$AC$205*EH208*EH$38*'⑫ Roll-out Plan'!$O$26</f>
        <v>182.04</v>
      </c>
      <c r="EI209" s="36" t="n">
        <f aca="false">EI207*$AC$205*EI208*EI$38*'⑫ Roll-out Plan'!$O$26</f>
        <v>257.52</v>
      </c>
      <c r="EJ209" s="36" t="n">
        <f aca="false">EJ207*$AC$205*EJ208*EJ$38*'⑫ Roll-out Plan'!$O$26</f>
        <v>244.2</v>
      </c>
      <c r="EK209" s="36" t="n">
        <f aca="false">EK207*$AC$205*EK208*EK$38*'⑫ Roll-out Plan'!$O$26</f>
        <v>204.24</v>
      </c>
      <c r="EL209" s="36" t="n">
        <f aca="false">EL207*$AC$205*EL208*EL$38*'⑫ Roll-out Plan'!$O$26</f>
        <v>177.6</v>
      </c>
      <c r="EM209" s="36" t="n">
        <f aca="false">EM207*$AC$205*EM208*EM$38*'⑫ Roll-out Plan'!$O$26</f>
        <v>186.48</v>
      </c>
      <c r="EN209" s="36" t="n">
        <f aca="false">EN207*$AC$205*EN208*EN$38*'⑫ Roll-out Plan'!$O$26</f>
        <v>315.24</v>
      </c>
      <c r="EO209" s="36" t="n">
        <f aca="false">EO207*$AC$205*EO208*EO$38*'⑫ Roll-out Plan'!$O$26</f>
        <v>257.52</v>
      </c>
      <c r="EP209" s="36" t="n">
        <f aca="false">EP207*$AC$205*EP208*EP$38*'⑫ Roll-out Plan'!$O$26</f>
        <v>213.12</v>
      </c>
      <c r="EQ209" s="36" t="n">
        <f aca="false">EQ207*$AC$205*EQ208*EQ$38*'⑫ Roll-out Plan'!$O$26</f>
        <v>159.84</v>
      </c>
      <c r="ER209" s="36" t="n">
        <f aca="false">ER207*$AC$205*ER208*ER$38*'⑫ Roll-out Plan'!$O$26</f>
        <v>226.44</v>
      </c>
      <c r="ES209" s="9" t="n">
        <f aca="false">ES207*$AC$205*ES208*ES$38*'⑫ Roll-out Plan'!$O$26</f>
        <v>239.76</v>
      </c>
      <c r="ET209" s="9" t="n">
        <f aca="false">ET207*$AC$205*ET208*ET$38*'⑫ Roll-out Plan'!$O$26</f>
        <v>182.04</v>
      </c>
      <c r="EU209" s="9" t="n">
        <f aca="false">EU207*$AC$205*EU208*EU$38*'⑫ Roll-out Plan'!$O$26</f>
        <v>257.52</v>
      </c>
      <c r="EV209" s="9" t="n">
        <f aca="false">EV207*$AC$205*EV208*EV$38*'⑫ Roll-out Plan'!$O$26</f>
        <v>244.2</v>
      </c>
      <c r="EW209" s="9" t="n">
        <f aca="false">EW207*$AC$205*EW208*EW$38*'⑫ Roll-out Plan'!$O$26</f>
        <v>204.24</v>
      </c>
      <c r="EX209" s="9" t="n">
        <f aca="false">EX207*$AC$205*EX208*EX$38*'⑫ Roll-out Plan'!$O$26</f>
        <v>177.6</v>
      </c>
      <c r="EY209" s="9" t="n">
        <f aca="false">EY207*$AC$205*EY208*EY$38*'⑫ Roll-out Plan'!$O$26</f>
        <v>186.48</v>
      </c>
      <c r="EZ209" s="9" t="n">
        <f aca="false">EZ207*$AC$205*EZ208*EZ$38*'⑫ Roll-out Plan'!$O$26</f>
        <v>315.24</v>
      </c>
      <c r="FA209" s="9" t="n">
        <f aca="false">FA207*$AC$205*FA208*FA$38*'⑫ Roll-out Plan'!$O$26</f>
        <v>257.52</v>
      </c>
      <c r="FB209" s="9" t="n">
        <f aca="false">FB207*$AC$205*FB208*FB$38*'⑫ Roll-out Plan'!$O$26</f>
        <v>213.12</v>
      </c>
      <c r="FC209" s="9" t="n">
        <f aca="false">FC207*$AC$205*FC208*FC$38*'⑫ Roll-out Plan'!$O$26</f>
        <v>159.84</v>
      </c>
      <c r="FD209" s="9" t="n">
        <f aca="false">FD207*$AC$205*FD208*FD$38*'⑫ Roll-out Plan'!$O$26</f>
        <v>226.44</v>
      </c>
      <c r="FE209" s="9" t="n">
        <f aca="false">FE207*$AC$205*FE208*FE$38*'⑫ Roll-out Plan'!$O$26</f>
        <v>239.76</v>
      </c>
      <c r="FF209" s="9" t="n">
        <f aca="false">FF207*$AC$205*FF208*FF$38*'⑫ Roll-out Plan'!$O$26</f>
        <v>182.04</v>
      </c>
      <c r="FG209" s="9" t="n">
        <f aca="false">FG207*$AC$205*FG208*FG$38*'⑫ Roll-out Plan'!$O$26</f>
        <v>257.52</v>
      </c>
      <c r="FH209" s="9" t="n">
        <f aca="false">FH207*$AC$205*FH208*FH$38*'⑫ Roll-out Plan'!$O$26</f>
        <v>244.2</v>
      </c>
      <c r="FI209" s="9" t="n">
        <f aca="false">FI207*$AC$205*FI208*FI$38*'⑫ Roll-out Plan'!$O$26</f>
        <v>204.24</v>
      </c>
      <c r="FJ209" s="9" t="n">
        <f aca="false">FJ207*$AC$205*FJ208*FJ$38*'⑫ Roll-out Plan'!$O$26</f>
        <v>177.6</v>
      </c>
      <c r="FK209" s="9" t="n">
        <f aca="false">FK207*$AC$205*FK208*FK$38*'⑫ Roll-out Plan'!$O$26</f>
        <v>186.48</v>
      </c>
      <c r="FL209" s="9" t="n">
        <f aca="false">FL207*$AC$205*FL208*FL$38*'⑫ Roll-out Plan'!$O$26</f>
        <v>315.24</v>
      </c>
      <c r="FM209" s="9" t="n">
        <f aca="false">FM207*$AC$205*FM208*FM$38*'⑫ Roll-out Plan'!$O$26</f>
        <v>257.52</v>
      </c>
      <c r="FN209" s="9" t="n">
        <f aca="false">FN207*$AC$205*FN208*FN$38*'⑫ Roll-out Plan'!$O$26</f>
        <v>213.12</v>
      </c>
      <c r="FO209" s="9" t="n">
        <f aca="false">FO207*$AC$205*FO208*FO$38*'⑫ Roll-out Plan'!$O$26</f>
        <v>159.84</v>
      </c>
      <c r="FP209" s="9" t="n">
        <f aca="false">FP207*$AC$205*FP208*FP$38*'⑫ Roll-out Plan'!$O$26</f>
        <v>226.44</v>
      </c>
    </row>
    <row r="210" customFormat="false" ht="15" hidden="false" customHeight="false" outlineLevel="2" collapsed="false">
      <c r="B210" s="9" t="s">
        <v>877</v>
      </c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112" t="n">
        <f aca="true">IFERROR(SUMPRODUCT(OFFSET($BJ$31,0,1-MIN(60,COLUMN()-29),1,MIN(60,COLUMN()-29)),OFFSET(AC209,0,-MIN(60,COLUMN()-29),1,MIN(60,COLUMN()-29))),0)</f>
        <v>0</v>
      </c>
      <c r="AD210" s="112" t="n">
        <f aca="true">IFERROR(SUMPRODUCT(OFFSET($BJ$31,0,1-MIN(60,COLUMN()-29),1,MIN(60,COLUMN()-29)),OFFSET(AD209,0,-MIN(60,COLUMN()-29),1,MIN(60,COLUMN()-29))),0)</f>
        <v>0</v>
      </c>
      <c r="AE210" s="112" t="n">
        <f aca="true">IFERROR(SUMPRODUCT(OFFSET($BJ$31,0,1-MIN(60,COLUMN()-29),1,MIN(60,COLUMN()-29)),OFFSET(AE209,0,-MIN(60,COLUMN()-29),1,MIN(60,COLUMN()-29))),0)</f>
        <v>0</v>
      </c>
      <c r="AF210" s="112" t="n">
        <f aca="true">IFERROR(SUMPRODUCT(OFFSET($BJ$31,0,1-MIN(60,COLUMN()-29),1,MIN(60,COLUMN()-29)),OFFSET(AF209,0,-MIN(60,COLUMN()-29),1,MIN(60,COLUMN()-29))),0)</f>
        <v>0</v>
      </c>
      <c r="AG210" s="112" t="n">
        <f aca="true">IFERROR(SUMPRODUCT(OFFSET($BJ$31,0,1-MIN(60,COLUMN()-29),1,MIN(60,COLUMN()-29)),OFFSET(AG209,0,-MIN(60,COLUMN()-29),1,MIN(60,COLUMN()-29))),0)</f>
        <v>0</v>
      </c>
      <c r="AH210" s="112" t="n">
        <f aca="true">IFERROR(SUMPRODUCT(OFFSET($BJ$31,0,1-MIN(60,COLUMN()-29),1,MIN(60,COLUMN()-29)),OFFSET(AH209,0,-MIN(60,COLUMN()-29),1,MIN(60,COLUMN()-29))),0)</f>
        <v>0</v>
      </c>
      <c r="AI210" s="112" t="n">
        <f aca="true">IFERROR(SUMPRODUCT(OFFSET($BJ$31,0,1-MIN(60,COLUMN()-29),1,MIN(60,COLUMN()-29)),OFFSET(AI209,0,-MIN(60,COLUMN()-29),1,MIN(60,COLUMN()-29))),0)</f>
        <v>0</v>
      </c>
      <c r="AJ210" s="112" t="n">
        <f aca="true">IFERROR(SUMPRODUCT(OFFSET($BJ$31,0,1-MIN(60,COLUMN()-29),1,MIN(60,COLUMN()-29)),OFFSET(AJ209,0,-MIN(60,COLUMN()-29),1,MIN(60,COLUMN()-29))),0)</f>
        <v>0</v>
      </c>
      <c r="AK210" s="112" t="n">
        <f aca="true">IFERROR(SUMPRODUCT(OFFSET($BJ$31,0,1-MIN(60,COLUMN()-29),1,MIN(60,COLUMN()-29)),OFFSET(AK209,0,-MIN(60,COLUMN()-29),1,MIN(60,COLUMN()-29))),0)</f>
        <v>0</v>
      </c>
      <c r="AL210" s="112" t="n">
        <f aca="true">IFERROR(SUMPRODUCT(OFFSET($BJ$31,0,1-MIN(60,COLUMN()-29),1,MIN(60,COLUMN()-29)),OFFSET(AL209,0,-MIN(60,COLUMN()-29),1,MIN(60,COLUMN()-29))),0)</f>
        <v>0</v>
      </c>
      <c r="AM210" s="112" t="n">
        <f aca="true">IFERROR(SUMPRODUCT(OFFSET($BJ$31,0,1-MIN(60,COLUMN()-29),1,MIN(60,COLUMN()-29)),OFFSET(AM209,0,-MIN(60,COLUMN()-29),1,MIN(60,COLUMN()-29))),0)</f>
        <v>0</v>
      </c>
      <c r="AN210" s="112" t="n">
        <f aca="true">IFERROR(SUMPRODUCT(OFFSET($BJ$31,0,1-MIN(60,COLUMN()-29),1,MIN(60,COLUMN()-29)),OFFSET(AN209,0,-MIN(60,COLUMN()-29),1,MIN(60,COLUMN()-29))),0)</f>
        <v>0</v>
      </c>
      <c r="AO210" s="112" t="n">
        <f aca="true">IFERROR(SUMPRODUCT(OFFSET($BJ$31,0,1-MIN(60,COLUMN()-29),1,MIN(60,COLUMN()-29)),OFFSET(AO209,0,-MIN(60,COLUMN()-29),1,MIN(60,COLUMN()-29))),0)</f>
        <v>0</v>
      </c>
      <c r="AP210" s="112" t="n">
        <f aca="true">IFERROR(SUMPRODUCT(OFFSET($BJ$31,0,1-MIN(60,COLUMN()-29),1,MIN(60,COLUMN()-29)),OFFSET(AP209,0,-MIN(60,COLUMN()-29),1,MIN(60,COLUMN()-29))),0)</f>
        <v>0</v>
      </c>
      <c r="AQ210" s="112" t="n">
        <f aca="true">IFERROR(SUMPRODUCT(OFFSET($BJ$31,0,1-MIN(60,COLUMN()-29),1,MIN(60,COLUMN()-29)),OFFSET(AQ209,0,-MIN(60,COLUMN()-29),1,MIN(60,COLUMN()-29))),0)</f>
        <v>0</v>
      </c>
      <c r="AR210" s="112" t="n">
        <f aca="true">IFERROR(SUMPRODUCT(OFFSET($BJ$31,0,1-MIN(60,COLUMN()-29),1,MIN(60,COLUMN()-29)),OFFSET(AR209,0,-MIN(60,COLUMN()-29),1,MIN(60,COLUMN()-29))),0)</f>
        <v>0</v>
      </c>
      <c r="AS210" s="112" t="n">
        <f aca="true">IFERROR(SUMPRODUCT(OFFSET($BJ$31,0,1-MIN(60,COLUMN()-29),1,MIN(60,COLUMN()-29)),OFFSET(AS209,0,-MIN(60,COLUMN()-29),1,MIN(60,COLUMN()-29))),0)</f>
        <v>0</v>
      </c>
      <c r="AT210" s="112" t="n">
        <f aca="true">IFERROR(SUMPRODUCT(OFFSET($BJ$31,0,1-MIN(60,COLUMN()-29),1,MIN(60,COLUMN()-29)),OFFSET(AT209,0,-MIN(60,COLUMN()-29),1,MIN(60,COLUMN()-29))),0)</f>
        <v>0</v>
      </c>
      <c r="AU210" s="112" t="n">
        <f aca="true">IFERROR(SUMPRODUCT(OFFSET($BJ$31,0,1-MIN(60,COLUMN()-29),1,MIN(60,COLUMN()-29)),OFFSET(AU209,0,-MIN(60,COLUMN()-29),1,MIN(60,COLUMN()-29))),0)</f>
        <v>0</v>
      </c>
      <c r="AV210" s="112" t="n">
        <f aca="true">IFERROR(SUMPRODUCT(OFFSET($BJ$31,0,1-MIN(60,COLUMN()-29),1,MIN(60,COLUMN()-29)),OFFSET(AV209,0,-MIN(60,COLUMN()-29),1,MIN(60,COLUMN()-29))),0)</f>
        <v>0</v>
      </c>
      <c r="AW210" s="112" t="n">
        <f aca="true">IFERROR(SUMPRODUCT(OFFSET($BJ$31,0,1-MIN(60,COLUMN()-29),1,MIN(60,COLUMN()-29)),OFFSET(AW209,0,-MIN(60,COLUMN()-29),1,MIN(60,COLUMN()-29))),0)</f>
        <v>0</v>
      </c>
      <c r="AX210" s="112" t="n">
        <f aca="true">IFERROR(SUMPRODUCT(OFFSET($BJ$31,0,1-MIN(60,COLUMN()-29),1,MIN(60,COLUMN()-29)),OFFSET(AX209,0,-MIN(60,COLUMN()-29),1,MIN(60,COLUMN()-29))),0)</f>
        <v>0</v>
      </c>
      <c r="AY210" s="112" t="n">
        <f aca="true">IFERROR(SUMPRODUCT(OFFSET($BJ$31,0,1-MIN(60,COLUMN()-29),1,MIN(60,COLUMN()-29)),OFFSET(AY209,0,-MIN(60,COLUMN()-29),1,MIN(60,COLUMN()-29))),0)</f>
        <v>0</v>
      </c>
      <c r="AZ210" s="112" t="n">
        <f aca="true">IFERROR(SUMPRODUCT(OFFSET($BJ$31,0,1-MIN(60,COLUMN()-29),1,MIN(60,COLUMN()-29)),OFFSET(AZ209,0,-MIN(60,COLUMN()-29),1,MIN(60,COLUMN()-29))),0)</f>
        <v>0</v>
      </c>
      <c r="BA210" s="112" t="n">
        <f aca="true">IFERROR(SUMPRODUCT(OFFSET($BJ$31,0,1-MIN(60,COLUMN()-29),1,MIN(60,COLUMN()-29)),OFFSET(BA209,0,-MIN(60,COLUMN()-29),1,MIN(60,COLUMN()-29))),0)</f>
        <v>0</v>
      </c>
      <c r="BB210" s="112" t="n">
        <f aca="true">IFERROR(SUMPRODUCT(OFFSET($BJ$31,0,1-MIN(60,COLUMN()-29),1,MIN(60,COLUMN()-29)),OFFSET(BB209,0,-MIN(60,COLUMN()-29),1,MIN(60,COLUMN()-29))),0)</f>
        <v>0</v>
      </c>
      <c r="BC210" s="112" t="n">
        <f aca="true">IFERROR(SUMPRODUCT(OFFSET($BJ$31,0,1-MIN(60,COLUMN()-29),1,MIN(60,COLUMN()-29)),OFFSET(BC209,0,-MIN(60,COLUMN()-29),1,MIN(60,COLUMN()-29))),0)</f>
        <v>0</v>
      </c>
      <c r="BD210" s="112" t="n">
        <f aca="true">IFERROR(SUMPRODUCT(OFFSET($BJ$31,0,1-MIN(60,COLUMN()-29),1,MIN(60,COLUMN()-29)),OFFSET(BD209,0,-MIN(60,COLUMN()-29),1,MIN(60,COLUMN()-29))),0)</f>
        <v>0</v>
      </c>
      <c r="BE210" s="112" t="n">
        <f aca="true">IFERROR(SUMPRODUCT(OFFSET($BJ$31,0,1-MIN(60,COLUMN()-29),1,MIN(60,COLUMN()-29)),OFFSET(BE209,0,-MIN(60,COLUMN()-29),1,MIN(60,COLUMN()-29))),0)</f>
        <v>0</v>
      </c>
      <c r="BF210" s="112" t="n">
        <f aca="true">IFERROR(SUMPRODUCT(OFFSET($BJ$31,0,1-MIN(60,COLUMN()-29),1,MIN(60,COLUMN()-29)),OFFSET(BF209,0,-MIN(60,COLUMN()-29),1,MIN(60,COLUMN()-29))),0)</f>
        <v>0</v>
      </c>
      <c r="BG210" s="112" t="n">
        <f aca="true">IFERROR(SUMPRODUCT(OFFSET($BJ$31,0,1-MIN(60,COLUMN()-29),1,MIN(60,COLUMN()-29)),OFFSET(BG209,0,-MIN(60,COLUMN()-29),1,MIN(60,COLUMN()-29))),0)</f>
        <v>0</v>
      </c>
      <c r="BH210" s="112" t="n">
        <f aca="true">IFERROR(SUMPRODUCT(OFFSET($BJ$31,0,1-MIN(60,COLUMN()-29),1,MIN(60,COLUMN()-29)),OFFSET(BH209,0,-MIN(60,COLUMN()-29),1,MIN(60,COLUMN()-29))),0)</f>
        <v>0</v>
      </c>
      <c r="BI210" s="112" t="n">
        <f aca="true">IFERROR(SUMPRODUCT(OFFSET($BJ$31,0,1-MIN(60,COLUMN()-29),1,MIN(60,COLUMN()-29)),OFFSET(BI209,0,-MIN(60,COLUMN()-29),1,MIN(60,COLUMN()-29))),0)</f>
        <v>0</v>
      </c>
      <c r="BJ210" s="112" t="n">
        <f aca="true">IFERROR(SUMPRODUCT(OFFSET($BJ$31,0,1-MIN(60,COLUMN()-29),1,MIN(60,COLUMN()-29)),OFFSET(BJ209,0,-MIN(60,COLUMN()-29),1,MIN(60,COLUMN()-29))),0)</f>
        <v>0</v>
      </c>
      <c r="BK210" s="112" t="n">
        <f aca="true">IFERROR(SUMPRODUCT(OFFSET($BJ$31,0,1-MIN(60,COLUMN()-29),1,MIN(60,COLUMN()-29)),OFFSET(BK209,0,-MIN(60,COLUMN()-29),1,MIN(60,COLUMN()-29))),0)</f>
        <v>0</v>
      </c>
      <c r="BL210" s="112" t="n">
        <f aca="true">IFERROR(SUMPRODUCT(OFFSET($BJ$31,0,1-MIN(60,COLUMN()-29),1,MIN(60,COLUMN()-29)),OFFSET(BL209,0,-MIN(60,COLUMN()-29),1,MIN(60,COLUMN()-29))),0)</f>
        <v>0</v>
      </c>
      <c r="BM210" s="112" t="n">
        <f aca="true">IFERROR(SUMPRODUCT(OFFSET($BJ$31,0,1-MIN(60,COLUMN()-29),1,MIN(60,COLUMN()-29)),OFFSET(BM209,0,-MIN(60,COLUMN()-29),1,MIN(60,COLUMN()-29))),0)</f>
        <v>0</v>
      </c>
      <c r="BN210" s="112" t="n">
        <f aca="true">IFERROR(SUMPRODUCT(OFFSET($BJ$31,0,1-MIN(60,COLUMN()-29),1,MIN(60,COLUMN()-29)),OFFSET(BN209,0,-MIN(60,COLUMN()-29),1,MIN(60,COLUMN()-29))),0)</f>
        <v>0</v>
      </c>
      <c r="BO210" s="112" t="n">
        <f aca="true">IFERROR(SUMPRODUCT(OFFSET($BJ$31,0,1-MIN(60,COLUMN()-29),1,MIN(60,COLUMN()-29)),OFFSET(BO209,0,-MIN(60,COLUMN()-29),1,MIN(60,COLUMN()-29))),0)</f>
        <v>0</v>
      </c>
      <c r="BP210" s="112" t="n">
        <f aca="true">IFERROR(SUMPRODUCT(OFFSET($BJ$31,0,1-MIN(60,COLUMN()-29),1,MIN(60,COLUMN()-29)),OFFSET(BP209,0,-MIN(60,COLUMN()-29),1,MIN(60,COLUMN()-29))),0)</f>
        <v>5.49376</v>
      </c>
      <c r="BQ210" s="112" t="n">
        <f aca="true">IFERROR(SUMPRODUCT(OFFSET($BJ$31,0,1-MIN(60,COLUMN()-29),1,MIN(60,COLUMN()-29)),OFFSET(BQ209,0,-MIN(60,COLUMN()-29),1,MIN(60,COLUMN()-29))),0)</f>
        <v>6.485952</v>
      </c>
      <c r="BR210" s="112" t="n">
        <f aca="true">IFERROR(SUMPRODUCT(OFFSET($BJ$31,0,1-MIN(60,COLUMN()-29),1,MIN(60,COLUMN()-29)),OFFSET(BR209,0,-MIN(60,COLUMN()-29),1,MIN(60,COLUMN()-29))),0)</f>
        <v>6.977904</v>
      </c>
      <c r="BS210" s="112" t="n">
        <f aca="true">IFERROR(SUMPRODUCT(OFFSET($BJ$31,0,1-MIN(60,COLUMN()-29),1,MIN(60,COLUMN()-29)),OFFSET(BS209,0,-MIN(60,COLUMN()-29),1,MIN(60,COLUMN()-29))),0)</f>
        <v>7.3860288</v>
      </c>
      <c r="BT210" s="112" t="n">
        <f aca="true">IFERROR(SUMPRODUCT(OFFSET($BJ$31,0,1-MIN(60,COLUMN()-29),1,MIN(60,COLUMN()-29)),OFFSET(BT209,0,-MIN(60,COLUMN()-29),1,MIN(60,COLUMN()-29))),0)</f>
        <v>7.9740032</v>
      </c>
      <c r="BU210" s="112" t="n">
        <f aca="true">IFERROR(SUMPRODUCT(OFFSET($BJ$31,0,1-MIN(60,COLUMN()-29),1,MIN(60,COLUMN()-29)),OFFSET(BU209,0,-MIN(60,COLUMN()-29),1,MIN(60,COLUMN()-29))),0)</f>
        <v>13.2161632</v>
      </c>
      <c r="BV210" s="112" t="n">
        <f aca="true">IFERROR(SUMPRODUCT(OFFSET($BJ$31,0,1-MIN(60,COLUMN()-29),1,MIN(60,COLUMN()-29)),OFFSET(BV209,0,-MIN(60,COLUMN()-29),1,MIN(60,COLUMN()-29))),0)</f>
        <v>13.7924752</v>
      </c>
      <c r="BW210" s="112" t="n">
        <f aca="true">IFERROR(SUMPRODUCT(OFFSET($BJ$31,0,1-MIN(60,COLUMN()-29),1,MIN(60,COLUMN()-29)),OFFSET(BW209,0,-MIN(60,COLUMN()-29),1,MIN(60,COLUMN()-29))),0)</f>
        <v>14.0510016</v>
      </c>
      <c r="BX210" s="112" t="n">
        <f aca="true">IFERROR(SUMPRODUCT(OFFSET($BJ$31,0,1-MIN(60,COLUMN()-29),1,MIN(60,COLUMN()-29)),OFFSET(BX209,0,-MIN(60,COLUMN()-29),1,MIN(60,COLUMN()-29))),0)</f>
        <v>13.3208288</v>
      </c>
      <c r="BY210" s="112" t="n">
        <f aca="true">IFERROR(SUMPRODUCT(OFFSET($BJ$31,0,1-MIN(60,COLUMN()-29),1,MIN(60,COLUMN()-29)),OFFSET(BY209,0,-MIN(60,COLUMN()-29),1,MIN(60,COLUMN()-29))),0)</f>
        <v>17.1758144</v>
      </c>
      <c r="BZ210" s="112" t="n">
        <f aca="true">IFERROR(SUMPRODUCT(OFFSET($BJ$31,0,1-MIN(60,COLUMN()-29),1,MIN(60,COLUMN()-29)),OFFSET(BZ209,0,-MIN(60,COLUMN()-29),1,MIN(60,COLUMN()-29))),0)</f>
        <v>19.2289296</v>
      </c>
      <c r="CA210" s="112" t="n">
        <f aca="true">IFERROR(SUMPRODUCT(OFFSET($BJ$31,0,1-MIN(60,COLUMN()-29),1,MIN(60,COLUMN()-29)),OFFSET(CA209,0,-MIN(60,COLUMN()-29),1,MIN(60,COLUMN()-29))),0)</f>
        <v>19.3381536</v>
      </c>
      <c r="CB210" s="112" t="n">
        <f aca="true">IFERROR(SUMPRODUCT(OFFSET($BJ$31,0,1-MIN(60,COLUMN()-29),1,MIN(60,COLUMN()-29)),OFFSET(CB209,0,-MIN(60,COLUMN()-29),1,MIN(60,COLUMN()-29))),0)</f>
        <v>26.4349904</v>
      </c>
      <c r="CC210" s="112" t="n">
        <f aca="true">IFERROR(SUMPRODUCT(OFFSET($BJ$31,0,1-MIN(60,COLUMN()-29),1,MIN(60,COLUMN()-29)),OFFSET(CC209,0,-MIN(60,COLUMN()-29),1,MIN(60,COLUMN()-29))),0)</f>
        <v>28.1014112</v>
      </c>
      <c r="CD210" s="112" t="n">
        <f aca="true">IFERROR(SUMPRODUCT(OFFSET($BJ$31,0,1-MIN(60,COLUMN()-29),1,MIN(60,COLUMN()-29)),OFFSET(CD209,0,-MIN(60,COLUMN()-29),1,MIN(60,COLUMN()-29))),0)</f>
        <v>27.306888</v>
      </c>
      <c r="CE210" s="112" t="n">
        <f aca="true">IFERROR(SUMPRODUCT(OFFSET($BJ$31,0,1-MIN(60,COLUMN()-29),1,MIN(60,COLUMN()-29)),OFFSET(CE209,0,-MIN(60,COLUMN()-29),1,MIN(60,COLUMN()-29))),0)</f>
        <v>29.3172608</v>
      </c>
      <c r="CF210" s="112" t="n">
        <f aca="true">IFERROR(SUMPRODUCT(OFFSET($BJ$31,0,1-MIN(60,COLUMN()-29),1,MIN(60,COLUMN()-29)),OFFSET(CF209,0,-MIN(60,COLUMN()-29),1,MIN(60,COLUMN()-29))),0)</f>
        <v>33.2778592</v>
      </c>
      <c r="CG210" s="112" t="n">
        <f aca="true">IFERROR(SUMPRODUCT(OFFSET($BJ$31,0,1-MIN(60,COLUMN()-29),1,MIN(60,COLUMN()-29)),OFFSET(CG209,0,-MIN(60,COLUMN()-29),1,MIN(60,COLUMN()-29))),0)</f>
        <v>48.07520408</v>
      </c>
      <c r="CH210" s="112" t="n">
        <f aca="true">IFERROR(SUMPRODUCT(OFFSET($BJ$31,0,1-MIN(60,COLUMN()-29),1,MIN(60,COLUMN()-29)),OFFSET(CH209,0,-MIN(60,COLUMN()-29),1,MIN(60,COLUMN()-29))),0)</f>
        <v>47.86676088</v>
      </c>
      <c r="CI210" s="112" t="n">
        <f aca="true">IFERROR(SUMPRODUCT(OFFSET($BJ$31,0,1-MIN(60,COLUMN()-29),1,MIN(60,COLUMN()-29)),OFFSET(CI209,0,-MIN(60,COLUMN()-29),1,MIN(60,COLUMN()-29))),0)</f>
        <v>46.914742</v>
      </c>
      <c r="CJ210" s="112" t="n">
        <f aca="true">IFERROR(SUMPRODUCT(OFFSET($BJ$31,0,1-MIN(60,COLUMN()-29),1,MIN(60,COLUMN()-29)),OFFSET(CJ209,0,-MIN(60,COLUMN()-29),1,MIN(60,COLUMN()-29))),0)</f>
        <v>44.04318976</v>
      </c>
      <c r="CK210" s="112" t="n">
        <f aca="true">IFERROR(SUMPRODUCT(OFFSET($BJ$31,0,1-MIN(60,COLUMN()-29),1,MIN(60,COLUMN()-29)),OFFSET(CK209,0,-MIN(60,COLUMN()-29),1,MIN(60,COLUMN()-29))),0)</f>
        <v>54.16653036</v>
      </c>
      <c r="CL210" s="112" t="n">
        <f aca="true">IFERROR(SUMPRODUCT(OFFSET($BJ$31,0,1-MIN(60,COLUMN()-29),1,MIN(60,COLUMN()-29)),OFFSET(CL209,0,-MIN(60,COLUMN()-29),1,MIN(60,COLUMN()-29))),0)</f>
        <v>58.44157844</v>
      </c>
      <c r="CM210" s="112" t="n">
        <f aca="true">IFERROR(SUMPRODUCT(OFFSET($BJ$31,0,1-MIN(60,COLUMN()-29),1,MIN(60,COLUMN()-29)),OFFSET(CM209,0,-MIN(60,COLUMN()-29),1,MIN(60,COLUMN()-29))),0)</f>
        <v>57.9629346</v>
      </c>
      <c r="CN210" s="112" t="n">
        <f aca="true">IFERROR(SUMPRODUCT(OFFSET($BJ$31,0,1-MIN(60,COLUMN()-29),1,MIN(60,COLUMN()-29)),OFFSET(CN209,0,-MIN(60,COLUMN()-29),1,MIN(60,COLUMN()-29))),0)</f>
        <v>68.89672468</v>
      </c>
      <c r="CO210" s="112" t="n">
        <f aca="true">IFERROR(SUMPRODUCT(OFFSET($BJ$31,0,1-MIN(60,COLUMN()-29),1,MIN(60,COLUMN()-29)),OFFSET(CO209,0,-MIN(60,COLUMN()-29),1,MIN(60,COLUMN()-29))),0)</f>
        <v>71.33519044</v>
      </c>
      <c r="CP210" s="112" t="n">
        <f aca="true">IFERROR(SUMPRODUCT(OFFSET($BJ$31,0,1-MIN(60,COLUMN()-29),1,MIN(60,COLUMN()-29)),OFFSET(CP209,0,-MIN(60,COLUMN()-29),1,MIN(60,COLUMN()-29))),0)</f>
        <v>72.22380612</v>
      </c>
      <c r="CQ210" s="112" t="n">
        <f aca="true">IFERROR(SUMPRODUCT(OFFSET($BJ$31,0,1-MIN(60,COLUMN()-29),1,MIN(60,COLUMN()-29)),OFFSET(CQ209,0,-MIN(60,COLUMN()-29),1,MIN(60,COLUMN()-29))),0)</f>
        <v>72.82193332</v>
      </c>
      <c r="CR210" s="112" t="n">
        <f aca="true">IFERROR(SUMPRODUCT(OFFSET($BJ$31,0,1-MIN(60,COLUMN()-29),1,MIN(60,COLUMN()-29)),OFFSET(CR209,0,-MIN(60,COLUMN()-29),1,MIN(60,COLUMN()-29))),0)</f>
        <v>79.23220404</v>
      </c>
      <c r="CS210" s="112" t="n">
        <f aca="true">IFERROR(SUMPRODUCT(OFFSET($BJ$31,0,1-MIN(60,COLUMN()-29),1,MIN(60,COLUMN()-29)),OFFSET(CS209,0,-MIN(60,COLUMN()-29),1,MIN(60,COLUMN()-29))),0)</f>
        <v>98.11095972</v>
      </c>
      <c r="CT210" s="112" t="n">
        <f aca="true">IFERROR(SUMPRODUCT(OFFSET($BJ$31,0,1-MIN(60,COLUMN()-29),1,MIN(60,COLUMN()-29)),OFFSET(CT209,0,-MIN(60,COLUMN()-29),1,MIN(60,COLUMN()-29))),0)</f>
        <v>97.66529028</v>
      </c>
      <c r="CU210" s="112" t="n">
        <f aca="true">IFERROR(SUMPRODUCT(OFFSET($BJ$31,0,1-MIN(60,COLUMN()-29),1,MIN(60,COLUMN()-29)),OFFSET(CU209,0,-MIN(60,COLUMN()-29),1,MIN(60,COLUMN()-29))),0)</f>
        <v>96.95886852</v>
      </c>
      <c r="CV210" s="112" t="n">
        <f aca="true">IFERROR(SUMPRODUCT(OFFSET($BJ$31,0,1-MIN(60,COLUMN()-29),1,MIN(60,COLUMN()-29)),OFFSET(CV209,0,-MIN(60,COLUMN()-29),1,MIN(60,COLUMN()-29))),0)</f>
        <v>94.20205476</v>
      </c>
      <c r="CW210" s="112" t="n">
        <f aca="true">IFERROR(SUMPRODUCT(OFFSET($BJ$31,0,1-MIN(60,COLUMN()-29),1,MIN(60,COLUMN()-29)),OFFSET(CW209,0,-MIN(60,COLUMN()-29),1,MIN(60,COLUMN()-29))),0)</f>
        <v>109.08679068</v>
      </c>
      <c r="CX210" s="112" t="n">
        <f aca="true">IFERROR(SUMPRODUCT(OFFSET($BJ$31,0,1-MIN(60,COLUMN()-29),1,MIN(60,COLUMN()-29)),OFFSET(CX209,0,-MIN(60,COLUMN()-29),1,MIN(60,COLUMN()-29))),0)</f>
        <v>114.91826892</v>
      </c>
      <c r="CY210" s="112" t="n">
        <f aca="true">IFERROR(SUMPRODUCT(OFFSET($BJ$31,0,1-MIN(60,COLUMN()-29),1,MIN(60,COLUMN()-29)),OFFSET(CY209,0,-MIN(60,COLUMN()-29),1,MIN(60,COLUMN()-29))),0)</f>
        <v>115.41768012</v>
      </c>
      <c r="CZ210" s="112" t="n">
        <f aca="true">IFERROR(SUMPRODUCT(OFFSET($BJ$31,0,1-MIN(60,COLUMN()-29),1,MIN(60,COLUMN()-29)),OFFSET(CZ209,0,-MIN(60,COLUMN()-29),1,MIN(60,COLUMN()-29))),0)</f>
        <v>129.1475454</v>
      </c>
      <c r="DA210" s="112" t="n">
        <f aca="true">IFERROR(SUMPRODUCT(OFFSET($BJ$31,0,1-MIN(60,COLUMN()-29),1,MIN(60,COLUMN()-29)),OFFSET(DA209,0,-MIN(60,COLUMN()-29),1,MIN(60,COLUMN()-29))),0)</f>
        <v>133.25638356</v>
      </c>
      <c r="DB210" s="112" t="n">
        <f aca="true">IFERROR(SUMPRODUCT(OFFSET($BJ$31,0,1-MIN(60,COLUMN()-29),1,MIN(60,COLUMN()-29)),OFFSET(DB209,0,-MIN(60,COLUMN()-29),1,MIN(60,COLUMN()-29))),0)</f>
        <v>134.76202308</v>
      </c>
      <c r="DC210" s="112" t="n">
        <f aca="true">IFERROR(SUMPRODUCT(OFFSET($BJ$31,0,1-MIN(60,COLUMN()-29),1,MIN(60,COLUMN()-29)),OFFSET(DC209,0,-MIN(60,COLUMN()-29),1,MIN(60,COLUMN()-29))),0)</f>
        <v>135.0759222</v>
      </c>
      <c r="DD210" s="112" t="n">
        <f aca="true">IFERROR(SUMPRODUCT(OFFSET($BJ$31,0,1-MIN(60,COLUMN()-29),1,MIN(60,COLUMN()-29)),OFFSET(DD209,0,-MIN(60,COLUMN()-29),1,MIN(60,COLUMN()-29))),0)</f>
        <v>143.73536076</v>
      </c>
      <c r="DE210" s="112" t="n">
        <f aca="true">IFERROR(SUMPRODUCT(OFFSET($BJ$31,0,1-MIN(60,COLUMN()-29),1,MIN(60,COLUMN()-29)),OFFSET(DE209,0,-MIN(60,COLUMN()-29),1,MIN(60,COLUMN()-29))),0)</f>
        <v>166.5463758</v>
      </c>
      <c r="DF210" s="112" t="n">
        <f aca="true">IFERROR(SUMPRODUCT(OFFSET($BJ$31,0,1-MIN(60,COLUMN()-29),1,MIN(60,COLUMN()-29)),OFFSET(DF209,0,-MIN(60,COLUMN()-29),1,MIN(60,COLUMN()-29))),0)</f>
        <v>166.97144364</v>
      </c>
      <c r="DG210" s="112" t="n">
        <f aca="true">IFERROR(SUMPRODUCT(OFFSET($BJ$31,0,1-MIN(60,COLUMN()-29),1,MIN(60,COLUMN()-29)),OFFSET(DG209,0,-MIN(60,COLUMN()-29),1,MIN(60,COLUMN()-29))),0)</f>
        <v>166.14880044</v>
      </c>
      <c r="DH210" s="112" t="n">
        <f aca="true">IFERROR(SUMPRODUCT(OFFSET($BJ$31,0,1-MIN(60,COLUMN()-29),1,MIN(60,COLUMN()-29)),OFFSET(DH209,0,-MIN(60,COLUMN()-29),1,MIN(60,COLUMN()-29))),0)</f>
        <v>162.99609852</v>
      </c>
      <c r="DI210" s="112" t="n">
        <f aca="true">IFERROR(SUMPRODUCT(OFFSET($BJ$31,0,1-MIN(60,COLUMN()-29),1,MIN(60,COLUMN()-29)),OFFSET(DI209,0,-MIN(60,COLUMN()-29),1,MIN(60,COLUMN()-29))),0)</f>
        <v>179.79593076</v>
      </c>
      <c r="DJ210" s="112" t="n">
        <f aca="true">IFERROR(SUMPRODUCT(OFFSET($BJ$31,0,1-MIN(60,COLUMN()-29),1,MIN(60,COLUMN()-29)),OFFSET(DJ209,0,-MIN(60,COLUMN()-29),1,MIN(60,COLUMN()-29))),0)</f>
        <v>186.35793108</v>
      </c>
      <c r="DK210" s="112" t="n">
        <f aca="true">IFERROR(SUMPRODUCT(OFFSET($BJ$31,0,1-MIN(60,COLUMN()-29),1,MIN(60,COLUMN()-29)),OFFSET(DK209,0,-MIN(60,COLUMN()-29),1,MIN(60,COLUMN()-29))),0)</f>
        <v>186.79411668</v>
      </c>
      <c r="DL210" s="112" t="n">
        <f aca="true">IFERROR(SUMPRODUCT(OFFSET($BJ$31,0,1-MIN(60,COLUMN()-29),1,MIN(60,COLUMN()-29)),OFFSET(DL209,0,-MIN(60,COLUMN()-29),1,MIN(60,COLUMN()-29))),0)</f>
        <v>201.07535892</v>
      </c>
      <c r="DM210" s="112" t="n">
        <f aca="true">IFERROR(SUMPRODUCT(OFFSET($BJ$31,0,1-MIN(60,COLUMN()-29),1,MIN(60,COLUMN()-29)),OFFSET(DM209,0,-MIN(60,COLUMN()-29),1,MIN(60,COLUMN()-29))),0)</f>
        <v>204.75936012</v>
      </c>
      <c r="DN210" s="112" t="n">
        <f aca="true">IFERROR(SUMPRODUCT(OFFSET($BJ$31,0,1-MIN(60,COLUMN()-29),1,MIN(60,COLUMN()-29)),OFFSET(DN209,0,-MIN(60,COLUMN()-29),1,MIN(60,COLUMN()-29))),0)</f>
        <v>205.63197996</v>
      </c>
      <c r="DO210" s="112" t="n">
        <f aca="true">IFERROR(SUMPRODUCT(OFFSET($BJ$31,0,1-MIN(60,COLUMN()-29),1,MIN(60,COLUMN()-29)),OFFSET(DO209,0,-MIN(60,COLUMN()-29),1,MIN(60,COLUMN()-29))),0)</f>
        <v>205.39562988</v>
      </c>
      <c r="DP210" s="112" t="n">
        <f aca="true">IFERROR(SUMPRODUCT(OFFSET($BJ$31,0,1-MIN(60,COLUMN()-29),1,MIN(60,COLUMN()-29)),OFFSET(DP209,0,-MIN(60,COLUMN()-29),1,MIN(60,COLUMN()-29))),0)</f>
        <v>214.1198658</v>
      </c>
      <c r="DQ210" s="112" t="n">
        <f aca="true">IFERROR(SUMPRODUCT(OFFSET($BJ$31,0,1-MIN(60,COLUMN()-29),1,MIN(60,COLUMN()-29)),OFFSET(DQ209,0,-MIN(60,COLUMN()-29),1,MIN(60,COLUMN()-29))),0)</f>
        <v>236.7264588</v>
      </c>
      <c r="DR210" s="112" t="n">
        <f aca="true">IFERROR(SUMPRODUCT(OFFSET($BJ$31,0,1-MIN(60,COLUMN()-29),1,MIN(60,COLUMN()-29)),OFFSET(DR209,0,-MIN(60,COLUMN()-29),1,MIN(60,COLUMN()-29))),0)</f>
        <v>235.9826256</v>
      </c>
      <c r="DS210" s="112" t="n">
        <f aca="true">IFERROR(SUMPRODUCT(OFFSET($BJ$31,0,1-MIN(60,COLUMN()-29),1,MIN(60,COLUMN()-29)),OFFSET(DS209,0,-MIN(60,COLUMN()-29),1,MIN(60,COLUMN()-29))),0)</f>
        <v>233.80326048</v>
      </c>
      <c r="DT210" s="112" t="n">
        <f aca="true">IFERROR(SUMPRODUCT(OFFSET($BJ$31,0,1-MIN(60,COLUMN()-29),1,MIN(60,COLUMN()-29)),OFFSET(DT209,0,-MIN(60,COLUMN()-29),1,MIN(60,COLUMN()-29))),0)</f>
        <v>229.88886768</v>
      </c>
      <c r="DU210" s="112" t="n">
        <f aca="true">IFERROR(SUMPRODUCT(OFFSET($BJ$31,0,1-MIN(60,COLUMN()-29),1,MIN(60,COLUMN()-29)),OFFSET(DU209,0,-MIN(60,COLUMN()-29),1,MIN(60,COLUMN()-29))),0)</f>
        <v>246.4659096</v>
      </c>
      <c r="DV210" s="112" t="n">
        <f aca="true">IFERROR(SUMPRODUCT(OFFSET($BJ$31,0,1-MIN(60,COLUMN()-29),1,MIN(60,COLUMN()-29)),OFFSET(DV209,0,-MIN(60,COLUMN()-29),1,MIN(60,COLUMN()-29))),0)</f>
        <v>252.05315232</v>
      </c>
      <c r="DW210" s="112" t="n">
        <f aca="true">IFERROR(SUMPRODUCT(OFFSET($BJ$31,0,1-MIN(60,COLUMN()-29),1,MIN(60,COLUMN()-29)),OFFSET(DW209,0,-MIN(60,COLUMN()-29),1,MIN(60,COLUMN()-29))),0)</f>
        <v>251.67974832</v>
      </c>
      <c r="DX210" s="112" t="n">
        <f aca="true">IFERROR(SUMPRODUCT(OFFSET($BJ$31,0,1-MIN(60,COLUMN()-29),1,MIN(60,COLUMN()-29)),OFFSET(DX209,0,-MIN(60,COLUMN()-29),1,MIN(60,COLUMN()-29))),0)</f>
        <v>264.54331632</v>
      </c>
      <c r="DY210" s="112" t="n">
        <f aca="true">IFERROR(SUMPRODUCT(OFFSET($BJ$31,0,1-MIN(60,COLUMN()-29),1,MIN(60,COLUMN()-29)),OFFSET(DY209,0,-MIN(60,COLUMN()-29),1,MIN(60,COLUMN()-29))),0)</f>
        <v>266.67851232</v>
      </c>
      <c r="DZ210" s="112" t="n">
        <f aca="true">IFERROR(SUMPRODUCT(OFFSET($BJ$31,0,1-MIN(60,COLUMN()-29),1,MIN(60,COLUMN()-29)),OFFSET(DZ209,0,-MIN(60,COLUMN()-29),1,MIN(60,COLUMN()-29))),0)</f>
        <v>266.43573312</v>
      </c>
      <c r="EA210" s="112" t="n">
        <f aca="true">IFERROR(SUMPRODUCT(OFFSET($BJ$31,0,1-MIN(60,COLUMN()-29),1,MIN(60,COLUMN()-29)),OFFSET(EA209,0,-MIN(60,COLUMN()-29),1,MIN(60,COLUMN()-29))),0)</f>
        <v>264.68903712</v>
      </c>
      <c r="EB210" s="112" t="n">
        <f aca="true">IFERROR(SUMPRODUCT(OFFSET($BJ$31,0,1-MIN(60,COLUMN()-29),1,MIN(60,COLUMN()-29)),OFFSET(EB209,0,-MIN(60,COLUMN()-29),1,MIN(60,COLUMN()-29))),0)</f>
        <v>271.87704192</v>
      </c>
      <c r="EC210" s="112" t="n">
        <f aca="true">IFERROR(SUMPRODUCT(OFFSET($BJ$31,0,1-MIN(60,COLUMN()-29),1,MIN(60,COLUMN()-29)),OFFSET(EC209,0,-MIN(60,COLUMN()-29),1,MIN(60,COLUMN()-29))),0)</f>
        <v>291.52861512</v>
      </c>
      <c r="ED210" s="112" t="n">
        <f aca="true">IFERROR(SUMPRODUCT(OFFSET($BJ$31,0,1-MIN(60,COLUMN()-29),1,MIN(60,COLUMN()-29)),OFFSET(ED209,0,-MIN(60,COLUMN()-29),1,MIN(60,COLUMN()-29))),0)</f>
        <v>288.14666712</v>
      </c>
      <c r="EE210" s="112" t="n">
        <f aca="true">IFERROR(SUMPRODUCT(OFFSET($BJ$31,0,1-MIN(60,COLUMN()-29),1,MIN(60,COLUMN()-29)),OFFSET(EE209,0,-MIN(60,COLUMN()-29),1,MIN(60,COLUMN()-29))),0)</f>
        <v>283.84945752</v>
      </c>
      <c r="EF210" s="112" t="n">
        <f aca="true">IFERROR(SUMPRODUCT(OFFSET($BJ$31,0,1-MIN(60,COLUMN()-29),1,MIN(60,COLUMN()-29)),OFFSET(EF209,0,-MIN(60,COLUMN()-29),1,MIN(60,COLUMN()-29))),0)</f>
        <v>278.31952632</v>
      </c>
      <c r="EG210" s="112" t="n">
        <f aca="true">IFERROR(SUMPRODUCT(OFFSET($BJ$31,0,1-MIN(60,COLUMN()-29),1,MIN(60,COLUMN()-29)),OFFSET(EG209,0,-MIN(60,COLUMN()-29),1,MIN(60,COLUMN()-29))),0)</f>
        <v>292.52561712</v>
      </c>
      <c r="EH210" s="112" t="n">
        <f aca="true">IFERROR(SUMPRODUCT(OFFSET($BJ$31,0,1-MIN(60,COLUMN()-29),1,MIN(60,COLUMN()-29)),OFFSET(EH209,0,-MIN(60,COLUMN()-29),1,MIN(60,COLUMN()-29))),0)</f>
        <v>295.45628352</v>
      </c>
      <c r="EI210" s="112" t="n">
        <f aca="true">IFERROR(SUMPRODUCT(OFFSET($BJ$31,0,1-MIN(60,COLUMN()-29),1,MIN(60,COLUMN()-29)),OFFSET(EI209,0,-MIN(60,COLUMN()-29),1,MIN(60,COLUMN()-29))),0)</f>
        <v>292.97303592</v>
      </c>
      <c r="EJ210" s="112" t="n">
        <f aca="true">IFERROR(SUMPRODUCT(OFFSET($BJ$31,0,1-MIN(60,COLUMN()-29),1,MIN(60,COLUMN()-29)),OFFSET(EJ209,0,-MIN(60,COLUMN()-29),1,MIN(60,COLUMN()-29))),0)</f>
        <v>303.47514552</v>
      </c>
      <c r="EK210" s="112" t="n">
        <f aca="true">IFERROR(SUMPRODUCT(OFFSET($BJ$31,0,1-MIN(60,COLUMN()-29),1,MIN(60,COLUMN()-29)),OFFSET(EK209,0,-MIN(60,COLUMN()-29),1,MIN(60,COLUMN()-29))),0)</f>
        <v>303.39788952</v>
      </c>
      <c r="EL210" s="112" t="n">
        <f aca="true">IFERROR(SUMPRODUCT(OFFSET($BJ$31,0,1-MIN(60,COLUMN()-29),1,MIN(60,COLUMN()-29)),OFFSET(EL209,0,-MIN(60,COLUMN()-29),1,MIN(60,COLUMN()-29))),0)</f>
        <v>301.29244152</v>
      </c>
      <c r="EM210" s="112" t="n">
        <f aca="true">IFERROR(SUMPRODUCT(OFFSET($BJ$31,0,1-MIN(60,COLUMN()-29),1,MIN(60,COLUMN()-29)),OFFSET(EM209,0,-MIN(60,COLUMN()-29),1,MIN(60,COLUMN()-29))),0)</f>
        <v>297.95054232</v>
      </c>
      <c r="EN210" s="112" t="n">
        <f aca="true">IFERROR(SUMPRODUCT(OFFSET($BJ$31,0,1-MIN(60,COLUMN()-29),1,MIN(60,COLUMN()-29)),OFFSET(EN209,0,-MIN(60,COLUMN()-29),1,MIN(60,COLUMN()-29))),0)</f>
        <v>303.4389684</v>
      </c>
      <c r="EO210" s="112" t="n">
        <f aca="true">IFERROR(SUMPRODUCT(OFFSET($BJ$31,0,1-MIN(60,COLUMN()-29),1,MIN(60,COLUMN()-29)),OFFSET(EO209,0,-MIN(60,COLUMN()-29),1,MIN(60,COLUMN()-29))),0)</f>
        <v>320.37443376</v>
      </c>
      <c r="EP210" s="112" t="n">
        <f aca="true">IFERROR(SUMPRODUCT(OFFSET($BJ$31,0,1-MIN(60,COLUMN()-29),1,MIN(60,COLUMN()-29)),OFFSET(EP209,0,-MIN(60,COLUMN()-29),1,MIN(60,COLUMN()-29))),0)</f>
        <v>314.86176528</v>
      </c>
      <c r="EQ210" s="112" t="n">
        <f aca="true">IFERROR(SUMPRODUCT(OFFSET($BJ$31,0,1-MIN(60,COLUMN()-29),1,MIN(60,COLUMN()-29)),OFFSET(EQ209,0,-MIN(60,COLUMN()-29),1,MIN(60,COLUMN()-29))),0)</f>
        <v>308.8395624</v>
      </c>
      <c r="ER210" s="112" t="n">
        <f aca="true">IFERROR(SUMPRODUCT(OFFSET($BJ$31,0,1-MIN(60,COLUMN()-29),1,MIN(60,COLUMN()-29)),OFFSET(ER209,0,-MIN(60,COLUMN()-29),1,MIN(60,COLUMN()-29))),0)</f>
        <v>302.08973232</v>
      </c>
      <c r="ES210" s="9" t="n">
        <f aca="true">IFERROR(SUMPRODUCT(OFFSET($BJ$31,0,1-MIN(60,COLUMN()-29),1,MIN(60,COLUMN()-29)),OFFSET(ES209,0,-MIN(60,COLUMN()-29),1,MIN(60,COLUMN()-29))),0)</f>
        <v>314.53638432</v>
      </c>
      <c r="ET210" s="9" t="n">
        <f aca="true">IFERROR(SUMPRODUCT(OFFSET($BJ$31,0,1-MIN(60,COLUMN()-29),1,MIN(60,COLUMN()-29)),OFFSET(ET209,0,-MIN(60,COLUMN()-29),1,MIN(60,COLUMN()-29))),0)</f>
        <v>315.72207744</v>
      </c>
      <c r="EU210" s="9" t="n">
        <f aca="true">IFERROR(SUMPRODUCT(OFFSET($BJ$31,0,1-MIN(60,COLUMN()-29),1,MIN(60,COLUMN()-29)),OFFSET(EU209,0,-MIN(60,COLUMN()-29),1,MIN(60,COLUMN()-29))),0)</f>
        <v>311.9488944</v>
      </c>
      <c r="EV210" s="9" t="n">
        <f aca="true">IFERROR(SUMPRODUCT(OFFSET($BJ$31,0,1-MIN(60,COLUMN()-29),1,MIN(60,COLUMN()-29)),OFFSET(EV209,0,-MIN(60,COLUMN()-29),1,MIN(60,COLUMN()-29))),0)</f>
        <v>320.71119888</v>
      </c>
      <c r="EW210" s="9" t="n">
        <f aca="true">IFERROR(SUMPRODUCT(OFFSET($BJ$31,0,1-MIN(60,COLUMN()-29),1,MIN(60,COLUMN()-29)),OFFSET(EW209,0,-MIN(60,COLUMN()-29),1,MIN(60,COLUMN()-29))),0)</f>
        <v>319.06617888</v>
      </c>
      <c r="EX210" s="9" t="n">
        <f aca="true">IFERROR(SUMPRODUCT(OFFSET($BJ$31,0,1-MIN(60,COLUMN()-29),1,MIN(60,COLUMN()-29)),OFFSET(EX209,0,-MIN(60,COLUMN()-29),1,MIN(60,COLUMN()-29))),0)</f>
        <v>315.62132496</v>
      </c>
      <c r="EY210" s="9" t="n">
        <f aca="true">IFERROR(SUMPRODUCT(OFFSET($BJ$31,0,1-MIN(60,COLUMN()-29),1,MIN(60,COLUMN()-29)),OFFSET(EY209,0,-MIN(60,COLUMN()-29),1,MIN(60,COLUMN()-29))),0)</f>
        <v>311.44932336</v>
      </c>
      <c r="EZ210" s="9" t="n">
        <f aca="true">IFERROR(SUMPRODUCT(OFFSET($BJ$31,0,1-MIN(60,COLUMN()-29),1,MIN(60,COLUMN()-29)),OFFSET(EZ209,0,-MIN(60,COLUMN()-29),1,MIN(60,COLUMN()-29))),0)</f>
        <v>316.09187616</v>
      </c>
      <c r="FA210" s="9" t="n">
        <f aca="true">IFERROR(SUMPRODUCT(OFFSET($BJ$31,0,1-MIN(60,COLUMN()-29),1,MIN(60,COLUMN()-29)),OFFSET(FA209,0,-MIN(60,COLUMN()-29),1,MIN(60,COLUMN()-29))),0)</f>
        <v>331.68631056</v>
      </c>
      <c r="FB210" s="9" t="n">
        <f aca="true">IFERROR(SUMPRODUCT(OFFSET($BJ$31,0,1-MIN(60,COLUMN()-29),1,MIN(60,COLUMN()-29)),OFFSET(FB209,0,-MIN(60,COLUMN()-29),1,MIN(60,COLUMN()-29))),0)</f>
        <v>325.11523488</v>
      </c>
      <c r="FC210" s="9" t="n">
        <f aca="true">IFERROR(SUMPRODUCT(OFFSET($BJ$31,0,1-MIN(60,COLUMN()-29),1,MIN(60,COLUMN()-29)),OFFSET(FC209,0,-MIN(60,COLUMN()-29),1,MIN(60,COLUMN()-29))),0)</f>
        <v>318.18769824</v>
      </c>
      <c r="FD210" s="9" t="n">
        <f aca="true">IFERROR(SUMPRODUCT(OFFSET($BJ$31,0,1-MIN(60,COLUMN()-29),1,MIN(60,COLUMN()-29)),OFFSET(FD209,0,-MIN(60,COLUMN()-29),1,MIN(60,COLUMN()-29))),0)</f>
        <v>310.8058608</v>
      </c>
      <c r="FE210" s="9" t="n">
        <f aca="true">IFERROR(SUMPRODUCT(OFFSET($BJ$31,0,1-MIN(60,COLUMN()-29),1,MIN(60,COLUMN()-29)),OFFSET(FE209,0,-MIN(60,COLUMN()-29),1,MIN(60,COLUMN()-29))),0)</f>
        <v>322.4237424</v>
      </c>
      <c r="FF210" s="9" t="n">
        <f aca="true">IFERROR(SUMPRODUCT(OFFSET($BJ$31,0,1-MIN(60,COLUMN()-29),1,MIN(60,COLUMN()-29)),OFFSET(FF209,0,-MIN(60,COLUMN()-29),1,MIN(60,COLUMN()-29))),0)</f>
        <v>322.8009648</v>
      </c>
      <c r="FG210" s="9" t="n">
        <f aca="true">IFERROR(SUMPRODUCT(OFFSET($BJ$31,0,1-MIN(60,COLUMN()-29),1,MIN(60,COLUMN()-29)),OFFSET(FG209,0,-MIN(60,COLUMN()-29),1,MIN(60,COLUMN()-29))),0)</f>
        <v>318.46855488</v>
      </c>
      <c r="FH210" s="9" t="n">
        <f aca="true">IFERROR(SUMPRODUCT(OFFSET($BJ$31,0,1-MIN(60,COLUMN()-29),1,MIN(60,COLUMN()-29)),OFFSET(FH209,0,-MIN(60,COLUMN()-29),1,MIN(60,COLUMN()-29))),0)</f>
        <v>326.44130304</v>
      </c>
      <c r="FI210" s="9" t="n">
        <f aca="true">IFERROR(SUMPRODUCT(OFFSET($BJ$31,0,1-MIN(60,COLUMN()-29),1,MIN(60,COLUMN()-29)),OFFSET(FI209,0,-MIN(60,COLUMN()-29),1,MIN(60,COLUMN()-29))),0)</f>
        <v>324.08419584</v>
      </c>
      <c r="FJ210" s="9" t="n">
        <f aca="true">IFERROR(SUMPRODUCT(OFFSET($BJ$31,0,1-MIN(60,COLUMN()-29),1,MIN(60,COLUMN()-29)),OFFSET(FJ209,0,-MIN(60,COLUMN()-29),1,MIN(60,COLUMN()-29))),0)</f>
        <v>320.10382464</v>
      </c>
      <c r="FK210" s="9" t="n">
        <f aca="true">IFERROR(SUMPRODUCT(OFFSET($BJ$31,0,1-MIN(60,COLUMN()-29),1,MIN(60,COLUMN()-29)),OFFSET(FK209,0,-MIN(60,COLUMN()-29),1,MIN(60,COLUMN()-29))),0)</f>
        <v>315.51730464</v>
      </c>
      <c r="FL210" s="9" t="n">
        <f aca="true">IFERROR(SUMPRODUCT(OFFSET($BJ$31,0,1-MIN(60,COLUMN()-29),1,MIN(60,COLUMN()-29)),OFFSET(FL209,0,-MIN(60,COLUMN()-29),1,MIN(60,COLUMN()-29))),0)</f>
        <v>319.753704</v>
      </c>
      <c r="FM210" s="9" t="n">
        <f aca="true">IFERROR(SUMPRODUCT(OFFSET($BJ$31,0,1-MIN(60,COLUMN()-29),1,MIN(60,COLUMN()-29)),OFFSET(FM209,0,-MIN(60,COLUMN()-29),1,MIN(60,COLUMN()-29))),0)</f>
        <v>334.66343712</v>
      </c>
      <c r="FN210" s="9" t="n">
        <f aca="true">IFERROR(SUMPRODUCT(OFFSET($BJ$31,0,1-MIN(60,COLUMN()-29),1,MIN(60,COLUMN()-29)),OFFSET(FN209,0,-MIN(60,COLUMN()-29),1,MIN(60,COLUMN()-29))),0)</f>
        <v>327.571656</v>
      </c>
      <c r="FO210" s="9" t="n">
        <f aca="true">IFERROR(SUMPRODUCT(OFFSET($BJ$31,0,1-MIN(60,COLUMN()-29),1,MIN(60,COLUMN()-29)),OFFSET(FO209,0,-MIN(60,COLUMN()-29),1,MIN(60,COLUMN()-29))),0)</f>
        <v>320.275848</v>
      </c>
      <c r="FP210" s="9" t="n">
        <f aca="true">IFERROR(SUMPRODUCT(OFFSET($BJ$31,0,1-MIN(60,COLUMN()-29),1,MIN(60,COLUMN()-29)),OFFSET(FP209,0,-MIN(60,COLUMN()-29),1,MIN(60,COLUMN()-29))),0)</f>
        <v>312.640824</v>
      </c>
    </row>
    <row r="211" customFormat="false" ht="15" hidden="false" customHeight="false" outlineLevel="2" collapsed="false">
      <c r="B211" s="90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237"/>
      <c r="AD211" s="237"/>
      <c r="AE211" s="237"/>
      <c r="AF211" s="237"/>
      <c r="AG211" s="237"/>
      <c r="AH211" s="237"/>
      <c r="AI211" s="237"/>
      <c r="AJ211" s="237"/>
      <c r="AK211" s="237"/>
      <c r="AL211" s="237"/>
      <c r="AM211" s="237"/>
      <c r="AN211" s="237"/>
      <c r="AO211" s="237"/>
      <c r="AP211" s="237"/>
      <c r="AQ211" s="237"/>
      <c r="AR211" s="237"/>
      <c r="AS211" s="237"/>
      <c r="AT211" s="237"/>
      <c r="AU211" s="237"/>
      <c r="AV211" s="237"/>
      <c r="AW211" s="237"/>
      <c r="AX211" s="237"/>
      <c r="AY211" s="237"/>
      <c r="AZ211" s="237"/>
      <c r="BA211" s="237"/>
      <c r="BB211" s="237"/>
      <c r="BC211" s="237"/>
      <c r="BD211" s="237"/>
      <c r="BE211" s="237"/>
      <c r="BF211" s="237"/>
      <c r="BG211" s="237"/>
      <c r="BH211" s="237"/>
      <c r="BI211" s="237"/>
      <c r="BJ211" s="237"/>
      <c r="BK211" s="237"/>
      <c r="BL211" s="237"/>
      <c r="BM211" s="237"/>
      <c r="BN211" s="237"/>
      <c r="BO211" s="237"/>
      <c r="BP211" s="237"/>
      <c r="BQ211" s="237"/>
      <c r="BR211" s="237"/>
      <c r="BS211" s="237"/>
      <c r="BT211" s="237"/>
      <c r="BU211" s="237"/>
      <c r="BV211" s="237"/>
      <c r="BW211" s="237"/>
      <c r="BX211" s="237"/>
      <c r="BY211" s="237"/>
      <c r="BZ211" s="237"/>
      <c r="CA211" s="237"/>
      <c r="CB211" s="237"/>
      <c r="CC211" s="237"/>
      <c r="CD211" s="237"/>
      <c r="CE211" s="237"/>
      <c r="CF211" s="237"/>
      <c r="CG211" s="237"/>
      <c r="CH211" s="237"/>
      <c r="CI211" s="237"/>
      <c r="CJ211" s="237"/>
      <c r="CK211" s="237"/>
      <c r="CL211" s="237"/>
      <c r="CM211" s="237"/>
      <c r="CN211" s="237"/>
      <c r="CO211" s="237"/>
      <c r="CP211" s="237"/>
      <c r="CQ211" s="237"/>
      <c r="CR211" s="237"/>
      <c r="CS211" s="237"/>
      <c r="CT211" s="237"/>
      <c r="CU211" s="237"/>
      <c r="CV211" s="237"/>
      <c r="CW211" s="237"/>
      <c r="CX211" s="237"/>
      <c r="CY211" s="237"/>
      <c r="CZ211" s="237"/>
      <c r="DA211" s="237"/>
      <c r="DB211" s="237"/>
      <c r="DC211" s="237"/>
      <c r="DD211" s="237"/>
      <c r="DE211" s="237"/>
      <c r="DF211" s="237"/>
      <c r="DG211" s="237"/>
      <c r="DH211" s="237"/>
      <c r="DI211" s="237"/>
      <c r="DJ211" s="237"/>
      <c r="DK211" s="237"/>
      <c r="DL211" s="237"/>
      <c r="DM211" s="237"/>
      <c r="DN211" s="237"/>
      <c r="DO211" s="237"/>
      <c r="DP211" s="237"/>
      <c r="DQ211" s="237"/>
      <c r="DR211" s="237"/>
      <c r="DS211" s="237"/>
      <c r="DT211" s="237"/>
      <c r="DU211" s="237"/>
      <c r="DV211" s="237"/>
      <c r="DW211" s="237"/>
      <c r="DX211" s="237"/>
      <c r="DY211" s="237"/>
      <c r="DZ211" s="237"/>
      <c r="EA211" s="237"/>
      <c r="EB211" s="237"/>
      <c r="EC211" s="237"/>
      <c r="ED211" s="237"/>
      <c r="EE211" s="237"/>
      <c r="EF211" s="237"/>
      <c r="EG211" s="237"/>
      <c r="EH211" s="237"/>
      <c r="EI211" s="237"/>
      <c r="EJ211" s="237"/>
      <c r="EK211" s="237"/>
      <c r="EL211" s="237"/>
      <c r="EM211" s="237"/>
      <c r="EN211" s="237"/>
      <c r="EO211" s="237"/>
      <c r="EP211" s="237"/>
      <c r="EQ211" s="237"/>
      <c r="ER211" s="237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</row>
    <row r="212" customFormat="false" ht="15" hidden="false" customHeight="false" outlineLevel="2" collapsed="false">
      <c r="B212" s="240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237"/>
      <c r="AD212" s="237"/>
      <c r="AE212" s="237"/>
      <c r="AF212" s="237"/>
      <c r="AG212" s="237"/>
      <c r="AH212" s="237"/>
      <c r="AI212" s="237"/>
      <c r="AJ212" s="237"/>
      <c r="AK212" s="237"/>
      <c r="AL212" s="237"/>
      <c r="AM212" s="237"/>
      <c r="AN212" s="237"/>
      <c r="AO212" s="237"/>
      <c r="AP212" s="237"/>
      <c r="AQ212" s="237"/>
      <c r="AR212" s="237"/>
      <c r="AS212" s="237"/>
      <c r="AT212" s="237"/>
      <c r="AU212" s="237"/>
      <c r="AV212" s="237"/>
      <c r="AW212" s="237"/>
      <c r="AX212" s="237"/>
      <c r="AY212" s="237"/>
      <c r="AZ212" s="237"/>
      <c r="BA212" s="237"/>
      <c r="BB212" s="237"/>
      <c r="BC212" s="237"/>
      <c r="BD212" s="237"/>
      <c r="BE212" s="237"/>
      <c r="BF212" s="237"/>
      <c r="BG212" s="237"/>
      <c r="BH212" s="237"/>
      <c r="BI212" s="237"/>
      <c r="BJ212" s="237"/>
      <c r="BK212" s="237"/>
      <c r="BL212" s="237"/>
      <c r="BM212" s="237"/>
      <c r="BN212" s="237"/>
      <c r="BO212" s="237"/>
      <c r="BP212" s="237"/>
      <c r="BQ212" s="237"/>
      <c r="BR212" s="237"/>
      <c r="BS212" s="237"/>
      <c r="BT212" s="237"/>
      <c r="BU212" s="237"/>
      <c r="BV212" s="237"/>
      <c r="BW212" s="237"/>
      <c r="BX212" s="237"/>
      <c r="BY212" s="237"/>
      <c r="BZ212" s="237"/>
      <c r="CA212" s="237"/>
      <c r="CB212" s="237"/>
      <c r="CC212" s="237"/>
      <c r="CD212" s="237"/>
      <c r="CE212" s="237"/>
      <c r="CF212" s="237"/>
      <c r="CG212" s="237"/>
      <c r="CH212" s="237"/>
      <c r="CI212" s="237"/>
      <c r="CJ212" s="237"/>
      <c r="CK212" s="237"/>
      <c r="CL212" s="237"/>
      <c r="CM212" s="237"/>
      <c r="CN212" s="237"/>
      <c r="CO212" s="237"/>
      <c r="CP212" s="237"/>
      <c r="CQ212" s="237"/>
      <c r="CR212" s="237"/>
      <c r="CS212" s="237"/>
      <c r="CT212" s="237"/>
      <c r="CU212" s="237"/>
      <c r="CV212" s="237"/>
      <c r="CW212" s="237"/>
      <c r="CX212" s="237"/>
      <c r="CY212" s="237"/>
      <c r="CZ212" s="237"/>
      <c r="DA212" s="237"/>
      <c r="DB212" s="237"/>
      <c r="DC212" s="237"/>
      <c r="DD212" s="237"/>
      <c r="DE212" s="237"/>
      <c r="DF212" s="237"/>
      <c r="DG212" s="237"/>
      <c r="DH212" s="237"/>
      <c r="DI212" s="237"/>
      <c r="DJ212" s="237"/>
      <c r="DK212" s="237"/>
      <c r="DL212" s="237"/>
      <c r="DM212" s="237"/>
      <c r="DN212" s="237"/>
      <c r="DO212" s="237"/>
      <c r="DP212" s="237"/>
      <c r="DQ212" s="237"/>
      <c r="DR212" s="237"/>
      <c r="DS212" s="237"/>
      <c r="DT212" s="237"/>
      <c r="DU212" s="237"/>
      <c r="DV212" s="237"/>
      <c r="DW212" s="237"/>
      <c r="DX212" s="237"/>
      <c r="DY212" s="237"/>
      <c r="DZ212" s="237"/>
      <c r="EA212" s="237"/>
      <c r="EB212" s="237"/>
      <c r="EC212" s="237"/>
      <c r="ED212" s="237"/>
      <c r="EE212" s="237"/>
      <c r="EF212" s="237"/>
      <c r="EG212" s="237"/>
      <c r="EH212" s="237"/>
      <c r="EI212" s="237"/>
      <c r="EJ212" s="237"/>
      <c r="EK212" s="237"/>
      <c r="EL212" s="237"/>
      <c r="EM212" s="237"/>
      <c r="EN212" s="237"/>
      <c r="EO212" s="237"/>
      <c r="EP212" s="237"/>
      <c r="EQ212" s="237"/>
      <c r="ER212" s="237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</row>
    <row r="213" customFormat="false" ht="15" hidden="false" customHeight="false" outlineLevel="2" collapsed="false">
      <c r="B213" s="21" t="s">
        <v>894</v>
      </c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1"/>
      <c r="BS213" s="21"/>
      <c r="BT213" s="21"/>
      <c r="BU213" s="21"/>
      <c r="BV213" s="21"/>
      <c r="BW213" s="21"/>
      <c r="BX213" s="21"/>
      <c r="BY213" s="21"/>
      <c r="BZ213" s="21"/>
      <c r="CA213" s="21"/>
      <c r="CB213" s="21"/>
      <c r="CC213" s="21"/>
      <c r="CD213" s="21"/>
      <c r="CE213" s="21"/>
      <c r="CF213" s="21"/>
      <c r="CG213" s="21"/>
      <c r="CH213" s="21"/>
      <c r="CI213" s="21"/>
      <c r="CJ213" s="21"/>
      <c r="CK213" s="21"/>
      <c r="CL213" s="21"/>
      <c r="CM213" s="21"/>
      <c r="CN213" s="21"/>
      <c r="CO213" s="21"/>
      <c r="CP213" s="21"/>
      <c r="CQ213" s="21"/>
      <c r="CR213" s="21"/>
      <c r="CS213" s="21"/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21"/>
      <c r="DV213" s="21"/>
      <c r="DW213" s="21"/>
      <c r="DX213" s="21"/>
      <c r="DY213" s="21"/>
      <c r="DZ213" s="21"/>
      <c r="EA213" s="21"/>
      <c r="EB213" s="21"/>
      <c r="EC213" s="21"/>
      <c r="ED213" s="21"/>
      <c r="EE213" s="21"/>
      <c r="EF213" s="21"/>
      <c r="EG213" s="21"/>
      <c r="EH213" s="21"/>
      <c r="EI213" s="21"/>
      <c r="EJ213" s="21"/>
      <c r="EK213" s="21"/>
      <c r="EL213" s="21"/>
      <c r="EM213" s="21"/>
      <c r="EN213" s="21"/>
      <c r="EO213" s="21"/>
      <c r="EP213" s="21"/>
      <c r="EQ213" s="21"/>
      <c r="ER213" s="21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</row>
    <row r="214" customFormat="false" ht="15" hidden="false" customHeight="false" outlineLevel="2" collapsed="false">
      <c r="B214" s="9" t="s">
        <v>872</v>
      </c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234" t="n">
        <f aca="false">('⑫ Roll-out Plan'!G27-2025)*12+'⑫ Roll-out Plan'!F27</f>
        <v>62</v>
      </c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</row>
    <row r="215" customFormat="false" ht="15" hidden="false" customHeight="false" outlineLevel="2" collapsed="false">
      <c r="B215" s="9" t="s">
        <v>873</v>
      </c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235" t="n">
        <f aca="false">VLOOKUP("B",$B$14:$C$18,2,FALSE())</f>
        <v>185</v>
      </c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</row>
    <row r="216" customFormat="false" ht="15" hidden="false" customHeight="false" outlineLevel="2" collapsed="false">
      <c r="B216" s="9" t="s">
        <v>799</v>
      </c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63" t="n">
        <f aca="false">IF(AC$35&gt;=$AC$214,AC$35-$AC$214+1,0)</f>
        <v>0</v>
      </c>
      <c r="AD216" s="63" t="n">
        <f aca="false">IF(AD$35&gt;=$AC$214,AD$35-$AC$214+1,0)</f>
        <v>0</v>
      </c>
      <c r="AE216" s="63" t="n">
        <f aca="false">IF(AE$35&gt;=$AC$214,AE$35-$AC$214+1,0)</f>
        <v>0</v>
      </c>
      <c r="AF216" s="63" t="n">
        <f aca="false">IF(AF$35&gt;=$AC$214,AF$35-$AC$214+1,0)</f>
        <v>0</v>
      </c>
      <c r="AG216" s="63" t="n">
        <f aca="false">IF(AG$35&gt;=$AC$214,AG$35-$AC$214+1,0)</f>
        <v>0</v>
      </c>
      <c r="AH216" s="63" t="n">
        <f aca="false">IF(AH$35&gt;=$AC$214,AH$35-$AC$214+1,0)</f>
        <v>0</v>
      </c>
      <c r="AI216" s="63" t="n">
        <f aca="false">IF(AI$35&gt;=$AC$214,AI$35-$AC$214+1,0)</f>
        <v>0</v>
      </c>
      <c r="AJ216" s="63" t="n">
        <f aca="false">IF(AJ$35&gt;=$AC$214,AJ$35-$AC$214+1,0)</f>
        <v>0</v>
      </c>
      <c r="AK216" s="63" t="n">
        <f aca="false">IF(AK$35&gt;=$AC$214,AK$35-$AC$214+1,0)</f>
        <v>0</v>
      </c>
      <c r="AL216" s="63" t="n">
        <f aca="false">IF(AL$35&gt;=$AC$214,AL$35-$AC$214+1,0)</f>
        <v>0</v>
      </c>
      <c r="AM216" s="63" t="n">
        <f aca="false">IF(AM$35&gt;=$AC$214,AM$35-$AC$214+1,0)</f>
        <v>0</v>
      </c>
      <c r="AN216" s="63" t="n">
        <f aca="false">IF(AN$35&gt;=$AC$214,AN$35-$AC$214+1,0)</f>
        <v>0</v>
      </c>
      <c r="AO216" s="63" t="n">
        <f aca="false">IF(AO$35&gt;=$AC$214,AO$35-$AC$214+1,0)</f>
        <v>0</v>
      </c>
      <c r="AP216" s="63" t="n">
        <f aca="false">IF(AP$35&gt;=$AC$214,AP$35-$AC$214+1,0)</f>
        <v>0</v>
      </c>
      <c r="AQ216" s="63" t="n">
        <f aca="false">IF(AQ$35&gt;=$AC$214,AQ$35-$AC$214+1,0)</f>
        <v>0</v>
      </c>
      <c r="AR216" s="63" t="n">
        <f aca="false">IF(AR$35&gt;=$AC$214,AR$35-$AC$214+1,0)</f>
        <v>0</v>
      </c>
      <c r="AS216" s="63" t="n">
        <f aca="false">IF(AS$35&gt;=$AC$214,AS$35-$AC$214+1,0)</f>
        <v>0</v>
      </c>
      <c r="AT216" s="63" t="n">
        <f aca="false">IF(AT$35&gt;=$AC$214,AT$35-$AC$214+1,0)</f>
        <v>0</v>
      </c>
      <c r="AU216" s="63" t="n">
        <f aca="false">IF(AU$35&gt;=$AC$214,AU$35-$AC$214+1,0)</f>
        <v>0</v>
      </c>
      <c r="AV216" s="63" t="n">
        <f aca="false">IF(AV$35&gt;=$AC$214,AV$35-$AC$214+1,0)</f>
        <v>0</v>
      </c>
      <c r="AW216" s="63" t="n">
        <f aca="false">IF(AW$35&gt;=$AC$214,AW$35-$AC$214+1,0)</f>
        <v>0</v>
      </c>
      <c r="AX216" s="63" t="n">
        <f aca="false">IF(AX$35&gt;=$AC$214,AX$35-$AC$214+1,0)</f>
        <v>0</v>
      </c>
      <c r="AY216" s="63" t="n">
        <f aca="false">IF(AY$35&gt;=$AC$214,AY$35-$AC$214+1,0)</f>
        <v>0</v>
      </c>
      <c r="AZ216" s="63" t="n">
        <f aca="false">IF(AZ$35&gt;=$AC$214,AZ$35-$AC$214+1,0)</f>
        <v>0</v>
      </c>
      <c r="BA216" s="63" t="n">
        <f aca="false">IF(BA$35&gt;=$AC$214,BA$35-$AC$214+1,0)</f>
        <v>0</v>
      </c>
      <c r="BB216" s="63" t="n">
        <f aca="false">IF(BB$35&gt;=$AC$214,BB$35-$AC$214+1,0)</f>
        <v>0</v>
      </c>
      <c r="BC216" s="63" t="n">
        <f aca="false">IF(BC$35&gt;=$AC$214,BC$35-$AC$214+1,0)</f>
        <v>0</v>
      </c>
      <c r="BD216" s="63" t="n">
        <f aca="false">IF(BD$35&gt;=$AC$214,BD$35-$AC$214+1,0)</f>
        <v>0</v>
      </c>
      <c r="BE216" s="63" t="n">
        <f aca="false">IF(BE$35&gt;=$AC$214,BE$35-$AC$214+1,0)</f>
        <v>0</v>
      </c>
      <c r="BF216" s="63" t="n">
        <f aca="false">IF(BF$35&gt;=$AC$214,BF$35-$AC$214+1,0)</f>
        <v>0</v>
      </c>
      <c r="BG216" s="63" t="n">
        <f aca="false">IF(BG$35&gt;=$AC$214,BG$35-$AC$214+1,0)</f>
        <v>0</v>
      </c>
      <c r="BH216" s="63" t="n">
        <f aca="false">IF(BH$35&gt;=$AC$214,BH$35-$AC$214+1,0)</f>
        <v>0</v>
      </c>
      <c r="BI216" s="63" t="n">
        <f aca="false">IF(BI$35&gt;=$AC$214,BI$35-$AC$214+1,0)</f>
        <v>0</v>
      </c>
      <c r="BJ216" s="63" t="n">
        <f aca="false">IF(BJ$35&gt;=$AC$214,BJ$35-$AC$214+1,0)</f>
        <v>0</v>
      </c>
      <c r="BK216" s="63" t="n">
        <f aca="false">IF(BK$35&gt;=$AC$214,BK$35-$AC$214+1,0)</f>
        <v>0</v>
      </c>
      <c r="BL216" s="63" t="n">
        <f aca="false">IF(BL$35&gt;=$AC$214,BL$35-$AC$214+1,0)</f>
        <v>0</v>
      </c>
      <c r="BM216" s="63" t="n">
        <f aca="false">IF(BM$35&gt;=$AC$214,BM$35-$AC$214+1,0)</f>
        <v>0</v>
      </c>
      <c r="BN216" s="63" t="n">
        <f aca="false">IF(BN$35&gt;=$AC$214,BN$35-$AC$214+1,0)</f>
        <v>0</v>
      </c>
      <c r="BO216" s="63" t="n">
        <f aca="false">IF(BO$35&gt;=$AC$214,BO$35-$AC$214+1,0)</f>
        <v>0</v>
      </c>
      <c r="BP216" s="63" t="n">
        <f aca="false">IF(BP$35&gt;=$AC$214,BP$35-$AC$214+1,0)</f>
        <v>0</v>
      </c>
      <c r="BQ216" s="63" t="n">
        <f aca="false">IF(BQ$35&gt;=$AC$214,BQ$35-$AC$214+1,0)</f>
        <v>0</v>
      </c>
      <c r="BR216" s="63" t="n">
        <f aca="false">IF(BR$35&gt;=$AC$214,BR$35-$AC$214+1,0)</f>
        <v>0</v>
      </c>
      <c r="BS216" s="63" t="n">
        <f aca="false">IF(BS$35&gt;=$AC$214,BS$35-$AC$214+1,0)</f>
        <v>0</v>
      </c>
      <c r="BT216" s="63" t="n">
        <f aca="false">IF(BT$35&gt;=$AC$214,BT$35-$AC$214+1,0)</f>
        <v>0</v>
      </c>
      <c r="BU216" s="63" t="n">
        <f aca="false">IF(BU$35&gt;=$AC$214,BU$35-$AC$214+1,0)</f>
        <v>0</v>
      </c>
      <c r="BV216" s="63" t="n">
        <f aca="false">IF(BV$35&gt;=$AC$214,BV$35-$AC$214+1,0)</f>
        <v>0</v>
      </c>
      <c r="BW216" s="63" t="n">
        <f aca="false">IF(BW$35&gt;=$AC$214,BW$35-$AC$214+1,0)</f>
        <v>0</v>
      </c>
      <c r="BX216" s="63" t="n">
        <f aca="false">IF(BX$35&gt;=$AC$214,BX$35-$AC$214+1,0)</f>
        <v>0</v>
      </c>
      <c r="BY216" s="63" t="n">
        <f aca="false">IF(BY$35&gt;=$AC$214,BY$35-$AC$214+1,0)</f>
        <v>0</v>
      </c>
      <c r="BZ216" s="63" t="n">
        <f aca="false">IF(BZ$35&gt;=$AC$214,BZ$35-$AC$214+1,0)</f>
        <v>0</v>
      </c>
      <c r="CA216" s="63" t="n">
        <f aca="false">IF(CA$35&gt;=$AC$214,CA$35-$AC$214+1,0)</f>
        <v>0</v>
      </c>
      <c r="CB216" s="63" t="n">
        <f aca="false">IF(CB$35&gt;=$AC$214,CB$35-$AC$214+1,0)</f>
        <v>0</v>
      </c>
      <c r="CC216" s="63" t="n">
        <f aca="false">IF(CC$35&gt;=$AC$214,CC$35-$AC$214+1,0)</f>
        <v>0</v>
      </c>
      <c r="CD216" s="63" t="n">
        <f aca="false">IF(CD$35&gt;=$AC$214,CD$35-$AC$214+1,0)</f>
        <v>0</v>
      </c>
      <c r="CE216" s="63" t="n">
        <f aca="false">IF(CE$35&gt;=$AC$214,CE$35-$AC$214+1,0)</f>
        <v>0</v>
      </c>
      <c r="CF216" s="63" t="n">
        <f aca="false">IF(CF$35&gt;=$AC$214,CF$35-$AC$214+1,0)</f>
        <v>0</v>
      </c>
      <c r="CG216" s="63" t="n">
        <f aca="false">IF(CG$35&gt;=$AC$214,CG$35-$AC$214+1,0)</f>
        <v>0</v>
      </c>
      <c r="CH216" s="63" t="n">
        <f aca="false">IF(CH$35&gt;=$AC$214,CH$35-$AC$214+1,0)</f>
        <v>0</v>
      </c>
      <c r="CI216" s="63" t="n">
        <f aca="false">IF(CI$35&gt;=$AC$214,CI$35-$AC$214+1,0)</f>
        <v>0</v>
      </c>
      <c r="CJ216" s="63" t="n">
        <f aca="false">IF(CJ$35&gt;=$AC$214,CJ$35-$AC$214+1,0)</f>
        <v>0</v>
      </c>
      <c r="CK216" s="63" t="n">
        <f aca="false">IF(CK$35&gt;=$AC$214,CK$35-$AC$214+1,0)</f>
        <v>0</v>
      </c>
      <c r="CL216" s="63" t="n">
        <f aca="false">IF(CL$35&gt;=$AC$214,CL$35-$AC$214+1,0)</f>
        <v>1</v>
      </c>
      <c r="CM216" s="63" t="n">
        <f aca="false">IF(CM$35&gt;=$AC$214,CM$35-$AC$214+1,0)</f>
        <v>2</v>
      </c>
      <c r="CN216" s="63" t="n">
        <f aca="false">IF(CN$35&gt;=$AC$214,CN$35-$AC$214+1,0)</f>
        <v>3</v>
      </c>
      <c r="CO216" s="63" t="n">
        <f aca="false">IF(CO$35&gt;=$AC$214,CO$35-$AC$214+1,0)</f>
        <v>4</v>
      </c>
      <c r="CP216" s="63" t="n">
        <f aca="false">IF(CP$35&gt;=$AC$214,CP$35-$AC$214+1,0)</f>
        <v>5</v>
      </c>
      <c r="CQ216" s="63" t="n">
        <f aca="false">IF(CQ$35&gt;=$AC$214,CQ$35-$AC$214+1,0)</f>
        <v>6</v>
      </c>
      <c r="CR216" s="63" t="n">
        <f aca="false">IF(CR$35&gt;=$AC$214,CR$35-$AC$214+1,0)</f>
        <v>7</v>
      </c>
      <c r="CS216" s="63" t="n">
        <f aca="false">IF(CS$35&gt;=$AC$214,CS$35-$AC$214+1,0)</f>
        <v>8</v>
      </c>
      <c r="CT216" s="63" t="n">
        <f aca="false">IF(CT$35&gt;=$AC$214,CT$35-$AC$214+1,0)</f>
        <v>9</v>
      </c>
      <c r="CU216" s="63" t="n">
        <f aca="false">IF(CU$35&gt;=$AC$214,CU$35-$AC$214+1,0)</f>
        <v>10</v>
      </c>
      <c r="CV216" s="63" t="n">
        <f aca="false">IF(CV$35&gt;=$AC$214,CV$35-$AC$214+1,0)</f>
        <v>11</v>
      </c>
      <c r="CW216" s="63" t="n">
        <f aca="false">IF(CW$35&gt;=$AC$214,CW$35-$AC$214+1,0)</f>
        <v>12</v>
      </c>
      <c r="CX216" s="63" t="n">
        <f aca="false">IF(CX$35&gt;=$AC$214,CX$35-$AC$214+1,0)</f>
        <v>13</v>
      </c>
      <c r="CY216" s="63" t="n">
        <f aca="false">IF(CY$35&gt;=$AC$214,CY$35-$AC$214+1,0)</f>
        <v>14</v>
      </c>
      <c r="CZ216" s="63" t="n">
        <f aca="false">IF(CZ$35&gt;=$AC$214,CZ$35-$AC$214+1,0)</f>
        <v>15</v>
      </c>
      <c r="DA216" s="63" t="n">
        <f aca="false">IF(DA$35&gt;=$AC$214,DA$35-$AC$214+1,0)</f>
        <v>16</v>
      </c>
      <c r="DB216" s="63" t="n">
        <f aca="false">IF(DB$35&gt;=$AC$214,DB$35-$AC$214+1,0)</f>
        <v>17</v>
      </c>
      <c r="DC216" s="63" t="n">
        <f aca="false">IF(DC$35&gt;=$AC$214,DC$35-$AC$214+1,0)</f>
        <v>18</v>
      </c>
      <c r="DD216" s="63" t="n">
        <f aca="false">IF(DD$35&gt;=$AC$214,DD$35-$AC$214+1,0)</f>
        <v>19</v>
      </c>
      <c r="DE216" s="63" t="n">
        <f aca="false">IF(DE$35&gt;=$AC$214,DE$35-$AC$214+1,0)</f>
        <v>20</v>
      </c>
      <c r="DF216" s="63" t="n">
        <f aca="false">IF(DF$35&gt;=$AC$214,DF$35-$AC$214+1,0)</f>
        <v>21</v>
      </c>
      <c r="DG216" s="63" t="n">
        <f aca="false">IF(DG$35&gt;=$AC$214,DG$35-$AC$214+1,0)</f>
        <v>22</v>
      </c>
      <c r="DH216" s="63" t="n">
        <f aca="false">IF(DH$35&gt;=$AC$214,DH$35-$AC$214+1,0)</f>
        <v>23</v>
      </c>
      <c r="DI216" s="63" t="n">
        <f aca="false">IF(DI$35&gt;=$AC$214,DI$35-$AC$214+1,0)</f>
        <v>24</v>
      </c>
      <c r="DJ216" s="63" t="n">
        <f aca="false">IF(DJ$35&gt;=$AC$214,DJ$35-$AC$214+1,0)</f>
        <v>25</v>
      </c>
      <c r="DK216" s="63" t="n">
        <f aca="false">IF(DK$35&gt;=$AC$214,DK$35-$AC$214+1,0)</f>
        <v>26</v>
      </c>
      <c r="DL216" s="63" t="n">
        <f aca="false">IF(DL$35&gt;=$AC$214,DL$35-$AC$214+1,0)</f>
        <v>27</v>
      </c>
      <c r="DM216" s="63" t="n">
        <f aca="false">IF(DM$35&gt;=$AC$214,DM$35-$AC$214+1,0)</f>
        <v>28</v>
      </c>
      <c r="DN216" s="63" t="n">
        <f aca="false">IF(DN$35&gt;=$AC$214,DN$35-$AC$214+1,0)</f>
        <v>29</v>
      </c>
      <c r="DO216" s="63" t="n">
        <f aca="false">IF(DO$35&gt;=$AC$214,DO$35-$AC$214+1,0)</f>
        <v>30</v>
      </c>
      <c r="DP216" s="63" t="n">
        <f aca="false">IF(DP$35&gt;=$AC$214,DP$35-$AC$214+1,0)</f>
        <v>31</v>
      </c>
      <c r="DQ216" s="63" t="n">
        <f aca="false">IF(DQ$35&gt;=$AC$214,DQ$35-$AC$214+1,0)</f>
        <v>32</v>
      </c>
      <c r="DR216" s="63" t="n">
        <f aca="false">IF(DR$35&gt;=$AC$214,DR$35-$AC$214+1,0)</f>
        <v>33</v>
      </c>
      <c r="DS216" s="63" t="n">
        <f aca="false">IF(DS$35&gt;=$AC$214,DS$35-$AC$214+1,0)</f>
        <v>34</v>
      </c>
      <c r="DT216" s="63" t="n">
        <f aca="false">IF(DT$35&gt;=$AC$214,DT$35-$AC$214+1,0)</f>
        <v>35</v>
      </c>
      <c r="DU216" s="63" t="n">
        <f aca="false">IF(DU$35&gt;=$AC$214,DU$35-$AC$214+1,0)</f>
        <v>36</v>
      </c>
      <c r="DV216" s="63" t="n">
        <f aca="false">IF(DV$35&gt;=$AC$214,DV$35-$AC$214+1,0)</f>
        <v>37</v>
      </c>
      <c r="DW216" s="63" t="n">
        <f aca="false">IF(DW$35&gt;=$AC$214,DW$35-$AC$214+1,0)</f>
        <v>38</v>
      </c>
      <c r="DX216" s="63" t="n">
        <f aca="false">IF(DX$35&gt;=$AC$214,DX$35-$AC$214+1,0)</f>
        <v>39</v>
      </c>
      <c r="DY216" s="63" t="n">
        <f aca="false">IF(DY$35&gt;=$AC$214,DY$35-$AC$214+1,0)</f>
        <v>40</v>
      </c>
      <c r="DZ216" s="63" t="n">
        <f aca="false">IF(DZ$35&gt;=$AC$214,DZ$35-$AC$214+1,0)</f>
        <v>41</v>
      </c>
      <c r="EA216" s="63" t="n">
        <f aca="false">IF(EA$35&gt;=$AC$214,EA$35-$AC$214+1,0)</f>
        <v>42</v>
      </c>
      <c r="EB216" s="63" t="n">
        <f aca="false">IF(EB$35&gt;=$AC$214,EB$35-$AC$214+1,0)</f>
        <v>43</v>
      </c>
      <c r="EC216" s="63" t="n">
        <f aca="false">IF(EC$35&gt;=$AC$214,EC$35-$AC$214+1,0)</f>
        <v>44</v>
      </c>
      <c r="ED216" s="63" t="n">
        <f aca="false">IF(ED$35&gt;=$AC$214,ED$35-$AC$214+1,0)</f>
        <v>45</v>
      </c>
      <c r="EE216" s="63" t="n">
        <f aca="false">IF(EE$35&gt;=$AC$214,EE$35-$AC$214+1,0)</f>
        <v>46</v>
      </c>
      <c r="EF216" s="63" t="n">
        <f aca="false">IF(EF$35&gt;=$AC$214,EF$35-$AC$214+1,0)</f>
        <v>47</v>
      </c>
      <c r="EG216" s="63" t="n">
        <f aca="false">IF(EG$35&gt;=$AC$214,EG$35-$AC$214+1,0)</f>
        <v>48</v>
      </c>
      <c r="EH216" s="63" t="n">
        <f aca="false">IF(EH$35&gt;=$AC$214,EH$35-$AC$214+1,0)</f>
        <v>49</v>
      </c>
      <c r="EI216" s="63" t="n">
        <f aca="false">IF(EI$35&gt;=$AC$214,EI$35-$AC$214+1,0)</f>
        <v>50</v>
      </c>
      <c r="EJ216" s="63" t="n">
        <f aca="false">IF(EJ$35&gt;=$AC$214,EJ$35-$AC$214+1,0)</f>
        <v>51</v>
      </c>
      <c r="EK216" s="63" t="n">
        <f aca="false">IF(EK$35&gt;=$AC$214,EK$35-$AC$214+1,0)</f>
        <v>52</v>
      </c>
      <c r="EL216" s="63" t="n">
        <f aca="false">IF(EL$35&gt;=$AC$214,EL$35-$AC$214+1,0)</f>
        <v>53</v>
      </c>
      <c r="EM216" s="63" t="n">
        <f aca="false">IF(EM$35&gt;=$AC$214,EM$35-$AC$214+1,0)</f>
        <v>54</v>
      </c>
      <c r="EN216" s="63" t="n">
        <f aca="false">IF(EN$35&gt;=$AC$214,EN$35-$AC$214+1,0)</f>
        <v>55</v>
      </c>
      <c r="EO216" s="63" t="n">
        <f aca="false">IF(EO$35&gt;=$AC$214,EO$35-$AC$214+1,0)</f>
        <v>56</v>
      </c>
      <c r="EP216" s="63" t="n">
        <f aca="false">IF(EP$35&gt;=$AC$214,EP$35-$AC$214+1,0)</f>
        <v>57</v>
      </c>
      <c r="EQ216" s="63" t="n">
        <f aca="false">IF(EQ$35&gt;=$AC$214,EQ$35-$AC$214+1,0)</f>
        <v>58</v>
      </c>
      <c r="ER216" s="63" t="n">
        <f aca="false">IF(ER$35&gt;=$AC$214,ER$35-$AC$214+1,0)</f>
        <v>59</v>
      </c>
      <c r="ES216" s="9" t="n">
        <f aca="false">IF(ES$35&gt;=$AC$214,ES$35-$AC$214+1,0)</f>
        <v>60</v>
      </c>
      <c r="ET216" s="9" t="n">
        <f aca="false">IF(ET$35&gt;=$AC$214,ET$35-$AC$214+1,0)</f>
        <v>61</v>
      </c>
      <c r="EU216" s="9" t="n">
        <f aca="false">IF(EU$35&gt;=$AC$214,EU$35-$AC$214+1,0)</f>
        <v>62</v>
      </c>
      <c r="EV216" s="9" t="n">
        <f aca="false">IF(EV$35&gt;=$AC$214,EV$35-$AC$214+1,0)</f>
        <v>63</v>
      </c>
      <c r="EW216" s="9" t="n">
        <f aca="false">IF(EW$35&gt;=$AC$214,EW$35-$AC$214+1,0)</f>
        <v>64</v>
      </c>
      <c r="EX216" s="9" t="n">
        <f aca="false">IF(EX$35&gt;=$AC$214,EX$35-$AC$214+1,0)</f>
        <v>65</v>
      </c>
      <c r="EY216" s="9" t="n">
        <f aca="false">IF(EY$35&gt;=$AC$214,EY$35-$AC$214+1,0)</f>
        <v>66</v>
      </c>
      <c r="EZ216" s="9" t="n">
        <f aca="false">IF(EZ$35&gt;=$AC$214,EZ$35-$AC$214+1,0)</f>
        <v>67</v>
      </c>
      <c r="FA216" s="9" t="n">
        <f aca="false">IF(FA$35&gt;=$AC$214,FA$35-$AC$214+1,0)</f>
        <v>68</v>
      </c>
      <c r="FB216" s="9" t="n">
        <f aca="false">IF(FB$35&gt;=$AC$214,FB$35-$AC$214+1,0)</f>
        <v>69</v>
      </c>
      <c r="FC216" s="9" t="n">
        <f aca="false">IF(FC$35&gt;=$AC$214,FC$35-$AC$214+1,0)</f>
        <v>70</v>
      </c>
      <c r="FD216" s="9" t="n">
        <f aca="false">IF(FD$35&gt;=$AC$214,FD$35-$AC$214+1,0)</f>
        <v>71</v>
      </c>
      <c r="FE216" s="9" t="n">
        <f aca="false">IF(FE$35&gt;=$AC$214,FE$35-$AC$214+1,0)</f>
        <v>72</v>
      </c>
      <c r="FF216" s="9" t="n">
        <f aca="false">IF(FF$35&gt;=$AC$214,FF$35-$AC$214+1,0)</f>
        <v>73</v>
      </c>
      <c r="FG216" s="9" t="n">
        <f aca="false">IF(FG$35&gt;=$AC$214,FG$35-$AC$214+1,0)</f>
        <v>74</v>
      </c>
      <c r="FH216" s="9" t="n">
        <f aca="false">IF(FH$35&gt;=$AC$214,FH$35-$AC$214+1,0)</f>
        <v>75</v>
      </c>
      <c r="FI216" s="9" t="n">
        <f aca="false">IF(FI$35&gt;=$AC$214,FI$35-$AC$214+1,0)</f>
        <v>76</v>
      </c>
      <c r="FJ216" s="9" t="n">
        <f aca="false">IF(FJ$35&gt;=$AC$214,FJ$35-$AC$214+1,0)</f>
        <v>77</v>
      </c>
      <c r="FK216" s="9" t="n">
        <f aca="false">IF(FK$35&gt;=$AC$214,FK$35-$AC$214+1,0)</f>
        <v>78</v>
      </c>
      <c r="FL216" s="9" t="n">
        <f aca="false">IF(FL$35&gt;=$AC$214,FL$35-$AC$214+1,0)</f>
        <v>79</v>
      </c>
      <c r="FM216" s="9" t="n">
        <f aca="false">IF(FM$35&gt;=$AC$214,FM$35-$AC$214+1,0)</f>
        <v>80</v>
      </c>
      <c r="FN216" s="9" t="n">
        <f aca="false">IF(FN$35&gt;=$AC$214,FN$35-$AC$214+1,0)</f>
        <v>81</v>
      </c>
      <c r="FO216" s="9" t="n">
        <f aca="false">IF(FO$35&gt;=$AC$214,FO$35-$AC$214+1,0)</f>
        <v>82</v>
      </c>
      <c r="FP216" s="9" t="n">
        <f aca="false">IF(FP$35&gt;=$AC$214,FP$35-$AC$214+1,0)</f>
        <v>83</v>
      </c>
    </row>
    <row r="217" customFormat="false" ht="15" hidden="false" customHeight="false" outlineLevel="2" collapsed="false">
      <c r="B217" s="9" t="s">
        <v>874</v>
      </c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236" t="n">
        <f aca="false" t="array" ref="AC217:AC217">IF(AC216=0,0,IF(AC216/'🎚️ Escenario'!$C$11&gt;=36,$AL$23,INDEX($C$23:$AL$23,MAX(1,ROUNDUP(AC216/'🎚️ Escenario'!$C$11,0)))))</f>
        <v>0</v>
      </c>
      <c r="AD217" s="236" t="n">
        <f aca="false" t="array" ref="AD217:AD217">IF(AD216=0,0,IF(AD216/'🎚️ Escenario'!$C$11&gt;=36,$AL$23,INDEX($C$23:$AL$23,MAX(1,ROUNDUP(AD216/'🎚️ Escenario'!$C$11,0)))))</f>
        <v>0</v>
      </c>
      <c r="AE217" s="236" t="n">
        <f aca="false" t="array" ref="AE217:AE217">IF(AE216=0,0,IF(AE216/'🎚️ Escenario'!$C$11&gt;=36,$AL$23,INDEX($C$23:$AL$23,MAX(1,ROUNDUP(AE216/'🎚️ Escenario'!$C$11,0)))))</f>
        <v>0</v>
      </c>
      <c r="AF217" s="236" t="n">
        <f aca="false" t="array" ref="AF217:AF217">IF(AF216=0,0,IF(AF216/'🎚️ Escenario'!$C$11&gt;=36,$AL$23,INDEX($C$23:$AL$23,MAX(1,ROUNDUP(AF216/'🎚️ Escenario'!$C$11,0)))))</f>
        <v>0</v>
      </c>
      <c r="AG217" s="236" t="n">
        <f aca="false" t="array" ref="AG217:AG217">IF(AG216=0,0,IF(AG216/'🎚️ Escenario'!$C$11&gt;=36,$AL$23,INDEX($C$23:$AL$23,MAX(1,ROUNDUP(AG216/'🎚️ Escenario'!$C$11,0)))))</f>
        <v>0</v>
      </c>
      <c r="AH217" s="236" t="n">
        <f aca="false" t="array" ref="AH217:AH217">IF(AH216=0,0,IF(AH216/'🎚️ Escenario'!$C$11&gt;=36,$AL$23,INDEX($C$23:$AL$23,MAX(1,ROUNDUP(AH216/'🎚️ Escenario'!$C$11,0)))))</f>
        <v>0</v>
      </c>
      <c r="AI217" s="236" t="n">
        <f aca="false" t="array" ref="AI217:AI217">IF(AI216=0,0,IF(AI216/'🎚️ Escenario'!$C$11&gt;=36,$AL$23,INDEX($C$23:$AL$23,MAX(1,ROUNDUP(AI216/'🎚️ Escenario'!$C$11,0)))))</f>
        <v>0</v>
      </c>
      <c r="AJ217" s="236" t="n">
        <f aca="false" t="array" ref="AJ217:AJ217">IF(AJ216=0,0,IF(AJ216/'🎚️ Escenario'!$C$11&gt;=36,$AL$23,INDEX($C$23:$AL$23,MAX(1,ROUNDUP(AJ216/'🎚️ Escenario'!$C$11,0)))))</f>
        <v>0</v>
      </c>
      <c r="AK217" s="236" t="n">
        <f aca="false" t="array" ref="AK217:AK217">IF(AK216=0,0,IF(AK216/'🎚️ Escenario'!$C$11&gt;=36,$AL$23,INDEX($C$23:$AL$23,MAX(1,ROUNDUP(AK216/'🎚️ Escenario'!$C$11,0)))))</f>
        <v>0</v>
      </c>
      <c r="AL217" s="236" t="n">
        <f aca="false" t="array" ref="AL217:AL217">IF(AL216=0,0,IF(AL216/'🎚️ Escenario'!$C$11&gt;=36,$AL$23,INDEX($C$23:$AL$23,MAX(1,ROUNDUP(AL216/'🎚️ Escenario'!$C$11,0)))))</f>
        <v>0</v>
      </c>
      <c r="AM217" s="236" t="n">
        <f aca="false" t="array" ref="AM217:AM217">IF(AM216=0,0,IF(AM216/'🎚️ Escenario'!$C$11&gt;=36,$AL$23,INDEX($C$23:$AL$23,MAX(1,ROUNDUP(AM216/'🎚️ Escenario'!$C$11,0)))))</f>
        <v>0</v>
      </c>
      <c r="AN217" s="236" t="n">
        <f aca="false" t="array" ref="AN217:AN217">IF(AN216=0,0,IF(AN216/'🎚️ Escenario'!$C$11&gt;=36,$AL$23,INDEX($C$23:$AL$23,MAX(1,ROUNDUP(AN216/'🎚️ Escenario'!$C$11,0)))))</f>
        <v>0</v>
      </c>
      <c r="AO217" s="236" t="n">
        <f aca="false" t="array" ref="AO217:AO217">IF(AO216=0,0,IF(AO216/'🎚️ Escenario'!$C$11&gt;=36,$AL$23,INDEX($C$23:$AL$23,MAX(1,ROUNDUP(AO216/'🎚️ Escenario'!$C$11,0)))))</f>
        <v>0</v>
      </c>
      <c r="AP217" s="236" t="n">
        <f aca="false" t="array" ref="AP217:AP217">IF(AP216=0,0,IF(AP216/'🎚️ Escenario'!$C$11&gt;=36,$AL$23,INDEX($C$23:$AL$23,MAX(1,ROUNDUP(AP216/'🎚️ Escenario'!$C$11,0)))))</f>
        <v>0</v>
      </c>
      <c r="AQ217" s="236" t="n">
        <f aca="false" t="array" ref="AQ217:AQ217">IF(AQ216=0,0,IF(AQ216/'🎚️ Escenario'!$C$11&gt;=36,$AL$23,INDEX($C$23:$AL$23,MAX(1,ROUNDUP(AQ216/'🎚️ Escenario'!$C$11,0)))))</f>
        <v>0</v>
      </c>
      <c r="AR217" s="236" t="n">
        <f aca="false" t="array" ref="AR217:AR217">IF(AR216=0,0,IF(AR216/'🎚️ Escenario'!$C$11&gt;=36,$AL$23,INDEX($C$23:$AL$23,MAX(1,ROUNDUP(AR216/'🎚️ Escenario'!$C$11,0)))))</f>
        <v>0</v>
      </c>
      <c r="AS217" s="236" t="n">
        <f aca="false" t="array" ref="AS217:AS217">IF(AS216=0,0,IF(AS216/'🎚️ Escenario'!$C$11&gt;=36,$AL$23,INDEX($C$23:$AL$23,MAX(1,ROUNDUP(AS216/'🎚️ Escenario'!$C$11,0)))))</f>
        <v>0</v>
      </c>
      <c r="AT217" s="236" t="n">
        <f aca="false" t="array" ref="AT217:AT217">IF(AT216=0,0,IF(AT216/'🎚️ Escenario'!$C$11&gt;=36,$AL$23,INDEX($C$23:$AL$23,MAX(1,ROUNDUP(AT216/'🎚️ Escenario'!$C$11,0)))))</f>
        <v>0</v>
      </c>
      <c r="AU217" s="236" t="n">
        <f aca="false" t="array" ref="AU217:AU217">IF(AU216=0,0,IF(AU216/'🎚️ Escenario'!$C$11&gt;=36,$AL$23,INDEX($C$23:$AL$23,MAX(1,ROUNDUP(AU216/'🎚️ Escenario'!$C$11,0)))))</f>
        <v>0</v>
      </c>
      <c r="AV217" s="236" t="n">
        <f aca="false" t="array" ref="AV217:AV217">IF(AV216=0,0,IF(AV216/'🎚️ Escenario'!$C$11&gt;=36,$AL$23,INDEX($C$23:$AL$23,MAX(1,ROUNDUP(AV216/'🎚️ Escenario'!$C$11,0)))))</f>
        <v>0</v>
      </c>
      <c r="AW217" s="236" t="n">
        <f aca="false" t="array" ref="AW217:AW217">IF(AW216=0,0,IF(AW216/'🎚️ Escenario'!$C$11&gt;=36,$AL$23,INDEX($C$23:$AL$23,MAX(1,ROUNDUP(AW216/'🎚️ Escenario'!$C$11,0)))))</f>
        <v>0</v>
      </c>
      <c r="AX217" s="236" t="n">
        <f aca="false" t="array" ref="AX217:AX217">IF(AX216=0,0,IF(AX216/'🎚️ Escenario'!$C$11&gt;=36,$AL$23,INDEX($C$23:$AL$23,MAX(1,ROUNDUP(AX216/'🎚️ Escenario'!$C$11,0)))))</f>
        <v>0</v>
      </c>
      <c r="AY217" s="236" t="n">
        <f aca="false" t="array" ref="AY217:AY217">IF(AY216=0,0,IF(AY216/'🎚️ Escenario'!$C$11&gt;=36,$AL$23,INDEX($C$23:$AL$23,MAX(1,ROUNDUP(AY216/'🎚️ Escenario'!$C$11,0)))))</f>
        <v>0</v>
      </c>
      <c r="AZ217" s="236" t="n">
        <f aca="false" t="array" ref="AZ217:AZ217">IF(AZ216=0,0,IF(AZ216/'🎚️ Escenario'!$C$11&gt;=36,$AL$23,INDEX($C$23:$AL$23,MAX(1,ROUNDUP(AZ216/'🎚️ Escenario'!$C$11,0)))))</f>
        <v>0</v>
      </c>
      <c r="BA217" s="236" t="n">
        <f aca="false" t="array" ref="BA217:BA217">IF(BA216=0,0,IF(BA216/'🎚️ Escenario'!$C$11&gt;=36,$AL$23,INDEX($C$23:$AL$23,MAX(1,ROUNDUP(BA216/'🎚️ Escenario'!$C$11,0)))))</f>
        <v>0</v>
      </c>
      <c r="BB217" s="236" t="n">
        <f aca="false" t="array" ref="BB217:BB217">IF(BB216=0,0,IF(BB216/'🎚️ Escenario'!$C$11&gt;=36,$AL$23,INDEX($C$23:$AL$23,MAX(1,ROUNDUP(BB216/'🎚️ Escenario'!$C$11,0)))))</f>
        <v>0</v>
      </c>
      <c r="BC217" s="236" t="n">
        <f aca="false" t="array" ref="BC217:BC217">IF(BC216=0,0,IF(BC216/'🎚️ Escenario'!$C$11&gt;=36,$AL$23,INDEX($C$23:$AL$23,MAX(1,ROUNDUP(BC216/'🎚️ Escenario'!$C$11,0)))))</f>
        <v>0</v>
      </c>
      <c r="BD217" s="236" t="n">
        <f aca="false" t="array" ref="BD217:BD217">IF(BD216=0,0,IF(BD216/'🎚️ Escenario'!$C$11&gt;=36,$AL$23,INDEX($C$23:$AL$23,MAX(1,ROUNDUP(BD216/'🎚️ Escenario'!$C$11,0)))))</f>
        <v>0</v>
      </c>
      <c r="BE217" s="236" t="n">
        <f aca="false" t="array" ref="BE217:BE217">IF(BE216=0,0,IF(BE216/'🎚️ Escenario'!$C$11&gt;=36,$AL$23,INDEX($C$23:$AL$23,MAX(1,ROUNDUP(BE216/'🎚️ Escenario'!$C$11,0)))))</f>
        <v>0</v>
      </c>
      <c r="BF217" s="236" t="n">
        <f aca="false" t="array" ref="BF217:BF217">IF(BF216=0,0,IF(BF216/'🎚️ Escenario'!$C$11&gt;=36,$AL$23,INDEX($C$23:$AL$23,MAX(1,ROUNDUP(BF216/'🎚️ Escenario'!$C$11,0)))))</f>
        <v>0</v>
      </c>
      <c r="BG217" s="236" t="n">
        <f aca="false" t="array" ref="BG217:BG217">IF(BG216=0,0,IF(BG216/'🎚️ Escenario'!$C$11&gt;=36,$AL$23,INDEX($C$23:$AL$23,MAX(1,ROUNDUP(BG216/'🎚️ Escenario'!$C$11,0)))))</f>
        <v>0</v>
      </c>
      <c r="BH217" s="236" t="n">
        <f aca="false" t="array" ref="BH217:BH217">IF(BH216=0,0,IF(BH216/'🎚️ Escenario'!$C$11&gt;=36,$AL$23,INDEX($C$23:$AL$23,MAX(1,ROUNDUP(BH216/'🎚️ Escenario'!$C$11,0)))))</f>
        <v>0</v>
      </c>
      <c r="BI217" s="236" t="n">
        <f aca="false" t="array" ref="BI217:BI217">IF(BI216=0,0,IF(BI216/'🎚️ Escenario'!$C$11&gt;=36,$AL$23,INDEX($C$23:$AL$23,MAX(1,ROUNDUP(BI216/'🎚️ Escenario'!$C$11,0)))))</f>
        <v>0</v>
      </c>
      <c r="BJ217" s="236" t="n">
        <f aca="false" t="array" ref="BJ217:BJ217">IF(BJ216=0,0,IF(BJ216/'🎚️ Escenario'!$C$11&gt;=36,$AL$23,INDEX($C$23:$AL$23,MAX(1,ROUNDUP(BJ216/'🎚️ Escenario'!$C$11,0)))))</f>
        <v>0</v>
      </c>
      <c r="BK217" s="236" t="n">
        <f aca="false" t="array" ref="BK217:BK217">IF(BK216=0,0,IF(BK216/'🎚️ Escenario'!$C$11&gt;=36,$AL$23,INDEX($C$23:$AL$23,MAX(1,ROUNDUP(BK216/'🎚️ Escenario'!$C$11,0)))))</f>
        <v>0</v>
      </c>
      <c r="BL217" s="236" t="n">
        <f aca="false" t="array" ref="BL217:BL217">IF(BL216=0,0,IF(BL216/'🎚️ Escenario'!$C$11&gt;=36,$AL$23,INDEX($C$23:$AL$23,MAX(1,ROUNDUP(BL216/'🎚️ Escenario'!$C$11,0)))))</f>
        <v>0</v>
      </c>
      <c r="BM217" s="236" t="n">
        <f aca="false" t="array" ref="BM217:BM217">IF(BM216=0,0,IF(BM216/'🎚️ Escenario'!$C$11&gt;=36,$AL$23,INDEX($C$23:$AL$23,MAX(1,ROUNDUP(BM216/'🎚️ Escenario'!$C$11,0)))))</f>
        <v>0</v>
      </c>
      <c r="BN217" s="236" t="n">
        <f aca="false" t="array" ref="BN217:BN217">IF(BN216=0,0,IF(BN216/'🎚️ Escenario'!$C$11&gt;=36,$AL$23,INDEX($C$23:$AL$23,MAX(1,ROUNDUP(BN216/'🎚️ Escenario'!$C$11,0)))))</f>
        <v>0</v>
      </c>
      <c r="BO217" s="236" t="n">
        <f aca="false" t="array" ref="BO217:BO217">IF(BO216=0,0,IF(BO216/'🎚️ Escenario'!$C$11&gt;=36,$AL$23,INDEX($C$23:$AL$23,MAX(1,ROUNDUP(BO216/'🎚️ Escenario'!$C$11,0)))))</f>
        <v>0</v>
      </c>
      <c r="BP217" s="236" t="n">
        <f aca="false" t="array" ref="BP217:BP217">IF(BP216=0,0,IF(BP216/'🎚️ Escenario'!$C$11&gt;=36,$AL$23,INDEX($C$23:$AL$23,MAX(1,ROUNDUP(BP216/'🎚️ Escenario'!$C$11,0)))))</f>
        <v>0</v>
      </c>
      <c r="BQ217" s="236" t="n">
        <f aca="false" t="array" ref="BQ217:BQ217">IF(BQ216=0,0,IF(BQ216/'🎚️ Escenario'!$C$11&gt;=36,$AL$23,INDEX($C$23:$AL$23,MAX(1,ROUNDUP(BQ216/'🎚️ Escenario'!$C$11,0)))))</f>
        <v>0</v>
      </c>
      <c r="BR217" s="236" t="n">
        <f aca="false" t="array" ref="BR217:BR217">IF(BR216=0,0,IF(BR216/'🎚️ Escenario'!$C$11&gt;=36,$AL$23,INDEX($C$23:$AL$23,MAX(1,ROUNDUP(BR216/'🎚️ Escenario'!$C$11,0)))))</f>
        <v>0</v>
      </c>
      <c r="BS217" s="236" t="n">
        <f aca="false" t="array" ref="BS217:BS217">IF(BS216=0,0,IF(BS216/'🎚️ Escenario'!$C$11&gt;=36,$AL$23,INDEX($C$23:$AL$23,MAX(1,ROUNDUP(BS216/'🎚️ Escenario'!$C$11,0)))))</f>
        <v>0</v>
      </c>
      <c r="BT217" s="236" t="n">
        <f aca="false" t="array" ref="BT217:BT217">IF(BT216=0,0,IF(BT216/'🎚️ Escenario'!$C$11&gt;=36,$AL$23,INDEX($C$23:$AL$23,MAX(1,ROUNDUP(BT216/'🎚️ Escenario'!$C$11,0)))))</f>
        <v>0</v>
      </c>
      <c r="BU217" s="236" t="n">
        <f aca="false" t="array" ref="BU217:BU217">IF(BU216=0,0,IF(BU216/'🎚️ Escenario'!$C$11&gt;=36,$AL$23,INDEX($C$23:$AL$23,MAX(1,ROUNDUP(BU216/'🎚️ Escenario'!$C$11,0)))))</f>
        <v>0</v>
      </c>
      <c r="BV217" s="236" t="n">
        <f aca="false" t="array" ref="BV217:BV217">IF(BV216=0,0,IF(BV216/'🎚️ Escenario'!$C$11&gt;=36,$AL$23,INDEX($C$23:$AL$23,MAX(1,ROUNDUP(BV216/'🎚️ Escenario'!$C$11,0)))))</f>
        <v>0</v>
      </c>
      <c r="BW217" s="236" t="n">
        <f aca="false" t="array" ref="BW217:BW217">IF(BW216=0,0,IF(BW216/'🎚️ Escenario'!$C$11&gt;=36,$AL$23,INDEX($C$23:$AL$23,MAX(1,ROUNDUP(BW216/'🎚️ Escenario'!$C$11,0)))))</f>
        <v>0</v>
      </c>
      <c r="BX217" s="236" t="n">
        <f aca="false" t="array" ref="BX217:BX217">IF(BX216=0,0,IF(BX216/'🎚️ Escenario'!$C$11&gt;=36,$AL$23,INDEX($C$23:$AL$23,MAX(1,ROUNDUP(BX216/'🎚️ Escenario'!$C$11,0)))))</f>
        <v>0</v>
      </c>
      <c r="BY217" s="236" t="n">
        <f aca="false" t="array" ref="BY217:BY217">IF(BY216=0,0,IF(BY216/'🎚️ Escenario'!$C$11&gt;=36,$AL$23,INDEX($C$23:$AL$23,MAX(1,ROUNDUP(BY216/'🎚️ Escenario'!$C$11,0)))))</f>
        <v>0</v>
      </c>
      <c r="BZ217" s="236" t="n">
        <f aca="false" t="array" ref="BZ217:BZ217">IF(BZ216=0,0,IF(BZ216/'🎚️ Escenario'!$C$11&gt;=36,$AL$23,INDEX($C$23:$AL$23,MAX(1,ROUNDUP(BZ216/'🎚️ Escenario'!$C$11,0)))))</f>
        <v>0</v>
      </c>
      <c r="CA217" s="236" t="n">
        <f aca="false" t="array" ref="CA217:CA217">IF(CA216=0,0,IF(CA216/'🎚️ Escenario'!$C$11&gt;=36,$AL$23,INDEX($C$23:$AL$23,MAX(1,ROUNDUP(CA216/'🎚️ Escenario'!$C$11,0)))))</f>
        <v>0</v>
      </c>
      <c r="CB217" s="236" t="n">
        <f aca="false" t="array" ref="CB217:CB217">IF(CB216=0,0,IF(CB216/'🎚️ Escenario'!$C$11&gt;=36,$AL$23,INDEX($C$23:$AL$23,MAX(1,ROUNDUP(CB216/'🎚️ Escenario'!$C$11,0)))))</f>
        <v>0</v>
      </c>
      <c r="CC217" s="236" t="n">
        <f aca="false" t="array" ref="CC217:CC217">IF(CC216=0,0,IF(CC216/'🎚️ Escenario'!$C$11&gt;=36,$AL$23,INDEX($C$23:$AL$23,MAX(1,ROUNDUP(CC216/'🎚️ Escenario'!$C$11,0)))))</f>
        <v>0</v>
      </c>
      <c r="CD217" s="236" t="n">
        <f aca="false" t="array" ref="CD217:CD217">IF(CD216=0,0,IF(CD216/'🎚️ Escenario'!$C$11&gt;=36,$AL$23,INDEX($C$23:$AL$23,MAX(1,ROUNDUP(CD216/'🎚️ Escenario'!$C$11,0)))))</f>
        <v>0</v>
      </c>
      <c r="CE217" s="236" t="n">
        <f aca="false" t="array" ref="CE217:CE217">IF(CE216=0,0,IF(CE216/'🎚️ Escenario'!$C$11&gt;=36,$AL$23,INDEX($C$23:$AL$23,MAX(1,ROUNDUP(CE216/'🎚️ Escenario'!$C$11,0)))))</f>
        <v>0</v>
      </c>
      <c r="CF217" s="236" t="n">
        <f aca="false" t="array" ref="CF217:CF217">IF(CF216=0,0,IF(CF216/'🎚️ Escenario'!$C$11&gt;=36,$AL$23,INDEX($C$23:$AL$23,MAX(1,ROUNDUP(CF216/'🎚️ Escenario'!$C$11,0)))))</f>
        <v>0</v>
      </c>
      <c r="CG217" s="236" t="n">
        <f aca="false" t="array" ref="CG217:CG217">IF(CG216=0,0,IF(CG216/'🎚️ Escenario'!$C$11&gt;=36,$AL$23,INDEX($C$23:$AL$23,MAX(1,ROUNDUP(CG216/'🎚️ Escenario'!$C$11,0)))))</f>
        <v>0</v>
      </c>
      <c r="CH217" s="236" t="n">
        <f aca="false" t="array" ref="CH217:CH217">IF(CH216=0,0,IF(CH216/'🎚️ Escenario'!$C$11&gt;=36,$AL$23,INDEX($C$23:$AL$23,MAX(1,ROUNDUP(CH216/'🎚️ Escenario'!$C$11,0)))))</f>
        <v>0</v>
      </c>
      <c r="CI217" s="236" t="n">
        <f aca="false" t="array" ref="CI217:CI217">IF(CI216=0,0,IF(CI216/'🎚️ Escenario'!$C$11&gt;=36,$AL$23,INDEX($C$23:$AL$23,MAX(1,ROUNDUP(CI216/'🎚️ Escenario'!$C$11,0)))))</f>
        <v>0</v>
      </c>
      <c r="CJ217" s="236" t="n">
        <f aca="false" t="array" ref="CJ217:CJ217">IF(CJ216=0,0,IF(CJ216/'🎚️ Escenario'!$C$11&gt;=36,$AL$23,INDEX($C$23:$AL$23,MAX(1,ROUNDUP(CJ216/'🎚️ Escenario'!$C$11,0)))))</f>
        <v>0</v>
      </c>
      <c r="CK217" s="236" t="n">
        <f aca="false" t="array" ref="CK217:CK217">IF(CK216=0,0,IF(CK216/'🎚️ Escenario'!$C$11&gt;=36,$AL$23,INDEX($C$23:$AL$23,MAX(1,ROUNDUP(CK216/'🎚️ Escenario'!$C$11,0)))))</f>
        <v>0</v>
      </c>
      <c r="CL217" s="236" t="n">
        <f aca="false" t="array" ref="CL217:CL217">IF(CL216=0,0,IF(CL216/'🎚️ Escenario'!$C$11&gt;=36,$AL$23,INDEX($C$23:$AL$23,MAX(1,ROUNDUP(CL216/'🎚️ Escenario'!$C$11,0)))))</f>
        <v>0.2</v>
      </c>
      <c r="CM217" s="236" t="n">
        <f aca="false" t="array" ref="CM217:CM217">IF(CM216=0,0,IF(CM216/'🎚️ Escenario'!$C$11&gt;=36,$AL$23,INDEX($C$23:$AL$23,MAX(1,ROUNDUP(CM216/'🎚️ Escenario'!$C$11,0)))))</f>
        <v>0.22</v>
      </c>
      <c r="CN217" s="236" t="n">
        <f aca="false" t="array" ref="CN217:CN217">IF(CN216=0,0,IF(CN216/'🎚️ Escenario'!$C$11&gt;=36,$AL$23,INDEX($C$23:$AL$23,MAX(1,ROUNDUP(CN216/'🎚️ Escenario'!$C$11,0)))))</f>
        <v>0.24</v>
      </c>
      <c r="CO217" s="236" t="n">
        <f aca="false" t="array" ref="CO217:CO217">IF(CO216=0,0,IF(CO216/'🎚️ Escenario'!$C$11&gt;=36,$AL$23,INDEX($C$23:$AL$23,MAX(1,ROUNDUP(CO216/'🎚️ Escenario'!$C$11,0)))))</f>
        <v>0.27</v>
      </c>
      <c r="CP217" s="236" t="n">
        <f aca="false" t="array" ref="CP217:CP217">IF(CP216=0,0,IF(CP216/'🎚️ Escenario'!$C$11&gt;=36,$AL$23,INDEX($C$23:$AL$23,MAX(1,ROUNDUP(CP216/'🎚️ Escenario'!$C$11,0)))))</f>
        <v>0.27</v>
      </c>
      <c r="CQ217" s="236" t="n">
        <f aca="false" t="array" ref="CQ217:CQ217">IF(CQ216=0,0,IF(CQ216/'🎚️ Escenario'!$C$11&gt;=36,$AL$23,INDEX($C$23:$AL$23,MAX(1,ROUNDUP(CQ216/'🎚️ Escenario'!$C$11,0)))))</f>
        <v>0.31</v>
      </c>
      <c r="CR217" s="236" t="n">
        <f aca="false" t="array" ref="CR217:CR217">IF(CR216=0,0,IF(CR216/'🎚️ Escenario'!$C$11&gt;=36,$AL$23,INDEX($C$23:$AL$23,MAX(1,ROUNDUP(CR216/'🎚️ Escenario'!$C$11,0)))))</f>
        <v>0.35</v>
      </c>
      <c r="CS217" s="236" t="n">
        <f aca="false" t="array" ref="CS217:CS217">IF(CS216=0,0,IF(CS216/'🎚️ Escenario'!$C$11&gt;=36,$AL$23,INDEX($C$23:$AL$23,MAX(1,ROUNDUP(CS216/'🎚️ Escenario'!$C$11,0)))))</f>
        <v>0.39</v>
      </c>
      <c r="CT217" s="236" t="n">
        <f aca="false" t="array" ref="CT217:CT217">IF(CT216=0,0,IF(CT216/'🎚️ Escenario'!$C$11&gt;=36,$AL$23,INDEX($C$23:$AL$23,MAX(1,ROUNDUP(CT216/'🎚️ Escenario'!$C$11,0)))))</f>
        <v>0.44</v>
      </c>
      <c r="CU217" s="236" t="n">
        <f aca="false" t="array" ref="CU217:CU217">IF(CU216=0,0,IF(CU216/'🎚️ Escenario'!$C$11&gt;=36,$AL$23,INDEX($C$23:$AL$23,MAX(1,ROUNDUP(CU216/'🎚️ Escenario'!$C$11,0)))))</f>
        <v>0.44</v>
      </c>
      <c r="CV217" s="236" t="n">
        <f aca="false" t="array" ref="CV217:CV217">IF(CV216=0,0,IF(CV216/'🎚️ Escenario'!$C$11&gt;=36,$AL$23,INDEX($C$23:$AL$23,MAX(1,ROUNDUP(CV216/'🎚️ Escenario'!$C$11,0)))))</f>
        <v>0.48</v>
      </c>
      <c r="CW217" s="236" t="n">
        <f aca="false" t="array" ref="CW217:CW217">IF(CW216=0,0,IF(CW216/'🎚️ Escenario'!$C$11&gt;=36,$AL$23,INDEX($C$23:$AL$23,MAX(1,ROUNDUP(CW216/'🎚️ Escenario'!$C$11,0)))))</f>
        <v>0.52</v>
      </c>
      <c r="CX217" s="236" t="n">
        <f aca="false" t="array" ref="CX217:CX217">IF(CX216=0,0,IF(CX216/'🎚️ Escenario'!$C$11&gt;=36,$AL$23,INDEX($C$23:$AL$23,MAX(1,ROUNDUP(CX216/'🎚️ Escenario'!$C$11,0)))))</f>
        <v>0.56</v>
      </c>
      <c r="CY217" s="236" t="n">
        <f aca="false" t="array" ref="CY217:CY217">IF(CY216=0,0,IF(CY216/'🎚️ Escenario'!$C$11&gt;=36,$AL$23,INDEX($C$23:$AL$23,MAX(1,ROUNDUP(CY216/'🎚️ Escenario'!$C$11,0)))))</f>
        <v>0.6</v>
      </c>
      <c r="CZ217" s="236" t="n">
        <f aca="false" t="array" ref="CZ217:CZ217">IF(CZ216=0,0,IF(CZ216/'🎚️ Escenario'!$C$11&gt;=36,$AL$23,INDEX($C$23:$AL$23,MAX(1,ROUNDUP(CZ216/'🎚️ Escenario'!$C$11,0)))))</f>
        <v>0.6</v>
      </c>
      <c r="DA217" s="236" t="n">
        <f aca="false" t="array" ref="DA217:DA217">IF(DA216=0,0,IF(DA216/'🎚️ Escenario'!$C$11&gt;=36,$AL$23,INDEX($C$23:$AL$23,MAX(1,ROUNDUP(DA216/'🎚️ Escenario'!$C$11,0)))))</f>
        <v>0.63</v>
      </c>
      <c r="DB217" s="236" t="n">
        <f aca="false" t="array" ref="DB217:DB217">IF(DB216=0,0,IF(DB216/'🎚️ Escenario'!$C$11&gt;=36,$AL$23,INDEX($C$23:$AL$23,MAX(1,ROUNDUP(DB216/'🎚️ Escenario'!$C$11,0)))))</f>
        <v>0.66</v>
      </c>
      <c r="DC217" s="236" t="n">
        <f aca="false" t="array" ref="DC217:DC217">IF(DC216=0,0,IF(DC216/'🎚️ Escenario'!$C$11&gt;=36,$AL$23,INDEX($C$23:$AL$23,MAX(1,ROUNDUP(DC216/'🎚️ Escenario'!$C$11,0)))))</f>
        <v>0.69</v>
      </c>
      <c r="DD217" s="236" t="n">
        <f aca="false" t="array" ref="DD217:DD217">IF(DD216=0,0,IF(DD216/'🎚️ Escenario'!$C$11&gt;=36,$AL$23,INDEX($C$23:$AL$23,MAX(1,ROUNDUP(DD216/'🎚️ Escenario'!$C$11,0)))))</f>
        <v>0.71</v>
      </c>
      <c r="DE217" s="236" t="n">
        <f aca="false" t="array" ref="DE217:DE217">IF(DE216=0,0,IF(DE216/'🎚️ Escenario'!$C$11&gt;=36,$AL$23,INDEX($C$23:$AL$23,MAX(1,ROUNDUP(DE216/'🎚️ Escenario'!$C$11,0)))))</f>
        <v>0.71</v>
      </c>
      <c r="DF217" s="236" t="n">
        <f aca="false" t="array" ref="DF217:DF217">IF(DF216=0,0,IF(DF216/'🎚️ Escenario'!$C$11&gt;=36,$AL$23,INDEX($C$23:$AL$23,MAX(1,ROUNDUP(DF216/'🎚️ Escenario'!$C$11,0)))))</f>
        <v>0.73</v>
      </c>
      <c r="DG217" s="236" t="n">
        <f aca="false" t="array" ref="DG217:DG217">IF(DG216=0,0,IF(DG216/'🎚️ Escenario'!$C$11&gt;=36,$AL$23,INDEX($C$23:$AL$23,MAX(1,ROUNDUP(DG216/'🎚️ Escenario'!$C$11,0)))))</f>
        <v>0.75</v>
      </c>
      <c r="DH217" s="236" t="n">
        <f aca="false" t="array" ref="DH217:DH217">IF(DH216=0,0,IF(DH216/'🎚️ Escenario'!$C$11&gt;=36,$AL$23,INDEX($C$23:$AL$23,MAX(1,ROUNDUP(DH216/'🎚️ Escenario'!$C$11,0)))))</f>
        <v>0.77</v>
      </c>
      <c r="DI217" s="236" t="n">
        <f aca="false" t="array" ref="DI217:DI217">IF(DI216=0,0,IF(DI216/'🎚️ Escenario'!$C$11&gt;=36,$AL$23,INDEX($C$23:$AL$23,MAX(1,ROUNDUP(DI216/'🎚️ Escenario'!$C$11,0)))))</f>
        <v>0.79</v>
      </c>
      <c r="DJ217" s="236" t="n">
        <f aca="false" t="array" ref="DJ217:DJ217">IF(DJ216=0,0,IF(DJ216/'🎚️ Escenario'!$C$11&gt;=36,$AL$23,INDEX($C$23:$AL$23,MAX(1,ROUNDUP(DJ216/'🎚️ Escenario'!$C$11,0)))))</f>
        <v>0.79</v>
      </c>
      <c r="DK217" s="236" t="n">
        <f aca="false" t="array" ref="DK217:DK217">IF(DK216=0,0,IF(DK216/'🎚️ Escenario'!$C$11&gt;=36,$AL$23,INDEX($C$23:$AL$23,MAX(1,ROUNDUP(DK216/'🎚️ Escenario'!$C$11,0)))))</f>
        <v>0.8</v>
      </c>
      <c r="DL217" s="236" t="n">
        <f aca="false" t="array" ref="DL217:DL217">IF(DL216=0,0,IF(DL216/'🎚️ Escenario'!$C$11&gt;=36,$AL$23,INDEX($C$23:$AL$23,MAX(1,ROUNDUP(DL216/'🎚️ Escenario'!$C$11,0)))))</f>
        <v>0.82</v>
      </c>
      <c r="DM217" s="236" t="n">
        <f aca="false" t="array" ref="DM217:DM217">IF(DM216=0,0,IF(DM216/'🎚️ Escenario'!$C$11&gt;=36,$AL$23,INDEX($C$23:$AL$23,MAX(1,ROUNDUP(DM216/'🎚️ Escenario'!$C$11,0)))))</f>
        <v>0.84</v>
      </c>
      <c r="DN217" s="236" t="n">
        <f aca="false" t="array" ref="DN217:DN217">IF(DN216=0,0,IF(DN216/'🎚️ Escenario'!$C$11&gt;=36,$AL$23,INDEX($C$23:$AL$23,MAX(1,ROUNDUP(DN216/'🎚️ Escenario'!$C$11,0)))))</f>
        <v>0.85</v>
      </c>
      <c r="DO217" s="236" t="n">
        <f aca="false" t="array" ref="DO217:DO217">IF(DO216=0,0,IF(DO216/'🎚️ Escenario'!$C$11&gt;=36,$AL$23,INDEX($C$23:$AL$23,MAX(1,ROUNDUP(DO216/'🎚️ Escenario'!$C$11,0)))))</f>
        <v>0.85</v>
      </c>
      <c r="DP217" s="236" t="n">
        <f aca="false" t="array" ref="DP217:DP217">IF(DP216=0,0,IF(DP216/'🎚️ Escenario'!$C$11&gt;=36,$AL$23,INDEX($C$23:$AL$23,MAX(1,ROUNDUP(DP216/'🎚️ Escenario'!$C$11,0)))))</f>
        <v>0.86</v>
      </c>
      <c r="DQ217" s="236" t="n">
        <f aca="false" t="array" ref="DQ217:DQ217">IF(DQ216=0,0,IF(DQ216/'🎚️ Escenario'!$C$11&gt;=36,$AL$23,INDEX($C$23:$AL$23,MAX(1,ROUNDUP(DQ216/'🎚️ Escenario'!$C$11,0)))))</f>
        <v>0.88</v>
      </c>
      <c r="DR217" s="236" t="n">
        <f aca="false" t="array" ref="DR217:DR217">IF(DR216=0,0,IF(DR216/'🎚️ Escenario'!$C$11&gt;=36,$AL$23,INDEX($C$23:$AL$23,MAX(1,ROUNDUP(DR216/'🎚️ Escenario'!$C$11,0)))))</f>
        <v>0.89</v>
      </c>
      <c r="DS217" s="236" t="n">
        <f aca="false" t="array" ref="DS217:DS217">IF(DS216=0,0,IF(DS216/'🎚️ Escenario'!$C$11&gt;=36,$AL$23,INDEX($C$23:$AL$23,MAX(1,ROUNDUP(DS216/'🎚️ Escenario'!$C$11,0)))))</f>
        <v>0.9</v>
      </c>
      <c r="DT217" s="236" t="n">
        <f aca="false" t="array" ref="DT217:DT217">IF(DT216=0,0,IF(DT216/'🎚️ Escenario'!$C$11&gt;=36,$AL$23,INDEX($C$23:$AL$23,MAX(1,ROUNDUP(DT216/'🎚️ Escenario'!$C$11,0)))))</f>
        <v>0.9</v>
      </c>
      <c r="DU217" s="236" t="n">
        <f aca="false" t="array" ref="DU217:DU217">IF(DU216=0,0,IF(DU216/'🎚️ Escenario'!$C$11&gt;=36,$AL$23,INDEX($C$23:$AL$23,MAX(1,ROUNDUP(DU216/'🎚️ Escenario'!$C$11,0)))))</f>
        <v>0.92</v>
      </c>
      <c r="DV217" s="236" t="n">
        <f aca="false" t="array" ref="DV217:DV217">IF(DV216=0,0,IF(DV216/'🎚️ Escenario'!$C$11&gt;=36,$AL$23,INDEX($C$23:$AL$23,MAX(1,ROUNDUP(DV216/'🎚️ Escenario'!$C$11,0)))))</f>
        <v>0.93</v>
      </c>
      <c r="DW217" s="236" t="n">
        <f aca="false" t="array" ref="DW217:DW217">IF(DW216=0,0,IF(DW216/'🎚️ Escenario'!$C$11&gt;=36,$AL$23,INDEX($C$23:$AL$23,MAX(1,ROUNDUP(DW216/'🎚️ Escenario'!$C$11,0)))))</f>
        <v>0.94</v>
      </c>
      <c r="DX217" s="236" t="n">
        <f aca="false" t="array" ref="DX217:DX217">IF(DX216=0,0,IF(DX216/'🎚️ Escenario'!$C$11&gt;=36,$AL$23,INDEX($C$23:$AL$23,MAX(1,ROUNDUP(DX216/'🎚️ Escenario'!$C$11,0)))))</f>
        <v>0.95</v>
      </c>
      <c r="DY217" s="236" t="n">
        <f aca="false" t="array" ref="DY217:DY217">IF(DY216=0,0,IF(DY216/'🎚️ Escenario'!$C$11&gt;=36,$AL$23,INDEX($C$23:$AL$23,MAX(1,ROUNDUP(DY216/'🎚️ Escenario'!$C$11,0)))))</f>
        <v>0.95</v>
      </c>
      <c r="DZ217" s="236" t="n">
        <f aca="false" t="array" ref="DZ217:DZ217">IF(DZ216=0,0,IF(DZ216/'🎚️ Escenario'!$C$11&gt;=36,$AL$23,INDEX($C$23:$AL$23,MAX(1,ROUNDUP(DZ216/'🎚️ Escenario'!$C$11,0)))))</f>
        <v>0.97</v>
      </c>
      <c r="EA217" s="236" t="n">
        <f aca="false" t="array" ref="EA217:EA217">IF(EA216=0,0,IF(EA216/'🎚️ Escenario'!$C$11&gt;=36,$AL$23,INDEX($C$23:$AL$23,MAX(1,ROUNDUP(EA216/'🎚️ Escenario'!$C$11,0)))))</f>
        <v>0.98</v>
      </c>
      <c r="EB217" s="236" t="n">
        <f aca="false" t="array" ref="EB217:EB217">IF(EB216=0,0,IF(EB216/'🎚️ Escenario'!$C$11&gt;=36,$AL$23,INDEX($C$23:$AL$23,MAX(1,ROUNDUP(EB216/'🎚️ Escenario'!$C$11,0)))))</f>
        <v>0.99</v>
      </c>
      <c r="EC217" s="236" t="n">
        <f aca="false" t="array" ref="EC217:EC217">IF(EC216=0,0,IF(EC216/'🎚️ Escenario'!$C$11&gt;=36,$AL$23,INDEX($C$23:$AL$23,MAX(1,ROUNDUP(EC216/'🎚️ Escenario'!$C$11,0)))))</f>
        <v>1</v>
      </c>
      <c r="ED217" s="236" t="n">
        <f aca="false" t="array" ref="ED217:ED217">IF(ED216=0,0,IF(ED216/'🎚️ Escenario'!$C$11&gt;=36,$AL$23,INDEX($C$23:$AL$23,MAX(1,ROUNDUP(ED216/'🎚️ Escenario'!$C$11,0)))))</f>
        <v>1</v>
      </c>
      <c r="EE217" s="236" t="n">
        <f aca="false" t="array" ref="EE217:EE217">IF(EE216=0,0,IF(EE216/'🎚️ Escenario'!$C$11&gt;=36,$AL$23,INDEX($C$23:$AL$23,MAX(1,ROUNDUP(EE216/'🎚️ Escenario'!$C$11,0)))))</f>
        <v>1</v>
      </c>
      <c r="EF217" s="236" t="n">
        <f aca="false" t="array" ref="EF217:EF217">IF(EF216=0,0,IF(EF216/'🎚️ Escenario'!$C$11&gt;=36,$AL$23,INDEX($C$23:$AL$23,MAX(1,ROUNDUP(EF216/'🎚️ Escenario'!$C$11,0)))))</f>
        <v>1</v>
      </c>
      <c r="EG217" s="236" t="n">
        <f aca="false" t="array" ref="EG217:EG217">IF(EG216=0,0,IF(EG216/'🎚️ Escenario'!$C$11&gt;=36,$AL$23,INDEX($C$23:$AL$23,MAX(1,ROUNDUP(EG216/'🎚️ Escenario'!$C$11,0)))))</f>
        <v>1</v>
      </c>
      <c r="EH217" s="236" t="n">
        <f aca="false" t="array" ref="EH217:EH217">IF(EH216=0,0,IF(EH216/'🎚️ Escenario'!$C$11&gt;=36,$AL$23,INDEX($C$23:$AL$23,MAX(1,ROUNDUP(EH216/'🎚️ Escenario'!$C$11,0)))))</f>
        <v>1</v>
      </c>
      <c r="EI217" s="236" t="n">
        <f aca="false" t="array" ref="EI217:EI217">IF(EI216=0,0,IF(EI216/'🎚️ Escenario'!$C$11&gt;=36,$AL$23,INDEX($C$23:$AL$23,MAX(1,ROUNDUP(EI216/'🎚️ Escenario'!$C$11,0)))))</f>
        <v>1</v>
      </c>
      <c r="EJ217" s="236" t="n">
        <f aca="false" t="array" ref="EJ217:EJ217">IF(EJ216=0,0,IF(EJ216/'🎚️ Escenario'!$C$11&gt;=36,$AL$23,INDEX($C$23:$AL$23,MAX(1,ROUNDUP(EJ216/'🎚️ Escenario'!$C$11,0)))))</f>
        <v>1</v>
      </c>
      <c r="EK217" s="236" t="n">
        <f aca="false" t="array" ref="EK217:EK217">IF(EK216=0,0,IF(EK216/'🎚️ Escenario'!$C$11&gt;=36,$AL$23,INDEX($C$23:$AL$23,MAX(1,ROUNDUP(EK216/'🎚️ Escenario'!$C$11,0)))))</f>
        <v>1</v>
      </c>
      <c r="EL217" s="236" t="n">
        <f aca="false" t="array" ref="EL217:EL217">IF(EL216=0,0,IF(EL216/'🎚️ Escenario'!$C$11&gt;=36,$AL$23,INDEX($C$23:$AL$23,MAX(1,ROUNDUP(EL216/'🎚️ Escenario'!$C$11,0)))))</f>
        <v>1</v>
      </c>
      <c r="EM217" s="236" t="n">
        <f aca="false" t="array" ref="EM217:EM217">IF(EM216=0,0,IF(EM216/'🎚️ Escenario'!$C$11&gt;=36,$AL$23,INDEX($C$23:$AL$23,MAX(1,ROUNDUP(EM216/'🎚️ Escenario'!$C$11,0)))))</f>
        <v>1</v>
      </c>
      <c r="EN217" s="236" t="n">
        <f aca="false" t="array" ref="EN217:EN217">IF(EN216=0,0,IF(EN216/'🎚️ Escenario'!$C$11&gt;=36,$AL$23,INDEX($C$23:$AL$23,MAX(1,ROUNDUP(EN216/'🎚️ Escenario'!$C$11,0)))))</f>
        <v>1</v>
      </c>
      <c r="EO217" s="236" t="n">
        <f aca="false" t="array" ref="EO217:EO217">IF(EO216=0,0,IF(EO216/'🎚️ Escenario'!$C$11&gt;=36,$AL$23,INDEX($C$23:$AL$23,MAX(1,ROUNDUP(EO216/'🎚️ Escenario'!$C$11,0)))))</f>
        <v>1</v>
      </c>
      <c r="EP217" s="236" t="n">
        <f aca="false" t="array" ref="EP217:EP217">IF(EP216=0,0,IF(EP216/'🎚️ Escenario'!$C$11&gt;=36,$AL$23,INDEX($C$23:$AL$23,MAX(1,ROUNDUP(EP216/'🎚️ Escenario'!$C$11,0)))))</f>
        <v>1</v>
      </c>
      <c r="EQ217" s="236" t="n">
        <f aca="false" t="array" ref="EQ217:EQ217">IF(EQ216=0,0,IF(EQ216/'🎚️ Escenario'!$C$11&gt;=36,$AL$23,INDEX($C$23:$AL$23,MAX(1,ROUNDUP(EQ216/'🎚️ Escenario'!$C$11,0)))))</f>
        <v>1</v>
      </c>
      <c r="ER217" s="236" t="n">
        <f aca="false" t="array" ref="ER217:ER217">IF(ER216=0,0,IF(ER216/'🎚️ Escenario'!$C$11&gt;=36,$AL$23,INDEX($C$23:$AL$23,MAX(1,ROUNDUP(ER216/'🎚️ Escenario'!$C$11,0)))))</f>
        <v>1</v>
      </c>
      <c r="ES217" s="9" t="n">
        <f aca="false" t="array" ref="ES217:ES217">IF(ES216=0,0,IF(ES216/'🎚️ Escenario'!$C$11&gt;=36,$AL$23,INDEX($C$23:$AL$23,MAX(1,ROUNDUP(ES216/'🎚️ Escenario'!$C$11,0)))))</f>
        <v>1</v>
      </c>
      <c r="ET217" s="9" t="n">
        <f aca="false" t="array" ref="ET217:ET217">IF(ET216=0,0,IF(ET216/'🎚️ Escenario'!$C$11&gt;=36,$AL$23,INDEX($C$23:$AL$23,MAX(1,ROUNDUP(ET216/'🎚️ Escenario'!$C$11,0)))))</f>
        <v>1</v>
      </c>
      <c r="EU217" s="9" t="n">
        <f aca="false" t="array" ref="EU217:EU217">IF(EU216=0,0,IF(EU216/'🎚️ Escenario'!$C$11&gt;=36,$AL$23,INDEX($C$23:$AL$23,MAX(1,ROUNDUP(EU216/'🎚️ Escenario'!$C$11,0)))))</f>
        <v>1</v>
      </c>
      <c r="EV217" s="9" t="n">
        <f aca="false" t="array" ref="EV217:EV217">IF(EV216=0,0,IF(EV216/'🎚️ Escenario'!$C$11&gt;=36,$AL$23,INDEX($C$23:$AL$23,MAX(1,ROUNDUP(EV216/'🎚️ Escenario'!$C$11,0)))))</f>
        <v>1</v>
      </c>
      <c r="EW217" s="9" t="n">
        <f aca="false" t="array" ref="EW217:EW217">IF(EW216=0,0,IF(EW216/'🎚️ Escenario'!$C$11&gt;=36,$AL$23,INDEX($C$23:$AL$23,MAX(1,ROUNDUP(EW216/'🎚️ Escenario'!$C$11,0)))))</f>
        <v>1</v>
      </c>
      <c r="EX217" s="9" t="n">
        <f aca="false" t="array" ref="EX217:EX217">IF(EX216=0,0,IF(EX216/'🎚️ Escenario'!$C$11&gt;=36,$AL$23,INDEX($C$23:$AL$23,MAX(1,ROUNDUP(EX216/'🎚️ Escenario'!$C$11,0)))))</f>
        <v>1</v>
      </c>
      <c r="EY217" s="9" t="n">
        <f aca="false" t="array" ref="EY217:EY217">IF(EY216=0,0,IF(EY216/'🎚️ Escenario'!$C$11&gt;=36,$AL$23,INDEX($C$23:$AL$23,MAX(1,ROUNDUP(EY216/'🎚️ Escenario'!$C$11,0)))))</f>
        <v>1</v>
      </c>
      <c r="EZ217" s="9" t="n">
        <f aca="false" t="array" ref="EZ217:EZ217">IF(EZ216=0,0,IF(EZ216/'🎚️ Escenario'!$C$11&gt;=36,$AL$23,INDEX($C$23:$AL$23,MAX(1,ROUNDUP(EZ216/'🎚️ Escenario'!$C$11,0)))))</f>
        <v>1</v>
      </c>
      <c r="FA217" s="9" t="n">
        <f aca="false" t="array" ref="FA217:FA217">IF(FA216=0,0,IF(FA216/'🎚️ Escenario'!$C$11&gt;=36,$AL$23,INDEX($C$23:$AL$23,MAX(1,ROUNDUP(FA216/'🎚️ Escenario'!$C$11,0)))))</f>
        <v>1</v>
      </c>
      <c r="FB217" s="9" t="n">
        <f aca="false" t="array" ref="FB217:FB217">IF(FB216=0,0,IF(FB216/'🎚️ Escenario'!$C$11&gt;=36,$AL$23,INDEX($C$23:$AL$23,MAX(1,ROUNDUP(FB216/'🎚️ Escenario'!$C$11,0)))))</f>
        <v>1</v>
      </c>
      <c r="FC217" s="9" t="n">
        <f aca="false" t="array" ref="FC217:FC217">IF(FC216=0,0,IF(FC216/'🎚️ Escenario'!$C$11&gt;=36,$AL$23,INDEX($C$23:$AL$23,MAX(1,ROUNDUP(FC216/'🎚️ Escenario'!$C$11,0)))))</f>
        <v>1</v>
      </c>
      <c r="FD217" s="9" t="n">
        <f aca="false" t="array" ref="FD217:FD217">IF(FD216=0,0,IF(FD216/'🎚️ Escenario'!$C$11&gt;=36,$AL$23,INDEX($C$23:$AL$23,MAX(1,ROUNDUP(FD216/'🎚️ Escenario'!$C$11,0)))))</f>
        <v>1</v>
      </c>
      <c r="FE217" s="9" t="n">
        <f aca="false" t="array" ref="FE217:FE217">IF(FE216=0,0,IF(FE216/'🎚️ Escenario'!$C$11&gt;=36,$AL$23,INDEX($C$23:$AL$23,MAX(1,ROUNDUP(FE216/'🎚️ Escenario'!$C$11,0)))))</f>
        <v>1</v>
      </c>
      <c r="FF217" s="9" t="n">
        <f aca="false" t="array" ref="FF217:FF217">IF(FF216=0,0,IF(FF216/'🎚️ Escenario'!$C$11&gt;=36,$AL$23,INDEX($C$23:$AL$23,MAX(1,ROUNDUP(FF216/'🎚️ Escenario'!$C$11,0)))))</f>
        <v>1</v>
      </c>
      <c r="FG217" s="9" t="n">
        <f aca="false" t="array" ref="FG217:FG217">IF(FG216=0,0,IF(FG216/'🎚️ Escenario'!$C$11&gt;=36,$AL$23,INDEX($C$23:$AL$23,MAX(1,ROUNDUP(FG216/'🎚️ Escenario'!$C$11,0)))))</f>
        <v>1</v>
      </c>
      <c r="FH217" s="9" t="n">
        <f aca="false" t="array" ref="FH217:FH217">IF(FH216=0,0,IF(FH216/'🎚️ Escenario'!$C$11&gt;=36,$AL$23,INDEX($C$23:$AL$23,MAX(1,ROUNDUP(FH216/'🎚️ Escenario'!$C$11,0)))))</f>
        <v>1</v>
      </c>
      <c r="FI217" s="9" t="n">
        <f aca="false" t="array" ref="FI217:FI217">IF(FI216=0,0,IF(FI216/'🎚️ Escenario'!$C$11&gt;=36,$AL$23,INDEX($C$23:$AL$23,MAX(1,ROUNDUP(FI216/'🎚️ Escenario'!$C$11,0)))))</f>
        <v>1</v>
      </c>
      <c r="FJ217" s="9" t="n">
        <f aca="false" t="array" ref="FJ217:FJ217">IF(FJ216=0,0,IF(FJ216/'🎚️ Escenario'!$C$11&gt;=36,$AL$23,INDEX($C$23:$AL$23,MAX(1,ROUNDUP(FJ216/'🎚️ Escenario'!$C$11,0)))))</f>
        <v>1</v>
      </c>
      <c r="FK217" s="9" t="n">
        <f aca="false" t="array" ref="FK217:FK217">IF(FK216=0,0,IF(FK216/'🎚️ Escenario'!$C$11&gt;=36,$AL$23,INDEX($C$23:$AL$23,MAX(1,ROUNDUP(FK216/'🎚️ Escenario'!$C$11,0)))))</f>
        <v>1</v>
      </c>
      <c r="FL217" s="9" t="n">
        <f aca="false" t="array" ref="FL217:FL217">IF(FL216=0,0,IF(FL216/'🎚️ Escenario'!$C$11&gt;=36,$AL$23,INDEX($C$23:$AL$23,MAX(1,ROUNDUP(FL216/'🎚️ Escenario'!$C$11,0)))))</f>
        <v>1</v>
      </c>
      <c r="FM217" s="9" t="n">
        <f aca="false" t="array" ref="FM217:FM217">IF(FM216=0,0,IF(FM216/'🎚️ Escenario'!$C$11&gt;=36,$AL$23,INDEX($C$23:$AL$23,MAX(1,ROUNDUP(FM216/'🎚️ Escenario'!$C$11,0)))))</f>
        <v>1</v>
      </c>
      <c r="FN217" s="9" t="n">
        <f aca="false" t="array" ref="FN217:FN217">IF(FN216=0,0,IF(FN216/'🎚️ Escenario'!$C$11&gt;=36,$AL$23,INDEX($C$23:$AL$23,MAX(1,ROUNDUP(FN216/'🎚️ Escenario'!$C$11,0)))))</f>
        <v>1</v>
      </c>
      <c r="FO217" s="9" t="n">
        <f aca="false" t="array" ref="FO217:FO217">IF(FO216=0,0,IF(FO216/'🎚️ Escenario'!$C$11&gt;=36,$AL$23,INDEX($C$23:$AL$23,MAX(1,ROUNDUP(FO216/'🎚️ Escenario'!$C$11,0)))))</f>
        <v>1</v>
      </c>
      <c r="FP217" s="9" t="n">
        <f aca="false" t="array" ref="FP217:FP217">IF(FP216=0,0,IF(FP216/'🎚️ Escenario'!$C$11&gt;=36,$AL$23,INDEX($C$23:$AL$23,MAX(1,ROUNDUP(FP216/'🎚️ Escenario'!$C$11,0)))))</f>
        <v>1</v>
      </c>
    </row>
    <row r="218" customFormat="false" ht="15" hidden="false" customHeight="false" outlineLevel="2" collapsed="false">
      <c r="B218" s="9" t="s">
        <v>875</v>
      </c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237" t="n">
        <f aca="false">IF(AC216=0,0,IF(AC216&lt;=12*'🎚️ Escenario'!$C$11,1,1+$C$6))</f>
        <v>0</v>
      </c>
      <c r="AD218" s="237" t="n">
        <f aca="false">IF(AD216=0,0,IF(AD216&lt;=12*'🎚️ Escenario'!$C$11,1,1+$C$6))</f>
        <v>0</v>
      </c>
      <c r="AE218" s="237" t="n">
        <f aca="false">IF(AE216=0,0,IF(AE216&lt;=12*'🎚️ Escenario'!$C$11,1,1+$C$6))</f>
        <v>0</v>
      </c>
      <c r="AF218" s="237" t="n">
        <f aca="false">IF(AF216=0,0,IF(AF216&lt;=12*'🎚️ Escenario'!$C$11,1,1+$C$6))</f>
        <v>0</v>
      </c>
      <c r="AG218" s="237" t="n">
        <f aca="false">IF(AG216=0,0,IF(AG216&lt;=12*'🎚️ Escenario'!$C$11,1,1+$C$6))</f>
        <v>0</v>
      </c>
      <c r="AH218" s="237" t="n">
        <f aca="false">IF(AH216=0,0,IF(AH216&lt;=12*'🎚️ Escenario'!$C$11,1,1+$C$6))</f>
        <v>0</v>
      </c>
      <c r="AI218" s="237" t="n">
        <f aca="false">IF(AI216=0,0,IF(AI216&lt;=12*'🎚️ Escenario'!$C$11,1,1+$C$6))</f>
        <v>0</v>
      </c>
      <c r="AJ218" s="237" t="n">
        <f aca="false">IF(AJ216=0,0,IF(AJ216&lt;=12*'🎚️ Escenario'!$C$11,1,1+$C$6))</f>
        <v>0</v>
      </c>
      <c r="AK218" s="237" t="n">
        <f aca="false">IF(AK216=0,0,IF(AK216&lt;=12*'🎚️ Escenario'!$C$11,1,1+$C$6))</f>
        <v>0</v>
      </c>
      <c r="AL218" s="237" t="n">
        <f aca="false">IF(AL216=0,0,IF(AL216&lt;=12*'🎚️ Escenario'!$C$11,1,1+$C$6))</f>
        <v>0</v>
      </c>
      <c r="AM218" s="237" t="n">
        <f aca="false">IF(AM216=0,0,IF(AM216&lt;=12*'🎚️ Escenario'!$C$11,1,1+$C$6))</f>
        <v>0</v>
      </c>
      <c r="AN218" s="237" t="n">
        <f aca="false">IF(AN216=0,0,IF(AN216&lt;=12*'🎚️ Escenario'!$C$11,1,1+$C$6))</f>
        <v>0</v>
      </c>
      <c r="AO218" s="237" t="n">
        <f aca="false">IF(AO216=0,0,IF(AO216&lt;=12*'🎚️ Escenario'!$C$11,1,1+$C$6))</f>
        <v>0</v>
      </c>
      <c r="AP218" s="237" t="n">
        <f aca="false">IF(AP216=0,0,IF(AP216&lt;=12*'🎚️ Escenario'!$C$11,1,1+$C$6))</f>
        <v>0</v>
      </c>
      <c r="AQ218" s="237" t="n">
        <f aca="false">IF(AQ216=0,0,IF(AQ216&lt;=12*'🎚️ Escenario'!$C$11,1,1+$C$6))</f>
        <v>0</v>
      </c>
      <c r="AR218" s="237" t="n">
        <f aca="false">IF(AR216=0,0,IF(AR216&lt;=12*'🎚️ Escenario'!$C$11,1,1+$C$6))</f>
        <v>0</v>
      </c>
      <c r="AS218" s="237" t="n">
        <f aca="false">IF(AS216=0,0,IF(AS216&lt;=12*'🎚️ Escenario'!$C$11,1,1+$C$6))</f>
        <v>0</v>
      </c>
      <c r="AT218" s="237" t="n">
        <f aca="false">IF(AT216=0,0,IF(AT216&lt;=12*'🎚️ Escenario'!$C$11,1,1+$C$6))</f>
        <v>0</v>
      </c>
      <c r="AU218" s="237" t="n">
        <f aca="false">IF(AU216=0,0,IF(AU216&lt;=12*'🎚️ Escenario'!$C$11,1,1+$C$6))</f>
        <v>0</v>
      </c>
      <c r="AV218" s="237" t="n">
        <f aca="false">IF(AV216=0,0,IF(AV216&lt;=12*'🎚️ Escenario'!$C$11,1,1+$C$6))</f>
        <v>0</v>
      </c>
      <c r="AW218" s="237" t="n">
        <f aca="false">IF(AW216=0,0,IF(AW216&lt;=12*'🎚️ Escenario'!$C$11,1,1+$C$6))</f>
        <v>0</v>
      </c>
      <c r="AX218" s="237" t="n">
        <f aca="false">IF(AX216=0,0,IF(AX216&lt;=12*'🎚️ Escenario'!$C$11,1,1+$C$6))</f>
        <v>0</v>
      </c>
      <c r="AY218" s="237" t="n">
        <f aca="false">IF(AY216=0,0,IF(AY216&lt;=12*'🎚️ Escenario'!$C$11,1,1+$C$6))</f>
        <v>0</v>
      </c>
      <c r="AZ218" s="237" t="n">
        <f aca="false">IF(AZ216=0,0,IF(AZ216&lt;=12*'🎚️ Escenario'!$C$11,1,1+$C$6))</f>
        <v>0</v>
      </c>
      <c r="BA218" s="237" t="n">
        <f aca="false">IF(BA216=0,0,IF(BA216&lt;=12*'🎚️ Escenario'!$C$11,1,1+$C$6))</f>
        <v>0</v>
      </c>
      <c r="BB218" s="237" t="n">
        <f aca="false">IF(BB216=0,0,IF(BB216&lt;=12*'🎚️ Escenario'!$C$11,1,1+$C$6))</f>
        <v>0</v>
      </c>
      <c r="BC218" s="237" t="n">
        <f aca="false">IF(BC216=0,0,IF(BC216&lt;=12*'🎚️ Escenario'!$C$11,1,1+$C$6))</f>
        <v>0</v>
      </c>
      <c r="BD218" s="237" t="n">
        <f aca="false">IF(BD216=0,0,IF(BD216&lt;=12*'🎚️ Escenario'!$C$11,1,1+$C$6))</f>
        <v>0</v>
      </c>
      <c r="BE218" s="237" t="n">
        <f aca="false">IF(BE216=0,0,IF(BE216&lt;=12*'🎚️ Escenario'!$C$11,1,1+$C$6))</f>
        <v>0</v>
      </c>
      <c r="BF218" s="237" t="n">
        <f aca="false">IF(BF216=0,0,IF(BF216&lt;=12*'🎚️ Escenario'!$C$11,1,1+$C$6))</f>
        <v>0</v>
      </c>
      <c r="BG218" s="237" t="n">
        <f aca="false">IF(BG216=0,0,IF(BG216&lt;=12*'🎚️ Escenario'!$C$11,1,1+$C$6))</f>
        <v>0</v>
      </c>
      <c r="BH218" s="237" t="n">
        <f aca="false">IF(BH216=0,0,IF(BH216&lt;=12*'🎚️ Escenario'!$C$11,1,1+$C$6))</f>
        <v>0</v>
      </c>
      <c r="BI218" s="237" t="n">
        <f aca="false">IF(BI216=0,0,IF(BI216&lt;=12*'🎚️ Escenario'!$C$11,1,1+$C$6))</f>
        <v>0</v>
      </c>
      <c r="BJ218" s="237" t="n">
        <f aca="false">IF(BJ216=0,0,IF(BJ216&lt;=12*'🎚️ Escenario'!$C$11,1,1+$C$6))</f>
        <v>0</v>
      </c>
      <c r="BK218" s="237" t="n">
        <f aca="false">IF(BK216=0,0,IF(BK216&lt;=12*'🎚️ Escenario'!$C$11,1,1+$C$6))</f>
        <v>0</v>
      </c>
      <c r="BL218" s="237" t="n">
        <f aca="false">IF(BL216=0,0,IF(BL216&lt;=12*'🎚️ Escenario'!$C$11,1,1+$C$6))</f>
        <v>0</v>
      </c>
      <c r="BM218" s="237" t="n">
        <f aca="false">IF(BM216=0,0,IF(BM216&lt;=12*'🎚️ Escenario'!$C$11,1,1+$C$6))</f>
        <v>0</v>
      </c>
      <c r="BN218" s="237" t="n">
        <f aca="false">IF(BN216=0,0,IF(BN216&lt;=12*'🎚️ Escenario'!$C$11,1,1+$C$6))</f>
        <v>0</v>
      </c>
      <c r="BO218" s="237" t="n">
        <f aca="false">IF(BO216=0,0,IF(BO216&lt;=12*'🎚️ Escenario'!$C$11,1,1+$C$6))</f>
        <v>0</v>
      </c>
      <c r="BP218" s="237" t="n">
        <f aca="false">IF(BP216=0,0,IF(BP216&lt;=12*'🎚️ Escenario'!$C$11,1,1+$C$6))</f>
        <v>0</v>
      </c>
      <c r="BQ218" s="237" t="n">
        <f aca="false">IF(BQ216=0,0,IF(BQ216&lt;=12*'🎚️ Escenario'!$C$11,1,1+$C$6))</f>
        <v>0</v>
      </c>
      <c r="BR218" s="237" t="n">
        <f aca="false">IF(BR216=0,0,IF(BR216&lt;=12*'🎚️ Escenario'!$C$11,1,1+$C$6))</f>
        <v>0</v>
      </c>
      <c r="BS218" s="237" t="n">
        <f aca="false">IF(BS216=0,0,IF(BS216&lt;=12*'🎚️ Escenario'!$C$11,1,1+$C$6))</f>
        <v>0</v>
      </c>
      <c r="BT218" s="237" t="n">
        <f aca="false">IF(BT216=0,0,IF(BT216&lt;=12*'🎚️ Escenario'!$C$11,1,1+$C$6))</f>
        <v>0</v>
      </c>
      <c r="BU218" s="237" t="n">
        <f aca="false">IF(BU216=0,0,IF(BU216&lt;=12*'🎚️ Escenario'!$C$11,1,1+$C$6))</f>
        <v>0</v>
      </c>
      <c r="BV218" s="237" t="n">
        <f aca="false">IF(BV216=0,0,IF(BV216&lt;=12*'🎚️ Escenario'!$C$11,1,1+$C$6))</f>
        <v>0</v>
      </c>
      <c r="BW218" s="237" t="n">
        <f aca="false">IF(BW216=0,0,IF(BW216&lt;=12*'🎚️ Escenario'!$C$11,1,1+$C$6))</f>
        <v>0</v>
      </c>
      <c r="BX218" s="237" t="n">
        <f aca="false">IF(BX216=0,0,IF(BX216&lt;=12*'🎚️ Escenario'!$C$11,1,1+$C$6))</f>
        <v>0</v>
      </c>
      <c r="BY218" s="237" t="n">
        <f aca="false">IF(BY216=0,0,IF(BY216&lt;=12*'🎚️ Escenario'!$C$11,1,1+$C$6))</f>
        <v>0</v>
      </c>
      <c r="BZ218" s="237" t="n">
        <f aca="false">IF(BZ216=0,0,IF(BZ216&lt;=12*'🎚️ Escenario'!$C$11,1,1+$C$6))</f>
        <v>0</v>
      </c>
      <c r="CA218" s="237" t="n">
        <f aca="false">IF(CA216=0,0,IF(CA216&lt;=12*'🎚️ Escenario'!$C$11,1,1+$C$6))</f>
        <v>0</v>
      </c>
      <c r="CB218" s="237" t="n">
        <f aca="false">IF(CB216=0,0,IF(CB216&lt;=12*'🎚️ Escenario'!$C$11,1,1+$C$6))</f>
        <v>0</v>
      </c>
      <c r="CC218" s="237" t="n">
        <f aca="false">IF(CC216=0,0,IF(CC216&lt;=12*'🎚️ Escenario'!$C$11,1,1+$C$6))</f>
        <v>0</v>
      </c>
      <c r="CD218" s="237" t="n">
        <f aca="false">IF(CD216=0,0,IF(CD216&lt;=12*'🎚️ Escenario'!$C$11,1,1+$C$6))</f>
        <v>0</v>
      </c>
      <c r="CE218" s="237" t="n">
        <f aca="false">IF(CE216=0,0,IF(CE216&lt;=12*'🎚️ Escenario'!$C$11,1,1+$C$6))</f>
        <v>0</v>
      </c>
      <c r="CF218" s="237" t="n">
        <f aca="false">IF(CF216=0,0,IF(CF216&lt;=12*'🎚️ Escenario'!$C$11,1,1+$C$6))</f>
        <v>0</v>
      </c>
      <c r="CG218" s="237" t="n">
        <f aca="false">IF(CG216=0,0,IF(CG216&lt;=12*'🎚️ Escenario'!$C$11,1,1+$C$6))</f>
        <v>0</v>
      </c>
      <c r="CH218" s="237" t="n">
        <f aca="false">IF(CH216=0,0,IF(CH216&lt;=12*'🎚️ Escenario'!$C$11,1,1+$C$6))</f>
        <v>0</v>
      </c>
      <c r="CI218" s="237" t="n">
        <f aca="false">IF(CI216=0,0,IF(CI216&lt;=12*'🎚️ Escenario'!$C$11,1,1+$C$6))</f>
        <v>0</v>
      </c>
      <c r="CJ218" s="237" t="n">
        <f aca="false">IF(CJ216=0,0,IF(CJ216&lt;=12*'🎚️ Escenario'!$C$11,1,1+$C$6))</f>
        <v>0</v>
      </c>
      <c r="CK218" s="237" t="n">
        <f aca="false">IF(CK216=0,0,IF(CK216&lt;=12*'🎚️ Escenario'!$C$11,1,1+$C$6))</f>
        <v>0</v>
      </c>
      <c r="CL218" s="237" t="n">
        <f aca="false">IF(CL216=0,0,IF(CL216&lt;=12*'🎚️ Escenario'!$C$11,1,1+$C$6))</f>
        <v>1</v>
      </c>
      <c r="CM218" s="237" t="n">
        <f aca="false">IF(CM216=0,0,IF(CM216&lt;=12*'🎚️ Escenario'!$C$11,1,1+$C$6))</f>
        <v>1</v>
      </c>
      <c r="CN218" s="237" t="n">
        <f aca="false">IF(CN216=0,0,IF(CN216&lt;=12*'🎚️ Escenario'!$C$11,1,1+$C$6))</f>
        <v>1</v>
      </c>
      <c r="CO218" s="237" t="n">
        <f aca="false">IF(CO216=0,0,IF(CO216&lt;=12*'🎚️ Escenario'!$C$11,1,1+$C$6))</f>
        <v>1</v>
      </c>
      <c r="CP218" s="237" t="n">
        <f aca="false">IF(CP216=0,0,IF(CP216&lt;=12*'🎚️ Escenario'!$C$11,1,1+$C$6))</f>
        <v>1</v>
      </c>
      <c r="CQ218" s="237" t="n">
        <f aca="false">IF(CQ216=0,0,IF(CQ216&lt;=12*'🎚️ Escenario'!$C$11,1,1+$C$6))</f>
        <v>1</v>
      </c>
      <c r="CR218" s="237" t="n">
        <f aca="false">IF(CR216=0,0,IF(CR216&lt;=12*'🎚️ Escenario'!$C$11,1,1+$C$6))</f>
        <v>1</v>
      </c>
      <c r="CS218" s="237" t="n">
        <f aca="false">IF(CS216=0,0,IF(CS216&lt;=12*'🎚️ Escenario'!$C$11,1,1+$C$6))</f>
        <v>1</v>
      </c>
      <c r="CT218" s="237" t="n">
        <f aca="false">IF(CT216=0,0,IF(CT216&lt;=12*'🎚️ Escenario'!$C$11,1,1+$C$6))</f>
        <v>1</v>
      </c>
      <c r="CU218" s="237" t="n">
        <f aca="false">IF(CU216=0,0,IF(CU216&lt;=12*'🎚️ Escenario'!$C$11,1,1+$C$6))</f>
        <v>1</v>
      </c>
      <c r="CV218" s="237" t="n">
        <f aca="false">IF(CV216=0,0,IF(CV216&lt;=12*'🎚️ Escenario'!$C$11,1,1+$C$6))</f>
        <v>1</v>
      </c>
      <c r="CW218" s="237" t="n">
        <f aca="false">IF(CW216=0,0,IF(CW216&lt;=12*'🎚️ Escenario'!$C$11,1,1+$C$6))</f>
        <v>1</v>
      </c>
      <c r="CX218" s="237" t="n">
        <f aca="false">IF(CX216=0,0,IF(CX216&lt;=12*'🎚️ Escenario'!$C$11,1,1+$C$6))</f>
        <v>1</v>
      </c>
      <c r="CY218" s="237" t="n">
        <f aca="false">IF(CY216=0,0,IF(CY216&lt;=12*'🎚️ Escenario'!$C$11,1,1+$C$6))</f>
        <v>1</v>
      </c>
      <c r="CZ218" s="237" t="n">
        <f aca="false">IF(CZ216=0,0,IF(CZ216&lt;=12*'🎚️ Escenario'!$C$11,1,1+$C$6))</f>
        <v>1</v>
      </c>
      <c r="DA218" s="237" t="n">
        <f aca="false">IF(DA216=0,0,IF(DA216&lt;=12*'🎚️ Escenario'!$C$11,1,1+$C$6))</f>
        <v>1.2</v>
      </c>
      <c r="DB218" s="237" t="n">
        <f aca="false">IF(DB216=0,0,IF(DB216&lt;=12*'🎚️ Escenario'!$C$11,1,1+$C$6))</f>
        <v>1.2</v>
      </c>
      <c r="DC218" s="237" t="n">
        <f aca="false">IF(DC216=0,0,IF(DC216&lt;=12*'🎚️ Escenario'!$C$11,1,1+$C$6))</f>
        <v>1.2</v>
      </c>
      <c r="DD218" s="237" t="n">
        <f aca="false">IF(DD216=0,0,IF(DD216&lt;=12*'🎚️ Escenario'!$C$11,1,1+$C$6))</f>
        <v>1.2</v>
      </c>
      <c r="DE218" s="237" t="n">
        <f aca="false">IF(DE216=0,0,IF(DE216&lt;=12*'🎚️ Escenario'!$C$11,1,1+$C$6))</f>
        <v>1.2</v>
      </c>
      <c r="DF218" s="237" t="n">
        <f aca="false">IF(DF216=0,0,IF(DF216&lt;=12*'🎚️ Escenario'!$C$11,1,1+$C$6))</f>
        <v>1.2</v>
      </c>
      <c r="DG218" s="237" t="n">
        <f aca="false">IF(DG216=0,0,IF(DG216&lt;=12*'🎚️ Escenario'!$C$11,1,1+$C$6))</f>
        <v>1.2</v>
      </c>
      <c r="DH218" s="237" t="n">
        <f aca="false">IF(DH216=0,0,IF(DH216&lt;=12*'🎚️ Escenario'!$C$11,1,1+$C$6))</f>
        <v>1.2</v>
      </c>
      <c r="DI218" s="237" t="n">
        <f aca="false">IF(DI216=0,0,IF(DI216&lt;=12*'🎚️ Escenario'!$C$11,1,1+$C$6))</f>
        <v>1.2</v>
      </c>
      <c r="DJ218" s="237" t="n">
        <f aca="false">IF(DJ216=0,0,IF(DJ216&lt;=12*'🎚️ Escenario'!$C$11,1,1+$C$6))</f>
        <v>1.2</v>
      </c>
      <c r="DK218" s="237" t="n">
        <f aca="false">IF(DK216=0,0,IF(DK216&lt;=12*'🎚️ Escenario'!$C$11,1,1+$C$6))</f>
        <v>1.2</v>
      </c>
      <c r="DL218" s="237" t="n">
        <f aca="false">IF(DL216=0,0,IF(DL216&lt;=12*'🎚️ Escenario'!$C$11,1,1+$C$6))</f>
        <v>1.2</v>
      </c>
      <c r="DM218" s="237" t="n">
        <f aca="false">IF(DM216=0,0,IF(DM216&lt;=12*'🎚️ Escenario'!$C$11,1,1+$C$6))</f>
        <v>1.2</v>
      </c>
      <c r="DN218" s="237" t="n">
        <f aca="false">IF(DN216=0,0,IF(DN216&lt;=12*'🎚️ Escenario'!$C$11,1,1+$C$6))</f>
        <v>1.2</v>
      </c>
      <c r="DO218" s="237" t="n">
        <f aca="false">IF(DO216=0,0,IF(DO216&lt;=12*'🎚️ Escenario'!$C$11,1,1+$C$6))</f>
        <v>1.2</v>
      </c>
      <c r="DP218" s="237" t="n">
        <f aca="false">IF(DP216=0,0,IF(DP216&lt;=12*'🎚️ Escenario'!$C$11,1,1+$C$6))</f>
        <v>1.2</v>
      </c>
      <c r="DQ218" s="237" t="n">
        <f aca="false">IF(DQ216=0,0,IF(DQ216&lt;=12*'🎚️ Escenario'!$C$11,1,1+$C$6))</f>
        <v>1.2</v>
      </c>
      <c r="DR218" s="237" t="n">
        <f aca="false">IF(DR216=0,0,IF(DR216&lt;=12*'🎚️ Escenario'!$C$11,1,1+$C$6))</f>
        <v>1.2</v>
      </c>
      <c r="DS218" s="237" t="n">
        <f aca="false">IF(DS216=0,0,IF(DS216&lt;=12*'🎚️ Escenario'!$C$11,1,1+$C$6))</f>
        <v>1.2</v>
      </c>
      <c r="DT218" s="237" t="n">
        <f aca="false">IF(DT216=0,0,IF(DT216&lt;=12*'🎚️ Escenario'!$C$11,1,1+$C$6))</f>
        <v>1.2</v>
      </c>
      <c r="DU218" s="237" t="n">
        <f aca="false">IF(DU216=0,0,IF(DU216&lt;=12*'🎚️ Escenario'!$C$11,1,1+$C$6))</f>
        <v>1.2</v>
      </c>
      <c r="DV218" s="237" t="n">
        <f aca="false">IF(DV216=0,0,IF(DV216&lt;=12*'🎚️ Escenario'!$C$11,1,1+$C$6))</f>
        <v>1.2</v>
      </c>
      <c r="DW218" s="237" t="n">
        <f aca="false">IF(DW216=0,0,IF(DW216&lt;=12*'🎚️ Escenario'!$C$11,1,1+$C$6))</f>
        <v>1.2</v>
      </c>
      <c r="DX218" s="237" t="n">
        <f aca="false">IF(DX216=0,0,IF(DX216&lt;=12*'🎚️ Escenario'!$C$11,1,1+$C$6))</f>
        <v>1.2</v>
      </c>
      <c r="DY218" s="237" t="n">
        <f aca="false">IF(DY216=0,0,IF(DY216&lt;=12*'🎚️ Escenario'!$C$11,1,1+$C$6))</f>
        <v>1.2</v>
      </c>
      <c r="DZ218" s="237" t="n">
        <f aca="false">IF(DZ216=0,0,IF(DZ216&lt;=12*'🎚️ Escenario'!$C$11,1,1+$C$6))</f>
        <v>1.2</v>
      </c>
      <c r="EA218" s="237" t="n">
        <f aca="false">IF(EA216=0,0,IF(EA216&lt;=12*'🎚️ Escenario'!$C$11,1,1+$C$6))</f>
        <v>1.2</v>
      </c>
      <c r="EB218" s="237" t="n">
        <f aca="false">IF(EB216=0,0,IF(EB216&lt;=12*'🎚️ Escenario'!$C$11,1,1+$C$6))</f>
        <v>1.2</v>
      </c>
      <c r="EC218" s="237" t="n">
        <f aca="false">IF(EC216=0,0,IF(EC216&lt;=12*'🎚️ Escenario'!$C$11,1,1+$C$6))</f>
        <v>1.2</v>
      </c>
      <c r="ED218" s="237" t="n">
        <f aca="false">IF(ED216=0,0,IF(ED216&lt;=12*'🎚️ Escenario'!$C$11,1,1+$C$6))</f>
        <v>1.2</v>
      </c>
      <c r="EE218" s="237" t="n">
        <f aca="false">IF(EE216=0,0,IF(EE216&lt;=12*'🎚️ Escenario'!$C$11,1,1+$C$6))</f>
        <v>1.2</v>
      </c>
      <c r="EF218" s="237" t="n">
        <f aca="false">IF(EF216=0,0,IF(EF216&lt;=12*'🎚️ Escenario'!$C$11,1,1+$C$6))</f>
        <v>1.2</v>
      </c>
      <c r="EG218" s="237" t="n">
        <f aca="false">IF(EG216=0,0,IF(EG216&lt;=12*'🎚️ Escenario'!$C$11,1,1+$C$6))</f>
        <v>1.2</v>
      </c>
      <c r="EH218" s="237" t="n">
        <f aca="false">IF(EH216=0,0,IF(EH216&lt;=12*'🎚️ Escenario'!$C$11,1,1+$C$6))</f>
        <v>1.2</v>
      </c>
      <c r="EI218" s="237" t="n">
        <f aca="false">IF(EI216=0,0,IF(EI216&lt;=12*'🎚️ Escenario'!$C$11,1,1+$C$6))</f>
        <v>1.2</v>
      </c>
      <c r="EJ218" s="237" t="n">
        <f aca="false">IF(EJ216=0,0,IF(EJ216&lt;=12*'🎚️ Escenario'!$C$11,1,1+$C$6))</f>
        <v>1.2</v>
      </c>
      <c r="EK218" s="237" t="n">
        <f aca="false">IF(EK216=0,0,IF(EK216&lt;=12*'🎚️ Escenario'!$C$11,1,1+$C$6))</f>
        <v>1.2</v>
      </c>
      <c r="EL218" s="237" t="n">
        <f aca="false">IF(EL216=0,0,IF(EL216&lt;=12*'🎚️ Escenario'!$C$11,1,1+$C$6))</f>
        <v>1.2</v>
      </c>
      <c r="EM218" s="237" t="n">
        <f aca="false">IF(EM216=0,0,IF(EM216&lt;=12*'🎚️ Escenario'!$C$11,1,1+$C$6))</f>
        <v>1.2</v>
      </c>
      <c r="EN218" s="237" t="n">
        <f aca="false">IF(EN216=0,0,IF(EN216&lt;=12*'🎚️ Escenario'!$C$11,1,1+$C$6))</f>
        <v>1.2</v>
      </c>
      <c r="EO218" s="237" t="n">
        <f aca="false">IF(EO216=0,0,IF(EO216&lt;=12*'🎚️ Escenario'!$C$11,1,1+$C$6))</f>
        <v>1.2</v>
      </c>
      <c r="EP218" s="237" t="n">
        <f aca="false">IF(EP216=0,0,IF(EP216&lt;=12*'🎚️ Escenario'!$C$11,1,1+$C$6))</f>
        <v>1.2</v>
      </c>
      <c r="EQ218" s="237" t="n">
        <f aca="false">IF(EQ216=0,0,IF(EQ216&lt;=12*'🎚️ Escenario'!$C$11,1,1+$C$6))</f>
        <v>1.2</v>
      </c>
      <c r="ER218" s="237" t="n">
        <f aca="false">IF(ER216=0,0,IF(ER216&lt;=12*'🎚️ Escenario'!$C$11,1,1+$C$6))</f>
        <v>1.2</v>
      </c>
      <c r="ES218" s="238" t="n">
        <f aca="false">IF(ES216=0,0,IF(ES216&lt;=12*'🎚️ Escenario'!$C$11,1,1+$C$6))</f>
        <v>1.2</v>
      </c>
      <c r="ET218" s="238" t="n">
        <f aca="false">IF(ET216=0,0,IF(ET216&lt;=12*'🎚️ Escenario'!$C$11,1,1+$C$6))</f>
        <v>1.2</v>
      </c>
      <c r="EU218" s="238" t="n">
        <f aca="false">IF(EU216=0,0,IF(EU216&lt;=12*'🎚️ Escenario'!$C$11,1,1+$C$6))</f>
        <v>1.2</v>
      </c>
      <c r="EV218" s="238" t="n">
        <f aca="false">IF(EV216=0,0,IF(EV216&lt;=12*'🎚️ Escenario'!$C$11,1,1+$C$6))</f>
        <v>1.2</v>
      </c>
      <c r="EW218" s="238" t="n">
        <f aca="false">IF(EW216=0,0,IF(EW216&lt;=12*'🎚️ Escenario'!$C$11,1,1+$C$6))</f>
        <v>1.2</v>
      </c>
      <c r="EX218" s="238" t="n">
        <f aca="false">IF(EX216=0,0,IF(EX216&lt;=12*'🎚️ Escenario'!$C$11,1,1+$C$6))</f>
        <v>1.2</v>
      </c>
      <c r="EY218" s="238" t="n">
        <f aca="false">IF(EY216=0,0,IF(EY216&lt;=12*'🎚️ Escenario'!$C$11,1,1+$C$6))</f>
        <v>1.2</v>
      </c>
      <c r="EZ218" s="238" t="n">
        <f aca="false">IF(EZ216=0,0,IF(EZ216&lt;=12*'🎚️ Escenario'!$C$11,1,1+$C$6))</f>
        <v>1.2</v>
      </c>
      <c r="FA218" s="238" t="n">
        <f aca="false">IF(FA216=0,0,IF(FA216&lt;=12*'🎚️ Escenario'!$C$11,1,1+$C$6))</f>
        <v>1.2</v>
      </c>
      <c r="FB218" s="238" t="n">
        <f aca="false">IF(FB216=0,0,IF(FB216&lt;=12*'🎚️ Escenario'!$C$11,1,1+$C$6))</f>
        <v>1.2</v>
      </c>
      <c r="FC218" s="238" t="n">
        <f aca="false">IF(FC216=0,0,IF(FC216&lt;=12*'🎚️ Escenario'!$C$11,1,1+$C$6))</f>
        <v>1.2</v>
      </c>
      <c r="FD218" s="238" t="n">
        <f aca="false">IF(FD216=0,0,IF(FD216&lt;=12*'🎚️ Escenario'!$C$11,1,1+$C$6))</f>
        <v>1.2</v>
      </c>
      <c r="FE218" s="238" t="n">
        <f aca="false">IF(FE216=0,0,IF(FE216&lt;=12*'🎚️ Escenario'!$C$11,1,1+$C$6))</f>
        <v>1.2</v>
      </c>
      <c r="FF218" s="238" t="n">
        <f aca="false">IF(FF216=0,0,IF(FF216&lt;=12*'🎚️ Escenario'!$C$11,1,1+$C$6))</f>
        <v>1.2</v>
      </c>
      <c r="FG218" s="238" t="n">
        <f aca="false">IF(FG216=0,0,IF(FG216&lt;=12*'🎚️ Escenario'!$C$11,1,1+$C$6))</f>
        <v>1.2</v>
      </c>
      <c r="FH218" s="238" t="n">
        <f aca="false">IF(FH216=0,0,IF(FH216&lt;=12*'🎚️ Escenario'!$C$11,1,1+$C$6))</f>
        <v>1.2</v>
      </c>
      <c r="FI218" s="238" t="n">
        <f aca="false">IF(FI216=0,0,IF(FI216&lt;=12*'🎚️ Escenario'!$C$11,1,1+$C$6))</f>
        <v>1.2</v>
      </c>
      <c r="FJ218" s="238" t="n">
        <f aca="false">IF(FJ216=0,0,IF(FJ216&lt;=12*'🎚️ Escenario'!$C$11,1,1+$C$6))</f>
        <v>1.2</v>
      </c>
      <c r="FK218" s="238" t="n">
        <f aca="false">IF(FK216=0,0,IF(FK216&lt;=12*'🎚️ Escenario'!$C$11,1,1+$C$6))</f>
        <v>1.2</v>
      </c>
      <c r="FL218" s="238" t="n">
        <f aca="false">IF(FL216=0,0,IF(FL216&lt;=12*'🎚️ Escenario'!$C$11,1,1+$C$6))</f>
        <v>1.2</v>
      </c>
      <c r="FM218" s="238" t="n">
        <f aca="false">IF(FM216=0,0,IF(FM216&lt;=12*'🎚️ Escenario'!$C$11,1,1+$C$6))</f>
        <v>1.2</v>
      </c>
      <c r="FN218" s="238" t="n">
        <f aca="false">IF(FN216=0,0,IF(FN216&lt;=12*'🎚️ Escenario'!$C$11,1,1+$C$6))</f>
        <v>1.2</v>
      </c>
      <c r="FO218" s="238" t="n">
        <f aca="false">IF(FO216=0,0,IF(FO216&lt;=12*'🎚️ Escenario'!$C$11,1,1+$C$6))</f>
        <v>1.2</v>
      </c>
      <c r="FP218" s="238" t="n">
        <f aca="false">IF(FP216=0,0,IF(FP216&lt;=12*'🎚️ Escenario'!$C$11,1,1+$C$6))</f>
        <v>1.2</v>
      </c>
    </row>
    <row r="219" customFormat="false" ht="15" hidden="false" customHeight="false" outlineLevel="2" collapsed="false">
      <c r="B219" s="9" t="s">
        <v>876</v>
      </c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36" t="n">
        <f aca="false">AC217*$AC$215*AC218*AC$38*'⑫ Roll-out Plan'!$O$27</f>
        <v>0</v>
      </c>
      <c r="AD219" s="36" t="n">
        <f aca="false">AD217*$AC$215*AD218*AD$38*'⑫ Roll-out Plan'!$O$27</f>
        <v>0</v>
      </c>
      <c r="AE219" s="36" t="n">
        <f aca="false">AE217*$AC$215*AE218*AE$38*'⑫ Roll-out Plan'!$O$27</f>
        <v>0</v>
      </c>
      <c r="AF219" s="36" t="n">
        <f aca="false">AF217*$AC$215*AF218*AF$38*'⑫ Roll-out Plan'!$O$27</f>
        <v>0</v>
      </c>
      <c r="AG219" s="36" t="n">
        <f aca="false">AG217*$AC$215*AG218*AG$38*'⑫ Roll-out Plan'!$O$27</f>
        <v>0</v>
      </c>
      <c r="AH219" s="36" t="n">
        <f aca="false">AH217*$AC$215*AH218*AH$38*'⑫ Roll-out Plan'!$O$27</f>
        <v>0</v>
      </c>
      <c r="AI219" s="36" t="n">
        <f aca="false">AI217*$AC$215*AI218*AI$38*'⑫ Roll-out Plan'!$O$27</f>
        <v>0</v>
      </c>
      <c r="AJ219" s="36" t="n">
        <f aca="false">AJ217*$AC$215*AJ218*AJ$38*'⑫ Roll-out Plan'!$O$27</f>
        <v>0</v>
      </c>
      <c r="AK219" s="36" t="n">
        <f aca="false">AK217*$AC$215*AK218*AK$38*'⑫ Roll-out Plan'!$O$27</f>
        <v>0</v>
      </c>
      <c r="AL219" s="36" t="n">
        <f aca="false">AL217*$AC$215*AL218*AL$38*'⑫ Roll-out Plan'!$O$27</f>
        <v>0</v>
      </c>
      <c r="AM219" s="36" t="n">
        <f aca="false">AM217*$AC$215*AM218*AM$38*'⑫ Roll-out Plan'!$O$27</f>
        <v>0</v>
      </c>
      <c r="AN219" s="36" t="n">
        <f aca="false">AN217*$AC$215*AN218*AN$38*'⑫ Roll-out Plan'!$O$27</f>
        <v>0</v>
      </c>
      <c r="AO219" s="36" t="n">
        <f aca="false">AO217*$AC$215*AO218*AO$38*'⑫ Roll-out Plan'!$O$27</f>
        <v>0</v>
      </c>
      <c r="AP219" s="36" t="n">
        <f aca="false">AP217*$AC$215*AP218*AP$38*'⑫ Roll-out Plan'!$O$27</f>
        <v>0</v>
      </c>
      <c r="AQ219" s="36" t="n">
        <f aca="false">AQ217*$AC$215*AQ218*AQ$38*'⑫ Roll-out Plan'!$O$27</f>
        <v>0</v>
      </c>
      <c r="AR219" s="36" t="n">
        <f aca="false">AR217*$AC$215*AR218*AR$38*'⑫ Roll-out Plan'!$O$27</f>
        <v>0</v>
      </c>
      <c r="AS219" s="36" t="n">
        <f aca="false">AS217*$AC$215*AS218*AS$38*'⑫ Roll-out Plan'!$O$27</f>
        <v>0</v>
      </c>
      <c r="AT219" s="36" t="n">
        <f aca="false">AT217*$AC$215*AT218*AT$38*'⑫ Roll-out Plan'!$O$27</f>
        <v>0</v>
      </c>
      <c r="AU219" s="36" t="n">
        <f aca="false">AU217*$AC$215*AU218*AU$38*'⑫ Roll-out Plan'!$O$27</f>
        <v>0</v>
      </c>
      <c r="AV219" s="36" t="n">
        <f aca="false">AV217*$AC$215*AV218*AV$38*'⑫ Roll-out Plan'!$O$27</f>
        <v>0</v>
      </c>
      <c r="AW219" s="36" t="n">
        <f aca="false">AW217*$AC$215*AW218*AW$38*'⑫ Roll-out Plan'!$O$27</f>
        <v>0</v>
      </c>
      <c r="AX219" s="36" t="n">
        <f aca="false">AX217*$AC$215*AX218*AX$38*'⑫ Roll-out Plan'!$O$27</f>
        <v>0</v>
      </c>
      <c r="AY219" s="36" t="n">
        <f aca="false">AY217*$AC$215*AY218*AY$38*'⑫ Roll-out Plan'!$O$27</f>
        <v>0</v>
      </c>
      <c r="AZ219" s="36" t="n">
        <f aca="false">AZ217*$AC$215*AZ218*AZ$38*'⑫ Roll-out Plan'!$O$27</f>
        <v>0</v>
      </c>
      <c r="BA219" s="36" t="n">
        <f aca="false">BA217*$AC$215*BA218*BA$38*'⑫ Roll-out Plan'!$O$27</f>
        <v>0</v>
      </c>
      <c r="BB219" s="36" t="n">
        <f aca="false">BB217*$AC$215*BB218*BB$38*'⑫ Roll-out Plan'!$O$27</f>
        <v>0</v>
      </c>
      <c r="BC219" s="36" t="n">
        <f aca="false">BC217*$AC$215*BC218*BC$38*'⑫ Roll-out Plan'!$O$27</f>
        <v>0</v>
      </c>
      <c r="BD219" s="36" t="n">
        <f aca="false">BD217*$AC$215*BD218*BD$38*'⑫ Roll-out Plan'!$O$27</f>
        <v>0</v>
      </c>
      <c r="BE219" s="36" t="n">
        <f aca="false">BE217*$AC$215*BE218*BE$38*'⑫ Roll-out Plan'!$O$27</f>
        <v>0</v>
      </c>
      <c r="BF219" s="36" t="n">
        <f aca="false">BF217*$AC$215*BF218*BF$38*'⑫ Roll-out Plan'!$O$27</f>
        <v>0</v>
      </c>
      <c r="BG219" s="36" t="n">
        <f aca="false">BG217*$AC$215*BG218*BG$38*'⑫ Roll-out Plan'!$O$27</f>
        <v>0</v>
      </c>
      <c r="BH219" s="36" t="n">
        <f aca="false">BH217*$AC$215*BH218*BH$38*'⑫ Roll-out Plan'!$O$27</f>
        <v>0</v>
      </c>
      <c r="BI219" s="36" t="n">
        <f aca="false">BI217*$AC$215*BI218*BI$38*'⑫ Roll-out Plan'!$O$27</f>
        <v>0</v>
      </c>
      <c r="BJ219" s="36" t="n">
        <f aca="false">BJ217*$AC$215*BJ218*BJ$38*'⑫ Roll-out Plan'!$O$27</f>
        <v>0</v>
      </c>
      <c r="BK219" s="36" t="n">
        <f aca="false">BK217*$AC$215*BK218*BK$38*'⑫ Roll-out Plan'!$O$27</f>
        <v>0</v>
      </c>
      <c r="BL219" s="36" t="n">
        <f aca="false">BL217*$AC$215*BL218*BL$38*'⑫ Roll-out Plan'!$O$27</f>
        <v>0</v>
      </c>
      <c r="BM219" s="36" t="n">
        <f aca="false">BM217*$AC$215*BM218*BM$38*'⑫ Roll-out Plan'!$O$27</f>
        <v>0</v>
      </c>
      <c r="BN219" s="36" t="n">
        <f aca="false">BN217*$AC$215*BN218*BN$38*'⑫ Roll-out Plan'!$O$27</f>
        <v>0</v>
      </c>
      <c r="BO219" s="36" t="n">
        <f aca="false">BO217*$AC$215*BO218*BO$38*'⑫ Roll-out Plan'!$O$27</f>
        <v>0</v>
      </c>
      <c r="BP219" s="36" t="n">
        <f aca="false">BP217*$AC$215*BP218*BP$38*'⑫ Roll-out Plan'!$O$27</f>
        <v>0</v>
      </c>
      <c r="BQ219" s="36" t="n">
        <f aca="false">BQ217*$AC$215*BQ218*BQ$38*'⑫ Roll-out Plan'!$O$27</f>
        <v>0</v>
      </c>
      <c r="BR219" s="36" t="n">
        <f aca="false">BR217*$AC$215*BR218*BR$38*'⑫ Roll-out Plan'!$O$27</f>
        <v>0</v>
      </c>
      <c r="BS219" s="36" t="n">
        <f aca="false">BS217*$AC$215*BS218*BS$38*'⑫ Roll-out Plan'!$O$27</f>
        <v>0</v>
      </c>
      <c r="BT219" s="36" t="n">
        <f aca="false">BT217*$AC$215*BT218*BT$38*'⑫ Roll-out Plan'!$O$27</f>
        <v>0</v>
      </c>
      <c r="BU219" s="36" t="n">
        <f aca="false">BU217*$AC$215*BU218*BU$38*'⑫ Roll-out Plan'!$O$27</f>
        <v>0</v>
      </c>
      <c r="BV219" s="36" t="n">
        <f aca="false">BV217*$AC$215*BV218*BV$38*'⑫ Roll-out Plan'!$O$27</f>
        <v>0</v>
      </c>
      <c r="BW219" s="36" t="n">
        <f aca="false">BW217*$AC$215*BW218*BW$38*'⑫ Roll-out Plan'!$O$27</f>
        <v>0</v>
      </c>
      <c r="BX219" s="36" t="n">
        <f aca="false">BX217*$AC$215*BX218*BX$38*'⑫ Roll-out Plan'!$O$27</f>
        <v>0</v>
      </c>
      <c r="BY219" s="36" t="n">
        <f aca="false">BY217*$AC$215*BY218*BY$38*'⑫ Roll-out Plan'!$O$27</f>
        <v>0</v>
      </c>
      <c r="BZ219" s="36" t="n">
        <f aca="false">BZ217*$AC$215*BZ218*BZ$38*'⑫ Roll-out Plan'!$O$27</f>
        <v>0</v>
      </c>
      <c r="CA219" s="36" t="n">
        <f aca="false">CA217*$AC$215*CA218*CA$38*'⑫ Roll-out Plan'!$O$27</f>
        <v>0</v>
      </c>
      <c r="CB219" s="36" t="n">
        <f aca="false">CB217*$AC$215*CB218*CB$38*'⑫ Roll-out Plan'!$O$27</f>
        <v>0</v>
      </c>
      <c r="CC219" s="36" t="n">
        <f aca="false">CC217*$AC$215*CC218*CC$38*'⑫ Roll-out Plan'!$O$27</f>
        <v>0</v>
      </c>
      <c r="CD219" s="36" t="n">
        <f aca="false">CD217*$AC$215*CD218*CD$38*'⑫ Roll-out Plan'!$O$27</f>
        <v>0</v>
      </c>
      <c r="CE219" s="36" t="n">
        <f aca="false">CE217*$AC$215*CE218*CE$38*'⑫ Roll-out Plan'!$O$27</f>
        <v>0</v>
      </c>
      <c r="CF219" s="36" t="n">
        <f aca="false">CF217*$AC$215*CF218*CF$38*'⑫ Roll-out Plan'!$O$27</f>
        <v>0</v>
      </c>
      <c r="CG219" s="36" t="n">
        <f aca="false">CG217*$AC$215*CG218*CG$38*'⑫ Roll-out Plan'!$O$27</f>
        <v>0</v>
      </c>
      <c r="CH219" s="36" t="n">
        <f aca="false">CH217*$AC$215*CH218*CH$38*'⑫ Roll-out Plan'!$O$27</f>
        <v>0</v>
      </c>
      <c r="CI219" s="36" t="n">
        <f aca="false">CI217*$AC$215*CI218*CI$38*'⑫ Roll-out Plan'!$O$27</f>
        <v>0</v>
      </c>
      <c r="CJ219" s="36" t="n">
        <f aca="false">CJ217*$AC$215*CJ218*CJ$38*'⑫ Roll-out Plan'!$O$27</f>
        <v>0</v>
      </c>
      <c r="CK219" s="36" t="n">
        <f aca="false">CK217*$AC$215*CK218*CK$38*'⑫ Roll-out Plan'!$O$27</f>
        <v>0</v>
      </c>
      <c r="CL219" s="36" t="n">
        <f aca="false">CL217*$AC$215*CL218*CL$38*'⑫ Roll-out Plan'!$O$27</f>
        <v>30.34</v>
      </c>
      <c r="CM219" s="36" t="n">
        <f aca="false">CM217*$AC$215*CM218*CM$38*'⑫ Roll-out Plan'!$O$27</f>
        <v>47.212</v>
      </c>
      <c r="CN219" s="36" t="n">
        <f aca="false">CN217*$AC$215*CN218*CN$38*'⑫ Roll-out Plan'!$O$27</f>
        <v>48.84</v>
      </c>
      <c r="CO219" s="36" t="n">
        <f aca="false">CO217*$AC$215*CO218*CO$38*'⑫ Roll-out Plan'!$O$27</f>
        <v>45.954</v>
      </c>
      <c r="CP219" s="36" t="n">
        <f aca="false">CP217*$AC$215*CP218*CP$38*'⑫ Roll-out Plan'!$O$27</f>
        <v>39.96</v>
      </c>
      <c r="CQ219" s="36" t="n">
        <f aca="false">CQ217*$AC$215*CQ218*CQ$38*'⑫ Roll-out Plan'!$O$27</f>
        <v>48.174</v>
      </c>
      <c r="CR219" s="36" t="n">
        <f aca="false">CR217*$AC$215*CR218*CR$38*'⑫ Roll-out Plan'!$O$27</f>
        <v>91.945</v>
      </c>
      <c r="CS219" s="36" t="n">
        <f aca="false">CS217*$AC$215*CS218*CS$38*'⑫ Roll-out Plan'!$O$27</f>
        <v>83.694</v>
      </c>
      <c r="CT219" s="36" t="n">
        <f aca="false">CT217*$AC$215*CT218*CT$38*'⑫ Roll-out Plan'!$O$27</f>
        <v>78.144</v>
      </c>
      <c r="CU219" s="36" t="n">
        <f aca="false">CU217*$AC$215*CU218*CU$38*'⑫ Roll-out Plan'!$O$27</f>
        <v>58.608</v>
      </c>
      <c r="CV219" s="36" t="n">
        <f aca="false">CV217*$AC$215*CV218*CV$38*'⑫ Roll-out Plan'!$O$27</f>
        <v>90.576</v>
      </c>
      <c r="CW219" s="36" t="n">
        <f aca="false">CW217*$AC$215*CW218*CW$38*'⑫ Roll-out Plan'!$O$27</f>
        <v>103.896</v>
      </c>
      <c r="CX219" s="36" t="n">
        <f aca="false">CX217*$AC$215*CX218*CX$38*'⑫ Roll-out Plan'!$O$27</f>
        <v>84.952</v>
      </c>
      <c r="CY219" s="36" t="n">
        <f aca="false">CY217*$AC$215*CY218*CY$38*'⑫ Roll-out Plan'!$O$27</f>
        <v>128.76</v>
      </c>
      <c r="CZ219" s="36" t="n">
        <f aca="false">CZ217*$AC$215*CZ218*CZ$38*'⑫ Roll-out Plan'!$O$27</f>
        <v>122.1</v>
      </c>
      <c r="DA219" s="36" t="n">
        <f aca="false">DA217*$AC$215*DA218*DA$38*'⑫ Roll-out Plan'!$O$27</f>
        <v>128.6712</v>
      </c>
      <c r="DB219" s="36" t="n">
        <f aca="false">DB217*$AC$215*DB218*DB$38*'⑫ Roll-out Plan'!$O$27</f>
        <v>117.216</v>
      </c>
      <c r="DC219" s="36" t="n">
        <f aca="false">DC217*$AC$215*DC218*DC$38*'⑫ Roll-out Plan'!$O$27</f>
        <v>128.6712</v>
      </c>
      <c r="DD219" s="36" t="n">
        <f aca="false">DD217*$AC$215*DD218*DD$38*'⑫ Roll-out Plan'!$O$27</f>
        <v>223.8204</v>
      </c>
      <c r="DE219" s="36" t="n">
        <f aca="false">DE217*$AC$215*DE218*DE$38*'⑫ Roll-out Plan'!$O$27</f>
        <v>182.8392</v>
      </c>
      <c r="DF219" s="36" t="n">
        <f aca="false">DF217*$AC$215*DF218*DF$38*'⑫ Roll-out Plan'!$O$27</f>
        <v>155.5776</v>
      </c>
      <c r="DG219" s="36" t="n">
        <f aca="false">DG217*$AC$215*DG218*DG$38*'⑫ Roll-out Plan'!$O$27</f>
        <v>119.88</v>
      </c>
      <c r="DH219" s="36" t="n">
        <f aca="false">DH217*$AC$215*DH218*DH$38*'⑫ Roll-out Plan'!$O$27</f>
        <v>174.3588</v>
      </c>
      <c r="DI219" s="36" t="n">
        <f aca="false">DI217*$AC$215*DI218*DI$38*'⑫ Roll-out Plan'!$O$27</f>
        <v>189.4104</v>
      </c>
      <c r="DJ219" s="36" t="n">
        <f aca="false">DJ217*$AC$215*DJ218*DJ$38*'⑫ Roll-out Plan'!$O$27</f>
        <v>143.8116</v>
      </c>
      <c r="DK219" s="36" t="n">
        <f aca="false">DK217*$AC$215*DK218*DK$38*'⑫ Roll-out Plan'!$O$27</f>
        <v>206.016</v>
      </c>
      <c r="DL219" s="36" t="n">
        <f aca="false">DL217*$AC$215*DL218*DL$38*'⑫ Roll-out Plan'!$O$27</f>
        <v>200.244</v>
      </c>
      <c r="DM219" s="36" t="n">
        <f aca="false">DM217*$AC$215*DM218*DM$38*'⑫ Roll-out Plan'!$O$27</f>
        <v>171.5616</v>
      </c>
      <c r="DN219" s="36" t="n">
        <f aca="false">DN217*$AC$215*DN218*DN$38*'⑫ Roll-out Plan'!$O$27</f>
        <v>150.96</v>
      </c>
      <c r="DO219" s="36" t="n">
        <f aca="false">DO217*$AC$215*DO218*DO$38*'⑫ Roll-out Plan'!$O$27</f>
        <v>158.508</v>
      </c>
      <c r="DP219" s="36" t="n">
        <f aca="false">DP217*$AC$215*DP218*DP$38*'⑫ Roll-out Plan'!$O$27</f>
        <v>271.1064</v>
      </c>
      <c r="DQ219" s="36" t="n">
        <f aca="false">DQ217*$AC$215*DQ218*DQ$38*'⑫ Roll-out Plan'!$O$27</f>
        <v>226.6176</v>
      </c>
      <c r="DR219" s="36" t="n">
        <f aca="false">DR217*$AC$215*DR218*DR$38*'⑫ Roll-out Plan'!$O$27</f>
        <v>189.6768</v>
      </c>
      <c r="DS219" s="36" t="n">
        <f aca="false">DS217*$AC$215*DS218*DS$38*'⑫ Roll-out Plan'!$O$27</f>
        <v>143.856</v>
      </c>
      <c r="DT219" s="36" t="n">
        <f aca="false">DT217*$AC$215*DT218*DT$38*'⑫ Roll-out Plan'!$O$27</f>
        <v>203.796</v>
      </c>
      <c r="DU219" s="36" t="n">
        <f aca="false">DU217*$AC$215*DU218*DU$38*'⑫ Roll-out Plan'!$O$27</f>
        <v>220.5792</v>
      </c>
      <c r="DV219" s="36" t="n">
        <f aca="false">DV217*$AC$215*DV218*DV$38*'⑫ Roll-out Plan'!$O$27</f>
        <v>169.2972</v>
      </c>
      <c r="DW219" s="36" t="n">
        <f aca="false">DW217*$AC$215*DW218*DW$38*'⑫ Roll-out Plan'!$O$27</f>
        <v>242.0688</v>
      </c>
      <c r="DX219" s="36" t="n">
        <f aca="false">DX217*$AC$215*DX218*DX$38*'⑫ Roll-out Plan'!$O$27</f>
        <v>231.99</v>
      </c>
      <c r="DY219" s="36" t="n">
        <f aca="false">DY217*$AC$215*DY218*DY$38*'⑫ Roll-out Plan'!$O$27</f>
        <v>194.028</v>
      </c>
      <c r="DZ219" s="36" t="n">
        <f aca="false">DZ217*$AC$215*DZ218*DZ$38*'⑫ Roll-out Plan'!$O$27</f>
        <v>172.272</v>
      </c>
      <c r="EA219" s="36" t="n">
        <f aca="false">EA217*$AC$215*EA218*EA$38*'⑫ Roll-out Plan'!$O$27</f>
        <v>182.7504</v>
      </c>
      <c r="EB219" s="36" t="n">
        <f aca="false">EB217*$AC$215*EB218*EB$38*'⑫ Roll-out Plan'!$O$27</f>
        <v>312.0876</v>
      </c>
      <c r="EC219" s="36" t="n">
        <f aca="false">EC217*$AC$215*EC218*EC$38*'⑫ Roll-out Plan'!$O$27</f>
        <v>257.52</v>
      </c>
      <c r="ED219" s="36" t="n">
        <f aca="false">ED217*$AC$215*ED218*ED$38*'⑫ Roll-out Plan'!$O$27</f>
        <v>213.12</v>
      </c>
      <c r="EE219" s="36" t="n">
        <f aca="false">EE217*$AC$215*EE218*EE$38*'⑫ Roll-out Plan'!$O$27</f>
        <v>159.84</v>
      </c>
      <c r="EF219" s="36" t="n">
        <f aca="false">EF217*$AC$215*EF218*EF$38*'⑫ Roll-out Plan'!$O$27</f>
        <v>226.44</v>
      </c>
      <c r="EG219" s="36" t="n">
        <f aca="false">EG217*$AC$215*EG218*EG$38*'⑫ Roll-out Plan'!$O$27</f>
        <v>239.76</v>
      </c>
      <c r="EH219" s="36" t="n">
        <f aca="false">EH217*$AC$215*EH218*EH$38*'⑫ Roll-out Plan'!$O$27</f>
        <v>182.04</v>
      </c>
      <c r="EI219" s="36" t="n">
        <f aca="false">EI217*$AC$215*EI218*EI$38*'⑫ Roll-out Plan'!$O$27</f>
        <v>257.52</v>
      </c>
      <c r="EJ219" s="36" t="n">
        <f aca="false">EJ217*$AC$215*EJ218*EJ$38*'⑫ Roll-out Plan'!$O$27</f>
        <v>244.2</v>
      </c>
      <c r="EK219" s="36" t="n">
        <f aca="false">EK217*$AC$215*EK218*EK$38*'⑫ Roll-out Plan'!$O$27</f>
        <v>204.24</v>
      </c>
      <c r="EL219" s="36" t="n">
        <f aca="false">EL217*$AC$215*EL218*EL$38*'⑫ Roll-out Plan'!$O$27</f>
        <v>177.6</v>
      </c>
      <c r="EM219" s="36" t="n">
        <f aca="false">EM217*$AC$215*EM218*EM$38*'⑫ Roll-out Plan'!$O$27</f>
        <v>186.48</v>
      </c>
      <c r="EN219" s="36" t="n">
        <f aca="false">EN217*$AC$215*EN218*EN$38*'⑫ Roll-out Plan'!$O$27</f>
        <v>315.24</v>
      </c>
      <c r="EO219" s="36" t="n">
        <f aca="false">EO217*$AC$215*EO218*EO$38*'⑫ Roll-out Plan'!$O$27</f>
        <v>257.52</v>
      </c>
      <c r="EP219" s="36" t="n">
        <f aca="false">EP217*$AC$215*EP218*EP$38*'⑫ Roll-out Plan'!$O$27</f>
        <v>213.12</v>
      </c>
      <c r="EQ219" s="36" t="n">
        <f aca="false">EQ217*$AC$215*EQ218*EQ$38*'⑫ Roll-out Plan'!$O$27</f>
        <v>159.84</v>
      </c>
      <c r="ER219" s="36" t="n">
        <f aca="false">ER217*$AC$215*ER218*ER$38*'⑫ Roll-out Plan'!$O$27</f>
        <v>226.44</v>
      </c>
      <c r="ES219" s="9" t="n">
        <f aca="false">ES217*$AC$215*ES218*ES$38*'⑫ Roll-out Plan'!$O$27</f>
        <v>239.76</v>
      </c>
      <c r="ET219" s="9" t="n">
        <f aca="false">ET217*$AC$215*ET218*ET$38*'⑫ Roll-out Plan'!$O$27</f>
        <v>182.04</v>
      </c>
      <c r="EU219" s="9" t="n">
        <f aca="false">EU217*$AC$215*EU218*EU$38*'⑫ Roll-out Plan'!$O$27</f>
        <v>257.52</v>
      </c>
      <c r="EV219" s="9" t="n">
        <f aca="false">EV217*$AC$215*EV218*EV$38*'⑫ Roll-out Plan'!$O$27</f>
        <v>244.2</v>
      </c>
      <c r="EW219" s="9" t="n">
        <f aca="false">EW217*$AC$215*EW218*EW$38*'⑫ Roll-out Plan'!$O$27</f>
        <v>204.24</v>
      </c>
      <c r="EX219" s="9" t="n">
        <f aca="false">EX217*$AC$215*EX218*EX$38*'⑫ Roll-out Plan'!$O$27</f>
        <v>177.6</v>
      </c>
      <c r="EY219" s="9" t="n">
        <f aca="false">EY217*$AC$215*EY218*EY$38*'⑫ Roll-out Plan'!$O$27</f>
        <v>186.48</v>
      </c>
      <c r="EZ219" s="9" t="n">
        <f aca="false">EZ217*$AC$215*EZ218*EZ$38*'⑫ Roll-out Plan'!$O$27</f>
        <v>315.24</v>
      </c>
      <c r="FA219" s="9" t="n">
        <f aca="false">FA217*$AC$215*FA218*FA$38*'⑫ Roll-out Plan'!$O$27</f>
        <v>257.52</v>
      </c>
      <c r="FB219" s="9" t="n">
        <f aca="false">FB217*$AC$215*FB218*FB$38*'⑫ Roll-out Plan'!$O$27</f>
        <v>213.12</v>
      </c>
      <c r="FC219" s="9" t="n">
        <f aca="false">FC217*$AC$215*FC218*FC$38*'⑫ Roll-out Plan'!$O$27</f>
        <v>159.84</v>
      </c>
      <c r="FD219" s="9" t="n">
        <f aca="false">FD217*$AC$215*FD218*FD$38*'⑫ Roll-out Plan'!$O$27</f>
        <v>226.44</v>
      </c>
      <c r="FE219" s="9" t="n">
        <f aca="false">FE217*$AC$215*FE218*FE$38*'⑫ Roll-out Plan'!$O$27</f>
        <v>239.76</v>
      </c>
      <c r="FF219" s="9" t="n">
        <f aca="false">FF217*$AC$215*FF218*FF$38*'⑫ Roll-out Plan'!$O$27</f>
        <v>182.04</v>
      </c>
      <c r="FG219" s="9" t="n">
        <f aca="false">FG217*$AC$215*FG218*FG$38*'⑫ Roll-out Plan'!$O$27</f>
        <v>257.52</v>
      </c>
      <c r="FH219" s="9" t="n">
        <f aca="false">FH217*$AC$215*FH218*FH$38*'⑫ Roll-out Plan'!$O$27</f>
        <v>244.2</v>
      </c>
      <c r="FI219" s="9" t="n">
        <f aca="false">FI217*$AC$215*FI218*FI$38*'⑫ Roll-out Plan'!$O$27</f>
        <v>204.24</v>
      </c>
      <c r="FJ219" s="9" t="n">
        <f aca="false">FJ217*$AC$215*FJ218*FJ$38*'⑫ Roll-out Plan'!$O$27</f>
        <v>177.6</v>
      </c>
      <c r="FK219" s="9" t="n">
        <f aca="false">FK217*$AC$215*FK218*FK$38*'⑫ Roll-out Plan'!$O$27</f>
        <v>186.48</v>
      </c>
      <c r="FL219" s="9" t="n">
        <f aca="false">FL217*$AC$215*FL218*FL$38*'⑫ Roll-out Plan'!$O$27</f>
        <v>315.24</v>
      </c>
      <c r="FM219" s="9" t="n">
        <f aca="false">FM217*$AC$215*FM218*FM$38*'⑫ Roll-out Plan'!$O$27</f>
        <v>257.52</v>
      </c>
      <c r="FN219" s="9" t="n">
        <f aca="false">FN217*$AC$215*FN218*FN$38*'⑫ Roll-out Plan'!$O$27</f>
        <v>213.12</v>
      </c>
      <c r="FO219" s="9" t="n">
        <f aca="false">FO217*$AC$215*FO218*FO$38*'⑫ Roll-out Plan'!$O$27</f>
        <v>159.84</v>
      </c>
      <c r="FP219" s="9" t="n">
        <f aca="false">FP217*$AC$215*FP218*FP$38*'⑫ Roll-out Plan'!$O$27</f>
        <v>226.44</v>
      </c>
    </row>
    <row r="220" customFormat="false" ht="15" hidden="false" customHeight="false" outlineLevel="2" collapsed="false">
      <c r="B220" s="9" t="s">
        <v>877</v>
      </c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112" t="n">
        <f aca="true">IFERROR(SUMPRODUCT(OFFSET($BJ$31,0,1-MIN(60,COLUMN()-29),1,MIN(60,COLUMN()-29)),OFFSET(AC219,0,-MIN(60,COLUMN()-29),1,MIN(60,COLUMN()-29))),0)</f>
        <v>0</v>
      </c>
      <c r="AD220" s="112" t="n">
        <f aca="true">IFERROR(SUMPRODUCT(OFFSET($BJ$31,0,1-MIN(60,COLUMN()-29),1,MIN(60,COLUMN()-29)),OFFSET(AD219,0,-MIN(60,COLUMN()-29),1,MIN(60,COLUMN()-29))),0)</f>
        <v>0</v>
      </c>
      <c r="AE220" s="112" t="n">
        <f aca="true">IFERROR(SUMPRODUCT(OFFSET($BJ$31,0,1-MIN(60,COLUMN()-29),1,MIN(60,COLUMN()-29)),OFFSET(AE219,0,-MIN(60,COLUMN()-29),1,MIN(60,COLUMN()-29))),0)</f>
        <v>0</v>
      </c>
      <c r="AF220" s="112" t="n">
        <f aca="true">IFERROR(SUMPRODUCT(OFFSET($BJ$31,0,1-MIN(60,COLUMN()-29),1,MIN(60,COLUMN()-29)),OFFSET(AF219,0,-MIN(60,COLUMN()-29),1,MIN(60,COLUMN()-29))),0)</f>
        <v>0</v>
      </c>
      <c r="AG220" s="112" t="n">
        <f aca="true">IFERROR(SUMPRODUCT(OFFSET($BJ$31,0,1-MIN(60,COLUMN()-29),1,MIN(60,COLUMN()-29)),OFFSET(AG219,0,-MIN(60,COLUMN()-29),1,MIN(60,COLUMN()-29))),0)</f>
        <v>0</v>
      </c>
      <c r="AH220" s="112" t="n">
        <f aca="true">IFERROR(SUMPRODUCT(OFFSET($BJ$31,0,1-MIN(60,COLUMN()-29),1,MIN(60,COLUMN()-29)),OFFSET(AH219,0,-MIN(60,COLUMN()-29),1,MIN(60,COLUMN()-29))),0)</f>
        <v>0</v>
      </c>
      <c r="AI220" s="112" t="n">
        <f aca="true">IFERROR(SUMPRODUCT(OFFSET($BJ$31,0,1-MIN(60,COLUMN()-29),1,MIN(60,COLUMN()-29)),OFFSET(AI219,0,-MIN(60,COLUMN()-29),1,MIN(60,COLUMN()-29))),0)</f>
        <v>0</v>
      </c>
      <c r="AJ220" s="112" t="n">
        <f aca="true">IFERROR(SUMPRODUCT(OFFSET($BJ$31,0,1-MIN(60,COLUMN()-29),1,MIN(60,COLUMN()-29)),OFFSET(AJ219,0,-MIN(60,COLUMN()-29),1,MIN(60,COLUMN()-29))),0)</f>
        <v>0</v>
      </c>
      <c r="AK220" s="112" t="n">
        <f aca="true">IFERROR(SUMPRODUCT(OFFSET($BJ$31,0,1-MIN(60,COLUMN()-29),1,MIN(60,COLUMN()-29)),OFFSET(AK219,0,-MIN(60,COLUMN()-29),1,MIN(60,COLUMN()-29))),0)</f>
        <v>0</v>
      </c>
      <c r="AL220" s="112" t="n">
        <f aca="true">IFERROR(SUMPRODUCT(OFFSET($BJ$31,0,1-MIN(60,COLUMN()-29),1,MIN(60,COLUMN()-29)),OFFSET(AL219,0,-MIN(60,COLUMN()-29),1,MIN(60,COLUMN()-29))),0)</f>
        <v>0</v>
      </c>
      <c r="AM220" s="112" t="n">
        <f aca="true">IFERROR(SUMPRODUCT(OFFSET($BJ$31,0,1-MIN(60,COLUMN()-29),1,MIN(60,COLUMN()-29)),OFFSET(AM219,0,-MIN(60,COLUMN()-29),1,MIN(60,COLUMN()-29))),0)</f>
        <v>0</v>
      </c>
      <c r="AN220" s="112" t="n">
        <f aca="true">IFERROR(SUMPRODUCT(OFFSET($BJ$31,0,1-MIN(60,COLUMN()-29),1,MIN(60,COLUMN()-29)),OFFSET(AN219,0,-MIN(60,COLUMN()-29),1,MIN(60,COLUMN()-29))),0)</f>
        <v>0</v>
      </c>
      <c r="AO220" s="112" t="n">
        <f aca="true">IFERROR(SUMPRODUCT(OFFSET($BJ$31,0,1-MIN(60,COLUMN()-29),1,MIN(60,COLUMN()-29)),OFFSET(AO219,0,-MIN(60,COLUMN()-29),1,MIN(60,COLUMN()-29))),0)</f>
        <v>0</v>
      </c>
      <c r="AP220" s="112" t="n">
        <f aca="true">IFERROR(SUMPRODUCT(OFFSET($BJ$31,0,1-MIN(60,COLUMN()-29),1,MIN(60,COLUMN()-29)),OFFSET(AP219,0,-MIN(60,COLUMN()-29),1,MIN(60,COLUMN()-29))),0)</f>
        <v>0</v>
      </c>
      <c r="AQ220" s="112" t="n">
        <f aca="true">IFERROR(SUMPRODUCT(OFFSET($BJ$31,0,1-MIN(60,COLUMN()-29),1,MIN(60,COLUMN()-29)),OFFSET(AQ219,0,-MIN(60,COLUMN()-29),1,MIN(60,COLUMN()-29))),0)</f>
        <v>0</v>
      </c>
      <c r="AR220" s="112" t="n">
        <f aca="true">IFERROR(SUMPRODUCT(OFFSET($BJ$31,0,1-MIN(60,COLUMN()-29),1,MIN(60,COLUMN()-29)),OFFSET(AR219,0,-MIN(60,COLUMN()-29),1,MIN(60,COLUMN()-29))),0)</f>
        <v>0</v>
      </c>
      <c r="AS220" s="112" t="n">
        <f aca="true">IFERROR(SUMPRODUCT(OFFSET($BJ$31,0,1-MIN(60,COLUMN()-29),1,MIN(60,COLUMN()-29)),OFFSET(AS219,0,-MIN(60,COLUMN()-29),1,MIN(60,COLUMN()-29))),0)</f>
        <v>0</v>
      </c>
      <c r="AT220" s="112" t="n">
        <f aca="true">IFERROR(SUMPRODUCT(OFFSET($BJ$31,0,1-MIN(60,COLUMN()-29),1,MIN(60,COLUMN()-29)),OFFSET(AT219,0,-MIN(60,COLUMN()-29),1,MIN(60,COLUMN()-29))),0)</f>
        <v>0</v>
      </c>
      <c r="AU220" s="112" t="n">
        <f aca="true">IFERROR(SUMPRODUCT(OFFSET($BJ$31,0,1-MIN(60,COLUMN()-29),1,MIN(60,COLUMN()-29)),OFFSET(AU219,0,-MIN(60,COLUMN()-29),1,MIN(60,COLUMN()-29))),0)</f>
        <v>0</v>
      </c>
      <c r="AV220" s="112" t="n">
        <f aca="true">IFERROR(SUMPRODUCT(OFFSET($BJ$31,0,1-MIN(60,COLUMN()-29),1,MIN(60,COLUMN()-29)),OFFSET(AV219,0,-MIN(60,COLUMN()-29),1,MIN(60,COLUMN()-29))),0)</f>
        <v>0</v>
      </c>
      <c r="AW220" s="112" t="n">
        <f aca="true">IFERROR(SUMPRODUCT(OFFSET($BJ$31,0,1-MIN(60,COLUMN()-29),1,MIN(60,COLUMN()-29)),OFFSET(AW219,0,-MIN(60,COLUMN()-29),1,MIN(60,COLUMN()-29))),0)</f>
        <v>0</v>
      </c>
      <c r="AX220" s="112" t="n">
        <f aca="true">IFERROR(SUMPRODUCT(OFFSET($BJ$31,0,1-MIN(60,COLUMN()-29),1,MIN(60,COLUMN()-29)),OFFSET(AX219,0,-MIN(60,COLUMN()-29),1,MIN(60,COLUMN()-29))),0)</f>
        <v>0</v>
      </c>
      <c r="AY220" s="112" t="n">
        <f aca="true">IFERROR(SUMPRODUCT(OFFSET($BJ$31,0,1-MIN(60,COLUMN()-29),1,MIN(60,COLUMN()-29)),OFFSET(AY219,0,-MIN(60,COLUMN()-29),1,MIN(60,COLUMN()-29))),0)</f>
        <v>0</v>
      </c>
      <c r="AZ220" s="112" t="n">
        <f aca="true">IFERROR(SUMPRODUCT(OFFSET($BJ$31,0,1-MIN(60,COLUMN()-29),1,MIN(60,COLUMN()-29)),OFFSET(AZ219,0,-MIN(60,COLUMN()-29),1,MIN(60,COLUMN()-29))),0)</f>
        <v>0</v>
      </c>
      <c r="BA220" s="112" t="n">
        <f aca="true">IFERROR(SUMPRODUCT(OFFSET($BJ$31,0,1-MIN(60,COLUMN()-29),1,MIN(60,COLUMN()-29)),OFFSET(BA219,0,-MIN(60,COLUMN()-29),1,MIN(60,COLUMN()-29))),0)</f>
        <v>0</v>
      </c>
      <c r="BB220" s="112" t="n">
        <f aca="true">IFERROR(SUMPRODUCT(OFFSET($BJ$31,0,1-MIN(60,COLUMN()-29),1,MIN(60,COLUMN()-29)),OFFSET(BB219,0,-MIN(60,COLUMN()-29),1,MIN(60,COLUMN()-29))),0)</f>
        <v>0</v>
      </c>
      <c r="BC220" s="112" t="n">
        <f aca="true">IFERROR(SUMPRODUCT(OFFSET($BJ$31,0,1-MIN(60,COLUMN()-29),1,MIN(60,COLUMN()-29)),OFFSET(BC219,0,-MIN(60,COLUMN()-29),1,MIN(60,COLUMN()-29))),0)</f>
        <v>0</v>
      </c>
      <c r="BD220" s="112" t="n">
        <f aca="true">IFERROR(SUMPRODUCT(OFFSET($BJ$31,0,1-MIN(60,COLUMN()-29),1,MIN(60,COLUMN()-29)),OFFSET(BD219,0,-MIN(60,COLUMN()-29),1,MIN(60,COLUMN()-29))),0)</f>
        <v>0</v>
      </c>
      <c r="BE220" s="112" t="n">
        <f aca="true">IFERROR(SUMPRODUCT(OFFSET($BJ$31,0,1-MIN(60,COLUMN()-29),1,MIN(60,COLUMN()-29)),OFFSET(BE219,0,-MIN(60,COLUMN()-29),1,MIN(60,COLUMN()-29))),0)</f>
        <v>0</v>
      </c>
      <c r="BF220" s="112" t="n">
        <f aca="true">IFERROR(SUMPRODUCT(OFFSET($BJ$31,0,1-MIN(60,COLUMN()-29),1,MIN(60,COLUMN()-29)),OFFSET(BF219,0,-MIN(60,COLUMN()-29),1,MIN(60,COLUMN()-29))),0)</f>
        <v>0</v>
      </c>
      <c r="BG220" s="112" t="n">
        <f aca="true">IFERROR(SUMPRODUCT(OFFSET($BJ$31,0,1-MIN(60,COLUMN()-29),1,MIN(60,COLUMN()-29)),OFFSET(BG219,0,-MIN(60,COLUMN()-29),1,MIN(60,COLUMN()-29))),0)</f>
        <v>0</v>
      </c>
      <c r="BH220" s="112" t="n">
        <f aca="true">IFERROR(SUMPRODUCT(OFFSET($BJ$31,0,1-MIN(60,COLUMN()-29),1,MIN(60,COLUMN()-29)),OFFSET(BH219,0,-MIN(60,COLUMN()-29),1,MIN(60,COLUMN()-29))),0)</f>
        <v>0</v>
      </c>
      <c r="BI220" s="112" t="n">
        <f aca="true">IFERROR(SUMPRODUCT(OFFSET($BJ$31,0,1-MIN(60,COLUMN()-29),1,MIN(60,COLUMN()-29)),OFFSET(BI219,0,-MIN(60,COLUMN()-29),1,MIN(60,COLUMN()-29))),0)</f>
        <v>0</v>
      </c>
      <c r="BJ220" s="112" t="n">
        <f aca="true">IFERROR(SUMPRODUCT(OFFSET($BJ$31,0,1-MIN(60,COLUMN()-29),1,MIN(60,COLUMN()-29)),OFFSET(BJ219,0,-MIN(60,COLUMN()-29),1,MIN(60,COLUMN()-29))),0)</f>
        <v>0</v>
      </c>
      <c r="BK220" s="112" t="n">
        <f aca="true">IFERROR(SUMPRODUCT(OFFSET($BJ$31,0,1-MIN(60,COLUMN()-29),1,MIN(60,COLUMN()-29)),OFFSET(BK219,0,-MIN(60,COLUMN()-29),1,MIN(60,COLUMN()-29))),0)</f>
        <v>0</v>
      </c>
      <c r="BL220" s="112" t="n">
        <f aca="true">IFERROR(SUMPRODUCT(OFFSET($BJ$31,0,1-MIN(60,COLUMN()-29),1,MIN(60,COLUMN()-29)),OFFSET(BL219,0,-MIN(60,COLUMN()-29),1,MIN(60,COLUMN()-29))),0)</f>
        <v>0</v>
      </c>
      <c r="BM220" s="112" t="n">
        <f aca="true">IFERROR(SUMPRODUCT(OFFSET($BJ$31,0,1-MIN(60,COLUMN()-29),1,MIN(60,COLUMN()-29)),OFFSET(BM219,0,-MIN(60,COLUMN()-29),1,MIN(60,COLUMN()-29))),0)</f>
        <v>0</v>
      </c>
      <c r="BN220" s="112" t="n">
        <f aca="true">IFERROR(SUMPRODUCT(OFFSET($BJ$31,0,1-MIN(60,COLUMN()-29),1,MIN(60,COLUMN()-29)),OFFSET(BN219,0,-MIN(60,COLUMN()-29),1,MIN(60,COLUMN()-29))),0)</f>
        <v>0</v>
      </c>
      <c r="BO220" s="112" t="n">
        <f aca="true">IFERROR(SUMPRODUCT(OFFSET($BJ$31,0,1-MIN(60,COLUMN()-29),1,MIN(60,COLUMN()-29)),OFFSET(BO219,0,-MIN(60,COLUMN()-29),1,MIN(60,COLUMN()-29))),0)</f>
        <v>0</v>
      </c>
      <c r="BP220" s="112" t="n">
        <f aca="true">IFERROR(SUMPRODUCT(OFFSET($BJ$31,0,1-MIN(60,COLUMN()-29),1,MIN(60,COLUMN()-29)),OFFSET(BP219,0,-MIN(60,COLUMN()-29),1,MIN(60,COLUMN()-29))),0)</f>
        <v>0</v>
      </c>
      <c r="BQ220" s="112" t="n">
        <f aca="true">IFERROR(SUMPRODUCT(OFFSET($BJ$31,0,1-MIN(60,COLUMN()-29),1,MIN(60,COLUMN()-29)),OFFSET(BQ219,0,-MIN(60,COLUMN()-29),1,MIN(60,COLUMN()-29))),0)</f>
        <v>0</v>
      </c>
      <c r="BR220" s="112" t="n">
        <f aca="true">IFERROR(SUMPRODUCT(OFFSET($BJ$31,0,1-MIN(60,COLUMN()-29),1,MIN(60,COLUMN()-29)),OFFSET(BR219,0,-MIN(60,COLUMN()-29),1,MIN(60,COLUMN()-29))),0)</f>
        <v>0</v>
      </c>
      <c r="BS220" s="112" t="n">
        <f aca="true">IFERROR(SUMPRODUCT(OFFSET($BJ$31,0,1-MIN(60,COLUMN()-29),1,MIN(60,COLUMN()-29)),OFFSET(BS219,0,-MIN(60,COLUMN()-29),1,MIN(60,COLUMN()-29))),0)</f>
        <v>0</v>
      </c>
      <c r="BT220" s="112" t="n">
        <f aca="true">IFERROR(SUMPRODUCT(OFFSET($BJ$31,0,1-MIN(60,COLUMN()-29),1,MIN(60,COLUMN()-29)),OFFSET(BT219,0,-MIN(60,COLUMN()-29),1,MIN(60,COLUMN()-29))),0)</f>
        <v>0</v>
      </c>
      <c r="BU220" s="112" t="n">
        <f aca="true">IFERROR(SUMPRODUCT(OFFSET($BJ$31,0,1-MIN(60,COLUMN()-29),1,MIN(60,COLUMN()-29)),OFFSET(BU219,0,-MIN(60,COLUMN()-29),1,MIN(60,COLUMN()-29))),0)</f>
        <v>0</v>
      </c>
      <c r="BV220" s="112" t="n">
        <f aca="true">IFERROR(SUMPRODUCT(OFFSET($BJ$31,0,1-MIN(60,COLUMN()-29),1,MIN(60,COLUMN()-29)),OFFSET(BV219,0,-MIN(60,COLUMN()-29),1,MIN(60,COLUMN()-29))),0)</f>
        <v>0</v>
      </c>
      <c r="BW220" s="112" t="n">
        <f aca="true">IFERROR(SUMPRODUCT(OFFSET($BJ$31,0,1-MIN(60,COLUMN()-29),1,MIN(60,COLUMN()-29)),OFFSET(BW219,0,-MIN(60,COLUMN()-29),1,MIN(60,COLUMN()-29))),0)</f>
        <v>0</v>
      </c>
      <c r="BX220" s="112" t="n">
        <f aca="true">IFERROR(SUMPRODUCT(OFFSET($BJ$31,0,1-MIN(60,COLUMN()-29),1,MIN(60,COLUMN()-29)),OFFSET(BX219,0,-MIN(60,COLUMN()-29),1,MIN(60,COLUMN()-29))),0)</f>
        <v>0</v>
      </c>
      <c r="BY220" s="112" t="n">
        <f aca="true">IFERROR(SUMPRODUCT(OFFSET($BJ$31,0,1-MIN(60,COLUMN()-29),1,MIN(60,COLUMN()-29)),OFFSET(BY219,0,-MIN(60,COLUMN()-29),1,MIN(60,COLUMN()-29))),0)</f>
        <v>0</v>
      </c>
      <c r="BZ220" s="112" t="n">
        <f aca="true">IFERROR(SUMPRODUCT(OFFSET($BJ$31,0,1-MIN(60,COLUMN()-29),1,MIN(60,COLUMN()-29)),OFFSET(BZ219,0,-MIN(60,COLUMN()-29),1,MIN(60,COLUMN()-29))),0)</f>
        <v>0</v>
      </c>
      <c r="CA220" s="112" t="n">
        <f aca="true">IFERROR(SUMPRODUCT(OFFSET($BJ$31,0,1-MIN(60,COLUMN()-29),1,MIN(60,COLUMN()-29)),OFFSET(CA219,0,-MIN(60,COLUMN()-29),1,MIN(60,COLUMN()-29))),0)</f>
        <v>0</v>
      </c>
      <c r="CB220" s="112" t="n">
        <f aca="true">IFERROR(SUMPRODUCT(OFFSET($BJ$31,0,1-MIN(60,COLUMN()-29),1,MIN(60,COLUMN()-29)),OFFSET(CB219,0,-MIN(60,COLUMN()-29),1,MIN(60,COLUMN()-29))),0)</f>
        <v>0</v>
      </c>
      <c r="CC220" s="112" t="n">
        <f aca="true">IFERROR(SUMPRODUCT(OFFSET($BJ$31,0,1-MIN(60,COLUMN()-29),1,MIN(60,COLUMN()-29)),OFFSET(CC219,0,-MIN(60,COLUMN()-29),1,MIN(60,COLUMN()-29))),0)</f>
        <v>0</v>
      </c>
      <c r="CD220" s="112" t="n">
        <f aca="true">IFERROR(SUMPRODUCT(OFFSET($BJ$31,0,1-MIN(60,COLUMN()-29),1,MIN(60,COLUMN()-29)),OFFSET(CD219,0,-MIN(60,COLUMN()-29),1,MIN(60,COLUMN()-29))),0)</f>
        <v>0</v>
      </c>
      <c r="CE220" s="112" t="n">
        <f aca="true">IFERROR(SUMPRODUCT(OFFSET($BJ$31,0,1-MIN(60,COLUMN()-29),1,MIN(60,COLUMN()-29)),OFFSET(CE219,0,-MIN(60,COLUMN()-29),1,MIN(60,COLUMN()-29))),0)</f>
        <v>0</v>
      </c>
      <c r="CF220" s="112" t="n">
        <f aca="true">IFERROR(SUMPRODUCT(OFFSET($BJ$31,0,1-MIN(60,COLUMN()-29),1,MIN(60,COLUMN()-29)),OFFSET(CF219,0,-MIN(60,COLUMN()-29),1,MIN(60,COLUMN()-29))),0)</f>
        <v>0</v>
      </c>
      <c r="CG220" s="112" t="n">
        <f aca="true">IFERROR(SUMPRODUCT(OFFSET($BJ$31,0,1-MIN(60,COLUMN()-29),1,MIN(60,COLUMN()-29)),OFFSET(CG219,0,-MIN(60,COLUMN()-29),1,MIN(60,COLUMN()-29))),0)</f>
        <v>0</v>
      </c>
      <c r="CH220" s="112" t="n">
        <f aca="true">IFERROR(SUMPRODUCT(OFFSET($BJ$31,0,1-MIN(60,COLUMN()-29),1,MIN(60,COLUMN()-29)),OFFSET(CH219,0,-MIN(60,COLUMN()-29),1,MIN(60,COLUMN()-29))),0)</f>
        <v>0</v>
      </c>
      <c r="CI220" s="112" t="n">
        <f aca="true">IFERROR(SUMPRODUCT(OFFSET($BJ$31,0,1-MIN(60,COLUMN()-29),1,MIN(60,COLUMN()-29)),OFFSET(CI219,0,-MIN(60,COLUMN()-29),1,MIN(60,COLUMN()-29))),0)</f>
        <v>0</v>
      </c>
      <c r="CJ220" s="112" t="n">
        <f aca="true">IFERROR(SUMPRODUCT(OFFSET($BJ$31,0,1-MIN(60,COLUMN()-29),1,MIN(60,COLUMN()-29)),OFFSET(CJ219,0,-MIN(60,COLUMN()-29),1,MIN(60,COLUMN()-29))),0)</f>
        <v>0</v>
      </c>
      <c r="CK220" s="112" t="n">
        <f aca="true">IFERROR(SUMPRODUCT(OFFSET($BJ$31,0,1-MIN(60,COLUMN()-29),1,MIN(60,COLUMN()-29)),OFFSET(CK219,0,-MIN(60,COLUMN()-29),1,MIN(60,COLUMN()-29))),0)</f>
        <v>0</v>
      </c>
      <c r="CL220" s="112" t="n">
        <f aca="true">IFERROR(SUMPRODUCT(OFFSET($BJ$31,0,1-MIN(60,COLUMN()-29),1,MIN(60,COLUMN()-29)),OFFSET(CL219,0,-MIN(60,COLUMN()-29),1,MIN(60,COLUMN()-29))),0)</f>
        <v>0</v>
      </c>
      <c r="CM220" s="112" t="n">
        <f aca="true">IFERROR(SUMPRODUCT(OFFSET($BJ$31,0,1-MIN(60,COLUMN()-29),1,MIN(60,COLUMN()-29)),OFFSET(CM219,0,-MIN(60,COLUMN()-29),1,MIN(60,COLUMN()-29))),0)</f>
        <v>3.88352</v>
      </c>
      <c r="CN220" s="112" t="n">
        <f aca="true">IFERROR(SUMPRODUCT(OFFSET($BJ$31,0,1-MIN(60,COLUMN()-29),1,MIN(60,COLUMN()-29)),OFFSET(CN219,0,-MIN(60,COLUMN()-29),1,MIN(60,COLUMN()-29))),0)</f>
        <v>6.57712</v>
      </c>
      <c r="CO220" s="112" t="n">
        <f aca="true">IFERROR(SUMPRODUCT(OFFSET($BJ$31,0,1-MIN(60,COLUMN()-29),1,MIN(60,COLUMN()-29)),OFFSET(CO219,0,-MIN(60,COLUMN()-29),1,MIN(60,COLUMN()-29))),0)</f>
        <v>7.7620672</v>
      </c>
      <c r="CP220" s="112" t="n">
        <f aca="true">IFERROR(SUMPRODUCT(OFFSET($BJ$31,0,1-MIN(60,COLUMN()-29),1,MIN(60,COLUMN()-29)),OFFSET(CP219,0,-MIN(60,COLUMN()-29),1,MIN(60,COLUMN()-29))),0)</f>
        <v>8.1875968</v>
      </c>
      <c r="CQ220" s="112" t="n">
        <f aca="true">IFERROR(SUMPRODUCT(OFFSET($BJ$31,0,1-MIN(60,COLUMN()-29),1,MIN(60,COLUMN()-29)),OFFSET(CQ219,0,-MIN(60,COLUMN()-29),1,MIN(60,COLUMN()-29))),0)</f>
        <v>7.913264</v>
      </c>
      <c r="CR220" s="112" t="n">
        <f aca="true">IFERROR(SUMPRODUCT(OFFSET($BJ$31,0,1-MIN(60,COLUMN()-29),1,MIN(60,COLUMN()-29)),OFFSET(CR219,0,-MIN(60,COLUMN()-29),1,MIN(60,COLUMN()-29))),0)</f>
        <v>9.1229568</v>
      </c>
      <c r="CS220" s="112" t="n">
        <f aca="true">IFERROR(SUMPRODUCT(OFFSET($BJ$31,0,1-MIN(60,COLUMN()-29),1,MIN(60,COLUMN()-29)),OFFSET(CS219,0,-MIN(60,COLUMN()-29),1,MIN(60,COLUMN()-29))),0)</f>
        <v>15.2810592</v>
      </c>
      <c r="CT220" s="112" t="n">
        <f aca="true">IFERROR(SUMPRODUCT(OFFSET($BJ$31,0,1-MIN(60,COLUMN()-29),1,MIN(60,COLUMN()-29)),OFFSET(CT219,0,-MIN(60,COLUMN()-29),1,MIN(60,COLUMN()-29))),0)</f>
        <v>15.498264</v>
      </c>
      <c r="CU220" s="112" t="n">
        <f aca="true">IFERROR(SUMPRODUCT(OFFSET($BJ$31,0,1-MIN(60,COLUMN()-29),1,MIN(60,COLUMN()-29)),OFFSET(CU219,0,-MIN(60,COLUMN()-29),1,MIN(60,COLUMN()-29))),0)</f>
        <v>16.0551584</v>
      </c>
      <c r="CV220" s="112" t="n">
        <f aca="true">IFERROR(SUMPRODUCT(OFFSET($BJ$31,0,1-MIN(60,COLUMN()-29),1,MIN(60,COLUMN()-29)),OFFSET(CV219,0,-MIN(60,COLUMN()-29),1,MIN(60,COLUMN()-29))),0)</f>
        <v>14.5399936</v>
      </c>
      <c r="CW220" s="112" t="n">
        <f aca="true">IFERROR(SUMPRODUCT(OFFSET($BJ$31,0,1-MIN(60,COLUMN()-29),1,MIN(60,COLUMN()-29)),OFFSET(CW219,0,-MIN(60,COLUMN()-29),1,MIN(60,COLUMN()-29))),0)</f>
        <v>18.8176672</v>
      </c>
      <c r="CX220" s="112" t="n">
        <f aca="true">IFERROR(SUMPRODUCT(OFFSET($BJ$31,0,1-MIN(60,COLUMN()-29),1,MIN(60,COLUMN()-29)),OFFSET(CX219,0,-MIN(60,COLUMN()-29),1,MIN(60,COLUMN()-29))),0)</f>
        <v>21.6903472</v>
      </c>
      <c r="CY220" s="112" t="n">
        <f aca="true">IFERROR(SUMPRODUCT(OFFSET($BJ$31,0,1-MIN(60,COLUMN()-29),1,MIN(60,COLUMN()-29)),OFFSET(CY219,0,-MIN(60,COLUMN()-29),1,MIN(60,COLUMN()-29))),0)</f>
        <v>22.036608</v>
      </c>
      <c r="CZ220" s="112" t="n">
        <f aca="true">IFERROR(SUMPRODUCT(OFFSET($BJ$31,0,1-MIN(60,COLUMN()-29),1,MIN(60,COLUMN()-29)),OFFSET(CZ219,0,-MIN(60,COLUMN()-29),1,MIN(60,COLUMN()-29))),0)</f>
        <v>28.824184</v>
      </c>
      <c r="DA220" s="112" t="n">
        <f aca="true">IFERROR(SUMPRODUCT(OFFSET($BJ$31,0,1-MIN(60,COLUMN()-29),1,MIN(60,COLUMN()-29)),OFFSET(DA219,0,-MIN(60,COLUMN()-29),1,MIN(60,COLUMN()-29))),0)</f>
        <v>29.6267584</v>
      </c>
      <c r="DB220" s="112" t="n">
        <f aca="true">IFERROR(SUMPRODUCT(OFFSET($BJ$31,0,1-MIN(60,COLUMN()-29),1,MIN(60,COLUMN()-29)),OFFSET(DB219,0,-MIN(60,COLUMN()-29),1,MIN(60,COLUMN()-29))),0)</f>
        <v>31.9343152</v>
      </c>
      <c r="DC220" s="112" t="n">
        <f aca="true">IFERROR(SUMPRODUCT(OFFSET($BJ$31,0,1-MIN(60,COLUMN()-29),1,MIN(60,COLUMN()-29)),OFFSET(DC219,0,-MIN(60,COLUMN()-29),1,MIN(60,COLUMN()-29))),0)</f>
        <v>32.26193392</v>
      </c>
      <c r="DD220" s="112" t="n">
        <f aca="true">IFERROR(SUMPRODUCT(OFFSET($BJ$31,0,1-MIN(60,COLUMN()-29),1,MIN(60,COLUMN()-29)),OFFSET(DD219,0,-MIN(60,COLUMN()-29),1,MIN(60,COLUMN()-29))),0)</f>
        <v>36.75440288</v>
      </c>
      <c r="DE220" s="112" t="n">
        <f aca="true">IFERROR(SUMPRODUCT(OFFSET($BJ$31,0,1-MIN(60,COLUMN()-29),1,MIN(60,COLUMN()-29)),OFFSET(DE219,0,-MIN(60,COLUMN()-29),1,MIN(60,COLUMN()-29))),0)</f>
        <v>51.56908448</v>
      </c>
      <c r="DF220" s="112" t="n">
        <f aca="true">IFERROR(SUMPRODUCT(OFFSET($BJ$31,0,1-MIN(60,COLUMN()-29),1,MIN(60,COLUMN()-29)),OFFSET(DF219,0,-MIN(60,COLUMN()-29),1,MIN(60,COLUMN()-29))),0)</f>
        <v>50.82112504</v>
      </c>
      <c r="DG220" s="112" t="n">
        <f aca="true">IFERROR(SUMPRODUCT(OFFSET($BJ$31,0,1-MIN(60,COLUMN()-29),1,MIN(60,COLUMN()-29)),OFFSET(DG219,0,-MIN(60,COLUMN()-29),1,MIN(60,COLUMN()-29))),0)</f>
        <v>49.980118</v>
      </c>
      <c r="DH220" s="112" t="n">
        <f aca="true">IFERROR(SUMPRODUCT(OFFSET($BJ$31,0,1-MIN(60,COLUMN()-29),1,MIN(60,COLUMN()-29)),OFFSET(DH219,0,-MIN(60,COLUMN()-29),1,MIN(60,COLUMN()-29))),0)</f>
        <v>47.28264928</v>
      </c>
      <c r="DI220" s="112" t="n">
        <f aca="true">IFERROR(SUMPRODUCT(OFFSET($BJ$31,0,1-MIN(60,COLUMN()-29),1,MIN(60,COLUMN()-29)),OFFSET(DI219,0,-MIN(60,COLUMN()-29),1,MIN(60,COLUMN()-29))),0)</f>
        <v>57.79936796</v>
      </c>
      <c r="DJ220" s="112" t="n">
        <f aca="true">IFERROR(SUMPRODUCT(OFFSET($BJ$31,0,1-MIN(60,COLUMN()-29),1,MIN(60,COLUMN()-29)),OFFSET(DJ219,0,-MIN(60,COLUMN()-29),1,MIN(60,COLUMN()-29))),0)</f>
        <v>62.32290212</v>
      </c>
      <c r="DK220" s="112" t="n">
        <f aca="true">IFERROR(SUMPRODUCT(OFFSET($BJ$31,0,1-MIN(60,COLUMN()-29),1,MIN(60,COLUMN()-29)),OFFSET(DK219,0,-MIN(60,COLUMN()-29),1,MIN(60,COLUMN()-29))),0)</f>
        <v>61.79100196</v>
      </c>
      <c r="DL220" s="112" t="n">
        <f aca="true">IFERROR(SUMPRODUCT(OFFSET($BJ$31,0,1-MIN(60,COLUMN()-29),1,MIN(60,COLUMN()-29)),OFFSET(DL219,0,-MIN(60,COLUMN()-29),1,MIN(60,COLUMN()-29))),0)</f>
        <v>72.51868132</v>
      </c>
      <c r="DM220" s="112" t="n">
        <f aca="true">IFERROR(SUMPRODUCT(OFFSET($BJ$31,0,1-MIN(60,COLUMN()-29),1,MIN(60,COLUMN()-29)),OFFSET(DM219,0,-MIN(60,COLUMN()-29),1,MIN(60,COLUMN()-29))),0)</f>
        <v>75.8353258</v>
      </c>
      <c r="DN220" s="112" t="n">
        <f aca="true">IFERROR(SUMPRODUCT(OFFSET($BJ$31,0,1-MIN(60,COLUMN()-29),1,MIN(60,COLUMN()-29)),OFFSET(DN219,0,-MIN(60,COLUMN()-29),1,MIN(60,COLUMN()-29))),0)</f>
        <v>77.13271748</v>
      </c>
      <c r="DO220" s="112" t="n">
        <f aca="true">IFERROR(SUMPRODUCT(OFFSET($BJ$31,0,1-MIN(60,COLUMN()-29),1,MIN(60,COLUMN()-29)),OFFSET(DO219,0,-MIN(60,COLUMN()-29),1,MIN(60,COLUMN()-29))),0)</f>
        <v>77.06955108</v>
      </c>
      <c r="DP220" s="112" t="n">
        <f aca="true">IFERROR(SUMPRODUCT(OFFSET($BJ$31,0,1-MIN(60,COLUMN()-29),1,MIN(60,COLUMN()-29)),OFFSET(DP219,0,-MIN(60,COLUMN()-29),1,MIN(60,COLUMN()-29))),0)</f>
        <v>83.55255492</v>
      </c>
      <c r="DQ220" s="112" t="n">
        <f aca="true">IFERROR(SUMPRODUCT(OFFSET($BJ$31,0,1-MIN(60,COLUMN()-29),1,MIN(60,COLUMN()-29)),OFFSET(DQ219,0,-MIN(60,COLUMN()-29),1,MIN(60,COLUMN()-29))),0)</f>
        <v>102.53957556</v>
      </c>
      <c r="DR220" s="112" t="n">
        <f aca="true">IFERROR(SUMPRODUCT(OFFSET($BJ$31,0,1-MIN(60,COLUMN()-29),1,MIN(60,COLUMN()-29)),OFFSET(DR219,0,-MIN(60,COLUMN()-29),1,MIN(60,COLUMN()-29))),0)</f>
        <v>102.89575236</v>
      </c>
      <c r="DS220" s="112" t="n">
        <f aca="true">IFERROR(SUMPRODUCT(OFFSET($BJ$31,0,1-MIN(60,COLUMN()-29),1,MIN(60,COLUMN()-29)),OFFSET(DS219,0,-MIN(60,COLUMN()-29),1,MIN(60,COLUMN()-29))),0)</f>
        <v>102.08930628</v>
      </c>
      <c r="DT220" s="112" t="n">
        <f aca="true">IFERROR(SUMPRODUCT(OFFSET($BJ$31,0,1-MIN(60,COLUMN()-29),1,MIN(60,COLUMN()-29)),OFFSET(DT219,0,-MIN(60,COLUMN()-29),1,MIN(60,COLUMN()-29))),0)</f>
        <v>99.35360916</v>
      </c>
      <c r="DU220" s="112" t="n">
        <f aca="true">IFERROR(SUMPRODUCT(OFFSET($BJ$31,0,1-MIN(60,COLUMN()-29),1,MIN(60,COLUMN()-29)),OFFSET(DU219,0,-MIN(60,COLUMN()-29),1,MIN(60,COLUMN()-29))),0)</f>
        <v>114.24028092</v>
      </c>
      <c r="DV220" s="112" t="n">
        <f aca="true">IFERROR(SUMPRODUCT(OFFSET($BJ$31,0,1-MIN(60,COLUMN()-29),1,MIN(60,COLUMN()-29)),OFFSET(DV219,0,-MIN(60,COLUMN()-29),1,MIN(60,COLUMN()-29))),0)</f>
        <v>120.55888044</v>
      </c>
      <c r="DW220" s="112" t="n">
        <f aca="true">IFERROR(SUMPRODUCT(OFFSET($BJ$31,0,1-MIN(60,COLUMN()-29),1,MIN(60,COLUMN()-29)),OFFSET(DW219,0,-MIN(60,COLUMN()-29),1,MIN(60,COLUMN()-29))),0)</f>
        <v>120.74891244</v>
      </c>
      <c r="DX220" s="112" t="n">
        <f aca="true">IFERROR(SUMPRODUCT(OFFSET($BJ$31,0,1-MIN(60,COLUMN()-29),1,MIN(60,COLUMN()-29)),OFFSET(DX219,0,-MIN(60,COLUMN()-29),1,MIN(60,COLUMN()-29))),0)</f>
        <v>134.78460492</v>
      </c>
      <c r="DY220" s="112" t="n">
        <f aca="true">IFERROR(SUMPRODUCT(OFFSET($BJ$31,0,1-MIN(60,COLUMN()-29),1,MIN(60,COLUMN()-29)),OFFSET(DY219,0,-MIN(60,COLUMN()-29),1,MIN(60,COLUMN()-29))),0)</f>
        <v>138.98936484</v>
      </c>
      <c r="DZ220" s="112" t="n">
        <f aca="true">IFERROR(SUMPRODUCT(OFFSET($BJ$31,0,1-MIN(60,COLUMN()-29),1,MIN(60,COLUMN()-29)),OFFSET(DZ219,0,-MIN(60,COLUMN()-29),1,MIN(60,COLUMN()-29))),0)</f>
        <v>140.30962548</v>
      </c>
      <c r="EA220" s="112" t="n">
        <f aca="true">IFERROR(SUMPRODUCT(OFFSET($BJ$31,0,1-MIN(60,COLUMN()-29),1,MIN(60,COLUMN()-29)),OFFSET(EA219,0,-MIN(60,COLUMN()-29),1,MIN(60,COLUMN()-29))),0)</f>
        <v>140.93240652</v>
      </c>
      <c r="EB220" s="112" t="n">
        <f aca="true">IFERROR(SUMPRODUCT(OFFSET($BJ$31,0,1-MIN(60,COLUMN()-29),1,MIN(60,COLUMN()-29)),OFFSET(EB219,0,-MIN(60,COLUMN()-29),1,MIN(60,COLUMN()-29))),0)</f>
        <v>149.4747534</v>
      </c>
      <c r="EC220" s="112" t="n">
        <f aca="true">IFERROR(SUMPRODUCT(OFFSET($BJ$31,0,1-MIN(60,COLUMN()-29),1,MIN(60,COLUMN()-29)),OFFSET(EC219,0,-MIN(60,COLUMN()-29),1,MIN(60,COLUMN()-29))),0)</f>
        <v>172.66933116</v>
      </c>
      <c r="ED220" s="112" t="n">
        <f aca="true">IFERROR(SUMPRODUCT(OFFSET($BJ$31,0,1-MIN(60,COLUMN()-29),1,MIN(60,COLUMN()-29)),OFFSET(ED219,0,-MIN(60,COLUMN()-29),1,MIN(60,COLUMN()-29))),0)</f>
        <v>173.14600956</v>
      </c>
      <c r="EE220" s="112" t="n">
        <f aca="true">IFERROR(SUMPRODUCT(OFFSET($BJ$31,0,1-MIN(60,COLUMN()-29),1,MIN(60,COLUMN()-29)),OFFSET(EE219,0,-MIN(60,COLUMN()-29),1,MIN(60,COLUMN()-29))),0)</f>
        <v>172.040343</v>
      </c>
      <c r="EF220" s="112" t="n">
        <f aca="true">IFERROR(SUMPRODUCT(OFFSET($BJ$31,0,1-MIN(60,COLUMN()-29),1,MIN(60,COLUMN()-29)),OFFSET(EF219,0,-MIN(60,COLUMN()-29),1,MIN(60,COLUMN()-29))),0)</f>
        <v>168.72879564</v>
      </c>
      <c r="EG220" s="112" t="n">
        <f aca="true">IFERROR(SUMPRODUCT(OFFSET($BJ$31,0,1-MIN(60,COLUMN()-29),1,MIN(60,COLUMN()-29)),OFFSET(EG219,0,-MIN(60,COLUMN()-29),1,MIN(60,COLUMN()-29))),0)</f>
        <v>185.65846236</v>
      </c>
      <c r="EH220" s="112" t="n">
        <f aca="true">IFERROR(SUMPRODUCT(OFFSET($BJ$31,0,1-MIN(60,COLUMN()-29),1,MIN(60,COLUMN()-29)),OFFSET(EH219,0,-MIN(60,COLUMN()-29),1,MIN(60,COLUMN()-29))),0)</f>
        <v>192.34609692</v>
      </c>
      <c r="EI220" s="112" t="n">
        <f aca="true">IFERROR(SUMPRODUCT(OFFSET($BJ$31,0,1-MIN(60,COLUMN()-29),1,MIN(60,COLUMN()-29)),OFFSET(EI219,0,-MIN(60,COLUMN()-29),1,MIN(60,COLUMN()-29))),0)</f>
        <v>192.31290348</v>
      </c>
      <c r="EJ220" s="112" t="n">
        <f aca="true">IFERROR(SUMPRODUCT(OFFSET($BJ$31,0,1-MIN(60,COLUMN()-29),1,MIN(60,COLUMN()-29)),OFFSET(EJ219,0,-MIN(60,COLUMN()-29),1,MIN(60,COLUMN()-29))),0)</f>
        <v>206.63039388</v>
      </c>
      <c r="EK220" s="112" t="n">
        <f aca="true">IFERROR(SUMPRODUCT(OFFSET($BJ$31,0,1-MIN(60,COLUMN()-29),1,MIN(60,COLUMN()-29)),OFFSET(EK219,0,-MIN(60,COLUMN()-29),1,MIN(60,COLUMN()-29))),0)</f>
        <v>210.14579052</v>
      </c>
      <c r="EL220" s="112" t="n">
        <f aca="true">IFERROR(SUMPRODUCT(OFFSET($BJ$31,0,1-MIN(60,COLUMN()-29),1,MIN(60,COLUMN()-29)),OFFSET(EL219,0,-MIN(60,COLUMN()-29),1,MIN(60,COLUMN()-29))),0)</f>
        <v>211.0759794</v>
      </c>
      <c r="EM220" s="112" t="n">
        <f aca="true">IFERROR(SUMPRODUCT(OFFSET($BJ$31,0,1-MIN(60,COLUMN()-29),1,MIN(60,COLUMN()-29)),OFFSET(EM219,0,-MIN(60,COLUMN()-29),1,MIN(60,COLUMN()-29))),0)</f>
        <v>210.91872348</v>
      </c>
      <c r="EN220" s="112" t="n">
        <f aca="true">IFERROR(SUMPRODUCT(OFFSET($BJ$31,0,1-MIN(60,COLUMN()-29),1,MIN(60,COLUMN()-29)),OFFSET(EN219,0,-MIN(60,COLUMN()-29),1,MIN(60,COLUMN()-29))),0)</f>
        <v>219.5652594</v>
      </c>
      <c r="EO220" s="112" t="n">
        <f aca="true">IFERROR(SUMPRODUCT(OFFSET($BJ$31,0,1-MIN(60,COLUMN()-29),1,MIN(60,COLUMN()-29)),OFFSET(EO219,0,-MIN(60,COLUMN()-29),1,MIN(60,COLUMN()-29))),0)</f>
        <v>242.10876</v>
      </c>
      <c r="EP220" s="112" t="n">
        <f aca="true">IFERROR(SUMPRODUCT(OFFSET($BJ$31,0,1-MIN(60,COLUMN()-29),1,MIN(60,COLUMN()-29)),OFFSET(EP219,0,-MIN(60,COLUMN()-29),1,MIN(60,COLUMN()-29))),0)</f>
        <v>241.1697444</v>
      </c>
      <c r="EQ220" s="112" t="n">
        <f aca="true">IFERROR(SUMPRODUCT(OFFSET($BJ$31,0,1-MIN(60,COLUMN()-29),1,MIN(60,COLUMN()-29)),OFFSET(EQ219,0,-MIN(60,COLUMN()-29),1,MIN(60,COLUMN()-29))),0)</f>
        <v>238.86541992</v>
      </c>
      <c r="ER220" s="112" t="n">
        <f aca="true">IFERROR(SUMPRODUCT(OFFSET($BJ$31,0,1-MIN(60,COLUMN()-29),1,MIN(60,COLUMN()-29)),OFFSET(ER219,0,-MIN(60,COLUMN()-29),1,MIN(60,COLUMN()-29))),0)</f>
        <v>234.98084616</v>
      </c>
      <c r="ES220" s="9" t="n">
        <f aca="true">IFERROR(SUMPRODUCT(OFFSET($BJ$31,0,1-MIN(60,COLUMN()-29),1,MIN(60,COLUMN()-29)),OFFSET(ES219,0,-MIN(60,COLUMN()-29),1,MIN(60,COLUMN()-29))),0)</f>
        <v>251.5038888</v>
      </c>
      <c r="ET220" s="9" t="n">
        <f aca="true">IFERROR(SUMPRODUCT(OFFSET($BJ$31,0,1-MIN(60,COLUMN()-29),1,MIN(60,COLUMN()-29)),OFFSET(ET219,0,-MIN(60,COLUMN()-29),1,MIN(60,COLUMN()-29))),0)</f>
        <v>257.0263608</v>
      </c>
      <c r="EU220" s="9" t="n">
        <f aca="true">IFERROR(SUMPRODUCT(OFFSET($BJ$31,0,1-MIN(60,COLUMN()-29),1,MIN(60,COLUMN()-29)),OFFSET(EU219,0,-MIN(60,COLUMN()-29),1,MIN(60,COLUMN()-29))),0)</f>
        <v>256.1250408</v>
      </c>
      <c r="EV220" s="9" t="n">
        <f aca="true">IFERROR(SUMPRODUCT(OFFSET($BJ$31,0,1-MIN(60,COLUMN()-29),1,MIN(60,COLUMN()-29)),OFFSET(EV219,0,-MIN(60,COLUMN()-29),1,MIN(60,COLUMN()-29))),0)</f>
        <v>268.798044</v>
      </c>
      <c r="EW220" s="9" t="n">
        <f aca="true">IFERROR(SUMPRODUCT(OFFSET($BJ$31,0,1-MIN(60,COLUMN()-29),1,MIN(60,COLUMN()-29)),OFFSET(EW219,0,-MIN(60,COLUMN()-29),1,MIN(60,COLUMN()-29))),0)</f>
        <v>270.874632</v>
      </c>
      <c r="EX220" s="9" t="n">
        <f aca="true">IFERROR(SUMPRODUCT(OFFSET($BJ$31,0,1-MIN(60,COLUMN()-29),1,MIN(60,COLUMN()-29)),OFFSET(EX219,0,-MIN(60,COLUMN()-29),1,MIN(60,COLUMN()-29))),0)</f>
        <v>270.1600584</v>
      </c>
      <c r="EY220" s="9" t="n">
        <f aca="true">IFERROR(SUMPRODUCT(OFFSET($BJ$31,0,1-MIN(60,COLUMN()-29),1,MIN(60,COLUMN()-29)),OFFSET(EY219,0,-MIN(60,COLUMN()-29),1,MIN(60,COLUMN()-29))),0)</f>
        <v>268.3334424</v>
      </c>
      <c r="EZ220" s="9" t="n">
        <f aca="true">IFERROR(SUMPRODUCT(OFFSET($BJ$31,0,1-MIN(60,COLUMN()-29),1,MIN(60,COLUMN()-29)),OFFSET(EZ219,0,-MIN(60,COLUMN()-29),1,MIN(60,COLUMN()-29))),0)</f>
        <v>275.3480208</v>
      </c>
      <c r="FA220" s="9" t="n">
        <f aca="true">IFERROR(SUMPRODUCT(OFFSET($BJ$31,0,1-MIN(60,COLUMN()-29),1,MIN(60,COLUMN()-29)),OFFSET(FA219,0,-MIN(60,COLUMN()-29),1,MIN(60,COLUMN()-29))),0)</f>
        <v>294.7537068</v>
      </c>
      <c r="FB220" s="9" t="n">
        <f aca="true">IFERROR(SUMPRODUCT(OFFSET($BJ$31,0,1-MIN(60,COLUMN()-29),1,MIN(60,COLUMN()-29)),OFFSET(FB219,0,-MIN(60,COLUMN()-29),1,MIN(60,COLUMN()-29))),0)</f>
        <v>291.2481492</v>
      </c>
      <c r="FC220" s="9" t="n">
        <f aca="true">IFERROR(SUMPRODUCT(OFFSET($BJ$31,0,1-MIN(60,COLUMN()-29),1,MIN(60,COLUMN()-29)),OFFSET(FC219,0,-MIN(60,COLUMN()-29),1,MIN(60,COLUMN()-29))),0)</f>
        <v>286.7591316</v>
      </c>
      <c r="FD220" s="9" t="n">
        <f aca="true">IFERROR(SUMPRODUCT(OFFSET($BJ$31,0,1-MIN(60,COLUMN()-29),1,MIN(60,COLUMN()-29)),OFFSET(FD219,0,-MIN(60,COLUMN()-29),1,MIN(60,COLUMN()-29))),0)</f>
        <v>281.1812484</v>
      </c>
      <c r="FE220" s="9" t="n">
        <f aca="true">IFERROR(SUMPRODUCT(OFFSET($BJ$31,0,1-MIN(60,COLUMN()-29),1,MIN(60,COLUMN()-29)),OFFSET(FE219,0,-MIN(60,COLUMN()-29),1,MIN(60,COLUMN()-29))),0)</f>
        <v>295.210716</v>
      </c>
      <c r="FF220" s="9" t="n">
        <f aca="true">IFERROR(SUMPRODUCT(OFFSET($BJ$31,0,1-MIN(60,COLUMN()-29),1,MIN(60,COLUMN()-29)),OFFSET(FF219,0,-MIN(60,COLUMN()-29),1,MIN(60,COLUMN()-29))),0)</f>
        <v>297.9543696</v>
      </c>
      <c r="FG220" s="9" t="n">
        <f aca="true">IFERROR(SUMPRODUCT(OFFSET($BJ$31,0,1-MIN(60,COLUMN()-29),1,MIN(60,COLUMN()-29)),OFFSET(FG219,0,-MIN(60,COLUMN()-29),1,MIN(60,COLUMN()-29))),0)</f>
        <v>295.3837428</v>
      </c>
      <c r="FH220" s="9" t="n">
        <f aca="true">IFERROR(SUMPRODUCT(OFFSET($BJ$31,0,1-MIN(60,COLUMN()-29),1,MIN(60,COLUMN()-29)),OFFSET(FH219,0,-MIN(60,COLUMN()-29),1,MIN(60,COLUMN()-29))),0)</f>
        <v>305.7236148</v>
      </c>
      <c r="FI220" s="9" t="n">
        <f aca="true">IFERROR(SUMPRODUCT(OFFSET($BJ$31,0,1-MIN(60,COLUMN()-29),1,MIN(60,COLUMN()-29)),OFFSET(FI219,0,-MIN(60,COLUMN()-29),1,MIN(60,COLUMN()-29))),0)</f>
        <v>305.5730988</v>
      </c>
      <c r="FJ220" s="9" t="n">
        <f aca="true">IFERROR(SUMPRODUCT(OFFSET($BJ$31,0,1-MIN(60,COLUMN()-29),1,MIN(60,COLUMN()-29)),OFFSET(FJ219,0,-MIN(60,COLUMN()-29),1,MIN(60,COLUMN()-29))),0)</f>
        <v>303.02404152</v>
      </c>
      <c r="FK220" s="9" t="n">
        <f aca="true">IFERROR(SUMPRODUCT(OFFSET($BJ$31,0,1-MIN(60,COLUMN()-29),1,MIN(60,COLUMN()-29)),OFFSET(FK219,0,-MIN(60,COLUMN()-29),1,MIN(60,COLUMN()-29))),0)</f>
        <v>299.57877912</v>
      </c>
      <c r="FL220" s="9" t="n">
        <f aca="true">IFERROR(SUMPRODUCT(OFFSET($BJ$31,0,1-MIN(60,COLUMN()-29),1,MIN(60,COLUMN()-29)),OFFSET(FL219,0,-MIN(60,COLUMN()-29),1,MIN(60,COLUMN()-29))),0)</f>
        <v>304.98664584</v>
      </c>
      <c r="FM220" s="9" t="n">
        <f aca="true">IFERROR(SUMPRODUCT(OFFSET($BJ$31,0,1-MIN(60,COLUMN()-29),1,MIN(60,COLUMN()-29)),OFFSET(FM219,0,-MIN(60,COLUMN()-29),1,MIN(60,COLUMN()-29))),0)</f>
        <v>321.78403608</v>
      </c>
      <c r="FN220" s="9" t="n">
        <f aca="true">IFERROR(SUMPRODUCT(OFFSET($BJ$31,0,1-MIN(60,COLUMN()-29),1,MIN(60,COLUMN()-29)),OFFSET(FN219,0,-MIN(60,COLUMN()-29),1,MIN(60,COLUMN()-29))),0)</f>
        <v>316.1941116</v>
      </c>
      <c r="FO220" s="9" t="n">
        <f aca="true">IFERROR(SUMPRODUCT(OFFSET($BJ$31,0,1-MIN(60,COLUMN()-29),1,MIN(60,COLUMN()-29)),OFFSET(FO219,0,-MIN(60,COLUMN()-29),1,MIN(60,COLUMN()-29))),0)</f>
        <v>310.07856216</v>
      </c>
      <c r="FP220" s="9" t="n">
        <f aca="true">IFERROR(SUMPRODUCT(OFFSET($BJ$31,0,1-MIN(60,COLUMN()-29),1,MIN(60,COLUMN()-29)),OFFSET(FP219,0,-MIN(60,COLUMN()-29),1,MIN(60,COLUMN()-29))),0)</f>
        <v>303.25872216</v>
      </c>
    </row>
    <row r="221" customFormat="false" ht="15" hidden="false" customHeight="false" outlineLevel="2" collapsed="false">
      <c r="B221" s="90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237"/>
      <c r="AD221" s="237"/>
      <c r="AE221" s="237"/>
      <c r="AF221" s="237"/>
      <c r="AG221" s="237"/>
      <c r="AH221" s="237"/>
      <c r="AI221" s="237"/>
      <c r="AJ221" s="237"/>
      <c r="AK221" s="237"/>
      <c r="AL221" s="237"/>
      <c r="AM221" s="237"/>
      <c r="AN221" s="237"/>
      <c r="AO221" s="237"/>
      <c r="AP221" s="237"/>
      <c r="AQ221" s="237"/>
      <c r="AR221" s="237"/>
      <c r="AS221" s="237"/>
      <c r="AT221" s="237"/>
      <c r="AU221" s="237"/>
      <c r="AV221" s="237"/>
      <c r="AW221" s="237"/>
      <c r="AX221" s="237"/>
      <c r="AY221" s="237"/>
      <c r="AZ221" s="237"/>
      <c r="BA221" s="237"/>
      <c r="BB221" s="237"/>
      <c r="BC221" s="237"/>
      <c r="BD221" s="237"/>
      <c r="BE221" s="237"/>
      <c r="BF221" s="237"/>
      <c r="BG221" s="237"/>
      <c r="BH221" s="237"/>
      <c r="BI221" s="237"/>
      <c r="BJ221" s="237"/>
      <c r="BK221" s="237"/>
      <c r="BL221" s="237"/>
      <c r="BM221" s="237"/>
      <c r="BN221" s="237"/>
      <c r="BO221" s="237"/>
      <c r="BP221" s="237"/>
      <c r="BQ221" s="237"/>
      <c r="BR221" s="237"/>
      <c r="BS221" s="237"/>
      <c r="BT221" s="237"/>
      <c r="BU221" s="237"/>
      <c r="BV221" s="237"/>
      <c r="BW221" s="237"/>
      <c r="BX221" s="237"/>
      <c r="BY221" s="237"/>
      <c r="BZ221" s="237"/>
      <c r="CA221" s="237"/>
      <c r="CB221" s="237"/>
      <c r="CC221" s="237"/>
      <c r="CD221" s="237"/>
      <c r="CE221" s="237"/>
      <c r="CF221" s="237"/>
      <c r="CG221" s="237"/>
      <c r="CH221" s="237"/>
      <c r="CI221" s="237"/>
      <c r="CJ221" s="237"/>
      <c r="CK221" s="237"/>
      <c r="CL221" s="237"/>
      <c r="CM221" s="237"/>
      <c r="CN221" s="237"/>
      <c r="CO221" s="237"/>
      <c r="CP221" s="237"/>
      <c r="CQ221" s="237"/>
      <c r="CR221" s="237"/>
      <c r="CS221" s="237"/>
      <c r="CT221" s="237"/>
      <c r="CU221" s="237"/>
      <c r="CV221" s="237"/>
      <c r="CW221" s="237"/>
      <c r="CX221" s="237"/>
      <c r="CY221" s="237"/>
      <c r="CZ221" s="237"/>
      <c r="DA221" s="237"/>
      <c r="DB221" s="237"/>
      <c r="DC221" s="237"/>
      <c r="DD221" s="237"/>
      <c r="DE221" s="237"/>
      <c r="DF221" s="237"/>
      <c r="DG221" s="237"/>
      <c r="DH221" s="237"/>
      <c r="DI221" s="237"/>
      <c r="DJ221" s="237"/>
      <c r="DK221" s="237"/>
      <c r="DL221" s="237"/>
      <c r="DM221" s="237"/>
      <c r="DN221" s="237"/>
      <c r="DO221" s="237"/>
      <c r="DP221" s="237"/>
      <c r="DQ221" s="237"/>
      <c r="DR221" s="237"/>
      <c r="DS221" s="237"/>
      <c r="DT221" s="237"/>
      <c r="DU221" s="237"/>
      <c r="DV221" s="237"/>
      <c r="DW221" s="237"/>
      <c r="DX221" s="237"/>
      <c r="DY221" s="237"/>
      <c r="DZ221" s="237"/>
      <c r="EA221" s="237"/>
      <c r="EB221" s="237"/>
      <c r="EC221" s="237"/>
      <c r="ED221" s="237"/>
      <c r="EE221" s="237"/>
      <c r="EF221" s="237"/>
      <c r="EG221" s="237"/>
      <c r="EH221" s="237"/>
      <c r="EI221" s="237"/>
      <c r="EJ221" s="237"/>
      <c r="EK221" s="237"/>
      <c r="EL221" s="237"/>
      <c r="EM221" s="237"/>
      <c r="EN221" s="237"/>
      <c r="EO221" s="237"/>
      <c r="EP221" s="237"/>
      <c r="EQ221" s="237"/>
      <c r="ER221" s="237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</row>
    <row r="222" customFormat="false" ht="15" hidden="false" customHeight="false" outlineLevel="2" collapsed="false">
      <c r="B222" s="240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237"/>
      <c r="AD222" s="237"/>
      <c r="AE222" s="237"/>
      <c r="AF222" s="237"/>
      <c r="AG222" s="237"/>
      <c r="AH222" s="237"/>
      <c r="AI222" s="237"/>
      <c r="AJ222" s="237"/>
      <c r="AK222" s="237"/>
      <c r="AL222" s="237"/>
      <c r="AM222" s="237"/>
      <c r="AN222" s="237"/>
      <c r="AO222" s="237"/>
      <c r="AP222" s="237"/>
      <c r="AQ222" s="237"/>
      <c r="AR222" s="237"/>
      <c r="AS222" s="237"/>
      <c r="AT222" s="237"/>
      <c r="AU222" s="237"/>
      <c r="AV222" s="237"/>
      <c r="AW222" s="237"/>
      <c r="AX222" s="237"/>
      <c r="AY222" s="237"/>
      <c r="AZ222" s="237"/>
      <c r="BA222" s="237"/>
      <c r="BB222" s="237"/>
      <c r="BC222" s="237"/>
      <c r="BD222" s="237"/>
      <c r="BE222" s="237"/>
      <c r="BF222" s="237"/>
      <c r="BG222" s="237"/>
      <c r="BH222" s="237"/>
      <c r="BI222" s="237"/>
      <c r="BJ222" s="237"/>
      <c r="BK222" s="237"/>
      <c r="BL222" s="237"/>
      <c r="BM222" s="237"/>
      <c r="BN222" s="237"/>
      <c r="BO222" s="237"/>
      <c r="BP222" s="237"/>
      <c r="BQ222" s="237"/>
      <c r="BR222" s="237"/>
      <c r="BS222" s="237"/>
      <c r="BT222" s="237"/>
      <c r="BU222" s="237"/>
      <c r="BV222" s="237"/>
      <c r="BW222" s="237"/>
      <c r="BX222" s="237"/>
      <c r="BY222" s="237"/>
      <c r="BZ222" s="237"/>
      <c r="CA222" s="237"/>
      <c r="CB222" s="237"/>
      <c r="CC222" s="237"/>
      <c r="CD222" s="237"/>
      <c r="CE222" s="237"/>
      <c r="CF222" s="237"/>
      <c r="CG222" s="237"/>
      <c r="CH222" s="237"/>
      <c r="CI222" s="237"/>
      <c r="CJ222" s="237"/>
      <c r="CK222" s="237"/>
      <c r="CL222" s="237"/>
      <c r="CM222" s="237"/>
      <c r="CN222" s="237"/>
      <c r="CO222" s="237"/>
      <c r="CP222" s="237"/>
      <c r="CQ222" s="237"/>
      <c r="CR222" s="237"/>
      <c r="CS222" s="237"/>
      <c r="CT222" s="237"/>
      <c r="CU222" s="237"/>
      <c r="CV222" s="237"/>
      <c r="CW222" s="237"/>
      <c r="CX222" s="237"/>
      <c r="CY222" s="237"/>
      <c r="CZ222" s="237"/>
      <c r="DA222" s="237"/>
      <c r="DB222" s="237"/>
      <c r="DC222" s="237"/>
      <c r="DD222" s="237"/>
      <c r="DE222" s="237"/>
      <c r="DF222" s="237"/>
      <c r="DG222" s="237"/>
      <c r="DH222" s="237"/>
      <c r="DI222" s="237"/>
      <c r="DJ222" s="237"/>
      <c r="DK222" s="237"/>
      <c r="DL222" s="237"/>
      <c r="DM222" s="237"/>
      <c r="DN222" s="237"/>
      <c r="DO222" s="237"/>
      <c r="DP222" s="237"/>
      <c r="DQ222" s="237"/>
      <c r="DR222" s="237"/>
      <c r="DS222" s="237"/>
      <c r="DT222" s="237"/>
      <c r="DU222" s="237"/>
      <c r="DV222" s="237"/>
      <c r="DW222" s="237"/>
      <c r="DX222" s="237"/>
      <c r="DY222" s="237"/>
      <c r="DZ222" s="237"/>
      <c r="EA222" s="237"/>
      <c r="EB222" s="237"/>
      <c r="EC222" s="237"/>
      <c r="ED222" s="237"/>
      <c r="EE222" s="237"/>
      <c r="EF222" s="237"/>
      <c r="EG222" s="237"/>
      <c r="EH222" s="237"/>
      <c r="EI222" s="237"/>
      <c r="EJ222" s="237"/>
      <c r="EK222" s="237"/>
      <c r="EL222" s="237"/>
      <c r="EM222" s="237"/>
      <c r="EN222" s="237"/>
      <c r="EO222" s="237"/>
      <c r="EP222" s="237"/>
      <c r="EQ222" s="237"/>
      <c r="ER222" s="237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</row>
    <row r="223" customFormat="false" ht="15" hidden="false" customHeight="false" outlineLevel="2" collapsed="false">
      <c r="B223" s="21" t="s">
        <v>895</v>
      </c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  <c r="CC223" s="21"/>
      <c r="CD223" s="21"/>
      <c r="CE223" s="21"/>
      <c r="CF223" s="21"/>
      <c r="CG223" s="21"/>
      <c r="CH223" s="21"/>
      <c r="CI223" s="21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21"/>
      <c r="DV223" s="21"/>
      <c r="DW223" s="21"/>
      <c r="DX223" s="21"/>
      <c r="DY223" s="21"/>
      <c r="DZ223" s="21"/>
      <c r="EA223" s="21"/>
      <c r="EB223" s="21"/>
      <c r="EC223" s="21"/>
      <c r="ED223" s="21"/>
      <c r="EE223" s="21"/>
      <c r="EF223" s="21"/>
      <c r="EG223" s="21"/>
      <c r="EH223" s="21"/>
      <c r="EI223" s="21"/>
      <c r="EJ223" s="21"/>
      <c r="EK223" s="21"/>
      <c r="EL223" s="21"/>
      <c r="EM223" s="21"/>
      <c r="EN223" s="21"/>
      <c r="EO223" s="21"/>
      <c r="EP223" s="21"/>
      <c r="EQ223" s="21"/>
      <c r="ER223" s="21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</row>
    <row r="224" customFormat="false" ht="15" hidden="false" customHeight="false" outlineLevel="2" collapsed="false">
      <c r="B224" s="9" t="s">
        <v>872</v>
      </c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234" t="n">
        <f aca="false">('⑫ Roll-out Plan'!G28-2025)*12+'⑫ Roll-out Plan'!F28</f>
        <v>61</v>
      </c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</row>
    <row r="225" customFormat="false" ht="15" hidden="false" customHeight="false" outlineLevel="2" collapsed="false">
      <c r="B225" s="9" t="s">
        <v>873</v>
      </c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235" t="n">
        <f aca="false">VLOOKUP("B",$B$14:$C$18,2,FALSE())</f>
        <v>185</v>
      </c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</row>
    <row r="226" customFormat="false" ht="15" hidden="false" customHeight="false" outlineLevel="2" collapsed="false">
      <c r="B226" s="9" t="s">
        <v>799</v>
      </c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63" t="n">
        <f aca="false">IF(AC$35&gt;=$AC$224,AC$35-$AC$224+1,0)</f>
        <v>0</v>
      </c>
      <c r="AD226" s="63" t="n">
        <f aca="false">IF(AD$35&gt;=$AC$224,AD$35-$AC$224+1,0)</f>
        <v>0</v>
      </c>
      <c r="AE226" s="63" t="n">
        <f aca="false">IF(AE$35&gt;=$AC$224,AE$35-$AC$224+1,0)</f>
        <v>0</v>
      </c>
      <c r="AF226" s="63" t="n">
        <f aca="false">IF(AF$35&gt;=$AC$224,AF$35-$AC$224+1,0)</f>
        <v>0</v>
      </c>
      <c r="AG226" s="63" t="n">
        <f aca="false">IF(AG$35&gt;=$AC$224,AG$35-$AC$224+1,0)</f>
        <v>0</v>
      </c>
      <c r="AH226" s="63" t="n">
        <f aca="false">IF(AH$35&gt;=$AC$224,AH$35-$AC$224+1,0)</f>
        <v>0</v>
      </c>
      <c r="AI226" s="63" t="n">
        <f aca="false">IF(AI$35&gt;=$AC$224,AI$35-$AC$224+1,0)</f>
        <v>0</v>
      </c>
      <c r="AJ226" s="63" t="n">
        <f aca="false">IF(AJ$35&gt;=$AC$224,AJ$35-$AC$224+1,0)</f>
        <v>0</v>
      </c>
      <c r="AK226" s="63" t="n">
        <f aca="false">IF(AK$35&gt;=$AC$224,AK$35-$AC$224+1,0)</f>
        <v>0</v>
      </c>
      <c r="AL226" s="63" t="n">
        <f aca="false">IF(AL$35&gt;=$AC$224,AL$35-$AC$224+1,0)</f>
        <v>0</v>
      </c>
      <c r="AM226" s="63" t="n">
        <f aca="false">IF(AM$35&gt;=$AC$224,AM$35-$AC$224+1,0)</f>
        <v>0</v>
      </c>
      <c r="AN226" s="63" t="n">
        <f aca="false">IF(AN$35&gt;=$AC$224,AN$35-$AC$224+1,0)</f>
        <v>0</v>
      </c>
      <c r="AO226" s="63" t="n">
        <f aca="false">IF(AO$35&gt;=$AC$224,AO$35-$AC$224+1,0)</f>
        <v>0</v>
      </c>
      <c r="AP226" s="63" t="n">
        <f aca="false">IF(AP$35&gt;=$AC$224,AP$35-$AC$224+1,0)</f>
        <v>0</v>
      </c>
      <c r="AQ226" s="63" t="n">
        <f aca="false">IF(AQ$35&gt;=$AC$224,AQ$35-$AC$224+1,0)</f>
        <v>0</v>
      </c>
      <c r="AR226" s="63" t="n">
        <f aca="false">IF(AR$35&gt;=$AC$224,AR$35-$AC$224+1,0)</f>
        <v>0</v>
      </c>
      <c r="AS226" s="63" t="n">
        <f aca="false">IF(AS$35&gt;=$AC$224,AS$35-$AC$224+1,0)</f>
        <v>0</v>
      </c>
      <c r="AT226" s="63" t="n">
        <f aca="false">IF(AT$35&gt;=$AC$224,AT$35-$AC$224+1,0)</f>
        <v>0</v>
      </c>
      <c r="AU226" s="63" t="n">
        <f aca="false">IF(AU$35&gt;=$AC$224,AU$35-$AC$224+1,0)</f>
        <v>0</v>
      </c>
      <c r="AV226" s="63" t="n">
        <f aca="false">IF(AV$35&gt;=$AC$224,AV$35-$AC$224+1,0)</f>
        <v>0</v>
      </c>
      <c r="AW226" s="63" t="n">
        <f aca="false">IF(AW$35&gt;=$AC$224,AW$35-$AC$224+1,0)</f>
        <v>0</v>
      </c>
      <c r="AX226" s="63" t="n">
        <f aca="false">IF(AX$35&gt;=$AC$224,AX$35-$AC$224+1,0)</f>
        <v>0</v>
      </c>
      <c r="AY226" s="63" t="n">
        <f aca="false">IF(AY$35&gt;=$AC$224,AY$35-$AC$224+1,0)</f>
        <v>0</v>
      </c>
      <c r="AZ226" s="63" t="n">
        <f aca="false">IF(AZ$35&gt;=$AC$224,AZ$35-$AC$224+1,0)</f>
        <v>0</v>
      </c>
      <c r="BA226" s="63" t="n">
        <f aca="false">IF(BA$35&gt;=$AC$224,BA$35-$AC$224+1,0)</f>
        <v>0</v>
      </c>
      <c r="BB226" s="63" t="n">
        <f aca="false">IF(BB$35&gt;=$AC$224,BB$35-$AC$224+1,0)</f>
        <v>0</v>
      </c>
      <c r="BC226" s="63" t="n">
        <f aca="false">IF(BC$35&gt;=$AC$224,BC$35-$AC$224+1,0)</f>
        <v>0</v>
      </c>
      <c r="BD226" s="63" t="n">
        <f aca="false">IF(BD$35&gt;=$AC$224,BD$35-$AC$224+1,0)</f>
        <v>0</v>
      </c>
      <c r="BE226" s="63" t="n">
        <f aca="false">IF(BE$35&gt;=$AC$224,BE$35-$AC$224+1,0)</f>
        <v>0</v>
      </c>
      <c r="BF226" s="63" t="n">
        <f aca="false">IF(BF$35&gt;=$AC$224,BF$35-$AC$224+1,0)</f>
        <v>0</v>
      </c>
      <c r="BG226" s="63" t="n">
        <f aca="false">IF(BG$35&gt;=$AC$224,BG$35-$AC$224+1,0)</f>
        <v>0</v>
      </c>
      <c r="BH226" s="63" t="n">
        <f aca="false">IF(BH$35&gt;=$AC$224,BH$35-$AC$224+1,0)</f>
        <v>0</v>
      </c>
      <c r="BI226" s="63" t="n">
        <f aca="false">IF(BI$35&gt;=$AC$224,BI$35-$AC$224+1,0)</f>
        <v>0</v>
      </c>
      <c r="BJ226" s="63" t="n">
        <f aca="false">IF(BJ$35&gt;=$AC$224,BJ$35-$AC$224+1,0)</f>
        <v>0</v>
      </c>
      <c r="BK226" s="63" t="n">
        <f aca="false">IF(BK$35&gt;=$AC$224,BK$35-$AC$224+1,0)</f>
        <v>0</v>
      </c>
      <c r="BL226" s="63" t="n">
        <f aca="false">IF(BL$35&gt;=$AC$224,BL$35-$AC$224+1,0)</f>
        <v>0</v>
      </c>
      <c r="BM226" s="63" t="n">
        <f aca="false">IF(BM$35&gt;=$AC$224,BM$35-$AC$224+1,0)</f>
        <v>0</v>
      </c>
      <c r="BN226" s="63" t="n">
        <f aca="false">IF(BN$35&gt;=$AC$224,BN$35-$AC$224+1,0)</f>
        <v>0</v>
      </c>
      <c r="BO226" s="63" t="n">
        <f aca="false">IF(BO$35&gt;=$AC$224,BO$35-$AC$224+1,0)</f>
        <v>0</v>
      </c>
      <c r="BP226" s="63" t="n">
        <f aca="false">IF(BP$35&gt;=$AC$224,BP$35-$AC$224+1,0)</f>
        <v>0</v>
      </c>
      <c r="BQ226" s="63" t="n">
        <f aca="false">IF(BQ$35&gt;=$AC$224,BQ$35-$AC$224+1,0)</f>
        <v>0</v>
      </c>
      <c r="BR226" s="63" t="n">
        <f aca="false">IF(BR$35&gt;=$AC$224,BR$35-$AC$224+1,0)</f>
        <v>0</v>
      </c>
      <c r="BS226" s="63" t="n">
        <f aca="false">IF(BS$35&gt;=$AC$224,BS$35-$AC$224+1,0)</f>
        <v>0</v>
      </c>
      <c r="BT226" s="63" t="n">
        <f aca="false">IF(BT$35&gt;=$AC$224,BT$35-$AC$224+1,0)</f>
        <v>0</v>
      </c>
      <c r="BU226" s="63" t="n">
        <f aca="false">IF(BU$35&gt;=$AC$224,BU$35-$AC$224+1,0)</f>
        <v>0</v>
      </c>
      <c r="BV226" s="63" t="n">
        <f aca="false">IF(BV$35&gt;=$AC$224,BV$35-$AC$224+1,0)</f>
        <v>0</v>
      </c>
      <c r="BW226" s="63" t="n">
        <f aca="false">IF(BW$35&gt;=$AC$224,BW$35-$AC$224+1,0)</f>
        <v>0</v>
      </c>
      <c r="BX226" s="63" t="n">
        <f aca="false">IF(BX$35&gt;=$AC$224,BX$35-$AC$224+1,0)</f>
        <v>0</v>
      </c>
      <c r="BY226" s="63" t="n">
        <f aca="false">IF(BY$35&gt;=$AC$224,BY$35-$AC$224+1,0)</f>
        <v>0</v>
      </c>
      <c r="BZ226" s="63" t="n">
        <f aca="false">IF(BZ$35&gt;=$AC$224,BZ$35-$AC$224+1,0)</f>
        <v>0</v>
      </c>
      <c r="CA226" s="63" t="n">
        <f aca="false">IF(CA$35&gt;=$AC$224,CA$35-$AC$224+1,0)</f>
        <v>0</v>
      </c>
      <c r="CB226" s="63" t="n">
        <f aca="false">IF(CB$35&gt;=$AC$224,CB$35-$AC$224+1,0)</f>
        <v>0</v>
      </c>
      <c r="CC226" s="63" t="n">
        <f aca="false">IF(CC$35&gt;=$AC$224,CC$35-$AC$224+1,0)</f>
        <v>0</v>
      </c>
      <c r="CD226" s="63" t="n">
        <f aca="false">IF(CD$35&gt;=$AC$224,CD$35-$AC$224+1,0)</f>
        <v>0</v>
      </c>
      <c r="CE226" s="63" t="n">
        <f aca="false">IF(CE$35&gt;=$AC$224,CE$35-$AC$224+1,0)</f>
        <v>0</v>
      </c>
      <c r="CF226" s="63" t="n">
        <f aca="false">IF(CF$35&gt;=$AC$224,CF$35-$AC$224+1,0)</f>
        <v>0</v>
      </c>
      <c r="CG226" s="63" t="n">
        <f aca="false">IF(CG$35&gt;=$AC$224,CG$35-$AC$224+1,0)</f>
        <v>0</v>
      </c>
      <c r="CH226" s="63" t="n">
        <f aca="false">IF(CH$35&gt;=$AC$224,CH$35-$AC$224+1,0)</f>
        <v>0</v>
      </c>
      <c r="CI226" s="63" t="n">
        <f aca="false">IF(CI$35&gt;=$AC$224,CI$35-$AC$224+1,0)</f>
        <v>0</v>
      </c>
      <c r="CJ226" s="63" t="n">
        <f aca="false">IF(CJ$35&gt;=$AC$224,CJ$35-$AC$224+1,0)</f>
        <v>0</v>
      </c>
      <c r="CK226" s="63" t="n">
        <f aca="false">IF(CK$35&gt;=$AC$224,CK$35-$AC$224+1,0)</f>
        <v>1</v>
      </c>
      <c r="CL226" s="63" t="n">
        <f aca="false">IF(CL$35&gt;=$AC$224,CL$35-$AC$224+1,0)</f>
        <v>2</v>
      </c>
      <c r="CM226" s="63" t="n">
        <f aca="false">IF(CM$35&gt;=$AC$224,CM$35-$AC$224+1,0)</f>
        <v>3</v>
      </c>
      <c r="CN226" s="63" t="n">
        <f aca="false">IF(CN$35&gt;=$AC$224,CN$35-$AC$224+1,0)</f>
        <v>4</v>
      </c>
      <c r="CO226" s="63" t="n">
        <f aca="false">IF(CO$35&gt;=$AC$224,CO$35-$AC$224+1,0)</f>
        <v>5</v>
      </c>
      <c r="CP226" s="63" t="n">
        <f aca="false">IF(CP$35&gt;=$AC$224,CP$35-$AC$224+1,0)</f>
        <v>6</v>
      </c>
      <c r="CQ226" s="63" t="n">
        <f aca="false">IF(CQ$35&gt;=$AC$224,CQ$35-$AC$224+1,0)</f>
        <v>7</v>
      </c>
      <c r="CR226" s="63" t="n">
        <f aca="false">IF(CR$35&gt;=$AC$224,CR$35-$AC$224+1,0)</f>
        <v>8</v>
      </c>
      <c r="CS226" s="63" t="n">
        <f aca="false">IF(CS$35&gt;=$AC$224,CS$35-$AC$224+1,0)</f>
        <v>9</v>
      </c>
      <c r="CT226" s="63" t="n">
        <f aca="false">IF(CT$35&gt;=$AC$224,CT$35-$AC$224+1,0)</f>
        <v>10</v>
      </c>
      <c r="CU226" s="63" t="n">
        <f aca="false">IF(CU$35&gt;=$AC$224,CU$35-$AC$224+1,0)</f>
        <v>11</v>
      </c>
      <c r="CV226" s="63" t="n">
        <f aca="false">IF(CV$35&gt;=$AC$224,CV$35-$AC$224+1,0)</f>
        <v>12</v>
      </c>
      <c r="CW226" s="63" t="n">
        <f aca="false">IF(CW$35&gt;=$AC$224,CW$35-$AC$224+1,0)</f>
        <v>13</v>
      </c>
      <c r="CX226" s="63" t="n">
        <f aca="false">IF(CX$35&gt;=$AC$224,CX$35-$AC$224+1,0)</f>
        <v>14</v>
      </c>
      <c r="CY226" s="63" t="n">
        <f aca="false">IF(CY$35&gt;=$AC$224,CY$35-$AC$224+1,0)</f>
        <v>15</v>
      </c>
      <c r="CZ226" s="63" t="n">
        <f aca="false">IF(CZ$35&gt;=$AC$224,CZ$35-$AC$224+1,0)</f>
        <v>16</v>
      </c>
      <c r="DA226" s="63" t="n">
        <f aca="false">IF(DA$35&gt;=$AC$224,DA$35-$AC$224+1,0)</f>
        <v>17</v>
      </c>
      <c r="DB226" s="63" t="n">
        <f aca="false">IF(DB$35&gt;=$AC$224,DB$35-$AC$224+1,0)</f>
        <v>18</v>
      </c>
      <c r="DC226" s="63" t="n">
        <f aca="false">IF(DC$35&gt;=$AC$224,DC$35-$AC$224+1,0)</f>
        <v>19</v>
      </c>
      <c r="DD226" s="63" t="n">
        <f aca="false">IF(DD$35&gt;=$AC$224,DD$35-$AC$224+1,0)</f>
        <v>20</v>
      </c>
      <c r="DE226" s="63" t="n">
        <f aca="false">IF(DE$35&gt;=$AC$224,DE$35-$AC$224+1,0)</f>
        <v>21</v>
      </c>
      <c r="DF226" s="63" t="n">
        <f aca="false">IF(DF$35&gt;=$AC$224,DF$35-$AC$224+1,0)</f>
        <v>22</v>
      </c>
      <c r="DG226" s="63" t="n">
        <f aca="false">IF(DG$35&gt;=$AC$224,DG$35-$AC$224+1,0)</f>
        <v>23</v>
      </c>
      <c r="DH226" s="63" t="n">
        <f aca="false">IF(DH$35&gt;=$AC$224,DH$35-$AC$224+1,0)</f>
        <v>24</v>
      </c>
      <c r="DI226" s="63" t="n">
        <f aca="false">IF(DI$35&gt;=$AC$224,DI$35-$AC$224+1,0)</f>
        <v>25</v>
      </c>
      <c r="DJ226" s="63" t="n">
        <f aca="false">IF(DJ$35&gt;=$AC$224,DJ$35-$AC$224+1,0)</f>
        <v>26</v>
      </c>
      <c r="DK226" s="63" t="n">
        <f aca="false">IF(DK$35&gt;=$AC$224,DK$35-$AC$224+1,0)</f>
        <v>27</v>
      </c>
      <c r="DL226" s="63" t="n">
        <f aca="false">IF(DL$35&gt;=$AC$224,DL$35-$AC$224+1,0)</f>
        <v>28</v>
      </c>
      <c r="DM226" s="63" t="n">
        <f aca="false">IF(DM$35&gt;=$AC$224,DM$35-$AC$224+1,0)</f>
        <v>29</v>
      </c>
      <c r="DN226" s="63" t="n">
        <f aca="false">IF(DN$35&gt;=$AC$224,DN$35-$AC$224+1,0)</f>
        <v>30</v>
      </c>
      <c r="DO226" s="63" t="n">
        <f aca="false">IF(DO$35&gt;=$AC$224,DO$35-$AC$224+1,0)</f>
        <v>31</v>
      </c>
      <c r="DP226" s="63" t="n">
        <f aca="false">IF(DP$35&gt;=$AC$224,DP$35-$AC$224+1,0)</f>
        <v>32</v>
      </c>
      <c r="DQ226" s="63" t="n">
        <f aca="false">IF(DQ$35&gt;=$AC$224,DQ$35-$AC$224+1,0)</f>
        <v>33</v>
      </c>
      <c r="DR226" s="63" t="n">
        <f aca="false">IF(DR$35&gt;=$AC$224,DR$35-$AC$224+1,0)</f>
        <v>34</v>
      </c>
      <c r="DS226" s="63" t="n">
        <f aca="false">IF(DS$35&gt;=$AC$224,DS$35-$AC$224+1,0)</f>
        <v>35</v>
      </c>
      <c r="DT226" s="63" t="n">
        <f aca="false">IF(DT$35&gt;=$AC$224,DT$35-$AC$224+1,0)</f>
        <v>36</v>
      </c>
      <c r="DU226" s="63" t="n">
        <f aca="false">IF(DU$35&gt;=$AC$224,DU$35-$AC$224+1,0)</f>
        <v>37</v>
      </c>
      <c r="DV226" s="63" t="n">
        <f aca="false">IF(DV$35&gt;=$AC$224,DV$35-$AC$224+1,0)</f>
        <v>38</v>
      </c>
      <c r="DW226" s="63" t="n">
        <f aca="false">IF(DW$35&gt;=$AC$224,DW$35-$AC$224+1,0)</f>
        <v>39</v>
      </c>
      <c r="DX226" s="63" t="n">
        <f aca="false">IF(DX$35&gt;=$AC$224,DX$35-$AC$224+1,0)</f>
        <v>40</v>
      </c>
      <c r="DY226" s="63" t="n">
        <f aca="false">IF(DY$35&gt;=$AC$224,DY$35-$AC$224+1,0)</f>
        <v>41</v>
      </c>
      <c r="DZ226" s="63" t="n">
        <f aca="false">IF(DZ$35&gt;=$AC$224,DZ$35-$AC$224+1,0)</f>
        <v>42</v>
      </c>
      <c r="EA226" s="63" t="n">
        <f aca="false">IF(EA$35&gt;=$AC$224,EA$35-$AC$224+1,0)</f>
        <v>43</v>
      </c>
      <c r="EB226" s="63" t="n">
        <f aca="false">IF(EB$35&gt;=$AC$224,EB$35-$AC$224+1,0)</f>
        <v>44</v>
      </c>
      <c r="EC226" s="63" t="n">
        <f aca="false">IF(EC$35&gt;=$AC$224,EC$35-$AC$224+1,0)</f>
        <v>45</v>
      </c>
      <c r="ED226" s="63" t="n">
        <f aca="false">IF(ED$35&gt;=$AC$224,ED$35-$AC$224+1,0)</f>
        <v>46</v>
      </c>
      <c r="EE226" s="63" t="n">
        <f aca="false">IF(EE$35&gt;=$AC$224,EE$35-$AC$224+1,0)</f>
        <v>47</v>
      </c>
      <c r="EF226" s="63" t="n">
        <f aca="false">IF(EF$35&gt;=$AC$224,EF$35-$AC$224+1,0)</f>
        <v>48</v>
      </c>
      <c r="EG226" s="63" t="n">
        <f aca="false">IF(EG$35&gt;=$AC$224,EG$35-$AC$224+1,0)</f>
        <v>49</v>
      </c>
      <c r="EH226" s="63" t="n">
        <f aca="false">IF(EH$35&gt;=$AC$224,EH$35-$AC$224+1,0)</f>
        <v>50</v>
      </c>
      <c r="EI226" s="63" t="n">
        <f aca="false">IF(EI$35&gt;=$AC$224,EI$35-$AC$224+1,0)</f>
        <v>51</v>
      </c>
      <c r="EJ226" s="63" t="n">
        <f aca="false">IF(EJ$35&gt;=$AC$224,EJ$35-$AC$224+1,0)</f>
        <v>52</v>
      </c>
      <c r="EK226" s="63" t="n">
        <f aca="false">IF(EK$35&gt;=$AC$224,EK$35-$AC$224+1,0)</f>
        <v>53</v>
      </c>
      <c r="EL226" s="63" t="n">
        <f aca="false">IF(EL$35&gt;=$AC$224,EL$35-$AC$224+1,0)</f>
        <v>54</v>
      </c>
      <c r="EM226" s="63" t="n">
        <f aca="false">IF(EM$35&gt;=$AC$224,EM$35-$AC$224+1,0)</f>
        <v>55</v>
      </c>
      <c r="EN226" s="63" t="n">
        <f aca="false">IF(EN$35&gt;=$AC$224,EN$35-$AC$224+1,0)</f>
        <v>56</v>
      </c>
      <c r="EO226" s="63" t="n">
        <f aca="false">IF(EO$35&gt;=$AC$224,EO$35-$AC$224+1,0)</f>
        <v>57</v>
      </c>
      <c r="EP226" s="63" t="n">
        <f aca="false">IF(EP$35&gt;=$AC$224,EP$35-$AC$224+1,0)</f>
        <v>58</v>
      </c>
      <c r="EQ226" s="63" t="n">
        <f aca="false">IF(EQ$35&gt;=$AC$224,EQ$35-$AC$224+1,0)</f>
        <v>59</v>
      </c>
      <c r="ER226" s="63" t="n">
        <f aca="false">IF(ER$35&gt;=$AC$224,ER$35-$AC$224+1,0)</f>
        <v>60</v>
      </c>
      <c r="ES226" s="9" t="n">
        <f aca="false">IF(ES$35&gt;=$AC$224,ES$35-$AC$224+1,0)</f>
        <v>61</v>
      </c>
      <c r="ET226" s="9" t="n">
        <f aca="false">IF(ET$35&gt;=$AC$224,ET$35-$AC$224+1,0)</f>
        <v>62</v>
      </c>
      <c r="EU226" s="9" t="n">
        <f aca="false">IF(EU$35&gt;=$AC$224,EU$35-$AC$224+1,0)</f>
        <v>63</v>
      </c>
      <c r="EV226" s="9" t="n">
        <f aca="false">IF(EV$35&gt;=$AC$224,EV$35-$AC$224+1,0)</f>
        <v>64</v>
      </c>
      <c r="EW226" s="9" t="n">
        <f aca="false">IF(EW$35&gt;=$AC$224,EW$35-$AC$224+1,0)</f>
        <v>65</v>
      </c>
      <c r="EX226" s="9" t="n">
        <f aca="false">IF(EX$35&gt;=$AC$224,EX$35-$AC$224+1,0)</f>
        <v>66</v>
      </c>
      <c r="EY226" s="9" t="n">
        <f aca="false">IF(EY$35&gt;=$AC$224,EY$35-$AC$224+1,0)</f>
        <v>67</v>
      </c>
      <c r="EZ226" s="9" t="n">
        <f aca="false">IF(EZ$35&gt;=$AC$224,EZ$35-$AC$224+1,0)</f>
        <v>68</v>
      </c>
      <c r="FA226" s="9" t="n">
        <f aca="false">IF(FA$35&gt;=$AC$224,FA$35-$AC$224+1,0)</f>
        <v>69</v>
      </c>
      <c r="FB226" s="9" t="n">
        <f aca="false">IF(FB$35&gt;=$AC$224,FB$35-$AC$224+1,0)</f>
        <v>70</v>
      </c>
      <c r="FC226" s="9" t="n">
        <f aca="false">IF(FC$35&gt;=$AC$224,FC$35-$AC$224+1,0)</f>
        <v>71</v>
      </c>
      <c r="FD226" s="9" t="n">
        <f aca="false">IF(FD$35&gt;=$AC$224,FD$35-$AC$224+1,0)</f>
        <v>72</v>
      </c>
      <c r="FE226" s="9" t="n">
        <f aca="false">IF(FE$35&gt;=$AC$224,FE$35-$AC$224+1,0)</f>
        <v>73</v>
      </c>
      <c r="FF226" s="9" t="n">
        <f aca="false">IF(FF$35&gt;=$AC$224,FF$35-$AC$224+1,0)</f>
        <v>74</v>
      </c>
      <c r="FG226" s="9" t="n">
        <f aca="false">IF(FG$35&gt;=$AC$224,FG$35-$AC$224+1,0)</f>
        <v>75</v>
      </c>
      <c r="FH226" s="9" t="n">
        <f aca="false">IF(FH$35&gt;=$AC$224,FH$35-$AC$224+1,0)</f>
        <v>76</v>
      </c>
      <c r="FI226" s="9" t="n">
        <f aca="false">IF(FI$35&gt;=$AC$224,FI$35-$AC$224+1,0)</f>
        <v>77</v>
      </c>
      <c r="FJ226" s="9" t="n">
        <f aca="false">IF(FJ$35&gt;=$AC$224,FJ$35-$AC$224+1,0)</f>
        <v>78</v>
      </c>
      <c r="FK226" s="9" t="n">
        <f aca="false">IF(FK$35&gt;=$AC$224,FK$35-$AC$224+1,0)</f>
        <v>79</v>
      </c>
      <c r="FL226" s="9" t="n">
        <f aca="false">IF(FL$35&gt;=$AC$224,FL$35-$AC$224+1,0)</f>
        <v>80</v>
      </c>
      <c r="FM226" s="9" t="n">
        <f aca="false">IF(FM$35&gt;=$AC$224,FM$35-$AC$224+1,0)</f>
        <v>81</v>
      </c>
      <c r="FN226" s="9" t="n">
        <f aca="false">IF(FN$35&gt;=$AC$224,FN$35-$AC$224+1,0)</f>
        <v>82</v>
      </c>
      <c r="FO226" s="9" t="n">
        <f aca="false">IF(FO$35&gt;=$AC$224,FO$35-$AC$224+1,0)</f>
        <v>83</v>
      </c>
      <c r="FP226" s="9" t="n">
        <f aca="false">IF(FP$35&gt;=$AC$224,FP$35-$AC$224+1,0)</f>
        <v>84</v>
      </c>
    </row>
    <row r="227" customFormat="false" ht="15" hidden="false" customHeight="false" outlineLevel="2" collapsed="false">
      <c r="B227" s="9" t="s">
        <v>874</v>
      </c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236" t="n">
        <f aca="false" t="array" ref="AC227:AC227">IF(AC226=0,0,IF(AC226/'🎚️ Escenario'!$C$11&gt;=36,$AL$23,INDEX($C$23:$AL$23,MAX(1,ROUNDUP(AC226/'🎚️ Escenario'!$C$11,0)))))</f>
        <v>0</v>
      </c>
      <c r="AD227" s="236" t="n">
        <f aca="false" t="array" ref="AD227:AD227">IF(AD226=0,0,IF(AD226/'🎚️ Escenario'!$C$11&gt;=36,$AL$23,INDEX($C$23:$AL$23,MAX(1,ROUNDUP(AD226/'🎚️ Escenario'!$C$11,0)))))</f>
        <v>0</v>
      </c>
      <c r="AE227" s="236" t="n">
        <f aca="false" t="array" ref="AE227:AE227">IF(AE226=0,0,IF(AE226/'🎚️ Escenario'!$C$11&gt;=36,$AL$23,INDEX($C$23:$AL$23,MAX(1,ROUNDUP(AE226/'🎚️ Escenario'!$C$11,0)))))</f>
        <v>0</v>
      </c>
      <c r="AF227" s="236" t="n">
        <f aca="false" t="array" ref="AF227:AF227">IF(AF226=0,0,IF(AF226/'🎚️ Escenario'!$C$11&gt;=36,$AL$23,INDEX($C$23:$AL$23,MAX(1,ROUNDUP(AF226/'🎚️ Escenario'!$C$11,0)))))</f>
        <v>0</v>
      </c>
      <c r="AG227" s="236" t="n">
        <f aca="false" t="array" ref="AG227:AG227">IF(AG226=0,0,IF(AG226/'🎚️ Escenario'!$C$11&gt;=36,$AL$23,INDEX($C$23:$AL$23,MAX(1,ROUNDUP(AG226/'🎚️ Escenario'!$C$11,0)))))</f>
        <v>0</v>
      </c>
      <c r="AH227" s="236" t="n">
        <f aca="false" t="array" ref="AH227:AH227">IF(AH226=0,0,IF(AH226/'🎚️ Escenario'!$C$11&gt;=36,$AL$23,INDEX($C$23:$AL$23,MAX(1,ROUNDUP(AH226/'🎚️ Escenario'!$C$11,0)))))</f>
        <v>0</v>
      </c>
      <c r="AI227" s="236" t="n">
        <f aca="false" t="array" ref="AI227:AI227">IF(AI226=0,0,IF(AI226/'🎚️ Escenario'!$C$11&gt;=36,$AL$23,INDEX($C$23:$AL$23,MAX(1,ROUNDUP(AI226/'🎚️ Escenario'!$C$11,0)))))</f>
        <v>0</v>
      </c>
      <c r="AJ227" s="236" t="n">
        <f aca="false" t="array" ref="AJ227:AJ227">IF(AJ226=0,0,IF(AJ226/'🎚️ Escenario'!$C$11&gt;=36,$AL$23,INDEX($C$23:$AL$23,MAX(1,ROUNDUP(AJ226/'🎚️ Escenario'!$C$11,0)))))</f>
        <v>0</v>
      </c>
      <c r="AK227" s="236" t="n">
        <f aca="false" t="array" ref="AK227:AK227">IF(AK226=0,0,IF(AK226/'🎚️ Escenario'!$C$11&gt;=36,$AL$23,INDEX($C$23:$AL$23,MAX(1,ROUNDUP(AK226/'🎚️ Escenario'!$C$11,0)))))</f>
        <v>0</v>
      </c>
      <c r="AL227" s="236" t="n">
        <f aca="false" t="array" ref="AL227:AL227">IF(AL226=0,0,IF(AL226/'🎚️ Escenario'!$C$11&gt;=36,$AL$23,INDEX($C$23:$AL$23,MAX(1,ROUNDUP(AL226/'🎚️ Escenario'!$C$11,0)))))</f>
        <v>0</v>
      </c>
      <c r="AM227" s="236" t="n">
        <f aca="false" t="array" ref="AM227:AM227">IF(AM226=0,0,IF(AM226/'🎚️ Escenario'!$C$11&gt;=36,$AL$23,INDEX($C$23:$AL$23,MAX(1,ROUNDUP(AM226/'🎚️ Escenario'!$C$11,0)))))</f>
        <v>0</v>
      </c>
      <c r="AN227" s="236" t="n">
        <f aca="false" t="array" ref="AN227:AN227">IF(AN226=0,0,IF(AN226/'🎚️ Escenario'!$C$11&gt;=36,$AL$23,INDEX($C$23:$AL$23,MAX(1,ROUNDUP(AN226/'🎚️ Escenario'!$C$11,0)))))</f>
        <v>0</v>
      </c>
      <c r="AO227" s="236" t="n">
        <f aca="false" t="array" ref="AO227:AO227">IF(AO226=0,0,IF(AO226/'🎚️ Escenario'!$C$11&gt;=36,$AL$23,INDEX($C$23:$AL$23,MAX(1,ROUNDUP(AO226/'🎚️ Escenario'!$C$11,0)))))</f>
        <v>0</v>
      </c>
      <c r="AP227" s="236" t="n">
        <f aca="false" t="array" ref="AP227:AP227">IF(AP226=0,0,IF(AP226/'🎚️ Escenario'!$C$11&gt;=36,$AL$23,INDEX($C$23:$AL$23,MAX(1,ROUNDUP(AP226/'🎚️ Escenario'!$C$11,0)))))</f>
        <v>0</v>
      </c>
      <c r="AQ227" s="236" t="n">
        <f aca="false" t="array" ref="AQ227:AQ227">IF(AQ226=0,0,IF(AQ226/'🎚️ Escenario'!$C$11&gt;=36,$AL$23,INDEX($C$23:$AL$23,MAX(1,ROUNDUP(AQ226/'🎚️ Escenario'!$C$11,0)))))</f>
        <v>0</v>
      </c>
      <c r="AR227" s="236" t="n">
        <f aca="false" t="array" ref="AR227:AR227">IF(AR226=0,0,IF(AR226/'🎚️ Escenario'!$C$11&gt;=36,$AL$23,INDEX($C$23:$AL$23,MAX(1,ROUNDUP(AR226/'🎚️ Escenario'!$C$11,0)))))</f>
        <v>0</v>
      </c>
      <c r="AS227" s="236" t="n">
        <f aca="false" t="array" ref="AS227:AS227">IF(AS226=0,0,IF(AS226/'🎚️ Escenario'!$C$11&gt;=36,$AL$23,INDEX($C$23:$AL$23,MAX(1,ROUNDUP(AS226/'🎚️ Escenario'!$C$11,0)))))</f>
        <v>0</v>
      </c>
      <c r="AT227" s="236" t="n">
        <f aca="false" t="array" ref="AT227:AT227">IF(AT226=0,0,IF(AT226/'🎚️ Escenario'!$C$11&gt;=36,$AL$23,INDEX($C$23:$AL$23,MAX(1,ROUNDUP(AT226/'🎚️ Escenario'!$C$11,0)))))</f>
        <v>0</v>
      </c>
      <c r="AU227" s="236" t="n">
        <f aca="false" t="array" ref="AU227:AU227">IF(AU226=0,0,IF(AU226/'🎚️ Escenario'!$C$11&gt;=36,$AL$23,INDEX($C$23:$AL$23,MAX(1,ROUNDUP(AU226/'🎚️ Escenario'!$C$11,0)))))</f>
        <v>0</v>
      </c>
      <c r="AV227" s="236" t="n">
        <f aca="false" t="array" ref="AV227:AV227">IF(AV226=0,0,IF(AV226/'🎚️ Escenario'!$C$11&gt;=36,$AL$23,INDEX($C$23:$AL$23,MAX(1,ROUNDUP(AV226/'🎚️ Escenario'!$C$11,0)))))</f>
        <v>0</v>
      </c>
      <c r="AW227" s="236" t="n">
        <f aca="false" t="array" ref="AW227:AW227">IF(AW226=0,0,IF(AW226/'🎚️ Escenario'!$C$11&gt;=36,$AL$23,INDEX($C$23:$AL$23,MAX(1,ROUNDUP(AW226/'🎚️ Escenario'!$C$11,0)))))</f>
        <v>0</v>
      </c>
      <c r="AX227" s="236" t="n">
        <f aca="false" t="array" ref="AX227:AX227">IF(AX226=0,0,IF(AX226/'🎚️ Escenario'!$C$11&gt;=36,$AL$23,INDEX($C$23:$AL$23,MAX(1,ROUNDUP(AX226/'🎚️ Escenario'!$C$11,0)))))</f>
        <v>0</v>
      </c>
      <c r="AY227" s="236" t="n">
        <f aca="false" t="array" ref="AY227:AY227">IF(AY226=0,0,IF(AY226/'🎚️ Escenario'!$C$11&gt;=36,$AL$23,INDEX($C$23:$AL$23,MAX(1,ROUNDUP(AY226/'🎚️ Escenario'!$C$11,0)))))</f>
        <v>0</v>
      </c>
      <c r="AZ227" s="236" t="n">
        <f aca="false" t="array" ref="AZ227:AZ227">IF(AZ226=0,0,IF(AZ226/'🎚️ Escenario'!$C$11&gt;=36,$AL$23,INDEX($C$23:$AL$23,MAX(1,ROUNDUP(AZ226/'🎚️ Escenario'!$C$11,0)))))</f>
        <v>0</v>
      </c>
      <c r="BA227" s="236" t="n">
        <f aca="false" t="array" ref="BA227:BA227">IF(BA226=0,0,IF(BA226/'🎚️ Escenario'!$C$11&gt;=36,$AL$23,INDEX($C$23:$AL$23,MAX(1,ROUNDUP(BA226/'🎚️ Escenario'!$C$11,0)))))</f>
        <v>0</v>
      </c>
      <c r="BB227" s="236" t="n">
        <f aca="false" t="array" ref="BB227:BB227">IF(BB226=0,0,IF(BB226/'🎚️ Escenario'!$C$11&gt;=36,$AL$23,INDEX($C$23:$AL$23,MAX(1,ROUNDUP(BB226/'🎚️ Escenario'!$C$11,0)))))</f>
        <v>0</v>
      </c>
      <c r="BC227" s="236" t="n">
        <f aca="false" t="array" ref="BC227:BC227">IF(BC226=0,0,IF(BC226/'🎚️ Escenario'!$C$11&gt;=36,$AL$23,INDEX($C$23:$AL$23,MAX(1,ROUNDUP(BC226/'🎚️ Escenario'!$C$11,0)))))</f>
        <v>0</v>
      </c>
      <c r="BD227" s="236" t="n">
        <f aca="false" t="array" ref="BD227:BD227">IF(BD226=0,0,IF(BD226/'🎚️ Escenario'!$C$11&gt;=36,$AL$23,INDEX($C$23:$AL$23,MAX(1,ROUNDUP(BD226/'🎚️ Escenario'!$C$11,0)))))</f>
        <v>0</v>
      </c>
      <c r="BE227" s="236" t="n">
        <f aca="false" t="array" ref="BE227:BE227">IF(BE226=0,0,IF(BE226/'🎚️ Escenario'!$C$11&gt;=36,$AL$23,INDEX($C$23:$AL$23,MAX(1,ROUNDUP(BE226/'🎚️ Escenario'!$C$11,0)))))</f>
        <v>0</v>
      </c>
      <c r="BF227" s="236" t="n">
        <f aca="false" t="array" ref="BF227:BF227">IF(BF226=0,0,IF(BF226/'🎚️ Escenario'!$C$11&gt;=36,$AL$23,INDEX($C$23:$AL$23,MAX(1,ROUNDUP(BF226/'🎚️ Escenario'!$C$11,0)))))</f>
        <v>0</v>
      </c>
      <c r="BG227" s="236" t="n">
        <f aca="false" t="array" ref="BG227:BG227">IF(BG226=0,0,IF(BG226/'🎚️ Escenario'!$C$11&gt;=36,$AL$23,INDEX($C$23:$AL$23,MAX(1,ROUNDUP(BG226/'🎚️ Escenario'!$C$11,0)))))</f>
        <v>0</v>
      </c>
      <c r="BH227" s="236" t="n">
        <f aca="false" t="array" ref="BH227:BH227">IF(BH226=0,0,IF(BH226/'🎚️ Escenario'!$C$11&gt;=36,$AL$23,INDEX($C$23:$AL$23,MAX(1,ROUNDUP(BH226/'🎚️ Escenario'!$C$11,0)))))</f>
        <v>0</v>
      </c>
      <c r="BI227" s="236" t="n">
        <f aca="false" t="array" ref="BI227:BI227">IF(BI226=0,0,IF(BI226/'🎚️ Escenario'!$C$11&gt;=36,$AL$23,INDEX($C$23:$AL$23,MAX(1,ROUNDUP(BI226/'🎚️ Escenario'!$C$11,0)))))</f>
        <v>0</v>
      </c>
      <c r="BJ227" s="236" t="n">
        <f aca="false" t="array" ref="BJ227:BJ227">IF(BJ226=0,0,IF(BJ226/'🎚️ Escenario'!$C$11&gt;=36,$AL$23,INDEX($C$23:$AL$23,MAX(1,ROUNDUP(BJ226/'🎚️ Escenario'!$C$11,0)))))</f>
        <v>0</v>
      </c>
      <c r="BK227" s="236" t="n">
        <f aca="false" t="array" ref="BK227:BK227">IF(BK226=0,0,IF(BK226/'🎚️ Escenario'!$C$11&gt;=36,$AL$23,INDEX($C$23:$AL$23,MAX(1,ROUNDUP(BK226/'🎚️ Escenario'!$C$11,0)))))</f>
        <v>0</v>
      </c>
      <c r="BL227" s="236" t="n">
        <f aca="false" t="array" ref="BL227:BL227">IF(BL226=0,0,IF(BL226/'🎚️ Escenario'!$C$11&gt;=36,$AL$23,INDEX($C$23:$AL$23,MAX(1,ROUNDUP(BL226/'🎚️ Escenario'!$C$11,0)))))</f>
        <v>0</v>
      </c>
      <c r="BM227" s="236" t="n">
        <f aca="false" t="array" ref="BM227:BM227">IF(BM226=0,0,IF(BM226/'🎚️ Escenario'!$C$11&gt;=36,$AL$23,INDEX($C$23:$AL$23,MAX(1,ROUNDUP(BM226/'🎚️ Escenario'!$C$11,0)))))</f>
        <v>0</v>
      </c>
      <c r="BN227" s="236" t="n">
        <f aca="false" t="array" ref="BN227:BN227">IF(BN226=0,0,IF(BN226/'🎚️ Escenario'!$C$11&gt;=36,$AL$23,INDEX($C$23:$AL$23,MAX(1,ROUNDUP(BN226/'🎚️ Escenario'!$C$11,0)))))</f>
        <v>0</v>
      </c>
      <c r="BO227" s="236" t="n">
        <f aca="false" t="array" ref="BO227:BO227">IF(BO226=0,0,IF(BO226/'🎚️ Escenario'!$C$11&gt;=36,$AL$23,INDEX($C$23:$AL$23,MAX(1,ROUNDUP(BO226/'🎚️ Escenario'!$C$11,0)))))</f>
        <v>0</v>
      </c>
      <c r="BP227" s="236" t="n">
        <f aca="false" t="array" ref="BP227:BP227">IF(BP226=0,0,IF(BP226/'🎚️ Escenario'!$C$11&gt;=36,$AL$23,INDEX($C$23:$AL$23,MAX(1,ROUNDUP(BP226/'🎚️ Escenario'!$C$11,0)))))</f>
        <v>0</v>
      </c>
      <c r="BQ227" s="236" t="n">
        <f aca="false" t="array" ref="BQ227:BQ227">IF(BQ226=0,0,IF(BQ226/'🎚️ Escenario'!$C$11&gt;=36,$AL$23,INDEX($C$23:$AL$23,MAX(1,ROUNDUP(BQ226/'🎚️ Escenario'!$C$11,0)))))</f>
        <v>0</v>
      </c>
      <c r="BR227" s="236" t="n">
        <f aca="false" t="array" ref="BR227:BR227">IF(BR226=0,0,IF(BR226/'🎚️ Escenario'!$C$11&gt;=36,$AL$23,INDEX($C$23:$AL$23,MAX(1,ROUNDUP(BR226/'🎚️ Escenario'!$C$11,0)))))</f>
        <v>0</v>
      </c>
      <c r="BS227" s="236" t="n">
        <f aca="false" t="array" ref="BS227:BS227">IF(BS226=0,0,IF(BS226/'🎚️ Escenario'!$C$11&gt;=36,$AL$23,INDEX($C$23:$AL$23,MAX(1,ROUNDUP(BS226/'🎚️ Escenario'!$C$11,0)))))</f>
        <v>0</v>
      </c>
      <c r="BT227" s="236" t="n">
        <f aca="false" t="array" ref="BT227:BT227">IF(BT226=0,0,IF(BT226/'🎚️ Escenario'!$C$11&gt;=36,$AL$23,INDEX($C$23:$AL$23,MAX(1,ROUNDUP(BT226/'🎚️ Escenario'!$C$11,0)))))</f>
        <v>0</v>
      </c>
      <c r="BU227" s="236" t="n">
        <f aca="false" t="array" ref="BU227:BU227">IF(BU226=0,0,IF(BU226/'🎚️ Escenario'!$C$11&gt;=36,$AL$23,INDEX($C$23:$AL$23,MAX(1,ROUNDUP(BU226/'🎚️ Escenario'!$C$11,0)))))</f>
        <v>0</v>
      </c>
      <c r="BV227" s="236" t="n">
        <f aca="false" t="array" ref="BV227:BV227">IF(BV226=0,0,IF(BV226/'🎚️ Escenario'!$C$11&gt;=36,$AL$23,INDEX($C$23:$AL$23,MAX(1,ROUNDUP(BV226/'🎚️ Escenario'!$C$11,0)))))</f>
        <v>0</v>
      </c>
      <c r="BW227" s="236" t="n">
        <f aca="false" t="array" ref="BW227:BW227">IF(BW226=0,0,IF(BW226/'🎚️ Escenario'!$C$11&gt;=36,$AL$23,INDEX($C$23:$AL$23,MAX(1,ROUNDUP(BW226/'🎚️ Escenario'!$C$11,0)))))</f>
        <v>0</v>
      </c>
      <c r="BX227" s="236" t="n">
        <f aca="false" t="array" ref="BX227:BX227">IF(BX226=0,0,IF(BX226/'🎚️ Escenario'!$C$11&gt;=36,$AL$23,INDEX($C$23:$AL$23,MAX(1,ROUNDUP(BX226/'🎚️ Escenario'!$C$11,0)))))</f>
        <v>0</v>
      </c>
      <c r="BY227" s="236" t="n">
        <f aca="false" t="array" ref="BY227:BY227">IF(BY226=0,0,IF(BY226/'🎚️ Escenario'!$C$11&gt;=36,$AL$23,INDEX($C$23:$AL$23,MAX(1,ROUNDUP(BY226/'🎚️ Escenario'!$C$11,0)))))</f>
        <v>0</v>
      </c>
      <c r="BZ227" s="236" t="n">
        <f aca="false" t="array" ref="BZ227:BZ227">IF(BZ226=0,0,IF(BZ226/'🎚️ Escenario'!$C$11&gt;=36,$AL$23,INDEX($C$23:$AL$23,MAX(1,ROUNDUP(BZ226/'🎚️ Escenario'!$C$11,0)))))</f>
        <v>0</v>
      </c>
      <c r="CA227" s="236" t="n">
        <f aca="false" t="array" ref="CA227:CA227">IF(CA226=0,0,IF(CA226/'🎚️ Escenario'!$C$11&gt;=36,$AL$23,INDEX($C$23:$AL$23,MAX(1,ROUNDUP(CA226/'🎚️ Escenario'!$C$11,0)))))</f>
        <v>0</v>
      </c>
      <c r="CB227" s="236" t="n">
        <f aca="false" t="array" ref="CB227:CB227">IF(CB226=0,0,IF(CB226/'🎚️ Escenario'!$C$11&gt;=36,$AL$23,INDEX($C$23:$AL$23,MAX(1,ROUNDUP(CB226/'🎚️ Escenario'!$C$11,0)))))</f>
        <v>0</v>
      </c>
      <c r="CC227" s="236" t="n">
        <f aca="false" t="array" ref="CC227:CC227">IF(CC226=0,0,IF(CC226/'🎚️ Escenario'!$C$11&gt;=36,$AL$23,INDEX($C$23:$AL$23,MAX(1,ROUNDUP(CC226/'🎚️ Escenario'!$C$11,0)))))</f>
        <v>0</v>
      </c>
      <c r="CD227" s="236" t="n">
        <f aca="false" t="array" ref="CD227:CD227">IF(CD226=0,0,IF(CD226/'🎚️ Escenario'!$C$11&gt;=36,$AL$23,INDEX($C$23:$AL$23,MAX(1,ROUNDUP(CD226/'🎚️ Escenario'!$C$11,0)))))</f>
        <v>0</v>
      </c>
      <c r="CE227" s="236" t="n">
        <f aca="false" t="array" ref="CE227:CE227">IF(CE226=0,0,IF(CE226/'🎚️ Escenario'!$C$11&gt;=36,$AL$23,INDEX($C$23:$AL$23,MAX(1,ROUNDUP(CE226/'🎚️ Escenario'!$C$11,0)))))</f>
        <v>0</v>
      </c>
      <c r="CF227" s="236" t="n">
        <f aca="false" t="array" ref="CF227:CF227">IF(CF226=0,0,IF(CF226/'🎚️ Escenario'!$C$11&gt;=36,$AL$23,INDEX($C$23:$AL$23,MAX(1,ROUNDUP(CF226/'🎚️ Escenario'!$C$11,0)))))</f>
        <v>0</v>
      </c>
      <c r="CG227" s="236" t="n">
        <f aca="false" t="array" ref="CG227:CG227">IF(CG226=0,0,IF(CG226/'🎚️ Escenario'!$C$11&gt;=36,$AL$23,INDEX($C$23:$AL$23,MAX(1,ROUNDUP(CG226/'🎚️ Escenario'!$C$11,0)))))</f>
        <v>0</v>
      </c>
      <c r="CH227" s="236" t="n">
        <f aca="false" t="array" ref="CH227:CH227">IF(CH226=0,0,IF(CH226/'🎚️ Escenario'!$C$11&gt;=36,$AL$23,INDEX($C$23:$AL$23,MAX(1,ROUNDUP(CH226/'🎚️ Escenario'!$C$11,0)))))</f>
        <v>0</v>
      </c>
      <c r="CI227" s="236" t="n">
        <f aca="false" t="array" ref="CI227:CI227">IF(CI226=0,0,IF(CI226/'🎚️ Escenario'!$C$11&gt;=36,$AL$23,INDEX($C$23:$AL$23,MAX(1,ROUNDUP(CI226/'🎚️ Escenario'!$C$11,0)))))</f>
        <v>0</v>
      </c>
      <c r="CJ227" s="236" t="n">
        <f aca="false" t="array" ref="CJ227:CJ227">IF(CJ226=0,0,IF(CJ226/'🎚️ Escenario'!$C$11&gt;=36,$AL$23,INDEX($C$23:$AL$23,MAX(1,ROUNDUP(CJ226/'🎚️ Escenario'!$C$11,0)))))</f>
        <v>0</v>
      </c>
      <c r="CK227" s="236" t="n">
        <f aca="false" t="array" ref="CK227:CK227">IF(CK226=0,0,IF(CK226/'🎚️ Escenario'!$C$11&gt;=36,$AL$23,INDEX($C$23:$AL$23,MAX(1,ROUNDUP(CK226/'🎚️ Escenario'!$C$11,0)))))</f>
        <v>0.2</v>
      </c>
      <c r="CL227" s="236" t="n">
        <f aca="false" t="array" ref="CL227:CL227">IF(CL226=0,0,IF(CL226/'🎚️ Escenario'!$C$11&gt;=36,$AL$23,INDEX($C$23:$AL$23,MAX(1,ROUNDUP(CL226/'🎚️ Escenario'!$C$11,0)))))</f>
        <v>0.22</v>
      </c>
      <c r="CM227" s="236" t="n">
        <f aca="false" t="array" ref="CM227:CM227">IF(CM226=0,0,IF(CM226/'🎚️ Escenario'!$C$11&gt;=36,$AL$23,INDEX($C$23:$AL$23,MAX(1,ROUNDUP(CM226/'🎚️ Escenario'!$C$11,0)))))</f>
        <v>0.24</v>
      </c>
      <c r="CN227" s="236" t="n">
        <f aca="false" t="array" ref="CN227:CN227">IF(CN226=0,0,IF(CN226/'🎚️ Escenario'!$C$11&gt;=36,$AL$23,INDEX($C$23:$AL$23,MAX(1,ROUNDUP(CN226/'🎚️ Escenario'!$C$11,0)))))</f>
        <v>0.27</v>
      </c>
      <c r="CO227" s="236" t="n">
        <f aca="false" t="array" ref="CO227:CO227">IF(CO226=0,0,IF(CO226/'🎚️ Escenario'!$C$11&gt;=36,$AL$23,INDEX($C$23:$AL$23,MAX(1,ROUNDUP(CO226/'🎚️ Escenario'!$C$11,0)))))</f>
        <v>0.27</v>
      </c>
      <c r="CP227" s="236" t="n">
        <f aca="false" t="array" ref="CP227:CP227">IF(CP226=0,0,IF(CP226/'🎚️ Escenario'!$C$11&gt;=36,$AL$23,INDEX($C$23:$AL$23,MAX(1,ROUNDUP(CP226/'🎚️ Escenario'!$C$11,0)))))</f>
        <v>0.31</v>
      </c>
      <c r="CQ227" s="236" t="n">
        <f aca="false" t="array" ref="CQ227:CQ227">IF(CQ226=0,0,IF(CQ226/'🎚️ Escenario'!$C$11&gt;=36,$AL$23,INDEX($C$23:$AL$23,MAX(1,ROUNDUP(CQ226/'🎚️ Escenario'!$C$11,0)))))</f>
        <v>0.35</v>
      </c>
      <c r="CR227" s="236" t="n">
        <f aca="false" t="array" ref="CR227:CR227">IF(CR226=0,0,IF(CR226/'🎚️ Escenario'!$C$11&gt;=36,$AL$23,INDEX($C$23:$AL$23,MAX(1,ROUNDUP(CR226/'🎚️ Escenario'!$C$11,0)))))</f>
        <v>0.39</v>
      </c>
      <c r="CS227" s="236" t="n">
        <f aca="false" t="array" ref="CS227:CS227">IF(CS226=0,0,IF(CS226/'🎚️ Escenario'!$C$11&gt;=36,$AL$23,INDEX($C$23:$AL$23,MAX(1,ROUNDUP(CS226/'🎚️ Escenario'!$C$11,0)))))</f>
        <v>0.44</v>
      </c>
      <c r="CT227" s="236" t="n">
        <f aca="false" t="array" ref="CT227:CT227">IF(CT226=0,0,IF(CT226/'🎚️ Escenario'!$C$11&gt;=36,$AL$23,INDEX($C$23:$AL$23,MAX(1,ROUNDUP(CT226/'🎚️ Escenario'!$C$11,0)))))</f>
        <v>0.44</v>
      </c>
      <c r="CU227" s="236" t="n">
        <f aca="false" t="array" ref="CU227:CU227">IF(CU226=0,0,IF(CU226/'🎚️ Escenario'!$C$11&gt;=36,$AL$23,INDEX($C$23:$AL$23,MAX(1,ROUNDUP(CU226/'🎚️ Escenario'!$C$11,0)))))</f>
        <v>0.48</v>
      </c>
      <c r="CV227" s="236" t="n">
        <f aca="false" t="array" ref="CV227:CV227">IF(CV226=0,0,IF(CV226/'🎚️ Escenario'!$C$11&gt;=36,$AL$23,INDEX($C$23:$AL$23,MAX(1,ROUNDUP(CV226/'🎚️ Escenario'!$C$11,0)))))</f>
        <v>0.52</v>
      </c>
      <c r="CW227" s="236" t="n">
        <f aca="false" t="array" ref="CW227:CW227">IF(CW226=0,0,IF(CW226/'🎚️ Escenario'!$C$11&gt;=36,$AL$23,INDEX($C$23:$AL$23,MAX(1,ROUNDUP(CW226/'🎚️ Escenario'!$C$11,0)))))</f>
        <v>0.56</v>
      </c>
      <c r="CX227" s="236" t="n">
        <f aca="false" t="array" ref="CX227:CX227">IF(CX226=0,0,IF(CX226/'🎚️ Escenario'!$C$11&gt;=36,$AL$23,INDEX($C$23:$AL$23,MAX(1,ROUNDUP(CX226/'🎚️ Escenario'!$C$11,0)))))</f>
        <v>0.6</v>
      </c>
      <c r="CY227" s="236" t="n">
        <f aca="false" t="array" ref="CY227:CY227">IF(CY226=0,0,IF(CY226/'🎚️ Escenario'!$C$11&gt;=36,$AL$23,INDEX($C$23:$AL$23,MAX(1,ROUNDUP(CY226/'🎚️ Escenario'!$C$11,0)))))</f>
        <v>0.6</v>
      </c>
      <c r="CZ227" s="236" t="n">
        <f aca="false" t="array" ref="CZ227:CZ227">IF(CZ226=0,0,IF(CZ226/'🎚️ Escenario'!$C$11&gt;=36,$AL$23,INDEX($C$23:$AL$23,MAX(1,ROUNDUP(CZ226/'🎚️ Escenario'!$C$11,0)))))</f>
        <v>0.63</v>
      </c>
      <c r="DA227" s="236" t="n">
        <f aca="false" t="array" ref="DA227:DA227">IF(DA226=0,0,IF(DA226/'🎚️ Escenario'!$C$11&gt;=36,$AL$23,INDEX($C$23:$AL$23,MAX(1,ROUNDUP(DA226/'🎚️ Escenario'!$C$11,0)))))</f>
        <v>0.66</v>
      </c>
      <c r="DB227" s="236" t="n">
        <f aca="false" t="array" ref="DB227:DB227">IF(DB226=0,0,IF(DB226/'🎚️ Escenario'!$C$11&gt;=36,$AL$23,INDEX($C$23:$AL$23,MAX(1,ROUNDUP(DB226/'🎚️ Escenario'!$C$11,0)))))</f>
        <v>0.69</v>
      </c>
      <c r="DC227" s="236" t="n">
        <f aca="false" t="array" ref="DC227:DC227">IF(DC226=0,0,IF(DC226/'🎚️ Escenario'!$C$11&gt;=36,$AL$23,INDEX($C$23:$AL$23,MAX(1,ROUNDUP(DC226/'🎚️ Escenario'!$C$11,0)))))</f>
        <v>0.71</v>
      </c>
      <c r="DD227" s="236" t="n">
        <f aca="false" t="array" ref="DD227:DD227">IF(DD226=0,0,IF(DD226/'🎚️ Escenario'!$C$11&gt;=36,$AL$23,INDEX($C$23:$AL$23,MAX(1,ROUNDUP(DD226/'🎚️ Escenario'!$C$11,0)))))</f>
        <v>0.71</v>
      </c>
      <c r="DE227" s="236" t="n">
        <f aca="false" t="array" ref="DE227:DE227">IF(DE226=0,0,IF(DE226/'🎚️ Escenario'!$C$11&gt;=36,$AL$23,INDEX($C$23:$AL$23,MAX(1,ROUNDUP(DE226/'🎚️ Escenario'!$C$11,0)))))</f>
        <v>0.73</v>
      </c>
      <c r="DF227" s="236" t="n">
        <f aca="false" t="array" ref="DF227:DF227">IF(DF226=0,0,IF(DF226/'🎚️ Escenario'!$C$11&gt;=36,$AL$23,INDEX($C$23:$AL$23,MAX(1,ROUNDUP(DF226/'🎚️ Escenario'!$C$11,0)))))</f>
        <v>0.75</v>
      </c>
      <c r="DG227" s="236" t="n">
        <f aca="false" t="array" ref="DG227:DG227">IF(DG226=0,0,IF(DG226/'🎚️ Escenario'!$C$11&gt;=36,$AL$23,INDEX($C$23:$AL$23,MAX(1,ROUNDUP(DG226/'🎚️ Escenario'!$C$11,0)))))</f>
        <v>0.77</v>
      </c>
      <c r="DH227" s="236" t="n">
        <f aca="false" t="array" ref="DH227:DH227">IF(DH226=0,0,IF(DH226/'🎚️ Escenario'!$C$11&gt;=36,$AL$23,INDEX($C$23:$AL$23,MAX(1,ROUNDUP(DH226/'🎚️ Escenario'!$C$11,0)))))</f>
        <v>0.79</v>
      </c>
      <c r="DI227" s="236" t="n">
        <f aca="false" t="array" ref="DI227:DI227">IF(DI226=0,0,IF(DI226/'🎚️ Escenario'!$C$11&gt;=36,$AL$23,INDEX($C$23:$AL$23,MAX(1,ROUNDUP(DI226/'🎚️ Escenario'!$C$11,0)))))</f>
        <v>0.79</v>
      </c>
      <c r="DJ227" s="236" t="n">
        <f aca="false" t="array" ref="DJ227:DJ227">IF(DJ226=0,0,IF(DJ226/'🎚️ Escenario'!$C$11&gt;=36,$AL$23,INDEX($C$23:$AL$23,MAX(1,ROUNDUP(DJ226/'🎚️ Escenario'!$C$11,0)))))</f>
        <v>0.8</v>
      </c>
      <c r="DK227" s="236" t="n">
        <f aca="false" t="array" ref="DK227:DK227">IF(DK226=0,0,IF(DK226/'🎚️ Escenario'!$C$11&gt;=36,$AL$23,INDEX($C$23:$AL$23,MAX(1,ROUNDUP(DK226/'🎚️ Escenario'!$C$11,0)))))</f>
        <v>0.82</v>
      </c>
      <c r="DL227" s="236" t="n">
        <f aca="false" t="array" ref="DL227:DL227">IF(DL226=0,0,IF(DL226/'🎚️ Escenario'!$C$11&gt;=36,$AL$23,INDEX($C$23:$AL$23,MAX(1,ROUNDUP(DL226/'🎚️ Escenario'!$C$11,0)))))</f>
        <v>0.84</v>
      </c>
      <c r="DM227" s="236" t="n">
        <f aca="false" t="array" ref="DM227:DM227">IF(DM226=0,0,IF(DM226/'🎚️ Escenario'!$C$11&gt;=36,$AL$23,INDEX($C$23:$AL$23,MAX(1,ROUNDUP(DM226/'🎚️ Escenario'!$C$11,0)))))</f>
        <v>0.85</v>
      </c>
      <c r="DN227" s="236" t="n">
        <f aca="false" t="array" ref="DN227:DN227">IF(DN226=0,0,IF(DN226/'🎚️ Escenario'!$C$11&gt;=36,$AL$23,INDEX($C$23:$AL$23,MAX(1,ROUNDUP(DN226/'🎚️ Escenario'!$C$11,0)))))</f>
        <v>0.85</v>
      </c>
      <c r="DO227" s="236" t="n">
        <f aca="false" t="array" ref="DO227:DO227">IF(DO226=0,0,IF(DO226/'🎚️ Escenario'!$C$11&gt;=36,$AL$23,INDEX($C$23:$AL$23,MAX(1,ROUNDUP(DO226/'🎚️ Escenario'!$C$11,0)))))</f>
        <v>0.86</v>
      </c>
      <c r="DP227" s="236" t="n">
        <f aca="false" t="array" ref="DP227:DP227">IF(DP226=0,0,IF(DP226/'🎚️ Escenario'!$C$11&gt;=36,$AL$23,INDEX($C$23:$AL$23,MAX(1,ROUNDUP(DP226/'🎚️ Escenario'!$C$11,0)))))</f>
        <v>0.88</v>
      </c>
      <c r="DQ227" s="236" t="n">
        <f aca="false" t="array" ref="DQ227:DQ227">IF(DQ226=0,0,IF(DQ226/'🎚️ Escenario'!$C$11&gt;=36,$AL$23,INDEX($C$23:$AL$23,MAX(1,ROUNDUP(DQ226/'🎚️ Escenario'!$C$11,0)))))</f>
        <v>0.89</v>
      </c>
      <c r="DR227" s="236" t="n">
        <f aca="false" t="array" ref="DR227:DR227">IF(DR226=0,0,IF(DR226/'🎚️ Escenario'!$C$11&gt;=36,$AL$23,INDEX($C$23:$AL$23,MAX(1,ROUNDUP(DR226/'🎚️ Escenario'!$C$11,0)))))</f>
        <v>0.9</v>
      </c>
      <c r="DS227" s="236" t="n">
        <f aca="false" t="array" ref="DS227:DS227">IF(DS226=0,0,IF(DS226/'🎚️ Escenario'!$C$11&gt;=36,$AL$23,INDEX($C$23:$AL$23,MAX(1,ROUNDUP(DS226/'🎚️ Escenario'!$C$11,0)))))</f>
        <v>0.9</v>
      </c>
      <c r="DT227" s="236" t="n">
        <f aca="false" t="array" ref="DT227:DT227">IF(DT226=0,0,IF(DT226/'🎚️ Escenario'!$C$11&gt;=36,$AL$23,INDEX($C$23:$AL$23,MAX(1,ROUNDUP(DT226/'🎚️ Escenario'!$C$11,0)))))</f>
        <v>0.92</v>
      </c>
      <c r="DU227" s="236" t="n">
        <f aca="false" t="array" ref="DU227:DU227">IF(DU226=0,0,IF(DU226/'🎚️ Escenario'!$C$11&gt;=36,$AL$23,INDEX($C$23:$AL$23,MAX(1,ROUNDUP(DU226/'🎚️ Escenario'!$C$11,0)))))</f>
        <v>0.93</v>
      </c>
      <c r="DV227" s="236" t="n">
        <f aca="false" t="array" ref="DV227:DV227">IF(DV226=0,0,IF(DV226/'🎚️ Escenario'!$C$11&gt;=36,$AL$23,INDEX($C$23:$AL$23,MAX(1,ROUNDUP(DV226/'🎚️ Escenario'!$C$11,0)))))</f>
        <v>0.94</v>
      </c>
      <c r="DW227" s="236" t="n">
        <f aca="false" t="array" ref="DW227:DW227">IF(DW226=0,0,IF(DW226/'🎚️ Escenario'!$C$11&gt;=36,$AL$23,INDEX($C$23:$AL$23,MAX(1,ROUNDUP(DW226/'🎚️ Escenario'!$C$11,0)))))</f>
        <v>0.95</v>
      </c>
      <c r="DX227" s="236" t="n">
        <f aca="false" t="array" ref="DX227:DX227">IF(DX226=0,0,IF(DX226/'🎚️ Escenario'!$C$11&gt;=36,$AL$23,INDEX($C$23:$AL$23,MAX(1,ROUNDUP(DX226/'🎚️ Escenario'!$C$11,0)))))</f>
        <v>0.95</v>
      </c>
      <c r="DY227" s="236" t="n">
        <f aca="false" t="array" ref="DY227:DY227">IF(DY226=0,0,IF(DY226/'🎚️ Escenario'!$C$11&gt;=36,$AL$23,INDEX($C$23:$AL$23,MAX(1,ROUNDUP(DY226/'🎚️ Escenario'!$C$11,0)))))</f>
        <v>0.97</v>
      </c>
      <c r="DZ227" s="236" t="n">
        <f aca="false" t="array" ref="DZ227:DZ227">IF(DZ226=0,0,IF(DZ226/'🎚️ Escenario'!$C$11&gt;=36,$AL$23,INDEX($C$23:$AL$23,MAX(1,ROUNDUP(DZ226/'🎚️ Escenario'!$C$11,0)))))</f>
        <v>0.98</v>
      </c>
      <c r="EA227" s="236" t="n">
        <f aca="false" t="array" ref="EA227:EA227">IF(EA226=0,0,IF(EA226/'🎚️ Escenario'!$C$11&gt;=36,$AL$23,INDEX($C$23:$AL$23,MAX(1,ROUNDUP(EA226/'🎚️ Escenario'!$C$11,0)))))</f>
        <v>0.99</v>
      </c>
      <c r="EB227" s="236" t="n">
        <f aca="false" t="array" ref="EB227:EB227">IF(EB226=0,0,IF(EB226/'🎚️ Escenario'!$C$11&gt;=36,$AL$23,INDEX($C$23:$AL$23,MAX(1,ROUNDUP(EB226/'🎚️ Escenario'!$C$11,0)))))</f>
        <v>1</v>
      </c>
      <c r="EC227" s="236" t="n">
        <f aca="false" t="array" ref="EC227:EC227">IF(EC226=0,0,IF(EC226/'🎚️ Escenario'!$C$11&gt;=36,$AL$23,INDEX($C$23:$AL$23,MAX(1,ROUNDUP(EC226/'🎚️ Escenario'!$C$11,0)))))</f>
        <v>1</v>
      </c>
      <c r="ED227" s="236" t="n">
        <f aca="false" t="array" ref="ED227:ED227">IF(ED226=0,0,IF(ED226/'🎚️ Escenario'!$C$11&gt;=36,$AL$23,INDEX($C$23:$AL$23,MAX(1,ROUNDUP(ED226/'🎚️ Escenario'!$C$11,0)))))</f>
        <v>1</v>
      </c>
      <c r="EE227" s="236" t="n">
        <f aca="false" t="array" ref="EE227:EE227">IF(EE226=0,0,IF(EE226/'🎚️ Escenario'!$C$11&gt;=36,$AL$23,INDEX($C$23:$AL$23,MAX(1,ROUNDUP(EE226/'🎚️ Escenario'!$C$11,0)))))</f>
        <v>1</v>
      </c>
      <c r="EF227" s="236" t="n">
        <f aca="false" t="array" ref="EF227:EF227">IF(EF226=0,0,IF(EF226/'🎚️ Escenario'!$C$11&gt;=36,$AL$23,INDEX($C$23:$AL$23,MAX(1,ROUNDUP(EF226/'🎚️ Escenario'!$C$11,0)))))</f>
        <v>1</v>
      </c>
      <c r="EG227" s="236" t="n">
        <f aca="false" t="array" ref="EG227:EG227">IF(EG226=0,0,IF(EG226/'🎚️ Escenario'!$C$11&gt;=36,$AL$23,INDEX($C$23:$AL$23,MAX(1,ROUNDUP(EG226/'🎚️ Escenario'!$C$11,0)))))</f>
        <v>1</v>
      </c>
      <c r="EH227" s="236" t="n">
        <f aca="false" t="array" ref="EH227:EH227">IF(EH226=0,0,IF(EH226/'🎚️ Escenario'!$C$11&gt;=36,$AL$23,INDEX($C$23:$AL$23,MAX(1,ROUNDUP(EH226/'🎚️ Escenario'!$C$11,0)))))</f>
        <v>1</v>
      </c>
      <c r="EI227" s="236" t="n">
        <f aca="false" t="array" ref="EI227:EI227">IF(EI226=0,0,IF(EI226/'🎚️ Escenario'!$C$11&gt;=36,$AL$23,INDEX($C$23:$AL$23,MAX(1,ROUNDUP(EI226/'🎚️ Escenario'!$C$11,0)))))</f>
        <v>1</v>
      </c>
      <c r="EJ227" s="236" t="n">
        <f aca="false" t="array" ref="EJ227:EJ227">IF(EJ226=0,0,IF(EJ226/'🎚️ Escenario'!$C$11&gt;=36,$AL$23,INDEX($C$23:$AL$23,MAX(1,ROUNDUP(EJ226/'🎚️ Escenario'!$C$11,0)))))</f>
        <v>1</v>
      </c>
      <c r="EK227" s="236" t="n">
        <f aca="false" t="array" ref="EK227:EK227">IF(EK226=0,0,IF(EK226/'🎚️ Escenario'!$C$11&gt;=36,$AL$23,INDEX($C$23:$AL$23,MAX(1,ROUNDUP(EK226/'🎚️ Escenario'!$C$11,0)))))</f>
        <v>1</v>
      </c>
      <c r="EL227" s="236" t="n">
        <f aca="false" t="array" ref="EL227:EL227">IF(EL226=0,0,IF(EL226/'🎚️ Escenario'!$C$11&gt;=36,$AL$23,INDEX($C$23:$AL$23,MAX(1,ROUNDUP(EL226/'🎚️ Escenario'!$C$11,0)))))</f>
        <v>1</v>
      </c>
      <c r="EM227" s="236" t="n">
        <f aca="false" t="array" ref="EM227:EM227">IF(EM226=0,0,IF(EM226/'🎚️ Escenario'!$C$11&gt;=36,$AL$23,INDEX($C$23:$AL$23,MAX(1,ROUNDUP(EM226/'🎚️ Escenario'!$C$11,0)))))</f>
        <v>1</v>
      </c>
      <c r="EN227" s="236" t="n">
        <f aca="false" t="array" ref="EN227:EN227">IF(EN226=0,0,IF(EN226/'🎚️ Escenario'!$C$11&gt;=36,$AL$23,INDEX($C$23:$AL$23,MAX(1,ROUNDUP(EN226/'🎚️ Escenario'!$C$11,0)))))</f>
        <v>1</v>
      </c>
      <c r="EO227" s="236" t="n">
        <f aca="false" t="array" ref="EO227:EO227">IF(EO226=0,0,IF(EO226/'🎚️ Escenario'!$C$11&gt;=36,$AL$23,INDEX($C$23:$AL$23,MAX(1,ROUNDUP(EO226/'🎚️ Escenario'!$C$11,0)))))</f>
        <v>1</v>
      </c>
      <c r="EP227" s="236" t="n">
        <f aca="false" t="array" ref="EP227:EP227">IF(EP226=0,0,IF(EP226/'🎚️ Escenario'!$C$11&gt;=36,$AL$23,INDEX($C$23:$AL$23,MAX(1,ROUNDUP(EP226/'🎚️ Escenario'!$C$11,0)))))</f>
        <v>1</v>
      </c>
      <c r="EQ227" s="236" t="n">
        <f aca="false" t="array" ref="EQ227:EQ227">IF(EQ226=0,0,IF(EQ226/'🎚️ Escenario'!$C$11&gt;=36,$AL$23,INDEX($C$23:$AL$23,MAX(1,ROUNDUP(EQ226/'🎚️ Escenario'!$C$11,0)))))</f>
        <v>1</v>
      </c>
      <c r="ER227" s="236" t="n">
        <f aca="false" t="array" ref="ER227:ER227">IF(ER226=0,0,IF(ER226/'🎚️ Escenario'!$C$11&gt;=36,$AL$23,INDEX($C$23:$AL$23,MAX(1,ROUNDUP(ER226/'🎚️ Escenario'!$C$11,0)))))</f>
        <v>1</v>
      </c>
      <c r="ES227" s="9" t="n">
        <f aca="false" t="array" ref="ES227:ES227">IF(ES226=0,0,IF(ES226/'🎚️ Escenario'!$C$11&gt;=36,$AL$23,INDEX($C$23:$AL$23,MAX(1,ROUNDUP(ES226/'🎚️ Escenario'!$C$11,0)))))</f>
        <v>1</v>
      </c>
      <c r="ET227" s="9" t="n">
        <f aca="false" t="array" ref="ET227:ET227">IF(ET226=0,0,IF(ET226/'🎚️ Escenario'!$C$11&gt;=36,$AL$23,INDEX($C$23:$AL$23,MAX(1,ROUNDUP(ET226/'🎚️ Escenario'!$C$11,0)))))</f>
        <v>1</v>
      </c>
      <c r="EU227" s="9" t="n">
        <f aca="false" t="array" ref="EU227:EU227">IF(EU226=0,0,IF(EU226/'🎚️ Escenario'!$C$11&gt;=36,$AL$23,INDEX($C$23:$AL$23,MAX(1,ROUNDUP(EU226/'🎚️ Escenario'!$C$11,0)))))</f>
        <v>1</v>
      </c>
      <c r="EV227" s="9" t="n">
        <f aca="false" t="array" ref="EV227:EV227">IF(EV226=0,0,IF(EV226/'🎚️ Escenario'!$C$11&gt;=36,$AL$23,INDEX($C$23:$AL$23,MAX(1,ROUNDUP(EV226/'🎚️ Escenario'!$C$11,0)))))</f>
        <v>1</v>
      </c>
      <c r="EW227" s="9" t="n">
        <f aca="false" t="array" ref="EW227:EW227">IF(EW226=0,0,IF(EW226/'🎚️ Escenario'!$C$11&gt;=36,$AL$23,INDEX($C$23:$AL$23,MAX(1,ROUNDUP(EW226/'🎚️ Escenario'!$C$11,0)))))</f>
        <v>1</v>
      </c>
      <c r="EX227" s="9" t="n">
        <f aca="false" t="array" ref="EX227:EX227">IF(EX226=0,0,IF(EX226/'🎚️ Escenario'!$C$11&gt;=36,$AL$23,INDEX($C$23:$AL$23,MAX(1,ROUNDUP(EX226/'🎚️ Escenario'!$C$11,0)))))</f>
        <v>1</v>
      </c>
      <c r="EY227" s="9" t="n">
        <f aca="false" t="array" ref="EY227:EY227">IF(EY226=0,0,IF(EY226/'🎚️ Escenario'!$C$11&gt;=36,$AL$23,INDEX($C$23:$AL$23,MAX(1,ROUNDUP(EY226/'🎚️ Escenario'!$C$11,0)))))</f>
        <v>1</v>
      </c>
      <c r="EZ227" s="9" t="n">
        <f aca="false" t="array" ref="EZ227:EZ227">IF(EZ226=0,0,IF(EZ226/'🎚️ Escenario'!$C$11&gt;=36,$AL$23,INDEX($C$23:$AL$23,MAX(1,ROUNDUP(EZ226/'🎚️ Escenario'!$C$11,0)))))</f>
        <v>1</v>
      </c>
      <c r="FA227" s="9" t="n">
        <f aca="false" t="array" ref="FA227:FA227">IF(FA226=0,0,IF(FA226/'🎚️ Escenario'!$C$11&gt;=36,$AL$23,INDEX($C$23:$AL$23,MAX(1,ROUNDUP(FA226/'🎚️ Escenario'!$C$11,0)))))</f>
        <v>1</v>
      </c>
      <c r="FB227" s="9" t="n">
        <f aca="false" t="array" ref="FB227:FB227">IF(FB226=0,0,IF(FB226/'🎚️ Escenario'!$C$11&gt;=36,$AL$23,INDEX($C$23:$AL$23,MAX(1,ROUNDUP(FB226/'🎚️ Escenario'!$C$11,0)))))</f>
        <v>1</v>
      </c>
      <c r="FC227" s="9" t="n">
        <f aca="false" t="array" ref="FC227:FC227">IF(FC226=0,0,IF(FC226/'🎚️ Escenario'!$C$11&gt;=36,$AL$23,INDEX($C$23:$AL$23,MAX(1,ROUNDUP(FC226/'🎚️ Escenario'!$C$11,0)))))</f>
        <v>1</v>
      </c>
      <c r="FD227" s="9" t="n">
        <f aca="false" t="array" ref="FD227:FD227">IF(FD226=0,0,IF(FD226/'🎚️ Escenario'!$C$11&gt;=36,$AL$23,INDEX($C$23:$AL$23,MAX(1,ROUNDUP(FD226/'🎚️ Escenario'!$C$11,0)))))</f>
        <v>1</v>
      </c>
      <c r="FE227" s="9" t="n">
        <f aca="false" t="array" ref="FE227:FE227">IF(FE226=0,0,IF(FE226/'🎚️ Escenario'!$C$11&gt;=36,$AL$23,INDEX($C$23:$AL$23,MAX(1,ROUNDUP(FE226/'🎚️ Escenario'!$C$11,0)))))</f>
        <v>1</v>
      </c>
      <c r="FF227" s="9" t="n">
        <f aca="false" t="array" ref="FF227:FF227">IF(FF226=0,0,IF(FF226/'🎚️ Escenario'!$C$11&gt;=36,$AL$23,INDEX($C$23:$AL$23,MAX(1,ROUNDUP(FF226/'🎚️ Escenario'!$C$11,0)))))</f>
        <v>1</v>
      </c>
      <c r="FG227" s="9" t="n">
        <f aca="false" t="array" ref="FG227:FG227">IF(FG226=0,0,IF(FG226/'🎚️ Escenario'!$C$11&gt;=36,$AL$23,INDEX($C$23:$AL$23,MAX(1,ROUNDUP(FG226/'🎚️ Escenario'!$C$11,0)))))</f>
        <v>1</v>
      </c>
      <c r="FH227" s="9" t="n">
        <f aca="false" t="array" ref="FH227:FH227">IF(FH226=0,0,IF(FH226/'🎚️ Escenario'!$C$11&gt;=36,$AL$23,INDEX($C$23:$AL$23,MAX(1,ROUNDUP(FH226/'🎚️ Escenario'!$C$11,0)))))</f>
        <v>1</v>
      </c>
      <c r="FI227" s="9" t="n">
        <f aca="false" t="array" ref="FI227:FI227">IF(FI226=0,0,IF(FI226/'🎚️ Escenario'!$C$11&gt;=36,$AL$23,INDEX($C$23:$AL$23,MAX(1,ROUNDUP(FI226/'🎚️ Escenario'!$C$11,0)))))</f>
        <v>1</v>
      </c>
      <c r="FJ227" s="9" t="n">
        <f aca="false" t="array" ref="FJ227:FJ227">IF(FJ226=0,0,IF(FJ226/'🎚️ Escenario'!$C$11&gt;=36,$AL$23,INDEX($C$23:$AL$23,MAX(1,ROUNDUP(FJ226/'🎚️ Escenario'!$C$11,0)))))</f>
        <v>1</v>
      </c>
      <c r="FK227" s="9" t="n">
        <f aca="false" t="array" ref="FK227:FK227">IF(FK226=0,0,IF(FK226/'🎚️ Escenario'!$C$11&gt;=36,$AL$23,INDEX($C$23:$AL$23,MAX(1,ROUNDUP(FK226/'🎚️ Escenario'!$C$11,0)))))</f>
        <v>1</v>
      </c>
      <c r="FL227" s="9" t="n">
        <f aca="false" t="array" ref="FL227:FL227">IF(FL226=0,0,IF(FL226/'🎚️ Escenario'!$C$11&gt;=36,$AL$23,INDEX($C$23:$AL$23,MAX(1,ROUNDUP(FL226/'🎚️ Escenario'!$C$11,0)))))</f>
        <v>1</v>
      </c>
      <c r="FM227" s="9" t="n">
        <f aca="false" t="array" ref="FM227:FM227">IF(FM226=0,0,IF(FM226/'🎚️ Escenario'!$C$11&gt;=36,$AL$23,INDEX($C$23:$AL$23,MAX(1,ROUNDUP(FM226/'🎚️ Escenario'!$C$11,0)))))</f>
        <v>1</v>
      </c>
      <c r="FN227" s="9" t="n">
        <f aca="false" t="array" ref="FN227:FN227">IF(FN226=0,0,IF(FN226/'🎚️ Escenario'!$C$11&gt;=36,$AL$23,INDEX($C$23:$AL$23,MAX(1,ROUNDUP(FN226/'🎚️ Escenario'!$C$11,0)))))</f>
        <v>1</v>
      </c>
      <c r="FO227" s="9" t="n">
        <f aca="false" t="array" ref="FO227:FO227">IF(FO226=0,0,IF(FO226/'🎚️ Escenario'!$C$11&gt;=36,$AL$23,INDEX($C$23:$AL$23,MAX(1,ROUNDUP(FO226/'🎚️ Escenario'!$C$11,0)))))</f>
        <v>1</v>
      </c>
      <c r="FP227" s="9" t="n">
        <f aca="false" t="array" ref="FP227:FP227">IF(FP226=0,0,IF(FP226/'🎚️ Escenario'!$C$11&gt;=36,$AL$23,INDEX($C$23:$AL$23,MAX(1,ROUNDUP(FP226/'🎚️ Escenario'!$C$11,0)))))</f>
        <v>1</v>
      </c>
    </row>
    <row r="228" customFormat="false" ht="15" hidden="false" customHeight="false" outlineLevel="2" collapsed="false">
      <c r="B228" s="9" t="s">
        <v>875</v>
      </c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237" t="n">
        <f aca="false">IF(AC226=0,0,IF(AC226&lt;=12*'🎚️ Escenario'!$C$11,1,1+$C$6))</f>
        <v>0</v>
      </c>
      <c r="AD228" s="237" t="n">
        <f aca="false">IF(AD226=0,0,IF(AD226&lt;=12*'🎚️ Escenario'!$C$11,1,1+$C$6))</f>
        <v>0</v>
      </c>
      <c r="AE228" s="237" t="n">
        <f aca="false">IF(AE226=0,0,IF(AE226&lt;=12*'🎚️ Escenario'!$C$11,1,1+$C$6))</f>
        <v>0</v>
      </c>
      <c r="AF228" s="237" t="n">
        <f aca="false">IF(AF226=0,0,IF(AF226&lt;=12*'🎚️ Escenario'!$C$11,1,1+$C$6))</f>
        <v>0</v>
      </c>
      <c r="AG228" s="237" t="n">
        <f aca="false">IF(AG226=0,0,IF(AG226&lt;=12*'🎚️ Escenario'!$C$11,1,1+$C$6))</f>
        <v>0</v>
      </c>
      <c r="AH228" s="237" t="n">
        <f aca="false">IF(AH226=0,0,IF(AH226&lt;=12*'🎚️ Escenario'!$C$11,1,1+$C$6))</f>
        <v>0</v>
      </c>
      <c r="AI228" s="237" t="n">
        <f aca="false">IF(AI226=0,0,IF(AI226&lt;=12*'🎚️ Escenario'!$C$11,1,1+$C$6))</f>
        <v>0</v>
      </c>
      <c r="AJ228" s="237" t="n">
        <f aca="false">IF(AJ226=0,0,IF(AJ226&lt;=12*'🎚️ Escenario'!$C$11,1,1+$C$6))</f>
        <v>0</v>
      </c>
      <c r="AK228" s="237" t="n">
        <f aca="false">IF(AK226=0,0,IF(AK226&lt;=12*'🎚️ Escenario'!$C$11,1,1+$C$6))</f>
        <v>0</v>
      </c>
      <c r="AL228" s="237" t="n">
        <f aca="false">IF(AL226=0,0,IF(AL226&lt;=12*'🎚️ Escenario'!$C$11,1,1+$C$6))</f>
        <v>0</v>
      </c>
      <c r="AM228" s="237" t="n">
        <f aca="false">IF(AM226=0,0,IF(AM226&lt;=12*'🎚️ Escenario'!$C$11,1,1+$C$6))</f>
        <v>0</v>
      </c>
      <c r="AN228" s="237" t="n">
        <f aca="false">IF(AN226=0,0,IF(AN226&lt;=12*'🎚️ Escenario'!$C$11,1,1+$C$6))</f>
        <v>0</v>
      </c>
      <c r="AO228" s="237" t="n">
        <f aca="false">IF(AO226=0,0,IF(AO226&lt;=12*'🎚️ Escenario'!$C$11,1,1+$C$6))</f>
        <v>0</v>
      </c>
      <c r="AP228" s="237" t="n">
        <f aca="false">IF(AP226=0,0,IF(AP226&lt;=12*'🎚️ Escenario'!$C$11,1,1+$C$6))</f>
        <v>0</v>
      </c>
      <c r="AQ228" s="237" t="n">
        <f aca="false">IF(AQ226=0,0,IF(AQ226&lt;=12*'🎚️ Escenario'!$C$11,1,1+$C$6))</f>
        <v>0</v>
      </c>
      <c r="AR228" s="237" t="n">
        <f aca="false">IF(AR226=0,0,IF(AR226&lt;=12*'🎚️ Escenario'!$C$11,1,1+$C$6))</f>
        <v>0</v>
      </c>
      <c r="AS228" s="237" t="n">
        <f aca="false">IF(AS226=0,0,IF(AS226&lt;=12*'🎚️ Escenario'!$C$11,1,1+$C$6))</f>
        <v>0</v>
      </c>
      <c r="AT228" s="237" t="n">
        <f aca="false">IF(AT226=0,0,IF(AT226&lt;=12*'🎚️ Escenario'!$C$11,1,1+$C$6))</f>
        <v>0</v>
      </c>
      <c r="AU228" s="237" t="n">
        <f aca="false">IF(AU226=0,0,IF(AU226&lt;=12*'🎚️ Escenario'!$C$11,1,1+$C$6))</f>
        <v>0</v>
      </c>
      <c r="AV228" s="237" t="n">
        <f aca="false">IF(AV226=0,0,IF(AV226&lt;=12*'🎚️ Escenario'!$C$11,1,1+$C$6))</f>
        <v>0</v>
      </c>
      <c r="AW228" s="237" t="n">
        <f aca="false">IF(AW226=0,0,IF(AW226&lt;=12*'🎚️ Escenario'!$C$11,1,1+$C$6))</f>
        <v>0</v>
      </c>
      <c r="AX228" s="237" t="n">
        <f aca="false">IF(AX226=0,0,IF(AX226&lt;=12*'🎚️ Escenario'!$C$11,1,1+$C$6))</f>
        <v>0</v>
      </c>
      <c r="AY228" s="237" t="n">
        <f aca="false">IF(AY226=0,0,IF(AY226&lt;=12*'🎚️ Escenario'!$C$11,1,1+$C$6))</f>
        <v>0</v>
      </c>
      <c r="AZ228" s="237" t="n">
        <f aca="false">IF(AZ226=0,0,IF(AZ226&lt;=12*'🎚️ Escenario'!$C$11,1,1+$C$6))</f>
        <v>0</v>
      </c>
      <c r="BA228" s="237" t="n">
        <f aca="false">IF(BA226=0,0,IF(BA226&lt;=12*'🎚️ Escenario'!$C$11,1,1+$C$6))</f>
        <v>0</v>
      </c>
      <c r="BB228" s="237" t="n">
        <f aca="false">IF(BB226=0,0,IF(BB226&lt;=12*'🎚️ Escenario'!$C$11,1,1+$C$6))</f>
        <v>0</v>
      </c>
      <c r="BC228" s="237" t="n">
        <f aca="false">IF(BC226=0,0,IF(BC226&lt;=12*'🎚️ Escenario'!$C$11,1,1+$C$6))</f>
        <v>0</v>
      </c>
      <c r="BD228" s="237" t="n">
        <f aca="false">IF(BD226=0,0,IF(BD226&lt;=12*'🎚️ Escenario'!$C$11,1,1+$C$6))</f>
        <v>0</v>
      </c>
      <c r="BE228" s="237" t="n">
        <f aca="false">IF(BE226=0,0,IF(BE226&lt;=12*'🎚️ Escenario'!$C$11,1,1+$C$6))</f>
        <v>0</v>
      </c>
      <c r="BF228" s="237" t="n">
        <f aca="false">IF(BF226=0,0,IF(BF226&lt;=12*'🎚️ Escenario'!$C$11,1,1+$C$6))</f>
        <v>0</v>
      </c>
      <c r="BG228" s="237" t="n">
        <f aca="false">IF(BG226=0,0,IF(BG226&lt;=12*'🎚️ Escenario'!$C$11,1,1+$C$6))</f>
        <v>0</v>
      </c>
      <c r="BH228" s="237" t="n">
        <f aca="false">IF(BH226=0,0,IF(BH226&lt;=12*'🎚️ Escenario'!$C$11,1,1+$C$6))</f>
        <v>0</v>
      </c>
      <c r="BI228" s="237" t="n">
        <f aca="false">IF(BI226=0,0,IF(BI226&lt;=12*'🎚️ Escenario'!$C$11,1,1+$C$6))</f>
        <v>0</v>
      </c>
      <c r="BJ228" s="237" t="n">
        <f aca="false">IF(BJ226=0,0,IF(BJ226&lt;=12*'🎚️ Escenario'!$C$11,1,1+$C$6))</f>
        <v>0</v>
      </c>
      <c r="BK228" s="237" t="n">
        <f aca="false">IF(BK226=0,0,IF(BK226&lt;=12*'🎚️ Escenario'!$C$11,1,1+$C$6))</f>
        <v>0</v>
      </c>
      <c r="BL228" s="237" t="n">
        <f aca="false">IF(BL226=0,0,IF(BL226&lt;=12*'🎚️ Escenario'!$C$11,1,1+$C$6))</f>
        <v>0</v>
      </c>
      <c r="BM228" s="237" t="n">
        <f aca="false">IF(BM226=0,0,IF(BM226&lt;=12*'🎚️ Escenario'!$C$11,1,1+$C$6))</f>
        <v>0</v>
      </c>
      <c r="BN228" s="237" t="n">
        <f aca="false">IF(BN226=0,0,IF(BN226&lt;=12*'🎚️ Escenario'!$C$11,1,1+$C$6))</f>
        <v>0</v>
      </c>
      <c r="BO228" s="237" t="n">
        <f aca="false">IF(BO226=0,0,IF(BO226&lt;=12*'🎚️ Escenario'!$C$11,1,1+$C$6))</f>
        <v>0</v>
      </c>
      <c r="BP228" s="237" t="n">
        <f aca="false">IF(BP226=0,0,IF(BP226&lt;=12*'🎚️ Escenario'!$C$11,1,1+$C$6))</f>
        <v>0</v>
      </c>
      <c r="BQ228" s="237" t="n">
        <f aca="false">IF(BQ226=0,0,IF(BQ226&lt;=12*'🎚️ Escenario'!$C$11,1,1+$C$6))</f>
        <v>0</v>
      </c>
      <c r="BR228" s="237" t="n">
        <f aca="false">IF(BR226=0,0,IF(BR226&lt;=12*'🎚️ Escenario'!$C$11,1,1+$C$6))</f>
        <v>0</v>
      </c>
      <c r="BS228" s="237" t="n">
        <f aca="false">IF(BS226=0,0,IF(BS226&lt;=12*'🎚️ Escenario'!$C$11,1,1+$C$6))</f>
        <v>0</v>
      </c>
      <c r="BT228" s="237" t="n">
        <f aca="false">IF(BT226=0,0,IF(BT226&lt;=12*'🎚️ Escenario'!$C$11,1,1+$C$6))</f>
        <v>0</v>
      </c>
      <c r="BU228" s="237" t="n">
        <f aca="false">IF(BU226=0,0,IF(BU226&lt;=12*'🎚️ Escenario'!$C$11,1,1+$C$6))</f>
        <v>0</v>
      </c>
      <c r="BV228" s="237" t="n">
        <f aca="false">IF(BV226=0,0,IF(BV226&lt;=12*'🎚️ Escenario'!$C$11,1,1+$C$6))</f>
        <v>0</v>
      </c>
      <c r="BW228" s="237" t="n">
        <f aca="false">IF(BW226=0,0,IF(BW226&lt;=12*'🎚️ Escenario'!$C$11,1,1+$C$6))</f>
        <v>0</v>
      </c>
      <c r="BX228" s="237" t="n">
        <f aca="false">IF(BX226=0,0,IF(BX226&lt;=12*'🎚️ Escenario'!$C$11,1,1+$C$6))</f>
        <v>0</v>
      </c>
      <c r="BY228" s="237" t="n">
        <f aca="false">IF(BY226=0,0,IF(BY226&lt;=12*'🎚️ Escenario'!$C$11,1,1+$C$6))</f>
        <v>0</v>
      </c>
      <c r="BZ228" s="237" t="n">
        <f aca="false">IF(BZ226=0,0,IF(BZ226&lt;=12*'🎚️ Escenario'!$C$11,1,1+$C$6))</f>
        <v>0</v>
      </c>
      <c r="CA228" s="237" t="n">
        <f aca="false">IF(CA226=0,0,IF(CA226&lt;=12*'🎚️ Escenario'!$C$11,1,1+$C$6))</f>
        <v>0</v>
      </c>
      <c r="CB228" s="237" t="n">
        <f aca="false">IF(CB226=0,0,IF(CB226&lt;=12*'🎚️ Escenario'!$C$11,1,1+$C$6))</f>
        <v>0</v>
      </c>
      <c r="CC228" s="237" t="n">
        <f aca="false">IF(CC226=0,0,IF(CC226&lt;=12*'🎚️ Escenario'!$C$11,1,1+$C$6))</f>
        <v>0</v>
      </c>
      <c r="CD228" s="237" t="n">
        <f aca="false">IF(CD226=0,0,IF(CD226&lt;=12*'🎚️ Escenario'!$C$11,1,1+$C$6))</f>
        <v>0</v>
      </c>
      <c r="CE228" s="237" t="n">
        <f aca="false">IF(CE226=0,0,IF(CE226&lt;=12*'🎚️ Escenario'!$C$11,1,1+$C$6))</f>
        <v>0</v>
      </c>
      <c r="CF228" s="237" t="n">
        <f aca="false">IF(CF226=0,0,IF(CF226&lt;=12*'🎚️ Escenario'!$C$11,1,1+$C$6))</f>
        <v>0</v>
      </c>
      <c r="CG228" s="237" t="n">
        <f aca="false">IF(CG226=0,0,IF(CG226&lt;=12*'🎚️ Escenario'!$C$11,1,1+$C$6))</f>
        <v>0</v>
      </c>
      <c r="CH228" s="237" t="n">
        <f aca="false">IF(CH226=0,0,IF(CH226&lt;=12*'🎚️ Escenario'!$C$11,1,1+$C$6))</f>
        <v>0</v>
      </c>
      <c r="CI228" s="237" t="n">
        <f aca="false">IF(CI226=0,0,IF(CI226&lt;=12*'🎚️ Escenario'!$C$11,1,1+$C$6))</f>
        <v>0</v>
      </c>
      <c r="CJ228" s="237" t="n">
        <f aca="false">IF(CJ226=0,0,IF(CJ226&lt;=12*'🎚️ Escenario'!$C$11,1,1+$C$6))</f>
        <v>0</v>
      </c>
      <c r="CK228" s="237" t="n">
        <f aca="false">IF(CK226=0,0,IF(CK226&lt;=12*'🎚️ Escenario'!$C$11,1,1+$C$6))</f>
        <v>1</v>
      </c>
      <c r="CL228" s="237" t="n">
        <f aca="false">IF(CL226=0,0,IF(CL226&lt;=12*'🎚️ Escenario'!$C$11,1,1+$C$6))</f>
        <v>1</v>
      </c>
      <c r="CM228" s="237" t="n">
        <f aca="false">IF(CM226=0,0,IF(CM226&lt;=12*'🎚️ Escenario'!$C$11,1,1+$C$6))</f>
        <v>1</v>
      </c>
      <c r="CN228" s="237" t="n">
        <f aca="false">IF(CN226=0,0,IF(CN226&lt;=12*'🎚️ Escenario'!$C$11,1,1+$C$6))</f>
        <v>1</v>
      </c>
      <c r="CO228" s="237" t="n">
        <f aca="false">IF(CO226=0,0,IF(CO226&lt;=12*'🎚️ Escenario'!$C$11,1,1+$C$6))</f>
        <v>1</v>
      </c>
      <c r="CP228" s="237" t="n">
        <f aca="false">IF(CP226=0,0,IF(CP226&lt;=12*'🎚️ Escenario'!$C$11,1,1+$C$6))</f>
        <v>1</v>
      </c>
      <c r="CQ228" s="237" t="n">
        <f aca="false">IF(CQ226=0,0,IF(CQ226&lt;=12*'🎚️ Escenario'!$C$11,1,1+$C$6))</f>
        <v>1</v>
      </c>
      <c r="CR228" s="237" t="n">
        <f aca="false">IF(CR226=0,0,IF(CR226&lt;=12*'🎚️ Escenario'!$C$11,1,1+$C$6))</f>
        <v>1</v>
      </c>
      <c r="CS228" s="237" t="n">
        <f aca="false">IF(CS226=0,0,IF(CS226&lt;=12*'🎚️ Escenario'!$C$11,1,1+$C$6))</f>
        <v>1</v>
      </c>
      <c r="CT228" s="237" t="n">
        <f aca="false">IF(CT226=0,0,IF(CT226&lt;=12*'🎚️ Escenario'!$C$11,1,1+$C$6))</f>
        <v>1</v>
      </c>
      <c r="CU228" s="237" t="n">
        <f aca="false">IF(CU226=0,0,IF(CU226&lt;=12*'🎚️ Escenario'!$C$11,1,1+$C$6))</f>
        <v>1</v>
      </c>
      <c r="CV228" s="237" t="n">
        <f aca="false">IF(CV226=0,0,IF(CV226&lt;=12*'🎚️ Escenario'!$C$11,1,1+$C$6))</f>
        <v>1</v>
      </c>
      <c r="CW228" s="237" t="n">
        <f aca="false">IF(CW226=0,0,IF(CW226&lt;=12*'🎚️ Escenario'!$C$11,1,1+$C$6))</f>
        <v>1</v>
      </c>
      <c r="CX228" s="237" t="n">
        <f aca="false">IF(CX226=0,0,IF(CX226&lt;=12*'🎚️ Escenario'!$C$11,1,1+$C$6))</f>
        <v>1</v>
      </c>
      <c r="CY228" s="237" t="n">
        <f aca="false">IF(CY226=0,0,IF(CY226&lt;=12*'🎚️ Escenario'!$C$11,1,1+$C$6))</f>
        <v>1</v>
      </c>
      <c r="CZ228" s="237" t="n">
        <f aca="false">IF(CZ226=0,0,IF(CZ226&lt;=12*'🎚️ Escenario'!$C$11,1,1+$C$6))</f>
        <v>1.2</v>
      </c>
      <c r="DA228" s="237" t="n">
        <f aca="false">IF(DA226=0,0,IF(DA226&lt;=12*'🎚️ Escenario'!$C$11,1,1+$C$6))</f>
        <v>1.2</v>
      </c>
      <c r="DB228" s="237" t="n">
        <f aca="false">IF(DB226=0,0,IF(DB226&lt;=12*'🎚️ Escenario'!$C$11,1,1+$C$6))</f>
        <v>1.2</v>
      </c>
      <c r="DC228" s="237" t="n">
        <f aca="false">IF(DC226=0,0,IF(DC226&lt;=12*'🎚️ Escenario'!$C$11,1,1+$C$6))</f>
        <v>1.2</v>
      </c>
      <c r="DD228" s="237" t="n">
        <f aca="false">IF(DD226=0,0,IF(DD226&lt;=12*'🎚️ Escenario'!$C$11,1,1+$C$6))</f>
        <v>1.2</v>
      </c>
      <c r="DE228" s="237" t="n">
        <f aca="false">IF(DE226=0,0,IF(DE226&lt;=12*'🎚️ Escenario'!$C$11,1,1+$C$6))</f>
        <v>1.2</v>
      </c>
      <c r="DF228" s="237" t="n">
        <f aca="false">IF(DF226=0,0,IF(DF226&lt;=12*'🎚️ Escenario'!$C$11,1,1+$C$6))</f>
        <v>1.2</v>
      </c>
      <c r="DG228" s="237" t="n">
        <f aca="false">IF(DG226=0,0,IF(DG226&lt;=12*'🎚️ Escenario'!$C$11,1,1+$C$6))</f>
        <v>1.2</v>
      </c>
      <c r="DH228" s="237" t="n">
        <f aca="false">IF(DH226=0,0,IF(DH226&lt;=12*'🎚️ Escenario'!$C$11,1,1+$C$6))</f>
        <v>1.2</v>
      </c>
      <c r="DI228" s="237" t="n">
        <f aca="false">IF(DI226=0,0,IF(DI226&lt;=12*'🎚️ Escenario'!$C$11,1,1+$C$6))</f>
        <v>1.2</v>
      </c>
      <c r="DJ228" s="237" t="n">
        <f aca="false">IF(DJ226=0,0,IF(DJ226&lt;=12*'🎚️ Escenario'!$C$11,1,1+$C$6))</f>
        <v>1.2</v>
      </c>
      <c r="DK228" s="237" t="n">
        <f aca="false">IF(DK226=0,0,IF(DK226&lt;=12*'🎚️ Escenario'!$C$11,1,1+$C$6))</f>
        <v>1.2</v>
      </c>
      <c r="DL228" s="237" t="n">
        <f aca="false">IF(DL226=0,0,IF(DL226&lt;=12*'🎚️ Escenario'!$C$11,1,1+$C$6))</f>
        <v>1.2</v>
      </c>
      <c r="DM228" s="237" t="n">
        <f aca="false">IF(DM226=0,0,IF(DM226&lt;=12*'🎚️ Escenario'!$C$11,1,1+$C$6))</f>
        <v>1.2</v>
      </c>
      <c r="DN228" s="237" t="n">
        <f aca="false">IF(DN226=0,0,IF(DN226&lt;=12*'🎚️ Escenario'!$C$11,1,1+$C$6))</f>
        <v>1.2</v>
      </c>
      <c r="DO228" s="237" t="n">
        <f aca="false">IF(DO226=0,0,IF(DO226&lt;=12*'🎚️ Escenario'!$C$11,1,1+$C$6))</f>
        <v>1.2</v>
      </c>
      <c r="DP228" s="237" t="n">
        <f aca="false">IF(DP226=0,0,IF(DP226&lt;=12*'🎚️ Escenario'!$C$11,1,1+$C$6))</f>
        <v>1.2</v>
      </c>
      <c r="DQ228" s="237" t="n">
        <f aca="false">IF(DQ226=0,0,IF(DQ226&lt;=12*'🎚️ Escenario'!$C$11,1,1+$C$6))</f>
        <v>1.2</v>
      </c>
      <c r="DR228" s="237" t="n">
        <f aca="false">IF(DR226=0,0,IF(DR226&lt;=12*'🎚️ Escenario'!$C$11,1,1+$C$6))</f>
        <v>1.2</v>
      </c>
      <c r="DS228" s="237" t="n">
        <f aca="false">IF(DS226=0,0,IF(DS226&lt;=12*'🎚️ Escenario'!$C$11,1,1+$C$6))</f>
        <v>1.2</v>
      </c>
      <c r="DT228" s="237" t="n">
        <f aca="false">IF(DT226=0,0,IF(DT226&lt;=12*'🎚️ Escenario'!$C$11,1,1+$C$6))</f>
        <v>1.2</v>
      </c>
      <c r="DU228" s="237" t="n">
        <f aca="false">IF(DU226=0,0,IF(DU226&lt;=12*'🎚️ Escenario'!$C$11,1,1+$C$6))</f>
        <v>1.2</v>
      </c>
      <c r="DV228" s="237" t="n">
        <f aca="false">IF(DV226=0,0,IF(DV226&lt;=12*'🎚️ Escenario'!$C$11,1,1+$C$6))</f>
        <v>1.2</v>
      </c>
      <c r="DW228" s="237" t="n">
        <f aca="false">IF(DW226=0,0,IF(DW226&lt;=12*'🎚️ Escenario'!$C$11,1,1+$C$6))</f>
        <v>1.2</v>
      </c>
      <c r="DX228" s="237" t="n">
        <f aca="false">IF(DX226=0,0,IF(DX226&lt;=12*'🎚️ Escenario'!$C$11,1,1+$C$6))</f>
        <v>1.2</v>
      </c>
      <c r="DY228" s="237" t="n">
        <f aca="false">IF(DY226=0,0,IF(DY226&lt;=12*'🎚️ Escenario'!$C$11,1,1+$C$6))</f>
        <v>1.2</v>
      </c>
      <c r="DZ228" s="237" t="n">
        <f aca="false">IF(DZ226=0,0,IF(DZ226&lt;=12*'🎚️ Escenario'!$C$11,1,1+$C$6))</f>
        <v>1.2</v>
      </c>
      <c r="EA228" s="237" t="n">
        <f aca="false">IF(EA226=0,0,IF(EA226&lt;=12*'🎚️ Escenario'!$C$11,1,1+$C$6))</f>
        <v>1.2</v>
      </c>
      <c r="EB228" s="237" t="n">
        <f aca="false">IF(EB226=0,0,IF(EB226&lt;=12*'🎚️ Escenario'!$C$11,1,1+$C$6))</f>
        <v>1.2</v>
      </c>
      <c r="EC228" s="237" t="n">
        <f aca="false">IF(EC226=0,0,IF(EC226&lt;=12*'🎚️ Escenario'!$C$11,1,1+$C$6))</f>
        <v>1.2</v>
      </c>
      <c r="ED228" s="237" t="n">
        <f aca="false">IF(ED226=0,0,IF(ED226&lt;=12*'🎚️ Escenario'!$C$11,1,1+$C$6))</f>
        <v>1.2</v>
      </c>
      <c r="EE228" s="237" t="n">
        <f aca="false">IF(EE226=0,0,IF(EE226&lt;=12*'🎚️ Escenario'!$C$11,1,1+$C$6))</f>
        <v>1.2</v>
      </c>
      <c r="EF228" s="237" t="n">
        <f aca="false">IF(EF226=0,0,IF(EF226&lt;=12*'🎚️ Escenario'!$C$11,1,1+$C$6))</f>
        <v>1.2</v>
      </c>
      <c r="EG228" s="237" t="n">
        <f aca="false">IF(EG226=0,0,IF(EG226&lt;=12*'🎚️ Escenario'!$C$11,1,1+$C$6))</f>
        <v>1.2</v>
      </c>
      <c r="EH228" s="237" t="n">
        <f aca="false">IF(EH226=0,0,IF(EH226&lt;=12*'🎚️ Escenario'!$C$11,1,1+$C$6))</f>
        <v>1.2</v>
      </c>
      <c r="EI228" s="237" t="n">
        <f aca="false">IF(EI226=0,0,IF(EI226&lt;=12*'🎚️ Escenario'!$C$11,1,1+$C$6))</f>
        <v>1.2</v>
      </c>
      <c r="EJ228" s="237" t="n">
        <f aca="false">IF(EJ226=0,0,IF(EJ226&lt;=12*'🎚️ Escenario'!$C$11,1,1+$C$6))</f>
        <v>1.2</v>
      </c>
      <c r="EK228" s="237" t="n">
        <f aca="false">IF(EK226=0,0,IF(EK226&lt;=12*'🎚️ Escenario'!$C$11,1,1+$C$6))</f>
        <v>1.2</v>
      </c>
      <c r="EL228" s="237" t="n">
        <f aca="false">IF(EL226=0,0,IF(EL226&lt;=12*'🎚️ Escenario'!$C$11,1,1+$C$6))</f>
        <v>1.2</v>
      </c>
      <c r="EM228" s="237" t="n">
        <f aca="false">IF(EM226=0,0,IF(EM226&lt;=12*'🎚️ Escenario'!$C$11,1,1+$C$6))</f>
        <v>1.2</v>
      </c>
      <c r="EN228" s="237" t="n">
        <f aca="false">IF(EN226=0,0,IF(EN226&lt;=12*'🎚️ Escenario'!$C$11,1,1+$C$6))</f>
        <v>1.2</v>
      </c>
      <c r="EO228" s="237" t="n">
        <f aca="false">IF(EO226=0,0,IF(EO226&lt;=12*'🎚️ Escenario'!$C$11,1,1+$C$6))</f>
        <v>1.2</v>
      </c>
      <c r="EP228" s="237" t="n">
        <f aca="false">IF(EP226=0,0,IF(EP226&lt;=12*'🎚️ Escenario'!$C$11,1,1+$C$6))</f>
        <v>1.2</v>
      </c>
      <c r="EQ228" s="237" t="n">
        <f aca="false">IF(EQ226=0,0,IF(EQ226&lt;=12*'🎚️ Escenario'!$C$11,1,1+$C$6))</f>
        <v>1.2</v>
      </c>
      <c r="ER228" s="237" t="n">
        <f aca="false">IF(ER226=0,0,IF(ER226&lt;=12*'🎚️ Escenario'!$C$11,1,1+$C$6))</f>
        <v>1.2</v>
      </c>
      <c r="ES228" s="238" t="n">
        <f aca="false">IF(ES226=0,0,IF(ES226&lt;=12*'🎚️ Escenario'!$C$11,1,1+$C$6))</f>
        <v>1.2</v>
      </c>
      <c r="ET228" s="238" t="n">
        <f aca="false">IF(ET226=0,0,IF(ET226&lt;=12*'🎚️ Escenario'!$C$11,1,1+$C$6))</f>
        <v>1.2</v>
      </c>
      <c r="EU228" s="238" t="n">
        <f aca="false">IF(EU226=0,0,IF(EU226&lt;=12*'🎚️ Escenario'!$C$11,1,1+$C$6))</f>
        <v>1.2</v>
      </c>
      <c r="EV228" s="238" t="n">
        <f aca="false">IF(EV226=0,0,IF(EV226&lt;=12*'🎚️ Escenario'!$C$11,1,1+$C$6))</f>
        <v>1.2</v>
      </c>
      <c r="EW228" s="238" t="n">
        <f aca="false">IF(EW226=0,0,IF(EW226&lt;=12*'🎚️ Escenario'!$C$11,1,1+$C$6))</f>
        <v>1.2</v>
      </c>
      <c r="EX228" s="238" t="n">
        <f aca="false">IF(EX226=0,0,IF(EX226&lt;=12*'🎚️ Escenario'!$C$11,1,1+$C$6))</f>
        <v>1.2</v>
      </c>
      <c r="EY228" s="238" t="n">
        <f aca="false">IF(EY226=0,0,IF(EY226&lt;=12*'🎚️ Escenario'!$C$11,1,1+$C$6))</f>
        <v>1.2</v>
      </c>
      <c r="EZ228" s="238" t="n">
        <f aca="false">IF(EZ226=0,0,IF(EZ226&lt;=12*'🎚️ Escenario'!$C$11,1,1+$C$6))</f>
        <v>1.2</v>
      </c>
      <c r="FA228" s="238" t="n">
        <f aca="false">IF(FA226=0,0,IF(FA226&lt;=12*'🎚️ Escenario'!$C$11,1,1+$C$6))</f>
        <v>1.2</v>
      </c>
      <c r="FB228" s="238" t="n">
        <f aca="false">IF(FB226=0,0,IF(FB226&lt;=12*'🎚️ Escenario'!$C$11,1,1+$C$6))</f>
        <v>1.2</v>
      </c>
      <c r="FC228" s="238" t="n">
        <f aca="false">IF(FC226=0,0,IF(FC226&lt;=12*'🎚️ Escenario'!$C$11,1,1+$C$6))</f>
        <v>1.2</v>
      </c>
      <c r="FD228" s="238" t="n">
        <f aca="false">IF(FD226=0,0,IF(FD226&lt;=12*'🎚️ Escenario'!$C$11,1,1+$C$6))</f>
        <v>1.2</v>
      </c>
      <c r="FE228" s="238" t="n">
        <f aca="false">IF(FE226=0,0,IF(FE226&lt;=12*'🎚️ Escenario'!$C$11,1,1+$C$6))</f>
        <v>1.2</v>
      </c>
      <c r="FF228" s="238" t="n">
        <f aca="false">IF(FF226=0,0,IF(FF226&lt;=12*'🎚️ Escenario'!$C$11,1,1+$C$6))</f>
        <v>1.2</v>
      </c>
      <c r="FG228" s="238" t="n">
        <f aca="false">IF(FG226=0,0,IF(FG226&lt;=12*'🎚️ Escenario'!$C$11,1,1+$C$6))</f>
        <v>1.2</v>
      </c>
      <c r="FH228" s="238" t="n">
        <f aca="false">IF(FH226=0,0,IF(FH226&lt;=12*'🎚️ Escenario'!$C$11,1,1+$C$6))</f>
        <v>1.2</v>
      </c>
      <c r="FI228" s="238" t="n">
        <f aca="false">IF(FI226=0,0,IF(FI226&lt;=12*'🎚️ Escenario'!$C$11,1,1+$C$6))</f>
        <v>1.2</v>
      </c>
      <c r="FJ228" s="238" t="n">
        <f aca="false">IF(FJ226=0,0,IF(FJ226&lt;=12*'🎚️ Escenario'!$C$11,1,1+$C$6))</f>
        <v>1.2</v>
      </c>
      <c r="FK228" s="238" t="n">
        <f aca="false">IF(FK226=0,0,IF(FK226&lt;=12*'🎚️ Escenario'!$C$11,1,1+$C$6))</f>
        <v>1.2</v>
      </c>
      <c r="FL228" s="238" t="n">
        <f aca="false">IF(FL226=0,0,IF(FL226&lt;=12*'🎚️ Escenario'!$C$11,1,1+$C$6))</f>
        <v>1.2</v>
      </c>
      <c r="FM228" s="238" t="n">
        <f aca="false">IF(FM226=0,0,IF(FM226&lt;=12*'🎚️ Escenario'!$C$11,1,1+$C$6))</f>
        <v>1.2</v>
      </c>
      <c r="FN228" s="238" t="n">
        <f aca="false">IF(FN226=0,0,IF(FN226&lt;=12*'🎚️ Escenario'!$C$11,1,1+$C$6))</f>
        <v>1.2</v>
      </c>
      <c r="FO228" s="238" t="n">
        <f aca="false">IF(FO226=0,0,IF(FO226&lt;=12*'🎚️ Escenario'!$C$11,1,1+$C$6))</f>
        <v>1.2</v>
      </c>
      <c r="FP228" s="238" t="n">
        <f aca="false">IF(FP226=0,0,IF(FP226&lt;=12*'🎚️ Escenario'!$C$11,1,1+$C$6))</f>
        <v>1.2</v>
      </c>
    </row>
    <row r="229" customFormat="false" ht="15" hidden="false" customHeight="false" outlineLevel="2" collapsed="false">
      <c r="B229" s="9" t="s">
        <v>876</v>
      </c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36" t="n">
        <f aca="false">AC227*$AC$225*AC228*AC$38*'⑫ Roll-out Plan'!$O$28</f>
        <v>0</v>
      </c>
      <c r="AD229" s="36" t="n">
        <f aca="false">AD227*$AC$225*AD228*AD$38*'⑫ Roll-out Plan'!$O$28</f>
        <v>0</v>
      </c>
      <c r="AE229" s="36" t="n">
        <f aca="false">AE227*$AC$225*AE228*AE$38*'⑫ Roll-out Plan'!$O$28</f>
        <v>0</v>
      </c>
      <c r="AF229" s="36" t="n">
        <f aca="false">AF227*$AC$225*AF228*AF$38*'⑫ Roll-out Plan'!$O$28</f>
        <v>0</v>
      </c>
      <c r="AG229" s="36" t="n">
        <f aca="false">AG227*$AC$225*AG228*AG$38*'⑫ Roll-out Plan'!$O$28</f>
        <v>0</v>
      </c>
      <c r="AH229" s="36" t="n">
        <f aca="false">AH227*$AC$225*AH228*AH$38*'⑫ Roll-out Plan'!$O$28</f>
        <v>0</v>
      </c>
      <c r="AI229" s="36" t="n">
        <f aca="false">AI227*$AC$225*AI228*AI$38*'⑫ Roll-out Plan'!$O$28</f>
        <v>0</v>
      </c>
      <c r="AJ229" s="36" t="n">
        <f aca="false">AJ227*$AC$225*AJ228*AJ$38*'⑫ Roll-out Plan'!$O$28</f>
        <v>0</v>
      </c>
      <c r="AK229" s="36" t="n">
        <f aca="false">AK227*$AC$225*AK228*AK$38*'⑫ Roll-out Plan'!$O$28</f>
        <v>0</v>
      </c>
      <c r="AL229" s="36" t="n">
        <f aca="false">AL227*$AC$225*AL228*AL$38*'⑫ Roll-out Plan'!$O$28</f>
        <v>0</v>
      </c>
      <c r="AM229" s="36" t="n">
        <f aca="false">AM227*$AC$225*AM228*AM$38*'⑫ Roll-out Plan'!$O$28</f>
        <v>0</v>
      </c>
      <c r="AN229" s="36" t="n">
        <f aca="false">AN227*$AC$225*AN228*AN$38*'⑫ Roll-out Plan'!$O$28</f>
        <v>0</v>
      </c>
      <c r="AO229" s="36" t="n">
        <f aca="false">AO227*$AC$225*AO228*AO$38*'⑫ Roll-out Plan'!$O$28</f>
        <v>0</v>
      </c>
      <c r="AP229" s="36" t="n">
        <f aca="false">AP227*$AC$225*AP228*AP$38*'⑫ Roll-out Plan'!$O$28</f>
        <v>0</v>
      </c>
      <c r="AQ229" s="36" t="n">
        <f aca="false">AQ227*$AC$225*AQ228*AQ$38*'⑫ Roll-out Plan'!$O$28</f>
        <v>0</v>
      </c>
      <c r="AR229" s="36" t="n">
        <f aca="false">AR227*$AC$225*AR228*AR$38*'⑫ Roll-out Plan'!$O$28</f>
        <v>0</v>
      </c>
      <c r="AS229" s="36" t="n">
        <f aca="false">AS227*$AC$225*AS228*AS$38*'⑫ Roll-out Plan'!$O$28</f>
        <v>0</v>
      </c>
      <c r="AT229" s="36" t="n">
        <f aca="false">AT227*$AC$225*AT228*AT$38*'⑫ Roll-out Plan'!$O$28</f>
        <v>0</v>
      </c>
      <c r="AU229" s="36" t="n">
        <f aca="false">AU227*$AC$225*AU228*AU$38*'⑫ Roll-out Plan'!$O$28</f>
        <v>0</v>
      </c>
      <c r="AV229" s="36" t="n">
        <f aca="false">AV227*$AC$225*AV228*AV$38*'⑫ Roll-out Plan'!$O$28</f>
        <v>0</v>
      </c>
      <c r="AW229" s="36" t="n">
        <f aca="false">AW227*$AC$225*AW228*AW$38*'⑫ Roll-out Plan'!$O$28</f>
        <v>0</v>
      </c>
      <c r="AX229" s="36" t="n">
        <f aca="false">AX227*$AC$225*AX228*AX$38*'⑫ Roll-out Plan'!$O$28</f>
        <v>0</v>
      </c>
      <c r="AY229" s="36" t="n">
        <f aca="false">AY227*$AC$225*AY228*AY$38*'⑫ Roll-out Plan'!$O$28</f>
        <v>0</v>
      </c>
      <c r="AZ229" s="36" t="n">
        <f aca="false">AZ227*$AC$225*AZ228*AZ$38*'⑫ Roll-out Plan'!$O$28</f>
        <v>0</v>
      </c>
      <c r="BA229" s="36" t="n">
        <f aca="false">BA227*$AC$225*BA228*BA$38*'⑫ Roll-out Plan'!$O$28</f>
        <v>0</v>
      </c>
      <c r="BB229" s="36" t="n">
        <f aca="false">BB227*$AC$225*BB228*BB$38*'⑫ Roll-out Plan'!$O$28</f>
        <v>0</v>
      </c>
      <c r="BC229" s="36" t="n">
        <f aca="false">BC227*$AC$225*BC228*BC$38*'⑫ Roll-out Plan'!$O$28</f>
        <v>0</v>
      </c>
      <c r="BD229" s="36" t="n">
        <f aca="false">BD227*$AC$225*BD228*BD$38*'⑫ Roll-out Plan'!$O$28</f>
        <v>0</v>
      </c>
      <c r="BE229" s="36" t="n">
        <f aca="false">BE227*$AC$225*BE228*BE$38*'⑫ Roll-out Plan'!$O$28</f>
        <v>0</v>
      </c>
      <c r="BF229" s="36" t="n">
        <f aca="false">BF227*$AC$225*BF228*BF$38*'⑫ Roll-out Plan'!$O$28</f>
        <v>0</v>
      </c>
      <c r="BG229" s="36" t="n">
        <f aca="false">BG227*$AC$225*BG228*BG$38*'⑫ Roll-out Plan'!$O$28</f>
        <v>0</v>
      </c>
      <c r="BH229" s="36" t="n">
        <f aca="false">BH227*$AC$225*BH228*BH$38*'⑫ Roll-out Plan'!$O$28</f>
        <v>0</v>
      </c>
      <c r="BI229" s="36" t="n">
        <f aca="false">BI227*$AC$225*BI228*BI$38*'⑫ Roll-out Plan'!$O$28</f>
        <v>0</v>
      </c>
      <c r="BJ229" s="36" t="n">
        <f aca="false">BJ227*$AC$225*BJ228*BJ$38*'⑫ Roll-out Plan'!$O$28</f>
        <v>0</v>
      </c>
      <c r="BK229" s="36" t="n">
        <f aca="false">BK227*$AC$225*BK228*BK$38*'⑫ Roll-out Plan'!$O$28</f>
        <v>0</v>
      </c>
      <c r="BL229" s="36" t="n">
        <f aca="false">BL227*$AC$225*BL228*BL$38*'⑫ Roll-out Plan'!$O$28</f>
        <v>0</v>
      </c>
      <c r="BM229" s="36" t="n">
        <f aca="false">BM227*$AC$225*BM228*BM$38*'⑫ Roll-out Plan'!$O$28</f>
        <v>0</v>
      </c>
      <c r="BN229" s="36" t="n">
        <f aca="false">BN227*$AC$225*BN228*BN$38*'⑫ Roll-out Plan'!$O$28</f>
        <v>0</v>
      </c>
      <c r="BO229" s="36" t="n">
        <f aca="false">BO227*$AC$225*BO228*BO$38*'⑫ Roll-out Plan'!$O$28</f>
        <v>0</v>
      </c>
      <c r="BP229" s="36" t="n">
        <f aca="false">BP227*$AC$225*BP228*BP$38*'⑫ Roll-out Plan'!$O$28</f>
        <v>0</v>
      </c>
      <c r="BQ229" s="36" t="n">
        <f aca="false">BQ227*$AC$225*BQ228*BQ$38*'⑫ Roll-out Plan'!$O$28</f>
        <v>0</v>
      </c>
      <c r="BR229" s="36" t="n">
        <f aca="false">BR227*$AC$225*BR228*BR$38*'⑫ Roll-out Plan'!$O$28</f>
        <v>0</v>
      </c>
      <c r="BS229" s="36" t="n">
        <f aca="false">BS227*$AC$225*BS228*BS$38*'⑫ Roll-out Plan'!$O$28</f>
        <v>0</v>
      </c>
      <c r="BT229" s="36" t="n">
        <f aca="false">BT227*$AC$225*BT228*BT$38*'⑫ Roll-out Plan'!$O$28</f>
        <v>0</v>
      </c>
      <c r="BU229" s="36" t="n">
        <f aca="false">BU227*$AC$225*BU228*BU$38*'⑫ Roll-out Plan'!$O$28</f>
        <v>0</v>
      </c>
      <c r="BV229" s="36" t="n">
        <f aca="false">BV227*$AC$225*BV228*BV$38*'⑫ Roll-out Plan'!$O$28</f>
        <v>0</v>
      </c>
      <c r="BW229" s="36" t="n">
        <f aca="false">BW227*$AC$225*BW228*BW$38*'⑫ Roll-out Plan'!$O$28</f>
        <v>0</v>
      </c>
      <c r="BX229" s="36" t="n">
        <f aca="false">BX227*$AC$225*BX228*BX$38*'⑫ Roll-out Plan'!$O$28</f>
        <v>0</v>
      </c>
      <c r="BY229" s="36" t="n">
        <f aca="false">BY227*$AC$225*BY228*BY$38*'⑫ Roll-out Plan'!$O$28</f>
        <v>0</v>
      </c>
      <c r="BZ229" s="36" t="n">
        <f aca="false">BZ227*$AC$225*BZ228*BZ$38*'⑫ Roll-out Plan'!$O$28</f>
        <v>0</v>
      </c>
      <c r="CA229" s="36" t="n">
        <f aca="false">CA227*$AC$225*CA228*CA$38*'⑫ Roll-out Plan'!$O$28</f>
        <v>0</v>
      </c>
      <c r="CB229" s="36" t="n">
        <f aca="false">CB227*$AC$225*CB228*CB$38*'⑫ Roll-out Plan'!$O$28</f>
        <v>0</v>
      </c>
      <c r="CC229" s="36" t="n">
        <f aca="false">CC227*$AC$225*CC228*CC$38*'⑫ Roll-out Plan'!$O$28</f>
        <v>0</v>
      </c>
      <c r="CD229" s="36" t="n">
        <f aca="false">CD227*$AC$225*CD228*CD$38*'⑫ Roll-out Plan'!$O$28</f>
        <v>0</v>
      </c>
      <c r="CE229" s="36" t="n">
        <f aca="false">CE227*$AC$225*CE228*CE$38*'⑫ Roll-out Plan'!$O$28</f>
        <v>0</v>
      </c>
      <c r="CF229" s="36" t="n">
        <f aca="false">CF227*$AC$225*CF228*CF$38*'⑫ Roll-out Plan'!$O$28</f>
        <v>0</v>
      </c>
      <c r="CG229" s="36" t="n">
        <f aca="false">CG227*$AC$225*CG228*CG$38*'⑫ Roll-out Plan'!$O$28</f>
        <v>0</v>
      </c>
      <c r="CH229" s="36" t="n">
        <f aca="false">CH227*$AC$225*CH228*CH$38*'⑫ Roll-out Plan'!$O$28</f>
        <v>0</v>
      </c>
      <c r="CI229" s="36" t="n">
        <f aca="false">CI227*$AC$225*CI228*CI$38*'⑫ Roll-out Plan'!$O$28</f>
        <v>0</v>
      </c>
      <c r="CJ229" s="36" t="n">
        <f aca="false">CJ227*$AC$225*CJ228*CJ$38*'⑫ Roll-out Plan'!$O$28</f>
        <v>0</v>
      </c>
      <c r="CK229" s="36" t="n">
        <f aca="false">CK227*$AC$225*CK228*CK$38*'⑫ Roll-out Plan'!$O$28</f>
        <v>39.96</v>
      </c>
      <c r="CL229" s="36" t="n">
        <f aca="false">CL227*$AC$225*CL228*CL$38*'⑫ Roll-out Plan'!$O$28</f>
        <v>33.374</v>
      </c>
      <c r="CM229" s="36" t="n">
        <f aca="false">CM227*$AC$225*CM228*CM$38*'⑫ Roll-out Plan'!$O$28</f>
        <v>51.504</v>
      </c>
      <c r="CN229" s="36" t="n">
        <f aca="false">CN227*$AC$225*CN228*CN$38*'⑫ Roll-out Plan'!$O$28</f>
        <v>54.945</v>
      </c>
      <c r="CO229" s="36" t="n">
        <f aca="false">CO227*$AC$225*CO228*CO$38*'⑫ Roll-out Plan'!$O$28</f>
        <v>45.954</v>
      </c>
      <c r="CP229" s="36" t="n">
        <f aca="false">CP227*$AC$225*CP228*CP$38*'⑫ Roll-out Plan'!$O$28</f>
        <v>45.88</v>
      </c>
      <c r="CQ229" s="36" t="n">
        <f aca="false">CQ227*$AC$225*CQ228*CQ$38*'⑫ Roll-out Plan'!$O$28</f>
        <v>54.39</v>
      </c>
      <c r="CR229" s="36" t="n">
        <f aca="false">CR227*$AC$225*CR228*CR$38*'⑫ Roll-out Plan'!$O$28</f>
        <v>102.453</v>
      </c>
      <c r="CS229" s="36" t="n">
        <f aca="false">CS227*$AC$225*CS228*CS$38*'⑫ Roll-out Plan'!$O$28</f>
        <v>94.424</v>
      </c>
      <c r="CT229" s="36" t="n">
        <f aca="false">CT227*$AC$225*CT228*CT$38*'⑫ Roll-out Plan'!$O$28</f>
        <v>78.144</v>
      </c>
      <c r="CU229" s="36" t="n">
        <f aca="false">CU227*$AC$225*CU228*CU$38*'⑫ Roll-out Plan'!$O$28</f>
        <v>63.936</v>
      </c>
      <c r="CV229" s="36" t="n">
        <f aca="false">CV227*$AC$225*CV228*CV$38*'⑫ Roll-out Plan'!$O$28</f>
        <v>98.124</v>
      </c>
      <c r="CW229" s="36" t="n">
        <f aca="false">CW227*$AC$225*CW228*CW$38*'⑫ Roll-out Plan'!$O$28</f>
        <v>111.888</v>
      </c>
      <c r="CX229" s="36" t="n">
        <f aca="false">CX227*$AC$225*CX228*CX$38*'⑫ Roll-out Plan'!$O$28</f>
        <v>91.02</v>
      </c>
      <c r="CY229" s="36" t="n">
        <f aca="false">CY227*$AC$225*CY228*CY$38*'⑫ Roll-out Plan'!$O$28</f>
        <v>128.76</v>
      </c>
      <c r="CZ229" s="36" t="n">
        <f aca="false">CZ227*$AC$225*CZ228*CZ$38*'⑫ Roll-out Plan'!$O$28</f>
        <v>153.846</v>
      </c>
      <c r="DA229" s="36" t="n">
        <f aca="false">DA227*$AC$225*DA228*DA$38*'⑫ Roll-out Plan'!$O$28</f>
        <v>134.7984</v>
      </c>
      <c r="DB229" s="36" t="n">
        <f aca="false">DB227*$AC$225*DB228*DB$38*'⑫ Roll-out Plan'!$O$28</f>
        <v>122.544</v>
      </c>
      <c r="DC229" s="36" t="n">
        <f aca="false">DC227*$AC$225*DC228*DC$38*'⑫ Roll-out Plan'!$O$28</f>
        <v>132.4008</v>
      </c>
      <c r="DD229" s="36" t="n">
        <f aca="false">DD227*$AC$225*DD228*DD$38*'⑫ Roll-out Plan'!$O$28</f>
        <v>223.8204</v>
      </c>
      <c r="DE229" s="36" t="n">
        <f aca="false">DE227*$AC$225*DE228*DE$38*'⑫ Roll-out Plan'!$O$28</f>
        <v>187.9896</v>
      </c>
      <c r="DF229" s="36" t="n">
        <f aca="false">DF227*$AC$225*DF228*DF$38*'⑫ Roll-out Plan'!$O$28</f>
        <v>159.84</v>
      </c>
      <c r="DG229" s="36" t="n">
        <f aca="false">DG227*$AC$225*DG228*DG$38*'⑫ Roll-out Plan'!$O$28</f>
        <v>123.0768</v>
      </c>
      <c r="DH229" s="36" t="n">
        <f aca="false">DH227*$AC$225*DH228*DH$38*'⑫ Roll-out Plan'!$O$28</f>
        <v>178.8876</v>
      </c>
      <c r="DI229" s="36" t="n">
        <f aca="false">DI227*$AC$225*DI228*DI$38*'⑫ Roll-out Plan'!$O$28</f>
        <v>189.4104</v>
      </c>
      <c r="DJ229" s="36" t="n">
        <f aca="false">DJ227*$AC$225*DJ228*DJ$38*'⑫ Roll-out Plan'!$O$28</f>
        <v>145.632</v>
      </c>
      <c r="DK229" s="36" t="n">
        <f aca="false">DK227*$AC$225*DK228*DK$38*'⑫ Roll-out Plan'!$O$28</f>
        <v>211.1664</v>
      </c>
      <c r="DL229" s="36" t="n">
        <f aca="false">DL227*$AC$225*DL228*DL$38*'⑫ Roll-out Plan'!$O$28</f>
        <v>205.128</v>
      </c>
      <c r="DM229" s="36" t="n">
        <f aca="false">DM227*$AC$225*DM228*DM$38*'⑫ Roll-out Plan'!$O$28</f>
        <v>173.604</v>
      </c>
      <c r="DN229" s="36" t="n">
        <f aca="false">DN227*$AC$225*DN228*DN$38*'⑫ Roll-out Plan'!$O$28</f>
        <v>150.96</v>
      </c>
      <c r="DO229" s="36" t="n">
        <f aca="false">DO227*$AC$225*DO228*DO$38*'⑫ Roll-out Plan'!$O$28</f>
        <v>160.3728</v>
      </c>
      <c r="DP229" s="36" t="n">
        <f aca="false">DP227*$AC$225*DP228*DP$38*'⑫ Roll-out Plan'!$O$28</f>
        <v>277.4112</v>
      </c>
      <c r="DQ229" s="36" t="n">
        <f aca="false">DQ227*$AC$225*DQ228*DQ$38*'⑫ Roll-out Plan'!$O$28</f>
        <v>229.1928</v>
      </c>
      <c r="DR229" s="36" t="n">
        <f aca="false">DR227*$AC$225*DR228*DR$38*'⑫ Roll-out Plan'!$O$28</f>
        <v>191.808</v>
      </c>
      <c r="DS229" s="36" t="n">
        <f aca="false">DS227*$AC$225*DS228*DS$38*'⑫ Roll-out Plan'!$O$28</f>
        <v>143.856</v>
      </c>
      <c r="DT229" s="36" t="n">
        <f aca="false">DT227*$AC$225*DT228*DT$38*'⑫ Roll-out Plan'!$O$28</f>
        <v>208.3248</v>
      </c>
      <c r="DU229" s="36" t="n">
        <f aca="false">DU227*$AC$225*DU228*DU$38*'⑫ Roll-out Plan'!$O$28</f>
        <v>222.9768</v>
      </c>
      <c r="DV229" s="36" t="n">
        <f aca="false">DV227*$AC$225*DV228*DV$38*'⑫ Roll-out Plan'!$O$28</f>
        <v>171.1176</v>
      </c>
      <c r="DW229" s="36" t="n">
        <f aca="false">DW227*$AC$225*DW228*DW$38*'⑫ Roll-out Plan'!$O$28</f>
        <v>244.644</v>
      </c>
      <c r="DX229" s="36" t="n">
        <f aca="false">DX227*$AC$225*DX228*DX$38*'⑫ Roll-out Plan'!$O$28</f>
        <v>231.99</v>
      </c>
      <c r="DY229" s="36" t="n">
        <f aca="false">DY227*$AC$225*DY228*DY$38*'⑫ Roll-out Plan'!$O$28</f>
        <v>198.1128</v>
      </c>
      <c r="DZ229" s="36" t="n">
        <f aca="false">DZ227*$AC$225*DZ228*DZ$38*'⑫ Roll-out Plan'!$O$28</f>
        <v>174.048</v>
      </c>
      <c r="EA229" s="36" t="n">
        <f aca="false">EA227*$AC$225*EA228*EA$38*'⑫ Roll-out Plan'!$O$28</f>
        <v>184.6152</v>
      </c>
      <c r="EB229" s="36" t="n">
        <f aca="false">EB227*$AC$225*EB228*EB$38*'⑫ Roll-out Plan'!$O$28</f>
        <v>315.24</v>
      </c>
      <c r="EC229" s="36" t="n">
        <f aca="false">EC227*$AC$225*EC228*EC$38*'⑫ Roll-out Plan'!$O$28</f>
        <v>257.52</v>
      </c>
      <c r="ED229" s="36" t="n">
        <f aca="false">ED227*$AC$225*ED228*ED$38*'⑫ Roll-out Plan'!$O$28</f>
        <v>213.12</v>
      </c>
      <c r="EE229" s="36" t="n">
        <f aca="false">EE227*$AC$225*EE228*EE$38*'⑫ Roll-out Plan'!$O$28</f>
        <v>159.84</v>
      </c>
      <c r="EF229" s="36" t="n">
        <f aca="false">EF227*$AC$225*EF228*EF$38*'⑫ Roll-out Plan'!$O$28</f>
        <v>226.44</v>
      </c>
      <c r="EG229" s="36" t="n">
        <f aca="false">EG227*$AC$225*EG228*EG$38*'⑫ Roll-out Plan'!$O$28</f>
        <v>239.76</v>
      </c>
      <c r="EH229" s="36" t="n">
        <f aca="false">EH227*$AC$225*EH228*EH$38*'⑫ Roll-out Plan'!$O$28</f>
        <v>182.04</v>
      </c>
      <c r="EI229" s="36" t="n">
        <f aca="false">EI227*$AC$225*EI228*EI$38*'⑫ Roll-out Plan'!$O$28</f>
        <v>257.52</v>
      </c>
      <c r="EJ229" s="36" t="n">
        <f aca="false">EJ227*$AC$225*EJ228*EJ$38*'⑫ Roll-out Plan'!$O$28</f>
        <v>244.2</v>
      </c>
      <c r="EK229" s="36" t="n">
        <f aca="false">EK227*$AC$225*EK228*EK$38*'⑫ Roll-out Plan'!$O$28</f>
        <v>204.24</v>
      </c>
      <c r="EL229" s="36" t="n">
        <f aca="false">EL227*$AC$225*EL228*EL$38*'⑫ Roll-out Plan'!$O$28</f>
        <v>177.6</v>
      </c>
      <c r="EM229" s="36" t="n">
        <f aca="false">EM227*$AC$225*EM228*EM$38*'⑫ Roll-out Plan'!$O$28</f>
        <v>186.48</v>
      </c>
      <c r="EN229" s="36" t="n">
        <f aca="false">EN227*$AC$225*EN228*EN$38*'⑫ Roll-out Plan'!$O$28</f>
        <v>315.24</v>
      </c>
      <c r="EO229" s="36" t="n">
        <f aca="false">EO227*$AC$225*EO228*EO$38*'⑫ Roll-out Plan'!$O$28</f>
        <v>257.52</v>
      </c>
      <c r="EP229" s="36" t="n">
        <f aca="false">EP227*$AC$225*EP228*EP$38*'⑫ Roll-out Plan'!$O$28</f>
        <v>213.12</v>
      </c>
      <c r="EQ229" s="36" t="n">
        <f aca="false">EQ227*$AC$225*EQ228*EQ$38*'⑫ Roll-out Plan'!$O$28</f>
        <v>159.84</v>
      </c>
      <c r="ER229" s="36" t="n">
        <f aca="false">ER227*$AC$225*ER228*ER$38*'⑫ Roll-out Plan'!$O$28</f>
        <v>226.44</v>
      </c>
      <c r="ES229" s="9" t="n">
        <f aca="false">ES227*$AC$225*ES228*ES$38*'⑫ Roll-out Plan'!$O$28</f>
        <v>239.76</v>
      </c>
      <c r="ET229" s="9" t="n">
        <f aca="false">ET227*$AC$225*ET228*ET$38*'⑫ Roll-out Plan'!$O$28</f>
        <v>182.04</v>
      </c>
      <c r="EU229" s="9" t="n">
        <f aca="false">EU227*$AC$225*EU228*EU$38*'⑫ Roll-out Plan'!$O$28</f>
        <v>257.52</v>
      </c>
      <c r="EV229" s="9" t="n">
        <f aca="false">EV227*$AC$225*EV228*EV$38*'⑫ Roll-out Plan'!$O$28</f>
        <v>244.2</v>
      </c>
      <c r="EW229" s="9" t="n">
        <f aca="false">EW227*$AC$225*EW228*EW$38*'⑫ Roll-out Plan'!$O$28</f>
        <v>204.24</v>
      </c>
      <c r="EX229" s="9" t="n">
        <f aca="false">EX227*$AC$225*EX228*EX$38*'⑫ Roll-out Plan'!$O$28</f>
        <v>177.6</v>
      </c>
      <c r="EY229" s="9" t="n">
        <f aca="false">EY227*$AC$225*EY228*EY$38*'⑫ Roll-out Plan'!$O$28</f>
        <v>186.48</v>
      </c>
      <c r="EZ229" s="9" t="n">
        <f aca="false">EZ227*$AC$225*EZ228*EZ$38*'⑫ Roll-out Plan'!$O$28</f>
        <v>315.24</v>
      </c>
      <c r="FA229" s="9" t="n">
        <f aca="false">FA227*$AC$225*FA228*FA$38*'⑫ Roll-out Plan'!$O$28</f>
        <v>257.52</v>
      </c>
      <c r="FB229" s="9" t="n">
        <f aca="false">FB227*$AC$225*FB228*FB$38*'⑫ Roll-out Plan'!$O$28</f>
        <v>213.12</v>
      </c>
      <c r="FC229" s="9" t="n">
        <f aca="false">FC227*$AC$225*FC228*FC$38*'⑫ Roll-out Plan'!$O$28</f>
        <v>159.84</v>
      </c>
      <c r="FD229" s="9" t="n">
        <f aca="false">FD227*$AC$225*FD228*FD$38*'⑫ Roll-out Plan'!$O$28</f>
        <v>226.44</v>
      </c>
      <c r="FE229" s="9" t="n">
        <f aca="false">FE227*$AC$225*FE228*FE$38*'⑫ Roll-out Plan'!$O$28</f>
        <v>239.76</v>
      </c>
      <c r="FF229" s="9" t="n">
        <f aca="false">FF227*$AC$225*FF228*FF$38*'⑫ Roll-out Plan'!$O$28</f>
        <v>182.04</v>
      </c>
      <c r="FG229" s="9" t="n">
        <f aca="false">FG227*$AC$225*FG228*FG$38*'⑫ Roll-out Plan'!$O$28</f>
        <v>257.52</v>
      </c>
      <c r="FH229" s="9" t="n">
        <f aca="false">FH227*$AC$225*FH228*FH$38*'⑫ Roll-out Plan'!$O$28</f>
        <v>244.2</v>
      </c>
      <c r="FI229" s="9" t="n">
        <f aca="false">FI227*$AC$225*FI228*FI$38*'⑫ Roll-out Plan'!$O$28</f>
        <v>204.24</v>
      </c>
      <c r="FJ229" s="9" t="n">
        <f aca="false">FJ227*$AC$225*FJ228*FJ$38*'⑫ Roll-out Plan'!$O$28</f>
        <v>177.6</v>
      </c>
      <c r="FK229" s="9" t="n">
        <f aca="false">FK227*$AC$225*FK228*FK$38*'⑫ Roll-out Plan'!$O$28</f>
        <v>186.48</v>
      </c>
      <c r="FL229" s="9" t="n">
        <f aca="false">FL227*$AC$225*FL228*FL$38*'⑫ Roll-out Plan'!$O$28</f>
        <v>315.24</v>
      </c>
      <c r="FM229" s="9" t="n">
        <f aca="false">FM227*$AC$225*FM228*FM$38*'⑫ Roll-out Plan'!$O$28</f>
        <v>257.52</v>
      </c>
      <c r="FN229" s="9" t="n">
        <f aca="false">FN227*$AC$225*FN228*FN$38*'⑫ Roll-out Plan'!$O$28</f>
        <v>213.12</v>
      </c>
      <c r="FO229" s="9" t="n">
        <f aca="false">FO227*$AC$225*FO228*FO$38*'⑫ Roll-out Plan'!$O$28</f>
        <v>159.84</v>
      </c>
      <c r="FP229" s="9" t="n">
        <f aca="false">FP227*$AC$225*FP228*FP$38*'⑫ Roll-out Plan'!$O$28</f>
        <v>226.44</v>
      </c>
    </row>
    <row r="230" customFormat="false" ht="15" hidden="false" customHeight="false" outlineLevel="2" collapsed="false">
      <c r="B230" s="9" t="s">
        <v>877</v>
      </c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112" t="n">
        <f aca="true">IFERROR(SUMPRODUCT(OFFSET($BJ$31,0,1-MIN(60,COLUMN()-29),1,MIN(60,COLUMN()-29)),OFFSET(AC229,0,-MIN(60,COLUMN()-29),1,MIN(60,COLUMN()-29))),0)</f>
        <v>0</v>
      </c>
      <c r="AD230" s="112" t="n">
        <f aca="true">IFERROR(SUMPRODUCT(OFFSET($BJ$31,0,1-MIN(60,COLUMN()-29),1,MIN(60,COLUMN()-29)),OFFSET(AD229,0,-MIN(60,COLUMN()-29),1,MIN(60,COLUMN()-29))),0)</f>
        <v>0</v>
      </c>
      <c r="AE230" s="112" t="n">
        <f aca="true">IFERROR(SUMPRODUCT(OFFSET($BJ$31,0,1-MIN(60,COLUMN()-29),1,MIN(60,COLUMN()-29)),OFFSET(AE229,0,-MIN(60,COLUMN()-29),1,MIN(60,COLUMN()-29))),0)</f>
        <v>0</v>
      </c>
      <c r="AF230" s="112" t="n">
        <f aca="true">IFERROR(SUMPRODUCT(OFFSET($BJ$31,0,1-MIN(60,COLUMN()-29),1,MIN(60,COLUMN()-29)),OFFSET(AF229,0,-MIN(60,COLUMN()-29),1,MIN(60,COLUMN()-29))),0)</f>
        <v>0</v>
      </c>
      <c r="AG230" s="112" t="n">
        <f aca="true">IFERROR(SUMPRODUCT(OFFSET($BJ$31,0,1-MIN(60,COLUMN()-29),1,MIN(60,COLUMN()-29)),OFFSET(AG229,0,-MIN(60,COLUMN()-29),1,MIN(60,COLUMN()-29))),0)</f>
        <v>0</v>
      </c>
      <c r="AH230" s="112" t="n">
        <f aca="true">IFERROR(SUMPRODUCT(OFFSET($BJ$31,0,1-MIN(60,COLUMN()-29),1,MIN(60,COLUMN()-29)),OFFSET(AH229,0,-MIN(60,COLUMN()-29),1,MIN(60,COLUMN()-29))),0)</f>
        <v>0</v>
      </c>
      <c r="AI230" s="112" t="n">
        <f aca="true">IFERROR(SUMPRODUCT(OFFSET($BJ$31,0,1-MIN(60,COLUMN()-29),1,MIN(60,COLUMN()-29)),OFFSET(AI229,0,-MIN(60,COLUMN()-29),1,MIN(60,COLUMN()-29))),0)</f>
        <v>0</v>
      </c>
      <c r="AJ230" s="112" t="n">
        <f aca="true">IFERROR(SUMPRODUCT(OFFSET($BJ$31,0,1-MIN(60,COLUMN()-29),1,MIN(60,COLUMN()-29)),OFFSET(AJ229,0,-MIN(60,COLUMN()-29),1,MIN(60,COLUMN()-29))),0)</f>
        <v>0</v>
      </c>
      <c r="AK230" s="112" t="n">
        <f aca="true">IFERROR(SUMPRODUCT(OFFSET($BJ$31,0,1-MIN(60,COLUMN()-29),1,MIN(60,COLUMN()-29)),OFFSET(AK229,0,-MIN(60,COLUMN()-29),1,MIN(60,COLUMN()-29))),0)</f>
        <v>0</v>
      </c>
      <c r="AL230" s="112" t="n">
        <f aca="true">IFERROR(SUMPRODUCT(OFFSET($BJ$31,0,1-MIN(60,COLUMN()-29),1,MIN(60,COLUMN()-29)),OFFSET(AL229,0,-MIN(60,COLUMN()-29),1,MIN(60,COLUMN()-29))),0)</f>
        <v>0</v>
      </c>
      <c r="AM230" s="112" t="n">
        <f aca="true">IFERROR(SUMPRODUCT(OFFSET($BJ$31,0,1-MIN(60,COLUMN()-29),1,MIN(60,COLUMN()-29)),OFFSET(AM229,0,-MIN(60,COLUMN()-29),1,MIN(60,COLUMN()-29))),0)</f>
        <v>0</v>
      </c>
      <c r="AN230" s="112" t="n">
        <f aca="true">IFERROR(SUMPRODUCT(OFFSET($BJ$31,0,1-MIN(60,COLUMN()-29),1,MIN(60,COLUMN()-29)),OFFSET(AN229,0,-MIN(60,COLUMN()-29),1,MIN(60,COLUMN()-29))),0)</f>
        <v>0</v>
      </c>
      <c r="AO230" s="112" t="n">
        <f aca="true">IFERROR(SUMPRODUCT(OFFSET($BJ$31,0,1-MIN(60,COLUMN()-29),1,MIN(60,COLUMN()-29)),OFFSET(AO229,0,-MIN(60,COLUMN()-29),1,MIN(60,COLUMN()-29))),0)</f>
        <v>0</v>
      </c>
      <c r="AP230" s="112" t="n">
        <f aca="true">IFERROR(SUMPRODUCT(OFFSET($BJ$31,0,1-MIN(60,COLUMN()-29),1,MIN(60,COLUMN()-29)),OFFSET(AP229,0,-MIN(60,COLUMN()-29),1,MIN(60,COLUMN()-29))),0)</f>
        <v>0</v>
      </c>
      <c r="AQ230" s="112" t="n">
        <f aca="true">IFERROR(SUMPRODUCT(OFFSET($BJ$31,0,1-MIN(60,COLUMN()-29),1,MIN(60,COLUMN()-29)),OFFSET(AQ229,0,-MIN(60,COLUMN()-29),1,MIN(60,COLUMN()-29))),0)</f>
        <v>0</v>
      </c>
      <c r="AR230" s="112" t="n">
        <f aca="true">IFERROR(SUMPRODUCT(OFFSET($BJ$31,0,1-MIN(60,COLUMN()-29),1,MIN(60,COLUMN()-29)),OFFSET(AR229,0,-MIN(60,COLUMN()-29),1,MIN(60,COLUMN()-29))),0)</f>
        <v>0</v>
      </c>
      <c r="AS230" s="112" t="n">
        <f aca="true">IFERROR(SUMPRODUCT(OFFSET($BJ$31,0,1-MIN(60,COLUMN()-29),1,MIN(60,COLUMN()-29)),OFFSET(AS229,0,-MIN(60,COLUMN()-29),1,MIN(60,COLUMN()-29))),0)</f>
        <v>0</v>
      </c>
      <c r="AT230" s="112" t="n">
        <f aca="true">IFERROR(SUMPRODUCT(OFFSET($BJ$31,0,1-MIN(60,COLUMN()-29),1,MIN(60,COLUMN()-29)),OFFSET(AT229,0,-MIN(60,COLUMN()-29),1,MIN(60,COLUMN()-29))),0)</f>
        <v>0</v>
      </c>
      <c r="AU230" s="112" t="n">
        <f aca="true">IFERROR(SUMPRODUCT(OFFSET($BJ$31,0,1-MIN(60,COLUMN()-29),1,MIN(60,COLUMN()-29)),OFFSET(AU229,0,-MIN(60,COLUMN()-29),1,MIN(60,COLUMN()-29))),0)</f>
        <v>0</v>
      </c>
      <c r="AV230" s="112" t="n">
        <f aca="true">IFERROR(SUMPRODUCT(OFFSET($BJ$31,0,1-MIN(60,COLUMN()-29),1,MIN(60,COLUMN()-29)),OFFSET(AV229,0,-MIN(60,COLUMN()-29),1,MIN(60,COLUMN()-29))),0)</f>
        <v>0</v>
      </c>
      <c r="AW230" s="112" t="n">
        <f aca="true">IFERROR(SUMPRODUCT(OFFSET($BJ$31,0,1-MIN(60,COLUMN()-29),1,MIN(60,COLUMN()-29)),OFFSET(AW229,0,-MIN(60,COLUMN()-29),1,MIN(60,COLUMN()-29))),0)</f>
        <v>0</v>
      </c>
      <c r="AX230" s="112" t="n">
        <f aca="true">IFERROR(SUMPRODUCT(OFFSET($BJ$31,0,1-MIN(60,COLUMN()-29),1,MIN(60,COLUMN()-29)),OFFSET(AX229,0,-MIN(60,COLUMN()-29),1,MIN(60,COLUMN()-29))),0)</f>
        <v>0</v>
      </c>
      <c r="AY230" s="112" t="n">
        <f aca="true">IFERROR(SUMPRODUCT(OFFSET($BJ$31,0,1-MIN(60,COLUMN()-29),1,MIN(60,COLUMN()-29)),OFFSET(AY229,0,-MIN(60,COLUMN()-29),1,MIN(60,COLUMN()-29))),0)</f>
        <v>0</v>
      </c>
      <c r="AZ230" s="112" t="n">
        <f aca="true">IFERROR(SUMPRODUCT(OFFSET($BJ$31,0,1-MIN(60,COLUMN()-29),1,MIN(60,COLUMN()-29)),OFFSET(AZ229,0,-MIN(60,COLUMN()-29),1,MIN(60,COLUMN()-29))),0)</f>
        <v>0</v>
      </c>
      <c r="BA230" s="112" t="n">
        <f aca="true">IFERROR(SUMPRODUCT(OFFSET($BJ$31,0,1-MIN(60,COLUMN()-29),1,MIN(60,COLUMN()-29)),OFFSET(BA229,0,-MIN(60,COLUMN()-29),1,MIN(60,COLUMN()-29))),0)</f>
        <v>0</v>
      </c>
      <c r="BB230" s="112" t="n">
        <f aca="true">IFERROR(SUMPRODUCT(OFFSET($BJ$31,0,1-MIN(60,COLUMN()-29),1,MIN(60,COLUMN()-29)),OFFSET(BB229,0,-MIN(60,COLUMN()-29),1,MIN(60,COLUMN()-29))),0)</f>
        <v>0</v>
      </c>
      <c r="BC230" s="112" t="n">
        <f aca="true">IFERROR(SUMPRODUCT(OFFSET($BJ$31,0,1-MIN(60,COLUMN()-29),1,MIN(60,COLUMN()-29)),OFFSET(BC229,0,-MIN(60,COLUMN()-29),1,MIN(60,COLUMN()-29))),0)</f>
        <v>0</v>
      </c>
      <c r="BD230" s="112" t="n">
        <f aca="true">IFERROR(SUMPRODUCT(OFFSET($BJ$31,0,1-MIN(60,COLUMN()-29),1,MIN(60,COLUMN()-29)),OFFSET(BD229,0,-MIN(60,COLUMN()-29),1,MIN(60,COLUMN()-29))),0)</f>
        <v>0</v>
      </c>
      <c r="BE230" s="112" t="n">
        <f aca="true">IFERROR(SUMPRODUCT(OFFSET($BJ$31,0,1-MIN(60,COLUMN()-29),1,MIN(60,COLUMN()-29)),OFFSET(BE229,0,-MIN(60,COLUMN()-29),1,MIN(60,COLUMN()-29))),0)</f>
        <v>0</v>
      </c>
      <c r="BF230" s="112" t="n">
        <f aca="true">IFERROR(SUMPRODUCT(OFFSET($BJ$31,0,1-MIN(60,COLUMN()-29),1,MIN(60,COLUMN()-29)),OFFSET(BF229,0,-MIN(60,COLUMN()-29),1,MIN(60,COLUMN()-29))),0)</f>
        <v>0</v>
      </c>
      <c r="BG230" s="112" t="n">
        <f aca="true">IFERROR(SUMPRODUCT(OFFSET($BJ$31,0,1-MIN(60,COLUMN()-29),1,MIN(60,COLUMN()-29)),OFFSET(BG229,0,-MIN(60,COLUMN()-29),1,MIN(60,COLUMN()-29))),0)</f>
        <v>0</v>
      </c>
      <c r="BH230" s="112" t="n">
        <f aca="true">IFERROR(SUMPRODUCT(OFFSET($BJ$31,0,1-MIN(60,COLUMN()-29),1,MIN(60,COLUMN()-29)),OFFSET(BH229,0,-MIN(60,COLUMN()-29),1,MIN(60,COLUMN()-29))),0)</f>
        <v>0</v>
      </c>
      <c r="BI230" s="112" t="n">
        <f aca="true">IFERROR(SUMPRODUCT(OFFSET($BJ$31,0,1-MIN(60,COLUMN()-29),1,MIN(60,COLUMN()-29)),OFFSET(BI229,0,-MIN(60,COLUMN()-29),1,MIN(60,COLUMN()-29))),0)</f>
        <v>0</v>
      </c>
      <c r="BJ230" s="112" t="n">
        <f aca="true">IFERROR(SUMPRODUCT(OFFSET($BJ$31,0,1-MIN(60,COLUMN()-29),1,MIN(60,COLUMN()-29)),OFFSET(BJ229,0,-MIN(60,COLUMN()-29),1,MIN(60,COLUMN()-29))),0)</f>
        <v>0</v>
      </c>
      <c r="BK230" s="112" t="n">
        <f aca="true">IFERROR(SUMPRODUCT(OFFSET($BJ$31,0,1-MIN(60,COLUMN()-29),1,MIN(60,COLUMN()-29)),OFFSET(BK229,0,-MIN(60,COLUMN()-29),1,MIN(60,COLUMN()-29))),0)</f>
        <v>0</v>
      </c>
      <c r="BL230" s="112" t="n">
        <f aca="true">IFERROR(SUMPRODUCT(OFFSET($BJ$31,0,1-MIN(60,COLUMN()-29),1,MIN(60,COLUMN()-29)),OFFSET(BL229,0,-MIN(60,COLUMN()-29),1,MIN(60,COLUMN()-29))),0)</f>
        <v>0</v>
      </c>
      <c r="BM230" s="112" t="n">
        <f aca="true">IFERROR(SUMPRODUCT(OFFSET($BJ$31,0,1-MIN(60,COLUMN()-29),1,MIN(60,COLUMN()-29)),OFFSET(BM229,0,-MIN(60,COLUMN()-29),1,MIN(60,COLUMN()-29))),0)</f>
        <v>0</v>
      </c>
      <c r="BN230" s="112" t="n">
        <f aca="true">IFERROR(SUMPRODUCT(OFFSET($BJ$31,0,1-MIN(60,COLUMN()-29),1,MIN(60,COLUMN()-29)),OFFSET(BN229,0,-MIN(60,COLUMN()-29),1,MIN(60,COLUMN()-29))),0)</f>
        <v>0</v>
      </c>
      <c r="BO230" s="112" t="n">
        <f aca="true">IFERROR(SUMPRODUCT(OFFSET($BJ$31,0,1-MIN(60,COLUMN()-29),1,MIN(60,COLUMN()-29)),OFFSET(BO229,0,-MIN(60,COLUMN()-29),1,MIN(60,COLUMN()-29))),0)</f>
        <v>0</v>
      </c>
      <c r="BP230" s="112" t="n">
        <f aca="true">IFERROR(SUMPRODUCT(OFFSET($BJ$31,0,1-MIN(60,COLUMN()-29),1,MIN(60,COLUMN()-29)),OFFSET(BP229,0,-MIN(60,COLUMN()-29),1,MIN(60,COLUMN()-29))),0)</f>
        <v>0</v>
      </c>
      <c r="BQ230" s="112" t="n">
        <f aca="true">IFERROR(SUMPRODUCT(OFFSET($BJ$31,0,1-MIN(60,COLUMN()-29),1,MIN(60,COLUMN()-29)),OFFSET(BQ229,0,-MIN(60,COLUMN()-29),1,MIN(60,COLUMN()-29))),0)</f>
        <v>0</v>
      </c>
      <c r="BR230" s="112" t="n">
        <f aca="true">IFERROR(SUMPRODUCT(OFFSET($BJ$31,0,1-MIN(60,COLUMN()-29),1,MIN(60,COLUMN()-29)),OFFSET(BR229,0,-MIN(60,COLUMN()-29),1,MIN(60,COLUMN()-29))),0)</f>
        <v>0</v>
      </c>
      <c r="BS230" s="112" t="n">
        <f aca="true">IFERROR(SUMPRODUCT(OFFSET($BJ$31,0,1-MIN(60,COLUMN()-29),1,MIN(60,COLUMN()-29)),OFFSET(BS229,0,-MIN(60,COLUMN()-29),1,MIN(60,COLUMN()-29))),0)</f>
        <v>0</v>
      </c>
      <c r="BT230" s="112" t="n">
        <f aca="true">IFERROR(SUMPRODUCT(OFFSET($BJ$31,0,1-MIN(60,COLUMN()-29),1,MIN(60,COLUMN()-29)),OFFSET(BT229,0,-MIN(60,COLUMN()-29),1,MIN(60,COLUMN()-29))),0)</f>
        <v>0</v>
      </c>
      <c r="BU230" s="112" t="n">
        <f aca="true">IFERROR(SUMPRODUCT(OFFSET($BJ$31,0,1-MIN(60,COLUMN()-29),1,MIN(60,COLUMN()-29)),OFFSET(BU229,0,-MIN(60,COLUMN()-29),1,MIN(60,COLUMN()-29))),0)</f>
        <v>0</v>
      </c>
      <c r="BV230" s="112" t="n">
        <f aca="true">IFERROR(SUMPRODUCT(OFFSET($BJ$31,0,1-MIN(60,COLUMN()-29),1,MIN(60,COLUMN()-29)),OFFSET(BV229,0,-MIN(60,COLUMN()-29),1,MIN(60,COLUMN()-29))),0)</f>
        <v>0</v>
      </c>
      <c r="BW230" s="112" t="n">
        <f aca="true">IFERROR(SUMPRODUCT(OFFSET($BJ$31,0,1-MIN(60,COLUMN()-29),1,MIN(60,COLUMN()-29)),OFFSET(BW229,0,-MIN(60,COLUMN()-29),1,MIN(60,COLUMN()-29))),0)</f>
        <v>0</v>
      </c>
      <c r="BX230" s="112" t="n">
        <f aca="true">IFERROR(SUMPRODUCT(OFFSET($BJ$31,0,1-MIN(60,COLUMN()-29),1,MIN(60,COLUMN()-29)),OFFSET(BX229,0,-MIN(60,COLUMN()-29),1,MIN(60,COLUMN()-29))),0)</f>
        <v>0</v>
      </c>
      <c r="BY230" s="112" t="n">
        <f aca="true">IFERROR(SUMPRODUCT(OFFSET($BJ$31,0,1-MIN(60,COLUMN()-29),1,MIN(60,COLUMN()-29)),OFFSET(BY229,0,-MIN(60,COLUMN()-29),1,MIN(60,COLUMN()-29))),0)</f>
        <v>0</v>
      </c>
      <c r="BZ230" s="112" t="n">
        <f aca="true">IFERROR(SUMPRODUCT(OFFSET($BJ$31,0,1-MIN(60,COLUMN()-29),1,MIN(60,COLUMN()-29)),OFFSET(BZ229,0,-MIN(60,COLUMN()-29),1,MIN(60,COLUMN()-29))),0)</f>
        <v>0</v>
      </c>
      <c r="CA230" s="112" t="n">
        <f aca="true">IFERROR(SUMPRODUCT(OFFSET($BJ$31,0,1-MIN(60,COLUMN()-29),1,MIN(60,COLUMN()-29)),OFFSET(CA229,0,-MIN(60,COLUMN()-29),1,MIN(60,COLUMN()-29))),0)</f>
        <v>0</v>
      </c>
      <c r="CB230" s="112" t="n">
        <f aca="true">IFERROR(SUMPRODUCT(OFFSET($BJ$31,0,1-MIN(60,COLUMN()-29),1,MIN(60,COLUMN()-29)),OFFSET(CB229,0,-MIN(60,COLUMN()-29),1,MIN(60,COLUMN()-29))),0)</f>
        <v>0</v>
      </c>
      <c r="CC230" s="112" t="n">
        <f aca="true">IFERROR(SUMPRODUCT(OFFSET($BJ$31,0,1-MIN(60,COLUMN()-29),1,MIN(60,COLUMN()-29)),OFFSET(CC229,0,-MIN(60,COLUMN()-29),1,MIN(60,COLUMN()-29))),0)</f>
        <v>0</v>
      </c>
      <c r="CD230" s="112" t="n">
        <f aca="true">IFERROR(SUMPRODUCT(OFFSET($BJ$31,0,1-MIN(60,COLUMN()-29),1,MIN(60,COLUMN()-29)),OFFSET(CD229,0,-MIN(60,COLUMN()-29),1,MIN(60,COLUMN()-29))),0)</f>
        <v>0</v>
      </c>
      <c r="CE230" s="112" t="n">
        <f aca="true">IFERROR(SUMPRODUCT(OFFSET($BJ$31,0,1-MIN(60,COLUMN()-29),1,MIN(60,COLUMN()-29)),OFFSET(CE229,0,-MIN(60,COLUMN()-29),1,MIN(60,COLUMN()-29))),0)</f>
        <v>0</v>
      </c>
      <c r="CF230" s="112" t="n">
        <f aca="true">IFERROR(SUMPRODUCT(OFFSET($BJ$31,0,1-MIN(60,COLUMN()-29),1,MIN(60,COLUMN()-29)),OFFSET(CF229,0,-MIN(60,COLUMN()-29),1,MIN(60,COLUMN()-29))),0)</f>
        <v>0</v>
      </c>
      <c r="CG230" s="112" t="n">
        <f aca="true">IFERROR(SUMPRODUCT(OFFSET($BJ$31,0,1-MIN(60,COLUMN()-29),1,MIN(60,COLUMN()-29)),OFFSET(CG229,0,-MIN(60,COLUMN()-29),1,MIN(60,COLUMN()-29))),0)</f>
        <v>0</v>
      </c>
      <c r="CH230" s="112" t="n">
        <f aca="true">IFERROR(SUMPRODUCT(OFFSET($BJ$31,0,1-MIN(60,COLUMN()-29),1,MIN(60,COLUMN()-29)),OFFSET(CH229,0,-MIN(60,COLUMN()-29),1,MIN(60,COLUMN()-29))),0)</f>
        <v>0</v>
      </c>
      <c r="CI230" s="112" t="n">
        <f aca="true">IFERROR(SUMPRODUCT(OFFSET($BJ$31,0,1-MIN(60,COLUMN()-29),1,MIN(60,COLUMN()-29)),OFFSET(CI229,0,-MIN(60,COLUMN()-29),1,MIN(60,COLUMN()-29))),0)</f>
        <v>0</v>
      </c>
      <c r="CJ230" s="112" t="n">
        <f aca="true">IFERROR(SUMPRODUCT(OFFSET($BJ$31,0,1-MIN(60,COLUMN()-29),1,MIN(60,COLUMN()-29)),OFFSET(CJ229,0,-MIN(60,COLUMN()-29),1,MIN(60,COLUMN()-29))),0)</f>
        <v>0</v>
      </c>
      <c r="CK230" s="112" t="n">
        <f aca="true">IFERROR(SUMPRODUCT(OFFSET($BJ$31,0,1-MIN(60,COLUMN()-29),1,MIN(60,COLUMN()-29)),OFFSET(CK229,0,-MIN(60,COLUMN()-29),1,MIN(60,COLUMN()-29))),0)</f>
        <v>0</v>
      </c>
      <c r="CL230" s="112" t="n">
        <f aca="true">IFERROR(SUMPRODUCT(OFFSET($BJ$31,0,1-MIN(60,COLUMN()-29),1,MIN(60,COLUMN()-29)),OFFSET(CL229,0,-MIN(60,COLUMN()-29),1,MIN(60,COLUMN()-29))),0)</f>
        <v>5.11488</v>
      </c>
      <c r="CM230" s="112" t="n">
        <f aca="true">IFERROR(SUMPRODUCT(OFFSET($BJ$31,0,1-MIN(60,COLUMN()-29),1,MIN(60,COLUMN()-29)),OFFSET(CM229,0,-MIN(60,COLUMN()-29),1,MIN(60,COLUMN()-29))),0)</f>
        <v>4.975168</v>
      </c>
      <c r="CN230" s="112" t="n">
        <f aca="true">IFERROR(SUMPRODUCT(OFFSET($BJ$31,0,1-MIN(60,COLUMN()-29),1,MIN(60,COLUMN()-29)),OFFSET(CN229,0,-MIN(60,COLUMN()-29),1,MIN(60,COLUMN()-29))),0)</f>
        <v>8.0749984</v>
      </c>
      <c r="CO230" s="112" t="n">
        <f aca="true">IFERROR(SUMPRODUCT(OFFSET($BJ$31,0,1-MIN(60,COLUMN()-29),1,MIN(60,COLUMN()-29)),OFFSET(CO229,0,-MIN(60,COLUMN()-29),1,MIN(60,COLUMN()-29))),0)</f>
        <v>9.198496</v>
      </c>
      <c r="CP230" s="112" t="n">
        <f aca="true">IFERROR(SUMPRODUCT(OFFSET($BJ$31,0,1-MIN(60,COLUMN()-29),1,MIN(60,COLUMN()-29)),OFFSET(CP229,0,-MIN(60,COLUMN()-29),1,MIN(60,COLUMN()-29))),0)</f>
        <v>8.8136368</v>
      </c>
      <c r="CQ230" s="112" t="n">
        <f aca="true">IFERROR(SUMPRODUCT(OFFSET($BJ$31,0,1-MIN(60,COLUMN()-29),1,MIN(60,COLUMN()-29)),OFFSET(CQ229,0,-MIN(60,COLUMN()-29),1,MIN(60,COLUMN()-29))),0)</f>
        <v>9.083648</v>
      </c>
      <c r="CR230" s="112" t="n">
        <f aca="true">IFERROR(SUMPRODUCT(OFFSET($BJ$31,0,1-MIN(60,COLUMN()-29),1,MIN(60,COLUMN()-29)),OFFSET(CR229,0,-MIN(60,COLUMN()-29),1,MIN(60,COLUMN()-29))),0)</f>
        <v>10.7960672</v>
      </c>
      <c r="CS230" s="112" t="n">
        <f aca="true">IFERROR(SUMPRODUCT(OFFSET($BJ$31,0,1-MIN(60,COLUMN()-29),1,MIN(60,COLUMN()-29)),OFFSET(CS229,0,-MIN(60,COLUMN()-29),1,MIN(60,COLUMN()-29))),0)</f>
        <v>17.1876544</v>
      </c>
      <c r="CT230" s="112" t="n">
        <f aca="true">IFERROR(SUMPRODUCT(OFFSET($BJ$31,0,1-MIN(60,COLUMN()-29),1,MIN(60,COLUMN()-29)),OFFSET(CT229,0,-MIN(60,COLUMN()-29),1,MIN(60,COLUMN()-29))),0)</f>
        <v>17.7678144</v>
      </c>
      <c r="CU230" s="112" t="n">
        <f aca="true">IFERROR(SUMPRODUCT(OFFSET($BJ$31,0,1-MIN(60,COLUMN()-29),1,MIN(60,COLUMN()-29)),OFFSET(CU229,0,-MIN(60,COLUMN()-29),1,MIN(60,COLUMN()-29))),0)</f>
        <v>17.4664864</v>
      </c>
      <c r="CV230" s="112" t="n">
        <f aca="true">IFERROR(SUMPRODUCT(OFFSET($BJ$31,0,1-MIN(60,COLUMN()-29),1,MIN(60,COLUMN()-29)),OFFSET(CV229,0,-MIN(60,COLUMN()-29),1,MIN(60,COLUMN()-29))),0)</f>
        <v>15.9366992</v>
      </c>
      <c r="CW230" s="112" t="n">
        <f aca="true">IFERROR(SUMPRODUCT(OFFSET($BJ$31,0,1-MIN(60,COLUMN()-29),1,MIN(60,COLUMN()-29)),OFFSET(CW229,0,-MIN(60,COLUMN()-29),1,MIN(60,COLUMN()-29))),0)</f>
        <v>21.4711296</v>
      </c>
      <c r="CX230" s="112" t="n">
        <f aca="true">IFERROR(SUMPRODUCT(OFFSET($BJ$31,0,1-MIN(60,COLUMN()-29),1,MIN(60,COLUMN()-29)),OFFSET(CX229,0,-MIN(60,COLUMN()-29),1,MIN(60,COLUMN()-29))),0)</f>
        <v>24.8571328</v>
      </c>
      <c r="CY230" s="112" t="n">
        <f aca="true">IFERROR(SUMPRODUCT(OFFSET($BJ$31,0,1-MIN(60,COLUMN()-29),1,MIN(60,COLUMN()-29)),OFFSET(CY229,0,-MIN(60,COLUMN()-29),1,MIN(60,COLUMN()-29))),0)</f>
        <v>24.1881728</v>
      </c>
      <c r="CZ230" s="112" t="n">
        <f aca="true">IFERROR(SUMPRODUCT(OFFSET($BJ$31,0,1-MIN(60,COLUMN()-29),1,MIN(60,COLUMN()-29)),OFFSET(CZ229,0,-MIN(60,COLUMN()-29),1,MIN(60,COLUMN()-29))),0)</f>
        <v>30.442416</v>
      </c>
      <c r="DA230" s="112" t="n">
        <f aca="true">IFERROR(SUMPRODUCT(OFFSET($BJ$31,0,1-MIN(60,COLUMN()-29),1,MIN(60,COLUMN()-29)),OFFSET(DA229,0,-MIN(60,COLUMN()-29),1,MIN(60,COLUMN()-29))),0)</f>
        <v>34.923856</v>
      </c>
      <c r="DB230" s="112" t="n">
        <f aca="true">IFERROR(SUMPRODUCT(OFFSET($BJ$31,0,1-MIN(60,COLUMN()-29),1,MIN(60,COLUMN()-29)),OFFSET(DB229,0,-MIN(60,COLUMN()-29),1,MIN(60,COLUMN()-29))),0)</f>
        <v>35.3376048</v>
      </c>
      <c r="DC230" s="112" t="n">
        <f aca="true">IFERROR(SUMPRODUCT(OFFSET($BJ$31,0,1-MIN(60,COLUMN()-29),1,MIN(60,COLUMN()-29)),OFFSET(DC229,0,-MIN(60,COLUMN()-29),1,MIN(60,COLUMN()-29))),0)</f>
        <v>35.97249224</v>
      </c>
      <c r="DD230" s="112" t="n">
        <f aca="true">IFERROR(SUMPRODUCT(OFFSET($BJ$31,0,1-MIN(60,COLUMN()-29),1,MIN(60,COLUMN()-29)),OFFSET(DD229,0,-MIN(60,COLUMN()-29),1,MIN(60,COLUMN()-29))),0)</f>
        <v>40.15784936</v>
      </c>
      <c r="DE230" s="112" t="n">
        <f aca="true">IFERROR(SUMPRODUCT(OFFSET($BJ$31,0,1-MIN(60,COLUMN()-29),1,MIN(60,COLUMN()-29)),OFFSET(DE229,0,-MIN(60,COLUMN()-29),1,MIN(60,COLUMN()-29))),0)</f>
        <v>54.8063018</v>
      </c>
      <c r="DF230" s="112" t="n">
        <f aca="true">IFERROR(SUMPRODUCT(OFFSET($BJ$31,0,1-MIN(60,COLUMN()-29),1,MIN(60,COLUMN()-29)),OFFSET(DF229,0,-MIN(60,COLUMN()-29),1,MIN(60,COLUMN()-29))),0)</f>
        <v>54.2811238</v>
      </c>
      <c r="DG230" s="112" t="n">
        <f aca="true">IFERROR(SUMPRODUCT(OFFSET($BJ$31,0,1-MIN(60,COLUMN()-29),1,MIN(60,COLUMN()-29)),OFFSET(DG229,0,-MIN(60,COLUMN()-29),1,MIN(60,COLUMN()-29))),0)</f>
        <v>53.65191068</v>
      </c>
      <c r="DH230" s="112" t="n">
        <f aca="true">IFERROR(SUMPRODUCT(OFFSET($BJ$31,0,1-MIN(60,COLUMN()-29),1,MIN(60,COLUMN()-29)),OFFSET(DH229,0,-MIN(60,COLUMN()-29),1,MIN(60,COLUMN()-29))),0)</f>
        <v>50.84997764</v>
      </c>
      <c r="DI230" s="112" t="n">
        <f aca="true">IFERROR(SUMPRODUCT(OFFSET($BJ$31,0,1-MIN(60,COLUMN()-29),1,MIN(60,COLUMN()-29)),OFFSET(DI229,0,-MIN(60,COLUMN()-29),1,MIN(60,COLUMN()-29))),0)</f>
        <v>61.91747536</v>
      </c>
      <c r="DJ230" s="112" t="n">
        <f aca="true">IFERROR(SUMPRODUCT(OFFSET($BJ$31,0,1-MIN(60,COLUMN()-29),1,MIN(60,COLUMN()-29)),OFFSET(DJ229,0,-MIN(60,COLUMN()-29),1,MIN(60,COLUMN()-29))),0)</f>
        <v>66.4224888</v>
      </c>
      <c r="DK230" s="112" t="n">
        <f aca="true">IFERROR(SUMPRODUCT(OFFSET($BJ$31,0,1-MIN(60,COLUMN()-29),1,MIN(60,COLUMN()-29)),OFFSET(DK229,0,-MIN(60,COLUMN()-29),1,MIN(60,COLUMN()-29))),0)</f>
        <v>65.49165168</v>
      </c>
      <c r="DL230" s="112" t="n">
        <f aca="true">IFERROR(SUMPRODUCT(OFFSET($BJ$31,0,1-MIN(60,COLUMN()-29),1,MIN(60,COLUMN()-29)),OFFSET(DL229,0,-MIN(60,COLUMN()-29),1,MIN(60,COLUMN()-29))),0)</f>
        <v>77.3395608</v>
      </c>
      <c r="DM230" s="112" t="n">
        <f aca="true">IFERROR(SUMPRODUCT(OFFSET($BJ$31,0,1-MIN(60,COLUMN()-29),1,MIN(60,COLUMN()-29)),OFFSET(DM229,0,-MIN(60,COLUMN()-29),1,MIN(60,COLUMN()-29))),0)</f>
        <v>81.17179584</v>
      </c>
      <c r="DN230" s="112" t="n">
        <f aca="true">IFERROR(SUMPRODUCT(OFFSET($BJ$31,0,1-MIN(60,COLUMN()-29),1,MIN(60,COLUMN()-29)),OFFSET(DN229,0,-MIN(60,COLUMN()-29),1,MIN(60,COLUMN()-29))),0)</f>
        <v>81.70260672</v>
      </c>
      <c r="DO230" s="112" t="n">
        <f aca="true">IFERROR(SUMPRODUCT(OFFSET($BJ$31,0,1-MIN(60,COLUMN()-29),1,MIN(60,COLUMN()-29)),OFFSET(DO229,0,-MIN(60,COLUMN()-29),1,MIN(60,COLUMN()-29))),0)</f>
        <v>81.57365136</v>
      </c>
      <c r="DP230" s="112" t="n">
        <f aca="true">IFERROR(SUMPRODUCT(OFFSET($BJ$31,0,1-MIN(60,COLUMN()-29),1,MIN(60,COLUMN()-29)),OFFSET(DP229,0,-MIN(60,COLUMN()-29),1,MIN(60,COLUMN()-29))),0)</f>
        <v>87.95798064</v>
      </c>
      <c r="DQ230" s="112" t="n">
        <f aca="true">IFERROR(SUMPRODUCT(OFFSET($BJ$31,0,1-MIN(60,COLUMN()-29),1,MIN(60,COLUMN()-29)),OFFSET(DQ229,0,-MIN(60,COLUMN()-29),1,MIN(60,COLUMN()-29))),0)</f>
        <v>108.18636312</v>
      </c>
      <c r="DR230" s="112" t="n">
        <f aca="true">IFERROR(SUMPRODUCT(OFFSET($BJ$31,0,1-MIN(60,COLUMN()-29),1,MIN(60,COLUMN()-29)),OFFSET(DR229,0,-MIN(60,COLUMN()-29),1,MIN(60,COLUMN()-29))),0)</f>
        <v>108.44015352</v>
      </c>
      <c r="DS230" s="112" t="n">
        <f aca="true">IFERROR(SUMPRODUCT(OFFSET($BJ$31,0,1-MIN(60,COLUMN()-29),1,MIN(60,COLUMN()-29)),OFFSET(DS229,0,-MIN(60,COLUMN()-29),1,MIN(60,COLUMN()-29))),0)</f>
        <v>107.6545932</v>
      </c>
      <c r="DT230" s="112" t="n">
        <f aca="true">IFERROR(SUMPRODUCT(OFFSET($BJ$31,0,1-MIN(60,COLUMN()-29),1,MIN(60,COLUMN()-29)),OFFSET(DT229,0,-MIN(60,COLUMN()-29),1,MIN(60,COLUMN()-29))),0)</f>
        <v>104.74871976</v>
      </c>
      <c r="DU230" s="112" t="n">
        <f aca="true">IFERROR(SUMPRODUCT(OFFSET($BJ$31,0,1-MIN(60,COLUMN()-29),1,MIN(60,COLUMN()-29)),OFFSET(DU229,0,-MIN(60,COLUMN()-29),1,MIN(60,COLUMN()-29))),0)</f>
        <v>120.13004304</v>
      </c>
      <c r="DV230" s="112" t="n">
        <f aca="true">IFERROR(SUMPRODUCT(OFFSET($BJ$31,0,1-MIN(60,COLUMN()-29),1,MIN(60,COLUMN()-29)),OFFSET(DV229,0,-MIN(60,COLUMN()-29),1,MIN(60,COLUMN()-29))),0)</f>
        <v>126.22376544</v>
      </c>
      <c r="DW230" s="112" t="n">
        <f aca="true">IFERROR(SUMPRODUCT(OFFSET($BJ$31,0,1-MIN(60,COLUMN()-29),1,MIN(60,COLUMN()-29)),OFFSET(DW229,0,-MIN(60,COLUMN()-29),1,MIN(60,COLUMN()-29))),0)</f>
        <v>126.59956704</v>
      </c>
      <c r="DX230" s="112" t="n">
        <f aca="true">IFERROR(SUMPRODUCT(OFFSET($BJ$31,0,1-MIN(60,COLUMN()-29),1,MIN(60,COLUMN()-29)),OFFSET(DX229,0,-MIN(60,COLUMN()-29),1,MIN(60,COLUMN()-29))),0)</f>
        <v>140.82813312</v>
      </c>
      <c r="DY230" s="112" t="n">
        <f aca="true">IFERROR(SUMPRODUCT(OFFSET($BJ$31,0,1-MIN(60,COLUMN()-29),1,MIN(60,COLUMN()-29)),OFFSET(DY229,0,-MIN(60,COLUMN()-29),1,MIN(60,COLUMN()-29))),0)</f>
        <v>144.82142472</v>
      </c>
      <c r="DZ230" s="112" t="n">
        <f aca="true">IFERROR(SUMPRODUCT(OFFSET($BJ$31,0,1-MIN(60,COLUMN()-29),1,MIN(60,COLUMN()-29)),OFFSET(DZ229,0,-MIN(60,COLUMN()-29),1,MIN(60,COLUMN()-29))),0)</f>
        <v>146.53538904</v>
      </c>
      <c r="EA230" s="112" t="n">
        <f aca="true">IFERROR(SUMPRODUCT(OFFSET($BJ$31,0,1-MIN(60,COLUMN()-29),1,MIN(60,COLUMN()-29)),OFFSET(EA229,0,-MIN(60,COLUMN()-29),1,MIN(60,COLUMN()-29))),0)</f>
        <v>146.90145816</v>
      </c>
      <c r="EB230" s="112" t="n">
        <f aca="true">IFERROR(SUMPRODUCT(OFFSET($BJ$31,0,1-MIN(60,COLUMN()-29),1,MIN(60,COLUMN()-29)),OFFSET(EB229,0,-MIN(60,COLUMN()-29),1,MIN(60,COLUMN()-29))),0)</f>
        <v>155.70597816</v>
      </c>
      <c r="EC230" s="112" t="n">
        <f aca="true">IFERROR(SUMPRODUCT(OFFSET($BJ$31,0,1-MIN(60,COLUMN()-29),1,MIN(60,COLUMN()-29)),OFFSET(EC229,0,-MIN(60,COLUMN()-29),1,MIN(60,COLUMN()-29))),0)</f>
        <v>179.2051932</v>
      </c>
      <c r="ED230" s="112" t="n">
        <f aca="true">IFERROR(SUMPRODUCT(OFFSET($BJ$31,0,1-MIN(60,COLUMN()-29),1,MIN(60,COLUMN()-29)),OFFSET(ED229,0,-MIN(60,COLUMN()-29),1,MIN(60,COLUMN()-29))),0)</f>
        <v>179.33301192</v>
      </c>
      <c r="EE230" s="112" t="n">
        <f aca="true">IFERROR(SUMPRODUCT(OFFSET($BJ$31,0,1-MIN(60,COLUMN()-29),1,MIN(60,COLUMN()-29)),OFFSET(EE229,0,-MIN(60,COLUMN()-29),1,MIN(60,COLUMN()-29))),0)</f>
        <v>178.08242376</v>
      </c>
      <c r="EF230" s="112" t="n">
        <f aca="true">IFERROR(SUMPRODUCT(OFFSET($BJ$31,0,1-MIN(60,COLUMN()-29),1,MIN(60,COLUMN()-29)),OFFSET(EF229,0,-MIN(60,COLUMN()-29),1,MIN(60,COLUMN()-29))),0)</f>
        <v>174.84154344</v>
      </c>
      <c r="EG230" s="112" t="n">
        <f aca="true">IFERROR(SUMPRODUCT(OFFSET($BJ$31,0,1-MIN(60,COLUMN()-29),1,MIN(60,COLUMN()-29)),OFFSET(EG229,0,-MIN(60,COLUMN()-29),1,MIN(60,COLUMN()-29))),0)</f>
        <v>191.9411556</v>
      </c>
      <c r="EH230" s="112" t="n">
        <f aca="true">IFERROR(SUMPRODUCT(OFFSET($BJ$31,0,1-MIN(60,COLUMN()-29),1,MIN(60,COLUMN()-29)),OFFSET(EH229,0,-MIN(60,COLUMN()-29),1,MIN(60,COLUMN()-29))),0)</f>
        <v>198.000246</v>
      </c>
      <c r="EI230" s="112" t="n">
        <f aca="true">IFERROR(SUMPRODUCT(OFFSET($BJ$31,0,1-MIN(60,COLUMN()-29),1,MIN(60,COLUMN()-29)),OFFSET(EI229,0,-MIN(60,COLUMN()-29),1,MIN(60,COLUMN()-29))),0)</f>
        <v>198.04160016</v>
      </c>
      <c r="EJ230" s="112" t="n">
        <f aca="true">IFERROR(SUMPRODUCT(OFFSET($BJ$31,0,1-MIN(60,COLUMN()-29),1,MIN(60,COLUMN()-29)),OFFSET(EJ229,0,-MIN(60,COLUMN()-29),1,MIN(60,COLUMN()-29))),0)</f>
        <v>212.18616144</v>
      </c>
      <c r="EK230" s="112" t="n">
        <f aca="true">IFERROR(SUMPRODUCT(OFFSET($BJ$31,0,1-MIN(60,COLUMN()-29),1,MIN(60,COLUMN()-29)),OFFSET(EK229,0,-MIN(60,COLUMN()-29),1,MIN(60,COLUMN()-29))),0)</f>
        <v>215.739933</v>
      </c>
      <c r="EL230" s="112" t="n">
        <f aca="true">IFERROR(SUMPRODUCT(OFFSET($BJ$31,0,1-MIN(60,COLUMN()-29),1,MIN(60,COLUMN()-29)),OFFSET(EL229,0,-MIN(60,COLUMN()-29),1,MIN(60,COLUMN()-29))),0)</f>
        <v>216.78927372</v>
      </c>
      <c r="EM230" s="112" t="n">
        <f aca="true">IFERROR(SUMPRODUCT(OFFSET($BJ$31,0,1-MIN(60,COLUMN()-29),1,MIN(60,COLUMN()-29)),OFFSET(EM229,0,-MIN(60,COLUMN()-29),1,MIN(60,COLUMN()-29))),0)</f>
        <v>216.48946716</v>
      </c>
      <c r="EN230" s="112" t="n">
        <f aca="true">IFERROR(SUMPRODUCT(OFFSET($BJ$31,0,1-MIN(60,COLUMN()-29),1,MIN(60,COLUMN()-29)),OFFSET(EN229,0,-MIN(60,COLUMN()-29),1,MIN(60,COLUMN()-29))),0)</f>
        <v>225.14582436</v>
      </c>
      <c r="EO230" s="112" t="n">
        <f aca="true">IFERROR(SUMPRODUCT(OFFSET($BJ$31,0,1-MIN(60,COLUMN()-29),1,MIN(60,COLUMN()-29)),OFFSET(EO229,0,-MIN(60,COLUMN()-29),1,MIN(60,COLUMN()-29))),0)</f>
        <v>247.4990976</v>
      </c>
      <c r="EP230" s="112" t="n">
        <f aca="true">IFERROR(SUMPRODUCT(OFFSET($BJ$31,0,1-MIN(60,COLUMN()-29),1,MIN(60,COLUMN()-29)),OFFSET(EP229,0,-MIN(60,COLUMN()-29),1,MIN(60,COLUMN()-29))),0)</f>
        <v>246.40520592</v>
      </c>
      <c r="EQ230" s="112" t="n">
        <f aca="true">IFERROR(SUMPRODUCT(OFFSET($BJ$31,0,1-MIN(60,COLUMN()-29),1,MIN(60,COLUMN()-29)),OFFSET(EQ229,0,-MIN(60,COLUMN()-29),1,MIN(60,COLUMN()-29))),0)</f>
        <v>244.13292048</v>
      </c>
      <c r="ER230" s="112" t="n">
        <f aca="true">IFERROR(SUMPRODUCT(OFFSET($BJ$31,0,1-MIN(60,COLUMN()-29),1,MIN(60,COLUMN()-29)),OFFSET(ER229,0,-MIN(60,COLUMN()-29),1,MIN(60,COLUMN()-29))),0)</f>
        <v>240.19824576</v>
      </c>
      <c r="ES230" s="9" t="n">
        <f aca="true">IFERROR(SUMPRODUCT(OFFSET($BJ$31,0,1-MIN(60,COLUMN()-29),1,MIN(60,COLUMN()-29)),OFFSET(ES229,0,-MIN(60,COLUMN()-29),1,MIN(60,COLUMN()-29))),0)</f>
        <v>256.67552976</v>
      </c>
      <c r="ET230" s="9" t="n">
        <f aca="true">IFERROR(SUMPRODUCT(OFFSET($BJ$31,0,1-MIN(60,COLUMN()-29),1,MIN(60,COLUMN()-29)),OFFSET(ET229,0,-MIN(60,COLUMN()-29),1,MIN(60,COLUMN()-29))),0)</f>
        <v>261.50269776</v>
      </c>
      <c r="EU230" s="9" t="n">
        <f aca="true">IFERROR(SUMPRODUCT(OFFSET($BJ$31,0,1-MIN(60,COLUMN()-29),1,MIN(60,COLUMN()-29)),OFFSET(EU229,0,-MIN(60,COLUMN()-29),1,MIN(60,COLUMN()-29))),0)</f>
        <v>260.46666816</v>
      </c>
      <c r="EV230" s="9" t="n">
        <f aca="true">IFERROR(SUMPRODUCT(OFFSET($BJ$31,0,1-MIN(60,COLUMN()-29),1,MIN(60,COLUMN()-29)),OFFSET(EV229,0,-MIN(60,COLUMN()-29),1,MIN(60,COLUMN()-29))),0)</f>
        <v>273.07786656</v>
      </c>
      <c r="EW230" s="9" t="n">
        <f aca="true">IFERROR(SUMPRODUCT(OFFSET($BJ$31,0,1-MIN(60,COLUMN()-29),1,MIN(60,COLUMN()-29)),OFFSET(EW229,0,-MIN(60,COLUMN()-29),1,MIN(60,COLUMN()-29))),0)</f>
        <v>274.59035256</v>
      </c>
      <c r="EX230" s="9" t="n">
        <f aca="true">IFERROR(SUMPRODUCT(OFFSET($BJ$31,0,1-MIN(60,COLUMN()-29),1,MIN(60,COLUMN()-29)),OFFSET(EX229,0,-MIN(60,COLUMN()-29),1,MIN(60,COLUMN()-29))),0)</f>
        <v>273.78387096</v>
      </c>
      <c r="EY230" s="9" t="n">
        <f aca="true">IFERROR(SUMPRODUCT(OFFSET($BJ$31,0,1-MIN(60,COLUMN()-29),1,MIN(60,COLUMN()-29)),OFFSET(EY229,0,-MIN(60,COLUMN()-29),1,MIN(60,COLUMN()-29))),0)</f>
        <v>271.79208696</v>
      </c>
      <c r="EZ230" s="9" t="n">
        <f aca="true">IFERROR(SUMPRODUCT(OFFSET($BJ$31,0,1-MIN(60,COLUMN()-29),1,MIN(60,COLUMN()-29)),OFFSET(EZ229,0,-MIN(60,COLUMN()-29),1,MIN(60,COLUMN()-29))),0)</f>
        <v>278.66121096</v>
      </c>
      <c r="FA230" s="9" t="n">
        <f aca="true">IFERROR(SUMPRODUCT(OFFSET($BJ$31,0,1-MIN(60,COLUMN()-29),1,MIN(60,COLUMN()-29)),OFFSET(FA229,0,-MIN(60,COLUMN()-29),1,MIN(60,COLUMN()-29))),0)</f>
        <v>297.91558176</v>
      </c>
      <c r="FB230" s="9" t="n">
        <f aca="true">IFERROR(SUMPRODUCT(OFFSET($BJ$31,0,1-MIN(60,COLUMN()-29),1,MIN(60,COLUMN()-29)),OFFSET(FB229,0,-MIN(60,COLUMN()-29),1,MIN(60,COLUMN()-29))),0)</f>
        <v>294.17825616</v>
      </c>
      <c r="FC230" s="9" t="n">
        <f aca="true">IFERROR(SUMPRODUCT(OFFSET($BJ$31,0,1-MIN(60,COLUMN()-29),1,MIN(60,COLUMN()-29)),OFFSET(FC229,0,-MIN(60,COLUMN()-29),1,MIN(60,COLUMN()-29))),0)</f>
        <v>289.62530256</v>
      </c>
      <c r="FD230" s="9" t="n">
        <f aca="true">IFERROR(SUMPRODUCT(OFFSET($BJ$31,0,1-MIN(60,COLUMN()-29),1,MIN(60,COLUMN()-29)),OFFSET(FD229,0,-MIN(60,COLUMN()-29),1,MIN(60,COLUMN()-29))),0)</f>
        <v>283.92274416</v>
      </c>
      <c r="FE230" s="9" t="n">
        <f aca="true">IFERROR(SUMPRODUCT(OFFSET($BJ$31,0,1-MIN(60,COLUMN()-29),1,MIN(60,COLUMN()-29)),OFFSET(FE229,0,-MIN(60,COLUMN()-29),1,MIN(60,COLUMN()-29))),0)</f>
        <v>297.77558856</v>
      </c>
      <c r="FF230" s="9" t="n">
        <f aca="true">IFERROR(SUMPRODUCT(OFFSET($BJ$31,0,1-MIN(60,COLUMN()-29),1,MIN(60,COLUMN()-29)),OFFSET(FF229,0,-MIN(60,COLUMN()-29),1,MIN(60,COLUMN()-29))),0)</f>
        <v>300.40415736</v>
      </c>
      <c r="FG230" s="9" t="n">
        <f aca="true">IFERROR(SUMPRODUCT(OFFSET($BJ$31,0,1-MIN(60,COLUMN()-29),1,MIN(60,COLUMN()-29)),OFFSET(FG229,0,-MIN(60,COLUMN()-29),1,MIN(60,COLUMN()-29))),0)</f>
        <v>297.71884536</v>
      </c>
      <c r="FH230" s="9" t="n">
        <f aca="true">IFERROR(SUMPRODUCT(OFFSET($BJ$31,0,1-MIN(60,COLUMN()-29),1,MIN(60,COLUMN()-29)),OFFSET(FH229,0,-MIN(60,COLUMN()-29),1,MIN(60,COLUMN()-29))),0)</f>
        <v>307.98146136</v>
      </c>
      <c r="FI230" s="9" t="n">
        <f aca="true">IFERROR(SUMPRODUCT(OFFSET($BJ$31,0,1-MIN(60,COLUMN()-29),1,MIN(60,COLUMN()-29)),OFFSET(FI229,0,-MIN(60,COLUMN()-29),1,MIN(60,COLUMN()-29))),0)</f>
        <v>307.30054296</v>
      </c>
      <c r="FJ230" s="9" t="n">
        <f aca="true">IFERROR(SUMPRODUCT(OFFSET($BJ$31,0,1-MIN(60,COLUMN()-29),1,MIN(60,COLUMN()-29)),OFFSET(FJ229,0,-MIN(60,COLUMN()-29),1,MIN(60,COLUMN()-29))),0)</f>
        <v>304.632618</v>
      </c>
      <c r="FK230" s="9" t="n">
        <f aca="true">IFERROR(SUMPRODUCT(OFFSET($BJ$31,0,1-MIN(60,COLUMN()-29),1,MIN(60,COLUMN()-29)),OFFSET(FK229,0,-MIN(60,COLUMN()-29),1,MIN(60,COLUMN()-29))),0)</f>
        <v>301.1106324</v>
      </c>
      <c r="FL230" s="9" t="n">
        <f aca="true">IFERROR(SUMPRODUCT(OFFSET($BJ$31,0,1-MIN(60,COLUMN()-29),1,MIN(60,COLUMN()-29)),OFFSET(FL229,0,-MIN(60,COLUMN()-29),1,MIN(60,COLUMN()-29))),0)</f>
        <v>306.43682088</v>
      </c>
      <c r="FM230" s="9" t="n">
        <f aca="true">IFERROR(SUMPRODUCT(OFFSET($BJ$31,0,1-MIN(60,COLUMN()-29),1,MIN(60,COLUMN()-29)),OFFSET(FM229,0,-MIN(60,COLUMN()-29),1,MIN(60,COLUMN()-29))),0)</f>
        <v>323.13963912</v>
      </c>
      <c r="FN230" s="9" t="n">
        <f aca="true">IFERROR(SUMPRODUCT(OFFSET($BJ$31,0,1-MIN(60,COLUMN()-29),1,MIN(60,COLUMN()-29)),OFFSET(FN229,0,-MIN(60,COLUMN()-29),1,MIN(60,COLUMN()-29))),0)</f>
        <v>317.43692088</v>
      </c>
      <c r="FO230" s="9" t="n">
        <f aca="true">IFERROR(SUMPRODUCT(OFFSET($BJ$31,0,1-MIN(60,COLUMN()-29),1,MIN(60,COLUMN()-29)),OFFSET(FO229,0,-MIN(60,COLUMN()-29),1,MIN(60,COLUMN()-29))),0)</f>
        <v>311.22802488</v>
      </c>
      <c r="FP230" s="9" t="n">
        <f aca="true">IFERROR(SUMPRODUCT(OFFSET($BJ$31,0,1-MIN(60,COLUMN()-29),1,MIN(60,COLUMN()-29)),OFFSET(FP229,0,-MIN(60,COLUMN()-29),1,MIN(60,COLUMN()-29))),0)</f>
        <v>304.36215096</v>
      </c>
    </row>
    <row r="231" customFormat="false" ht="15" hidden="false" customHeight="false" outlineLevel="2" collapsed="false">
      <c r="B231" s="90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237"/>
      <c r="AD231" s="237"/>
      <c r="AE231" s="237"/>
      <c r="AF231" s="237"/>
      <c r="AG231" s="237"/>
      <c r="AH231" s="237"/>
      <c r="AI231" s="237"/>
      <c r="AJ231" s="237"/>
      <c r="AK231" s="237"/>
      <c r="AL231" s="237"/>
      <c r="AM231" s="237"/>
      <c r="AN231" s="237"/>
      <c r="AO231" s="237"/>
      <c r="AP231" s="237"/>
      <c r="AQ231" s="237"/>
      <c r="AR231" s="237"/>
      <c r="AS231" s="237"/>
      <c r="AT231" s="237"/>
      <c r="AU231" s="237"/>
      <c r="AV231" s="237"/>
      <c r="AW231" s="237"/>
      <c r="AX231" s="237"/>
      <c r="AY231" s="237"/>
      <c r="AZ231" s="237"/>
      <c r="BA231" s="237"/>
      <c r="BB231" s="237"/>
      <c r="BC231" s="237"/>
      <c r="BD231" s="237"/>
      <c r="BE231" s="237"/>
      <c r="BF231" s="237"/>
      <c r="BG231" s="237"/>
      <c r="BH231" s="237"/>
      <c r="BI231" s="237"/>
      <c r="BJ231" s="237"/>
      <c r="BK231" s="237"/>
      <c r="BL231" s="237"/>
      <c r="BM231" s="237"/>
      <c r="BN231" s="237"/>
      <c r="BO231" s="237"/>
      <c r="BP231" s="237"/>
      <c r="BQ231" s="237"/>
      <c r="BR231" s="237"/>
      <c r="BS231" s="237"/>
      <c r="BT231" s="237"/>
      <c r="BU231" s="237"/>
      <c r="BV231" s="237"/>
      <c r="BW231" s="237"/>
      <c r="BX231" s="237"/>
      <c r="BY231" s="237"/>
      <c r="BZ231" s="237"/>
      <c r="CA231" s="237"/>
      <c r="CB231" s="237"/>
      <c r="CC231" s="237"/>
      <c r="CD231" s="237"/>
      <c r="CE231" s="237"/>
      <c r="CF231" s="237"/>
      <c r="CG231" s="237"/>
      <c r="CH231" s="237"/>
      <c r="CI231" s="237"/>
      <c r="CJ231" s="237"/>
      <c r="CK231" s="237"/>
      <c r="CL231" s="237"/>
      <c r="CM231" s="237"/>
      <c r="CN231" s="237"/>
      <c r="CO231" s="237"/>
      <c r="CP231" s="237"/>
      <c r="CQ231" s="237"/>
      <c r="CR231" s="237"/>
      <c r="CS231" s="237"/>
      <c r="CT231" s="237"/>
      <c r="CU231" s="237"/>
      <c r="CV231" s="237"/>
      <c r="CW231" s="237"/>
      <c r="CX231" s="237"/>
      <c r="CY231" s="237"/>
      <c r="CZ231" s="237"/>
      <c r="DA231" s="237"/>
      <c r="DB231" s="237"/>
      <c r="DC231" s="237"/>
      <c r="DD231" s="237"/>
      <c r="DE231" s="237"/>
      <c r="DF231" s="237"/>
      <c r="DG231" s="237"/>
      <c r="DH231" s="237"/>
      <c r="DI231" s="237"/>
      <c r="DJ231" s="237"/>
      <c r="DK231" s="237"/>
      <c r="DL231" s="237"/>
      <c r="DM231" s="237"/>
      <c r="DN231" s="237"/>
      <c r="DO231" s="237"/>
      <c r="DP231" s="237"/>
      <c r="DQ231" s="237"/>
      <c r="DR231" s="237"/>
      <c r="DS231" s="237"/>
      <c r="DT231" s="237"/>
      <c r="DU231" s="237"/>
      <c r="DV231" s="237"/>
      <c r="DW231" s="237"/>
      <c r="DX231" s="237"/>
      <c r="DY231" s="237"/>
      <c r="DZ231" s="237"/>
      <c r="EA231" s="237"/>
      <c r="EB231" s="237"/>
      <c r="EC231" s="237"/>
      <c r="ED231" s="237"/>
      <c r="EE231" s="237"/>
      <c r="EF231" s="237"/>
      <c r="EG231" s="237"/>
      <c r="EH231" s="237"/>
      <c r="EI231" s="237"/>
      <c r="EJ231" s="237"/>
      <c r="EK231" s="237"/>
      <c r="EL231" s="237"/>
      <c r="EM231" s="237"/>
      <c r="EN231" s="237"/>
      <c r="EO231" s="237"/>
      <c r="EP231" s="237"/>
      <c r="EQ231" s="237"/>
      <c r="ER231" s="237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</row>
    <row r="232" customFormat="false" ht="15" hidden="false" customHeight="false" outlineLevel="2" collapsed="false">
      <c r="B232" s="240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237"/>
      <c r="AD232" s="237"/>
      <c r="AE232" s="237"/>
      <c r="AF232" s="237"/>
      <c r="AG232" s="237"/>
      <c r="AH232" s="237"/>
      <c r="AI232" s="237"/>
      <c r="AJ232" s="237"/>
      <c r="AK232" s="237"/>
      <c r="AL232" s="237"/>
      <c r="AM232" s="237"/>
      <c r="AN232" s="237"/>
      <c r="AO232" s="237"/>
      <c r="AP232" s="237"/>
      <c r="AQ232" s="237"/>
      <c r="AR232" s="237"/>
      <c r="AS232" s="237"/>
      <c r="AT232" s="237"/>
      <c r="AU232" s="237"/>
      <c r="AV232" s="237"/>
      <c r="AW232" s="237"/>
      <c r="AX232" s="237"/>
      <c r="AY232" s="237"/>
      <c r="AZ232" s="237"/>
      <c r="BA232" s="237"/>
      <c r="BB232" s="237"/>
      <c r="BC232" s="237"/>
      <c r="BD232" s="237"/>
      <c r="BE232" s="237"/>
      <c r="BF232" s="237"/>
      <c r="BG232" s="237"/>
      <c r="BH232" s="237"/>
      <c r="BI232" s="237"/>
      <c r="BJ232" s="237"/>
      <c r="BK232" s="237"/>
      <c r="BL232" s="237"/>
      <c r="BM232" s="237"/>
      <c r="BN232" s="237"/>
      <c r="BO232" s="237"/>
      <c r="BP232" s="237"/>
      <c r="BQ232" s="237"/>
      <c r="BR232" s="237"/>
      <c r="BS232" s="237"/>
      <c r="BT232" s="237"/>
      <c r="BU232" s="237"/>
      <c r="BV232" s="237"/>
      <c r="BW232" s="237"/>
      <c r="BX232" s="237"/>
      <c r="BY232" s="237"/>
      <c r="BZ232" s="237"/>
      <c r="CA232" s="237"/>
      <c r="CB232" s="237"/>
      <c r="CC232" s="237"/>
      <c r="CD232" s="237"/>
      <c r="CE232" s="237"/>
      <c r="CF232" s="237"/>
      <c r="CG232" s="237"/>
      <c r="CH232" s="237"/>
      <c r="CI232" s="237"/>
      <c r="CJ232" s="237"/>
      <c r="CK232" s="237"/>
      <c r="CL232" s="237"/>
      <c r="CM232" s="237"/>
      <c r="CN232" s="237"/>
      <c r="CO232" s="237"/>
      <c r="CP232" s="237"/>
      <c r="CQ232" s="237"/>
      <c r="CR232" s="237"/>
      <c r="CS232" s="237"/>
      <c r="CT232" s="237"/>
      <c r="CU232" s="237"/>
      <c r="CV232" s="237"/>
      <c r="CW232" s="237"/>
      <c r="CX232" s="237"/>
      <c r="CY232" s="237"/>
      <c r="CZ232" s="237"/>
      <c r="DA232" s="237"/>
      <c r="DB232" s="237"/>
      <c r="DC232" s="237"/>
      <c r="DD232" s="237"/>
      <c r="DE232" s="237"/>
      <c r="DF232" s="237"/>
      <c r="DG232" s="237"/>
      <c r="DH232" s="237"/>
      <c r="DI232" s="237"/>
      <c r="DJ232" s="237"/>
      <c r="DK232" s="237"/>
      <c r="DL232" s="237"/>
      <c r="DM232" s="237"/>
      <c r="DN232" s="237"/>
      <c r="DO232" s="237"/>
      <c r="DP232" s="237"/>
      <c r="DQ232" s="237"/>
      <c r="DR232" s="237"/>
      <c r="DS232" s="237"/>
      <c r="DT232" s="237"/>
      <c r="DU232" s="237"/>
      <c r="DV232" s="237"/>
      <c r="DW232" s="237"/>
      <c r="DX232" s="237"/>
      <c r="DY232" s="237"/>
      <c r="DZ232" s="237"/>
      <c r="EA232" s="237"/>
      <c r="EB232" s="237"/>
      <c r="EC232" s="237"/>
      <c r="ED232" s="237"/>
      <c r="EE232" s="237"/>
      <c r="EF232" s="237"/>
      <c r="EG232" s="237"/>
      <c r="EH232" s="237"/>
      <c r="EI232" s="237"/>
      <c r="EJ232" s="237"/>
      <c r="EK232" s="237"/>
      <c r="EL232" s="237"/>
      <c r="EM232" s="237"/>
      <c r="EN232" s="237"/>
      <c r="EO232" s="237"/>
      <c r="EP232" s="237"/>
      <c r="EQ232" s="237"/>
      <c r="ER232" s="237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</row>
    <row r="233" customFormat="false" ht="15" hidden="false" customHeight="false" outlineLevel="2" collapsed="false">
      <c r="B233" s="21" t="s">
        <v>896</v>
      </c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  <c r="BZ233" s="21"/>
      <c r="CA233" s="21"/>
      <c r="CB233" s="21"/>
      <c r="CC233" s="21"/>
      <c r="CD233" s="21"/>
      <c r="CE233" s="21"/>
      <c r="CF233" s="21"/>
      <c r="CG233" s="21"/>
      <c r="CH233" s="21"/>
      <c r="CI233" s="21"/>
      <c r="CJ233" s="21"/>
      <c r="CK233" s="21"/>
      <c r="CL233" s="21"/>
      <c r="CM233" s="21"/>
      <c r="CN233" s="21"/>
      <c r="CO233" s="21"/>
      <c r="CP233" s="21"/>
      <c r="CQ233" s="21"/>
      <c r="CR233" s="21"/>
      <c r="CS233" s="21"/>
      <c r="CT233" s="21"/>
      <c r="CU233" s="21"/>
      <c r="CV233" s="21"/>
      <c r="CW233" s="21"/>
      <c r="CX233" s="21"/>
      <c r="CY233" s="21"/>
      <c r="CZ233" s="21"/>
      <c r="DA233" s="21"/>
      <c r="DB233" s="21"/>
      <c r="DC233" s="21"/>
      <c r="DD233" s="21"/>
      <c r="DE233" s="21"/>
      <c r="DF233" s="21"/>
      <c r="DG233" s="21"/>
      <c r="DH233" s="21"/>
      <c r="DI233" s="21"/>
      <c r="DJ233" s="21"/>
      <c r="DK233" s="21"/>
      <c r="DL233" s="21"/>
      <c r="DM233" s="21"/>
      <c r="DN233" s="21"/>
      <c r="DO233" s="21"/>
      <c r="DP233" s="21"/>
      <c r="DQ233" s="21"/>
      <c r="DR233" s="21"/>
      <c r="DS233" s="21"/>
      <c r="DT233" s="21"/>
      <c r="DU233" s="21"/>
      <c r="DV233" s="21"/>
      <c r="DW233" s="21"/>
      <c r="DX233" s="21"/>
      <c r="DY233" s="21"/>
      <c r="DZ233" s="21"/>
      <c r="EA233" s="21"/>
      <c r="EB233" s="21"/>
      <c r="EC233" s="21"/>
      <c r="ED233" s="21"/>
      <c r="EE233" s="21"/>
      <c r="EF233" s="21"/>
      <c r="EG233" s="21"/>
      <c r="EH233" s="21"/>
      <c r="EI233" s="21"/>
      <c r="EJ233" s="21"/>
      <c r="EK233" s="21"/>
      <c r="EL233" s="21"/>
      <c r="EM233" s="21"/>
      <c r="EN233" s="21"/>
      <c r="EO233" s="21"/>
      <c r="EP233" s="21"/>
      <c r="EQ233" s="21"/>
      <c r="ER233" s="21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</row>
    <row r="234" customFormat="false" ht="15" hidden="false" customHeight="false" outlineLevel="2" collapsed="false">
      <c r="B234" s="9" t="s">
        <v>872</v>
      </c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234" t="n">
        <f aca="false">('⑫ Roll-out Plan'!G29-2025)*12+'⑫ Roll-out Plan'!F29</f>
        <v>64</v>
      </c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</row>
    <row r="235" customFormat="false" ht="15" hidden="false" customHeight="false" outlineLevel="2" collapsed="false">
      <c r="B235" s="9" t="s">
        <v>873</v>
      </c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235" t="n">
        <f aca="false">VLOOKUP("C",$B$14:$C$18,2,FALSE())</f>
        <v>110</v>
      </c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</row>
    <row r="236" customFormat="false" ht="15" hidden="false" customHeight="false" outlineLevel="2" collapsed="false">
      <c r="B236" s="9" t="s">
        <v>799</v>
      </c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63" t="n">
        <f aca="false">IF(AC$35&gt;=$AC$234,AC$35-$AC$234+1,0)</f>
        <v>0</v>
      </c>
      <c r="AD236" s="63" t="n">
        <f aca="false">IF(AD$35&gt;=$AC$234,AD$35-$AC$234+1,0)</f>
        <v>0</v>
      </c>
      <c r="AE236" s="63" t="n">
        <f aca="false">IF(AE$35&gt;=$AC$234,AE$35-$AC$234+1,0)</f>
        <v>0</v>
      </c>
      <c r="AF236" s="63" t="n">
        <f aca="false">IF(AF$35&gt;=$AC$234,AF$35-$AC$234+1,0)</f>
        <v>0</v>
      </c>
      <c r="AG236" s="63" t="n">
        <f aca="false">IF(AG$35&gt;=$AC$234,AG$35-$AC$234+1,0)</f>
        <v>0</v>
      </c>
      <c r="AH236" s="63" t="n">
        <f aca="false">IF(AH$35&gt;=$AC$234,AH$35-$AC$234+1,0)</f>
        <v>0</v>
      </c>
      <c r="AI236" s="63" t="n">
        <f aca="false">IF(AI$35&gt;=$AC$234,AI$35-$AC$234+1,0)</f>
        <v>0</v>
      </c>
      <c r="AJ236" s="63" t="n">
        <f aca="false">IF(AJ$35&gt;=$AC$234,AJ$35-$AC$234+1,0)</f>
        <v>0</v>
      </c>
      <c r="AK236" s="63" t="n">
        <f aca="false">IF(AK$35&gt;=$AC$234,AK$35-$AC$234+1,0)</f>
        <v>0</v>
      </c>
      <c r="AL236" s="63" t="n">
        <f aca="false">IF(AL$35&gt;=$AC$234,AL$35-$AC$234+1,0)</f>
        <v>0</v>
      </c>
      <c r="AM236" s="63" t="n">
        <f aca="false">IF(AM$35&gt;=$AC$234,AM$35-$AC$234+1,0)</f>
        <v>0</v>
      </c>
      <c r="AN236" s="63" t="n">
        <f aca="false">IF(AN$35&gt;=$AC$234,AN$35-$AC$234+1,0)</f>
        <v>0</v>
      </c>
      <c r="AO236" s="63" t="n">
        <f aca="false">IF(AO$35&gt;=$AC$234,AO$35-$AC$234+1,0)</f>
        <v>0</v>
      </c>
      <c r="AP236" s="63" t="n">
        <f aca="false">IF(AP$35&gt;=$AC$234,AP$35-$AC$234+1,0)</f>
        <v>0</v>
      </c>
      <c r="AQ236" s="63" t="n">
        <f aca="false">IF(AQ$35&gt;=$AC$234,AQ$35-$AC$234+1,0)</f>
        <v>0</v>
      </c>
      <c r="AR236" s="63" t="n">
        <f aca="false">IF(AR$35&gt;=$AC$234,AR$35-$AC$234+1,0)</f>
        <v>0</v>
      </c>
      <c r="AS236" s="63" t="n">
        <f aca="false">IF(AS$35&gt;=$AC$234,AS$35-$AC$234+1,0)</f>
        <v>0</v>
      </c>
      <c r="AT236" s="63" t="n">
        <f aca="false">IF(AT$35&gt;=$AC$234,AT$35-$AC$234+1,0)</f>
        <v>0</v>
      </c>
      <c r="AU236" s="63" t="n">
        <f aca="false">IF(AU$35&gt;=$AC$234,AU$35-$AC$234+1,0)</f>
        <v>0</v>
      </c>
      <c r="AV236" s="63" t="n">
        <f aca="false">IF(AV$35&gt;=$AC$234,AV$35-$AC$234+1,0)</f>
        <v>0</v>
      </c>
      <c r="AW236" s="63" t="n">
        <f aca="false">IF(AW$35&gt;=$AC$234,AW$35-$AC$234+1,0)</f>
        <v>0</v>
      </c>
      <c r="AX236" s="63" t="n">
        <f aca="false">IF(AX$35&gt;=$AC$234,AX$35-$AC$234+1,0)</f>
        <v>0</v>
      </c>
      <c r="AY236" s="63" t="n">
        <f aca="false">IF(AY$35&gt;=$AC$234,AY$35-$AC$234+1,0)</f>
        <v>0</v>
      </c>
      <c r="AZ236" s="63" t="n">
        <f aca="false">IF(AZ$35&gt;=$AC$234,AZ$35-$AC$234+1,0)</f>
        <v>0</v>
      </c>
      <c r="BA236" s="63" t="n">
        <f aca="false">IF(BA$35&gt;=$AC$234,BA$35-$AC$234+1,0)</f>
        <v>0</v>
      </c>
      <c r="BB236" s="63" t="n">
        <f aca="false">IF(BB$35&gt;=$AC$234,BB$35-$AC$234+1,0)</f>
        <v>0</v>
      </c>
      <c r="BC236" s="63" t="n">
        <f aca="false">IF(BC$35&gt;=$AC$234,BC$35-$AC$234+1,0)</f>
        <v>0</v>
      </c>
      <c r="BD236" s="63" t="n">
        <f aca="false">IF(BD$35&gt;=$AC$234,BD$35-$AC$234+1,0)</f>
        <v>0</v>
      </c>
      <c r="BE236" s="63" t="n">
        <f aca="false">IF(BE$35&gt;=$AC$234,BE$35-$AC$234+1,0)</f>
        <v>0</v>
      </c>
      <c r="BF236" s="63" t="n">
        <f aca="false">IF(BF$35&gt;=$AC$234,BF$35-$AC$234+1,0)</f>
        <v>0</v>
      </c>
      <c r="BG236" s="63" t="n">
        <f aca="false">IF(BG$35&gt;=$AC$234,BG$35-$AC$234+1,0)</f>
        <v>0</v>
      </c>
      <c r="BH236" s="63" t="n">
        <f aca="false">IF(BH$35&gt;=$AC$234,BH$35-$AC$234+1,0)</f>
        <v>0</v>
      </c>
      <c r="BI236" s="63" t="n">
        <f aca="false">IF(BI$35&gt;=$AC$234,BI$35-$AC$234+1,0)</f>
        <v>0</v>
      </c>
      <c r="BJ236" s="63" t="n">
        <f aca="false">IF(BJ$35&gt;=$AC$234,BJ$35-$AC$234+1,0)</f>
        <v>0</v>
      </c>
      <c r="BK236" s="63" t="n">
        <f aca="false">IF(BK$35&gt;=$AC$234,BK$35-$AC$234+1,0)</f>
        <v>0</v>
      </c>
      <c r="BL236" s="63" t="n">
        <f aca="false">IF(BL$35&gt;=$AC$234,BL$35-$AC$234+1,0)</f>
        <v>0</v>
      </c>
      <c r="BM236" s="63" t="n">
        <f aca="false">IF(BM$35&gt;=$AC$234,BM$35-$AC$234+1,0)</f>
        <v>0</v>
      </c>
      <c r="BN236" s="63" t="n">
        <f aca="false">IF(BN$35&gt;=$AC$234,BN$35-$AC$234+1,0)</f>
        <v>0</v>
      </c>
      <c r="BO236" s="63" t="n">
        <f aca="false">IF(BO$35&gt;=$AC$234,BO$35-$AC$234+1,0)</f>
        <v>0</v>
      </c>
      <c r="BP236" s="63" t="n">
        <f aca="false">IF(BP$35&gt;=$AC$234,BP$35-$AC$234+1,0)</f>
        <v>0</v>
      </c>
      <c r="BQ236" s="63" t="n">
        <f aca="false">IF(BQ$35&gt;=$AC$234,BQ$35-$AC$234+1,0)</f>
        <v>0</v>
      </c>
      <c r="BR236" s="63" t="n">
        <f aca="false">IF(BR$35&gt;=$AC$234,BR$35-$AC$234+1,0)</f>
        <v>0</v>
      </c>
      <c r="BS236" s="63" t="n">
        <f aca="false">IF(BS$35&gt;=$AC$234,BS$35-$AC$234+1,0)</f>
        <v>0</v>
      </c>
      <c r="BT236" s="63" t="n">
        <f aca="false">IF(BT$35&gt;=$AC$234,BT$35-$AC$234+1,0)</f>
        <v>0</v>
      </c>
      <c r="BU236" s="63" t="n">
        <f aca="false">IF(BU$35&gt;=$AC$234,BU$35-$AC$234+1,0)</f>
        <v>0</v>
      </c>
      <c r="BV236" s="63" t="n">
        <f aca="false">IF(BV$35&gt;=$AC$234,BV$35-$AC$234+1,0)</f>
        <v>0</v>
      </c>
      <c r="BW236" s="63" t="n">
        <f aca="false">IF(BW$35&gt;=$AC$234,BW$35-$AC$234+1,0)</f>
        <v>0</v>
      </c>
      <c r="BX236" s="63" t="n">
        <f aca="false">IF(BX$35&gt;=$AC$234,BX$35-$AC$234+1,0)</f>
        <v>0</v>
      </c>
      <c r="BY236" s="63" t="n">
        <f aca="false">IF(BY$35&gt;=$AC$234,BY$35-$AC$234+1,0)</f>
        <v>0</v>
      </c>
      <c r="BZ236" s="63" t="n">
        <f aca="false">IF(BZ$35&gt;=$AC$234,BZ$35-$AC$234+1,0)</f>
        <v>0</v>
      </c>
      <c r="CA236" s="63" t="n">
        <f aca="false">IF(CA$35&gt;=$AC$234,CA$35-$AC$234+1,0)</f>
        <v>0</v>
      </c>
      <c r="CB236" s="63" t="n">
        <f aca="false">IF(CB$35&gt;=$AC$234,CB$35-$AC$234+1,0)</f>
        <v>0</v>
      </c>
      <c r="CC236" s="63" t="n">
        <f aca="false">IF(CC$35&gt;=$AC$234,CC$35-$AC$234+1,0)</f>
        <v>0</v>
      </c>
      <c r="CD236" s="63" t="n">
        <f aca="false">IF(CD$35&gt;=$AC$234,CD$35-$AC$234+1,0)</f>
        <v>0</v>
      </c>
      <c r="CE236" s="63" t="n">
        <f aca="false">IF(CE$35&gt;=$AC$234,CE$35-$AC$234+1,0)</f>
        <v>0</v>
      </c>
      <c r="CF236" s="63" t="n">
        <f aca="false">IF(CF$35&gt;=$AC$234,CF$35-$AC$234+1,0)</f>
        <v>0</v>
      </c>
      <c r="CG236" s="63" t="n">
        <f aca="false">IF(CG$35&gt;=$AC$234,CG$35-$AC$234+1,0)</f>
        <v>0</v>
      </c>
      <c r="CH236" s="63" t="n">
        <f aca="false">IF(CH$35&gt;=$AC$234,CH$35-$AC$234+1,0)</f>
        <v>0</v>
      </c>
      <c r="CI236" s="63" t="n">
        <f aca="false">IF(CI$35&gt;=$AC$234,CI$35-$AC$234+1,0)</f>
        <v>0</v>
      </c>
      <c r="CJ236" s="63" t="n">
        <f aca="false">IF(CJ$35&gt;=$AC$234,CJ$35-$AC$234+1,0)</f>
        <v>0</v>
      </c>
      <c r="CK236" s="63" t="n">
        <f aca="false">IF(CK$35&gt;=$AC$234,CK$35-$AC$234+1,0)</f>
        <v>0</v>
      </c>
      <c r="CL236" s="63" t="n">
        <f aca="false">IF(CL$35&gt;=$AC$234,CL$35-$AC$234+1,0)</f>
        <v>0</v>
      </c>
      <c r="CM236" s="63" t="n">
        <f aca="false">IF(CM$35&gt;=$AC$234,CM$35-$AC$234+1,0)</f>
        <v>0</v>
      </c>
      <c r="CN236" s="63" t="n">
        <f aca="false">IF(CN$35&gt;=$AC$234,CN$35-$AC$234+1,0)</f>
        <v>1</v>
      </c>
      <c r="CO236" s="63" t="n">
        <f aca="false">IF(CO$35&gt;=$AC$234,CO$35-$AC$234+1,0)</f>
        <v>2</v>
      </c>
      <c r="CP236" s="63" t="n">
        <f aca="false">IF(CP$35&gt;=$AC$234,CP$35-$AC$234+1,0)</f>
        <v>3</v>
      </c>
      <c r="CQ236" s="63" t="n">
        <f aca="false">IF(CQ$35&gt;=$AC$234,CQ$35-$AC$234+1,0)</f>
        <v>4</v>
      </c>
      <c r="CR236" s="63" t="n">
        <f aca="false">IF(CR$35&gt;=$AC$234,CR$35-$AC$234+1,0)</f>
        <v>5</v>
      </c>
      <c r="CS236" s="63" t="n">
        <f aca="false">IF(CS$35&gt;=$AC$234,CS$35-$AC$234+1,0)</f>
        <v>6</v>
      </c>
      <c r="CT236" s="63" t="n">
        <f aca="false">IF(CT$35&gt;=$AC$234,CT$35-$AC$234+1,0)</f>
        <v>7</v>
      </c>
      <c r="CU236" s="63" t="n">
        <f aca="false">IF(CU$35&gt;=$AC$234,CU$35-$AC$234+1,0)</f>
        <v>8</v>
      </c>
      <c r="CV236" s="63" t="n">
        <f aca="false">IF(CV$35&gt;=$AC$234,CV$35-$AC$234+1,0)</f>
        <v>9</v>
      </c>
      <c r="CW236" s="63" t="n">
        <f aca="false">IF(CW$35&gt;=$AC$234,CW$35-$AC$234+1,0)</f>
        <v>10</v>
      </c>
      <c r="CX236" s="63" t="n">
        <f aca="false">IF(CX$35&gt;=$AC$234,CX$35-$AC$234+1,0)</f>
        <v>11</v>
      </c>
      <c r="CY236" s="63" t="n">
        <f aca="false">IF(CY$35&gt;=$AC$234,CY$35-$AC$234+1,0)</f>
        <v>12</v>
      </c>
      <c r="CZ236" s="63" t="n">
        <f aca="false">IF(CZ$35&gt;=$AC$234,CZ$35-$AC$234+1,0)</f>
        <v>13</v>
      </c>
      <c r="DA236" s="63" t="n">
        <f aca="false">IF(DA$35&gt;=$AC$234,DA$35-$AC$234+1,0)</f>
        <v>14</v>
      </c>
      <c r="DB236" s="63" t="n">
        <f aca="false">IF(DB$35&gt;=$AC$234,DB$35-$AC$234+1,0)</f>
        <v>15</v>
      </c>
      <c r="DC236" s="63" t="n">
        <f aca="false">IF(DC$35&gt;=$AC$234,DC$35-$AC$234+1,0)</f>
        <v>16</v>
      </c>
      <c r="DD236" s="63" t="n">
        <f aca="false">IF(DD$35&gt;=$AC$234,DD$35-$AC$234+1,0)</f>
        <v>17</v>
      </c>
      <c r="DE236" s="63" t="n">
        <f aca="false">IF(DE$35&gt;=$AC$234,DE$35-$AC$234+1,0)</f>
        <v>18</v>
      </c>
      <c r="DF236" s="63" t="n">
        <f aca="false">IF(DF$35&gt;=$AC$234,DF$35-$AC$234+1,0)</f>
        <v>19</v>
      </c>
      <c r="DG236" s="63" t="n">
        <f aca="false">IF(DG$35&gt;=$AC$234,DG$35-$AC$234+1,0)</f>
        <v>20</v>
      </c>
      <c r="DH236" s="63" t="n">
        <f aca="false">IF(DH$35&gt;=$AC$234,DH$35-$AC$234+1,0)</f>
        <v>21</v>
      </c>
      <c r="DI236" s="63" t="n">
        <f aca="false">IF(DI$35&gt;=$AC$234,DI$35-$AC$234+1,0)</f>
        <v>22</v>
      </c>
      <c r="DJ236" s="63" t="n">
        <f aca="false">IF(DJ$35&gt;=$AC$234,DJ$35-$AC$234+1,0)</f>
        <v>23</v>
      </c>
      <c r="DK236" s="63" t="n">
        <f aca="false">IF(DK$35&gt;=$AC$234,DK$35-$AC$234+1,0)</f>
        <v>24</v>
      </c>
      <c r="DL236" s="63" t="n">
        <f aca="false">IF(DL$35&gt;=$AC$234,DL$35-$AC$234+1,0)</f>
        <v>25</v>
      </c>
      <c r="DM236" s="63" t="n">
        <f aca="false">IF(DM$35&gt;=$AC$234,DM$35-$AC$234+1,0)</f>
        <v>26</v>
      </c>
      <c r="DN236" s="63" t="n">
        <f aca="false">IF(DN$35&gt;=$AC$234,DN$35-$AC$234+1,0)</f>
        <v>27</v>
      </c>
      <c r="DO236" s="63" t="n">
        <f aca="false">IF(DO$35&gt;=$AC$234,DO$35-$AC$234+1,0)</f>
        <v>28</v>
      </c>
      <c r="DP236" s="63" t="n">
        <f aca="false">IF(DP$35&gt;=$AC$234,DP$35-$AC$234+1,0)</f>
        <v>29</v>
      </c>
      <c r="DQ236" s="63" t="n">
        <f aca="false">IF(DQ$35&gt;=$AC$234,DQ$35-$AC$234+1,0)</f>
        <v>30</v>
      </c>
      <c r="DR236" s="63" t="n">
        <f aca="false">IF(DR$35&gt;=$AC$234,DR$35-$AC$234+1,0)</f>
        <v>31</v>
      </c>
      <c r="DS236" s="63" t="n">
        <f aca="false">IF(DS$35&gt;=$AC$234,DS$35-$AC$234+1,0)</f>
        <v>32</v>
      </c>
      <c r="DT236" s="63" t="n">
        <f aca="false">IF(DT$35&gt;=$AC$234,DT$35-$AC$234+1,0)</f>
        <v>33</v>
      </c>
      <c r="DU236" s="63" t="n">
        <f aca="false">IF(DU$35&gt;=$AC$234,DU$35-$AC$234+1,0)</f>
        <v>34</v>
      </c>
      <c r="DV236" s="63" t="n">
        <f aca="false">IF(DV$35&gt;=$AC$234,DV$35-$AC$234+1,0)</f>
        <v>35</v>
      </c>
      <c r="DW236" s="63" t="n">
        <f aca="false">IF(DW$35&gt;=$AC$234,DW$35-$AC$234+1,0)</f>
        <v>36</v>
      </c>
      <c r="DX236" s="63" t="n">
        <f aca="false">IF(DX$35&gt;=$AC$234,DX$35-$AC$234+1,0)</f>
        <v>37</v>
      </c>
      <c r="DY236" s="63" t="n">
        <f aca="false">IF(DY$35&gt;=$AC$234,DY$35-$AC$234+1,0)</f>
        <v>38</v>
      </c>
      <c r="DZ236" s="63" t="n">
        <f aca="false">IF(DZ$35&gt;=$AC$234,DZ$35-$AC$234+1,0)</f>
        <v>39</v>
      </c>
      <c r="EA236" s="63" t="n">
        <f aca="false">IF(EA$35&gt;=$AC$234,EA$35-$AC$234+1,0)</f>
        <v>40</v>
      </c>
      <c r="EB236" s="63" t="n">
        <f aca="false">IF(EB$35&gt;=$AC$234,EB$35-$AC$234+1,0)</f>
        <v>41</v>
      </c>
      <c r="EC236" s="63" t="n">
        <f aca="false">IF(EC$35&gt;=$AC$234,EC$35-$AC$234+1,0)</f>
        <v>42</v>
      </c>
      <c r="ED236" s="63" t="n">
        <f aca="false">IF(ED$35&gt;=$AC$234,ED$35-$AC$234+1,0)</f>
        <v>43</v>
      </c>
      <c r="EE236" s="63" t="n">
        <f aca="false">IF(EE$35&gt;=$AC$234,EE$35-$AC$234+1,0)</f>
        <v>44</v>
      </c>
      <c r="EF236" s="63" t="n">
        <f aca="false">IF(EF$35&gt;=$AC$234,EF$35-$AC$234+1,0)</f>
        <v>45</v>
      </c>
      <c r="EG236" s="63" t="n">
        <f aca="false">IF(EG$35&gt;=$AC$234,EG$35-$AC$234+1,0)</f>
        <v>46</v>
      </c>
      <c r="EH236" s="63" t="n">
        <f aca="false">IF(EH$35&gt;=$AC$234,EH$35-$AC$234+1,0)</f>
        <v>47</v>
      </c>
      <c r="EI236" s="63" t="n">
        <f aca="false">IF(EI$35&gt;=$AC$234,EI$35-$AC$234+1,0)</f>
        <v>48</v>
      </c>
      <c r="EJ236" s="63" t="n">
        <f aca="false">IF(EJ$35&gt;=$AC$234,EJ$35-$AC$234+1,0)</f>
        <v>49</v>
      </c>
      <c r="EK236" s="63" t="n">
        <f aca="false">IF(EK$35&gt;=$AC$234,EK$35-$AC$234+1,0)</f>
        <v>50</v>
      </c>
      <c r="EL236" s="63" t="n">
        <f aca="false">IF(EL$35&gt;=$AC$234,EL$35-$AC$234+1,0)</f>
        <v>51</v>
      </c>
      <c r="EM236" s="63" t="n">
        <f aca="false">IF(EM$35&gt;=$AC$234,EM$35-$AC$234+1,0)</f>
        <v>52</v>
      </c>
      <c r="EN236" s="63" t="n">
        <f aca="false">IF(EN$35&gt;=$AC$234,EN$35-$AC$234+1,0)</f>
        <v>53</v>
      </c>
      <c r="EO236" s="63" t="n">
        <f aca="false">IF(EO$35&gt;=$AC$234,EO$35-$AC$234+1,0)</f>
        <v>54</v>
      </c>
      <c r="EP236" s="63" t="n">
        <f aca="false">IF(EP$35&gt;=$AC$234,EP$35-$AC$234+1,0)</f>
        <v>55</v>
      </c>
      <c r="EQ236" s="63" t="n">
        <f aca="false">IF(EQ$35&gt;=$AC$234,EQ$35-$AC$234+1,0)</f>
        <v>56</v>
      </c>
      <c r="ER236" s="63" t="n">
        <f aca="false">IF(ER$35&gt;=$AC$234,ER$35-$AC$234+1,0)</f>
        <v>57</v>
      </c>
      <c r="ES236" s="9" t="n">
        <f aca="false">IF(ES$35&gt;=$AC$234,ES$35-$AC$234+1,0)</f>
        <v>58</v>
      </c>
      <c r="ET236" s="9" t="n">
        <f aca="false">IF(ET$35&gt;=$AC$234,ET$35-$AC$234+1,0)</f>
        <v>59</v>
      </c>
      <c r="EU236" s="9" t="n">
        <f aca="false">IF(EU$35&gt;=$AC$234,EU$35-$AC$234+1,0)</f>
        <v>60</v>
      </c>
      <c r="EV236" s="9" t="n">
        <f aca="false">IF(EV$35&gt;=$AC$234,EV$35-$AC$234+1,0)</f>
        <v>61</v>
      </c>
      <c r="EW236" s="9" t="n">
        <f aca="false">IF(EW$35&gt;=$AC$234,EW$35-$AC$234+1,0)</f>
        <v>62</v>
      </c>
      <c r="EX236" s="9" t="n">
        <f aca="false">IF(EX$35&gt;=$AC$234,EX$35-$AC$234+1,0)</f>
        <v>63</v>
      </c>
      <c r="EY236" s="9" t="n">
        <f aca="false">IF(EY$35&gt;=$AC$234,EY$35-$AC$234+1,0)</f>
        <v>64</v>
      </c>
      <c r="EZ236" s="9" t="n">
        <f aca="false">IF(EZ$35&gt;=$AC$234,EZ$35-$AC$234+1,0)</f>
        <v>65</v>
      </c>
      <c r="FA236" s="9" t="n">
        <f aca="false">IF(FA$35&gt;=$AC$234,FA$35-$AC$234+1,0)</f>
        <v>66</v>
      </c>
      <c r="FB236" s="9" t="n">
        <f aca="false">IF(FB$35&gt;=$AC$234,FB$35-$AC$234+1,0)</f>
        <v>67</v>
      </c>
      <c r="FC236" s="9" t="n">
        <f aca="false">IF(FC$35&gt;=$AC$234,FC$35-$AC$234+1,0)</f>
        <v>68</v>
      </c>
      <c r="FD236" s="9" t="n">
        <f aca="false">IF(FD$35&gt;=$AC$234,FD$35-$AC$234+1,0)</f>
        <v>69</v>
      </c>
      <c r="FE236" s="9" t="n">
        <f aca="false">IF(FE$35&gt;=$AC$234,FE$35-$AC$234+1,0)</f>
        <v>70</v>
      </c>
      <c r="FF236" s="9" t="n">
        <f aca="false">IF(FF$35&gt;=$AC$234,FF$35-$AC$234+1,0)</f>
        <v>71</v>
      </c>
      <c r="FG236" s="9" t="n">
        <f aca="false">IF(FG$35&gt;=$AC$234,FG$35-$AC$234+1,0)</f>
        <v>72</v>
      </c>
      <c r="FH236" s="9" t="n">
        <f aca="false">IF(FH$35&gt;=$AC$234,FH$35-$AC$234+1,0)</f>
        <v>73</v>
      </c>
      <c r="FI236" s="9" t="n">
        <f aca="false">IF(FI$35&gt;=$AC$234,FI$35-$AC$234+1,0)</f>
        <v>74</v>
      </c>
      <c r="FJ236" s="9" t="n">
        <f aca="false">IF(FJ$35&gt;=$AC$234,FJ$35-$AC$234+1,0)</f>
        <v>75</v>
      </c>
      <c r="FK236" s="9" t="n">
        <f aca="false">IF(FK$35&gt;=$AC$234,FK$35-$AC$234+1,0)</f>
        <v>76</v>
      </c>
      <c r="FL236" s="9" t="n">
        <f aca="false">IF(FL$35&gt;=$AC$234,FL$35-$AC$234+1,0)</f>
        <v>77</v>
      </c>
      <c r="FM236" s="9" t="n">
        <f aca="false">IF(FM$35&gt;=$AC$234,FM$35-$AC$234+1,0)</f>
        <v>78</v>
      </c>
      <c r="FN236" s="9" t="n">
        <f aca="false">IF(FN$35&gt;=$AC$234,FN$35-$AC$234+1,0)</f>
        <v>79</v>
      </c>
      <c r="FO236" s="9" t="n">
        <f aca="false">IF(FO$35&gt;=$AC$234,FO$35-$AC$234+1,0)</f>
        <v>80</v>
      </c>
      <c r="FP236" s="9" t="n">
        <f aca="false">IF(FP$35&gt;=$AC$234,FP$35-$AC$234+1,0)</f>
        <v>81</v>
      </c>
    </row>
    <row r="237" customFormat="false" ht="15" hidden="false" customHeight="false" outlineLevel="2" collapsed="false">
      <c r="B237" s="9" t="s">
        <v>874</v>
      </c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236" t="n">
        <f aca="false" t="array" ref="AC237:AC237">IF(AC236=0,0,IF(AC236/'🎚️ Escenario'!$C$11&gt;=36,$AL$23,INDEX($C$23:$AL$23,MAX(1,ROUNDUP(AC236/'🎚️ Escenario'!$C$11,0)))))</f>
        <v>0</v>
      </c>
      <c r="AD237" s="236" t="n">
        <f aca="false" t="array" ref="AD237:AD237">IF(AD236=0,0,IF(AD236/'🎚️ Escenario'!$C$11&gt;=36,$AL$23,INDEX($C$23:$AL$23,MAX(1,ROUNDUP(AD236/'🎚️ Escenario'!$C$11,0)))))</f>
        <v>0</v>
      </c>
      <c r="AE237" s="236" t="n">
        <f aca="false" t="array" ref="AE237:AE237">IF(AE236=0,0,IF(AE236/'🎚️ Escenario'!$C$11&gt;=36,$AL$23,INDEX($C$23:$AL$23,MAX(1,ROUNDUP(AE236/'🎚️ Escenario'!$C$11,0)))))</f>
        <v>0</v>
      </c>
      <c r="AF237" s="236" t="n">
        <f aca="false" t="array" ref="AF237:AF237">IF(AF236=0,0,IF(AF236/'🎚️ Escenario'!$C$11&gt;=36,$AL$23,INDEX($C$23:$AL$23,MAX(1,ROUNDUP(AF236/'🎚️ Escenario'!$C$11,0)))))</f>
        <v>0</v>
      </c>
      <c r="AG237" s="236" t="n">
        <f aca="false" t="array" ref="AG237:AG237">IF(AG236=0,0,IF(AG236/'🎚️ Escenario'!$C$11&gt;=36,$AL$23,INDEX($C$23:$AL$23,MAX(1,ROUNDUP(AG236/'🎚️ Escenario'!$C$11,0)))))</f>
        <v>0</v>
      </c>
      <c r="AH237" s="236" t="n">
        <f aca="false" t="array" ref="AH237:AH237">IF(AH236=0,0,IF(AH236/'🎚️ Escenario'!$C$11&gt;=36,$AL$23,INDEX($C$23:$AL$23,MAX(1,ROUNDUP(AH236/'🎚️ Escenario'!$C$11,0)))))</f>
        <v>0</v>
      </c>
      <c r="AI237" s="236" t="n">
        <f aca="false" t="array" ref="AI237:AI237">IF(AI236=0,0,IF(AI236/'🎚️ Escenario'!$C$11&gt;=36,$AL$23,INDEX($C$23:$AL$23,MAX(1,ROUNDUP(AI236/'🎚️ Escenario'!$C$11,0)))))</f>
        <v>0</v>
      </c>
      <c r="AJ237" s="236" t="n">
        <f aca="false" t="array" ref="AJ237:AJ237">IF(AJ236=0,0,IF(AJ236/'🎚️ Escenario'!$C$11&gt;=36,$AL$23,INDEX($C$23:$AL$23,MAX(1,ROUNDUP(AJ236/'🎚️ Escenario'!$C$11,0)))))</f>
        <v>0</v>
      </c>
      <c r="AK237" s="236" t="n">
        <f aca="false" t="array" ref="AK237:AK237">IF(AK236=0,0,IF(AK236/'🎚️ Escenario'!$C$11&gt;=36,$AL$23,INDEX($C$23:$AL$23,MAX(1,ROUNDUP(AK236/'🎚️ Escenario'!$C$11,0)))))</f>
        <v>0</v>
      </c>
      <c r="AL237" s="236" t="n">
        <f aca="false" t="array" ref="AL237:AL237">IF(AL236=0,0,IF(AL236/'🎚️ Escenario'!$C$11&gt;=36,$AL$23,INDEX($C$23:$AL$23,MAX(1,ROUNDUP(AL236/'🎚️ Escenario'!$C$11,0)))))</f>
        <v>0</v>
      </c>
      <c r="AM237" s="236" t="n">
        <f aca="false" t="array" ref="AM237:AM237">IF(AM236=0,0,IF(AM236/'🎚️ Escenario'!$C$11&gt;=36,$AL$23,INDEX($C$23:$AL$23,MAX(1,ROUNDUP(AM236/'🎚️ Escenario'!$C$11,0)))))</f>
        <v>0</v>
      </c>
      <c r="AN237" s="236" t="n">
        <f aca="false" t="array" ref="AN237:AN237">IF(AN236=0,0,IF(AN236/'🎚️ Escenario'!$C$11&gt;=36,$AL$23,INDEX($C$23:$AL$23,MAX(1,ROUNDUP(AN236/'🎚️ Escenario'!$C$11,0)))))</f>
        <v>0</v>
      </c>
      <c r="AO237" s="236" t="n">
        <f aca="false" t="array" ref="AO237:AO237">IF(AO236=0,0,IF(AO236/'🎚️ Escenario'!$C$11&gt;=36,$AL$23,INDEX($C$23:$AL$23,MAX(1,ROUNDUP(AO236/'🎚️ Escenario'!$C$11,0)))))</f>
        <v>0</v>
      </c>
      <c r="AP237" s="236" t="n">
        <f aca="false" t="array" ref="AP237:AP237">IF(AP236=0,0,IF(AP236/'🎚️ Escenario'!$C$11&gt;=36,$AL$23,INDEX($C$23:$AL$23,MAX(1,ROUNDUP(AP236/'🎚️ Escenario'!$C$11,0)))))</f>
        <v>0</v>
      </c>
      <c r="AQ237" s="236" t="n">
        <f aca="false" t="array" ref="AQ237:AQ237">IF(AQ236=0,0,IF(AQ236/'🎚️ Escenario'!$C$11&gt;=36,$AL$23,INDEX($C$23:$AL$23,MAX(1,ROUNDUP(AQ236/'🎚️ Escenario'!$C$11,0)))))</f>
        <v>0</v>
      </c>
      <c r="AR237" s="236" t="n">
        <f aca="false" t="array" ref="AR237:AR237">IF(AR236=0,0,IF(AR236/'🎚️ Escenario'!$C$11&gt;=36,$AL$23,INDEX($C$23:$AL$23,MAX(1,ROUNDUP(AR236/'🎚️ Escenario'!$C$11,0)))))</f>
        <v>0</v>
      </c>
      <c r="AS237" s="236" t="n">
        <f aca="false" t="array" ref="AS237:AS237">IF(AS236=0,0,IF(AS236/'🎚️ Escenario'!$C$11&gt;=36,$AL$23,INDEX($C$23:$AL$23,MAX(1,ROUNDUP(AS236/'🎚️ Escenario'!$C$11,0)))))</f>
        <v>0</v>
      </c>
      <c r="AT237" s="236" t="n">
        <f aca="false" t="array" ref="AT237:AT237">IF(AT236=0,0,IF(AT236/'🎚️ Escenario'!$C$11&gt;=36,$AL$23,INDEX($C$23:$AL$23,MAX(1,ROUNDUP(AT236/'🎚️ Escenario'!$C$11,0)))))</f>
        <v>0</v>
      </c>
      <c r="AU237" s="236" t="n">
        <f aca="false" t="array" ref="AU237:AU237">IF(AU236=0,0,IF(AU236/'🎚️ Escenario'!$C$11&gt;=36,$AL$23,INDEX($C$23:$AL$23,MAX(1,ROUNDUP(AU236/'🎚️ Escenario'!$C$11,0)))))</f>
        <v>0</v>
      </c>
      <c r="AV237" s="236" t="n">
        <f aca="false" t="array" ref="AV237:AV237">IF(AV236=0,0,IF(AV236/'🎚️ Escenario'!$C$11&gt;=36,$AL$23,INDEX($C$23:$AL$23,MAX(1,ROUNDUP(AV236/'🎚️ Escenario'!$C$11,0)))))</f>
        <v>0</v>
      </c>
      <c r="AW237" s="236" t="n">
        <f aca="false" t="array" ref="AW237:AW237">IF(AW236=0,0,IF(AW236/'🎚️ Escenario'!$C$11&gt;=36,$AL$23,INDEX($C$23:$AL$23,MAX(1,ROUNDUP(AW236/'🎚️ Escenario'!$C$11,0)))))</f>
        <v>0</v>
      </c>
      <c r="AX237" s="236" t="n">
        <f aca="false" t="array" ref="AX237:AX237">IF(AX236=0,0,IF(AX236/'🎚️ Escenario'!$C$11&gt;=36,$AL$23,INDEX($C$23:$AL$23,MAX(1,ROUNDUP(AX236/'🎚️ Escenario'!$C$11,0)))))</f>
        <v>0</v>
      </c>
      <c r="AY237" s="236" t="n">
        <f aca="false" t="array" ref="AY237:AY237">IF(AY236=0,0,IF(AY236/'🎚️ Escenario'!$C$11&gt;=36,$AL$23,INDEX($C$23:$AL$23,MAX(1,ROUNDUP(AY236/'🎚️ Escenario'!$C$11,0)))))</f>
        <v>0</v>
      </c>
      <c r="AZ237" s="236" t="n">
        <f aca="false" t="array" ref="AZ237:AZ237">IF(AZ236=0,0,IF(AZ236/'🎚️ Escenario'!$C$11&gt;=36,$AL$23,INDEX($C$23:$AL$23,MAX(1,ROUNDUP(AZ236/'🎚️ Escenario'!$C$11,0)))))</f>
        <v>0</v>
      </c>
      <c r="BA237" s="236" t="n">
        <f aca="false" t="array" ref="BA237:BA237">IF(BA236=0,0,IF(BA236/'🎚️ Escenario'!$C$11&gt;=36,$AL$23,INDEX($C$23:$AL$23,MAX(1,ROUNDUP(BA236/'🎚️ Escenario'!$C$11,0)))))</f>
        <v>0</v>
      </c>
      <c r="BB237" s="236" t="n">
        <f aca="false" t="array" ref="BB237:BB237">IF(BB236=0,0,IF(BB236/'🎚️ Escenario'!$C$11&gt;=36,$AL$23,INDEX($C$23:$AL$23,MAX(1,ROUNDUP(BB236/'🎚️ Escenario'!$C$11,0)))))</f>
        <v>0</v>
      </c>
      <c r="BC237" s="236" t="n">
        <f aca="false" t="array" ref="BC237:BC237">IF(BC236=0,0,IF(BC236/'🎚️ Escenario'!$C$11&gt;=36,$AL$23,INDEX($C$23:$AL$23,MAX(1,ROUNDUP(BC236/'🎚️ Escenario'!$C$11,0)))))</f>
        <v>0</v>
      </c>
      <c r="BD237" s="236" t="n">
        <f aca="false" t="array" ref="BD237:BD237">IF(BD236=0,0,IF(BD236/'🎚️ Escenario'!$C$11&gt;=36,$AL$23,INDEX($C$23:$AL$23,MAX(1,ROUNDUP(BD236/'🎚️ Escenario'!$C$11,0)))))</f>
        <v>0</v>
      </c>
      <c r="BE237" s="236" t="n">
        <f aca="false" t="array" ref="BE237:BE237">IF(BE236=0,0,IF(BE236/'🎚️ Escenario'!$C$11&gt;=36,$AL$23,INDEX($C$23:$AL$23,MAX(1,ROUNDUP(BE236/'🎚️ Escenario'!$C$11,0)))))</f>
        <v>0</v>
      </c>
      <c r="BF237" s="236" t="n">
        <f aca="false" t="array" ref="BF237:BF237">IF(BF236=0,0,IF(BF236/'🎚️ Escenario'!$C$11&gt;=36,$AL$23,INDEX($C$23:$AL$23,MAX(1,ROUNDUP(BF236/'🎚️ Escenario'!$C$11,0)))))</f>
        <v>0</v>
      </c>
      <c r="BG237" s="236" t="n">
        <f aca="false" t="array" ref="BG237:BG237">IF(BG236=0,0,IF(BG236/'🎚️ Escenario'!$C$11&gt;=36,$AL$23,INDEX($C$23:$AL$23,MAX(1,ROUNDUP(BG236/'🎚️ Escenario'!$C$11,0)))))</f>
        <v>0</v>
      </c>
      <c r="BH237" s="236" t="n">
        <f aca="false" t="array" ref="BH237:BH237">IF(BH236=0,0,IF(BH236/'🎚️ Escenario'!$C$11&gt;=36,$AL$23,INDEX($C$23:$AL$23,MAX(1,ROUNDUP(BH236/'🎚️ Escenario'!$C$11,0)))))</f>
        <v>0</v>
      </c>
      <c r="BI237" s="236" t="n">
        <f aca="false" t="array" ref="BI237:BI237">IF(BI236=0,0,IF(BI236/'🎚️ Escenario'!$C$11&gt;=36,$AL$23,INDEX($C$23:$AL$23,MAX(1,ROUNDUP(BI236/'🎚️ Escenario'!$C$11,0)))))</f>
        <v>0</v>
      </c>
      <c r="BJ237" s="236" t="n">
        <f aca="false" t="array" ref="BJ237:BJ237">IF(BJ236=0,0,IF(BJ236/'🎚️ Escenario'!$C$11&gt;=36,$AL$23,INDEX($C$23:$AL$23,MAX(1,ROUNDUP(BJ236/'🎚️ Escenario'!$C$11,0)))))</f>
        <v>0</v>
      </c>
      <c r="BK237" s="236" t="n">
        <f aca="false" t="array" ref="BK237:BK237">IF(BK236=0,0,IF(BK236/'🎚️ Escenario'!$C$11&gt;=36,$AL$23,INDEX($C$23:$AL$23,MAX(1,ROUNDUP(BK236/'🎚️ Escenario'!$C$11,0)))))</f>
        <v>0</v>
      </c>
      <c r="BL237" s="236" t="n">
        <f aca="false" t="array" ref="BL237:BL237">IF(BL236=0,0,IF(BL236/'🎚️ Escenario'!$C$11&gt;=36,$AL$23,INDEX($C$23:$AL$23,MAX(1,ROUNDUP(BL236/'🎚️ Escenario'!$C$11,0)))))</f>
        <v>0</v>
      </c>
      <c r="BM237" s="236" t="n">
        <f aca="false" t="array" ref="BM237:BM237">IF(BM236=0,0,IF(BM236/'🎚️ Escenario'!$C$11&gt;=36,$AL$23,INDEX($C$23:$AL$23,MAX(1,ROUNDUP(BM236/'🎚️ Escenario'!$C$11,0)))))</f>
        <v>0</v>
      </c>
      <c r="BN237" s="236" t="n">
        <f aca="false" t="array" ref="BN237:BN237">IF(BN236=0,0,IF(BN236/'🎚️ Escenario'!$C$11&gt;=36,$AL$23,INDEX($C$23:$AL$23,MAX(1,ROUNDUP(BN236/'🎚️ Escenario'!$C$11,0)))))</f>
        <v>0</v>
      </c>
      <c r="BO237" s="236" t="n">
        <f aca="false" t="array" ref="BO237:BO237">IF(BO236=0,0,IF(BO236/'🎚️ Escenario'!$C$11&gt;=36,$AL$23,INDEX($C$23:$AL$23,MAX(1,ROUNDUP(BO236/'🎚️ Escenario'!$C$11,0)))))</f>
        <v>0</v>
      </c>
      <c r="BP237" s="236" t="n">
        <f aca="false" t="array" ref="BP237:BP237">IF(BP236=0,0,IF(BP236/'🎚️ Escenario'!$C$11&gt;=36,$AL$23,INDEX($C$23:$AL$23,MAX(1,ROUNDUP(BP236/'🎚️ Escenario'!$C$11,0)))))</f>
        <v>0</v>
      </c>
      <c r="BQ237" s="236" t="n">
        <f aca="false" t="array" ref="BQ237:BQ237">IF(BQ236=0,0,IF(BQ236/'🎚️ Escenario'!$C$11&gt;=36,$AL$23,INDEX($C$23:$AL$23,MAX(1,ROUNDUP(BQ236/'🎚️ Escenario'!$C$11,0)))))</f>
        <v>0</v>
      </c>
      <c r="BR237" s="236" t="n">
        <f aca="false" t="array" ref="BR237:BR237">IF(BR236=0,0,IF(BR236/'🎚️ Escenario'!$C$11&gt;=36,$AL$23,INDEX($C$23:$AL$23,MAX(1,ROUNDUP(BR236/'🎚️ Escenario'!$C$11,0)))))</f>
        <v>0</v>
      </c>
      <c r="BS237" s="236" t="n">
        <f aca="false" t="array" ref="BS237:BS237">IF(BS236=0,0,IF(BS236/'🎚️ Escenario'!$C$11&gt;=36,$AL$23,INDEX($C$23:$AL$23,MAX(1,ROUNDUP(BS236/'🎚️ Escenario'!$C$11,0)))))</f>
        <v>0</v>
      </c>
      <c r="BT237" s="236" t="n">
        <f aca="false" t="array" ref="BT237:BT237">IF(BT236=0,0,IF(BT236/'🎚️ Escenario'!$C$11&gt;=36,$AL$23,INDEX($C$23:$AL$23,MAX(1,ROUNDUP(BT236/'🎚️ Escenario'!$C$11,0)))))</f>
        <v>0</v>
      </c>
      <c r="BU237" s="236" t="n">
        <f aca="false" t="array" ref="BU237:BU237">IF(BU236=0,0,IF(BU236/'🎚️ Escenario'!$C$11&gt;=36,$AL$23,INDEX($C$23:$AL$23,MAX(1,ROUNDUP(BU236/'🎚️ Escenario'!$C$11,0)))))</f>
        <v>0</v>
      </c>
      <c r="BV237" s="236" t="n">
        <f aca="false" t="array" ref="BV237:BV237">IF(BV236=0,0,IF(BV236/'🎚️ Escenario'!$C$11&gt;=36,$AL$23,INDEX($C$23:$AL$23,MAX(1,ROUNDUP(BV236/'🎚️ Escenario'!$C$11,0)))))</f>
        <v>0</v>
      </c>
      <c r="BW237" s="236" t="n">
        <f aca="false" t="array" ref="BW237:BW237">IF(BW236=0,0,IF(BW236/'🎚️ Escenario'!$C$11&gt;=36,$AL$23,INDEX($C$23:$AL$23,MAX(1,ROUNDUP(BW236/'🎚️ Escenario'!$C$11,0)))))</f>
        <v>0</v>
      </c>
      <c r="BX237" s="236" t="n">
        <f aca="false" t="array" ref="BX237:BX237">IF(BX236=0,0,IF(BX236/'🎚️ Escenario'!$C$11&gt;=36,$AL$23,INDEX($C$23:$AL$23,MAX(1,ROUNDUP(BX236/'🎚️ Escenario'!$C$11,0)))))</f>
        <v>0</v>
      </c>
      <c r="BY237" s="236" t="n">
        <f aca="false" t="array" ref="BY237:BY237">IF(BY236=0,0,IF(BY236/'🎚️ Escenario'!$C$11&gt;=36,$AL$23,INDEX($C$23:$AL$23,MAX(1,ROUNDUP(BY236/'🎚️ Escenario'!$C$11,0)))))</f>
        <v>0</v>
      </c>
      <c r="BZ237" s="236" t="n">
        <f aca="false" t="array" ref="BZ237:BZ237">IF(BZ236=0,0,IF(BZ236/'🎚️ Escenario'!$C$11&gt;=36,$AL$23,INDEX($C$23:$AL$23,MAX(1,ROUNDUP(BZ236/'🎚️ Escenario'!$C$11,0)))))</f>
        <v>0</v>
      </c>
      <c r="CA237" s="236" t="n">
        <f aca="false" t="array" ref="CA237:CA237">IF(CA236=0,0,IF(CA236/'🎚️ Escenario'!$C$11&gt;=36,$AL$23,INDEX($C$23:$AL$23,MAX(1,ROUNDUP(CA236/'🎚️ Escenario'!$C$11,0)))))</f>
        <v>0</v>
      </c>
      <c r="CB237" s="236" t="n">
        <f aca="false" t="array" ref="CB237:CB237">IF(CB236=0,0,IF(CB236/'🎚️ Escenario'!$C$11&gt;=36,$AL$23,INDEX($C$23:$AL$23,MAX(1,ROUNDUP(CB236/'🎚️ Escenario'!$C$11,0)))))</f>
        <v>0</v>
      </c>
      <c r="CC237" s="236" t="n">
        <f aca="false" t="array" ref="CC237:CC237">IF(CC236=0,0,IF(CC236/'🎚️ Escenario'!$C$11&gt;=36,$AL$23,INDEX($C$23:$AL$23,MAX(1,ROUNDUP(CC236/'🎚️ Escenario'!$C$11,0)))))</f>
        <v>0</v>
      </c>
      <c r="CD237" s="236" t="n">
        <f aca="false" t="array" ref="CD237:CD237">IF(CD236=0,0,IF(CD236/'🎚️ Escenario'!$C$11&gt;=36,$AL$23,INDEX($C$23:$AL$23,MAX(1,ROUNDUP(CD236/'🎚️ Escenario'!$C$11,0)))))</f>
        <v>0</v>
      </c>
      <c r="CE237" s="236" t="n">
        <f aca="false" t="array" ref="CE237:CE237">IF(CE236=0,0,IF(CE236/'🎚️ Escenario'!$C$11&gt;=36,$AL$23,INDEX($C$23:$AL$23,MAX(1,ROUNDUP(CE236/'🎚️ Escenario'!$C$11,0)))))</f>
        <v>0</v>
      </c>
      <c r="CF237" s="236" t="n">
        <f aca="false" t="array" ref="CF237:CF237">IF(CF236=0,0,IF(CF236/'🎚️ Escenario'!$C$11&gt;=36,$AL$23,INDEX($C$23:$AL$23,MAX(1,ROUNDUP(CF236/'🎚️ Escenario'!$C$11,0)))))</f>
        <v>0</v>
      </c>
      <c r="CG237" s="236" t="n">
        <f aca="false" t="array" ref="CG237:CG237">IF(CG236=0,0,IF(CG236/'🎚️ Escenario'!$C$11&gt;=36,$AL$23,INDEX($C$23:$AL$23,MAX(1,ROUNDUP(CG236/'🎚️ Escenario'!$C$11,0)))))</f>
        <v>0</v>
      </c>
      <c r="CH237" s="236" t="n">
        <f aca="false" t="array" ref="CH237:CH237">IF(CH236=0,0,IF(CH236/'🎚️ Escenario'!$C$11&gt;=36,$AL$23,INDEX($C$23:$AL$23,MAX(1,ROUNDUP(CH236/'🎚️ Escenario'!$C$11,0)))))</f>
        <v>0</v>
      </c>
      <c r="CI237" s="236" t="n">
        <f aca="false" t="array" ref="CI237:CI237">IF(CI236=0,0,IF(CI236/'🎚️ Escenario'!$C$11&gt;=36,$AL$23,INDEX($C$23:$AL$23,MAX(1,ROUNDUP(CI236/'🎚️ Escenario'!$C$11,0)))))</f>
        <v>0</v>
      </c>
      <c r="CJ237" s="236" t="n">
        <f aca="false" t="array" ref="CJ237:CJ237">IF(CJ236=0,0,IF(CJ236/'🎚️ Escenario'!$C$11&gt;=36,$AL$23,INDEX($C$23:$AL$23,MAX(1,ROUNDUP(CJ236/'🎚️ Escenario'!$C$11,0)))))</f>
        <v>0</v>
      </c>
      <c r="CK237" s="236" t="n">
        <f aca="false" t="array" ref="CK237:CK237">IF(CK236=0,0,IF(CK236/'🎚️ Escenario'!$C$11&gt;=36,$AL$23,INDEX($C$23:$AL$23,MAX(1,ROUNDUP(CK236/'🎚️ Escenario'!$C$11,0)))))</f>
        <v>0</v>
      </c>
      <c r="CL237" s="236" t="n">
        <f aca="false" t="array" ref="CL237:CL237">IF(CL236=0,0,IF(CL236/'🎚️ Escenario'!$C$11&gt;=36,$AL$23,INDEX($C$23:$AL$23,MAX(1,ROUNDUP(CL236/'🎚️ Escenario'!$C$11,0)))))</f>
        <v>0</v>
      </c>
      <c r="CM237" s="236" t="n">
        <f aca="false" t="array" ref="CM237:CM237">IF(CM236=0,0,IF(CM236/'🎚️ Escenario'!$C$11&gt;=36,$AL$23,INDEX($C$23:$AL$23,MAX(1,ROUNDUP(CM236/'🎚️ Escenario'!$C$11,0)))))</f>
        <v>0</v>
      </c>
      <c r="CN237" s="236" t="n">
        <f aca="false" t="array" ref="CN237:CN237">IF(CN236=0,0,IF(CN236/'🎚️ Escenario'!$C$11&gt;=36,$AL$23,INDEX($C$23:$AL$23,MAX(1,ROUNDUP(CN236/'🎚️ Escenario'!$C$11,0)))))</f>
        <v>0.2</v>
      </c>
      <c r="CO237" s="236" t="n">
        <f aca="false" t="array" ref="CO237:CO237">IF(CO236=0,0,IF(CO236/'🎚️ Escenario'!$C$11&gt;=36,$AL$23,INDEX($C$23:$AL$23,MAX(1,ROUNDUP(CO236/'🎚️ Escenario'!$C$11,0)))))</f>
        <v>0.22</v>
      </c>
      <c r="CP237" s="236" t="n">
        <f aca="false" t="array" ref="CP237:CP237">IF(CP236=0,0,IF(CP236/'🎚️ Escenario'!$C$11&gt;=36,$AL$23,INDEX($C$23:$AL$23,MAX(1,ROUNDUP(CP236/'🎚️ Escenario'!$C$11,0)))))</f>
        <v>0.24</v>
      </c>
      <c r="CQ237" s="236" t="n">
        <f aca="false" t="array" ref="CQ237:CQ237">IF(CQ236=0,0,IF(CQ236/'🎚️ Escenario'!$C$11&gt;=36,$AL$23,INDEX($C$23:$AL$23,MAX(1,ROUNDUP(CQ236/'🎚️ Escenario'!$C$11,0)))))</f>
        <v>0.27</v>
      </c>
      <c r="CR237" s="236" t="n">
        <f aca="false" t="array" ref="CR237:CR237">IF(CR236=0,0,IF(CR236/'🎚️ Escenario'!$C$11&gt;=36,$AL$23,INDEX($C$23:$AL$23,MAX(1,ROUNDUP(CR236/'🎚️ Escenario'!$C$11,0)))))</f>
        <v>0.27</v>
      </c>
      <c r="CS237" s="236" t="n">
        <f aca="false" t="array" ref="CS237:CS237">IF(CS236=0,0,IF(CS236/'🎚️ Escenario'!$C$11&gt;=36,$AL$23,INDEX($C$23:$AL$23,MAX(1,ROUNDUP(CS236/'🎚️ Escenario'!$C$11,0)))))</f>
        <v>0.31</v>
      </c>
      <c r="CT237" s="236" t="n">
        <f aca="false" t="array" ref="CT237:CT237">IF(CT236=0,0,IF(CT236/'🎚️ Escenario'!$C$11&gt;=36,$AL$23,INDEX($C$23:$AL$23,MAX(1,ROUNDUP(CT236/'🎚️ Escenario'!$C$11,0)))))</f>
        <v>0.35</v>
      </c>
      <c r="CU237" s="236" t="n">
        <f aca="false" t="array" ref="CU237:CU237">IF(CU236=0,0,IF(CU236/'🎚️ Escenario'!$C$11&gt;=36,$AL$23,INDEX($C$23:$AL$23,MAX(1,ROUNDUP(CU236/'🎚️ Escenario'!$C$11,0)))))</f>
        <v>0.39</v>
      </c>
      <c r="CV237" s="236" t="n">
        <f aca="false" t="array" ref="CV237:CV237">IF(CV236=0,0,IF(CV236/'🎚️ Escenario'!$C$11&gt;=36,$AL$23,INDEX($C$23:$AL$23,MAX(1,ROUNDUP(CV236/'🎚️ Escenario'!$C$11,0)))))</f>
        <v>0.44</v>
      </c>
      <c r="CW237" s="236" t="n">
        <f aca="false" t="array" ref="CW237:CW237">IF(CW236=0,0,IF(CW236/'🎚️ Escenario'!$C$11&gt;=36,$AL$23,INDEX($C$23:$AL$23,MAX(1,ROUNDUP(CW236/'🎚️ Escenario'!$C$11,0)))))</f>
        <v>0.44</v>
      </c>
      <c r="CX237" s="236" t="n">
        <f aca="false" t="array" ref="CX237:CX237">IF(CX236=0,0,IF(CX236/'🎚️ Escenario'!$C$11&gt;=36,$AL$23,INDEX($C$23:$AL$23,MAX(1,ROUNDUP(CX236/'🎚️ Escenario'!$C$11,0)))))</f>
        <v>0.48</v>
      </c>
      <c r="CY237" s="236" t="n">
        <f aca="false" t="array" ref="CY237:CY237">IF(CY236=0,0,IF(CY236/'🎚️ Escenario'!$C$11&gt;=36,$AL$23,INDEX($C$23:$AL$23,MAX(1,ROUNDUP(CY236/'🎚️ Escenario'!$C$11,0)))))</f>
        <v>0.52</v>
      </c>
      <c r="CZ237" s="236" t="n">
        <f aca="false" t="array" ref="CZ237:CZ237">IF(CZ236=0,0,IF(CZ236/'🎚️ Escenario'!$C$11&gt;=36,$AL$23,INDEX($C$23:$AL$23,MAX(1,ROUNDUP(CZ236/'🎚️ Escenario'!$C$11,0)))))</f>
        <v>0.56</v>
      </c>
      <c r="DA237" s="236" t="n">
        <f aca="false" t="array" ref="DA237:DA237">IF(DA236=0,0,IF(DA236/'🎚️ Escenario'!$C$11&gt;=36,$AL$23,INDEX($C$23:$AL$23,MAX(1,ROUNDUP(DA236/'🎚️ Escenario'!$C$11,0)))))</f>
        <v>0.6</v>
      </c>
      <c r="DB237" s="236" t="n">
        <f aca="false" t="array" ref="DB237:DB237">IF(DB236=0,0,IF(DB236/'🎚️ Escenario'!$C$11&gt;=36,$AL$23,INDEX($C$23:$AL$23,MAX(1,ROUNDUP(DB236/'🎚️ Escenario'!$C$11,0)))))</f>
        <v>0.6</v>
      </c>
      <c r="DC237" s="236" t="n">
        <f aca="false" t="array" ref="DC237:DC237">IF(DC236=0,0,IF(DC236/'🎚️ Escenario'!$C$11&gt;=36,$AL$23,INDEX($C$23:$AL$23,MAX(1,ROUNDUP(DC236/'🎚️ Escenario'!$C$11,0)))))</f>
        <v>0.63</v>
      </c>
      <c r="DD237" s="236" t="n">
        <f aca="false" t="array" ref="DD237:DD237">IF(DD236=0,0,IF(DD236/'🎚️ Escenario'!$C$11&gt;=36,$AL$23,INDEX($C$23:$AL$23,MAX(1,ROUNDUP(DD236/'🎚️ Escenario'!$C$11,0)))))</f>
        <v>0.66</v>
      </c>
      <c r="DE237" s="236" t="n">
        <f aca="false" t="array" ref="DE237:DE237">IF(DE236=0,0,IF(DE236/'🎚️ Escenario'!$C$11&gt;=36,$AL$23,INDEX($C$23:$AL$23,MAX(1,ROUNDUP(DE236/'🎚️ Escenario'!$C$11,0)))))</f>
        <v>0.69</v>
      </c>
      <c r="DF237" s="236" t="n">
        <f aca="false" t="array" ref="DF237:DF237">IF(DF236=0,0,IF(DF236/'🎚️ Escenario'!$C$11&gt;=36,$AL$23,INDEX($C$23:$AL$23,MAX(1,ROUNDUP(DF236/'🎚️ Escenario'!$C$11,0)))))</f>
        <v>0.71</v>
      </c>
      <c r="DG237" s="236" t="n">
        <f aca="false" t="array" ref="DG237:DG237">IF(DG236=0,0,IF(DG236/'🎚️ Escenario'!$C$11&gt;=36,$AL$23,INDEX($C$23:$AL$23,MAX(1,ROUNDUP(DG236/'🎚️ Escenario'!$C$11,0)))))</f>
        <v>0.71</v>
      </c>
      <c r="DH237" s="236" t="n">
        <f aca="false" t="array" ref="DH237:DH237">IF(DH236=0,0,IF(DH236/'🎚️ Escenario'!$C$11&gt;=36,$AL$23,INDEX($C$23:$AL$23,MAX(1,ROUNDUP(DH236/'🎚️ Escenario'!$C$11,0)))))</f>
        <v>0.73</v>
      </c>
      <c r="DI237" s="236" t="n">
        <f aca="false" t="array" ref="DI237:DI237">IF(DI236=0,0,IF(DI236/'🎚️ Escenario'!$C$11&gt;=36,$AL$23,INDEX($C$23:$AL$23,MAX(1,ROUNDUP(DI236/'🎚️ Escenario'!$C$11,0)))))</f>
        <v>0.75</v>
      </c>
      <c r="DJ237" s="236" t="n">
        <f aca="false" t="array" ref="DJ237:DJ237">IF(DJ236=0,0,IF(DJ236/'🎚️ Escenario'!$C$11&gt;=36,$AL$23,INDEX($C$23:$AL$23,MAX(1,ROUNDUP(DJ236/'🎚️ Escenario'!$C$11,0)))))</f>
        <v>0.77</v>
      </c>
      <c r="DK237" s="236" t="n">
        <f aca="false" t="array" ref="DK237:DK237">IF(DK236=0,0,IF(DK236/'🎚️ Escenario'!$C$11&gt;=36,$AL$23,INDEX($C$23:$AL$23,MAX(1,ROUNDUP(DK236/'🎚️ Escenario'!$C$11,0)))))</f>
        <v>0.79</v>
      </c>
      <c r="DL237" s="236" t="n">
        <f aca="false" t="array" ref="DL237:DL237">IF(DL236=0,0,IF(DL236/'🎚️ Escenario'!$C$11&gt;=36,$AL$23,INDEX($C$23:$AL$23,MAX(1,ROUNDUP(DL236/'🎚️ Escenario'!$C$11,0)))))</f>
        <v>0.79</v>
      </c>
      <c r="DM237" s="236" t="n">
        <f aca="false" t="array" ref="DM237:DM237">IF(DM236=0,0,IF(DM236/'🎚️ Escenario'!$C$11&gt;=36,$AL$23,INDEX($C$23:$AL$23,MAX(1,ROUNDUP(DM236/'🎚️ Escenario'!$C$11,0)))))</f>
        <v>0.8</v>
      </c>
      <c r="DN237" s="236" t="n">
        <f aca="false" t="array" ref="DN237:DN237">IF(DN236=0,0,IF(DN236/'🎚️ Escenario'!$C$11&gt;=36,$AL$23,INDEX($C$23:$AL$23,MAX(1,ROUNDUP(DN236/'🎚️ Escenario'!$C$11,0)))))</f>
        <v>0.82</v>
      </c>
      <c r="DO237" s="236" t="n">
        <f aca="false" t="array" ref="DO237:DO237">IF(DO236=0,0,IF(DO236/'🎚️ Escenario'!$C$11&gt;=36,$AL$23,INDEX($C$23:$AL$23,MAX(1,ROUNDUP(DO236/'🎚️ Escenario'!$C$11,0)))))</f>
        <v>0.84</v>
      </c>
      <c r="DP237" s="236" t="n">
        <f aca="false" t="array" ref="DP237:DP237">IF(DP236=0,0,IF(DP236/'🎚️ Escenario'!$C$11&gt;=36,$AL$23,INDEX($C$23:$AL$23,MAX(1,ROUNDUP(DP236/'🎚️ Escenario'!$C$11,0)))))</f>
        <v>0.85</v>
      </c>
      <c r="DQ237" s="236" t="n">
        <f aca="false" t="array" ref="DQ237:DQ237">IF(DQ236=0,0,IF(DQ236/'🎚️ Escenario'!$C$11&gt;=36,$AL$23,INDEX($C$23:$AL$23,MAX(1,ROUNDUP(DQ236/'🎚️ Escenario'!$C$11,0)))))</f>
        <v>0.85</v>
      </c>
      <c r="DR237" s="236" t="n">
        <f aca="false" t="array" ref="DR237:DR237">IF(DR236=0,0,IF(DR236/'🎚️ Escenario'!$C$11&gt;=36,$AL$23,INDEX($C$23:$AL$23,MAX(1,ROUNDUP(DR236/'🎚️ Escenario'!$C$11,0)))))</f>
        <v>0.86</v>
      </c>
      <c r="DS237" s="236" t="n">
        <f aca="false" t="array" ref="DS237:DS237">IF(DS236=0,0,IF(DS236/'🎚️ Escenario'!$C$11&gt;=36,$AL$23,INDEX($C$23:$AL$23,MAX(1,ROUNDUP(DS236/'🎚️ Escenario'!$C$11,0)))))</f>
        <v>0.88</v>
      </c>
      <c r="DT237" s="236" t="n">
        <f aca="false" t="array" ref="DT237:DT237">IF(DT236=0,0,IF(DT236/'🎚️ Escenario'!$C$11&gt;=36,$AL$23,INDEX($C$23:$AL$23,MAX(1,ROUNDUP(DT236/'🎚️ Escenario'!$C$11,0)))))</f>
        <v>0.89</v>
      </c>
      <c r="DU237" s="236" t="n">
        <f aca="false" t="array" ref="DU237:DU237">IF(DU236=0,0,IF(DU236/'🎚️ Escenario'!$C$11&gt;=36,$AL$23,INDEX($C$23:$AL$23,MAX(1,ROUNDUP(DU236/'🎚️ Escenario'!$C$11,0)))))</f>
        <v>0.9</v>
      </c>
      <c r="DV237" s="236" t="n">
        <f aca="false" t="array" ref="DV237:DV237">IF(DV236=0,0,IF(DV236/'🎚️ Escenario'!$C$11&gt;=36,$AL$23,INDEX($C$23:$AL$23,MAX(1,ROUNDUP(DV236/'🎚️ Escenario'!$C$11,0)))))</f>
        <v>0.9</v>
      </c>
      <c r="DW237" s="236" t="n">
        <f aca="false" t="array" ref="DW237:DW237">IF(DW236=0,0,IF(DW236/'🎚️ Escenario'!$C$11&gt;=36,$AL$23,INDEX($C$23:$AL$23,MAX(1,ROUNDUP(DW236/'🎚️ Escenario'!$C$11,0)))))</f>
        <v>0.92</v>
      </c>
      <c r="DX237" s="236" t="n">
        <f aca="false" t="array" ref="DX237:DX237">IF(DX236=0,0,IF(DX236/'🎚️ Escenario'!$C$11&gt;=36,$AL$23,INDEX($C$23:$AL$23,MAX(1,ROUNDUP(DX236/'🎚️ Escenario'!$C$11,0)))))</f>
        <v>0.93</v>
      </c>
      <c r="DY237" s="236" t="n">
        <f aca="false" t="array" ref="DY237:DY237">IF(DY236=0,0,IF(DY236/'🎚️ Escenario'!$C$11&gt;=36,$AL$23,INDEX($C$23:$AL$23,MAX(1,ROUNDUP(DY236/'🎚️ Escenario'!$C$11,0)))))</f>
        <v>0.94</v>
      </c>
      <c r="DZ237" s="236" t="n">
        <f aca="false" t="array" ref="DZ237:DZ237">IF(DZ236=0,0,IF(DZ236/'🎚️ Escenario'!$C$11&gt;=36,$AL$23,INDEX($C$23:$AL$23,MAX(1,ROUNDUP(DZ236/'🎚️ Escenario'!$C$11,0)))))</f>
        <v>0.95</v>
      </c>
      <c r="EA237" s="236" t="n">
        <f aca="false" t="array" ref="EA237:EA237">IF(EA236=0,0,IF(EA236/'🎚️ Escenario'!$C$11&gt;=36,$AL$23,INDEX($C$23:$AL$23,MAX(1,ROUNDUP(EA236/'🎚️ Escenario'!$C$11,0)))))</f>
        <v>0.95</v>
      </c>
      <c r="EB237" s="236" t="n">
        <f aca="false" t="array" ref="EB237:EB237">IF(EB236=0,0,IF(EB236/'🎚️ Escenario'!$C$11&gt;=36,$AL$23,INDEX($C$23:$AL$23,MAX(1,ROUNDUP(EB236/'🎚️ Escenario'!$C$11,0)))))</f>
        <v>0.97</v>
      </c>
      <c r="EC237" s="236" t="n">
        <f aca="false" t="array" ref="EC237:EC237">IF(EC236=0,0,IF(EC236/'🎚️ Escenario'!$C$11&gt;=36,$AL$23,INDEX($C$23:$AL$23,MAX(1,ROUNDUP(EC236/'🎚️ Escenario'!$C$11,0)))))</f>
        <v>0.98</v>
      </c>
      <c r="ED237" s="236" t="n">
        <f aca="false" t="array" ref="ED237:ED237">IF(ED236=0,0,IF(ED236/'🎚️ Escenario'!$C$11&gt;=36,$AL$23,INDEX($C$23:$AL$23,MAX(1,ROUNDUP(ED236/'🎚️ Escenario'!$C$11,0)))))</f>
        <v>0.99</v>
      </c>
      <c r="EE237" s="236" t="n">
        <f aca="false" t="array" ref="EE237:EE237">IF(EE236=0,0,IF(EE236/'🎚️ Escenario'!$C$11&gt;=36,$AL$23,INDEX($C$23:$AL$23,MAX(1,ROUNDUP(EE236/'🎚️ Escenario'!$C$11,0)))))</f>
        <v>1</v>
      </c>
      <c r="EF237" s="236" t="n">
        <f aca="false" t="array" ref="EF237:EF237">IF(EF236=0,0,IF(EF236/'🎚️ Escenario'!$C$11&gt;=36,$AL$23,INDEX($C$23:$AL$23,MAX(1,ROUNDUP(EF236/'🎚️ Escenario'!$C$11,0)))))</f>
        <v>1</v>
      </c>
      <c r="EG237" s="236" t="n">
        <f aca="false" t="array" ref="EG237:EG237">IF(EG236=0,0,IF(EG236/'🎚️ Escenario'!$C$11&gt;=36,$AL$23,INDEX($C$23:$AL$23,MAX(1,ROUNDUP(EG236/'🎚️ Escenario'!$C$11,0)))))</f>
        <v>1</v>
      </c>
      <c r="EH237" s="236" t="n">
        <f aca="false" t="array" ref="EH237:EH237">IF(EH236=0,0,IF(EH236/'🎚️ Escenario'!$C$11&gt;=36,$AL$23,INDEX($C$23:$AL$23,MAX(1,ROUNDUP(EH236/'🎚️ Escenario'!$C$11,0)))))</f>
        <v>1</v>
      </c>
      <c r="EI237" s="236" t="n">
        <f aca="false" t="array" ref="EI237:EI237">IF(EI236=0,0,IF(EI236/'🎚️ Escenario'!$C$11&gt;=36,$AL$23,INDEX($C$23:$AL$23,MAX(1,ROUNDUP(EI236/'🎚️ Escenario'!$C$11,0)))))</f>
        <v>1</v>
      </c>
      <c r="EJ237" s="236" t="n">
        <f aca="false" t="array" ref="EJ237:EJ237">IF(EJ236=0,0,IF(EJ236/'🎚️ Escenario'!$C$11&gt;=36,$AL$23,INDEX($C$23:$AL$23,MAX(1,ROUNDUP(EJ236/'🎚️ Escenario'!$C$11,0)))))</f>
        <v>1</v>
      </c>
      <c r="EK237" s="236" t="n">
        <f aca="false" t="array" ref="EK237:EK237">IF(EK236=0,0,IF(EK236/'🎚️ Escenario'!$C$11&gt;=36,$AL$23,INDEX($C$23:$AL$23,MAX(1,ROUNDUP(EK236/'🎚️ Escenario'!$C$11,0)))))</f>
        <v>1</v>
      </c>
      <c r="EL237" s="236" t="n">
        <f aca="false" t="array" ref="EL237:EL237">IF(EL236=0,0,IF(EL236/'🎚️ Escenario'!$C$11&gt;=36,$AL$23,INDEX($C$23:$AL$23,MAX(1,ROUNDUP(EL236/'🎚️ Escenario'!$C$11,0)))))</f>
        <v>1</v>
      </c>
      <c r="EM237" s="236" t="n">
        <f aca="false" t="array" ref="EM237:EM237">IF(EM236=0,0,IF(EM236/'🎚️ Escenario'!$C$11&gt;=36,$AL$23,INDEX($C$23:$AL$23,MAX(1,ROUNDUP(EM236/'🎚️ Escenario'!$C$11,0)))))</f>
        <v>1</v>
      </c>
      <c r="EN237" s="236" t="n">
        <f aca="false" t="array" ref="EN237:EN237">IF(EN236=0,0,IF(EN236/'🎚️ Escenario'!$C$11&gt;=36,$AL$23,INDEX($C$23:$AL$23,MAX(1,ROUNDUP(EN236/'🎚️ Escenario'!$C$11,0)))))</f>
        <v>1</v>
      </c>
      <c r="EO237" s="236" t="n">
        <f aca="false" t="array" ref="EO237:EO237">IF(EO236=0,0,IF(EO236/'🎚️ Escenario'!$C$11&gt;=36,$AL$23,INDEX($C$23:$AL$23,MAX(1,ROUNDUP(EO236/'🎚️ Escenario'!$C$11,0)))))</f>
        <v>1</v>
      </c>
      <c r="EP237" s="236" t="n">
        <f aca="false" t="array" ref="EP237:EP237">IF(EP236=0,0,IF(EP236/'🎚️ Escenario'!$C$11&gt;=36,$AL$23,INDEX($C$23:$AL$23,MAX(1,ROUNDUP(EP236/'🎚️ Escenario'!$C$11,0)))))</f>
        <v>1</v>
      </c>
      <c r="EQ237" s="236" t="n">
        <f aca="false" t="array" ref="EQ237:EQ237">IF(EQ236=0,0,IF(EQ236/'🎚️ Escenario'!$C$11&gt;=36,$AL$23,INDEX($C$23:$AL$23,MAX(1,ROUNDUP(EQ236/'🎚️ Escenario'!$C$11,0)))))</f>
        <v>1</v>
      </c>
      <c r="ER237" s="236" t="n">
        <f aca="false" t="array" ref="ER237:ER237">IF(ER236=0,0,IF(ER236/'🎚️ Escenario'!$C$11&gt;=36,$AL$23,INDEX($C$23:$AL$23,MAX(1,ROUNDUP(ER236/'🎚️ Escenario'!$C$11,0)))))</f>
        <v>1</v>
      </c>
      <c r="ES237" s="9" t="n">
        <f aca="false" t="array" ref="ES237:ES237">IF(ES236=0,0,IF(ES236/'🎚️ Escenario'!$C$11&gt;=36,$AL$23,INDEX($C$23:$AL$23,MAX(1,ROUNDUP(ES236/'🎚️ Escenario'!$C$11,0)))))</f>
        <v>1</v>
      </c>
      <c r="ET237" s="9" t="n">
        <f aca="false" t="array" ref="ET237:ET237">IF(ET236=0,0,IF(ET236/'🎚️ Escenario'!$C$11&gt;=36,$AL$23,INDEX($C$23:$AL$23,MAX(1,ROUNDUP(ET236/'🎚️ Escenario'!$C$11,0)))))</f>
        <v>1</v>
      </c>
      <c r="EU237" s="9" t="n">
        <f aca="false" t="array" ref="EU237:EU237">IF(EU236=0,0,IF(EU236/'🎚️ Escenario'!$C$11&gt;=36,$AL$23,INDEX($C$23:$AL$23,MAX(1,ROUNDUP(EU236/'🎚️ Escenario'!$C$11,0)))))</f>
        <v>1</v>
      </c>
      <c r="EV237" s="9" t="n">
        <f aca="false" t="array" ref="EV237:EV237">IF(EV236=0,0,IF(EV236/'🎚️ Escenario'!$C$11&gt;=36,$AL$23,INDEX($C$23:$AL$23,MAX(1,ROUNDUP(EV236/'🎚️ Escenario'!$C$11,0)))))</f>
        <v>1</v>
      </c>
      <c r="EW237" s="9" t="n">
        <f aca="false" t="array" ref="EW237:EW237">IF(EW236=0,0,IF(EW236/'🎚️ Escenario'!$C$11&gt;=36,$AL$23,INDEX($C$23:$AL$23,MAX(1,ROUNDUP(EW236/'🎚️ Escenario'!$C$11,0)))))</f>
        <v>1</v>
      </c>
      <c r="EX237" s="9" t="n">
        <f aca="false" t="array" ref="EX237:EX237">IF(EX236=0,0,IF(EX236/'🎚️ Escenario'!$C$11&gt;=36,$AL$23,INDEX($C$23:$AL$23,MAX(1,ROUNDUP(EX236/'🎚️ Escenario'!$C$11,0)))))</f>
        <v>1</v>
      </c>
      <c r="EY237" s="9" t="n">
        <f aca="false" t="array" ref="EY237:EY237">IF(EY236=0,0,IF(EY236/'🎚️ Escenario'!$C$11&gt;=36,$AL$23,INDEX($C$23:$AL$23,MAX(1,ROUNDUP(EY236/'🎚️ Escenario'!$C$11,0)))))</f>
        <v>1</v>
      </c>
      <c r="EZ237" s="9" t="n">
        <f aca="false" t="array" ref="EZ237:EZ237">IF(EZ236=0,0,IF(EZ236/'🎚️ Escenario'!$C$11&gt;=36,$AL$23,INDEX($C$23:$AL$23,MAX(1,ROUNDUP(EZ236/'🎚️ Escenario'!$C$11,0)))))</f>
        <v>1</v>
      </c>
      <c r="FA237" s="9" t="n">
        <f aca="false" t="array" ref="FA237:FA237">IF(FA236=0,0,IF(FA236/'🎚️ Escenario'!$C$11&gt;=36,$AL$23,INDEX($C$23:$AL$23,MAX(1,ROUNDUP(FA236/'🎚️ Escenario'!$C$11,0)))))</f>
        <v>1</v>
      </c>
      <c r="FB237" s="9" t="n">
        <f aca="false" t="array" ref="FB237:FB237">IF(FB236=0,0,IF(FB236/'🎚️ Escenario'!$C$11&gt;=36,$AL$23,INDEX($C$23:$AL$23,MAX(1,ROUNDUP(FB236/'🎚️ Escenario'!$C$11,0)))))</f>
        <v>1</v>
      </c>
      <c r="FC237" s="9" t="n">
        <f aca="false" t="array" ref="FC237:FC237">IF(FC236=0,0,IF(FC236/'🎚️ Escenario'!$C$11&gt;=36,$AL$23,INDEX($C$23:$AL$23,MAX(1,ROUNDUP(FC236/'🎚️ Escenario'!$C$11,0)))))</f>
        <v>1</v>
      </c>
      <c r="FD237" s="9" t="n">
        <f aca="false" t="array" ref="FD237:FD237">IF(FD236=0,0,IF(FD236/'🎚️ Escenario'!$C$11&gt;=36,$AL$23,INDEX($C$23:$AL$23,MAX(1,ROUNDUP(FD236/'🎚️ Escenario'!$C$11,0)))))</f>
        <v>1</v>
      </c>
      <c r="FE237" s="9" t="n">
        <f aca="false" t="array" ref="FE237:FE237">IF(FE236=0,0,IF(FE236/'🎚️ Escenario'!$C$11&gt;=36,$AL$23,INDEX($C$23:$AL$23,MAX(1,ROUNDUP(FE236/'🎚️ Escenario'!$C$11,0)))))</f>
        <v>1</v>
      </c>
      <c r="FF237" s="9" t="n">
        <f aca="false" t="array" ref="FF237:FF237">IF(FF236=0,0,IF(FF236/'🎚️ Escenario'!$C$11&gt;=36,$AL$23,INDEX($C$23:$AL$23,MAX(1,ROUNDUP(FF236/'🎚️ Escenario'!$C$11,0)))))</f>
        <v>1</v>
      </c>
      <c r="FG237" s="9" t="n">
        <f aca="false" t="array" ref="FG237:FG237">IF(FG236=0,0,IF(FG236/'🎚️ Escenario'!$C$11&gt;=36,$AL$23,INDEX($C$23:$AL$23,MAX(1,ROUNDUP(FG236/'🎚️ Escenario'!$C$11,0)))))</f>
        <v>1</v>
      </c>
      <c r="FH237" s="9" t="n">
        <f aca="false" t="array" ref="FH237:FH237">IF(FH236=0,0,IF(FH236/'🎚️ Escenario'!$C$11&gt;=36,$AL$23,INDEX($C$23:$AL$23,MAX(1,ROUNDUP(FH236/'🎚️ Escenario'!$C$11,0)))))</f>
        <v>1</v>
      </c>
      <c r="FI237" s="9" t="n">
        <f aca="false" t="array" ref="FI237:FI237">IF(FI236=0,0,IF(FI236/'🎚️ Escenario'!$C$11&gt;=36,$AL$23,INDEX($C$23:$AL$23,MAX(1,ROUNDUP(FI236/'🎚️ Escenario'!$C$11,0)))))</f>
        <v>1</v>
      </c>
      <c r="FJ237" s="9" t="n">
        <f aca="false" t="array" ref="FJ237:FJ237">IF(FJ236=0,0,IF(FJ236/'🎚️ Escenario'!$C$11&gt;=36,$AL$23,INDEX($C$23:$AL$23,MAX(1,ROUNDUP(FJ236/'🎚️ Escenario'!$C$11,0)))))</f>
        <v>1</v>
      </c>
      <c r="FK237" s="9" t="n">
        <f aca="false" t="array" ref="FK237:FK237">IF(FK236=0,0,IF(FK236/'🎚️ Escenario'!$C$11&gt;=36,$AL$23,INDEX($C$23:$AL$23,MAX(1,ROUNDUP(FK236/'🎚️ Escenario'!$C$11,0)))))</f>
        <v>1</v>
      </c>
      <c r="FL237" s="9" t="n">
        <f aca="false" t="array" ref="FL237:FL237">IF(FL236=0,0,IF(FL236/'🎚️ Escenario'!$C$11&gt;=36,$AL$23,INDEX($C$23:$AL$23,MAX(1,ROUNDUP(FL236/'🎚️ Escenario'!$C$11,0)))))</f>
        <v>1</v>
      </c>
      <c r="FM237" s="9" t="n">
        <f aca="false" t="array" ref="FM237:FM237">IF(FM236=0,0,IF(FM236/'🎚️ Escenario'!$C$11&gt;=36,$AL$23,INDEX($C$23:$AL$23,MAX(1,ROUNDUP(FM236/'🎚️ Escenario'!$C$11,0)))))</f>
        <v>1</v>
      </c>
      <c r="FN237" s="9" t="n">
        <f aca="false" t="array" ref="FN237:FN237">IF(FN236=0,0,IF(FN236/'🎚️ Escenario'!$C$11&gt;=36,$AL$23,INDEX($C$23:$AL$23,MAX(1,ROUNDUP(FN236/'🎚️ Escenario'!$C$11,0)))))</f>
        <v>1</v>
      </c>
      <c r="FO237" s="9" t="n">
        <f aca="false" t="array" ref="FO237:FO237">IF(FO236=0,0,IF(FO236/'🎚️ Escenario'!$C$11&gt;=36,$AL$23,INDEX($C$23:$AL$23,MAX(1,ROUNDUP(FO236/'🎚️ Escenario'!$C$11,0)))))</f>
        <v>1</v>
      </c>
      <c r="FP237" s="9" t="n">
        <f aca="false" t="array" ref="FP237:FP237">IF(FP236=0,0,IF(FP236/'🎚️ Escenario'!$C$11&gt;=36,$AL$23,INDEX($C$23:$AL$23,MAX(1,ROUNDUP(FP236/'🎚️ Escenario'!$C$11,0)))))</f>
        <v>1</v>
      </c>
    </row>
    <row r="238" customFormat="false" ht="15" hidden="false" customHeight="false" outlineLevel="2" collapsed="false">
      <c r="B238" s="9" t="s">
        <v>875</v>
      </c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237" t="n">
        <f aca="false">IF(AC236=0,0,IF(AC236&lt;=12*'🎚️ Escenario'!$C$11,1,1+$C$6))</f>
        <v>0</v>
      </c>
      <c r="AD238" s="237" t="n">
        <f aca="false">IF(AD236=0,0,IF(AD236&lt;=12*'🎚️ Escenario'!$C$11,1,1+$C$6))</f>
        <v>0</v>
      </c>
      <c r="AE238" s="237" t="n">
        <f aca="false">IF(AE236=0,0,IF(AE236&lt;=12*'🎚️ Escenario'!$C$11,1,1+$C$6))</f>
        <v>0</v>
      </c>
      <c r="AF238" s="237" t="n">
        <f aca="false">IF(AF236=0,0,IF(AF236&lt;=12*'🎚️ Escenario'!$C$11,1,1+$C$6))</f>
        <v>0</v>
      </c>
      <c r="AG238" s="237" t="n">
        <f aca="false">IF(AG236=0,0,IF(AG236&lt;=12*'🎚️ Escenario'!$C$11,1,1+$C$6))</f>
        <v>0</v>
      </c>
      <c r="AH238" s="237" t="n">
        <f aca="false">IF(AH236=0,0,IF(AH236&lt;=12*'🎚️ Escenario'!$C$11,1,1+$C$6))</f>
        <v>0</v>
      </c>
      <c r="AI238" s="237" t="n">
        <f aca="false">IF(AI236=0,0,IF(AI236&lt;=12*'🎚️ Escenario'!$C$11,1,1+$C$6))</f>
        <v>0</v>
      </c>
      <c r="AJ238" s="237" t="n">
        <f aca="false">IF(AJ236=0,0,IF(AJ236&lt;=12*'🎚️ Escenario'!$C$11,1,1+$C$6))</f>
        <v>0</v>
      </c>
      <c r="AK238" s="237" t="n">
        <f aca="false">IF(AK236=0,0,IF(AK236&lt;=12*'🎚️ Escenario'!$C$11,1,1+$C$6))</f>
        <v>0</v>
      </c>
      <c r="AL238" s="237" t="n">
        <f aca="false">IF(AL236=0,0,IF(AL236&lt;=12*'🎚️ Escenario'!$C$11,1,1+$C$6))</f>
        <v>0</v>
      </c>
      <c r="AM238" s="237" t="n">
        <f aca="false">IF(AM236=0,0,IF(AM236&lt;=12*'🎚️ Escenario'!$C$11,1,1+$C$6))</f>
        <v>0</v>
      </c>
      <c r="AN238" s="237" t="n">
        <f aca="false">IF(AN236=0,0,IF(AN236&lt;=12*'🎚️ Escenario'!$C$11,1,1+$C$6))</f>
        <v>0</v>
      </c>
      <c r="AO238" s="237" t="n">
        <f aca="false">IF(AO236=0,0,IF(AO236&lt;=12*'🎚️ Escenario'!$C$11,1,1+$C$6))</f>
        <v>0</v>
      </c>
      <c r="AP238" s="237" t="n">
        <f aca="false">IF(AP236=0,0,IF(AP236&lt;=12*'🎚️ Escenario'!$C$11,1,1+$C$6))</f>
        <v>0</v>
      </c>
      <c r="AQ238" s="237" t="n">
        <f aca="false">IF(AQ236=0,0,IF(AQ236&lt;=12*'🎚️ Escenario'!$C$11,1,1+$C$6))</f>
        <v>0</v>
      </c>
      <c r="AR238" s="237" t="n">
        <f aca="false">IF(AR236=0,0,IF(AR236&lt;=12*'🎚️ Escenario'!$C$11,1,1+$C$6))</f>
        <v>0</v>
      </c>
      <c r="AS238" s="237" t="n">
        <f aca="false">IF(AS236=0,0,IF(AS236&lt;=12*'🎚️ Escenario'!$C$11,1,1+$C$6))</f>
        <v>0</v>
      </c>
      <c r="AT238" s="237" t="n">
        <f aca="false">IF(AT236=0,0,IF(AT236&lt;=12*'🎚️ Escenario'!$C$11,1,1+$C$6))</f>
        <v>0</v>
      </c>
      <c r="AU238" s="237" t="n">
        <f aca="false">IF(AU236=0,0,IF(AU236&lt;=12*'🎚️ Escenario'!$C$11,1,1+$C$6))</f>
        <v>0</v>
      </c>
      <c r="AV238" s="237" t="n">
        <f aca="false">IF(AV236=0,0,IF(AV236&lt;=12*'🎚️ Escenario'!$C$11,1,1+$C$6))</f>
        <v>0</v>
      </c>
      <c r="AW238" s="237" t="n">
        <f aca="false">IF(AW236=0,0,IF(AW236&lt;=12*'🎚️ Escenario'!$C$11,1,1+$C$6))</f>
        <v>0</v>
      </c>
      <c r="AX238" s="237" t="n">
        <f aca="false">IF(AX236=0,0,IF(AX236&lt;=12*'🎚️ Escenario'!$C$11,1,1+$C$6))</f>
        <v>0</v>
      </c>
      <c r="AY238" s="237" t="n">
        <f aca="false">IF(AY236=0,0,IF(AY236&lt;=12*'🎚️ Escenario'!$C$11,1,1+$C$6))</f>
        <v>0</v>
      </c>
      <c r="AZ238" s="237" t="n">
        <f aca="false">IF(AZ236=0,0,IF(AZ236&lt;=12*'🎚️ Escenario'!$C$11,1,1+$C$6))</f>
        <v>0</v>
      </c>
      <c r="BA238" s="237" t="n">
        <f aca="false">IF(BA236=0,0,IF(BA236&lt;=12*'🎚️ Escenario'!$C$11,1,1+$C$6))</f>
        <v>0</v>
      </c>
      <c r="BB238" s="237" t="n">
        <f aca="false">IF(BB236=0,0,IF(BB236&lt;=12*'🎚️ Escenario'!$C$11,1,1+$C$6))</f>
        <v>0</v>
      </c>
      <c r="BC238" s="237" t="n">
        <f aca="false">IF(BC236=0,0,IF(BC236&lt;=12*'🎚️ Escenario'!$C$11,1,1+$C$6))</f>
        <v>0</v>
      </c>
      <c r="BD238" s="237" t="n">
        <f aca="false">IF(BD236=0,0,IF(BD236&lt;=12*'🎚️ Escenario'!$C$11,1,1+$C$6))</f>
        <v>0</v>
      </c>
      <c r="BE238" s="237" t="n">
        <f aca="false">IF(BE236=0,0,IF(BE236&lt;=12*'🎚️ Escenario'!$C$11,1,1+$C$6))</f>
        <v>0</v>
      </c>
      <c r="BF238" s="237" t="n">
        <f aca="false">IF(BF236=0,0,IF(BF236&lt;=12*'🎚️ Escenario'!$C$11,1,1+$C$6))</f>
        <v>0</v>
      </c>
      <c r="BG238" s="237" t="n">
        <f aca="false">IF(BG236=0,0,IF(BG236&lt;=12*'🎚️ Escenario'!$C$11,1,1+$C$6))</f>
        <v>0</v>
      </c>
      <c r="BH238" s="237" t="n">
        <f aca="false">IF(BH236=0,0,IF(BH236&lt;=12*'🎚️ Escenario'!$C$11,1,1+$C$6))</f>
        <v>0</v>
      </c>
      <c r="BI238" s="237" t="n">
        <f aca="false">IF(BI236=0,0,IF(BI236&lt;=12*'🎚️ Escenario'!$C$11,1,1+$C$6))</f>
        <v>0</v>
      </c>
      <c r="BJ238" s="237" t="n">
        <f aca="false">IF(BJ236=0,0,IF(BJ236&lt;=12*'🎚️ Escenario'!$C$11,1,1+$C$6))</f>
        <v>0</v>
      </c>
      <c r="BK238" s="237" t="n">
        <f aca="false">IF(BK236=0,0,IF(BK236&lt;=12*'🎚️ Escenario'!$C$11,1,1+$C$6))</f>
        <v>0</v>
      </c>
      <c r="BL238" s="237" t="n">
        <f aca="false">IF(BL236=0,0,IF(BL236&lt;=12*'🎚️ Escenario'!$C$11,1,1+$C$6))</f>
        <v>0</v>
      </c>
      <c r="BM238" s="237" t="n">
        <f aca="false">IF(BM236=0,0,IF(BM236&lt;=12*'🎚️ Escenario'!$C$11,1,1+$C$6))</f>
        <v>0</v>
      </c>
      <c r="BN238" s="237" t="n">
        <f aca="false">IF(BN236=0,0,IF(BN236&lt;=12*'🎚️ Escenario'!$C$11,1,1+$C$6))</f>
        <v>0</v>
      </c>
      <c r="BO238" s="237" t="n">
        <f aca="false">IF(BO236=0,0,IF(BO236&lt;=12*'🎚️ Escenario'!$C$11,1,1+$C$6))</f>
        <v>0</v>
      </c>
      <c r="BP238" s="237" t="n">
        <f aca="false">IF(BP236=0,0,IF(BP236&lt;=12*'🎚️ Escenario'!$C$11,1,1+$C$6))</f>
        <v>0</v>
      </c>
      <c r="BQ238" s="237" t="n">
        <f aca="false">IF(BQ236=0,0,IF(BQ236&lt;=12*'🎚️ Escenario'!$C$11,1,1+$C$6))</f>
        <v>0</v>
      </c>
      <c r="BR238" s="237" t="n">
        <f aca="false">IF(BR236=0,0,IF(BR236&lt;=12*'🎚️ Escenario'!$C$11,1,1+$C$6))</f>
        <v>0</v>
      </c>
      <c r="BS238" s="237" t="n">
        <f aca="false">IF(BS236=0,0,IF(BS236&lt;=12*'🎚️ Escenario'!$C$11,1,1+$C$6))</f>
        <v>0</v>
      </c>
      <c r="BT238" s="237" t="n">
        <f aca="false">IF(BT236=0,0,IF(BT236&lt;=12*'🎚️ Escenario'!$C$11,1,1+$C$6))</f>
        <v>0</v>
      </c>
      <c r="BU238" s="237" t="n">
        <f aca="false">IF(BU236=0,0,IF(BU236&lt;=12*'🎚️ Escenario'!$C$11,1,1+$C$6))</f>
        <v>0</v>
      </c>
      <c r="BV238" s="237" t="n">
        <f aca="false">IF(BV236=0,0,IF(BV236&lt;=12*'🎚️ Escenario'!$C$11,1,1+$C$6))</f>
        <v>0</v>
      </c>
      <c r="BW238" s="237" t="n">
        <f aca="false">IF(BW236=0,0,IF(BW236&lt;=12*'🎚️ Escenario'!$C$11,1,1+$C$6))</f>
        <v>0</v>
      </c>
      <c r="BX238" s="237" t="n">
        <f aca="false">IF(BX236=0,0,IF(BX236&lt;=12*'🎚️ Escenario'!$C$11,1,1+$C$6))</f>
        <v>0</v>
      </c>
      <c r="BY238" s="237" t="n">
        <f aca="false">IF(BY236=0,0,IF(BY236&lt;=12*'🎚️ Escenario'!$C$11,1,1+$C$6))</f>
        <v>0</v>
      </c>
      <c r="BZ238" s="237" t="n">
        <f aca="false">IF(BZ236=0,0,IF(BZ236&lt;=12*'🎚️ Escenario'!$C$11,1,1+$C$6))</f>
        <v>0</v>
      </c>
      <c r="CA238" s="237" t="n">
        <f aca="false">IF(CA236=0,0,IF(CA236&lt;=12*'🎚️ Escenario'!$C$11,1,1+$C$6))</f>
        <v>0</v>
      </c>
      <c r="CB238" s="237" t="n">
        <f aca="false">IF(CB236=0,0,IF(CB236&lt;=12*'🎚️ Escenario'!$C$11,1,1+$C$6))</f>
        <v>0</v>
      </c>
      <c r="CC238" s="237" t="n">
        <f aca="false">IF(CC236=0,0,IF(CC236&lt;=12*'🎚️ Escenario'!$C$11,1,1+$C$6))</f>
        <v>0</v>
      </c>
      <c r="CD238" s="237" t="n">
        <f aca="false">IF(CD236=0,0,IF(CD236&lt;=12*'🎚️ Escenario'!$C$11,1,1+$C$6))</f>
        <v>0</v>
      </c>
      <c r="CE238" s="237" t="n">
        <f aca="false">IF(CE236=0,0,IF(CE236&lt;=12*'🎚️ Escenario'!$C$11,1,1+$C$6))</f>
        <v>0</v>
      </c>
      <c r="CF238" s="237" t="n">
        <f aca="false">IF(CF236=0,0,IF(CF236&lt;=12*'🎚️ Escenario'!$C$11,1,1+$C$6))</f>
        <v>0</v>
      </c>
      <c r="CG238" s="237" t="n">
        <f aca="false">IF(CG236=0,0,IF(CG236&lt;=12*'🎚️ Escenario'!$C$11,1,1+$C$6))</f>
        <v>0</v>
      </c>
      <c r="CH238" s="237" t="n">
        <f aca="false">IF(CH236=0,0,IF(CH236&lt;=12*'🎚️ Escenario'!$C$11,1,1+$C$6))</f>
        <v>0</v>
      </c>
      <c r="CI238" s="237" t="n">
        <f aca="false">IF(CI236=0,0,IF(CI236&lt;=12*'🎚️ Escenario'!$C$11,1,1+$C$6))</f>
        <v>0</v>
      </c>
      <c r="CJ238" s="237" t="n">
        <f aca="false">IF(CJ236=0,0,IF(CJ236&lt;=12*'🎚️ Escenario'!$C$11,1,1+$C$6))</f>
        <v>0</v>
      </c>
      <c r="CK238" s="237" t="n">
        <f aca="false">IF(CK236=0,0,IF(CK236&lt;=12*'🎚️ Escenario'!$C$11,1,1+$C$6))</f>
        <v>0</v>
      </c>
      <c r="CL238" s="237" t="n">
        <f aca="false">IF(CL236=0,0,IF(CL236&lt;=12*'🎚️ Escenario'!$C$11,1,1+$C$6))</f>
        <v>0</v>
      </c>
      <c r="CM238" s="237" t="n">
        <f aca="false">IF(CM236=0,0,IF(CM236&lt;=12*'🎚️ Escenario'!$C$11,1,1+$C$6))</f>
        <v>0</v>
      </c>
      <c r="CN238" s="237" t="n">
        <f aca="false">IF(CN236=0,0,IF(CN236&lt;=12*'🎚️ Escenario'!$C$11,1,1+$C$6))</f>
        <v>1</v>
      </c>
      <c r="CO238" s="237" t="n">
        <f aca="false">IF(CO236=0,0,IF(CO236&lt;=12*'🎚️ Escenario'!$C$11,1,1+$C$6))</f>
        <v>1</v>
      </c>
      <c r="CP238" s="237" t="n">
        <f aca="false">IF(CP236=0,0,IF(CP236&lt;=12*'🎚️ Escenario'!$C$11,1,1+$C$6))</f>
        <v>1</v>
      </c>
      <c r="CQ238" s="237" t="n">
        <f aca="false">IF(CQ236=0,0,IF(CQ236&lt;=12*'🎚️ Escenario'!$C$11,1,1+$C$6))</f>
        <v>1</v>
      </c>
      <c r="CR238" s="237" t="n">
        <f aca="false">IF(CR236=0,0,IF(CR236&lt;=12*'🎚️ Escenario'!$C$11,1,1+$C$6))</f>
        <v>1</v>
      </c>
      <c r="CS238" s="237" t="n">
        <f aca="false">IF(CS236=0,0,IF(CS236&lt;=12*'🎚️ Escenario'!$C$11,1,1+$C$6))</f>
        <v>1</v>
      </c>
      <c r="CT238" s="237" t="n">
        <f aca="false">IF(CT236=0,0,IF(CT236&lt;=12*'🎚️ Escenario'!$C$11,1,1+$C$6))</f>
        <v>1</v>
      </c>
      <c r="CU238" s="237" t="n">
        <f aca="false">IF(CU236=0,0,IF(CU236&lt;=12*'🎚️ Escenario'!$C$11,1,1+$C$6))</f>
        <v>1</v>
      </c>
      <c r="CV238" s="237" t="n">
        <f aca="false">IF(CV236=0,0,IF(CV236&lt;=12*'🎚️ Escenario'!$C$11,1,1+$C$6))</f>
        <v>1</v>
      </c>
      <c r="CW238" s="237" t="n">
        <f aca="false">IF(CW236=0,0,IF(CW236&lt;=12*'🎚️ Escenario'!$C$11,1,1+$C$6))</f>
        <v>1</v>
      </c>
      <c r="CX238" s="237" t="n">
        <f aca="false">IF(CX236=0,0,IF(CX236&lt;=12*'🎚️ Escenario'!$C$11,1,1+$C$6))</f>
        <v>1</v>
      </c>
      <c r="CY238" s="237" t="n">
        <f aca="false">IF(CY236=0,0,IF(CY236&lt;=12*'🎚️ Escenario'!$C$11,1,1+$C$6))</f>
        <v>1</v>
      </c>
      <c r="CZ238" s="237" t="n">
        <f aca="false">IF(CZ236=0,0,IF(CZ236&lt;=12*'🎚️ Escenario'!$C$11,1,1+$C$6))</f>
        <v>1</v>
      </c>
      <c r="DA238" s="237" t="n">
        <f aca="false">IF(DA236=0,0,IF(DA236&lt;=12*'🎚️ Escenario'!$C$11,1,1+$C$6))</f>
        <v>1</v>
      </c>
      <c r="DB238" s="237" t="n">
        <f aca="false">IF(DB236=0,0,IF(DB236&lt;=12*'🎚️ Escenario'!$C$11,1,1+$C$6))</f>
        <v>1</v>
      </c>
      <c r="DC238" s="237" t="n">
        <f aca="false">IF(DC236=0,0,IF(DC236&lt;=12*'🎚️ Escenario'!$C$11,1,1+$C$6))</f>
        <v>1.2</v>
      </c>
      <c r="DD238" s="237" t="n">
        <f aca="false">IF(DD236=0,0,IF(DD236&lt;=12*'🎚️ Escenario'!$C$11,1,1+$C$6))</f>
        <v>1.2</v>
      </c>
      <c r="DE238" s="237" t="n">
        <f aca="false">IF(DE236=0,0,IF(DE236&lt;=12*'🎚️ Escenario'!$C$11,1,1+$C$6))</f>
        <v>1.2</v>
      </c>
      <c r="DF238" s="237" t="n">
        <f aca="false">IF(DF236=0,0,IF(DF236&lt;=12*'🎚️ Escenario'!$C$11,1,1+$C$6))</f>
        <v>1.2</v>
      </c>
      <c r="DG238" s="237" t="n">
        <f aca="false">IF(DG236=0,0,IF(DG236&lt;=12*'🎚️ Escenario'!$C$11,1,1+$C$6))</f>
        <v>1.2</v>
      </c>
      <c r="DH238" s="237" t="n">
        <f aca="false">IF(DH236=0,0,IF(DH236&lt;=12*'🎚️ Escenario'!$C$11,1,1+$C$6))</f>
        <v>1.2</v>
      </c>
      <c r="DI238" s="237" t="n">
        <f aca="false">IF(DI236=0,0,IF(DI236&lt;=12*'🎚️ Escenario'!$C$11,1,1+$C$6))</f>
        <v>1.2</v>
      </c>
      <c r="DJ238" s="237" t="n">
        <f aca="false">IF(DJ236=0,0,IF(DJ236&lt;=12*'🎚️ Escenario'!$C$11,1,1+$C$6))</f>
        <v>1.2</v>
      </c>
      <c r="DK238" s="237" t="n">
        <f aca="false">IF(DK236=0,0,IF(DK236&lt;=12*'🎚️ Escenario'!$C$11,1,1+$C$6))</f>
        <v>1.2</v>
      </c>
      <c r="DL238" s="237" t="n">
        <f aca="false">IF(DL236=0,0,IF(DL236&lt;=12*'🎚️ Escenario'!$C$11,1,1+$C$6))</f>
        <v>1.2</v>
      </c>
      <c r="DM238" s="237" t="n">
        <f aca="false">IF(DM236=0,0,IF(DM236&lt;=12*'🎚️ Escenario'!$C$11,1,1+$C$6))</f>
        <v>1.2</v>
      </c>
      <c r="DN238" s="237" t="n">
        <f aca="false">IF(DN236=0,0,IF(DN236&lt;=12*'🎚️ Escenario'!$C$11,1,1+$C$6))</f>
        <v>1.2</v>
      </c>
      <c r="DO238" s="237" t="n">
        <f aca="false">IF(DO236=0,0,IF(DO236&lt;=12*'🎚️ Escenario'!$C$11,1,1+$C$6))</f>
        <v>1.2</v>
      </c>
      <c r="DP238" s="237" t="n">
        <f aca="false">IF(DP236=0,0,IF(DP236&lt;=12*'🎚️ Escenario'!$C$11,1,1+$C$6))</f>
        <v>1.2</v>
      </c>
      <c r="DQ238" s="237" t="n">
        <f aca="false">IF(DQ236=0,0,IF(DQ236&lt;=12*'🎚️ Escenario'!$C$11,1,1+$C$6))</f>
        <v>1.2</v>
      </c>
      <c r="DR238" s="237" t="n">
        <f aca="false">IF(DR236=0,0,IF(DR236&lt;=12*'🎚️ Escenario'!$C$11,1,1+$C$6))</f>
        <v>1.2</v>
      </c>
      <c r="DS238" s="237" t="n">
        <f aca="false">IF(DS236=0,0,IF(DS236&lt;=12*'🎚️ Escenario'!$C$11,1,1+$C$6))</f>
        <v>1.2</v>
      </c>
      <c r="DT238" s="237" t="n">
        <f aca="false">IF(DT236=0,0,IF(DT236&lt;=12*'🎚️ Escenario'!$C$11,1,1+$C$6))</f>
        <v>1.2</v>
      </c>
      <c r="DU238" s="237" t="n">
        <f aca="false">IF(DU236=0,0,IF(DU236&lt;=12*'🎚️ Escenario'!$C$11,1,1+$C$6))</f>
        <v>1.2</v>
      </c>
      <c r="DV238" s="237" t="n">
        <f aca="false">IF(DV236=0,0,IF(DV236&lt;=12*'🎚️ Escenario'!$C$11,1,1+$C$6))</f>
        <v>1.2</v>
      </c>
      <c r="DW238" s="237" t="n">
        <f aca="false">IF(DW236=0,0,IF(DW236&lt;=12*'🎚️ Escenario'!$C$11,1,1+$C$6))</f>
        <v>1.2</v>
      </c>
      <c r="DX238" s="237" t="n">
        <f aca="false">IF(DX236=0,0,IF(DX236&lt;=12*'🎚️ Escenario'!$C$11,1,1+$C$6))</f>
        <v>1.2</v>
      </c>
      <c r="DY238" s="237" t="n">
        <f aca="false">IF(DY236=0,0,IF(DY236&lt;=12*'🎚️ Escenario'!$C$11,1,1+$C$6))</f>
        <v>1.2</v>
      </c>
      <c r="DZ238" s="237" t="n">
        <f aca="false">IF(DZ236=0,0,IF(DZ236&lt;=12*'🎚️ Escenario'!$C$11,1,1+$C$6))</f>
        <v>1.2</v>
      </c>
      <c r="EA238" s="237" t="n">
        <f aca="false">IF(EA236=0,0,IF(EA236&lt;=12*'🎚️ Escenario'!$C$11,1,1+$C$6))</f>
        <v>1.2</v>
      </c>
      <c r="EB238" s="237" t="n">
        <f aca="false">IF(EB236=0,0,IF(EB236&lt;=12*'🎚️ Escenario'!$C$11,1,1+$C$6))</f>
        <v>1.2</v>
      </c>
      <c r="EC238" s="237" t="n">
        <f aca="false">IF(EC236=0,0,IF(EC236&lt;=12*'🎚️ Escenario'!$C$11,1,1+$C$6))</f>
        <v>1.2</v>
      </c>
      <c r="ED238" s="237" t="n">
        <f aca="false">IF(ED236=0,0,IF(ED236&lt;=12*'🎚️ Escenario'!$C$11,1,1+$C$6))</f>
        <v>1.2</v>
      </c>
      <c r="EE238" s="237" t="n">
        <f aca="false">IF(EE236=0,0,IF(EE236&lt;=12*'🎚️ Escenario'!$C$11,1,1+$C$6))</f>
        <v>1.2</v>
      </c>
      <c r="EF238" s="237" t="n">
        <f aca="false">IF(EF236=0,0,IF(EF236&lt;=12*'🎚️ Escenario'!$C$11,1,1+$C$6))</f>
        <v>1.2</v>
      </c>
      <c r="EG238" s="237" t="n">
        <f aca="false">IF(EG236=0,0,IF(EG236&lt;=12*'🎚️ Escenario'!$C$11,1,1+$C$6))</f>
        <v>1.2</v>
      </c>
      <c r="EH238" s="237" t="n">
        <f aca="false">IF(EH236=0,0,IF(EH236&lt;=12*'🎚️ Escenario'!$C$11,1,1+$C$6))</f>
        <v>1.2</v>
      </c>
      <c r="EI238" s="237" t="n">
        <f aca="false">IF(EI236=0,0,IF(EI236&lt;=12*'🎚️ Escenario'!$C$11,1,1+$C$6))</f>
        <v>1.2</v>
      </c>
      <c r="EJ238" s="237" t="n">
        <f aca="false">IF(EJ236=0,0,IF(EJ236&lt;=12*'🎚️ Escenario'!$C$11,1,1+$C$6))</f>
        <v>1.2</v>
      </c>
      <c r="EK238" s="237" t="n">
        <f aca="false">IF(EK236=0,0,IF(EK236&lt;=12*'🎚️ Escenario'!$C$11,1,1+$C$6))</f>
        <v>1.2</v>
      </c>
      <c r="EL238" s="237" t="n">
        <f aca="false">IF(EL236=0,0,IF(EL236&lt;=12*'🎚️ Escenario'!$C$11,1,1+$C$6))</f>
        <v>1.2</v>
      </c>
      <c r="EM238" s="237" t="n">
        <f aca="false">IF(EM236=0,0,IF(EM236&lt;=12*'🎚️ Escenario'!$C$11,1,1+$C$6))</f>
        <v>1.2</v>
      </c>
      <c r="EN238" s="237" t="n">
        <f aca="false">IF(EN236=0,0,IF(EN236&lt;=12*'🎚️ Escenario'!$C$11,1,1+$C$6))</f>
        <v>1.2</v>
      </c>
      <c r="EO238" s="237" t="n">
        <f aca="false">IF(EO236=0,0,IF(EO236&lt;=12*'🎚️ Escenario'!$C$11,1,1+$C$6))</f>
        <v>1.2</v>
      </c>
      <c r="EP238" s="237" t="n">
        <f aca="false">IF(EP236=0,0,IF(EP236&lt;=12*'🎚️ Escenario'!$C$11,1,1+$C$6))</f>
        <v>1.2</v>
      </c>
      <c r="EQ238" s="237" t="n">
        <f aca="false">IF(EQ236=0,0,IF(EQ236&lt;=12*'🎚️ Escenario'!$C$11,1,1+$C$6))</f>
        <v>1.2</v>
      </c>
      <c r="ER238" s="237" t="n">
        <f aca="false">IF(ER236=0,0,IF(ER236&lt;=12*'🎚️ Escenario'!$C$11,1,1+$C$6))</f>
        <v>1.2</v>
      </c>
      <c r="ES238" s="238" t="n">
        <f aca="false">IF(ES236=0,0,IF(ES236&lt;=12*'🎚️ Escenario'!$C$11,1,1+$C$6))</f>
        <v>1.2</v>
      </c>
      <c r="ET238" s="238" t="n">
        <f aca="false">IF(ET236=0,0,IF(ET236&lt;=12*'🎚️ Escenario'!$C$11,1,1+$C$6))</f>
        <v>1.2</v>
      </c>
      <c r="EU238" s="238" t="n">
        <f aca="false">IF(EU236=0,0,IF(EU236&lt;=12*'🎚️ Escenario'!$C$11,1,1+$C$6))</f>
        <v>1.2</v>
      </c>
      <c r="EV238" s="238" t="n">
        <f aca="false">IF(EV236=0,0,IF(EV236&lt;=12*'🎚️ Escenario'!$C$11,1,1+$C$6))</f>
        <v>1.2</v>
      </c>
      <c r="EW238" s="238" t="n">
        <f aca="false">IF(EW236=0,0,IF(EW236&lt;=12*'🎚️ Escenario'!$C$11,1,1+$C$6))</f>
        <v>1.2</v>
      </c>
      <c r="EX238" s="238" t="n">
        <f aca="false">IF(EX236=0,0,IF(EX236&lt;=12*'🎚️ Escenario'!$C$11,1,1+$C$6))</f>
        <v>1.2</v>
      </c>
      <c r="EY238" s="238" t="n">
        <f aca="false">IF(EY236=0,0,IF(EY236&lt;=12*'🎚️ Escenario'!$C$11,1,1+$C$6))</f>
        <v>1.2</v>
      </c>
      <c r="EZ238" s="238" t="n">
        <f aca="false">IF(EZ236=0,0,IF(EZ236&lt;=12*'🎚️ Escenario'!$C$11,1,1+$C$6))</f>
        <v>1.2</v>
      </c>
      <c r="FA238" s="238" t="n">
        <f aca="false">IF(FA236=0,0,IF(FA236&lt;=12*'🎚️ Escenario'!$C$11,1,1+$C$6))</f>
        <v>1.2</v>
      </c>
      <c r="FB238" s="238" t="n">
        <f aca="false">IF(FB236=0,0,IF(FB236&lt;=12*'🎚️ Escenario'!$C$11,1,1+$C$6))</f>
        <v>1.2</v>
      </c>
      <c r="FC238" s="238" t="n">
        <f aca="false">IF(FC236=0,0,IF(FC236&lt;=12*'🎚️ Escenario'!$C$11,1,1+$C$6))</f>
        <v>1.2</v>
      </c>
      <c r="FD238" s="238" t="n">
        <f aca="false">IF(FD236=0,0,IF(FD236&lt;=12*'🎚️ Escenario'!$C$11,1,1+$C$6))</f>
        <v>1.2</v>
      </c>
      <c r="FE238" s="238" t="n">
        <f aca="false">IF(FE236=0,0,IF(FE236&lt;=12*'🎚️ Escenario'!$C$11,1,1+$C$6))</f>
        <v>1.2</v>
      </c>
      <c r="FF238" s="238" t="n">
        <f aca="false">IF(FF236=0,0,IF(FF236&lt;=12*'🎚️ Escenario'!$C$11,1,1+$C$6))</f>
        <v>1.2</v>
      </c>
      <c r="FG238" s="238" t="n">
        <f aca="false">IF(FG236=0,0,IF(FG236&lt;=12*'🎚️ Escenario'!$C$11,1,1+$C$6))</f>
        <v>1.2</v>
      </c>
      <c r="FH238" s="238" t="n">
        <f aca="false">IF(FH236=0,0,IF(FH236&lt;=12*'🎚️ Escenario'!$C$11,1,1+$C$6))</f>
        <v>1.2</v>
      </c>
      <c r="FI238" s="238" t="n">
        <f aca="false">IF(FI236=0,0,IF(FI236&lt;=12*'🎚️ Escenario'!$C$11,1,1+$C$6))</f>
        <v>1.2</v>
      </c>
      <c r="FJ238" s="238" t="n">
        <f aca="false">IF(FJ236=0,0,IF(FJ236&lt;=12*'🎚️ Escenario'!$C$11,1,1+$C$6))</f>
        <v>1.2</v>
      </c>
      <c r="FK238" s="238" t="n">
        <f aca="false">IF(FK236=0,0,IF(FK236&lt;=12*'🎚️ Escenario'!$C$11,1,1+$C$6))</f>
        <v>1.2</v>
      </c>
      <c r="FL238" s="238" t="n">
        <f aca="false">IF(FL236=0,0,IF(FL236&lt;=12*'🎚️ Escenario'!$C$11,1,1+$C$6))</f>
        <v>1.2</v>
      </c>
      <c r="FM238" s="238" t="n">
        <f aca="false">IF(FM236=0,0,IF(FM236&lt;=12*'🎚️ Escenario'!$C$11,1,1+$C$6))</f>
        <v>1.2</v>
      </c>
      <c r="FN238" s="238" t="n">
        <f aca="false">IF(FN236=0,0,IF(FN236&lt;=12*'🎚️ Escenario'!$C$11,1,1+$C$6))</f>
        <v>1.2</v>
      </c>
      <c r="FO238" s="238" t="n">
        <f aca="false">IF(FO236=0,0,IF(FO236&lt;=12*'🎚️ Escenario'!$C$11,1,1+$C$6))</f>
        <v>1.2</v>
      </c>
      <c r="FP238" s="238" t="n">
        <f aca="false">IF(FP236=0,0,IF(FP236&lt;=12*'🎚️ Escenario'!$C$11,1,1+$C$6))</f>
        <v>1.2</v>
      </c>
    </row>
    <row r="239" customFormat="false" ht="15" hidden="false" customHeight="false" outlineLevel="2" collapsed="false">
      <c r="B239" s="9" t="s">
        <v>876</v>
      </c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36" t="n">
        <f aca="false">AC237*$AC$235*AC238*AC$38*'⑫ Roll-out Plan'!$O$29</f>
        <v>0</v>
      </c>
      <c r="AD239" s="36" t="n">
        <f aca="false">AD237*$AC$235*AD238*AD$38*'⑫ Roll-out Plan'!$O$29</f>
        <v>0</v>
      </c>
      <c r="AE239" s="36" t="n">
        <f aca="false">AE237*$AC$235*AE238*AE$38*'⑫ Roll-out Plan'!$O$29</f>
        <v>0</v>
      </c>
      <c r="AF239" s="36" t="n">
        <f aca="false">AF237*$AC$235*AF238*AF$38*'⑫ Roll-out Plan'!$O$29</f>
        <v>0</v>
      </c>
      <c r="AG239" s="36" t="n">
        <f aca="false">AG237*$AC$235*AG238*AG$38*'⑫ Roll-out Plan'!$O$29</f>
        <v>0</v>
      </c>
      <c r="AH239" s="36" t="n">
        <f aca="false">AH237*$AC$235*AH238*AH$38*'⑫ Roll-out Plan'!$O$29</f>
        <v>0</v>
      </c>
      <c r="AI239" s="36" t="n">
        <f aca="false">AI237*$AC$235*AI238*AI$38*'⑫ Roll-out Plan'!$O$29</f>
        <v>0</v>
      </c>
      <c r="AJ239" s="36" t="n">
        <f aca="false">AJ237*$AC$235*AJ238*AJ$38*'⑫ Roll-out Plan'!$O$29</f>
        <v>0</v>
      </c>
      <c r="AK239" s="36" t="n">
        <f aca="false">AK237*$AC$235*AK238*AK$38*'⑫ Roll-out Plan'!$O$29</f>
        <v>0</v>
      </c>
      <c r="AL239" s="36" t="n">
        <f aca="false">AL237*$AC$235*AL238*AL$38*'⑫ Roll-out Plan'!$O$29</f>
        <v>0</v>
      </c>
      <c r="AM239" s="36" t="n">
        <f aca="false">AM237*$AC$235*AM238*AM$38*'⑫ Roll-out Plan'!$O$29</f>
        <v>0</v>
      </c>
      <c r="AN239" s="36" t="n">
        <f aca="false">AN237*$AC$235*AN238*AN$38*'⑫ Roll-out Plan'!$O$29</f>
        <v>0</v>
      </c>
      <c r="AO239" s="36" t="n">
        <f aca="false">AO237*$AC$235*AO238*AO$38*'⑫ Roll-out Plan'!$O$29</f>
        <v>0</v>
      </c>
      <c r="AP239" s="36" t="n">
        <f aca="false">AP237*$AC$235*AP238*AP$38*'⑫ Roll-out Plan'!$O$29</f>
        <v>0</v>
      </c>
      <c r="AQ239" s="36" t="n">
        <f aca="false">AQ237*$AC$235*AQ238*AQ$38*'⑫ Roll-out Plan'!$O$29</f>
        <v>0</v>
      </c>
      <c r="AR239" s="36" t="n">
        <f aca="false">AR237*$AC$235*AR238*AR$38*'⑫ Roll-out Plan'!$O$29</f>
        <v>0</v>
      </c>
      <c r="AS239" s="36" t="n">
        <f aca="false">AS237*$AC$235*AS238*AS$38*'⑫ Roll-out Plan'!$O$29</f>
        <v>0</v>
      </c>
      <c r="AT239" s="36" t="n">
        <f aca="false">AT237*$AC$235*AT238*AT$38*'⑫ Roll-out Plan'!$O$29</f>
        <v>0</v>
      </c>
      <c r="AU239" s="36" t="n">
        <f aca="false">AU237*$AC$235*AU238*AU$38*'⑫ Roll-out Plan'!$O$29</f>
        <v>0</v>
      </c>
      <c r="AV239" s="36" t="n">
        <f aca="false">AV237*$AC$235*AV238*AV$38*'⑫ Roll-out Plan'!$O$29</f>
        <v>0</v>
      </c>
      <c r="AW239" s="36" t="n">
        <f aca="false">AW237*$AC$235*AW238*AW$38*'⑫ Roll-out Plan'!$O$29</f>
        <v>0</v>
      </c>
      <c r="AX239" s="36" t="n">
        <f aca="false">AX237*$AC$235*AX238*AX$38*'⑫ Roll-out Plan'!$O$29</f>
        <v>0</v>
      </c>
      <c r="AY239" s="36" t="n">
        <f aca="false">AY237*$AC$235*AY238*AY$38*'⑫ Roll-out Plan'!$O$29</f>
        <v>0</v>
      </c>
      <c r="AZ239" s="36" t="n">
        <f aca="false">AZ237*$AC$235*AZ238*AZ$38*'⑫ Roll-out Plan'!$O$29</f>
        <v>0</v>
      </c>
      <c r="BA239" s="36" t="n">
        <f aca="false">BA237*$AC$235*BA238*BA$38*'⑫ Roll-out Plan'!$O$29</f>
        <v>0</v>
      </c>
      <c r="BB239" s="36" t="n">
        <f aca="false">BB237*$AC$235*BB238*BB$38*'⑫ Roll-out Plan'!$O$29</f>
        <v>0</v>
      </c>
      <c r="BC239" s="36" t="n">
        <f aca="false">BC237*$AC$235*BC238*BC$38*'⑫ Roll-out Plan'!$O$29</f>
        <v>0</v>
      </c>
      <c r="BD239" s="36" t="n">
        <f aca="false">BD237*$AC$235*BD238*BD$38*'⑫ Roll-out Plan'!$O$29</f>
        <v>0</v>
      </c>
      <c r="BE239" s="36" t="n">
        <f aca="false">BE237*$AC$235*BE238*BE$38*'⑫ Roll-out Plan'!$O$29</f>
        <v>0</v>
      </c>
      <c r="BF239" s="36" t="n">
        <f aca="false">BF237*$AC$235*BF238*BF$38*'⑫ Roll-out Plan'!$O$29</f>
        <v>0</v>
      </c>
      <c r="BG239" s="36" t="n">
        <f aca="false">BG237*$AC$235*BG238*BG$38*'⑫ Roll-out Plan'!$O$29</f>
        <v>0</v>
      </c>
      <c r="BH239" s="36" t="n">
        <f aca="false">BH237*$AC$235*BH238*BH$38*'⑫ Roll-out Plan'!$O$29</f>
        <v>0</v>
      </c>
      <c r="BI239" s="36" t="n">
        <f aca="false">BI237*$AC$235*BI238*BI$38*'⑫ Roll-out Plan'!$O$29</f>
        <v>0</v>
      </c>
      <c r="BJ239" s="36" t="n">
        <f aca="false">BJ237*$AC$235*BJ238*BJ$38*'⑫ Roll-out Plan'!$O$29</f>
        <v>0</v>
      </c>
      <c r="BK239" s="36" t="n">
        <f aca="false">BK237*$AC$235*BK238*BK$38*'⑫ Roll-out Plan'!$O$29</f>
        <v>0</v>
      </c>
      <c r="BL239" s="36" t="n">
        <f aca="false">BL237*$AC$235*BL238*BL$38*'⑫ Roll-out Plan'!$O$29</f>
        <v>0</v>
      </c>
      <c r="BM239" s="36" t="n">
        <f aca="false">BM237*$AC$235*BM238*BM$38*'⑫ Roll-out Plan'!$O$29</f>
        <v>0</v>
      </c>
      <c r="BN239" s="36" t="n">
        <f aca="false">BN237*$AC$235*BN238*BN$38*'⑫ Roll-out Plan'!$O$29</f>
        <v>0</v>
      </c>
      <c r="BO239" s="36" t="n">
        <f aca="false">BO237*$AC$235*BO238*BO$38*'⑫ Roll-out Plan'!$O$29</f>
        <v>0</v>
      </c>
      <c r="BP239" s="36" t="n">
        <f aca="false">BP237*$AC$235*BP238*BP$38*'⑫ Roll-out Plan'!$O$29</f>
        <v>0</v>
      </c>
      <c r="BQ239" s="36" t="n">
        <f aca="false">BQ237*$AC$235*BQ238*BQ$38*'⑫ Roll-out Plan'!$O$29</f>
        <v>0</v>
      </c>
      <c r="BR239" s="36" t="n">
        <f aca="false">BR237*$AC$235*BR238*BR$38*'⑫ Roll-out Plan'!$O$29</f>
        <v>0</v>
      </c>
      <c r="BS239" s="36" t="n">
        <f aca="false">BS237*$AC$235*BS238*BS$38*'⑫ Roll-out Plan'!$O$29</f>
        <v>0</v>
      </c>
      <c r="BT239" s="36" t="n">
        <f aca="false">BT237*$AC$235*BT238*BT$38*'⑫ Roll-out Plan'!$O$29</f>
        <v>0</v>
      </c>
      <c r="BU239" s="36" t="n">
        <f aca="false">BU237*$AC$235*BU238*BU$38*'⑫ Roll-out Plan'!$O$29</f>
        <v>0</v>
      </c>
      <c r="BV239" s="36" t="n">
        <f aca="false">BV237*$AC$235*BV238*BV$38*'⑫ Roll-out Plan'!$O$29</f>
        <v>0</v>
      </c>
      <c r="BW239" s="36" t="n">
        <f aca="false">BW237*$AC$235*BW238*BW$38*'⑫ Roll-out Plan'!$O$29</f>
        <v>0</v>
      </c>
      <c r="BX239" s="36" t="n">
        <f aca="false">BX237*$AC$235*BX238*BX$38*'⑫ Roll-out Plan'!$O$29</f>
        <v>0</v>
      </c>
      <c r="BY239" s="36" t="n">
        <f aca="false">BY237*$AC$235*BY238*BY$38*'⑫ Roll-out Plan'!$O$29</f>
        <v>0</v>
      </c>
      <c r="BZ239" s="36" t="n">
        <f aca="false">BZ237*$AC$235*BZ238*BZ$38*'⑫ Roll-out Plan'!$O$29</f>
        <v>0</v>
      </c>
      <c r="CA239" s="36" t="n">
        <f aca="false">CA237*$AC$235*CA238*CA$38*'⑫ Roll-out Plan'!$O$29</f>
        <v>0</v>
      </c>
      <c r="CB239" s="36" t="n">
        <f aca="false">CB237*$AC$235*CB238*CB$38*'⑫ Roll-out Plan'!$O$29</f>
        <v>0</v>
      </c>
      <c r="CC239" s="36" t="n">
        <f aca="false">CC237*$AC$235*CC238*CC$38*'⑫ Roll-out Plan'!$O$29</f>
        <v>0</v>
      </c>
      <c r="CD239" s="36" t="n">
        <f aca="false">CD237*$AC$235*CD238*CD$38*'⑫ Roll-out Plan'!$O$29</f>
        <v>0</v>
      </c>
      <c r="CE239" s="36" t="n">
        <f aca="false">CE237*$AC$235*CE238*CE$38*'⑫ Roll-out Plan'!$O$29</f>
        <v>0</v>
      </c>
      <c r="CF239" s="36" t="n">
        <f aca="false">CF237*$AC$235*CF238*CF$38*'⑫ Roll-out Plan'!$O$29</f>
        <v>0</v>
      </c>
      <c r="CG239" s="36" t="n">
        <f aca="false">CG237*$AC$235*CG238*CG$38*'⑫ Roll-out Plan'!$O$29</f>
        <v>0</v>
      </c>
      <c r="CH239" s="36" t="n">
        <f aca="false">CH237*$AC$235*CH238*CH$38*'⑫ Roll-out Plan'!$O$29</f>
        <v>0</v>
      </c>
      <c r="CI239" s="36" t="n">
        <f aca="false">CI237*$AC$235*CI238*CI$38*'⑫ Roll-out Plan'!$O$29</f>
        <v>0</v>
      </c>
      <c r="CJ239" s="36" t="n">
        <f aca="false">CJ237*$AC$235*CJ238*CJ$38*'⑫ Roll-out Plan'!$O$29</f>
        <v>0</v>
      </c>
      <c r="CK239" s="36" t="n">
        <f aca="false">CK237*$AC$235*CK238*CK$38*'⑫ Roll-out Plan'!$O$29</f>
        <v>0</v>
      </c>
      <c r="CL239" s="36" t="n">
        <f aca="false">CL237*$AC$235*CL238*CL$38*'⑫ Roll-out Plan'!$O$29</f>
        <v>0</v>
      </c>
      <c r="CM239" s="36" t="n">
        <f aca="false">CM237*$AC$235*CM238*CM$38*'⑫ Roll-out Plan'!$O$29</f>
        <v>0</v>
      </c>
      <c r="CN239" s="36" t="n">
        <f aca="false">CN237*$AC$235*CN238*CN$38*'⑫ Roll-out Plan'!$O$29</f>
        <v>24.2</v>
      </c>
      <c r="CO239" s="36" t="n">
        <f aca="false">CO237*$AC$235*CO238*CO$38*'⑫ Roll-out Plan'!$O$29</f>
        <v>22.264</v>
      </c>
      <c r="CP239" s="36" t="n">
        <f aca="false">CP237*$AC$235*CP238*CP$38*'⑫ Roll-out Plan'!$O$29</f>
        <v>21.12</v>
      </c>
      <c r="CQ239" s="36" t="n">
        <f aca="false">CQ237*$AC$235*CQ238*CQ$38*'⑫ Roll-out Plan'!$O$29</f>
        <v>24.948</v>
      </c>
      <c r="CR239" s="36" t="n">
        <f aca="false">CR237*$AC$235*CR238*CR$38*'⑫ Roll-out Plan'!$O$29</f>
        <v>42.174</v>
      </c>
      <c r="CS239" s="36" t="n">
        <f aca="false">CS237*$AC$235*CS238*CS$38*'⑫ Roll-out Plan'!$O$29</f>
        <v>39.556</v>
      </c>
      <c r="CT239" s="36" t="n">
        <f aca="false">CT237*$AC$235*CT238*CT$38*'⑫ Roll-out Plan'!$O$29</f>
        <v>36.96</v>
      </c>
      <c r="CU239" s="36" t="n">
        <f aca="false">CU237*$AC$235*CU238*CU$38*'⑫ Roll-out Plan'!$O$29</f>
        <v>30.888</v>
      </c>
      <c r="CV239" s="36" t="n">
        <f aca="false">CV237*$AC$235*CV238*CV$38*'⑫ Roll-out Plan'!$O$29</f>
        <v>49.368</v>
      </c>
      <c r="CW239" s="36" t="n">
        <f aca="false">CW237*$AC$235*CW238*CW$38*'⑫ Roll-out Plan'!$O$29</f>
        <v>52.272</v>
      </c>
      <c r="CX239" s="36" t="n">
        <f aca="false">CX237*$AC$235*CX238*CX$38*'⑫ Roll-out Plan'!$O$29</f>
        <v>43.296</v>
      </c>
      <c r="CY239" s="36" t="n">
        <f aca="false">CY237*$AC$235*CY238*CY$38*'⑫ Roll-out Plan'!$O$29</f>
        <v>66.352</v>
      </c>
      <c r="CZ239" s="36" t="n">
        <f aca="false">CZ237*$AC$235*CZ238*CZ$38*'⑫ Roll-out Plan'!$O$29</f>
        <v>67.76</v>
      </c>
      <c r="DA239" s="36" t="n">
        <f aca="false">DA237*$AC$235*DA238*DA$38*'⑫ Roll-out Plan'!$O$29</f>
        <v>60.72</v>
      </c>
      <c r="DB239" s="36" t="n">
        <f aca="false">DB237*$AC$235*DB238*DB$38*'⑫ Roll-out Plan'!$O$29</f>
        <v>52.8</v>
      </c>
      <c r="DC239" s="36" t="n">
        <f aca="false">DC237*$AC$235*DC238*DC$38*'⑫ Roll-out Plan'!$O$29</f>
        <v>69.8544</v>
      </c>
      <c r="DD239" s="36" t="n">
        <f aca="false">DD237*$AC$235*DD238*DD$38*'⑫ Roll-out Plan'!$O$29</f>
        <v>123.7104</v>
      </c>
      <c r="DE239" s="36" t="n">
        <f aca="false">DE237*$AC$235*DE238*DE$38*'⑫ Roll-out Plan'!$O$29</f>
        <v>105.6528</v>
      </c>
      <c r="DF239" s="36" t="n">
        <f aca="false">DF237*$AC$235*DF238*DF$38*'⑫ Roll-out Plan'!$O$29</f>
        <v>89.9712</v>
      </c>
      <c r="DG239" s="36" t="n">
        <f aca="false">DG237*$AC$235*DG238*DG$38*'⑫ Roll-out Plan'!$O$29</f>
        <v>67.4784</v>
      </c>
      <c r="DH239" s="36" t="n">
        <f aca="false">DH237*$AC$235*DH238*DH$38*'⑫ Roll-out Plan'!$O$29</f>
        <v>98.2872</v>
      </c>
      <c r="DI239" s="36" t="n">
        <f aca="false">DI237*$AC$235*DI238*DI$38*'⑫ Roll-out Plan'!$O$29</f>
        <v>106.92</v>
      </c>
      <c r="DJ239" s="36" t="n">
        <f aca="false">DJ237*$AC$235*DJ238*DJ$38*'⑫ Roll-out Plan'!$O$29</f>
        <v>83.3448</v>
      </c>
      <c r="DK239" s="36" t="n">
        <f aca="false">DK237*$AC$235*DK238*DK$38*'⑫ Roll-out Plan'!$O$29</f>
        <v>120.9648</v>
      </c>
      <c r="DL239" s="36" t="n">
        <f aca="false">DL237*$AC$235*DL238*DL$38*'⑫ Roll-out Plan'!$O$29</f>
        <v>114.708</v>
      </c>
      <c r="DM239" s="36" t="n">
        <f aca="false">DM237*$AC$235*DM238*DM$38*'⑫ Roll-out Plan'!$O$29</f>
        <v>97.152</v>
      </c>
      <c r="DN239" s="36" t="n">
        <f aca="false">DN237*$AC$235*DN238*DN$38*'⑫ Roll-out Plan'!$O$29</f>
        <v>86.592</v>
      </c>
      <c r="DO239" s="36" t="n">
        <f aca="false">DO237*$AC$235*DO238*DO$38*'⑫ Roll-out Plan'!$O$29</f>
        <v>93.1392</v>
      </c>
      <c r="DP239" s="36" t="n">
        <f aca="false">DP237*$AC$235*DP238*DP$38*'⑫ Roll-out Plan'!$O$29</f>
        <v>159.324</v>
      </c>
      <c r="DQ239" s="36" t="n">
        <f aca="false">DQ237*$AC$235*DQ238*DQ$38*'⑫ Roll-out Plan'!$O$29</f>
        <v>130.152</v>
      </c>
      <c r="DR239" s="36" t="n">
        <f aca="false">DR237*$AC$235*DR238*DR$38*'⑫ Roll-out Plan'!$O$29</f>
        <v>108.9792</v>
      </c>
      <c r="DS239" s="36" t="n">
        <f aca="false">DS237*$AC$235*DS238*DS$38*'⑫ Roll-out Plan'!$O$29</f>
        <v>83.6352</v>
      </c>
      <c r="DT239" s="36" t="n">
        <f aca="false">DT237*$AC$235*DT238*DT$38*'⑫ Roll-out Plan'!$O$29</f>
        <v>119.8296</v>
      </c>
      <c r="DU239" s="36" t="n">
        <f aca="false">DU237*$AC$235*DU238*DU$38*'⑫ Roll-out Plan'!$O$29</f>
        <v>128.304</v>
      </c>
      <c r="DV239" s="36" t="n">
        <f aca="false">DV237*$AC$235*DV238*DV$38*'⑫ Roll-out Plan'!$O$29</f>
        <v>97.416</v>
      </c>
      <c r="DW239" s="36" t="n">
        <f aca="false">DW237*$AC$235*DW238*DW$38*'⑫ Roll-out Plan'!$O$29</f>
        <v>140.8704</v>
      </c>
      <c r="DX239" s="36" t="n">
        <f aca="false">DX237*$AC$235*DX238*DX$38*'⑫ Roll-out Plan'!$O$29</f>
        <v>135.036</v>
      </c>
      <c r="DY239" s="36" t="n">
        <f aca="false">DY237*$AC$235*DY238*DY$38*'⑫ Roll-out Plan'!$O$29</f>
        <v>114.1536</v>
      </c>
      <c r="DZ239" s="36" t="n">
        <f aca="false">DZ237*$AC$235*DZ238*DZ$38*'⑫ Roll-out Plan'!$O$29</f>
        <v>100.32</v>
      </c>
      <c r="EA239" s="36" t="n">
        <f aca="false">EA237*$AC$235*EA238*EA$38*'⑫ Roll-out Plan'!$O$29</f>
        <v>105.336</v>
      </c>
      <c r="EB239" s="36" t="n">
        <f aca="false">EB237*$AC$235*EB238*EB$38*'⑫ Roll-out Plan'!$O$29</f>
        <v>181.8168</v>
      </c>
      <c r="EC239" s="36" t="n">
        <f aca="false">EC237*$AC$235*EC238*EC$38*'⑫ Roll-out Plan'!$O$29</f>
        <v>150.0576</v>
      </c>
      <c r="ED239" s="36" t="n">
        <f aca="false">ED237*$AC$235*ED238*ED$38*'⑫ Roll-out Plan'!$O$29</f>
        <v>125.4528</v>
      </c>
      <c r="EE239" s="36" t="n">
        <f aca="false">EE237*$AC$235*EE238*EE$38*'⑫ Roll-out Plan'!$O$29</f>
        <v>95.04</v>
      </c>
      <c r="EF239" s="36" t="n">
        <f aca="false">EF237*$AC$235*EF238*EF$38*'⑫ Roll-out Plan'!$O$29</f>
        <v>134.64</v>
      </c>
      <c r="EG239" s="36" t="n">
        <f aca="false">EG237*$AC$235*EG238*EG$38*'⑫ Roll-out Plan'!$O$29</f>
        <v>142.56</v>
      </c>
      <c r="EH239" s="36" t="n">
        <f aca="false">EH237*$AC$235*EH238*EH$38*'⑫ Roll-out Plan'!$O$29</f>
        <v>108.24</v>
      </c>
      <c r="EI239" s="36" t="n">
        <f aca="false">EI237*$AC$235*EI238*EI$38*'⑫ Roll-out Plan'!$O$29</f>
        <v>153.12</v>
      </c>
      <c r="EJ239" s="36" t="n">
        <f aca="false">EJ237*$AC$235*EJ238*EJ$38*'⑫ Roll-out Plan'!$O$29</f>
        <v>145.2</v>
      </c>
      <c r="EK239" s="36" t="n">
        <f aca="false">EK237*$AC$235*EK238*EK$38*'⑫ Roll-out Plan'!$O$29</f>
        <v>121.44</v>
      </c>
      <c r="EL239" s="36" t="n">
        <f aca="false">EL237*$AC$235*EL238*EL$38*'⑫ Roll-out Plan'!$O$29</f>
        <v>105.6</v>
      </c>
      <c r="EM239" s="36" t="n">
        <f aca="false">EM237*$AC$235*EM238*EM$38*'⑫ Roll-out Plan'!$O$29</f>
        <v>110.88</v>
      </c>
      <c r="EN239" s="36" t="n">
        <f aca="false">EN237*$AC$235*EN238*EN$38*'⑫ Roll-out Plan'!$O$29</f>
        <v>187.44</v>
      </c>
      <c r="EO239" s="36" t="n">
        <f aca="false">EO237*$AC$235*EO238*EO$38*'⑫ Roll-out Plan'!$O$29</f>
        <v>153.12</v>
      </c>
      <c r="EP239" s="36" t="n">
        <f aca="false">EP237*$AC$235*EP238*EP$38*'⑫ Roll-out Plan'!$O$29</f>
        <v>126.72</v>
      </c>
      <c r="EQ239" s="36" t="n">
        <f aca="false">EQ237*$AC$235*EQ238*EQ$38*'⑫ Roll-out Plan'!$O$29</f>
        <v>95.04</v>
      </c>
      <c r="ER239" s="36" t="n">
        <f aca="false">ER237*$AC$235*ER238*ER$38*'⑫ Roll-out Plan'!$O$29</f>
        <v>134.64</v>
      </c>
      <c r="ES239" s="9" t="n">
        <f aca="false">ES237*$AC$235*ES238*ES$38*'⑫ Roll-out Plan'!$O$29</f>
        <v>142.56</v>
      </c>
      <c r="ET239" s="9" t="n">
        <f aca="false">ET237*$AC$235*ET238*ET$38*'⑫ Roll-out Plan'!$O$29</f>
        <v>108.24</v>
      </c>
      <c r="EU239" s="9" t="n">
        <f aca="false">EU237*$AC$235*EU238*EU$38*'⑫ Roll-out Plan'!$O$29</f>
        <v>153.12</v>
      </c>
      <c r="EV239" s="9" t="n">
        <f aca="false">EV237*$AC$235*EV238*EV$38*'⑫ Roll-out Plan'!$O$29</f>
        <v>145.2</v>
      </c>
      <c r="EW239" s="9" t="n">
        <f aca="false">EW237*$AC$235*EW238*EW$38*'⑫ Roll-out Plan'!$O$29</f>
        <v>121.44</v>
      </c>
      <c r="EX239" s="9" t="n">
        <f aca="false">EX237*$AC$235*EX238*EX$38*'⑫ Roll-out Plan'!$O$29</f>
        <v>105.6</v>
      </c>
      <c r="EY239" s="9" t="n">
        <f aca="false">EY237*$AC$235*EY238*EY$38*'⑫ Roll-out Plan'!$O$29</f>
        <v>110.88</v>
      </c>
      <c r="EZ239" s="9" t="n">
        <f aca="false">EZ237*$AC$235*EZ238*EZ$38*'⑫ Roll-out Plan'!$O$29</f>
        <v>187.44</v>
      </c>
      <c r="FA239" s="9" t="n">
        <f aca="false">FA237*$AC$235*FA238*FA$38*'⑫ Roll-out Plan'!$O$29</f>
        <v>153.12</v>
      </c>
      <c r="FB239" s="9" t="n">
        <f aca="false">FB237*$AC$235*FB238*FB$38*'⑫ Roll-out Plan'!$O$29</f>
        <v>126.72</v>
      </c>
      <c r="FC239" s="9" t="n">
        <f aca="false">FC237*$AC$235*FC238*FC$38*'⑫ Roll-out Plan'!$O$29</f>
        <v>95.04</v>
      </c>
      <c r="FD239" s="9" t="n">
        <f aca="false">FD237*$AC$235*FD238*FD$38*'⑫ Roll-out Plan'!$O$29</f>
        <v>134.64</v>
      </c>
      <c r="FE239" s="9" t="n">
        <f aca="false">FE237*$AC$235*FE238*FE$38*'⑫ Roll-out Plan'!$O$29</f>
        <v>142.56</v>
      </c>
      <c r="FF239" s="9" t="n">
        <f aca="false">FF237*$AC$235*FF238*FF$38*'⑫ Roll-out Plan'!$O$29</f>
        <v>108.24</v>
      </c>
      <c r="FG239" s="9" t="n">
        <f aca="false">FG237*$AC$235*FG238*FG$38*'⑫ Roll-out Plan'!$O$29</f>
        <v>153.12</v>
      </c>
      <c r="FH239" s="9" t="n">
        <f aca="false">FH237*$AC$235*FH238*FH$38*'⑫ Roll-out Plan'!$O$29</f>
        <v>145.2</v>
      </c>
      <c r="FI239" s="9" t="n">
        <f aca="false">FI237*$AC$235*FI238*FI$38*'⑫ Roll-out Plan'!$O$29</f>
        <v>121.44</v>
      </c>
      <c r="FJ239" s="9" t="n">
        <f aca="false">FJ237*$AC$235*FJ238*FJ$38*'⑫ Roll-out Plan'!$O$29</f>
        <v>105.6</v>
      </c>
      <c r="FK239" s="9" t="n">
        <f aca="false">FK237*$AC$235*FK238*FK$38*'⑫ Roll-out Plan'!$O$29</f>
        <v>110.88</v>
      </c>
      <c r="FL239" s="9" t="n">
        <f aca="false">FL237*$AC$235*FL238*FL$38*'⑫ Roll-out Plan'!$O$29</f>
        <v>187.44</v>
      </c>
      <c r="FM239" s="9" t="n">
        <f aca="false">FM237*$AC$235*FM238*FM$38*'⑫ Roll-out Plan'!$O$29</f>
        <v>153.12</v>
      </c>
      <c r="FN239" s="9" t="n">
        <f aca="false">FN237*$AC$235*FN238*FN$38*'⑫ Roll-out Plan'!$O$29</f>
        <v>126.72</v>
      </c>
      <c r="FO239" s="9" t="n">
        <f aca="false">FO237*$AC$235*FO238*FO$38*'⑫ Roll-out Plan'!$O$29</f>
        <v>95.04</v>
      </c>
      <c r="FP239" s="9" t="n">
        <f aca="false">FP237*$AC$235*FP238*FP$38*'⑫ Roll-out Plan'!$O$29</f>
        <v>134.64</v>
      </c>
    </row>
    <row r="240" customFormat="false" ht="15" hidden="false" customHeight="false" outlineLevel="2" collapsed="false">
      <c r="B240" s="9" t="s">
        <v>877</v>
      </c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112" t="n">
        <f aca="true">IFERROR(SUMPRODUCT(OFFSET($BJ$31,0,1-MIN(60,COLUMN()-29),1,MIN(60,COLUMN()-29)),OFFSET(AC239,0,-MIN(60,COLUMN()-29),1,MIN(60,COLUMN()-29))),0)</f>
        <v>0</v>
      </c>
      <c r="AD240" s="112" t="n">
        <f aca="true">IFERROR(SUMPRODUCT(OFFSET($BJ$31,0,1-MIN(60,COLUMN()-29),1,MIN(60,COLUMN()-29)),OFFSET(AD239,0,-MIN(60,COLUMN()-29),1,MIN(60,COLUMN()-29))),0)</f>
        <v>0</v>
      </c>
      <c r="AE240" s="112" t="n">
        <f aca="true">IFERROR(SUMPRODUCT(OFFSET($BJ$31,0,1-MIN(60,COLUMN()-29),1,MIN(60,COLUMN()-29)),OFFSET(AE239,0,-MIN(60,COLUMN()-29),1,MIN(60,COLUMN()-29))),0)</f>
        <v>0</v>
      </c>
      <c r="AF240" s="112" t="n">
        <f aca="true">IFERROR(SUMPRODUCT(OFFSET($BJ$31,0,1-MIN(60,COLUMN()-29),1,MIN(60,COLUMN()-29)),OFFSET(AF239,0,-MIN(60,COLUMN()-29),1,MIN(60,COLUMN()-29))),0)</f>
        <v>0</v>
      </c>
      <c r="AG240" s="112" t="n">
        <f aca="true">IFERROR(SUMPRODUCT(OFFSET($BJ$31,0,1-MIN(60,COLUMN()-29),1,MIN(60,COLUMN()-29)),OFFSET(AG239,0,-MIN(60,COLUMN()-29),1,MIN(60,COLUMN()-29))),0)</f>
        <v>0</v>
      </c>
      <c r="AH240" s="112" t="n">
        <f aca="true">IFERROR(SUMPRODUCT(OFFSET($BJ$31,0,1-MIN(60,COLUMN()-29),1,MIN(60,COLUMN()-29)),OFFSET(AH239,0,-MIN(60,COLUMN()-29),1,MIN(60,COLUMN()-29))),0)</f>
        <v>0</v>
      </c>
      <c r="AI240" s="112" t="n">
        <f aca="true">IFERROR(SUMPRODUCT(OFFSET($BJ$31,0,1-MIN(60,COLUMN()-29),1,MIN(60,COLUMN()-29)),OFFSET(AI239,0,-MIN(60,COLUMN()-29),1,MIN(60,COLUMN()-29))),0)</f>
        <v>0</v>
      </c>
      <c r="AJ240" s="112" t="n">
        <f aca="true">IFERROR(SUMPRODUCT(OFFSET($BJ$31,0,1-MIN(60,COLUMN()-29),1,MIN(60,COLUMN()-29)),OFFSET(AJ239,0,-MIN(60,COLUMN()-29),1,MIN(60,COLUMN()-29))),0)</f>
        <v>0</v>
      </c>
      <c r="AK240" s="112" t="n">
        <f aca="true">IFERROR(SUMPRODUCT(OFFSET($BJ$31,0,1-MIN(60,COLUMN()-29),1,MIN(60,COLUMN()-29)),OFFSET(AK239,0,-MIN(60,COLUMN()-29),1,MIN(60,COLUMN()-29))),0)</f>
        <v>0</v>
      </c>
      <c r="AL240" s="112" t="n">
        <f aca="true">IFERROR(SUMPRODUCT(OFFSET($BJ$31,0,1-MIN(60,COLUMN()-29),1,MIN(60,COLUMN()-29)),OFFSET(AL239,0,-MIN(60,COLUMN()-29),1,MIN(60,COLUMN()-29))),0)</f>
        <v>0</v>
      </c>
      <c r="AM240" s="112" t="n">
        <f aca="true">IFERROR(SUMPRODUCT(OFFSET($BJ$31,0,1-MIN(60,COLUMN()-29),1,MIN(60,COLUMN()-29)),OFFSET(AM239,0,-MIN(60,COLUMN()-29),1,MIN(60,COLUMN()-29))),0)</f>
        <v>0</v>
      </c>
      <c r="AN240" s="112" t="n">
        <f aca="true">IFERROR(SUMPRODUCT(OFFSET($BJ$31,0,1-MIN(60,COLUMN()-29),1,MIN(60,COLUMN()-29)),OFFSET(AN239,0,-MIN(60,COLUMN()-29),1,MIN(60,COLUMN()-29))),0)</f>
        <v>0</v>
      </c>
      <c r="AO240" s="112" t="n">
        <f aca="true">IFERROR(SUMPRODUCT(OFFSET($BJ$31,0,1-MIN(60,COLUMN()-29),1,MIN(60,COLUMN()-29)),OFFSET(AO239,0,-MIN(60,COLUMN()-29),1,MIN(60,COLUMN()-29))),0)</f>
        <v>0</v>
      </c>
      <c r="AP240" s="112" t="n">
        <f aca="true">IFERROR(SUMPRODUCT(OFFSET($BJ$31,0,1-MIN(60,COLUMN()-29),1,MIN(60,COLUMN()-29)),OFFSET(AP239,0,-MIN(60,COLUMN()-29),1,MIN(60,COLUMN()-29))),0)</f>
        <v>0</v>
      </c>
      <c r="AQ240" s="112" t="n">
        <f aca="true">IFERROR(SUMPRODUCT(OFFSET($BJ$31,0,1-MIN(60,COLUMN()-29),1,MIN(60,COLUMN()-29)),OFFSET(AQ239,0,-MIN(60,COLUMN()-29),1,MIN(60,COLUMN()-29))),0)</f>
        <v>0</v>
      </c>
      <c r="AR240" s="112" t="n">
        <f aca="true">IFERROR(SUMPRODUCT(OFFSET($BJ$31,0,1-MIN(60,COLUMN()-29),1,MIN(60,COLUMN()-29)),OFFSET(AR239,0,-MIN(60,COLUMN()-29),1,MIN(60,COLUMN()-29))),0)</f>
        <v>0</v>
      </c>
      <c r="AS240" s="112" t="n">
        <f aca="true">IFERROR(SUMPRODUCT(OFFSET($BJ$31,0,1-MIN(60,COLUMN()-29),1,MIN(60,COLUMN()-29)),OFFSET(AS239,0,-MIN(60,COLUMN()-29),1,MIN(60,COLUMN()-29))),0)</f>
        <v>0</v>
      </c>
      <c r="AT240" s="112" t="n">
        <f aca="true">IFERROR(SUMPRODUCT(OFFSET($BJ$31,0,1-MIN(60,COLUMN()-29),1,MIN(60,COLUMN()-29)),OFFSET(AT239,0,-MIN(60,COLUMN()-29),1,MIN(60,COLUMN()-29))),0)</f>
        <v>0</v>
      </c>
      <c r="AU240" s="112" t="n">
        <f aca="true">IFERROR(SUMPRODUCT(OFFSET($BJ$31,0,1-MIN(60,COLUMN()-29),1,MIN(60,COLUMN()-29)),OFFSET(AU239,0,-MIN(60,COLUMN()-29),1,MIN(60,COLUMN()-29))),0)</f>
        <v>0</v>
      </c>
      <c r="AV240" s="112" t="n">
        <f aca="true">IFERROR(SUMPRODUCT(OFFSET($BJ$31,0,1-MIN(60,COLUMN()-29),1,MIN(60,COLUMN()-29)),OFFSET(AV239,0,-MIN(60,COLUMN()-29),1,MIN(60,COLUMN()-29))),0)</f>
        <v>0</v>
      </c>
      <c r="AW240" s="112" t="n">
        <f aca="true">IFERROR(SUMPRODUCT(OFFSET($BJ$31,0,1-MIN(60,COLUMN()-29),1,MIN(60,COLUMN()-29)),OFFSET(AW239,0,-MIN(60,COLUMN()-29),1,MIN(60,COLUMN()-29))),0)</f>
        <v>0</v>
      </c>
      <c r="AX240" s="112" t="n">
        <f aca="true">IFERROR(SUMPRODUCT(OFFSET($BJ$31,0,1-MIN(60,COLUMN()-29),1,MIN(60,COLUMN()-29)),OFFSET(AX239,0,-MIN(60,COLUMN()-29),1,MIN(60,COLUMN()-29))),0)</f>
        <v>0</v>
      </c>
      <c r="AY240" s="112" t="n">
        <f aca="true">IFERROR(SUMPRODUCT(OFFSET($BJ$31,0,1-MIN(60,COLUMN()-29),1,MIN(60,COLUMN()-29)),OFFSET(AY239,0,-MIN(60,COLUMN()-29),1,MIN(60,COLUMN()-29))),0)</f>
        <v>0</v>
      </c>
      <c r="AZ240" s="112" t="n">
        <f aca="true">IFERROR(SUMPRODUCT(OFFSET($BJ$31,0,1-MIN(60,COLUMN()-29),1,MIN(60,COLUMN()-29)),OFFSET(AZ239,0,-MIN(60,COLUMN()-29),1,MIN(60,COLUMN()-29))),0)</f>
        <v>0</v>
      </c>
      <c r="BA240" s="112" t="n">
        <f aca="true">IFERROR(SUMPRODUCT(OFFSET($BJ$31,0,1-MIN(60,COLUMN()-29),1,MIN(60,COLUMN()-29)),OFFSET(BA239,0,-MIN(60,COLUMN()-29),1,MIN(60,COLUMN()-29))),0)</f>
        <v>0</v>
      </c>
      <c r="BB240" s="112" t="n">
        <f aca="true">IFERROR(SUMPRODUCT(OFFSET($BJ$31,0,1-MIN(60,COLUMN()-29),1,MIN(60,COLUMN()-29)),OFFSET(BB239,0,-MIN(60,COLUMN()-29),1,MIN(60,COLUMN()-29))),0)</f>
        <v>0</v>
      </c>
      <c r="BC240" s="112" t="n">
        <f aca="true">IFERROR(SUMPRODUCT(OFFSET($BJ$31,0,1-MIN(60,COLUMN()-29),1,MIN(60,COLUMN()-29)),OFFSET(BC239,0,-MIN(60,COLUMN()-29),1,MIN(60,COLUMN()-29))),0)</f>
        <v>0</v>
      </c>
      <c r="BD240" s="112" t="n">
        <f aca="true">IFERROR(SUMPRODUCT(OFFSET($BJ$31,0,1-MIN(60,COLUMN()-29),1,MIN(60,COLUMN()-29)),OFFSET(BD239,0,-MIN(60,COLUMN()-29),1,MIN(60,COLUMN()-29))),0)</f>
        <v>0</v>
      </c>
      <c r="BE240" s="112" t="n">
        <f aca="true">IFERROR(SUMPRODUCT(OFFSET($BJ$31,0,1-MIN(60,COLUMN()-29),1,MIN(60,COLUMN()-29)),OFFSET(BE239,0,-MIN(60,COLUMN()-29),1,MIN(60,COLUMN()-29))),0)</f>
        <v>0</v>
      </c>
      <c r="BF240" s="112" t="n">
        <f aca="true">IFERROR(SUMPRODUCT(OFFSET($BJ$31,0,1-MIN(60,COLUMN()-29),1,MIN(60,COLUMN()-29)),OFFSET(BF239,0,-MIN(60,COLUMN()-29),1,MIN(60,COLUMN()-29))),0)</f>
        <v>0</v>
      </c>
      <c r="BG240" s="112" t="n">
        <f aca="true">IFERROR(SUMPRODUCT(OFFSET($BJ$31,0,1-MIN(60,COLUMN()-29),1,MIN(60,COLUMN()-29)),OFFSET(BG239,0,-MIN(60,COLUMN()-29),1,MIN(60,COLUMN()-29))),0)</f>
        <v>0</v>
      </c>
      <c r="BH240" s="112" t="n">
        <f aca="true">IFERROR(SUMPRODUCT(OFFSET($BJ$31,0,1-MIN(60,COLUMN()-29),1,MIN(60,COLUMN()-29)),OFFSET(BH239,0,-MIN(60,COLUMN()-29),1,MIN(60,COLUMN()-29))),0)</f>
        <v>0</v>
      </c>
      <c r="BI240" s="112" t="n">
        <f aca="true">IFERROR(SUMPRODUCT(OFFSET($BJ$31,0,1-MIN(60,COLUMN()-29),1,MIN(60,COLUMN()-29)),OFFSET(BI239,0,-MIN(60,COLUMN()-29),1,MIN(60,COLUMN()-29))),0)</f>
        <v>0</v>
      </c>
      <c r="BJ240" s="112" t="n">
        <f aca="true">IFERROR(SUMPRODUCT(OFFSET($BJ$31,0,1-MIN(60,COLUMN()-29),1,MIN(60,COLUMN()-29)),OFFSET(BJ239,0,-MIN(60,COLUMN()-29),1,MIN(60,COLUMN()-29))),0)</f>
        <v>0</v>
      </c>
      <c r="BK240" s="112" t="n">
        <f aca="true">IFERROR(SUMPRODUCT(OFFSET($BJ$31,0,1-MIN(60,COLUMN()-29),1,MIN(60,COLUMN()-29)),OFFSET(BK239,0,-MIN(60,COLUMN()-29),1,MIN(60,COLUMN()-29))),0)</f>
        <v>0</v>
      </c>
      <c r="BL240" s="112" t="n">
        <f aca="true">IFERROR(SUMPRODUCT(OFFSET($BJ$31,0,1-MIN(60,COLUMN()-29),1,MIN(60,COLUMN()-29)),OFFSET(BL239,0,-MIN(60,COLUMN()-29),1,MIN(60,COLUMN()-29))),0)</f>
        <v>0</v>
      </c>
      <c r="BM240" s="112" t="n">
        <f aca="true">IFERROR(SUMPRODUCT(OFFSET($BJ$31,0,1-MIN(60,COLUMN()-29),1,MIN(60,COLUMN()-29)),OFFSET(BM239,0,-MIN(60,COLUMN()-29),1,MIN(60,COLUMN()-29))),0)</f>
        <v>0</v>
      </c>
      <c r="BN240" s="112" t="n">
        <f aca="true">IFERROR(SUMPRODUCT(OFFSET($BJ$31,0,1-MIN(60,COLUMN()-29),1,MIN(60,COLUMN()-29)),OFFSET(BN239,0,-MIN(60,COLUMN()-29),1,MIN(60,COLUMN()-29))),0)</f>
        <v>0</v>
      </c>
      <c r="BO240" s="112" t="n">
        <f aca="true">IFERROR(SUMPRODUCT(OFFSET($BJ$31,0,1-MIN(60,COLUMN()-29),1,MIN(60,COLUMN()-29)),OFFSET(BO239,0,-MIN(60,COLUMN()-29),1,MIN(60,COLUMN()-29))),0)</f>
        <v>0</v>
      </c>
      <c r="BP240" s="112" t="n">
        <f aca="true">IFERROR(SUMPRODUCT(OFFSET($BJ$31,0,1-MIN(60,COLUMN()-29),1,MIN(60,COLUMN()-29)),OFFSET(BP239,0,-MIN(60,COLUMN()-29),1,MIN(60,COLUMN()-29))),0)</f>
        <v>0</v>
      </c>
      <c r="BQ240" s="112" t="n">
        <f aca="true">IFERROR(SUMPRODUCT(OFFSET($BJ$31,0,1-MIN(60,COLUMN()-29),1,MIN(60,COLUMN()-29)),OFFSET(BQ239,0,-MIN(60,COLUMN()-29),1,MIN(60,COLUMN()-29))),0)</f>
        <v>0</v>
      </c>
      <c r="BR240" s="112" t="n">
        <f aca="true">IFERROR(SUMPRODUCT(OFFSET($BJ$31,0,1-MIN(60,COLUMN()-29),1,MIN(60,COLUMN()-29)),OFFSET(BR239,0,-MIN(60,COLUMN()-29),1,MIN(60,COLUMN()-29))),0)</f>
        <v>0</v>
      </c>
      <c r="BS240" s="112" t="n">
        <f aca="true">IFERROR(SUMPRODUCT(OFFSET($BJ$31,0,1-MIN(60,COLUMN()-29),1,MIN(60,COLUMN()-29)),OFFSET(BS239,0,-MIN(60,COLUMN()-29),1,MIN(60,COLUMN()-29))),0)</f>
        <v>0</v>
      </c>
      <c r="BT240" s="112" t="n">
        <f aca="true">IFERROR(SUMPRODUCT(OFFSET($BJ$31,0,1-MIN(60,COLUMN()-29),1,MIN(60,COLUMN()-29)),OFFSET(BT239,0,-MIN(60,COLUMN()-29),1,MIN(60,COLUMN()-29))),0)</f>
        <v>0</v>
      </c>
      <c r="BU240" s="112" t="n">
        <f aca="true">IFERROR(SUMPRODUCT(OFFSET($BJ$31,0,1-MIN(60,COLUMN()-29),1,MIN(60,COLUMN()-29)),OFFSET(BU239,0,-MIN(60,COLUMN()-29),1,MIN(60,COLUMN()-29))),0)</f>
        <v>0</v>
      </c>
      <c r="BV240" s="112" t="n">
        <f aca="true">IFERROR(SUMPRODUCT(OFFSET($BJ$31,0,1-MIN(60,COLUMN()-29),1,MIN(60,COLUMN()-29)),OFFSET(BV239,0,-MIN(60,COLUMN()-29),1,MIN(60,COLUMN()-29))),0)</f>
        <v>0</v>
      </c>
      <c r="BW240" s="112" t="n">
        <f aca="true">IFERROR(SUMPRODUCT(OFFSET($BJ$31,0,1-MIN(60,COLUMN()-29),1,MIN(60,COLUMN()-29)),OFFSET(BW239,0,-MIN(60,COLUMN()-29),1,MIN(60,COLUMN()-29))),0)</f>
        <v>0</v>
      </c>
      <c r="BX240" s="112" t="n">
        <f aca="true">IFERROR(SUMPRODUCT(OFFSET($BJ$31,0,1-MIN(60,COLUMN()-29),1,MIN(60,COLUMN()-29)),OFFSET(BX239,0,-MIN(60,COLUMN()-29),1,MIN(60,COLUMN()-29))),0)</f>
        <v>0</v>
      </c>
      <c r="BY240" s="112" t="n">
        <f aca="true">IFERROR(SUMPRODUCT(OFFSET($BJ$31,0,1-MIN(60,COLUMN()-29),1,MIN(60,COLUMN()-29)),OFFSET(BY239,0,-MIN(60,COLUMN()-29),1,MIN(60,COLUMN()-29))),0)</f>
        <v>0</v>
      </c>
      <c r="BZ240" s="112" t="n">
        <f aca="true">IFERROR(SUMPRODUCT(OFFSET($BJ$31,0,1-MIN(60,COLUMN()-29),1,MIN(60,COLUMN()-29)),OFFSET(BZ239,0,-MIN(60,COLUMN()-29),1,MIN(60,COLUMN()-29))),0)</f>
        <v>0</v>
      </c>
      <c r="CA240" s="112" t="n">
        <f aca="true">IFERROR(SUMPRODUCT(OFFSET($BJ$31,0,1-MIN(60,COLUMN()-29),1,MIN(60,COLUMN()-29)),OFFSET(CA239,0,-MIN(60,COLUMN()-29),1,MIN(60,COLUMN()-29))),0)</f>
        <v>0</v>
      </c>
      <c r="CB240" s="112" t="n">
        <f aca="true">IFERROR(SUMPRODUCT(OFFSET($BJ$31,0,1-MIN(60,COLUMN()-29),1,MIN(60,COLUMN()-29)),OFFSET(CB239,0,-MIN(60,COLUMN()-29),1,MIN(60,COLUMN()-29))),0)</f>
        <v>0</v>
      </c>
      <c r="CC240" s="112" t="n">
        <f aca="true">IFERROR(SUMPRODUCT(OFFSET($BJ$31,0,1-MIN(60,COLUMN()-29),1,MIN(60,COLUMN()-29)),OFFSET(CC239,0,-MIN(60,COLUMN()-29),1,MIN(60,COLUMN()-29))),0)</f>
        <v>0</v>
      </c>
      <c r="CD240" s="112" t="n">
        <f aca="true">IFERROR(SUMPRODUCT(OFFSET($BJ$31,0,1-MIN(60,COLUMN()-29),1,MIN(60,COLUMN()-29)),OFFSET(CD239,0,-MIN(60,COLUMN()-29),1,MIN(60,COLUMN()-29))),0)</f>
        <v>0</v>
      </c>
      <c r="CE240" s="112" t="n">
        <f aca="true">IFERROR(SUMPRODUCT(OFFSET($BJ$31,0,1-MIN(60,COLUMN()-29),1,MIN(60,COLUMN()-29)),OFFSET(CE239,0,-MIN(60,COLUMN()-29),1,MIN(60,COLUMN()-29))),0)</f>
        <v>0</v>
      </c>
      <c r="CF240" s="112" t="n">
        <f aca="true">IFERROR(SUMPRODUCT(OFFSET($BJ$31,0,1-MIN(60,COLUMN()-29),1,MIN(60,COLUMN()-29)),OFFSET(CF239,0,-MIN(60,COLUMN()-29),1,MIN(60,COLUMN()-29))),0)</f>
        <v>0</v>
      </c>
      <c r="CG240" s="112" t="n">
        <f aca="true">IFERROR(SUMPRODUCT(OFFSET($BJ$31,0,1-MIN(60,COLUMN()-29),1,MIN(60,COLUMN()-29)),OFFSET(CG239,0,-MIN(60,COLUMN()-29),1,MIN(60,COLUMN()-29))),0)</f>
        <v>0</v>
      </c>
      <c r="CH240" s="112" t="n">
        <f aca="true">IFERROR(SUMPRODUCT(OFFSET($BJ$31,0,1-MIN(60,COLUMN()-29),1,MIN(60,COLUMN()-29)),OFFSET(CH239,0,-MIN(60,COLUMN()-29),1,MIN(60,COLUMN()-29))),0)</f>
        <v>0</v>
      </c>
      <c r="CI240" s="112" t="n">
        <f aca="true">IFERROR(SUMPRODUCT(OFFSET($BJ$31,0,1-MIN(60,COLUMN()-29),1,MIN(60,COLUMN()-29)),OFFSET(CI239,0,-MIN(60,COLUMN()-29),1,MIN(60,COLUMN()-29))),0)</f>
        <v>0</v>
      </c>
      <c r="CJ240" s="112" t="n">
        <f aca="true">IFERROR(SUMPRODUCT(OFFSET($BJ$31,0,1-MIN(60,COLUMN()-29),1,MIN(60,COLUMN()-29)),OFFSET(CJ239,0,-MIN(60,COLUMN()-29),1,MIN(60,COLUMN()-29))),0)</f>
        <v>0</v>
      </c>
      <c r="CK240" s="112" t="n">
        <f aca="true">IFERROR(SUMPRODUCT(OFFSET($BJ$31,0,1-MIN(60,COLUMN()-29),1,MIN(60,COLUMN()-29)),OFFSET(CK239,0,-MIN(60,COLUMN()-29),1,MIN(60,COLUMN()-29))),0)</f>
        <v>0</v>
      </c>
      <c r="CL240" s="112" t="n">
        <f aca="true">IFERROR(SUMPRODUCT(OFFSET($BJ$31,0,1-MIN(60,COLUMN()-29),1,MIN(60,COLUMN()-29)),OFFSET(CL239,0,-MIN(60,COLUMN()-29),1,MIN(60,COLUMN()-29))),0)</f>
        <v>0</v>
      </c>
      <c r="CM240" s="112" t="n">
        <f aca="true">IFERROR(SUMPRODUCT(OFFSET($BJ$31,0,1-MIN(60,COLUMN()-29),1,MIN(60,COLUMN()-29)),OFFSET(CM239,0,-MIN(60,COLUMN()-29),1,MIN(60,COLUMN()-29))),0)</f>
        <v>0</v>
      </c>
      <c r="CN240" s="112" t="n">
        <f aca="true">IFERROR(SUMPRODUCT(OFFSET($BJ$31,0,1-MIN(60,COLUMN()-29),1,MIN(60,COLUMN()-29)),OFFSET(CN239,0,-MIN(60,COLUMN()-29),1,MIN(60,COLUMN()-29))),0)</f>
        <v>0</v>
      </c>
      <c r="CO240" s="112" t="n">
        <f aca="true">IFERROR(SUMPRODUCT(OFFSET($BJ$31,0,1-MIN(60,COLUMN()-29),1,MIN(60,COLUMN()-29)),OFFSET(CO239,0,-MIN(60,COLUMN()-29),1,MIN(60,COLUMN()-29))),0)</f>
        <v>3.0976</v>
      </c>
      <c r="CP240" s="112" t="n">
        <f aca="true">IFERROR(SUMPRODUCT(OFFSET($BJ$31,0,1-MIN(60,COLUMN()-29),1,MIN(60,COLUMN()-29)),OFFSET(CP239,0,-MIN(60,COLUMN()-29),1,MIN(60,COLUMN()-29))),0)</f>
        <v>3.275712</v>
      </c>
      <c r="CQ240" s="112" t="n">
        <f aca="true">IFERROR(SUMPRODUCT(OFFSET($BJ$31,0,1-MIN(60,COLUMN()-29),1,MIN(60,COLUMN()-29)),OFFSET(CQ239,0,-MIN(60,COLUMN()-29),1,MIN(60,COLUMN()-29))),0)</f>
        <v>3.6372864</v>
      </c>
      <c r="CR240" s="112" t="n">
        <f aca="true">IFERROR(SUMPRODUCT(OFFSET($BJ$31,0,1-MIN(60,COLUMN()-29),1,MIN(60,COLUMN()-29)),OFFSET(CR239,0,-MIN(60,COLUMN()-29),1,MIN(60,COLUMN()-29))),0)</f>
        <v>4.3735296</v>
      </c>
      <c r="CS240" s="112" t="n">
        <f aca="true">IFERROR(SUMPRODUCT(OFFSET($BJ$31,0,1-MIN(60,COLUMN()-29),1,MIN(60,COLUMN()-29)),OFFSET(CS239,0,-MIN(60,COLUMN()-29),1,MIN(60,COLUMN()-29))),0)</f>
        <v>6.827744</v>
      </c>
      <c r="CT240" s="112" t="n">
        <f aca="true">IFERROR(SUMPRODUCT(OFFSET($BJ$31,0,1-MIN(60,COLUMN()-29),1,MIN(60,COLUMN()-29)),OFFSET(CT239,0,-MIN(60,COLUMN()-29),1,MIN(60,COLUMN()-29))),0)</f>
        <v>6.964496</v>
      </c>
      <c r="CU240" s="112" t="n">
        <f aca="true">IFERROR(SUMPRODUCT(OFFSET($BJ$31,0,1-MIN(60,COLUMN()-29),1,MIN(60,COLUMN()-29)),OFFSET(CU239,0,-MIN(60,COLUMN()-29),1,MIN(60,COLUMN()-29))),0)</f>
        <v>7.3879168</v>
      </c>
      <c r="CV240" s="112" t="n">
        <f aca="true">IFERROR(SUMPRODUCT(OFFSET($BJ$31,0,1-MIN(60,COLUMN()-29),1,MIN(60,COLUMN()-29)),OFFSET(CV239,0,-MIN(60,COLUMN()-29),1,MIN(60,COLUMN()-29))),0)</f>
        <v>6.8433024</v>
      </c>
      <c r="CW240" s="112" t="n">
        <f aca="true">IFERROR(SUMPRODUCT(OFFSET($BJ$31,0,1-MIN(60,COLUMN()-29),1,MIN(60,COLUMN()-29)),OFFSET(CW239,0,-MIN(60,COLUMN()-29),1,MIN(60,COLUMN()-29))),0)</f>
        <v>9.3986816</v>
      </c>
      <c r="CX240" s="112" t="n">
        <f aca="true">IFERROR(SUMPRODUCT(OFFSET($BJ$31,0,1-MIN(60,COLUMN()-29),1,MIN(60,COLUMN()-29)),OFFSET(CX239,0,-MIN(60,COLUMN()-29),1,MIN(60,COLUMN()-29))),0)</f>
        <v>10.4470432</v>
      </c>
      <c r="CY240" s="112" t="n">
        <f aca="true">IFERROR(SUMPRODUCT(OFFSET($BJ$31,0,1-MIN(60,COLUMN()-29),1,MIN(60,COLUMN()-29)),OFFSET(CY239,0,-MIN(60,COLUMN()-29),1,MIN(60,COLUMN()-29))),0)</f>
        <v>9.9743424</v>
      </c>
      <c r="CZ240" s="112" t="n">
        <f aca="true">IFERROR(SUMPRODUCT(OFFSET($BJ$31,0,1-MIN(60,COLUMN()-29),1,MIN(60,COLUMN()-29)),OFFSET(CZ239,0,-MIN(60,COLUMN()-29),1,MIN(60,COLUMN()-29))),0)</f>
        <v>13.7078304</v>
      </c>
      <c r="DA240" s="112" t="n">
        <f aca="true">IFERROR(SUMPRODUCT(OFFSET($BJ$31,0,1-MIN(60,COLUMN()-29),1,MIN(60,COLUMN()-29)),OFFSET(DA239,0,-MIN(60,COLUMN()-29),1,MIN(60,COLUMN()-29))),0)</f>
        <v>15.2523712</v>
      </c>
      <c r="DB240" s="112" t="n">
        <f aca="true">IFERROR(SUMPRODUCT(OFFSET($BJ$31,0,1-MIN(60,COLUMN()-29),1,MIN(60,COLUMN()-29)),OFFSET(DB239,0,-MIN(60,COLUMN()-29),1,MIN(60,COLUMN()-29))),0)</f>
        <v>15.2466336</v>
      </c>
      <c r="DC240" s="112" t="n">
        <f aca="true">IFERROR(SUMPRODUCT(OFFSET($BJ$31,0,1-MIN(60,COLUMN()-29),1,MIN(60,COLUMN()-29)),OFFSET(DC239,0,-MIN(60,COLUMN()-29),1,MIN(60,COLUMN()-29))),0)</f>
        <v>14.927264</v>
      </c>
      <c r="DD240" s="112" t="n">
        <f aca="true">IFERROR(SUMPRODUCT(OFFSET($BJ$31,0,1-MIN(60,COLUMN()-29),1,MIN(60,COLUMN()-29)),OFFSET(DD239,0,-MIN(60,COLUMN()-29),1,MIN(60,COLUMN()-29))),0)</f>
        <v>17.7946208</v>
      </c>
      <c r="DE240" s="112" t="n">
        <f aca="true">IFERROR(SUMPRODUCT(OFFSET($BJ$31,0,1-MIN(60,COLUMN()-29),1,MIN(60,COLUMN()-29)),OFFSET(DE239,0,-MIN(60,COLUMN()-29),1,MIN(60,COLUMN()-29))),0)</f>
        <v>26.03876704</v>
      </c>
      <c r="DF240" s="112" t="n">
        <f aca="true">IFERROR(SUMPRODUCT(OFFSET($BJ$31,0,1-MIN(60,COLUMN()-29),1,MIN(60,COLUMN()-29)),OFFSET(DF239,0,-MIN(60,COLUMN()-29),1,MIN(60,COLUMN()-29))),0)</f>
        <v>26.2730336</v>
      </c>
      <c r="DG240" s="112" t="n">
        <f aca="true">IFERROR(SUMPRODUCT(OFFSET($BJ$31,0,1-MIN(60,COLUMN()-29),1,MIN(60,COLUMN()-29)),OFFSET(DG239,0,-MIN(60,COLUMN()-29),1,MIN(60,COLUMN()-29))),0)</f>
        <v>25.97871936</v>
      </c>
      <c r="DH240" s="112" t="n">
        <f aca="true">IFERROR(SUMPRODUCT(OFFSET($BJ$31,0,1-MIN(60,COLUMN()-29),1,MIN(60,COLUMN()-29)),OFFSET(DH239,0,-MIN(60,COLUMN()-29),1,MIN(60,COLUMN()-29))),0)</f>
        <v>24.3027928</v>
      </c>
      <c r="DI240" s="112" t="n">
        <f aca="true">IFERROR(SUMPRODUCT(OFFSET($BJ$31,0,1-MIN(60,COLUMN()-29),1,MIN(60,COLUMN()-29)),OFFSET(DI239,0,-MIN(60,COLUMN()-29),1,MIN(60,COLUMN()-29))),0)</f>
        <v>29.94836152</v>
      </c>
      <c r="DJ240" s="112" t="n">
        <f aca="true">IFERROR(SUMPRODUCT(OFFSET($BJ$31,0,1-MIN(60,COLUMN()-29),1,MIN(60,COLUMN()-29)),OFFSET(DJ239,0,-MIN(60,COLUMN()-29),1,MIN(60,COLUMN()-29))),0)</f>
        <v>32.38123944</v>
      </c>
      <c r="DK240" s="112" t="n">
        <f aca="true">IFERROR(SUMPRODUCT(OFFSET($BJ$31,0,1-MIN(60,COLUMN()-29),1,MIN(60,COLUMN()-29)),OFFSET(DK239,0,-MIN(60,COLUMN()-29),1,MIN(60,COLUMN()-29))),0)</f>
        <v>32.01738408</v>
      </c>
      <c r="DL240" s="112" t="n">
        <f aca="true">IFERROR(SUMPRODUCT(OFFSET($BJ$31,0,1-MIN(60,COLUMN()-29),1,MIN(60,COLUMN()-29)),OFFSET(DL239,0,-MIN(60,COLUMN()-29),1,MIN(60,COLUMN()-29))),0)</f>
        <v>38.5235444</v>
      </c>
      <c r="DM240" s="112" t="n">
        <f aca="true">IFERROR(SUMPRODUCT(OFFSET($BJ$31,0,1-MIN(60,COLUMN()-29),1,MIN(60,COLUMN()-29)),OFFSET(DM239,0,-MIN(60,COLUMN()-29),1,MIN(60,COLUMN()-29))),0)</f>
        <v>40.09967016</v>
      </c>
      <c r="DN240" s="112" t="n">
        <f aca="true">IFERROR(SUMPRODUCT(OFFSET($BJ$31,0,1-MIN(60,COLUMN()-29),1,MIN(60,COLUMN()-29)),OFFSET(DN239,0,-MIN(60,COLUMN()-29),1,MIN(60,COLUMN()-29))),0)</f>
        <v>40.18374888</v>
      </c>
      <c r="DO240" s="112" t="n">
        <f aca="true">IFERROR(SUMPRODUCT(OFFSET($BJ$31,0,1-MIN(60,COLUMN()-29),1,MIN(60,COLUMN()-29)),OFFSET(DO239,0,-MIN(60,COLUMN()-29),1,MIN(60,COLUMN()-29))),0)</f>
        <v>40.3479076</v>
      </c>
      <c r="DP240" s="112" t="n">
        <f aca="true">IFERROR(SUMPRODUCT(OFFSET($BJ$31,0,1-MIN(60,COLUMN()-29),1,MIN(60,COLUMN()-29)),OFFSET(DP239,0,-MIN(60,COLUMN()-29),1,MIN(60,COLUMN()-29))),0)</f>
        <v>44.37069736</v>
      </c>
      <c r="DQ240" s="112" t="n">
        <f aca="true">IFERROR(SUMPRODUCT(OFFSET($BJ$31,0,1-MIN(60,COLUMN()-29),1,MIN(60,COLUMN()-29)),OFFSET(DQ239,0,-MIN(60,COLUMN()-29),1,MIN(60,COLUMN()-29))),0)</f>
        <v>55.57347048</v>
      </c>
      <c r="DR240" s="112" t="n">
        <f aca="true">IFERROR(SUMPRODUCT(OFFSET($BJ$31,0,1-MIN(60,COLUMN()-29),1,MIN(60,COLUMN()-29)),OFFSET(DR239,0,-MIN(60,COLUMN()-29),1,MIN(60,COLUMN()-29))),0)</f>
        <v>55.31295528</v>
      </c>
      <c r="DS240" s="112" t="n">
        <f aca="true">IFERROR(SUMPRODUCT(OFFSET($BJ$31,0,1-MIN(60,COLUMN()-29),1,MIN(60,COLUMN()-29)),OFFSET(DS239,0,-MIN(60,COLUMN()-29),1,MIN(60,COLUMN()-29))),0)</f>
        <v>54.50068008</v>
      </c>
      <c r="DT240" s="112" t="n">
        <f aca="true">IFERROR(SUMPRODUCT(OFFSET($BJ$31,0,1-MIN(60,COLUMN()-29),1,MIN(60,COLUMN()-29)),OFFSET(DT239,0,-MIN(60,COLUMN()-29),1,MIN(60,COLUMN()-29))),0)</f>
        <v>52.90575048</v>
      </c>
      <c r="DU240" s="112" t="n">
        <f aca="true">IFERROR(SUMPRODUCT(OFFSET($BJ$31,0,1-MIN(60,COLUMN()-29),1,MIN(60,COLUMN()-29)),OFFSET(DU239,0,-MIN(60,COLUMN()-29),1,MIN(60,COLUMN()-29))),0)</f>
        <v>61.56943848</v>
      </c>
      <c r="DV240" s="112" t="n">
        <f aca="true">IFERROR(SUMPRODUCT(OFFSET($BJ$31,0,1-MIN(60,COLUMN()-29),1,MIN(60,COLUMN()-29)),OFFSET(DV239,0,-MIN(60,COLUMN()-29),1,MIN(60,COLUMN()-29))),0)</f>
        <v>65.12240328</v>
      </c>
      <c r="DW240" s="112" t="n">
        <f aca="true">IFERROR(SUMPRODUCT(OFFSET($BJ$31,0,1-MIN(60,COLUMN()-29),1,MIN(60,COLUMN()-29)),OFFSET(DW239,0,-MIN(60,COLUMN()-29),1,MIN(60,COLUMN()-29))),0)</f>
        <v>65.22132936</v>
      </c>
      <c r="DX240" s="112" t="n">
        <f aca="true">IFERROR(SUMPRODUCT(OFFSET($BJ$31,0,1-MIN(60,COLUMN()-29),1,MIN(60,COLUMN()-29)),OFFSET(DX239,0,-MIN(60,COLUMN()-29),1,MIN(60,COLUMN()-29))),0)</f>
        <v>73.43681928</v>
      </c>
      <c r="DY240" s="112" t="n">
        <f aca="true">IFERROR(SUMPRODUCT(OFFSET($BJ$31,0,1-MIN(60,COLUMN()-29),1,MIN(60,COLUMN()-29)),OFFSET(DY239,0,-MIN(60,COLUMN()-29),1,MIN(60,COLUMN()-29))),0)</f>
        <v>75.75347736</v>
      </c>
      <c r="DZ240" s="112" t="n">
        <f aca="true">IFERROR(SUMPRODUCT(OFFSET($BJ$31,0,1-MIN(60,COLUMN()-29),1,MIN(60,COLUMN()-29)),OFFSET(DZ239,0,-MIN(60,COLUMN()-29),1,MIN(60,COLUMN()-29))),0)</f>
        <v>76.61047416</v>
      </c>
      <c r="EA240" s="112" t="n">
        <f aca="true">IFERROR(SUMPRODUCT(OFFSET($BJ$31,0,1-MIN(60,COLUMN()-29),1,MIN(60,COLUMN()-29)),OFFSET(EA239,0,-MIN(60,COLUMN()-29),1,MIN(60,COLUMN()-29))),0)</f>
        <v>76.88545128</v>
      </c>
      <c r="EB240" s="112" t="n">
        <f aca="true">IFERROR(SUMPRODUCT(OFFSET($BJ$31,0,1-MIN(60,COLUMN()-29),1,MIN(60,COLUMN()-29)),OFFSET(EB239,0,-MIN(60,COLUMN()-29),1,MIN(60,COLUMN()-29))),0)</f>
        <v>81.83261064</v>
      </c>
      <c r="EC240" s="112" t="n">
        <f aca="true">IFERROR(SUMPRODUCT(OFFSET($BJ$31,0,1-MIN(60,COLUMN()-29),1,MIN(60,COLUMN()-29)),OFFSET(EC239,0,-MIN(60,COLUMN()-29),1,MIN(60,COLUMN()-29))),0)</f>
        <v>95.38921656</v>
      </c>
      <c r="ED240" s="112" t="n">
        <f aca="true">IFERROR(SUMPRODUCT(OFFSET($BJ$31,0,1-MIN(60,COLUMN()-29),1,MIN(60,COLUMN()-29)),OFFSET(ED239,0,-MIN(60,COLUMN()-29),1,MIN(60,COLUMN()-29))),0)</f>
        <v>95.54482872</v>
      </c>
      <c r="EE240" s="112" t="n">
        <f aca="true">IFERROR(SUMPRODUCT(OFFSET($BJ$31,0,1-MIN(60,COLUMN()-29),1,MIN(60,COLUMN()-29)),OFFSET(EE239,0,-MIN(60,COLUMN()-29),1,MIN(60,COLUMN()-29))),0)</f>
        <v>95.04255288</v>
      </c>
      <c r="EF240" s="112" t="n">
        <f aca="true">IFERROR(SUMPRODUCT(OFFSET($BJ$31,0,1-MIN(60,COLUMN()-29),1,MIN(60,COLUMN()-29)),OFFSET(EF239,0,-MIN(60,COLUMN()-29),1,MIN(60,COLUMN()-29))),0)</f>
        <v>93.30078648</v>
      </c>
      <c r="EG240" s="112" t="n">
        <f aca="true">IFERROR(SUMPRODUCT(OFFSET($BJ$31,0,1-MIN(60,COLUMN()-29),1,MIN(60,COLUMN()-29)),OFFSET(EG239,0,-MIN(60,COLUMN()-29),1,MIN(60,COLUMN()-29))),0)</f>
        <v>103.35762888</v>
      </c>
      <c r="EH240" s="112" t="n">
        <f aca="true">IFERROR(SUMPRODUCT(OFFSET($BJ$31,0,1-MIN(60,COLUMN()-29),1,MIN(60,COLUMN()-29)),OFFSET(EH239,0,-MIN(60,COLUMN()-29),1,MIN(60,COLUMN()-29))),0)</f>
        <v>107.22088872</v>
      </c>
      <c r="EI240" s="112" t="n">
        <f aca="true">IFERROR(SUMPRODUCT(OFFSET($BJ$31,0,1-MIN(60,COLUMN()-29),1,MIN(60,COLUMN()-29)),OFFSET(EI239,0,-MIN(60,COLUMN()-29),1,MIN(60,COLUMN()-29))),0)</f>
        <v>107.40142248</v>
      </c>
      <c r="EJ240" s="112" t="n">
        <f aca="true">IFERROR(SUMPRODUCT(OFFSET($BJ$31,0,1-MIN(60,COLUMN()-29),1,MIN(60,COLUMN()-29)),OFFSET(EJ239,0,-MIN(60,COLUMN()-29),1,MIN(60,COLUMN()-29))),0)</f>
        <v>116.28136872</v>
      </c>
      <c r="EK240" s="112" t="n">
        <f aca="true">IFERROR(SUMPRODUCT(OFFSET($BJ$31,0,1-MIN(60,COLUMN()-29),1,MIN(60,COLUMN()-29)),OFFSET(EK239,0,-MIN(60,COLUMN()-29),1,MIN(60,COLUMN()-29))),0)</f>
        <v>118.45154904</v>
      </c>
      <c r="EL240" s="112" t="n">
        <f aca="true">IFERROR(SUMPRODUCT(OFFSET($BJ$31,0,1-MIN(60,COLUMN()-29),1,MIN(60,COLUMN()-29)),OFFSET(EL239,0,-MIN(60,COLUMN()-29),1,MIN(60,COLUMN()-29))),0)</f>
        <v>119.05660536</v>
      </c>
      <c r="EM240" s="112" t="n">
        <f aca="true">IFERROR(SUMPRODUCT(OFFSET($BJ$31,0,1-MIN(60,COLUMN()-29),1,MIN(60,COLUMN()-29)),OFFSET(EM239,0,-MIN(60,COLUMN()-29),1,MIN(60,COLUMN()-29))),0)</f>
        <v>118.8988284</v>
      </c>
      <c r="EN240" s="112" t="n">
        <f aca="true">IFERROR(SUMPRODUCT(OFFSET($BJ$31,0,1-MIN(60,COLUMN()-29),1,MIN(60,COLUMN()-29)),OFFSET(EN239,0,-MIN(60,COLUMN()-29),1,MIN(60,COLUMN()-29))),0)</f>
        <v>124.00727592</v>
      </c>
      <c r="EO240" s="112" t="n">
        <f aca="true">IFERROR(SUMPRODUCT(OFFSET($BJ$31,0,1-MIN(60,COLUMN()-29),1,MIN(60,COLUMN()-29)),OFFSET(EO239,0,-MIN(60,COLUMN()-29),1,MIN(60,COLUMN()-29))),0)</f>
        <v>137.53529328</v>
      </c>
      <c r="EP240" s="112" t="n">
        <f aca="true">IFERROR(SUMPRODUCT(OFFSET($BJ$31,0,1-MIN(60,COLUMN()-29),1,MIN(60,COLUMN()-29)),OFFSET(EP239,0,-MIN(60,COLUMN()-29),1,MIN(60,COLUMN()-29))),0)</f>
        <v>137.14590912</v>
      </c>
      <c r="EQ240" s="112" t="n">
        <f aca="true">IFERROR(SUMPRODUCT(OFFSET($BJ$31,0,1-MIN(60,COLUMN()-29),1,MIN(60,COLUMN()-29)),OFFSET(EQ239,0,-MIN(60,COLUMN()-29),1,MIN(60,COLUMN()-29))),0)</f>
        <v>135.94713792</v>
      </c>
      <c r="ER240" s="112" t="n">
        <f aca="true">IFERROR(SUMPRODUCT(OFFSET($BJ$31,0,1-MIN(60,COLUMN()-29),1,MIN(60,COLUMN()-29)),OFFSET(ER239,0,-MIN(60,COLUMN()-29),1,MIN(60,COLUMN()-29))),0)</f>
        <v>133.66801536</v>
      </c>
      <c r="ES240" s="9" t="n">
        <f aca="true">IFERROR(SUMPRODUCT(OFFSET($BJ$31,0,1-MIN(60,COLUMN()-29),1,MIN(60,COLUMN()-29)),OFFSET(ES239,0,-MIN(60,COLUMN()-29),1,MIN(60,COLUMN()-29))),0)</f>
        <v>143.48942256</v>
      </c>
      <c r="ET240" s="9" t="n">
        <f aca="true">IFERROR(SUMPRODUCT(OFFSET($BJ$31,0,1-MIN(60,COLUMN()-29),1,MIN(60,COLUMN()-29)),OFFSET(ET239,0,-MIN(60,COLUMN()-29),1,MIN(60,COLUMN()-29))),0)</f>
        <v>146.85413424</v>
      </c>
      <c r="EU240" s="9" t="n">
        <f aca="true">IFERROR(SUMPRODUCT(OFFSET($BJ$31,0,1-MIN(60,COLUMN()-29),1,MIN(60,COLUMN()-29)),OFFSET(EU239,0,-MIN(60,COLUMN()-29),1,MIN(60,COLUMN()-29))),0)</f>
        <v>146.65911216</v>
      </c>
      <c r="EV240" s="9" t="n">
        <f aca="true">IFERROR(SUMPRODUCT(OFFSET($BJ$31,0,1-MIN(60,COLUMN()-29),1,MIN(60,COLUMN()-29)),OFFSET(EV239,0,-MIN(60,COLUMN()-29),1,MIN(60,COLUMN()-29))),0)</f>
        <v>154.75176816</v>
      </c>
      <c r="EW240" s="9" t="n">
        <f aca="true">IFERROR(SUMPRODUCT(OFFSET($BJ$31,0,1-MIN(60,COLUMN()-29),1,MIN(60,COLUMN()-29)),OFFSET(EW239,0,-MIN(60,COLUMN()-29),1,MIN(60,COLUMN()-29))),0)</f>
        <v>156.12879216</v>
      </c>
      <c r="EX240" s="9" t="n">
        <f aca="true">IFERROR(SUMPRODUCT(OFFSET($BJ$31,0,1-MIN(60,COLUMN()-29),1,MIN(60,COLUMN()-29)),OFFSET(EX239,0,-MIN(60,COLUMN()-29),1,MIN(60,COLUMN()-29))),0)</f>
        <v>156.01358256</v>
      </c>
      <c r="EY240" s="9" t="n">
        <f aca="true">IFERROR(SUMPRODUCT(OFFSET($BJ$31,0,1-MIN(60,COLUMN()-29),1,MIN(60,COLUMN()-29)),OFFSET(EY239,0,-MIN(60,COLUMN()-29),1,MIN(60,COLUMN()-29))),0)</f>
        <v>155.21894256</v>
      </c>
      <c r="EZ240" s="9" t="n">
        <f aca="true">IFERROR(SUMPRODUCT(OFFSET($BJ$31,0,1-MIN(60,COLUMN()-29),1,MIN(60,COLUMN()-29)),OFFSET(EZ239,0,-MIN(60,COLUMN()-29),1,MIN(60,COLUMN()-29))),0)</f>
        <v>159.54278736</v>
      </c>
      <c r="FA240" s="9" t="n">
        <f aca="true">IFERROR(SUMPRODUCT(OFFSET($BJ$31,0,1-MIN(60,COLUMN()-29),1,MIN(60,COLUMN()-29)),OFFSET(FA239,0,-MIN(60,COLUMN()-29),1,MIN(60,COLUMN()-29))),0)</f>
        <v>171.40182576</v>
      </c>
      <c r="FB240" s="9" t="n">
        <f aca="true">IFERROR(SUMPRODUCT(OFFSET($BJ$31,0,1-MIN(60,COLUMN()-29),1,MIN(60,COLUMN()-29)),OFFSET(FB239,0,-MIN(60,COLUMN()-29),1,MIN(60,COLUMN()-29))),0)</f>
        <v>169.51037136</v>
      </c>
      <c r="FC240" s="9" t="n">
        <f aca="true">IFERROR(SUMPRODUCT(OFFSET($BJ$31,0,1-MIN(60,COLUMN()-29),1,MIN(60,COLUMN()-29)),OFFSET(FC239,0,-MIN(60,COLUMN()-29),1,MIN(60,COLUMN()-29))),0)</f>
        <v>167.01609936</v>
      </c>
      <c r="FD240" s="9" t="n">
        <f aca="true">IFERROR(SUMPRODUCT(OFFSET($BJ$31,0,1-MIN(60,COLUMN()-29),1,MIN(60,COLUMN()-29)),OFFSET(FD239,0,-MIN(60,COLUMN()-29),1,MIN(60,COLUMN()-29))),0)</f>
        <v>163.81356816</v>
      </c>
      <c r="FE240" s="9" t="n">
        <f aca="true">IFERROR(SUMPRODUCT(OFFSET($BJ$31,0,1-MIN(60,COLUMN()-29),1,MIN(60,COLUMN()-29)),OFFSET(FE239,0,-MIN(60,COLUMN()-29),1,MIN(60,COLUMN()-29))),0)</f>
        <v>172.30082496</v>
      </c>
      <c r="FF240" s="9" t="n">
        <f aca="true">IFERROR(SUMPRODUCT(OFFSET($BJ$31,0,1-MIN(60,COLUMN()-29),1,MIN(60,COLUMN()-29)),OFFSET(FF239,0,-MIN(60,COLUMN()-29),1,MIN(60,COLUMN()-29))),0)</f>
        <v>174.15458016</v>
      </c>
      <c r="FG240" s="9" t="n">
        <f aca="true">IFERROR(SUMPRODUCT(OFFSET($BJ$31,0,1-MIN(60,COLUMN()-29),1,MIN(60,COLUMN()-29)),OFFSET(FG239,0,-MIN(60,COLUMN()-29),1,MIN(60,COLUMN()-29))),0)</f>
        <v>172.76248176</v>
      </c>
      <c r="FH240" s="9" t="n">
        <f aca="true">IFERROR(SUMPRODUCT(OFFSET($BJ$31,0,1-MIN(60,COLUMN()-29),1,MIN(60,COLUMN()-29)),OFFSET(FH239,0,-MIN(60,COLUMN()-29),1,MIN(60,COLUMN()-29))),0)</f>
        <v>179.08047696</v>
      </c>
      <c r="FI240" s="9" t="n">
        <f aca="true">IFERROR(SUMPRODUCT(OFFSET($BJ$31,0,1-MIN(60,COLUMN()-29),1,MIN(60,COLUMN()-29)),OFFSET(FI239,0,-MIN(60,COLUMN()-29),1,MIN(60,COLUMN()-29))),0)</f>
        <v>179.12601696</v>
      </c>
      <c r="FJ240" s="9" t="n">
        <f aca="true">IFERROR(SUMPRODUCT(OFFSET($BJ$31,0,1-MIN(60,COLUMN()-29),1,MIN(60,COLUMN()-29)),OFFSET(FJ239,0,-MIN(60,COLUMN()-29),1,MIN(60,COLUMN()-29))),0)</f>
        <v>177.91056096</v>
      </c>
      <c r="FK240" s="9" t="n">
        <f aca="true">IFERROR(SUMPRODUCT(OFFSET($BJ$31,0,1-MIN(60,COLUMN()-29),1,MIN(60,COLUMN()-29)),OFFSET(FK239,0,-MIN(60,COLUMN()-29),1,MIN(60,COLUMN()-29))),0)</f>
        <v>176.15284896</v>
      </c>
      <c r="FL240" s="9" t="n">
        <f aca="true">IFERROR(SUMPRODUCT(OFFSET($BJ$31,0,1-MIN(60,COLUMN()-29),1,MIN(60,COLUMN()-29)),OFFSET(FL239,0,-MIN(60,COLUMN()-29),1,MIN(60,COLUMN()-29))),0)</f>
        <v>179.4807696</v>
      </c>
      <c r="FM240" s="9" t="n">
        <f aca="true">IFERROR(SUMPRODUCT(OFFSET($BJ$31,0,1-MIN(60,COLUMN()-29),1,MIN(60,COLUMN()-29)),OFFSET(FM239,0,-MIN(60,COLUMN()-29),1,MIN(60,COLUMN()-29))),0)</f>
        <v>189.63147984</v>
      </c>
      <c r="FN240" s="9" t="n">
        <f aca="true">IFERROR(SUMPRODUCT(OFFSET($BJ$31,0,1-MIN(60,COLUMN()-29),1,MIN(60,COLUMN()-29)),OFFSET(FN239,0,-MIN(60,COLUMN()-29),1,MIN(60,COLUMN()-29))),0)</f>
        <v>186.42074352</v>
      </c>
      <c r="FO240" s="9" t="n">
        <f aca="true">IFERROR(SUMPRODUCT(OFFSET($BJ$31,0,1-MIN(60,COLUMN()-29),1,MIN(60,COLUMN()-29)),OFFSET(FO239,0,-MIN(60,COLUMN()-29),1,MIN(60,COLUMN()-29))),0)</f>
        <v>182.87799024</v>
      </c>
      <c r="FP240" s="9" t="n">
        <f aca="true">IFERROR(SUMPRODUCT(OFFSET($BJ$31,0,1-MIN(60,COLUMN()-29),1,MIN(60,COLUMN()-29)),OFFSET(FP239,0,-MIN(60,COLUMN()-29),1,MIN(60,COLUMN()-29))),0)</f>
        <v>178.90620528</v>
      </c>
    </row>
    <row r="241" customFormat="false" ht="15" hidden="false" customHeight="false" outlineLevel="2" collapsed="false">
      <c r="B241" s="90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237"/>
      <c r="AD241" s="237"/>
      <c r="AE241" s="237"/>
      <c r="AF241" s="237"/>
      <c r="AG241" s="237"/>
      <c r="AH241" s="237"/>
      <c r="AI241" s="237"/>
      <c r="AJ241" s="237"/>
      <c r="AK241" s="237"/>
      <c r="AL241" s="237"/>
      <c r="AM241" s="237"/>
      <c r="AN241" s="237"/>
      <c r="AO241" s="237"/>
      <c r="AP241" s="237"/>
      <c r="AQ241" s="237"/>
      <c r="AR241" s="237"/>
      <c r="AS241" s="237"/>
      <c r="AT241" s="237"/>
      <c r="AU241" s="237"/>
      <c r="AV241" s="237"/>
      <c r="AW241" s="237"/>
      <c r="AX241" s="237"/>
      <c r="AY241" s="237"/>
      <c r="AZ241" s="237"/>
      <c r="BA241" s="237"/>
      <c r="BB241" s="237"/>
      <c r="BC241" s="237"/>
      <c r="BD241" s="237"/>
      <c r="BE241" s="237"/>
      <c r="BF241" s="237"/>
      <c r="BG241" s="237"/>
      <c r="BH241" s="237"/>
      <c r="BI241" s="237"/>
      <c r="BJ241" s="237"/>
      <c r="BK241" s="237"/>
      <c r="BL241" s="237"/>
      <c r="BM241" s="237"/>
      <c r="BN241" s="237"/>
      <c r="BO241" s="237"/>
      <c r="BP241" s="237"/>
      <c r="BQ241" s="237"/>
      <c r="BR241" s="237"/>
      <c r="BS241" s="237"/>
      <c r="BT241" s="237"/>
      <c r="BU241" s="237"/>
      <c r="BV241" s="237"/>
      <c r="BW241" s="237"/>
      <c r="BX241" s="237"/>
      <c r="BY241" s="237"/>
      <c r="BZ241" s="237"/>
      <c r="CA241" s="237"/>
      <c r="CB241" s="237"/>
      <c r="CC241" s="237"/>
      <c r="CD241" s="237"/>
      <c r="CE241" s="237"/>
      <c r="CF241" s="237"/>
      <c r="CG241" s="237"/>
      <c r="CH241" s="237"/>
      <c r="CI241" s="237"/>
      <c r="CJ241" s="237"/>
      <c r="CK241" s="237"/>
      <c r="CL241" s="237"/>
      <c r="CM241" s="237"/>
      <c r="CN241" s="237"/>
      <c r="CO241" s="237"/>
      <c r="CP241" s="237"/>
      <c r="CQ241" s="237"/>
      <c r="CR241" s="237"/>
      <c r="CS241" s="237"/>
      <c r="CT241" s="237"/>
      <c r="CU241" s="237"/>
      <c r="CV241" s="237"/>
      <c r="CW241" s="237"/>
      <c r="CX241" s="237"/>
      <c r="CY241" s="237"/>
      <c r="CZ241" s="237"/>
      <c r="DA241" s="237"/>
      <c r="DB241" s="237"/>
      <c r="DC241" s="237"/>
      <c r="DD241" s="237"/>
      <c r="DE241" s="237"/>
      <c r="DF241" s="237"/>
      <c r="DG241" s="237"/>
      <c r="DH241" s="237"/>
      <c r="DI241" s="237"/>
      <c r="DJ241" s="237"/>
      <c r="DK241" s="237"/>
      <c r="DL241" s="237"/>
      <c r="DM241" s="237"/>
      <c r="DN241" s="237"/>
      <c r="DO241" s="237"/>
      <c r="DP241" s="237"/>
      <c r="DQ241" s="237"/>
      <c r="DR241" s="237"/>
      <c r="DS241" s="237"/>
      <c r="DT241" s="237"/>
      <c r="DU241" s="237"/>
      <c r="DV241" s="237"/>
      <c r="DW241" s="237"/>
      <c r="DX241" s="237"/>
      <c r="DY241" s="237"/>
      <c r="DZ241" s="237"/>
      <c r="EA241" s="237"/>
      <c r="EB241" s="237"/>
      <c r="EC241" s="237"/>
      <c r="ED241" s="237"/>
      <c r="EE241" s="237"/>
      <c r="EF241" s="237"/>
      <c r="EG241" s="237"/>
      <c r="EH241" s="237"/>
      <c r="EI241" s="237"/>
      <c r="EJ241" s="237"/>
      <c r="EK241" s="237"/>
      <c r="EL241" s="237"/>
      <c r="EM241" s="237"/>
      <c r="EN241" s="237"/>
      <c r="EO241" s="237"/>
      <c r="EP241" s="237"/>
      <c r="EQ241" s="237"/>
      <c r="ER241" s="237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</row>
    <row r="242" customFormat="false" ht="15" hidden="false" customHeight="false" outlineLevel="2" collapsed="false">
      <c r="B242" s="240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237"/>
      <c r="AD242" s="237"/>
      <c r="AE242" s="237"/>
      <c r="AF242" s="237"/>
      <c r="AG242" s="237"/>
      <c r="AH242" s="237"/>
      <c r="AI242" s="237"/>
      <c r="AJ242" s="237"/>
      <c r="AK242" s="237"/>
      <c r="AL242" s="237"/>
      <c r="AM242" s="237"/>
      <c r="AN242" s="237"/>
      <c r="AO242" s="237"/>
      <c r="AP242" s="237"/>
      <c r="AQ242" s="237"/>
      <c r="AR242" s="237"/>
      <c r="AS242" s="237"/>
      <c r="AT242" s="237"/>
      <c r="AU242" s="237"/>
      <c r="AV242" s="237"/>
      <c r="AW242" s="237"/>
      <c r="AX242" s="237"/>
      <c r="AY242" s="237"/>
      <c r="AZ242" s="237"/>
      <c r="BA242" s="237"/>
      <c r="BB242" s="237"/>
      <c r="BC242" s="237"/>
      <c r="BD242" s="237"/>
      <c r="BE242" s="237"/>
      <c r="BF242" s="237"/>
      <c r="BG242" s="237"/>
      <c r="BH242" s="237"/>
      <c r="BI242" s="237"/>
      <c r="BJ242" s="237"/>
      <c r="BK242" s="237"/>
      <c r="BL242" s="237"/>
      <c r="BM242" s="237"/>
      <c r="BN242" s="237"/>
      <c r="BO242" s="237"/>
      <c r="BP242" s="237"/>
      <c r="BQ242" s="237"/>
      <c r="BR242" s="237"/>
      <c r="BS242" s="237"/>
      <c r="BT242" s="237"/>
      <c r="BU242" s="237"/>
      <c r="BV242" s="237"/>
      <c r="BW242" s="237"/>
      <c r="BX242" s="237"/>
      <c r="BY242" s="237"/>
      <c r="BZ242" s="237"/>
      <c r="CA242" s="237"/>
      <c r="CB242" s="237"/>
      <c r="CC242" s="237"/>
      <c r="CD242" s="237"/>
      <c r="CE242" s="237"/>
      <c r="CF242" s="237"/>
      <c r="CG242" s="237"/>
      <c r="CH242" s="237"/>
      <c r="CI242" s="237"/>
      <c r="CJ242" s="237"/>
      <c r="CK242" s="237"/>
      <c r="CL242" s="237"/>
      <c r="CM242" s="237"/>
      <c r="CN242" s="237"/>
      <c r="CO242" s="237"/>
      <c r="CP242" s="237"/>
      <c r="CQ242" s="237"/>
      <c r="CR242" s="237"/>
      <c r="CS242" s="237"/>
      <c r="CT242" s="237"/>
      <c r="CU242" s="237"/>
      <c r="CV242" s="237"/>
      <c r="CW242" s="237"/>
      <c r="CX242" s="237"/>
      <c r="CY242" s="237"/>
      <c r="CZ242" s="237"/>
      <c r="DA242" s="237"/>
      <c r="DB242" s="237"/>
      <c r="DC242" s="237"/>
      <c r="DD242" s="237"/>
      <c r="DE242" s="237"/>
      <c r="DF242" s="237"/>
      <c r="DG242" s="237"/>
      <c r="DH242" s="237"/>
      <c r="DI242" s="237"/>
      <c r="DJ242" s="237"/>
      <c r="DK242" s="237"/>
      <c r="DL242" s="237"/>
      <c r="DM242" s="237"/>
      <c r="DN242" s="237"/>
      <c r="DO242" s="237"/>
      <c r="DP242" s="237"/>
      <c r="DQ242" s="237"/>
      <c r="DR242" s="237"/>
      <c r="DS242" s="237"/>
      <c r="DT242" s="237"/>
      <c r="DU242" s="237"/>
      <c r="DV242" s="237"/>
      <c r="DW242" s="237"/>
      <c r="DX242" s="237"/>
      <c r="DY242" s="237"/>
      <c r="DZ242" s="237"/>
      <c r="EA242" s="237"/>
      <c r="EB242" s="237"/>
      <c r="EC242" s="237"/>
      <c r="ED242" s="237"/>
      <c r="EE242" s="237"/>
      <c r="EF242" s="237"/>
      <c r="EG242" s="237"/>
      <c r="EH242" s="237"/>
      <c r="EI242" s="237"/>
      <c r="EJ242" s="237"/>
      <c r="EK242" s="237"/>
      <c r="EL242" s="237"/>
      <c r="EM242" s="237"/>
      <c r="EN242" s="237"/>
      <c r="EO242" s="237"/>
      <c r="EP242" s="237"/>
      <c r="EQ242" s="237"/>
      <c r="ER242" s="237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</row>
    <row r="243" customFormat="false" ht="15" hidden="false" customHeight="false" outlineLevel="2" collapsed="false">
      <c r="B243" s="21" t="s">
        <v>897</v>
      </c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  <c r="CA243" s="21"/>
      <c r="CB243" s="21"/>
      <c r="CC243" s="21"/>
      <c r="CD243" s="21"/>
      <c r="CE243" s="21"/>
      <c r="CF243" s="21"/>
      <c r="CG243" s="21"/>
      <c r="CH243" s="21"/>
      <c r="CI243" s="21"/>
      <c r="CJ243" s="21"/>
      <c r="CK243" s="21"/>
      <c r="CL243" s="21"/>
      <c r="CM243" s="21"/>
      <c r="CN243" s="21"/>
      <c r="CO243" s="21"/>
      <c r="CP243" s="21"/>
      <c r="CQ243" s="21"/>
      <c r="CR243" s="21"/>
      <c r="CS243" s="21"/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21"/>
      <c r="DV243" s="21"/>
      <c r="DW243" s="21"/>
      <c r="DX243" s="21"/>
      <c r="DY243" s="21"/>
      <c r="DZ243" s="21"/>
      <c r="EA243" s="21"/>
      <c r="EB243" s="21"/>
      <c r="EC243" s="21"/>
      <c r="ED243" s="21"/>
      <c r="EE243" s="21"/>
      <c r="EF243" s="21"/>
      <c r="EG243" s="21"/>
      <c r="EH243" s="21"/>
      <c r="EI243" s="21"/>
      <c r="EJ243" s="21"/>
      <c r="EK243" s="21"/>
      <c r="EL243" s="21"/>
      <c r="EM243" s="21"/>
      <c r="EN243" s="21"/>
      <c r="EO243" s="21"/>
      <c r="EP243" s="21"/>
      <c r="EQ243" s="21"/>
      <c r="ER243" s="21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</row>
    <row r="244" customFormat="false" ht="15" hidden="false" customHeight="false" outlineLevel="2" collapsed="false">
      <c r="B244" s="9" t="s">
        <v>872</v>
      </c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234" t="n">
        <f aca="false">('⑫ Roll-out Plan'!G30-2025)*12+'⑫ Roll-out Plan'!F30</f>
        <v>56</v>
      </c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</row>
    <row r="245" customFormat="false" ht="15" hidden="false" customHeight="false" outlineLevel="2" collapsed="false">
      <c r="B245" s="9" t="s">
        <v>873</v>
      </c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235" t="n">
        <f aca="false">VLOOKUP("C",$B$14:$C$18,2,FALSE())</f>
        <v>110</v>
      </c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</row>
    <row r="246" customFormat="false" ht="15" hidden="false" customHeight="false" outlineLevel="2" collapsed="false">
      <c r="B246" s="9" t="s">
        <v>799</v>
      </c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63" t="n">
        <f aca="false">IF(AC$35&gt;=$AC$244,AC$35-$AC$244+1,0)</f>
        <v>0</v>
      </c>
      <c r="AD246" s="63" t="n">
        <f aca="false">IF(AD$35&gt;=$AC$244,AD$35-$AC$244+1,0)</f>
        <v>0</v>
      </c>
      <c r="AE246" s="63" t="n">
        <f aca="false">IF(AE$35&gt;=$AC$244,AE$35-$AC$244+1,0)</f>
        <v>0</v>
      </c>
      <c r="AF246" s="63" t="n">
        <f aca="false">IF(AF$35&gt;=$AC$244,AF$35-$AC$244+1,0)</f>
        <v>0</v>
      </c>
      <c r="AG246" s="63" t="n">
        <f aca="false">IF(AG$35&gt;=$AC$244,AG$35-$AC$244+1,0)</f>
        <v>0</v>
      </c>
      <c r="AH246" s="63" t="n">
        <f aca="false">IF(AH$35&gt;=$AC$244,AH$35-$AC$244+1,0)</f>
        <v>0</v>
      </c>
      <c r="AI246" s="63" t="n">
        <f aca="false">IF(AI$35&gt;=$AC$244,AI$35-$AC$244+1,0)</f>
        <v>0</v>
      </c>
      <c r="AJ246" s="63" t="n">
        <f aca="false">IF(AJ$35&gt;=$AC$244,AJ$35-$AC$244+1,0)</f>
        <v>0</v>
      </c>
      <c r="AK246" s="63" t="n">
        <f aca="false">IF(AK$35&gt;=$AC$244,AK$35-$AC$244+1,0)</f>
        <v>0</v>
      </c>
      <c r="AL246" s="63" t="n">
        <f aca="false">IF(AL$35&gt;=$AC$244,AL$35-$AC$244+1,0)</f>
        <v>0</v>
      </c>
      <c r="AM246" s="63" t="n">
        <f aca="false">IF(AM$35&gt;=$AC$244,AM$35-$AC$244+1,0)</f>
        <v>0</v>
      </c>
      <c r="AN246" s="63" t="n">
        <f aca="false">IF(AN$35&gt;=$AC$244,AN$35-$AC$244+1,0)</f>
        <v>0</v>
      </c>
      <c r="AO246" s="63" t="n">
        <f aca="false">IF(AO$35&gt;=$AC$244,AO$35-$AC$244+1,0)</f>
        <v>0</v>
      </c>
      <c r="AP246" s="63" t="n">
        <f aca="false">IF(AP$35&gt;=$AC$244,AP$35-$AC$244+1,0)</f>
        <v>0</v>
      </c>
      <c r="AQ246" s="63" t="n">
        <f aca="false">IF(AQ$35&gt;=$AC$244,AQ$35-$AC$244+1,0)</f>
        <v>0</v>
      </c>
      <c r="AR246" s="63" t="n">
        <f aca="false">IF(AR$35&gt;=$AC$244,AR$35-$AC$244+1,0)</f>
        <v>0</v>
      </c>
      <c r="AS246" s="63" t="n">
        <f aca="false">IF(AS$35&gt;=$AC$244,AS$35-$AC$244+1,0)</f>
        <v>0</v>
      </c>
      <c r="AT246" s="63" t="n">
        <f aca="false">IF(AT$35&gt;=$AC$244,AT$35-$AC$244+1,0)</f>
        <v>0</v>
      </c>
      <c r="AU246" s="63" t="n">
        <f aca="false">IF(AU$35&gt;=$AC$244,AU$35-$AC$244+1,0)</f>
        <v>0</v>
      </c>
      <c r="AV246" s="63" t="n">
        <f aca="false">IF(AV$35&gt;=$AC$244,AV$35-$AC$244+1,0)</f>
        <v>0</v>
      </c>
      <c r="AW246" s="63" t="n">
        <f aca="false">IF(AW$35&gt;=$AC$244,AW$35-$AC$244+1,0)</f>
        <v>0</v>
      </c>
      <c r="AX246" s="63" t="n">
        <f aca="false">IF(AX$35&gt;=$AC$244,AX$35-$AC$244+1,0)</f>
        <v>0</v>
      </c>
      <c r="AY246" s="63" t="n">
        <f aca="false">IF(AY$35&gt;=$AC$244,AY$35-$AC$244+1,0)</f>
        <v>0</v>
      </c>
      <c r="AZ246" s="63" t="n">
        <f aca="false">IF(AZ$35&gt;=$AC$244,AZ$35-$AC$244+1,0)</f>
        <v>0</v>
      </c>
      <c r="BA246" s="63" t="n">
        <f aca="false">IF(BA$35&gt;=$AC$244,BA$35-$AC$244+1,0)</f>
        <v>0</v>
      </c>
      <c r="BB246" s="63" t="n">
        <f aca="false">IF(BB$35&gt;=$AC$244,BB$35-$AC$244+1,0)</f>
        <v>0</v>
      </c>
      <c r="BC246" s="63" t="n">
        <f aca="false">IF(BC$35&gt;=$AC$244,BC$35-$AC$244+1,0)</f>
        <v>0</v>
      </c>
      <c r="BD246" s="63" t="n">
        <f aca="false">IF(BD$35&gt;=$AC$244,BD$35-$AC$244+1,0)</f>
        <v>0</v>
      </c>
      <c r="BE246" s="63" t="n">
        <f aca="false">IF(BE$35&gt;=$AC$244,BE$35-$AC$244+1,0)</f>
        <v>0</v>
      </c>
      <c r="BF246" s="63" t="n">
        <f aca="false">IF(BF$35&gt;=$AC$244,BF$35-$AC$244+1,0)</f>
        <v>0</v>
      </c>
      <c r="BG246" s="63" t="n">
        <f aca="false">IF(BG$35&gt;=$AC$244,BG$35-$AC$244+1,0)</f>
        <v>0</v>
      </c>
      <c r="BH246" s="63" t="n">
        <f aca="false">IF(BH$35&gt;=$AC$244,BH$35-$AC$244+1,0)</f>
        <v>0</v>
      </c>
      <c r="BI246" s="63" t="n">
        <f aca="false">IF(BI$35&gt;=$AC$244,BI$35-$AC$244+1,0)</f>
        <v>0</v>
      </c>
      <c r="BJ246" s="63" t="n">
        <f aca="false">IF(BJ$35&gt;=$AC$244,BJ$35-$AC$244+1,0)</f>
        <v>0</v>
      </c>
      <c r="BK246" s="63" t="n">
        <f aca="false">IF(BK$35&gt;=$AC$244,BK$35-$AC$244+1,0)</f>
        <v>0</v>
      </c>
      <c r="BL246" s="63" t="n">
        <f aca="false">IF(BL$35&gt;=$AC$244,BL$35-$AC$244+1,0)</f>
        <v>0</v>
      </c>
      <c r="BM246" s="63" t="n">
        <f aca="false">IF(BM$35&gt;=$AC$244,BM$35-$AC$244+1,0)</f>
        <v>0</v>
      </c>
      <c r="BN246" s="63" t="n">
        <f aca="false">IF(BN$35&gt;=$AC$244,BN$35-$AC$244+1,0)</f>
        <v>0</v>
      </c>
      <c r="BO246" s="63" t="n">
        <f aca="false">IF(BO$35&gt;=$AC$244,BO$35-$AC$244+1,0)</f>
        <v>0</v>
      </c>
      <c r="BP246" s="63" t="n">
        <f aca="false">IF(BP$35&gt;=$AC$244,BP$35-$AC$244+1,0)</f>
        <v>0</v>
      </c>
      <c r="BQ246" s="63" t="n">
        <f aca="false">IF(BQ$35&gt;=$AC$244,BQ$35-$AC$244+1,0)</f>
        <v>0</v>
      </c>
      <c r="BR246" s="63" t="n">
        <f aca="false">IF(BR$35&gt;=$AC$244,BR$35-$AC$244+1,0)</f>
        <v>0</v>
      </c>
      <c r="BS246" s="63" t="n">
        <f aca="false">IF(BS$35&gt;=$AC$244,BS$35-$AC$244+1,0)</f>
        <v>0</v>
      </c>
      <c r="BT246" s="63" t="n">
        <f aca="false">IF(BT$35&gt;=$AC$244,BT$35-$AC$244+1,0)</f>
        <v>0</v>
      </c>
      <c r="BU246" s="63" t="n">
        <f aca="false">IF(BU$35&gt;=$AC$244,BU$35-$AC$244+1,0)</f>
        <v>0</v>
      </c>
      <c r="BV246" s="63" t="n">
        <f aca="false">IF(BV$35&gt;=$AC$244,BV$35-$AC$244+1,0)</f>
        <v>0</v>
      </c>
      <c r="BW246" s="63" t="n">
        <f aca="false">IF(BW$35&gt;=$AC$244,BW$35-$AC$244+1,0)</f>
        <v>0</v>
      </c>
      <c r="BX246" s="63" t="n">
        <f aca="false">IF(BX$35&gt;=$AC$244,BX$35-$AC$244+1,0)</f>
        <v>0</v>
      </c>
      <c r="BY246" s="63" t="n">
        <f aca="false">IF(BY$35&gt;=$AC$244,BY$35-$AC$244+1,0)</f>
        <v>0</v>
      </c>
      <c r="BZ246" s="63" t="n">
        <f aca="false">IF(BZ$35&gt;=$AC$244,BZ$35-$AC$244+1,0)</f>
        <v>0</v>
      </c>
      <c r="CA246" s="63" t="n">
        <f aca="false">IF(CA$35&gt;=$AC$244,CA$35-$AC$244+1,0)</f>
        <v>0</v>
      </c>
      <c r="CB246" s="63" t="n">
        <f aca="false">IF(CB$35&gt;=$AC$244,CB$35-$AC$244+1,0)</f>
        <v>0</v>
      </c>
      <c r="CC246" s="63" t="n">
        <f aca="false">IF(CC$35&gt;=$AC$244,CC$35-$AC$244+1,0)</f>
        <v>0</v>
      </c>
      <c r="CD246" s="63" t="n">
        <f aca="false">IF(CD$35&gt;=$AC$244,CD$35-$AC$244+1,0)</f>
        <v>0</v>
      </c>
      <c r="CE246" s="63" t="n">
        <f aca="false">IF(CE$35&gt;=$AC$244,CE$35-$AC$244+1,0)</f>
        <v>0</v>
      </c>
      <c r="CF246" s="63" t="n">
        <f aca="false">IF(CF$35&gt;=$AC$244,CF$35-$AC$244+1,0)</f>
        <v>1</v>
      </c>
      <c r="CG246" s="63" t="n">
        <f aca="false">IF(CG$35&gt;=$AC$244,CG$35-$AC$244+1,0)</f>
        <v>2</v>
      </c>
      <c r="CH246" s="63" t="n">
        <f aca="false">IF(CH$35&gt;=$AC$244,CH$35-$AC$244+1,0)</f>
        <v>3</v>
      </c>
      <c r="CI246" s="63" t="n">
        <f aca="false">IF(CI$35&gt;=$AC$244,CI$35-$AC$244+1,0)</f>
        <v>4</v>
      </c>
      <c r="CJ246" s="63" t="n">
        <f aca="false">IF(CJ$35&gt;=$AC$244,CJ$35-$AC$244+1,0)</f>
        <v>5</v>
      </c>
      <c r="CK246" s="63" t="n">
        <f aca="false">IF(CK$35&gt;=$AC$244,CK$35-$AC$244+1,0)</f>
        <v>6</v>
      </c>
      <c r="CL246" s="63" t="n">
        <f aca="false">IF(CL$35&gt;=$AC$244,CL$35-$AC$244+1,0)</f>
        <v>7</v>
      </c>
      <c r="CM246" s="63" t="n">
        <f aca="false">IF(CM$35&gt;=$AC$244,CM$35-$AC$244+1,0)</f>
        <v>8</v>
      </c>
      <c r="CN246" s="63" t="n">
        <f aca="false">IF(CN$35&gt;=$AC$244,CN$35-$AC$244+1,0)</f>
        <v>9</v>
      </c>
      <c r="CO246" s="63" t="n">
        <f aca="false">IF(CO$35&gt;=$AC$244,CO$35-$AC$244+1,0)</f>
        <v>10</v>
      </c>
      <c r="CP246" s="63" t="n">
        <f aca="false">IF(CP$35&gt;=$AC$244,CP$35-$AC$244+1,0)</f>
        <v>11</v>
      </c>
      <c r="CQ246" s="63" t="n">
        <f aca="false">IF(CQ$35&gt;=$AC$244,CQ$35-$AC$244+1,0)</f>
        <v>12</v>
      </c>
      <c r="CR246" s="63" t="n">
        <f aca="false">IF(CR$35&gt;=$AC$244,CR$35-$AC$244+1,0)</f>
        <v>13</v>
      </c>
      <c r="CS246" s="63" t="n">
        <f aca="false">IF(CS$35&gt;=$AC$244,CS$35-$AC$244+1,0)</f>
        <v>14</v>
      </c>
      <c r="CT246" s="63" t="n">
        <f aca="false">IF(CT$35&gt;=$AC$244,CT$35-$AC$244+1,0)</f>
        <v>15</v>
      </c>
      <c r="CU246" s="63" t="n">
        <f aca="false">IF(CU$35&gt;=$AC$244,CU$35-$AC$244+1,0)</f>
        <v>16</v>
      </c>
      <c r="CV246" s="63" t="n">
        <f aca="false">IF(CV$35&gt;=$AC$244,CV$35-$AC$244+1,0)</f>
        <v>17</v>
      </c>
      <c r="CW246" s="63" t="n">
        <f aca="false">IF(CW$35&gt;=$AC$244,CW$35-$AC$244+1,0)</f>
        <v>18</v>
      </c>
      <c r="CX246" s="63" t="n">
        <f aca="false">IF(CX$35&gt;=$AC$244,CX$35-$AC$244+1,0)</f>
        <v>19</v>
      </c>
      <c r="CY246" s="63" t="n">
        <f aca="false">IF(CY$35&gt;=$AC$244,CY$35-$AC$244+1,0)</f>
        <v>20</v>
      </c>
      <c r="CZ246" s="63" t="n">
        <f aca="false">IF(CZ$35&gt;=$AC$244,CZ$35-$AC$244+1,0)</f>
        <v>21</v>
      </c>
      <c r="DA246" s="63" t="n">
        <f aca="false">IF(DA$35&gt;=$AC$244,DA$35-$AC$244+1,0)</f>
        <v>22</v>
      </c>
      <c r="DB246" s="63" t="n">
        <f aca="false">IF(DB$35&gt;=$AC$244,DB$35-$AC$244+1,0)</f>
        <v>23</v>
      </c>
      <c r="DC246" s="63" t="n">
        <f aca="false">IF(DC$35&gt;=$AC$244,DC$35-$AC$244+1,0)</f>
        <v>24</v>
      </c>
      <c r="DD246" s="63" t="n">
        <f aca="false">IF(DD$35&gt;=$AC$244,DD$35-$AC$244+1,0)</f>
        <v>25</v>
      </c>
      <c r="DE246" s="63" t="n">
        <f aca="false">IF(DE$35&gt;=$AC$244,DE$35-$AC$244+1,0)</f>
        <v>26</v>
      </c>
      <c r="DF246" s="63" t="n">
        <f aca="false">IF(DF$35&gt;=$AC$244,DF$35-$AC$244+1,0)</f>
        <v>27</v>
      </c>
      <c r="DG246" s="63" t="n">
        <f aca="false">IF(DG$35&gt;=$AC$244,DG$35-$AC$244+1,0)</f>
        <v>28</v>
      </c>
      <c r="DH246" s="63" t="n">
        <f aca="false">IF(DH$35&gt;=$AC$244,DH$35-$AC$244+1,0)</f>
        <v>29</v>
      </c>
      <c r="DI246" s="63" t="n">
        <f aca="false">IF(DI$35&gt;=$AC$244,DI$35-$AC$244+1,0)</f>
        <v>30</v>
      </c>
      <c r="DJ246" s="63" t="n">
        <f aca="false">IF(DJ$35&gt;=$AC$244,DJ$35-$AC$244+1,0)</f>
        <v>31</v>
      </c>
      <c r="DK246" s="63" t="n">
        <f aca="false">IF(DK$35&gt;=$AC$244,DK$35-$AC$244+1,0)</f>
        <v>32</v>
      </c>
      <c r="DL246" s="63" t="n">
        <f aca="false">IF(DL$35&gt;=$AC$244,DL$35-$AC$244+1,0)</f>
        <v>33</v>
      </c>
      <c r="DM246" s="63" t="n">
        <f aca="false">IF(DM$35&gt;=$AC$244,DM$35-$AC$244+1,0)</f>
        <v>34</v>
      </c>
      <c r="DN246" s="63" t="n">
        <f aca="false">IF(DN$35&gt;=$AC$244,DN$35-$AC$244+1,0)</f>
        <v>35</v>
      </c>
      <c r="DO246" s="63" t="n">
        <f aca="false">IF(DO$35&gt;=$AC$244,DO$35-$AC$244+1,0)</f>
        <v>36</v>
      </c>
      <c r="DP246" s="63" t="n">
        <f aca="false">IF(DP$35&gt;=$AC$244,DP$35-$AC$244+1,0)</f>
        <v>37</v>
      </c>
      <c r="DQ246" s="63" t="n">
        <f aca="false">IF(DQ$35&gt;=$AC$244,DQ$35-$AC$244+1,0)</f>
        <v>38</v>
      </c>
      <c r="DR246" s="63" t="n">
        <f aca="false">IF(DR$35&gt;=$AC$244,DR$35-$AC$244+1,0)</f>
        <v>39</v>
      </c>
      <c r="DS246" s="63" t="n">
        <f aca="false">IF(DS$35&gt;=$AC$244,DS$35-$AC$244+1,0)</f>
        <v>40</v>
      </c>
      <c r="DT246" s="63" t="n">
        <f aca="false">IF(DT$35&gt;=$AC$244,DT$35-$AC$244+1,0)</f>
        <v>41</v>
      </c>
      <c r="DU246" s="63" t="n">
        <f aca="false">IF(DU$35&gt;=$AC$244,DU$35-$AC$244+1,0)</f>
        <v>42</v>
      </c>
      <c r="DV246" s="63" t="n">
        <f aca="false">IF(DV$35&gt;=$AC$244,DV$35-$AC$244+1,0)</f>
        <v>43</v>
      </c>
      <c r="DW246" s="63" t="n">
        <f aca="false">IF(DW$35&gt;=$AC$244,DW$35-$AC$244+1,0)</f>
        <v>44</v>
      </c>
      <c r="DX246" s="63" t="n">
        <f aca="false">IF(DX$35&gt;=$AC$244,DX$35-$AC$244+1,0)</f>
        <v>45</v>
      </c>
      <c r="DY246" s="63" t="n">
        <f aca="false">IF(DY$35&gt;=$AC$244,DY$35-$AC$244+1,0)</f>
        <v>46</v>
      </c>
      <c r="DZ246" s="63" t="n">
        <f aca="false">IF(DZ$35&gt;=$AC$244,DZ$35-$AC$244+1,0)</f>
        <v>47</v>
      </c>
      <c r="EA246" s="63" t="n">
        <f aca="false">IF(EA$35&gt;=$AC$244,EA$35-$AC$244+1,0)</f>
        <v>48</v>
      </c>
      <c r="EB246" s="63" t="n">
        <f aca="false">IF(EB$35&gt;=$AC$244,EB$35-$AC$244+1,0)</f>
        <v>49</v>
      </c>
      <c r="EC246" s="63" t="n">
        <f aca="false">IF(EC$35&gt;=$AC$244,EC$35-$AC$244+1,0)</f>
        <v>50</v>
      </c>
      <c r="ED246" s="63" t="n">
        <f aca="false">IF(ED$35&gt;=$AC$244,ED$35-$AC$244+1,0)</f>
        <v>51</v>
      </c>
      <c r="EE246" s="63" t="n">
        <f aca="false">IF(EE$35&gt;=$AC$244,EE$35-$AC$244+1,0)</f>
        <v>52</v>
      </c>
      <c r="EF246" s="63" t="n">
        <f aca="false">IF(EF$35&gt;=$AC$244,EF$35-$AC$244+1,0)</f>
        <v>53</v>
      </c>
      <c r="EG246" s="63" t="n">
        <f aca="false">IF(EG$35&gt;=$AC$244,EG$35-$AC$244+1,0)</f>
        <v>54</v>
      </c>
      <c r="EH246" s="63" t="n">
        <f aca="false">IF(EH$35&gt;=$AC$244,EH$35-$AC$244+1,0)</f>
        <v>55</v>
      </c>
      <c r="EI246" s="63" t="n">
        <f aca="false">IF(EI$35&gt;=$AC$244,EI$35-$AC$244+1,0)</f>
        <v>56</v>
      </c>
      <c r="EJ246" s="63" t="n">
        <f aca="false">IF(EJ$35&gt;=$AC$244,EJ$35-$AC$244+1,0)</f>
        <v>57</v>
      </c>
      <c r="EK246" s="63" t="n">
        <f aca="false">IF(EK$35&gt;=$AC$244,EK$35-$AC$244+1,0)</f>
        <v>58</v>
      </c>
      <c r="EL246" s="63" t="n">
        <f aca="false">IF(EL$35&gt;=$AC$244,EL$35-$AC$244+1,0)</f>
        <v>59</v>
      </c>
      <c r="EM246" s="63" t="n">
        <f aca="false">IF(EM$35&gt;=$AC$244,EM$35-$AC$244+1,0)</f>
        <v>60</v>
      </c>
      <c r="EN246" s="63" t="n">
        <f aca="false">IF(EN$35&gt;=$AC$244,EN$35-$AC$244+1,0)</f>
        <v>61</v>
      </c>
      <c r="EO246" s="63" t="n">
        <f aca="false">IF(EO$35&gt;=$AC$244,EO$35-$AC$244+1,0)</f>
        <v>62</v>
      </c>
      <c r="EP246" s="63" t="n">
        <f aca="false">IF(EP$35&gt;=$AC$244,EP$35-$AC$244+1,0)</f>
        <v>63</v>
      </c>
      <c r="EQ246" s="63" t="n">
        <f aca="false">IF(EQ$35&gt;=$AC$244,EQ$35-$AC$244+1,0)</f>
        <v>64</v>
      </c>
      <c r="ER246" s="63" t="n">
        <f aca="false">IF(ER$35&gt;=$AC$244,ER$35-$AC$244+1,0)</f>
        <v>65</v>
      </c>
      <c r="ES246" s="9" t="n">
        <f aca="false">IF(ES$35&gt;=$AC$244,ES$35-$AC$244+1,0)</f>
        <v>66</v>
      </c>
      <c r="ET246" s="9" t="n">
        <f aca="false">IF(ET$35&gt;=$AC$244,ET$35-$AC$244+1,0)</f>
        <v>67</v>
      </c>
      <c r="EU246" s="9" t="n">
        <f aca="false">IF(EU$35&gt;=$AC$244,EU$35-$AC$244+1,0)</f>
        <v>68</v>
      </c>
      <c r="EV246" s="9" t="n">
        <f aca="false">IF(EV$35&gt;=$AC$244,EV$35-$AC$244+1,0)</f>
        <v>69</v>
      </c>
      <c r="EW246" s="9" t="n">
        <f aca="false">IF(EW$35&gt;=$AC$244,EW$35-$AC$244+1,0)</f>
        <v>70</v>
      </c>
      <c r="EX246" s="9" t="n">
        <f aca="false">IF(EX$35&gt;=$AC$244,EX$35-$AC$244+1,0)</f>
        <v>71</v>
      </c>
      <c r="EY246" s="9" t="n">
        <f aca="false">IF(EY$35&gt;=$AC$244,EY$35-$AC$244+1,0)</f>
        <v>72</v>
      </c>
      <c r="EZ246" s="9" t="n">
        <f aca="false">IF(EZ$35&gt;=$AC$244,EZ$35-$AC$244+1,0)</f>
        <v>73</v>
      </c>
      <c r="FA246" s="9" t="n">
        <f aca="false">IF(FA$35&gt;=$AC$244,FA$35-$AC$244+1,0)</f>
        <v>74</v>
      </c>
      <c r="FB246" s="9" t="n">
        <f aca="false">IF(FB$35&gt;=$AC$244,FB$35-$AC$244+1,0)</f>
        <v>75</v>
      </c>
      <c r="FC246" s="9" t="n">
        <f aca="false">IF(FC$35&gt;=$AC$244,FC$35-$AC$244+1,0)</f>
        <v>76</v>
      </c>
      <c r="FD246" s="9" t="n">
        <f aca="false">IF(FD$35&gt;=$AC$244,FD$35-$AC$244+1,0)</f>
        <v>77</v>
      </c>
      <c r="FE246" s="9" t="n">
        <f aca="false">IF(FE$35&gt;=$AC$244,FE$35-$AC$244+1,0)</f>
        <v>78</v>
      </c>
      <c r="FF246" s="9" t="n">
        <f aca="false">IF(FF$35&gt;=$AC$244,FF$35-$AC$244+1,0)</f>
        <v>79</v>
      </c>
      <c r="FG246" s="9" t="n">
        <f aca="false">IF(FG$35&gt;=$AC$244,FG$35-$AC$244+1,0)</f>
        <v>80</v>
      </c>
      <c r="FH246" s="9" t="n">
        <f aca="false">IF(FH$35&gt;=$AC$244,FH$35-$AC$244+1,0)</f>
        <v>81</v>
      </c>
      <c r="FI246" s="9" t="n">
        <f aca="false">IF(FI$35&gt;=$AC$244,FI$35-$AC$244+1,0)</f>
        <v>82</v>
      </c>
      <c r="FJ246" s="9" t="n">
        <f aca="false">IF(FJ$35&gt;=$AC$244,FJ$35-$AC$244+1,0)</f>
        <v>83</v>
      </c>
      <c r="FK246" s="9" t="n">
        <f aca="false">IF(FK$35&gt;=$AC$244,FK$35-$AC$244+1,0)</f>
        <v>84</v>
      </c>
      <c r="FL246" s="9" t="n">
        <f aca="false">IF(FL$35&gt;=$AC$244,FL$35-$AC$244+1,0)</f>
        <v>85</v>
      </c>
      <c r="FM246" s="9" t="n">
        <f aca="false">IF(FM$35&gt;=$AC$244,FM$35-$AC$244+1,0)</f>
        <v>86</v>
      </c>
      <c r="FN246" s="9" t="n">
        <f aca="false">IF(FN$35&gt;=$AC$244,FN$35-$AC$244+1,0)</f>
        <v>87</v>
      </c>
      <c r="FO246" s="9" t="n">
        <f aca="false">IF(FO$35&gt;=$AC$244,FO$35-$AC$244+1,0)</f>
        <v>88</v>
      </c>
      <c r="FP246" s="9" t="n">
        <f aca="false">IF(FP$35&gt;=$AC$244,FP$35-$AC$244+1,0)</f>
        <v>89</v>
      </c>
    </row>
    <row r="247" customFormat="false" ht="15" hidden="false" customHeight="false" outlineLevel="2" collapsed="false">
      <c r="B247" s="9" t="s">
        <v>874</v>
      </c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236" t="n">
        <f aca="false" t="array" ref="AC247:AC247">IF(AC246=0,0,IF(AC246/'🎚️ Escenario'!$C$11&gt;=36,$AL$23,INDEX($C$23:$AL$23,MAX(1,ROUNDUP(AC246/'🎚️ Escenario'!$C$11,0)))))</f>
        <v>0</v>
      </c>
      <c r="AD247" s="236" t="n">
        <f aca="false" t="array" ref="AD247:AD247">IF(AD246=0,0,IF(AD246/'🎚️ Escenario'!$C$11&gt;=36,$AL$23,INDEX($C$23:$AL$23,MAX(1,ROUNDUP(AD246/'🎚️ Escenario'!$C$11,0)))))</f>
        <v>0</v>
      </c>
      <c r="AE247" s="236" t="n">
        <f aca="false" t="array" ref="AE247:AE247">IF(AE246=0,0,IF(AE246/'🎚️ Escenario'!$C$11&gt;=36,$AL$23,INDEX($C$23:$AL$23,MAX(1,ROUNDUP(AE246/'🎚️ Escenario'!$C$11,0)))))</f>
        <v>0</v>
      </c>
      <c r="AF247" s="236" t="n">
        <f aca="false" t="array" ref="AF247:AF247">IF(AF246=0,0,IF(AF246/'🎚️ Escenario'!$C$11&gt;=36,$AL$23,INDEX($C$23:$AL$23,MAX(1,ROUNDUP(AF246/'🎚️ Escenario'!$C$11,0)))))</f>
        <v>0</v>
      </c>
      <c r="AG247" s="236" t="n">
        <f aca="false" t="array" ref="AG247:AG247">IF(AG246=0,0,IF(AG246/'🎚️ Escenario'!$C$11&gt;=36,$AL$23,INDEX($C$23:$AL$23,MAX(1,ROUNDUP(AG246/'🎚️ Escenario'!$C$11,0)))))</f>
        <v>0</v>
      </c>
      <c r="AH247" s="236" t="n">
        <f aca="false" t="array" ref="AH247:AH247">IF(AH246=0,0,IF(AH246/'🎚️ Escenario'!$C$11&gt;=36,$AL$23,INDEX($C$23:$AL$23,MAX(1,ROUNDUP(AH246/'🎚️ Escenario'!$C$11,0)))))</f>
        <v>0</v>
      </c>
      <c r="AI247" s="236" t="n">
        <f aca="false" t="array" ref="AI247:AI247">IF(AI246=0,0,IF(AI246/'🎚️ Escenario'!$C$11&gt;=36,$AL$23,INDEX($C$23:$AL$23,MAX(1,ROUNDUP(AI246/'🎚️ Escenario'!$C$11,0)))))</f>
        <v>0</v>
      </c>
      <c r="AJ247" s="236" t="n">
        <f aca="false" t="array" ref="AJ247:AJ247">IF(AJ246=0,0,IF(AJ246/'🎚️ Escenario'!$C$11&gt;=36,$AL$23,INDEX($C$23:$AL$23,MAX(1,ROUNDUP(AJ246/'🎚️ Escenario'!$C$11,0)))))</f>
        <v>0</v>
      </c>
      <c r="AK247" s="236" t="n">
        <f aca="false" t="array" ref="AK247:AK247">IF(AK246=0,0,IF(AK246/'🎚️ Escenario'!$C$11&gt;=36,$AL$23,INDEX($C$23:$AL$23,MAX(1,ROUNDUP(AK246/'🎚️ Escenario'!$C$11,0)))))</f>
        <v>0</v>
      </c>
      <c r="AL247" s="236" t="n">
        <f aca="false" t="array" ref="AL247:AL247">IF(AL246=0,0,IF(AL246/'🎚️ Escenario'!$C$11&gt;=36,$AL$23,INDEX($C$23:$AL$23,MAX(1,ROUNDUP(AL246/'🎚️ Escenario'!$C$11,0)))))</f>
        <v>0</v>
      </c>
      <c r="AM247" s="236" t="n">
        <f aca="false" t="array" ref="AM247:AM247">IF(AM246=0,0,IF(AM246/'🎚️ Escenario'!$C$11&gt;=36,$AL$23,INDEX($C$23:$AL$23,MAX(1,ROUNDUP(AM246/'🎚️ Escenario'!$C$11,0)))))</f>
        <v>0</v>
      </c>
      <c r="AN247" s="236" t="n">
        <f aca="false" t="array" ref="AN247:AN247">IF(AN246=0,0,IF(AN246/'🎚️ Escenario'!$C$11&gt;=36,$AL$23,INDEX($C$23:$AL$23,MAX(1,ROUNDUP(AN246/'🎚️ Escenario'!$C$11,0)))))</f>
        <v>0</v>
      </c>
      <c r="AO247" s="236" t="n">
        <f aca="false" t="array" ref="AO247:AO247">IF(AO246=0,0,IF(AO246/'🎚️ Escenario'!$C$11&gt;=36,$AL$23,INDEX($C$23:$AL$23,MAX(1,ROUNDUP(AO246/'🎚️ Escenario'!$C$11,0)))))</f>
        <v>0</v>
      </c>
      <c r="AP247" s="236" t="n">
        <f aca="false" t="array" ref="AP247:AP247">IF(AP246=0,0,IF(AP246/'🎚️ Escenario'!$C$11&gt;=36,$AL$23,INDEX($C$23:$AL$23,MAX(1,ROUNDUP(AP246/'🎚️ Escenario'!$C$11,0)))))</f>
        <v>0</v>
      </c>
      <c r="AQ247" s="236" t="n">
        <f aca="false" t="array" ref="AQ247:AQ247">IF(AQ246=0,0,IF(AQ246/'🎚️ Escenario'!$C$11&gt;=36,$AL$23,INDEX($C$23:$AL$23,MAX(1,ROUNDUP(AQ246/'🎚️ Escenario'!$C$11,0)))))</f>
        <v>0</v>
      </c>
      <c r="AR247" s="236" t="n">
        <f aca="false" t="array" ref="AR247:AR247">IF(AR246=0,0,IF(AR246/'🎚️ Escenario'!$C$11&gt;=36,$AL$23,INDEX($C$23:$AL$23,MAX(1,ROUNDUP(AR246/'🎚️ Escenario'!$C$11,0)))))</f>
        <v>0</v>
      </c>
      <c r="AS247" s="236" t="n">
        <f aca="false" t="array" ref="AS247:AS247">IF(AS246=0,0,IF(AS246/'🎚️ Escenario'!$C$11&gt;=36,$AL$23,INDEX($C$23:$AL$23,MAX(1,ROUNDUP(AS246/'🎚️ Escenario'!$C$11,0)))))</f>
        <v>0</v>
      </c>
      <c r="AT247" s="236" t="n">
        <f aca="false" t="array" ref="AT247:AT247">IF(AT246=0,0,IF(AT246/'🎚️ Escenario'!$C$11&gt;=36,$AL$23,INDEX($C$23:$AL$23,MAX(1,ROUNDUP(AT246/'🎚️ Escenario'!$C$11,0)))))</f>
        <v>0</v>
      </c>
      <c r="AU247" s="236" t="n">
        <f aca="false" t="array" ref="AU247:AU247">IF(AU246=0,0,IF(AU246/'🎚️ Escenario'!$C$11&gt;=36,$AL$23,INDEX($C$23:$AL$23,MAX(1,ROUNDUP(AU246/'🎚️ Escenario'!$C$11,0)))))</f>
        <v>0</v>
      </c>
      <c r="AV247" s="236" t="n">
        <f aca="false" t="array" ref="AV247:AV247">IF(AV246=0,0,IF(AV246/'🎚️ Escenario'!$C$11&gt;=36,$AL$23,INDEX($C$23:$AL$23,MAX(1,ROUNDUP(AV246/'🎚️ Escenario'!$C$11,0)))))</f>
        <v>0</v>
      </c>
      <c r="AW247" s="236" t="n">
        <f aca="false" t="array" ref="AW247:AW247">IF(AW246=0,0,IF(AW246/'🎚️ Escenario'!$C$11&gt;=36,$AL$23,INDEX($C$23:$AL$23,MAX(1,ROUNDUP(AW246/'🎚️ Escenario'!$C$11,0)))))</f>
        <v>0</v>
      </c>
      <c r="AX247" s="236" t="n">
        <f aca="false" t="array" ref="AX247:AX247">IF(AX246=0,0,IF(AX246/'🎚️ Escenario'!$C$11&gt;=36,$AL$23,INDEX($C$23:$AL$23,MAX(1,ROUNDUP(AX246/'🎚️ Escenario'!$C$11,0)))))</f>
        <v>0</v>
      </c>
      <c r="AY247" s="236" t="n">
        <f aca="false" t="array" ref="AY247:AY247">IF(AY246=0,0,IF(AY246/'🎚️ Escenario'!$C$11&gt;=36,$AL$23,INDEX($C$23:$AL$23,MAX(1,ROUNDUP(AY246/'🎚️ Escenario'!$C$11,0)))))</f>
        <v>0</v>
      </c>
      <c r="AZ247" s="236" t="n">
        <f aca="false" t="array" ref="AZ247:AZ247">IF(AZ246=0,0,IF(AZ246/'🎚️ Escenario'!$C$11&gt;=36,$AL$23,INDEX($C$23:$AL$23,MAX(1,ROUNDUP(AZ246/'🎚️ Escenario'!$C$11,0)))))</f>
        <v>0</v>
      </c>
      <c r="BA247" s="236" t="n">
        <f aca="false" t="array" ref="BA247:BA247">IF(BA246=0,0,IF(BA246/'🎚️ Escenario'!$C$11&gt;=36,$AL$23,INDEX($C$23:$AL$23,MAX(1,ROUNDUP(BA246/'🎚️ Escenario'!$C$11,0)))))</f>
        <v>0</v>
      </c>
      <c r="BB247" s="236" t="n">
        <f aca="false" t="array" ref="BB247:BB247">IF(BB246=0,0,IF(BB246/'🎚️ Escenario'!$C$11&gt;=36,$AL$23,INDEX($C$23:$AL$23,MAX(1,ROUNDUP(BB246/'🎚️ Escenario'!$C$11,0)))))</f>
        <v>0</v>
      </c>
      <c r="BC247" s="236" t="n">
        <f aca="false" t="array" ref="BC247:BC247">IF(BC246=0,0,IF(BC246/'🎚️ Escenario'!$C$11&gt;=36,$AL$23,INDEX($C$23:$AL$23,MAX(1,ROUNDUP(BC246/'🎚️ Escenario'!$C$11,0)))))</f>
        <v>0</v>
      </c>
      <c r="BD247" s="236" t="n">
        <f aca="false" t="array" ref="BD247:BD247">IF(BD246=0,0,IF(BD246/'🎚️ Escenario'!$C$11&gt;=36,$AL$23,INDEX($C$23:$AL$23,MAX(1,ROUNDUP(BD246/'🎚️ Escenario'!$C$11,0)))))</f>
        <v>0</v>
      </c>
      <c r="BE247" s="236" t="n">
        <f aca="false" t="array" ref="BE247:BE247">IF(BE246=0,0,IF(BE246/'🎚️ Escenario'!$C$11&gt;=36,$AL$23,INDEX($C$23:$AL$23,MAX(1,ROUNDUP(BE246/'🎚️ Escenario'!$C$11,0)))))</f>
        <v>0</v>
      </c>
      <c r="BF247" s="236" t="n">
        <f aca="false" t="array" ref="BF247:BF247">IF(BF246=0,0,IF(BF246/'🎚️ Escenario'!$C$11&gt;=36,$AL$23,INDEX($C$23:$AL$23,MAX(1,ROUNDUP(BF246/'🎚️ Escenario'!$C$11,0)))))</f>
        <v>0</v>
      </c>
      <c r="BG247" s="236" t="n">
        <f aca="false" t="array" ref="BG247:BG247">IF(BG246=0,0,IF(BG246/'🎚️ Escenario'!$C$11&gt;=36,$AL$23,INDEX($C$23:$AL$23,MAX(1,ROUNDUP(BG246/'🎚️ Escenario'!$C$11,0)))))</f>
        <v>0</v>
      </c>
      <c r="BH247" s="236" t="n">
        <f aca="false" t="array" ref="BH247:BH247">IF(BH246=0,0,IF(BH246/'🎚️ Escenario'!$C$11&gt;=36,$AL$23,INDEX($C$23:$AL$23,MAX(1,ROUNDUP(BH246/'🎚️ Escenario'!$C$11,0)))))</f>
        <v>0</v>
      </c>
      <c r="BI247" s="236" t="n">
        <f aca="false" t="array" ref="BI247:BI247">IF(BI246=0,0,IF(BI246/'🎚️ Escenario'!$C$11&gt;=36,$AL$23,INDEX($C$23:$AL$23,MAX(1,ROUNDUP(BI246/'🎚️ Escenario'!$C$11,0)))))</f>
        <v>0</v>
      </c>
      <c r="BJ247" s="236" t="n">
        <f aca="false" t="array" ref="BJ247:BJ247">IF(BJ246=0,0,IF(BJ246/'🎚️ Escenario'!$C$11&gt;=36,$AL$23,INDEX($C$23:$AL$23,MAX(1,ROUNDUP(BJ246/'🎚️ Escenario'!$C$11,0)))))</f>
        <v>0</v>
      </c>
      <c r="BK247" s="236" t="n">
        <f aca="false" t="array" ref="BK247:BK247">IF(BK246=0,0,IF(BK246/'🎚️ Escenario'!$C$11&gt;=36,$AL$23,INDEX($C$23:$AL$23,MAX(1,ROUNDUP(BK246/'🎚️ Escenario'!$C$11,0)))))</f>
        <v>0</v>
      </c>
      <c r="BL247" s="236" t="n">
        <f aca="false" t="array" ref="BL247:BL247">IF(BL246=0,0,IF(BL246/'🎚️ Escenario'!$C$11&gt;=36,$AL$23,INDEX($C$23:$AL$23,MAX(1,ROUNDUP(BL246/'🎚️ Escenario'!$C$11,0)))))</f>
        <v>0</v>
      </c>
      <c r="BM247" s="236" t="n">
        <f aca="false" t="array" ref="BM247:BM247">IF(BM246=0,0,IF(BM246/'🎚️ Escenario'!$C$11&gt;=36,$AL$23,INDEX($C$23:$AL$23,MAX(1,ROUNDUP(BM246/'🎚️ Escenario'!$C$11,0)))))</f>
        <v>0</v>
      </c>
      <c r="BN247" s="236" t="n">
        <f aca="false" t="array" ref="BN247:BN247">IF(BN246=0,0,IF(BN246/'🎚️ Escenario'!$C$11&gt;=36,$AL$23,INDEX($C$23:$AL$23,MAX(1,ROUNDUP(BN246/'🎚️ Escenario'!$C$11,0)))))</f>
        <v>0</v>
      </c>
      <c r="BO247" s="236" t="n">
        <f aca="false" t="array" ref="BO247:BO247">IF(BO246=0,0,IF(BO246/'🎚️ Escenario'!$C$11&gt;=36,$AL$23,INDEX($C$23:$AL$23,MAX(1,ROUNDUP(BO246/'🎚️ Escenario'!$C$11,0)))))</f>
        <v>0</v>
      </c>
      <c r="BP247" s="236" t="n">
        <f aca="false" t="array" ref="BP247:BP247">IF(BP246=0,0,IF(BP246/'🎚️ Escenario'!$C$11&gt;=36,$AL$23,INDEX($C$23:$AL$23,MAX(1,ROUNDUP(BP246/'🎚️ Escenario'!$C$11,0)))))</f>
        <v>0</v>
      </c>
      <c r="BQ247" s="236" t="n">
        <f aca="false" t="array" ref="BQ247:BQ247">IF(BQ246=0,0,IF(BQ246/'🎚️ Escenario'!$C$11&gt;=36,$AL$23,INDEX($C$23:$AL$23,MAX(1,ROUNDUP(BQ246/'🎚️ Escenario'!$C$11,0)))))</f>
        <v>0</v>
      </c>
      <c r="BR247" s="236" t="n">
        <f aca="false" t="array" ref="BR247:BR247">IF(BR246=0,0,IF(BR246/'🎚️ Escenario'!$C$11&gt;=36,$AL$23,INDEX($C$23:$AL$23,MAX(1,ROUNDUP(BR246/'🎚️ Escenario'!$C$11,0)))))</f>
        <v>0</v>
      </c>
      <c r="BS247" s="236" t="n">
        <f aca="false" t="array" ref="BS247:BS247">IF(BS246=0,0,IF(BS246/'🎚️ Escenario'!$C$11&gt;=36,$AL$23,INDEX($C$23:$AL$23,MAX(1,ROUNDUP(BS246/'🎚️ Escenario'!$C$11,0)))))</f>
        <v>0</v>
      </c>
      <c r="BT247" s="236" t="n">
        <f aca="false" t="array" ref="BT247:BT247">IF(BT246=0,0,IF(BT246/'🎚️ Escenario'!$C$11&gt;=36,$AL$23,INDEX($C$23:$AL$23,MAX(1,ROUNDUP(BT246/'🎚️ Escenario'!$C$11,0)))))</f>
        <v>0</v>
      </c>
      <c r="BU247" s="236" t="n">
        <f aca="false" t="array" ref="BU247:BU247">IF(BU246=0,0,IF(BU246/'🎚️ Escenario'!$C$11&gt;=36,$AL$23,INDEX($C$23:$AL$23,MAX(1,ROUNDUP(BU246/'🎚️ Escenario'!$C$11,0)))))</f>
        <v>0</v>
      </c>
      <c r="BV247" s="236" t="n">
        <f aca="false" t="array" ref="BV247:BV247">IF(BV246=0,0,IF(BV246/'🎚️ Escenario'!$C$11&gt;=36,$AL$23,INDEX($C$23:$AL$23,MAX(1,ROUNDUP(BV246/'🎚️ Escenario'!$C$11,0)))))</f>
        <v>0</v>
      </c>
      <c r="BW247" s="236" t="n">
        <f aca="false" t="array" ref="BW247:BW247">IF(BW246=0,0,IF(BW246/'🎚️ Escenario'!$C$11&gt;=36,$AL$23,INDEX($C$23:$AL$23,MAX(1,ROUNDUP(BW246/'🎚️ Escenario'!$C$11,0)))))</f>
        <v>0</v>
      </c>
      <c r="BX247" s="236" t="n">
        <f aca="false" t="array" ref="BX247:BX247">IF(BX246=0,0,IF(BX246/'🎚️ Escenario'!$C$11&gt;=36,$AL$23,INDEX($C$23:$AL$23,MAX(1,ROUNDUP(BX246/'🎚️ Escenario'!$C$11,0)))))</f>
        <v>0</v>
      </c>
      <c r="BY247" s="236" t="n">
        <f aca="false" t="array" ref="BY247:BY247">IF(BY246=0,0,IF(BY246/'🎚️ Escenario'!$C$11&gt;=36,$AL$23,INDEX($C$23:$AL$23,MAX(1,ROUNDUP(BY246/'🎚️ Escenario'!$C$11,0)))))</f>
        <v>0</v>
      </c>
      <c r="BZ247" s="236" t="n">
        <f aca="false" t="array" ref="BZ247:BZ247">IF(BZ246=0,0,IF(BZ246/'🎚️ Escenario'!$C$11&gt;=36,$AL$23,INDEX($C$23:$AL$23,MAX(1,ROUNDUP(BZ246/'🎚️ Escenario'!$C$11,0)))))</f>
        <v>0</v>
      </c>
      <c r="CA247" s="236" t="n">
        <f aca="false" t="array" ref="CA247:CA247">IF(CA246=0,0,IF(CA246/'🎚️ Escenario'!$C$11&gt;=36,$AL$23,INDEX($C$23:$AL$23,MAX(1,ROUNDUP(CA246/'🎚️ Escenario'!$C$11,0)))))</f>
        <v>0</v>
      </c>
      <c r="CB247" s="236" t="n">
        <f aca="false" t="array" ref="CB247:CB247">IF(CB246=0,0,IF(CB246/'🎚️ Escenario'!$C$11&gt;=36,$AL$23,INDEX($C$23:$AL$23,MAX(1,ROUNDUP(CB246/'🎚️ Escenario'!$C$11,0)))))</f>
        <v>0</v>
      </c>
      <c r="CC247" s="236" t="n">
        <f aca="false" t="array" ref="CC247:CC247">IF(CC246=0,0,IF(CC246/'🎚️ Escenario'!$C$11&gt;=36,$AL$23,INDEX($C$23:$AL$23,MAX(1,ROUNDUP(CC246/'🎚️ Escenario'!$C$11,0)))))</f>
        <v>0</v>
      </c>
      <c r="CD247" s="236" t="n">
        <f aca="false" t="array" ref="CD247:CD247">IF(CD246=0,0,IF(CD246/'🎚️ Escenario'!$C$11&gt;=36,$AL$23,INDEX($C$23:$AL$23,MAX(1,ROUNDUP(CD246/'🎚️ Escenario'!$C$11,0)))))</f>
        <v>0</v>
      </c>
      <c r="CE247" s="236" t="n">
        <f aca="false" t="array" ref="CE247:CE247">IF(CE246=0,0,IF(CE246/'🎚️ Escenario'!$C$11&gt;=36,$AL$23,INDEX($C$23:$AL$23,MAX(1,ROUNDUP(CE246/'🎚️ Escenario'!$C$11,0)))))</f>
        <v>0</v>
      </c>
      <c r="CF247" s="236" t="n">
        <f aca="false" t="array" ref="CF247:CF247">IF(CF246=0,0,IF(CF246/'🎚️ Escenario'!$C$11&gt;=36,$AL$23,INDEX($C$23:$AL$23,MAX(1,ROUNDUP(CF246/'🎚️ Escenario'!$C$11,0)))))</f>
        <v>0.2</v>
      </c>
      <c r="CG247" s="236" t="n">
        <f aca="false" t="array" ref="CG247:CG247">IF(CG246=0,0,IF(CG246/'🎚️ Escenario'!$C$11&gt;=36,$AL$23,INDEX($C$23:$AL$23,MAX(1,ROUNDUP(CG246/'🎚️ Escenario'!$C$11,0)))))</f>
        <v>0.22</v>
      </c>
      <c r="CH247" s="236" t="n">
        <f aca="false" t="array" ref="CH247:CH247">IF(CH246=0,0,IF(CH246/'🎚️ Escenario'!$C$11&gt;=36,$AL$23,INDEX($C$23:$AL$23,MAX(1,ROUNDUP(CH246/'🎚️ Escenario'!$C$11,0)))))</f>
        <v>0.24</v>
      </c>
      <c r="CI247" s="236" t="n">
        <f aca="false" t="array" ref="CI247:CI247">IF(CI246=0,0,IF(CI246/'🎚️ Escenario'!$C$11&gt;=36,$AL$23,INDEX($C$23:$AL$23,MAX(1,ROUNDUP(CI246/'🎚️ Escenario'!$C$11,0)))))</f>
        <v>0.27</v>
      </c>
      <c r="CJ247" s="236" t="n">
        <f aca="false" t="array" ref="CJ247:CJ247">IF(CJ246=0,0,IF(CJ246/'🎚️ Escenario'!$C$11&gt;=36,$AL$23,INDEX($C$23:$AL$23,MAX(1,ROUNDUP(CJ246/'🎚️ Escenario'!$C$11,0)))))</f>
        <v>0.27</v>
      </c>
      <c r="CK247" s="236" t="n">
        <f aca="false" t="array" ref="CK247:CK247">IF(CK246=0,0,IF(CK246/'🎚️ Escenario'!$C$11&gt;=36,$AL$23,INDEX($C$23:$AL$23,MAX(1,ROUNDUP(CK246/'🎚️ Escenario'!$C$11,0)))))</f>
        <v>0.31</v>
      </c>
      <c r="CL247" s="236" t="n">
        <f aca="false" t="array" ref="CL247:CL247">IF(CL246=0,0,IF(CL246/'🎚️ Escenario'!$C$11&gt;=36,$AL$23,INDEX($C$23:$AL$23,MAX(1,ROUNDUP(CL246/'🎚️ Escenario'!$C$11,0)))))</f>
        <v>0.35</v>
      </c>
      <c r="CM247" s="236" t="n">
        <f aca="false" t="array" ref="CM247:CM247">IF(CM246=0,0,IF(CM246/'🎚️ Escenario'!$C$11&gt;=36,$AL$23,INDEX($C$23:$AL$23,MAX(1,ROUNDUP(CM246/'🎚️ Escenario'!$C$11,0)))))</f>
        <v>0.39</v>
      </c>
      <c r="CN247" s="236" t="n">
        <f aca="false" t="array" ref="CN247:CN247">IF(CN246=0,0,IF(CN246/'🎚️ Escenario'!$C$11&gt;=36,$AL$23,INDEX($C$23:$AL$23,MAX(1,ROUNDUP(CN246/'🎚️ Escenario'!$C$11,0)))))</f>
        <v>0.44</v>
      </c>
      <c r="CO247" s="236" t="n">
        <f aca="false" t="array" ref="CO247:CO247">IF(CO246=0,0,IF(CO246/'🎚️ Escenario'!$C$11&gt;=36,$AL$23,INDEX($C$23:$AL$23,MAX(1,ROUNDUP(CO246/'🎚️ Escenario'!$C$11,0)))))</f>
        <v>0.44</v>
      </c>
      <c r="CP247" s="236" t="n">
        <f aca="false" t="array" ref="CP247:CP247">IF(CP246=0,0,IF(CP246/'🎚️ Escenario'!$C$11&gt;=36,$AL$23,INDEX($C$23:$AL$23,MAX(1,ROUNDUP(CP246/'🎚️ Escenario'!$C$11,0)))))</f>
        <v>0.48</v>
      </c>
      <c r="CQ247" s="236" t="n">
        <f aca="false" t="array" ref="CQ247:CQ247">IF(CQ246=0,0,IF(CQ246/'🎚️ Escenario'!$C$11&gt;=36,$AL$23,INDEX($C$23:$AL$23,MAX(1,ROUNDUP(CQ246/'🎚️ Escenario'!$C$11,0)))))</f>
        <v>0.52</v>
      </c>
      <c r="CR247" s="236" t="n">
        <f aca="false" t="array" ref="CR247:CR247">IF(CR246=0,0,IF(CR246/'🎚️ Escenario'!$C$11&gt;=36,$AL$23,INDEX($C$23:$AL$23,MAX(1,ROUNDUP(CR246/'🎚️ Escenario'!$C$11,0)))))</f>
        <v>0.56</v>
      </c>
      <c r="CS247" s="236" t="n">
        <f aca="false" t="array" ref="CS247:CS247">IF(CS246=0,0,IF(CS246/'🎚️ Escenario'!$C$11&gt;=36,$AL$23,INDEX($C$23:$AL$23,MAX(1,ROUNDUP(CS246/'🎚️ Escenario'!$C$11,0)))))</f>
        <v>0.6</v>
      </c>
      <c r="CT247" s="236" t="n">
        <f aca="false" t="array" ref="CT247:CT247">IF(CT246=0,0,IF(CT246/'🎚️ Escenario'!$C$11&gt;=36,$AL$23,INDEX($C$23:$AL$23,MAX(1,ROUNDUP(CT246/'🎚️ Escenario'!$C$11,0)))))</f>
        <v>0.6</v>
      </c>
      <c r="CU247" s="236" t="n">
        <f aca="false" t="array" ref="CU247:CU247">IF(CU246=0,0,IF(CU246/'🎚️ Escenario'!$C$11&gt;=36,$AL$23,INDEX($C$23:$AL$23,MAX(1,ROUNDUP(CU246/'🎚️ Escenario'!$C$11,0)))))</f>
        <v>0.63</v>
      </c>
      <c r="CV247" s="236" t="n">
        <f aca="false" t="array" ref="CV247:CV247">IF(CV246=0,0,IF(CV246/'🎚️ Escenario'!$C$11&gt;=36,$AL$23,INDEX($C$23:$AL$23,MAX(1,ROUNDUP(CV246/'🎚️ Escenario'!$C$11,0)))))</f>
        <v>0.66</v>
      </c>
      <c r="CW247" s="236" t="n">
        <f aca="false" t="array" ref="CW247:CW247">IF(CW246=0,0,IF(CW246/'🎚️ Escenario'!$C$11&gt;=36,$AL$23,INDEX($C$23:$AL$23,MAX(1,ROUNDUP(CW246/'🎚️ Escenario'!$C$11,0)))))</f>
        <v>0.69</v>
      </c>
      <c r="CX247" s="236" t="n">
        <f aca="false" t="array" ref="CX247:CX247">IF(CX246=0,0,IF(CX246/'🎚️ Escenario'!$C$11&gt;=36,$AL$23,INDEX($C$23:$AL$23,MAX(1,ROUNDUP(CX246/'🎚️ Escenario'!$C$11,0)))))</f>
        <v>0.71</v>
      </c>
      <c r="CY247" s="236" t="n">
        <f aca="false" t="array" ref="CY247:CY247">IF(CY246=0,0,IF(CY246/'🎚️ Escenario'!$C$11&gt;=36,$AL$23,INDEX($C$23:$AL$23,MAX(1,ROUNDUP(CY246/'🎚️ Escenario'!$C$11,0)))))</f>
        <v>0.71</v>
      </c>
      <c r="CZ247" s="236" t="n">
        <f aca="false" t="array" ref="CZ247:CZ247">IF(CZ246=0,0,IF(CZ246/'🎚️ Escenario'!$C$11&gt;=36,$AL$23,INDEX($C$23:$AL$23,MAX(1,ROUNDUP(CZ246/'🎚️ Escenario'!$C$11,0)))))</f>
        <v>0.73</v>
      </c>
      <c r="DA247" s="236" t="n">
        <f aca="false" t="array" ref="DA247:DA247">IF(DA246=0,0,IF(DA246/'🎚️ Escenario'!$C$11&gt;=36,$AL$23,INDEX($C$23:$AL$23,MAX(1,ROUNDUP(DA246/'🎚️ Escenario'!$C$11,0)))))</f>
        <v>0.75</v>
      </c>
      <c r="DB247" s="236" t="n">
        <f aca="false" t="array" ref="DB247:DB247">IF(DB246=0,0,IF(DB246/'🎚️ Escenario'!$C$11&gt;=36,$AL$23,INDEX($C$23:$AL$23,MAX(1,ROUNDUP(DB246/'🎚️ Escenario'!$C$11,0)))))</f>
        <v>0.77</v>
      </c>
      <c r="DC247" s="236" t="n">
        <f aca="false" t="array" ref="DC247:DC247">IF(DC246=0,0,IF(DC246/'🎚️ Escenario'!$C$11&gt;=36,$AL$23,INDEX($C$23:$AL$23,MAX(1,ROUNDUP(DC246/'🎚️ Escenario'!$C$11,0)))))</f>
        <v>0.79</v>
      </c>
      <c r="DD247" s="236" t="n">
        <f aca="false" t="array" ref="DD247:DD247">IF(DD246=0,0,IF(DD246/'🎚️ Escenario'!$C$11&gt;=36,$AL$23,INDEX($C$23:$AL$23,MAX(1,ROUNDUP(DD246/'🎚️ Escenario'!$C$11,0)))))</f>
        <v>0.79</v>
      </c>
      <c r="DE247" s="236" t="n">
        <f aca="false" t="array" ref="DE247:DE247">IF(DE246=0,0,IF(DE246/'🎚️ Escenario'!$C$11&gt;=36,$AL$23,INDEX($C$23:$AL$23,MAX(1,ROUNDUP(DE246/'🎚️ Escenario'!$C$11,0)))))</f>
        <v>0.8</v>
      </c>
      <c r="DF247" s="236" t="n">
        <f aca="false" t="array" ref="DF247:DF247">IF(DF246=0,0,IF(DF246/'🎚️ Escenario'!$C$11&gt;=36,$AL$23,INDEX($C$23:$AL$23,MAX(1,ROUNDUP(DF246/'🎚️ Escenario'!$C$11,0)))))</f>
        <v>0.82</v>
      </c>
      <c r="DG247" s="236" t="n">
        <f aca="false" t="array" ref="DG247:DG247">IF(DG246=0,0,IF(DG246/'🎚️ Escenario'!$C$11&gt;=36,$AL$23,INDEX($C$23:$AL$23,MAX(1,ROUNDUP(DG246/'🎚️ Escenario'!$C$11,0)))))</f>
        <v>0.84</v>
      </c>
      <c r="DH247" s="236" t="n">
        <f aca="false" t="array" ref="DH247:DH247">IF(DH246=0,0,IF(DH246/'🎚️ Escenario'!$C$11&gt;=36,$AL$23,INDEX($C$23:$AL$23,MAX(1,ROUNDUP(DH246/'🎚️ Escenario'!$C$11,0)))))</f>
        <v>0.85</v>
      </c>
      <c r="DI247" s="236" t="n">
        <f aca="false" t="array" ref="DI247:DI247">IF(DI246=0,0,IF(DI246/'🎚️ Escenario'!$C$11&gt;=36,$AL$23,INDEX($C$23:$AL$23,MAX(1,ROUNDUP(DI246/'🎚️ Escenario'!$C$11,0)))))</f>
        <v>0.85</v>
      </c>
      <c r="DJ247" s="236" t="n">
        <f aca="false" t="array" ref="DJ247:DJ247">IF(DJ246=0,0,IF(DJ246/'🎚️ Escenario'!$C$11&gt;=36,$AL$23,INDEX($C$23:$AL$23,MAX(1,ROUNDUP(DJ246/'🎚️ Escenario'!$C$11,0)))))</f>
        <v>0.86</v>
      </c>
      <c r="DK247" s="236" t="n">
        <f aca="false" t="array" ref="DK247:DK247">IF(DK246=0,0,IF(DK246/'🎚️ Escenario'!$C$11&gt;=36,$AL$23,INDEX($C$23:$AL$23,MAX(1,ROUNDUP(DK246/'🎚️ Escenario'!$C$11,0)))))</f>
        <v>0.88</v>
      </c>
      <c r="DL247" s="236" t="n">
        <f aca="false" t="array" ref="DL247:DL247">IF(DL246=0,0,IF(DL246/'🎚️ Escenario'!$C$11&gt;=36,$AL$23,INDEX($C$23:$AL$23,MAX(1,ROUNDUP(DL246/'🎚️ Escenario'!$C$11,0)))))</f>
        <v>0.89</v>
      </c>
      <c r="DM247" s="236" t="n">
        <f aca="false" t="array" ref="DM247:DM247">IF(DM246=0,0,IF(DM246/'🎚️ Escenario'!$C$11&gt;=36,$AL$23,INDEX($C$23:$AL$23,MAX(1,ROUNDUP(DM246/'🎚️ Escenario'!$C$11,0)))))</f>
        <v>0.9</v>
      </c>
      <c r="DN247" s="236" t="n">
        <f aca="false" t="array" ref="DN247:DN247">IF(DN246=0,0,IF(DN246/'🎚️ Escenario'!$C$11&gt;=36,$AL$23,INDEX($C$23:$AL$23,MAX(1,ROUNDUP(DN246/'🎚️ Escenario'!$C$11,0)))))</f>
        <v>0.9</v>
      </c>
      <c r="DO247" s="236" t="n">
        <f aca="false" t="array" ref="DO247:DO247">IF(DO246=0,0,IF(DO246/'🎚️ Escenario'!$C$11&gt;=36,$AL$23,INDEX($C$23:$AL$23,MAX(1,ROUNDUP(DO246/'🎚️ Escenario'!$C$11,0)))))</f>
        <v>0.92</v>
      </c>
      <c r="DP247" s="236" t="n">
        <f aca="false" t="array" ref="DP247:DP247">IF(DP246=0,0,IF(DP246/'🎚️ Escenario'!$C$11&gt;=36,$AL$23,INDEX($C$23:$AL$23,MAX(1,ROUNDUP(DP246/'🎚️ Escenario'!$C$11,0)))))</f>
        <v>0.93</v>
      </c>
      <c r="DQ247" s="236" t="n">
        <f aca="false" t="array" ref="DQ247:DQ247">IF(DQ246=0,0,IF(DQ246/'🎚️ Escenario'!$C$11&gt;=36,$AL$23,INDEX($C$23:$AL$23,MAX(1,ROUNDUP(DQ246/'🎚️ Escenario'!$C$11,0)))))</f>
        <v>0.94</v>
      </c>
      <c r="DR247" s="236" t="n">
        <f aca="false" t="array" ref="DR247:DR247">IF(DR246=0,0,IF(DR246/'🎚️ Escenario'!$C$11&gt;=36,$AL$23,INDEX($C$23:$AL$23,MAX(1,ROUNDUP(DR246/'🎚️ Escenario'!$C$11,0)))))</f>
        <v>0.95</v>
      </c>
      <c r="DS247" s="236" t="n">
        <f aca="false" t="array" ref="DS247:DS247">IF(DS246=0,0,IF(DS246/'🎚️ Escenario'!$C$11&gt;=36,$AL$23,INDEX($C$23:$AL$23,MAX(1,ROUNDUP(DS246/'🎚️ Escenario'!$C$11,0)))))</f>
        <v>0.95</v>
      </c>
      <c r="DT247" s="236" t="n">
        <f aca="false" t="array" ref="DT247:DT247">IF(DT246=0,0,IF(DT246/'🎚️ Escenario'!$C$11&gt;=36,$AL$23,INDEX($C$23:$AL$23,MAX(1,ROUNDUP(DT246/'🎚️ Escenario'!$C$11,0)))))</f>
        <v>0.97</v>
      </c>
      <c r="DU247" s="236" t="n">
        <f aca="false" t="array" ref="DU247:DU247">IF(DU246=0,0,IF(DU246/'🎚️ Escenario'!$C$11&gt;=36,$AL$23,INDEX($C$23:$AL$23,MAX(1,ROUNDUP(DU246/'🎚️ Escenario'!$C$11,0)))))</f>
        <v>0.98</v>
      </c>
      <c r="DV247" s="236" t="n">
        <f aca="false" t="array" ref="DV247:DV247">IF(DV246=0,0,IF(DV246/'🎚️ Escenario'!$C$11&gt;=36,$AL$23,INDEX($C$23:$AL$23,MAX(1,ROUNDUP(DV246/'🎚️ Escenario'!$C$11,0)))))</f>
        <v>0.99</v>
      </c>
      <c r="DW247" s="236" t="n">
        <f aca="false" t="array" ref="DW247:DW247">IF(DW246=0,0,IF(DW246/'🎚️ Escenario'!$C$11&gt;=36,$AL$23,INDEX($C$23:$AL$23,MAX(1,ROUNDUP(DW246/'🎚️ Escenario'!$C$11,0)))))</f>
        <v>1</v>
      </c>
      <c r="DX247" s="236" t="n">
        <f aca="false" t="array" ref="DX247:DX247">IF(DX246=0,0,IF(DX246/'🎚️ Escenario'!$C$11&gt;=36,$AL$23,INDEX($C$23:$AL$23,MAX(1,ROUNDUP(DX246/'🎚️ Escenario'!$C$11,0)))))</f>
        <v>1</v>
      </c>
      <c r="DY247" s="236" t="n">
        <f aca="false" t="array" ref="DY247:DY247">IF(DY246=0,0,IF(DY246/'🎚️ Escenario'!$C$11&gt;=36,$AL$23,INDEX($C$23:$AL$23,MAX(1,ROUNDUP(DY246/'🎚️ Escenario'!$C$11,0)))))</f>
        <v>1</v>
      </c>
      <c r="DZ247" s="236" t="n">
        <f aca="false" t="array" ref="DZ247:DZ247">IF(DZ246=0,0,IF(DZ246/'🎚️ Escenario'!$C$11&gt;=36,$AL$23,INDEX($C$23:$AL$23,MAX(1,ROUNDUP(DZ246/'🎚️ Escenario'!$C$11,0)))))</f>
        <v>1</v>
      </c>
      <c r="EA247" s="236" t="n">
        <f aca="false" t="array" ref="EA247:EA247">IF(EA246=0,0,IF(EA246/'🎚️ Escenario'!$C$11&gt;=36,$AL$23,INDEX($C$23:$AL$23,MAX(1,ROUNDUP(EA246/'🎚️ Escenario'!$C$11,0)))))</f>
        <v>1</v>
      </c>
      <c r="EB247" s="236" t="n">
        <f aca="false" t="array" ref="EB247:EB247">IF(EB246=0,0,IF(EB246/'🎚️ Escenario'!$C$11&gt;=36,$AL$23,INDEX($C$23:$AL$23,MAX(1,ROUNDUP(EB246/'🎚️ Escenario'!$C$11,0)))))</f>
        <v>1</v>
      </c>
      <c r="EC247" s="236" t="n">
        <f aca="false" t="array" ref="EC247:EC247">IF(EC246=0,0,IF(EC246/'🎚️ Escenario'!$C$11&gt;=36,$AL$23,INDEX($C$23:$AL$23,MAX(1,ROUNDUP(EC246/'🎚️ Escenario'!$C$11,0)))))</f>
        <v>1</v>
      </c>
      <c r="ED247" s="236" t="n">
        <f aca="false" t="array" ref="ED247:ED247">IF(ED246=0,0,IF(ED246/'🎚️ Escenario'!$C$11&gt;=36,$AL$23,INDEX($C$23:$AL$23,MAX(1,ROUNDUP(ED246/'🎚️ Escenario'!$C$11,0)))))</f>
        <v>1</v>
      </c>
      <c r="EE247" s="236" t="n">
        <f aca="false" t="array" ref="EE247:EE247">IF(EE246=0,0,IF(EE246/'🎚️ Escenario'!$C$11&gt;=36,$AL$23,INDEX($C$23:$AL$23,MAX(1,ROUNDUP(EE246/'🎚️ Escenario'!$C$11,0)))))</f>
        <v>1</v>
      </c>
      <c r="EF247" s="236" t="n">
        <f aca="false" t="array" ref="EF247:EF247">IF(EF246=0,0,IF(EF246/'🎚️ Escenario'!$C$11&gt;=36,$AL$23,INDEX($C$23:$AL$23,MAX(1,ROUNDUP(EF246/'🎚️ Escenario'!$C$11,0)))))</f>
        <v>1</v>
      </c>
      <c r="EG247" s="236" t="n">
        <f aca="false" t="array" ref="EG247:EG247">IF(EG246=0,0,IF(EG246/'🎚️ Escenario'!$C$11&gt;=36,$AL$23,INDEX($C$23:$AL$23,MAX(1,ROUNDUP(EG246/'🎚️ Escenario'!$C$11,0)))))</f>
        <v>1</v>
      </c>
      <c r="EH247" s="236" t="n">
        <f aca="false" t="array" ref="EH247:EH247">IF(EH246=0,0,IF(EH246/'🎚️ Escenario'!$C$11&gt;=36,$AL$23,INDEX($C$23:$AL$23,MAX(1,ROUNDUP(EH246/'🎚️ Escenario'!$C$11,0)))))</f>
        <v>1</v>
      </c>
      <c r="EI247" s="236" t="n">
        <f aca="false" t="array" ref="EI247:EI247">IF(EI246=0,0,IF(EI246/'🎚️ Escenario'!$C$11&gt;=36,$AL$23,INDEX($C$23:$AL$23,MAX(1,ROUNDUP(EI246/'🎚️ Escenario'!$C$11,0)))))</f>
        <v>1</v>
      </c>
      <c r="EJ247" s="236" t="n">
        <f aca="false" t="array" ref="EJ247:EJ247">IF(EJ246=0,0,IF(EJ246/'🎚️ Escenario'!$C$11&gt;=36,$AL$23,INDEX($C$23:$AL$23,MAX(1,ROUNDUP(EJ246/'🎚️ Escenario'!$C$11,0)))))</f>
        <v>1</v>
      </c>
      <c r="EK247" s="236" t="n">
        <f aca="false" t="array" ref="EK247:EK247">IF(EK246=0,0,IF(EK246/'🎚️ Escenario'!$C$11&gt;=36,$AL$23,INDEX($C$23:$AL$23,MAX(1,ROUNDUP(EK246/'🎚️ Escenario'!$C$11,0)))))</f>
        <v>1</v>
      </c>
      <c r="EL247" s="236" t="n">
        <f aca="false" t="array" ref="EL247:EL247">IF(EL246=0,0,IF(EL246/'🎚️ Escenario'!$C$11&gt;=36,$AL$23,INDEX($C$23:$AL$23,MAX(1,ROUNDUP(EL246/'🎚️ Escenario'!$C$11,0)))))</f>
        <v>1</v>
      </c>
      <c r="EM247" s="236" t="n">
        <f aca="false" t="array" ref="EM247:EM247">IF(EM246=0,0,IF(EM246/'🎚️ Escenario'!$C$11&gt;=36,$AL$23,INDEX($C$23:$AL$23,MAX(1,ROUNDUP(EM246/'🎚️ Escenario'!$C$11,0)))))</f>
        <v>1</v>
      </c>
      <c r="EN247" s="236" t="n">
        <f aca="false" t="array" ref="EN247:EN247">IF(EN246=0,0,IF(EN246/'🎚️ Escenario'!$C$11&gt;=36,$AL$23,INDEX($C$23:$AL$23,MAX(1,ROUNDUP(EN246/'🎚️ Escenario'!$C$11,0)))))</f>
        <v>1</v>
      </c>
      <c r="EO247" s="236" t="n">
        <f aca="false" t="array" ref="EO247:EO247">IF(EO246=0,0,IF(EO246/'🎚️ Escenario'!$C$11&gt;=36,$AL$23,INDEX($C$23:$AL$23,MAX(1,ROUNDUP(EO246/'🎚️ Escenario'!$C$11,0)))))</f>
        <v>1</v>
      </c>
      <c r="EP247" s="236" t="n">
        <f aca="false" t="array" ref="EP247:EP247">IF(EP246=0,0,IF(EP246/'🎚️ Escenario'!$C$11&gt;=36,$AL$23,INDEX($C$23:$AL$23,MAX(1,ROUNDUP(EP246/'🎚️ Escenario'!$C$11,0)))))</f>
        <v>1</v>
      </c>
      <c r="EQ247" s="236" t="n">
        <f aca="false" t="array" ref="EQ247:EQ247">IF(EQ246=0,0,IF(EQ246/'🎚️ Escenario'!$C$11&gt;=36,$AL$23,INDEX($C$23:$AL$23,MAX(1,ROUNDUP(EQ246/'🎚️ Escenario'!$C$11,0)))))</f>
        <v>1</v>
      </c>
      <c r="ER247" s="236" t="n">
        <f aca="false" t="array" ref="ER247:ER247">IF(ER246=0,0,IF(ER246/'🎚️ Escenario'!$C$11&gt;=36,$AL$23,INDEX($C$23:$AL$23,MAX(1,ROUNDUP(ER246/'🎚️ Escenario'!$C$11,0)))))</f>
        <v>1</v>
      </c>
      <c r="ES247" s="9" t="n">
        <f aca="false" t="array" ref="ES247:ES247">IF(ES246=0,0,IF(ES246/'🎚️ Escenario'!$C$11&gt;=36,$AL$23,INDEX($C$23:$AL$23,MAX(1,ROUNDUP(ES246/'🎚️ Escenario'!$C$11,0)))))</f>
        <v>1</v>
      </c>
      <c r="ET247" s="9" t="n">
        <f aca="false" t="array" ref="ET247:ET247">IF(ET246=0,0,IF(ET246/'🎚️ Escenario'!$C$11&gt;=36,$AL$23,INDEX($C$23:$AL$23,MAX(1,ROUNDUP(ET246/'🎚️ Escenario'!$C$11,0)))))</f>
        <v>1</v>
      </c>
      <c r="EU247" s="9" t="n">
        <f aca="false" t="array" ref="EU247:EU247">IF(EU246=0,0,IF(EU246/'🎚️ Escenario'!$C$11&gt;=36,$AL$23,INDEX($C$23:$AL$23,MAX(1,ROUNDUP(EU246/'🎚️ Escenario'!$C$11,0)))))</f>
        <v>1</v>
      </c>
      <c r="EV247" s="9" t="n">
        <f aca="false" t="array" ref="EV247:EV247">IF(EV246=0,0,IF(EV246/'🎚️ Escenario'!$C$11&gt;=36,$AL$23,INDEX($C$23:$AL$23,MAX(1,ROUNDUP(EV246/'🎚️ Escenario'!$C$11,0)))))</f>
        <v>1</v>
      </c>
      <c r="EW247" s="9" t="n">
        <f aca="false" t="array" ref="EW247:EW247">IF(EW246=0,0,IF(EW246/'🎚️ Escenario'!$C$11&gt;=36,$AL$23,INDEX($C$23:$AL$23,MAX(1,ROUNDUP(EW246/'🎚️ Escenario'!$C$11,0)))))</f>
        <v>1</v>
      </c>
      <c r="EX247" s="9" t="n">
        <f aca="false" t="array" ref="EX247:EX247">IF(EX246=0,0,IF(EX246/'🎚️ Escenario'!$C$11&gt;=36,$AL$23,INDEX($C$23:$AL$23,MAX(1,ROUNDUP(EX246/'🎚️ Escenario'!$C$11,0)))))</f>
        <v>1</v>
      </c>
      <c r="EY247" s="9" t="n">
        <f aca="false" t="array" ref="EY247:EY247">IF(EY246=0,0,IF(EY246/'🎚️ Escenario'!$C$11&gt;=36,$AL$23,INDEX($C$23:$AL$23,MAX(1,ROUNDUP(EY246/'🎚️ Escenario'!$C$11,0)))))</f>
        <v>1</v>
      </c>
      <c r="EZ247" s="9" t="n">
        <f aca="false" t="array" ref="EZ247:EZ247">IF(EZ246=0,0,IF(EZ246/'🎚️ Escenario'!$C$11&gt;=36,$AL$23,INDEX($C$23:$AL$23,MAX(1,ROUNDUP(EZ246/'🎚️ Escenario'!$C$11,0)))))</f>
        <v>1</v>
      </c>
      <c r="FA247" s="9" t="n">
        <f aca="false" t="array" ref="FA247:FA247">IF(FA246=0,0,IF(FA246/'🎚️ Escenario'!$C$11&gt;=36,$AL$23,INDEX($C$23:$AL$23,MAX(1,ROUNDUP(FA246/'🎚️ Escenario'!$C$11,0)))))</f>
        <v>1</v>
      </c>
      <c r="FB247" s="9" t="n">
        <f aca="false" t="array" ref="FB247:FB247">IF(FB246=0,0,IF(FB246/'🎚️ Escenario'!$C$11&gt;=36,$AL$23,INDEX($C$23:$AL$23,MAX(1,ROUNDUP(FB246/'🎚️ Escenario'!$C$11,0)))))</f>
        <v>1</v>
      </c>
      <c r="FC247" s="9" t="n">
        <f aca="false" t="array" ref="FC247:FC247">IF(FC246=0,0,IF(FC246/'🎚️ Escenario'!$C$11&gt;=36,$AL$23,INDEX($C$23:$AL$23,MAX(1,ROUNDUP(FC246/'🎚️ Escenario'!$C$11,0)))))</f>
        <v>1</v>
      </c>
      <c r="FD247" s="9" t="n">
        <f aca="false" t="array" ref="FD247:FD247">IF(FD246=0,0,IF(FD246/'🎚️ Escenario'!$C$11&gt;=36,$AL$23,INDEX($C$23:$AL$23,MAX(1,ROUNDUP(FD246/'🎚️ Escenario'!$C$11,0)))))</f>
        <v>1</v>
      </c>
      <c r="FE247" s="9" t="n">
        <f aca="false" t="array" ref="FE247:FE247">IF(FE246=0,0,IF(FE246/'🎚️ Escenario'!$C$11&gt;=36,$AL$23,INDEX($C$23:$AL$23,MAX(1,ROUNDUP(FE246/'🎚️ Escenario'!$C$11,0)))))</f>
        <v>1</v>
      </c>
      <c r="FF247" s="9" t="n">
        <f aca="false" t="array" ref="FF247:FF247">IF(FF246=0,0,IF(FF246/'🎚️ Escenario'!$C$11&gt;=36,$AL$23,INDEX($C$23:$AL$23,MAX(1,ROUNDUP(FF246/'🎚️ Escenario'!$C$11,0)))))</f>
        <v>1</v>
      </c>
      <c r="FG247" s="9" t="n">
        <f aca="false" t="array" ref="FG247:FG247">IF(FG246=0,0,IF(FG246/'🎚️ Escenario'!$C$11&gt;=36,$AL$23,INDEX($C$23:$AL$23,MAX(1,ROUNDUP(FG246/'🎚️ Escenario'!$C$11,0)))))</f>
        <v>1</v>
      </c>
      <c r="FH247" s="9" t="n">
        <f aca="false" t="array" ref="FH247:FH247">IF(FH246=0,0,IF(FH246/'🎚️ Escenario'!$C$11&gt;=36,$AL$23,INDEX($C$23:$AL$23,MAX(1,ROUNDUP(FH246/'🎚️ Escenario'!$C$11,0)))))</f>
        <v>1</v>
      </c>
      <c r="FI247" s="9" t="n">
        <f aca="false" t="array" ref="FI247:FI247">IF(FI246=0,0,IF(FI246/'🎚️ Escenario'!$C$11&gt;=36,$AL$23,INDEX($C$23:$AL$23,MAX(1,ROUNDUP(FI246/'🎚️ Escenario'!$C$11,0)))))</f>
        <v>1</v>
      </c>
      <c r="FJ247" s="9" t="n">
        <f aca="false" t="array" ref="FJ247:FJ247">IF(FJ246=0,0,IF(FJ246/'🎚️ Escenario'!$C$11&gt;=36,$AL$23,INDEX($C$23:$AL$23,MAX(1,ROUNDUP(FJ246/'🎚️ Escenario'!$C$11,0)))))</f>
        <v>1</v>
      </c>
      <c r="FK247" s="9" t="n">
        <f aca="false" t="array" ref="FK247:FK247">IF(FK246=0,0,IF(FK246/'🎚️ Escenario'!$C$11&gt;=36,$AL$23,INDEX($C$23:$AL$23,MAX(1,ROUNDUP(FK246/'🎚️ Escenario'!$C$11,0)))))</f>
        <v>1</v>
      </c>
      <c r="FL247" s="9" t="n">
        <f aca="false" t="array" ref="FL247:FL247">IF(FL246=0,0,IF(FL246/'🎚️ Escenario'!$C$11&gt;=36,$AL$23,INDEX($C$23:$AL$23,MAX(1,ROUNDUP(FL246/'🎚️ Escenario'!$C$11,0)))))</f>
        <v>1</v>
      </c>
      <c r="FM247" s="9" t="n">
        <f aca="false" t="array" ref="FM247:FM247">IF(FM246=0,0,IF(FM246/'🎚️ Escenario'!$C$11&gt;=36,$AL$23,INDEX($C$23:$AL$23,MAX(1,ROUNDUP(FM246/'🎚️ Escenario'!$C$11,0)))))</f>
        <v>1</v>
      </c>
      <c r="FN247" s="9" t="n">
        <f aca="false" t="array" ref="FN247:FN247">IF(FN246=0,0,IF(FN246/'🎚️ Escenario'!$C$11&gt;=36,$AL$23,INDEX($C$23:$AL$23,MAX(1,ROUNDUP(FN246/'🎚️ Escenario'!$C$11,0)))))</f>
        <v>1</v>
      </c>
      <c r="FO247" s="9" t="n">
        <f aca="false" t="array" ref="FO247:FO247">IF(FO246=0,0,IF(FO246/'🎚️ Escenario'!$C$11&gt;=36,$AL$23,INDEX($C$23:$AL$23,MAX(1,ROUNDUP(FO246/'🎚️ Escenario'!$C$11,0)))))</f>
        <v>1</v>
      </c>
      <c r="FP247" s="9" t="n">
        <f aca="false" t="array" ref="FP247:FP247">IF(FP246=0,0,IF(FP246/'🎚️ Escenario'!$C$11&gt;=36,$AL$23,INDEX($C$23:$AL$23,MAX(1,ROUNDUP(FP246/'🎚️ Escenario'!$C$11,0)))))</f>
        <v>1</v>
      </c>
    </row>
    <row r="248" customFormat="false" ht="15" hidden="false" customHeight="false" outlineLevel="2" collapsed="false">
      <c r="B248" s="9" t="s">
        <v>875</v>
      </c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237" t="n">
        <f aca="false">IF(AC246=0,0,IF(AC246&lt;=12*'🎚️ Escenario'!$C$11,1,1+$C$6))</f>
        <v>0</v>
      </c>
      <c r="AD248" s="237" t="n">
        <f aca="false">IF(AD246=0,0,IF(AD246&lt;=12*'🎚️ Escenario'!$C$11,1,1+$C$6))</f>
        <v>0</v>
      </c>
      <c r="AE248" s="237" t="n">
        <f aca="false">IF(AE246=0,0,IF(AE246&lt;=12*'🎚️ Escenario'!$C$11,1,1+$C$6))</f>
        <v>0</v>
      </c>
      <c r="AF248" s="237" t="n">
        <f aca="false">IF(AF246=0,0,IF(AF246&lt;=12*'🎚️ Escenario'!$C$11,1,1+$C$6))</f>
        <v>0</v>
      </c>
      <c r="AG248" s="237" t="n">
        <f aca="false">IF(AG246=0,0,IF(AG246&lt;=12*'🎚️ Escenario'!$C$11,1,1+$C$6))</f>
        <v>0</v>
      </c>
      <c r="AH248" s="237" t="n">
        <f aca="false">IF(AH246=0,0,IF(AH246&lt;=12*'🎚️ Escenario'!$C$11,1,1+$C$6))</f>
        <v>0</v>
      </c>
      <c r="AI248" s="237" t="n">
        <f aca="false">IF(AI246=0,0,IF(AI246&lt;=12*'🎚️ Escenario'!$C$11,1,1+$C$6))</f>
        <v>0</v>
      </c>
      <c r="AJ248" s="237" t="n">
        <f aca="false">IF(AJ246=0,0,IF(AJ246&lt;=12*'🎚️ Escenario'!$C$11,1,1+$C$6))</f>
        <v>0</v>
      </c>
      <c r="AK248" s="237" t="n">
        <f aca="false">IF(AK246=0,0,IF(AK246&lt;=12*'🎚️ Escenario'!$C$11,1,1+$C$6))</f>
        <v>0</v>
      </c>
      <c r="AL248" s="237" t="n">
        <f aca="false">IF(AL246=0,0,IF(AL246&lt;=12*'🎚️ Escenario'!$C$11,1,1+$C$6))</f>
        <v>0</v>
      </c>
      <c r="AM248" s="237" t="n">
        <f aca="false">IF(AM246=0,0,IF(AM246&lt;=12*'🎚️ Escenario'!$C$11,1,1+$C$6))</f>
        <v>0</v>
      </c>
      <c r="AN248" s="237" t="n">
        <f aca="false">IF(AN246=0,0,IF(AN246&lt;=12*'🎚️ Escenario'!$C$11,1,1+$C$6))</f>
        <v>0</v>
      </c>
      <c r="AO248" s="237" t="n">
        <f aca="false">IF(AO246=0,0,IF(AO246&lt;=12*'🎚️ Escenario'!$C$11,1,1+$C$6))</f>
        <v>0</v>
      </c>
      <c r="AP248" s="237" t="n">
        <f aca="false">IF(AP246=0,0,IF(AP246&lt;=12*'🎚️ Escenario'!$C$11,1,1+$C$6))</f>
        <v>0</v>
      </c>
      <c r="AQ248" s="237" t="n">
        <f aca="false">IF(AQ246=0,0,IF(AQ246&lt;=12*'🎚️ Escenario'!$C$11,1,1+$C$6))</f>
        <v>0</v>
      </c>
      <c r="AR248" s="237" t="n">
        <f aca="false">IF(AR246=0,0,IF(AR246&lt;=12*'🎚️ Escenario'!$C$11,1,1+$C$6))</f>
        <v>0</v>
      </c>
      <c r="AS248" s="237" t="n">
        <f aca="false">IF(AS246=0,0,IF(AS246&lt;=12*'🎚️ Escenario'!$C$11,1,1+$C$6))</f>
        <v>0</v>
      </c>
      <c r="AT248" s="237" t="n">
        <f aca="false">IF(AT246=0,0,IF(AT246&lt;=12*'🎚️ Escenario'!$C$11,1,1+$C$6))</f>
        <v>0</v>
      </c>
      <c r="AU248" s="237" t="n">
        <f aca="false">IF(AU246=0,0,IF(AU246&lt;=12*'🎚️ Escenario'!$C$11,1,1+$C$6))</f>
        <v>0</v>
      </c>
      <c r="AV248" s="237" t="n">
        <f aca="false">IF(AV246=0,0,IF(AV246&lt;=12*'🎚️ Escenario'!$C$11,1,1+$C$6))</f>
        <v>0</v>
      </c>
      <c r="AW248" s="237" t="n">
        <f aca="false">IF(AW246=0,0,IF(AW246&lt;=12*'🎚️ Escenario'!$C$11,1,1+$C$6))</f>
        <v>0</v>
      </c>
      <c r="AX248" s="237" t="n">
        <f aca="false">IF(AX246=0,0,IF(AX246&lt;=12*'🎚️ Escenario'!$C$11,1,1+$C$6))</f>
        <v>0</v>
      </c>
      <c r="AY248" s="237" t="n">
        <f aca="false">IF(AY246=0,0,IF(AY246&lt;=12*'🎚️ Escenario'!$C$11,1,1+$C$6))</f>
        <v>0</v>
      </c>
      <c r="AZ248" s="237" t="n">
        <f aca="false">IF(AZ246=0,0,IF(AZ246&lt;=12*'🎚️ Escenario'!$C$11,1,1+$C$6))</f>
        <v>0</v>
      </c>
      <c r="BA248" s="237" t="n">
        <f aca="false">IF(BA246=0,0,IF(BA246&lt;=12*'🎚️ Escenario'!$C$11,1,1+$C$6))</f>
        <v>0</v>
      </c>
      <c r="BB248" s="237" t="n">
        <f aca="false">IF(BB246=0,0,IF(BB246&lt;=12*'🎚️ Escenario'!$C$11,1,1+$C$6))</f>
        <v>0</v>
      </c>
      <c r="BC248" s="237" t="n">
        <f aca="false">IF(BC246=0,0,IF(BC246&lt;=12*'🎚️ Escenario'!$C$11,1,1+$C$6))</f>
        <v>0</v>
      </c>
      <c r="BD248" s="237" t="n">
        <f aca="false">IF(BD246=0,0,IF(BD246&lt;=12*'🎚️ Escenario'!$C$11,1,1+$C$6))</f>
        <v>0</v>
      </c>
      <c r="BE248" s="237" t="n">
        <f aca="false">IF(BE246=0,0,IF(BE246&lt;=12*'🎚️ Escenario'!$C$11,1,1+$C$6))</f>
        <v>0</v>
      </c>
      <c r="BF248" s="237" t="n">
        <f aca="false">IF(BF246=0,0,IF(BF246&lt;=12*'🎚️ Escenario'!$C$11,1,1+$C$6))</f>
        <v>0</v>
      </c>
      <c r="BG248" s="237" t="n">
        <f aca="false">IF(BG246=0,0,IF(BG246&lt;=12*'🎚️ Escenario'!$C$11,1,1+$C$6))</f>
        <v>0</v>
      </c>
      <c r="BH248" s="237" t="n">
        <f aca="false">IF(BH246=0,0,IF(BH246&lt;=12*'🎚️ Escenario'!$C$11,1,1+$C$6))</f>
        <v>0</v>
      </c>
      <c r="BI248" s="237" t="n">
        <f aca="false">IF(BI246=0,0,IF(BI246&lt;=12*'🎚️ Escenario'!$C$11,1,1+$C$6))</f>
        <v>0</v>
      </c>
      <c r="BJ248" s="237" t="n">
        <f aca="false">IF(BJ246=0,0,IF(BJ246&lt;=12*'🎚️ Escenario'!$C$11,1,1+$C$6))</f>
        <v>0</v>
      </c>
      <c r="BK248" s="237" t="n">
        <f aca="false">IF(BK246=0,0,IF(BK246&lt;=12*'🎚️ Escenario'!$C$11,1,1+$C$6))</f>
        <v>0</v>
      </c>
      <c r="BL248" s="237" t="n">
        <f aca="false">IF(BL246=0,0,IF(BL246&lt;=12*'🎚️ Escenario'!$C$11,1,1+$C$6))</f>
        <v>0</v>
      </c>
      <c r="BM248" s="237" t="n">
        <f aca="false">IF(BM246=0,0,IF(BM246&lt;=12*'🎚️ Escenario'!$C$11,1,1+$C$6))</f>
        <v>0</v>
      </c>
      <c r="BN248" s="237" t="n">
        <f aca="false">IF(BN246=0,0,IF(BN246&lt;=12*'🎚️ Escenario'!$C$11,1,1+$C$6))</f>
        <v>0</v>
      </c>
      <c r="BO248" s="237" t="n">
        <f aca="false">IF(BO246=0,0,IF(BO246&lt;=12*'🎚️ Escenario'!$C$11,1,1+$C$6))</f>
        <v>0</v>
      </c>
      <c r="BP248" s="237" t="n">
        <f aca="false">IF(BP246=0,0,IF(BP246&lt;=12*'🎚️ Escenario'!$C$11,1,1+$C$6))</f>
        <v>0</v>
      </c>
      <c r="BQ248" s="237" t="n">
        <f aca="false">IF(BQ246=0,0,IF(BQ246&lt;=12*'🎚️ Escenario'!$C$11,1,1+$C$6))</f>
        <v>0</v>
      </c>
      <c r="BR248" s="237" t="n">
        <f aca="false">IF(BR246=0,0,IF(BR246&lt;=12*'🎚️ Escenario'!$C$11,1,1+$C$6))</f>
        <v>0</v>
      </c>
      <c r="BS248" s="237" t="n">
        <f aca="false">IF(BS246=0,0,IF(BS246&lt;=12*'🎚️ Escenario'!$C$11,1,1+$C$6))</f>
        <v>0</v>
      </c>
      <c r="BT248" s="237" t="n">
        <f aca="false">IF(BT246=0,0,IF(BT246&lt;=12*'🎚️ Escenario'!$C$11,1,1+$C$6))</f>
        <v>0</v>
      </c>
      <c r="BU248" s="237" t="n">
        <f aca="false">IF(BU246=0,0,IF(BU246&lt;=12*'🎚️ Escenario'!$C$11,1,1+$C$6))</f>
        <v>0</v>
      </c>
      <c r="BV248" s="237" t="n">
        <f aca="false">IF(BV246=0,0,IF(BV246&lt;=12*'🎚️ Escenario'!$C$11,1,1+$C$6))</f>
        <v>0</v>
      </c>
      <c r="BW248" s="237" t="n">
        <f aca="false">IF(BW246=0,0,IF(BW246&lt;=12*'🎚️ Escenario'!$C$11,1,1+$C$6))</f>
        <v>0</v>
      </c>
      <c r="BX248" s="237" t="n">
        <f aca="false">IF(BX246=0,0,IF(BX246&lt;=12*'🎚️ Escenario'!$C$11,1,1+$C$6))</f>
        <v>0</v>
      </c>
      <c r="BY248" s="237" t="n">
        <f aca="false">IF(BY246=0,0,IF(BY246&lt;=12*'🎚️ Escenario'!$C$11,1,1+$C$6))</f>
        <v>0</v>
      </c>
      <c r="BZ248" s="237" t="n">
        <f aca="false">IF(BZ246=0,0,IF(BZ246&lt;=12*'🎚️ Escenario'!$C$11,1,1+$C$6))</f>
        <v>0</v>
      </c>
      <c r="CA248" s="237" t="n">
        <f aca="false">IF(CA246=0,0,IF(CA246&lt;=12*'🎚️ Escenario'!$C$11,1,1+$C$6))</f>
        <v>0</v>
      </c>
      <c r="CB248" s="237" t="n">
        <f aca="false">IF(CB246=0,0,IF(CB246&lt;=12*'🎚️ Escenario'!$C$11,1,1+$C$6))</f>
        <v>0</v>
      </c>
      <c r="CC248" s="237" t="n">
        <f aca="false">IF(CC246=0,0,IF(CC246&lt;=12*'🎚️ Escenario'!$C$11,1,1+$C$6))</f>
        <v>0</v>
      </c>
      <c r="CD248" s="237" t="n">
        <f aca="false">IF(CD246=0,0,IF(CD246&lt;=12*'🎚️ Escenario'!$C$11,1,1+$C$6))</f>
        <v>0</v>
      </c>
      <c r="CE248" s="237" t="n">
        <f aca="false">IF(CE246=0,0,IF(CE246&lt;=12*'🎚️ Escenario'!$C$11,1,1+$C$6))</f>
        <v>0</v>
      </c>
      <c r="CF248" s="237" t="n">
        <f aca="false">IF(CF246=0,0,IF(CF246&lt;=12*'🎚️ Escenario'!$C$11,1,1+$C$6))</f>
        <v>1</v>
      </c>
      <c r="CG248" s="237" t="n">
        <f aca="false">IF(CG246=0,0,IF(CG246&lt;=12*'🎚️ Escenario'!$C$11,1,1+$C$6))</f>
        <v>1</v>
      </c>
      <c r="CH248" s="237" t="n">
        <f aca="false">IF(CH246=0,0,IF(CH246&lt;=12*'🎚️ Escenario'!$C$11,1,1+$C$6))</f>
        <v>1</v>
      </c>
      <c r="CI248" s="237" t="n">
        <f aca="false">IF(CI246=0,0,IF(CI246&lt;=12*'🎚️ Escenario'!$C$11,1,1+$C$6))</f>
        <v>1</v>
      </c>
      <c r="CJ248" s="237" t="n">
        <f aca="false">IF(CJ246=0,0,IF(CJ246&lt;=12*'🎚️ Escenario'!$C$11,1,1+$C$6))</f>
        <v>1</v>
      </c>
      <c r="CK248" s="237" t="n">
        <f aca="false">IF(CK246=0,0,IF(CK246&lt;=12*'🎚️ Escenario'!$C$11,1,1+$C$6))</f>
        <v>1</v>
      </c>
      <c r="CL248" s="237" t="n">
        <f aca="false">IF(CL246=0,0,IF(CL246&lt;=12*'🎚️ Escenario'!$C$11,1,1+$C$6))</f>
        <v>1</v>
      </c>
      <c r="CM248" s="237" t="n">
        <f aca="false">IF(CM246=0,0,IF(CM246&lt;=12*'🎚️ Escenario'!$C$11,1,1+$C$6))</f>
        <v>1</v>
      </c>
      <c r="CN248" s="237" t="n">
        <f aca="false">IF(CN246=0,0,IF(CN246&lt;=12*'🎚️ Escenario'!$C$11,1,1+$C$6))</f>
        <v>1</v>
      </c>
      <c r="CO248" s="237" t="n">
        <f aca="false">IF(CO246=0,0,IF(CO246&lt;=12*'🎚️ Escenario'!$C$11,1,1+$C$6))</f>
        <v>1</v>
      </c>
      <c r="CP248" s="237" t="n">
        <f aca="false">IF(CP246=0,0,IF(CP246&lt;=12*'🎚️ Escenario'!$C$11,1,1+$C$6))</f>
        <v>1</v>
      </c>
      <c r="CQ248" s="237" t="n">
        <f aca="false">IF(CQ246=0,0,IF(CQ246&lt;=12*'🎚️ Escenario'!$C$11,1,1+$C$6))</f>
        <v>1</v>
      </c>
      <c r="CR248" s="237" t="n">
        <f aca="false">IF(CR246=0,0,IF(CR246&lt;=12*'🎚️ Escenario'!$C$11,1,1+$C$6))</f>
        <v>1</v>
      </c>
      <c r="CS248" s="237" t="n">
        <f aca="false">IF(CS246=0,0,IF(CS246&lt;=12*'🎚️ Escenario'!$C$11,1,1+$C$6))</f>
        <v>1</v>
      </c>
      <c r="CT248" s="237" t="n">
        <f aca="false">IF(CT246=0,0,IF(CT246&lt;=12*'🎚️ Escenario'!$C$11,1,1+$C$6))</f>
        <v>1</v>
      </c>
      <c r="CU248" s="237" t="n">
        <f aca="false">IF(CU246=0,0,IF(CU246&lt;=12*'🎚️ Escenario'!$C$11,1,1+$C$6))</f>
        <v>1.2</v>
      </c>
      <c r="CV248" s="237" t="n">
        <f aca="false">IF(CV246=0,0,IF(CV246&lt;=12*'🎚️ Escenario'!$C$11,1,1+$C$6))</f>
        <v>1.2</v>
      </c>
      <c r="CW248" s="237" t="n">
        <f aca="false">IF(CW246=0,0,IF(CW246&lt;=12*'🎚️ Escenario'!$C$11,1,1+$C$6))</f>
        <v>1.2</v>
      </c>
      <c r="CX248" s="237" t="n">
        <f aca="false">IF(CX246=0,0,IF(CX246&lt;=12*'🎚️ Escenario'!$C$11,1,1+$C$6))</f>
        <v>1.2</v>
      </c>
      <c r="CY248" s="237" t="n">
        <f aca="false">IF(CY246=0,0,IF(CY246&lt;=12*'🎚️ Escenario'!$C$11,1,1+$C$6))</f>
        <v>1.2</v>
      </c>
      <c r="CZ248" s="237" t="n">
        <f aca="false">IF(CZ246=0,0,IF(CZ246&lt;=12*'🎚️ Escenario'!$C$11,1,1+$C$6))</f>
        <v>1.2</v>
      </c>
      <c r="DA248" s="237" t="n">
        <f aca="false">IF(DA246=0,0,IF(DA246&lt;=12*'🎚️ Escenario'!$C$11,1,1+$C$6))</f>
        <v>1.2</v>
      </c>
      <c r="DB248" s="237" t="n">
        <f aca="false">IF(DB246=0,0,IF(DB246&lt;=12*'🎚️ Escenario'!$C$11,1,1+$C$6))</f>
        <v>1.2</v>
      </c>
      <c r="DC248" s="237" t="n">
        <f aca="false">IF(DC246=0,0,IF(DC246&lt;=12*'🎚️ Escenario'!$C$11,1,1+$C$6))</f>
        <v>1.2</v>
      </c>
      <c r="DD248" s="237" t="n">
        <f aca="false">IF(DD246=0,0,IF(DD246&lt;=12*'🎚️ Escenario'!$C$11,1,1+$C$6))</f>
        <v>1.2</v>
      </c>
      <c r="DE248" s="237" t="n">
        <f aca="false">IF(DE246=0,0,IF(DE246&lt;=12*'🎚️ Escenario'!$C$11,1,1+$C$6))</f>
        <v>1.2</v>
      </c>
      <c r="DF248" s="237" t="n">
        <f aca="false">IF(DF246=0,0,IF(DF246&lt;=12*'🎚️ Escenario'!$C$11,1,1+$C$6))</f>
        <v>1.2</v>
      </c>
      <c r="DG248" s="237" t="n">
        <f aca="false">IF(DG246=0,0,IF(DG246&lt;=12*'🎚️ Escenario'!$C$11,1,1+$C$6))</f>
        <v>1.2</v>
      </c>
      <c r="DH248" s="237" t="n">
        <f aca="false">IF(DH246=0,0,IF(DH246&lt;=12*'🎚️ Escenario'!$C$11,1,1+$C$6))</f>
        <v>1.2</v>
      </c>
      <c r="DI248" s="237" t="n">
        <f aca="false">IF(DI246=0,0,IF(DI246&lt;=12*'🎚️ Escenario'!$C$11,1,1+$C$6))</f>
        <v>1.2</v>
      </c>
      <c r="DJ248" s="237" t="n">
        <f aca="false">IF(DJ246=0,0,IF(DJ246&lt;=12*'🎚️ Escenario'!$C$11,1,1+$C$6))</f>
        <v>1.2</v>
      </c>
      <c r="DK248" s="237" t="n">
        <f aca="false">IF(DK246=0,0,IF(DK246&lt;=12*'🎚️ Escenario'!$C$11,1,1+$C$6))</f>
        <v>1.2</v>
      </c>
      <c r="DL248" s="237" t="n">
        <f aca="false">IF(DL246=0,0,IF(DL246&lt;=12*'🎚️ Escenario'!$C$11,1,1+$C$6))</f>
        <v>1.2</v>
      </c>
      <c r="DM248" s="237" t="n">
        <f aca="false">IF(DM246=0,0,IF(DM246&lt;=12*'🎚️ Escenario'!$C$11,1,1+$C$6))</f>
        <v>1.2</v>
      </c>
      <c r="DN248" s="237" t="n">
        <f aca="false">IF(DN246=0,0,IF(DN246&lt;=12*'🎚️ Escenario'!$C$11,1,1+$C$6))</f>
        <v>1.2</v>
      </c>
      <c r="DO248" s="237" t="n">
        <f aca="false">IF(DO246=0,0,IF(DO246&lt;=12*'🎚️ Escenario'!$C$11,1,1+$C$6))</f>
        <v>1.2</v>
      </c>
      <c r="DP248" s="237" t="n">
        <f aca="false">IF(DP246=0,0,IF(DP246&lt;=12*'🎚️ Escenario'!$C$11,1,1+$C$6))</f>
        <v>1.2</v>
      </c>
      <c r="DQ248" s="237" t="n">
        <f aca="false">IF(DQ246=0,0,IF(DQ246&lt;=12*'🎚️ Escenario'!$C$11,1,1+$C$6))</f>
        <v>1.2</v>
      </c>
      <c r="DR248" s="237" t="n">
        <f aca="false">IF(DR246=0,0,IF(DR246&lt;=12*'🎚️ Escenario'!$C$11,1,1+$C$6))</f>
        <v>1.2</v>
      </c>
      <c r="DS248" s="237" t="n">
        <f aca="false">IF(DS246=0,0,IF(DS246&lt;=12*'🎚️ Escenario'!$C$11,1,1+$C$6))</f>
        <v>1.2</v>
      </c>
      <c r="DT248" s="237" t="n">
        <f aca="false">IF(DT246=0,0,IF(DT246&lt;=12*'🎚️ Escenario'!$C$11,1,1+$C$6))</f>
        <v>1.2</v>
      </c>
      <c r="DU248" s="237" t="n">
        <f aca="false">IF(DU246=0,0,IF(DU246&lt;=12*'🎚️ Escenario'!$C$11,1,1+$C$6))</f>
        <v>1.2</v>
      </c>
      <c r="DV248" s="237" t="n">
        <f aca="false">IF(DV246=0,0,IF(DV246&lt;=12*'🎚️ Escenario'!$C$11,1,1+$C$6))</f>
        <v>1.2</v>
      </c>
      <c r="DW248" s="237" t="n">
        <f aca="false">IF(DW246=0,0,IF(DW246&lt;=12*'🎚️ Escenario'!$C$11,1,1+$C$6))</f>
        <v>1.2</v>
      </c>
      <c r="DX248" s="237" t="n">
        <f aca="false">IF(DX246=0,0,IF(DX246&lt;=12*'🎚️ Escenario'!$C$11,1,1+$C$6))</f>
        <v>1.2</v>
      </c>
      <c r="DY248" s="237" t="n">
        <f aca="false">IF(DY246=0,0,IF(DY246&lt;=12*'🎚️ Escenario'!$C$11,1,1+$C$6))</f>
        <v>1.2</v>
      </c>
      <c r="DZ248" s="237" t="n">
        <f aca="false">IF(DZ246=0,0,IF(DZ246&lt;=12*'🎚️ Escenario'!$C$11,1,1+$C$6))</f>
        <v>1.2</v>
      </c>
      <c r="EA248" s="237" t="n">
        <f aca="false">IF(EA246=0,0,IF(EA246&lt;=12*'🎚️ Escenario'!$C$11,1,1+$C$6))</f>
        <v>1.2</v>
      </c>
      <c r="EB248" s="237" t="n">
        <f aca="false">IF(EB246=0,0,IF(EB246&lt;=12*'🎚️ Escenario'!$C$11,1,1+$C$6))</f>
        <v>1.2</v>
      </c>
      <c r="EC248" s="237" t="n">
        <f aca="false">IF(EC246=0,0,IF(EC246&lt;=12*'🎚️ Escenario'!$C$11,1,1+$C$6))</f>
        <v>1.2</v>
      </c>
      <c r="ED248" s="237" t="n">
        <f aca="false">IF(ED246=0,0,IF(ED246&lt;=12*'🎚️ Escenario'!$C$11,1,1+$C$6))</f>
        <v>1.2</v>
      </c>
      <c r="EE248" s="237" t="n">
        <f aca="false">IF(EE246=0,0,IF(EE246&lt;=12*'🎚️ Escenario'!$C$11,1,1+$C$6))</f>
        <v>1.2</v>
      </c>
      <c r="EF248" s="237" t="n">
        <f aca="false">IF(EF246=0,0,IF(EF246&lt;=12*'🎚️ Escenario'!$C$11,1,1+$C$6))</f>
        <v>1.2</v>
      </c>
      <c r="EG248" s="237" t="n">
        <f aca="false">IF(EG246=0,0,IF(EG246&lt;=12*'🎚️ Escenario'!$C$11,1,1+$C$6))</f>
        <v>1.2</v>
      </c>
      <c r="EH248" s="237" t="n">
        <f aca="false">IF(EH246=0,0,IF(EH246&lt;=12*'🎚️ Escenario'!$C$11,1,1+$C$6))</f>
        <v>1.2</v>
      </c>
      <c r="EI248" s="237" t="n">
        <f aca="false">IF(EI246=0,0,IF(EI246&lt;=12*'🎚️ Escenario'!$C$11,1,1+$C$6))</f>
        <v>1.2</v>
      </c>
      <c r="EJ248" s="237" t="n">
        <f aca="false">IF(EJ246=0,0,IF(EJ246&lt;=12*'🎚️ Escenario'!$C$11,1,1+$C$6))</f>
        <v>1.2</v>
      </c>
      <c r="EK248" s="237" t="n">
        <f aca="false">IF(EK246=0,0,IF(EK246&lt;=12*'🎚️ Escenario'!$C$11,1,1+$C$6))</f>
        <v>1.2</v>
      </c>
      <c r="EL248" s="237" t="n">
        <f aca="false">IF(EL246=0,0,IF(EL246&lt;=12*'🎚️ Escenario'!$C$11,1,1+$C$6))</f>
        <v>1.2</v>
      </c>
      <c r="EM248" s="237" t="n">
        <f aca="false">IF(EM246=0,0,IF(EM246&lt;=12*'🎚️ Escenario'!$C$11,1,1+$C$6))</f>
        <v>1.2</v>
      </c>
      <c r="EN248" s="237" t="n">
        <f aca="false">IF(EN246=0,0,IF(EN246&lt;=12*'🎚️ Escenario'!$C$11,1,1+$C$6))</f>
        <v>1.2</v>
      </c>
      <c r="EO248" s="237" t="n">
        <f aca="false">IF(EO246=0,0,IF(EO246&lt;=12*'🎚️ Escenario'!$C$11,1,1+$C$6))</f>
        <v>1.2</v>
      </c>
      <c r="EP248" s="237" t="n">
        <f aca="false">IF(EP246=0,0,IF(EP246&lt;=12*'🎚️ Escenario'!$C$11,1,1+$C$6))</f>
        <v>1.2</v>
      </c>
      <c r="EQ248" s="237" t="n">
        <f aca="false">IF(EQ246=0,0,IF(EQ246&lt;=12*'🎚️ Escenario'!$C$11,1,1+$C$6))</f>
        <v>1.2</v>
      </c>
      <c r="ER248" s="237" t="n">
        <f aca="false">IF(ER246=0,0,IF(ER246&lt;=12*'🎚️ Escenario'!$C$11,1,1+$C$6))</f>
        <v>1.2</v>
      </c>
      <c r="ES248" s="238" t="n">
        <f aca="false">IF(ES246=0,0,IF(ES246&lt;=12*'🎚️ Escenario'!$C$11,1,1+$C$6))</f>
        <v>1.2</v>
      </c>
      <c r="ET248" s="238" t="n">
        <f aca="false">IF(ET246=0,0,IF(ET246&lt;=12*'🎚️ Escenario'!$C$11,1,1+$C$6))</f>
        <v>1.2</v>
      </c>
      <c r="EU248" s="238" t="n">
        <f aca="false">IF(EU246=0,0,IF(EU246&lt;=12*'🎚️ Escenario'!$C$11,1,1+$C$6))</f>
        <v>1.2</v>
      </c>
      <c r="EV248" s="238" t="n">
        <f aca="false">IF(EV246=0,0,IF(EV246&lt;=12*'🎚️ Escenario'!$C$11,1,1+$C$6))</f>
        <v>1.2</v>
      </c>
      <c r="EW248" s="238" t="n">
        <f aca="false">IF(EW246=0,0,IF(EW246&lt;=12*'🎚️ Escenario'!$C$11,1,1+$C$6))</f>
        <v>1.2</v>
      </c>
      <c r="EX248" s="238" t="n">
        <f aca="false">IF(EX246=0,0,IF(EX246&lt;=12*'🎚️ Escenario'!$C$11,1,1+$C$6))</f>
        <v>1.2</v>
      </c>
      <c r="EY248" s="238" t="n">
        <f aca="false">IF(EY246=0,0,IF(EY246&lt;=12*'🎚️ Escenario'!$C$11,1,1+$C$6))</f>
        <v>1.2</v>
      </c>
      <c r="EZ248" s="238" t="n">
        <f aca="false">IF(EZ246=0,0,IF(EZ246&lt;=12*'🎚️ Escenario'!$C$11,1,1+$C$6))</f>
        <v>1.2</v>
      </c>
      <c r="FA248" s="238" t="n">
        <f aca="false">IF(FA246=0,0,IF(FA246&lt;=12*'🎚️ Escenario'!$C$11,1,1+$C$6))</f>
        <v>1.2</v>
      </c>
      <c r="FB248" s="238" t="n">
        <f aca="false">IF(FB246=0,0,IF(FB246&lt;=12*'🎚️ Escenario'!$C$11,1,1+$C$6))</f>
        <v>1.2</v>
      </c>
      <c r="FC248" s="238" t="n">
        <f aca="false">IF(FC246=0,0,IF(FC246&lt;=12*'🎚️ Escenario'!$C$11,1,1+$C$6))</f>
        <v>1.2</v>
      </c>
      <c r="FD248" s="238" t="n">
        <f aca="false">IF(FD246=0,0,IF(FD246&lt;=12*'🎚️ Escenario'!$C$11,1,1+$C$6))</f>
        <v>1.2</v>
      </c>
      <c r="FE248" s="238" t="n">
        <f aca="false">IF(FE246=0,0,IF(FE246&lt;=12*'🎚️ Escenario'!$C$11,1,1+$C$6))</f>
        <v>1.2</v>
      </c>
      <c r="FF248" s="238" t="n">
        <f aca="false">IF(FF246=0,0,IF(FF246&lt;=12*'🎚️ Escenario'!$C$11,1,1+$C$6))</f>
        <v>1.2</v>
      </c>
      <c r="FG248" s="238" t="n">
        <f aca="false">IF(FG246=0,0,IF(FG246&lt;=12*'🎚️ Escenario'!$C$11,1,1+$C$6))</f>
        <v>1.2</v>
      </c>
      <c r="FH248" s="238" t="n">
        <f aca="false">IF(FH246=0,0,IF(FH246&lt;=12*'🎚️ Escenario'!$C$11,1,1+$C$6))</f>
        <v>1.2</v>
      </c>
      <c r="FI248" s="238" t="n">
        <f aca="false">IF(FI246=0,0,IF(FI246&lt;=12*'🎚️ Escenario'!$C$11,1,1+$C$6))</f>
        <v>1.2</v>
      </c>
      <c r="FJ248" s="238" t="n">
        <f aca="false">IF(FJ246=0,0,IF(FJ246&lt;=12*'🎚️ Escenario'!$C$11,1,1+$C$6))</f>
        <v>1.2</v>
      </c>
      <c r="FK248" s="238" t="n">
        <f aca="false">IF(FK246=0,0,IF(FK246&lt;=12*'🎚️ Escenario'!$C$11,1,1+$C$6))</f>
        <v>1.2</v>
      </c>
      <c r="FL248" s="238" t="n">
        <f aca="false">IF(FL246=0,0,IF(FL246&lt;=12*'🎚️ Escenario'!$C$11,1,1+$C$6))</f>
        <v>1.2</v>
      </c>
      <c r="FM248" s="238" t="n">
        <f aca="false">IF(FM246=0,0,IF(FM246&lt;=12*'🎚️ Escenario'!$C$11,1,1+$C$6))</f>
        <v>1.2</v>
      </c>
      <c r="FN248" s="238" t="n">
        <f aca="false">IF(FN246=0,0,IF(FN246&lt;=12*'🎚️ Escenario'!$C$11,1,1+$C$6))</f>
        <v>1.2</v>
      </c>
      <c r="FO248" s="238" t="n">
        <f aca="false">IF(FO246=0,0,IF(FO246&lt;=12*'🎚️ Escenario'!$C$11,1,1+$C$6))</f>
        <v>1.2</v>
      </c>
      <c r="FP248" s="238" t="n">
        <f aca="false">IF(FP246=0,0,IF(FP246&lt;=12*'🎚️ Escenario'!$C$11,1,1+$C$6))</f>
        <v>1.2</v>
      </c>
    </row>
    <row r="249" customFormat="false" ht="15" hidden="false" customHeight="false" outlineLevel="2" collapsed="false">
      <c r="B249" s="9" t="s">
        <v>876</v>
      </c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36" t="n">
        <f aca="false">AC247*$AC$245*AC248*AC$38*'⑫ Roll-out Plan'!$O$30</f>
        <v>0</v>
      </c>
      <c r="AD249" s="36" t="n">
        <f aca="false">AD247*$AC$245*AD248*AD$38*'⑫ Roll-out Plan'!$O$30</f>
        <v>0</v>
      </c>
      <c r="AE249" s="36" t="n">
        <f aca="false">AE247*$AC$245*AE248*AE$38*'⑫ Roll-out Plan'!$O$30</f>
        <v>0</v>
      </c>
      <c r="AF249" s="36" t="n">
        <f aca="false">AF247*$AC$245*AF248*AF$38*'⑫ Roll-out Plan'!$O$30</f>
        <v>0</v>
      </c>
      <c r="AG249" s="36" t="n">
        <f aca="false">AG247*$AC$245*AG248*AG$38*'⑫ Roll-out Plan'!$O$30</f>
        <v>0</v>
      </c>
      <c r="AH249" s="36" t="n">
        <f aca="false">AH247*$AC$245*AH248*AH$38*'⑫ Roll-out Plan'!$O$30</f>
        <v>0</v>
      </c>
      <c r="AI249" s="36" t="n">
        <f aca="false">AI247*$AC$245*AI248*AI$38*'⑫ Roll-out Plan'!$O$30</f>
        <v>0</v>
      </c>
      <c r="AJ249" s="36" t="n">
        <f aca="false">AJ247*$AC$245*AJ248*AJ$38*'⑫ Roll-out Plan'!$O$30</f>
        <v>0</v>
      </c>
      <c r="AK249" s="36" t="n">
        <f aca="false">AK247*$AC$245*AK248*AK$38*'⑫ Roll-out Plan'!$O$30</f>
        <v>0</v>
      </c>
      <c r="AL249" s="36" t="n">
        <f aca="false">AL247*$AC$245*AL248*AL$38*'⑫ Roll-out Plan'!$O$30</f>
        <v>0</v>
      </c>
      <c r="AM249" s="36" t="n">
        <f aca="false">AM247*$AC$245*AM248*AM$38*'⑫ Roll-out Plan'!$O$30</f>
        <v>0</v>
      </c>
      <c r="AN249" s="36" t="n">
        <f aca="false">AN247*$AC$245*AN248*AN$38*'⑫ Roll-out Plan'!$O$30</f>
        <v>0</v>
      </c>
      <c r="AO249" s="36" t="n">
        <f aca="false">AO247*$AC$245*AO248*AO$38*'⑫ Roll-out Plan'!$O$30</f>
        <v>0</v>
      </c>
      <c r="AP249" s="36" t="n">
        <f aca="false">AP247*$AC$245*AP248*AP$38*'⑫ Roll-out Plan'!$O$30</f>
        <v>0</v>
      </c>
      <c r="AQ249" s="36" t="n">
        <f aca="false">AQ247*$AC$245*AQ248*AQ$38*'⑫ Roll-out Plan'!$O$30</f>
        <v>0</v>
      </c>
      <c r="AR249" s="36" t="n">
        <f aca="false">AR247*$AC$245*AR248*AR$38*'⑫ Roll-out Plan'!$O$30</f>
        <v>0</v>
      </c>
      <c r="AS249" s="36" t="n">
        <f aca="false">AS247*$AC$245*AS248*AS$38*'⑫ Roll-out Plan'!$O$30</f>
        <v>0</v>
      </c>
      <c r="AT249" s="36" t="n">
        <f aca="false">AT247*$AC$245*AT248*AT$38*'⑫ Roll-out Plan'!$O$30</f>
        <v>0</v>
      </c>
      <c r="AU249" s="36" t="n">
        <f aca="false">AU247*$AC$245*AU248*AU$38*'⑫ Roll-out Plan'!$O$30</f>
        <v>0</v>
      </c>
      <c r="AV249" s="36" t="n">
        <f aca="false">AV247*$AC$245*AV248*AV$38*'⑫ Roll-out Plan'!$O$30</f>
        <v>0</v>
      </c>
      <c r="AW249" s="36" t="n">
        <f aca="false">AW247*$AC$245*AW248*AW$38*'⑫ Roll-out Plan'!$O$30</f>
        <v>0</v>
      </c>
      <c r="AX249" s="36" t="n">
        <f aca="false">AX247*$AC$245*AX248*AX$38*'⑫ Roll-out Plan'!$O$30</f>
        <v>0</v>
      </c>
      <c r="AY249" s="36" t="n">
        <f aca="false">AY247*$AC$245*AY248*AY$38*'⑫ Roll-out Plan'!$O$30</f>
        <v>0</v>
      </c>
      <c r="AZ249" s="36" t="n">
        <f aca="false">AZ247*$AC$245*AZ248*AZ$38*'⑫ Roll-out Plan'!$O$30</f>
        <v>0</v>
      </c>
      <c r="BA249" s="36" t="n">
        <f aca="false">BA247*$AC$245*BA248*BA$38*'⑫ Roll-out Plan'!$O$30</f>
        <v>0</v>
      </c>
      <c r="BB249" s="36" t="n">
        <f aca="false">BB247*$AC$245*BB248*BB$38*'⑫ Roll-out Plan'!$O$30</f>
        <v>0</v>
      </c>
      <c r="BC249" s="36" t="n">
        <f aca="false">BC247*$AC$245*BC248*BC$38*'⑫ Roll-out Plan'!$O$30</f>
        <v>0</v>
      </c>
      <c r="BD249" s="36" t="n">
        <f aca="false">BD247*$AC$245*BD248*BD$38*'⑫ Roll-out Plan'!$O$30</f>
        <v>0</v>
      </c>
      <c r="BE249" s="36" t="n">
        <f aca="false">BE247*$AC$245*BE248*BE$38*'⑫ Roll-out Plan'!$O$30</f>
        <v>0</v>
      </c>
      <c r="BF249" s="36" t="n">
        <f aca="false">BF247*$AC$245*BF248*BF$38*'⑫ Roll-out Plan'!$O$30</f>
        <v>0</v>
      </c>
      <c r="BG249" s="36" t="n">
        <f aca="false">BG247*$AC$245*BG248*BG$38*'⑫ Roll-out Plan'!$O$30</f>
        <v>0</v>
      </c>
      <c r="BH249" s="36" t="n">
        <f aca="false">BH247*$AC$245*BH248*BH$38*'⑫ Roll-out Plan'!$O$30</f>
        <v>0</v>
      </c>
      <c r="BI249" s="36" t="n">
        <f aca="false">BI247*$AC$245*BI248*BI$38*'⑫ Roll-out Plan'!$O$30</f>
        <v>0</v>
      </c>
      <c r="BJ249" s="36" t="n">
        <f aca="false">BJ247*$AC$245*BJ248*BJ$38*'⑫ Roll-out Plan'!$O$30</f>
        <v>0</v>
      </c>
      <c r="BK249" s="36" t="n">
        <f aca="false">BK247*$AC$245*BK248*BK$38*'⑫ Roll-out Plan'!$O$30</f>
        <v>0</v>
      </c>
      <c r="BL249" s="36" t="n">
        <f aca="false">BL247*$AC$245*BL248*BL$38*'⑫ Roll-out Plan'!$O$30</f>
        <v>0</v>
      </c>
      <c r="BM249" s="36" t="n">
        <f aca="false">BM247*$AC$245*BM248*BM$38*'⑫ Roll-out Plan'!$O$30</f>
        <v>0</v>
      </c>
      <c r="BN249" s="36" t="n">
        <f aca="false">BN247*$AC$245*BN248*BN$38*'⑫ Roll-out Plan'!$O$30</f>
        <v>0</v>
      </c>
      <c r="BO249" s="36" t="n">
        <f aca="false">BO247*$AC$245*BO248*BO$38*'⑫ Roll-out Plan'!$O$30</f>
        <v>0</v>
      </c>
      <c r="BP249" s="36" t="n">
        <f aca="false">BP247*$AC$245*BP248*BP$38*'⑫ Roll-out Plan'!$O$30</f>
        <v>0</v>
      </c>
      <c r="BQ249" s="36" t="n">
        <f aca="false">BQ247*$AC$245*BQ248*BQ$38*'⑫ Roll-out Plan'!$O$30</f>
        <v>0</v>
      </c>
      <c r="BR249" s="36" t="n">
        <f aca="false">BR247*$AC$245*BR248*BR$38*'⑫ Roll-out Plan'!$O$30</f>
        <v>0</v>
      </c>
      <c r="BS249" s="36" t="n">
        <f aca="false">BS247*$AC$245*BS248*BS$38*'⑫ Roll-out Plan'!$O$30</f>
        <v>0</v>
      </c>
      <c r="BT249" s="36" t="n">
        <f aca="false">BT247*$AC$245*BT248*BT$38*'⑫ Roll-out Plan'!$O$30</f>
        <v>0</v>
      </c>
      <c r="BU249" s="36" t="n">
        <f aca="false">BU247*$AC$245*BU248*BU$38*'⑫ Roll-out Plan'!$O$30</f>
        <v>0</v>
      </c>
      <c r="BV249" s="36" t="n">
        <f aca="false">BV247*$AC$245*BV248*BV$38*'⑫ Roll-out Plan'!$O$30</f>
        <v>0</v>
      </c>
      <c r="BW249" s="36" t="n">
        <f aca="false">BW247*$AC$245*BW248*BW$38*'⑫ Roll-out Plan'!$O$30</f>
        <v>0</v>
      </c>
      <c r="BX249" s="36" t="n">
        <f aca="false">BX247*$AC$245*BX248*BX$38*'⑫ Roll-out Plan'!$O$30</f>
        <v>0</v>
      </c>
      <c r="BY249" s="36" t="n">
        <f aca="false">BY247*$AC$245*BY248*BY$38*'⑫ Roll-out Plan'!$O$30</f>
        <v>0</v>
      </c>
      <c r="BZ249" s="36" t="n">
        <f aca="false">BZ247*$AC$245*BZ248*BZ$38*'⑫ Roll-out Plan'!$O$30</f>
        <v>0</v>
      </c>
      <c r="CA249" s="36" t="n">
        <f aca="false">CA247*$AC$245*CA248*CA$38*'⑫ Roll-out Plan'!$O$30</f>
        <v>0</v>
      </c>
      <c r="CB249" s="36" t="n">
        <f aca="false">CB247*$AC$245*CB248*CB$38*'⑫ Roll-out Plan'!$O$30</f>
        <v>0</v>
      </c>
      <c r="CC249" s="36" t="n">
        <f aca="false">CC247*$AC$245*CC248*CC$38*'⑫ Roll-out Plan'!$O$30</f>
        <v>0</v>
      </c>
      <c r="CD249" s="36" t="n">
        <f aca="false">CD247*$AC$245*CD248*CD$38*'⑫ Roll-out Plan'!$O$30</f>
        <v>0</v>
      </c>
      <c r="CE249" s="36" t="n">
        <f aca="false">CE247*$AC$245*CE248*CE$38*'⑫ Roll-out Plan'!$O$30</f>
        <v>0</v>
      </c>
      <c r="CF249" s="36" t="n">
        <f aca="false">CF247*$AC$245*CF248*CF$38*'⑫ Roll-out Plan'!$O$30</f>
        <v>31.24</v>
      </c>
      <c r="CG249" s="36" t="n">
        <f aca="false">CG247*$AC$245*CG248*CG$38*'⑫ Roll-out Plan'!$O$30</f>
        <v>28.072</v>
      </c>
      <c r="CH249" s="36" t="n">
        <f aca="false">CH247*$AC$245*CH248*CH$38*'⑫ Roll-out Plan'!$O$30</f>
        <v>25.344</v>
      </c>
      <c r="CI249" s="36" t="n">
        <f aca="false">CI247*$AC$245*CI248*CI$38*'⑫ Roll-out Plan'!$O$30</f>
        <v>21.384</v>
      </c>
      <c r="CJ249" s="36" t="n">
        <f aca="false">CJ247*$AC$245*CJ248*CJ$38*'⑫ Roll-out Plan'!$O$30</f>
        <v>30.294</v>
      </c>
      <c r="CK249" s="36" t="n">
        <f aca="false">CK247*$AC$245*CK248*CK$38*'⑫ Roll-out Plan'!$O$30</f>
        <v>36.828</v>
      </c>
      <c r="CL249" s="36" t="n">
        <f aca="false">CL247*$AC$245*CL248*CL$38*'⑫ Roll-out Plan'!$O$30</f>
        <v>31.57</v>
      </c>
      <c r="CM249" s="36" t="n">
        <f aca="false">CM247*$AC$245*CM248*CM$38*'⑫ Roll-out Plan'!$O$30</f>
        <v>49.764</v>
      </c>
      <c r="CN249" s="36" t="n">
        <f aca="false">CN247*$AC$245*CN248*CN$38*'⑫ Roll-out Plan'!$O$30</f>
        <v>53.24</v>
      </c>
      <c r="CO249" s="36" t="n">
        <f aca="false">CO247*$AC$245*CO248*CO$38*'⑫ Roll-out Plan'!$O$30</f>
        <v>44.528</v>
      </c>
      <c r="CP249" s="36" t="n">
        <f aca="false">CP247*$AC$245*CP248*CP$38*'⑫ Roll-out Plan'!$O$30</f>
        <v>42.24</v>
      </c>
      <c r="CQ249" s="36" t="n">
        <f aca="false">CQ247*$AC$245*CQ248*CQ$38*'⑫ Roll-out Plan'!$O$30</f>
        <v>48.048</v>
      </c>
      <c r="CR249" s="36" t="n">
        <f aca="false">CR247*$AC$245*CR248*CR$38*'⑫ Roll-out Plan'!$O$30</f>
        <v>87.472</v>
      </c>
      <c r="CS249" s="36" t="n">
        <f aca="false">CS247*$AC$245*CS248*CS$38*'⑫ Roll-out Plan'!$O$30</f>
        <v>76.56</v>
      </c>
      <c r="CT249" s="36" t="n">
        <f aca="false">CT247*$AC$245*CT248*CT$38*'⑫ Roll-out Plan'!$O$30</f>
        <v>63.36</v>
      </c>
      <c r="CU249" s="36" t="n">
        <f aca="false">CU247*$AC$245*CU248*CU$38*'⑫ Roll-out Plan'!$O$30</f>
        <v>59.8752</v>
      </c>
      <c r="CV249" s="36" t="n">
        <f aca="false">CV247*$AC$245*CV248*CV$38*'⑫ Roll-out Plan'!$O$30</f>
        <v>88.8624</v>
      </c>
      <c r="CW249" s="36" t="n">
        <f aca="false">CW247*$AC$245*CW248*CW$38*'⑫ Roll-out Plan'!$O$30</f>
        <v>98.3664</v>
      </c>
      <c r="CX249" s="36" t="n">
        <f aca="false">CX247*$AC$245*CX248*CX$38*'⑫ Roll-out Plan'!$O$30</f>
        <v>76.8504</v>
      </c>
      <c r="CY249" s="36" t="n">
        <f aca="false">CY247*$AC$245*CY248*CY$38*'⑫ Roll-out Plan'!$O$30</f>
        <v>108.7152</v>
      </c>
      <c r="CZ249" s="36" t="n">
        <f aca="false">CZ247*$AC$245*CZ248*CZ$38*'⑫ Roll-out Plan'!$O$30</f>
        <v>105.996</v>
      </c>
      <c r="DA249" s="36" t="n">
        <f aca="false">DA247*$AC$245*DA248*DA$38*'⑫ Roll-out Plan'!$O$30</f>
        <v>91.08</v>
      </c>
      <c r="DB249" s="36" t="n">
        <f aca="false">DB247*$AC$245*DB248*DB$38*'⑫ Roll-out Plan'!$O$30</f>
        <v>81.312</v>
      </c>
      <c r="DC249" s="36" t="n">
        <f aca="false">DC247*$AC$245*DC248*DC$38*'⑫ Roll-out Plan'!$O$30</f>
        <v>87.5952</v>
      </c>
      <c r="DD249" s="36" t="n">
        <f aca="false">DD247*$AC$245*DD248*DD$38*'⑫ Roll-out Plan'!$O$30</f>
        <v>148.0776</v>
      </c>
      <c r="DE249" s="36" t="n">
        <f aca="false">DE247*$AC$245*DE248*DE$38*'⑫ Roll-out Plan'!$O$30</f>
        <v>122.496</v>
      </c>
      <c r="DF249" s="36" t="n">
        <f aca="false">DF247*$AC$245*DF248*DF$38*'⑫ Roll-out Plan'!$O$30</f>
        <v>103.9104</v>
      </c>
      <c r="DG249" s="36" t="n">
        <f aca="false">DG247*$AC$245*DG248*DG$38*'⑫ Roll-out Plan'!$O$30</f>
        <v>79.8336</v>
      </c>
      <c r="DH249" s="36" t="n">
        <f aca="false">DH247*$AC$245*DH248*DH$38*'⑫ Roll-out Plan'!$O$30</f>
        <v>114.444</v>
      </c>
      <c r="DI249" s="36" t="n">
        <f aca="false">DI247*$AC$245*DI248*DI$38*'⑫ Roll-out Plan'!$O$30</f>
        <v>121.176</v>
      </c>
      <c r="DJ249" s="36" t="n">
        <f aca="false">DJ247*$AC$245*DJ248*DJ$38*'⑫ Roll-out Plan'!$O$30</f>
        <v>93.0864</v>
      </c>
      <c r="DK249" s="36" t="n">
        <f aca="false">DK247*$AC$245*DK248*DK$38*'⑫ Roll-out Plan'!$O$30</f>
        <v>134.7456</v>
      </c>
      <c r="DL249" s="36" t="n">
        <f aca="false">DL247*$AC$245*DL248*DL$38*'⑫ Roll-out Plan'!$O$30</f>
        <v>129.228</v>
      </c>
      <c r="DM249" s="36" t="n">
        <f aca="false">DM247*$AC$245*DM248*DM$38*'⑫ Roll-out Plan'!$O$30</f>
        <v>109.296</v>
      </c>
      <c r="DN249" s="36" t="n">
        <f aca="false">DN247*$AC$245*DN248*DN$38*'⑫ Roll-out Plan'!$O$30</f>
        <v>95.04</v>
      </c>
      <c r="DO249" s="36" t="n">
        <f aca="false">DO247*$AC$245*DO248*DO$38*'⑫ Roll-out Plan'!$O$30</f>
        <v>102.0096</v>
      </c>
      <c r="DP249" s="36" t="n">
        <f aca="false">DP247*$AC$245*DP248*DP$38*'⑫ Roll-out Plan'!$O$30</f>
        <v>174.3192</v>
      </c>
      <c r="DQ249" s="36" t="n">
        <f aca="false">DQ247*$AC$245*DQ248*DQ$38*'⑫ Roll-out Plan'!$O$30</f>
        <v>143.9328</v>
      </c>
      <c r="DR249" s="36" t="n">
        <f aca="false">DR247*$AC$245*DR248*DR$38*'⑫ Roll-out Plan'!$O$30</f>
        <v>120.384</v>
      </c>
      <c r="DS249" s="36" t="n">
        <f aca="false">DS247*$AC$245*DS248*DS$38*'⑫ Roll-out Plan'!$O$30</f>
        <v>90.288</v>
      </c>
      <c r="DT249" s="36" t="n">
        <f aca="false">DT247*$AC$245*DT248*DT$38*'⑫ Roll-out Plan'!$O$30</f>
        <v>130.6008</v>
      </c>
      <c r="DU249" s="36" t="n">
        <f aca="false">DU247*$AC$245*DU248*DU$38*'⑫ Roll-out Plan'!$O$30</f>
        <v>139.7088</v>
      </c>
      <c r="DV249" s="36" t="n">
        <f aca="false">DV247*$AC$245*DV248*DV$38*'⑫ Roll-out Plan'!$O$30</f>
        <v>107.1576</v>
      </c>
      <c r="DW249" s="36" t="n">
        <f aca="false">DW247*$AC$245*DW248*DW$38*'⑫ Roll-out Plan'!$O$30</f>
        <v>153.12</v>
      </c>
      <c r="DX249" s="36" t="n">
        <f aca="false">DX247*$AC$245*DX248*DX$38*'⑫ Roll-out Plan'!$O$30</f>
        <v>145.2</v>
      </c>
      <c r="DY249" s="36" t="n">
        <f aca="false">DY247*$AC$245*DY248*DY$38*'⑫ Roll-out Plan'!$O$30</f>
        <v>121.44</v>
      </c>
      <c r="DZ249" s="36" t="n">
        <f aca="false">DZ247*$AC$245*DZ248*DZ$38*'⑫ Roll-out Plan'!$O$30</f>
        <v>105.6</v>
      </c>
      <c r="EA249" s="36" t="n">
        <f aca="false">EA247*$AC$245*EA248*EA$38*'⑫ Roll-out Plan'!$O$30</f>
        <v>110.88</v>
      </c>
      <c r="EB249" s="36" t="n">
        <f aca="false">EB247*$AC$245*EB248*EB$38*'⑫ Roll-out Plan'!$O$30</f>
        <v>187.44</v>
      </c>
      <c r="EC249" s="36" t="n">
        <f aca="false">EC247*$AC$245*EC248*EC$38*'⑫ Roll-out Plan'!$O$30</f>
        <v>153.12</v>
      </c>
      <c r="ED249" s="36" t="n">
        <f aca="false">ED247*$AC$245*ED248*ED$38*'⑫ Roll-out Plan'!$O$30</f>
        <v>126.72</v>
      </c>
      <c r="EE249" s="36" t="n">
        <f aca="false">EE247*$AC$245*EE248*EE$38*'⑫ Roll-out Plan'!$O$30</f>
        <v>95.04</v>
      </c>
      <c r="EF249" s="36" t="n">
        <f aca="false">EF247*$AC$245*EF248*EF$38*'⑫ Roll-out Plan'!$O$30</f>
        <v>134.64</v>
      </c>
      <c r="EG249" s="36" t="n">
        <f aca="false">EG247*$AC$245*EG248*EG$38*'⑫ Roll-out Plan'!$O$30</f>
        <v>142.56</v>
      </c>
      <c r="EH249" s="36" t="n">
        <f aca="false">EH247*$AC$245*EH248*EH$38*'⑫ Roll-out Plan'!$O$30</f>
        <v>108.24</v>
      </c>
      <c r="EI249" s="36" t="n">
        <f aca="false">EI247*$AC$245*EI248*EI$38*'⑫ Roll-out Plan'!$O$30</f>
        <v>153.12</v>
      </c>
      <c r="EJ249" s="36" t="n">
        <f aca="false">EJ247*$AC$245*EJ248*EJ$38*'⑫ Roll-out Plan'!$O$30</f>
        <v>145.2</v>
      </c>
      <c r="EK249" s="36" t="n">
        <f aca="false">EK247*$AC$245*EK248*EK$38*'⑫ Roll-out Plan'!$O$30</f>
        <v>121.44</v>
      </c>
      <c r="EL249" s="36" t="n">
        <f aca="false">EL247*$AC$245*EL248*EL$38*'⑫ Roll-out Plan'!$O$30</f>
        <v>105.6</v>
      </c>
      <c r="EM249" s="36" t="n">
        <f aca="false">EM247*$AC$245*EM248*EM$38*'⑫ Roll-out Plan'!$O$30</f>
        <v>110.88</v>
      </c>
      <c r="EN249" s="36" t="n">
        <f aca="false">EN247*$AC$245*EN248*EN$38*'⑫ Roll-out Plan'!$O$30</f>
        <v>187.44</v>
      </c>
      <c r="EO249" s="36" t="n">
        <f aca="false">EO247*$AC$245*EO248*EO$38*'⑫ Roll-out Plan'!$O$30</f>
        <v>153.12</v>
      </c>
      <c r="EP249" s="36" t="n">
        <f aca="false">EP247*$AC$245*EP248*EP$38*'⑫ Roll-out Plan'!$O$30</f>
        <v>126.72</v>
      </c>
      <c r="EQ249" s="36" t="n">
        <f aca="false">EQ247*$AC$245*EQ248*EQ$38*'⑫ Roll-out Plan'!$O$30</f>
        <v>95.04</v>
      </c>
      <c r="ER249" s="36" t="n">
        <f aca="false">ER247*$AC$245*ER248*ER$38*'⑫ Roll-out Plan'!$O$30</f>
        <v>134.64</v>
      </c>
      <c r="ES249" s="9" t="n">
        <f aca="false">ES247*$AC$245*ES248*ES$38*'⑫ Roll-out Plan'!$O$30</f>
        <v>142.56</v>
      </c>
      <c r="ET249" s="9" t="n">
        <f aca="false">ET247*$AC$245*ET248*ET$38*'⑫ Roll-out Plan'!$O$30</f>
        <v>108.24</v>
      </c>
      <c r="EU249" s="9" t="n">
        <f aca="false">EU247*$AC$245*EU248*EU$38*'⑫ Roll-out Plan'!$O$30</f>
        <v>153.12</v>
      </c>
      <c r="EV249" s="9" t="n">
        <f aca="false">EV247*$AC$245*EV248*EV$38*'⑫ Roll-out Plan'!$O$30</f>
        <v>145.2</v>
      </c>
      <c r="EW249" s="9" t="n">
        <f aca="false">EW247*$AC$245*EW248*EW$38*'⑫ Roll-out Plan'!$O$30</f>
        <v>121.44</v>
      </c>
      <c r="EX249" s="9" t="n">
        <f aca="false">EX247*$AC$245*EX248*EX$38*'⑫ Roll-out Plan'!$O$30</f>
        <v>105.6</v>
      </c>
      <c r="EY249" s="9" t="n">
        <f aca="false">EY247*$AC$245*EY248*EY$38*'⑫ Roll-out Plan'!$O$30</f>
        <v>110.88</v>
      </c>
      <c r="EZ249" s="9" t="n">
        <f aca="false">EZ247*$AC$245*EZ248*EZ$38*'⑫ Roll-out Plan'!$O$30</f>
        <v>187.44</v>
      </c>
      <c r="FA249" s="9" t="n">
        <f aca="false">FA247*$AC$245*FA248*FA$38*'⑫ Roll-out Plan'!$O$30</f>
        <v>153.12</v>
      </c>
      <c r="FB249" s="9" t="n">
        <f aca="false">FB247*$AC$245*FB248*FB$38*'⑫ Roll-out Plan'!$O$30</f>
        <v>126.72</v>
      </c>
      <c r="FC249" s="9" t="n">
        <f aca="false">FC247*$AC$245*FC248*FC$38*'⑫ Roll-out Plan'!$O$30</f>
        <v>95.04</v>
      </c>
      <c r="FD249" s="9" t="n">
        <f aca="false">FD247*$AC$245*FD248*FD$38*'⑫ Roll-out Plan'!$O$30</f>
        <v>134.64</v>
      </c>
      <c r="FE249" s="9" t="n">
        <f aca="false">FE247*$AC$245*FE248*FE$38*'⑫ Roll-out Plan'!$O$30</f>
        <v>142.56</v>
      </c>
      <c r="FF249" s="9" t="n">
        <f aca="false">FF247*$AC$245*FF248*FF$38*'⑫ Roll-out Plan'!$O$30</f>
        <v>108.24</v>
      </c>
      <c r="FG249" s="9" t="n">
        <f aca="false">FG247*$AC$245*FG248*FG$38*'⑫ Roll-out Plan'!$O$30</f>
        <v>153.12</v>
      </c>
      <c r="FH249" s="9" t="n">
        <f aca="false">FH247*$AC$245*FH248*FH$38*'⑫ Roll-out Plan'!$O$30</f>
        <v>145.2</v>
      </c>
      <c r="FI249" s="9" t="n">
        <f aca="false">FI247*$AC$245*FI248*FI$38*'⑫ Roll-out Plan'!$O$30</f>
        <v>121.44</v>
      </c>
      <c r="FJ249" s="9" t="n">
        <f aca="false">FJ247*$AC$245*FJ248*FJ$38*'⑫ Roll-out Plan'!$O$30</f>
        <v>105.6</v>
      </c>
      <c r="FK249" s="9" t="n">
        <f aca="false">FK247*$AC$245*FK248*FK$38*'⑫ Roll-out Plan'!$O$30</f>
        <v>110.88</v>
      </c>
      <c r="FL249" s="9" t="n">
        <f aca="false">FL247*$AC$245*FL248*FL$38*'⑫ Roll-out Plan'!$O$30</f>
        <v>187.44</v>
      </c>
      <c r="FM249" s="9" t="n">
        <f aca="false">FM247*$AC$245*FM248*FM$38*'⑫ Roll-out Plan'!$O$30</f>
        <v>153.12</v>
      </c>
      <c r="FN249" s="9" t="n">
        <f aca="false">FN247*$AC$245*FN248*FN$38*'⑫ Roll-out Plan'!$O$30</f>
        <v>126.72</v>
      </c>
      <c r="FO249" s="9" t="n">
        <f aca="false">FO247*$AC$245*FO248*FO$38*'⑫ Roll-out Plan'!$O$30</f>
        <v>95.04</v>
      </c>
      <c r="FP249" s="9" t="n">
        <f aca="false">FP247*$AC$245*FP248*FP$38*'⑫ Roll-out Plan'!$O$30</f>
        <v>134.64</v>
      </c>
    </row>
    <row r="250" customFormat="false" ht="15" hidden="false" customHeight="false" outlineLevel="2" collapsed="false">
      <c r="B250" s="9" t="s">
        <v>877</v>
      </c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112" t="n">
        <f aca="true">IFERROR(SUMPRODUCT(OFFSET($BJ$31,0,1-MIN(60,COLUMN()-29),1,MIN(60,COLUMN()-29)),OFFSET(AC249,0,-MIN(60,COLUMN()-29),1,MIN(60,COLUMN()-29))),0)</f>
        <v>0</v>
      </c>
      <c r="AD250" s="112" t="n">
        <f aca="true">IFERROR(SUMPRODUCT(OFFSET($BJ$31,0,1-MIN(60,COLUMN()-29),1,MIN(60,COLUMN()-29)),OFFSET(AD249,0,-MIN(60,COLUMN()-29),1,MIN(60,COLUMN()-29))),0)</f>
        <v>0</v>
      </c>
      <c r="AE250" s="112" t="n">
        <f aca="true">IFERROR(SUMPRODUCT(OFFSET($BJ$31,0,1-MIN(60,COLUMN()-29),1,MIN(60,COLUMN()-29)),OFFSET(AE249,0,-MIN(60,COLUMN()-29),1,MIN(60,COLUMN()-29))),0)</f>
        <v>0</v>
      </c>
      <c r="AF250" s="112" t="n">
        <f aca="true">IFERROR(SUMPRODUCT(OFFSET($BJ$31,0,1-MIN(60,COLUMN()-29),1,MIN(60,COLUMN()-29)),OFFSET(AF249,0,-MIN(60,COLUMN()-29),1,MIN(60,COLUMN()-29))),0)</f>
        <v>0</v>
      </c>
      <c r="AG250" s="112" t="n">
        <f aca="true">IFERROR(SUMPRODUCT(OFFSET($BJ$31,0,1-MIN(60,COLUMN()-29),1,MIN(60,COLUMN()-29)),OFFSET(AG249,0,-MIN(60,COLUMN()-29),1,MIN(60,COLUMN()-29))),0)</f>
        <v>0</v>
      </c>
      <c r="AH250" s="112" t="n">
        <f aca="true">IFERROR(SUMPRODUCT(OFFSET($BJ$31,0,1-MIN(60,COLUMN()-29),1,MIN(60,COLUMN()-29)),OFFSET(AH249,0,-MIN(60,COLUMN()-29),1,MIN(60,COLUMN()-29))),0)</f>
        <v>0</v>
      </c>
      <c r="AI250" s="112" t="n">
        <f aca="true">IFERROR(SUMPRODUCT(OFFSET($BJ$31,0,1-MIN(60,COLUMN()-29),1,MIN(60,COLUMN()-29)),OFFSET(AI249,0,-MIN(60,COLUMN()-29),1,MIN(60,COLUMN()-29))),0)</f>
        <v>0</v>
      </c>
      <c r="AJ250" s="112" t="n">
        <f aca="true">IFERROR(SUMPRODUCT(OFFSET($BJ$31,0,1-MIN(60,COLUMN()-29),1,MIN(60,COLUMN()-29)),OFFSET(AJ249,0,-MIN(60,COLUMN()-29),1,MIN(60,COLUMN()-29))),0)</f>
        <v>0</v>
      </c>
      <c r="AK250" s="112" t="n">
        <f aca="true">IFERROR(SUMPRODUCT(OFFSET($BJ$31,0,1-MIN(60,COLUMN()-29),1,MIN(60,COLUMN()-29)),OFFSET(AK249,0,-MIN(60,COLUMN()-29),1,MIN(60,COLUMN()-29))),0)</f>
        <v>0</v>
      </c>
      <c r="AL250" s="112" t="n">
        <f aca="true">IFERROR(SUMPRODUCT(OFFSET($BJ$31,0,1-MIN(60,COLUMN()-29),1,MIN(60,COLUMN()-29)),OFFSET(AL249,0,-MIN(60,COLUMN()-29),1,MIN(60,COLUMN()-29))),0)</f>
        <v>0</v>
      </c>
      <c r="AM250" s="112" t="n">
        <f aca="true">IFERROR(SUMPRODUCT(OFFSET($BJ$31,0,1-MIN(60,COLUMN()-29),1,MIN(60,COLUMN()-29)),OFFSET(AM249,0,-MIN(60,COLUMN()-29),1,MIN(60,COLUMN()-29))),0)</f>
        <v>0</v>
      </c>
      <c r="AN250" s="112" t="n">
        <f aca="true">IFERROR(SUMPRODUCT(OFFSET($BJ$31,0,1-MIN(60,COLUMN()-29),1,MIN(60,COLUMN()-29)),OFFSET(AN249,0,-MIN(60,COLUMN()-29),1,MIN(60,COLUMN()-29))),0)</f>
        <v>0</v>
      </c>
      <c r="AO250" s="112" t="n">
        <f aca="true">IFERROR(SUMPRODUCT(OFFSET($BJ$31,0,1-MIN(60,COLUMN()-29),1,MIN(60,COLUMN()-29)),OFFSET(AO249,0,-MIN(60,COLUMN()-29),1,MIN(60,COLUMN()-29))),0)</f>
        <v>0</v>
      </c>
      <c r="AP250" s="112" t="n">
        <f aca="true">IFERROR(SUMPRODUCT(OFFSET($BJ$31,0,1-MIN(60,COLUMN()-29),1,MIN(60,COLUMN()-29)),OFFSET(AP249,0,-MIN(60,COLUMN()-29),1,MIN(60,COLUMN()-29))),0)</f>
        <v>0</v>
      </c>
      <c r="AQ250" s="112" t="n">
        <f aca="true">IFERROR(SUMPRODUCT(OFFSET($BJ$31,0,1-MIN(60,COLUMN()-29),1,MIN(60,COLUMN()-29)),OFFSET(AQ249,0,-MIN(60,COLUMN()-29),1,MIN(60,COLUMN()-29))),0)</f>
        <v>0</v>
      </c>
      <c r="AR250" s="112" t="n">
        <f aca="true">IFERROR(SUMPRODUCT(OFFSET($BJ$31,0,1-MIN(60,COLUMN()-29),1,MIN(60,COLUMN()-29)),OFFSET(AR249,0,-MIN(60,COLUMN()-29),1,MIN(60,COLUMN()-29))),0)</f>
        <v>0</v>
      </c>
      <c r="AS250" s="112" t="n">
        <f aca="true">IFERROR(SUMPRODUCT(OFFSET($BJ$31,0,1-MIN(60,COLUMN()-29),1,MIN(60,COLUMN()-29)),OFFSET(AS249,0,-MIN(60,COLUMN()-29),1,MIN(60,COLUMN()-29))),0)</f>
        <v>0</v>
      </c>
      <c r="AT250" s="112" t="n">
        <f aca="true">IFERROR(SUMPRODUCT(OFFSET($BJ$31,0,1-MIN(60,COLUMN()-29),1,MIN(60,COLUMN()-29)),OFFSET(AT249,0,-MIN(60,COLUMN()-29),1,MIN(60,COLUMN()-29))),0)</f>
        <v>0</v>
      </c>
      <c r="AU250" s="112" t="n">
        <f aca="true">IFERROR(SUMPRODUCT(OFFSET($BJ$31,0,1-MIN(60,COLUMN()-29),1,MIN(60,COLUMN()-29)),OFFSET(AU249,0,-MIN(60,COLUMN()-29),1,MIN(60,COLUMN()-29))),0)</f>
        <v>0</v>
      </c>
      <c r="AV250" s="112" t="n">
        <f aca="true">IFERROR(SUMPRODUCT(OFFSET($BJ$31,0,1-MIN(60,COLUMN()-29),1,MIN(60,COLUMN()-29)),OFFSET(AV249,0,-MIN(60,COLUMN()-29),1,MIN(60,COLUMN()-29))),0)</f>
        <v>0</v>
      </c>
      <c r="AW250" s="112" t="n">
        <f aca="true">IFERROR(SUMPRODUCT(OFFSET($BJ$31,0,1-MIN(60,COLUMN()-29),1,MIN(60,COLUMN()-29)),OFFSET(AW249,0,-MIN(60,COLUMN()-29),1,MIN(60,COLUMN()-29))),0)</f>
        <v>0</v>
      </c>
      <c r="AX250" s="112" t="n">
        <f aca="true">IFERROR(SUMPRODUCT(OFFSET($BJ$31,0,1-MIN(60,COLUMN()-29),1,MIN(60,COLUMN()-29)),OFFSET(AX249,0,-MIN(60,COLUMN()-29),1,MIN(60,COLUMN()-29))),0)</f>
        <v>0</v>
      </c>
      <c r="AY250" s="112" t="n">
        <f aca="true">IFERROR(SUMPRODUCT(OFFSET($BJ$31,0,1-MIN(60,COLUMN()-29),1,MIN(60,COLUMN()-29)),OFFSET(AY249,0,-MIN(60,COLUMN()-29),1,MIN(60,COLUMN()-29))),0)</f>
        <v>0</v>
      </c>
      <c r="AZ250" s="112" t="n">
        <f aca="true">IFERROR(SUMPRODUCT(OFFSET($BJ$31,0,1-MIN(60,COLUMN()-29),1,MIN(60,COLUMN()-29)),OFFSET(AZ249,0,-MIN(60,COLUMN()-29),1,MIN(60,COLUMN()-29))),0)</f>
        <v>0</v>
      </c>
      <c r="BA250" s="112" t="n">
        <f aca="true">IFERROR(SUMPRODUCT(OFFSET($BJ$31,0,1-MIN(60,COLUMN()-29),1,MIN(60,COLUMN()-29)),OFFSET(BA249,0,-MIN(60,COLUMN()-29),1,MIN(60,COLUMN()-29))),0)</f>
        <v>0</v>
      </c>
      <c r="BB250" s="112" t="n">
        <f aca="true">IFERROR(SUMPRODUCT(OFFSET($BJ$31,0,1-MIN(60,COLUMN()-29),1,MIN(60,COLUMN()-29)),OFFSET(BB249,0,-MIN(60,COLUMN()-29),1,MIN(60,COLUMN()-29))),0)</f>
        <v>0</v>
      </c>
      <c r="BC250" s="112" t="n">
        <f aca="true">IFERROR(SUMPRODUCT(OFFSET($BJ$31,0,1-MIN(60,COLUMN()-29),1,MIN(60,COLUMN()-29)),OFFSET(BC249,0,-MIN(60,COLUMN()-29),1,MIN(60,COLUMN()-29))),0)</f>
        <v>0</v>
      </c>
      <c r="BD250" s="112" t="n">
        <f aca="true">IFERROR(SUMPRODUCT(OFFSET($BJ$31,0,1-MIN(60,COLUMN()-29),1,MIN(60,COLUMN()-29)),OFFSET(BD249,0,-MIN(60,COLUMN()-29),1,MIN(60,COLUMN()-29))),0)</f>
        <v>0</v>
      </c>
      <c r="BE250" s="112" t="n">
        <f aca="true">IFERROR(SUMPRODUCT(OFFSET($BJ$31,0,1-MIN(60,COLUMN()-29),1,MIN(60,COLUMN()-29)),OFFSET(BE249,0,-MIN(60,COLUMN()-29),1,MIN(60,COLUMN()-29))),0)</f>
        <v>0</v>
      </c>
      <c r="BF250" s="112" t="n">
        <f aca="true">IFERROR(SUMPRODUCT(OFFSET($BJ$31,0,1-MIN(60,COLUMN()-29),1,MIN(60,COLUMN()-29)),OFFSET(BF249,0,-MIN(60,COLUMN()-29),1,MIN(60,COLUMN()-29))),0)</f>
        <v>0</v>
      </c>
      <c r="BG250" s="112" t="n">
        <f aca="true">IFERROR(SUMPRODUCT(OFFSET($BJ$31,0,1-MIN(60,COLUMN()-29),1,MIN(60,COLUMN()-29)),OFFSET(BG249,0,-MIN(60,COLUMN()-29),1,MIN(60,COLUMN()-29))),0)</f>
        <v>0</v>
      </c>
      <c r="BH250" s="112" t="n">
        <f aca="true">IFERROR(SUMPRODUCT(OFFSET($BJ$31,0,1-MIN(60,COLUMN()-29),1,MIN(60,COLUMN()-29)),OFFSET(BH249,0,-MIN(60,COLUMN()-29),1,MIN(60,COLUMN()-29))),0)</f>
        <v>0</v>
      </c>
      <c r="BI250" s="112" t="n">
        <f aca="true">IFERROR(SUMPRODUCT(OFFSET($BJ$31,0,1-MIN(60,COLUMN()-29),1,MIN(60,COLUMN()-29)),OFFSET(BI249,0,-MIN(60,COLUMN()-29),1,MIN(60,COLUMN()-29))),0)</f>
        <v>0</v>
      </c>
      <c r="BJ250" s="112" t="n">
        <f aca="true">IFERROR(SUMPRODUCT(OFFSET($BJ$31,0,1-MIN(60,COLUMN()-29),1,MIN(60,COLUMN()-29)),OFFSET(BJ249,0,-MIN(60,COLUMN()-29),1,MIN(60,COLUMN()-29))),0)</f>
        <v>0</v>
      </c>
      <c r="BK250" s="112" t="n">
        <f aca="true">IFERROR(SUMPRODUCT(OFFSET($BJ$31,0,1-MIN(60,COLUMN()-29),1,MIN(60,COLUMN()-29)),OFFSET(BK249,0,-MIN(60,COLUMN()-29),1,MIN(60,COLUMN()-29))),0)</f>
        <v>0</v>
      </c>
      <c r="BL250" s="112" t="n">
        <f aca="true">IFERROR(SUMPRODUCT(OFFSET($BJ$31,0,1-MIN(60,COLUMN()-29),1,MIN(60,COLUMN()-29)),OFFSET(BL249,0,-MIN(60,COLUMN()-29),1,MIN(60,COLUMN()-29))),0)</f>
        <v>0</v>
      </c>
      <c r="BM250" s="112" t="n">
        <f aca="true">IFERROR(SUMPRODUCT(OFFSET($BJ$31,0,1-MIN(60,COLUMN()-29),1,MIN(60,COLUMN()-29)),OFFSET(BM249,0,-MIN(60,COLUMN()-29),1,MIN(60,COLUMN()-29))),0)</f>
        <v>0</v>
      </c>
      <c r="BN250" s="112" t="n">
        <f aca="true">IFERROR(SUMPRODUCT(OFFSET($BJ$31,0,1-MIN(60,COLUMN()-29),1,MIN(60,COLUMN()-29)),OFFSET(BN249,0,-MIN(60,COLUMN()-29),1,MIN(60,COLUMN()-29))),0)</f>
        <v>0</v>
      </c>
      <c r="BO250" s="112" t="n">
        <f aca="true">IFERROR(SUMPRODUCT(OFFSET($BJ$31,0,1-MIN(60,COLUMN()-29),1,MIN(60,COLUMN()-29)),OFFSET(BO249,0,-MIN(60,COLUMN()-29),1,MIN(60,COLUMN()-29))),0)</f>
        <v>0</v>
      </c>
      <c r="BP250" s="112" t="n">
        <f aca="true">IFERROR(SUMPRODUCT(OFFSET($BJ$31,0,1-MIN(60,COLUMN()-29),1,MIN(60,COLUMN()-29)),OFFSET(BP249,0,-MIN(60,COLUMN()-29),1,MIN(60,COLUMN()-29))),0)</f>
        <v>0</v>
      </c>
      <c r="BQ250" s="112" t="n">
        <f aca="true">IFERROR(SUMPRODUCT(OFFSET($BJ$31,0,1-MIN(60,COLUMN()-29),1,MIN(60,COLUMN()-29)),OFFSET(BQ249,0,-MIN(60,COLUMN()-29),1,MIN(60,COLUMN()-29))),0)</f>
        <v>0</v>
      </c>
      <c r="BR250" s="112" t="n">
        <f aca="true">IFERROR(SUMPRODUCT(OFFSET($BJ$31,0,1-MIN(60,COLUMN()-29),1,MIN(60,COLUMN()-29)),OFFSET(BR249,0,-MIN(60,COLUMN()-29),1,MIN(60,COLUMN()-29))),0)</f>
        <v>0</v>
      </c>
      <c r="BS250" s="112" t="n">
        <f aca="true">IFERROR(SUMPRODUCT(OFFSET($BJ$31,0,1-MIN(60,COLUMN()-29),1,MIN(60,COLUMN()-29)),OFFSET(BS249,0,-MIN(60,COLUMN()-29),1,MIN(60,COLUMN()-29))),0)</f>
        <v>0</v>
      </c>
      <c r="BT250" s="112" t="n">
        <f aca="true">IFERROR(SUMPRODUCT(OFFSET($BJ$31,0,1-MIN(60,COLUMN()-29),1,MIN(60,COLUMN()-29)),OFFSET(BT249,0,-MIN(60,COLUMN()-29),1,MIN(60,COLUMN()-29))),0)</f>
        <v>0</v>
      </c>
      <c r="BU250" s="112" t="n">
        <f aca="true">IFERROR(SUMPRODUCT(OFFSET($BJ$31,0,1-MIN(60,COLUMN()-29),1,MIN(60,COLUMN()-29)),OFFSET(BU249,0,-MIN(60,COLUMN()-29),1,MIN(60,COLUMN()-29))),0)</f>
        <v>0</v>
      </c>
      <c r="BV250" s="112" t="n">
        <f aca="true">IFERROR(SUMPRODUCT(OFFSET($BJ$31,0,1-MIN(60,COLUMN()-29),1,MIN(60,COLUMN()-29)),OFFSET(BV249,0,-MIN(60,COLUMN()-29),1,MIN(60,COLUMN()-29))),0)</f>
        <v>0</v>
      </c>
      <c r="BW250" s="112" t="n">
        <f aca="true">IFERROR(SUMPRODUCT(OFFSET($BJ$31,0,1-MIN(60,COLUMN()-29),1,MIN(60,COLUMN()-29)),OFFSET(BW249,0,-MIN(60,COLUMN()-29),1,MIN(60,COLUMN()-29))),0)</f>
        <v>0</v>
      </c>
      <c r="BX250" s="112" t="n">
        <f aca="true">IFERROR(SUMPRODUCT(OFFSET($BJ$31,0,1-MIN(60,COLUMN()-29),1,MIN(60,COLUMN()-29)),OFFSET(BX249,0,-MIN(60,COLUMN()-29),1,MIN(60,COLUMN()-29))),0)</f>
        <v>0</v>
      </c>
      <c r="BY250" s="112" t="n">
        <f aca="true">IFERROR(SUMPRODUCT(OFFSET($BJ$31,0,1-MIN(60,COLUMN()-29),1,MIN(60,COLUMN()-29)),OFFSET(BY249,0,-MIN(60,COLUMN()-29),1,MIN(60,COLUMN()-29))),0)</f>
        <v>0</v>
      </c>
      <c r="BZ250" s="112" t="n">
        <f aca="true">IFERROR(SUMPRODUCT(OFFSET($BJ$31,0,1-MIN(60,COLUMN()-29),1,MIN(60,COLUMN()-29)),OFFSET(BZ249,0,-MIN(60,COLUMN()-29),1,MIN(60,COLUMN()-29))),0)</f>
        <v>0</v>
      </c>
      <c r="CA250" s="112" t="n">
        <f aca="true">IFERROR(SUMPRODUCT(OFFSET($BJ$31,0,1-MIN(60,COLUMN()-29),1,MIN(60,COLUMN()-29)),OFFSET(CA249,0,-MIN(60,COLUMN()-29),1,MIN(60,COLUMN()-29))),0)</f>
        <v>0</v>
      </c>
      <c r="CB250" s="112" t="n">
        <f aca="true">IFERROR(SUMPRODUCT(OFFSET($BJ$31,0,1-MIN(60,COLUMN()-29),1,MIN(60,COLUMN()-29)),OFFSET(CB249,0,-MIN(60,COLUMN()-29),1,MIN(60,COLUMN()-29))),0)</f>
        <v>0</v>
      </c>
      <c r="CC250" s="112" t="n">
        <f aca="true">IFERROR(SUMPRODUCT(OFFSET($BJ$31,0,1-MIN(60,COLUMN()-29),1,MIN(60,COLUMN()-29)),OFFSET(CC249,0,-MIN(60,COLUMN()-29),1,MIN(60,COLUMN()-29))),0)</f>
        <v>0</v>
      </c>
      <c r="CD250" s="112" t="n">
        <f aca="true">IFERROR(SUMPRODUCT(OFFSET($BJ$31,0,1-MIN(60,COLUMN()-29),1,MIN(60,COLUMN()-29)),OFFSET(CD249,0,-MIN(60,COLUMN()-29),1,MIN(60,COLUMN()-29))),0)</f>
        <v>0</v>
      </c>
      <c r="CE250" s="112" t="n">
        <f aca="true">IFERROR(SUMPRODUCT(OFFSET($BJ$31,0,1-MIN(60,COLUMN()-29),1,MIN(60,COLUMN()-29)),OFFSET(CE249,0,-MIN(60,COLUMN()-29),1,MIN(60,COLUMN()-29))),0)</f>
        <v>0</v>
      </c>
      <c r="CF250" s="112" t="n">
        <f aca="true">IFERROR(SUMPRODUCT(OFFSET($BJ$31,0,1-MIN(60,COLUMN()-29),1,MIN(60,COLUMN()-29)),OFFSET(CF249,0,-MIN(60,COLUMN()-29),1,MIN(60,COLUMN()-29))),0)</f>
        <v>0</v>
      </c>
      <c r="CG250" s="112" t="n">
        <f aca="true">IFERROR(SUMPRODUCT(OFFSET($BJ$31,0,1-MIN(60,COLUMN()-29),1,MIN(60,COLUMN()-29)),OFFSET(CG249,0,-MIN(60,COLUMN()-29),1,MIN(60,COLUMN()-29))),0)</f>
        <v>3.99872</v>
      </c>
      <c r="CH250" s="112" t="n">
        <f aca="true">IFERROR(SUMPRODUCT(OFFSET($BJ$31,0,1-MIN(60,COLUMN()-29),1,MIN(60,COLUMN()-29)),OFFSET(CH249,0,-MIN(60,COLUMN()-29),1,MIN(60,COLUMN()-29))),0)</f>
        <v>4.14304</v>
      </c>
      <c r="CI250" s="112" t="n">
        <f aca="true">IFERROR(SUMPRODUCT(OFFSET($BJ$31,0,1-MIN(60,COLUMN()-29),1,MIN(60,COLUMN()-29)),OFFSET(CI249,0,-MIN(60,COLUMN()-29),1,MIN(60,COLUMN()-29))),0)</f>
        <v>4.4378752</v>
      </c>
      <c r="CJ250" s="112" t="n">
        <f aca="true">IFERROR(SUMPRODUCT(OFFSET($BJ$31,0,1-MIN(60,COLUMN()-29),1,MIN(60,COLUMN()-29)),OFFSET(CJ249,0,-MIN(60,COLUMN()-29),1,MIN(60,COLUMN()-29))),0)</f>
        <v>4.2118912</v>
      </c>
      <c r="CK250" s="112" t="n">
        <f aca="true">IFERROR(SUMPRODUCT(OFFSET($BJ$31,0,1-MIN(60,COLUMN()-29),1,MIN(60,COLUMN()-29)),OFFSET(CK249,0,-MIN(60,COLUMN()-29),1,MIN(60,COLUMN()-29))),0)</f>
        <v>5.4809216</v>
      </c>
      <c r="CL250" s="112" t="n">
        <f aca="true">IFERROR(SUMPRODUCT(OFFSET($BJ$31,0,1-MIN(60,COLUMN()-29),1,MIN(60,COLUMN()-29)),OFFSET(CL249,0,-MIN(60,COLUMN()-29),1,MIN(60,COLUMN()-29))),0)</f>
        <v>6.4700064</v>
      </c>
      <c r="CM250" s="112" t="n">
        <f aca="true">IFERROR(SUMPRODUCT(OFFSET($BJ$31,0,1-MIN(60,COLUMN()-29),1,MIN(60,COLUMN()-29)),OFFSET(CM249,0,-MIN(60,COLUMN()-29),1,MIN(60,COLUMN()-29))),0)</f>
        <v>6.5193216</v>
      </c>
      <c r="CN250" s="112" t="n">
        <f aca="true">IFERROR(SUMPRODUCT(OFFSET($BJ$31,0,1-MIN(60,COLUMN()-29),1,MIN(60,COLUMN()-29)),OFFSET(CN249,0,-MIN(60,COLUMN()-29),1,MIN(60,COLUMN()-29))),0)</f>
        <v>9.064176</v>
      </c>
      <c r="CO250" s="112" t="n">
        <f aca="true">IFERROR(SUMPRODUCT(OFFSET($BJ$31,0,1-MIN(60,COLUMN()-29),1,MIN(60,COLUMN()-29)),OFFSET(CO249,0,-MIN(60,COLUMN()-29),1,MIN(60,COLUMN()-29))),0)</f>
        <v>10.102752</v>
      </c>
      <c r="CP250" s="112" t="n">
        <f aca="true">IFERROR(SUMPRODUCT(OFFSET($BJ$31,0,1-MIN(60,COLUMN()-29),1,MIN(60,COLUMN()-29)),OFFSET(CP249,0,-MIN(60,COLUMN()-29),1,MIN(60,COLUMN()-29))),0)</f>
        <v>9.937488</v>
      </c>
      <c r="CQ250" s="112" t="n">
        <f aca="true">IFERROR(SUMPRODUCT(OFFSET($BJ$31,0,1-MIN(60,COLUMN()-29),1,MIN(60,COLUMN()-29)),OFFSET(CQ249,0,-MIN(60,COLUMN()-29),1,MIN(60,COLUMN()-29))),0)</f>
        <v>9.9244992</v>
      </c>
      <c r="CR250" s="112" t="n">
        <f aca="true">IFERROR(SUMPRODUCT(OFFSET($BJ$31,0,1-MIN(60,COLUMN()-29),1,MIN(60,COLUMN()-29)),OFFSET(CR249,0,-MIN(60,COLUMN()-29),1,MIN(60,COLUMN()-29))),0)</f>
        <v>11.527296</v>
      </c>
      <c r="CS250" s="112" t="n">
        <f aca="true">IFERROR(SUMPRODUCT(OFFSET($BJ$31,0,1-MIN(60,COLUMN()-29),1,MIN(60,COLUMN()-29)),OFFSET(CS249,0,-MIN(60,COLUMN()-29),1,MIN(60,COLUMN()-29))),0)</f>
        <v>17.6015488</v>
      </c>
      <c r="CT250" s="112" t="n">
        <f aca="true">IFERROR(SUMPRODUCT(OFFSET($BJ$31,0,1-MIN(60,COLUMN()-29),1,MIN(60,COLUMN()-29)),OFFSET(CT249,0,-MIN(60,COLUMN()-29),1,MIN(60,COLUMN()-29))),0)</f>
        <v>17.5694464</v>
      </c>
      <c r="CU250" s="112" t="n">
        <f aca="true">IFERROR(SUMPRODUCT(OFFSET($BJ$31,0,1-MIN(60,COLUMN()-29),1,MIN(60,COLUMN()-29)),OFFSET(CU249,0,-MIN(60,COLUMN()-29),1,MIN(60,COLUMN()-29))),0)</f>
        <v>16.9281024</v>
      </c>
      <c r="CV250" s="112" t="n">
        <f aca="true">IFERROR(SUMPRODUCT(OFFSET($BJ$31,0,1-MIN(60,COLUMN()-29),1,MIN(60,COLUMN()-29)),OFFSET(CV249,0,-MIN(60,COLUMN()-29),1,MIN(60,COLUMN()-29))),0)</f>
        <v>16.8218688</v>
      </c>
      <c r="CW250" s="112" t="n">
        <f aca="true">IFERROR(SUMPRODUCT(OFFSET($BJ$31,0,1-MIN(60,COLUMN()-29),1,MIN(60,COLUMN()-29)),OFFSET(CW249,0,-MIN(60,COLUMN()-29),1,MIN(60,COLUMN()-29))),0)</f>
        <v>22.00978912</v>
      </c>
      <c r="CX250" s="112" t="n">
        <f aca="true">IFERROR(SUMPRODUCT(OFFSET($BJ$31,0,1-MIN(60,COLUMN()-29),1,MIN(60,COLUMN()-29)),OFFSET(CX249,0,-MIN(60,COLUMN()-29),1,MIN(60,COLUMN()-29))),0)</f>
        <v>24.63755712</v>
      </c>
      <c r="CY250" s="112" t="n">
        <f aca="true">IFERROR(SUMPRODUCT(OFFSET($BJ$31,0,1-MIN(60,COLUMN()-29),1,MIN(60,COLUMN()-29)),OFFSET(CY249,0,-MIN(60,COLUMN()-29),1,MIN(60,COLUMN()-29))),0)</f>
        <v>24.16708096</v>
      </c>
      <c r="CZ250" s="112" t="n">
        <f aca="true">IFERROR(SUMPRODUCT(OFFSET($BJ$31,0,1-MIN(60,COLUMN()-29),1,MIN(60,COLUMN()-29)),OFFSET(CZ249,0,-MIN(60,COLUMN()-29),1,MIN(60,COLUMN()-29))),0)</f>
        <v>29.80569504</v>
      </c>
      <c r="DA250" s="112" t="n">
        <f aca="true">IFERROR(SUMPRODUCT(OFFSET($BJ$31,0,1-MIN(60,COLUMN()-29),1,MIN(60,COLUMN()-29)),OFFSET(DA249,0,-MIN(60,COLUMN()-29),1,MIN(60,COLUMN()-29))),0)</f>
        <v>31.1026804</v>
      </c>
      <c r="DB250" s="112" t="n">
        <f aca="true">IFERROR(SUMPRODUCT(OFFSET($BJ$31,0,1-MIN(60,COLUMN()-29),1,MIN(60,COLUMN()-29)),OFFSET(DB249,0,-MIN(60,COLUMN()-29),1,MIN(60,COLUMN()-29))),0)</f>
        <v>31.21738136</v>
      </c>
      <c r="DC250" s="112" t="n">
        <f aca="true">IFERROR(SUMPRODUCT(OFFSET($BJ$31,0,1-MIN(60,COLUMN()-29),1,MIN(60,COLUMN()-29)),OFFSET(DC249,0,-MIN(60,COLUMN()-29),1,MIN(60,COLUMN()-29))),0)</f>
        <v>31.23754128</v>
      </c>
      <c r="DD250" s="112" t="n">
        <f aca="true">IFERROR(SUMPRODUCT(OFFSET($BJ$31,0,1-MIN(60,COLUMN()-29),1,MIN(60,COLUMN()-29)),OFFSET(DD249,0,-MIN(60,COLUMN()-29),1,MIN(60,COLUMN()-29))),0)</f>
        <v>34.33852928</v>
      </c>
      <c r="DE250" s="112" t="n">
        <f aca="true">IFERROR(SUMPRODUCT(OFFSET($BJ$31,0,1-MIN(60,COLUMN()-29),1,MIN(60,COLUMN()-29)),OFFSET(DE249,0,-MIN(60,COLUMN()-29),1,MIN(60,COLUMN()-29))),0)</f>
        <v>44.40994976</v>
      </c>
      <c r="DF250" s="112" t="n">
        <f aca="true">IFERROR(SUMPRODUCT(OFFSET($BJ$31,0,1-MIN(60,COLUMN()-29),1,MIN(60,COLUMN()-29)),OFFSET(DF249,0,-MIN(60,COLUMN()-29),1,MIN(60,COLUMN()-29))),0)</f>
        <v>44.11055968</v>
      </c>
      <c r="DG250" s="112" t="n">
        <f aca="true">IFERROR(SUMPRODUCT(OFFSET($BJ$31,0,1-MIN(60,COLUMN()-29),1,MIN(60,COLUMN()-29)),OFFSET(DG249,0,-MIN(60,COLUMN()-29),1,MIN(60,COLUMN()-29))),0)</f>
        <v>43.76237536</v>
      </c>
      <c r="DH250" s="112" t="n">
        <f aca="true">IFERROR(SUMPRODUCT(OFFSET($BJ$31,0,1-MIN(60,COLUMN()-29),1,MIN(60,COLUMN()-29)),OFFSET(DH249,0,-MIN(60,COLUMN()-29),1,MIN(60,COLUMN()-29))),0)</f>
        <v>42.3976784</v>
      </c>
      <c r="DI250" s="112" t="n">
        <f aca="true">IFERROR(SUMPRODUCT(OFFSET($BJ$31,0,1-MIN(60,COLUMN()-29),1,MIN(60,COLUMN()-29)),OFFSET(DI249,0,-MIN(60,COLUMN()-29),1,MIN(60,COLUMN()-29))),0)</f>
        <v>50.08543584</v>
      </c>
      <c r="DJ250" s="112" t="n">
        <f aca="true">IFERROR(SUMPRODUCT(OFFSET($BJ$31,0,1-MIN(60,COLUMN()-29),1,MIN(60,COLUMN()-29)),OFFSET(DJ249,0,-MIN(60,COLUMN()-29),1,MIN(60,COLUMN()-29))),0)</f>
        <v>52.96854816</v>
      </c>
      <c r="DK250" s="112" t="n">
        <f aca="true">IFERROR(SUMPRODUCT(OFFSET($BJ$31,0,1-MIN(60,COLUMN()-29),1,MIN(60,COLUMN()-29)),OFFSET(DK249,0,-MIN(60,COLUMN()-29),1,MIN(60,COLUMN()-29))),0)</f>
        <v>52.66568736</v>
      </c>
      <c r="DL250" s="112" t="n">
        <f aca="true">IFERROR(SUMPRODUCT(OFFSET($BJ$31,0,1-MIN(60,COLUMN()-29),1,MIN(60,COLUMN()-29)),OFFSET(DL249,0,-MIN(60,COLUMN()-29),1,MIN(60,COLUMN()-29))),0)</f>
        <v>60.4042032</v>
      </c>
      <c r="DM250" s="112" t="n">
        <f aca="true">IFERROR(SUMPRODUCT(OFFSET($BJ$31,0,1-MIN(60,COLUMN()-29),1,MIN(60,COLUMN()-29)),OFFSET(DM249,0,-MIN(60,COLUMN()-29),1,MIN(60,COLUMN()-29))),0)</f>
        <v>62.64766464</v>
      </c>
      <c r="DN250" s="112" t="n">
        <f aca="true">IFERROR(SUMPRODUCT(OFFSET($BJ$31,0,1-MIN(60,COLUMN()-29),1,MIN(60,COLUMN()-29)),OFFSET(DN249,0,-MIN(60,COLUMN()-29),1,MIN(60,COLUMN()-29))),0)</f>
        <v>63.42375072</v>
      </c>
      <c r="DO250" s="112" t="n">
        <f aca="true">IFERROR(SUMPRODUCT(OFFSET($BJ$31,0,1-MIN(60,COLUMN()-29),1,MIN(60,COLUMN()-29)),OFFSET(DO249,0,-MIN(60,COLUMN()-29),1,MIN(60,COLUMN()-29))),0)</f>
        <v>63.56743536</v>
      </c>
      <c r="DP250" s="112" t="n">
        <f aca="true">IFERROR(SUMPRODUCT(OFFSET($BJ$31,0,1-MIN(60,COLUMN()-29),1,MIN(60,COLUMN()-29)),OFFSET(DP249,0,-MIN(60,COLUMN()-29),1,MIN(60,COLUMN()-29))),0)</f>
        <v>68.35467408</v>
      </c>
      <c r="DQ250" s="112" t="n">
        <f aca="true">IFERROR(SUMPRODUCT(OFFSET($BJ$31,0,1-MIN(60,COLUMN()-29),1,MIN(60,COLUMN()-29)),OFFSET(DQ249,0,-MIN(60,COLUMN()-29),1,MIN(60,COLUMN()-29))),0)</f>
        <v>81.12849888</v>
      </c>
      <c r="DR250" s="112" t="n">
        <f aca="true">IFERROR(SUMPRODUCT(OFFSET($BJ$31,0,1-MIN(60,COLUMN()-29),1,MIN(60,COLUMN()-29)),OFFSET(DR249,0,-MIN(60,COLUMN()-29),1,MIN(60,COLUMN()-29))),0)</f>
        <v>81.33732288</v>
      </c>
      <c r="DS250" s="112" t="n">
        <f aca="true">IFERROR(SUMPRODUCT(OFFSET($BJ$31,0,1-MIN(60,COLUMN()-29),1,MIN(60,COLUMN()-29)),OFFSET(DS249,0,-MIN(60,COLUMN()-29),1,MIN(60,COLUMN()-29))),0)</f>
        <v>80.85857472</v>
      </c>
      <c r="DT250" s="112" t="n">
        <f aca="true">IFERROR(SUMPRODUCT(OFFSET($BJ$31,0,1-MIN(60,COLUMN()-29),1,MIN(60,COLUMN()-29)),OFFSET(DT249,0,-MIN(60,COLUMN()-29),1,MIN(60,COLUMN()-29))),0)</f>
        <v>79.07529696</v>
      </c>
      <c r="DU250" s="112" t="n">
        <f aca="true">IFERROR(SUMPRODUCT(OFFSET($BJ$31,0,1-MIN(60,COLUMN()-29),1,MIN(60,COLUMN()-29)),OFFSET(DU249,0,-MIN(60,COLUMN()-29),1,MIN(60,COLUMN()-29))),0)</f>
        <v>88.85581584</v>
      </c>
      <c r="DV250" s="112" t="n">
        <f aca="true">IFERROR(SUMPRODUCT(OFFSET($BJ$31,0,1-MIN(60,COLUMN()-29),1,MIN(60,COLUMN()-29)),OFFSET(DV249,0,-MIN(60,COLUMN()-29),1,MIN(60,COLUMN()-29))),0)</f>
        <v>92.7424872</v>
      </c>
      <c r="DW250" s="112" t="n">
        <f aca="true">IFERROR(SUMPRODUCT(OFFSET($BJ$31,0,1-MIN(60,COLUMN()-29),1,MIN(60,COLUMN()-29)),OFFSET(DW249,0,-MIN(60,COLUMN()-29),1,MIN(60,COLUMN()-29))),0)</f>
        <v>93.03694224</v>
      </c>
      <c r="DX250" s="112" t="n">
        <f aca="true">IFERROR(SUMPRODUCT(OFFSET($BJ$31,0,1-MIN(60,COLUMN()-29),1,MIN(60,COLUMN()-29)),OFFSET(DX249,0,-MIN(60,COLUMN()-29),1,MIN(60,COLUMN()-29))),0)</f>
        <v>101.9795304</v>
      </c>
      <c r="DY250" s="112" t="n">
        <f aca="true">IFERROR(SUMPRODUCT(OFFSET($BJ$31,0,1-MIN(60,COLUMN()-29),1,MIN(60,COLUMN()-29)),OFFSET(DY249,0,-MIN(60,COLUMN()-29),1,MIN(60,COLUMN()-29))),0)</f>
        <v>104.48738784</v>
      </c>
      <c r="DZ250" s="112" t="n">
        <f aca="true">IFERROR(SUMPRODUCT(OFFSET($BJ$31,0,1-MIN(60,COLUMN()-29),1,MIN(60,COLUMN()-29)),OFFSET(DZ249,0,-MIN(60,COLUMN()-29),1,MIN(60,COLUMN()-29))),0)</f>
        <v>105.2625024</v>
      </c>
      <c r="EA250" s="112" t="n">
        <f aca="true">IFERROR(SUMPRODUCT(OFFSET($BJ$31,0,1-MIN(60,COLUMN()-29),1,MIN(60,COLUMN()-29)),OFFSET(EA249,0,-MIN(60,COLUMN()-29),1,MIN(60,COLUMN()-29))),0)</f>
        <v>105.40274976</v>
      </c>
      <c r="EB250" s="112" t="n">
        <f aca="true">IFERROR(SUMPRODUCT(OFFSET($BJ$31,0,1-MIN(60,COLUMN()-29),1,MIN(60,COLUMN()-29)),OFFSET(EB249,0,-MIN(60,COLUMN()-29),1,MIN(60,COLUMN()-29))),0)</f>
        <v>110.7364368</v>
      </c>
      <c r="EC250" s="112" t="n">
        <f aca="true">IFERROR(SUMPRODUCT(OFFSET($BJ$31,0,1-MIN(60,COLUMN()-29),1,MIN(60,COLUMN()-29)),OFFSET(EC249,0,-MIN(60,COLUMN()-29),1,MIN(60,COLUMN()-29))),0)</f>
        <v>124.227972</v>
      </c>
      <c r="ED250" s="112" t="n">
        <f aca="true">IFERROR(SUMPRODUCT(OFFSET($BJ$31,0,1-MIN(60,COLUMN()-29),1,MIN(60,COLUMN()-29)),OFFSET(ED249,0,-MIN(60,COLUMN()-29),1,MIN(60,COLUMN()-29))),0)</f>
        <v>123.96763632</v>
      </c>
      <c r="EE250" s="112" t="n">
        <f aca="true">IFERROR(SUMPRODUCT(OFFSET($BJ$31,0,1-MIN(60,COLUMN()-29),1,MIN(60,COLUMN()-29)),OFFSET(EE249,0,-MIN(60,COLUMN()-29),1,MIN(60,COLUMN()-29))),0)</f>
        <v>122.86331376</v>
      </c>
      <c r="EF250" s="112" t="n">
        <f aca="true">IFERROR(SUMPRODUCT(OFFSET($BJ$31,0,1-MIN(60,COLUMN()-29),1,MIN(60,COLUMN()-29)),OFFSET(EF249,0,-MIN(60,COLUMN()-29),1,MIN(60,COLUMN()-29))),0)</f>
        <v>120.69865104</v>
      </c>
      <c r="EG250" s="112" t="n">
        <f aca="true">IFERROR(SUMPRODUCT(OFFSET($BJ$31,0,1-MIN(60,COLUMN()-29),1,MIN(60,COLUMN()-29)),OFFSET(EG249,0,-MIN(60,COLUMN()-29),1,MIN(60,COLUMN()-29))),0)</f>
        <v>130.69421112</v>
      </c>
      <c r="EH250" s="112" t="n">
        <f aca="true">IFERROR(SUMPRODUCT(OFFSET($BJ$31,0,1-MIN(60,COLUMN()-29),1,MIN(60,COLUMN()-29)),OFFSET(EH249,0,-MIN(60,COLUMN()-29),1,MIN(60,COLUMN()-29))),0)</f>
        <v>134.22388584</v>
      </c>
      <c r="EI250" s="112" t="n">
        <f aca="true">IFERROR(SUMPRODUCT(OFFSET($BJ$31,0,1-MIN(60,COLUMN()-29),1,MIN(60,COLUMN()-29)),OFFSET(EI249,0,-MIN(60,COLUMN()-29),1,MIN(60,COLUMN()-29))),0)</f>
        <v>134.17125744</v>
      </c>
      <c r="EJ250" s="112" t="n">
        <f aca="true">IFERROR(SUMPRODUCT(OFFSET($BJ$31,0,1-MIN(60,COLUMN()-29),1,MIN(60,COLUMN()-29)),OFFSET(EJ249,0,-MIN(60,COLUMN()-29),1,MIN(60,COLUMN()-29))),0)</f>
        <v>142.44994368</v>
      </c>
      <c r="EK250" s="112" t="n">
        <f aca="true">IFERROR(SUMPRODUCT(OFFSET($BJ$31,0,1-MIN(60,COLUMN()-29),1,MIN(60,COLUMN()-29)),OFFSET(EK249,0,-MIN(60,COLUMN()-29),1,MIN(60,COLUMN()-29))),0)</f>
        <v>144.31593264</v>
      </c>
      <c r="EL250" s="112" t="n">
        <f aca="true">IFERROR(SUMPRODUCT(OFFSET($BJ$31,0,1-MIN(60,COLUMN()-29),1,MIN(60,COLUMN()-29)),OFFSET(EL249,0,-MIN(60,COLUMN()-29),1,MIN(60,COLUMN()-29))),0)</f>
        <v>144.70665264</v>
      </c>
      <c r="EM250" s="112" t="n">
        <f aca="true">IFERROR(SUMPRODUCT(OFFSET($BJ$31,0,1-MIN(60,COLUMN()-29),1,MIN(60,COLUMN()-29)),OFFSET(EM249,0,-MIN(60,COLUMN()-29),1,MIN(60,COLUMN()-29))),0)</f>
        <v>144.35137728</v>
      </c>
      <c r="EN250" s="112" t="n">
        <f aca="true">IFERROR(SUMPRODUCT(OFFSET($BJ$31,0,1-MIN(60,COLUMN()-29),1,MIN(60,COLUMN()-29)),OFFSET(EN249,0,-MIN(60,COLUMN()-29),1,MIN(60,COLUMN()-29))),0)</f>
        <v>149.36156928</v>
      </c>
      <c r="EO250" s="112" t="n">
        <f aca="true">IFERROR(SUMPRODUCT(OFFSET($BJ$31,0,1-MIN(60,COLUMN()-29),1,MIN(60,COLUMN()-29)),OFFSET(EO249,0,-MIN(60,COLUMN()-29),1,MIN(60,COLUMN()-29))),0)</f>
        <v>161.92163328</v>
      </c>
      <c r="EP250" s="112" t="n">
        <f aca="true">IFERROR(SUMPRODUCT(OFFSET($BJ$31,0,1-MIN(60,COLUMN()-29),1,MIN(60,COLUMN()-29)),OFFSET(EP249,0,-MIN(60,COLUMN()-29),1,MIN(60,COLUMN()-29))),0)</f>
        <v>160.63194048</v>
      </c>
      <c r="EQ250" s="112" t="n">
        <f aca="true">IFERROR(SUMPRODUCT(OFFSET($BJ$31,0,1-MIN(60,COLUMN()-29),1,MIN(60,COLUMN()-29)),OFFSET(EQ249,0,-MIN(60,COLUMN()-29),1,MIN(60,COLUMN()-29))),0)</f>
        <v>158.70410688</v>
      </c>
      <c r="ER250" s="112" t="n">
        <f aca="true">IFERROR(SUMPRODUCT(OFFSET($BJ$31,0,1-MIN(60,COLUMN()-29),1,MIN(60,COLUMN()-29)),OFFSET(ER249,0,-MIN(60,COLUMN()-29),1,MIN(60,COLUMN()-29))),0)</f>
        <v>155.75248128</v>
      </c>
      <c r="ES250" s="9" t="n">
        <f aca="true">IFERROR(SUMPRODUCT(OFFSET($BJ$31,0,1-MIN(60,COLUMN()-29),1,MIN(60,COLUMN()-29)),OFFSET(ES249,0,-MIN(60,COLUMN()-29),1,MIN(60,COLUMN()-29))),0)</f>
        <v>164.65577568</v>
      </c>
      <c r="ET250" s="9" t="n">
        <f aca="true">IFERROR(SUMPRODUCT(OFFSET($BJ$31,0,1-MIN(60,COLUMN()-29),1,MIN(60,COLUMN()-29)),OFFSET(ET249,0,-MIN(60,COLUMN()-29),1,MIN(60,COLUMN()-29))),0)</f>
        <v>166.86022848</v>
      </c>
      <c r="EU250" s="9" t="n">
        <f aca="true">IFERROR(SUMPRODUCT(OFFSET($BJ$31,0,1-MIN(60,COLUMN()-29),1,MIN(60,COLUMN()-29)),OFFSET(EU249,0,-MIN(60,COLUMN()-29),1,MIN(60,COLUMN()-29))),0)</f>
        <v>165.73440048</v>
      </c>
      <c r="EV250" s="9" t="n">
        <f aca="true">IFERROR(SUMPRODUCT(OFFSET($BJ$31,0,1-MIN(60,COLUMN()-29),1,MIN(60,COLUMN()-29)),OFFSET(EV249,0,-MIN(60,COLUMN()-29),1,MIN(60,COLUMN()-29))),0)</f>
        <v>172.47500688</v>
      </c>
      <c r="EW250" s="9" t="n">
        <f aca="true">IFERROR(SUMPRODUCT(OFFSET($BJ$31,0,1-MIN(60,COLUMN()-29),1,MIN(60,COLUMN()-29)),OFFSET(EW249,0,-MIN(60,COLUMN()-29),1,MIN(60,COLUMN()-29))),0)</f>
        <v>172.86031488</v>
      </c>
      <c r="EX250" s="9" t="n">
        <f aca="true">IFERROR(SUMPRODUCT(OFFSET($BJ$31,0,1-MIN(60,COLUMN()-29),1,MIN(60,COLUMN()-29)),OFFSET(EX249,0,-MIN(60,COLUMN()-29),1,MIN(60,COLUMN()-29))),0)</f>
        <v>171.96910368</v>
      </c>
      <c r="EY250" s="9" t="n">
        <f aca="true">IFERROR(SUMPRODUCT(OFFSET($BJ$31,0,1-MIN(60,COLUMN()-29),1,MIN(60,COLUMN()-29)),OFFSET(EY249,0,-MIN(60,COLUMN()-29),1,MIN(60,COLUMN()-29))),0)</f>
        <v>170.44265568</v>
      </c>
      <c r="EZ250" s="9" t="n">
        <f aca="true">IFERROR(SUMPRODUCT(OFFSET($BJ$31,0,1-MIN(60,COLUMN()-29),1,MIN(60,COLUMN()-29)),OFFSET(EZ249,0,-MIN(60,COLUMN()-29),1,MIN(60,COLUMN()-29))),0)</f>
        <v>174.16774848</v>
      </c>
      <c r="FA250" s="9" t="n">
        <f aca="true">IFERROR(SUMPRODUCT(OFFSET($BJ$31,0,1-MIN(60,COLUMN()-29),1,MIN(60,COLUMN()-29)),OFFSET(FA249,0,-MIN(60,COLUMN()-29),1,MIN(60,COLUMN()-29))),0)</f>
        <v>185.00898768</v>
      </c>
      <c r="FB250" s="9" t="n">
        <f aca="true">IFERROR(SUMPRODUCT(OFFSET($BJ$31,0,1-MIN(60,COLUMN()-29),1,MIN(60,COLUMN()-29)),OFFSET(FB249,0,-MIN(60,COLUMN()-29),1,MIN(60,COLUMN()-29))),0)</f>
        <v>182.33202768</v>
      </c>
      <c r="FC250" s="9" t="n">
        <f aca="true">IFERROR(SUMPRODUCT(OFFSET($BJ$31,0,1-MIN(60,COLUMN()-29),1,MIN(60,COLUMN()-29)),OFFSET(FC249,0,-MIN(60,COLUMN()-29),1,MIN(60,COLUMN()-29))),0)</f>
        <v>179.24850768</v>
      </c>
      <c r="FD250" s="9" t="n">
        <f aca="true">IFERROR(SUMPRODUCT(OFFSET($BJ$31,0,1-MIN(60,COLUMN()-29),1,MIN(60,COLUMN()-29)),OFFSET(FD249,0,-MIN(60,COLUMN()-29),1,MIN(60,COLUMN()-29))),0)</f>
        <v>175.4432328</v>
      </c>
      <c r="FE250" s="9" t="n">
        <f aca="true">IFERROR(SUMPRODUCT(OFFSET($BJ$31,0,1-MIN(60,COLUMN()-29),1,MIN(60,COLUMN()-29)),OFFSET(FE249,0,-MIN(60,COLUMN()-29),1,MIN(60,COLUMN()-29))),0)</f>
        <v>183.11941824</v>
      </c>
      <c r="FF250" s="9" t="n">
        <f aca="true">IFERROR(SUMPRODUCT(OFFSET($BJ$31,0,1-MIN(60,COLUMN()-29),1,MIN(60,COLUMN()-29)),OFFSET(FF249,0,-MIN(60,COLUMN()-29),1,MIN(60,COLUMN()-29))),0)</f>
        <v>184.09557408</v>
      </c>
      <c r="FG250" s="9" t="n">
        <f aca="true">IFERROR(SUMPRODUCT(OFFSET($BJ$31,0,1-MIN(60,COLUMN()-29),1,MIN(60,COLUMN()-29)),OFFSET(FG249,0,-MIN(60,COLUMN()-29),1,MIN(60,COLUMN()-29))),0)</f>
        <v>182.07416832</v>
      </c>
      <c r="FH250" s="9" t="n">
        <f aca="true">IFERROR(SUMPRODUCT(OFFSET($BJ$31,0,1-MIN(60,COLUMN()-29),1,MIN(60,COLUMN()-29)),OFFSET(FH249,0,-MIN(60,COLUMN()-29),1,MIN(60,COLUMN()-29))),0)</f>
        <v>187.57542144</v>
      </c>
      <c r="FI250" s="9" t="n">
        <f aca="true">IFERROR(SUMPRODUCT(OFFSET($BJ$31,0,1-MIN(60,COLUMN()-29),1,MIN(60,COLUMN()-29)),OFFSET(FI249,0,-MIN(60,COLUMN()-29),1,MIN(60,COLUMN()-29))),0)</f>
        <v>186.85256304</v>
      </c>
      <c r="FJ250" s="9" t="n">
        <f aca="true">IFERROR(SUMPRODUCT(OFFSET($BJ$31,0,1-MIN(60,COLUMN()-29),1,MIN(60,COLUMN()-29)),OFFSET(FJ249,0,-MIN(60,COLUMN()-29),1,MIN(60,COLUMN()-29))),0)</f>
        <v>185.01776304</v>
      </c>
      <c r="FK250" s="9" t="n">
        <f aca="true">IFERROR(SUMPRODUCT(OFFSET($BJ$31,0,1-MIN(60,COLUMN()-29),1,MIN(60,COLUMN()-29)),OFFSET(FK249,0,-MIN(60,COLUMN()-29),1,MIN(60,COLUMN()-29))),0)</f>
        <v>182.72275824</v>
      </c>
      <c r="FL250" s="9" t="n">
        <f aca="true">IFERROR(SUMPRODUCT(OFFSET($BJ$31,0,1-MIN(60,COLUMN()-29),1,MIN(60,COLUMN()-29)),OFFSET(FL249,0,-MIN(60,COLUMN()-29),1,MIN(60,COLUMN()-29))),0)</f>
        <v>185.66215536</v>
      </c>
      <c r="FM250" s="9" t="n">
        <f aca="true">IFERROR(SUMPRODUCT(OFFSET($BJ$31,0,1-MIN(60,COLUMN()-29),1,MIN(60,COLUMN()-29)),OFFSET(FM249,0,-MIN(60,COLUMN()-29),1,MIN(60,COLUMN()-29))),0)</f>
        <v>195.23704992</v>
      </c>
      <c r="FN250" s="9" t="n">
        <f aca="true">IFERROR(SUMPRODUCT(OFFSET($BJ$31,0,1-MIN(60,COLUMN()-29),1,MIN(60,COLUMN()-29)),OFFSET(FN249,0,-MIN(60,COLUMN()-29),1,MIN(60,COLUMN()-29))),0)</f>
        <v>191.57705952</v>
      </c>
      <c r="FO250" s="9" t="n">
        <f aca="true">IFERROR(SUMPRODUCT(OFFSET($BJ$31,0,1-MIN(60,COLUMN()-29),1,MIN(60,COLUMN()-29)),OFFSET(FO249,0,-MIN(60,COLUMN()-29),1,MIN(60,COLUMN()-29))),0)</f>
        <v>187.66250976</v>
      </c>
      <c r="FP250" s="9" t="n">
        <f aca="true">IFERROR(SUMPRODUCT(OFFSET($BJ$31,0,1-MIN(60,COLUMN()-29),1,MIN(60,COLUMN()-29)),OFFSET(FP249,0,-MIN(60,COLUMN()-29),1,MIN(60,COLUMN()-29))),0)</f>
        <v>183.41301792</v>
      </c>
    </row>
    <row r="251" customFormat="false" ht="15" hidden="false" customHeight="false" outlineLevel="2" collapsed="false">
      <c r="B251" s="90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237"/>
      <c r="AD251" s="237"/>
      <c r="AE251" s="237"/>
      <c r="AF251" s="237"/>
      <c r="AG251" s="237"/>
      <c r="AH251" s="237"/>
      <c r="AI251" s="237"/>
      <c r="AJ251" s="237"/>
      <c r="AK251" s="237"/>
      <c r="AL251" s="237"/>
      <c r="AM251" s="237"/>
      <c r="AN251" s="237"/>
      <c r="AO251" s="237"/>
      <c r="AP251" s="237"/>
      <c r="AQ251" s="237"/>
      <c r="AR251" s="237"/>
      <c r="AS251" s="237"/>
      <c r="AT251" s="237"/>
      <c r="AU251" s="237"/>
      <c r="AV251" s="237"/>
      <c r="AW251" s="237"/>
      <c r="AX251" s="237"/>
      <c r="AY251" s="237"/>
      <c r="AZ251" s="237"/>
      <c r="BA251" s="237"/>
      <c r="BB251" s="237"/>
      <c r="BC251" s="237"/>
      <c r="BD251" s="237"/>
      <c r="BE251" s="237"/>
      <c r="BF251" s="237"/>
      <c r="BG251" s="237"/>
      <c r="BH251" s="237"/>
      <c r="BI251" s="237"/>
      <c r="BJ251" s="237"/>
      <c r="BK251" s="237"/>
      <c r="BL251" s="237"/>
      <c r="BM251" s="237"/>
      <c r="BN251" s="237"/>
      <c r="BO251" s="237"/>
      <c r="BP251" s="237"/>
      <c r="BQ251" s="237"/>
      <c r="BR251" s="237"/>
      <c r="BS251" s="237"/>
      <c r="BT251" s="237"/>
      <c r="BU251" s="237"/>
      <c r="BV251" s="237"/>
      <c r="BW251" s="237"/>
      <c r="BX251" s="237"/>
      <c r="BY251" s="237"/>
      <c r="BZ251" s="237"/>
      <c r="CA251" s="237"/>
      <c r="CB251" s="237"/>
      <c r="CC251" s="237"/>
      <c r="CD251" s="237"/>
      <c r="CE251" s="237"/>
      <c r="CF251" s="237"/>
      <c r="CG251" s="237"/>
      <c r="CH251" s="237"/>
      <c r="CI251" s="237"/>
      <c r="CJ251" s="237"/>
      <c r="CK251" s="237"/>
      <c r="CL251" s="237"/>
      <c r="CM251" s="237"/>
      <c r="CN251" s="237"/>
      <c r="CO251" s="237"/>
      <c r="CP251" s="237"/>
      <c r="CQ251" s="237"/>
      <c r="CR251" s="237"/>
      <c r="CS251" s="237"/>
      <c r="CT251" s="237"/>
      <c r="CU251" s="237"/>
      <c r="CV251" s="237"/>
      <c r="CW251" s="237"/>
      <c r="CX251" s="237"/>
      <c r="CY251" s="237"/>
      <c r="CZ251" s="237"/>
      <c r="DA251" s="237"/>
      <c r="DB251" s="237"/>
      <c r="DC251" s="237"/>
      <c r="DD251" s="237"/>
      <c r="DE251" s="237"/>
      <c r="DF251" s="237"/>
      <c r="DG251" s="237"/>
      <c r="DH251" s="237"/>
      <c r="DI251" s="237"/>
      <c r="DJ251" s="237"/>
      <c r="DK251" s="237"/>
      <c r="DL251" s="237"/>
      <c r="DM251" s="237"/>
      <c r="DN251" s="237"/>
      <c r="DO251" s="237"/>
      <c r="DP251" s="237"/>
      <c r="DQ251" s="237"/>
      <c r="DR251" s="237"/>
      <c r="DS251" s="237"/>
      <c r="DT251" s="237"/>
      <c r="DU251" s="237"/>
      <c r="DV251" s="237"/>
      <c r="DW251" s="237"/>
      <c r="DX251" s="237"/>
      <c r="DY251" s="237"/>
      <c r="DZ251" s="237"/>
      <c r="EA251" s="237"/>
      <c r="EB251" s="237"/>
      <c r="EC251" s="237"/>
      <c r="ED251" s="237"/>
      <c r="EE251" s="237"/>
      <c r="EF251" s="237"/>
      <c r="EG251" s="237"/>
      <c r="EH251" s="237"/>
      <c r="EI251" s="237"/>
      <c r="EJ251" s="237"/>
      <c r="EK251" s="237"/>
      <c r="EL251" s="237"/>
      <c r="EM251" s="237"/>
      <c r="EN251" s="237"/>
      <c r="EO251" s="237"/>
      <c r="EP251" s="237"/>
      <c r="EQ251" s="237"/>
      <c r="ER251" s="237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</row>
    <row r="252" customFormat="false" ht="15" hidden="false" customHeight="false" outlineLevel="2" collapsed="false">
      <c r="B252" s="240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237"/>
      <c r="AD252" s="237"/>
      <c r="AE252" s="237"/>
      <c r="AF252" s="237"/>
      <c r="AG252" s="237"/>
      <c r="AH252" s="237"/>
      <c r="AI252" s="237"/>
      <c r="AJ252" s="237"/>
      <c r="AK252" s="237"/>
      <c r="AL252" s="237"/>
      <c r="AM252" s="237"/>
      <c r="AN252" s="237"/>
      <c r="AO252" s="237"/>
      <c r="AP252" s="237"/>
      <c r="AQ252" s="237"/>
      <c r="AR252" s="237"/>
      <c r="AS252" s="237"/>
      <c r="AT252" s="237"/>
      <c r="AU252" s="237"/>
      <c r="AV252" s="237"/>
      <c r="AW252" s="237"/>
      <c r="AX252" s="237"/>
      <c r="AY252" s="237"/>
      <c r="AZ252" s="237"/>
      <c r="BA252" s="237"/>
      <c r="BB252" s="237"/>
      <c r="BC252" s="237"/>
      <c r="BD252" s="237"/>
      <c r="BE252" s="237"/>
      <c r="BF252" s="237"/>
      <c r="BG252" s="237"/>
      <c r="BH252" s="237"/>
      <c r="BI252" s="237"/>
      <c r="BJ252" s="237"/>
      <c r="BK252" s="237"/>
      <c r="BL252" s="237"/>
      <c r="BM252" s="237"/>
      <c r="BN252" s="237"/>
      <c r="BO252" s="237"/>
      <c r="BP252" s="237"/>
      <c r="BQ252" s="237"/>
      <c r="BR252" s="237"/>
      <c r="BS252" s="237"/>
      <c r="BT252" s="237"/>
      <c r="BU252" s="237"/>
      <c r="BV252" s="237"/>
      <c r="BW252" s="237"/>
      <c r="BX252" s="237"/>
      <c r="BY252" s="237"/>
      <c r="BZ252" s="237"/>
      <c r="CA252" s="237"/>
      <c r="CB252" s="237"/>
      <c r="CC252" s="237"/>
      <c r="CD252" s="237"/>
      <c r="CE252" s="237"/>
      <c r="CF252" s="237"/>
      <c r="CG252" s="237"/>
      <c r="CH252" s="237"/>
      <c r="CI252" s="237"/>
      <c r="CJ252" s="237"/>
      <c r="CK252" s="237"/>
      <c r="CL252" s="237"/>
      <c r="CM252" s="237"/>
      <c r="CN252" s="237"/>
      <c r="CO252" s="237"/>
      <c r="CP252" s="237"/>
      <c r="CQ252" s="237"/>
      <c r="CR252" s="237"/>
      <c r="CS252" s="237"/>
      <c r="CT252" s="237"/>
      <c r="CU252" s="237"/>
      <c r="CV252" s="237"/>
      <c r="CW252" s="237"/>
      <c r="CX252" s="237"/>
      <c r="CY252" s="237"/>
      <c r="CZ252" s="237"/>
      <c r="DA252" s="237"/>
      <c r="DB252" s="237"/>
      <c r="DC252" s="237"/>
      <c r="DD252" s="237"/>
      <c r="DE252" s="237"/>
      <c r="DF252" s="237"/>
      <c r="DG252" s="237"/>
      <c r="DH252" s="237"/>
      <c r="DI252" s="237"/>
      <c r="DJ252" s="237"/>
      <c r="DK252" s="237"/>
      <c r="DL252" s="237"/>
      <c r="DM252" s="237"/>
      <c r="DN252" s="237"/>
      <c r="DO252" s="237"/>
      <c r="DP252" s="237"/>
      <c r="DQ252" s="237"/>
      <c r="DR252" s="237"/>
      <c r="DS252" s="237"/>
      <c r="DT252" s="237"/>
      <c r="DU252" s="237"/>
      <c r="DV252" s="237"/>
      <c r="DW252" s="237"/>
      <c r="DX252" s="237"/>
      <c r="DY252" s="237"/>
      <c r="DZ252" s="237"/>
      <c r="EA252" s="237"/>
      <c r="EB252" s="237"/>
      <c r="EC252" s="237"/>
      <c r="ED252" s="237"/>
      <c r="EE252" s="237"/>
      <c r="EF252" s="237"/>
      <c r="EG252" s="237"/>
      <c r="EH252" s="237"/>
      <c r="EI252" s="237"/>
      <c r="EJ252" s="237"/>
      <c r="EK252" s="237"/>
      <c r="EL252" s="237"/>
      <c r="EM252" s="237"/>
      <c r="EN252" s="237"/>
      <c r="EO252" s="237"/>
      <c r="EP252" s="237"/>
      <c r="EQ252" s="237"/>
      <c r="ER252" s="237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</row>
    <row r="253" customFormat="false" ht="15" hidden="false" customHeight="false" outlineLevel="2" collapsed="false">
      <c r="B253" s="21" t="s">
        <v>898</v>
      </c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1"/>
      <c r="BT253" s="21"/>
      <c r="BU253" s="21"/>
      <c r="BV253" s="21"/>
      <c r="BW253" s="21"/>
      <c r="BX253" s="21"/>
      <c r="BY253" s="21"/>
      <c r="BZ253" s="21"/>
      <c r="CA253" s="21"/>
      <c r="CB253" s="21"/>
      <c r="CC253" s="21"/>
      <c r="CD253" s="21"/>
      <c r="CE253" s="21"/>
      <c r="CF253" s="21"/>
      <c r="CG253" s="21"/>
      <c r="CH253" s="21"/>
      <c r="CI253" s="21"/>
      <c r="CJ253" s="21"/>
      <c r="CK253" s="21"/>
      <c r="CL253" s="21"/>
      <c r="CM253" s="21"/>
      <c r="CN253" s="21"/>
      <c r="CO253" s="21"/>
      <c r="CP253" s="21"/>
      <c r="CQ253" s="21"/>
      <c r="CR253" s="21"/>
      <c r="CS253" s="21"/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21"/>
      <c r="DV253" s="21"/>
      <c r="DW253" s="21"/>
      <c r="DX253" s="21"/>
      <c r="DY253" s="21"/>
      <c r="DZ253" s="21"/>
      <c r="EA253" s="21"/>
      <c r="EB253" s="21"/>
      <c r="EC253" s="21"/>
      <c r="ED253" s="21"/>
      <c r="EE253" s="21"/>
      <c r="EF253" s="21"/>
      <c r="EG253" s="21"/>
      <c r="EH253" s="21"/>
      <c r="EI253" s="21"/>
      <c r="EJ253" s="21"/>
      <c r="EK253" s="21"/>
      <c r="EL253" s="21"/>
      <c r="EM253" s="21"/>
      <c r="EN253" s="21"/>
      <c r="EO253" s="21"/>
      <c r="EP253" s="21"/>
      <c r="EQ253" s="21"/>
      <c r="ER253" s="21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</row>
    <row r="254" customFormat="false" ht="15" hidden="false" customHeight="false" outlineLevel="2" collapsed="false">
      <c r="B254" s="9" t="s">
        <v>872</v>
      </c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234" t="n">
        <f aca="false">('⑫ Roll-out Plan'!G97-2025)*12+'⑫ Roll-out Plan'!F97</f>
        <v>82</v>
      </c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</row>
    <row r="255" customFormat="false" ht="15" hidden="false" customHeight="false" outlineLevel="2" collapsed="false">
      <c r="B255" s="9" t="s">
        <v>873</v>
      </c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235" t="n">
        <f aca="false">VLOOKUP("C",$B$14:$C$18,2,FALSE())</f>
        <v>110</v>
      </c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</row>
    <row r="256" customFormat="false" ht="15" hidden="false" customHeight="false" outlineLevel="2" collapsed="false">
      <c r="B256" s="9" t="s">
        <v>799</v>
      </c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63" t="n">
        <f aca="false">IF(AC$35&gt;=$AC$254,AC$35-$AC$254+1,0)</f>
        <v>0</v>
      </c>
      <c r="AD256" s="63" t="n">
        <f aca="false">IF(AD$35&gt;=$AC$254,AD$35-$AC$254+1,0)</f>
        <v>0</v>
      </c>
      <c r="AE256" s="63" t="n">
        <f aca="false">IF(AE$35&gt;=$AC$254,AE$35-$AC$254+1,0)</f>
        <v>0</v>
      </c>
      <c r="AF256" s="63" t="n">
        <f aca="false">IF(AF$35&gt;=$AC$254,AF$35-$AC$254+1,0)</f>
        <v>0</v>
      </c>
      <c r="AG256" s="63" t="n">
        <f aca="false">IF(AG$35&gt;=$AC$254,AG$35-$AC$254+1,0)</f>
        <v>0</v>
      </c>
      <c r="AH256" s="63" t="n">
        <f aca="false">IF(AH$35&gt;=$AC$254,AH$35-$AC$254+1,0)</f>
        <v>0</v>
      </c>
      <c r="AI256" s="63" t="n">
        <f aca="false">IF(AI$35&gt;=$AC$254,AI$35-$AC$254+1,0)</f>
        <v>0</v>
      </c>
      <c r="AJ256" s="63" t="n">
        <f aca="false">IF(AJ$35&gt;=$AC$254,AJ$35-$AC$254+1,0)</f>
        <v>0</v>
      </c>
      <c r="AK256" s="63" t="n">
        <f aca="false">IF(AK$35&gt;=$AC$254,AK$35-$AC$254+1,0)</f>
        <v>0</v>
      </c>
      <c r="AL256" s="63" t="n">
        <f aca="false">IF(AL$35&gt;=$AC$254,AL$35-$AC$254+1,0)</f>
        <v>0</v>
      </c>
      <c r="AM256" s="63" t="n">
        <f aca="false">IF(AM$35&gt;=$AC$254,AM$35-$AC$254+1,0)</f>
        <v>0</v>
      </c>
      <c r="AN256" s="63" t="n">
        <f aca="false">IF(AN$35&gt;=$AC$254,AN$35-$AC$254+1,0)</f>
        <v>0</v>
      </c>
      <c r="AO256" s="63" t="n">
        <f aca="false">IF(AO$35&gt;=$AC$254,AO$35-$AC$254+1,0)</f>
        <v>0</v>
      </c>
      <c r="AP256" s="63" t="n">
        <f aca="false">IF(AP$35&gt;=$AC$254,AP$35-$AC$254+1,0)</f>
        <v>0</v>
      </c>
      <c r="AQ256" s="63" t="n">
        <f aca="false">IF(AQ$35&gt;=$AC$254,AQ$35-$AC$254+1,0)</f>
        <v>0</v>
      </c>
      <c r="AR256" s="63" t="n">
        <f aca="false">IF(AR$35&gt;=$AC$254,AR$35-$AC$254+1,0)</f>
        <v>0</v>
      </c>
      <c r="AS256" s="63" t="n">
        <f aca="false">IF(AS$35&gt;=$AC$254,AS$35-$AC$254+1,0)</f>
        <v>0</v>
      </c>
      <c r="AT256" s="63" t="n">
        <f aca="false">IF(AT$35&gt;=$AC$254,AT$35-$AC$254+1,0)</f>
        <v>0</v>
      </c>
      <c r="AU256" s="63" t="n">
        <f aca="false">IF(AU$35&gt;=$AC$254,AU$35-$AC$254+1,0)</f>
        <v>0</v>
      </c>
      <c r="AV256" s="63" t="n">
        <f aca="false">IF(AV$35&gt;=$AC$254,AV$35-$AC$254+1,0)</f>
        <v>0</v>
      </c>
      <c r="AW256" s="63" t="n">
        <f aca="false">IF(AW$35&gt;=$AC$254,AW$35-$AC$254+1,0)</f>
        <v>0</v>
      </c>
      <c r="AX256" s="63" t="n">
        <f aca="false">IF(AX$35&gt;=$AC$254,AX$35-$AC$254+1,0)</f>
        <v>0</v>
      </c>
      <c r="AY256" s="63" t="n">
        <f aca="false">IF(AY$35&gt;=$AC$254,AY$35-$AC$254+1,0)</f>
        <v>0</v>
      </c>
      <c r="AZ256" s="63" t="n">
        <f aca="false">IF(AZ$35&gt;=$AC$254,AZ$35-$AC$254+1,0)</f>
        <v>0</v>
      </c>
      <c r="BA256" s="63" t="n">
        <f aca="false">IF(BA$35&gt;=$AC$254,BA$35-$AC$254+1,0)</f>
        <v>0</v>
      </c>
      <c r="BB256" s="63" t="n">
        <f aca="false">IF(BB$35&gt;=$AC$254,BB$35-$AC$254+1,0)</f>
        <v>0</v>
      </c>
      <c r="BC256" s="63" t="n">
        <f aca="false">IF(BC$35&gt;=$AC$254,BC$35-$AC$254+1,0)</f>
        <v>0</v>
      </c>
      <c r="BD256" s="63" t="n">
        <f aca="false">IF(BD$35&gt;=$AC$254,BD$35-$AC$254+1,0)</f>
        <v>0</v>
      </c>
      <c r="BE256" s="63" t="n">
        <f aca="false">IF(BE$35&gt;=$AC$254,BE$35-$AC$254+1,0)</f>
        <v>0</v>
      </c>
      <c r="BF256" s="63" t="n">
        <f aca="false">IF(BF$35&gt;=$AC$254,BF$35-$AC$254+1,0)</f>
        <v>0</v>
      </c>
      <c r="BG256" s="63" t="n">
        <f aca="false">IF(BG$35&gt;=$AC$254,BG$35-$AC$254+1,0)</f>
        <v>0</v>
      </c>
      <c r="BH256" s="63" t="n">
        <f aca="false">IF(BH$35&gt;=$AC$254,BH$35-$AC$254+1,0)</f>
        <v>0</v>
      </c>
      <c r="BI256" s="63" t="n">
        <f aca="false">IF(BI$35&gt;=$AC$254,BI$35-$AC$254+1,0)</f>
        <v>0</v>
      </c>
      <c r="BJ256" s="63" t="n">
        <f aca="false">IF(BJ$35&gt;=$AC$254,BJ$35-$AC$254+1,0)</f>
        <v>0</v>
      </c>
      <c r="BK256" s="63" t="n">
        <f aca="false">IF(BK$35&gt;=$AC$254,BK$35-$AC$254+1,0)</f>
        <v>0</v>
      </c>
      <c r="BL256" s="63" t="n">
        <f aca="false">IF(BL$35&gt;=$AC$254,BL$35-$AC$254+1,0)</f>
        <v>0</v>
      </c>
      <c r="BM256" s="63" t="n">
        <f aca="false">IF(BM$35&gt;=$AC$254,BM$35-$AC$254+1,0)</f>
        <v>0</v>
      </c>
      <c r="BN256" s="63" t="n">
        <f aca="false">IF(BN$35&gt;=$AC$254,BN$35-$AC$254+1,0)</f>
        <v>0</v>
      </c>
      <c r="BO256" s="63" t="n">
        <f aca="false">IF(BO$35&gt;=$AC$254,BO$35-$AC$254+1,0)</f>
        <v>0</v>
      </c>
      <c r="BP256" s="63" t="n">
        <f aca="false">IF(BP$35&gt;=$AC$254,BP$35-$AC$254+1,0)</f>
        <v>0</v>
      </c>
      <c r="BQ256" s="63" t="n">
        <f aca="false">IF(BQ$35&gt;=$AC$254,BQ$35-$AC$254+1,0)</f>
        <v>0</v>
      </c>
      <c r="BR256" s="63" t="n">
        <f aca="false">IF(BR$35&gt;=$AC$254,BR$35-$AC$254+1,0)</f>
        <v>0</v>
      </c>
      <c r="BS256" s="63" t="n">
        <f aca="false">IF(BS$35&gt;=$AC$254,BS$35-$AC$254+1,0)</f>
        <v>0</v>
      </c>
      <c r="BT256" s="63" t="n">
        <f aca="false">IF(BT$35&gt;=$AC$254,BT$35-$AC$254+1,0)</f>
        <v>0</v>
      </c>
      <c r="BU256" s="63" t="n">
        <f aca="false">IF(BU$35&gt;=$AC$254,BU$35-$AC$254+1,0)</f>
        <v>0</v>
      </c>
      <c r="BV256" s="63" t="n">
        <f aca="false">IF(BV$35&gt;=$AC$254,BV$35-$AC$254+1,0)</f>
        <v>0</v>
      </c>
      <c r="BW256" s="63" t="n">
        <f aca="false">IF(BW$35&gt;=$AC$254,BW$35-$AC$254+1,0)</f>
        <v>0</v>
      </c>
      <c r="BX256" s="63" t="n">
        <f aca="false">IF(BX$35&gt;=$AC$254,BX$35-$AC$254+1,0)</f>
        <v>0</v>
      </c>
      <c r="BY256" s="63" t="n">
        <f aca="false">IF(BY$35&gt;=$AC$254,BY$35-$AC$254+1,0)</f>
        <v>0</v>
      </c>
      <c r="BZ256" s="63" t="n">
        <f aca="false">IF(BZ$35&gt;=$AC$254,BZ$35-$AC$254+1,0)</f>
        <v>0</v>
      </c>
      <c r="CA256" s="63" t="n">
        <f aca="false">IF(CA$35&gt;=$AC$254,CA$35-$AC$254+1,0)</f>
        <v>0</v>
      </c>
      <c r="CB256" s="63" t="n">
        <f aca="false">IF(CB$35&gt;=$AC$254,CB$35-$AC$254+1,0)</f>
        <v>0</v>
      </c>
      <c r="CC256" s="63" t="n">
        <f aca="false">IF(CC$35&gt;=$AC$254,CC$35-$AC$254+1,0)</f>
        <v>0</v>
      </c>
      <c r="CD256" s="63" t="n">
        <f aca="false">IF(CD$35&gt;=$AC$254,CD$35-$AC$254+1,0)</f>
        <v>0</v>
      </c>
      <c r="CE256" s="63" t="n">
        <f aca="false">IF(CE$35&gt;=$AC$254,CE$35-$AC$254+1,0)</f>
        <v>0</v>
      </c>
      <c r="CF256" s="63" t="n">
        <f aca="false">IF(CF$35&gt;=$AC$254,CF$35-$AC$254+1,0)</f>
        <v>0</v>
      </c>
      <c r="CG256" s="63" t="n">
        <f aca="false">IF(CG$35&gt;=$AC$254,CG$35-$AC$254+1,0)</f>
        <v>0</v>
      </c>
      <c r="CH256" s="63" t="n">
        <f aca="false">IF(CH$35&gt;=$AC$254,CH$35-$AC$254+1,0)</f>
        <v>0</v>
      </c>
      <c r="CI256" s="63" t="n">
        <f aca="false">IF(CI$35&gt;=$AC$254,CI$35-$AC$254+1,0)</f>
        <v>0</v>
      </c>
      <c r="CJ256" s="63" t="n">
        <f aca="false">IF(CJ$35&gt;=$AC$254,CJ$35-$AC$254+1,0)</f>
        <v>0</v>
      </c>
      <c r="CK256" s="63" t="n">
        <f aca="false">IF(CK$35&gt;=$AC$254,CK$35-$AC$254+1,0)</f>
        <v>0</v>
      </c>
      <c r="CL256" s="63" t="n">
        <f aca="false">IF(CL$35&gt;=$AC$254,CL$35-$AC$254+1,0)</f>
        <v>0</v>
      </c>
      <c r="CM256" s="63" t="n">
        <f aca="false">IF(CM$35&gt;=$AC$254,CM$35-$AC$254+1,0)</f>
        <v>0</v>
      </c>
      <c r="CN256" s="63" t="n">
        <f aca="false">IF(CN$35&gt;=$AC$254,CN$35-$AC$254+1,0)</f>
        <v>0</v>
      </c>
      <c r="CO256" s="63" t="n">
        <f aca="false">IF(CO$35&gt;=$AC$254,CO$35-$AC$254+1,0)</f>
        <v>0</v>
      </c>
      <c r="CP256" s="63" t="n">
        <f aca="false">IF(CP$35&gt;=$AC$254,CP$35-$AC$254+1,0)</f>
        <v>0</v>
      </c>
      <c r="CQ256" s="63" t="n">
        <f aca="false">IF(CQ$35&gt;=$AC$254,CQ$35-$AC$254+1,0)</f>
        <v>0</v>
      </c>
      <c r="CR256" s="63" t="n">
        <f aca="false">IF(CR$35&gt;=$AC$254,CR$35-$AC$254+1,0)</f>
        <v>0</v>
      </c>
      <c r="CS256" s="63" t="n">
        <f aca="false">IF(CS$35&gt;=$AC$254,CS$35-$AC$254+1,0)</f>
        <v>0</v>
      </c>
      <c r="CT256" s="63" t="n">
        <f aca="false">IF(CT$35&gt;=$AC$254,CT$35-$AC$254+1,0)</f>
        <v>0</v>
      </c>
      <c r="CU256" s="63" t="n">
        <f aca="false">IF(CU$35&gt;=$AC$254,CU$35-$AC$254+1,0)</f>
        <v>0</v>
      </c>
      <c r="CV256" s="63" t="n">
        <f aca="false">IF(CV$35&gt;=$AC$254,CV$35-$AC$254+1,0)</f>
        <v>0</v>
      </c>
      <c r="CW256" s="63" t="n">
        <f aca="false">IF(CW$35&gt;=$AC$254,CW$35-$AC$254+1,0)</f>
        <v>0</v>
      </c>
      <c r="CX256" s="63" t="n">
        <f aca="false">IF(CX$35&gt;=$AC$254,CX$35-$AC$254+1,0)</f>
        <v>0</v>
      </c>
      <c r="CY256" s="63" t="n">
        <f aca="false">IF(CY$35&gt;=$AC$254,CY$35-$AC$254+1,0)</f>
        <v>0</v>
      </c>
      <c r="CZ256" s="63" t="n">
        <f aca="false">IF(CZ$35&gt;=$AC$254,CZ$35-$AC$254+1,0)</f>
        <v>0</v>
      </c>
      <c r="DA256" s="63" t="n">
        <f aca="false">IF(DA$35&gt;=$AC$254,DA$35-$AC$254+1,0)</f>
        <v>0</v>
      </c>
      <c r="DB256" s="63" t="n">
        <f aca="false">IF(DB$35&gt;=$AC$254,DB$35-$AC$254+1,0)</f>
        <v>0</v>
      </c>
      <c r="DC256" s="63" t="n">
        <f aca="false">IF(DC$35&gt;=$AC$254,DC$35-$AC$254+1,0)</f>
        <v>0</v>
      </c>
      <c r="DD256" s="63" t="n">
        <f aca="false">IF(DD$35&gt;=$AC$254,DD$35-$AC$254+1,0)</f>
        <v>0</v>
      </c>
      <c r="DE256" s="63" t="n">
        <f aca="false">IF(DE$35&gt;=$AC$254,DE$35-$AC$254+1,0)</f>
        <v>0</v>
      </c>
      <c r="DF256" s="63" t="n">
        <f aca="false">IF(DF$35&gt;=$AC$254,DF$35-$AC$254+1,0)</f>
        <v>1</v>
      </c>
      <c r="DG256" s="63" t="n">
        <f aca="false">IF(DG$35&gt;=$AC$254,DG$35-$AC$254+1,0)</f>
        <v>2</v>
      </c>
      <c r="DH256" s="63" t="n">
        <f aca="false">IF(DH$35&gt;=$AC$254,DH$35-$AC$254+1,0)</f>
        <v>3</v>
      </c>
      <c r="DI256" s="63" t="n">
        <f aca="false">IF(DI$35&gt;=$AC$254,DI$35-$AC$254+1,0)</f>
        <v>4</v>
      </c>
      <c r="DJ256" s="63" t="n">
        <f aca="false">IF(DJ$35&gt;=$AC$254,DJ$35-$AC$254+1,0)</f>
        <v>5</v>
      </c>
      <c r="DK256" s="63" t="n">
        <f aca="false">IF(DK$35&gt;=$AC$254,DK$35-$AC$254+1,0)</f>
        <v>6</v>
      </c>
      <c r="DL256" s="63" t="n">
        <f aca="false">IF(DL$35&gt;=$AC$254,DL$35-$AC$254+1,0)</f>
        <v>7</v>
      </c>
      <c r="DM256" s="63" t="n">
        <f aca="false">IF(DM$35&gt;=$AC$254,DM$35-$AC$254+1,0)</f>
        <v>8</v>
      </c>
      <c r="DN256" s="63" t="n">
        <f aca="false">IF(DN$35&gt;=$AC$254,DN$35-$AC$254+1,0)</f>
        <v>9</v>
      </c>
      <c r="DO256" s="63" t="n">
        <f aca="false">IF(DO$35&gt;=$AC$254,DO$35-$AC$254+1,0)</f>
        <v>10</v>
      </c>
      <c r="DP256" s="63" t="n">
        <f aca="false">IF(DP$35&gt;=$AC$254,DP$35-$AC$254+1,0)</f>
        <v>11</v>
      </c>
      <c r="DQ256" s="63" t="n">
        <f aca="false">IF(DQ$35&gt;=$AC$254,DQ$35-$AC$254+1,0)</f>
        <v>12</v>
      </c>
      <c r="DR256" s="63" t="n">
        <f aca="false">IF(DR$35&gt;=$AC$254,DR$35-$AC$254+1,0)</f>
        <v>13</v>
      </c>
      <c r="DS256" s="63" t="n">
        <f aca="false">IF(DS$35&gt;=$AC$254,DS$35-$AC$254+1,0)</f>
        <v>14</v>
      </c>
      <c r="DT256" s="63" t="n">
        <f aca="false">IF(DT$35&gt;=$AC$254,DT$35-$AC$254+1,0)</f>
        <v>15</v>
      </c>
      <c r="DU256" s="63" t="n">
        <f aca="false">IF(DU$35&gt;=$AC$254,DU$35-$AC$254+1,0)</f>
        <v>16</v>
      </c>
      <c r="DV256" s="63" t="n">
        <f aca="false">IF(DV$35&gt;=$AC$254,DV$35-$AC$254+1,0)</f>
        <v>17</v>
      </c>
      <c r="DW256" s="63" t="n">
        <f aca="false">IF(DW$35&gt;=$AC$254,DW$35-$AC$254+1,0)</f>
        <v>18</v>
      </c>
      <c r="DX256" s="63" t="n">
        <f aca="false">IF(DX$35&gt;=$AC$254,DX$35-$AC$254+1,0)</f>
        <v>19</v>
      </c>
      <c r="DY256" s="63" t="n">
        <f aca="false">IF(DY$35&gt;=$AC$254,DY$35-$AC$254+1,0)</f>
        <v>20</v>
      </c>
      <c r="DZ256" s="63" t="n">
        <f aca="false">IF(DZ$35&gt;=$AC$254,DZ$35-$AC$254+1,0)</f>
        <v>21</v>
      </c>
      <c r="EA256" s="63" t="n">
        <f aca="false">IF(EA$35&gt;=$AC$254,EA$35-$AC$254+1,0)</f>
        <v>22</v>
      </c>
      <c r="EB256" s="63" t="n">
        <f aca="false">IF(EB$35&gt;=$AC$254,EB$35-$AC$254+1,0)</f>
        <v>23</v>
      </c>
      <c r="EC256" s="63" t="n">
        <f aca="false">IF(EC$35&gt;=$AC$254,EC$35-$AC$254+1,0)</f>
        <v>24</v>
      </c>
      <c r="ED256" s="63" t="n">
        <f aca="false">IF(ED$35&gt;=$AC$254,ED$35-$AC$254+1,0)</f>
        <v>25</v>
      </c>
      <c r="EE256" s="63" t="n">
        <f aca="false">IF(EE$35&gt;=$AC$254,EE$35-$AC$254+1,0)</f>
        <v>26</v>
      </c>
      <c r="EF256" s="63" t="n">
        <f aca="false">IF(EF$35&gt;=$AC$254,EF$35-$AC$254+1,0)</f>
        <v>27</v>
      </c>
      <c r="EG256" s="63" t="n">
        <f aca="false">IF(EG$35&gt;=$AC$254,EG$35-$AC$254+1,0)</f>
        <v>28</v>
      </c>
      <c r="EH256" s="63" t="n">
        <f aca="false">IF(EH$35&gt;=$AC$254,EH$35-$AC$254+1,0)</f>
        <v>29</v>
      </c>
      <c r="EI256" s="63" t="n">
        <f aca="false">IF(EI$35&gt;=$AC$254,EI$35-$AC$254+1,0)</f>
        <v>30</v>
      </c>
      <c r="EJ256" s="63" t="n">
        <f aca="false">IF(EJ$35&gt;=$AC$254,EJ$35-$AC$254+1,0)</f>
        <v>31</v>
      </c>
      <c r="EK256" s="63" t="n">
        <f aca="false">IF(EK$35&gt;=$AC$254,EK$35-$AC$254+1,0)</f>
        <v>32</v>
      </c>
      <c r="EL256" s="63" t="n">
        <f aca="false">IF(EL$35&gt;=$AC$254,EL$35-$AC$254+1,0)</f>
        <v>33</v>
      </c>
      <c r="EM256" s="63" t="n">
        <f aca="false">IF(EM$35&gt;=$AC$254,EM$35-$AC$254+1,0)</f>
        <v>34</v>
      </c>
      <c r="EN256" s="63" t="n">
        <f aca="false">IF(EN$35&gt;=$AC$254,EN$35-$AC$254+1,0)</f>
        <v>35</v>
      </c>
      <c r="EO256" s="63" t="n">
        <f aca="false">IF(EO$35&gt;=$AC$254,EO$35-$AC$254+1,0)</f>
        <v>36</v>
      </c>
      <c r="EP256" s="63" t="n">
        <f aca="false">IF(EP$35&gt;=$AC$254,EP$35-$AC$254+1,0)</f>
        <v>37</v>
      </c>
      <c r="EQ256" s="63" t="n">
        <f aca="false">IF(EQ$35&gt;=$AC$254,EQ$35-$AC$254+1,0)</f>
        <v>38</v>
      </c>
      <c r="ER256" s="63" t="n">
        <f aca="false">IF(ER$35&gt;=$AC$254,ER$35-$AC$254+1,0)</f>
        <v>39</v>
      </c>
      <c r="ES256" s="9" t="n">
        <f aca="false">IF(ES$35&gt;=$AC$254,ES$35-$AC$254+1,0)</f>
        <v>40</v>
      </c>
      <c r="ET256" s="9" t="n">
        <f aca="false">IF(ET$35&gt;=$AC$254,ET$35-$AC$254+1,0)</f>
        <v>41</v>
      </c>
      <c r="EU256" s="9" t="n">
        <f aca="false">IF(EU$35&gt;=$AC$254,EU$35-$AC$254+1,0)</f>
        <v>42</v>
      </c>
      <c r="EV256" s="9" t="n">
        <f aca="false">IF(EV$35&gt;=$AC$254,EV$35-$AC$254+1,0)</f>
        <v>43</v>
      </c>
      <c r="EW256" s="9" t="n">
        <f aca="false">IF(EW$35&gt;=$AC$254,EW$35-$AC$254+1,0)</f>
        <v>44</v>
      </c>
      <c r="EX256" s="9" t="n">
        <f aca="false">IF(EX$35&gt;=$AC$254,EX$35-$AC$254+1,0)</f>
        <v>45</v>
      </c>
      <c r="EY256" s="9" t="n">
        <f aca="false">IF(EY$35&gt;=$AC$254,EY$35-$AC$254+1,0)</f>
        <v>46</v>
      </c>
      <c r="EZ256" s="9" t="n">
        <f aca="false">IF(EZ$35&gt;=$AC$254,EZ$35-$AC$254+1,0)</f>
        <v>47</v>
      </c>
      <c r="FA256" s="9" t="n">
        <f aca="false">IF(FA$35&gt;=$AC$254,FA$35-$AC$254+1,0)</f>
        <v>48</v>
      </c>
      <c r="FB256" s="9" t="n">
        <f aca="false">IF(FB$35&gt;=$AC$254,FB$35-$AC$254+1,0)</f>
        <v>49</v>
      </c>
      <c r="FC256" s="9" t="n">
        <f aca="false">IF(FC$35&gt;=$AC$254,FC$35-$AC$254+1,0)</f>
        <v>50</v>
      </c>
      <c r="FD256" s="9" t="n">
        <f aca="false">IF(FD$35&gt;=$AC$254,FD$35-$AC$254+1,0)</f>
        <v>51</v>
      </c>
      <c r="FE256" s="9" t="n">
        <f aca="false">IF(FE$35&gt;=$AC$254,FE$35-$AC$254+1,0)</f>
        <v>52</v>
      </c>
      <c r="FF256" s="9" t="n">
        <f aca="false">IF(FF$35&gt;=$AC$254,FF$35-$AC$254+1,0)</f>
        <v>53</v>
      </c>
      <c r="FG256" s="9" t="n">
        <f aca="false">IF(FG$35&gt;=$AC$254,FG$35-$AC$254+1,0)</f>
        <v>54</v>
      </c>
      <c r="FH256" s="9" t="n">
        <f aca="false">IF(FH$35&gt;=$AC$254,FH$35-$AC$254+1,0)</f>
        <v>55</v>
      </c>
      <c r="FI256" s="9" t="n">
        <f aca="false">IF(FI$35&gt;=$AC$254,FI$35-$AC$254+1,0)</f>
        <v>56</v>
      </c>
      <c r="FJ256" s="9" t="n">
        <f aca="false">IF(FJ$35&gt;=$AC$254,FJ$35-$AC$254+1,0)</f>
        <v>57</v>
      </c>
      <c r="FK256" s="9" t="n">
        <f aca="false">IF(FK$35&gt;=$AC$254,FK$35-$AC$254+1,0)</f>
        <v>58</v>
      </c>
      <c r="FL256" s="9" t="n">
        <f aca="false">IF(FL$35&gt;=$AC$254,FL$35-$AC$254+1,0)</f>
        <v>59</v>
      </c>
      <c r="FM256" s="9" t="n">
        <f aca="false">IF(FM$35&gt;=$AC$254,FM$35-$AC$254+1,0)</f>
        <v>60</v>
      </c>
      <c r="FN256" s="9" t="n">
        <f aca="false">IF(FN$35&gt;=$AC$254,FN$35-$AC$254+1,0)</f>
        <v>61</v>
      </c>
      <c r="FO256" s="9" t="n">
        <f aca="false">IF(FO$35&gt;=$AC$254,FO$35-$AC$254+1,0)</f>
        <v>62</v>
      </c>
      <c r="FP256" s="9" t="n">
        <f aca="false">IF(FP$35&gt;=$AC$254,FP$35-$AC$254+1,0)</f>
        <v>63</v>
      </c>
    </row>
    <row r="257" customFormat="false" ht="15" hidden="false" customHeight="false" outlineLevel="2" collapsed="false">
      <c r="B257" s="9" t="s">
        <v>874</v>
      </c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236" t="n">
        <f aca="false" t="array" ref="AC257:AC257">IF(AC256=0,0,IF(AC256/'🎚️ Escenario'!$C$11&gt;=36,$AL$23,INDEX($C$23:$AL$23,MAX(1,ROUNDUP(AC256/'🎚️ Escenario'!$C$11,0)))))</f>
        <v>0</v>
      </c>
      <c r="AD257" s="236" t="n">
        <f aca="false" t="array" ref="AD257:AD257">IF(AD256=0,0,IF(AD256/'🎚️ Escenario'!$C$11&gt;=36,$AL$23,INDEX($C$23:$AL$23,MAX(1,ROUNDUP(AD256/'🎚️ Escenario'!$C$11,0)))))</f>
        <v>0</v>
      </c>
      <c r="AE257" s="236" t="n">
        <f aca="false" t="array" ref="AE257:AE257">IF(AE256=0,0,IF(AE256/'🎚️ Escenario'!$C$11&gt;=36,$AL$23,INDEX($C$23:$AL$23,MAX(1,ROUNDUP(AE256/'🎚️ Escenario'!$C$11,0)))))</f>
        <v>0</v>
      </c>
      <c r="AF257" s="236" t="n">
        <f aca="false" t="array" ref="AF257:AF257">IF(AF256=0,0,IF(AF256/'🎚️ Escenario'!$C$11&gt;=36,$AL$23,INDEX($C$23:$AL$23,MAX(1,ROUNDUP(AF256/'🎚️ Escenario'!$C$11,0)))))</f>
        <v>0</v>
      </c>
      <c r="AG257" s="236" t="n">
        <f aca="false" t="array" ref="AG257:AG257">IF(AG256=0,0,IF(AG256/'🎚️ Escenario'!$C$11&gt;=36,$AL$23,INDEX($C$23:$AL$23,MAX(1,ROUNDUP(AG256/'🎚️ Escenario'!$C$11,0)))))</f>
        <v>0</v>
      </c>
      <c r="AH257" s="236" t="n">
        <f aca="false" t="array" ref="AH257:AH257">IF(AH256=0,0,IF(AH256/'🎚️ Escenario'!$C$11&gt;=36,$AL$23,INDEX($C$23:$AL$23,MAX(1,ROUNDUP(AH256/'🎚️ Escenario'!$C$11,0)))))</f>
        <v>0</v>
      </c>
      <c r="AI257" s="236" t="n">
        <f aca="false" t="array" ref="AI257:AI257">IF(AI256=0,0,IF(AI256/'🎚️ Escenario'!$C$11&gt;=36,$AL$23,INDEX($C$23:$AL$23,MAX(1,ROUNDUP(AI256/'🎚️ Escenario'!$C$11,0)))))</f>
        <v>0</v>
      </c>
      <c r="AJ257" s="236" t="n">
        <f aca="false" t="array" ref="AJ257:AJ257">IF(AJ256=0,0,IF(AJ256/'🎚️ Escenario'!$C$11&gt;=36,$AL$23,INDEX($C$23:$AL$23,MAX(1,ROUNDUP(AJ256/'🎚️ Escenario'!$C$11,0)))))</f>
        <v>0</v>
      </c>
      <c r="AK257" s="236" t="n">
        <f aca="false" t="array" ref="AK257:AK257">IF(AK256=0,0,IF(AK256/'🎚️ Escenario'!$C$11&gt;=36,$AL$23,INDEX($C$23:$AL$23,MAX(1,ROUNDUP(AK256/'🎚️ Escenario'!$C$11,0)))))</f>
        <v>0</v>
      </c>
      <c r="AL257" s="236" t="n">
        <f aca="false" t="array" ref="AL257:AL257">IF(AL256=0,0,IF(AL256/'🎚️ Escenario'!$C$11&gt;=36,$AL$23,INDEX($C$23:$AL$23,MAX(1,ROUNDUP(AL256/'🎚️ Escenario'!$C$11,0)))))</f>
        <v>0</v>
      </c>
      <c r="AM257" s="236" t="n">
        <f aca="false" t="array" ref="AM257:AM257">IF(AM256=0,0,IF(AM256/'🎚️ Escenario'!$C$11&gt;=36,$AL$23,INDEX($C$23:$AL$23,MAX(1,ROUNDUP(AM256/'🎚️ Escenario'!$C$11,0)))))</f>
        <v>0</v>
      </c>
      <c r="AN257" s="236" t="n">
        <f aca="false" t="array" ref="AN257:AN257">IF(AN256=0,0,IF(AN256/'🎚️ Escenario'!$C$11&gt;=36,$AL$23,INDEX($C$23:$AL$23,MAX(1,ROUNDUP(AN256/'🎚️ Escenario'!$C$11,0)))))</f>
        <v>0</v>
      </c>
      <c r="AO257" s="236" t="n">
        <f aca="false" t="array" ref="AO257:AO257">IF(AO256=0,0,IF(AO256/'🎚️ Escenario'!$C$11&gt;=36,$AL$23,INDEX($C$23:$AL$23,MAX(1,ROUNDUP(AO256/'🎚️ Escenario'!$C$11,0)))))</f>
        <v>0</v>
      </c>
      <c r="AP257" s="236" t="n">
        <f aca="false" t="array" ref="AP257:AP257">IF(AP256=0,0,IF(AP256/'🎚️ Escenario'!$C$11&gt;=36,$AL$23,INDEX($C$23:$AL$23,MAX(1,ROUNDUP(AP256/'🎚️ Escenario'!$C$11,0)))))</f>
        <v>0</v>
      </c>
      <c r="AQ257" s="236" t="n">
        <f aca="false" t="array" ref="AQ257:AQ257">IF(AQ256=0,0,IF(AQ256/'🎚️ Escenario'!$C$11&gt;=36,$AL$23,INDEX($C$23:$AL$23,MAX(1,ROUNDUP(AQ256/'🎚️ Escenario'!$C$11,0)))))</f>
        <v>0</v>
      </c>
      <c r="AR257" s="236" t="n">
        <f aca="false" t="array" ref="AR257:AR257">IF(AR256=0,0,IF(AR256/'🎚️ Escenario'!$C$11&gt;=36,$AL$23,INDEX($C$23:$AL$23,MAX(1,ROUNDUP(AR256/'🎚️ Escenario'!$C$11,0)))))</f>
        <v>0</v>
      </c>
      <c r="AS257" s="236" t="n">
        <f aca="false" t="array" ref="AS257:AS257">IF(AS256=0,0,IF(AS256/'🎚️ Escenario'!$C$11&gt;=36,$AL$23,INDEX($C$23:$AL$23,MAX(1,ROUNDUP(AS256/'🎚️ Escenario'!$C$11,0)))))</f>
        <v>0</v>
      </c>
      <c r="AT257" s="236" t="n">
        <f aca="false" t="array" ref="AT257:AT257">IF(AT256=0,0,IF(AT256/'🎚️ Escenario'!$C$11&gt;=36,$AL$23,INDEX($C$23:$AL$23,MAX(1,ROUNDUP(AT256/'🎚️ Escenario'!$C$11,0)))))</f>
        <v>0</v>
      </c>
      <c r="AU257" s="236" t="n">
        <f aca="false" t="array" ref="AU257:AU257">IF(AU256=0,0,IF(AU256/'🎚️ Escenario'!$C$11&gt;=36,$AL$23,INDEX($C$23:$AL$23,MAX(1,ROUNDUP(AU256/'🎚️ Escenario'!$C$11,0)))))</f>
        <v>0</v>
      </c>
      <c r="AV257" s="236" t="n">
        <f aca="false" t="array" ref="AV257:AV257">IF(AV256=0,0,IF(AV256/'🎚️ Escenario'!$C$11&gt;=36,$AL$23,INDEX($C$23:$AL$23,MAX(1,ROUNDUP(AV256/'🎚️ Escenario'!$C$11,0)))))</f>
        <v>0</v>
      </c>
      <c r="AW257" s="236" t="n">
        <f aca="false" t="array" ref="AW257:AW257">IF(AW256=0,0,IF(AW256/'🎚️ Escenario'!$C$11&gt;=36,$AL$23,INDEX($C$23:$AL$23,MAX(1,ROUNDUP(AW256/'🎚️ Escenario'!$C$11,0)))))</f>
        <v>0</v>
      </c>
      <c r="AX257" s="236" t="n">
        <f aca="false" t="array" ref="AX257:AX257">IF(AX256=0,0,IF(AX256/'🎚️ Escenario'!$C$11&gt;=36,$AL$23,INDEX($C$23:$AL$23,MAX(1,ROUNDUP(AX256/'🎚️ Escenario'!$C$11,0)))))</f>
        <v>0</v>
      </c>
      <c r="AY257" s="236" t="n">
        <f aca="false" t="array" ref="AY257:AY257">IF(AY256=0,0,IF(AY256/'🎚️ Escenario'!$C$11&gt;=36,$AL$23,INDEX($C$23:$AL$23,MAX(1,ROUNDUP(AY256/'🎚️ Escenario'!$C$11,0)))))</f>
        <v>0</v>
      </c>
      <c r="AZ257" s="236" t="n">
        <f aca="false" t="array" ref="AZ257:AZ257">IF(AZ256=0,0,IF(AZ256/'🎚️ Escenario'!$C$11&gt;=36,$AL$23,INDEX($C$23:$AL$23,MAX(1,ROUNDUP(AZ256/'🎚️ Escenario'!$C$11,0)))))</f>
        <v>0</v>
      </c>
      <c r="BA257" s="236" t="n">
        <f aca="false" t="array" ref="BA257:BA257">IF(BA256=0,0,IF(BA256/'🎚️ Escenario'!$C$11&gt;=36,$AL$23,INDEX($C$23:$AL$23,MAX(1,ROUNDUP(BA256/'🎚️ Escenario'!$C$11,0)))))</f>
        <v>0</v>
      </c>
      <c r="BB257" s="236" t="n">
        <f aca="false" t="array" ref="BB257:BB257">IF(BB256=0,0,IF(BB256/'🎚️ Escenario'!$C$11&gt;=36,$AL$23,INDEX($C$23:$AL$23,MAX(1,ROUNDUP(BB256/'🎚️ Escenario'!$C$11,0)))))</f>
        <v>0</v>
      </c>
      <c r="BC257" s="236" t="n">
        <f aca="false" t="array" ref="BC257:BC257">IF(BC256=0,0,IF(BC256/'🎚️ Escenario'!$C$11&gt;=36,$AL$23,INDEX($C$23:$AL$23,MAX(1,ROUNDUP(BC256/'🎚️ Escenario'!$C$11,0)))))</f>
        <v>0</v>
      </c>
      <c r="BD257" s="236" t="n">
        <f aca="false" t="array" ref="BD257:BD257">IF(BD256=0,0,IF(BD256/'🎚️ Escenario'!$C$11&gt;=36,$AL$23,INDEX($C$23:$AL$23,MAX(1,ROUNDUP(BD256/'🎚️ Escenario'!$C$11,0)))))</f>
        <v>0</v>
      </c>
      <c r="BE257" s="236" t="n">
        <f aca="false" t="array" ref="BE257:BE257">IF(BE256=0,0,IF(BE256/'🎚️ Escenario'!$C$11&gt;=36,$AL$23,INDEX($C$23:$AL$23,MAX(1,ROUNDUP(BE256/'🎚️ Escenario'!$C$11,0)))))</f>
        <v>0</v>
      </c>
      <c r="BF257" s="236" t="n">
        <f aca="false" t="array" ref="BF257:BF257">IF(BF256=0,0,IF(BF256/'🎚️ Escenario'!$C$11&gt;=36,$AL$23,INDEX($C$23:$AL$23,MAX(1,ROUNDUP(BF256/'🎚️ Escenario'!$C$11,0)))))</f>
        <v>0</v>
      </c>
      <c r="BG257" s="236" t="n">
        <f aca="false" t="array" ref="BG257:BG257">IF(BG256=0,0,IF(BG256/'🎚️ Escenario'!$C$11&gt;=36,$AL$23,INDEX($C$23:$AL$23,MAX(1,ROUNDUP(BG256/'🎚️ Escenario'!$C$11,0)))))</f>
        <v>0</v>
      </c>
      <c r="BH257" s="236" t="n">
        <f aca="false" t="array" ref="BH257:BH257">IF(BH256=0,0,IF(BH256/'🎚️ Escenario'!$C$11&gt;=36,$AL$23,INDEX($C$23:$AL$23,MAX(1,ROUNDUP(BH256/'🎚️ Escenario'!$C$11,0)))))</f>
        <v>0</v>
      </c>
      <c r="BI257" s="236" t="n">
        <f aca="false" t="array" ref="BI257:BI257">IF(BI256=0,0,IF(BI256/'🎚️ Escenario'!$C$11&gt;=36,$AL$23,INDEX($C$23:$AL$23,MAX(1,ROUNDUP(BI256/'🎚️ Escenario'!$C$11,0)))))</f>
        <v>0</v>
      </c>
      <c r="BJ257" s="236" t="n">
        <f aca="false" t="array" ref="BJ257:BJ257">IF(BJ256=0,0,IF(BJ256/'🎚️ Escenario'!$C$11&gt;=36,$AL$23,INDEX($C$23:$AL$23,MAX(1,ROUNDUP(BJ256/'🎚️ Escenario'!$C$11,0)))))</f>
        <v>0</v>
      </c>
      <c r="BK257" s="236" t="n">
        <f aca="false" t="array" ref="BK257:BK257">IF(BK256=0,0,IF(BK256/'🎚️ Escenario'!$C$11&gt;=36,$AL$23,INDEX($C$23:$AL$23,MAX(1,ROUNDUP(BK256/'🎚️ Escenario'!$C$11,0)))))</f>
        <v>0</v>
      </c>
      <c r="BL257" s="236" t="n">
        <f aca="false" t="array" ref="BL257:BL257">IF(BL256=0,0,IF(BL256/'🎚️ Escenario'!$C$11&gt;=36,$AL$23,INDEX($C$23:$AL$23,MAX(1,ROUNDUP(BL256/'🎚️ Escenario'!$C$11,0)))))</f>
        <v>0</v>
      </c>
      <c r="BM257" s="236" t="n">
        <f aca="false" t="array" ref="BM257:BM257">IF(BM256=0,0,IF(BM256/'🎚️ Escenario'!$C$11&gt;=36,$AL$23,INDEX($C$23:$AL$23,MAX(1,ROUNDUP(BM256/'🎚️ Escenario'!$C$11,0)))))</f>
        <v>0</v>
      </c>
      <c r="BN257" s="236" t="n">
        <f aca="false" t="array" ref="BN257:BN257">IF(BN256=0,0,IF(BN256/'🎚️ Escenario'!$C$11&gt;=36,$AL$23,INDEX($C$23:$AL$23,MAX(1,ROUNDUP(BN256/'🎚️ Escenario'!$C$11,0)))))</f>
        <v>0</v>
      </c>
      <c r="BO257" s="236" t="n">
        <f aca="false" t="array" ref="BO257:BO257">IF(BO256=0,0,IF(BO256/'🎚️ Escenario'!$C$11&gt;=36,$AL$23,INDEX($C$23:$AL$23,MAX(1,ROUNDUP(BO256/'🎚️ Escenario'!$C$11,0)))))</f>
        <v>0</v>
      </c>
      <c r="BP257" s="236" t="n">
        <f aca="false" t="array" ref="BP257:BP257">IF(BP256=0,0,IF(BP256/'🎚️ Escenario'!$C$11&gt;=36,$AL$23,INDEX($C$23:$AL$23,MAX(1,ROUNDUP(BP256/'🎚️ Escenario'!$C$11,0)))))</f>
        <v>0</v>
      </c>
      <c r="BQ257" s="236" t="n">
        <f aca="false" t="array" ref="BQ257:BQ257">IF(BQ256=0,0,IF(BQ256/'🎚️ Escenario'!$C$11&gt;=36,$AL$23,INDEX($C$23:$AL$23,MAX(1,ROUNDUP(BQ256/'🎚️ Escenario'!$C$11,0)))))</f>
        <v>0</v>
      </c>
      <c r="BR257" s="236" t="n">
        <f aca="false" t="array" ref="BR257:BR257">IF(BR256=0,0,IF(BR256/'🎚️ Escenario'!$C$11&gt;=36,$AL$23,INDEX($C$23:$AL$23,MAX(1,ROUNDUP(BR256/'🎚️ Escenario'!$C$11,0)))))</f>
        <v>0</v>
      </c>
      <c r="BS257" s="236" t="n">
        <f aca="false" t="array" ref="BS257:BS257">IF(BS256=0,0,IF(BS256/'🎚️ Escenario'!$C$11&gt;=36,$AL$23,INDEX($C$23:$AL$23,MAX(1,ROUNDUP(BS256/'🎚️ Escenario'!$C$11,0)))))</f>
        <v>0</v>
      </c>
      <c r="BT257" s="236" t="n">
        <f aca="false" t="array" ref="BT257:BT257">IF(BT256=0,0,IF(BT256/'🎚️ Escenario'!$C$11&gt;=36,$AL$23,INDEX($C$23:$AL$23,MAX(1,ROUNDUP(BT256/'🎚️ Escenario'!$C$11,0)))))</f>
        <v>0</v>
      </c>
      <c r="BU257" s="236" t="n">
        <f aca="false" t="array" ref="BU257:BU257">IF(BU256=0,0,IF(BU256/'🎚️ Escenario'!$C$11&gt;=36,$AL$23,INDEX($C$23:$AL$23,MAX(1,ROUNDUP(BU256/'🎚️ Escenario'!$C$11,0)))))</f>
        <v>0</v>
      </c>
      <c r="BV257" s="236" t="n">
        <f aca="false" t="array" ref="BV257:BV257">IF(BV256=0,0,IF(BV256/'🎚️ Escenario'!$C$11&gt;=36,$AL$23,INDEX($C$23:$AL$23,MAX(1,ROUNDUP(BV256/'🎚️ Escenario'!$C$11,0)))))</f>
        <v>0</v>
      </c>
      <c r="BW257" s="236" t="n">
        <f aca="false" t="array" ref="BW257:BW257">IF(BW256=0,0,IF(BW256/'🎚️ Escenario'!$C$11&gt;=36,$AL$23,INDEX($C$23:$AL$23,MAX(1,ROUNDUP(BW256/'🎚️ Escenario'!$C$11,0)))))</f>
        <v>0</v>
      </c>
      <c r="BX257" s="236" t="n">
        <f aca="false" t="array" ref="BX257:BX257">IF(BX256=0,0,IF(BX256/'🎚️ Escenario'!$C$11&gt;=36,$AL$23,INDEX($C$23:$AL$23,MAX(1,ROUNDUP(BX256/'🎚️ Escenario'!$C$11,0)))))</f>
        <v>0</v>
      </c>
      <c r="BY257" s="236" t="n">
        <f aca="false" t="array" ref="BY257:BY257">IF(BY256=0,0,IF(BY256/'🎚️ Escenario'!$C$11&gt;=36,$AL$23,INDEX($C$23:$AL$23,MAX(1,ROUNDUP(BY256/'🎚️ Escenario'!$C$11,0)))))</f>
        <v>0</v>
      </c>
      <c r="BZ257" s="236" t="n">
        <f aca="false" t="array" ref="BZ257:BZ257">IF(BZ256=0,0,IF(BZ256/'🎚️ Escenario'!$C$11&gt;=36,$AL$23,INDEX($C$23:$AL$23,MAX(1,ROUNDUP(BZ256/'🎚️ Escenario'!$C$11,0)))))</f>
        <v>0</v>
      </c>
      <c r="CA257" s="236" t="n">
        <f aca="false" t="array" ref="CA257:CA257">IF(CA256=0,0,IF(CA256/'🎚️ Escenario'!$C$11&gt;=36,$AL$23,INDEX($C$23:$AL$23,MAX(1,ROUNDUP(CA256/'🎚️ Escenario'!$C$11,0)))))</f>
        <v>0</v>
      </c>
      <c r="CB257" s="236" t="n">
        <f aca="false" t="array" ref="CB257:CB257">IF(CB256=0,0,IF(CB256/'🎚️ Escenario'!$C$11&gt;=36,$AL$23,INDEX($C$23:$AL$23,MAX(1,ROUNDUP(CB256/'🎚️ Escenario'!$C$11,0)))))</f>
        <v>0</v>
      </c>
      <c r="CC257" s="236" t="n">
        <f aca="false" t="array" ref="CC257:CC257">IF(CC256=0,0,IF(CC256/'🎚️ Escenario'!$C$11&gt;=36,$AL$23,INDEX($C$23:$AL$23,MAX(1,ROUNDUP(CC256/'🎚️ Escenario'!$C$11,0)))))</f>
        <v>0</v>
      </c>
      <c r="CD257" s="236" t="n">
        <f aca="false" t="array" ref="CD257:CD257">IF(CD256=0,0,IF(CD256/'🎚️ Escenario'!$C$11&gt;=36,$AL$23,INDEX($C$23:$AL$23,MAX(1,ROUNDUP(CD256/'🎚️ Escenario'!$C$11,0)))))</f>
        <v>0</v>
      </c>
      <c r="CE257" s="236" t="n">
        <f aca="false" t="array" ref="CE257:CE257">IF(CE256=0,0,IF(CE256/'🎚️ Escenario'!$C$11&gt;=36,$AL$23,INDEX($C$23:$AL$23,MAX(1,ROUNDUP(CE256/'🎚️ Escenario'!$C$11,0)))))</f>
        <v>0</v>
      </c>
      <c r="CF257" s="236" t="n">
        <f aca="false" t="array" ref="CF257:CF257">IF(CF256=0,0,IF(CF256/'🎚️ Escenario'!$C$11&gt;=36,$AL$23,INDEX($C$23:$AL$23,MAX(1,ROUNDUP(CF256/'🎚️ Escenario'!$C$11,0)))))</f>
        <v>0</v>
      </c>
      <c r="CG257" s="236" t="n">
        <f aca="false" t="array" ref="CG257:CG257">IF(CG256=0,0,IF(CG256/'🎚️ Escenario'!$C$11&gt;=36,$AL$23,INDEX($C$23:$AL$23,MAX(1,ROUNDUP(CG256/'🎚️ Escenario'!$C$11,0)))))</f>
        <v>0</v>
      </c>
      <c r="CH257" s="236" t="n">
        <f aca="false" t="array" ref="CH257:CH257">IF(CH256=0,0,IF(CH256/'🎚️ Escenario'!$C$11&gt;=36,$AL$23,INDEX($C$23:$AL$23,MAX(1,ROUNDUP(CH256/'🎚️ Escenario'!$C$11,0)))))</f>
        <v>0</v>
      </c>
      <c r="CI257" s="236" t="n">
        <f aca="false" t="array" ref="CI257:CI257">IF(CI256=0,0,IF(CI256/'🎚️ Escenario'!$C$11&gt;=36,$AL$23,INDEX($C$23:$AL$23,MAX(1,ROUNDUP(CI256/'🎚️ Escenario'!$C$11,0)))))</f>
        <v>0</v>
      </c>
      <c r="CJ257" s="236" t="n">
        <f aca="false" t="array" ref="CJ257:CJ257">IF(CJ256=0,0,IF(CJ256/'🎚️ Escenario'!$C$11&gt;=36,$AL$23,INDEX($C$23:$AL$23,MAX(1,ROUNDUP(CJ256/'🎚️ Escenario'!$C$11,0)))))</f>
        <v>0</v>
      </c>
      <c r="CK257" s="236" t="n">
        <f aca="false" t="array" ref="CK257:CK257">IF(CK256=0,0,IF(CK256/'🎚️ Escenario'!$C$11&gt;=36,$AL$23,INDEX($C$23:$AL$23,MAX(1,ROUNDUP(CK256/'🎚️ Escenario'!$C$11,0)))))</f>
        <v>0</v>
      </c>
      <c r="CL257" s="236" t="n">
        <f aca="false" t="array" ref="CL257:CL257">IF(CL256=0,0,IF(CL256/'🎚️ Escenario'!$C$11&gt;=36,$AL$23,INDEX($C$23:$AL$23,MAX(1,ROUNDUP(CL256/'🎚️ Escenario'!$C$11,0)))))</f>
        <v>0</v>
      </c>
      <c r="CM257" s="236" t="n">
        <f aca="false" t="array" ref="CM257:CM257">IF(CM256=0,0,IF(CM256/'🎚️ Escenario'!$C$11&gt;=36,$AL$23,INDEX($C$23:$AL$23,MAX(1,ROUNDUP(CM256/'🎚️ Escenario'!$C$11,0)))))</f>
        <v>0</v>
      </c>
      <c r="CN257" s="236" t="n">
        <f aca="false" t="array" ref="CN257:CN257">IF(CN256=0,0,IF(CN256/'🎚️ Escenario'!$C$11&gt;=36,$AL$23,INDEX($C$23:$AL$23,MAX(1,ROUNDUP(CN256/'🎚️ Escenario'!$C$11,0)))))</f>
        <v>0</v>
      </c>
      <c r="CO257" s="236" t="n">
        <f aca="false" t="array" ref="CO257:CO257">IF(CO256=0,0,IF(CO256/'🎚️ Escenario'!$C$11&gt;=36,$AL$23,INDEX($C$23:$AL$23,MAX(1,ROUNDUP(CO256/'🎚️ Escenario'!$C$11,0)))))</f>
        <v>0</v>
      </c>
      <c r="CP257" s="236" t="n">
        <f aca="false" t="array" ref="CP257:CP257">IF(CP256=0,0,IF(CP256/'🎚️ Escenario'!$C$11&gt;=36,$AL$23,INDEX($C$23:$AL$23,MAX(1,ROUNDUP(CP256/'🎚️ Escenario'!$C$11,0)))))</f>
        <v>0</v>
      </c>
      <c r="CQ257" s="236" t="n">
        <f aca="false" t="array" ref="CQ257:CQ257">IF(CQ256=0,0,IF(CQ256/'🎚️ Escenario'!$C$11&gt;=36,$AL$23,INDEX($C$23:$AL$23,MAX(1,ROUNDUP(CQ256/'🎚️ Escenario'!$C$11,0)))))</f>
        <v>0</v>
      </c>
      <c r="CR257" s="236" t="n">
        <f aca="false" t="array" ref="CR257:CR257">IF(CR256=0,0,IF(CR256/'🎚️ Escenario'!$C$11&gt;=36,$AL$23,INDEX($C$23:$AL$23,MAX(1,ROUNDUP(CR256/'🎚️ Escenario'!$C$11,0)))))</f>
        <v>0</v>
      </c>
      <c r="CS257" s="236" t="n">
        <f aca="false" t="array" ref="CS257:CS257">IF(CS256=0,0,IF(CS256/'🎚️ Escenario'!$C$11&gt;=36,$AL$23,INDEX($C$23:$AL$23,MAX(1,ROUNDUP(CS256/'🎚️ Escenario'!$C$11,0)))))</f>
        <v>0</v>
      </c>
      <c r="CT257" s="236" t="n">
        <f aca="false" t="array" ref="CT257:CT257">IF(CT256=0,0,IF(CT256/'🎚️ Escenario'!$C$11&gt;=36,$AL$23,INDEX($C$23:$AL$23,MAX(1,ROUNDUP(CT256/'🎚️ Escenario'!$C$11,0)))))</f>
        <v>0</v>
      </c>
      <c r="CU257" s="236" t="n">
        <f aca="false" t="array" ref="CU257:CU257">IF(CU256=0,0,IF(CU256/'🎚️ Escenario'!$C$11&gt;=36,$AL$23,INDEX($C$23:$AL$23,MAX(1,ROUNDUP(CU256/'🎚️ Escenario'!$C$11,0)))))</f>
        <v>0</v>
      </c>
      <c r="CV257" s="236" t="n">
        <f aca="false" t="array" ref="CV257:CV257">IF(CV256=0,0,IF(CV256/'🎚️ Escenario'!$C$11&gt;=36,$AL$23,INDEX($C$23:$AL$23,MAX(1,ROUNDUP(CV256/'🎚️ Escenario'!$C$11,0)))))</f>
        <v>0</v>
      </c>
      <c r="CW257" s="236" t="n">
        <f aca="false" t="array" ref="CW257:CW257">IF(CW256=0,0,IF(CW256/'🎚️ Escenario'!$C$11&gt;=36,$AL$23,INDEX($C$23:$AL$23,MAX(1,ROUNDUP(CW256/'🎚️ Escenario'!$C$11,0)))))</f>
        <v>0</v>
      </c>
      <c r="CX257" s="236" t="n">
        <f aca="false" t="array" ref="CX257:CX257">IF(CX256=0,0,IF(CX256/'🎚️ Escenario'!$C$11&gt;=36,$AL$23,INDEX($C$23:$AL$23,MAX(1,ROUNDUP(CX256/'🎚️ Escenario'!$C$11,0)))))</f>
        <v>0</v>
      </c>
      <c r="CY257" s="236" t="n">
        <f aca="false" t="array" ref="CY257:CY257">IF(CY256=0,0,IF(CY256/'🎚️ Escenario'!$C$11&gt;=36,$AL$23,INDEX($C$23:$AL$23,MAX(1,ROUNDUP(CY256/'🎚️ Escenario'!$C$11,0)))))</f>
        <v>0</v>
      </c>
      <c r="CZ257" s="236" t="n">
        <f aca="false" t="array" ref="CZ257:CZ257">IF(CZ256=0,0,IF(CZ256/'🎚️ Escenario'!$C$11&gt;=36,$AL$23,INDEX($C$23:$AL$23,MAX(1,ROUNDUP(CZ256/'🎚️ Escenario'!$C$11,0)))))</f>
        <v>0</v>
      </c>
      <c r="DA257" s="236" t="n">
        <f aca="false" t="array" ref="DA257:DA257">IF(DA256=0,0,IF(DA256/'🎚️ Escenario'!$C$11&gt;=36,$AL$23,INDEX($C$23:$AL$23,MAX(1,ROUNDUP(DA256/'🎚️ Escenario'!$C$11,0)))))</f>
        <v>0</v>
      </c>
      <c r="DB257" s="236" t="n">
        <f aca="false" t="array" ref="DB257:DB257">IF(DB256=0,0,IF(DB256/'🎚️ Escenario'!$C$11&gt;=36,$AL$23,INDEX($C$23:$AL$23,MAX(1,ROUNDUP(DB256/'🎚️ Escenario'!$C$11,0)))))</f>
        <v>0</v>
      </c>
      <c r="DC257" s="236" t="n">
        <f aca="false" t="array" ref="DC257:DC257">IF(DC256=0,0,IF(DC256/'🎚️ Escenario'!$C$11&gt;=36,$AL$23,INDEX($C$23:$AL$23,MAX(1,ROUNDUP(DC256/'🎚️ Escenario'!$C$11,0)))))</f>
        <v>0</v>
      </c>
      <c r="DD257" s="236" t="n">
        <f aca="false" t="array" ref="DD257:DD257">IF(DD256=0,0,IF(DD256/'🎚️ Escenario'!$C$11&gt;=36,$AL$23,INDEX($C$23:$AL$23,MAX(1,ROUNDUP(DD256/'🎚️ Escenario'!$C$11,0)))))</f>
        <v>0</v>
      </c>
      <c r="DE257" s="236" t="n">
        <f aca="false" t="array" ref="DE257:DE257">IF(DE256=0,0,IF(DE256/'🎚️ Escenario'!$C$11&gt;=36,$AL$23,INDEX($C$23:$AL$23,MAX(1,ROUNDUP(DE256/'🎚️ Escenario'!$C$11,0)))))</f>
        <v>0</v>
      </c>
      <c r="DF257" s="236" t="n">
        <f aca="false" t="array" ref="DF257:DF257">IF(DF256=0,0,IF(DF256/'🎚️ Escenario'!$C$11&gt;=36,$AL$23,INDEX($C$23:$AL$23,MAX(1,ROUNDUP(DF256/'🎚️ Escenario'!$C$11,0)))))</f>
        <v>0.2</v>
      </c>
      <c r="DG257" s="236" t="n">
        <f aca="false" t="array" ref="DG257:DG257">IF(DG256=0,0,IF(DG256/'🎚️ Escenario'!$C$11&gt;=36,$AL$23,INDEX($C$23:$AL$23,MAX(1,ROUNDUP(DG256/'🎚️ Escenario'!$C$11,0)))))</f>
        <v>0.22</v>
      </c>
      <c r="DH257" s="236" t="n">
        <f aca="false" t="array" ref="DH257:DH257">IF(DH256=0,0,IF(DH256/'🎚️ Escenario'!$C$11&gt;=36,$AL$23,INDEX($C$23:$AL$23,MAX(1,ROUNDUP(DH256/'🎚️ Escenario'!$C$11,0)))))</f>
        <v>0.24</v>
      </c>
      <c r="DI257" s="236" t="n">
        <f aca="false" t="array" ref="DI257:DI257">IF(DI256=0,0,IF(DI256/'🎚️ Escenario'!$C$11&gt;=36,$AL$23,INDEX($C$23:$AL$23,MAX(1,ROUNDUP(DI256/'🎚️ Escenario'!$C$11,0)))))</f>
        <v>0.27</v>
      </c>
      <c r="DJ257" s="236" t="n">
        <f aca="false" t="array" ref="DJ257:DJ257">IF(DJ256=0,0,IF(DJ256/'🎚️ Escenario'!$C$11&gt;=36,$AL$23,INDEX($C$23:$AL$23,MAX(1,ROUNDUP(DJ256/'🎚️ Escenario'!$C$11,0)))))</f>
        <v>0.27</v>
      </c>
      <c r="DK257" s="236" t="n">
        <f aca="false" t="array" ref="DK257:DK257">IF(DK256=0,0,IF(DK256/'🎚️ Escenario'!$C$11&gt;=36,$AL$23,INDEX($C$23:$AL$23,MAX(1,ROUNDUP(DK256/'🎚️ Escenario'!$C$11,0)))))</f>
        <v>0.31</v>
      </c>
      <c r="DL257" s="236" t="n">
        <f aca="false" t="array" ref="DL257:DL257">IF(DL256=0,0,IF(DL256/'🎚️ Escenario'!$C$11&gt;=36,$AL$23,INDEX($C$23:$AL$23,MAX(1,ROUNDUP(DL256/'🎚️ Escenario'!$C$11,0)))))</f>
        <v>0.35</v>
      </c>
      <c r="DM257" s="236" t="n">
        <f aca="false" t="array" ref="DM257:DM257">IF(DM256=0,0,IF(DM256/'🎚️ Escenario'!$C$11&gt;=36,$AL$23,INDEX($C$23:$AL$23,MAX(1,ROUNDUP(DM256/'🎚️ Escenario'!$C$11,0)))))</f>
        <v>0.39</v>
      </c>
      <c r="DN257" s="236" t="n">
        <f aca="false" t="array" ref="DN257:DN257">IF(DN256=0,0,IF(DN256/'🎚️ Escenario'!$C$11&gt;=36,$AL$23,INDEX($C$23:$AL$23,MAX(1,ROUNDUP(DN256/'🎚️ Escenario'!$C$11,0)))))</f>
        <v>0.44</v>
      </c>
      <c r="DO257" s="236" t="n">
        <f aca="false" t="array" ref="DO257:DO257">IF(DO256=0,0,IF(DO256/'🎚️ Escenario'!$C$11&gt;=36,$AL$23,INDEX($C$23:$AL$23,MAX(1,ROUNDUP(DO256/'🎚️ Escenario'!$C$11,0)))))</f>
        <v>0.44</v>
      </c>
      <c r="DP257" s="236" t="n">
        <f aca="false" t="array" ref="DP257:DP257">IF(DP256=0,0,IF(DP256/'🎚️ Escenario'!$C$11&gt;=36,$AL$23,INDEX($C$23:$AL$23,MAX(1,ROUNDUP(DP256/'🎚️ Escenario'!$C$11,0)))))</f>
        <v>0.48</v>
      </c>
      <c r="DQ257" s="236" t="n">
        <f aca="false" t="array" ref="DQ257:DQ257">IF(DQ256=0,0,IF(DQ256/'🎚️ Escenario'!$C$11&gt;=36,$AL$23,INDEX($C$23:$AL$23,MAX(1,ROUNDUP(DQ256/'🎚️ Escenario'!$C$11,0)))))</f>
        <v>0.52</v>
      </c>
      <c r="DR257" s="236" t="n">
        <f aca="false" t="array" ref="DR257:DR257">IF(DR256=0,0,IF(DR256/'🎚️ Escenario'!$C$11&gt;=36,$AL$23,INDEX($C$23:$AL$23,MAX(1,ROUNDUP(DR256/'🎚️ Escenario'!$C$11,0)))))</f>
        <v>0.56</v>
      </c>
      <c r="DS257" s="236" t="n">
        <f aca="false" t="array" ref="DS257:DS257">IF(DS256=0,0,IF(DS256/'🎚️ Escenario'!$C$11&gt;=36,$AL$23,INDEX($C$23:$AL$23,MAX(1,ROUNDUP(DS256/'🎚️ Escenario'!$C$11,0)))))</f>
        <v>0.6</v>
      </c>
      <c r="DT257" s="236" t="n">
        <f aca="false" t="array" ref="DT257:DT257">IF(DT256=0,0,IF(DT256/'🎚️ Escenario'!$C$11&gt;=36,$AL$23,INDEX($C$23:$AL$23,MAX(1,ROUNDUP(DT256/'🎚️ Escenario'!$C$11,0)))))</f>
        <v>0.6</v>
      </c>
      <c r="DU257" s="236" t="n">
        <f aca="false" t="array" ref="DU257:DU257">IF(DU256=0,0,IF(DU256/'🎚️ Escenario'!$C$11&gt;=36,$AL$23,INDEX($C$23:$AL$23,MAX(1,ROUNDUP(DU256/'🎚️ Escenario'!$C$11,0)))))</f>
        <v>0.63</v>
      </c>
      <c r="DV257" s="236" t="n">
        <f aca="false" t="array" ref="DV257:DV257">IF(DV256=0,0,IF(DV256/'🎚️ Escenario'!$C$11&gt;=36,$AL$23,INDEX($C$23:$AL$23,MAX(1,ROUNDUP(DV256/'🎚️ Escenario'!$C$11,0)))))</f>
        <v>0.66</v>
      </c>
      <c r="DW257" s="236" t="n">
        <f aca="false" t="array" ref="DW257:DW257">IF(DW256=0,0,IF(DW256/'🎚️ Escenario'!$C$11&gt;=36,$AL$23,INDEX($C$23:$AL$23,MAX(1,ROUNDUP(DW256/'🎚️ Escenario'!$C$11,0)))))</f>
        <v>0.69</v>
      </c>
      <c r="DX257" s="236" t="n">
        <f aca="false" t="array" ref="DX257:DX257">IF(DX256=0,0,IF(DX256/'🎚️ Escenario'!$C$11&gt;=36,$AL$23,INDEX($C$23:$AL$23,MAX(1,ROUNDUP(DX256/'🎚️ Escenario'!$C$11,0)))))</f>
        <v>0.71</v>
      </c>
      <c r="DY257" s="236" t="n">
        <f aca="false" t="array" ref="DY257:DY257">IF(DY256=0,0,IF(DY256/'🎚️ Escenario'!$C$11&gt;=36,$AL$23,INDEX($C$23:$AL$23,MAX(1,ROUNDUP(DY256/'🎚️ Escenario'!$C$11,0)))))</f>
        <v>0.71</v>
      </c>
      <c r="DZ257" s="236" t="n">
        <f aca="false" t="array" ref="DZ257:DZ257">IF(DZ256=0,0,IF(DZ256/'🎚️ Escenario'!$C$11&gt;=36,$AL$23,INDEX($C$23:$AL$23,MAX(1,ROUNDUP(DZ256/'🎚️ Escenario'!$C$11,0)))))</f>
        <v>0.73</v>
      </c>
      <c r="EA257" s="236" t="n">
        <f aca="false" t="array" ref="EA257:EA257">IF(EA256=0,0,IF(EA256/'🎚️ Escenario'!$C$11&gt;=36,$AL$23,INDEX($C$23:$AL$23,MAX(1,ROUNDUP(EA256/'🎚️ Escenario'!$C$11,0)))))</f>
        <v>0.75</v>
      </c>
      <c r="EB257" s="236" t="n">
        <f aca="false" t="array" ref="EB257:EB257">IF(EB256=0,0,IF(EB256/'🎚️ Escenario'!$C$11&gt;=36,$AL$23,INDEX($C$23:$AL$23,MAX(1,ROUNDUP(EB256/'🎚️ Escenario'!$C$11,0)))))</f>
        <v>0.77</v>
      </c>
      <c r="EC257" s="236" t="n">
        <f aca="false" t="array" ref="EC257:EC257">IF(EC256=0,0,IF(EC256/'🎚️ Escenario'!$C$11&gt;=36,$AL$23,INDEX($C$23:$AL$23,MAX(1,ROUNDUP(EC256/'🎚️ Escenario'!$C$11,0)))))</f>
        <v>0.79</v>
      </c>
      <c r="ED257" s="236" t="n">
        <f aca="false" t="array" ref="ED257:ED257">IF(ED256=0,0,IF(ED256/'🎚️ Escenario'!$C$11&gt;=36,$AL$23,INDEX($C$23:$AL$23,MAX(1,ROUNDUP(ED256/'🎚️ Escenario'!$C$11,0)))))</f>
        <v>0.79</v>
      </c>
      <c r="EE257" s="236" t="n">
        <f aca="false" t="array" ref="EE257:EE257">IF(EE256=0,0,IF(EE256/'🎚️ Escenario'!$C$11&gt;=36,$AL$23,INDEX($C$23:$AL$23,MAX(1,ROUNDUP(EE256/'🎚️ Escenario'!$C$11,0)))))</f>
        <v>0.8</v>
      </c>
      <c r="EF257" s="236" t="n">
        <f aca="false" t="array" ref="EF257:EF257">IF(EF256=0,0,IF(EF256/'🎚️ Escenario'!$C$11&gt;=36,$AL$23,INDEX($C$23:$AL$23,MAX(1,ROUNDUP(EF256/'🎚️ Escenario'!$C$11,0)))))</f>
        <v>0.82</v>
      </c>
      <c r="EG257" s="236" t="n">
        <f aca="false" t="array" ref="EG257:EG257">IF(EG256=0,0,IF(EG256/'🎚️ Escenario'!$C$11&gt;=36,$AL$23,INDEX($C$23:$AL$23,MAX(1,ROUNDUP(EG256/'🎚️ Escenario'!$C$11,0)))))</f>
        <v>0.84</v>
      </c>
      <c r="EH257" s="236" t="n">
        <f aca="false" t="array" ref="EH257:EH257">IF(EH256=0,0,IF(EH256/'🎚️ Escenario'!$C$11&gt;=36,$AL$23,INDEX($C$23:$AL$23,MAX(1,ROUNDUP(EH256/'🎚️ Escenario'!$C$11,0)))))</f>
        <v>0.85</v>
      </c>
      <c r="EI257" s="236" t="n">
        <f aca="false" t="array" ref="EI257:EI257">IF(EI256=0,0,IF(EI256/'🎚️ Escenario'!$C$11&gt;=36,$AL$23,INDEX($C$23:$AL$23,MAX(1,ROUNDUP(EI256/'🎚️ Escenario'!$C$11,0)))))</f>
        <v>0.85</v>
      </c>
      <c r="EJ257" s="236" t="n">
        <f aca="false" t="array" ref="EJ257:EJ257">IF(EJ256=0,0,IF(EJ256/'🎚️ Escenario'!$C$11&gt;=36,$AL$23,INDEX($C$23:$AL$23,MAX(1,ROUNDUP(EJ256/'🎚️ Escenario'!$C$11,0)))))</f>
        <v>0.86</v>
      </c>
      <c r="EK257" s="236" t="n">
        <f aca="false" t="array" ref="EK257:EK257">IF(EK256=0,0,IF(EK256/'🎚️ Escenario'!$C$11&gt;=36,$AL$23,INDEX($C$23:$AL$23,MAX(1,ROUNDUP(EK256/'🎚️ Escenario'!$C$11,0)))))</f>
        <v>0.88</v>
      </c>
      <c r="EL257" s="236" t="n">
        <f aca="false" t="array" ref="EL257:EL257">IF(EL256=0,0,IF(EL256/'🎚️ Escenario'!$C$11&gt;=36,$AL$23,INDEX($C$23:$AL$23,MAX(1,ROUNDUP(EL256/'🎚️ Escenario'!$C$11,0)))))</f>
        <v>0.89</v>
      </c>
      <c r="EM257" s="236" t="n">
        <f aca="false" t="array" ref="EM257:EM257">IF(EM256=0,0,IF(EM256/'🎚️ Escenario'!$C$11&gt;=36,$AL$23,INDEX($C$23:$AL$23,MAX(1,ROUNDUP(EM256/'🎚️ Escenario'!$C$11,0)))))</f>
        <v>0.9</v>
      </c>
      <c r="EN257" s="236" t="n">
        <f aca="false" t="array" ref="EN257:EN257">IF(EN256=0,0,IF(EN256/'🎚️ Escenario'!$C$11&gt;=36,$AL$23,INDEX($C$23:$AL$23,MAX(1,ROUNDUP(EN256/'🎚️ Escenario'!$C$11,0)))))</f>
        <v>0.9</v>
      </c>
      <c r="EO257" s="236" t="n">
        <f aca="false" t="array" ref="EO257:EO257">IF(EO256=0,0,IF(EO256/'🎚️ Escenario'!$C$11&gt;=36,$AL$23,INDEX($C$23:$AL$23,MAX(1,ROUNDUP(EO256/'🎚️ Escenario'!$C$11,0)))))</f>
        <v>0.92</v>
      </c>
      <c r="EP257" s="236" t="n">
        <f aca="false" t="array" ref="EP257:EP257">IF(EP256=0,0,IF(EP256/'🎚️ Escenario'!$C$11&gt;=36,$AL$23,INDEX($C$23:$AL$23,MAX(1,ROUNDUP(EP256/'🎚️ Escenario'!$C$11,0)))))</f>
        <v>0.93</v>
      </c>
      <c r="EQ257" s="236" t="n">
        <f aca="false" t="array" ref="EQ257:EQ257">IF(EQ256=0,0,IF(EQ256/'🎚️ Escenario'!$C$11&gt;=36,$AL$23,INDEX($C$23:$AL$23,MAX(1,ROUNDUP(EQ256/'🎚️ Escenario'!$C$11,0)))))</f>
        <v>0.94</v>
      </c>
      <c r="ER257" s="236" t="n">
        <f aca="false" t="array" ref="ER257:ER257">IF(ER256=0,0,IF(ER256/'🎚️ Escenario'!$C$11&gt;=36,$AL$23,INDEX($C$23:$AL$23,MAX(1,ROUNDUP(ER256/'🎚️ Escenario'!$C$11,0)))))</f>
        <v>0.95</v>
      </c>
      <c r="ES257" s="9" t="n">
        <f aca="false" t="array" ref="ES257:ES257">IF(ES256=0,0,IF(ES256/'🎚️ Escenario'!$C$11&gt;=36,$AL$23,INDEX($C$23:$AL$23,MAX(1,ROUNDUP(ES256/'🎚️ Escenario'!$C$11,0)))))</f>
        <v>0.95</v>
      </c>
      <c r="ET257" s="9" t="n">
        <f aca="false" t="array" ref="ET257:ET257">IF(ET256=0,0,IF(ET256/'🎚️ Escenario'!$C$11&gt;=36,$AL$23,INDEX($C$23:$AL$23,MAX(1,ROUNDUP(ET256/'🎚️ Escenario'!$C$11,0)))))</f>
        <v>0.97</v>
      </c>
      <c r="EU257" s="9" t="n">
        <f aca="false" t="array" ref="EU257:EU257">IF(EU256=0,0,IF(EU256/'🎚️ Escenario'!$C$11&gt;=36,$AL$23,INDEX($C$23:$AL$23,MAX(1,ROUNDUP(EU256/'🎚️ Escenario'!$C$11,0)))))</f>
        <v>0.98</v>
      </c>
      <c r="EV257" s="9" t="n">
        <f aca="false" t="array" ref="EV257:EV257">IF(EV256=0,0,IF(EV256/'🎚️ Escenario'!$C$11&gt;=36,$AL$23,INDEX($C$23:$AL$23,MAX(1,ROUNDUP(EV256/'🎚️ Escenario'!$C$11,0)))))</f>
        <v>0.99</v>
      </c>
      <c r="EW257" s="9" t="n">
        <f aca="false" t="array" ref="EW257:EW257">IF(EW256=0,0,IF(EW256/'🎚️ Escenario'!$C$11&gt;=36,$AL$23,INDEX($C$23:$AL$23,MAX(1,ROUNDUP(EW256/'🎚️ Escenario'!$C$11,0)))))</f>
        <v>1</v>
      </c>
      <c r="EX257" s="9" t="n">
        <f aca="false" t="array" ref="EX257:EX257">IF(EX256=0,0,IF(EX256/'🎚️ Escenario'!$C$11&gt;=36,$AL$23,INDEX($C$23:$AL$23,MAX(1,ROUNDUP(EX256/'🎚️ Escenario'!$C$11,0)))))</f>
        <v>1</v>
      </c>
      <c r="EY257" s="9" t="n">
        <f aca="false" t="array" ref="EY257:EY257">IF(EY256=0,0,IF(EY256/'🎚️ Escenario'!$C$11&gt;=36,$AL$23,INDEX($C$23:$AL$23,MAX(1,ROUNDUP(EY256/'🎚️ Escenario'!$C$11,0)))))</f>
        <v>1</v>
      </c>
      <c r="EZ257" s="9" t="n">
        <f aca="false" t="array" ref="EZ257:EZ257">IF(EZ256=0,0,IF(EZ256/'🎚️ Escenario'!$C$11&gt;=36,$AL$23,INDEX($C$23:$AL$23,MAX(1,ROUNDUP(EZ256/'🎚️ Escenario'!$C$11,0)))))</f>
        <v>1</v>
      </c>
      <c r="FA257" s="9" t="n">
        <f aca="false" t="array" ref="FA257:FA257">IF(FA256=0,0,IF(FA256/'🎚️ Escenario'!$C$11&gt;=36,$AL$23,INDEX($C$23:$AL$23,MAX(1,ROUNDUP(FA256/'🎚️ Escenario'!$C$11,0)))))</f>
        <v>1</v>
      </c>
      <c r="FB257" s="9" t="n">
        <f aca="false" t="array" ref="FB257:FB257">IF(FB256=0,0,IF(FB256/'🎚️ Escenario'!$C$11&gt;=36,$AL$23,INDEX($C$23:$AL$23,MAX(1,ROUNDUP(FB256/'🎚️ Escenario'!$C$11,0)))))</f>
        <v>1</v>
      </c>
      <c r="FC257" s="9" t="n">
        <f aca="false" t="array" ref="FC257:FC257">IF(FC256=0,0,IF(FC256/'🎚️ Escenario'!$C$11&gt;=36,$AL$23,INDEX($C$23:$AL$23,MAX(1,ROUNDUP(FC256/'🎚️ Escenario'!$C$11,0)))))</f>
        <v>1</v>
      </c>
      <c r="FD257" s="9" t="n">
        <f aca="false" t="array" ref="FD257:FD257">IF(FD256=0,0,IF(FD256/'🎚️ Escenario'!$C$11&gt;=36,$AL$23,INDEX($C$23:$AL$23,MAX(1,ROUNDUP(FD256/'🎚️ Escenario'!$C$11,0)))))</f>
        <v>1</v>
      </c>
      <c r="FE257" s="9" t="n">
        <f aca="false" t="array" ref="FE257:FE257">IF(FE256=0,0,IF(FE256/'🎚️ Escenario'!$C$11&gt;=36,$AL$23,INDEX($C$23:$AL$23,MAX(1,ROUNDUP(FE256/'🎚️ Escenario'!$C$11,0)))))</f>
        <v>1</v>
      </c>
      <c r="FF257" s="9" t="n">
        <f aca="false" t="array" ref="FF257:FF257">IF(FF256=0,0,IF(FF256/'🎚️ Escenario'!$C$11&gt;=36,$AL$23,INDEX($C$23:$AL$23,MAX(1,ROUNDUP(FF256/'🎚️ Escenario'!$C$11,0)))))</f>
        <v>1</v>
      </c>
      <c r="FG257" s="9" t="n">
        <f aca="false" t="array" ref="FG257:FG257">IF(FG256=0,0,IF(FG256/'🎚️ Escenario'!$C$11&gt;=36,$AL$23,INDEX($C$23:$AL$23,MAX(1,ROUNDUP(FG256/'🎚️ Escenario'!$C$11,0)))))</f>
        <v>1</v>
      </c>
      <c r="FH257" s="9" t="n">
        <f aca="false" t="array" ref="FH257:FH257">IF(FH256=0,0,IF(FH256/'🎚️ Escenario'!$C$11&gt;=36,$AL$23,INDEX($C$23:$AL$23,MAX(1,ROUNDUP(FH256/'🎚️ Escenario'!$C$11,0)))))</f>
        <v>1</v>
      </c>
      <c r="FI257" s="9" t="n">
        <f aca="false" t="array" ref="FI257:FI257">IF(FI256=0,0,IF(FI256/'🎚️ Escenario'!$C$11&gt;=36,$AL$23,INDEX($C$23:$AL$23,MAX(1,ROUNDUP(FI256/'🎚️ Escenario'!$C$11,0)))))</f>
        <v>1</v>
      </c>
      <c r="FJ257" s="9" t="n">
        <f aca="false" t="array" ref="FJ257:FJ257">IF(FJ256=0,0,IF(FJ256/'🎚️ Escenario'!$C$11&gt;=36,$AL$23,INDEX($C$23:$AL$23,MAX(1,ROUNDUP(FJ256/'🎚️ Escenario'!$C$11,0)))))</f>
        <v>1</v>
      </c>
      <c r="FK257" s="9" t="n">
        <f aca="false" t="array" ref="FK257:FK257">IF(FK256=0,0,IF(FK256/'🎚️ Escenario'!$C$11&gt;=36,$AL$23,INDEX($C$23:$AL$23,MAX(1,ROUNDUP(FK256/'🎚️ Escenario'!$C$11,0)))))</f>
        <v>1</v>
      </c>
      <c r="FL257" s="9" t="n">
        <f aca="false" t="array" ref="FL257:FL257">IF(FL256=0,0,IF(FL256/'🎚️ Escenario'!$C$11&gt;=36,$AL$23,INDEX($C$23:$AL$23,MAX(1,ROUNDUP(FL256/'🎚️ Escenario'!$C$11,0)))))</f>
        <v>1</v>
      </c>
      <c r="FM257" s="9" t="n">
        <f aca="false" t="array" ref="FM257:FM257">IF(FM256=0,0,IF(FM256/'🎚️ Escenario'!$C$11&gt;=36,$AL$23,INDEX($C$23:$AL$23,MAX(1,ROUNDUP(FM256/'🎚️ Escenario'!$C$11,0)))))</f>
        <v>1</v>
      </c>
      <c r="FN257" s="9" t="n">
        <f aca="false" t="array" ref="FN257:FN257">IF(FN256=0,0,IF(FN256/'🎚️ Escenario'!$C$11&gt;=36,$AL$23,INDEX($C$23:$AL$23,MAX(1,ROUNDUP(FN256/'🎚️ Escenario'!$C$11,0)))))</f>
        <v>1</v>
      </c>
      <c r="FO257" s="9" t="n">
        <f aca="false" t="array" ref="FO257:FO257">IF(FO256=0,0,IF(FO256/'🎚️ Escenario'!$C$11&gt;=36,$AL$23,INDEX($C$23:$AL$23,MAX(1,ROUNDUP(FO256/'🎚️ Escenario'!$C$11,0)))))</f>
        <v>1</v>
      </c>
      <c r="FP257" s="9" t="n">
        <f aca="false" t="array" ref="FP257:FP257">IF(FP256=0,0,IF(FP256/'🎚️ Escenario'!$C$11&gt;=36,$AL$23,INDEX($C$23:$AL$23,MAX(1,ROUNDUP(FP256/'🎚️ Escenario'!$C$11,0)))))</f>
        <v>1</v>
      </c>
    </row>
    <row r="258" customFormat="false" ht="15" hidden="false" customHeight="false" outlineLevel="2" collapsed="false">
      <c r="B258" s="9" t="s">
        <v>875</v>
      </c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237" t="n">
        <f aca="false">IF(AC256=0,0,IF(AC256&lt;=12*'🎚️ Escenario'!$C$11,1,1+$C$6))</f>
        <v>0</v>
      </c>
      <c r="AD258" s="237" t="n">
        <f aca="false">IF(AD256=0,0,IF(AD256&lt;=12*'🎚️ Escenario'!$C$11,1,1+$C$6))</f>
        <v>0</v>
      </c>
      <c r="AE258" s="237" t="n">
        <f aca="false">IF(AE256=0,0,IF(AE256&lt;=12*'🎚️ Escenario'!$C$11,1,1+$C$6))</f>
        <v>0</v>
      </c>
      <c r="AF258" s="237" t="n">
        <f aca="false">IF(AF256=0,0,IF(AF256&lt;=12*'🎚️ Escenario'!$C$11,1,1+$C$6))</f>
        <v>0</v>
      </c>
      <c r="AG258" s="237" t="n">
        <f aca="false">IF(AG256=0,0,IF(AG256&lt;=12*'🎚️ Escenario'!$C$11,1,1+$C$6))</f>
        <v>0</v>
      </c>
      <c r="AH258" s="237" t="n">
        <f aca="false">IF(AH256=0,0,IF(AH256&lt;=12*'🎚️ Escenario'!$C$11,1,1+$C$6))</f>
        <v>0</v>
      </c>
      <c r="AI258" s="237" t="n">
        <f aca="false">IF(AI256=0,0,IF(AI256&lt;=12*'🎚️ Escenario'!$C$11,1,1+$C$6))</f>
        <v>0</v>
      </c>
      <c r="AJ258" s="237" t="n">
        <f aca="false">IF(AJ256=0,0,IF(AJ256&lt;=12*'🎚️ Escenario'!$C$11,1,1+$C$6))</f>
        <v>0</v>
      </c>
      <c r="AK258" s="237" t="n">
        <f aca="false">IF(AK256=0,0,IF(AK256&lt;=12*'🎚️ Escenario'!$C$11,1,1+$C$6))</f>
        <v>0</v>
      </c>
      <c r="AL258" s="237" t="n">
        <f aca="false">IF(AL256=0,0,IF(AL256&lt;=12*'🎚️ Escenario'!$C$11,1,1+$C$6))</f>
        <v>0</v>
      </c>
      <c r="AM258" s="237" t="n">
        <f aca="false">IF(AM256=0,0,IF(AM256&lt;=12*'🎚️ Escenario'!$C$11,1,1+$C$6))</f>
        <v>0</v>
      </c>
      <c r="AN258" s="237" t="n">
        <f aca="false">IF(AN256=0,0,IF(AN256&lt;=12*'🎚️ Escenario'!$C$11,1,1+$C$6))</f>
        <v>0</v>
      </c>
      <c r="AO258" s="237" t="n">
        <f aca="false">IF(AO256=0,0,IF(AO256&lt;=12*'🎚️ Escenario'!$C$11,1,1+$C$6))</f>
        <v>0</v>
      </c>
      <c r="AP258" s="237" t="n">
        <f aca="false">IF(AP256=0,0,IF(AP256&lt;=12*'🎚️ Escenario'!$C$11,1,1+$C$6))</f>
        <v>0</v>
      </c>
      <c r="AQ258" s="237" t="n">
        <f aca="false">IF(AQ256=0,0,IF(AQ256&lt;=12*'🎚️ Escenario'!$C$11,1,1+$C$6))</f>
        <v>0</v>
      </c>
      <c r="AR258" s="237" t="n">
        <f aca="false">IF(AR256=0,0,IF(AR256&lt;=12*'🎚️ Escenario'!$C$11,1,1+$C$6))</f>
        <v>0</v>
      </c>
      <c r="AS258" s="237" t="n">
        <f aca="false">IF(AS256=0,0,IF(AS256&lt;=12*'🎚️ Escenario'!$C$11,1,1+$C$6))</f>
        <v>0</v>
      </c>
      <c r="AT258" s="237" t="n">
        <f aca="false">IF(AT256=0,0,IF(AT256&lt;=12*'🎚️ Escenario'!$C$11,1,1+$C$6))</f>
        <v>0</v>
      </c>
      <c r="AU258" s="237" t="n">
        <f aca="false">IF(AU256=0,0,IF(AU256&lt;=12*'🎚️ Escenario'!$C$11,1,1+$C$6))</f>
        <v>0</v>
      </c>
      <c r="AV258" s="237" t="n">
        <f aca="false">IF(AV256=0,0,IF(AV256&lt;=12*'🎚️ Escenario'!$C$11,1,1+$C$6))</f>
        <v>0</v>
      </c>
      <c r="AW258" s="237" t="n">
        <f aca="false">IF(AW256=0,0,IF(AW256&lt;=12*'🎚️ Escenario'!$C$11,1,1+$C$6))</f>
        <v>0</v>
      </c>
      <c r="AX258" s="237" t="n">
        <f aca="false">IF(AX256=0,0,IF(AX256&lt;=12*'🎚️ Escenario'!$C$11,1,1+$C$6))</f>
        <v>0</v>
      </c>
      <c r="AY258" s="237" t="n">
        <f aca="false">IF(AY256=0,0,IF(AY256&lt;=12*'🎚️ Escenario'!$C$11,1,1+$C$6))</f>
        <v>0</v>
      </c>
      <c r="AZ258" s="237" t="n">
        <f aca="false">IF(AZ256=0,0,IF(AZ256&lt;=12*'🎚️ Escenario'!$C$11,1,1+$C$6))</f>
        <v>0</v>
      </c>
      <c r="BA258" s="237" t="n">
        <f aca="false">IF(BA256=0,0,IF(BA256&lt;=12*'🎚️ Escenario'!$C$11,1,1+$C$6))</f>
        <v>0</v>
      </c>
      <c r="BB258" s="237" t="n">
        <f aca="false">IF(BB256=0,0,IF(BB256&lt;=12*'🎚️ Escenario'!$C$11,1,1+$C$6))</f>
        <v>0</v>
      </c>
      <c r="BC258" s="237" t="n">
        <f aca="false">IF(BC256=0,0,IF(BC256&lt;=12*'🎚️ Escenario'!$C$11,1,1+$C$6))</f>
        <v>0</v>
      </c>
      <c r="BD258" s="237" t="n">
        <f aca="false">IF(BD256=0,0,IF(BD256&lt;=12*'🎚️ Escenario'!$C$11,1,1+$C$6))</f>
        <v>0</v>
      </c>
      <c r="BE258" s="237" t="n">
        <f aca="false">IF(BE256=0,0,IF(BE256&lt;=12*'🎚️ Escenario'!$C$11,1,1+$C$6))</f>
        <v>0</v>
      </c>
      <c r="BF258" s="237" t="n">
        <f aca="false">IF(BF256=0,0,IF(BF256&lt;=12*'🎚️ Escenario'!$C$11,1,1+$C$6))</f>
        <v>0</v>
      </c>
      <c r="BG258" s="237" t="n">
        <f aca="false">IF(BG256=0,0,IF(BG256&lt;=12*'🎚️ Escenario'!$C$11,1,1+$C$6))</f>
        <v>0</v>
      </c>
      <c r="BH258" s="237" t="n">
        <f aca="false">IF(BH256=0,0,IF(BH256&lt;=12*'🎚️ Escenario'!$C$11,1,1+$C$6))</f>
        <v>0</v>
      </c>
      <c r="BI258" s="237" t="n">
        <f aca="false">IF(BI256=0,0,IF(BI256&lt;=12*'🎚️ Escenario'!$C$11,1,1+$C$6))</f>
        <v>0</v>
      </c>
      <c r="BJ258" s="237" t="n">
        <f aca="false">IF(BJ256=0,0,IF(BJ256&lt;=12*'🎚️ Escenario'!$C$11,1,1+$C$6))</f>
        <v>0</v>
      </c>
      <c r="BK258" s="237" t="n">
        <f aca="false">IF(BK256=0,0,IF(BK256&lt;=12*'🎚️ Escenario'!$C$11,1,1+$C$6))</f>
        <v>0</v>
      </c>
      <c r="BL258" s="237" t="n">
        <f aca="false">IF(BL256=0,0,IF(BL256&lt;=12*'🎚️ Escenario'!$C$11,1,1+$C$6))</f>
        <v>0</v>
      </c>
      <c r="BM258" s="237" t="n">
        <f aca="false">IF(BM256=0,0,IF(BM256&lt;=12*'🎚️ Escenario'!$C$11,1,1+$C$6))</f>
        <v>0</v>
      </c>
      <c r="BN258" s="237" t="n">
        <f aca="false">IF(BN256=0,0,IF(BN256&lt;=12*'🎚️ Escenario'!$C$11,1,1+$C$6))</f>
        <v>0</v>
      </c>
      <c r="BO258" s="237" t="n">
        <f aca="false">IF(BO256=0,0,IF(BO256&lt;=12*'🎚️ Escenario'!$C$11,1,1+$C$6))</f>
        <v>0</v>
      </c>
      <c r="BP258" s="237" t="n">
        <f aca="false">IF(BP256=0,0,IF(BP256&lt;=12*'🎚️ Escenario'!$C$11,1,1+$C$6))</f>
        <v>0</v>
      </c>
      <c r="BQ258" s="237" t="n">
        <f aca="false">IF(BQ256=0,0,IF(BQ256&lt;=12*'🎚️ Escenario'!$C$11,1,1+$C$6))</f>
        <v>0</v>
      </c>
      <c r="BR258" s="237" t="n">
        <f aca="false">IF(BR256=0,0,IF(BR256&lt;=12*'🎚️ Escenario'!$C$11,1,1+$C$6))</f>
        <v>0</v>
      </c>
      <c r="BS258" s="237" t="n">
        <f aca="false">IF(BS256=0,0,IF(BS256&lt;=12*'🎚️ Escenario'!$C$11,1,1+$C$6))</f>
        <v>0</v>
      </c>
      <c r="BT258" s="237" t="n">
        <f aca="false">IF(BT256=0,0,IF(BT256&lt;=12*'🎚️ Escenario'!$C$11,1,1+$C$6))</f>
        <v>0</v>
      </c>
      <c r="BU258" s="237" t="n">
        <f aca="false">IF(BU256=0,0,IF(BU256&lt;=12*'🎚️ Escenario'!$C$11,1,1+$C$6))</f>
        <v>0</v>
      </c>
      <c r="BV258" s="237" t="n">
        <f aca="false">IF(BV256=0,0,IF(BV256&lt;=12*'🎚️ Escenario'!$C$11,1,1+$C$6))</f>
        <v>0</v>
      </c>
      <c r="BW258" s="237" t="n">
        <f aca="false">IF(BW256=0,0,IF(BW256&lt;=12*'🎚️ Escenario'!$C$11,1,1+$C$6))</f>
        <v>0</v>
      </c>
      <c r="BX258" s="237" t="n">
        <f aca="false">IF(BX256=0,0,IF(BX256&lt;=12*'🎚️ Escenario'!$C$11,1,1+$C$6))</f>
        <v>0</v>
      </c>
      <c r="BY258" s="237" t="n">
        <f aca="false">IF(BY256=0,0,IF(BY256&lt;=12*'🎚️ Escenario'!$C$11,1,1+$C$6))</f>
        <v>0</v>
      </c>
      <c r="BZ258" s="237" t="n">
        <f aca="false">IF(BZ256=0,0,IF(BZ256&lt;=12*'🎚️ Escenario'!$C$11,1,1+$C$6))</f>
        <v>0</v>
      </c>
      <c r="CA258" s="237" t="n">
        <f aca="false">IF(CA256=0,0,IF(CA256&lt;=12*'🎚️ Escenario'!$C$11,1,1+$C$6))</f>
        <v>0</v>
      </c>
      <c r="CB258" s="237" t="n">
        <f aca="false">IF(CB256=0,0,IF(CB256&lt;=12*'🎚️ Escenario'!$C$11,1,1+$C$6))</f>
        <v>0</v>
      </c>
      <c r="CC258" s="237" t="n">
        <f aca="false">IF(CC256=0,0,IF(CC256&lt;=12*'🎚️ Escenario'!$C$11,1,1+$C$6))</f>
        <v>0</v>
      </c>
      <c r="CD258" s="237" t="n">
        <f aca="false">IF(CD256=0,0,IF(CD256&lt;=12*'🎚️ Escenario'!$C$11,1,1+$C$6))</f>
        <v>0</v>
      </c>
      <c r="CE258" s="237" t="n">
        <f aca="false">IF(CE256=0,0,IF(CE256&lt;=12*'🎚️ Escenario'!$C$11,1,1+$C$6))</f>
        <v>0</v>
      </c>
      <c r="CF258" s="237" t="n">
        <f aca="false">IF(CF256=0,0,IF(CF256&lt;=12*'🎚️ Escenario'!$C$11,1,1+$C$6))</f>
        <v>0</v>
      </c>
      <c r="CG258" s="237" t="n">
        <f aca="false">IF(CG256=0,0,IF(CG256&lt;=12*'🎚️ Escenario'!$C$11,1,1+$C$6))</f>
        <v>0</v>
      </c>
      <c r="CH258" s="237" t="n">
        <f aca="false">IF(CH256=0,0,IF(CH256&lt;=12*'🎚️ Escenario'!$C$11,1,1+$C$6))</f>
        <v>0</v>
      </c>
      <c r="CI258" s="237" t="n">
        <f aca="false">IF(CI256=0,0,IF(CI256&lt;=12*'🎚️ Escenario'!$C$11,1,1+$C$6))</f>
        <v>0</v>
      </c>
      <c r="CJ258" s="237" t="n">
        <f aca="false">IF(CJ256=0,0,IF(CJ256&lt;=12*'🎚️ Escenario'!$C$11,1,1+$C$6))</f>
        <v>0</v>
      </c>
      <c r="CK258" s="237" t="n">
        <f aca="false">IF(CK256=0,0,IF(CK256&lt;=12*'🎚️ Escenario'!$C$11,1,1+$C$6))</f>
        <v>0</v>
      </c>
      <c r="CL258" s="237" t="n">
        <f aca="false">IF(CL256=0,0,IF(CL256&lt;=12*'🎚️ Escenario'!$C$11,1,1+$C$6))</f>
        <v>0</v>
      </c>
      <c r="CM258" s="237" t="n">
        <f aca="false">IF(CM256=0,0,IF(CM256&lt;=12*'🎚️ Escenario'!$C$11,1,1+$C$6))</f>
        <v>0</v>
      </c>
      <c r="CN258" s="237" t="n">
        <f aca="false">IF(CN256=0,0,IF(CN256&lt;=12*'🎚️ Escenario'!$C$11,1,1+$C$6))</f>
        <v>0</v>
      </c>
      <c r="CO258" s="237" t="n">
        <f aca="false">IF(CO256=0,0,IF(CO256&lt;=12*'🎚️ Escenario'!$C$11,1,1+$C$6))</f>
        <v>0</v>
      </c>
      <c r="CP258" s="237" t="n">
        <f aca="false">IF(CP256=0,0,IF(CP256&lt;=12*'🎚️ Escenario'!$C$11,1,1+$C$6))</f>
        <v>0</v>
      </c>
      <c r="CQ258" s="237" t="n">
        <f aca="false">IF(CQ256=0,0,IF(CQ256&lt;=12*'🎚️ Escenario'!$C$11,1,1+$C$6))</f>
        <v>0</v>
      </c>
      <c r="CR258" s="237" t="n">
        <f aca="false">IF(CR256=0,0,IF(CR256&lt;=12*'🎚️ Escenario'!$C$11,1,1+$C$6))</f>
        <v>0</v>
      </c>
      <c r="CS258" s="237" t="n">
        <f aca="false">IF(CS256=0,0,IF(CS256&lt;=12*'🎚️ Escenario'!$C$11,1,1+$C$6))</f>
        <v>0</v>
      </c>
      <c r="CT258" s="237" t="n">
        <f aca="false">IF(CT256=0,0,IF(CT256&lt;=12*'🎚️ Escenario'!$C$11,1,1+$C$6))</f>
        <v>0</v>
      </c>
      <c r="CU258" s="237" t="n">
        <f aca="false">IF(CU256=0,0,IF(CU256&lt;=12*'🎚️ Escenario'!$C$11,1,1+$C$6))</f>
        <v>0</v>
      </c>
      <c r="CV258" s="237" t="n">
        <f aca="false">IF(CV256=0,0,IF(CV256&lt;=12*'🎚️ Escenario'!$C$11,1,1+$C$6))</f>
        <v>0</v>
      </c>
      <c r="CW258" s="237" t="n">
        <f aca="false">IF(CW256=0,0,IF(CW256&lt;=12*'🎚️ Escenario'!$C$11,1,1+$C$6))</f>
        <v>0</v>
      </c>
      <c r="CX258" s="237" t="n">
        <f aca="false">IF(CX256=0,0,IF(CX256&lt;=12*'🎚️ Escenario'!$C$11,1,1+$C$6))</f>
        <v>0</v>
      </c>
      <c r="CY258" s="237" t="n">
        <f aca="false">IF(CY256=0,0,IF(CY256&lt;=12*'🎚️ Escenario'!$C$11,1,1+$C$6))</f>
        <v>0</v>
      </c>
      <c r="CZ258" s="237" t="n">
        <f aca="false">IF(CZ256=0,0,IF(CZ256&lt;=12*'🎚️ Escenario'!$C$11,1,1+$C$6))</f>
        <v>0</v>
      </c>
      <c r="DA258" s="237" t="n">
        <f aca="false">IF(DA256=0,0,IF(DA256&lt;=12*'🎚️ Escenario'!$C$11,1,1+$C$6))</f>
        <v>0</v>
      </c>
      <c r="DB258" s="237" t="n">
        <f aca="false">IF(DB256=0,0,IF(DB256&lt;=12*'🎚️ Escenario'!$C$11,1,1+$C$6))</f>
        <v>0</v>
      </c>
      <c r="DC258" s="237" t="n">
        <f aca="false">IF(DC256=0,0,IF(DC256&lt;=12*'🎚️ Escenario'!$C$11,1,1+$C$6))</f>
        <v>0</v>
      </c>
      <c r="DD258" s="237" t="n">
        <f aca="false">IF(DD256=0,0,IF(DD256&lt;=12*'🎚️ Escenario'!$C$11,1,1+$C$6))</f>
        <v>0</v>
      </c>
      <c r="DE258" s="237" t="n">
        <f aca="false">IF(DE256=0,0,IF(DE256&lt;=12*'🎚️ Escenario'!$C$11,1,1+$C$6))</f>
        <v>0</v>
      </c>
      <c r="DF258" s="237" t="n">
        <f aca="false">IF(DF256=0,0,IF(DF256&lt;=12*'🎚️ Escenario'!$C$11,1,1+$C$6))</f>
        <v>1</v>
      </c>
      <c r="DG258" s="237" t="n">
        <f aca="false">IF(DG256=0,0,IF(DG256&lt;=12*'🎚️ Escenario'!$C$11,1,1+$C$6))</f>
        <v>1</v>
      </c>
      <c r="DH258" s="237" t="n">
        <f aca="false">IF(DH256=0,0,IF(DH256&lt;=12*'🎚️ Escenario'!$C$11,1,1+$C$6))</f>
        <v>1</v>
      </c>
      <c r="DI258" s="237" t="n">
        <f aca="false">IF(DI256=0,0,IF(DI256&lt;=12*'🎚️ Escenario'!$C$11,1,1+$C$6))</f>
        <v>1</v>
      </c>
      <c r="DJ258" s="237" t="n">
        <f aca="false">IF(DJ256=0,0,IF(DJ256&lt;=12*'🎚️ Escenario'!$C$11,1,1+$C$6))</f>
        <v>1</v>
      </c>
      <c r="DK258" s="237" t="n">
        <f aca="false">IF(DK256=0,0,IF(DK256&lt;=12*'🎚️ Escenario'!$C$11,1,1+$C$6))</f>
        <v>1</v>
      </c>
      <c r="DL258" s="237" t="n">
        <f aca="false">IF(DL256=0,0,IF(DL256&lt;=12*'🎚️ Escenario'!$C$11,1,1+$C$6))</f>
        <v>1</v>
      </c>
      <c r="DM258" s="237" t="n">
        <f aca="false">IF(DM256=0,0,IF(DM256&lt;=12*'🎚️ Escenario'!$C$11,1,1+$C$6))</f>
        <v>1</v>
      </c>
      <c r="DN258" s="237" t="n">
        <f aca="false">IF(DN256=0,0,IF(DN256&lt;=12*'🎚️ Escenario'!$C$11,1,1+$C$6))</f>
        <v>1</v>
      </c>
      <c r="DO258" s="237" t="n">
        <f aca="false">IF(DO256=0,0,IF(DO256&lt;=12*'🎚️ Escenario'!$C$11,1,1+$C$6))</f>
        <v>1</v>
      </c>
      <c r="DP258" s="237" t="n">
        <f aca="false">IF(DP256=0,0,IF(DP256&lt;=12*'🎚️ Escenario'!$C$11,1,1+$C$6))</f>
        <v>1</v>
      </c>
      <c r="DQ258" s="237" t="n">
        <f aca="false">IF(DQ256=0,0,IF(DQ256&lt;=12*'🎚️ Escenario'!$C$11,1,1+$C$6))</f>
        <v>1</v>
      </c>
      <c r="DR258" s="237" t="n">
        <f aca="false">IF(DR256=0,0,IF(DR256&lt;=12*'🎚️ Escenario'!$C$11,1,1+$C$6))</f>
        <v>1</v>
      </c>
      <c r="DS258" s="237" t="n">
        <f aca="false">IF(DS256=0,0,IF(DS256&lt;=12*'🎚️ Escenario'!$C$11,1,1+$C$6))</f>
        <v>1</v>
      </c>
      <c r="DT258" s="237" t="n">
        <f aca="false">IF(DT256=0,0,IF(DT256&lt;=12*'🎚️ Escenario'!$C$11,1,1+$C$6))</f>
        <v>1</v>
      </c>
      <c r="DU258" s="237" t="n">
        <f aca="false">IF(DU256=0,0,IF(DU256&lt;=12*'🎚️ Escenario'!$C$11,1,1+$C$6))</f>
        <v>1.2</v>
      </c>
      <c r="DV258" s="237" t="n">
        <f aca="false">IF(DV256=0,0,IF(DV256&lt;=12*'🎚️ Escenario'!$C$11,1,1+$C$6))</f>
        <v>1.2</v>
      </c>
      <c r="DW258" s="237" t="n">
        <f aca="false">IF(DW256=0,0,IF(DW256&lt;=12*'🎚️ Escenario'!$C$11,1,1+$C$6))</f>
        <v>1.2</v>
      </c>
      <c r="DX258" s="237" t="n">
        <f aca="false">IF(DX256=0,0,IF(DX256&lt;=12*'🎚️ Escenario'!$C$11,1,1+$C$6))</f>
        <v>1.2</v>
      </c>
      <c r="DY258" s="237" t="n">
        <f aca="false">IF(DY256=0,0,IF(DY256&lt;=12*'🎚️ Escenario'!$C$11,1,1+$C$6))</f>
        <v>1.2</v>
      </c>
      <c r="DZ258" s="237" t="n">
        <f aca="false">IF(DZ256=0,0,IF(DZ256&lt;=12*'🎚️ Escenario'!$C$11,1,1+$C$6))</f>
        <v>1.2</v>
      </c>
      <c r="EA258" s="237" t="n">
        <f aca="false">IF(EA256=0,0,IF(EA256&lt;=12*'🎚️ Escenario'!$C$11,1,1+$C$6))</f>
        <v>1.2</v>
      </c>
      <c r="EB258" s="237" t="n">
        <f aca="false">IF(EB256=0,0,IF(EB256&lt;=12*'🎚️ Escenario'!$C$11,1,1+$C$6))</f>
        <v>1.2</v>
      </c>
      <c r="EC258" s="237" t="n">
        <f aca="false">IF(EC256=0,0,IF(EC256&lt;=12*'🎚️ Escenario'!$C$11,1,1+$C$6))</f>
        <v>1.2</v>
      </c>
      <c r="ED258" s="237" t="n">
        <f aca="false">IF(ED256=0,0,IF(ED256&lt;=12*'🎚️ Escenario'!$C$11,1,1+$C$6))</f>
        <v>1.2</v>
      </c>
      <c r="EE258" s="237" t="n">
        <f aca="false">IF(EE256=0,0,IF(EE256&lt;=12*'🎚️ Escenario'!$C$11,1,1+$C$6))</f>
        <v>1.2</v>
      </c>
      <c r="EF258" s="237" t="n">
        <f aca="false">IF(EF256=0,0,IF(EF256&lt;=12*'🎚️ Escenario'!$C$11,1,1+$C$6))</f>
        <v>1.2</v>
      </c>
      <c r="EG258" s="237" t="n">
        <f aca="false">IF(EG256=0,0,IF(EG256&lt;=12*'🎚️ Escenario'!$C$11,1,1+$C$6))</f>
        <v>1.2</v>
      </c>
      <c r="EH258" s="237" t="n">
        <f aca="false">IF(EH256=0,0,IF(EH256&lt;=12*'🎚️ Escenario'!$C$11,1,1+$C$6))</f>
        <v>1.2</v>
      </c>
      <c r="EI258" s="237" t="n">
        <f aca="false">IF(EI256=0,0,IF(EI256&lt;=12*'🎚️ Escenario'!$C$11,1,1+$C$6))</f>
        <v>1.2</v>
      </c>
      <c r="EJ258" s="237" t="n">
        <f aca="false">IF(EJ256=0,0,IF(EJ256&lt;=12*'🎚️ Escenario'!$C$11,1,1+$C$6))</f>
        <v>1.2</v>
      </c>
      <c r="EK258" s="237" t="n">
        <f aca="false">IF(EK256=0,0,IF(EK256&lt;=12*'🎚️ Escenario'!$C$11,1,1+$C$6))</f>
        <v>1.2</v>
      </c>
      <c r="EL258" s="237" t="n">
        <f aca="false">IF(EL256=0,0,IF(EL256&lt;=12*'🎚️ Escenario'!$C$11,1,1+$C$6))</f>
        <v>1.2</v>
      </c>
      <c r="EM258" s="237" t="n">
        <f aca="false">IF(EM256=0,0,IF(EM256&lt;=12*'🎚️ Escenario'!$C$11,1,1+$C$6))</f>
        <v>1.2</v>
      </c>
      <c r="EN258" s="237" t="n">
        <f aca="false">IF(EN256=0,0,IF(EN256&lt;=12*'🎚️ Escenario'!$C$11,1,1+$C$6))</f>
        <v>1.2</v>
      </c>
      <c r="EO258" s="237" t="n">
        <f aca="false">IF(EO256=0,0,IF(EO256&lt;=12*'🎚️ Escenario'!$C$11,1,1+$C$6))</f>
        <v>1.2</v>
      </c>
      <c r="EP258" s="237" t="n">
        <f aca="false">IF(EP256=0,0,IF(EP256&lt;=12*'🎚️ Escenario'!$C$11,1,1+$C$6))</f>
        <v>1.2</v>
      </c>
      <c r="EQ258" s="237" t="n">
        <f aca="false">IF(EQ256=0,0,IF(EQ256&lt;=12*'🎚️ Escenario'!$C$11,1,1+$C$6))</f>
        <v>1.2</v>
      </c>
      <c r="ER258" s="237" t="n">
        <f aca="false">IF(ER256=0,0,IF(ER256&lt;=12*'🎚️ Escenario'!$C$11,1,1+$C$6))</f>
        <v>1.2</v>
      </c>
      <c r="ES258" s="238" t="n">
        <f aca="false">IF(ES256=0,0,IF(ES256&lt;=12*'🎚️ Escenario'!$C$11,1,1+$C$6))</f>
        <v>1.2</v>
      </c>
      <c r="ET258" s="238" t="n">
        <f aca="false">IF(ET256=0,0,IF(ET256&lt;=12*'🎚️ Escenario'!$C$11,1,1+$C$6))</f>
        <v>1.2</v>
      </c>
      <c r="EU258" s="238" t="n">
        <f aca="false">IF(EU256=0,0,IF(EU256&lt;=12*'🎚️ Escenario'!$C$11,1,1+$C$6))</f>
        <v>1.2</v>
      </c>
      <c r="EV258" s="238" t="n">
        <f aca="false">IF(EV256=0,0,IF(EV256&lt;=12*'🎚️ Escenario'!$C$11,1,1+$C$6))</f>
        <v>1.2</v>
      </c>
      <c r="EW258" s="238" t="n">
        <f aca="false">IF(EW256=0,0,IF(EW256&lt;=12*'🎚️ Escenario'!$C$11,1,1+$C$6))</f>
        <v>1.2</v>
      </c>
      <c r="EX258" s="238" t="n">
        <f aca="false">IF(EX256=0,0,IF(EX256&lt;=12*'🎚️ Escenario'!$C$11,1,1+$C$6))</f>
        <v>1.2</v>
      </c>
      <c r="EY258" s="238" t="n">
        <f aca="false">IF(EY256=0,0,IF(EY256&lt;=12*'🎚️ Escenario'!$C$11,1,1+$C$6))</f>
        <v>1.2</v>
      </c>
      <c r="EZ258" s="238" t="n">
        <f aca="false">IF(EZ256=0,0,IF(EZ256&lt;=12*'🎚️ Escenario'!$C$11,1,1+$C$6))</f>
        <v>1.2</v>
      </c>
      <c r="FA258" s="238" t="n">
        <f aca="false">IF(FA256=0,0,IF(FA256&lt;=12*'🎚️ Escenario'!$C$11,1,1+$C$6))</f>
        <v>1.2</v>
      </c>
      <c r="FB258" s="238" t="n">
        <f aca="false">IF(FB256=0,0,IF(FB256&lt;=12*'🎚️ Escenario'!$C$11,1,1+$C$6))</f>
        <v>1.2</v>
      </c>
      <c r="FC258" s="238" t="n">
        <f aca="false">IF(FC256=0,0,IF(FC256&lt;=12*'🎚️ Escenario'!$C$11,1,1+$C$6))</f>
        <v>1.2</v>
      </c>
      <c r="FD258" s="238" t="n">
        <f aca="false">IF(FD256=0,0,IF(FD256&lt;=12*'🎚️ Escenario'!$C$11,1,1+$C$6))</f>
        <v>1.2</v>
      </c>
      <c r="FE258" s="238" t="n">
        <f aca="false">IF(FE256=0,0,IF(FE256&lt;=12*'🎚️ Escenario'!$C$11,1,1+$C$6))</f>
        <v>1.2</v>
      </c>
      <c r="FF258" s="238" t="n">
        <f aca="false">IF(FF256=0,0,IF(FF256&lt;=12*'🎚️ Escenario'!$C$11,1,1+$C$6))</f>
        <v>1.2</v>
      </c>
      <c r="FG258" s="238" t="n">
        <f aca="false">IF(FG256=0,0,IF(FG256&lt;=12*'🎚️ Escenario'!$C$11,1,1+$C$6))</f>
        <v>1.2</v>
      </c>
      <c r="FH258" s="238" t="n">
        <f aca="false">IF(FH256=0,0,IF(FH256&lt;=12*'🎚️ Escenario'!$C$11,1,1+$C$6))</f>
        <v>1.2</v>
      </c>
      <c r="FI258" s="238" t="n">
        <f aca="false">IF(FI256=0,0,IF(FI256&lt;=12*'🎚️ Escenario'!$C$11,1,1+$C$6))</f>
        <v>1.2</v>
      </c>
      <c r="FJ258" s="238" t="n">
        <f aca="false">IF(FJ256=0,0,IF(FJ256&lt;=12*'🎚️ Escenario'!$C$11,1,1+$C$6))</f>
        <v>1.2</v>
      </c>
      <c r="FK258" s="238" t="n">
        <f aca="false">IF(FK256=0,0,IF(FK256&lt;=12*'🎚️ Escenario'!$C$11,1,1+$C$6))</f>
        <v>1.2</v>
      </c>
      <c r="FL258" s="238" t="n">
        <f aca="false">IF(FL256=0,0,IF(FL256&lt;=12*'🎚️ Escenario'!$C$11,1,1+$C$6))</f>
        <v>1.2</v>
      </c>
      <c r="FM258" s="238" t="n">
        <f aca="false">IF(FM256=0,0,IF(FM256&lt;=12*'🎚️ Escenario'!$C$11,1,1+$C$6))</f>
        <v>1.2</v>
      </c>
      <c r="FN258" s="238" t="n">
        <f aca="false">IF(FN256=0,0,IF(FN256&lt;=12*'🎚️ Escenario'!$C$11,1,1+$C$6))</f>
        <v>1.2</v>
      </c>
      <c r="FO258" s="238" t="n">
        <f aca="false">IF(FO256=0,0,IF(FO256&lt;=12*'🎚️ Escenario'!$C$11,1,1+$C$6))</f>
        <v>1.2</v>
      </c>
      <c r="FP258" s="238" t="n">
        <f aca="false">IF(FP256=0,0,IF(FP256&lt;=12*'🎚️ Escenario'!$C$11,1,1+$C$6))</f>
        <v>1.2</v>
      </c>
    </row>
    <row r="259" customFormat="false" ht="15" hidden="false" customHeight="false" outlineLevel="2" collapsed="false">
      <c r="B259" s="9" t="s">
        <v>876</v>
      </c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36" t="n">
        <f aca="false">AC257*$AC$255*AC258*AC$38*'⑫ Roll-out Plan'!$O$97</f>
        <v>0</v>
      </c>
      <c r="AD259" s="36" t="n">
        <f aca="false">AD257*$AC$255*AD258*AD$38*'⑫ Roll-out Plan'!$O$97</f>
        <v>0</v>
      </c>
      <c r="AE259" s="36" t="n">
        <f aca="false">AE257*$AC$255*AE258*AE$38*'⑫ Roll-out Plan'!$O$97</f>
        <v>0</v>
      </c>
      <c r="AF259" s="36" t="n">
        <f aca="false">AF257*$AC$255*AF258*AF$38*'⑫ Roll-out Plan'!$O$97</f>
        <v>0</v>
      </c>
      <c r="AG259" s="36" t="n">
        <f aca="false">AG257*$AC$255*AG258*AG$38*'⑫ Roll-out Plan'!$O$97</f>
        <v>0</v>
      </c>
      <c r="AH259" s="36" t="n">
        <f aca="false">AH257*$AC$255*AH258*AH$38*'⑫ Roll-out Plan'!$O$97</f>
        <v>0</v>
      </c>
      <c r="AI259" s="36" t="n">
        <f aca="false">AI257*$AC$255*AI258*AI$38*'⑫ Roll-out Plan'!$O$97</f>
        <v>0</v>
      </c>
      <c r="AJ259" s="36" t="n">
        <f aca="false">AJ257*$AC$255*AJ258*AJ$38*'⑫ Roll-out Plan'!$O$97</f>
        <v>0</v>
      </c>
      <c r="AK259" s="36" t="n">
        <f aca="false">AK257*$AC$255*AK258*AK$38*'⑫ Roll-out Plan'!$O$97</f>
        <v>0</v>
      </c>
      <c r="AL259" s="36" t="n">
        <f aca="false">AL257*$AC$255*AL258*AL$38*'⑫ Roll-out Plan'!$O$97</f>
        <v>0</v>
      </c>
      <c r="AM259" s="36" t="n">
        <f aca="false">AM257*$AC$255*AM258*AM$38*'⑫ Roll-out Plan'!$O$97</f>
        <v>0</v>
      </c>
      <c r="AN259" s="36" t="n">
        <f aca="false">AN257*$AC$255*AN258*AN$38*'⑫ Roll-out Plan'!$O$97</f>
        <v>0</v>
      </c>
      <c r="AO259" s="36" t="n">
        <f aca="false">AO257*$AC$255*AO258*AO$38*'⑫ Roll-out Plan'!$O$97</f>
        <v>0</v>
      </c>
      <c r="AP259" s="36" t="n">
        <f aca="false">AP257*$AC$255*AP258*AP$38*'⑫ Roll-out Plan'!$O$97</f>
        <v>0</v>
      </c>
      <c r="AQ259" s="36" t="n">
        <f aca="false">AQ257*$AC$255*AQ258*AQ$38*'⑫ Roll-out Plan'!$O$97</f>
        <v>0</v>
      </c>
      <c r="AR259" s="36" t="n">
        <f aca="false">AR257*$AC$255*AR258*AR$38*'⑫ Roll-out Plan'!$O$97</f>
        <v>0</v>
      </c>
      <c r="AS259" s="36" t="n">
        <f aca="false">AS257*$AC$255*AS258*AS$38*'⑫ Roll-out Plan'!$O$97</f>
        <v>0</v>
      </c>
      <c r="AT259" s="36" t="n">
        <f aca="false">AT257*$AC$255*AT258*AT$38*'⑫ Roll-out Plan'!$O$97</f>
        <v>0</v>
      </c>
      <c r="AU259" s="36" t="n">
        <f aca="false">AU257*$AC$255*AU258*AU$38*'⑫ Roll-out Plan'!$O$97</f>
        <v>0</v>
      </c>
      <c r="AV259" s="36" t="n">
        <f aca="false">AV257*$AC$255*AV258*AV$38*'⑫ Roll-out Plan'!$O$97</f>
        <v>0</v>
      </c>
      <c r="AW259" s="36" t="n">
        <f aca="false">AW257*$AC$255*AW258*AW$38*'⑫ Roll-out Plan'!$O$97</f>
        <v>0</v>
      </c>
      <c r="AX259" s="36" t="n">
        <f aca="false">AX257*$AC$255*AX258*AX$38*'⑫ Roll-out Plan'!$O$97</f>
        <v>0</v>
      </c>
      <c r="AY259" s="36" t="n">
        <f aca="false">AY257*$AC$255*AY258*AY$38*'⑫ Roll-out Plan'!$O$97</f>
        <v>0</v>
      </c>
      <c r="AZ259" s="36" t="n">
        <f aca="false">AZ257*$AC$255*AZ258*AZ$38*'⑫ Roll-out Plan'!$O$97</f>
        <v>0</v>
      </c>
      <c r="BA259" s="36" t="n">
        <f aca="false">BA257*$AC$255*BA258*BA$38*'⑫ Roll-out Plan'!$O$97</f>
        <v>0</v>
      </c>
      <c r="BB259" s="36" t="n">
        <f aca="false">BB257*$AC$255*BB258*BB$38*'⑫ Roll-out Plan'!$O$97</f>
        <v>0</v>
      </c>
      <c r="BC259" s="36" t="n">
        <f aca="false">BC257*$AC$255*BC258*BC$38*'⑫ Roll-out Plan'!$O$97</f>
        <v>0</v>
      </c>
      <c r="BD259" s="36" t="n">
        <f aca="false">BD257*$AC$255*BD258*BD$38*'⑫ Roll-out Plan'!$O$97</f>
        <v>0</v>
      </c>
      <c r="BE259" s="36" t="n">
        <f aca="false">BE257*$AC$255*BE258*BE$38*'⑫ Roll-out Plan'!$O$97</f>
        <v>0</v>
      </c>
      <c r="BF259" s="36" t="n">
        <f aca="false">BF257*$AC$255*BF258*BF$38*'⑫ Roll-out Plan'!$O$97</f>
        <v>0</v>
      </c>
      <c r="BG259" s="36" t="n">
        <f aca="false">BG257*$AC$255*BG258*BG$38*'⑫ Roll-out Plan'!$O$97</f>
        <v>0</v>
      </c>
      <c r="BH259" s="36" t="n">
        <f aca="false">BH257*$AC$255*BH258*BH$38*'⑫ Roll-out Plan'!$O$97</f>
        <v>0</v>
      </c>
      <c r="BI259" s="36" t="n">
        <f aca="false">BI257*$AC$255*BI258*BI$38*'⑫ Roll-out Plan'!$O$97</f>
        <v>0</v>
      </c>
      <c r="BJ259" s="36" t="n">
        <f aca="false">BJ257*$AC$255*BJ258*BJ$38*'⑫ Roll-out Plan'!$O$97</f>
        <v>0</v>
      </c>
      <c r="BK259" s="36" t="n">
        <f aca="false">BK257*$AC$255*BK258*BK$38*'⑫ Roll-out Plan'!$O$97</f>
        <v>0</v>
      </c>
      <c r="BL259" s="36" t="n">
        <f aca="false">BL257*$AC$255*BL258*BL$38*'⑫ Roll-out Plan'!$O$97</f>
        <v>0</v>
      </c>
      <c r="BM259" s="36" t="n">
        <f aca="false">BM257*$AC$255*BM258*BM$38*'⑫ Roll-out Plan'!$O$97</f>
        <v>0</v>
      </c>
      <c r="BN259" s="36" t="n">
        <f aca="false">BN257*$AC$255*BN258*BN$38*'⑫ Roll-out Plan'!$O$97</f>
        <v>0</v>
      </c>
      <c r="BO259" s="36" t="n">
        <f aca="false">BO257*$AC$255*BO258*BO$38*'⑫ Roll-out Plan'!$O$97</f>
        <v>0</v>
      </c>
      <c r="BP259" s="36" t="n">
        <f aca="false">BP257*$AC$255*BP258*BP$38*'⑫ Roll-out Plan'!$O$97</f>
        <v>0</v>
      </c>
      <c r="BQ259" s="36" t="n">
        <f aca="false">BQ257*$AC$255*BQ258*BQ$38*'⑫ Roll-out Plan'!$O$97</f>
        <v>0</v>
      </c>
      <c r="BR259" s="36" t="n">
        <f aca="false">BR257*$AC$255*BR258*BR$38*'⑫ Roll-out Plan'!$O$97</f>
        <v>0</v>
      </c>
      <c r="BS259" s="36" t="n">
        <f aca="false">BS257*$AC$255*BS258*BS$38*'⑫ Roll-out Plan'!$O$97</f>
        <v>0</v>
      </c>
      <c r="BT259" s="36" t="n">
        <f aca="false">BT257*$AC$255*BT258*BT$38*'⑫ Roll-out Plan'!$O$97</f>
        <v>0</v>
      </c>
      <c r="BU259" s="36" t="n">
        <f aca="false">BU257*$AC$255*BU258*BU$38*'⑫ Roll-out Plan'!$O$97</f>
        <v>0</v>
      </c>
      <c r="BV259" s="36" t="n">
        <f aca="false">BV257*$AC$255*BV258*BV$38*'⑫ Roll-out Plan'!$O$97</f>
        <v>0</v>
      </c>
      <c r="BW259" s="36" t="n">
        <f aca="false">BW257*$AC$255*BW258*BW$38*'⑫ Roll-out Plan'!$O$97</f>
        <v>0</v>
      </c>
      <c r="BX259" s="36" t="n">
        <f aca="false">BX257*$AC$255*BX258*BX$38*'⑫ Roll-out Plan'!$O$97</f>
        <v>0</v>
      </c>
      <c r="BY259" s="36" t="n">
        <f aca="false">BY257*$AC$255*BY258*BY$38*'⑫ Roll-out Plan'!$O$97</f>
        <v>0</v>
      </c>
      <c r="BZ259" s="36" t="n">
        <f aca="false">BZ257*$AC$255*BZ258*BZ$38*'⑫ Roll-out Plan'!$O$97</f>
        <v>0</v>
      </c>
      <c r="CA259" s="36" t="n">
        <f aca="false">CA257*$AC$255*CA258*CA$38*'⑫ Roll-out Plan'!$O$97</f>
        <v>0</v>
      </c>
      <c r="CB259" s="36" t="n">
        <f aca="false">CB257*$AC$255*CB258*CB$38*'⑫ Roll-out Plan'!$O$97</f>
        <v>0</v>
      </c>
      <c r="CC259" s="36" t="n">
        <f aca="false">CC257*$AC$255*CC258*CC$38*'⑫ Roll-out Plan'!$O$97</f>
        <v>0</v>
      </c>
      <c r="CD259" s="36" t="n">
        <f aca="false">CD257*$AC$255*CD258*CD$38*'⑫ Roll-out Plan'!$O$97</f>
        <v>0</v>
      </c>
      <c r="CE259" s="36" t="n">
        <f aca="false">CE257*$AC$255*CE258*CE$38*'⑫ Roll-out Plan'!$O$97</f>
        <v>0</v>
      </c>
      <c r="CF259" s="36" t="n">
        <f aca="false">CF257*$AC$255*CF258*CF$38*'⑫ Roll-out Plan'!$O$97</f>
        <v>0</v>
      </c>
      <c r="CG259" s="36" t="n">
        <f aca="false">CG257*$AC$255*CG258*CG$38*'⑫ Roll-out Plan'!$O$97</f>
        <v>0</v>
      </c>
      <c r="CH259" s="36" t="n">
        <f aca="false">CH257*$AC$255*CH258*CH$38*'⑫ Roll-out Plan'!$O$97</f>
        <v>0</v>
      </c>
      <c r="CI259" s="36" t="n">
        <f aca="false">CI257*$AC$255*CI258*CI$38*'⑫ Roll-out Plan'!$O$97</f>
        <v>0</v>
      </c>
      <c r="CJ259" s="36" t="n">
        <f aca="false">CJ257*$AC$255*CJ258*CJ$38*'⑫ Roll-out Plan'!$O$97</f>
        <v>0</v>
      </c>
      <c r="CK259" s="36" t="n">
        <f aca="false">CK257*$AC$255*CK258*CK$38*'⑫ Roll-out Plan'!$O$97</f>
        <v>0</v>
      </c>
      <c r="CL259" s="36" t="n">
        <f aca="false">CL257*$AC$255*CL258*CL$38*'⑫ Roll-out Plan'!$O$97</f>
        <v>0</v>
      </c>
      <c r="CM259" s="36" t="n">
        <f aca="false">CM257*$AC$255*CM258*CM$38*'⑫ Roll-out Plan'!$O$97</f>
        <v>0</v>
      </c>
      <c r="CN259" s="36" t="n">
        <f aca="false">CN257*$AC$255*CN258*CN$38*'⑫ Roll-out Plan'!$O$97</f>
        <v>0</v>
      </c>
      <c r="CO259" s="36" t="n">
        <f aca="false">CO257*$AC$255*CO258*CO$38*'⑫ Roll-out Plan'!$O$97</f>
        <v>0</v>
      </c>
      <c r="CP259" s="36" t="n">
        <f aca="false">CP257*$AC$255*CP258*CP$38*'⑫ Roll-out Plan'!$O$97</f>
        <v>0</v>
      </c>
      <c r="CQ259" s="36" t="n">
        <f aca="false">CQ257*$AC$255*CQ258*CQ$38*'⑫ Roll-out Plan'!$O$97</f>
        <v>0</v>
      </c>
      <c r="CR259" s="36" t="n">
        <f aca="false">CR257*$AC$255*CR258*CR$38*'⑫ Roll-out Plan'!$O$97</f>
        <v>0</v>
      </c>
      <c r="CS259" s="36" t="n">
        <f aca="false">CS257*$AC$255*CS258*CS$38*'⑫ Roll-out Plan'!$O$97</f>
        <v>0</v>
      </c>
      <c r="CT259" s="36" t="n">
        <f aca="false">CT257*$AC$255*CT258*CT$38*'⑫ Roll-out Plan'!$O$97</f>
        <v>0</v>
      </c>
      <c r="CU259" s="36" t="n">
        <f aca="false">CU257*$AC$255*CU258*CU$38*'⑫ Roll-out Plan'!$O$97</f>
        <v>0</v>
      </c>
      <c r="CV259" s="36" t="n">
        <f aca="false">CV257*$AC$255*CV258*CV$38*'⑫ Roll-out Plan'!$O$97</f>
        <v>0</v>
      </c>
      <c r="CW259" s="36" t="n">
        <f aca="false">CW257*$AC$255*CW258*CW$38*'⑫ Roll-out Plan'!$O$97</f>
        <v>0</v>
      </c>
      <c r="CX259" s="36" t="n">
        <f aca="false">CX257*$AC$255*CX258*CX$38*'⑫ Roll-out Plan'!$O$97</f>
        <v>0</v>
      </c>
      <c r="CY259" s="36" t="n">
        <f aca="false">CY257*$AC$255*CY258*CY$38*'⑫ Roll-out Plan'!$O$97</f>
        <v>0</v>
      </c>
      <c r="CZ259" s="36" t="n">
        <f aca="false">CZ257*$AC$255*CZ258*CZ$38*'⑫ Roll-out Plan'!$O$97</f>
        <v>0</v>
      </c>
      <c r="DA259" s="36" t="n">
        <f aca="false">DA257*$AC$255*DA258*DA$38*'⑫ Roll-out Plan'!$O$97</f>
        <v>0</v>
      </c>
      <c r="DB259" s="36" t="n">
        <f aca="false">DB257*$AC$255*DB258*DB$38*'⑫ Roll-out Plan'!$O$97</f>
        <v>0</v>
      </c>
      <c r="DC259" s="36" t="n">
        <f aca="false">DC257*$AC$255*DC258*DC$38*'⑫ Roll-out Plan'!$O$97</f>
        <v>0</v>
      </c>
      <c r="DD259" s="36" t="n">
        <f aca="false">DD257*$AC$255*DD258*DD$38*'⑫ Roll-out Plan'!$O$97</f>
        <v>0</v>
      </c>
      <c r="DE259" s="36" t="n">
        <f aca="false">DE257*$AC$255*DE258*DE$38*'⑫ Roll-out Plan'!$O$97</f>
        <v>0</v>
      </c>
      <c r="DF259" s="36" t="n">
        <f aca="false">DF257*$AC$255*DF258*DF$38*'⑫ Roll-out Plan'!$O$97</f>
        <v>21.12</v>
      </c>
      <c r="DG259" s="36" t="n">
        <f aca="false">DG257*$AC$255*DG258*DG$38*'⑫ Roll-out Plan'!$O$97</f>
        <v>17.424</v>
      </c>
      <c r="DH259" s="36" t="n">
        <f aca="false">DH257*$AC$255*DH258*DH$38*'⑫ Roll-out Plan'!$O$97</f>
        <v>26.928</v>
      </c>
      <c r="DI259" s="36" t="n">
        <f aca="false">DI257*$AC$255*DI258*DI$38*'⑫ Roll-out Plan'!$O$97</f>
        <v>32.076</v>
      </c>
      <c r="DJ259" s="36" t="n">
        <f aca="false">DJ257*$AC$255*DJ258*DJ$38*'⑫ Roll-out Plan'!$O$97</f>
        <v>24.354</v>
      </c>
      <c r="DK259" s="36" t="n">
        <f aca="false">DK257*$AC$255*DK258*DK$38*'⑫ Roll-out Plan'!$O$97</f>
        <v>39.556</v>
      </c>
      <c r="DL259" s="36" t="n">
        <f aca="false">DL257*$AC$255*DL258*DL$38*'⑫ Roll-out Plan'!$O$97</f>
        <v>42.35</v>
      </c>
      <c r="DM259" s="36" t="n">
        <f aca="false">DM257*$AC$255*DM258*DM$38*'⑫ Roll-out Plan'!$O$97</f>
        <v>39.468</v>
      </c>
      <c r="DN259" s="36" t="n">
        <f aca="false">DN257*$AC$255*DN258*DN$38*'⑫ Roll-out Plan'!$O$97</f>
        <v>38.72</v>
      </c>
      <c r="DO259" s="36" t="n">
        <f aca="false">DO257*$AC$255*DO258*DO$38*'⑫ Roll-out Plan'!$O$97</f>
        <v>40.656</v>
      </c>
      <c r="DP259" s="36" t="n">
        <f aca="false">DP257*$AC$255*DP258*DP$38*'⑫ Roll-out Plan'!$O$97</f>
        <v>74.976</v>
      </c>
      <c r="DQ259" s="36" t="n">
        <f aca="false">DQ257*$AC$255*DQ258*DQ$38*'⑫ Roll-out Plan'!$O$97</f>
        <v>66.352</v>
      </c>
      <c r="DR259" s="36" t="n">
        <f aca="false">DR257*$AC$255*DR258*DR$38*'⑫ Roll-out Plan'!$O$97</f>
        <v>59.136</v>
      </c>
      <c r="DS259" s="36" t="n">
        <f aca="false">DS257*$AC$255*DS258*DS$38*'⑫ Roll-out Plan'!$O$97</f>
        <v>47.52</v>
      </c>
      <c r="DT259" s="36" t="n">
        <f aca="false">DT257*$AC$255*DT258*DT$38*'⑫ Roll-out Plan'!$O$97</f>
        <v>67.32</v>
      </c>
      <c r="DU259" s="36" t="n">
        <f aca="false">DU257*$AC$255*DU258*DU$38*'⑫ Roll-out Plan'!$O$97</f>
        <v>89.8128</v>
      </c>
      <c r="DV259" s="36" t="n">
        <f aca="false">DV257*$AC$255*DV258*DV$38*'⑫ Roll-out Plan'!$O$97</f>
        <v>71.4384</v>
      </c>
      <c r="DW259" s="36" t="n">
        <f aca="false">DW257*$AC$255*DW258*DW$38*'⑫ Roll-out Plan'!$O$97</f>
        <v>105.6528</v>
      </c>
      <c r="DX259" s="36" t="n">
        <f aca="false">DX257*$AC$255*DX258*DX$38*'⑫ Roll-out Plan'!$O$97</f>
        <v>103.092</v>
      </c>
      <c r="DY259" s="36" t="n">
        <f aca="false">DY257*$AC$255*DY258*DY$38*'⑫ Roll-out Plan'!$O$97</f>
        <v>86.2224</v>
      </c>
      <c r="DZ259" s="36" t="n">
        <f aca="false">DZ257*$AC$255*DZ258*DZ$38*'⑫ Roll-out Plan'!$O$97</f>
        <v>77.088</v>
      </c>
      <c r="EA259" s="36" t="n">
        <f aca="false">EA257*$AC$255*EA258*EA$38*'⑫ Roll-out Plan'!$O$97</f>
        <v>83.16</v>
      </c>
      <c r="EB259" s="36" t="n">
        <f aca="false">EB257*$AC$255*EB258*EB$38*'⑫ Roll-out Plan'!$O$97</f>
        <v>144.3288</v>
      </c>
      <c r="EC259" s="36" t="n">
        <f aca="false">EC257*$AC$255*EC258*EC$38*'⑫ Roll-out Plan'!$O$97</f>
        <v>120.9648</v>
      </c>
      <c r="ED259" s="36" t="n">
        <f aca="false">ED257*$AC$255*ED258*ED$38*'⑫ Roll-out Plan'!$O$97</f>
        <v>100.1088</v>
      </c>
      <c r="EE259" s="36" t="n">
        <f aca="false">EE257*$AC$255*EE258*EE$38*'⑫ Roll-out Plan'!$O$97</f>
        <v>76.032</v>
      </c>
      <c r="EF259" s="36" t="n">
        <f aca="false">EF257*$AC$255*EF258*EF$38*'⑫ Roll-out Plan'!$O$97</f>
        <v>110.4048</v>
      </c>
      <c r="EG259" s="36" t="n">
        <f aca="false">EG257*$AC$255*EG258*EG$38*'⑫ Roll-out Plan'!$O$97</f>
        <v>119.7504</v>
      </c>
      <c r="EH259" s="36" t="n">
        <f aca="false">EH257*$AC$255*EH258*EH$38*'⑫ Roll-out Plan'!$O$97</f>
        <v>92.004</v>
      </c>
      <c r="EI259" s="36" t="n">
        <f aca="false">EI257*$AC$255*EI258*EI$38*'⑫ Roll-out Plan'!$O$97</f>
        <v>130.152</v>
      </c>
      <c r="EJ259" s="36" t="n">
        <f aca="false">EJ257*$AC$255*EJ258*EJ$38*'⑫ Roll-out Plan'!$O$97</f>
        <v>124.872</v>
      </c>
      <c r="EK259" s="36" t="n">
        <f aca="false">EK257*$AC$255*EK258*EK$38*'⑫ Roll-out Plan'!$O$97</f>
        <v>106.8672</v>
      </c>
      <c r="EL259" s="36" t="n">
        <f aca="false">EL257*$AC$255*EL258*EL$38*'⑫ Roll-out Plan'!$O$97</f>
        <v>93.984</v>
      </c>
      <c r="EM259" s="36" t="n">
        <f aca="false">EM257*$AC$255*EM258*EM$38*'⑫ Roll-out Plan'!$O$97</f>
        <v>99.792</v>
      </c>
      <c r="EN259" s="36" t="n">
        <f aca="false">EN257*$AC$255*EN258*EN$38*'⑫ Roll-out Plan'!$O$97</f>
        <v>168.696</v>
      </c>
      <c r="EO259" s="36" t="n">
        <f aca="false">EO257*$AC$255*EO258*EO$38*'⑫ Roll-out Plan'!$O$97</f>
        <v>140.8704</v>
      </c>
      <c r="EP259" s="36" t="n">
        <f aca="false">EP257*$AC$255*EP258*EP$38*'⑫ Roll-out Plan'!$O$97</f>
        <v>117.8496</v>
      </c>
      <c r="EQ259" s="36" t="n">
        <f aca="false">EQ257*$AC$255*EQ258*EQ$38*'⑫ Roll-out Plan'!$O$97</f>
        <v>89.3376</v>
      </c>
      <c r="ER259" s="36" t="n">
        <f aca="false">ER257*$AC$255*ER258*ER$38*'⑫ Roll-out Plan'!$O$97</f>
        <v>127.908</v>
      </c>
      <c r="ES259" s="9" t="n">
        <f aca="false">ES257*$AC$255*ES258*ES$38*'⑫ Roll-out Plan'!$O$97</f>
        <v>135.432</v>
      </c>
      <c r="ET259" s="9" t="n">
        <f aca="false">ET257*$AC$255*ET258*ET$38*'⑫ Roll-out Plan'!$O$97</f>
        <v>104.9928</v>
      </c>
      <c r="EU259" s="9" t="n">
        <f aca="false">EU257*$AC$255*EU258*EU$38*'⑫ Roll-out Plan'!$O$97</f>
        <v>150.0576</v>
      </c>
      <c r="EV259" s="9" t="n">
        <f aca="false">EV257*$AC$255*EV258*EV$38*'⑫ Roll-out Plan'!$O$97</f>
        <v>143.748</v>
      </c>
      <c r="EW259" s="9" t="n">
        <f aca="false">EW257*$AC$255*EW258*EW$38*'⑫ Roll-out Plan'!$O$97</f>
        <v>121.44</v>
      </c>
      <c r="EX259" s="9" t="n">
        <f aca="false">EX257*$AC$255*EX258*EX$38*'⑫ Roll-out Plan'!$O$97</f>
        <v>105.6</v>
      </c>
      <c r="EY259" s="9" t="n">
        <f aca="false">EY257*$AC$255*EY258*EY$38*'⑫ Roll-out Plan'!$O$97</f>
        <v>110.88</v>
      </c>
      <c r="EZ259" s="9" t="n">
        <f aca="false">EZ257*$AC$255*EZ258*EZ$38*'⑫ Roll-out Plan'!$O$97</f>
        <v>187.44</v>
      </c>
      <c r="FA259" s="9" t="n">
        <f aca="false">FA257*$AC$255*FA258*FA$38*'⑫ Roll-out Plan'!$O$97</f>
        <v>153.12</v>
      </c>
      <c r="FB259" s="9" t="n">
        <f aca="false">FB257*$AC$255*FB258*FB$38*'⑫ Roll-out Plan'!$O$97</f>
        <v>126.72</v>
      </c>
      <c r="FC259" s="9" t="n">
        <f aca="false">FC257*$AC$255*FC258*FC$38*'⑫ Roll-out Plan'!$O$97</f>
        <v>95.04</v>
      </c>
      <c r="FD259" s="9" t="n">
        <f aca="false">FD257*$AC$255*FD258*FD$38*'⑫ Roll-out Plan'!$O$97</f>
        <v>134.64</v>
      </c>
      <c r="FE259" s="9" t="n">
        <f aca="false">FE257*$AC$255*FE258*FE$38*'⑫ Roll-out Plan'!$O$97</f>
        <v>142.56</v>
      </c>
      <c r="FF259" s="9" t="n">
        <f aca="false">FF257*$AC$255*FF258*FF$38*'⑫ Roll-out Plan'!$O$97</f>
        <v>108.24</v>
      </c>
      <c r="FG259" s="9" t="n">
        <f aca="false">FG257*$AC$255*FG258*FG$38*'⑫ Roll-out Plan'!$O$97</f>
        <v>153.12</v>
      </c>
      <c r="FH259" s="9" t="n">
        <f aca="false">FH257*$AC$255*FH258*FH$38*'⑫ Roll-out Plan'!$O$97</f>
        <v>145.2</v>
      </c>
      <c r="FI259" s="9" t="n">
        <f aca="false">FI257*$AC$255*FI258*FI$38*'⑫ Roll-out Plan'!$O$97</f>
        <v>121.44</v>
      </c>
      <c r="FJ259" s="9" t="n">
        <f aca="false">FJ257*$AC$255*FJ258*FJ$38*'⑫ Roll-out Plan'!$O$97</f>
        <v>105.6</v>
      </c>
      <c r="FK259" s="9" t="n">
        <f aca="false">FK257*$AC$255*FK258*FK$38*'⑫ Roll-out Plan'!$O$97</f>
        <v>110.88</v>
      </c>
      <c r="FL259" s="9" t="n">
        <f aca="false">FL257*$AC$255*FL258*FL$38*'⑫ Roll-out Plan'!$O$97</f>
        <v>187.44</v>
      </c>
      <c r="FM259" s="9" t="n">
        <f aca="false">FM257*$AC$255*FM258*FM$38*'⑫ Roll-out Plan'!$O$97</f>
        <v>153.12</v>
      </c>
      <c r="FN259" s="9" t="n">
        <f aca="false">FN257*$AC$255*FN258*FN$38*'⑫ Roll-out Plan'!$O$97</f>
        <v>126.72</v>
      </c>
      <c r="FO259" s="9" t="n">
        <f aca="false">FO257*$AC$255*FO258*FO$38*'⑫ Roll-out Plan'!$O$97</f>
        <v>95.04</v>
      </c>
      <c r="FP259" s="9" t="n">
        <f aca="false">FP257*$AC$255*FP258*FP$38*'⑫ Roll-out Plan'!$O$97</f>
        <v>134.64</v>
      </c>
    </row>
    <row r="260" customFormat="false" ht="15" hidden="false" customHeight="false" outlineLevel="2" collapsed="false">
      <c r="B260" s="9" t="s">
        <v>877</v>
      </c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112" t="n">
        <f aca="true">IFERROR(SUMPRODUCT(OFFSET($BJ$31,0,1-MIN(60,COLUMN()-29),1,MIN(60,COLUMN()-29)),OFFSET(AC259,0,-MIN(60,COLUMN()-29),1,MIN(60,COLUMN()-29))),0)</f>
        <v>0</v>
      </c>
      <c r="AD260" s="112" t="n">
        <f aca="true">IFERROR(SUMPRODUCT(OFFSET($BJ$31,0,1-MIN(60,COLUMN()-29),1,MIN(60,COLUMN()-29)),OFFSET(AD259,0,-MIN(60,COLUMN()-29),1,MIN(60,COLUMN()-29))),0)</f>
        <v>0</v>
      </c>
      <c r="AE260" s="112" t="n">
        <f aca="true">IFERROR(SUMPRODUCT(OFFSET($BJ$31,0,1-MIN(60,COLUMN()-29),1,MIN(60,COLUMN()-29)),OFFSET(AE259,0,-MIN(60,COLUMN()-29),1,MIN(60,COLUMN()-29))),0)</f>
        <v>0</v>
      </c>
      <c r="AF260" s="112" t="n">
        <f aca="true">IFERROR(SUMPRODUCT(OFFSET($BJ$31,0,1-MIN(60,COLUMN()-29),1,MIN(60,COLUMN()-29)),OFFSET(AF259,0,-MIN(60,COLUMN()-29),1,MIN(60,COLUMN()-29))),0)</f>
        <v>0</v>
      </c>
      <c r="AG260" s="112" t="n">
        <f aca="true">IFERROR(SUMPRODUCT(OFFSET($BJ$31,0,1-MIN(60,COLUMN()-29),1,MIN(60,COLUMN()-29)),OFFSET(AG259,0,-MIN(60,COLUMN()-29),1,MIN(60,COLUMN()-29))),0)</f>
        <v>0</v>
      </c>
      <c r="AH260" s="112" t="n">
        <f aca="true">IFERROR(SUMPRODUCT(OFFSET($BJ$31,0,1-MIN(60,COLUMN()-29),1,MIN(60,COLUMN()-29)),OFFSET(AH259,0,-MIN(60,COLUMN()-29),1,MIN(60,COLUMN()-29))),0)</f>
        <v>0</v>
      </c>
      <c r="AI260" s="112" t="n">
        <f aca="true">IFERROR(SUMPRODUCT(OFFSET($BJ$31,0,1-MIN(60,COLUMN()-29),1,MIN(60,COLUMN()-29)),OFFSET(AI259,0,-MIN(60,COLUMN()-29),1,MIN(60,COLUMN()-29))),0)</f>
        <v>0</v>
      </c>
      <c r="AJ260" s="112" t="n">
        <f aca="true">IFERROR(SUMPRODUCT(OFFSET($BJ$31,0,1-MIN(60,COLUMN()-29),1,MIN(60,COLUMN()-29)),OFFSET(AJ259,0,-MIN(60,COLUMN()-29),1,MIN(60,COLUMN()-29))),0)</f>
        <v>0</v>
      </c>
      <c r="AK260" s="112" t="n">
        <f aca="true">IFERROR(SUMPRODUCT(OFFSET($BJ$31,0,1-MIN(60,COLUMN()-29),1,MIN(60,COLUMN()-29)),OFFSET(AK259,0,-MIN(60,COLUMN()-29),1,MIN(60,COLUMN()-29))),0)</f>
        <v>0</v>
      </c>
      <c r="AL260" s="112" t="n">
        <f aca="true">IFERROR(SUMPRODUCT(OFFSET($BJ$31,0,1-MIN(60,COLUMN()-29),1,MIN(60,COLUMN()-29)),OFFSET(AL259,0,-MIN(60,COLUMN()-29),1,MIN(60,COLUMN()-29))),0)</f>
        <v>0</v>
      </c>
      <c r="AM260" s="112" t="n">
        <f aca="true">IFERROR(SUMPRODUCT(OFFSET($BJ$31,0,1-MIN(60,COLUMN()-29),1,MIN(60,COLUMN()-29)),OFFSET(AM259,0,-MIN(60,COLUMN()-29),1,MIN(60,COLUMN()-29))),0)</f>
        <v>0</v>
      </c>
      <c r="AN260" s="112" t="n">
        <f aca="true">IFERROR(SUMPRODUCT(OFFSET($BJ$31,0,1-MIN(60,COLUMN()-29),1,MIN(60,COLUMN()-29)),OFFSET(AN259,0,-MIN(60,COLUMN()-29),1,MIN(60,COLUMN()-29))),0)</f>
        <v>0</v>
      </c>
      <c r="AO260" s="112" t="n">
        <f aca="true">IFERROR(SUMPRODUCT(OFFSET($BJ$31,0,1-MIN(60,COLUMN()-29),1,MIN(60,COLUMN()-29)),OFFSET(AO259,0,-MIN(60,COLUMN()-29),1,MIN(60,COLUMN()-29))),0)</f>
        <v>0</v>
      </c>
      <c r="AP260" s="112" t="n">
        <f aca="true">IFERROR(SUMPRODUCT(OFFSET($BJ$31,0,1-MIN(60,COLUMN()-29),1,MIN(60,COLUMN()-29)),OFFSET(AP259,0,-MIN(60,COLUMN()-29),1,MIN(60,COLUMN()-29))),0)</f>
        <v>0</v>
      </c>
      <c r="AQ260" s="112" t="n">
        <f aca="true">IFERROR(SUMPRODUCT(OFFSET($BJ$31,0,1-MIN(60,COLUMN()-29),1,MIN(60,COLUMN()-29)),OFFSET(AQ259,0,-MIN(60,COLUMN()-29),1,MIN(60,COLUMN()-29))),0)</f>
        <v>0</v>
      </c>
      <c r="AR260" s="112" t="n">
        <f aca="true">IFERROR(SUMPRODUCT(OFFSET($BJ$31,0,1-MIN(60,COLUMN()-29),1,MIN(60,COLUMN()-29)),OFFSET(AR259,0,-MIN(60,COLUMN()-29),1,MIN(60,COLUMN()-29))),0)</f>
        <v>0</v>
      </c>
      <c r="AS260" s="112" t="n">
        <f aca="true">IFERROR(SUMPRODUCT(OFFSET($BJ$31,0,1-MIN(60,COLUMN()-29),1,MIN(60,COLUMN()-29)),OFFSET(AS259,0,-MIN(60,COLUMN()-29),1,MIN(60,COLUMN()-29))),0)</f>
        <v>0</v>
      </c>
      <c r="AT260" s="112" t="n">
        <f aca="true">IFERROR(SUMPRODUCT(OFFSET($BJ$31,0,1-MIN(60,COLUMN()-29),1,MIN(60,COLUMN()-29)),OFFSET(AT259,0,-MIN(60,COLUMN()-29),1,MIN(60,COLUMN()-29))),0)</f>
        <v>0</v>
      </c>
      <c r="AU260" s="112" t="n">
        <f aca="true">IFERROR(SUMPRODUCT(OFFSET($BJ$31,0,1-MIN(60,COLUMN()-29),1,MIN(60,COLUMN()-29)),OFFSET(AU259,0,-MIN(60,COLUMN()-29),1,MIN(60,COLUMN()-29))),0)</f>
        <v>0</v>
      </c>
      <c r="AV260" s="112" t="n">
        <f aca="true">IFERROR(SUMPRODUCT(OFFSET($BJ$31,0,1-MIN(60,COLUMN()-29),1,MIN(60,COLUMN()-29)),OFFSET(AV259,0,-MIN(60,COLUMN()-29),1,MIN(60,COLUMN()-29))),0)</f>
        <v>0</v>
      </c>
      <c r="AW260" s="112" t="n">
        <f aca="true">IFERROR(SUMPRODUCT(OFFSET($BJ$31,0,1-MIN(60,COLUMN()-29),1,MIN(60,COLUMN()-29)),OFFSET(AW259,0,-MIN(60,COLUMN()-29),1,MIN(60,COLUMN()-29))),0)</f>
        <v>0</v>
      </c>
      <c r="AX260" s="112" t="n">
        <f aca="true">IFERROR(SUMPRODUCT(OFFSET($BJ$31,0,1-MIN(60,COLUMN()-29),1,MIN(60,COLUMN()-29)),OFFSET(AX259,0,-MIN(60,COLUMN()-29),1,MIN(60,COLUMN()-29))),0)</f>
        <v>0</v>
      </c>
      <c r="AY260" s="112" t="n">
        <f aca="true">IFERROR(SUMPRODUCT(OFFSET($BJ$31,0,1-MIN(60,COLUMN()-29),1,MIN(60,COLUMN()-29)),OFFSET(AY259,0,-MIN(60,COLUMN()-29),1,MIN(60,COLUMN()-29))),0)</f>
        <v>0</v>
      </c>
      <c r="AZ260" s="112" t="n">
        <f aca="true">IFERROR(SUMPRODUCT(OFFSET($BJ$31,0,1-MIN(60,COLUMN()-29),1,MIN(60,COLUMN()-29)),OFFSET(AZ259,0,-MIN(60,COLUMN()-29),1,MIN(60,COLUMN()-29))),0)</f>
        <v>0</v>
      </c>
      <c r="BA260" s="112" t="n">
        <f aca="true">IFERROR(SUMPRODUCT(OFFSET($BJ$31,0,1-MIN(60,COLUMN()-29),1,MIN(60,COLUMN()-29)),OFFSET(BA259,0,-MIN(60,COLUMN()-29),1,MIN(60,COLUMN()-29))),0)</f>
        <v>0</v>
      </c>
      <c r="BB260" s="112" t="n">
        <f aca="true">IFERROR(SUMPRODUCT(OFFSET($BJ$31,0,1-MIN(60,COLUMN()-29),1,MIN(60,COLUMN()-29)),OFFSET(BB259,0,-MIN(60,COLUMN()-29),1,MIN(60,COLUMN()-29))),0)</f>
        <v>0</v>
      </c>
      <c r="BC260" s="112" t="n">
        <f aca="true">IFERROR(SUMPRODUCT(OFFSET($BJ$31,0,1-MIN(60,COLUMN()-29),1,MIN(60,COLUMN()-29)),OFFSET(BC259,0,-MIN(60,COLUMN()-29),1,MIN(60,COLUMN()-29))),0)</f>
        <v>0</v>
      </c>
      <c r="BD260" s="112" t="n">
        <f aca="true">IFERROR(SUMPRODUCT(OFFSET($BJ$31,0,1-MIN(60,COLUMN()-29),1,MIN(60,COLUMN()-29)),OFFSET(BD259,0,-MIN(60,COLUMN()-29),1,MIN(60,COLUMN()-29))),0)</f>
        <v>0</v>
      </c>
      <c r="BE260" s="112" t="n">
        <f aca="true">IFERROR(SUMPRODUCT(OFFSET($BJ$31,0,1-MIN(60,COLUMN()-29),1,MIN(60,COLUMN()-29)),OFFSET(BE259,0,-MIN(60,COLUMN()-29),1,MIN(60,COLUMN()-29))),0)</f>
        <v>0</v>
      </c>
      <c r="BF260" s="112" t="n">
        <f aca="true">IFERROR(SUMPRODUCT(OFFSET($BJ$31,0,1-MIN(60,COLUMN()-29),1,MIN(60,COLUMN()-29)),OFFSET(BF259,0,-MIN(60,COLUMN()-29),1,MIN(60,COLUMN()-29))),0)</f>
        <v>0</v>
      </c>
      <c r="BG260" s="112" t="n">
        <f aca="true">IFERROR(SUMPRODUCT(OFFSET($BJ$31,0,1-MIN(60,COLUMN()-29),1,MIN(60,COLUMN()-29)),OFFSET(BG259,0,-MIN(60,COLUMN()-29),1,MIN(60,COLUMN()-29))),0)</f>
        <v>0</v>
      </c>
      <c r="BH260" s="112" t="n">
        <f aca="true">IFERROR(SUMPRODUCT(OFFSET($BJ$31,0,1-MIN(60,COLUMN()-29),1,MIN(60,COLUMN()-29)),OFFSET(BH259,0,-MIN(60,COLUMN()-29),1,MIN(60,COLUMN()-29))),0)</f>
        <v>0</v>
      </c>
      <c r="BI260" s="112" t="n">
        <f aca="true">IFERROR(SUMPRODUCT(OFFSET($BJ$31,0,1-MIN(60,COLUMN()-29),1,MIN(60,COLUMN()-29)),OFFSET(BI259,0,-MIN(60,COLUMN()-29),1,MIN(60,COLUMN()-29))),0)</f>
        <v>0</v>
      </c>
      <c r="BJ260" s="112" t="n">
        <f aca="true">IFERROR(SUMPRODUCT(OFFSET($BJ$31,0,1-MIN(60,COLUMN()-29),1,MIN(60,COLUMN()-29)),OFFSET(BJ259,0,-MIN(60,COLUMN()-29),1,MIN(60,COLUMN()-29))),0)</f>
        <v>0</v>
      </c>
      <c r="BK260" s="112" t="n">
        <f aca="true">IFERROR(SUMPRODUCT(OFFSET($BJ$31,0,1-MIN(60,COLUMN()-29),1,MIN(60,COLUMN()-29)),OFFSET(BK259,0,-MIN(60,COLUMN()-29),1,MIN(60,COLUMN()-29))),0)</f>
        <v>0</v>
      </c>
      <c r="BL260" s="112" t="n">
        <f aca="true">IFERROR(SUMPRODUCT(OFFSET($BJ$31,0,1-MIN(60,COLUMN()-29),1,MIN(60,COLUMN()-29)),OFFSET(BL259,0,-MIN(60,COLUMN()-29),1,MIN(60,COLUMN()-29))),0)</f>
        <v>0</v>
      </c>
      <c r="BM260" s="112" t="n">
        <f aca="true">IFERROR(SUMPRODUCT(OFFSET($BJ$31,0,1-MIN(60,COLUMN()-29),1,MIN(60,COLUMN()-29)),OFFSET(BM259,0,-MIN(60,COLUMN()-29),1,MIN(60,COLUMN()-29))),0)</f>
        <v>0</v>
      </c>
      <c r="BN260" s="112" t="n">
        <f aca="true">IFERROR(SUMPRODUCT(OFFSET($BJ$31,0,1-MIN(60,COLUMN()-29),1,MIN(60,COLUMN()-29)),OFFSET(BN259,0,-MIN(60,COLUMN()-29),1,MIN(60,COLUMN()-29))),0)</f>
        <v>0</v>
      </c>
      <c r="BO260" s="112" t="n">
        <f aca="true">IFERROR(SUMPRODUCT(OFFSET($BJ$31,0,1-MIN(60,COLUMN()-29),1,MIN(60,COLUMN()-29)),OFFSET(BO259,0,-MIN(60,COLUMN()-29),1,MIN(60,COLUMN()-29))),0)</f>
        <v>0</v>
      </c>
      <c r="BP260" s="112" t="n">
        <f aca="true">IFERROR(SUMPRODUCT(OFFSET($BJ$31,0,1-MIN(60,COLUMN()-29),1,MIN(60,COLUMN()-29)),OFFSET(BP259,0,-MIN(60,COLUMN()-29),1,MIN(60,COLUMN()-29))),0)</f>
        <v>0</v>
      </c>
      <c r="BQ260" s="112" t="n">
        <f aca="true">IFERROR(SUMPRODUCT(OFFSET($BJ$31,0,1-MIN(60,COLUMN()-29),1,MIN(60,COLUMN()-29)),OFFSET(BQ259,0,-MIN(60,COLUMN()-29),1,MIN(60,COLUMN()-29))),0)</f>
        <v>0</v>
      </c>
      <c r="BR260" s="112" t="n">
        <f aca="true">IFERROR(SUMPRODUCT(OFFSET($BJ$31,0,1-MIN(60,COLUMN()-29),1,MIN(60,COLUMN()-29)),OFFSET(BR259,0,-MIN(60,COLUMN()-29),1,MIN(60,COLUMN()-29))),0)</f>
        <v>0</v>
      </c>
      <c r="BS260" s="112" t="n">
        <f aca="true">IFERROR(SUMPRODUCT(OFFSET($BJ$31,0,1-MIN(60,COLUMN()-29),1,MIN(60,COLUMN()-29)),OFFSET(BS259,0,-MIN(60,COLUMN()-29),1,MIN(60,COLUMN()-29))),0)</f>
        <v>0</v>
      </c>
      <c r="BT260" s="112" t="n">
        <f aca="true">IFERROR(SUMPRODUCT(OFFSET($BJ$31,0,1-MIN(60,COLUMN()-29),1,MIN(60,COLUMN()-29)),OFFSET(BT259,0,-MIN(60,COLUMN()-29),1,MIN(60,COLUMN()-29))),0)</f>
        <v>0</v>
      </c>
      <c r="BU260" s="112" t="n">
        <f aca="true">IFERROR(SUMPRODUCT(OFFSET($BJ$31,0,1-MIN(60,COLUMN()-29),1,MIN(60,COLUMN()-29)),OFFSET(BU259,0,-MIN(60,COLUMN()-29),1,MIN(60,COLUMN()-29))),0)</f>
        <v>0</v>
      </c>
      <c r="BV260" s="112" t="n">
        <f aca="true">IFERROR(SUMPRODUCT(OFFSET($BJ$31,0,1-MIN(60,COLUMN()-29),1,MIN(60,COLUMN()-29)),OFFSET(BV259,0,-MIN(60,COLUMN()-29),1,MIN(60,COLUMN()-29))),0)</f>
        <v>0</v>
      </c>
      <c r="BW260" s="112" t="n">
        <f aca="true">IFERROR(SUMPRODUCT(OFFSET($BJ$31,0,1-MIN(60,COLUMN()-29),1,MIN(60,COLUMN()-29)),OFFSET(BW259,0,-MIN(60,COLUMN()-29),1,MIN(60,COLUMN()-29))),0)</f>
        <v>0</v>
      </c>
      <c r="BX260" s="112" t="n">
        <f aca="true">IFERROR(SUMPRODUCT(OFFSET($BJ$31,0,1-MIN(60,COLUMN()-29),1,MIN(60,COLUMN()-29)),OFFSET(BX259,0,-MIN(60,COLUMN()-29),1,MIN(60,COLUMN()-29))),0)</f>
        <v>0</v>
      </c>
      <c r="BY260" s="112" t="n">
        <f aca="true">IFERROR(SUMPRODUCT(OFFSET($BJ$31,0,1-MIN(60,COLUMN()-29),1,MIN(60,COLUMN()-29)),OFFSET(BY259,0,-MIN(60,COLUMN()-29),1,MIN(60,COLUMN()-29))),0)</f>
        <v>0</v>
      </c>
      <c r="BZ260" s="112" t="n">
        <f aca="true">IFERROR(SUMPRODUCT(OFFSET($BJ$31,0,1-MIN(60,COLUMN()-29),1,MIN(60,COLUMN()-29)),OFFSET(BZ259,0,-MIN(60,COLUMN()-29),1,MIN(60,COLUMN()-29))),0)</f>
        <v>0</v>
      </c>
      <c r="CA260" s="112" t="n">
        <f aca="true">IFERROR(SUMPRODUCT(OFFSET($BJ$31,0,1-MIN(60,COLUMN()-29),1,MIN(60,COLUMN()-29)),OFFSET(CA259,0,-MIN(60,COLUMN()-29),1,MIN(60,COLUMN()-29))),0)</f>
        <v>0</v>
      </c>
      <c r="CB260" s="112" t="n">
        <f aca="true">IFERROR(SUMPRODUCT(OFFSET($BJ$31,0,1-MIN(60,COLUMN()-29),1,MIN(60,COLUMN()-29)),OFFSET(CB259,0,-MIN(60,COLUMN()-29),1,MIN(60,COLUMN()-29))),0)</f>
        <v>0</v>
      </c>
      <c r="CC260" s="112" t="n">
        <f aca="true">IFERROR(SUMPRODUCT(OFFSET($BJ$31,0,1-MIN(60,COLUMN()-29),1,MIN(60,COLUMN()-29)),OFFSET(CC259,0,-MIN(60,COLUMN()-29),1,MIN(60,COLUMN()-29))),0)</f>
        <v>0</v>
      </c>
      <c r="CD260" s="112" t="n">
        <f aca="true">IFERROR(SUMPRODUCT(OFFSET($BJ$31,0,1-MIN(60,COLUMN()-29),1,MIN(60,COLUMN()-29)),OFFSET(CD259,0,-MIN(60,COLUMN()-29),1,MIN(60,COLUMN()-29))),0)</f>
        <v>0</v>
      </c>
      <c r="CE260" s="112" t="n">
        <f aca="true">IFERROR(SUMPRODUCT(OFFSET($BJ$31,0,1-MIN(60,COLUMN()-29),1,MIN(60,COLUMN()-29)),OFFSET(CE259,0,-MIN(60,COLUMN()-29),1,MIN(60,COLUMN()-29))),0)</f>
        <v>0</v>
      </c>
      <c r="CF260" s="112" t="n">
        <f aca="true">IFERROR(SUMPRODUCT(OFFSET($BJ$31,0,1-MIN(60,COLUMN()-29),1,MIN(60,COLUMN()-29)),OFFSET(CF259,0,-MIN(60,COLUMN()-29),1,MIN(60,COLUMN()-29))),0)</f>
        <v>0</v>
      </c>
      <c r="CG260" s="112" t="n">
        <f aca="true">IFERROR(SUMPRODUCT(OFFSET($BJ$31,0,1-MIN(60,COLUMN()-29),1,MIN(60,COLUMN()-29)),OFFSET(CG259,0,-MIN(60,COLUMN()-29),1,MIN(60,COLUMN()-29))),0)</f>
        <v>0</v>
      </c>
      <c r="CH260" s="112" t="n">
        <f aca="true">IFERROR(SUMPRODUCT(OFFSET($BJ$31,0,1-MIN(60,COLUMN()-29),1,MIN(60,COLUMN()-29)),OFFSET(CH259,0,-MIN(60,COLUMN()-29),1,MIN(60,COLUMN()-29))),0)</f>
        <v>0</v>
      </c>
      <c r="CI260" s="112" t="n">
        <f aca="true">IFERROR(SUMPRODUCT(OFFSET($BJ$31,0,1-MIN(60,COLUMN()-29),1,MIN(60,COLUMN()-29)),OFFSET(CI259,0,-MIN(60,COLUMN()-29),1,MIN(60,COLUMN()-29))),0)</f>
        <v>0</v>
      </c>
      <c r="CJ260" s="112" t="n">
        <f aca="true">IFERROR(SUMPRODUCT(OFFSET($BJ$31,0,1-MIN(60,COLUMN()-29),1,MIN(60,COLUMN()-29)),OFFSET(CJ259,0,-MIN(60,COLUMN()-29),1,MIN(60,COLUMN()-29))),0)</f>
        <v>0</v>
      </c>
      <c r="CK260" s="112" t="n">
        <f aca="true">IFERROR(SUMPRODUCT(OFFSET($BJ$31,0,1-MIN(60,COLUMN()-29),1,MIN(60,COLUMN()-29)),OFFSET(CK259,0,-MIN(60,COLUMN()-29),1,MIN(60,COLUMN()-29))),0)</f>
        <v>0</v>
      </c>
      <c r="CL260" s="112" t="n">
        <f aca="true">IFERROR(SUMPRODUCT(OFFSET($BJ$31,0,1-MIN(60,COLUMN()-29),1,MIN(60,COLUMN()-29)),OFFSET(CL259,0,-MIN(60,COLUMN()-29),1,MIN(60,COLUMN()-29))),0)</f>
        <v>0</v>
      </c>
      <c r="CM260" s="112" t="n">
        <f aca="true">IFERROR(SUMPRODUCT(OFFSET($BJ$31,0,1-MIN(60,COLUMN()-29),1,MIN(60,COLUMN()-29)),OFFSET(CM259,0,-MIN(60,COLUMN()-29),1,MIN(60,COLUMN()-29))),0)</f>
        <v>0</v>
      </c>
      <c r="CN260" s="112" t="n">
        <f aca="true">IFERROR(SUMPRODUCT(OFFSET($BJ$31,0,1-MIN(60,COLUMN()-29),1,MIN(60,COLUMN()-29)),OFFSET(CN259,0,-MIN(60,COLUMN()-29),1,MIN(60,COLUMN()-29))),0)</f>
        <v>0</v>
      </c>
      <c r="CO260" s="112" t="n">
        <f aca="true">IFERROR(SUMPRODUCT(OFFSET($BJ$31,0,1-MIN(60,COLUMN()-29),1,MIN(60,COLUMN()-29)),OFFSET(CO259,0,-MIN(60,COLUMN()-29),1,MIN(60,COLUMN()-29))),0)</f>
        <v>0</v>
      </c>
      <c r="CP260" s="112" t="n">
        <f aca="true">IFERROR(SUMPRODUCT(OFFSET($BJ$31,0,1-MIN(60,COLUMN()-29),1,MIN(60,COLUMN()-29)),OFFSET(CP259,0,-MIN(60,COLUMN()-29),1,MIN(60,COLUMN()-29))),0)</f>
        <v>0</v>
      </c>
      <c r="CQ260" s="112" t="n">
        <f aca="true">IFERROR(SUMPRODUCT(OFFSET($BJ$31,0,1-MIN(60,COLUMN()-29),1,MIN(60,COLUMN()-29)),OFFSET(CQ259,0,-MIN(60,COLUMN()-29),1,MIN(60,COLUMN()-29))),0)</f>
        <v>0</v>
      </c>
      <c r="CR260" s="112" t="n">
        <f aca="true">IFERROR(SUMPRODUCT(OFFSET($BJ$31,0,1-MIN(60,COLUMN()-29),1,MIN(60,COLUMN()-29)),OFFSET(CR259,0,-MIN(60,COLUMN()-29),1,MIN(60,COLUMN()-29))),0)</f>
        <v>0</v>
      </c>
      <c r="CS260" s="112" t="n">
        <f aca="true">IFERROR(SUMPRODUCT(OFFSET($BJ$31,0,1-MIN(60,COLUMN()-29),1,MIN(60,COLUMN()-29)),OFFSET(CS259,0,-MIN(60,COLUMN()-29),1,MIN(60,COLUMN()-29))),0)</f>
        <v>0</v>
      </c>
      <c r="CT260" s="112" t="n">
        <f aca="true">IFERROR(SUMPRODUCT(OFFSET($BJ$31,0,1-MIN(60,COLUMN()-29),1,MIN(60,COLUMN()-29)),OFFSET(CT259,0,-MIN(60,COLUMN()-29),1,MIN(60,COLUMN()-29))),0)</f>
        <v>0</v>
      </c>
      <c r="CU260" s="112" t="n">
        <f aca="true">IFERROR(SUMPRODUCT(OFFSET($BJ$31,0,1-MIN(60,COLUMN()-29),1,MIN(60,COLUMN()-29)),OFFSET(CU259,0,-MIN(60,COLUMN()-29),1,MIN(60,COLUMN()-29))),0)</f>
        <v>0</v>
      </c>
      <c r="CV260" s="112" t="n">
        <f aca="true">IFERROR(SUMPRODUCT(OFFSET($BJ$31,0,1-MIN(60,COLUMN()-29),1,MIN(60,COLUMN()-29)),OFFSET(CV259,0,-MIN(60,COLUMN()-29),1,MIN(60,COLUMN()-29))),0)</f>
        <v>0</v>
      </c>
      <c r="CW260" s="112" t="n">
        <f aca="true">IFERROR(SUMPRODUCT(OFFSET($BJ$31,0,1-MIN(60,COLUMN()-29),1,MIN(60,COLUMN()-29)),OFFSET(CW259,0,-MIN(60,COLUMN()-29),1,MIN(60,COLUMN()-29))),0)</f>
        <v>0</v>
      </c>
      <c r="CX260" s="112" t="n">
        <f aca="true">IFERROR(SUMPRODUCT(OFFSET($BJ$31,0,1-MIN(60,COLUMN()-29),1,MIN(60,COLUMN()-29)),OFFSET(CX259,0,-MIN(60,COLUMN()-29),1,MIN(60,COLUMN()-29))),0)</f>
        <v>0</v>
      </c>
      <c r="CY260" s="112" t="n">
        <f aca="true">IFERROR(SUMPRODUCT(OFFSET($BJ$31,0,1-MIN(60,COLUMN()-29),1,MIN(60,COLUMN()-29)),OFFSET(CY259,0,-MIN(60,COLUMN()-29),1,MIN(60,COLUMN()-29))),0)</f>
        <v>0</v>
      </c>
      <c r="CZ260" s="112" t="n">
        <f aca="true">IFERROR(SUMPRODUCT(OFFSET($BJ$31,0,1-MIN(60,COLUMN()-29),1,MIN(60,COLUMN()-29)),OFFSET(CZ259,0,-MIN(60,COLUMN()-29),1,MIN(60,COLUMN()-29))),0)</f>
        <v>0</v>
      </c>
      <c r="DA260" s="112" t="n">
        <f aca="true">IFERROR(SUMPRODUCT(OFFSET($BJ$31,0,1-MIN(60,COLUMN()-29),1,MIN(60,COLUMN()-29)),OFFSET(DA259,0,-MIN(60,COLUMN()-29),1,MIN(60,COLUMN()-29))),0)</f>
        <v>0</v>
      </c>
      <c r="DB260" s="112" t="n">
        <f aca="true">IFERROR(SUMPRODUCT(OFFSET($BJ$31,0,1-MIN(60,COLUMN()-29),1,MIN(60,COLUMN()-29)),OFFSET(DB259,0,-MIN(60,COLUMN()-29),1,MIN(60,COLUMN()-29))),0)</f>
        <v>0</v>
      </c>
      <c r="DC260" s="112" t="n">
        <f aca="true">IFERROR(SUMPRODUCT(OFFSET($BJ$31,0,1-MIN(60,COLUMN()-29),1,MIN(60,COLUMN()-29)),OFFSET(DC259,0,-MIN(60,COLUMN()-29),1,MIN(60,COLUMN()-29))),0)</f>
        <v>0</v>
      </c>
      <c r="DD260" s="112" t="n">
        <f aca="true">IFERROR(SUMPRODUCT(OFFSET($BJ$31,0,1-MIN(60,COLUMN()-29),1,MIN(60,COLUMN()-29)),OFFSET(DD259,0,-MIN(60,COLUMN()-29),1,MIN(60,COLUMN()-29))),0)</f>
        <v>0</v>
      </c>
      <c r="DE260" s="112" t="n">
        <f aca="true">IFERROR(SUMPRODUCT(OFFSET($BJ$31,0,1-MIN(60,COLUMN()-29),1,MIN(60,COLUMN()-29)),OFFSET(DE259,0,-MIN(60,COLUMN()-29),1,MIN(60,COLUMN()-29))),0)</f>
        <v>0</v>
      </c>
      <c r="DF260" s="112" t="n">
        <f aca="true">IFERROR(SUMPRODUCT(OFFSET($BJ$31,0,1-MIN(60,COLUMN()-29),1,MIN(60,COLUMN()-29)),OFFSET(DF259,0,-MIN(60,COLUMN()-29),1,MIN(60,COLUMN()-29))),0)</f>
        <v>0</v>
      </c>
      <c r="DG260" s="112" t="n">
        <f aca="true">IFERROR(SUMPRODUCT(OFFSET($BJ$31,0,1-MIN(60,COLUMN()-29),1,MIN(60,COLUMN()-29)),OFFSET(DG259,0,-MIN(60,COLUMN()-29),1,MIN(60,COLUMN()-29))),0)</f>
        <v>2.70336</v>
      </c>
      <c r="DH260" s="112" t="n">
        <f aca="true">IFERROR(SUMPRODUCT(OFFSET($BJ$31,0,1-MIN(60,COLUMN()-29),1,MIN(60,COLUMN()-29)),OFFSET(DH259,0,-MIN(60,COLUMN()-29),1,MIN(60,COLUMN()-29))),0)</f>
        <v>2.601984</v>
      </c>
      <c r="DI260" s="112" t="n">
        <f aca="true">IFERROR(SUMPRODUCT(OFFSET($BJ$31,0,1-MIN(60,COLUMN()-29),1,MIN(60,COLUMN()-29)),OFFSET(DI259,0,-MIN(60,COLUMN()-29),1,MIN(60,COLUMN()-29))),0)</f>
        <v>4.2265344</v>
      </c>
      <c r="DJ260" s="112" t="n">
        <f aca="true">IFERROR(SUMPRODUCT(OFFSET($BJ$31,0,1-MIN(60,COLUMN()-29),1,MIN(60,COLUMN()-29)),OFFSET(DJ259,0,-MIN(60,COLUMN()-29),1,MIN(60,COLUMN()-29))),0)</f>
        <v>5.2402944</v>
      </c>
      <c r="DK260" s="112" t="n">
        <f aca="true">IFERROR(SUMPRODUCT(OFFSET($BJ$31,0,1-MIN(60,COLUMN()-29),1,MIN(60,COLUMN()-29)),OFFSET(DK259,0,-MIN(60,COLUMN()-29),1,MIN(60,COLUMN()-29))),0)</f>
        <v>4.710816</v>
      </c>
      <c r="DL260" s="112" t="n">
        <f aca="true">IFERROR(SUMPRODUCT(OFFSET($BJ$31,0,1-MIN(60,COLUMN()-29),1,MIN(60,COLUMN()-29)),OFFSET(DL259,0,-MIN(60,COLUMN()-29),1,MIN(60,COLUMN()-29))),0)</f>
        <v>6.8236256</v>
      </c>
      <c r="DM260" s="112" t="n">
        <f aca="true">IFERROR(SUMPRODUCT(OFFSET($BJ$31,0,1-MIN(60,COLUMN()-29),1,MIN(60,COLUMN()-29)),OFFSET(DM259,0,-MIN(60,COLUMN()-29),1,MIN(60,COLUMN()-29))),0)</f>
        <v>7.753152</v>
      </c>
      <c r="DN260" s="112" t="n">
        <f aca="true">IFERROR(SUMPRODUCT(OFFSET($BJ$31,0,1-MIN(60,COLUMN()-29),1,MIN(60,COLUMN()-29)),OFFSET(DN259,0,-MIN(60,COLUMN()-29),1,MIN(60,COLUMN()-29))),0)</f>
        <v>7.8123936</v>
      </c>
      <c r="DO260" s="112" t="n">
        <f aca="true">IFERROR(SUMPRODUCT(OFFSET($BJ$31,0,1-MIN(60,COLUMN()-29),1,MIN(60,COLUMN()-29)),OFFSET(DO259,0,-MIN(60,COLUMN()-29),1,MIN(60,COLUMN()-29))),0)</f>
        <v>8.210752</v>
      </c>
      <c r="DP260" s="112" t="n">
        <f aca="true">IFERROR(SUMPRODUCT(OFFSET($BJ$31,0,1-MIN(60,COLUMN()-29),1,MIN(60,COLUMN()-29)),OFFSET(DP259,0,-MIN(60,COLUMN()-29),1,MIN(60,COLUMN()-29))),0)</f>
        <v>8.9896928</v>
      </c>
      <c r="DQ260" s="112" t="n">
        <f aca="true">IFERROR(SUMPRODUCT(OFFSET($BJ$31,0,1-MIN(60,COLUMN()-29),1,MIN(60,COLUMN()-29)),OFFSET(DQ259,0,-MIN(60,COLUMN()-29),1,MIN(60,COLUMN()-29))),0)</f>
        <v>13.4578048</v>
      </c>
      <c r="DR260" s="112" t="n">
        <f aca="true">IFERROR(SUMPRODUCT(OFFSET($BJ$31,0,1-MIN(60,COLUMN()-29),1,MIN(60,COLUMN()-29)),OFFSET(DR259,0,-MIN(60,COLUMN()-29),1,MIN(60,COLUMN()-29))),0)</f>
        <v>13.9629952</v>
      </c>
      <c r="DS260" s="112" t="n">
        <f aca="true">IFERROR(SUMPRODUCT(OFFSET($BJ$31,0,1-MIN(60,COLUMN()-29),1,MIN(60,COLUMN()-29)),OFFSET(DS259,0,-MIN(60,COLUMN()-29),1,MIN(60,COLUMN()-29))),0)</f>
        <v>14.467552</v>
      </c>
      <c r="DT260" s="112" t="n">
        <f aca="true">IFERROR(SUMPRODUCT(OFFSET($BJ$31,0,1-MIN(60,COLUMN()-29),1,MIN(60,COLUMN()-29)),OFFSET(DT259,0,-MIN(60,COLUMN()-29),1,MIN(60,COLUMN()-29))),0)</f>
        <v>13.4735744</v>
      </c>
      <c r="DU260" s="112" t="n">
        <f aca="true">IFERROR(SUMPRODUCT(OFFSET($BJ$31,0,1-MIN(60,COLUMN()-29),1,MIN(60,COLUMN()-29)),OFFSET(DU259,0,-MIN(60,COLUMN()-29),1,MIN(60,COLUMN()-29))),0)</f>
        <v>16.7838528</v>
      </c>
      <c r="DV260" s="112" t="n">
        <f aca="true">IFERROR(SUMPRODUCT(OFFSET($BJ$31,0,1-MIN(60,COLUMN()-29),1,MIN(60,COLUMN()-29)),OFFSET(DV259,0,-MIN(60,COLUMN()-29),1,MIN(60,COLUMN()-29))),0)</f>
        <v>20.0435136</v>
      </c>
      <c r="DW260" s="112" t="n">
        <f aca="true">IFERROR(SUMPRODUCT(OFFSET($BJ$31,0,1-MIN(60,COLUMN()-29),1,MIN(60,COLUMN()-29)),OFFSET(DW259,0,-MIN(60,COLUMN()-29),1,MIN(60,COLUMN()-29))),0)</f>
        <v>19.67822208</v>
      </c>
      <c r="DX260" s="112" t="n">
        <f aca="true">IFERROR(SUMPRODUCT(OFFSET($BJ$31,0,1-MIN(60,COLUMN()-29),1,MIN(60,COLUMN()-29)),OFFSET(DX259,0,-MIN(60,COLUMN()-29),1,MIN(60,COLUMN()-29))),0)</f>
        <v>25.53893056</v>
      </c>
      <c r="DY260" s="112" t="n">
        <f aca="true">IFERROR(SUMPRODUCT(OFFSET($BJ$31,0,1-MIN(60,COLUMN()-29),1,MIN(60,COLUMN()-29)),OFFSET(DY259,0,-MIN(60,COLUMN()-29),1,MIN(60,COLUMN()-29))),0)</f>
        <v>26.96486848</v>
      </c>
      <c r="DZ260" s="112" t="n">
        <f aca="true">IFERROR(SUMPRODUCT(OFFSET($BJ$31,0,1-MIN(60,COLUMN()-29),1,MIN(60,COLUMN()-29)),OFFSET(DZ259,0,-MIN(60,COLUMN()-29),1,MIN(60,COLUMN()-29))),0)</f>
        <v>26.87063632</v>
      </c>
      <c r="EA260" s="112" t="n">
        <f aca="true">IFERROR(SUMPRODUCT(OFFSET($BJ$31,0,1-MIN(60,COLUMN()-29),1,MIN(60,COLUMN()-29)),OFFSET(EA259,0,-MIN(60,COLUMN()-29),1,MIN(60,COLUMN()-29))),0)</f>
        <v>26.72946056</v>
      </c>
      <c r="EB260" s="112" t="n">
        <f aca="true">IFERROR(SUMPRODUCT(OFFSET($BJ$31,0,1-MIN(60,COLUMN()-29),1,MIN(60,COLUMN()-29)),OFFSET(EB259,0,-MIN(60,COLUMN()-29),1,MIN(60,COLUMN()-29))),0)</f>
        <v>29.51062136</v>
      </c>
      <c r="EC260" s="112" t="n">
        <f aca="true">IFERROR(SUMPRODUCT(OFFSET($BJ$31,0,1-MIN(60,COLUMN()-29),1,MIN(60,COLUMN()-29)),OFFSET(EC259,0,-MIN(60,COLUMN()-29),1,MIN(60,COLUMN()-29))),0)</f>
        <v>39.151552</v>
      </c>
      <c r="ED260" s="112" t="n">
        <f aca="true">IFERROR(SUMPRODUCT(OFFSET($BJ$31,0,1-MIN(60,COLUMN()-29),1,MIN(60,COLUMN()-29)),OFFSET(ED259,0,-MIN(60,COLUMN()-29),1,MIN(60,COLUMN()-29))),0)</f>
        <v>39.12945872</v>
      </c>
      <c r="EE260" s="112" t="n">
        <f aca="true">IFERROR(SUMPRODUCT(OFFSET($BJ$31,0,1-MIN(60,COLUMN()-29),1,MIN(60,COLUMN()-29)),OFFSET(EE259,0,-MIN(60,COLUMN()-29),1,MIN(60,COLUMN()-29))),0)</f>
        <v>38.60571088</v>
      </c>
      <c r="EF260" s="112" t="n">
        <f aca="true">IFERROR(SUMPRODUCT(OFFSET($BJ$31,0,1-MIN(60,COLUMN()-29),1,MIN(60,COLUMN()-29)),OFFSET(EF259,0,-MIN(60,COLUMN()-29),1,MIN(60,COLUMN()-29))),0)</f>
        <v>36.64782352</v>
      </c>
      <c r="EG260" s="112" t="n">
        <f aca="true">IFERROR(SUMPRODUCT(OFFSET($BJ$31,0,1-MIN(60,COLUMN()-29),1,MIN(60,COLUMN()-29)),OFFSET(EG259,0,-MIN(60,COLUMN()-29),1,MIN(60,COLUMN()-29))),0)</f>
        <v>43.99873808</v>
      </c>
      <c r="EH260" s="112" t="n">
        <f aca="true">IFERROR(SUMPRODUCT(OFFSET($BJ$31,0,1-MIN(60,COLUMN()-29),1,MIN(60,COLUMN()-29)),OFFSET(EH259,0,-MIN(60,COLUMN()-29),1,MIN(60,COLUMN()-29))),0)</f>
        <v>47.29539408</v>
      </c>
      <c r="EI260" s="112" t="n">
        <f aca="true">IFERROR(SUMPRODUCT(OFFSET($BJ$31,0,1-MIN(60,COLUMN()-29),1,MIN(60,COLUMN()-29)),OFFSET(EI259,0,-MIN(60,COLUMN()-29),1,MIN(60,COLUMN()-29))),0)</f>
        <v>47.07599952</v>
      </c>
      <c r="EJ260" s="112" t="n">
        <f aca="true">IFERROR(SUMPRODUCT(OFFSET($BJ$31,0,1-MIN(60,COLUMN()-29),1,MIN(60,COLUMN()-29)),OFFSET(EJ259,0,-MIN(60,COLUMN()-29),1,MIN(60,COLUMN()-29))),0)</f>
        <v>54.28831056</v>
      </c>
      <c r="EK260" s="112" t="n">
        <f aca="true">IFERROR(SUMPRODUCT(OFFSET($BJ$31,0,1-MIN(60,COLUMN()-29),1,MIN(60,COLUMN()-29)),OFFSET(EK259,0,-MIN(60,COLUMN()-29),1,MIN(60,COLUMN()-29))),0)</f>
        <v>56.00296944</v>
      </c>
      <c r="EL260" s="112" t="n">
        <f aca="true">IFERROR(SUMPRODUCT(OFFSET($BJ$31,0,1-MIN(60,COLUMN()-29),1,MIN(60,COLUMN()-29)),OFFSET(EL259,0,-MIN(60,COLUMN()-29),1,MIN(60,COLUMN()-29))),0)</f>
        <v>56.75162064</v>
      </c>
      <c r="EM260" s="112" t="n">
        <f aca="true">IFERROR(SUMPRODUCT(OFFSET($BJ$31,0,1-MIN(60,COLUMN()-29),1,MIN(60,COLUMN()-29)),OFFSET(EM259,0,-MIN(60,COLUMN()-29),1,MIN(60,COLUMN()-29))),0)</f>
        <v>56.95292592</v>
      </c>
      <c r="EN260" s="112" t="n">
        <f aca="true">IFERROR(SUMPRODUCT(OFFSET($BJ$31,0,1-MIN(60,COLUMN()-29),1,MIN(60,COLUMN()-29)),OFFSET(EN259,0,-MIN(60,COLUMN()-29),1,MIN(60,COLUMN()-29))),0)</f>
        <v>61.5452904</v>
      </c>
      <c r="EO260" s="112" t="n">
        <f aca="true">IFERROR(SUMPRODUCT(OFFSET($BJ$31,0,1-MIN(60,COLUMN()-29),1,MIN(60,COLUMN()-29)),OFFSET(EO259,0,-MIN(60,COLUMN()-29),1,MIN(60,COLUMN()-29))),0)</f>
        <v>73.90029504</v>
      </c>
      <c r="EP260" s="112" t="n">
        <f aca="true">IFERROR(SUMPRODUCT(OFFSET($BJ$31,0,1-MIN(60,COLUMN()-29),1,MIN(60,COLUMN()-29)),OFFSET(EP259,0,-MIN(60,COLUMN()-29),1,MIN(60,COLUMN()-29))),0)</f>
        <v>74.23841568</v>
      </c>
      <c r="EQ260" s="112" t="n">
        <f aca="true">IFERROR(SUMPRODUCT(OFFSET($BJ$31,0,1-MIN(60,COLUMN()-29),1,MIN(60,COLUMN()-29)),OFFSET(EQ259,0,-MIN(60,COLUMN()-29),1,MIN(60,COLUMN()-29))),0)</f>
        <v>73.66581024</v>
      </c>
      <c r="ER260" s="112" t="n">
        <f aca="true">IFERROR(SUMPRODUCT(OFFSET($BJ$31,0,1-MIN(60,COLUMN()-29),1,MIN(60,COLUMN()-29)),OFFSET(ER259,0,-MIN(60,COLUMN()-29),1,MIN(60,COLUMN()-29))),0)</f>
        <v>71.98449984</v>
      </c>
      <c r="ES260" s="9" t="n">
        <f aca="true">IFERROR(SUMPRODUCT(OFFSET($BJ$31,0,1-MIN(60,COLUMN()-29),1,MIN(60,COLUMN()-29)),OFFSET(ES259,0,-MIN(60,COLUMN()-29),1,MIN(60,COLUMN()-29))),0)</f>
        <v>81.49382736</v>
      </c>
      <c r="ET260" s="9" t="n">
        <f aca="true">IFERROR(SUMPRODUCT(OFFSET($BJ$31,0,1-MIN(60,COLUMN()-29),1,MIN(60,COLUMN()-29)),OFFSET(ET259,0,-MIN(60,COLUMN()-29),1,MIN(60,COLUMN()-29))),0)</f>
        <v>85.23250032</v>
      </c>
      <c r="EU260" s="9" t="n">
        <f aca="true">IFERROR(SUMPRODUCT(OFFSET($BJ$31,0,1-MIN(60,COLUMN()-29),1,MIN(60,COLUMN()-29)),OFFSET(EU259,0,-MIN(60,COLUMN()-29),1,MIN(60,COLUMN()-29))),0)</f>
        <v>85.58723184</v>
      </c>
      <c r="EV260" s="9" t="n">
        <f aca="true">IFERROR(SUMPRODUCT(OFFSET($BJ$31,0,1-MIN(60,COLUMN()-29),1,MIN(60,COLUMN()-29)),OFFSET(EV259,0,-MIN(60,COLUMN()-29),1,MIN(60,COLUMN()-29))),0)</f>
        <v>94.25817456</v>
      </c>
      <c r="EW260" s="9" t="n">
        <f aca="true">IFERROR(SUMPRODUCT(OFFSET($BJ$31,0,1-MIN(60,COLUMN()-29),1,MIN(60,COLUMN()-29)),OFFSET(EW259,0,-MIN(60,COLUMN()-29),1,MIN(60,COLUMN()-29))),0)</f>
        <v>96.87372816</v>
      </c>
      <c r="EX260" s="9" t="n">
        <f aca="true">IFERROR(SUMPRODUCT(OFFSET($BJ$31,0,1-MIN(60,COLUMN()-29),1,MIN(60,COLUMN()-29)),OFFSET(EX259,0,-MIN(60,COLUMN()-29),1,MIN(60,COLUMN()-29))),0)</f>
        <v>97.86455184</v>
      </c>
      <c r="EY260" s="9" t="n">
        <f aca="true">IFERROR(SUMPRODUCT(OFFSET($BJ$31,0,1-MIN(60,COLUMN()-29),1,MIN(60,COLUMN()-29)),OFFSET(EY259,0,-MIN(60,COLUMN()-29),1,MIN(60,COLUMN()-29))),0)</f>
        <v>98.06763648</v>
      </c>
      <c r="EZ260" s="9" t="n">
        <f aca="true">IFERROR(SUMPRODUCT(OFFSET($BJ$31,0,1-MIN(60,COLUMN()-29),1,MIN(60,COLUMN()-29)),OFFSET(EZ259,0,-MIN(60,COLUMN()-29),1,MIN(60,COLUMN()-29))),0)</f>
        <v>103.22525664</v>
      </c>
      <c r="FA260" s="9" t="n">
        <f aca="true">IFERROR(SUMPRODUCT(OFFSET($BJ$31,0,1-MIN(60,COLUMN()-29),1,MIN(60,COLUMN()-29)),OFFSET(FA259,0,-MIN(60,COLUMN()-29),1,MIN(60,COLUMN()-29))),0)</f>
        <v>117.09365184</v>
      </c>
      <c r="FB260" s="9" t="n">
        <f aca="true">IFERROR(SUMPRODUCT(OFFSET($BJ$31,0,1-MIN(60,COLUMN()-29),1,MIN(60,COLUMN()-29)),OFFSET(FB259,0,-MIN(60,COLUMN()-29),1,MIN(60,COLUMN()-29))),0)</f>
        <v>117.22396224</v>
      </c>
      <c r="FC260" s="9" t="n">
        <f aca="true">IFERROR(SUMPRODUCT(OFFSET($BJ$31,0,1-MIN(60,COLUMN()-29),1,MIN(60,COLUMN()-29)),OFFSET(FC259,0,-MIN(60,COLUMN()-29),1,MIN(60,COLUMN()-29))),0)</f>
        <v>116.21011776</v>
      </c>
      <c r="FD260" s="9" t="n">
        <f aca="true">IFERROR(SUMPRODUCT(OFFSET($BJ$31,0,1-MIN(60,COLUMN()-29),1,MIN(60,COLUMN()-29)),OFFSET(FD259,0,-MIN(60,COLUMN()-29),1,MIN(60,COLUMN()-29))),0)</f>
        <v>114.10981824</v>
      </c>
      <c r="FE260" s="9" t="n">
        <f aca="true">IFERROR(SUMPRODUCT(OFFSET($BJ$31,0,1-MIN(60,COLUMN()-29),1,MIN(60,COLUMN()-29)),OFFSET(FE259,0,-MIN(60,COLUMN()-29),1,MIN(60,COLUMN()-29))),0)</f>
        <v>123.94365984</v>
      </c>
      <c r="FF260" s="9" t="n">
        <f aca="true">IFERROR(SUMPRODUCT(OFFSET($BJ$31,0,1-MIN(60,COLUMN()-29),1,MIN(60,COLUMN()-29)),OFFSET(FF259,0,-MIN(60,COLUMN()-29),1,MIN(60,COLUMN()-29))),0)</f>
        <v>127.49812944</v>
      </c>
      <c r="FG260" s="9" t="n">
        <f aca="true">IFERROR(SUMPRODUCT(OFFSET($BJ$31,0,1-MIN(60,COLUMN()-29),1,MIN(60,COLUMN()-29)),OFFSET(FG259,0,-MIN(60,COLUMN()-29),1,MIN(60,COLUMN()-29))),0)</f>
        <v>127.53528216</v>
      </c>
      <c r="FH260" s="9" t="n">
        <f aca="true">IFERROR(SUMPRODUCT(OFFSET($BJ$31,0,1-MIN(60,COLUMN()-29),1,MIN(60,COLUMN()-29)),OFFSET(FH259,0,-MIN(60,COLUMN()-29),1,MIN(60,COLUMN()-29))),0)</f>
        <v>135.9479748</v>
      </c>
      <c r="FI260" s="9" t="n">
        <f aca="true">IFERROR(SUMPRODUCT(OFFSET($BJ$31,0,1-MIN(60,COLUMN()-29),1,MIN(60,COLUMN()-29)),OFFSET(FI259,0,-MIN(60,COLUMN()-29),1,MIN(60,COLUMN()-29))),0)</f>
        <v>137.9952552</v>
      </c>
      <c r="FJ260" s="9" t="n">
        <f aca="true">IFERROR(SUMPRODUCT(OFFSET($BJ$31,0,1-MIN(60,COLUMN()-29),1,MIN(60,COLUMN()-29)),OFFSET(FJ259,0,-MIN(60,COLUMN()-29),1,MIN(60,COLUMN()-29))),0)</f>
        <v>138.41212704</v>
      </c>
      <c r="FK260" s="9" t="n">
        <f aca="true">IFERROR(SUMPRODUCT(OFFSET($BJ$31,0,1-MIN(60,COLUMN()-29),1,MIN(60,COLUMN()-29)),OFFSET(FK259,0,-MIN(60,COLUMN()-29),1,MIN(60,COLUMN()-29))),0)</f>
        <v>138.07312464</v>
      </c>
      <c r="FL260" s="9" t="n">
        <f aca="true">IFERROR(SUMPRODUCT(OFFSET($BJ$31,0,1-MIN(60,COLUMN()-29),1,MIN(60,COLUMN()-29)),OFFSET(FL259,0,-MIN(60,COLUMN()-29),1,MIN(60,COLUMN()-29))),0)</f>
        <v>143.13330768</v>
      </c>
      <c r="FM260" s="9" t="n">
        <f aca="true">IFERROR(SUMPRODUCT(OFFSET($BJ$31,0,1-MIN(60,COLUMN()-29),1,MIN(60,COLUMN()-29)),OFFSET(FM259,0,-MIN(60,COLUMN()-29),1,MIN(60,COLUMN()-29))),0)</f>
        <v>156.29959488</v>
      </c>
      <c r="FN260" s="9" t="n">
        <f aca="true">IFERROR(SUMPRODUCT(OFFSET($BJ$31,0,1-MIN(60,COLUMN()-29),1,MIN(60,COLUMN()-29)),OFFSET(FN259,0,-MIN(60,COLUMN()-29),1,MIN(60,COLUMN()-29))),0)</f>
        <v>155.56725888</v>
      </c>
      <c r="FO260" s="9" t="n">
        <f aca="true">IFERROR(SUMPRODUCT(OFFSET($BJ$31,0,1-MIN(60,COLUMN()-29),1,MIN(60,COLUMN()-29)),OFFSET(FO259,0,-MIN(60,COLUMN()-29),1,MIN(60,COLUMN()-29))),0)</f>
        <v>153.76361088</v>
      </c>
      <c r="FP260" s="9" t="n">
        <f aca="true">IFERROR(SUMPRODUCT(OFFSET($BJ$31,0,1-MIN(60,COLUMN()-29),1,MIN(60,COLUMN()-29)),OFFSET(FP259,0,-MIN(60,COLUMN()-29),1,MIN(60,COLUMN()-29))),0)</f>
        <v>151.05433728</v>
      </c>
    </row>
    <row r="261" customFormat="false" ht="15" hidden="false" customHeight="false" outlineLevel="2" collapsed="false">
      <c r="B261" s="90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237"/>
      <c r="AD261" s="237"/>
      <c r="AE261" s="237"/>
      <c r="AF261" s="237"/>
      <c r="AG261" s="237"/>
      <c r="AH261" s="237"/>
      <c r="AI261" s="237"/>
      <c r="AJ261" s="237"/>
      <c r="AK261" s="237"/>
      <c r="AL261" s="237"/>
      <c r="AM261" s="237"/>
      <c r="AN261" s="237"/>
      <c r="AO261" s="237"/>
      <c r="AP261" s="237"/>
      <c r="AQ261" s="237"/>
      <c r="AR261" s="237"/>
      <c r="AS261" s="237"/>
      <c r="AT261" s="237"/>
      <c r="AU261" s="237"/>
      <c r="AV261" s="237"/>
      <c r="AW261" s="237"/>
      <c r="AX261" s="237"/>
      <c r="AY261" s="237"/>
      <c r="AZ261" s="237"/>
      <c r="BA261" s="237"/>
      <c r="BB261" s="237"/>
      <c r="BC261" s="237"/>
      <c r="BD261" s="237"/>
      <c r="BE261" s="237"/>
      <c r="BF261" s="237"/>
      <c r="BG261" s="237"/>
      <c r="BH261" s="237"/>
      <c r="BI261" s="237"/>
      <c r="BJ261" s="237"/>
      <c r="BK261" s="237"/>
      <c r="BL261" s="237"/>
      <c r="BM261" s="237"/>
      <c r="BN261" s="237"/>
      <c r="BO261" s="237"/>
      <c r="BP261" s="237"/>
      <c r="BQ261" s="237"/>
      <c r="BR261" s="237"/>
      <c r="BS261" s="237"/>
      <c r="BT261" s="237"/>
      <c r="BU261" s="237"/>
      <c r="BV261" s="237"/>
      <c r="BW261" s="237"/>
      <c r="BX261" s="237"/>
      <c r="BY261" s="237"/>
      <c r="BZ261" s="237"/>
      <c r="CA261" s="237"/>
      <c r="CB261" s="237"/>
      <c r="CC261" s="237"/>
      <c r="CD261" s="237"/>
      <c r="CE261" s="237"/>
      <c r="CF261" s="237"/>
      <c r="CG261" s="237"/>
      <c r="CH261" s="237"/>
      <c r="CI261" s="237"/>
      <c r="CJ261" s="237"/>
      <c r="CK261" s="237"/>
      <c r="CL261" s="237"/>
      <c r="CM261" s="237"/>
      <c r="CN261" s="237"/>
      <c r="CO261" s="237"/>
      <c r="CP261" s="237"/>
      <c r="CQ261" s="237"/>
      <c r="CR261" s="237"/>
      <c r="CS261" s="237"/>
      <c r="CT261" s="237"/>
      <c r="CU261" s="237"/>
      <c r="CV261" s="237"/>
      <c r="CW261" s="237"/>
      <c r="CX261" s="237"/>
      <c r="CY261" s="237"/>
      <c r="CZ261" s="237"/>
      <c r="DA261" s="237"/>
      <c r="DB261" s="237"/>
      <c r="DC261" s="237"/>
      <c r="DD261" s="237"/>
      <c r="DE261" s="237"/>
      <c r="DF261" s="237"/>
      <c r="DG261" s="237"/>
      <c r="DH261" s="237"/>
      <c r="DI261" s="237"/>
      <c r="DJ261" s="237"/>
      <c r="DK261" s="237"/>
      <c r="DL261" s="237"/>
      <c r="DM261" s="237"/>
      <c r="DN261" s="237"/>
      <c r="DO261" s="237"/>
      <c r="DP261" s="237"/>
      <c r="DQ261" s="237"/>
      <c r="DR261" s="237"/>
      <c r="DS261" s="237"/>
      <c r="DT261" s="237"/>
      <c r="DU261" s="237"/>
      <c r="DV261" s="237"/>
      <c r="DW261" s="237"/>
      <c r="DX261" s="237"/>
      <c r="DY261" s="237"/>
      <c r="DZ261" s="237"/>
      <c r="EA261" s="237"/>
      <c r="EB261" s="237"/>
      <c r="EC261" s="237"/>
      <c r="ED261" s="237"/>
      <c r="EE261" s="237"/>
      <c r="EF261" s="237"/>
      <c r="EG261" s="237"/>
      <c r="EH261" s="237"/>
      <c r="EI261" s="237"/>
      <c r="EJ261" s="237"/>
      <c r="EK261" s="237"/>
      <c r="EL261" s="237"/>
      <c r="EM261" s="237"/>
      <c r="EN261" s="237"/>
      <c r="EO261" s="237"/>
      <c r="EP261" s="237"/>
      <c r="EQ261" s="237"/>
      <c r="ER261" s="237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</row>
    <row r="262" customFormat="false" ht="15" hidden="false" customHeight="false" outlineLevel="2" collapsed="false">
      <c r="B262" s="47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237"/>
      <c r="AD262" s="237"/>
      <c r="AE262" s="237"/>
      <c r="AF262" s="237"/>
      <c r="AG262" s="237"/>
      <c r="AH262" s="237"/>
      <c r="AI262" s="237"/>
      <c r="AJ262" s="237"/>
      <c r="AK262" s="237"/>
      <c r="AL262" s="237"/>
      <c r="AM262" s="237"/>
      <c r="AN262" s="237"/>
      <c r="AO262" s="237"/>
      <c r="AP262" s="237"/>
      <c r="AQ262" s="237"/>
      <c r="AR262" s="237"/>
      <c r="AS262" s="237"/>
      <c r="AT262" s="237"/>
      <c r="AU262" s="237"/>
      <c r="AV262" s="237"/>
      <c r="AW262" s="237"/>
      <c r="AX262" s="237"/>
      <c r="AY262" s="237"/>
      <c r="AZ262" s="237"/>
      <c r="BA262" s="237"/>
      <c r="BB262" s="237"/>
      <c r="BC262" s="237"/>
      <c r="BD262" s="237"/>
      <c r="BE262" s="237"/>
      <c r="BF262" s="237"/>
      <c r="BG262" s="237"/>
      <c r="BH262" s="237"/>
      <c r="BI262" s="237"/>
      <c r="BJ262" s="237"/>
      <c r="BK262" s="237"/>
      <c r="BL262" s="237"/>
      <c r="BM262" s="237"/>
      <c r="BN262" s="237"/>
      <c r="BO262" s="237"/>
      <c r="BP262" s="237"/>
      <c r="BQ262" s="237"/>
      <c r="BR262" s="237"/>
      <c r="BS262" s="237"/>
      <c r="BT262" s="237"/>
      <c r="BU262" s="237"/>
      <c r="BV262" s="237"/>
      <c r="BW262" s="237"/>
      <c r="BX262" s="237"/>
      <c r="BY262" s="237"/>
      <c r="BZ262" s="237"/>
      <c r="CA262" s="237"/>
      <c r="CB262" s="237"/>
      <c r="CC262" s="237"/>
      <c r="CD262" s="237"/>
      <c r="CE262" s="237"/>
      <c r="CF262" s="237"/>
      <c r="CG262" s="237"/>
      <c r="CH262" s="237"/>
      <c r="CI262" s="237"/>
      <c r="CJ262" s="237"/>
      <c r="CK262" s="237"/>
      <c r="CL262" s="237"/>
      <c r="CM262" s="237"/>
      <c r="CN262" s="237"/>
      <c r="CO262" s="237"/>
      <c r="CP262" s="237"/>
      <c r="CQ262" s="237"/>
      <c r="CR262" s="237"/>
      <c r="CS262" s="237"/>
      <c r="CT262" s="237"/>
      <c r="CU262" s="237"/>
      <c r="CV262" s="237"/>
      <c r="CW262" s="237"/>
      <c r="CX262" s="237"/>
      <c r="CY262" s="237"/>
      <c r="CZ262" s="237"/>
      <c r="DA262" s="237"/>
      <c r="DB262" s="237"/>
      <c r="DC262" s="237"/>
      <c r="DD262" s="237"/>
      <c r="DE262" s="237"/>
      <c r="DF262" s="237"/>
      <c r="DG262" s="237"/>
      <c r="DH262" s="237"/>
      <c r="DI262" s="237"/>
      <c r="DJ262" s="237"/>
      <c r="DK262" s="237"/>
      <c r="DL262" s="237"/>
      <c r="DM262" s="237"/>
      <c r="DN262" s="237"/>
      <c r="DO262" s="237"/>
      <c r="DP262" s="237"/>
      <c r="DQ262" s="237"/>
      <c r="DR262" s="237"/>
      <c r="DS262" s="237"/>
      <c r="DT262" s="237"/>
      <c r="DU262" s="237"/>
      <c r="DV262" s="237"/>
      <c r="DW262" s="237"/>
      <c r="DX262" s="237"/>
      <c r="DY262" s="237"/>
      <c r="DZ262" s="237"/>
      <c r="EA262" s="237"/>
      <c r="EB262" s="237"/>
      <c r="EC262" s="237"/>
      <c r="ED262" s="237"/>
      <c r="EE262" s="237"/>
      <c r="EF262" s="237"/>
      <c r="EG262" s="237"/>
      <c r="EH262" s="237"/>
      <c r="EI262" s="237"/>
      <c r="EJ262" s="237"/>
      <c r="EK262" s="237"/>
      <c r="EL262" s="237"/>
      <c r="EM262" s="237"/>
      <c r="EN262" s="237"/>
      <c r="EO262" s="237"/>
      <c r="EP262" s="237"/>
      <c r="EQ262" s="237"/>
      <c r="ER262" s="237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</row>
    <row r="263" customFormat="false" ht="15" hidden="false" customHeight="false" outlineLevel="2" collapsed="false">
      <c r="B263" s="47" t="s">
        <v>899</v>
      </c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237"/>
      <c r="AD263" s="237"/>
      <c r="AE263" s="237"/>
      <c r="AF263" s="237"/>
      <c r="AG263" s="237"/>
      <c r="AH263" s="237"/>
      <c r="AI263" s="237"/>
      <c r="AJ263" s="237"/>
      <c r="AK263" s="237"/>
      <c r="AL263" s="237"/>
      <c r="AM263" s="237"/>
      <c r="AN263" s="237"/>
      <c r="AO263" s="237"/>
      <c r="AP263" s="237"/>
      <c r="AQ263" s="237"/>
      <c r="AR263" s="237"/>
      <c r="AS263" s="237"/>
      <c r="AT263" s="237"/>
      <c r="AU263" s="237"/>
      <c r="AV263" s="237"/>
      <c r="AW263" s="237"/>
      <c r="AX263" s="237"/>
      <c r="AY263" s="237"/>
      <c r="AZ263" s="237"/>
      <c r="BA263" s="237"/>
      <c r="BB263" s="237"/>
      <c r="BC263" s="237"/>
      <c r="BD263" s="237"/>
      <c r="BE263" s="237"/>
      <c r="BF263" s="237"/>
      <c r="BG263" s="237"/>
      <c r="BH263" s="237"/>
      <c r="BI263" s="237"/>
      <c r="BJ263" s="237"/>
      <c r="BK263" s="237"/>
      <c r="BL263" s="237"/>
      <c r="BM263" s="237"/>
      <c r="BN263" s="237"/>
      <c r="BO263" s="237"/>
      <c r="BP263" s="237"/>
      <c r="BQ263" s="237"/>
      <c r="BR263" s="237"/>
      <c r="BS263" s="237"/>
      <c r="BT263" s="237"/>
      <c r="BU263" s="237"/>
      <c r="BV263" s="237"/>
      <c r="BW263" s="237"/>
      <c r="BX263" s="237"/>
      <c r="BY263" s="237"/>
      <c r="BZ263" s="237"/>
      <c r="CA263" s="237"/>
      <c r="CB263" s="237"/>
      <c r="CC263" s="237"/>
      <c r="CD263" s="237"/>
      <c r="CE263" s="237"/>
      <c r="CF263" s="237"/>
      <c r="CG263" s="237"/>
      <c r="CH263" s="237"/>
      <c r="CI263" s="237"/>
      <c r="CJ263" s="237"/>
      <c r="CK263" s="237"/>
      <c r="CL263" s="237"/>
      <c r="CM263" s="237"/>
      <c r="CN263" s="237"/>
      <c r="CO263" s="237"/>
      <c r="CP263" s="237"/>
      <c r="CQ263" s="237"/>
      <c r="CR263" s="237"/>
      <c r="CS263" s="237"/>
      <c r="CT263" s="237"/>
      <c r="CU263" s="237"/>
      <c r="CV263" s="237"/>
      <c r="CW263" s="237"/>
      <c r="CX263" s="237"/>
      <c r="CY263" s="237"/>
      <c r="CZ263" s="237"/>
      <c r="DA263" s="237"/>
      <c r="DB263" s="237"/>
      <c r="DC263" s="237"/>
      <c r="DD263" s="237"/>
      <c r="DE263" s="237"/>
      <c r="DF263" s="237"/>
      <c r="DG263" s="237"/>
      <c r="DH263" s="237"/>
      <c r="DI263" s="237"/>
      <c r="DJ263" s="237"/>
      <c r="DK263" s="237"/>
      <c r="DL263" s="237"/>
      <c r="DM263" s="237"/>
      <c r="DN263" s="237"/>
      <c r="DO263" s="237"/>
      <c r="DP263" s="237"/>
      <c r="DQ263" s="237"/>
      <c r="DR263" s="237"/>
      <c r="DS263" s="237"/>
      <c r="DT263" s="237"/>
      <c r="DU263" s="237"/>
      <c r="DV263" s="237"/>
      <c r="DW263" s="237"/>
      <c r="DX263" s="237"/>
      <c r="DY263" s="237"/>
      <c r="DZ263" s="237"/>
      <c r="EA263" s="237"/>
      <c r="EB263" s="237"/>
      <c r="EC263" s="237"/>
      <c r="ED263" s="237"/>
      <c r="EE263" s="237"/>
      <c r="EF263" s="237"/>
      <c r="EG263" s="237"/>
      <c r="EH263" s="237"/>
      <c r="EI263" s="237"/>
      <c r="EJ263" s="237"/>
      <c r="EK263" s="237"/>
      <c r="EL263" s="237"/>
      <c r="EM263" s="237"/>
      <c r="EN263" s="237"/>
      <c r="EO263" s="237"/>
      <c r="EP263" s="237"/>
      <c r="EQ263" s="237"/>
      <c r="ER263" s="237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</row>
    <row r="264" customFormat="false" ht="15" hidden="false" customHeight="false" outlineLevel="2" collapsed="false">
      <c r="B264" s="47" t="s">
        <v>872</v>
      </c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237" t="n">
        <f aca="false">('⑫ Roll-out Plan'!G31-2025)*12+'⑫ Roll-out Plan'!F31</f>
        <v>66</v>
      </c>
      <c r="AD264" s="237"/>
      <c r="AE264" s="237"/>
      <c r="AF264" s="237"/>
      <c r="AG264" s="237"/>
      <c r="AH264" s="237"/>
      <c r="AI264" s="237"/>
      <c r="AJ264" s="237"/>
      <c r="AK264" s="237"/>
      <c r="AL264" s="237"/>
      <c r="AM264" s="237"/>
      <c r="AN264" s="237"/>
      <c r="AO264" s="237"/>
      <c r="AP264" s="237"/>
      <c r="AQ264" s="237"/>
      <c r="AR264" s="237"/>
      <c r="AS264" s="237"/>
      <c r="AT264" s="237"/>
      <c r="AU264" s="237"/>
      <c r="AV264" s="237"/>
      <c r="AW264" s="237"/>
      <c r="AX264" s="237"/>
      <c r="AY264" s="237"/>
      <c r="AZ264" s="237"/>
      <c r="BA264" s="237"/>
      <c r="BB264" s="237"/>
      <c r="BC264" s="237"/>
      <c r="BD264" s="237"/>
      <c r="BE264" s="237"/>
      <c r="BF264" s="237"/>
      <c r="BG264" s="237"/>
      <c r="BH264" s="237"/>
      <c r="BI264" s="237"/>
      <c r="BJ264" s="237"/>
      <c r="BK264" s="237"/>
      <c r="BL264" s="237"/>
      <c r="BM264" s="237"/>
      <c r="BN264" s="237"/>
      <c r="BO264" s="237"/>
      <c r="BP264" s="237"/>
      <c r="BQ264" s="237"/>
      <c r="BR264" s="237"/>
      <c r="BS264" s="237"/>
      <c r="BT264" s="237"/>
      <c r="BU264" s="237"/>
      <c r="BV264" s="237"/>
      <c r="BW264" s="237"/>
      <c r="BX264" s="237"/>
      <c r="BY264" s="237"/>
      <c r="BZ264" s="237"/>
      <c r="CA264" s="237"/>
      <c r="CB264" s="237"/>
      <c r="CC264" s="237"/>
      <c r="CD264" s="237"/>
      <c r="CE264" s="237"/>
      <c r="CF264" s="237"/>
      <c r="CG264" s="237"/>
      <c r="CH264" s="237"/>
      <c r="CI264" s="237"/>
      <c r="CJ264" s="237"/>
      <c r="CK264" s="237"/>
      <c r="CL264" s="237"/>
      <c r="CM264" s="237"/>
      <c r="CN264" s="237"/>
      <c r="CO264" s="237"/>
      <c r="CP264" s="237"/>
      <c r="CQ264" s="237"/>
      <c r="CR264" s="237"/>
      <c r="CS264" s="237"/>
      <c r="CT264" s="237"/>
      <c r="CU264" s="237"/>
      <c r="CV264" s="237"/>
      <c r="CW264" s="237"/>
      <c r="CX264" s="237"/>
      <c r="CY264" s="237"/>
      <c r="CZ264" s="237"/>
      <c r="DA264" s="237"/>
      <c r="DB264" s="237"/>
      <c r="DC264" s="237"/>
      <c r="DD264" s="237"/>
      <c r="DE264" s="237"/>
      <c r="DF264" s="237"/>
      <c r="DG264" s="237"/>
      <c r="DH264" s="237"/>
      <c r="DI264" s="237"/>
      <c r="DJ264" s="237"/>
      <c r="DK264" s="237"/>
      <c r="DL264" s="237"/>
      <c r="DM264" s="237"/>
      <c r="DN264" s="237"/>
      <c r="DO264" s="237"/>
      <c r="DP264" s="237"/>
      <c r="DQ264" s="237"/>
      <c r="DR264" s="237"/>
      <c r="DS264" s="237"/>
      <c r="DT264" s="237"/>
      <c r="DU264" s="237"/>
      <c r="DV264" s="237"/>
      <c r="DW264" s="237"/>
      <c r="DX264" s="237"/>
      <c r="DY264" s="237"/>
      <c r="DZ264" s="237"/>
      <c r="EA264" s="237"/>
      <c r="EB264" s="237"/>
      <c r="EC264" s="237"/>
      <c r="ED264" s="237"/>
      <c r="EE264" s="237"/>
      <c r="EF264" s="237"/>
      <c r="EG264" s="237"/>
      <c r="EH264" s="237"/>
      <c r="EI264" s="237"/>
      <c r="EJ264" s="237"/>
      <c r="EK264" s="237"/>
      <c r="EL264" s="237"/>
      <c r="EM264" s="237"/>
      <c r="EN264" s="237"/>
      <c r="EO264" s="237"/>
      <c r="EP264" s="237"/>
      <c r="EQ264" s="237"/>
      <c r="ER264" s="237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</row>
    <row r="265" customFormat="false" ht="15" hidden="false" customHeight="false" outlineLevel="2" collapsed="false">
      <c r="B265" s="47" t="s">
        <v>873</v>
      </c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237" t="n">
        <f aca="false">VLOOKUP("A",$B$14:$C$18,2,FALSE())</f>
        <v>210</v>
      </c>
      <c r="AD265" s="237"/>
      <c r="AE265" s="237"/>
      <c r="AF265" s="237"/>
      <c r="AG265" s="237"/>
      <c r="AH265" s="237"/>
      <c r="AI265" s="237"/>
      <c r="AJ265" s="237"/>
      <c r="AK265" s="237"/>
      <c r="AL265" s="237"/>
      <c r="AM265" s="237"/>
      <c r="AN265" s="237"/>
      <c r="AO265" s="237"/>
      <c r="AP265" s="237"/>
      <c r="AQ265" s="237"/>
      <c r="AR265" s="237"/>
      <c r="AS265" s="237"/>
      <c r="AT265" s="237"/>
      <c r="AU265" s="237"/>
      <c r="AV265" s="237"/>
      <c r="AW265" s="237"/>
      <c r="AX265" s="237"/>
      <c r="AY265" s="237"/>
      <c r="AZ265" s="237"/>
      <c r="BA265" s="237"/>
      <c r="BB265" s="237"/>
      <c r="BC265" s="237"/>
      <c r="BD265" s="237"/>
      <c r="BE265" s="237"/>
      <c r="BF265" s="237"/>
      <c r="BG265" s="237"/>
      <c r="BH265" s="237"/>
      <c r="BI265" s="237"/>
      <c r="BJ265" s="237"/>
      <c r="BK265" s="237"/>
      <c r="BL265" s="237"/>
      <c r="BM265" s="237"/>
      <c r="BN265" s="237"/>
      <c r="BO265" s="237"/>
      <c r="BP265" s="237"/>
      <c r="BQ265" s="237"/>
      <c r="BR265" s="237"/>
      <c r="BS265" s="237"/>
      <c r="BT265" s="237"/>
      <c r="BU265" s="237"/>
      <c r="BV265" s="237"/>
      <c r="BW265" s="237"/>
      <c r="BX265" s="237"/>
      <c r="BY265" s="237"/>
      <c r="BZ265" s="237"/>
      <c r="CA265" s="237"/>
      <c r="CB265" s="237"/>
      <c r="CC265" s="237"/>
      <c r="CD265" s="237"/>
      <c r="CE265" s="237"/>
      <c r="CF265" s="237"/>
      <c r="CG265" s="237"/>
      <c r="CH265" s="237"/>
      <c r="CI265" s="237"/>
      <c r="CJ265" s="237"/>
      <c r="CK265" s="237"/>
      <c r="CL265" s="237"/>
      <c r="CM265" s="237"/>
      <c r="CN265" s="237"/>
      <c r="CO265" s="237"/>
      <c r="CP265" s="237"/>
      <c r="CQ265" s="237"/>
      <c r="CR265" s="237"/>
      <c r="CS265" s="237"/>
      <c r="CT265" s="237"/>
      <c r="CU265" s="237"/>
      <c r="CV265" s="237"/>
      <c r="CW265" s="237"/>
      <c r="CX265" s="237"/>
      <c r="CY265" s="237"/>
      <c r="CZ265" s="237"/>
      <c r="DA265" s="237"/>
      <c r="DB265" s="237"/>
      <c r="DC265" s="237"/>
      <c r="DD265" s="237"/>
      <c r="DE265" s="237"/>
      <c r="DF265" s="237"/>
      <c r="DG265" s="237"/>
      <c r="DH265" s="237"/>
      <c r="DI265" s="237"/>
      <c r="DJ265" s="237"/>
      <c r="DK265" s="237"/>
      <c r="DL265" s="237"/>
      <c r="DM265" s="237"/>
      <c r="DN265" s="237"/>
      <c r="DO265" s="237"/>
      <c r="DP265" s="237"/>
      <c r="DQ265" s="237"/>
      <c r="DR265" s="237"/>
      <c r="DS265" s="237"/>
      <c r="DT265" s="237"/>
      <c r="DU265" s="237"/>
      <c r="DV265" s="237"/>
      <c r="DW265" s="237"/>
      <c r="DX265" s="237"/>
      <c r="DY265" s="237"/>
      <c r="DZ265" s="237"/>
      <c r="EA265" s="237"/>
      <c r="EB265" s="237"/>
      <c r="EC265" s="237"/>
      <c r="ED265" s="237"/>
      <c r="EE265" s="237"/>
      <c r="EF265" s="237"/>
      <c r="EG265" s="237"/>
      <c r="EH265" s="237"/>
      <c r="EI265" s="237"/>
      <c r="EJ265" s="237"/>
      <c r="EK265" s="237"/>
      <c r="EL265" s="237"/>
      <c r="EM265" s="237"/>
      <c r="EN265" s="237"/>
      <c r="EO265" s="237"/>
      <c r="EP265" s="237"/>
      <c r="EQ265" s="237"/>
      <c r="ER265" s="237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</row>
    <row r="266" customFormat="false" ht="15" hidden="false" customHeight="false" outlineLevel="2" collapsed="false">
      <c r="B266" s="47" t="s">
        <v>799</v>
      </c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237" t="n">
        <f aca="false">IF(AC$35&gt;=$AC$264,AC$35-$AC$264+1,0)</f>
        <v>0</v>
      </c>
      <c r="AD266" s="237" t="n">
        <f aca="false">IF(AD$35&gt;=$AC$264,AD$35-$AC$264+1,0)</f>
        <v>0</v>
      </c>
      <c r="AE266" s="237" t="n">
        <f aca="false">IF(AE$35&gt;=$AC$264,AE$35-$AC$264+1,0)</f>
        <v>0</v>
      </c>
      <c r="AF266" s="237" t="n">
        <f aca="false">IF(AF$35&gt;=$AC$264,AF$35-$AC$264+1,0)</f>
        <v>0</v>
      </c>
      <c r="AG266" s="237" t="n">
        <f aca="false">IF(AG$35&gt;=$AC$264,AG$35-$AC$264+1,0)</f>
        <v>0</v>
      </c>
      <c r="AH266" s="237" t="n">
        <f aca="false">IF(AH$35&gt;=$AC$264,AH$35-$AC$264+1,0)</f>
        <v>0</v>
      </c>
      <c r="AI266" s="237" t="n">
        <f aca="false">IF(AI$35&gt;=$AC$264,AI$35-$AC$264+1,0)</f>
        <v>0</v>
      </c>
      <c r="AJ266" s="237" t="n">
        <f aca="false">IF(AJ$35&gt;=$AC$264,AJ$35-$AC$264+1,0)</f>
        <v>0</v>
      </c>
      <c r="AK266" s="237" t="n">
        <f aca="false">IF(AK$35&gt;=$AC$264,AK$35-$AC$264+1,0)</f>
        <v>0</v>
      </c>
      <c r="AL266" s="237" t="n">
        <f aca="false">IF(AL$35&gt;=$AC$264,AL$35-$AC$264+1,0)</f>
        <v>0</v>
      </c>
      <c r="AM266" s="237" t="n">
        <f aca="false">IF(AM$35&gt;=$AC$264,AM$35-$AC$264+1,0)</f>
        <v>0</v>
      </c>
      <c r="AN266" s="237" t="n">
        <f aca="false">IF(AN$35&gt;=$AC$264,AN$35-$AC$264+1,0)</f>
        <v>0</v>
      </c>
      <c r="AO266" s="237" t="n">
        <f aca="false">IF(AO$35&gt;=$AC$264,AO$35-$AC$264+1,0)</f>
        <v>0</v>
      </c>
      <c r="AP266" s="237" t="n">
        <f aca="false">IF(AP$35&gt;=$AC$264,AP$35-$AC$264+1,0)</f>
        <v>0</v>
      </c>
      <c r="AQ266" s="237" t="n">
        <f aca="false">IF(AQ$35&gt;=$AC$264,AQ$35-$AC$264+1,0)</f>
        <v>0</v>
      </c>
      <c r="AR266" s="237" t="n">
        <f aca="false">IF(AR$35&gt;=$AC$264,AR$35-$AC$264+1,0)</f>
        <v>0</v>
      </c>
      <c r="AS266" s="237" t="n">
        <f aca="false">IF(AS$35&gt;=$AC$264,AS$35-$AC$264+1,0)</f>
        <v>0</v>
      </c>
      <c r="AT266" s="237" t="n">
        <f aca="false">IF(AT$35&gt;=$AC$264,AT$35-$AC$264+1,0)</f>
        <v>0</v>
      </c>
      <c r="AU266" s="237" t="n">
        <f aca="false">IF(AU$35&gt;=$AC$264,AU$35-$AC$264+1,0)</f>
        <v>0</v>
      </c>
      <c r="AV266" s="237" t="n">
        <f aca="false">IF(AV$35&gt;=$AC$264,AV$35-$AC$264+1,0)</f>
        <v>0</v>
      </c>
      <c r="AW266" s="237" t="n">
        <f aca="false">IF(AW$35&gt;=$AC$264,AW$35-$AC$264+1,0)</f>
        <v>0</v>
      </c>
      <c r="AX266" s="237" t="n">
        <f aca="false">IF(AX$35&gt;=$AC$264,AX$35-$AC$264+1,0)</f>
        <v>0</v>
      </c>
      <c r="AY266" s="237" t="n">
        <f aca="false">IF(AY$35&gt;=$AC$264,AY$35-$AC$264+1,0)</f>
        <v>0</v>
      </c>
      <c r="AZ266" s="237" t="n">
        <f aca="false">IF(AZ$35&gt;=$AC$264,AZ$35-$AC$264+1,0)</f>
        <v>0</v>
      </c>
      <c r="BA266" s="237" t="n">
        <f aca="false">IF(BA$35&gt;=$AC$264,BA$35-$AC$264+1,0)</f>
        <v>0</v>
      </c>
      <c r="BB266" s="237" t="n">
        <f aca="false">IF(BB$35&gt;=$AC$264,BB$35-$AC$264+1,0)</f>
        <v>0</v>
      </c>
      <c r="BC266" s="237" t="n">
        <f aca="false">IF(BC$35&gt;=$AC$264,BC$35-$AC$264+1,0)</f>
        <v>0</v>
      </c>
      <c r="BD266" s="237" t="n">
        <f aca="false">IF(BD$35&gt;=$AC$264,BD$35-$AC$264+1,0)</f>
        <v>0</v>
      </c>
      <c r="BE266" s="237" t="n">
        <f aca="false">IF(BE$35&gt;=$AC$264,BE$35-$AC$264+1,0)</f>
        <v>0</v>
      </c>
      <c r="BF266" s="237" t="n">
        <f aca="false">IF(BF$35&gt;=$AC$264,BF$35-$AC$264+1,0)</f>
        <v>0</v>
      </c>
      <c r="BG266" s="237" t="n">
        <f aca="false">IF(BG$35&gt;=$AC$264,BG$35-$AC$264+1,0)</f>
        <v>0</v>
      </c>
      <c r="BH266" s="237" t="n">
        <f aca="false">IF(BH$35&gt;=$AC$264,BH$35-$AC$264+1,0)</f>
        <v>0</v>
      </c>
      <c r="BI266" s="237" t="n">
        <f aca="false">IF(BI$35&gt;=$AC$264,BI$35-$AC$264+1,0)</f>
        <v>0</v>
      </c>
      <c r="BJ266" s="237" t="n">
        <f aca="false">IF(BJ$35&gt;=$AC$264,BJ$35-$AC$264+1,0)</f>
        <v>0</v>
      </c>
      <c r="BK266" s="237" t="n">
        <f aca="false">IF(BK$35&gt;=$AC$264,BK$35-$AC$264+1,0)</f>
        <v>0</v>
      </c>
      <c r="BL266" s="237" t="n">
        <f aca="false">IF(BL$35&gt;=$AC$264,BL$35-$AC$264+1,0)</f>
        <v>0</v>
      </c>
      <c r="BM266" s="237" t="n">
        <f aca="false">IF(BM$35&gt;=$AC$264,BM$35-$AC$264+1,0)</f>
        <v>0</v>
      </c>
      <c r="BN266" s="237" t="n">
        <f aca="false">IF(BN$35&gt;=$AC$264,BN$35-$AC$264+1,0)</f>
        <v>0</v>
      </c>
      <c r="BO266" s="237" t="n">
        <f aca="false">IF(BO$35&gt;=$AC$264,BO$35-$AC$264+1,0)</f>
        <v>0</v>
      </c>
      <c r="BP266" s="237" t="n">
        <f aca="false">IF(BP$35&gt;=$AC$264,BP$35-$AC$264+1,0)</f>
        <v>0</v>
      </c>
      <c r="BQ266" s="237" t="n">
        <f aca="false">IF(BQ$35&gt;=$AC$264,BQ$35-$AC$264+1,0)</f>
        <v>0</v>
      </c>
      <c r="BR266" s="237" t="n">
        <f aca="false">IF(BR$35&gt;=$AC$264,BR$35-$AC$264+1,0)</f>
        <v>0</v>
      </c>
      <c r="BS266" s="237" t="n">
        <f aca="false">IF(BS$35&gt;=$AC$264,BS$35-$AC$264+1,0)</f>
        <v>0</v>
      </c>
      <c r="BT266" s="237" t="n">
        <f aca="false">IF(BT$35&gt;=$AC$264,BT$35-$AC$264+1,0)</f>
        <v>0</v>
      </c>
      <c r="BU266" s="237" t="n">
        <f aca="false">IF(BU$35&gt;=$AC$264,BU$35-$AC$264+1,0)</f>
        <v>0</v>
      </c>
      <c r="BV266" s="237" t="n">
        <f aca="false">IF(BV$35&gt;=$AC$264,BV$35-$AC$264+1,0)</f>
        <v>0</v>
      </c>
      <c r="BW266" s="237" t="n">
        <f aca="false">IF(BW$35&gt;=$AC$264,BW$35-$AC$264+1,0)</f>
        <v>0</v>
      </c>
      <c r="BX266" s="237" t="n">
        <f aca="false">IF(BX$35&gt;=$AC$264,BX$35-$AC$264+1,0)</f>
        <v>0</v>
      </c>
      <c r="BY266" s="237" t="n">
        <f aca="false">IF(BY$35&gt;=$AC$264,BY$35-$AC$264+1,0)</f>
        <v>0</v>
      </c>
      <c r="BZ266" s="237" t="n">
        <f aca="false">IF(BZ$35&gt;=$AC$264,BZ$35-$AC$264+1,0)</f>
        <v>0</v>
      </c>
      <c r="CA266" s="237" t="n">
        <f aca="false">IF(CA$35&gt;=$AC$264,CA$35-$AC$264+1,0)</f>
        <v>0</v>
      </c>
      <c r="CB266" s="237" t="n">
        <f aca="false">IF(CB$35&gt;=$AC$264,CB$35-$AC$264+1,0)</f>
        <v>0</v>
      </c>
      <c r="CC266" s="237" t="n">
        <f aca="false">IF(CC$35&gt;=$AC$264,CC$35-$AC$264+1,0)</f>
        <v>0</v>
      </c>
      <c r="CD266" s="237" t="n">
        <f aca="false">IF(CD$35&gt;=$AC$264,CD$35-$AC$264+1,0)</f>
        <v>0</v>
      </c>
      <c r="CE266" s="237" t="n">
        <f aca="false">IF(CE$35&gt;=$AC$264,CE$35-$AC$264+1,0)</f>
        <v>0</v>
      </c>
      <c r="CF266" s="237" t="n">
        <f aca="false">IF(CF$35&gt;=$AC$264,CF$35-$AC$264+1,0)</f>
        <v>0</v>
      </c>
      <c r="CG266" s="237" t="n">
        <f aca="false">IF(CG$35&gt;=$AC$264,CG$35-$AC$264+1,0)</f>
        <v>0</v>
      </c>
      <c r="CH266" s="237" t="n">
        <f aca="false">IF(CH$35&gt;=$AC$264,CH$35-$AC$264+1,0)</f>
        <v>0</v>
      </c>
      <c r="CI266" s="237" t="n">
        <f aca="false">IF(CI$35&gt;=$AC$264,CI$35-$AC$264+1,0)</f>
        <v>0</v>
      </c>
      <c r="CJ266" s="237" t="n">
        <f aca="false">IF(CJ$35&gt;=$AC$264,CJ$35-$AC$264+1,0)</f>
        <v>0</v>
      </c>
      <c r="CK266" s="237" t="n">
        <f aca="false">IF(CK$35&gt;=$AC$264,CK$35-$AC$264+1,0)</f>
        <v>0</v>
      </c>
      <c r="CL266" s="237" t="n">
        <f aca="false">IF(CL$35&gt;=$AC$264,CL$35-$AC$264+1,0)</f>
        <v>0</v>
      </c>
      <c r="CM266" s="237" t="n">
        <f aca="false">IF(CM$35&gt;=$AC$264,CM$35-$AC$264+1,0)</f>
        <v>0</v>
      </c>
      <c r="CN266" s="237" t="n">
        <f aca="false">IF(CN$35&gt;=$AC$264,CN$35-$AC$264+1,0)</f>
        <v>0</v>
      </c>
      <c r="CO266" s="237" t="n">
        <f aca="false">IF(CO$35&gt;=$AC$264,CO$35-$AC$264+1,0)</f>
        <v>0</v>
      </c>
      <c r="CP266" s="237" t="n">
        <f aca="false">IF(CP$35&gt;=$AC$264,CP$35-$AC$264+1,0)</f>
        <v>1</v>
      </c>
      <c r="CQ266" s="237" t="n">
        <f aca="false">IF(CQ$35&gt;=$AC$264,CQ$35-$AC$264+1,0)</f>
        <v>2</v>
      </c>
      <c r="CR266" s="237" t="n">
        <f aca="false">IF(CR$35&gt;=$AC$264,CR$35-$AC$264+1,0)</f>
        <v>3</v>
      </c>
      <c r="CS266" s="237" t="n">
        <f aca="false">IF(CS$35&gt;=$AC$264,CS$35-$AC$264+1,0)</f>
        <v>4</v>
      </c>
      <c r="CT266" s="237" t="n">
        <f aca="false">IF(CT$35&gt;=$AC$264,CT$35-$AC$264+1,0)</f>
        <v>5</v>
      </c>
      <c r="CU266" s="237" t="n">
        <f aca="false">IF(CU$35&gt;=$AC$264,CU$35-$AC$264+1,0)</f>
        <v>6</v>
      </c>
      <c r="CV266" s="237" t="n">
        <f aca="false">IF(CV$35&gt;=$AC$264,CV$35-$AC$264+1,0)</f>
        <v>7</v>
      </c>
      <c r="CW266" s="237" t="n">
        <f aca="false">IF(CW$35&gt;=$AC$264,CW$35-$AC$264+1,0)</f>
        <v>8</v>
      </c>
      <c r="CX266" s="237" t="n">
        <f aca="false">IF(CX$35&gt;=$AC$264,CX$35-$AC$264+1,0)</f>
        <v>9</v>
      </c>
      <c r="CY266" s="237" t="n">
        <f aca="false">IF(CY$35&gt;=$AC$264,CY$35-$AC$264+1,0)</f>
        <v>10</v>
      </c>
      <c r="CZ266" s="237" t="n">
        <f aca="false">IF(CZ$35&gt;=$AC$264,CZ$35-$AC$264+1,0)</f>
        <v>11</v>
      </c>
      <c r="DA266" s="237" t="n">
        <f aca="false">IF(DA$35&gt;=$AC$264,DA$35-$AC$264+1,0)</f>
        <v>12</v>
      </c>
      <c r="DB266" s="237" t="n">
        <f aca="false">IF(DB$35&gt;=$AC$264,DB$35-$AC$264+1,0)</f>
        <v>13</v>
      </c>
      <c r="DC266" s="237" t="n">
        <f aca="false">IF(DC$35&gt;=$AC$264,DC$35-$AC$264+1,0)</f>
        <v>14</v>
      </c>
      <c r="DD266" s="237" t="n">
        <f aca="false">IF(DD$35&gt;=$AC$264,DD$35-$AC$264+1,0)</f>
        <v>15</v>
      </c>
      <c r="DE266" s="237" t="n">
        <f aca="false">IF(DE$35&gt;=$AC$264,DE$35-$AC$264+1,0)</f>
        <v>16</v>
      </c>
      <c r="DF266" s="237" t="n">
        <f aca="false">IF(DF$35&gt;=$AC$264,DF$35-$AC$264+1,0)</f>
        <v>17</v>
      </c>
      <c r="DG266" s="237" t="n">
        <f aca="false">IF(DG$35&gt;=$AC$264,DG$35-$AC$264+1,0)</f>
        <v>18</v>
      </c>
      <c r="DH266" s="237" t="n">
        <f aca="false">IF(DH$35&gt;=$AC$264,DH$35-$AC$264+1,0)</f>
        <v>19</v>
      </c>
      <c r="DI266" s="237" t="n">
        <f aca="false">IF(DI$35&gt;=$AC$264,DI$35-$AC$264+1,0)</f>
        <v>20</v>
      </c>
      <c r="DJ266" s="237" t="n">
        <f aca="false">IF(DJ$35&gt;=$AC$264,DJ$35-$AC$264+1,0)</f>
        <v>21</v>
      </c>
      <c r="DK266" s="237" t="n">
        <f aca="false">IF(DK$35&gt;=$AC$264,DK$35-$AC$264+1,0)</f>
        <v>22</v>
      </c>
      <c r="DL266" s="237" t="n">
        <f aca="false">IF(DL$35&gt;=$AC$264,DL$35-$AC$264+1,0)</f>
        <v>23</v>
      </c>
      <c r="DM266" s="237" t="n">
        <f aca="false">IF(DM$35&gt;=$AC$264,DM$35-$AC$264+1,0)</f>
        <v>24</v>
      </c>
      <c r="DN266" s="237" t="n">
        <f aca="false">IF(DN$35&gt;=$AC$264,DN$35-$AC$264+1,0)</f>
        <v>25</v>
      </c>
      <c r="DO266" s="237" t="n">
        <f aca="false">IF(DO$35&gt;=$AC$264,DO$35-$AC$264+1,0)</f>
        <v>26</v>
      </c>
      <c r="DP266" s="237" t="n">
        <f aca="false">IF(DP$35&gt;=$AC$264,DP$35-$AC$264+1,0)</f>
        <v>27</v>
      </c>
      <c r="DQ266" s="237" t="n">
        <f aca="false">IF(DQ$35&gt;=$AC$264,DQ$35-$AC$264+1,0)</f>
        <v>28</v>
      </c>
      <c r="DR266" s="237" t="n">
        <f aca="false">IF(DR$35&gt;=$AC$264,DR$35-$AC$264+1,0)</f>
        <v>29</v>
      </c>
      <c r="DS266" s="237" t="n">
        <f aca="false">IF(DS$35&gt;=$AC$264,DS$35-$AC$264+1,0)</f>
        <v>30</v>
      </c>
      <c r="DT266" s="237" t="n">
        <f aca="false">IF(DT$35&gt;=$AC$264,DT$35-$AC$264+1,0)</f>
        <v>31</v>
      </c>
      <c r="DU266" s="237" t="n">
        <f aca="false">IF(DU$35&gt;=$AC$264,DU$35-$AC$264+1,0)</f>
        <v>32</v>
      </c>
      <c r="DV266" s="237" t="n">
        <f aca="false">IF(DV$35&gt;=$AC$264,DV$35-$AC$264+1,0)</f>
        <v>33</v>
      </c>
      <c r="DW266" s="237" t="n">
        <f aca="false">IF(DW$35&gt;=$AC$264,DW$35-$AC$264+1,0)</f>
        <v>34</v>
      </c>
      <c r="DX266" s="237" t="n">
        <f aca="false">IF(DX$35&gt;=$AC$264,DX$35-$AC$264+1,0)</f>
        <v>35</v>
      </c>
      <c r="DY266" s="237" t="n">
        <f aca="false">IF(DY$35&gt;=$AC$264,DY$35-$AC$264+1,0)</f>
        <v>36</v>
      </c>
      <c r="DZ266" s="237" t="n">
        <f aca="false">IF(DZ$35&gt;=$AC$264,DZ$35-$AC$264+1,0)</f>
        <v>37</v>
      </c>
      <c r="EA266" s="237" t="n">
        <f aca="false">IF(EA$35&gt;=$AC$264,EA$35-$AC$264+1,0)</f>
        <v>38</v>
      </c>
      <c r="EB266" s="237" t="n">
        <f aca="false">IF(EB$35&gt;=$AC$264,EB$35-$AC$264+1,0)</f>
        <v>39</v>
      </c>
      <c r="EC266" s="237" t="n">
        <f aca="false">IF(EC$35&gt;=$AC$264,EC$35-$AC$264+1,0)</f>
        <v>40</v>
      </c>
      <c r="ED266" s="237" t="n">
        <f aca="false">IF(ED$35&gt;=$AC$264,ED$35-$AC$264+1,0)</f>
        <v>41</v>
      </c>
      <c r="EE266" s="237" t="n">
        <f aca="false">IF(EE$35&gt;=$AC$264,EE$35-$AC$264+1,0)</f>
        <v>42</v>
      </c>
      <c r="EF266" s="237" t="n">
        <f aca="false">IF(EF$35&gt;=$AC$264,EF$35-$AC$264+1,0)</f>
        <v>43</v>
      </c>
      <c r="EG266" s="237" t="n">
        <f aca="false">IF(EG$35&gt;=$AC$264,EG$35-$AC$264+1,0)</f>
        <v>44</v>
      </c>
      <c r="EH266" s="237" t="n">
        <f aca="false">IF(EH$35&gt;=$AC$264,EH$35-$AC$264+1,0)</f>
        <v>45</v>
      </c>
      <c r="EI266" s="237" t="n">
        <f aca="false">IF(EI$35&gt;=$AC$264,EI$35-$AC$264+1,0)</f>
        <v>46</v>
      </c>
      <c r="EJ266" s="237" t="n">
        <f aca="false">IF(EJ$35&gt;=$AC$264,EJ$35-$AC$264+1,0)</f>
        <v>47</v>
      </c>
      <c r="EK266" s="237" t="n">
        <f aca="false">IF(EK$35&gt;=$AC$264,EK$35-$AC$264+1,0)</f>
        <v>48</v>
      </c>
      <c r="EL266" s="237" t="n">
        <f aca="false">IF(EL$35&gt;=$AC$264,EL$35-$AC$264+1,0)</f>
        <v>49</v>
      </c>
      <c r="EM266" s="237" t="n">
        <f aca="false">IF(EM$35&gt;=$AC$264,EM$35-$AC$264+1,0)</f>
        <v>50</v>
      </c>
      <c r="EN266" s="237" t="n">
        <f aca="false">IF(EN$35&gt;=$AC$264,EN$35-$AC$264+1,0)</f>
        <v>51</v>
      </c>
      <c r="EO266" s="237" t="n">
        <f aca="false">IF(EO$35&gt;=$AC$264,EO$35-$AC$264+1,0)</f>
        <v>52</v>
      </c>
      <c r="EP266" s="237" t="n">
        <f aca="false">IF(EP$35&gt;=$AC$264,EP$35-$AC$264+1,0)</f>
        <v>53</v>
      </c>
      <c r="EQ266" s="237" t="n">
        <f aca="false">IF(EQ$35&gt;=$AC$264,EQ$35-$AC$264+1,0)</f>
        <v>54</v>
      </c>
      <c r="ER266" s="237" t="n">
        <f aca="false">IF(ER$35&gt;=$AC$264,ER$35-$AC$264+1,0)</f>
        <v>55</v>
      </c>
      <c r="ES266" s="9" t="n">
        <f aca="false">IF(ES$35&gt;=$AC$264,ES$35-$AC$264+1,0)</f>
        <v>56</v>
      </c>
      <c r="ET266" s="9" t="n">
        <f aca="false">IF(ET$35&gt;=$AC$264,ET$35-$AC$264+1,0)</f>
        <v>57</v>
      </c>
      <c r="EU266" s="9" t="n">
        <f aca="false">IF(EU$35&gt;=$AC$264,EU$35-$AC$264+1,0)</f>
        <v>58</v>
      </c>
      <c r="EV266" s="9" t="n">
        <f aca="false">IF(EV$35&gt;=$AC$264,EV$35-$AC$264+1,0)</f>
        <v>59</v>
      </c>
      <c r="EW266" s="9" t="n">
        <f aca="false">IF(EW$35&gt;=$AC$264,EW$35-$AC$264+1,0)</f>
        <v>60</v>
      </c>
      <c r="EX266" s="9" t="n">
        <f aca="false">IF(EX$35&gt;=$AC$264,EX$35-$AC$264+1,0)</f>
        <v>61</v>
      </c>
      <c r="EY266" s="9" t="n">
        <f aca="false">IF(EY$35&gt;=$AC$264,EY$35-$AC$264+1,0)</f>
        <v>62</v>
      </c>
      <c r="EZ266" s="9" t="n">
        <f aca="false">IF(EZ$35&gt;=$AC$264,EZ$35-$AC$264+1,0)</f>
        <v>63</v>
      </c>
      <c r="FA266" s="9" t="n">
        <f aca="false">IF(FA$35&gt;=$AC$264,FA$35-$AC$264+1,0)</f>
        <v>64</v>
      </c>
      <c r="FB266" s="9" t="n">
        <f aca="false">IF(FB$35&gt;=$AC$264,FB$35-$AC$264+1,0)</f>
        <v>65</v>
      </c>
      <c r="FC266" s="9" t="n">
        <f aca="false">IF(FC$35&gt;=$AC$264,FC$35-$AC$264+1,0)</f>
        <v>66</v>
      </c>
      <c r="FD266" s="9" t="n">
        <f aca="false">IF(FD$35&gt;=$AC$264,FD$35-$AC$264+1,0)</f>
        <v>67</v>
      </c>
      <c r="FE266" s="9" t="n">
        <f aca="false">IF(FE$35&gt;=$AC$264,FE$35-$AC$264+1,0)</f>
        <v>68</v>
      </c>
      <c r="FF266" s="9" t="n">
        <f aca="false">IF(FF$35&gt;=$AC$264,FF$35-$AC$264+1,0)</f>
        <v>69</v>
      </c>
      <c r="FG266" s="9" t="n">
        <f aca="false">IF(FG$35&gt;=$AC$264,FG$35-$AC$264+1,0)</f>
        <v>70</v>
      </c>
      <c r="FH266" s="9" t="n">
        <f aca="false">IF(FH$35&gt;=$AC$264,FH$35-$AC$264+1,0)</f>
        <v>71</v>
      </c>
      <c r="FI266" s="9" t="n">
        <f aca="false">IF(FI$35&gt;=$AC$264,FI$35-$AC$264+1,0)</f>
        <v>72</v>
      </c>
      <c r="FJ266" s="9" t="n">
        <f aca="false">IF(FJ$35&gt;=$AC$264,FJ$35-$AC$264+1,0)</f>
        <v>73</v>
      </c>
      <c r="FK266" s="9" t="n">
        <f aca="false">IF(FK$35&gt;=$AC$264,FK$35-$AC$264+1,0)</f>
        <v>74</v>
      </c>
      <c r="FL266" s="9" t="n">
        <f aca="false">IF(FL$35&gt;=$AC$264,FL$35-$AC$264+1,0)</f>
        <v>75</v>
      </c>
      <c r="FM266" s="9" t="n">
        <f aca="false">IF(FM$35&gt;=$AC$264,FM$35-$AC$264+1,0)</f>
        <v>76</v>
      </c>
      <c r="FN266" s="9" t="n">
        <f aca="false">IF(FN$35&gt;=$AC$264,FN$35-$AC$264+1,0)</f>
        <v>77</v>
      </c>
      <c r="FO266" s="9" t="n">
        <f aca="false">IF(FO$35&gt;=$AC$264,FO$35-$AC$264+1,0)</f>
        <v>78</v>
      </c>
      <c r="FP266" s="9" t="n">
        <f aca="false">IF(FP$35&gt;=$AC$264,FP$35-$AC$264+1,0)</f>
        <v>79</v>
      </c>
    </row>
    <row r="267" customFormat="false" ht="15" hidden="false" customHeight="false" outlineLevel="2" collapsed="false">
      <c r="B267" s="47" t="s">
        <v>874</v>
      </c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237" t="n">
        <f aca="false" t="array" ref="AC267:AC267">IF(AC266=0,0,IF(AC266/'🎚️ Escenario'!$C$11&gt;=36,$AL$23,INDEX($C$23:$AL$23,MAX(1,ROUNDUP(AC266/'🎚️ Escenario'!$C$11,0)))))</f>
        <v>0</v>
      </c>
      <c r="AD267" s="237" t="n">
        <f aca="false" t="array" ref="AD267:AD267">IF(AD266=0,0,IF(AD266/'🎚️ Escenario'!$C$11&gt;=36,$AL$23,INDEX($C$23:$AL$23,MAX(1,ROUNDUP(AD266/'🎚️ Escenario'!$C$11,0)))))</f>
        <v>0</v>
      </c>
      <c r="AE267" s="237" t="n">
        <f aca="false" t="array" ref="AE267:AE267">IF(AE266=0,0,IF(AE266/'🎚️ Escenario'!$C$11&gt;=36,$AL$23,INDEX($C$23:$AL$23,MAX(1,ROUNDUP(AE266/'🎚️ Escenario'!$C$11,0)))))</f>
        <v>0</v>
      </c>
      <c r="AF267" s="237" t="n">
        <f aca="false" t="array" ref="AF267:AF267">IF(AF266=0,0,IF(AF266/'🎚️ Escenario'!$C$11&gt;=36,$AL$23,INDEX($C$23:$AL$23,MAX(1,ROUNDUP(AF266/'🎚️ Escenario'!$C$11,0)))))</f>
        <v>0</v>
      </c>
      <c r="AG267" s="237" t="n">
        <f aca="false" t="array" ref="AG267:AG267">IF(AG266=0,0,IF(AG266/'🎚️ Escenario'!$C$11&gt;=36,$AL$23,INDEX($C$23:$AL$23,MAX(1,ROUNDUP(AG266/'🎚️ Escenario'!$C$11,0)))))</f>
        <v>0</v>
      </c>
      <c r="AH267" s="237" t="n">
        <f aca="false" t="array" ref="AH267:AH267">IF(AH266=0,0,IF(AH266/'🎚️ Escenario'!$C$11&gt;=36,$AL$23,INDEX($C$23:$AL$23,MAX(1,ROUNDUP(AH266/'🎚️ Escenario'!$C$11,0)))))</f>
        <v>0</v>
      </c>
      <c r="AI267" s="237" t="n">
        <f aca="false" t="array" ref="AI267:AI267">IF(AI266=0,0,IF(AI266/'🎚️ Escenario'!$C$11&gt;=36,$AL$23,INDEX($C$23:$AL$23,MAX(1,ROUNDUP(AI266/'🎚️ Escenario'!$C$11,0)))))</f>
        <v>0</v>
      </c>
      <c r="AJ267" s="237" t="n">
        <f aca="false" t="array" ref="AJ267:AJ267">IF(AJ266=0,0,IF(AJ266/'🎚️ Escenario'!$C$11&gt;=36,$AL$23,INDEX($C$23:$AL$23,MAX(1,ROUNDUP(AJ266/'🎚️ Escenario'!$C$11,0)))))</f>
        <v>0</v>
      </c>
      <c r="AK267" s="237" t="n">
        <f aca="false" t="array" ref="AK267:AK267">IF(AK266=0,0,IF(AK266/'🎚️ Escenario'!$C$11&gt;=36,$AL$23,INDEX($C$23:$AL$23,MAX(1,ROUNDUP(AK266/'🎚️ Escenario'!$C$11,0)))))</f>
        <v>0</v>
      </c>
      <c r="AL267" s="237" t="n">
        <f aca="false" t="array" ref="AL267:AL267">IF(AL266=0,0,IF(AL266/'🎚️ Escenario'!$C$11&gt;=36,$AL$23,INDEX($C$23:$AL$23,MAX(1,ROUNDUP(AL266/'🎚️ Escenario'!$C$11,0)))))</f>
        <v>0</v>
      </c>
      <c r="AM267" s="237" t="n">
        <f aca="false" t="array" ref="AM267:AM267">IF(AM266=0,0,IF(AM266/'🎚️ Escenario'!$C$11&gt;=36,$AL$23,INDEX($C$23:$AL$23,MAX(1,ROUNDUP(AM266/'🎚️ Escenario'!$C$11,0)))))</f>
        <v>0</v>
      </c>
      <c r="AN267" s="237" t="n">
        <f aca="false" t="array" ref="AN267:AN267">IF(AN266=0,0,IF(AN266/'🎚️ Escenario'!$C$11&gt;=36,$AL$23,INDEX($C$23:$AL$23,MAX(1,ROUNDUP(AN266/'🎚️ Escenario'!$C$11,0)))))</f>
        <v>0</v>
      </c>
      <c r="AO267" s="237" t="n">
        <f aca="false" t="array" ref="AO267:AO267">IF(AO266=0,0,IF(AO266/'🎚️ Escenario'!$C$11&gt;=36,$AL$23,INDEX($C$23:$AL$23,MAX(1,ROUNDUP(AO266/'🎚️ Escenario'!$C$11,0)))))</f>
        <v>0</v>
      </c>
      <c r="AP267" s="237" t="n">
        <f aca="false" t="array" ref="AP267:AP267">IF(AP266=0,0,IF(AP266/'🎚️ Escenario'!$C$11&gt;=36,$AL$23,INDEX($C$23:$AL$23,MAX(1,ROUNDUP(AP266/'🎚️ Escenario'!$C$11,0)))))</f>
        <v>0</v>
      </c>
      <c r="AQ267" s="237" t="n">
        <f aca="false" t="array" ref="AQ267:AQ267">IF(AQ266=0,0,IF(AQ266/'🎚️ Escenario'!$C$11&gt;=36,$AL$23,INDEX($C$23:$AL$23,MAX(1,ROUNDUP(AQ266/'🎚️ Escenario'!$C$11,0)))))</f>
        <v>0</v>
      </c>
      <c r="AR267" s="237" t="n">
        <f aca="false" t="array" ref="AR267:AR267">IF(AR266=0,0,IF(AR266/'🎚️ Escenario'!$C$11&gt;=36,$AL$23,INDEX($C$23:$AL$23,MAX(1,ROUNDUP(AR266/'🎚️ Escenario'!$C$11,0)))))</f>
        <v>0</v>
      </c>
      <c r="AS267" s="237" t="n">
        <f aca="false" t="array" ref="AS267:AS267">IF(AS266=0,0,IF(AS266/'🎚️ Escenario'!$C$11&gt;=36,$AL$23,INDEX($C$23:$AL$23,MAX(1,ROUNDUP(AS266/'🎚️ Escenario'!$C$11,0)))))</f>
        <v>0</v>
      </c>
      <c r="AT267" s="237" t="n">
        <f aca="false" t="array" ref="AT267:AT267">IF(AT266=0,0,IF(AT266/'🎚️ Escenario'!$C$11&gt;=36,$AL$23,INDEX($C$23:$AL$23,MAX(1,ROUNDUP(AT266/'🎚️ Escenario'!$C$11,0)))))</f>
        <v>0</v>
      </c>
      <c r="AU267" s="237" t="n">
        <f aca="false" t="array" ref="AU267:AU267">IF(AU266=0,0,IF(AU266/'🎚️ Escenario'!$C$11&gt;=36,$AL$23,INDEX($C$23:$AL$23,MAX(1,ROUNDUP(AU266/'🎚️ Escenario'!$C$11,0)))))</f>
        <v>0</v>
      </c>
      <c r="AV267" s="237" t="n">
        <f aca="false" t="array" ref="AV267:AV267">IF(AV266=0,0,IF(AV266/'🎚️ Escenario'!$C$11&gt;=36,$AL$23,INDEX($C$23:$AL$23,MAX(1,ROUNDUP(AV266/'🎚️ Escenario'!$C$11,0)))))</f>
        <v>0</v>
      </c>
      <c r="AW267" s="237" t="n">
        <f aca="false" t="array" ref="AW267:AW267">IF(AW266=0,0,IF(AW266/'🎚️ Escenario'!$C$11&gt;=36,$AL$23,INDEX($C$23:$AL$23,MAX(1,ROUNDUP(AW266/'🎚️ Escenario'!$C$11,0)))))</f>
        <v>0</v>
      </c>
      <c r="AX267" s="237" t="n">
        <f aca="false" t="array" ref="AX267:AX267">IF(AX266=0,0,IF(AX266/'🎚️ Escenario'!$C$11&gt;=36,$AL$23,INDEX($C$23:$AL$23,MAX(1,ROUNDUP(AX266/'🎚️ Escenario'!$C$11,0)))))</f>
        <v>0</v>
      </c>
      <c r="AY267" s="237" t="n">
        <f aca="false" t="array" ref="AY267:AY267">IF(AY266=0,0,IF(AY266/'🎚️ Escenario'!$C$11&gt;=36,$AL$23,INDEX($C$23:$AL$23,MAX(1,ROUNDUP(AY266/'🎚️ Escenario'!$C$11,0)))))</f>
        <v>0</v>
      </c>
      <c r="AZ267" s="237" t="n">
        <f aca="false" t="array" ref="AZ267:AZ267">IF(AZ266=0,0,IF(AZ266/'🎚️ Escenario'!$C$11&gt;=36,$AL$23,INDEX($C$23:$AL$23,MAX(1,ROUNDUP(AZ266/'🎚️ Escenario'!$C$11,0)))))</f>
        <v>0</v>
      </c>
      <c r="BA267" s="237" t="n">
        <f aca="false" t="array" ref="BA267:BA267">IF(BA266=0,0,IF(BA266/'🎚️ Escenario'!$C$11&gt;=36,$AL$23,INDEX($C$23:$AL$23,MAX(1,ROUNDUP(BA266/'🎚️ Escenario'!$C$11,0)))))</f>
        <v>0</v>
      </c>
      <c r="BB267" s="237" t="n">
        <f aca="false" t="array" ref="BB267:BB267">IF(BB266=0,0,IF(BB266/'🎚️ Escenario'!$C$11&gt;=36,$AL$23,INDEX($C$23:$AL$23,MAX(1,ROUNDUP(BB266/'🎚️ Escenario'!$C$11,0)))))</f>
        <v>0</v>
      </c>
      <c r="BC267" s="237" t="n">
        <f aca="false" t="array" ref="BC267:BC267">IF(BC266=0,0,IF(BC266/'🎚️ Escenario'!$C$11&gt;=36,$AL$23,INDEX($C$23:$AL$23,MAX(1,ROUNDUP(BC266/'🎚️ Escenario'!$C$11,0)))))</f>
        <v>0</v>
      </c>
      <c r="BD267" s="237" t="n">
        <f aca="false" t="array" ref="BD267:BD267">IF(BD266=0,0,IF(BD266/'🎚️ Escenario'!$C$11&gt;=36,$AL$23,INDEX($C$23:$AL$23,MAX(1,ROUNDUP(BD266/'🎚️ Escenario'!$C$11,0)))))</f>
        <v>0</v>
      </c>
      <c r="BE267" s="237" t="n">
        <f aca="false" t="array" ref="BE267:BE267">IF(BE266=0,0,IF(BE266/'🎚️ Escenario'!$C$11&gt;=36,$AL$23,INDEX($C$23:$AL$23,MAX(1,ROUNDUP(BE266/'🎚️ Escenario'!$C$11,0)))))</f>
        <v>0</v>
      </c>
      <c r="BF267" s="237" t="n">
        <f aca="false" t="array" ref="BF267:BF267">IF(BF266=0,0,IF(BF266/'🎚️ Escenario'!$C$11&gt;=36,$AL$23,INDEX($C$23:$AL$23,MAX(1,ROUNDUP(BF266/'🎚️ Escenario'!$C$11,0)))))</f>
        <v>0</v>
      </c>
      <c r="BG267" s="237" t="n">
        <f aca="false" t="array" ref="BG267:BG267">IF(BG266=0,0,IF(BG266/'🎚️ Escenario'!$C$11&gt;=36,$AL$23,INDEX($C$23:$AL$23,MAX(1,ROUNDUP(BG266/'🎚️ Escenario'!$C$11,0)))))</f>
        <v>0</v>
      </c>
      <c r="BH267" s="237" t="n">
        <f aca="false" t="array" ref="BH267:BH267">IF(BH266=0,0,IF(BH266/'🎚️ Escenario'!$C$11&gt;=36,$AL$23,INDEX($C$23:$AL$23,MAX(1,ROUNDUP(BH266/'🎚️ Escenario'!$C$11,0)))))</f>
        <v>0</v>
      </c>
      <c r="BI267" s="237" t="n">
        <f aca="false" t="array" ref="BI267:BI267">IF(BI266=0,0,IF(BI266/'🎚️ Escenario'!$C$11&gt;=36,$AL$23,INDEX($C$23:$AL$23,MAX(1,ROUNDUP(BI266/'🎚️ Escenario'!$C$11,0)))))</f>
        <v>0</v>
      </c>
      <c r="BJ267" s="237" t="n">
        <f aca="false" t="array" ref="BJ267:BJ267">IF(BJ266=0,0,IF(BJ266/'🎚️ Escenario'!$C$11&gt;=36,$AL$23,INDEX($C$23:$AL$23,MAX(1,ROUNDUP(BJ266/'🎚️ Escenario'!$C$11,0)))))</f>
        <v>0</v>
      </c>
      <c r="BK267" s="237" t="n">
        <f aca="false" t="array" ref="BK267:BK267">IF(BK266=0,0,IF(BK266/'🎚️ Escenario'!$C$11&gt;=36,$AL$23,INDEX($C$23:$AL$23,MAX(1,ROUNDUP(BK266/'🎚️ Escenario'!$C$11,0)))))</f>
        <v>0</v>
      </c>
      <c r="BL267" s="237" t="n">
        <f aca="false" t="array" ref="BL267:BL267">IF(BL266=0,0,IF(BL266/'🎚️ Escenario'!$C$11&gt;=36,$AL$23,INDEX($C$23:$AL$23,MAX(1,ROUNDUP(BL266/'🎚️ Escenario'!$C$11,0)))))</f>
        <v>0</v>
      </c>
      <c r="BM267" s="237" t="n">
        <f aca="false" t="array" ref="BM267:BM267">IF(BM266=0,0,IF(BM266/'🎚️ Escenario'!$C$11&gt;=36,$AL$23,INDEX($C$23:$AL$23,MAX(1,ROUNDUP(BM266/'🎚️ Escenario'!$C$11,0)))))</f>
        <v>0</v>
      </c>
      <c r="BN267" s="237" t="n">
        <f aca="false" t="array" ref="BN267:BN267">IF(BN266=0,0,IF(BN266/'🎚️ Escenario'!$C$11&gt;=36,$AL$23,INDEX($C$23:$AL$23,MAX(1,ROUNDUP(BN266/'🎚️ Escenario'!$C$11,0)))))</f>
        <v>0</v>
      </c>
      <c r="BO267" s="237" t="n">
        <f aca="false" t="array" ref="BO267:BO267">IF(BO266=0,0,IF(BO266/'🎚️ Escenario'!$C$11&gt;=36,$AL$23,INDEX($C$23:$AL$23,MAX(1,ROUNDUP(BO266/'🎚️ Escenario'!$C$11,0)))))</f>
        <v>0</v>
      </c>
      <c r="BP267" s="237" t="n">
        <f aca="false" t="array" ref="BP267:BP267">IF(BP266=0,0,IF(BP266/'🎚️ Escenario'!$C$11&gt;=36,$AL$23,INDEX($C$23:$AL$23,MAX(1,ROUNDUP(BP266/'🎚️ Escenario'!$C$11,0)))))</f>
        <v>0</v>
      </c>
      <c r="BQ267" s="237" t="n">
        <f aca="false" t="array" ref="BQ267:BQ267">IF(BQ266=0,0,IF(BQ266/'🎚️ Escenario'!$C$11&gt;=36,$AL$23,INDEX($C$23:$AL$23,MAX(1,ROUNDUP(BQ266/'🎚️ Escenario'!$C$11,0)))))</f>
        <v>0</v>
      </c>
      <c r="BR267" s="237" t="n">
        <f aca="false" t="array" ref="BR267:BR267">IF(BR266=0,0,IF(BR266/'🎚️ Escenario'!$C$11&gt;=36,$AL$23,INDEX($C$23:$AL$23,MAX(1,ROUNDUP(BR266/'🎚️ Escenario'!$C$11,0)))))</f>
        <v>0</v>
      </c>
      <c r="BS267" s="237" t="n">
        <f aca="false" t="array" ref="BS267:BS267">IF(BS266=0,0,IF(BS266/'🎚️ Escenario'!$C$11&gt;=36,$AL$23,INDEX($C$23:$AL$23,MAX(1,ROUNDUP(BS266/'🎚️ Escenario'!$C$11,0)))))</f>
        <v>0</v>
      </c>
      <c r="BT267" s="237" t="n">
        <f aca="false" t="array" ref="BT267:BT267">IF(BT266=0,0,IF(BT266/'🎚️ Escenario'!$C$11&gt;=36,$AL$23,INDEX($C$23:$AL$23,MAX(1,ROUNDUP(BT266/'🎚️ Escenario'!$C$11,0)))))</f>
        <v>0</v>
      </c>
      <c r="BU267" s="237" t="n">
        <f aca="false" t="array" ref="BU267:BU267">IF(BU266=0,0,IF(BU266/'🎚️ Escenario'!$C$11&gt;=36,$AL$23,INDEX($C$23:$AL$23,MAX(1,ROUNDUP(BU266/'🎚️ Escenario'!$C$11,0)))))</f>
        <v>0</v>
      </c>
      <c r="BV267" s="237" t="n">
        <f aca="false" t="array" ref="BV267:BV267">IF(BV266=0,0,IF(BV266/'🎚️ Escenario'!$C$11&gt;=36,$AL$23,INDEX($C$23:$AL$23,MAX(1,ROUNDUP(BV266/'🎚️ Escenario'!$C$11,0)))))</f>
        <v>0</v>
      </c>
      <c r="BW267" s="237" t="n">
        <f aca="false" t="array" ref="BW267:BW267">IF(BW266=0,0,IF(BW266/'🎚️ Escenario'!$C$11&gt;=36,$AL$23,INDEX($C$23:$AL$23,MAX(1,ROUNDUP(BW266/'🎚️ Escenario'!$C$11,0)))))</f>
        <v>0</v>
      </c>
      <c r="BX267" s="237" t="n">
        <f aca="false" t="array" ref="BX267:BX267">IF(BX266=0,0,IF(BX266/'🎚️ Escenario'!$C$11&gt;=36,$AL$23,INDEX($C$23:$AL$23,MAX(1,ROUNDUP(BX266/'🎚️ Escenario'!$C$11,0)))))</f>
        <v>0</v>
      </c>
      <c r="BY267" s="237" t="n">
        <f aca="false" t="array" ref="BY267:BY267">IF(BY266=0,0,IF(BY266/'🎚️ Escenario'!$C$11&gt;=36,$AL$23,INDEX($C$23:$AL$23,MAX(1,ROUNDUP(BY266/'🎚️ Escenario'!$C$11,0)))))</f>
        <v>0</v>
      </c>
      <c r="BZ267" s="237" t="n">
        <f aca="false" t="array" ref="BZ267:BZ267">IF(BZ266=0,0,IF(BZ266/'🎚️ Escenario'!$C$11&gt;=36,$AL$23,INDEX($C$23:$AL$23,MAX(1,ROUNDUP(BZ266/'🎚️ Escenario'!$C$11,0)))))</f>
        <v>0</v>
      </c>
      <c r="CA267" s="237" t="n">
        <f aca="false" t="array" ref="CA267:CA267">IF(CA266=0,0,IF(CA266/'🎚️ Escenario'!$C$11&gt;=36,$AL$23,INDEX($C$23:$AL$23,MAX(1,ROUNDUP(CA266/'🎚️ Escenario'!$C$11,0)))))</f>
        <v>0</v>
      </c>
      <c r="CB267" s="237" t="n">
        <f aca="false" t="array" ref="CB267:CB267">IF(CB266=0,0,IF(CB266/'🎚️ Escenario'!$C$11&gt;=36,$AL$23,INDEX($C$23:$AL$23,MAX(1,ROUNDUP(CB266/'🎚️ Escenario'!$C$11,0)))))</f>
        <v>0</v>
      </c>
      <c r="CC267" s="237" t="n">
        <f aca="false" t="array" ref="CC267:CC267">IF(CC266=0,0,IF(CC266/'🎚️ Escenario'!$C$11&gt;=36,$AL$23,INDEX($C$23:$AL$23,MAX(1,ROUNDUP(CC266/'🎚️ Escenario'!$C$11,0)))))</f>
        <v>0</v>
      </c>
      <c r="CD267" s="237" t="n">
        <f aca="false" t="array" ref="CD267:CD267">IF(CD266=0,0,IF(CD266/'🎚️ Escenario'!$C$11&gt;=36,$AL$23,INDEX($C$23:$AL$23,MAX(1,ROUNDUP(CD266/'🎚️ Escenario'!$C$11,0)))))</f>
        <v>0</v>
      </c>
      <c r="CE267" s="237" t="n">
        <f aca="false" t="array" ref="CE267:CE267">IF(CE266=0,0,IF(CE266/'🎚️ Escenario'!$C$11&gt;=36,$AL$23,INDEX($C$23:$AL$23,MAX(1,ROUNDUP(CE266/'🎚️ Escenario'!$C$11,0)))))</f>
        <v>0</v>
      </c>
      <c r="CF267" s="237" t="n">
        <f aca="false" t="array" ref="CF267:CF267">IF(CF266=0,0,IF(CF266/'🎚️ Escenario'!$C$11&gt;=36,$AL$23,INDEX($C$23:$AL$23,MAX(1,ROUNDUP(CF266/'🎚️ Escenario'!$C$11,0)))))</f>
        <v>0</v>
      </c>
      <c r="CG267" s="237" t="n">
        <f aca="false" t="array" ref="CG267:CG267">IF(CG266=0,0,IF(CG266/'🎚️ Escenario'!$C$11&gt;=36,$AL$23,INDEX($C$23:$AL$23,MAX(1,ROUNDUP(CG266/'🎚️ Escenario'!$C$11,0)))))</f>
        <v>0</v>
      </c>
      <c r="CH267" s="237" t="n">
        <f aca="false" t="array" ref="CH267:CH267">IF(CH266=0,0,IF(CH266/'🎚️ Escenario'!$C$11&gt;=36,$AL$23,INDEX($C$23:$AL$23,MAX(1,ROUNDUP(CH266/'🎚️ Escenario'!$C$11,0)))))</f>
        <v>0</v>
      </c>
      <c r="CI267" s="237" t="n">
        <f aca="false" t="array" ref="CI267:CI267">IF(CI266=0,0,IF(CI266/'🎚️ Escenario'!$C$11&gt;=36,$AL$23,INDEX($C$23:$AL$23,MAX(1,ROUNDUP(CI266/'🎚️ Escenario'!$C$11,0)))))</f>
        <v>0</v>
      </c>
      <c r="CJ267" s="237" t="n">
        <f aca="false" t="array" ref="CJ267:CJ267">IF(CJ266=0,0,IF(CJ266/'🎚️ Escenario'!$C$11&gt;=36,$AL$23,INDEX($C$23:$AL$23,MAX(1,ROUNDUP(CJ266/'🎚️ Escenario'!$C$11,0)))))</f>
        <v>0</v>
      </c>
      <c r="CK267" s="237" t="n">
        <f aca="false" t="array" ref="CK267:CK267">IF(CK266=0,0,IF(CK266/'🎚️ Escenario'!$C$11&gt;=36,$AL$23,INDEX($C$23:$AL$23,MAX(1,ROUNDUP(CK266/'🎚️ Escenario'!$C$11,0)))))</f>
        <v>0</v>
      </c>
      <c r="CL267" s="237" t="n">
        <f aca="false" t="array" ref="CL267:CL267">IF(CL266=0,0,IF(CL266/'🎚️ Escenario'!$C$11&gt;=36,$AL$23,INDEX($C$23:$AL$23,MAX(1,ROUNDUP(CL266/'🎚️ Escenario'!$C$11,0)))))</f>
        <v>0</v>
      </c>
      <c r="CM267" s="237" t="n">
        <f aca="false" t="array" ref="CM267:CM267">IF(CM266=0,0,IF(CM266/'🎚️ Escenario'!$C$11&gt;=36,$AL$23,INDEX($C$23:$AL$23,MAX(1,ROUNDUP(CM266/'🎚️ Escenario'!$C$11,0)))))</f>
        <v>0</v>
      </c>
      <c r="CN267" s="237" t="n">
        <f aca="false" t="array" ref="CN267:CN267">IF(CN266=0,0,IF(CN266/'🎚️ Escenario'!$C$11&gt;=36,$AL$23,INDEX($C$23:$AL$23,MAX(1,ROUNDUP(CN266/'🎚️ Escenario'!$C$11,0)))))</f>
        <v>0</v>
      </c>
      <c r="CO267" s="237" t="n">
        <f aca="false" t="array" ref="CO267:CO267">IF(CO266=0,0,IF(CO266/'🎚️ Escenario'!$C$11&gt;=36,$AL$23,INDEX($C$23:$AL$23,MAX(1,ROUNDUP(CO266/'🎚️ Escenario'!$C$11,0)))))</f>
        <v>0</v>
      </c>
      <c r="CP267" s="237" t="n">
        <f aca="false" t="array" ref="CP267:CP267">IF(CP266=0,0,IF(CP266/'🎚️ Escenario'!$C$11&gt;=36,$AL$23,INDEX($C$23:$AL$23,MAX(1,ROUNDUP(CP266/'🎚️ Escenario'!$C$11,0)))))</f>
        <v>0.2</v>
      </c>
      <c r="CQ267" s="237" t="n">
        <f aca="false" t="array" ref="CQ267:CQ267">IF(CQ266=0,0,IF(CQ266/'🎚️ Escenario'!$C$11&gt;=36,$AL$23,INDEX($C$23:$AL$23,MAX(1,ROUNDUP(CQ266/'🎚️ Escenario'!$C$11,0)))))</f>
        <v>0.22</v>
      </c>
      <c r="CR267" s="237" t="n">
        <f aca="false" t="array" ref="CR267:CR267">IF(CR266=0,0,IF(CR266/'🎚️ Escenario'!$C$11&gt;=36,$AL$23,INDEX($C$23:$AL$23,MAX(1,ROUNDUP(CR266/'🎚️ Escenario'!$C$11,0)))))</f>
        <v>0.24</v>
      </c>
      <c r="CS267" s="237" t="n">
        <f aca="false" t="array" ref="CS267:CS267">IF(CS266=0,0,IF(CS266/'🎚️ Escenario'!$C$11&gt;=36,$AL$23,INDEX($C$23:$AL$23,MAX(1,ROUNDUP(CS266/'🎚️ Escenario'!$C$11,0)))))</f>
        <v>0.27</v>
      </c>
      <c r="CT267" s="237" t="n">
        <f aca="false" t="array" ref="CT267:CT267">IF(CT266=0,0,IF(CT266/'🎚️ Escenario'!$C$11&gt;=36,$AL$23,INDEX($C$23:$AL$23,MAX(1,ROUNDUP(CT266/'🎚️ Escenario'!$C$11,0)))))</f>
        <v>0.27</v>
      </c>
      <c r="CU267" s="237" t="n">
        <f aca="false" t="array" ref="CU267:CU267">IF(CU266=0,0,IF(CU266/'🎚️ Escenario'!$C$11&gt;=36,$AL$23,INDEX($C$23:$AL$23,MAX(1,ROUNDUP(CU266/'🎚️ Escenario'!$C$11,0)))))</f>
        <v>0.31</v>
      </c>
      <c r="CV267" s="237" t="n">
        <f aca="false" t="array" ref="CV267:CV267">IF(CV266=0,0,IF(CV266/'🎚️ Escenario'!$C$11&gt;=36,$AL$23,INDEX($C$23:$AL$23,MAX(1,ROUNDUP(CV266/'🎚️ Escenario'!$C$11,0)))))</f>
        <v>0.35</v>
      </c>
      <c r="CW267" s="237" t="n">
        <f aca="false" t="array" ref="CW267:CW267">IF(CW266=0,0,IF(CW266/'🎚️ Escenario'!$C$11&gt;=36,$AL$23,INDEX($C$23:$AL$23,MAX(1,ROUNDUP(CW266/'🎚️ Escenario'!$C$11,0)))))</f>
        <v>0.39</v>
      </c>
      <c r="CX267" s="237" t="n">
        <f aca="false" t="array" ref="CX267:CX267">IF(CX266=0,0,IF(CX266/'🎚️ Escenario'!$C$11&gt;=36,$AL$23,INDEX($C$23:$AL$23,MAX(1,ROUNDUP(CX266/'🎚️ Escenario'!$C$11,0)))))</f>
        <v>0.44</v>
      </c>
      <c r="CY267" s="237" t="n">
        <f aca="false" t="array" ref="CY267:CY267">IF(CY266=0,0,IF(CY266/'🎚️ Escenario'!$C$11&gt;=36,$AL$23,INDEX($C$23:$AL$23,MAX(1,ROUNDUP(CY266/'🎚️ Escenario'!$C$11,0)))))</f>
        <v>0.44</v>
      </c>
      <c r="CZ267" s="237" t="n">
        <f aca="false" t="array" ref="CZ267:CZ267">IF(CZ266=0,0,IF(CZ266/'🎚️ Escenario'!$C$11&gt;=36,$AL$23,INDEX($C$23:$AL$23,MAX(1,ROUNDUP(CZ266/'🎚️ Escenario'!$C$11,0)))))</f>
        <v>0.48</v>
      </c>
      <c r="DA267" s="237" t="n">
        <f aca="false" t="array" ref="DA267:DA267">IF(DA266=0,0,IF(DA266/'🎚️ Escenario'!$C$11&gt;=36,$AL$23,INDEX($C$23:$AL$23,MAX(1,ROUNDUP(DA266/'🎚️ Escenario'!$C$11,0)))))</f>
        <v>0.52</v>
      </c>
      <c r="DB267" s="237" t="n">
        <f aca="false" t="array" ref="DB267:DB267">IF(DB266=0,0,IF(DB266/'🎚️ Escenario'!$C$11&gt;=36,$AL$23,INDEX($C$23:$AL$23,MAX(1,ROUNDUP(DB266/'🎚️ Escenario'!$C$11,0)))))</f>
        <v>0.56</v>
      </c>
      <c r="DC267" s="237" t="n">
        <f aca="false" t="array" ref="DC267:DC267">IF(DC266=0,0,IF(DC266/'🎚️ Escenario'!$C$11&gt;=36,$AL$23,INDEX($C$23:$AL$23,MAX(1,ROUNDUP(DC266/'🎚️ Escenario'!$C$11,0)))))</f>
        <v>0.6</v>
      </c>
      <c r="DD267" s="237" t="n">
        <f aca="false" t="array" ref="DD267:DD267">IF(DD266=0,0,IF(DD266/'🎚️ Escenario'!$C$11&gt;=36,$AL$23,INDEX($C$23:$AL$23,MAX(1,ROUNDUP(DD266/'🎚️ Escenario'!$C$11,0)))))</f>
        <v>0.6</v>
      </c>
      <c r="DE267" s="237" t="n">
        <f aca="false" t="array" ref="DE267:DE267">IF(DE266=0,0,IF(DE266/'🎚️ Escenario'!$C$11&gt;=36,$AL$23,INDEX($C$23:$AL$23,MAX(1,ROUNDUP(DE266/'🎚️ Escenario'!$C$11,0)))))</f>
        <v>0.63</v>
      </c>
      <c r="DF267" s="237" t="n">
        <f aca="false" t="array" ref="DF267:DF267">IF(DF266=0,0,IF(DF266/'🎚️ Escenario'!$C$11&gt;=36,$AL$23,INDEX($C$23:$AL$23,MAX(1,ROUNDUP(DF266/'🎚️ Escenario'!$C$11,0)))))</f>
        <v>0.66</v>
      </c>
      <c r="DG267" s="237" t="n">
        <f aca="false" t="array" ref="DG267:DG267">IF(DG266=0,0,IF(DG266/'🎚️ Escenario'!$C$11&gt;=36,$AL$23,INDEX($C$23:$AL$23,MAX(1,ROUNDUP(DG266/'🎚️ Escenario'!$C$11,0)))))</f>
        <v>0.69</v>
      </c>
      <c r="DH267" s="237" t="n">
        <f aca="false" t="array" ref="DH267:DH267">IF(DH266=0,0,IF(DH266/'🎚️ Escenario'!$C$11&gt;=36,$AL$23,INDEX($C$23:$AL$23,MAX(1,ROUNDUP(DH266/'🎚️ Escenario'!$C$11,0)))))</f>
        <v>0.71</v>
      </c>
      <c r="DI267" s="237" t="n">
        <f aca="false" t="array" ref="DI267:DI267">IF(DI266=0,0,IF(DI266/'🎚️ Escenario'!$C$11&gt;=36,$AL$23,INDEX($C$23:$AL$23,MAX(1,ROUNDUP(DI266/'🎚️ Escenario'!$C$11,0)))))</f>
        <v>0.71</v>
      </c>
      <c r="DJ267" s="237" t="n">
        <f aca="false" t="array" ref="DJ267:DJ267">IF(DJ266=0,0,IF(DJ266/'🎚️ Escenario'!$C$11&gt;=36,$AL$23,INDEX($C$23:$AL$23,MAX(1,ROUNDUP(DJ266/'🎚️ Escenario'!$C$11,0)))))</f>
        <v>0.73</v>
      </c>
      <c r="DK267" s="237" t="n">
        <f aca="false" t="array" ref="DK267:DK267">IF(DK266=0,0,IF(DK266/'🎚️ Escenario'!$C$11&gt;=36,$AL$23,INDEX($C$23:$AL$23,MAX(1,ROUNDUP(DK266/'🎚️ Escenario'!$C$11,0)))))</f>
        <v>0.75</v>
      </c>
      <c r="DL267" s="237" t="n">
        <f aca="false" t="array" ref="DL267:DL267">IF(DL266=0,0,IF(DL266/'🎚️ Escenario'!$C$11&gt;=36,$AL$23,INDEX($C$23:$AL$23,MAX(1,ROUNDUP(DL266/'🎚️ Escenario'!$C$11,0)))))</f>
        <v>0.77</v>
      </c>
      <c r="DM267" s="237" t="n">
        <f aca="false" t="array" ref="DM267:DM267">IF(DM266=0,0,IF(DM266/'🎚️ Escenario'!$C$11&gt;=36,$AL$23,INDEX($C$23:$AL$23,MAX(1,ROUNDUP(DM266/'🎚️ Escenario'!$C$11,0)))))</f>
        <v>0.79</v>
      </c>
      <c r="DN267" s="237" t="n">
        <f aca="false" t="array" ref="DN267:DN267">IF(DN266=0,0,IF(DN266/'🎚️ Escenario'!$C$11&gt;=36,$AL$23,INDEX($C$23:$AL$23,MAX(1,ROUNDUP(DN266/'🎚️ Escenario'!$C$11,0)))))</f>
        <v>0.79</v>
      </c>
      <c r="DO267" s="237" t="n">
        <f aca="false" t="array" ref="DO267:DO267">IF(DO266=0,0,IF(DO266/'🎚️ Escenario'!$C$11&gt;=36,$AL$23,INDEX($C$23:$AL$23,MAX(1,ROUNDUP(DO266/'🎚️ Escenario'!$C$11,0)))))</f>
        <v>0.8</v>
      </c>
      <c r="DP267" s="237" t="n">
        <f aca="false" t="array" ref="DP267:DP267">IF(DP266=0,0,IF(DP266/'🎚️ Escenario'!$C$11&gt;=36,$AL$23,INDEX($C$23:$AL$23,MAX(1,ROUNDUP(DP266/'🎚️ Escenario'!$C$11,0)))))</f>
        <v>0.82</v>
      </c>
      <c r="DQ267" s="237" t="n">
        <f aca="false" t="array" ref="DQ267:DQ267">IF(DQ266=0,0,IF(DQ266/'🎚️ Escenario'!$C$11&gt;=36,$AL$23,INDEX($C$23:$AL$23,MAX(1,ROUNDUP(DQ266/'🎚️ Escenario'!$C$11,0)))))</f>
        <v>0.84</v>
      </c>
      <c r="DR267" s="237" t="n">
        <f aca="false" t="array" ref="DR267:DR267">IF(DR266=0,0,IF(DR266/'🎚️ Escenario'!$C$11&gt;=36,$AL$23,INDEX($C$23:$AL$23,MAX(1,ROUNDUP(DR266/'🎚️ Escenario'!$C$11,0)))))</f>
        <v>0.85</v>
      </c>
      <c r="DS267" s="237" t="n">
        <f aca="false" t="array" ref="DS267:DS267">IF(DS266=0,0,IF(DS266/'🎚️ Escenario'!$C$11&gt;=36,$AL$23,INDEX($C$23:$AL$23,MAX(1,ROUNDUP(DS266/'🎚️ Escenario'!$C$11,0)))))</f>
        <v>0.85</v>
      </c>
      <c r="DT267" s="237" t="n">
        <f aca="false" t="array" ref="DT267:DT267">IF(DT266=0,0,IF(DT266/'🎚️ Escenario'!$C$11&gt;=36,$AL$23,INDEX($C$23:$AL$23,MAX(1,ROUNDUP(DT266/'🎚️ Escenario'!$C$11,0)))))</f>
        <v>0.86</v>
      </c>
      <c r="DU267" s="237" t="n">
        <f aca="false" t="array" ref="DU267:DU267">IF(DU266=0,0,IF(DU266/'🎚️ Escenario'!$C$11&gt;=36,$AL$23,INDEX($C$23:$AL$23,MAX(1,ROUNDUP(DU266/'🎚️ Escenario'!$C$11,0)))))</f>
        <v>0.88</v>
      </c>
      <c r="DV267" s="237" t="n">
        <f aca="false" t="array" ref="DV267:DV267">IF(DV266=0,0,IF(DV266/'🎚️ Escenario'!$C$11&gt;=36,$AL$23,INDEX($C$23:$AL$23,MAX(1,ROUNDUP(DV266/'🎚️ Escenario'!$C$11,0)))))</f>
        <v>0.89</v>
      </c>
      <c r="DW267" s="237" t="n">
        <f aca="false" t="array" ref="DW267:DW267">IF(DW266=0,0,IF(DW266/'🎚️ Escenario'!$C$11&gt;=36,$AL$23,INDEX($C$23:$AL$23,MAX(1,ROUNDUP(DW266/'🎚️ Escenario'!$C$11,0)))))</f>
        <v>0.9</v>
      </c>
      <c r="DX267" s="237" t="n">
        <f aca="false" t="array" ref="DX267:DX267">IF(DX266=0,0,IF(DX266/'🎚️ Escenario'!$C$11&gt;=36,$AL$23,INDEX($C$23:$AL$23,MAX(1,ROUNDUP(DX266/'🎚️ Escenario'!$C$11,0)))))</f>
        <v>0.9</v>
      </c>
      <c r="DY267" s="237" t="n">
        <f aca="false" t="array" ref="DY267:DY267">IF(DY266=0,0,IF(DY266/'🎚️ Escenario'!$C$11&gt;=36,$AL$23,INDEX($C$23:$AL$23,MAX(1,ROUNDUP(DY266/'🎚️ Escenario'!$C$11,0)))))</f>
        <v>0.92</v>
      </c>
      <c r="DZ267" s="237" t="n">
        <f aca="false" t="array" ref="DZ267:DZ267">IF(DZ266=0,0,IF(DZ266/'🎚️ Escenario'!$C$11&gt;=36,$AL$23,INDEX($C$23:$AL$23,MAX(1,ROUNDUP(DZ266/'🎚️ Escenario'!$C$11,0)))))</f>
        <v>0.93</v>
      </c>
      <c r="EA267" s="237" t="n">
        <f aca="false" t="array" ref="EA267:EA267">IF(EA266=0,0,IF(EA266/'🎚️ Escenario'!$C$11&gt;=36,$AL$23,INDEX($C$23:$AL$23,MAX(1,ROUNDUP(EA266/'🎚️ Escenario'!$C$11,0)))))</f>
        <v>0.94</v>
      </c>
      <c r="EB267" s="237" t="n">
        <f aca="false" t="array" ref="EB267:EB267">IF(EB266=0,0,IF(EB266/'🎚️ Escenario'!$C$11&gt;=36,$AL$23,INDEX($C$23:$AL$23,MAX(1,ROUNDUP(EB266/'🎚️ Escenario'!$C$11,0)))))</f>
        <v>0.95</v>
      </c>
      <c r="EC267" s="237" t="n">
        <f aca="false" t="array" ref="EC267:EC267">IF(EC266=0,0,IF(EC266/'🎚️ Escenario'!$C$11&gt;=36,$AL$23,INDEX($C$23:$AL$23,MAX(1,ROUNDUP(EC266/'🎚️ Escenario'!$C$11,0)))))</f>
        <v>0.95</v>
      </c>
      <c r="ED267" s="237" t="n">
        <f aca="false" t="array" ref="ED267:ED267">IF(ED266=0,0,IF(ED266/'🎚️ Escenario'!$C$11&gt;=36,$AL$23,INDEX($C$23:$AL$23,MAX(1,ROUNDUP(ED266/'🎚️ Escenario'!$C$11,0)))))</f>
        <v>0.97</v>
      </c>
      <c r="EE267" s="237" t="n">
        <f aca="false" t="array" ref="EE267:EE267">IF(EE266=0,0,IF(EE266/'🎚️ Escenario'!$C$11&gt;=36,$AL$23,INDEX($C$23:$AL$23,MAX(1,ROUNDUP(EE266/'🎚️ Escenario'!$C$11,0)))))</f>
        <v>0.98</v>
      </c>
      <c r="EF267" s="237" t="n">
        <f aca="false" t="array" ref="EF267:EF267">IF(EF266=0,0,IF(EF266/'🎚️ Escenario'!$C$11&gt;=36,$AL$23,INDEX($C$23:$AL$23,MAX(1,ROUNDUP(EF266/'🎚️ Escenario'!$C$11,0)))))</f>
        <v>0.99</v>
      </c>
      <c r="EG267" s="237" t="n">
        <f aca="false" t="array" ref="EG267:EG267">IF(EG266=0,0,IF(EG266/'🎚️ Escenario'!$C$11&gt;=36,$AL$23,INDEX($C$23:$AL$23,MAX(1,ROUNDUP(EG266/'🎚️ Escenario'!$C$11,0)))))</f>
        <v>1</v>
      </c>
      <c r="EH267" s="237" t="n">
        <f aca="false" t="array" ref="EH267:EH267">IF(EH266=0,0,IF(EH266/'🎚️ Escenario'!$C$11&gt;=36,$AL$23,INDEX($C$23:$AL$23,MAX(1,ROUNDUP(EH266/'🎚️ Escenario'!$C$11,0)))))</f>
        <v>1</v>
      </c>
      <c r="EI267" s="237" t="n">
        <f aca="false" t="array" ref="EI267:EI267">IF(EI266=0,0,IF(EI266/'🎚️ Escenario'!$C$11&gt;=36,$AL$23,INDEX($C$23:$AL$23,MAX(1,ROUNDUP(EI266/'🎚️ Escenario'!$C$11,0)))))</f>
        <v>1</v>
      </c>
      <c r="EJ267" s="237" t="n">
        <f aca="false" t="array" ref="EJ267:EJ267">IF(EJ266=0,0,IF(EJ266/'🎚️ Escenario'!$C$11&gt;=36,$AL$23,INDEX($C$23:$AL$23,MAX(1,ROUNDUP(EJ266/'🎚️ Escenario'!$C$11,0)))))</f>
        <v>1</v>
      </c>
      <c r="EK267" s="237" t="n">
        <f aca="false" t="array" ref="EK267:EK267">IF(EK266=0,0,IF(EK266/'🎚️ Escenario'!$C$11&gt;=36,$AL$23,INDEX($C$23:$AL$23,MAX(1,ROUNDUP(EK266/'🎚️ Escenario'!$C$11,0)))))</f>
        <v>1</v>
      </c>
      <c r="EL267" s="237" t="n">
        <f aca="false" t="array" ref="EL267:EL267">IF(EL266=0,0,IF(EL266/'🎚️ Escenario'!$C$11&gt;=36,$AL$23,INDEX($C$23:$AL$23,MAX(1,ROUNDUP(EL266/'🎚️ Escenario'!$C$11,0)))))</f>
        <v>1</v>
      </c>
      <c r="EM267" s="237" t="n">
        <f aca="false" t="array" ref="EM267:EM267">IF(EM266=0,0,IF(EM266/'🎚️ Escenario'!$C$11&gt;=36,$AL$23,INDEX($C$23:$AL$23,MAX(1,ROUNDUP(EM266/'🎚️ Escenario'!$C$11,0)))))</f>
        <v>1</v>
      </c>
      <c r="EN267" s="237" t="n">
        <f aca="false" t="array" ref="EN267:EN267">IF(EN266=0,0,IF(EN266/'🎚️ Escenario'!$C$11&gt;=36,$AL$23,INDEX($C$23:$AL$23,MAX(1,ROUNDUP(EN266/'🎚️ Escenario'!$C$11,0)))))</f>
        <v>1</v>
      </c>
      <c r="EO267" s="237" t="n">
        <f aca="false" t="array" ref="EO267:EO267">IF(EO266=0,0,IF(EO266/'🎚️ Escenario'!$C$11&gt;=36,$AL$23,INDEX($C$23:$AL$23,MAX(1,ROUNDUP(EO266/'🎚️ Escenario'!$C$11,0)))))</f>
        <v>1</v>
      </c>
      <c r="EP267" s="237" t="n">
        <f aca="false" t="array" ref="EP267:EP267">IF(EP266=0,0,IF(EP266/'🎚️ Escenario'!$C$11&gt;=36,$AL$23,INDEX($C$23:$AL$23,MAX(1,ROUNDUP(EP266/'🎚️ Escenario'!$C$11,0)))))</f>
        <v>1</v>
      </c>
      <c r="EQ267" s="237" t="n">
        <f aca="false" t="array" ref="EQ267:EQ267">IF(EQ266=0,0,IF(EQ266/'🎚️ Escenario'!$C$11&gt;=36,$AL$23,INDEX($C$23:$AL$23,MAX(1,ROUNDUP(EQ266/'🎚️ Escenario'!$C$11,0)))))</f>
        <v>1</v>
      </c>
      <c r="ER267" s="237" t="n">
        <f aca="false" t="array" ref="ER267:ER267">IF(ER266=0,0,IF(ER266/'🎚️ Escenario'!$C$11&gt;=36,$AL$23,INDEX($C$23:$AL$23,MAX(1,ROUNDUP(ER266/'🎚️ Escenario'!$C$11,0)))))</f>
        <v>1</v>
      </c>
      <c r="ES267" s="9" t="n">
        <f aca="false" t="array" ref="ES267:ES267">IF(ES266=0,0,IF(ES266/'🎚️ Escenario'!$C$11&gt;=36,$AL$23,INDEX($C$23:$AL$23,MAX(1,ROUNDUP(ES266/'🎚️ Escenario'!$C$11,0)))))</f>
        <v>1</v>
      </c>
      <c r="ET267" s="9" t="n">
        <f aca="false" t="array" ref="ET267:ET267">IF(ET266=0,0,IF(ET266/'🎚️ Escenario'!$C$11&gt;=36,$AL$23,INDEX($C$23:$AL$23,MAX(1,ROUNDUP(ET266/'🎚️ Escenario'!$C$11,0)))))</f>
        <v>1</v>
      </c>
      <c r="EU267" s="9" t="n">
        <f aca="false" t="array" ref="EU267:EU267">IF(EU266=0,0,IF(EU266/'🎚️ Escenario'!$C$11&gt;=36,$AL$23,INDEX($C$23:$AL$23,MAX(1,ROUNDUP(EU266/'🎚️ Escenario'!$C$11,0)))))</f>
        <v>1</v>
      </c>
      <c r="EV267" s="9" t="n">
        <f aca="false" t="array" ref="EV267:EV267">IF(EV266=0,0,IF(EV266/'🎚️ Escenario'!$C$11&gt;=36,$AL$23,INDEX($C$23:$AL$23,MAX(1,ROUNDUP(EV266/'🎚️ Escenario'!$C$11,0)))))</f>
        <v>1</v>
      </c>
      <c r="EW267" s="9" t="n">
        <f aca="false" t="array" ref="EW267:EW267">IF(EW266=0,0,IF(EW266/'🎚️ Escenario'!$C$11&gt;=36,$AL$23,INDEX($C$23:$AL$23,MAX(1,ROUNDUP(EW266/'🎚️ Escenario'!$C$11,0)))))</f>
        <v>1</v>
      </c>
      <c r="EX267" s="9" t="n">
        <f aca="false" t="array" ref="EX267:EX267">IF(EX266=0,0,IF(EX266/'🎚️ Escenario'!$C$11&gt;=36,$AL$23,INDEX($C$23:$AL$23,MAX(1,ROUNDUP(EX266/'🎚️ Escenario'!$C$11,0)))))</f>
        <v>1</v>
      </c>
      <c r="EY267" s="9" t="n">
        <f aca="false" t="array" ref="EY267:EY267">IF(EY266=0,0,IF(EY266/'🎚️ Escenario'!$C$11&gt;=36,$AL$23,INDEX($C$23:$AL$23,MAX(1,ROUNDUP(EY266/'🎚️ Escenario'!$C$11,0)))))</f>
        <v>1</v>
      </c>
      <c r="EZ267" s="9" t="n">
        <f aca="false" t="array" ref="EZ267:EZ267">IF(EZ266=0,0,IF(EZ266/'🎚️ Escenario'!$C$11&gt;=36,$AL$23,INDEX($C$23:$AL$23,MAX(1,ROUNDUP(EZ266/'🎚️ Escenario'!$C$11,0)))))</f>
        <v>1</v>
      </c>
      <c r="FA267" s="9" t="n">
        <f aca="false" t="array" ref="FA267:FA267">IF(FA266=0,0,IF(FA266/'🎚️ Escenario'!$C$11&gt;=36,$AL$23,INDEX($C$23:$AL$23,MAX(1,ROUNDUP(FA266/'🎚️ Escenario'!$C$11,0)))))</f>
        <v>1</v>
      </c>
      <c r="FB267" s="9" t="n">
        <f aca="false" t="array" ref="FB267:FB267">IF(FB266=0,0,IF(FB266/'🎚️ Escenario'!$C$11&gt;=36,$AL$23,INDEX($C$23:$AL$23,MAX(1,ROUNDUP(FB266/'🎚️ Escenario'!$C$11,0)))))</f>
        <v>1</v>
      </c>
      <c r="FC267" s="9" t="n">
        <f aca="false" t="array" ref="FC267:FC267">IF(FC266=0,0,IF(FC266/'🎚️ Escenario'!$C$11&gt;=36,$AL$23,INDEX($C$23:$AL$23,MAX(1,ROUNDUP(FC266/'🎚️ Escenario'!$C$11,0)))))</f>
        <v>1</v>
      </c>
      <c r="FD267" s="9" t="n">
        <f aca="false" t="array" ref="FD267:FD267">IF(FD266=0,0,IF(FD266/'🎚️ Escenario'!$C$11&gt;=36,$AL$23,INDEX($C$23:$AL$23,MAX(1,ROUNDUP(FD266/'🎚️ Escenario'!$C$11,0)))))</f>
        <v>1</v>
      </c>
      <c r="FE267" s="9" t="n">
        <f aca="false" t="array" ref="FE267:FE267">IF(FE266=0,0,IF(FE266/'🎚️ Escenario'!$C$11&gt;=36,$AL$23,INDEX($C$23:$AL$23,MAX(1,ROUNDUP(FE266/'🎚️ Escenario'!$C$11,0)))))</f>
        <v>1</v>
      </c>
      <c r="FF267" s="9" t="n">
        <f aca="false" t="array" ref="FF267:FF267">IF(FF266=0,0,IF(FF266/'🎚️ Escenario'!$C$11&gt;=36,$AL$23,INDEX($C$23:$AL$23,MAX(1,ROUNDUP(FF266/'🎚️ Escenario'!$C$11,0)))))</f>
        <v>1</v>
      </c>
      <c r="FG267" s="9" t="n">
        <f aca="false" t="array" ref="FG267:FG267">IF(FG266=0,0,IF(FG266/'🎚️ Escenario'!$C$11&gt;=36,$AL$23,INDEX($C$23:$AL$23,MAX(1,ROUNDUP(FG266/'🎚️ Escenario'!$C$11,0)))))</f>
        <v>1</v>
      </c>
      <c r="FH267" s="9" t="n">
        <f aca="false" t="array" ref="FH267:FH267">IF(FH266=0,0,IF(FH266/'🎚️ Escenario'!$C$11&gt;=36,$AL$23,INDEX($C$23:$AL$23,MAX(1,ROUNDUP(FH266/'🎚️ Escenario'!$C$11,0)))))</f>
        <v>1</v>
      </c>
      <c r="FI267" s="9" t="n">
        <f aca="false" t="array" ref="FI267:FI267">IF(FI266=0,0,IF(FI266/'🎚️ Escenario'!$C$11&gt;=36,$AL$23,INDEX($C$23:$AL$23,MAX(1,ROUNDUP(FI266/'🎚️ Escenario'!$C$11,0)))))</f>
        <v>1</v>
      </c>
      <c r="FJ267" s="9" t="n">
        <f aca="false" t="array" ref="FJ267:FJ267">IF(FJ266=0,0,IF(FJ266/'🎚️ Escenario'!$C$11&gt;=36,$AL$23,INDEX($C$23:$AL$23,MAX(1,ROUNDUP(FJ266/'🎚️ Escenario'!$C$11,0)))))</f>
        <v>1</v>
      </c>
      <c r="FK267" s="9" t="n">
        <f aca="false" t="array" ref="FK267:FK267">IF(FK266=0,0,IF(FK266/'🎚️ Escenario'!$C$11&gt;=36,$AL$23,INDEX($C$23:$AL$23,MAX(1,ROUNDUP(FK266/'🎚️ Escenario'!$C$11,0)))))</f>
        <v>1</v>
      </c>
      <c r="FL267" s="9" t="n">
        <f aca="false" t="array" ref="FL267:FL267">IF(FL266=0,0,IF(FL266/'🎚️ Escenario'!$C$11&gt;=36,$AL$23,INDEX($C$23:$AL$23,MAX(1,ROUNDUP(FL266/'🎚️ Escenario'!$C$11,0)))))</f>
        <v>1</v>
      </c>
      <c r="FM267" s="9" t="n">
        <f aca="false" t="array" ref="FM267:FM267">IF(FM266=0,0,IF(FM266/'🎚️ Escenario'!$C$11&gt;=36,$AL$23,INDEX($C$23:$AL$23,MAX(1,ROUNDUP(FM266/'🎚️ Escenario'!$C$11,0)))))</f>
        <v>1</v>
      </c>
      <c r="FN267" s="9" t="n">
        <f aca="false" t="array" ref="FN267:FN267">IF(FN266=0,0,IF(FN266/'🎚️ Escenario'!$C$11&gt;=36,$AL$23,INDEX($C$23:$AL$23,MAX(1,ROUNDUP(FN266/'🎚️ Escenario'!$C$11,0)))))</f>
        <v>1</v>
      </c>
      <c r="FO267" s="9" t="n">
        <f aca="false" t="array" ref="FO267:FO267">IF(FO266=0,0,IF(FO266/'🎚️ Escenario'!$C$11&gt;=36,$AL$23,INDEX($C$23:$AL$23,MAX(1,ROUNDUP(FO266/'🎚️ Escenario'!$C$11,0)))))</f>
        <v>1</v>
      </c>
      <c r="FP267" s="9" t="n">
        <f aca="false" t="array" ref="FP267:FP267">IF(FP266=0,0,IF(FP266/'🎚️ Escenario'!$C$11&gt;=36,$AL$23,INDEX($C$23:$AL$23,MAX(1,ROUNDUP(FP266/'🎚️ Escenario'!$C$11,0)))))</f>
        <v>1</v>
      </c>
    </row>
    <row r="268" customFormat="false" ht="15" hidden="false" customHeight="false" outlineLevel="2" collapsed="false">
      <c r="B268" s="47" t="s">
        <v>875</v>
      </c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237" t="n">
        <f aca="false">IF(AC266=0,0,IF(AC266&lt;=12*'🎚️ Escenario'!$C$11,1,1+$C$6))</f>
        <v>0</v>
      </c>
      <c r="AD268" s="237" t="n">
        <f aca="false">IF(AD266=0,0,IF(AD266&lt;=12*'🎚️ Escenario'!$C$11,1,1+$C$6))</f>
        <v>0</v>
      </c>
      <c r="AE268" s="237" t="n">
        <f aca="false">IF(AE266=0,0,IF(AE266&lt;=12*'🎚️ Escenario'!$C$11,1,1+$C$6))</f>
        <v>0</v>
      </c>
      <c r="AF268" s="237" t="n">
        <f aca="false">IF(AF266=0,0,IF(AF266&lt;=12*'🎚️ Escenario'!$C$11,1,1+$C$6))</f>
        <v>0</v>
      </c>
      <c r="AG268" s="237" t="n">
        <f aca="false">IF(AG266=0,0,IF(AG266&lt;=12*'🎚️ Escenario'!$C$11,1,1+$C$6))</f>
        <v>0</v>
      </c>
      <c r="AH268" s="237" t="n">
        <f aca="false">IF(AH266=0,0,IF(AH266&lt;=12*'🎚️ Escenario'!$C$11,1,1+$C$6))</f>
        <v>0</v>
      </c>
      <c r="AI268" s="237" t="n">
        <f aca="false">IF(AI266=0,0,IF(AI266&lt;=12*'🎚️ Escenario'!$C$11,1,1+$C$6))</f>
        <v>0</v>
      </c>
      <c r="AJ268" s="237" t="n">
        <f aca="false">IF(AJ266=0,0,IF(AJ266&lt;=12*'🎚️ Escenario'!$C$11,1,1+$C$6))</f>
        <v>0</v>
      </c>
      <c r="AK268" s="237" t="n">
        <f aca="false">IF(AK266=0,0,IF(AK266&lt;=12*'🎚️ Escenario'!$C$11,1,1+$C$6))</f>
        <v>0</v>
      </c>
      <c r="AL268" s="237" t="n">
        <f aca="false">IF(AL266=0,0,IF(AL266&lt;=12*'🎚️ Escenario'!$C$11,1,1+$C$6))</f>
        <v>0</v>
      </c>
      <c r="AM268" s="237" t="n">
        <f aca="false">IF(AM266=0,0,IF(AM266&lt;=12*'🎚️ Escenario'!$C$11,1,1+$C$6))</f>
        <v>0</v>
      </c>
      <c r="AN268" s="237" t="n">
        <f aca="false">IF(AN266=0,0,IF(AN266&lt;=12*'🎚️ Escenario'!$C$11,1,1+$C$6))</f>
        <v>0</v>
      </c>
      <c r="AO268" s="237" t="n">
        <f aca="false">IF(AO266=0,0,IF(AO266&lt;=12*'🎚️ Escenario'!$C$11,1,1+$C$6))</f>
        <v>0</v>
      </c>
      <c r="AP268" s="237" t="n">
        <f aca="false">IF(AP266=0,0,IF(AP266&lt;=12*'🎚️ Escenario'!$C$11,1,1+$C$6))</f>
        <v>0</v>
      </c>
      <c r="AQ268" s="237" t="n">
        <f aca="false">IF(AQ266=0,0,IF(AQ266&lt;=12*'🎚️ Escenario'!$C$11,1,1+$C$6))</f>
        <v>0</v>
      </c>
      <c r="AR268" s="237" t="n">
        <f aca="false">IF(AR266=0,0,IF(AR266&lt;=12*'🎚️ Escenario'!$C$11,1,1+$C$6))</f>
        <v>0</v>
      </c>
      <c r="AS268" s="237" t="n">
        <f aca="false">IF(AS266=0,0,IF(AS266&lt;=12*'🎚️ Escenario'!$C$11,1,1+$C$6))</f>
        <v>0</v>
      </c>
      <c r="AT268" s="237" t="n">
        <f aca="false">IF(AT266=0,0,IF(AT266&lt;=12*'🎚️ Escenario'!$C$11,1,1+$C$6))</f>
        <v>0</v>
      </c>
      <c r="AU268" s="237" t="n">
        <f aca="false">IF(AU266=0,0,IF(AU266&lt;=12*'🎚️ Escenario'!$C$11,1,1+$C$6))</f>
        <v>0</v>
      </c>
      <c r="AV268" s="237" t="n">
        <f aca="false">IF(AV266=0,0,IF(AV266&lt;=12*'🎚️ Escenario'!$C$11,1,1+$C$6))</f>
        <v>0</v>
      </c>
      <c r="AW268" s="237" t="n">
        <f aca="false">IF(AW266=0,0,IF(AW266&lt;=12*'🎚️ Escenario'!$C$11,1,1+$C$6))</f>
        <v>0</v>
      </c>
      <c r="AX268" s="237" t="n">
        <f aca="false">IF(AX266=0,0,IF(AX266&lt;=12*'🎚️ Escenario'!$C$11,1,1+$C$6))</f>
        <v>0</v>
      </c>
      <c r="AY268" s="237" t="n">
        <f aca="false">IF(AY266=0,0,IF(AY266&lt;=12*'🎚️ Escenario'!$C$11,1,1+$C$6))</f>
        <v>0</v>
      </c>
      <c r="AZ268" s="237" t="n">
        <f aca="false">IF(AZ266=0,0,IF(AZ266&lt;=12*'🎚️ Escenario'!$C$11,1,1+$C$6))</f>
        <v>0</v>
      </c>
      <c r="BA268" s="237" t="n">
        <f aca="false">IF(BA266=0,0,IF(BA266&lt;=12*'🎚️ Escenario'!$C$11,1,1+$C$6))</f>
        <v>0</v>
      </c>
      <c r="BB268" s="237" t="n">
        <f aca="false">IF(BB266=0,0,IF(BB266&lt;=12*'🎚️ Escenario'!$C$11,1,1+$C$6))</f>
        <v>0</v>
      </c>
      <c r="BC268" s="237" t="n">
        <f aca="false">IF(BC266=0,0,IF(BC266&lt;=12*'🎚️ Escenario'!$C$11,1,1+$C$6))</f>
        <v>0</v>
      </c>
      <c r="BD268" s="237" t="n">
        <f aca="false">IF(BD266=0,0,IF(BD266&lt;=12*'🎚️ Escenario'!$C$11,1,1+$C$6))</f>
        <v>0</v>
      </c>
      <c r="BE268" s="237" t="n">
        <f aca="false">IF(BE266=0,0,IF(BE266&lt;=12*'🎚️ Escenario'!$C$11,1,1+$C$6))</f>
        <v>0</v>
      </c>
      <c r="BF268" s="237" t="n">
        <f aca="false">IF(BF266=0,0,IF(BF266&lt;=12*'🎚️ Escenario'!$C$11,1,1+$C$6))</f>
        <v>0</v>
      </c>
      <c r="BG268" s="237" t="n">
        <f aca="false">IF(BG266=0,0,IF(BG266&lt;=12*'🎚️ Escenario'!$C$11,1,1+$C$6))</f>
        <v>0</v>
      </c>
      <c r="BH268" s="237" t="n">
        <f aca="false">IF(BH266=0,0,IF(BH266&lt;=12*'🎚️ Escenario'!$C$11,1,1+$C$6))</f>
        <v>0</v>
      </c>
      <c r="BI268" s="237" t="n">
        <f aca="false">IF(BI266=0,0,IF(BI266&lt;=12*'🎚️ Escenario'!$C$11,1,1+$C$6))</f>
        <v>0</v>
      </c>
      <c r="BJ268" s="237" t="n">
        <f aca="false">IF(BJ266=0,0,IF(BJ266&lt;=12*'🎚️ Escenario'!$C$11,1,1+$C$6))</f>
        <v>0</v>
      </c>
      <c r="BK268" s="237" t="n">
        <f aca="false">IF(BK266=0,0,IF(BK266&lt;=12*'🎚️ Escenario'!$C$11,1,1+$C$6))</f>
        <v>0</v>
      </c>
      <c r="BL268" s="237" t="n">
        <f aca="false">IF(BL266=0,0,IF(BL266&lt;=12*'🎚️ Escenario'!$C$11,1,1+$C$6))</f>
        <v>0</v>
      </c>
      <c r="BM268" s="237" t="n">
        <f aca="false">IF(BM266=0,0,IF(BM266&lt;=12*'🎚️ Escenario'!$C$11,1,1+$C$6))</f>
        <v>0</v>
      </c>
      <c r="BN268" s="237" t="n">
        <f aca="false">IF(BN266=0,0,IF(BN266&lt;=12*'🎚️ Escenario'!$C$11,1,1+$C$6))</f>
        <v>0</v>
      </c>
      <c r="BO268" s="237" t="n">
        <f aca="false">IF(BO266=0,0,IF(BO266&lt;=12*'🎚️ Escenario'!$C$11,1,1+$C$6))</f>
        <v>0</v>
      </c>
      <c r="BP268" s="237" t="n">
        <f aca="false">IF(BP266=0,0,IF(BP266&lt;=12*'🎚️ Escenario'!$C$11,1,1+$C$6))</f>
        <v>0</v>
      </c>
      <c r="BQ268" s="237" t="n">
        <f aca="false">IF(BQ266=0,0,IF(BQ266&lt;=12*'🎚️ Escenario'!$C$11,1,1+$C$6))</f>
        <v>0</v>
      </c>
      <c r="BR268" s="237" t="n">
        <f aca="false">IF(BR266=0,0,IF(BR266&lt;=12*'🎚️ Escenario'!$C$11,1,1+$C$6))</f>
        <v>0</v>
      </c>
      <c r="BS268" s="237" t="n">
        <f aca="false">IF(BS266=0,0,IF(BS266&lt;=12*'🎚️ Escenario'!$C$11,1,1+$C$6))</f>
        <v>0</v>
      </c>
      <c r="BT268" s="237" t="n">
        <f aca="false">IF(BT266=0,0,IF(BT266&lt;=12*'🎚️ Escenario'!$C$11,1,1+$C$6))</f>
        <v>0</v>
      </c>
      <c r="BU268" s="237" t="n">
        <f aca="false">IF(BU266=0,0,IF(BU266&lt;=12*'🎚️ Escenario'!$C$11,1,1+$C$6))</f>
        <v>0</v>
      </c>
      <c r="BV268" s="237" t="n">
        <f aca="false">IF(BV266=0,0,IF(BV266&lt;=12*'🎚️ Escenario'!$C$11,1,1+$C$6))</f>
        <v>0</v>
      </c>
      <c r="BW268" s="237" t="n">
        <f aca="false">IF(BW266=0,0,IF(BW266&lt;=12*'🎚️ Escenario'!$C$11,1,1+$C$6))</f>
        <v>0</v>
      </c>
      <c r="BX268" s="237" t="n">
        <f aca="false">IF(BX266=0,0,IF(BX266&lt;=12*'🎚️ Escenario'!$C$11,1,1+$C$6))</f>
        <v>0</v>
      </c>
      <c r="BY268" s="237" t="n">
        <f aca="false">IF(BY266=0,0,IF(BY266&lt;=12*'🎚️ Escenario'!$C$11,1,1+$C$6))</f>
        <v>0</v>
      </c>
      <c r="BZ268" s="237" t="n">
        <f aca="false">IF(BZ266=0,0,IF(BZ266&lt;=12*'🎚️ Escenario'!$C$11,1,1+$C$6))</f>
        <v>0</v>
      </c>
      <c r="CA268" s="237" t="n">
        <f aca="false">IF(CA266=0,0,IF(CA266&lt;=12*'🎚️ Escenario'!$C$11,1,1+$C$6))</f>
        <v>0</v>
      </c>
      <c r="CB268" s="237" t="n">
        <f aca="false">IF(CB266=0,0,IF(CB266&lt;=12*'🎚️ Escenario'!$C$11,1,1+$C$6))</f>
        <v>0</v>
      </c>
      <c r="CC268" s="237" t="n">
        <f aca="false">IF(CC266=0,0,IF(CC266&lt;=12*'🎚️ Escenario'!$C$11,1,1+$C$6))</f>
        <v>0</v>
      </c>
      <c r="CD268" s="237" t="n">
        <f aca="false">IF(CD266=0,0,IF(CD266&lt;=12*'🎚️ Escenario'!$C$11,1,1+$C$6))</f>
        <v>0</v>
      </c>
      <c r="CE268" s="237" t="n">
        <f aca="false">IF(CE266=0,0,IF(CE266&lt;=12*'🎚️ Escenario'!$C$11,1,1+$C$6))</f>
        <v>0</v>
      </c>
      <c r="CF268" s="237" t="n">
        <f aca="false">IF(CF266=0,0,IF(CF266&lt;=12*'🎚️ Escenario'!$C$11,1,1+$C$6))</f>
        <v>0</v>
      </c>
      <c r="CG268" s="237" t="n">
        <f aca="false">IF(CG266=0,0,IF(CG266&lt;=12*'🎚️ Escenario'!$C$11,1,1+$C$6))</f>
        <v>0</v>
      </c>
      <c r="CH268" s="237" t="n">
        <f aca="false">IF(CH266=0,0,IF(CH266&lt;=12*'🎚️ Escenario'!$C$11,1,1+$C$6))</f>
        <v>0</v>
      </c>
      <c r="CI268" s="237" t="n">
        <f aca="false">IF(CI266=0,0,IF(CI266&lt;=12*'🎚️ Escenario'!$C$11,1,1+$C$6))</f>
        <v>0</v>
      </c>
      <c r="CJ268" s="237" t="n">
        <f aca="false">IF(CJ266=0,0,IF(CJ266&lt;=12*'🎚️ Escenario'!$C$11,1,1+$C$6))</f>
        <v>0</v>
      </c>
      <c r="CK268" s="237" t="n">
        <f aca="false">IF(CK266=0,0,IF(CK266&lt;=12*'🎚️ Escenario'!$C$11,1,1+$C$6))</f>
        <v>0</v>
      </c>
      <c r="CL268" s="237" t="n">
        <f aca="false">IF(CL266=0,0,IF(CL266&lt;=12*'🎚️ Escenario'!$C$11,1,1+$C$6))</f>
        <v>0</v>
      </c>
      <c r="CM268" s="237" t="n">
        <f aca="false">IF(CM266=0,0,IF(CM266&lt;=12*'🎚️ Escenario'!$C$11,1,1+$C$6))</f>
        <v>0</v>
      </c>
      <c r="CN268" s="237" t="n">
        <f aca="false">IF(CN266=0,0,IF(CN266&lt;=12*'🎚️ Escenario'!$C$11,1,1+$C$6))</f>
        <v>0</v>
      </c>
      <c r="CO268" s="237" t="n">
        <f aca="false">IF(CO266=0,0,IF(CO266&lt;=12*'🎚️ Escenario'!$C$11,1,1+$C$6))</f>
        <v>0</v>
      </c>
      <c r="CP268" s="237" t="n">
        <f aca="false">IF(CP266=0,0,IF(CP266&lt;=12*'🎚️ Escenario'!$C$11,1,1+$C$6))</f>
        <v>1</v>
      </c>
      <c r="CQ268" s="237" t="n">
        <f aca="false">IF(CQ266=0,0,IF(CQ266&lt;=12*'🎚️ Escenario'!$C$11,1,1+$C$6))</f>
        <v>1</v>
      </c>
      <c r="CR268" s="237" t="n">
        <f aca="false">IF(CR266=0,0,IF(CR266&lt;=12*'🎚️ Escenario'!$C$11,1,1+$C$6))</f>
        <v>1</v>
      </c>
      <c r="CS268" s="237" t="n">
        <f aca="false">IF(CS266=0,0,IF(CS266&lt;=12*'🎚️ Escenario'!$C$11,1,1+$C$6))</f>
        <v>1</v>
      </c>
      <c r="CT268" s="237" t="n">
        <f aca="false">IF(CT266=0,0,IF(CT266&lt;=12*'🎚️ Escenario'!$C$11,1,1+$C$6))</f>
        <v>1</v>
      </c>
      <c r="CU268" s="237" t="n">
        <f aca="false">IF(CU266=0,0,IF(CU266&lt;=12*'🎚️ Escenario'!$C$11,1,1+$C$6))</f>
        <v>1</v>
      </c>
      <c r="CV268" s="237" t="n">
        <f aca="false">IF(CV266=0,0,IF(CV266&lt;=12*'🎚️ Escenario'!$C$11,1,1+$C$6))</f>
        <v>1</v>
      </c>
      <c r="CW268" s="237" t="n">
        <f aca="false">IF(CW266=0,0,IF(CW266&lt;=12*'🎚️ Escenario'!$C$11,1,1+$C$6))</f>
        <v>1</v>
      </c>
      <c r="CX268" s="237" t="n">
        <f aca="false">IF(CX266=0,0,IF(CX266&lt;=12*'🎚️ Escenario'!$C$11,1,1+$C$6))</f>
        <v>1</v>
      </c>
      <c r="CY268" s="237" t="n">
        <f aca="false">IF(CY266=0,0,IF(CY266&lt;=12*'🎚️ Escenario'!$C$11,1,1+$C$6))</f>
        <v>1</v>
      </c>
      <c r="CZ268" s="237" t="n">
        <f aca="false">IF(CZ266=0,0,IF(CZ266&lt;=12*'🎚️ Escenario'!$C$11,1,1+$C$6))</f>
        <v>1</v>
      </c>
      <c r="DA268" s="237" t="n">
        <f aca="false">IF(DA266=0,0,IF(DA266&lt;=12*'🎚️ Escenario'!$C$11,1,1+$C$6))</f>
        <v>1</v>
      </c>
      <c r="DB268" s="237" t="n">
        <f aca="false">IF(DB266=0,0,IF(DB266&lt;=12*'🎚️ Escenario'!$C$11,1,1+$C$6))</f>
        <v>1</v>
      </c>
      <c r="DC268" s="237" t="n">
        <f aca="false">IF(DC266=0,0,IF(DC266&lt;=12*'🎚️ Escenario'!$C$11,1,1+$C$6))</f>
        <v>1</v>
      </c>
      <c r="DD268" s="237" t="n">
        <f aca="false">IF(DD266=0,0,IF(DD266&lt;=12*'🎚️ Escenario'!$C$11,1,1+$C$6))</f>
        <v>1</v>
      </c>
      <c r="DE268" s="237" t="n">
        <f aca="false">IF(DE266=0,0,IF(DE266&lt;=12*'🎚️ Escenario'!$C$11,1,1+$C$6))</f>
        <v>1.2</v>
      </c>
      <c r="DF268" s="237" t="n">
        <f aca="false">IF(DF266=0,0,IF(DF266&lt;=12*'🎚️ Escenario'!$C$11,1,1+$C$6))</f>
        <v>1.2</v>
      </c>
      <c r="DG268" s="237" t="n">
        <f aca="false">IF(DG266=0,0,IF(DG266&lt;=12*'🎚️ Escenario'!$C$11,1,1+$C$6))</f>
        <v>1.2</v>
      </c>
      <c r="DH268" s="237" t="n">
        <f aca="false">IF(DH266=0,0,IF(DH266&lt;=12*'🎚️ Escenario'!$C$11,1,1+$C$6))</f>
        <v>1.2</v>
      </c>
      <c r="DI268" s="237" t="n">
        <f aca="false">IF(DI266=0,0,IF(DI266&lt;=12*'🎚️ Escenario'!$C$11,1,1+$C$6))</f>
        <v>1.2</v>
      </c>
      <c r="DJ268" s="237" t="n">
        <f aca="false">IF(DJ266=0,0,IF(DJ266&lt;=12*'🎚️ Escenario'!$C$11,1,1+$C$6))</f>
        <v>1.2</v>
      </c>
      <c r="DK268" s="237" t="n">
        <f aca="false">IF(DK266=0,0,IF(DK266&lt;=12*'🎚️ Escenario'!$C$11,1,1+$C$6))</f>
        <v>1.2</v>
      </c>
      <c r="DL268" s="237" t="n">
        <f aca="false">IF(DL266=0,0,IF(DL266&lt;=12*'🎚️ Escenario'!$C$11,1,1+$C$6))</f>
        <v>1.2</v>
      </c>
      <c r="DM268" s="237" t="n">
        <f aca="false">IF(DM266=0,0,IF(DM266&lt;=12*'🎚️ Escenario'!$C$11,1,1+$C$6))</f>
        <v>1.2</v>
      </c>
      <c r="DN268" s="237" t="n">
        <f aca="false">IF(DN266=0,0,IF(DN266&lt;=12*'🎚️ Escenario'!$C$11,1,1+$C$6))</f>
        <v>1.2</v>
      </c>
      <c r="DO268" s="237" t="n">
        <f aca="false">IF(DO266=0,0,IF(DO266&lt;=12*'🎚️ Escenario'!$C$11,1,1+$C$6))</f>
        <v>1.2</v>
      </c>
      <c r="DP268" s="237" t="n">
        <f aca="false">IF(DP266=0,0,IF(DP266&lt;=12*'🎚️ Escenario'!$C$11,1,1+$C$6))</f>
        <v>1.2</v>
      </c>
      <c r="DQ268" s="237" t="n">
        <f aca="false">IF(DQ266=0,0,IF(DQ266&lt;=12*'🎚️ Escenario'!$C$11,1,1+$C$6))</f>
        <v>1.2</v>
      </c>
      <c r="DR268" s="237" t="n">
        <f aca="false">IF(DR266=0,0,IF(DR266&lt;=12*'🎚️ Escenario'!$C$11,1,1+$C$6))</f>
        <v>1.2</v>
      </c>
      <c r="DS268" s="237" t="n">
        <f aca="false">IF(DS266=0,0,IF(DS266&lt;=12*'🎚️ Escenario'!$C$11,1,1+$C$6))</f>
        <v>1.2</v>
      </c>
      <c r="DT268" s="237" t="n">
        <f aca="false">IF(DT266=0,0,IF(DT266&lt;=12*'🎚️ Escenario'!$C$11,1,1+$C$6))</f>
        <v>1.2</v>
      </c>
      <c r="DU268" s="237" t="n">
        <f aca="false">IF(DU266=0,0,IF(DU266&lt;=12*'🎚️ Escenario'!$C$11,1,1+$C$6))</f>
        <v>1.2</v>
      </c>
      <c r="DV268" s="237" t="n">
        <f aca="false">IF(DV266=0,0,IF(DV266&lt;=12*'🎚️ Escenario'!$C$11,1,1+$C$6))</f>
        <v>1.2</v>
      </c>
      <c r="DW268" s="237" t="n">
        <f aca="false">IF(DW266=0,0,IF(DW266&lt;=12*'🎚️ Escenario'!$C$11,1,1+$C$6))</f>
        <v>1.2</v>
      </c>
      <c r="DX268" s="237" t="n">
        <f aca="false">IF(DX266=0,0,IF(DX266&lt;=12*'🎚️ Escenario'!$C$11,1,1+$C$6))</f>
        <v>1.2</v>
      </c>
      <c r="DY268" s="237" t="n">
        <f aca="false">IF(DY266=0,0,IF(DY266&lt;=12*'🎚️ Escenario'!$C$11,1,1+$C$6))</f>
        <v>1.2</v>
      </c>
      <c r="DZ268" s="237" t="n">
        <f aca="false">IF(DZ266=0,0,IF(DZ266&lt;=12*'🎚️ Escenario'!$C$11,1,1+$C$6))</f>
        <v>1.2</v>
      </c>
      <c r="EA268" s="237" t="n">
        <f aca="false">IF(EA266=0,0,IF(EA266&lt;=12*'🎚️ Escenario'!$C$11,1,1+$C$6))</f>
        <v>1.2</v>
      </c>
      <c r="EB268" s="237" t="n">
        <f aca="false">IF(EB266=0,0,IF(EB266&lt;=12*'🎚️ Escenario'!$C$11,1,1+$C$6))</f>
        <v>1.2</v>
      </c>
      <c r="EC268" s="237" t="n">
        <f aca="false">IF(EC266=0,0,IF(EC266&lt;=12*'🎚️ Escenario'!$C$11,1,1+$C$6))</f>
        <v>1.2</v>
      </c>
      <c r="ED268" s="237" t="n">
        <f aca="false">IF(ED266=0,0,IF(ED266&lt;=12*'🎚️ Escenario'!$C$11,1,1+$C$6))</f>
        <v>1.2</v>
      </c>
      <c r="EE268" s="237" t="n">
        <f aca="false">IF(EE266=0,0,IF(EE266&lt;=12*'🎚️ Escenario'!$C$11,1,1+$C$6))</f>
        <v>1.2</v>
      </c>
      <c r="EF268" s="237" t="n">
        <f aca="false">IF(EF266=0,0,IF(EF266&lt;=12*'🎚️ Escenario'!$C$11,1,1+$C$6))</f>
        <v>1.2</v>
      </c>
      <c r="EG268" s="237" t="n">
        <f aca="false">IF(EG266=0,0,IF(EG266&lt;=12*'🎚️ Escenario'!$C$11,1,1+$C$6))</f>
        <v>1.2</v>
      </c>
      <c r="EH268" s="237" t="n">
        <f aca="false">IF(EH266=0,0,IF(EH266&lt;=12*'🎚️ Escenario'!$C$11,1,1+$C$6))</f>
        <v>1.2</v>
      </c>
      <c r="EI268" s="237" t="n">
        <f aca="false">IF(EI266=0,0,IF(EI266&lt;=12*'🎚️ Escenario'!$C$11,1,1+$C$6))</f>
        <v>1.2</v>
      </c>
      <c r="EJ268" s="237" t="n">
        <f aca="false">IF(EJ266=0,0,IF(EJ266&lt;=12*'🎚️ Escenario'!$C$11,1,1+$C$6))</f>
        <v>1.2</v>
      </c>
      <c r="EK268" s="237" t="n">
        <f aca="false">IF(EK266=0,0,IF(EK266&lt;=12*'🎚️ Escenario'!$C$11,1,1+$C$6))</f>
        <v>1.2</v>
      </c>
      <c r="EL268" s="237" t="n">
        <f aca="false">IF(EL266=0,0,IF(EL266&lt;=12*'🎚️ Escenario'!$C$11,1,1+$C$6))</f>
        <v>1.2</v>
      </c>
      <c r="EM268" s="237" t="n">
        <f aca="false">IF(EM266=0,0,IF(EM266&lt;=12*'🎚️ Escenario'!$C$11,1,1+$C$6))</f>
        <v>1.2</v>
      </c>
      <c r="EN268" s="237" t="n">
        <f aca="false">IF(EN266=0,0,IF(EN266&lt;=12*'🎚️ Escenario'!$C$11,1,1+$C$6))</f>
        <v>1.2</v>
      </c>
      <c r="EO268" s="237" t="n">
        <f aca="false">IF(EO266=0,0,IF(EO266&lt;=12*'🎚️ Escenario'!$C$11,1,1+$C$6))</f>
        <v>1.2</v>
      </c>
      <c r="EP268" s="237" t="n">
        <f aca="false">IF(EP266=0,0,IF(EP266&lt;=12*'🎚️ Escenario'!$C$11,1,1+$C$6))</f>
        <v>1.2</v>
      </c>
      <c r="EQ268" s="237" t="n">
        <f aca="false">IF(EQ266=0,0,IF(EQ266&lt;=12*'🎚️ Escenario'!$C$11,1,1+$C$6))</f>
        <v>1.2</v>
      </c>
      <c r="ER268" s="237" t="n">
        <f aca="false">IF(ER266=0,0,IF(ER266&lt;=12*'🎚️ Escenario'!$C$11,1,1+$C$6))</f>
        <v>1.2</v>
      </c>
      <c r="ES268" s="238" t="n">
        <f aca="false">IF(ES266=0,0,IF(ES266&lt;=12*'🎚️ Escenario'!$C$11,1,1+$C$6))</f>
        <v>1.2</v>
      </c>
      <c r="ET268" s="238" t="n">
        <f aca="false">IF(ET266=0,0,IF(ET266&lt;=12*'🎚️ Escenario'!$C$11,1,1+$C$6))</f>
        <v>1.2</v>
      </c>
      <c r="EU268" s="238" t="n">
        <f aca="false">IF(EU266=0,0,IF(EU266&lt;=12*'🎚️ Escenario'!$C$11,1,1+$C$6))</f>
        <v>1.2</v>
      </c>
      <c r="EV268" s="238" t="n">
        <f aca="false">IF(EV266=0,0,IF(EV266&lt;=12*'🎚️ Escenario'!$C$11,1,1+$C$6))</f>
        <v>1.2</v>
      </c>
      <c r="EW268" s="238" t="n">
        <f aca="false">IF(EW266=0,0,IF(EW266&lt;=12*'🎚️ Escenario'!$C$11,1,1+$C$6))</f>
        <v>1.2</v>
      </c>
      <c r="EX268" s="238" t="n">
        <f aca="false">IF(EX266=0,0,IF(EX266&lt;=12*'🎚️ Escenario'!$C$11,1,1+$C$6))</f>
        <v>1.2</v>
      </c>
      <c r="EY268" s="238" t="n">
        <f aca="false">IF(EY266=0,0,IF(EY266&lt;=12*'🎚️ Escenario'!$C$11,1,1+$C$6))</f>
        <v>1.2</v>
      </c>
      <c r="EZ268" s="238" t="n">
        <f aca="false">IF(EZ266=0,0,IF(EZ266&lt;=12*'🎚️ Escenario'!$C$11,1,1+$C$6))</f>
        <v>1.2</v>
      </c>
      <c r="FA268" s="238" t="n">
        <f aca="false">IF(FA266=0,0,IF(FA266&lt;=12*'🎚️ Escenario'!$C$11,1,1+$C$6))</f>
        <v>1.2</v>
      </c>
      <c r="FB268" s="238" t="n">
        <f aca="false">IF(FB266=0,0,IF(FB266&lt;=12*'🎚️ Escenario'!$C$11,1,1+$C$6))</f>
        <v>1.2</v>
      </c>
      <c r="FC268" s="238" t="n">
        <f aca="false">IF(FC266=0,0,IF(FC266&lt;=12*'🎚️ Escenario'!$C$11,1,1+$C$6))</f>
        <v>1.2</v>
      </c>
      <c r="FD268" s="238" t="n">
        <f aca="false">IF(FD266=0,0,IF(FD266&lt;=12*'🎚️ Escenario'!$C$11,1,1+$C$6))</f>
        <v>1.2</v>
      </c>
      <c r="FE268" s="238" t="n">
        <f aca="false">IF(FE266=0,0,IF(FE266&lt;=12*'🎚️ Escenario'!$C$11,1,1+$C$6))</f>
        <v>1.2</v>
      </c>
      <c r="FF268" s="238" t="n">
        <f aca="false">IF(FF266=0,0,IF(FF266&lt;=12*'🎚️ Escenario'!$C$11,1,1+$C$6))</f>
        <v>1.2</v>
      </c>
      <c r="FG268" s="238" t="n">
        <f aca="false">IF(FG266=0,0,IF(FG266&lt;=12*'🎚️ Escenario'!$C$11,1,1+$C$6))</f>
        <v>1.2</v>
      </c>
      <c r="FH268" s="238" t="n">
        <f aca="false">IF(FH266=0,0,IF(FH266&lt;=12*'🎚️ Escenario'!$C$11,1,1+$C$6))</f>
        <v>1.2</v>
      </c>
      <c r="FI268" s="238" t="n">
        <f aca="false">IF(FI266=0,0,IF(FI266&lt;=12*'🎚️ Escenario'!$C$11,1,1+$C$6))</f>
        <v>1.2</v>
      </c>
      <c r="FJ268" s="238" t="n">
        <f aca="false">IF(FJ266=0,0,IF(FJ266&lt;=12*'🎚️ Escenario'!$C$11,1,1+$C$6))</f>
        <v>1.2</v>
      </c>
      <c r="FK268" s="238" t="n">
        <f aca="false">IF(FK266=0,0,IF(FK266&lt;=12*'🎚️ Escenario'!$C$11,1,1+$C$6))</f>
        <v>1.2</v>
      </c>
      <c r="FL268" s="238" t="n">
        <f aca="false">IF(FL266=0,0,IF(FL266&lt;=12*'🎚️ Escenario'!$C$11,1,1+$C$6))</f>
        <v>1.2</v>
      </c>
      <c r="FM268" s="238" t="n">
        <f aca="false">IF(FM266=0,0,IF(FM266&lt;=12*'🎚️ Escenario'!$C$11,1,1+$C$6))</f>
        <v>1.2</v>
      </c>
      <c r="FN268" s="238" t="n">
        <f aca="false">IF(FN266=0,0,IF(FN266&lt;=12*'🎚️ Escenario'!$C$11,1,1+$C$6))</f>
        <v>1.2</v>
      </c>
      <c r="FO268" s="238" t="n">
        <f aca="false">IF(FO266=0,0,IF(FO266&lt;=12*'🎚️ Escenario'!$C$11,1,1+$C$6))</f>
        <v>1.2</v>
      </c>
      <c r="FP268" s="238" t="n">
        <f aca="false">IF(FP266=0,0,IF(FP266&lt;=12*'🎚️ Escenario'!$C$11,1,1+$C$6))</f>
        <v>1.2</v>
      </c>
    </row>
    <row r="269" customFormat="false" ht="15" hidden="false" customHeight="false" outlineLevel="2" collapsed="false">
      <c r="B269" s="47" t="s">
        <v>876</v>
      </c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237" t="n">
        <f aca="false">AC267*$AC$265*AC268*AC$38*'⑫ Roll-out Plan'!$O$31</f>
        <v>0</v>
      </c>
      <c r="AD269" s="237" t="n">
        <f aca="false">AD267*$AC$265*AD268*AD$38*'⑫ Roll-out Plan'!$O$31</f>
        <v>0</v>
      </c>
      <c r="AE269" s="237" t="n">
        <f aca="false">AE267*$AC$265*AE268*AE$38*'⑫ Roll-out Plan'!$O$31</f>
        <v>0</v>
      </c>
      <c r="AF269" s="237" t="n">
        <f aca="false">AF267*$AC$265*AF268*AF$38*'⑫ Roll-out Plan'!$O$31</f>
        <v>0</v>
      </c>
      <c r="AG269" s="237" t="n">
        <f aca="false">AG267*$AC$265*AG268*AG$38*'⑫ Roll-out Plan'!$O$31</f>
        <v>0</v>
      </c>
      <c r="AH269" s="237" t="n">
        <f aca="false">AH267*$AC$265*AH268*AH$38*'⑫ Roll-out Plan'!$O$31</f>
        <v>0</v>
      </c>
      <c r="AI269" s="237" t="n">
        <f aca="false">AI267*$AC$265*AI268*AI$38*'⑫ Roll-out Plan'!$O$31</f>
        <v>0</v>
      </c>
      <c r="AJ269" s="237" t="n">
        <f aca="false">AJ267*$AC$265*AJ268*AJ$38*'⑫ Roll-out Plan'!$O$31</f>
        <v>0</v>
      </c>
      <c r="AK269" s="237" t="n">
        <f aca="false">AK267*$AC$265*AK268*AK$38*'⑫ Roll-out Plan'!$O$31</f>
        <v>0</v>
      </c>
      <c r="AL269" s="237" t="n">
        <f aca="false">AL267*$AC$265*AL268*AL$38*'⑫ Roll-out Plan'!$O$31</f>
        <v>0</v>
      </c>
      <c r="AM269" s="237" t="n">
        <f aca="false">AM267*$AC$265*AM268*AM$38*'⑫ Roll-out Plan'!$O$31</f>
        <v>0</v>
      </c>
      <c r="AN269" s="237" t="n">
        <f aca="false">AN267*$AC$265*AN268*AN$38*'⑫ Roll-out Plan'!$O$31</f>
        <v>0</v>
      </c>
      <c r="AO269" s="237" t="n">
        <f aca="false">AO267*$AC$265*AO268*AO$38*'⑫ Roll-out Plan'!$O$31</f>
        <v>0</v>
      </c>
      <c r="AP269" s="237" t="n">
        <f aca="false">AP267*$AC$265*AP268*AP$38*'⑫ Roll-out Plan'!$O$31</f>
        <v>0</v>
      </c>
      <c r="AQ269" s="237" t="n">
        <f aca="false">AQ267*$AC$265*AQ268*AQ$38*'⑫ Roll-out Plan'!$O$31</f>
        <v>0</v>
      </c>
      <c r="AR269" s="237" t="n">
        <f aca="false">AR267*$AC$265*AR268*AR$38*'⑫ Roll-out Plan'!$O$31</f>
        <v>0</v>
      </c>
      <c r="AS269" s="237" t="n">
        <f aca="false">AS267*$AC$265*AS268*AS$38*'⑫ Roll-out Plan'!$O$31</f>
        <v>0</v>
      </c>
      <c r="AT269" s="237" t="n">
        <f aca="false">AT267*$AC$265*AT268*AT$38*'⑫ Roll-out Plan'!$O$31</f>
        <v>0</v>
      </c>
      <c r="AU269" s="237" t="n">
        <f aca="false">AU267*$AC$265*AU268*AU$38*'⑫ Roll-out Plan'!$O$31</f>
        <v>0</v>
      </c>
      <c r="AV269" s="237" t="n">
        <f aca="false">AV267*$AC$265*AV268*AV$38*'⑫ Roll-out Plan'!$O$31</f>
        <v>0</v>
      </c>
      <c r="AW269" s="237" t="n">
        <f aca="false">AW267*$AC$265*AW268*AW$38*'⑫ Roll-out Plan'!$O$31</f>
        <v>0</v>
      </c>
      <c r="AX269" s="237" t="n">
        <f aca="false">AX267*$AC$265*AX268*AX$38*'⑫ Roll-out Plan'!$O$31</f>
        <v>0</v>
      </c>
      <c r="AY269" s="237" t="n">
        <f aca="false">AY267*$AC$265*AY268*AY$38*'⑫ Roll-out Plan'!$O$31</f>
        <v>0</v>
      </c>
      <c r="AZ269" s="237" t="n">
        <f aca="false">AZ267*$AC$265*AZ268*AZ$38*'⑫ Roll-out Plan'!$O$31</f>
        <v>0</v>
      </c>
      <c r="BA269" s="237" t="n">
        <f aca="false">BA267*$AC$265*BA268*BA$38*'⑫ Roll-out Plan'!$O$31</f>
        <v>0</v>
      </c>
      <c r="BB269" s="237" t="n">
        <f aca="false">BB267*$AC$265*BB268*BB$38*'⑫ Roll-out Plan'!$O$31</f>
        <v>0</v>
      </c>
      <c r="BC269" s="237" t="n">
        <f aca="false">BC267*$AC$265*BC268*BC$38*'⑫ Roll-out Plan'!$O$31</f>
        <v>0</v>
      </c>
      <c r="BD269" s="237" t="n">
        <f aca="false">BD267*$AC$265*BD268*BD$38*'⑫ Roll-out Plan'!$O$31</f>
        <v>0</v>
      </c>
      <c r="BE269" s="237" t="n">
        <f aca="false">BE267*$AC$265*BE268*BE$38*'⑫ Roll-out Plan'!$O$31</f>
        <v>0</v>
      </c>
      <c r="BF269" s="237" t="n">
        <f aca="false">BF267*$AC$265*BF268*BF$38*'⑫ Roll-out Plan'!$O$31</f>
        <v>0</v>
      </c>
      <c r="BG269" s="237" t="n">
        <f aca="false">BG267*$AC$265*BG268*BG$38*'⑫ Roll-out Plan'!$O$31</f>
        <v>0</v>
      </c>
      <c r="BH269" s="237" t="n">
        <f aca="false">BH267*$AC$265*BH268*BH$38*'⑫ Roll-out Plan'!$O$31</f>
        <v>0</v>
      </c>
      <c r="BI269" s="237" t="n">
        <f aca="false">BI267*$AC$265*BI268*BI$38*'⑫ Roll-out Plan'!$O$31</f>
        <v>0</v>
      </c>
      <c r="BJ269" s="237" t="n">
        <f aca="false">BJ267*$AC$265*BJ268*BJ$38*'⑫ Roll-out Plan'!$O$31</f>
        <v>0</v>
      </c>
      <c r="BK269" s="237" t="n">
        <f aca="false">BK267*$AC$265*BK268*BK$38*'⑫ Roll-out Plan'!$O$31</f>
        <v>0</v>
      </c>
      <c r="BL269" s="237" t="n">
        <f aca="false">BL267*$AC$265*BL268*BL$38*'⑫ Roll-out Plan'!$O$31</f>
        <v>0</v>
      </c>
      <c r="BM269" s="237" t="n">
        <f aca="false">BM267*$AC$265*BM268*BM$38*'⑫ Roll-out Plan'!$O$31</f>
        <v>0</v>
      </c>
      <c r="BN269" s="237" t="n">
        <f aca="false">BN267*$AC$265*BN268*BN$38*'⑫ Roll-out Plan'!$O$31</f>
        <v>0</v>
      </c>
      <c r="BO269" s="237" t="n">
        <f aca="false">BO267*$AC$265*BO268*BO$38*'⑫ Roll-out Plan'!$O$31</f>
        <v>0</v>
      </c>
      <c r="BP269" s="237" t="n">
        <f aca="false">BP267*$AC$265*BP268*BP$38*'⑫ Roll-out Plan'!$O$31</f>
        <v>0</v>
      </c>
      <c r="BQ269" s="237" t="n">
        <f aca="false">BQ267*$AC$265*BQ268*BQ$38*'⑫ Roll-out Plan'!$O$31</f>
        <v>0</v>
      </c>
      <c r="BR269" s="237" t="n">
        <f aca="false">BR267*$AC$265*BR268*BR$38*'⑫ Roll-out Plan'!$O$31</f>
        <v>0</v>
      </c>
      <c r="BS269" s="237" t="n">
        <f aca="false">BS267*$AC$265*BS268*BS$38*'⑫ Roll-out Plan'!$O$31</f>
        <v>0</v>
      </c>
      <c r="BT269" s="237" t="n">
        <f aca="false">BT267*$AC$265*BT268*BT$38*'⑫ Roll-out Plan'!$O$31</f>
        <v>0</v>
      </c>
      <c r="BU269" s="237" t="n">
        <f aca="false">BU267*$AC$265*BU268*BU$38*'⑫ Roll-out Plan'!$O$31</f>
        <v>0</v>
      </c>
      <c r="BV269" s="237" t="n">
        <f aca="false">BV267*$AC$265*BV268*BV$38*'⑫ Roll-out Plan'!$O$31</f>
        <v>0</v>
      </c>
      <c r="BW269" s="237" t="n">
        <f aca="false">BW267*$AC$265*BW268*BW$38*'⑫ Roll-out Plan'!$O$31</f>
        <v>0</v>
      </c>
      <c r="BX269" s="237" t="n">
        <f aca="false">BX267*$AC$265*BX268*BX$38*'⑫ Roll-out Plan'!$O$31</f>
        <v>0</v>
      </c>
      <c r="BY269" s="237" t="n">
        <f aca="false">BY267*$AC$265*BY268*BY$38*'⑫ Roll-out Plan'!$O$31</f>
        <v>0</v>
      </c>
      <c r="BZ269" s="237" t="n">
        <f aca="false">BZ267*$AC$265*BZ268*BZ$38*'⑫ Roll-out Plan'!$O$31</f>
        <v>0</v>
      </c>
      <c r="CA269" s="237" t="n">
        <f aca="false">CA267*$AC$265*CA268*CA$38*'⑫ Roll-out Plan'!$O$31</f>
        <v>0</v>
      </c>
      <c r="CB269" s="237" t="n">
        <f aca="false">CB267*$AC$265*CB268*CB$38*'⑫ Roll-out Plan'!$O$31</f>
        <v>0</v>
      </c>
      <c r="CC269" s="237" t="n">
        <f aca="false">CC267*$AC$265*CC268*CC$38*'⑫ Roll-out Plan'!$O$31</f>
        <v>0</v>
      </c>
      <c r="CD269" s="237" t="n">
        <f aca="false">CD267*$AC$265*CD268*CD$38*'⑫ Roll-out Plan'!$O$31</f>
        <v>0</v>
      </c>
      <c r="CE269" s="237" t="n">
        <f aca="false">CE267*$AC$265*CE268*CE$38*'⑫ Roll-out Plan'!$O$31</f>
        <v>0</v>
      </c>
      <c r="CF269" s="237" t="n">
        <f aca="false">CF267*$AC$265*CF268*CF$38*'⑫ Roll-out Plan'!$O$31</f>
        <v>0</v>
      </c>
      <c r="CG269" s="237" t="n">
        <f aca="false">CG267*$AC$265*CG268*CG$38*'⑫ Roll-out Plan'!$O$31</f>
        <v>0</v>
      </c>
      <c r="CH269" s="237" t="n">
        <f aca="false">CH267*$AC$265*CH268*CH$38*'⑫ Roll-out Plan'!$O$31</f>
        <v>0</v>
      </c>
      <c r="CI269" s="237" t="n">
        <f aca="false">CI267*$AC$265*CI268*CI$38*'⑫ Roll-out Plan'!$O$31</f>
        <v>0</v>
      </c>
      <c r="CJ269" s="237" t="n">
        <f aca="false">CJ267*$AC$265*CJ268*CJ$38*'⑫ Roll-out Plan'!$O$31</f>
        <v>0</v>
      </c>
      <c r="CK269" s="237" t="n">
        <f aca="false">CK267*$AC$265*CK268*CK$38*'⑫ Roll-out Plan'!$O$31</f>
        <v>0</v>
      </c>
      <c r="CL269" s="237" t="n">
        <f aca="false">CL267*$AC$265*CL268*CL$38*'⑫ Roll-out Plan'!$O$31</f>
        <v>0</v>
      </c>
      <c r="CM269" s="237" t="n">
        <f aca="false">CM267*$AC$265*CM268*CM$38*'⑫ Roll-out Plan'!$O$31</f>
        <v>0</v>
      </c>
      <c r="CN269" s="237" t="n">
        <f aca="false">CN267*$AC$265*CN268*CN$38*'⑫ Roll-out Plan'!$O$31</f>
        <v>0</v>
      </c>
      <c r="CO269" s="237" t="n">
        <f aca="false">CO267*$AC$265*CO268*CO$38*'⑫ Roll-out Plan'!$O$31</f>
        <v>0</v>
      </c>
      <c r="CP269" s="237" t="n">
        <f aca="false">CP267*$AC$265*CP268*CP$38*'⑫ Roll-out Plan'!$O$31</f>
        <v>33.6</v>
      </c>
      <c r="CQ269" s="237" t="n">
        <f aca="false">CQ267*$AC$265*CQ268*CQ$38*'⑫ Roll-out Plan'!$O$31</f>
        <v>38.808</v>
      </c>
      <c r="CR269" s="237" t="n">
        <f aca="false">CR267*$AC$265*CR268*CR$38*'⑫ Roll-out Plan'!$O$31</f>
        <v>71.568</v>
      </c>
      <c r="CS269" s="237" t="n">
        <f aca="false">CS267*$AC$265*CS268*CS$38*'⑫ Roll-out Plan'!$O$31</f>
        <v>65.772</v>
      </c>
      <c r="CT269" s="237" t="n">
        <f aca="false">CT267*$AC$265*CT268*CT$38*'⑫ Roll-out Plan'!$O$31</f>
        <v>54.432</v>
      </c>
      <c r="CU269" s="237" t="n">
        <f aca="false">CU267*$AC$265*CU268*CU$38*'⑫ Roll-out Plan'!$O$31</f>
        <v>46.872</v>
      </c>
      <c r="CV269" s="237" t="n">
        <f aca="false">CV267*$AC$265*CV268*CV$38*'⑫ Roll-out Plan'!$O$31</f>
        <v>74.97</v>
      </c>
      <c r="CW269" s="237" t="n">
        <f aca="false">CW267*$AC$265*CW268*CW$38*'⑫ Roll-out Plan'!$O$31</f>
        <v>88.452</v>
      </c>
      <c r="CX269" s="237" t="n">
        <f aca="false">CX267*$AC$265*CX268*CX$38*'⑫ Roll-out Plan'!$O$31</f>
        <v>75.768</v>
      </c>
      <c r="CY269" s="237" t="n">
        <f aca="false">CY267*$AC$265*CY268*CY$38*'⑫ Roll-out Plan'!$O$31</f>
        <v>107.184</v>
      </c>
      <c r="CZ269" s="237" t="n">
        <f aca="false">CZ267*$AC$265*CZ268*CZ$38*'⑫ Roll-out Plan'!$O$31</f>
        <v>110.88</v>
      </c>
      <c r="DA269" s="237" t="n">
        <f aca="false">DA267*$AC$265*DA268*DA$38*'⑫ Roll-out Plan'!$O$31</f>
        <v>100.464</v>
      </c>
      <c r="DB269" s="237" t="n">
        <f aca="false">DB267*$AC$265*DB268*DB$38*'⑫ Roll-out Plan'!$O$31</f>
        <v>94.08</v>
      </c>
      <c r="DC269" s="237" t="n">
        <f aca="false">DC267*$AC$265*DC268*DC$38*'⑫ Roll-out Plan'!$O$31</f>
        <v>105.84</v>
      </c>
      <c r="DD269" s="237" t="n">
        <f aca="false">DD267*$AC$265*DD268*DD$38*'⑫ Roll-out Plan'!$O$31</f>
        <v>178.92</v>
      </c>
      <c r="DE269" s="237" t="n">
        <f aca="false">DE267*$AC$265*DE268*DE$38*'⑫ Roll-out Plan'!$O$31</f>
        <v>184.1616</v>
      </c>
      <c r="DF269" s="237" t="n">
        <f aca="false">DF267*$AC$265*DF268*DF$38*'⑫ Roll-out Plan'!$O$31</f>
        <v>159.6672</v>
      </c>
      <c r="DG269" s="237" t="n">
        <f aca="false">DG267*$AC$265*DG268*DG$38*'⑫ Roll-out Plan'!$O$31</f>
        <v>125.1936</v>
      </c>
      <c r="DH269" s="237" t="n">
        <f aca="false">DH267*$AC$265*DH268*DH$38*'⑫ Roll-out Plan'!$O$31</f>
        <v>182.4984</v>
      </c>
      <c r="DI269" s="237" t="n">
        <f aca="false">DI267*$AC$265*DI268*DI$38*'⑫ Roll-out Plan'!$O$31</f>
        <v>193.2336</v>
      </c>
      <c r="DJ269" s="237" t="n">
        <f aca="false">DJ267*$AC$265*DJ268*DJ$38*'⑫ Roll-out Plan'!$O$31</f>
        <v>150.8472</v>
      </c>
      <c r="DK269" s="237" t="n">
        <f aca="false">DK267*$AC$265*DK268*DK$38*'⑫ Roll-out Plan'!$O$31</f>
        <v>219.24</v>
      </c>
      <c r="DL269" s="237" t="n">
        <f aca="false">DL267*$AC$265*DL268*DL$38*'⑫ Roll-out Plan'!$O$31</f>
        <v>213.444</v>
      </c>
      <c r="DM269" s="237" t="n">
        <f aca="false">DM267*$AC$265*DM268*DM$38*'⑫ Roll-out Plan'!$O$31</f>
        <v>183.1536</v>
      </c>
      <c r="DN269" s="237" t="n">
        <f aca="false">DN267*$AC$265*DN268*DN$38*'⑫ Roll-out Plan'!$O$31</f>
        <v>159.264</v>
      </c>
      <c r="DO269" s="237" t="n">
        <f aca="false">DO267*$AC$265*DO268*DO$38*'⑫ Roll-out Plan'!$O$31</f>
        <v>169.344</v>
      </c>
      <c r="DP269" s="237" t="n">
        <f aca="false">DP267*$AC$265*DP268*DP$38*'⑫ Roll-out Plan'!$O$31</f>
        <v>293.4288</v>
      </c>
      <c r="DQ269" s="237" t="n">
        <f aca="false">DQ267*$AC$265*DQ268*DQ$38*'⑫ Roll-out Plan'!$O$31</f>
        <v>245.5488</v>
      </c>
      <c r="DR269" s="237" t="n">
        <f aca="false">DR267*$AC$265*DR268*DR$38*'⑫ Roll-out Plan'!$O$31</f>
        <v>205.632</v>
      </c>
      <c r="DS269" s="237" t="n">
        <f aca="false">DS267*$AC$265*DS268*DS$38*'⑫ Roll-out Plan'!$O$31</f>
        <v>154.224</v>
      </c>
      <c r="DT269" s="237" t="n">
        <f aca="false">DT267*$AC$265*DT268*DT$38*'⑫ Roll-out Plan'!$O$31</f>
        <v>221.0544</v>
      </c>
      <c r="DU269" s="237" t="n">
        <f aca="false">DU267*$AC$265*DU268*DU$38*'⑫ Roll-out Plan'!$O$31</f>
        <v>239.5008</v>
      </c>
      <c r="DV269" s="237" t="n">
        <f aca="false">DV267*$AC$265*DV268*DV$38*'⑫ Roll-out Plan'!$O$31</f>
        <v>183.9096</v>
      </c>
      <c r="DW269" s="237" t="n">
        <f aca="false">DW267*$AC$265*DW268*DW$38*'⑫ Roll-out Plan'!$O$31</f>
        <v>263.088</v>
      </c>
      <c r="DX269" s="237" t="n">
        <f aca="false">DX267*$AC$265*DX268*DX$38*'⑫ Roll-out Plan'!$O$31</f>
        <v>249.48</v>
      </c>
      <c r="DY269" s="237" t="n">
        <f aca="false">DY267*$AC$265*DY268*DY$38*'⑫ Roll-out Plan'!$O$31</f>
        <v>213.2928</v>
      </c>
      <c r="DZ269" s="237" t="n">
        <f aca="false">DZ267*$AC$265*DZ268*DZ$38*'⑫ Roll-out Plan'!$O$31</f>
        <v>187.488</v>
      </c>
      <c r="EA269" s="237" t="n">
        <f aca="false">EA267*$AC$265*EA268*EA$38*'⑫ Roll-out Plan'!$O$31</f>
        <v>198.9792</v>
      </c>
      <c r="EB269" s="237" t="n">
        <f aca="false">EB267*$AC$265*EB268*EB$38*'⑫ Roll-out Plan'!$O$31</f>
        <v>339.948</v>
      </c>
      <c r="EC269" s="237" t="n">
        <f aca="false">EC267*$AC$265*EC268*EC$38*'⑫ Roll-out Plan'!$O$31</f>
        <v>277.704</v>
      </c>
      <c r="ED269" s="237" t="n">
        <f aca="false">ED267*$AC$265*ED268*ED$38*'⑫ Roll-out Plan'!$O$31</f>
        <v>234.6624</v>
      </c>
      <c r="EE269" s="237" t="n">
        <f aca="false">EE267*$AC$265*EE268*EE$38*'⑫ Roll-out Plan'!$O$31</f>
        <v>177.8112</v>
      </c>
      <c r="EF269" s="237" t="n">
        <f aca="false">EF267*$AC$265*EF268*EF$38*'⑫ Roll-out Plan'!$O$31</f>
        <v>254.4696</v>
      </c>
      <c r="EG269" s="237" t="n">
        <f aca="false">EG267*$AC$265*EG268*EG$38*'⑫ Roll-out Plan'!$O$31</f>
        <v>272.16</v>
      </c>
      <c r="EH269" s="237" t="n">
        <f aca="false">EH267*$AC$265*EH268*EH$38*'⑫ Roll-out Plan'!$O$31</f>
        <v>206.64</v>
      </c>
      <c r="EI269" s="237" t="n">
        <f aca="false">EI267*$AC$265*EI268*EI$38*'⑫ Roll-out Plan'!$O$31</f>
        <v>292.32</v>
      </c>
      <c r="EJ269" s="237" t="n">
        <f aca="false">EJ267*$AC$265*EJ268*EJ$38*'⑫ Roll-out Plan'!$O$31</f>
        <v>277.2</v>
      </c>
      <c r="EK269" s="237" t="n">
        <f aca="false">EK267*$AC$265*EK268*EK$38*'⑫ Roll-out Plan'!$O$31</f>
        <v>231.84</v>
      </c>
      <c r="EL269" s="237" t="n">
        <f aca="false">EL267*$AC$265*EL268*EL$38*'⑫ Roll-out Plan'!$O$31</f>
        <v>201.6</v>
      </c>
      <c r="EM269" s="237" t="n">
        <f aca="false">EM267*$AC$265*EM268*EM$38*'⑫ Roll-out Plan'!$O$31</f>
        <v>211.68</v>
      </c>
      <c r="EN269" s="237" t="n">
        <f aca="false">EN267*$AC$265*EN268*EN$38*'⑫ Roll-out Plan'!$O$31</f>
        <v>357.84</v>
      </c>
      <c r="EO269" s="237" t="n">
        <f aca="false">EO267*$AC$265*EO268*EO$38*'⑫ Roll-out Plan'!$O$31</f>
        <v>292.32</v>
      </c>
      <c r="EP269" s="237" t="n">
        <f aca="false">EP267*$AC$265*EP268*EP$38*'⑫ Roll-out Plan'!$O$31</f>
        <v>241.92</v>
      </c>
      <c r="EQ269" s="237" t="n">
        <f aca="false">EQ267*$AC$265*EQ268*EQ$38*'⑫ Roll-out Plan'!$O$31</f>
        <v>181.44</v>
      </c>
      <c r="ER269" s="237" t="n">
        <f aca="false">ER267*$AC$265*ER268*ER$38*'⑫ Roll-out Plan'!$O$31</f>
        <v>257.04</v>
      </c>
      <c r="ES269" s="9" t="n">
        <f aca="false">ES267*$AC$265*ES268*ES$38*'⑫ Roll-out Plan'!$O$31</f>
        <v>272.16</v>
      </c>
      <c r="ET269" s="9" t="n">
        <f aca="false">ET267*$AC$265*ET268*ET$38*'⑫ Roll-out Plan'!$O$31</f>
        <v>206.64</v>
      </c>
      <c r="EU269" s="9" t="n">
        <f aca="false">EU267*$AC$265*EU268*EU$38*'⑫ Roll-out Plan'!$O$31</f>
        <v>292.32</v>
      </c>
      <c r="EV269" s="9" t="n">
        <f aca="false">EV267*$AC$265*EV268*EV$38*'⑫ Roll-out Plan'!$O$31</f>
        <v>277.2</v>
      </c>
      <c r="EW269" s="9" t="n">
        <f aca="false">EW267*$AC$265*EW268*EW$38*'⑫ Roll-out Plan'!$O$31</f>
        <v>231.84</v>
      </c>
      <c r="EX269" s="9" t="n">
        <f aca="false">EX267*$AC$265*EX268*EX$38*'⑫ Roll-out Plan'!$O$31</f>
        <v>201.6</v>
      </c>
      <c r="EY269" s="9" t="n">
        <f aca="false">EY267*$AC$265*EY268*EY$38*'⑫ Roll-out Plan'!$O$31</f>
        <v>211.68</v>
      </c>
      <c r="EZ269" s="9" t="n">
        <f aca="false">EZ267*$AC$265*EZ268*EZ$38*'⑫ Roll-out Plan'!$O$31</f>
        <v>357.84</v>
      </c>
      <c r="FA269" s="9" t="n">
        <f aca="false">FA267*$AC$265*FA268*FA$38*'⑫ Roll-out Plan'!$O$31</f>
        <v>292.32</v>
      </c>
      <c r="FB269" s="9" t="n">
        <f aca="false">FB267*$AC$265*FB268*FB$38*'⑫ Roll-out Plan'!$O$31</f>
        <v>241.92</v>
      </c>
      <c r="FC269" s="9" t="n">
        <f aca="false">FC267*$AC$265*FC268*FC$38*'⑫ Roll-out Plan'!$O$31</f>
        <v>181.44</v>
      </c>
      <c r="FD269" s="9" t="n">
        <f aca="false">FD267*$AC$265*FD268*FD$38*'⑫ Roll-out Plan'!$O$31</f>
        <v>257.04</v>
      </c>
      <c r="FE269" s="9" t="n">
        <f aca="false">FE267*$AC$265*FE268*FE$38*'⑫ Roll-out Plan'!$O$31</f>
        <v>272.16</v>
      </c>
      <c r="FF269" s="9" t="n">
        <f aca="false">FF267*$AC$265*FF268*FF$38*'⑫ Roll-out Plan'!$O$31</f>
        <v>206.64</v>
      </c>
      <c r="FG269" s="9" t="n">
        <f aca="false">FG267*$AC$265*FG268*FG$38*'⑫ Roll-out Plan'!$O$31</f>
        <v>292.32</v>
      </c>
      <c r="FH269" s="9" t="n">
        <f aca="false">FH267*$AC$265*FH268*FH$38*'⑫ Roll-out Plan'!$O$31</f>
        <v>277.2</v>
      </c>
      <c r="FI269" s="9" t="n">
        <f aca="false">FI267*$AC$265*FI268*FI$38*'⑫ Roll-out Plan'!$O$31</f>
        <v>231.84</v>
      </c>
      <c r="FJ269" s="9" t="n">
        <f aca="false">FJ267*$AC$265*FJ268*FJ$38*'⑫ Roll-out Plan'!$O$31</f>
        <v>201.6</v>
      </c>
      <c r="FK269" s="9" t="n">
        <f aca="false">FK267*$AC$265*FK268*FK$38*'⑫ Roll-out Plan'!$O$31</f>
        <v>211.68</v>
      </c>
      <c r="FL269" s="9" t="n">
        <f aca="false">FL267*$AC$265*FL268*FL$38*'⑫ Roll-out Plan'!$O$31</f>
        <v>357.84</v>
      </c>
      <c r="FM269" s="9" t="n">
        <f aca="false">FM267*$AC$265*FM268*FM$38*'⑫ Roll-out Plan'!$O$31</f>
        <v>292.32</v>
      </c>
      <c r="FN269" s="9" t="n">
        <f aca="false">FN267*$AC$265*FN268*FN$38*'⑫ Roll-out Plan'!$O$31</f>
        <v>241.92</v>
      </c>
      <c r="FO269" s="9" t="n">
        <f aca="false">FO267*$AC$265*FO268*FO$38*'⑫ Roll-out Plan'!$O$31</f>
        <v>181.44</v>
      </c>
      <c r="FP269" s="9" t="n">
        <f aca="false">FP267*$AC$265*FP268*FP$38*'⑫ Roll-out Plan'!$O$31</f>
        <v>257.04</v>
      </c>
    </row>
    <row r="270" customFormat="false" ht="15" hidden="false" customHeight="false" outlineLevel="2" collapsed="false">
      <c r="B270" s="47" t="s">
        <v>877</v>
      </c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237" t="n">
        <f aca="true">IFERROR(SUMPRODUCT(OFFSET($BJ$31,0,1-MIN(60,COLUMN()-29),1,MIN(60,COLUMN()-29)),OFFSET(AC269,0,-MIN(60,COLUMN()-29),1,MIN(60,COLUMN()-29))),0)</f>
        <v>0</v>
      </c>
      <c r="AD270" s="237" t="n">
        <f aca="true">IFERROR(SUMPRODUCT(OFFSET($BJ$31,0,1-MIN(60,COLUMN()-29),1,MIN(60,COLUMN()-29)),OFFSET(AD269,0,-MIN(60,COLUMN()-29),1,MIN(60,COLUMN()-29))),0)</f>
        <v>0</v>
      </c>
      <c r="AE270" s="237" t="n">
        <f aca="true">IFERROR(SUMPRODUCT(OFFSET($BJ$31,0,1-MIN(60,COLUMN()-29),1,MIN(60,COLUMN()-29)),OFFSET(AE269,0,-MIN(60,COLUMN()-29),1,MIN(60,COLUMN()-29))),0)</f>
        <v>0</v>
      </c>
      <c r="AF270" s="237" t="n">
        <f aca="true">IFERROR(SUMPRODUCT(OFFSET($BJ$31,0,1-MIN(60,COLUMN()-29),1,MIN(60,COLUMN()-29)),OFFSET(AF269,0,-MIN(60,COLUMN()-29),1,MIN(60,COLUMN()-29))),0)</f>
        <v>0</v>
      </c>
      <c r="AG270" s="237" t="n">
        <f aca="true">IFERROR(SUMPRODUCT(OFFSET($BJ$31,0,1-MIN(60,COLUMN()-29),1,MIN(60,COLUMN()-29)),OFFSET(AG269,0,-MIN(60,COLUMN()-29),1,MIN(60,COLUMN()-29))),0)</f>
        <v>0</v>
      </c>
      <c r="AH270" s="237" t="n">
        <f aca="true">IFERROR(SUMPRODUCT(OFFSET($BJ$31,0,1-MIN(60,COLUMN()-29),1,MIN(60,COLUMN()-29)),OFFSET(AH269,0,-MIN(60,COLUMN()-29),1,MIN(60,COLUMN()-29))),0)</f>
        <v>0</v>
      </c>
      <c r="AI270" s="237" t="n">
        <f aca="true">IFERROR(SUMPRODUCT(OFFSET($BJ$31,0,1-MIN(60,COLUMN()-29),1,MIN(60,COLUMN()-29)),OFFSET(AI269,0,-MIN(60,COLUMN()-29),1,MIN(60,COLUMN()-29))),0)</f>
        <v>0</v>
      </c>
      <c r="AJ270" s="237" t="n">
        <f aca="true">IFERROR(SUMPRODUCT(OFFSET($BJ$31,0,1-MIN(60,COLUMN()-29),1,MIN(60,COLUMN()-29)),OFFSET(AJ269,0,-MIN(60,COLUMN()-29),1,MIN(60,COLUMN()-29))),0)</f>
        <v>0</v>
      </c>
      <c r="AK270" s="237" t="n">
        <f aca="true">IFERROR(SUMPRODUCT(OFFSET($BJ$31,0,1-MIN(60,COLUMN()-29),1,MIN(60,COLUMN()-29)),OFFSET(AK269,0,-MIN(60,COLUMN()-29),1,MIN(60,COLUMN()-29))),0)</f>
        <v>0</v>
      </c>
      <c r="AL270" s="237" t="n">
        <f aca="true">IFERROR(SUMPRODUCT(OFFSET($BJ$31,0,1-MIN(60,COLUMN()-29),1,MIN(60,COLUMN()-29)),OFFSET(AL269,0,-MIN(60,COLUMN()-29),1,MIN(60,COLUMN()-29))),0)</f>
        <v>0</v>
      </c>
      <c r="AM270" s="237" t="n">
        <f aca="true">IFERROR(SUMPRODUCT(OFFSET($BJ$31,0,1-MIN(60,COLUMN()-29),1,MIN(60,COLUMN()-29)),OFFSET(AM269,0,-MIN(60,COLUMN()-29),1,MIN(60,COLUMN()-29))),0)</f>
        <v>0</v>
      </c>
      <c r="AN270" s="237" t="n">
        <f aca="true">IFERROR(SUMPRODUCT(OFFSET($BJ$31,0,1-MIN(60,COLUMN()-29),1,MIN(60,COLUMN()-29)),OFFSET(AN269,0,-MIN(60,COLUMN()-29),1,MIN(60,COLUMN()-29))),0)</f>
        <v>0</v>
      </c>
      <c r="AO270" s="237" t="n">
        <f aca="true">IFERROR(SUMPRODUCT(OFFSET($BJ$31,0,1-MIN(60,COLUMN()-29),1,MIN(60,COLUMN()-29)),OFFSET(AO269,0,-MIN(60,COLUMN()-29),1,MIN(60,COLUMN()-29))),0)</f>
        <v>0</v>
      </c>
      <c r="AP270" s="237" t="n">
        <f aca="true">IFERROR(SUMPRODUCT(OFFSET($BJ$31,0,1-MIN(60,COLUMN()-29),1,MIN(60,COLUMN()-29)),OFFSET(AP269,0,-MIN(60,COLUMN()-29),1,MIN(60,COLUMN()-29))),0)</f>
        <v>0</v>
      </c>
      <c r="AQ270" s="237" t="n">
        <f aca="true">IFERROR(SUMPRODUCT(OFFSET($BJ$31,0,1-MIN(60,COLUMN()-29),1,MIN(60,COLUMN()-29)),OFFSET(AQ269,0,-MIN(60,COLUMN()-29),1,MIN(60,COLUMN()-29))),0)</f>
        <v>0</v>
      </c>
      <c r="AR270" s="237" t="n">
        <f aca="true">IFERROR(SUMPRODUCT(OFFSET($BJ$31,0,1-MIN(60,COLUMN()-29),1,MIN(60,COLUMN()-29)),OFFSET(AR269,0,-MIN(60,COLUMN()-29),1,MIN(60,COLUMN()-29))),0)</f>
        <v>0</v>
      </c>
      <c r="AS270" s="237" t="n">
        <f aca="true">IFERROR(SUMPRODUCT(OFFSET($BJ$31,0,1-MIN(60,COLUMN()-29),1,MIN(60,COLUMN()-29)),OFFSET(AS269,0,-MIN(60,COLUMN()-29),1,MIN(60,COLUMN()-29))),0)</f>
        <v>0</v>
      </c>
      <c r="AT270" s="237" t="n">
        <f aca="true">IFERROR(SUMPRODUCT(OFFSET($BJ$31,0,1-MIN(60,COLUMN()-29),1,MIN(60,COLUMN()-29)),OFFSET(AT269,0,-MIN(60,COLUMN()-29),1,MIN(60,COLUMN()-29))),0)</f>
        <v>0</v>
      </c>
      <c r="AU270" s="237" t="n">
        <f aca="true">IFERROR(SUMPRODUCT(OFFSET($BJ$31,0,1-MIN(60,COLUMN()-29),1,MIN(60,COLUMN()-29)),OFFSET(AU269,0,-MIN(60,COLUMN()-29),1,MIN(60,COLUMN()-29))),0)</f>
        <v>0</v>
      </c>
      <c r="AV270" s="237" t="n">
        <f aca="true">IFERROR(SUMPRODUCT(OFFSET($BJ$31,0,1-MIN(60,COLUMN()-29),1,MIN(60,COLUMN()-29)),OFFSET(AV269,0,-MIN(60,COLUMN()-29),1,MIN(60,COLUMN()-29))),0)</f>
        <v>0</v>
      </c>
      <c r="AW270" s="237" t="n">
        <f aca="true">IFERROR(SUMPRODUCT(OFFSET($BJ$31,0,1-MIN(60,COLUMN()-29),1,MIN(60,COLUMN()-29)),OFFSET(AW269,0,-MIN(60,COLUMN()-29),1,MIN(60,COLUMN()-29))),0)</f>
        <v>0</v>
      </c>
      <c r="AX270" s="237" t="n">
        <f aca="true">IFERROR(SUMPRODUCT(OFFSET($BJ$31,0,1-MIN(60,COLUMN()-29),1,MIN(60,COLUMN()-29)),OFFSET(AX269,0,-MIN(60,COLUMN()-29),1,MIN(60,COLUMN()-29))),0)</f>
        <v>0</v>
      </c>
      <c r="AY270" s="237" t="n">
        <f aca="true">IFERROR(SUMPRODUCT(OFFSET($BJ$31,0,1-MIN(60,COLUMN()-29),1,MIN(60,COLUMN()-29)),OFFSET(AY269,0,-MIN(60,COLUMN()-29),1,MIN(60,COLUMN()-29))),0)</f>
        <v>0</v>
      </c>
      <c r="AZ270" s="237" t="n">
        <f aca="true">IFERROR(SUMPRODUCT(OFFSET($BJ$31,0,1-MIN(60,COLUMN()-29),1,MIN(60,COLUMN()-29)),OFFSET(AZ269,0,-MIN(60,COLUMN()-29),1,MIN(60,COLUMN()-29))),0)</f>
        <v>0</v>
      </c>
      <c r="BA270" s="237" t="n">
        <f aca="true">IFERROR(SUMPRODUCT(OFFSET($BJ$31,0,1-MIN(60,COLUMN()-29),1,MIN(60,COLUMN()-29)),OFFSET(BA269,0,-MIN(60,COLUMN()-29),1,MIN(60,COLUMN()-29))),0)</f>
        <v>0</v>
      </c>
      <c r="BB270" s="237" t="n">
        <f aca="true">IFERROR(SUMPRODUCT(OFFSET($BJ$31,0,1-MIN(60,COLUMN()-29),1,MIN(60,COLUMN()-29)),OFFSET(BB269,0,-MIN(60,COLUMN()-29),1,MIN(60,COLUMN()-29))),0)</f>
        <v>0</v>
      </c>
      <c r="BC270" s="237" t="n">
        <f aca="true">IFERROR(SUMPRODUCT(OFFSET($BJ$31,0,1-MIN(60,COLUMN()-29),1,MIN(60,COLUMN()-29)),OFFSET(BC269,0,-MIN(60,COLUMN()-29),1,MIN(60,COLUMN()-29))),0)</f>
        <v>0</v>
      </c>
      <c r="BD270" s="237" t="n">
        <f aca="true">IFERROR(SUMPRODUCT(OFFSET($BJ$31,0,1-MIN(60,COLUMN()-29),1,MIN(60,COLUMN()-29)),OFFSET(BD269,0,-MIN(60,COLUMN()-29),1,MIN(60,COLUMN()-29))),0)</f>
        <v>0</v>
      </c>
      <c r="BE270" s="237" t="n">
        <f aca="true">IFERROR(SUMPRODUCT(OFFSET($BJ$31,0,1-MIN(60,COLUMN()-29),1,MIN(60,COLUMN()-29)),OFFSET(BE269,0,-MIN(60,COLUMN()-29),1,MIN(60,COLUMN()-29))),0)</f>
        <v>0</v>
      </c>
      <c r="BF270" s="237" t="n">
        <f aca="true">IFERROR(SUMPRODUCT(OFFSET($BJ$31,0,1-MIN(60,COLUMN()-29),1,MIN(60,COLUMN()-29)),OFFSET(BF269,0,-MIN(60,COLUMN()-29),1,MIN(60,COLUMN()-29))),0)</f>
        <v>0</v>
      </c>
      <c r="BG270" s="237" t="n">
        <f aca="true">IFERROR(SUMPRODUCT(OFFSET($BJ$31,0,1-MIN(60,COLUMN()-29),1,MIN(60,COLUMN()-29)),OFFSET(BG269,0,-MIN(60,COLUMN()-29),1,MIN(60,COLUMN()-29))),0)</f>
        <v>0</v>
      </c>
      <c r="BH270" s="237" t="n">
        <f aca="true">IFERROR(SUMPRODUCT(OFFSET($BJ$31,0,1-MIN(60,COLUMN()-29),1,MIN(60,COLUMN()-29)),OFFSET(BH269,0,-MIN(60,COLUMN()-29),1,MIN(60,COLUMN()-29))),0)</f>
        <v>0</v>
      </c>
      <c r="BI270" s="237" t="n">
        <f aca="true">IFERROR(SUMPRODUCT(OFFSET($BJ$31,0,1-MIN(60,COLUMN()-29),1,MIN(60,COLUMN()-29)),OFFSET(BI269,0,-MIN(60,COLUMN()-29),1,MIN(60,COLUMN()-29))),0)</f>
        <v>0</v>
      </c>
      <c r="BJ270" s="237" t="n">
        <f aca="true">IFERROR(SUMPRODUCT(OFFSET($BJ$31,0,1-MIN(60,COLUMN()-29),1,MIN(60,COLUMN()-29)),OFFSET(BJ269,0,-MIN(60,COLUMN()-29),1,MIN(60,COLUMN()-29))),0)</f>
        <v>0</v>
      </c>
      <c r="BK270" s="237" t="n">
        <f aca="true">IFERROR(SUMPRODUCT(OFFSET($BJ$31,0,1-MIN(60,COLUMN()-29),1,MIN(60,COLUMN()-29)),OFFSET(BK269,0,-MIN(60,COLUMN()-29),1,MIN(60,COLUMN()-29))),0)</f>
        <v>0</v>
      </c>
      <c r="BL270" s="237" t="n">
        <f aca="true">IFERROR(SUMPRODUCT(OFFSET($BJ$31,0,1-MIN(60,COLUMN()-29),1,MIN(60,COLUMN()-29)),OFFSET(BL269,0,-MIN(60,COLUMN()-29),1,MIN(60,COLUMN()-29))),0)</f>
        <v>0</v>
      </c>
      <c r="BM270" s="237" t="n">
        <f aca="true">IFERROR(SUMPRODUCT(OFFSET($BJ$31,0,1-MIN(60,COLUMN()-29),1,MIN(60,COLUMN()-29)),OFFSET(BM269,0,-MIN(60,COLUMN()-29),1,MIN(60,COLUMN()-29))),0)</f>
        <v>0</v>
      </c>
      <c r="BN270" s="237" t="n">
        <f aca="true">IFERROR(SUMPRODUCT(OFFSET($BJ$31,0,1-MIN(60,COLUMN()-29),1,MIN(60,COLUMN()-29)),OFFSET(BN269,0,-MIN(60,COLUMN()-29),1,MIN(60,COLUMN()-29))),0)</f>
        <v>0</v>
      </c>
      <c r="BO270" s="237" t="n">
        <f aca="true">IFERROR(SUMPRODUCT(OFFSET($BJ$31,0,1-MIN(60,COLUMN()-29),1,MIN(60,COLUMN()-29)),OFFSET(BO269,0,-MIN(60,COLUMN()-29),1,MIN(60,COLUMN()-29))),0)</f>
        <v>0</v>
      </c>
      <c r="BP270" s="237" t="n">
        <f aca="true">IFERROR(SUMPRODUCT(OFFSET($BJ$31,0,1-MIN(60,COLUMN()-29),1,MIN(60,COLUMN()-29)),OFFSET(BP269,0,-MIN(60,COLUMN()-29),1,MIN(60,COLUMN()-29))),0)</f>
        <v>0</v>
      </c>
      <c r="BQ270" s="237" t="n">
        <f aca="true">IFERROR(SUMPRODUCT(OFFSET($BJ$31,0,1-MIN(60,COLUMN()-29),1,MIN(60,COLUMN()-29)),OFFSET(BQ269,0,-MIN(60,COLUMN()-29),1,MIN(60,COLUMN()-29))),0)</f>
        <v>0</v>
      </c>
      <c r="BR270" s="237" t="n">
        <f aca="true">IFERROR(SUMPRODUCT(OFFSET($BJ$31,0,1-MIN(60,COLUMN()-29),1,MIN(60,COLUMN()-29)),OFFSET(BR269,0,-MIN(60,COLUMN()-29),1,MIN(60,COLUMN()-29))),0)</f>
        <v>0</v>
      </c>
      <c r="BS270" s="237" t="n">
        <f aca="true">IFERROR(SUMPRODUCT(OFFSET($BJ$31,0,1-MIN(60,COLUMN()-29),1,MIN(60,COLUMN()-29)),OFFSET(BS269,0,-MIN(60,COLUMN()-29),1,MIN(60,COLUMN()-29))),0)</f>
        <v>0</v>
      </c>
      <c r="BT270" s="237" t="n">
        <f aca="true">IFERROR(SUMPRODUCT(OFFSET($BJ$31,0,1-MIN(60,COLUMN()-29),1,MIN(60,COLUMN()-29)),OFFSET(BT269,0,-MIN(60,COLUMN()-29),1,MIN(60,COLUMN()-29))),0)</f>
        <v>0</v>
      </c>
      <c r="BU270" s="237" t="n">
        <f aca="true">IFERROR(SUMPRODUCT(OFFSET($BJ$31,0,1-MIN(60,COLUMN()-29),1,MIN(60,COLUMN()-29)),OFFSET(BU269,0,-MIN(60,COLUMN()-29),1,MIN(60,COLUMN()-29))),0)</f>
        <v>0</v>
      </c>
      <c r="BV270" s="237" t="n">
        <f aca="true">IFERROR(SUMPRODUCT(OFFSET($BJ$31,0,1-MIN(60,COLUMN()-29),1,MIN(60,COLUMN()-29)),OFFSET(BV269,0,-MIN(60,COLUMN()-29),1,MIN(60,COLUMN()-29))),0)</f>
        <v>0</v>
      </c>
      <c r="BW270" s="237" t="n">
        <f aca="true">IFERROR(SUMPRODUCT(OFFSET($BJ$31,0,1-MIN(60,COLUMN()-29),1,MIN(60,COLUMN()-29)),OFFSET(BW269,0,-MIN(60,COLUMN()-29),1,MIN(60,COLUMN()-29))),0)</f>
        <v>0</v>
      </c>
      <c r="BX270" s="237" t="n">
        <f aca="true">IFERROR(SUMPRODUCT(OFFSET($BJ$31,0,1-MIN(60,COLUMN()-29),1,MIN(60,COLUMN()-29)),OFFSET(BX269,0,-MIN(60,COLUMN()-29),1,MIN(60,COLUMN()-29))),0)</f>
        <v>0</v>
      </c>
      <c r="BY270" s="237" t="n">
        <f aca="true">IFERROR(SUMPRODUCT(OFFSET($BJ$31,0,1-MIN(60,COLUMN()-29),1,MIN(60,COLUMN()-29)),OFFSET(BY269,0,-MIN(60,COLUMN()-29),1,MIN(60,COLUMN()-29))),0)</f>
        <v>0</v>
      </c>
      <c r="BZ270" s="237" t="n">
        <f aca="true">IFERROR(SUMPRODUCT(OFFSET($BJ$31,0,1-MIN(60,COLUMN()-29),1,MIN(60,COLUMN()-29)),OFFSET(BZ269,0,-MIN(60,COLUMN()-29),1,MIN(60,COLUMN()-29))),0)</f>
        <v>0</v>
      </c>
      <c r="CA270" s="237" t="n">
        <f aca="true">IFERROR(SUMPRODUCT(OFFSET($BJ$31,0,1-MIN(60,COLUMN()-29),1,MIN(60,COLUMN()-29)),OFFSET(CA269,0,-MIN(60,COLUMN()-29),1,MIN(60,COLUMN()-29))),0)</f>
        <v>0</v>
      </c>
      <c r="CB270" s="237" t="n">
        <f aca="true">IFERROR(SUMPRODUCT(OFFSET($BJ$31,0,1-MIN(60,COLUMN()-29),1,MIN(60,COLUMN()-29)),OFFSET(CB269,0,-MIN(60,COLUMN()-29),1,MIN(60,COLUMN()-29))),0)</f>
        <v>0</v>
      </c>
      <c r="CC270" s="237" t="n">
        <f aca="true">IFERROR(SUMPRODUCT(OFFSET($BJ$31,0,1-MIN(60,COLUMN()-29),1,MIN(60,COLUMN()-29)),OFFSET(CC269,0,-MIN(60,COLUMN()-29),1,MIN(60,COLUMN()-29))),0)</f>
        <v>0</v>
      </c>
      <c r="CD270" s="237" t="n">
        <f aca="true">IFERROR(SUMPRODUCT(OFFSET($BJ$31,0,1-MIN(60,COLUMN()-29),1,MIN(60,COLUMN()-29)),OFFSET(CD269,0,-MIN(60,COLUMN()-29),1,MIN(60,COLUMN()-29))),0)</f>
        <v>0</v>
      </c>
      <c r="CE270" s="237" t="n">
        <f aca="true">IFERROR(SUMPRODUCT(OFFSET($BJ$31,0,1-MIN(60,COLUMN()-29),1,MIN(60,COLUMN()-29)),OFFSET(CE269,0,-MIN(60,COLUMN()-29),1,MIN(60,COLUMN()-29))),0)</f>
        <v>0</v>
      </c>
      <c r="CF270" s="237" t="n">
        <f aca="true">IFERROR(SUMPRODUCT(OFFSET($BJ$31,0,1-MIN(60,COLUMN()-29),1,MIN(60,COLUMN()-29)),OFFSET(CF269,0,-MIN(60,COLUMN()-29),1,MIN(60,COLUMN()-29))),0)</f>
        <v>0</v>
      </c>
      <c r="CG270" s="237" t="n">
        <f aca="true">IFERROR(SUMPRODUCT(OFFSET($BJ$31,0,1-MIN(60,COLUMN()-29),1,MIN(60,COLUMN()-29)),OFFSET(CG269,0,-MIN(60,COLUMN()-29),1,MIN(60,COLUMN()-29))),0)</f>
        <v>0</v>
      </c>
      <c r="CH270" s="237" t="n">
        <f aca="true">IFERROR(SUMPRODUCT(OFFSET($BJ$31,0,1-MIN(60,COLUMN()-29),1,MIN(60,COLUMN()-29)),OFFSET(CH269,0,-MIN(60,COLUMN()-29),1,MIN(60,COLUMN()-29))),0)</f>
        <v>0</v>
      </c>
      <c r="CI270" s="237" t="n">
        <f aca="true">IFERROR(SUMPRODUCT(OFFSET($BJ$31,0,1-MIN(60,COLUMN()-29),1,MIN(60,COLUMN()-29)),OFFSET(CI269,0,-MIN(60,COLUMN()-29),1,MIN(60,COLUMN()-29))),0)</f>
        <v>0</v>
      </c>
      <c r="CJ270" s="237" t="n">
        <f aca="true">IFERROR(SUMPRODUCT(OFFSET($BJ$31,0,1-MIN(60,COLUMN()-29),1,MIN(60,COLUMN()-29)),OFFSET(CJ269,0,-MIN(60,COLUMN()-29),1,MIN(60,COLUMN()-29))),0)</f>
        <v>0</v>
      </c>
      <c r="CK270" s="237" t="n">
        <f aca="true">IFERROR(SUMPRODUCT(OFFSET($BJ$31,0,1-MIN(60,COLUMN()-29),1,MIN(60,COLUMN()-29)),OFFSET(CK269,0,-MIN(60,COLUMN()-29),1,MIN(60,COLUMN()-29))),0)</f>
        <v>0</v>
      </c>
      <c r="CL270" s="237" t="n">
        <f aca="true">IFERROR(SUMPRODUCT(OFFSET($BJ$31,0,1-MIN(60,COLUMN()-29),1,MIN(60,COLUMN()-29)),OFFSET(CL269,0,-MIN(60,COLUMN()-29),1,MIN(60,COLUMN()-29))),0)</f>
        <v>0</v>
      </c>
      <c r="CM270" s="237" t="n">
        <f aca="true">IFERROR(SUMPRODUCT(OFFSET($BJ$31,0,1-MIN(60,COLUMN()-29),1,MIN(60,COLUMN()-29)),OFFSET(CM269,0,-MIN(60,COLUMN()-29),1,MIN(60,COLUMN()-29))),0)</f>
        <v>0</v>
      </c>
      <c r="CN270" s="237" t="n">
        <f aca="true">IFERROR(SUMPRODUCT(OFFSET($BJ$31,0,1-MIN(60,COLUMN()-29),1,MIN(60,COLUMN()-29)),OFFSET(CN269,0,-MIN(60,COLUMN()-29),1,MIN(60,COLUMN()-29))),0)</f>
        <v>0</v>
      </c>
      <c r="CO270" s="237" t="n">
        <f aca="true">IFERROR(SUMPRODUCT(OFFSET($BJ$31,0,1-MIN(60,COLUMN()-29),1,MIN(60,COLUMN()-29)),OFFSET(CO269,0,-MIN(60,COLUMN()-29),1,MIN(60,COLUMN()-29))),0)</f>
        <v>0</v>
      </c>
      <c r="CP270" s="237" t="n">
        <f aca="true">IFERROR(SUMPRODUCT(OFFSET($BJ$31,0,1-MIN(60,COLUMN()-29),1,MIN(60,COLUMN()-29)),OFFSET(CP269,0,-MIN(60,COLUMN()-29),1,MIN(60,COLUMN()-29))),0)</f>
        <v>0</v>
      </c>
      <c r="CQ270" s="237" t="n">
        <f aca="true">IFERROR(SUMPRODUCT(OFFSET($BJ$31,0,1-MIN(60,COLUMN()-29),1,MIN(60,COLUMN()-29)),OFFSET(CQ269,0,-MIN(60,COLUMN()-29),1,MIN(60,COLUMN()-29))),0)</f>
        <v>4.3008</v>
      </c>
      <c r="CR270" s="237" t="n">
        <f aca="true">IFERROR(SUMPRODUCT(OFFSET($BJ$31,0,1-MIN(60,COLUMN()-29),1,MIN(60,COLUMN()-29)),OFFSET(CR269,0,-MIN(60,COLUMN()-29),1,MIN(60,COLUMN()-29))),0)</f>
        <v>5.558784</v>
      </c>
      <c r="CS270" s="237" t="n">
        <f aca="true">IFERROR(SUMPRODUCT(OFFSET($BJ$31,0,1-MIN(60,COLUMN()-29),1,MIN(60,COLUMN()-29)),OFFSET(CS269,0,-MIN(60,COLUMN()-29),1,MIN(60,COLUMN()-29))),0)</f>
        <v>10.5963648</v>
      </c>
      <c r="CT270" s="237" t="n">
        <f aca="true">IFERROR(SUMPRODUCT(OFFSET($BJ$31,0,1-MIN(60,COLUMN()-29),1,MIN(60,COLUMN()-29)),OFFSET(CT269,0,-MIN(60,COLUMN()-29),1,MIN(60,COLUMN()-29))),0)</f>
        <v>10.977792</v>
      </c>
      <c r="CU270" s="237" t="n">
        <f aca="true">IFERROR(SUMPRODUCT(OFFSET($BJ$31,0,1-MIN(60,COLUMN()-29),1,MIN(60,COLUMN()-29)),OFFSET(CU269,0,-MIN(60,COLUMN()-29),1,MIN(60,COLUMN()-29))),0)</f>
        <v>10.5473088</v>
      </c>
      <c r="CV270" s="237" t="n">
        <f aca="true">IFERROR(SUMPRODUCT(OFFSET($BJ$31,0,1-MIN(60,COLUMN()-29),1,MIN(60,COLUMN()-29)),OFFSET(CV269,0,-MIN(60,COLUMN()-29),1,MIN(60,COLUMN()-29))),0)</f>
        <v>9.8808192</v>
      </c>
      <c r="CW270" s="237" t="n">
        <f aca="true">IFERROR(SUMPRODUCT(OFFSET($BJ$31,0,1-MIN(60,COLUMN()-29),1,MIN(60,COLUMN()-29)),OFFSET(CW269,0,-MIN(60,COLUMN()-29),1,MIN(60,COLUMN()-29))),0)</f>
        <v>13.8931968</v>
      </c>
      <c r="CX270" s="237" t="n">
        <f aca="true">IFERROR(SUMPRODUCT(OFFSET($BJ$31,0,1-MIN(60,COLUMN()-29),1,MIN(60,COLUMN()-29)),OFFSET(CX269,0,-MIN(60,COLUMN()-29),1,MIN(60,COLUMN()-29))),0)</f>
        <v>16.145136</v>
      </c>
      <c r="CY270" s="237" t="n">
        <f aca="true">IFERROR(SUMPRODUCT(OFFSET($BJ$31,0,1-MIN(60,COLUMN()-29),1,MIN(60,COLUMN()-29)),OFFSET(CY269,0,-MIN(60,COLUMN()-29),1,MIN(60,COLUMN()-29))),0)</f>
        <v>16.026528</v>
      </c>
      <c r="CZ270" s="237" t="n">
        <f aca="true">IFERROR(SUMPRODUCT(OFFSET($BJ$31,0,1-MIN(60,COLUMN()-29),1,MIN(60,COLUMN()-29)),OFFSET(CZ269,0,-MIN(60,COLUMN()-29),1,MIN(60,COLUMN()-29))),0)</f>
        <v>21.0650496</v>
      </c>
      <c r="DA270" s="237" t="n">
        <f aca="true">IFERROR(SUMPRODUCT(OFFSET($BJ$31,0,1-MIN(60,COLUMN()-29),1,MIN(60,COLUMN()-29)),OFFSET(DA269,0,-MIN(60,COLUMN()-29),1,MIN(60,COLUMN()-29))),0)</f>
        <v>22.517376</v>
      </c>
      <c r="DB270" s="237" t="n">
        <f aca="true">IFERROR(SUMPRODUCT(OFFSET($BJ$31,0,1-MIN(60,COLUMN()-29),1,MIN(60,COLUMN()-29)),OFFSET(DB269,0,-MIN(60,COLUMN()-29),1,MIN(60,COLUMN()-29))),0)</f>
        <v>23.3309664</v>
      </c>
      <c r="DC270" s="237" t="n">
        <f aca="true">IFERROR(SUMPRODUCT(OFFSET($BJ$31,0,1-MIN(60,COLUMN()-29),1,MIN(60,COLUMN()-29)),OFFSET(DC269,0,-MIN(60,COLUMN()-29),1,MIN(60,COLUMN()-29))),0)</f>
        <v>24.3899712</v>
      </c>
      <c r="DD270" s="237" t="n">
        <f aca="true">IFERROR(SUMPRODUCT(OFFSET($BJ$31,0,1-MIN(60,COLUMN()-29),1,MIN(60,COLUMN()-29)),OFFSET(DD269,0,-MIN(60,COLUMN()-29),1,MIN(60,COLUMN()-29))),0)</f>
        <v>27.3481824</v>
      </c>
      <c r="DE270" s="237" t="n">
        <f aca="true">IFERROR(SUMPRODUCT(OFFSET($BJ$31,0,1-MIN(60,COLUMN()-29),1,MIN(60,COLUMN()-29)),OFFSET(DE269,0,-MIN(60,COLUMN()-29),1,MIN(60,COLUMN()-29))),0)</f>
        <v>38.2116672</v>
      </c>
      <c r="DF270" s="237" t="n">
        <f aca="true">IFERROR(SUMPRODUCT(OFFSET($BJ$31,0,1-MIN(60,COLUMN()-29),1,MIN(60,COLUMN()-29)),OFFSET(DF269,0,-MIN(60,COLUMN()-29),1,MIN(60,COLUMN()-29))),0)</f>
        <v>41.4913632</v>
      </c>
      <c r="DG270" s="237" t="n">
        <f aca="true">IFERROR(SUMPRODUCT(OFFSET($BJ$31,0,1-MIN(60,COLUMN()-29),1,MIN(60,COLUMN()-29)),OFFSET(DG269,0,-MIN(60,COLUMN()-29),1,MIN(60,COLUMN()-29))),0)</f>
        <v>41.26663296</v>
      </c>
      <c r="DH270" s="237" t="n">
        <f aca="true">IFERROR(SUMPRODUCT(OFFSET($BJ$31,0,1-MIN(60,COLUMN()-29),1,MIN(60,COLUMN()-29)),OFFSET(DH269,0,-MIN(60,COLUMN()-29),1,MIN(60,COLUMN()-29))),0)</f>
        <v>39.23984736</v>
      </c>
      <c r="DI270" s="237" t="n">
        <f aca="true">IFERROR(SUMPRODUCT(OFFSET($BJ$31,0,1-MIN(60,COLUMN()-29),1,MIN(60,COLUMN()-29)),OFFSET(DI269,0,-MIN(60,COLUMN()-29),1,MIN(60,COLUMN()-29))),0)</f>
        <v>49.84204512</v>
      </c>
      <c r="DJ270" s="237" t="n">
        <f aca="true">IFERROR(SUMPRODUCT(OFFSET($BJ$31,0,1-MIN(60,COLUMN()-29),1,MIN(60,COLUMN()-29)),OFFSET(DJ269,0,-MIN(60,COLUMN()-29),1,MIN(60,COLUMN()-29))),0)</f>
        <v>53.9657496</v>
      </c>
      <c r="DK270" s="237" t="n">
        <f aca="true">IFERROR(SUMPRODUCT(OFFSET($BJ$31,0,1-MIN(60,COLUMN()-29),1,MIN(60,COLUMN()-29)),OFFSET(DK269,0,-MIN(60,COLUMN()-29),1,MIN(60,COLUMN()-29))),0)</f>
        <v>52.7681112</v>
      </c>
      <c r="DL270" s="237" t="n">
        <f aca="true">IFERROR(SUMPRODUCT(OFFSET($BJ$31,0,1-MIN(60,COLUMN()-29),1,MIN(60,COLUMN()-29)),OFFSET(DL269,0,-MIN(60,COLUMN()-29),1,MIN(60,COLUMN()-29))),0)</f>
        <v>64.521828</v>
      </c>
      <c r="DM270" s="237" t="n">
        <f aca="true">IFERROR(SUMPRODUCT(OFFSET($BJ$31,0,1-MIN(60,COLUMN()-29),1,MIN(60,COLUMN()-29)),OFFSET(DM269,0,-MIN(60,COLUMN()-29),1,MIN(60,COLUMN()-29))),0)</f>
        <v>67.44618216</v>
      </c>
      <c r="DN270" s="237" t="n">
        <f aca="true">IFERROR(SUMPRODUCT(OFFSET($BJ$31,0,1-MIN(60,COLUMN()-29),1,MIN(60,COLUMN()-29)),OFFSET(DN269,0,-MIN(60,COLUMN()-29),1,MIN(60,COLUMN()-29))),0)</f>
        <v>67.89156696</v>
      </c>
      <c r="DO270" s="237" t="n">
        <f aca="true">IFERROR(SUMPRODUCT(OFFSET($BJ$31,0,1-MIN(60,COLUMN()-29),1,MIN(60,COLUMN()-29)),OFFSET(DO269,0,-MIN(60,COLUMN()-29),1,MIN(60,COLUMN()-29))),0)</f>
        <v>68.03196792</v>
      </c>
      <c r="DP270" s="237" t="n">
        <f aca="true">IFERROR(SUMPRODUCT(OFFSET($BJ$31,0,1-MIN(60,COLUMN()-29),1,MIN(60,COLUMN()-29)),OFFSET(DP269,0,-MIN(60,COLUMN()-29),1,MIN(60,COLUMN()-29))),0)</f>
        <v>73.69807032</v>
      </c>
      <c r="DQ270" s="237" t="n">
        <f aca="true">IFERROR(SUMPRODUCT(OFFSET($BJ$31,0,1-MIN(60,COLUMN()-29),1,MIN(60,COLUMN()-29)),OFFSET(DQ269,0,-MIN(60,COLUMN()-29),1,MIN(60,COLUMN()-29))),0)</f>
        <v>94.29823032</v>
      </c>
      <c r="DR270" s="237" t="n">
        <f aca="true">IFERROR(SUMPRODUCT(OFFSET($BJ$31,0,1-MIN(60,COLUMN()-29),1,MIN(60,COLUMN()-29)),OFFSET(DR269,0,-MIN(60,COLUMN()-29),1,MIN(60,COLUMN()-29))),0)</f>
        <v>95.21805048</v>
      </c>
      <c r="DS270" s="237" t="n">
        <f aca="true">IFERROR(SUMPRODUCT(OFFSET($BJ$31,0,1-MIN(60,COLUMN()-29),1,MIN(60,COLUMN()-29)),OFFSET(DS269,0,-MIN(60,COLUMN()-29),1,MIN(60,COLUMN()-29))),0)</f>
        <v>93.93810552</v>
      </c>
      <c r="DT270" s="237" t="n">
        <f aca="true">IFERROR(SUMPRODUCT(OFFSET($BJ$31,0,1-MIN(60,COLUMN()-29),1,MIN(60,COLUMN()-29)),OFFSET(DT269,0,-MIN(60,COLUMN()-29),1,MIN(60,COLUMN()-29))),0)</f>
        <v>90.41159736</v>
      </c>
      <c r="DU270" s="237" t="n">
        <f aca="true">IFERROR(SUMPRODUCT(OFFSET($BJ$31,0,1-MIN(60,COLUMN()-29),1,MIN(60,COLUMN()-29)),OFFSET(DU269,0,-MIN(60,COLUMN()-29),1,MIN(60,COLUMN()-29))),0)</f>
        <v>105.2293788</v>
      </c>
      <c r="DV270" s="237" t="n">
        <f aca="true">IFERROR(SUMPRODUCT(OFFSET($BJ$31,0,1-MIN(60,COLUMN()-29),1,MIN(60,COLUMN()-29)),OFFSET(DV269,0,-MIN(60,COLUMN()-29),1,MIN(60,COLUMN()-29))),0)</f>
        <v>111.81196152</v>
      </c>
      <c r="DW270" s="237" t="n">
        <f aca="true">IFERROR(SUMPRODUCT(OFFSET($BJ$31,0,1-MIN(60,COLUMN()-29),1,MIN(60,COLUMN()-29)),OFFSET(DW269,0,-MIN(60,COLUMN()-29),1,MIN(60,COLUMN()-29))),0)</f>
        <v>112.048398</v>
      </c>
      <c r="DX270" s="237" t="n">
        <f aca="true">IFERROR(SUMPRODUCT(OFFSET($BJ$31,0,1-MIN(60,COLUMN()-29),1,MIN(60,COLUMN()-29)),OFFSET(DX269,0,-MIN(60,COLUMN()-29),1,MIN(60,COLUMN()-29))),0)</f>
        <v>127.23166008</v>
      </c>
      <c r="DY270" s="237" t="n">
        <f aca="true">IFERROR(SUMPRODUCT(OFFSET($BJ$31,0,1-MIN(60,COLUMN()-29),1,MIN(60,COLUMN()-29)),OFFSET(DY269,0,-MIN(60,COLUMN()-29),1,MIN(60,COLUMN()-29))),0)</f>
        <v>131.40743112</v>
      </c>
      <c r="DZ270" s="237" t="n">
        <f aca="true">IFERROR(SUMPRODUCT(OFFSET($BJ$31,0,1-MIN(60,COLUMN()-29),1,MIN(60,COLUMN()-29)),OFFSET(DZ269,0,-MIN(60,COLUMN()-29),1,MIN(60,COLUMN()-29))),0)</f>
        <v>133.16528232</v>
      </c>
      <c r="EA270" s="237" t="n">
        <f aca="true">IFERROR(SUMPRODUCT(OFFSET($BJ$31,0,1-MIN(60,COLUMN()-29),1,MIN(60,COLUMN()-29)),OFFSET(EA269,0,-MIN(60,COLUMN()-29),1,MIN(60,COLUMN()-29))),0)</f>
        <v>133.49375928</v>
      </c>
      <c r="EB270" s="237" t="n">
        <f aca="true">IFERROR(SUMPRODUCT(OFFSET($BJ$31,0,1-MIN(60,COLUMN()-29),1,MIN(60,COLUMN()-29)),OFFSET(EB269,0,-MIN(60,COLUMN()-29),1,MIN(60,COLUMN()-29))),0)</f>
        <v>142.808022</v>
      </c>
      <c r="EC270" s="237" t="n">
        <f aca="true">IFERROR(SUMPRODUCT(OFFSET($BJ$31,0,1-MIN(60,COLUMN()-29),1,MIN(60,COLUMN()-29)),OFFSET(EC269,0,-MIN(60,COLUMN()-29),1,MIN(60,COLUMN()-29))),0)</f>
        <v>168.014322</v>
      </c>
      <c r="ED270" s="237" t="n">
        <f aca="true">IFERROR(SUMPRODUCT(OFFSET($BJ$31,0,1-MIN(60,COLUMN()-29),1,MIN(60,COLUMN()-29)),OFFSET(ED269,0,-MIN(60,COLUMN()-29),1,MIN(60,COLUMN()-29))),0)</f>
        <v>168.15647016</v>
      </c>
      <c r="EE270" s="237" t="n">
        <f aca="true">IFERROR(SUMPRODUCT(OFFSET($BJ$31,0,1-MIN(60,COLUMN()-29),1,MIN(60,COLUMN()-29)),OFFSET(EE269,0,-MIN(60,COLUMN()-29),1,MIN(60,COLUMN()-29))),0)</f>
        <v>167.41530792</v>
      </c>
      <c r="EF270" s="237" t="n">
        <f aca="true">IFERROR(SUMPRODUCT(OFFSET($BJ$31,0,1-MIN(60,COLUMN()-29),1,MIN(60,COLUMN()-29)),OFFSET(EF269,0,-MIN(60,COLUMN()-29),1,MIN(60,COLUMN()-29))),0)</f>
        <v>163.9701252</v>
      </c>
      <c r="EG270" s="237" t="n">
        <f aca="true">IFERROR(SUMPRODUCT(OFFSET($BJ$31,0,1-MIN(60,COLUMN()-29),1,MIN(60,COLUMN()-29)),OFFSET(EG269,0,-MIN(60,COLUMN()-29),1,MIN(60,COLUMN()-29))),0)</f>
        <v>183.00295944</v>
      </c>
      <c r="EH270" s="237" t="n">
        <f aca="true">IFERROR(SUMPRODUCT(OFFSET($BJ$31,0,1-MIN(60,COLUMN()-29),1,MIN(60,COLUMN()-29)),OFFSET(EH269,0,-MIN(60,COLUMN()-29),1,MIN(60,COLUMN()-29))),0)</f>
        <v>190.80745992</v>
      </c>
      <c r="EI270" s="237" t="n">
        <f aca="true">IFERROR(SUMPRODUCT(OFFSET($BJ$31,0,1-MIN(60,COLUMN()-29),1,MIN(60,COLUMN()-29)),OFFSET(EI269,0,-MIN(60,COLUMN()-29),1,MIN(60,COLUMN()-29))),0)</f>
        <v>191.17848456</v>
      </c>
      <c r="EJ270" s="237" t="n">
        <f aca="true">IFERROR(SUMPRODUCT(OFFSET($BJ$31,0,1-MIN(60,COLUMN()-29),1,MIN(60,COLUMN()-29)),OFFSET(EJ269,0,-MIN(60,COLUMN()-29),1,MIN(60,COLUMN()-29))),0)</f>
        <v>207.9083412</v>
      </c>
      <c r="EK270" s="237" t="n">
        <f aca="true">IFERROR(SUMPRODUCT(OFFSET($BJ$31,0,1-MIN(60,COLUMN()-29),1,MIN(60,COLUMN()-29)),OFFSET(EK269,0,-MIN(60,COLUMN()-29),1,MIN(60,COLUMN()-29))),0)</f>
        <v>212.6357604</v>
      </c>
      <c r="EL270" s="237" t="n">
        <f aca="true">IFERROR(SUMPRODUCT(OFFSET($BJ$31,0,1-MIN(60,COLUMN()-29),1,MIN(60,COLUMN()-29)),OFFSET(EL269,0,-MIN(60,COLUMN()-29),1,MIN(60,COLUMN()-29))),0)</f>
        <v>214.3412964</v>
      </c>
      <c r="EM270" s="237" t="n">
        <f aca="true">IFERROR(SUMPRODUCT(OFFSET($BJ$31,0,1-MIN(60,COLUMN()-29),1,MIN(60,COLUMN()-29)),OFFSET(EM269,0,-MIN(60,COLUMN()-29),1,MIN(60,COLUMN()-29))),0)</f>
        <v>214.16512824</v>
      </c>
      <c r="EN270" s="237" t="n">
        <f aca="true">IFERROR(SUMPRODUCT(OFFSET($BJ$31,0,1-MIN(60,COLUMN()-29),1,MIN(60,COLUMN()-29)),OFFSET(EN269,0,-MIN(60,COLUMN()-29),1,MIN(60,COLUMN()-29))),0)</f>
        <v>223.95843288</v>
      </c>
      <c r="EO270" s="237" t="n">
        <f aca="true">IFERROR(SUMPRODUCT(OFFSET($BJ$31,0,1-MIN(60,COLUMN()-29),1,MIN(60,COLUMN()-29)),OFFSET(EO269,0,-MIN(60,COLUMN()-29),1,MIN(60,COLUMN()-29))),0)</f>
        <v>249.56709624</v>
      </c>
      <c r="EP270" s="237" t="n">
        <f aca="true">IFERROR(SUMPRODUCT(OFFSET($BJ$31,0,1-MIN(60,COLUMN()-29),1,MIN(60,COLUMN()-29)),OFFSET(EP269,0,-MIN(60,COLUMN()-29),1,MIN(60,COLUMN()-29))),0)</f>
        <v>248.90073768</v>
      </c>
      <c r="EQ270" s="237" t="n">
        <f aca="true">IFERROR(SUMPRODUCT(OFFSET($BJ$31,0,1-MIN(60,COLUMN()-29),1,MIN(60,COLUMN()-29)),OFFSET(EQ269,0,-MIN(60,COLUMN()-29),1,MIN(60,COLUMN()-29))),0)</f>
        <v>246.8962692</v>
      </c>
      <c r="ER270" s="237" t="n">
        <f aca="true">IFERROR(SUMPRODUCT(OFFSET($BJ$31,0,1-MIN(60,COLUMN()-29),1,MIN(60,COLUMN()-29)),OFFSET(ER269,0,-MIN(60,COLUMN()-29),1,MIN(60,COLUMN()-29))),0)</f>
        <v>242.72966088</v>
      </c>
      <c r="ES270" s="9" t="n">
        <f aca="true">IFERROR(SUMPRODUCT(OFFSET($BJ$31,0,1-MIN(60,COLUMN()-29),1,MIN(60,COLUMN()-29)),OFFSET(ES269,0,-MIN(60,COLUMN()-29),1,MIN(60,COLUMN()-29))),0)</f>
        <v>261.71022528</v>
      </c>
      <c r="ET270" s="9" t="n">
        <f aca="true">IFERROR(SUMPRODUCT(OFFSET($BJ$31,0,1-MIN(60,COLUMN()-29),1,MIN(60,COLUMN()-29)),OFFSET(ET269,0,-MIN(60,COLUMN()-29),1,MIN(60,COLUMN()-29))),0)</f>
        <v>268.1933688</v>
      </c>
      <c r="EU270" s="9" t="n">
        <f aca="true">IFERROR(SUMPRODUCT(OFFSET($BJ$31,0,1-MIN(60,COLUMN()-29),1,MIN(60,COLUMN()-29)),OFFSET(EU269,0,-MIN(60,COLUMN()-29),1,MIN(60,COLUMN()-29))),0)</f>
        <v>267.83244432</v>
      </c>
      <c r="EV270" s="9" t="n">
        <f aca="true">IFERROR(SUMPRODUCT(OFFSET($BJ$31,0,1-MIN(60,COLUMN()-29),1,MIN(60,COLUMN()-29)),OFFSET(EV269,0,-MIN(60,COLUMN()-29),1,MIN(60,COLUMN()-29))),0)</f>
        <v>283.50494928</v>
      </c>
      <c r="EW270" s="9" t="n">
        <f aca="true">IFERROR(SUMPRODUCT(OFFSET($BJ$31,0,1-MIN(60,COLUMN()-29),1,MIN(60,COLUMN()-29)),OFFSET(EW269,0,-MIN(60,COLUMN()-29),1,MIN(60,COLUMN()-29))),0)</f>
        <v>287.02128672</v>
      </c>
      <c r="EX270" s="9" t="n">
        <f aca="true">IFERROR(SUMPRODUCT(OFFSET($BJ$31,0,1-MIN(60,COLUMN()-29),1,MIN(60,COLUMN()-29)),OFFSET(EX269,0,-MIN(60,COLUMN()-29),1,MIN(60,COLUMN()-29))),0)</f>
        <v>287.64523872</v>
      </c>
      <c r="EY270" s="9" t="n">
        <f aca="true">IFERROR(SUMPRODUCT(OFFSET($BJ$31,0,1-MIN(60,COLUMN()-29),1,MIN(60,COLUMN()-29)),OFFSET(EY269,0,-MIN(60,COLUMN()-29),1,MIN(60,COLUMN()-29))),0)</f>
        <v>286.32576672</v>
      </c>
      <c r="EZ270" s="9" t="n">
        <f aca="true">IFERROR(SUMPRODUCT(OFFSET($BJ$31,0,1-MIN(60,COLUMN()-29),1,MIN(60,COLUMN()-29)),OFFSET(EZ269,0,-MIN(60,COLUMN()-29),1,MIN(60,COLUMN()-29))),0)</f>
        <v>295.12016352</v>
      </c>
      <c r="FA270" s="9" t="n">
        <f aca="true">IFERROR(SUMPRODUCT(OFFSET($BJ$31,0,1-MIN(60,COLUMN()-29),1,MIN(60,COLUMN()-29)),OFFSET(FA269,0,-MIN(60,COLUMN()-29),1,MIN(60,COLUMN()-29))),0)</f>
        <v>318.74778432</v>
      </c>
      <c r="FB270" s="9" t="n">
        <f aca="true">IFERROR(SUMPRODUCT(OFFSET($BJ$31,0,1-MIN(60,COLUMN()-29),1,MIN(60,COLUMN()-29)),OFFSET(FB269,0,-MIN(60,COLUMN()-29),1,MIN(60,COLUMN()-29))),0)</f>
        <v>315.54022752</v>
      </c>
      <c r="FC270" s="9" t="n">
        <f aca="true">IFERROR(SUMPRODUCT(OFFSET($BJ$31,0,1-MIN(60,COLUMN()-29),1,MIN(60,COLUMN()-29)),OFFSET(FC269,0,-MIN(60,COLUMN()-29),1,MIN(60,COLUMN()-29))),0)</f>
        <v>311.19211872</v>
      </c>
      <c r="FD270" s="9" t="n">
        <f aca="true">IFERROR(SUMPRODUCT(OFFSET($BJ$31,0,1-MIN(60,COLUMN()-29),1,MIN(60,COLUMN()-29)),OFFSET(FD269,0,-MIN(60,COLUMN()-29),1,MIN(60,COLUMN()-29))),0)</f>
        <v>305.30680992</v>
      </c>
      <c r="FE270" s="9" t="n">
        <f aca="true">IFERROR(SUMPRODUCT(OFFSET($BJ$31,0,1-MIN(60,COLUMN()-29),1,MIN(60,COLUMN()-29)),OFFSET(FE269,0,-MIN(60,COLUMN()-29),1,MIN(60,COLUMN()-29))),0)</f>
        <v>321.86446992</v>
      </c>
      <c r="FF270" s="9" t="n">
        <f aca="true">IFERROR(SUMPRODUCT(OFFSET($BJ$31,0,1-MIN(60,COLUMN()-29),1,MIN(60,COLUMN()-29)),OFFSET(FF269,0,-MIN(60,COLUMN()-29),1,MIN(60,COLUMN()-29))),0)</f>
        <v>325.73004912</v>
      </c>
      <c r="FG270" s="9" t="n">
        <f aca="true">IFERROR(SUMPRODUCT(OFFSET($BJ$31,0,1-MIN(60,COLUMN()-29),1,MIN(60,COLUMN()-29)),OFFSET(FG269,0,-MIN(60,COLUMN()-29),1,MIN(60,COLUMN()-29))),0)</f>
        <v>323.29557792</v>
      </c>
      <c r="FH270" s="9" t="n">
        <f aca="true">IFERROR(SUMPRODUCT(OFFSET($BJ$31,0,1-MIN(60,COLUMN()-29),1,MIN(60,COLUMN()-29)),OFFSET(FH269,0,-MIN(60,COLUMN()-29),1,MIN(60,COLUMN()-29))),0)</f>
        <v>335.81322432</v>
      </c>
      <c r="FI270" s="9" t="n">
        <f aca="true">IFERROR(SUMPRODUCT(OFFSET($BJ$31,0,1-MIN(60,COLUMN()-29),1,MIN(60,COLUMN()-29)),OFFSET(FI269,0,-MIN(60,COLUMN()-29),1,MIN(60,COLUMN()-29))),0)</f>
        <v>336.24943632</v>
      </c>
      <c r="FJ270" s="9" t="n">
        <f aca="true">IFERROR(SUMPRODUCT(OFFSET($BJ$31,0,1-MIN(60,COLUMN()-29),1,MIN(60,COLUMN()-29)),OFFSET(FJ269,0,-MIN(60,COLUMN()-29),1,MIN(60,COLUMN()-29))),0)</f>
        <v>334.18636272</v>
      </c>
      <c r="FK270" s="9" t="n">
        <f aca="true">IFERROR(SUMPRODUCT(OFFSET($BJ$31,0,1-MIN(60,COLUMN()-29),1,MIN(60,COLUMN()-29)),OFFSET(FK269,0,-MIN(60,COLUMN()-29),1,MIN(60,COLUMN()-29))),0)</f>
        <v>331.01821872</v>
      </c>
      <c r="FL270" s="9" t="n">
        <f aca="true">IFERROR(SUMPRODUCT(OFFSET($BJ$31,0,1-MIN(60,COLUMN()-29),1,MIN(60,COLUMN()-29)),OFFSET(FL269,0,-MIN(60,COLUMN()-29),1,MIN(60,COLUMN()-29))),0)</f>
        <v>337.89479472</v>
      </c>
      <c r="FM270" s="9" t="n">
        <f aca="true">IFERROR(SUMPRODUCT(OFFSET($BJ$31,0,1-MIN(60,COLUMN()-29),1,MIN(60,COLUMN()-29)),OFFSET(FM269,0,-MIN(60,COLUMN()-29),1,MIN(60,COLUMN()-29))),0)</f>
        <v>358.25891472</v>
      </c>
      <c r="FN270" s="9" t="n">
        <f aca="true">IFERROR(SUMPRODUCT(OFFSET($BJ$31,0,1-MIN(60,COLUMN()-29),1,MIN(60,COLUMN()-29)),OFFSET(FN269,0,-MIN(60,COLUMN()-29),1,MIN(60,COLUMN()-29))),0)</f>
        <v>352.42573968</v>
      </c>
      <c r="FO270" s="9" t="n">
        <f aca="true">IFERROR(SUMPRODUCT(OFFSET($BJ$31,0,1-MIN(60,COLUMN()-29),1,MIN(60,COLUMN()-29)),OFFSET(FO269,0,-MIN(60,COLUMN()-29),1,MIN(60,COLUMN()-29))),0)</f>
        <v>345.872772</v>
      </c>
      <c r="FP270" s="9" t="n">
        <f aca="true">IFERROR(SUMPRODUCT(OFFSET($BJ$31,0,1-MIN(60,COLUMN()-29),1,MIN(60,COLUMN()-29)),OFFSET(FP269,0,-MIN(60,COLUMN()-29),1,MIN(60,COLUMN()-29))),0)</f>
        <v>338.42417616</v>
      </c>
    </row>
    <row r="271" customFormat="false" ht="15" hidden="false" customHeight="false" outlineLevel="2" collapsed="false">
      <c r="B271" s="47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237"/>
      <c r="AD271" s="237"/>
      <c r="AE271" s="237"/>
      <c r="AF271" s="237"/>
      <c r="AG271" s="237"/>
      <c r="AH271" s="237"/>
      <c r="AI271" s="237"/>
      <c r="AJ271" s="237"/>
      <c r="AK271" s="237"/>
      <c r="AL271" s="237"/>
      <c r="AM271" s="237"/>
      <c r="AN271" s="237"/>
      <c r="AO271" s="237"/>
      <c r="AP271" s="237"/>
      <c r="AQ271" s="237"/>
      <c r="AR271" s="237"/>
      <c r="AS271" s="237"/>
      <c r="AT271" s="237"/>
      <c r="AU271" s="237"/>
      <c r="AV271" s="237"/>
      <c r="AW271" s="237"/>
      <c r="AX271" s="237"/>
      <c r="AY271" s="237"/>
      <c r="AZ271" s="237"/>
      <c r="BA271" s="237"/>
      <c r="BB271" s="237"/>
      <c r="BC271" s="237"/>
      <c r="BD271" s="237"/>
      <c r="BE271" s="237"/>
      <c r="BF271" s="237"/>
      <c r="BG271" s="237"/>
      <c r="BH271" s="237"/>
      <c r="BI271" s="237"/>
      <c r="BJ271" s="237"/>
      <c r="BK271" s="237"/>
      <c r="BL271" s="237"/>
      <c r="BM271" s="237"/>
      <c r="BN271" s="237"/>
      <c r="BO271" s="237"/>
      <c r="BP271" s="237"/>
      <c r="BQ271" s="237"/>
      <c r="BR271" s="237"/>
      <c r="BS271" s="237"/>
      <c r="BT271" s="237"/>
      <c r="BU271" s="237"/>
      <c r="BV271" s="237"/>
      <c r="BW271" s="237"/>
      <c r="BX271" s="237"/>
      <c r="BY271" s="237"/>
      <c r="BZ271" s="237"/>
      <c r="CA271" s="237"/>
      <c r="CB271" s="237"/>
      <c r="CC271" s="237"/>
      <c r="CD271" s="237"/>
      <c r="CE271" s="237"/>
      <c r="CF271" s="237"/>
      <c r="CG271" s="237"/>
      <c r="CH271" s="237"/>
      <c r="CI271" s="237"/>
      <c r="CJ271" s="237"/>
      <c r="CK271" s="237"/>
      <c r="CL271" s="237"/>
      <c r="CM271" s="237"/>
      <c r="CN271" s="237"/>
      <c r="CO271" s="237"/>
      <c r="CP271" s="237"/>
      <c r="CQ271" s="237"/>
      <c r="CR271" s="237"/>
      <c r="CS271" s="237"/>
      <c r="CT271" s="237"/>
      <c r="CU271" s="237"/>
      <c r="CV271" s="237"/>
      <c r="CW271" s="237"/>
      <c r="CX271" s="237"/>
      <c r="CY271" s="237"/>
      <c r="CZ271" s="237"/>
      <c r="DA271" s="237"/>
      <c r="DB271" s="237"/>
      <c r="DC271" s="237"/>
      <c r="DD271" s="237"/>
      <c r="DE271" s="237"/>
      <c r="DF271" s="237"/>
      <c r="DG271" s="237"/>
      <c r="DH271" s="237"/>
      <c r="DI271" s="237"/>
      <c r="DJ271" s="237"/>
      <c r="DK271" s="237"/>
      <c r="DL271" s="237"/>
      <c r="DM271" s="237"/>
      <c r="DN271" s="237"/>
      <c r="DO271" s="237"/>
      <c r="DP271" s="237"/>
      <c r="DQ271" s="237"/>
      <c r="DR271" s="237"/>
      <c r="DS271" s="237"/>
      <c r="DT271" s="237"/>
      <c r="DU271" s="237"/>
      <c r="DV271" s="237"/>
      <c r="DW271" s="237"/>
      <c r="DX271" s="237"/>
      <c r="DY271" s="237"/>
      <c r="DZ271" s="237"/>
      <c r="EA271" s="237"/>
      <c r="EB271" s="237"/>
      <c r="EC271" s="237"/>
      <c r="ED271" s="237"/>
      <c r="EE271" s="237"/>
      <c r="EF271" s="237"/>
      <c r="EG271" s="237"/>
      <c r="EH271" s="237"/>
      <c r="EI271" s="237"/>
      <c r="EJ271" s="237"/>
      <c r="EK271" s="237"/>
      <c r="EL271" s="237"/>
      <c r="EM271" s="237"/>
      <c r="EN271" s="237"/>
      <c r="EO271" s="237"/>
      <c r="EP271" s="237"/>
      <c r="EQ271" s="237"/>
      <c r="ER271" s="237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</row>
    <row r="272" customFormat="false" ht="15" hidden="false" customHeight="false" outlineLevel="2" collapsed="false">
      <c r="B272" s="47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237"/>
      <c r="AD272" s="237"/>
      <c r="AE272" s="237"/>
      <c r="AF272" s="237"/>
      <c r="AG272" s="237"/>
      <c r="AH272" s="237"/>
      <c r="AI272" s="237"/>
      <c r="AJ272" s="237"/>
      <c r="AK272" s="237"/>
      <c r="AL272" s="237"/>
      <c r="AM272" s="237"/>
      <c r="AN272" s="237"/>
      <c r="AO272" s="237"/>
      <c r="AP272" s="237"/>
      <c r="AQ272" s="237"/>
      <c r="AR272" s="237"/>
      <c r="AS272" s="237"/>
      <c r="AT272" s="237"/>
      <c r="AU272" s="237"/>
      <c r="AV272" s="237"/>
      <c r="AW272" s="237"/>
      <c r="AX272" s="237"/>
      <c r="AY272" s="237"/>
      <c r="AZ272" s="237"/>
      <c r="BA272" s="237"/>
      <c r="BB272" s="237"/>
      <c r="BC272" s="237"/>
      <c r="BD272" s="237"/>
      <c r="BE272" s="237"/>
      <c r="BF272" s="237"/>
      <c r="BG272" s="237"/>
      <c r="BH272" s="237"/>
      <c r="BI272" s="237"/>
      <c r="BJ272" s="237"/>
      <c r="BK272" s="237"/>
      <c r="BL272" s="237"/>
      <c r="BM272" s="237"/>
      <c r="BN272" s="237"/>
      <c r="BO272" s="237"/>
      <c r="BP272" s="237"/>
      <c r="BQ272" s="237"/>
      <c r="BR272" s="237"/>
      <c r="BS272" s="237"/>
      <c r="BT272" s="237"/>
      <c r="BU272" s="237"/>
      <c r="BV272" s="237"/>
      <c r="BW272" s="237"/>
      <c r="BX272" s="237"/>
      <c r="BY272" s="237"/>
      <c r="BZ272" s="237"/>
      <c r="CA272" s="237"/>
      <c r="CB272" s="237"/>
      <c r="CC272" s="237"/>
      <c r="CD272" s="237"/>
      <c r="CE272" s="237"/>
      <c r="CF272" s="237"/>
      <c r="CG272" s="237"/>
      <c r="CH272" s="237"/>
      <c r="CI272" s="237"/>
      <c r="CJ272" s="237"/>
      <c r="CK272" s="237"/>
      <c r="CL272" s="237"/>
      <c r="CM272" s="237"/>
      <c r="CN272" s="237"/>
      <c r="CO272" s="237"/>
      <c r="CP272" s="237"/>
      <c r="CQ272" s="237"/>
      <c r="CR272" s="237"/>
      <c r="CS272" s="237"/>
      <c r="CT272" s="237"/>
      <c r="CU272" s="237"/>
      <c r="CV272" s="237"/>
      <c r="CW272" s="237"/>
      <c r="CX272" s="237"/>
      <c r="CY272" s="237"/>
      <c r="CZ272" s="237"/>
      <c r="DA272" s="237"/>
      <c r="DB272" s="237"/>
      <c r="DC272" s="237"/>
      <c r="DD272" s="237"/>
      <c r="DE272" s="237"/>
      <c r="DF272" s="237"/>
      <c r="DG272" s="237"/>
      <c r="DH272" s="237"/>
      <c r="DI272" s="237"/>
      <c r="DJ272" s="237"/>
      <c r="DK272" s="237"/>
      <c r="DL272" s="237"/>
      <c r="DM272" s="237"/>
      <c r="DN272" s="237"/>
      <c r="DO272" s="237"/>
      <c r="DP272" s="237"/>
      <c r="DQ272" s="237"/>
      <c r="DR272" s="237"/>
      <c r="DS272" s="237"/>
      <c r="DT272" s="237"/>
      <c r="DU272" s="237"/>
      <c r="DV272" s="237"/>
      <c r="DW272" s="237"/>
      <c r="DX272" s="237"/>
      <c r="DY272" s="237"/>
      <c r="DZ272" s="237"/>
      <c r="EA272" s="237"/>
      <c r="EB272" s="237"/>
      <c r="EC272" s="237"/>
      <c r="ED272" s="237"/>
      <c r="EE272" s="237"/>
      <c r="EF272" s="237"/>
      <c r="EG272" s="237"/>
      <c r="EH272" s="237"/>
      <c r="EI272" s="237"/>
      <c r="EJ272" s="237"/>
      <c r="EK272" s="237"/>
      <c r="EL272" s="237"/>
      <c r="EM272" s="237"/>
      <c r="EN272" s="237"/>
      <c r="EO272" s="237"/>
      <c r="EP272" s="237"/>
      <c r="EQ272" s="237"/>
      <c r="ER272" s="237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</row>
    <row r="273" customFormat="false" ht="15" hidden="false" customHeight="false" outlineLevel="2" collapsed="false">
      <c r="B273" s="47" t="s">
        <v>900</v>
      </c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237"/>
      <c r="AD273" s="237"/>
      <c r="AE273" s="237"/>
      <c r="AF273" s="237"/>
      <c r="AG273" s="237"/>
      <c r="AH273" s="237"/>
      <c r="AI273" s="237"/>
      <c r="AJ273" s="237"/>
      <c r="AK273" s="237"/>
      <c r="AL273" s="237"/>
      <c r="AM273" s="237"/>
      <c r="AN273" s="237"/>
      <c r="AO273" s="237"/>
      <c r="AP273" s="237"/>
      <c r="AQ273" s="237"/>
      <c r="AR273" s="237"/>
      <c r="AS273" s="237"/>
      <c r="AT273" s="237"/>
      <c r="AU273" s="237"/>
      <c r="AV273" s="237"/>
      <c r="AW273" s="237"/>
      <c r="AX273" s="237"/>
      <c r="AY273" s="237"/>
      <c r="AZ273" s="237"/>
      <c r="BA273" s="237"/>
      <c r="BB273" s="237"/>
      <c r="BC273" s="237"/>
      <c r="BD273" s="237"/>
      <c r="BE273" s="237"/>
      <c r="BF273" s="237"/>
      <c r="BG273" s="237"/>
      <c r="BH273" s="237"/>
      <c r="BI273" s="237"/>
      <c r="BJ273" s="237"/>
      <c r="BK273" s="237"/>
      <c r="BL273" s="237"/>
      <c r="BM273" s="237"/>
      <c r="BN273" s="237"/>
      <c r="BO273" s="237"/>
      <c r="BP273" s="237"/>
      <c r="BQ273" s="237"/>
      <c r="BR273" s="237"/>
      <c r="BS273" s="237"/>
      <c r="BT273" s="237"/>
      <c r="BU273" s="237"/>
      <c r="BV273" s="237"/>
      <c r="BW273" s="237"/>
      <c r="BX273" s="237"/>
      <c r="BY273" s="237"/>
      <c r="BZ273" s="237"/>
      <c r="CA273" s="237"/>
      <c r="CB273" s="237"/>
      <c r="CC273" s="237"/>
      <c r="CD273" s="237"/>
      <c r="CE273" s="237"/>
      <c r="CF273" s="237"/>
      <c r="CG273" s="237"/>
      <c r="CH273" s="237"/>
      <c r="CI273" s="237"/>
      <c r="CJ273" s="237"/>
      <c r="CK273" s="237"/>
      <c r="CL273" s="237"/>
      <c r="CM273" s="237"/>
      <c r="CN273" s="237"/>
      <c r="CO273" s="237"/>
      <c r="CP273" s="237"/>
      <c r="CQ273" s="237"/>
      <c r="CR273" s="237"/>
      <c r="CS273" s="237"/>
      <c r="CT273" s="237"/>
      <c r="CU273" s="237"/>
      <c r="CV273" s="237"/>
      <c r="CW273" s="237"/>
      <c r="CX273" s="237"/>
      <c r="CY273" s="237"/>
      <c r="CZ273" s="237"/>
      <c r="DA273" s="237"/>
      <c r="DB273" s="237"/>
      <c r="DC273" s="237"/>
      <c r="DD273" s="237"/>
      <c r="DE273" s="237"/>
      <c r="DF273" s="237"/>
      <c r="DG273" s="237"/>
      <c r="DH273" s="237"/>
      <c r="DI273" s="237"/>
      <c r="DJ273" s="237"/>
      <c r="DK273" s="237"/>
      <c r="DL273" s="237"/>
      <c r="DM273" s="237"/>
      <c r="DN273" s="237"/>
      <c r="DO273" s="237"/>
      <c r="DP273" s="237"/>
      <c r="DQ273" s="237"/>
      <c r="DR273" s="237"/>
      <c r="DS273" s="237"/>
      <c r="DT273" s="237"/>
      <c r="DU273" s="237"/>
      <c r="DV273" s="237"/>
      <c r="DW273" s="237"/>
      <c r="DX273" s="237"/>
      <c r="DY273" s="237"/>
      <c r="DZ273" s="237"/>
      <c r="EA273" s="237"/>
      <c r="EB273" s="237"/>
      <c r="EC273" s="237"/>
      <c r="ED273" s="237"/>
      <c r="EE273" s="237"/>
      <c r="EF273" s="237"/>
      <c r="EG273" s="237"/>
      <c r="EH273" s="237"/>
      <c r="EI273" s="237"/>
      <c r="EJ273" s="237"/>
      <c r="EK273" s="237"/>
      <c r="EL273" s="237"/>
      <c r="EM273" s="237"/>
      <c r="EN273" s="237"/>
      <c r="EO273" s="237"/>
      <c r="EP273" s="237"/>
      <c r="EQ273" s="237"/>
      <c r="ER273" s="237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</row>
    <row r="274" customFormat="false" ht="15" hidden="false" customHeight="false" outlineLevel="2" collapsed="false">
      <c r="B274" s="47" t="s">
        <v>872</v>
      </c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237" t="n">
        <f aca="false">('⑫ Roll-out Plan'!G32-2025)*12+'⑫ Roll-out Plan'!F32</f>
        <v>45</v>
      </c>
      <c r="AD274" s="237"/>
      <c r="AE274" s="237"/>
      <c r="AF274" s="237"/>
      <c r="AG274" s="237"/>
      <c r="AH274" s="237"/>
      <c r="AI274" s="237"/>
      <c r="AJ274" s="237"/>
      <c r="AK274" s="237"/>
      <c r="AL274" s="237"/>
      <c r="AM274" s="237"/>
      <c r="AN274" s="237"/>
      <c r="AO274" s="237"/>
      <c r="AP274" s="237"/>
      <c r="AQ274" s="237"/>
      <c r="AR274" s="237"/>
      <c r="AS274" s="237"/>
      <c r="AT274" s="237"/>
      <c r="AU274" s="237"/>
      <c r="AV274" s="237"/>
      <c r="AW274" s="237"/>
      <c r="AX274" s="237"/>
      <c r="AY274" s="237"/>
      <c r="AZ274" s="237"/>
      <c r="BA274" s="237"/>
      <c r="BB274" s="237"/>
      <c r="BC274" s="237"/>
      <c r="BD274" s="237"/>
      <c r="BE274" s="237"/>
      <c r="BF274" s="237"/>
      <c r="BG274" s="237"/>
      <c r="BH274" s="237"/>
      <c r="BI274" s="237"/>
      <c r="BJ274" s="237"/>
      <c r="BK274" s="237"/>
      <c r="BL274" s="237"/>
      <c r="BM274" s="237"/>
      <c r="BN274" s="237"/>
      <c r="BO274" s="237"/>
      <c r="BP274" s="237"/>
      <c r="BQ274" s="237"/>
      <c r="BR274" s="237"/>
      <c r="BS274" s="237"/>
      <c r="BT274" s="237"/>
      <c r="BU274" s="237"/>
      <c r="BV274" s="237"/>
      <c r="BW274" s="237"/>
      <c r="BX274" s="237"/>
      <c r="BY274" s="237"/>
      <c r="BZ274" s="237"/>
      <c r="CA274" s="237"/>
      <c r="CB274" s="237"/>
      <c r="CC274" s="237"/>
      <c r="CD274" s="237"/>
      <c r="CE274" s="237"/>
      <c r="CF274" s="237"/>
      <c r="CG274" s="237"/>
      <c r="CH274" s="237"/>
      <c r="CI274" s="237"/>
      <c r="CJ274" s="237"/>
      <c r="CK274" s="237"/>
      <c r="CL274" s="237"/>
      <c r="CM274" s="237"/>
      <c r="CN274" s="237"/>
      <c r="CO274" s="237"/>
      <c r="CP274" s="237"/>
      <c r="CQ274" s="237"/>
      <c r="CR274" s="237"/>
      <c r="CS274" s="237"/>
      <c r="CT274" s="237"/>
      <c r="CU274" s="237"/>
      <c r="CV274" s="237"/>
      <c r="CW274" s="237"/>
      <c r="CX274" s="237"/>
      <c r="CY274" s="237"/>
      <c r="CZ274" s="237"/>
      <c r="DA274" s="237"/>
      <c r="DB274" s="237"/>
      <c r="DC274" s="237"/>
      <c r="DD274" s="237"/>
      <c r="DE274" s="237"/>
      <c r="DF274" s="237"/>
      <c r="DG274" s="237"/>
      <c r="DH274" s="237"/>
      <c r="DI274" s="237"/>
      <c r="DJ274" s="237"/>
      <c r="DK274" s="237"/>
      <c r="DL274" s="237"/>
      <c r="DM274" s="237"/>
      <c r="DN274" s="237"/>
      <c r="DO274" s="237"/>
      <c r="DP274" s="237"/>
      <c r="DQ274" s="237"/>
      <c r="DR274" s="237"/>
      <c r="DS274" s="237"/>
      <c r="DT274" s="237"/>
      <c r="DU274" s="237"/>
      <c r="DV274" s="237"/>
      <c r="DW274" s="237"/>
      <c r="DX274" s="237"/>
      <c r="DY274" s="237"/>
      <c r="DZ274" s="237"/>
      <c r="EA274" s="237"/>
      <c r="EB274" s="237"/>
      <c r="EC274" s="237"/>
      <c r="ED274" s="237"/>
      <c r="EE274" s="237"/>
      <c r="EF274" s="237"/>
      <c r="EG274" s="237"/>
      <c r="EH274" s="237"/>
      <c r="EI274" s="237"/>
      <c r="EJ274" s="237"/>
      <c r="EK274" s="237"/>
      <c r="EL274" s="237"/>
      <c r="EM274" s="237"/>
      <c r="EN274" s="237"/>
      <c r="EO274" s="237"/>
      <c r="EP274" s="237"/>
      <c r="EQ274" s="237"/>
      <c r="ER274" s="237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</row>
    <row r="275" customFormat="false" ht="15" hidden="false" customHeight="false" outlineLevel="2" collapsed="false">
      <c r="B275" s="47" t="s">
        <v>873</v>
      </c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237" t="n">
        <f aca="false">VLOOKUP("A",$B$14:$C$18,2,FALSE())</f>
        <v>210</v>
      </c>
      <c r="AD275" s="237"/>
      <c r="AE275" s="237"/>
      <c r="AF275" s="237"/>
      <c r="AG275" s="237"/>
      <c r="AH275" s="237"/>
      <c r="AI275" s="237"/>
      <c r="AJ275" s="237"/>
      <c r="AK275" s="237"/>
      <c r="AL275" s="237"/>
      <c r="AM275" s="237"/>
      <c r="AN275" s="237"/>
      <c r="AO275" s="237"/>
      <c r="AP275" s="237"/>
      <c r="AQ275" s="237"/>
      <c r="AR275" s="237"/>
      <c r="AS275" s="237"/>
      <c r="AT275" s="237"/>
      <c r="AU275" s="237"/>
      <c r="AV275" s="237"/>
      <c r="AW275" s="237"/>
      <c r="AX275" s="237"/>
      <c r="AY275" s="237"/>
      <c r="AZ275" s="237"/>
      <c r="BA275" s="237"/>
      <c r="BB275" s="237"/>
      <c r="BC275" s="237"/>
      <c r="BD275" s="237"/>
      <c r="BE275" s="237"/>
      <c r="BF275" s="237"/>
      <c r="BG275" s="237"/>
      <c r="BH275" s="237"/>
      <c r="BI275" s="237"/>
      <c r="BJ275" s="237"/>
      <c r="BK275" s="237"/>
      <c r="BL275" s="237"/>
      <c r="BM275" s="237"/>
      <c r="BN275" s="237"/>
      <c r="BO275" s="237"/>
      <c r="BP275" s="237"/>
      <c r="BQ275" s="237"/>
      <c r="BR275" s="237"/>
      <c r="BS275" s="237"/>
      <c r="BT275" s="237"/>
      <c r="BU275" s="237"/>
      <c r="BV275" s="237"/>
      <c r="BW275" s="237"/>
      <c r="BX275" s="237"/>
      <c r="BY275" s="237"/>
      <c r="BZ275" s="237"/>
      <c r="CA275" s="237"/>
      <c r="CB275" s="237"/>
      <c r="CC275" s="237"/>
      <c r="CD275" s="237"/>
      <c r="CE275" s="237"/>
      <c r="CF275" s="237"/>
      <c r="CG275" s="237"/>
      <c r="CH275" s="237"/>
      <c r="CI275" s="237"/>
      <c r="CJ275" s="237"/>
      <c r="CK275" s="237"/>
      <c r="CL275" s="237"/>
      <c r="CM275" s="237"/>
      <c r="CN275" s="237"/>
      <c r="CO275" s="237"/>
      <c r="CP275" s="237"/>
      <c r="CQ275" s="237"/>
      <c r="CR275" s="237"/>
      <c r="CS275" s="237"/>
      <c r="CT275" s="237"/>
      <c r="CU275" s="237"/>
      <c r="CV275" s="237"/>
      <c r="CW275" s="237"/>
      <c r="CX275" s="237"/>
      <c r="CY275" s="237"/>
      <c r="CZ275" s="237"/>
      <c r="DA275" s="237"/>
      <c r="DB275" s="237"/>
      <c r="DC275" s="237"/>
      <c r="DD275" s="237"/>
      <c r="DE275" s="237"/>
      <c r="DF275" s="237"/>
      <c r="DG275" s="237"/>
      <c r="DH275" s="237"/>
      <c r="DI275" s="237"/>
      <c r="DJ275" s="237"/>
      <c r="DK275" s="237"/>
      <c r="DL275" s="237"/>
      <c r="DM275" s="237"/>
      <c r="DN275" s="237"/>
      <c r="DO275" s="237"/>
      <c r="DP275" s="237"/>
      <c r="DQ275" s="237"/>
      <c r="DR275" s="237"/>
      <c r="DS275" s="237"/>
      <c r="DT275" s="237"/>
      <c r="DU275" s="237"/>
      <c r="DV275" s="237"/>
      <c r="DW275" s="237"/>
      <c r="DX275" s="237"/>
      <c r="DY275" s="237"/>
      <c r="DZ275" s="237"/>
      <c r="EA275" s="237"/>
      <c r="EB275" s="237"/>
      <c r="EC275" s="237"/>
      <c r="ED275" s="237"/>
      <c r="EE275" s="237"/>
      <c r="EF275" s="237"/>
      <c r="EG275" s="237"/>
      <c r="EH275" s="237"/>
      <c r="EI275" s="237"/>
      <c r="EJ275" s="237"/>
      <c r="EK275" s="237"/>
      <c r="EL275" s="237"/>
      <c r="EM275" s="237"/>
      <c r="EN275" s="237"/>
      <c r="EO275" s="237"/>
      <c r="EP275" s="237"/>
      <c r="EQ275" s="237"/>
      <c r="ER275" s="237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</row>
    <row r="276" customFormat="false" ht="15" hidden="false" customHeight="false" outlineLevel="2" collapsed="false">
      <c r="B276" s="47" t="s">
        <v>799</v>
      </c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237" t="n">
        <f aca="false">IF(AC$35&gt;=$AC$274,AC$35-$AC$274+1,0)</f>
        <v>0</v>
      </c>
      <c r="AD276" s="237" t="n">
        <f aca="false">IF(AD$35&gt;=$AC$274,AD$35-$AC$274+1,0)</f>
        <v>0</v>
      </c>
      <c r="AE276" s="237" t="n">
        <f aca="false">IF(AE$35&gt;=$AC$274,AE$35-$AC$274+1,0)</f>
        <v>0</v>
      </c>
      <c r="AF276" s="237" t="n">
        <f aca="false">IF(AF$35&gt;=$AC$274,AF$35-$AC$274+1,0)</f>
        <v>0</v>
      </c>
      <c r="AG276" s="237" t="n">
        <f aca="false">IF(AG$35&gt;=$AC$274,AG$35-$AC$274+1,0)</f>
        <v>0</v>
      </c>
      <c r="AH276" s="237" t="n">
        <f aca="false">IF(AH$35&gt;=$AC$274,AH$35-$AC$274+1,0)</f>
        <v>0</v>
      </c>
      <c r="AI276" s="237" t="n">
        <f aca="false">IF(AI$35&gt;=$AC$274,AI$35-$AC$274+1,0)</f>
        <v>0</v>
      </c>
      <c r="AJ276" s="237" t="n">
        <f aca="false">IF(AJ$35&gt;=$AC$274,AJ$35-$AC$274+1,0)</f>
        <v>0</v>
      </c>
      <c r="AK276" s="237" t="n">
        <f aca="false">IF(AK$35&gt;=$AC$274,AK$35-$AC$274+1,0)</f>
        <v>0</v>
      </c>
      <c r="AL276" s="237" t="n">
        <f aca="false">IF(AL$35&gt;=$AC$274,AL$35-$AC$274+1,0)</f>
        <v>0</v>
      </c>
      <c r="AM276" s="237" t="n">
        <f aca="false">IF(AM$35&gt;=$AC$274,AM$35-$AC$274+1,0)</f>
        <v>0</v>
      </c>
      <c r="AN276" s="237" t="n">
        <f aca="false">IF(AN$35&gt;=$AC$274,AN$35-$AC$274+1,0)</f>
        <v>0</v>
      </c>
      <c r="AO276" s="237" t="n">
        <f aca="false">IF(AO$35&gt;=$AC$274,AO$35-$AC$274+1,0)</f>
        <v>0</v>
      </c>
      <c r="AP276" s="237" t="n">
        <f aca="false">IF(AP$35&gt;=$AC$274,AP$35-$AC$274+1,0)</f>
        <v>0</v>
      </c>
      <c r="AQ276" s="237" t="n">
        <f aca="false">IF(AQ$35&gt;=$AC$274,AQ$35-$AC$274+1,0)</f>
        <v>0</v>
      </c>
      <c r="AR276" s="237" t="n">
        <f aca="false">IF(AR$35&gt;=$AC$274,AR$35-$AC$274+1,0)</f>
        <v>0</v>
      </c>
      <c r="AS276" s="237" t="n">
        <f aca="false">IF(AS$35&gt;=$AC$274,AS$35-$AC$274+1,0)</f>
        <v>0</v>
      </c>
      <c r="AT276" s="237" t="n">
        <f aca="false">IF(AT$35&gt;=$AC$274,AT$35-$AC$274+1,0)</f>
        <v>0</v>
      </c>
      <c r="AU276" s="237" t="n">
        <f aca="false">IF(AU$35&gt;=$AC$274,AU$35-$AC$274+1,0)</f>
        <v>0</v>
      </c>
      <c r="AV276" s="237" t="n">
        <f aca="false">IF(AV$35&gt;=$AC$274,AV$35-$AC$274+1,0)</f>
        <v>0</v>
      </c>
      <c r="AW276" s="237" t="n">
        <f aca="false">IF(AW$35&gt;=$AC$274,AW$35-$AC$274+1,0)</f>
        <v>0</v>
      </c>
      <c r="AX276" s="237" t="n">
        <f aca="false">IF(AX$35&gt;=$AC$274,AX$35-$AC$274+1,0)</f>
        <v>0</v>
      </c>
      <c r="AY276" s="237" t="n">
        <f aca="false">IF(AY$35&gt;=$AC$274,AY$35-$AC$274+1,0)</f>
        <v>0</v>
      </c>
      <c r="AZ276" s="237" t="n">
        <f aca="false">IF(AZ$35&gt;=$AC$274,AZ$35-$AC$274+1,0)</f>
        <v>0</v>
      </c>
      <c r="BA276" s="237" t="n">
        <f aca="false">IF(BA$35&gt;=$AC$274,BA$35-$AC$274+1,0)</f>
        <v>0</v>
      </c>
      <c r="BB276" s="237" t="n">
        <f aca="false">IF(BB$35&gt;=$AC$274,BB$35-$AC$274+1,0)</f>
        <v>0</v>
      </c>
      <c r="BC276" s="237" t="n">
        <f aca="false">IF(BC$35&gt;=$AC$274,BC$35-$AC$274+1,0)</f>
        <v>0</v>
      </c>
      <c r="BD276" s="237" t="n">
        <f aca="false">IF(BD$35&gt;=$AC$274,BD$35-$AC$274+1,0)</f>
        <v>0</v>
      </c>
      <c r="BE276" s="237" t="n">
        <f aca="false">IF(BE$35&gt;=$AC$274,BE$35-$AC$274+1,0)</f>
        <v>0</v>
      </c>
      <c r="BF276" s="237" t="n">
        <f aca="false">IF(BF$35&gt;=$AC$274,BF$35-$AC$274+1,0)</f>
        <v>0</v>
      </c>
      <c r="BG276" s="237" t="n">
        <f aca="false">IF(BG$35&gt;=$AC$274,BG$35-$AC$274+1,0)</f>
        <v>0</v>
      </c>
      <c r="BH276" s="237" t="n">
        <f aca="false">IF(BH$35&gt;=$AC$274,BH$35-$AC$274+1,0)</f>
        <v>0</v>
      </c>
      <c r="BI276" s="237" t="n">
        <f aca="false">IF(BI$35&gt;=$AC$274,BI$35-$AC$274+1,0)</f>
        <v>0</v>
      </c>
      <c r="BJ276" s="237" t="n">
        <f aca="false">IF(BJ$35&gt;=$AC$274,BJ$35-$AC$274+1,0)</f>
        <v>0</v>
      </c>
      <c r="BK276" s="237" t="n">
        <f aca="false">IF(BK$35&gt;=$AC$274,BK$35-$AC$274+1,0)</f>
        <v>0</v>
      </c>
      <c r="BL276" s="237" t="n">
        <f aca="false">IF(BL$35&gt;=$AC$274,BL$35-$AC$274+1,0)</f>
        <v>0</v>
      </c>
      <c r="BM276" s="237" t="n">
        <f aca="false">IF(BM$35&gt;=$AC$274,BM$35-$AC$274+1,0)</f>
        <v>0</v>
      </c>
      <c r="BN276" s="237" t="n">
        <f aca="false">IF(BN$35&gt;=$AC$274,BN$35-$AC$274+1,0)</f>
        <v>0</v>
      </c>
      <c r="BO276" s="237" t="n">
        <f aca="false">IF(BO$35&gt;=$AC$274,BO$35-$AC$274+1,0)</f>
        <v>0</v>
      </c>
      <c r="BP276" s="237" t="n">
        <f aca="false">IF(BP$35&gt;=$AC$274,BP$35-$AC$274+1,0)</f>
        <v>0</v>
      </c>
      <c r="BQ276" s="237" t="n">
        <f aca="false">IF(BQ$35&gt;=$AC$274,BQ$35-$AC$274+1,0)</f>
        <v>0</v>
      </c>
      <c r="BR276" s="237" t="n">
        <f aca="false">IF(BR$35&gt;=$AC$274,BR$35-$AC$274+1,0)</f>
        <v>0</v>
      </c>
      <c r="BS276" s="237" t="n">
        <f aca="false">IF(BS$35&gt;=$AC$274,BS$35-$AC$274+1,0)</f>
        <v>0</v>
      </c>
      <c r="BT276" s="237" t="n">
        <f aca="false">IF(BT$35&gt;=$AC$274,BT$35-$AC$274+1,0)</f>
        <v>0</v>
      </c>
      <c r="BU276" s="237" t="n">
        <f aca="false">IF(BU$35&gt;=$AC$274,BU$35-$AC$274+1,0)</f>
        <v>1</v>
      </c>
      <c r="BV276" s="237" t="n">
        <f aca="false">IF(BV$35&gt;=$AC$274,BV$35-$AC$274+1,0)</f>
        <v>2</v>
      </c>
      <c r="BW276" s="237" t="n">
        <f aca="false">IF(BW$35&gt;=$AC$274,BW$35-$AC$274+1,0)</f>
        <v>3</v>
      </c>
      <c r="BX276" s="237" t="n">
        <f aca="false">IF(BX$35&gt;=$AC$274,BX$35-$AC$274+1,0)</f>
        <v>4</v>
      </c>
      <c r="BY276" s="237" t="n">
        <f aca="false">IF(BY$35&gt;=$AC$274,BY$35-$AC$274+1,0)</f>
        <v>5</v>
      </c>
      <c r="BZ276" s="237" t="n">
        <f aca="false">IF(BZ$35&gt;=$AC$274,BZ$35-$AC$274+1,0)</f>
        <v>6</v>
      </c>
      <c r="CA276" s="237" t="n">
        <f aca="false">IF(CA$35&gt;=$AC$274,CA$35-$AC$274+1,0)</f>
        <v>7</v>
      </c>
      <c r="CB276" s="237" t="n">
        <f aca="false">IF(CB$35&gt;=$AC$274,CB$35-$AC$274+1,0)</f>
        <v>8</v>
      </c>
      <c r="CC276" s="237" t="n">
        <f aca="false">IF(CC$35&gt;=$AC$274,CC$35-$AC$274+1,0)</f>
        <v>9</v>
      </c>
      <c r="CD276" s="237" t="n">
        <f aca="false">IF(CD$35&gt;=$AC$274,CD$35-$AC$274+1,0)</f>
        <v>10</v>
      </c>
      <c r="CE276" s="237" t="n">
        <f aca="false">IF(CE$35&gt;=$AC$274,CE$35-$AC$274+1,0)</f>
        <v>11</v>
      </c>
      <c r="CF276" s="237" t="n">
        <f aca="false">IF(CF$35&gt;=$AC$274,CF$35-$AC$274+1,0)</f>
        <v>12</v>
      </c>
      <c r="CG276" s="237" t="n">
        <f aca="false">IF(CG$35&gt;=$AC$274,CG$35-$AC$274+1,0)</f>
        <v>13</v>
      </c>
      <c r="CH276" s="237" t="n">
        <f aca="false">IF(CH$35&gt;=$AC$274,CH$35-$AC$274+1,0)</f>
        <v>14</v>
      </c>
      <c r="CI276" s="237" t="n">
        <f aca="false">IF(CI$35&gt;=$AC$274,CI$35-$AC$274+1,0)</f>
        <v>15</v>
      </c>
      <c r="CJ276" s="237" t="n">
        <f aca="false">IF(CJ$35&gt;=$AC$274,CJ$35-$AC$274+1,0)</f>
        <v>16</v>
      </c>
      <c r="CK276" s="237" t="n">
        <f aca="false">IF(CK$35&gt;=$AC$274,CK$35-$AC$274+1,0)</f>
        <v>17</v>
      </c>
      <c r="CL276" s="237" t="n">
        <f aca="false">IF(CL$35&gt;=$AC$274,CL$35-$AC$274+1,0)</f>
        <v>18</v>
      </c>
      <c r="CM276" s="237" t="n">
        <f aca="false">IF(CM$35&gt;=$AC$274,CM$35-$AC$274+1,0)</f>
        <v>19</v>
      </c>
      <c r="CN276" s="237" t="n">
        <f aca="false">IF(CN$35&gt;=$AC$274,CN$35-$AC$274+1,0)</f>
        <v>20</v>
      </c>
      <c r="CO276" s="237" t="n">
        <f aca="false">IF(CO$35&gt;=$AC$274,CO$35-$AC$274+1,0)</f>
        <v>21</v>
      </c>
      <c r="CP276" s="237" t="n">
        <f aca="false">IF(CP$35&gt;=$AC$274,CP$35-$AC$274+1,0)</f>
        <v>22</v>
      </c>
      <c r="CQ276" s="237" t="n">
        <f aca="false">IF(CQ$35&gt;=$AC$274,CQ$35-$AC$274+1,0)</f>
        <v>23</v>
      </c>
      <c r="CR276" s="237" t="n">
        <f aca="false">IF(CR$35&gt;=$AC$274,CR$35-$AC$274+1,0)</f>
        <v>24</v>
      </c>
      <c r="CS276" s="237" t="n">
        <f aca="false">IF(CS$35&gt;=$AC$274,CS$35-$AC$274+1,0)</f>
        <v>25</v>
      </c>
      <c r="CT276" s="237" t="n">
        <f aca="false">IF(CT$35&gt;=$AC$274,CT$35-$AC$274+1,0)</f>
        <v>26</v>
      </c>
      <c r="CU276" s="237" t="n">
        <f aca="false">IF(CU$35&gt;=$AC$274,CU$35-$AC$274+1,0)</f>
        <v>27</v>
      </c>
      <c r="CV276" s="237" t="n">
        <f aca="false">IF(CV$35&gt;=$AC$274,CV$35-$AC$274+1,0)</f>
        <v>28</v>
      </c>
      <c r="CW276" s="237" t="n">
        <f aca="false">IF(CW$35&gt;=$AC$274,CW$35-$AC$274+1,0)</f>
        <v>29</v>
      </c>
      <c r="CX276" s="237" t="n">
        <f aca="false">IF(CX$35&gt;=$AC$274,CX$35-$AC$274+1,0)</f>
        <v>30</v>
      </c>
      <c r="CY276" s="237" t="n">
        <f aca="false">IF(CY$35&gt;=$AC$274,CY$35-$AC$274+1,0)</f>
        <v>31</v>
      </c>
      <c r="CZ276" s="237" t="n">
        <f aca="false">IF(CZ$35&gt;=$AC$274,CZ$35-$AC$274+1,0)</f>
        <v>32</v>
      </c>
      <c r="DA276" s="237" t="n">
        <f aca="false">IF(DA$35&gt;=$AC$274,DA$35-$AC$274+1,0)</f>
        <v>33</v>
      </c>
      <c r="DB276" s="237" t="n">
        <f aca="false">IF(DB$35&gt;=$AC$274,DB$35-$AC$274+1,0)</f>
        <v>34</v>
      </c>
      <c r="DC276" s="237" t="n">
        <f aca="false">IF(DC$35&gt;=$AC$274,DC$35-$AC$274+1,0)</f>
        <v>35</v>
      </c>
      <c r="DD276" s="237" t="n">
        <f aca="false">IF(DD$35&gt;=$AC$274,DD$35-$AC$274+1,0)</f>
        <v>36</v>
      </c>
      <c r="DE276" s="237" t="n">
        <f aca="false">IF(DE$35&gt;=$AC$274,DE$35-$AC$274+1,0)</f>
        <v>37</v>
      </c>
      <c r="DF276" s="237" t="n">
        <f aca="false">IF(DF$35&gt;=$AC$274,DF$35-$AC$274+1,0)</f>
        <v>38</v>
      </c>
      <c r="DG276" s="237" t="n">
        <f aca="false">IF(DG$35&gt;=$AC$274,DG$35-$AC$274+1,0)</f>
        <v>39</v>
      </c>
      <c r="DH276" s="237" t="n">
        <f aca="false">IF(DH$35&gt;=$AC$274,DH$35-$AC$274+1,0)</f>
        <v>40</v>
      </c>
      <c r="DI276" s="237" t="n">
        <f aca="false">IF(DI$35&gt;=$AC$274,DI$35-$AC$274+1,0)</f>
        <v>41</v>
      </c>
      <c r="DJ276" s="237" t="n">
        <f aca="false">IF(DJ$35&gt;=$AC$274,DJ$35-$AC$274+1,0)</f>
        <v>42</v>
      </c>
      <c r="DK276" s="237" t="n">
        <f aca="false">IF(DK$35&gt;=$AC$274,DK$35-$AC$274+1,0)</f>
        <v>43</v>
      </c>
      <c r="DL276" s="237" t="n">
        <f aca="false">IF(DL$35&gt;=$AC$274,DL$35-$AC$274+1,0)</f>
        <v>44</v>
      </c>
      <c r="DM276" s="237" t="n">
        <f aca="false">IF(DM$35&gt;=$AC$274,DM$35-$AC$274+1,0)</f>
        <v>45</v>
      </c>
      <c r="DN276" s="237" t="n">
        <f aca="false">IF(DN$35&gt;=$AC$274,DN$35-$AC$274+1,0)</f>
        <v>46</v>
      </c>
      <c r="DO276" s="237" t="n">
        <f aca="false">IF(DO$35&gt;=$AC$274,DO$35-$AC$274+1,0)</f>
        <v>47</v>
      </c>
      <c r="DP276" s="237" t="n">
        <f aca="false">IF(DP$35&gt;=$AC$274,DP$35-$AC$274+1,0)</f>
        <v>48</v>
      </c>
      <c r="DQ276" s="237" t="n">
        <f aca="false">IF(DQ$35&gt;=$AC$274,DQ$35-$AC$274+1,0)</f>
        <v>49</v>
      </c>
      <c r="DR276" s="237" t="n">
        <f aca="false">IF(DR$35&gt;=$AC$274,DR$35-$AC$274+1,0)</f>
        <v>50</v>
      </c>
      <c r="DS276" s="237" t="n">
        <f aca="false">IF(DS$35&gt;=$AC$274,DS$35-$AC$274+1,0)</f>
        <v>51</v>
      </c>
      <c r="DT276" s="237" t="n">
        <f aca="false">IF(DT$35&gt;=$AC$274,DT$35-$AC$274+1,0)</f>
        <v>52</v>
      </c>
      <c r="DU276" s="237" t="n">
        <f aca="false">IF(DU$35&gt;=$AC$274,DU$35-$AC$274+1,0)</f>
        <v>53</v>
      </c>
      <c r="DV276" s="237" t="n">
        <f aca="false">IF(DV$35&gt;=$AC$274,DV$35-$AC$274+1,0)</f>
        <v>54</v>
      </c>
      <c r="DW276" s="237" t="n">
        <f aca="false">IF(DW$35&gt;=$AC$274,DW$35-$AC$274+1,0)</f>
        <v>55</v>
      </c>
      <c r="DX276" s="237" t="n">
        <f aca="false">IF(DX$35&gt;=$AC$274,DX$35-$AC$274+1,0)</f>
        <v>56</v>
      </c>
      <c r="DY276" s="237" t="n">
        <f aca="false">IF(DY$35&gt;=$AC$274,DY$35-$AC$274+1,0)</f>
        <v>57</v>
      </c>
      <c r="DZ276" s="237" t="n">
        <f aca="false">IF(DZ$35&gt;=$AC$274,DZ$35-$AC$274+1,0)</f>
        <v>58</v>
      </c>
      <c r="EA276" s="237" t="n">
        <f aca="false">IF(EA$35&gt;=$AC$274,EA$35-$AC$274+1,0)</f>
        <v>59</v>
      </c>
      <c r="EB276" s="237" t="n">
        <f aca="false">IF(EB$35&gt;=$AC$274,EB$35-$AC$274+1,0)</f>
        <v>60</v>
      </c>
      <c r="EC276" s="237" t="n">
        <f aca="false">IF(EC$35&gt;=$AC$274,EC$35-$AC$274+1,0)</f>
        <v>61</v>
      </c>
      <c r="ED276" s="237" t="n">
        <f aca="false">IF(ED$35&gt;=$AC$274,ED$35-$AC$274+1,0)</f>
        <v>62</v>
      </c>
      <c r="EE276" s="237" t="n">
        <f aca="false">IF(EE$35&gt;=$AC$274,EE$35-$AC$274+1,0)</f>
        <v>63</v>
      </c>
      <c r="EF276" s="237" t="n">
        <f aca="false">IF(EF$35&gt;=$AC$274,EF$35-$AC$274+1,0)</f>
        <v>64</v>
      </c>
      <c r="EG276" s="237" t="n">
        <f aca="false">IF(EG$35&gt;=$AC$274,EG$35-$AC$274+1,0)</f>
        <v>65</v>
      </c>
      <c r="EH276" s="237" t="n">
        <f aca="false">IF(EH$35&gt;=$AC$274,EH$35-$AC$274+1,0)</f>
        <v>66</v>
      </c>
      <c r="EI276" s="237" t="n">
        <f aca="false">IF(EI$35&gt;=$AC$274,EI$35-$AC$274+1,0)</f>
        <v>67</v>
      </c>
      <c r="EJ276" s="237" t="n">
        <f aca="false">IF(EJ$35&gt;=$AC$274,EJ$35-$AC$274+1,0)</f>
        <v>68</v>
      </c>
      <c r="EK276" s="237" t="n">
        <f aca="false">IF(EK$35&gt;=$AC$274,EK$35-$AC$274+1,0)</f>
        <v>69</v>
      </c>
      <c r="EL276" s="237" t="n">
        <f aca="false">IF(EL$35&gt;=$AC$274,EL$35-$AC$274+1,0)</f>
        <v>70</v>
      </c>
      <c r="EM276" s="237" t="n">
        <f aca="false">IF(EM$35&gt;=$AC$274,EM$35-$AC$274+1,0)</f>
        <v>71</v>
      </c>
      <c r="EN276" s="237" t="n">
        <f aca="false">IF(EN$35&gt;=$AC$274,EN$35-$AC$274+1,0)</f>
        <v>72</v>
      </c>
      <c r="EO276" s="237" t="n">
        <f aca="false">IF(EO$35&gt;=$AC$274,EO$35-$AC$274+1,0)</f>
        <v>73</v>
      </c>
      <c r="EP276" s="237" t="n">
        <f aca="false">IF(EP$35&gt;=$AC$274,EP$35-$AC$274+1,0)</f>
        <v>74</v>
      </c>
      <c r="EQ276" s="237" t="n">
        <f aca="false">IF(EQ$35&gt;=$AC$274,EQ$35-$AC$274+1,0)</f>
        <v>75</v>
      </c>
      <c r="ER276" s="237" t="n">
        <f aca="false">IF(ER$35&gt;=$AC$274,ER$35-$AC$274+1,0)</f>
        <v>76</v>
      </c>
      <c r="ES276" s="9" t="n">
        <f aca="false">IF(ES$35&gt;=$AC$274,ES$35-$AC$274+1,0)</f>
        <v>77</v>
      </c>
      <c r="ET276" s="9" t="n">
        <f aca="false">IF(ET$35&gt;=$AC$274,ET$35-$AC$274+1,0)</f>
        <v>78</v>
      </c>
      <c r="EU276" s="9" t="n">
        <f aca="false">IF(EU$35&gt;=$AC$274,EU$35-$AC$274+1,0)</f>
        <v>79</v>
      </c>
      <c r="EV276" s="9" t="n">
        <f aca="false">IF(EV$35&gt;=$AC$274,EV$35-$AC$274+1,0)</f>
        <v>80</v>
      </c>
      <c r="EW276" s="9" t="n">
        <f aca="false">IF(EW$35&gt;=$AC$274,EW$35-$AC$274+1,0)</f>
        <v>81</v>
      </c>
      <c r="EX276" s="9" t="n">
        <f aca="false">IF(EX$35&gt;=$AC$274,EX$35-$AC$274+1,0)</f>
        <v>82</v>
      </c>
      <c r="EY276" s="9" t="n">
        <f aca="false">IF(EY$35&gt;=$AC$274,EY$35-$AC$274+1,0)</f>
        <v>83</v>
      </c>
      <c r="EZ276" s="9" t="n">
        <f aca="false">IF(EZ$35&gt;=$AC$274,EZ$35-$AC$274+1,0)</f>
        <v>84</v>
      </c>
      <c r="FA276" s="9" t="n">
        <f aca="false">IF(FA$35&gt;=$AC$274,FA$35-$AC$274+1,0)</f>
        <v>85</v>
      </c>
      <c r="FB276" s="9" t="n">
        <f aca="false">IF(FB$35&gt;=$AC$274,FB$35-$AC$274+1,0)</f>
        <v>86</v>
      </c>
      <c r="FC276" s="9" t="n">
        <f aca="false">IF(FC$35&gt;=$AC$274,FC$35-$AC$274+1,0)</f>
        <v>87</v>
      </c>
      <c r="FD276" s="9" t="n">
        <f aca="false">IF(FD$35&gt;=$AC$274,FD$35-$AC$274+1,0)</f>
        <v>88</v>
      </c>
      <c r="FE276" s="9" t="n">
        <f aca="false">IF(FE$35&gt;=$AC$274,FE$35-$AC$274+1,0)</f>
        <v>89</v>
      </c>
      <c r="FF276" s="9" t="n">
        <f aca="false">IF(FF$35&gt;=$AC$274,FF$35-$AC$274+1,0)</f>
        <v>90</v>
      </c>
      <c r="FG276" s="9" t="n">
        <f aca="false">IF(FG$35&gt;=$AC$274,FG$35-$AC$274+1,0)</f>
        <v>91</v>
      </c>
      <c r="FH276" s="9" t="n">
        <f aca="false">IF(FH$35&gt;=$AC$274,FH$35-$AC$274+1,0)</f>
        <v>92</v>
      </c>
      <c r="FI276" s="9" t="n">
        <f aca="false">IF(FI$35&gt;=$AC$274,FI$35-$AC$274+1,0)</f>
        <v>93</v>
      </c>
      <c r="FJ276" s="9" t="n">
        <f aca="false">IF(FJ$35&gt;=$AC$274,FJ$35-$AC$274+1,0)</f>
        <v>94</v>
      </c>
      <c r="FK276" s="9" t="n">
        <f aca="false">IF(FK$35&gt;=$AC$274,FK$35-$AC$274+1,0)</f>
        <v>95</v>
      </c>
      <c r="FL276" s="9" t="n">
        <f aca="false">IF(FL$35&gt;=$AC$274,FL$35-$AC$274+1,0)</f>
        <v>96</v>
      </c>
      <c r="FM276" s="9" t="n">
        <f aca="false">IF(FM$35&gt;=$AC$274,FM$35-$AC$274+1,0)</f>
        <v>97</v>
      </c>
      <c r="FN276" s="9" t="n">
        <f aca="false">IF(FN$35&gt;=$AC$274,FN$35-$AC$274+1,0)</f>
        <v>98</v>
      </c>
      <c r="FO276" s="9" t="n">
        <f aca="false">IF(FO$35&gt;=$AC$274,FO$35-$AC$274+1,0)</f>
        <v>99</v>
      </c>
      <c r="FP276" s="9" t="n">
        <f aca="false">IF(FP$35&gt;=$AC$274,FP$35-$AC$274+1,0)</f>
        <v>100</v>
      </c>
    </row>
    <row r="277" customFormat="false" ht="15" hidden="false" customHeight="false" outlineLevel="2" collapsed="false">
      <c r="B277" s="47" t="s">
        <v>874</v>
      </c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237" t="n">
        <f aca="false" t="array" ref="AC277:AC277">IF(AC276=0,0,IF(AC276/'🎚️ Escenario'!$C$11&gt;=36,$AL$23,INDEX($C$23:$AL$23,MAX(1,ROUNDUP(AC276/'🎚️ Escenario'!$C$11,0)))))</f>
        <v>0</v>
      </c>
      <c r="AD277" s="237" t="n">
        <f aca="false" t="array" ref="AD277:AD277">IF(AD276=0,0,IF(AD276/'🎚️ Escenario'!$C$11&gt;=36,$AL$23,INDEX($C$23:$AL$23,MAX(1,ROUNDUP(AD276/'🎚️ Escenario'!$C$11,0)))))</f>
        <v>0</v>
      </c>
      <c r="AE277" s="237" t="n">
        <f aca="false" t="array" ref="AE277:AE277">IF(AE276=0,0,IF(AE276/'🎚️ Escenario'!$C$11&gt;=36,$AL$23,INDEX($C$23:$AL$23,MAX(1,ROUNDUP(AE276/'🎚️ Escenario'!$C$11,0)))))</f>
        <v>0</v>
      </c>
      <c r="AF277" s="237" t="n">
        <f aca="false" t="array" ref="AF277:AF277">IF(AF276=0,0,IF(AF276/'🎚️ Escenario'!$C$11&gt;=36,$AL$23,INDEX($C$23:$AL$23,MAX(1,ROUNDUP(AF276/'🎚️ Escenario'!$C$11,0)))))</f>
        <v>0</v>
      </c>
      <c r="AG277" s="237" t="n">
        <f aca="false" t="array" ref="AG277:AG277">IF(AG276=0,0,IF(AG276/'🎚️ Escenario'!$C$11&gt;=36,$AL$23,INDEX($C$23:$AL$23,MAX(1,ROUNDUP(AG276/'🎚️ Escenario'!$C$11,0)))))</f>
        <v>0</v>
      </c>
      <c r="AH277" s="237" t="n">
        <f aca="false" t="array" ref="AH277:AH277">IF(AH276=0,0,IF(AH276/'🎚️ Escenario'!$C$11&gt;=36,$AL$23,INDEX($C$23:$AL$23,MAX(1,ROUNDUP(AH276/'🎚️ Escenario'!$C$11,0)))))</f>
        <v>0</v>
      </c>
      <c r="AI277" s="237" t="n">
        <f aca="false" t="array" ref="AI277:AI277">IF(AI276=0,0,IF(AI276/'🎚️ Escenario'!$C$11&gt;=36,$AL$23,INDEX($C$23:$AL$23,MAX(1,ROUNDUP(AI276/'🎚️ Escenario'!$C$11,0)))))</f>
        <v>0</v>
      </c>
      <c r="AJ277" s="237" t="n">
        <f aca="false" t="array" ref="AJ277:AJ277">IF(AJ276=0,0,IF(AJ276/'🎚️ Escenario'!$C$11&gt;=36,$AL$23,INDEX($C$23:$AL$23,MAX(1,ROUNDUP(AJ276/'🎚️ Escenario'!$C$11,0)))))</f>
        <v>0</v>
      </c>
      <c r="AK277" s="237" t="n">
        <f aca="false" t="array" ref="AK277:AK277">IF(AK276=0,0,IF(AK276/'🎚️ Escenario'!$C$11&gt;=36,$AL$23,INDEX($C$23:$AL$23,MAX(1,ROUNDUP(AK276/'🎚️ Escenario'!$C$11,0)))))</f>
        <v>0</v>
      </c>
      <c r="AL277" s="237" t="n">
        <f aca="false" t="array" ref="AL277:AL277">IF(AL276=0,0,IF(AL276/'🎚️ Escenario'!$C$11&gt;=36,$AL$23,INDEX($C$23:$AL$23,MAX(1,ROUNDUP(AL276/'🎚️ Escenario'!$C$11,0)))))</f>
        <v>0</v>
      </c>
      <c r="AM277" s="237" t="n">
        <f aca="false" t="array" ref="AM277:AM277">IF(AM276=0,0,IF(AM276/'🎚️ Escenario'!$C$11&gt;=36,$AL$23,INDEX($C$23:$AL$23,MAX(1,ROUNDUP(AM276/'🎚️ Escenario'!$C$11,0)))))</f>
        <v>0</v>
      </c>
      <c r="AN277" s="237" t="n">
        <f aca="false" t="array" ref="AN277:AN277">IF(AN276=0,0,IF(AN276/'🎚️ Escenario'!$C$11&gt;=36,$AL$23,INDEX($C$23:$AL$23,MAX(1,ROUNDUP(AN276/'🎚️ Escenario'!$C$11,0)))))</f>
        <v>0</v>
      </c>
      <c r="AO277" s="237" t="n">
        <f aca="false" t="array" ref="AO277:AO277">IF(AO276=0,0,IF(AO276/'🎚️ Escenario'!$C$11&gt;=36,$AL$23,INDEX($C$23:$AL$23,MAX(1,ROUNDUP(AO276/'🎚️ Escenario'!$C$11,0)))))</f>
        <v>0</v>
      </c>
      <c r="AP277" s="237" t="n">
        <f aca="false" t="array" ref="AP277:AP277">IF(AP276=0,0,IF(AP276/'🎚️ Escenario'!$C$11&gt;=36,$AL$23,INDEX($C$23:$AL$23,MAX(1,ROUNDUP(AP276/'🎚️ Escenario'!$C$11,0)))))</f>
        <v>0</v>
      </c>
      <c r="AQ277" s="237" t="n">
        <f aca="false" t="array" ref="AQ277:AQ277">IF(AQ276=0,0,IF(AQ276/'🎚️ Escenario'!$C$11&gt;=36,$AL$23,INDEX($C$23:$AL$23,MAX(1,ROUNDUP(AQ276/'🎚️ Escenario'!$C$11,0)))))</f>
        <v>0</v>
      </c>
      <c r="AR277" s="237" t="n">
        <f aca="false" t="array" ref="AR277:AR277">IF(AR276=0,0,IF(AR276/'🎚️ Escenario'!$C$11&gt;=36,$AL$23,INDEX($C$23:$AL$23,MAX(1,ROUNDUP(AR276/'🎚️ Escenario'!$C$11,0)))))</f>
        <v>0</v>
      </c>
      <c r="AS277" s="237" t="n">
        <f aca="false" t="array" ref="AS277:AS277">IF(AS276=0,0,IF(AS276/'🎚️ Escenario'!$C$11&gt;=36,$AL$23,INDEX($C$23:$AL$23,MAX(1,ROUNDUP(AS276/'🎚️ Escenario'!$C$11,0)))))</f>
        <v>0</v>
      </c>
      <c r="AT277" s="237" t="n">
        <f aca="false" t="array" ref="AT277:AT277">IF(AT276=0,0,IF(AT276/'🎚️ Escenario'!$C$11&gt;=36,$AL$23,INDEX($C$23:$AL$23,MAX(1,ROUNDUP(AT276/'🎚️ Escenario'!$C$11,0)))))</f>
        <v>0</v>
      </c>
      <c r="AU277" s="237" t="n">
        <f aca="false" t="array" ref="AU277:AU277">IF(AU276=0,0,IF(AU276/'🎚️ Escenario'!$C$11&gt;=36,$AL$23,INDEX($C$23:$AL$23,MAX(1,ROUNDUP(AU276/'🎚️ Escenario'!$C$11,0)))))</f>
        <v>0</v>
      </c>
      <c r="AV277" s="237" t="n">
        <f aca="false" t="array" ref="AV277:AV277">IF(AV276=0,0,IF(AV276/'🎚️ Escenario'!$C$11&gt;=36,$AL$23,INDEX($C$23:$AL$23,MAX(1,ROUNDUP(AV276/'🎚️ Escenario'!$C$11,0)))))</f>
        <v>0</v>
      </c>
      <c r="AW277" s="237" t="n">
        <f aca="false" t="array" ref="AW277:AW277">IF(AW276=0,0,IF(AW276/'🎚️ Escenario'!$C$11&gt;=36,$AL$23,INDEX($C$23:$AL$23,MAX(1,ROUNDUP(AW276/'🎚️ Escenario'!$C$11,0)))))</f>
        <v>0</v>
      </c>
      <c r="AX277" s="237" t="n">
        <f aca="false" t="array" ref="AX277:AX277">IF(AX276=0,0,IF(AX276/'🎚️ Escenario'!$C$11&gt;=36,$AL$23,INDEX($C$23:$AL$23,MAX(1,ROUNDUP(AX276/'🎚️ Escenario'!$C$11,0)))))</f>
        <v>0</v>
      </c>
      <c r="AY277" s="237" t="n">
        <f aca="false" t="array" ref="AY277:AY277">IF(AY276=0,0,IF(AY276/'🎚️ Escenario'!$C$11&gt;=36,$AL$23,INDEX($C$23:$AL$23,MAX(1,ROUNDUP(AY276/'🎚️ Escenario'!$C$11,0)))))</f>
        <v>0</v>
      </c>
      <c r="AZ277" s="237" t="n">
        <f aca="false" t="array" ref="AZ277:AZ277">IF(AZ276=0,0,IF(AZ276/'🎚️ Escenario'!$C$11&gt;=36,$AL$23,INDEX($C$23:$AL$23,MAX(1,ROUNDUP(AZ276/'🎚️ Escenario'!$C$11,0)))))</f>
        <v>0</v>
      </c>
      <c r="BA277" s="237" t="n">
        <f aca="false" t="array" ref="BA277:BA277">IF(BA276=0,0,IF(BA276/'🎚️ Escenario'!$C$11&gt;=36,$AL$23,INDEX($C$23:$AL$23,MAX(1,ROUNDUP(BA276/'🎚️ Escenario'!$C$11,0)))))</f>
        <v>0</v>
      </c>
      <c r="BB277" s="237" t="n">
        <f aca="false" t="array" ref="BB277:BB277">IF(BB276=0,0,IF(BB276/'🎚️ Escenario'!$C$11&gt;=36,$AL$23,INDEX($C$23:$AL$23,MAX(1,ROUNDUP(BB276/'🎚️ Escenario'!$C$11,0)))))</f>
        <v>0</v>
      </c>
      <c r="BC277" s="237" t="n">
        <f aca="false" t="array" ref="BC277:BC277">IF(BC276=0,0,IF(BC276/'🎚️ Escenario'!$C$11&gt;=36,$AL$23,INDEX($C$23:$AL$23,MAX(1,ROUNDUP(BC276/'🎚️ Escenario'!$C$11,0)))))</f>
        <v>0</v>
      </c>
      <c r="BD277" s="237" t="n">
        <f aca="false" t="array" ref="BD277:BD277">IF(BD276=0,0,IF(BD276/'🎚️ Escenario'!$C$11&gt;=36,$AL$23,INDEX($C$23:$AL$23,MAX(1,ROUNDUP(BD276/'🎚️ Escenario'!$C$11,0)))))</f>
        <v>0</v>
      </c>
      <c r="BE277" s="237" t="n">
        <f aca="false" t="array" ref="BE277:BE277">IF(BE276=0,0,IF(BE276/'🎚️ Escenario'!$C$11&gt;=36,$AL$23,INDEX($C$23:$AL$23,MAX(1,ROUNDUP(BE276/'🎚️ Escenario'!$C$11,0)))))</f>
        <v>0</v>
      </c>
      <c r="BF277" s="237" t="n">
        <f aca="false" t="array" ref="BF277:BF277">IF(BF276=0,0,IF(BF276/'🎚️ Escenario'!$C$11&gt;=36,$AL$23,INDEX($C$23:$AL$23,MAX(1,ROUNDUP(BF276/'🎚️ Escenario'!$C$11,0)))))</f>
        <v>0</v>
      </c>
      <c r="BG277" s="237" t="n">
        <f aca="false" t="array" ref="BG277:BG277">IF(BG276=0,0,IF(BG276/'🎚️ Escenario'!$C$11&gt;=36,$AL$23,INDEX($C$23:$AL$23,MAX(1,ROUNDUP(BG276/'🎚️ Escenario'!$C$11,0)))))</f>
        <v>0</v>
      </c>
      <c r="BH277" s="237" t="n">
        <f aca="false" t="array" ref="BH277:BH277">IF(BH276=0,0,IF(BH276/'🎚️ Escenario'!$C$11&gt;=36,$AL$23,INDEX($C$23:$AL$23,MAX(1,ROUNDUP(BH276/'🎚️ Escenario'!$C$11,0)))))</f>
        <v>0</v>
      </c>
      <c r="BI277" s="237" t="n">
        <f aca="false" t="array" ref="BI277:BI277">IF(BI276=0,0,IF(BI276/'🎚️ Escenario'!$C$11&gt;=36,$AL$23,INDEX($C$23:$AL$23,MAX(1,ROUNDUP(BI276/'🎚️ Escenario'!$C$11,0)))))</f>
        <v>0</v>
      </c>
      <c r="BJ277" s="237" t="n">
        <f aca="false" t="array" ref="BJ277:BJ277">IF(BJ276=0,0,IF(BJ276/'🎚️ Escenario'!$C$11&gt;=36,$AL$23,INDEX($C$23:$AL$23,MAX(1,ROUNDUP(BJ276/'🎚️ Escenario'!$C$11,0)))))</f>
        <v>0</v>
      </c>
      <c r="BK277" s="237" t="n">
        <f aca="false" t="array" ref="BK277:BK277">IF(BK276=0,0,IF(BK276/'🎚️ Escenario'!$C$11&gt;=36,$AL$23,INDEX($C$23:$AL$23,MAX(1,ROUNDUP(BK276/'🎚️ Escenario'!$C$11,0)))))</f>
        <v>0</v>
      </c>
      <c r="BL277" s="237" t="n">
        <f aca="false" t="array" ref="BL277:BL277">IF(BL276=0,0,IF(BL276/'🎚️ Escenario'!$C$11&gt;=36,$AL$23,INDEX($C$23:$AL$23,MAX(1,ROUNDUP(BL276/'🎚️ Escenario'!$C$11,0)))))</f>
        <v>0</v>
      </c>
      <c r="BM277" s="237" t="n">
        <f aca="false" t="array" ref="BM277:BM277">IF(BM276=0,0,IF(BM276/'🎚️ Escenario'!$C$11&gt;=36,$AL$23,INDEX($C$23:$AL$23,MAX(1,ROUNDUP(BM276/'🎚️ Escenario'!$C$11,0)))))</f>
        <v>0</v>
      </c>
      <c r="BN277" s="237" t="n">
        <f aca="false" t="array" ref="BN277:BN277">IF(BN276=0,0,IF(BN276/'🎚️ Escenario'!$C$11&gt;=36,$AL$23,INDEX($C$23:$AL$23,MAX(1,ROUNDUP(BN276/'🎚️ Escenario'!$C$11,0)))))</f>
        <v>0</v>
      </c>
      <c r="BO277" s="237" t="n">
        <f aca="false" t="array" ref="BO277:BO277">IF(BO276=0,0,IF(BO276/'🎚️ Escenario'!$C$11&gt;=36,$AL$23,INDEX($C$23:$AL$23,MAX(1,ROUNDUP(BO276/'🎚️ Escenario'!$C$11,0)))))</f>
        <v>0</v>
      </c>
      <c r="BP277" s="237" t="n">
        <f aca="false" t="array" ref="BP277:BP277">IF(BP276=0,0,IF(BP276/'🎚️ Escenario'!$C$11&gt;=36,$AL$23,INDEX($C$23:$AL$23,MAX(1,ROUNDUP(BP276/'🎚️ Escenario'!$C$11,0)))))</f>
        <v>0</v>
      </c>
      <c r="BQ277" s="237" t="n">
        <f aca="false" t="array" ref="BQ277:BQ277">IF(BQ276=0,0,IF(BQ276/'🎚️ Escenario'!$C$11&gt;=36,$AL$23,INDEX($C$23:$AL$23,MAX(1,ROUNDUP(BQ276/'🎚️ Escenario'!$C$11,0)))))</f>
        <v>0</v>
      </c>
      <c r="BR277" s="237" t="n">
        <f aca="false" t="array" ref="BR277:BR277">IF(BR276=0,0,IF(BR276/'🎚️ Escenario'!$C$11&gt;=36,$AL$23,INDEX($C$23:$AL$23,MAX(1,ROUNDUP(BR276/'🎚️ Escenario'!$C$11,0)))))</f>
        <v>0</v>
      </c>
      <c r="BS277" s="237" t="n">
        <f aca="false" t="array" ref="BS277:BS277">IF(BS276=0,0,IF(BS276/'🎚️ Escenario'!$C$11&gt;=36,$AL$23,INDEX($C$23:$AL$23,MAX(1,ROUNDUP(BS276/'🎚️ Escenario'!$C$11,0)))))</f>
        <v>0</v>
      </c>
      <c r="BT277" s="237" t="n">
        <f aca="false" t="array" ref="BT277:BT277">IF(BT276=0,0,IF(BT276/'🎚️ Escenario'!$C$11&gt;=36,$AL$23,INDEX($C$23:$AL$23,MAX(1,ROUNDUP(BT276/'🎚️ Escenario'!$C$11,0)))))</f>
        <v>0</v>
      </c>
      <c r="BU277" s="237" t="n">
        <f aca="false" t="array" ref="BU277:BU277">IF(BU276=0,0,IF(BU276/'🎚️ Escenario'!$C$11&gt;=36,$AL$23,INDEX($C$23:$AL$23,MAX(1,ROUNDUP(BU276/'🎚️ Escenario'!$C$11,0)))))</f>
        <v>0.2</v>
      </c>
      <c r="BV277" s="237" t="n">
        <f aca="false" t="array" ref="BV277:BV277">IF(BV276=0,0,IF(BV276/'🎚️ Escenario'!$C$11&gt;=36,$AL$23,INDEX($C$23:$AL$23,MAX(1,ROUNDUP(BV276/'🎚️ Escenario'!$C$11,0)))))</f>
        <v>0.22</v>
      </c>
      <c r="BW277" s="237" t="n">
        <f aca="false" t="array" ref="BW277:BW277">IF(BW276=0,0,IF(BW276/'🎚️ Escenario'!$C$11&gt;=36,$AL$23,INDEX($C$23:$AL$23,MAX(1,ROUNDUP(BW276/'🎚️ Escenario'!$C$11,0)))))</f>
        <v>0.24</v>
      </c>
      <c r="BX277" s="237" t="n">
        <f aca="false" t="array" ref="BX277:BX277">IF(BX276=0,0,IF(BX276/'🎚️ Escenario'!$C$11&gt;=36,$AL$23,INDEX($C$23:$AL$23,MAX(1,ROUNDUP(BX276/'🎚️ Escenario'!$C$11,0)))))</f>
        <v>0.27</v>
      </c>
      <c r="BY277" s="237" t="n">
        <f aca="false" t="array" ref="BY277:BY277">IF(BY276=0,0,IF(BY276/'🎚️ Escenario'!$C$11&gt;=36,$AL$23,INDEX($C$23:$AL$23,MAX(1,ROUNDUP(BY276/'🎚️ Escenario'!$C$11,0)))))</f>
        <v>0.27</v>
      </c>
      <c r="BZ277" s="237" t="n">
        <f aca="false" t="array" ref="BZ277:BZ277">IF(BZ276=0,0,IF(BZ276/'🎚️ Escenario'!$C$11&gt;=36,$AL$23,INDEX($C$23:$AL$23,MAX(1,ROUNDUP(BZ276/'🎚️ Escenario'!$C$11,0)))))</f>
        <v>0.31</v>
      </c>
      <c r="CA277" s="237" t="n">
        <f aca="false" t="array" ref="CA277:CA277">IF(CA276=0,0,IF(CA276/'🎚️ Escenario'!$C$11&gt;=36,$AL$23,INDEX($C$23:$AL$23,MAX(1,ROUNDUP(CA276/'🎚️ Escenario'!$C$11,0)))))</f>
        <v>0.35</v>
      </c>
      <c r="CB277" s="237" t="n">
        <f aca="false" t="array" ref="CB277:CB277">IF(CB276=0,0,IF(CB276/'🎚️ Escenario'!$C$11&gt;=36,$AL$23,INDEX($C$23:$AL$23,MAX(1,ROUNDUP(CB276/'🎚️ Escenario'!$C$11,0)))))</f>
        <v>0.39</v>
      </c>
      <c r="CC277" s="237" t="n">
        <f aca="false" t="array" ref="CC277:CC277">IF(CC276=0,0,IF(CC276/'🎚️ Escenario'!$C$11&gt;=36,$AL$23,INDEX($C$23:$AL$23,MAX(1,ROUNDUP(CC276/'🎚️ Escenario'!$C$11,0)))))</f>
        <v>0.44</v>
      </c>
      <c r="CD277" s="237" t="n">
        <f aca="false" t="array" ref="CD277:CD277">IF(CD276=0,0,IF(CD276/'🎚️ Escenario'!$C$11&gt;=36,$AL$23,INDEX($C$23:$AL$23,MAX(1,ROUNDUP(CD276/'🎚️ Escenario'!$C$11,0)))))</f>
        <v>0.44</v>
      </c>
      <c r="CE277" s="237" t="n">
        <f aca="false" t="array" ref="CE277:CE277">IF(CE276=0,0,IF(CE276/'🎚️ Escenario'!$C$11&gt;=36,$AL$23,INDEX($C$23:$AL$23,MAX(1,ROUNDUP(CE276/'🎚️ Escenario'!$C$11,0)))))</f>
        <v>0.48</v>
      </c>
      <c r="CF277" s="237" t="n">
        <f aca="false" t="array" ref="CF277:CF277">IF(CF276=0,0,IF(CF276/'🎚️ Escenario'!$C$11&gt;=36,$AL$23,INDEX($C$23:$AL$23,MAX(1,ROUNDUP(CF276/'🎚️ Escenario'!$C$11,0)))))</f>
        <v>0.52</v>
      </c>
      <c r="CG277" s="237" t="n">
        <f aca="false" t="array" ref="CG277:CG277">IF(CG276=0,0,IF(CG276/'🎚️ Escenario'!$C$11&gt;=36,$AL$23,INDEX($C$23:$AL$23,MAX(1,ROUNDUP(CG276/'🎚️ Escenario'!$C$11,0)))))</f>
        <v>0.56</v>
      </c>
      <c r="CH277" s="237" t="n">
        <f aca="false" t="array" ref="CH277:CH277">IF(CH276=0,0,IF(CH276/'🎚️ Escenario'!$C$11&gt;=36,$AL$23,INDEX($C$23:$AL$23,MAX(1,ROUNDUP(CH276/'🎚️ Escenario'!$C$11,0)))))</f>
        <v>0.6</v>
      </c>
      <c r="CI277" s="237" t="n">
        <f aca="false" t="array" ref="CI277:CI277">IF(CI276=0,0,IF(CI276/'🎚️ Escenario'!$C$11&gt;=36,$AL$23,INDEX($C$23:$AL$23,MAX(1,ROUNDUP(CI276/'🎚️ Escenario'!$C$11,0)))))</f>
        <v>0.6</v>
      </c>
      <c r="CJ277" s="237" t="n">
        <f aca="false" t="array" ref="CJ277:CJ277">IF(CJ276=0,0,IF(CJ276/'🎚️ Escenario'!$C$11&gt;=36,$AL$23,INDEX($C$23:$AL$23,MAX(1,ROUNDUP(CJ276/'🎚️ Escenario'!$C$11,0)))))</f>
        <v>0.63</v>
      </c>
      <c r="CK277" s="237" t="n">
        <f aca="false" t="array" ref="CK277:CK277">IF(CK276=0,0,IF(CK276/'🎚️ Escenario'!$C$11&gt;=36,$AL$23,INDEX($C$23:$AL$23,MAX(1,ROUNDUP(CK276/'🎚️ Escenario'!$C$11,0)))))</f>
        <v>0.66</v>
      </c>
      <c r="CL277" s="237" t="n">
        <f aca="false" t="array" ref="CL277:CL277">IF(CL276=0,0,IF(CL276/'🎚️ Escenario'!$C$11&gt;=36,$AL$23,INDEX($C$23:$AL$23,MAX(1,ROUNDUP(CL276/'🎚️ Escenario'!$C$11,0)))))</f>
        <v>0.69</v>
      </c>
      <c r="CM277" s="237" t="n">
        <f aca="false" t="array" ref="CM277:CM277">IF(CM276=0,0,IF(CM276/'🎚️ Escenario'!$C$11&gt;=36,$AL$23,INDEX($C$23:$AL$23,MAX(1,ROUNDUP(CM276/'🎚️ Escenario'!$C$11,0)))))</f>
        <v>0.71</v>
      </c>
      <c r="CN277" s="237" t="n">
        <f aca="false" t="array" ref="CN277:CN277">IF(CN276=0,0,IF(CN276/'🎚️ Escenario'!$C$11&gt;=36,$AL$23,INDEX($C$23:$AL$23,MAX(1,ROUNDUP(CN276/'🎚️ Escenario'!$C$11,0)))))</f>
        <v>0.71</v>
      </c>
      <c r="CO277" s="237" t="n">
        <f aca="false" t="array" ref="CO277:CO277">IF(CO276=0,0,IF(CO276/'🎚️ Escenario'!$C$11&gt;=36,$AL$23,INDEX($C$23:$AL$23,MAX(1,ROUNDUP(CO276/'🎚️ Escenario'!$C$11,0)))))</f>
        <v>0.73</v>
      </c>
      <c r="CP277" s="237" t="n">
        <f aca="false" t="array" ref="CP277:CP277">IF(CP276=0,0,IF(CP276/'🎚️ Escenario'!$C$11&gt;=36,$AL$23,INDEX($C$23:$AL$23,MAX(1,ROUNDUP(CP276/'🎚️ Escenario'!$C$11,0)))))</f>
        <v>0.75</v>
      </c>
      <c r="CQ277" s="237" t="n">
        <f aca="false" t="array" ref="CQ277:CQ277">IF(CQ276=0,0,IF(CQ276/'🎚️ Escenario'!$C$11&gt;=36,$AL$23,INDEX($C$23:$AL$23,MAX(1,ROUNDUP(CQ276/'🎚️ Escenario'!$C$11,0)))))</f>
        <v>0.77</v>
      </c>
      <c r="CR277" s="237" t="n">
        <f aca="false" t="array" ref="CR277:CR277">IF(CR276=0,0,IF(CR276/'🎚️ Escenario'!$C$11&gt;=36,$AL$23,INDEX($C$23:$AL$23,MAX(1,ROUNDUP(CR276/'🎚️ Escenario'!$C$11,0)))))</f>
        <v>0.79</v>
      </c>
      <c r="CS277" s="237" t="n">
        <f aca="false" t="array" ref="CS277:CS277">IF(CS276=0,0,IF(CS276/'🎚️ Escenario'!$C$11&gt;=36,$AL$23,INDEX($C$23:$AL$23,MAX(1,ROUNDUP(CS276/'🎚️ Escenario'!$C$11,0)))))</f>
        <v>0.79</v>
      </c>
      <c r="CT277" s="237" t="n">
        <f aca="false" t="array" ref="CT277:CT277">IF(CT276=0,0,IF(CT276/'🎚️ Escenario'!$C$11&gt;=36,$AL$23,INDEX($C$23:$AL$23,MAX(1,ROUNDUP(CT276/'🎚️ Escenario'!$C$11,0)))))</f>
        <v>0.8</v>
      </c>
      <c r="CU277" s="237" t="n">
        <f aca="false" t="array" ref="CU277:CU277">IF(CU276=0,0,IF(CU276/'🎚️ Escenario'!$C$11&gt;=36,$AL$23,INDEX($C$23:$AL$23,MAX(1,ROUNDUP(CU276/'🎚️ Escenario'!$C$11,0)))))</f>
        <v>0.82</v>
      </c>
      <c r="CV277" s="237" t="n">
        <f aca="false" t="array" ref="CV277:CV277">IF(CV276=0,0,IF(CV276/'🎚️ Escenario'!$C$11&gt;=36,$AL$23,INDEX($C$23:$AL$23,MAX(1,ROUNDUP(CV276/'🎚️ Escenario'!$C$11,0)))))</f>
        <v>0.84</v>
      </c>
      <c r="CW277" s="237" t="n">
        <f aca="false" t="array" ref="CW277:CW277">IF(CW276=0,0,IF(CW276/'🎚️ Escenario'!$C$11&gt;=36,$AL$23,INDEX($C$23:$AL$23,MAX(1,ROUNDUP(CW276/'🎚️ Escenario'!$C$11,0)))))</f>
        <v>0.85</v>
      </c>
      <c r="CX277" s="237" t="n">
        <f aca="false" t="array" ref="CX277:CX277">IF(CX276=0,0,IF(CX276/'🎚️ Escenario'!$C$11&gt;=36,$AL$23,INDEX($C$23:$AL$23,MAX(1,ROUNDUP(CX276/'🎚️ Escenario'!$C$11,0)))))</f>
        <v>0.85</v>
      </c>
      <c r="CY277" s="237" t="n">
        <f aca="false" t="array" ref="CY277:CY277">IF(CY276=0,0,IF(CY276/'🎚️ Escenario'!$C$11&gt;=36,$AL$23,INDEX($C$23:$AL$23,MAX(1,ROUNDUP(CY276/'🎚️ Escenario'!$C$11,0)))))</f>
        <v>0.86</v>
      </c>
      <c r="CZ277" s="237" t="n">
        <f aca="false" t="array" ref="CZ277:CZ277">IF(CZ276=0,0,IF(CZ276/'🎚️ Escenario'!$C$11&gt;=36,$AL$23,INDEX($C$23:$AL$23,MAX(1,ROUNDUP(CZ276/'🎚️ Escenario'!$C$11,0)))))</f>
        <v>0.88</v>
      </c>
      <c r="DA277" s="237" t="n">
        <f aca="false" t="array" ref="DA277:DA277">IF(DA276=0,0,IF(DA276/'🎚️ Escenario'!$C$11&gt;=36,$AL$23,INDEX($C$23:$AL$23,MAX(1,ROUNDUP(DA276/'🎚️ Escenario'!$C$11,0)))))</f>
        <v>0.89</v>
      </c>
      <c r="DB277" s="237" t="n">
        <f aca="false" t="array" ref="DB277:DB277">IF(DB276=0,0,IF(DB276/'🎚️ Escenario'!$C$11&gt;=36,$AL$23,INDEX($C$23:$AL$23,MAX(1,ROUNDUP(DB276/'🎚️ Escenario'!$C$11,0)))))</f>
        <v>0.9</v>
      </c>
      <c r="DC277" s="237" t="n">
        <f aca="false" t="array" ref="DC277:DC277">IF(DC276=0,0,IF(DC276/'🎚️ Escenario'!$C$11&gt;=36,$AL$23,INDEX($C$23:$AL$23,MAX(1,ROUNDUP(DC276/'🎚️ Escenario'!$C$11,0)))))</f>
        <v>0.9</v>
      </c>
      <c r="DD277" s="237" t="n">
        <f aca="false" t="array" ref="DD277:DD277">IF(DD276=0,0,IF(DD276/'🎚️ Escenario'!$C$11&gt;=36,$AL$23,INDEX($C$23:$AL$23,MAX(1,ROUNDUP(DD276/'🎚️ Escenario'!$C$11,0)))))</f>
        <v>0.92</v>
      </c>
      <c r="DE277" s="237" t="n">
        <f aca="false" t="array" ref="DE277:DE277">IF(DE276=0,0,IF(DE276/'🎚️ Escenario'!$C$11&gt;=36,$AL$23,INDEX($C$23:$AL$23,MAX(1,ROUNDUP(DE276/'🎚️ Escenario'!$C$11,0)))))</f>
        <v>0.93</v>
      </c>
      <c r="DF277" s="237" t="n">
        <f aca="false" t="array" ref="DF277:DF277">IF(DF276=0,0,IF(DF276/'🎚️ Escenario'!$C$11&gt;=36,$AL$23,INDEX($C$23:$AL$23,MAX(1,ROUNDUP(DF276/'🎚️ Escenario'!$C$11,0)))))</f>
        <v>0.94</v>
      </c>
      <c r="DG277" s="237" t="n">
        <f aca="false" t="array" ref="DG277:DG277">IF(DG276=0,0,IF(DG276/'🎚️ Escenario'!$C$11&gt;=36,$AL$23,INDEX($C$23:$AL$23,MAX(1,ROUNDUP(DG276/'🎚️ Escenario'!$C$11,0)))))</f>
        <v>0.95</v>
      </c>
      <c r="DH277" s="237" t="n">
        <f aca="false" t="array" ref="DH277:DH277">IF(DH276=0,0,IF(DH276/'🎚️ Escenario'!$C$11&gt;=36,$AL$23,INDEX($C$23:$AL$23,MAX(1,ROUNDUP(DH276/'🎚️ Escenario'!$C$11,0)))))</f>
        <v>0.95</v>
      </c>
      <c r="DI277" s="237" t="n">
        <f aca="false" t="array" ref="DI277:DI277">IF(DI276=0,0,IF(DI276/'🎚️ Escenario'!$C$11&gt;=36,$AL$23,INDEX($C$23:$AL$23,MAX(1,ROUNDUP(DI276/'🎚️ Escenario'!$C$11,0)))))</f>
        <v>0.97</v>
      </c>
      <c r="DJ277" s="237" t="n">
        <f aca="false" t="array" ref="DJ277:DJ277">IF(DJ276=0,0,IF(DJ276/'🎚️ Escenario'!$C$11&gt;=36,$AL$23,INDEX($C$23:$AL$23,MAX(1,ROUNDUP(DJ276/'🎚️ Escenario'!$C$11,0)))))</f>
        <v>0.98</v>
      </c>
      <c r="DK277" s="237" t="n">
        <f aca="false" t="array" ref="DK277:DK277">IF(DK276=0,0,IF(DK276/'🎚️ Escenario'!$C$11&gt;=36,$AL$23,INDEX($C$23:$AL$23,MAX(1,ROUNDUP(DK276/'🎚️ Escenario'!$C$11,0)))))</f>
        <v>0.99</v>
      </c>
      <c r="DL277" s="237" t="n">
        <f aca="false" t="array" ref="DL277:DL277">IF(DL276=0,0,IF(DL276/'🎚️ Escenario'!$C$11&gt;=36,$AL$23,INDEX($C$23:$AL$23,MAX(1,ROUNDUP(DL276/'🎚️ Escenario'!$C$11,0)))))</f>
        <v>1</v>
      </c>
      <c r="DM277" s="237" t="n">
        <f aca="false" t="array" ref="DM277:DM277">IF(DM276=0,0,IF(DM276/'🎚️ Escenario'!$C$11&gt;=36,$AL$23,INDEX($C$23:$AL$23,MAX(1,ROUNDUP(DM276/'🎚️ Escenario'!$C$11,0)))))</f>
        <v>1</v>
      </c>
      <c r="DN277" s="237" t="n">
        <f aca="false" t="array" ref="DN277:DN277">IF(DN276=0,0,IF(DN276/'🎚️ Escenario'!$C$11&gt;=36,$AL$23,INDEX($C$23:$AL$23,MAX(1,ROUNDUP(DN276/'🎚️ Escenario'!$C$11,0)))))</f>
        <v>1</v>
      </c>
      <c r="DO277" s="237" t="n">
        <f aca="false" t="array" ref="DO277:DO277">IF(DO276=0,0,IF(DO276/'🎚️ Escenario'!$C$11&gt;=36,$AL$23,INDEX($C$23:$AL$23,MAX(1,ROUNDUP(DO276/'🎚️ Escenario'!$C$11,0)))))</f>
        <v>1</v>
      </c>
      <c r="DP277" s="237" t="n">
        <f aca="false" t="array" ref="DP277:DP277">IF(DP276=0,0,IF(DP276/'🎚️ Escenario'!$C$11&gt;=36,$AL$23,INDEX($C$23:$AL$23,MAX(1,ROUNDUP(DP276/'🎚️ Escenario'!$C$11,0)))))</f>
        <v>1</v>
      </c>
      <c r="DQ277" s="237" t="n">
        <f aca="false" t="array" ref="DQ277:DQ277">IF(DQ276=0,0,IF(DQ276/'🎚️ Escenario'!$C$11&gt;=36,$AL$23,INDEX($C$23:$AL$23,MAX(1,ROUNDUP(DQ276/'🎚️ Escenario'!$C$11,0)))))</f>
        <v>1</v>
      </c>
      <c r="DR277" s="237" t="n">
        <f aca="false" t="array" ref="DR277:DR277">IF(DR276=0,0,IF(DR276/'🎚️ Escenario'!$C$11&gt;=36,$AL$23,INDEX($C$23:$AL$23,MAX(1,ROUNDUP(DR276/'🎚️ Escenario'!$C$11,0)))))</f>
        <v>1</v>
      </c>
      <c r="DS277" s="237" t="n">
        <f aca="false" t="array" ref="DS277:DS277">IF(DS276=0,0,IF(DS276/'🎚️ Escenario'!$C$11&gt;=36,$AL$23,INDEX($C$23:$AL$23,MAX(1,ROUNDUP(DS276/'🎚️ Escenario'!$C$11,0)))))</f>
        <v>1</v>
      </c>
      <c r="DT277" s="237" t="n">
        <f aca="false" t="array" ref="DT277:DT277">IF(DT276=0,0,IF(DT276/'🎚️ Escenario'!$C$11&gt;=36,$AL$23,INDEX($C$23:$AL$23,MAX(1,ROUNDUP(DT276/'🎚️ Escenario'!$C$11,0)))))</f>
        <v>1</v>
      </c>
      <c r="DU277" s="237" t="n">
        <f aca="false" t="array" ref="DU277:DU277">IF(DU276=0,0,IF(DU276/'🎚️ Escenario'!$C$11&gt;=36,$AL$23,INDEX($C$23:$AL$23,MAX(1,ROUNDUP(DU276/'🎚️ Escenario'!$C$11,0)))))</f>
        <v>1</v>
      </c>
      <c r="DV277" s="237" t="n">
        <f aca="false" t="array" ref="DV277:DV277">IF(DV276=0,0,IF(DV276/'🎚️ Escenario'!$C$11&gt;=36,$AL$23,INDEX($C$23:$AL$23,MAX(1,ROUNDUP(DV276/'🎚️ Escenario'!$C$11,0)))))</f>
        <v>1</v>
      </c>
      <c r="DW277" s="237" t="n">
        <f aca="false" t="array" ref="DW277:DW277">IF(DW276=0,0,IF(DW276/'🎚️ Escenario'!$C$11&gt;=36,$AL$23,INDEX($C$23:$AL$23,MAX(1,ROUNDUP(DW276/'🎚️ Escenario'!$C$11,0)))))</f>
        <v>1</v>
      </c>
      <c r="DX277" s="237" t="n">
        <f aca="false" t="array" ref="DX277:DX277">IF(DX276=0,0,IF(DX276/'🎚️ Escenario'!$C$11&gt;=36,$AL$23,INDEX($C$23:$AL$23,MAX(1,ROUNDUP(DX276/'🎚️ Escenario'!$C$11,0)))))</f>
        <v>1</v>
      </c>
      <c r="DY277" s="237" t="n">
        <f aca="false" t="array" ref="DY277:DY277">IF(DY276=0,0,IF(DY276/'🎚️ Escenario'!$C$11&gt;=36,$AL$23,INDEX($C$23:$AL$23,MAX(1,ROUNDUP(DY276/'🎚️ Escenario'!$C$11,0)))))</f>
        <v>1</v>
      </c>
      <c r="DZ277" s="237" t="n">
        <f aca="false" t="array" ref="DZ277:DZ277">IF(DZ276=0,0,IF(DZ276/'🎚️ Escenario'!$C$11&gt;=36,$AL$23,INDEX($C$23:$AL$23,MAX(1,ROUNDUP(DZ276/'🎚️ Escenario'!$C$11,0)))))</f>
        <v>1</v>
      </c>
      <c r="EA277" s="237" t="n">
        <f aca="false" t="array" ref="EA277:EA277">IF(EA276=0,0,IF(EA276/'🎚️ Escenario'!$C$11&gt;=36,$AL$23,INDEX($C$23:$AL$23,MAX(1,ROUNDUP(EA276/'🎚️ Escenario'!$C$11,0)))))</f>
        <v>1</v>
      </c>
      <c r="EB277" s="237" t="n">
        <f aca="false" t="array" ref="EB277:EB277">IF(EB276=0,0,IF(EB276/'🎚️ Escenario'!$C$11&gt;=36,$AL$23,INDEX($C$23:$AL$23,MAX(1,ROUNDUP(EB276/'🎚️ Escenario'!$C$11,0)))))</f>
        <v>1</v>
      </c>
      <c r="EC277" s="237" t="n">
        <f aca="false" t="array" ref="EC277:EC277">IF(EC276=0,0,IF(EC276/'🎚️ Escenario'!$C$11&gt;=36,$AL$23,INDEX($C$23:$AL$23,MAX(1,ROUNDUP(EC276/'🎚️ Escenario'!$C$11,0)))))</f>
        <v>1</v>
      </c>
      <c r="ED277" s="237" t="n">
        <f aca="false" t="array" ref="ED277:ED277">IF(ED276=0,0,IF(ED276/'🎚️ Escenario'!$C$11&gt;=36,$AL$23,INDEX($C$23:$AL$23,MAX(1,ROUNDUP(ED276/'🎚️ Escenario'!$C$11,0)))))</f>
        <v>1</v>
      </c>
      <c r="EE277" s="237" t="n">
        <f aca="false" t="array" ref="EE277:EE277">IF(EE276=0,0,IF(EE276/'🎚️ Escenario'!$C$11&gt;=36,$AL$23,INDEX($C$23:$AL$23,MAX(1,ROUNDUP(EE276/'🎚️ Escenario'!$C$11,0)))))</f>
        <v>1</v>
      </c>
      <c r="EF277" s="237" t="n">
        <f aca="false" t="array" ref="EF277:EF277">IF(EF276=0,0,IF(EF276/'🎚️ Escenario'!$C$11&gt;=36,$AL$23,INDEX($C$23:$AL$23,MAX(1,ROUNDUP(EF276/'🎚️ Escenario'!$C$11,0)))))</f>
        <v>1</v>
      </c>
      <c r="EG277" s="237" t="n">
        <f aca="false" t="array" ref="EG277:EG277">IF(EG276=0,0,IF(EG276/'🎚️ Escenario'!$C$11&gt;=36,$AL$23,INDEX($C$23:$AL$23,MAX(1,ROUNDUP(EG276/'🎚️ Escenario'!$C$11,0)))))</f>
        <v>1</v>
      </c>
      <c r="EH277" s="237" t="n">
        <f aca="false" t="array" ref="EH277:EH277">IF(EH276=0,0,IF(EH276/'🎚️ Escenario'!$C$11&gt;=36,$AL$23,INDEX($C$23:$AL$23,MAX(1,ROUNDUP(EH276/'🎚️ Escenario'!$C$11,0)))))</f>
        <v>1</v>
      </c>
      <c r="EI277" s="237" t="n">
        <f aca="false" t="array" ref="EI277:EI277">IF(EI276=0,0,IF(EI276/'🎚️ Escenario'!$C$11&gt;=36,$AL$23,INDEX($C$23:$AL$23,MAX(1,ROUNDUP(EI276/'🎚️ Escenario'!$C$11,0)))))</f>
        <v>1</v>
      </c>
      <c r="EJ277" s="237" t="n">
        <f aca="false" t="array" ref="EJ277:EJ277">IF(EJ276=0,0,IF(EJ276/'🎚️ Escenario'!$C$11&gt;=36,$AL$23,INDEX($C$23:$AL$23,MAX(1,ROUNDUP(EJ276/'🎚️ Escenario'!$C$11,0)))))</f>
        <v>1</v>
      </c>
      <c r="EK277" s="237" t="n">
        <f aca="false" t="array" ref="EK277:EK277">IF(EK276=0,0,IF(EK276/'🎚️ Escenario'!$C$11&gt;=36,$AL$23,INDEX($C$23:$AL$23,MAX(1,ROUNDUP(EK276/'🎚️ Escenario'!$C$11,0)))))</f>
        <v>1</v>
      </c>
      <c r="EL277" s="237" t="n">
        <f aca="false" t="array" ref="EL277:EL277">IF(EL276=0,0,IF(EL276/'🎚️ Escenario'!$C$11&gt;=36,$AL$23,INDEX($C$23:$AL$23,MAX(1,ROUNDUP(EL276/'🎚️ Escenario'!$C$11,0)))))</f>
        <v>1</v>
      </c>
      <c r="EM277" s="237" t="n">
        <f aca="false" t="array" ref="EM277:EM277">IF(EM276=0,0,IF(EM276/'🎚️ Escenario'!$C$11&gt;=36,$AL$23,INDEX($C$23:$AL$23,MAX(1,ROUNDUP(EM276/'🎚️ Escenario'!$C$11,0)))))</f>
        <v>1</v>
      </c>
      <c r="EN277" s="237" t="n">
        <f aca="false" t="array" ref="EN277:EN277">IF(EN276=0,0,IF(EN276/'🎚️ Escenario'!$C$11&gt;=36,$AL$23,INDEX($C$23:$AL$23,MAX(1,ROUNDUP(EN276/'🎚️ Escenario'!$C$11,0)))))</f>
        <v>1</v>
      </c>
      <c r="EO277" s="237" t="n">
        <f aca="false" t="array" ref="EO277:EO277">IF(EO276=0,0,IF(EO276/'🎚️ Escenario'!$C$11&gt;=36,$AL$23,INDEX($C$23:$AL$23,MAX(1,ROUNDUP(EO276/'🎚️ Escenario'!$C$11,0)))))</f>
        <v>1</v>
      </c>
      <c r="EP277" s="237" t="n">
        <f aca="false" t="array" ref="EP277:EP277">IF(EP276=0,0,IF(EP276/'🎚️ Escenario'!$C$11&gt;=36,$AL$23,INDEX($C$23:$AL$23,MAX(1,ROUNDUP(EP276/'🎚️ Escenario'!$C$11,0)))))</f>
        <v>1</v>
      </c>
      <c r="EQ277" s="237" t="n">
        <f aca="false" t="array" ref="EQ277:EQ277">IF(EQ276=0,0,IF(EQ276/'🎚️ Escenario'!$C$11&gt;=36,$AL$23,INDEX($C$23:$AL$23,MAX(1,ROUNDUP(EQ276/'🎚️ Escenario'!$C$11,0)))))</f>
        <v>1</v>
      </c>
      <c r="ER277" s="237" t="n">
        <f aca="false" t="array" ref="ER277:ER277">IF(ER276=0,0,IF(ER276/'🎚️ Escenario'!$C$11&gt;=36,$AL$23,INDEX($C$23:$AL$23,MAX(1,ROUNDUP(ER276/'🎚️ Escenario'!$C$11,0)))))</f>
        <v>1</v>
      </c>
      <c r="ES277" s="9" t="n">
        <f aca="false" t="array" ref="ES277:ES277">IF(ES276=0,0,IF(ES276/'🎚️ Escenario'!$C$11&gt;=36,$AL$23,INDEX($C$23:$AL$23,MAX(1,ROUNDUP(ES276/'🎚️ Escenario'!$C$11,0)))))</f>
        <v>1</v>
      </c>
      <c r="ET277" s="9" t="n">
        <f aca="false" t="array" ref="ET277:ET277">IF(ET276=0,0,IF(ET276/'🎚️ Escenario'!$C$11&gt;=36,$AL$23,INDEX($C$23:$AL$23,MAX(1,ROUNDUP(ET276/'🎚️ Escenario'!$C$11,0)))))</f>
        <v>1</v>
      </c>
      <c r="EU277" s="9" t="n">
        <f aca="false" t="array" ref="EU277:EU277">IF(EU276=0,0,IF(EU276/'🎚️ Escenario'!$C$11&gt;=36,$AL$23,INDEX($C$23:$AL$23,MAX(1,ROUNDUP(EU276/'🎚️ Escenario'!$C$11,0)))))</f>
        <v>1</v>
      </c>
      <c r="EV277" s="9" t="n">
        <f aca="false" t="array" ref="EV277:EV277">IF(EV276=0,0,IF(EV276/'🎚️ Escenario'!$C$11&gt;=36,$AL$23,INDEX($C$23:$AL$23,MAX(1,ROUNDUP(EV276/'🎚️ Escenario'!$C$11,0)))))</f>
        <v>1</v>
      </c>
      <c r="EW277" s="9" t="n">
        <f aca="false" t="array" ref="EW277:EW277">IF(EW276=0,0,IF(EW276/'🎚️ Escenario'!$C$11&gt;=36,$AL$23,INDEX($C$23:$AL$23,MAX(1,ROUNDUP(EW276/'🎚️ Escenario'!$C$11,0)))))</f>
        <v>1</v>
      </c>
      <c r="EX277" s="9" t="n">
        <f aca="false" t="array" ref="EX277:EX277">IF(EX276=0,0,IF(EX276/'🎚️ Escenario'!$C$11&gt;=36,$AL$23,INDEX($C$23:$AL$23,MAX(1,ROUNDUP(EX276/'🎚️ Escenario'!$C$11,0)))))</f>
        <v>1</v>
      </c>
      <c r="EY277" s="9" t="n">
        <f aca="false" t="array" ref="EY277:EY277">IF(EY276=0,0,IF(EY276/'🎚️ Escenario'!$C$11&gt;=36,$AL$23,INDEX($C$23:$AL$23,MAX(1,ROUNDUP(EY276/'🎚️ Escenario'!$C$11,0)))))</f>
        <v>1</v>
      </c>
      <c r="EZ277" s="9" t="n">
        <f aca="false" t="array" ref="EZ277:EZ277">IF(EZ276=0,0,IF(EZ276/'🎚️ Escenario'!$C$11&gt;=36,$AL$23,INDEX($C$23:$AL$23,MAX(1,ROUNDUP(EZ276/'🎚️ Escenario'!$C$11,0)))))</f>
        <v>1</v>
      </c>
      <c r="FA277" s="9" t="n">
        <f aca="false" t="array" ref="FA277:FA277">IF(FA276=0,0,IF(FA276/'🎚️ Escenario'!$C$11&gt;=36,$AL$23,INDEX($C$23:$AL$23,MAX(1,ROUNDUP(FA276/'🎚️ Escenario'!$C$11,0)))))</f>
        <v>1</v>
      </c>
      <c r="FB277" s="9" t="n">
        <f aca="false" t="array" ref="FB277:FB277">IF(FB276=0,0,IF(FB276/'🎚️ Escenario'!$C$11&gt;=36,$AL$23,INDEX($C$23:$AL$23,MAX(1,ROUNDUP(FB276/'🎚️ Escenario'!$C$11,0)))))</f>
        <v>1</v>
      </c>
      <c r="FC277" s="9" t="n">
        <f aca="false" t="array" ref="FC277:FC277">IF(FC276=0,0,IF(FC276/'🎚️ Escenario'!$C$11&gt;=36,$AL$23,INDEX($C$23:$AL$23,MAX(1,ROUNDUP(FC276/'🎚️ Escenario'!$C$11,0)))))</f>
        <v>1</v>
      </c>
      <c r="FD277" s="9" t="n">
        <f aca="false" t="array" ref="FD277:FD277">IF(FD276=0,0,IF(FD276/'🎚️ Escenario'!$C$11&gt;=36,$AL$23,INDEX($C$23:$AL$23,MAX(1,ROUNDUP(FD276/'🎚️ Escenario'!$C$11,0)))))</f>
        <v>1</v>
      </c>
      <c r="FE277" s="9" t="n">
        <f aca="false" t="array" ref="FE277:FE277">IF(FE276=0,0,IF(FE276/'🎚️ Escenario'!$C$11&gt;=36,$AL$23,INDEX($C$23:$AL$23,MAX(1,ROUNDUP(FE276/'🎚️ Escenario'!$C$11,0)))))</f>
        <v>1</v>
      </c>
      <c r="FF277" s="9" t="n">
        <f aca="false" t="array" ref="FF277:FF277">IF(FF276=0,0,IF(FF276/'🎚️ Escenario'!$C$11&gt;=36,$AL$23,INDEX($C$23:$AL$23,MAX(1,ROUNDUP(FF276/'🎚️ Escenario'!$C$11,0)))))</f>
        <v>1</v>
      </c>
      <c r="FG277" s="9" t="n">
        <f aca="false" t="array" ref="FG277:FG277">IF(FG276=0,0,IF(FG276/'🎚️ Escenario'!$C$11&gt;=36,$AL$23,INDEX($C$23:$AL$23,MAX(1,ROUNDUP(FG276/'🎚️ Escenario'!$C$11,0)))))</f>
        <v>1</v>
      </c>
      <c r="FH277" s="9" t="n">
        <f aca="false" t="array" ref="FH277:FH277">IF(FH276=0,0,IF(FH276/'🎚️ Escenario'!$C$11&gt;=36,$AL$23,INDEX($C$23:$AL$23,MAX(1,ROUNDUP(FH276/'🎚️ Escenario'!$C$11,0)))))</f>
        <v>1</v>
      </c>
      <c r="FI277" s="9" t="n">
        <f aca="false" t="array" ref="FI277:FI277">IF(FI276=0,0,IF(FI276/'🎚️ Escenario'!$C$11&gt;=36,$AL$23,INDEX($C$23:$AL$23,MAX(1,ROUNDUP(FI276/'🎚️ Escenario'!$C$11,0)))))</f>
        <v>1</v>
      </c>
      <c r="FJ277" s="9" t="n">
        <f aca="false" t="array" ref="FJ277:FJ277">IF(FJ276=0,0,IF(FJ276/'🎚️ Escenario'!$C$11&gt;=36,$AL$23,INDEX($C$23:$AL$23,MAX(1,ROUNDUP(FJ276/'🎚️ Escenario'!$C$11,0)))))</f>
        <v>1</v>
      </c>
      <c r="FK277" s="9" t="n">
        <f aca="false" t="array" ref="FK277:FK277">IF(FK276=0,0,IF(FK276/'🎚️ Escenario'!$C$11&gt;=36,$AL$23,INDEX($C$23:$AL$23,MAX(1,ROUNDUP(FK276/'🎚️ Escenario'!$C$11,0)))))</f>
        <v>1</v>
      </c>
      <c r="FL277" s="9" t="n">
        <f aca="false" t="array" ref="FL277:FL277">IF(FL276=0,0,IF(FL276/'🎚️ Escenario'!$C$11&gt;=36,$AL$23,INDEX($C$23:$AL$23,MAX(1,ROUNDUP(FL276/'🎚️ Escenario'!$C$11,0)))))</f>
        <v>1</v>
      </c>
      <c r="FM277" s="9" t="n">
        <f aca="false" t="array" ref="FM277:FM277">IF(FM276=0,0,IF(FM276/'🎚️ Escenario'!$C$11&gt;=36,$AL$23,INDEX($C$23:$AL$23,MAX(1,ROUNDUP(FM276/'🎚️ Escenario'!$C$11,0)))))</f>
        <v>1</v>
      </c>
      <c r="FN277" s="9" t="n">
        <f aca="false" t="array" ref="FN277:FN277">IF(FN276=0,0,IF(FN276/'🎚️ Escenario'!$C$11&gt;=36,$AL$23,INDEX($C$23:$AL$23,MAX(1,ROUNDUP(FN276/'🎚️ Escenario'!$C$11,0)))))</f>
        <v>1</v>
      </c>
      <c r="FO277" s="9" t="n">
        <f aca="false" t="array" ref="FO277:FO277">IF(FO276=0,0,IF(FO276/'🎚️ Escenario'!$C$11&gt;=36,$AL$23,INDEX($C$23:$AL$23,MAX(1,ROUNDUP(FO276/'🎚️ Escenario'!$C$11,0)))))</f>
        <v>1</v>
      </c>
      <c r="FP277" s="9" t="n">
        <f aca="false" t="array" ref="FP277:FP277">IF(FP276=0,0,IF(FP276/'🎚️ Escenario'!$C$11&gt;=36,$AL$23,INDEX($C$23:$AL$23,MAX(1,ROUNDUP(FP276/'🎚️ Escenario'!$C$11,0)))))</f>
        <v>1</v>
      </c>
    </row>
    <row r="278" customFormat="false" ht="15" hidden="false" customHeight="false" outlineLevel="2" collapsed="false">
      <c r="B278" s="47" t="s">
        <v>875</v>
      </c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237" t="n">
        <f aca="false">IF(AC276=0,0,IF(AC276&lt;=12*'🎚️ Escenario'!$C$11,1,1+$C$6))</f>
        <v>0</v>
      </c>
      <c r="AD278" s="237" t="n">
        <f aca="false">IF(AD276=0,0,IF(AD276&lt;=12*'🎚️ Escenario'!$C$11,1,1+$C$6))</f>
        <v>0</v>
      </c>
      <c r="AE278" s="237" t="n">
        <f aca="false">IF(AE276=0,0,IF(AE276&lt;=12*'🎚️ Escenario'!$C$11,1,1+$C$6))</f>
        <v>0</v>
      </c>
      <c r="AF278" s="237" t="n">
        <f aca="false">IF(AF276=0,0,IF(AF276&lt;=12*'🎚️ Escenario'!$C$11,1,1+$C$6))</f>
        <v>0</v>
      </c>
      <c r="AG278" s="237" t="n">
        <f aca="false">IF(AG276=0,0,IF(AG276&lt;=12*'🎚️ Escenario'!$C$11,1,1+$C$6))</f>
        <v>0</v>
      </c>
      <c r="AH278" s="237" t="n">
        <f aca="false">IF(AH276=0,0,IF(AH276&lt;=12*'🎚️ Escenario'!$C$11,1,1+$C$6))</f>
        <v>0</v>
      </c>
      <c r="AI278" s="237" t="n">
        <f aca="false">IF(AI276=0,0,IF(AI276&lt;=12*'🎚️ Escenario'!$C$11,1,1+$C$6))</f>
        <v>0</v>
      </c>
      <c r="AJ278" s="237" t="n">
        <f aca="false">IF(AJ276=0,0,IF(AJ276&lt;=12*'🎚️ Escenario'!$C$11,1,1+$C$6))</f>
        <v>0</v>
      </c>
      <c r="AK278" s="237" t="n">
        <f aca="false">IF(AK276=0,0,IF(AK276&lt;=12*'🎚️ Escenario'!$C$11,1,1+$C$6))</f>
        <v>0</v>
      </c>
      <c r="AL278" s="237" t="n">
        <f aca="false">IF(AL276=0,0,IF(AL276&lt;=12*'🎚️ Escenario'!$C$11,1,1+$C$6))</f>
        <v>0</v>
      </c>
      <c r="AM278" s="237" t="n">
        <f aca="false">IF(AM276=0,0,IF(AM276&lt;=12*'🎚️ Escenario'!$C$11,1,1+$C$6))</f>
        <v>0</v>
      </c>
      <c r="AN278" s="237" t="n">
        <f aca="false">IF(AN276=0,0,IF(AN276&lt;=12*'🎚️ Escenario'!$C$11,1,1+$C$6))</f>
        <v>0</v>
      </c>
      <c r="AO278" s="237" t="n">
        <f aca="false">IF(AO276=0,0,IF(AO276&lt;=12*'🎚️ Escenario'!$C$11,1,1+$C$6))</f>
        <v>0</v>
      </c>
      <c r="AP278" s="237" t="n">
        <f aca="false">IF(AP276=0,0,IF(AP276&lt;=12*'🎚️ Escenario'!$C$11,1,1+$C$6))</f>
        <v>0</v>
      </c>
      <c r="AQ278" s="237" t="n">
        <f aca="false">IF(AQ276=0,0,IF(AQ276&lt;=12*'🎚️ Escenario'!$C$11,1,1+$C$6))</f>
        <v>0</v>
      </c>
      <c r="AR278" s="237" t="n">
        <f aca="false">IF(AR276=0,0,IF(AR276&lt;=12*'🎚️ Escenario'!$C$11,1,1+$C$6))</f>
        <v>0</v>
      </c>
      <c r="AS278" s="237" t="n">
        <f aca="false">IF(AS276=0,0,IF(AS276&lt;=12*'🎚️ Escenario'!$C$11,1,1+$C$6))</f>
        <v>0</v>
      </c>
      <c r="AT278" s="237" t="n">
        <f aca="false">IF(AT276=0,0,IF(AT276&lt;=12*'🎚️ Escenario'!$C$11,1,1+$C$6))</f>
        <v>0</v>
      </c>
      <c r="AU278" s="237" t="n">
        <f aca="false">IF(AU276=0,0,IF(AU276&lt;=12*'🎚️ Escenario'!$C$11,1,1+$C$6))</f>
        <v>0</v>
      </c>
      <c r="AV278" s="237" t="n">
        <f aca="false">IF(AV276=0,0,IF(AV276&lt;=12*'🎚️ Escenario'!$C$11,1,1+$C$6))</f>
        <v>0</v>
      </c>
      <c r="AW278" s="237" t="n">
        <f aca="false">IF(AW276=0,0,IF(AW276&lt;=12*'🎚️ Escenario'!$C$11,1,1+$C$6))</f>
        <v>0</v>
      </c>
      <c r="AX278" s="237" t="n">
        <f aca="false">IF(AX276=0,0,IF(AX276&lt;=12*'🎚️ Escenario'!$C$11,1,1+$C$6))</f>
        <v>0</v>
      </c>
      <c r="AY278" s="237" t="n">
        <f aca="false">IF(AY276=0,0,IF(AY276&lt;=12*'🎚️ Escenario'!$C$11,1,1+$C$6))</f>
        <v>0</v>
      </c>
      <c r="AZ278" s="237" t="n">
        <f aca="false">IF(AZ276=0,0,IF(AZ276&lt;=12*'🎚️ Escenario'!$C$11,1,1+$C$6))</f>
        <v>0</v>
      </c>
      <c r="BA278" s="237" t="n">
        <f aca="false">IF(BA276=0,0,IF(BA276&lt;=12*'🎚️ Escenario'!$C$11,1,1+$C$6))</f>
        <v>0</v>
      </c>
      <c r="BB278" s="237" t="n">
        <f aca="false">IF(BB276=0,0,IF(BB276&lt;=12*'🎚️ Escenario'!$C$11,1,1+$C$6))</f>
        <v>0</v>
      </c>
      <c r="BC278" s="237" t="n">
        <f aca="false">IF(BC276=0,0,IF(BC276&lt;=12*'🎚️ Escenario'!$C$11,1,1+$C$6))</f>
        <v>0</v>
      </c>
      <c r="BD278" s="237" t="n">
        <f aca="false">IF(BD276=0,0,IF(BD276&lt;=12*'🎚️ Escenario'!$C$11,1,1+$C$6))</f>
        <v>0</v>
      </c>
      <c r="BE278" s="237" t="n">
        <f aca="false">IF(BE276=0,0,IF(BE276&lt;=12*'🎚️ Escenario'!$C$11,1,1+$C$6))</f>
        <v>0</v>
      </c>
      <c r="BF278" s="237" t="n">
        <f aca="false">IF(BF276=0,0,IF(BF276&lt;=12*'🎚️ Escenario'!$C$11,1,1+$C$6))</f>
        <v>0</v>
      </c>
      <c r="BG278" s="237" t="n">
        <f aca="false">IF(BG276=0,0,IF(BG276&lt;=12*'🎚️ Escenario'!$C$11,1,1+$C$6))</f>
        <v>0</v>
      </c>
      <c r="BH278" s="237" t="n">
        <f aca="false">IF(BH276=0,0,IF(BH276&lt;=12*'🎚️ Escenario'!$C$11,1,1+$C$6))</f>
        <v>0</v>
      </c>
      <c r="BI278" s="237" t="n">
        <f aca="false">IF(BI276=0,0,IF(BI276&lt;=12*'🎚️ Escenario'!$C$11,1,1+$C$6))</f>
        <v>0</v>
      </c>
      <c r="BJ278" s="237" t="n">
        <f aca="false">IF(BJ276=0,0,IF(BJ276&lt;=12*'🎚️ Escenario'!$C$11,1,1+$C$6))</f>
        <v>0</v>
      </c>
      <c r="BK278" s="237" t="n">
        <f aca="false">IF(BK276=0,0,IF(BK276&lt;=12*'🎚️ Escenario'!$C$11,1,1+$C$6))</f>
        <v>0</v>
      </c>
      <c r="BL278" s="237" t="n">
        <f aca="false">IF(BL276=0,0,IF(BL276&lt;=12*'🎚️ Escenario'!$C$11,1,1+$C$6))</f>
        <v>0</v>
      </c>
      <c r="BM278" s="237" t="n">
        <f aca="false">IF(BM276=0,0,IF(BM276&lt;=12*'🎚️ Escenario'!$C$11,1,1+$C$6))</f>
        <v>0</v>
      </c>
      <c r="BN278" s="237" t="n">
        <f aca="false">IF(BN276=0,0,IF(BN276&lt;=12*'🎚️ Escenario'!$C$11,1,1+$C$6))</f>
        <v>0</v>
      </c>
      <c r="BO278" s="237" t="n">
        <f aca="false">IF(BO276=0,0,IF(BO276&lt;=12*'🎚️ Escenario'!$C$11,1,1+$C$6))</f>
        <v>0</v>
      </c>
      <c r="BP278" s="237" t="n">
        <f aca="false">IF(BP276=0,0,IF(BP276&lt;=12*'🎚️ Escenario'!$C$11,1,1+$C$6))</f>
        <v>0</v>
      </c>
      <c r="BQ278" s="237" t="n">
        <f aca="false">IF(BQ276=0,0,IF(BQ276&lt;=12*'🎚️ Escenario'!$C$11,1,1+$C$6))</f>
        <v>0</v>
      </c>
      <c r="BR278" s="237" t="n">
        <f aca="false">IF(BR276=0,0,IF(BR276&lt;=12*'🎚️ Escenario'!$C$11,1,1+$C$6))</f>
        <v>0</v>
      </c>
      <c r="BS278" s="237" t="n">
        <f aca="false">IF(BS276=0,0,IF(BS276&lt;=12*'🎚️ Escenario'!$C$11,1,1+$C$6))</f>
        <v>0</v>
      </c>
      <c r="BT278" s="237" t="n">
        <f aca="false">IF(BT276=0,0,IF(BT276&lt;=12*'🎚️ Escenario'!$C$11,1,1+$C$6))</f>
        <v>0</v>
      </c>
      <c r="BU278" s="237" t="n">
        <f aca="false">IF(BU276=0,0,IF(BU276&lt;=12*'🎚️ Escenario'!$C$11,1,1+$C$6))</f>
        <v>1</v>
      </c>
      <c r="BV278" s="237" t="n">
        <f aca="false">IF(BV276=0,0,IF(BV276&lt;=12*'🎚️ Escenario'!$C$11,1,1+$C$6))</f>
        <v>1</v>
      </c>
      <c r="BW278" s="237" t="n">
        <f aca="false">IF(BW276=0,0,IF(BW276&lt;=12*'🎚️ Escenario'!$C$11,1,1+$C$6))</f>
        <v>1</v>
      </c>
      <c r="BX278" s="237" t="n">
        <f aca="false">IF(BX276=0,0,IF(BX276&lt;=12*'🎚️ Escenario'!$C$11,1,1+$C$6))</f>
        <v>1</v>
      </c>
      <c r="BY278" s="237" t="n">
        <f aca="false">IF(BY276=0,0,IF(BY276&lt;=12*'🎚️ Escenario'!$C$11,1,1+$C$6))</f>
        <v>1</v>
      </c>
      <c r="BZ278" s="237" t="n">
        <f aca="false">IF(BZ276=0,0,IF(BZ276&lt;=12*'🎚️ Escenario'!$C$11,1,1+$C$6))</f>
        <v>1</v>
      </c>
      <c r="CA278" s="237" t="n">
        <f aca="false">IF(CA276=0,0,IF(CA276&lt;=12*'🎚️ Escenario'!$C$11,1,1+$C$6))</f>
        <v>1</v>
      </c>
      <c r="CB278" s="237" t="n">
        <f aca="false">IF(CB276=0,0,IF(CB276&lt;=12*'🎚️ Escenario'!$C$11,1,1+$C$6))</f>
        <v>1</v>
      </c>
      <c r="CC278" s="237" t="n">
        <f aca="false">IF(CC276=0,0,IF(CC276&lt;=12*'🎚️ Escenario'!$C$11,1,1+$C$6))</f>
        <v>1</v>
      </c>
      <c r="CD278" s="237" t="n">
        <f aca="false">IF(CD276=0,0,IF(CD276&lt;=12*'🎚️ Escenario'!$C$11,1,1+$C$6))</f>
        <v>1</v>
      </c>
      <c r="CE278" s="237" t="n">
        <f aca="false">IF(CE276=0,0,IF(CE276&lt;=12*'🎚️ Escenario'!$C$11,1,1+$C$6))</f>
        <v>1</v>
      </c>
      <c r="CF278" s="237" t="n">
        <f aca="false">IF(CF276=0,0,IF(CF276&lt;=12*'🎚️ Escenario'!$C$11,1,1+$C$6))</f>
        <v>1</v>
      </c>
      <c r="CG278" s="237" t="n">
        <f aca="false">IF(CG276=0,0,IF(CG276&lt;=12*'🎚️ Escenario'!$C$11,1,1+$C$6))</f>
        <v>1</v>
      </c>
      <c r="CH278" s="237" t="n">
        <f aca="false">IF(CH276=0,0,IF(CH276&lt;=12*'🎚️ Escenario'!$C$11,1,1+$C$6))</f>
        <v>1</v>
      </c>
      <c r="CI278" s="237" t="n">
        <f aca="false">IF(CI276=0,0,IF(CI276&lt;=12*'🎚️ Escenario'!$C$11,1,1+$C$6))</f>
        <v>1</v>
      </c>
      <c r="CJ278" s="237" t="n">
        <f aca="false">IF(CJ276=0,0,IF(CJ276&lt;=12*'🎚️ Escenario'!$C$11,1,1+$C$6))</f>
        <v>1.2</v>
      </c>
      <c r="CK278" s="237" t="n">
        <f aca="false">IF(CK276=0,0,IF(CK276&lt;=12*'🎚️ Escenario'!$C$11,1,1+$C$6))</f>
        <v>1.2</v>
      </c>
      <c r="CL278" s="237" t="n">
        <f aca="false">IF(CL276=0,0,IF(CL276&lt;=12*'🎚️ Escenario'!$C$11,1,1+$C$6))</f>
        <v>1.2</v>
      </c>
      <c r="CM278" s="237" t="n">
        <f aca="false">IF(CM276=0,0,IF(CM276&lt;=12*'🎚️ Escenario'!$C$11,1,1+$C$6))</f>
        <v>1.2</v>
      </c>
      <c r="CN278" s="237" t="n">
        <f aca="false">IF(CN276=0,0,IF(CN276&lt;=12*'🎚️ Escenario'!$C$11,1,1+$C$6))</f>
        <v>1.2</v>
      </c>
      <c r="CO278" s="237" t="n">
        <f aca="false">IF(CO276=0,0,IF(CO276&lt;=12*'🎚️ Escenario'!$C$11,1,1+$C$6))</f>
        <v>1.2</v>
      </c>
      <c r="CP278" s="237" t="n">
        <f aca="false">IF(CP276=0,0,IF(CP276&lt;=12*'🎚️ Escenario'!$C$11,1,1+$C$6))</f>
        <v>1.2</v>
      </c>
      <c r="CQ278" s="237" t="n">
        <f aca="false">IF(CQ276=0,0,IF(CQ276&lt;=12*'🎚️ Escenario'!$C$11,1,1+$C$6))</f>
        <v>1.2</v>
      </c>
      <c r="CR278" s="237" t="n">
        <f aca="false">IF(CR276=0,0,IF(CR276&lt;=12*'🎚️ Escenario'!$C$11,1,1+$C$6))</f>
        <v>1.2</v>
      </c>
      <c r="CS278" s="237" t="n">
        <f aca="false">IF(CS276=0,0,IF(CS276&lt;=12*'🎚️ Escenario'!$C$11,1,1+$C$6))</f>
        <v>1.2</v>
      </c>
      <c r="CT278" s="237" t="n">
        <f aca="false">IF(CT276=0,0,IF(CT276&lt;=12*'🎚️ Escenario'!$C$11,1,1+$C$6))</f>
        <v>1.2</v>
      </c>
      <c r="CU278" s="237" t="n">
        <f aca="false">IF(CU276=0,0,IF(CU276&lt;=12*'🎚️ Escenario'!$C$11,1,1+$C$6))</f>
        <v>1.2</v>
      </c>
      <c r="CV278" s="237" t="n">
        <f aca="false">IF(CV276=0,0,IF(CV276&lt;=12*'🎚️ Escenario'!$C$11,1,1+$C$6))</f>
        <v>1.2</v>
      </c>
      <c r="CW278" s="237" t="n">
        <f aca="false">IF(CW276=0,0,IF(CW276&lt;=12*'🎚️ Escenario'!$C$11,1,1+$C$6))</f>
        <v>1.2</v>
      </c>
      <c r="CX278" s="237" t="n">
        <f aca="false">IF(CX276=0,0,IF(CX276&lt;=12*'🎚️ Escenario'!$C$11,1,1+$C$6))</f>
        <v>1.2</v>
      </c>
      <c r="CY278" s="237" t="n">
        <f aca="false">IF(CY276=0,0,IF(CY276&lt;=12*'🎚️ Escenario'!$C$11,1,1+$C$6))</f>
        <v>1.2</v>
      </c>
      <c r="CZ278" s="237" t="n">
        <f aca="false">IF(CZ276=0,0,IF(CZ276&lt;=12*'🎚️ Escenario'!$C$11,1,1+$C$6))</f>
        <v>1.2</v>
      </c>
      <c r="DA278" s="237" t="n">
        <f aca="false">IF(DA276=0,0,IF(DA276&lt;=12*'🎚️ Escenario'!$C$11,1,1+$C$6))</f>
        <v>1.2</v>
      </c>
      <c r="DB278" s="237" t="n">
        <f aca="false">IF(DB276=0,0,IF(DB276&lt;=12*'🎚️ Escenario'!$C$11,1,1+$C$6))</f>
        <v>1.2</v>
      </c>
      <c r="DC278" s="237" t="n">
        <f aca="false">IF(DC276=0,0,IF(DC276&lt;=12*'🎚️ Escenario'!$C$11,1,1+$C$6))</f>
        <v>1.2</v>
      </c>
      <c r="DD278" s="237" t="n">
        <f aca="false">IF(DD276=0,0,IF(DD276&lt;=12*'🎚️ Escenario'!$C$11,1,1+$C$6))</f>
        <v>1.2</v>
      </c>
      <c r="DE278" s="237" t="n">
        <f aca="false">IF(DE276=0,0,IF(DE276&lt;=12*'🎚️ Escenario'!$C$11,1,1+$C$6))</f>
        <v>1.2</v>
      </c>
      <c r="DF278" s="237" t="n">
        <f aca="false">IF(DF276=0,0,IF(DF276&lt;=12*'🎚️ Escenario'!$C$11,1,1+$C$6))</f>
        <v>1.2</v>
      </c>
      <c r="DG278" s="237" t="n">
        <f aca="false">IF(DG276=0,0,IF(DG276&lt;=12*'🎚️ Escenario'!$C$11,1,1+$C$6))</f>
        <v>1.2</v>
      </c>
      <c r="DH278" s="237" t="n">
        <f aca="false">IF(DH276=0,0,IF(DH276&lt;=12*'🎚️ Escenario'!$C$11,1,1+$C$6))</f>
        <v>1.2</v>
      </c>
      <c r="DI278" s="237" t="n">
        <f aca="false">IF(DI276=0,0,IF(DI276&lt;=12*'🎚️ Escenario'!$C$11,1,1+$C$6))</f>
        <v>1.2</v>
      </c>
      <c r="DJ278" s="237" t="n">
        <f aca="false">IF(DJ276=0,0,IF(DJ276&lt;=12*'🎚️ Escenario'!$C$11,1,1+$C$6))</f>
        <v>1.2</v>
      </c>
      <c r="DK278" s="237" t="n">
        <f aca="false">IF(DK276=0,0,IF(DK276&lt;=12*'🎚️ Escenario'!$C$11,1,1+$C$6))</f>
        <v>1.2</v>
      </c>
      <c r="DL278" s="237" t="n">
        <f aca="false">IF(DL276=0,0,IF(DL276&lt;=12*'🎚️ Escenario'!$C$11,1,1+$C$6))</f>
        <v>1.2</v>
      </c>
      <c r="DM278" s="237" t="n">
        <f aca="false">IF(DM276=0,0,IF(DM276&lt;=12*'🎚️ Escenario'!$C$11,1,1+$C$6))</f>
        <v>1.2</v>
      </c>
      <c r="DN278" s="237" t="n">
        <f aca="false">IF(DN276=0,0,IF(DN276&lt;=12*'🎚️ Escenario'!$C$11,1,1+$C$6))</f>
        <v>1.2</v>
      </c>
      <c r="DO278" s="237" t="n">
        <f aca="false">IF(DO276=0,0,IF(DO276&lt;=12*'🎚️ Escenario'!$C$11,1,1+$C$6))</f>
        <v>1.2</v>
      </c>
      <c r="DP278" s="237" t="n">
        <f aca="false">IF(DP276=0,0,IF(DP276&lt;=12*'🎚️ Escenario'!$C$11,1,1+$C$6))</f>
        <v>1.2</v>
      </c>
      <c r="DQ278" s="237" t="n">
        <f aca="false">IF(DQ276=0,0,IF(DQ276&lt;=12*'🎚️ Escenario'!$C$11,1,1+$C$6))</f>
        <v>1.2</v>
      </c>
      <c r="DR278" s="237" t="n">
        <f aca="false">IF(DR276=0,0,IF(DR276&lt;=12*'🎚️ Escenario'!$C$11,1,1+$C$6))</f>
        <v>1.2</v>
      </c>
      <c r="DS278" s="237" t="n">
        <f aca="false">IF(DS276=0,0,IF(DS276&lt;=12*'🎚️ Escenario'!$C$11,1,1+$C$6))</f>
        <v>1.2</v>
      </c>
      <c r="DT278" s="237" t="n">
        <f aca="false">IF(DT276=0,0,IF(DT276&lt;=12*'🎚️ Escenario'!$C$11,1,1+$C$6))</f>
        <v>1.2</v>
      </c>
      <c r="DU278" s="237" t="n">
        <f aca="false">IF(DU276=0,0,IF(DU276&lt;=12*'🎚️ Escenario'!$C$11,1,1+$C$6))</f>
        <v>1.2</v>
      </c>
      <c r="DV278" s="237" t="n">
        <f aca="false">IF(DV276=0,0,IF(DV276&lt;=12*'🎚️ Escenario'!$C$11,1,1+$C$6))</f>
        <v>1.2</v>
      </c>
      <c r="DW278" s="237" t="n">
        <f aca="false">IF(DW276=0,0,IF(DW276&lt;=12*'🎚️ Escenario'!$C$11,1,1+$C$6))</f>
        <v>1.2</v>
      </c>
      <c r="DX278" s="237" t="n">
        <f aca="false">IF(DX276=0,0,IF(DX276&lt;=12*'🎚️ Escenario'!$C$11,1,1+$C$6))</f>
        <v>1.2</v>
      </c>
      <c r="DY278" s="237" t="n">
        <f aca="false">IF(DY276=0,0,IF(DY276&lt;=12*'🎚️ Escenario'!$C$11,1,1+$C$6))</f>
        <v>1.2</v>
      </c>
      <c r="DZ278" s="237" t="n">
        <f aca="false">IF(DZ276=0,0,IF(DZ276&lt;=12*'🎚️ Escenario'!$C$11,1,1+$C$6))</f>
        <v>1.2</v>
      </c>
      <c r="EA278" s="237" t="n">
        <f aca="false">IF(EA276=0,0,IF(EA276&lt;=12*'🎚️ Escenario'!$C$11,1,1+$C$6))</f>
        <v>1.2</v>
      </c>
      <c r="EB278" s="237" t="n">
        <f aca="false">IF(EB276=0,0,IF(EB276&lt;=12*'🎚️ Escenario'!$C$11,1,1+$C$6))</f>
        <v>1.2</v>
      </c>
      <c r="EC278" s="237" t="n">
        <f aca="false">IF(EC276=0,0,IF(EC276&lt;=12*'🎚️ Escenario'!$C$11,1,1+$C$6))</f>
        <v>1.2</v>
      </c>
      <c r="ED278" s="237" t="n">
        <f aca="false">IF(ED276=0,0,IF(ED276&lt;=12*'🎚️ Escenario'!$C$11,1,1+$C$6))</f>
        <v>1.2</v>
      </c>
      <c r="EE278" s="237" t="n">
        <f aca="false">IF(EE276=0,0,IF(EE276&lt;=12*'🎚️ Escenario'!$C$11,1,1+$C$6))</f>
        <v>1.2</v>
      </c>
      <c r="EF278" s="237" t="n">
        <f aca="false">IF(EF276=0,0,IF(EF276&lt;=12*'🎚️ Escenario'!$C$11,1,1+$C$6))</f>
        <v>1.2</v>
      </c>
      <c r="EG278" s="237" t="n">
        <f aca="false">IF(EG276=0,0,IF(EG276&lt;=12*'🎚️ Escenario'!$C$11,1,1+$C$6))</f>
        <v>1.2</v>
      </c>
      <c r="EH278" s="237" t="n">
        <f aca="false">IF(EH276=0,0,IF(EH276&lt;=12*'🎚️ Escenario'!$C$11,1,1+$C$6))</f>
        <v>1.2</v>
      </c>
      <c r="EI278" s="237" t="n">
        <f aca="false">IF(EI276=0,0,IF(EI276&lt;=12*'🎚️ Escenario'!$C$11,1,1+$C$6))</f>
        <v>1.2</v>
      </c>
      <c r="EJ278" s="237" t="n">
        <f aca="false">IF(EJ276=0,0,IF(EJ276&lt;=12*'🎚️ Escenario'!$C$11,1,1+$C$6))</f>
        <v>1.2</v>
      </c>
      <c r="EK278" s="237" t="n">
        <f aca="false">IF(EK276=0,0,IF(EK276&lt;=12*'🎚️ Escenario'!$C$11,1,1+$C$6))</f>
        <v>1.2</v>
      </c>
      <c r="EL278" s="237" t="n">
        <f aca="false">IF(EL276=0,0,IF(EL276&lt;=12*'🎚️ Escenario'!$C$11,1,1+$C$6))</f>
        <v>1.2</v>
      </c>
      <c r="EM278" s="237" t="n">
        <f aca="false">IF(EM276=0,0,IF(EM276&lt;=12*'🎚️ Escenario'!$C$11,1,1+$C$6))</f>
        <v>1.2</v>
      </c>
      <c r="EN278" s="237" t="n">
        <f aca="false">IF(EN276=0,0,IF(EN276&lt;=12*'🎚️ Escenario'!$C$11,1,1+$C$6))</f>
        <v>1.2</v>
      </c>
      <c r="EO278" s="237" t="n">
        <f aca="false">IF(EO276=0,0,IF(EO276&lt;=12*'🎚️ Escenario'!$C$11,1,1+$C$6))</f>
        <v>1.2</v>
      </c>
      <c r="EP278" s="237" t="n">
        <f aca="false">IF(EP276=0,0,IF(EP276&lt;=12*'🎚️ Escenario'!$C$11,1,1+$C$6))</f>
        <v>1.2</v>
      </c>
      <c r="EQ278" s="237" t="n">
        <f aca="false">IF(EQ276=0,0,IF(EQ276&lt;=12*'🎚️ Escenario'!$C$11,1,1+$C$6))</f>
        <v>1.2</v>
      </c>
      <c r="ER278" s="237" t="n">
        <f aca="false">IF(ER276=0,0,IF(ER276&lt;=12*'🎚️ Escenario'!$C$11,1,1+$C$6))</f>
        <v>1.2</v>
      </c>
      <c r="ES278" s="238" t="n">
        <f aca="false">IF(ES276=0,0,IF(ES276&lt;=12*'🎚️ Escenario'!$C$11,1,1+$C$6))</f>
        <v>1.2</v>
      </c>
      <c r="ET278" s="238" t="n">
        <f aca="false">IF(ET276=0,0,IF(ET276&lt;=12*'🎚️ Escenario'!$C$11,1,1+$C$6))</f>
        <v>1.2</v>
      </c>
      <c r="EU278" s="238" t="n">
        <f aca="false">IF(EU276=0,0,IF(EU276&lt;=12*'🎚️ Escenario'!$C$11,1,1+$C$6))</f>
        <v>1.2</v>
      </c>
      <c r="EV278" s="238" t="n">
        <f aca="false">IF(EV276=0,0,IF(EV276&lt;=12*'🎚️ Escenario'!$C$11,1,1+$C$6))</f>
        <v>1.2</v>
      </c>
      <c r="EW278" s="238" t="n">
        <f aca="false">IF(EW276=0,0,IF(EW276&lt;=12*'🎚️ Escenario'!$C$11,1,1+$C$6))</f>
        <v>1.2</v>
      </c>
      <c r="EX278" s="238" t="n">
        <f aca="false">IF(EX276=0,0,IF(EX276&lt;=12*'🎚️ Escenario'!$C$11,1,1+$C$6))</f>
        <v>1.2</v>
      </c>
      <c r="EY278" s="238" t="n">
        <f aca="false">IF(EY276=0,0,IF(EY276&lt;=12*'🎚️ Escenario'!$C$11,1,1+$C$6))</f>
        <v>1.2</v>
      </c>
      <c r="EZ278" s="238" t="n">
        <f aca="false">IF(EZ276=0,0,IF(EZ276&lt;=12*'🎚️ Escenario'!$C$11,1,1+$C$6))</f>
        <v>1.2</v>
      </c>
      <c r="FA278" s="238" t="n">
        <f aca="false">IF(FA276=0,0,IF(FA276&lt;=12*'🎚️ Escenario'!$C$11,1,1+$C$6))</f>
        <v>1.2</v>
      </c>
      <c r="FB278" s="238" t="n">
        <f aca="false">IF(FB276=0,0,IF(FB276&lt;=12*'🎚️ Escenario'!$C$11,1,1+$C$6))</f>
        <v>1.2</v>
      </c>
      <c r="FC278" s="238" t="n">
        <f aca="false">IF(FC276=0,0,IF(FC276&lt;=12*'🎚️ Escenario'!$C$11,1,1+$C$6))</f>
        <v>1.2</v>
      </c>
      <c r="FD278" s="238" t="n">
        <f aca="false">IF(FD276=0,0,IF(FD276&lt;=12*'🎚️ Escenario'!$C$11,1,1+$C$6))</f>
        <v>1.2</v>
      </c>
      <c r="FE278" s="238" t="n">
        <f aca="false">IF(FE276=0,0,IF(FE276&lt;=12*'🎚️ Escenario'!$C$11,1,1+$C$6))</f>
        <v>1.2</v>
      </c>
      <c r="FF278" s="238" t="n">
        <f aca="false">IF(FF276=0,0,IF(FF276&lt;=12*'🎚️ Escenario'!$C$11,1,1+$C$6))</f>
        <v>1.2</v>
      </c>
      <c r="FG278" s="238" t="n">
        <f aca="false">IF(FG276=0,0,IF(FG276&lt;=12*'🎚️ Escenario'!$C$11,1,1+$C$6))</f>
        <v>1.2</v>
      </c>
      <c r="FH278" s="238" t="n">
        <f aca="false">IF(FH276=0,0,IF(FH276&lt;=12*'🎚️ Escenario'!$C$11,1,1+$C$6))</f>
        <v>1.2</v>
      </c>
      <c r="FI278" s="238" t="n">
        <f aca="false">IF(FI276=0,0,IF(FI276&lt;=12*'🎚️ Escenario'!$C$11,1,1+$C$6))</f>
        <v>1.2</v>
      </c>
      <c r="FJ278" s="238" t="n">
        <f aca="false">IF(FJ276=0,0,IF(FJ276&lt;=12*'🎚️ Escenario'!$C$11,1,1+$C$6))</f>
        <v>1.2</v>
      </c>
      <c r="FK278" s="238" t="n">
        <f aca="false">IF(FK276=0,0,IF(FK276&lt;=12*'🎚️ Escenario'!$C$11,1,1+$C$6))</f>
        <v>1.2</v>
      </c>
      <c r="FL278" s="238" t="n">
        <f aca="false">IF(FL276=0,0,IF(FL276&lt;=12*'🎚️ Escenario'!$C$11,1,1+$C$6))</f>
        <v>1.2</v>
      </c>
      <c r="FM278" s="238" t="n">
        <f aca="false">IF(FM276=0,0,IF(FM276&lt;=12*'🎚️ Escenario'!$C$11,1,1+$C$6))</f>
        <v>1.2</v>
      </c>
      <c r="FN278" s="238" t="n">
        <f aca="false">IF(FN276=0,0,IF(FN276&lt;=12*'🎚️ Escenario'!$C$11,1,1+$C$6))</f>
        <v>1.2</v>
      </c>
      <c r="FO278" s="238" t="n">
        <f aca="false">IF(FO276=0,0,IF(FO276&lt;=12*'🎚️ Escenario'!$C$11,1,1+$C$6))</f>
        <v>1.2</v>
      </c>
      <c r="FP278" s="238" t="n">
        <f aca="false">IF(FP276=0,0,IF(FP276&lt;=12*'🎚️ Escenario'!$C$11,1,1+$C$6))</f>
        <v>1.2</v>
      </c>
    </row>
    <row r="279" customFormat="false" ht="15" hidden="false" customHeight="false" outlineLevel="2" collapsed="false">
      <c r="B279" s="47" t="s">
        <v>876</v>
      </c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237" t="n">
        <f aca="false">AC277*$AC$275*AC278*AC$38*'⑫ Roll-out Plan'!$O$32</f>
        <v>0</v>
      </c>
      <c r="AD279" s="237" t="n">
        <f aca="false">AD277*$AC$275*AD278*AD$38*'⑫ Roll-out Plan'!$O$32</f>
        <v>0</v>
      </c>
      <c r="AE279" s="237" t="n">
        <f aca="false">AE277*$AC$275*AE278*AE$38*'⑫ Roll-out Plan'!$O$32</f>
        <v>0</v>
      </c>
      <c r="AF279" s="237" t="n">
        <f aca="false">AF277*$AC$275*AF278*AF$38*'⑫ Roll-out Plan'!$O$32</f>
        <v>0</v>
      </c>
      <c r="AG279" s="237" t="n">
        <f aca="false">AG277*$AC$275*AG278*AG$38*'⑫ Roll-out Plan'!$O$32</f>
        <v>0</v>
      </c>
      <c r="AH279" s="237" t="n">
        <f aca="false">AH277*$AC$275*AH278*AH$38*'⑫ Roll-out Plan'!$O$32</f>
        <v>0</v>
      </c>
      <c r="AI279" s="237" t="n">
        <f aca="false">AI277*$AC$275*AI278*AI$38*'⑫ Roll-out Plan'!$O$32</f>
        <v>0</v>
      </c>
      <c r="AJ279" s="237" t="n">
        <f aca="false">AJ277*$AC$275*AJ278*AJ$38*'⑫ Roll-out Plan'!$O$32</f>
        <v>0</v>
      </c>
      <c r="AK279" s="237" t="n">
        <f aca="false">AK277*$AC$275*AK278*AK$38*'⑫ Roll-out Plan'!$O$32</f>
        <v>0</v>
      </c>
      <c r="AL279" s="237" t="n">
        <f aca="false">AL277*$AC$275*AL278*AL$38*'⑫ Roll-out Plan'!$O$32</f>
        <v>0</v>
      </c>
      <c r="AM279" s="237" t="n">
        <f aca="false">AM277*$AC$275*AM278*AM$38*'⑫ Roll-out Plan'!$O$32</f>
        <v>0</v>
      </c>
      <c r="AN279" s="237" t="n">
        <f aca="false">AN277*$AC$275*AN278*AN$38*'⑫ Roll-out Plan'!$O$32</f>
        <v>0</v>
      </c>
      <c r="AO279" s="237" t="n">
        <f aca="false">AO277*$AC$275*AO278*AO$38*'⑫ Roll-out Plan'!$O$32</f>
        <v>0</v>
      </c>
      <c r="AP279" s="237" t="n">
        <f aca="false">AP277*$AC$275*AP278*AP$38*'⑫ Roll-out Plan'!$O$32</f>
        <v>0</v>
      </c>
      <c r="AQ279" s="237" t="n">
        <f aca="false">AQ277*$AC$275*AQ278*AQ$38*'⑫ Roll-out Plan'!$O$32</f>
        <v>0</v>
      </c>
      <c r="AR279" s="237" t="n">
        <f aca="false">AR277*$AC$275*AR278*AR$38*'⑫ Roll-out Plan'!$O$32</f>
        <v>0</v>
      </c>
      <c r="AS279" s="237" t="n">
        <f aca="false">AS277*$AC$275*AS278*AS$38*'⑫ Roll-out Plan'!$O$32</f>
        <v>0</v>
      </c>
      <c r="AT279" s="237" t="n">
        <f aca="false">AT277*$AC$275*AT278*AT$38*'⑫ Roll-out Plan'!$O$32</f>
        <v>0</v>
      </c>
      <c r="AU279" s="237" t="n">
        <f aca="false">AU277*$AC$275*AU278*AU$38*'⑫ Roll-out Plan'!$O$32</f>
        <v>0</v>
      </c>
      <c r="AV279" s="237" t="n">
        <f aca="false">AV277*$AC$275*AV278*AV$38*'⑫ Roll-out Plan'!$O$32</f>
        <v>0</v>
      </c>
      <c r="AW279" s="237" t="n">
        <f aca="false">AW277*$AC$275*AW278*AW$38*'⑫ Roll-out Plan'!$O$32</f>
        <v>0</v>
      </c>
      <c r="AX279" s="237" t="n">
        <f aca="false">AX277*$AC$275*AX278*AX$38*'⑫ Roll-out Plan'!$O$32</f>
        <v>0</v>
      </c>
      <c r="AY279" s="237" t="n">
        <f aca="false">AY277*$AC$275*AY278*AY$38*'⑫ Roll-out Plan'!$O$32</f>
        <v>0</v>
      </c>
      <c r="AZ279" s="237" t="n">
        <f aca="false">AZ277*$AC$275*AZ278*AZ$38*'⑫ Roll-out Plan'!$O$32</f>
        <v>0</v>
      </c>
      <c r="BA279" s="237" t="n">
        <f aca="false">BA277*$AC$275*BA278*BA$38*'⑫ Roll-out Plan'!$O$32</f>
        <v>0</v>
      </c>
      <c r="BB279" s="237" t="n">
        <f aca="false">BB277*$AC$275*BB278*BB$38*'⑫ Roll-out Plan'!$O$32</f>
        <v>0</v>
      </c>
      <c r="BC279" s="237" t="n">
        <f aca="false">BC277*$AC$275*BC278*BC$38*'⑫ Roll-out Plan'!$O$32</f>
        <v>0</v>
      </c>
      <c r="BD279" s="237" t="n">
        <f aca="false">BD277*$AC$275*BD278*BD$38*'⑫ Roll-out Plan'!$O$32</f>
        <v>0</v>
      </c>
      <c r="BE279" s="237" t="n">
        <f aca="false">BE277*$AC$275*BE278*BE$38*'⑫ Roll-out Plan'!$O$32</f>
        <v>0</v>
      </c>
      <c r="BF279" s="237" t="n">
        <f aca="false">BF277*$AC$275*BF278*BF$38*'⑫ Roll-out Plan'!$O$32</f>
        <v>0</v>
      </c>
      <c r="BG279" s="237" t="n">
        <f aca="false">BG277*$AC$275*BG278*BG$38*'⑫ Roll-out Plan'!$O$32</f>
        <v>0</v>
      </c>
      <c r="BH279" s="237" t="n">
        <f aca="false">BH277*$AC$275*BH278*BH$38*'⑫ Roll-out Plan'!$O$32</f>
        <v>0</v>
      </c>
      <c r="BI279" s="237" t="n">
        <f aca="false">BI277*$AC$275*BI278*BI$38*'⑫ Roll-out Plan'!$O$32</f>
        <v>0</v>
      </c>
      <c r="BJ279" s="237" t="n">
        <f aca="false">BJ277*$AC$275*BJ278*BJ$38*'⑫ Roll-out Plan'!$O$32</f>
        <v>0</v>
      </c>
      <c r="BK279" s="237" t="n">
        <f aca="false">BK277*$AC$275*BK278*BK$38*'⑫ Roll-out Plan'!$O$32</f>
        <v>0</v>
      </c>
      <c r="BL279" s="237" t="n">
        <f aca="false">BL277*$AC$275*BL278*BL$38*'⑫ Roll-out Plan'!$O$32</f>
        <v>0</v>
      </c>
      <c r="BM279" s="237" t="n">
        <f aca="false">BM277*$AC$275*BM278*BM$38*'⑫ Roll-out Plan'!$O$32</f>
        <v>0</v>
      </c>
      <c r="BN279" s="237" t="n">
        <f aca="false">BN277*$AC$275*BN278*BN$38*'⑫ Roll-out Plan'!$O$32</f>
        <v>0</v>
      </c>
      <c r="BO279" s="237" t="n">
        <f aca="false">BO277*$AC$275*BO278*BO$38*'⑫ Roll-out Plan'!$O$32</f>
        <v>0</v>
      </c>
      <c r="BP279" s="237" t="n">
        <f aca="false">BP277*$AC$275*BP278*BP$38*'⑫ Roll-out Plan'!$O$32</f>
        <v>0</v>
      </c>
      <c r="BQ279" s="237" t="n">
        <f aca="false">BQ277*$AC$275*BQ278*BQ$38*'⑫ Roll-out Plan'!$O$32</f>
        <v>0</v>
      </c>
      <c r="BR279" s="237" t="n">
        <f aca="false">BR277*$AC$275*BR278*BR$38*'⑫ Roll-out Plan'!$O$32</f>
        <v>0</v>
      </c>
      <c r="BS279" s="237" t="n">
        <f aca="false">BS277*$AC$275*BS278*BS$38*'⑫ Roll-out Plan'!$O$32</f>
        <v>0</v>
      </c>
      <c r="BT279" s="237" t="n">
        <f aca="false">BT277*$AC$275*BT278*BT$38*'⑫ Roll-out Plan'!$O$32</f>
        <v>0</v>
      </c>
      <c r="BU279" s="237" t="n">
        <f aca="false">BU277*$AC$275*BU278*BU$38*'⑫ Roll-out Plan'!$O$32</f>
        <v>48.72</v>
      </c>
      <c r="BV279" s="237" t="n">
        <f aca="false">BV277*$AC$275*BV278*BV$38*'⑫ Roll-out Plan'!$O$32</f>
        <v>44.352</v>
      </c>
      <c r="BW279" s="237" t="n">
        <f aca="false">BW277*$AC$275*BW278*BW$38*'⑫ Roll-out Plan'!$O$32</f>
        <v>36.288</v>
      </c>
      <c r="BX279" s="237" t="n">
        <f aca="false">BX277*$AC$275*BX278*BX$38*'⑫ Roll-out Plan'!$O$32</f>
        <v>57.834</v>
      </c>
      <c r="BY279" s="237" t="n">
        <f aca="false">BY277*$AC$275*BY278*BY$38*'⑫ Roll-out Plan'!$O$32</f>
        <v>61.236</v>
      </c>
      <c r="BZ279" s="237" t="n">
        <f aca="false">BZ277*$AC$275*BZ278*BZ$38*'⑫ Roll-out Plan'!$O$32</f>
        <v>53.382</v>
      </c>
      <c r="CA279" s="237" t="n">
        <f aca="false">CA277*$AC$275*CA278*CA$38*'⑫ Roll-out Plan'!$O$32</f>
        <v>85.26</v>
      </c>
      <c r="CB279" s="237" t="n">
        <f aca="false">CB277*$AC$275*CB278*CB$38*'⑫ Roll-out Plan'!$O$32</f>
        <v>90.09</v>
      </c>
      <c r="CC279" s="237" t="n">
        <f aca="false">CC277*$AC$275*CC278*CC$38*'⑫ Roll-out Plan'!$O$32</f>
        <v>85.008</v>
      </c>
      <c r="CD279" s="237" t="n">
        <f aca="false">CD277*$AC$275*CD278*CD$38*'⑫ Roll-out Plan'!$O$32</f>
        <v>73.92</v>
      </c>
      <c r="CE279" s="237" t="n">
        <f aca="false">CE277*$AC$275*CE278*CE$38*'⑫ Roll-out Plan'!$O$32</f>
        <v>84.672</v>
      </c>
      <c r="CF279" s="237" t="n">
        <f aca="false">CF277*$AC$275*CF278*CF$38*'⑫ Roll-out Plan'!$O$32</f>
        <v>155.064</v>
      </c>
      <c r="CG279" s="237" t="n">
        <f aca="false">CG277*$AC$275*CG278*CG$38*'⑫ Roll-out Plan'!$O$32</f>
        <v>136.416</v>
      </c>
      <c r="CH279" s="237" t="n">
        <f aca="false">CH277*$AC$275*CH278*CH$38*'⑫ Roll-out Plan'!$O$32</f>
        <v>120.96</v>
      </c>
      <c r="CI279" s="237" t="n">
        <f aca="false">CI277*$AC$275*CI278*CI$38*'⑫ Roll-out Plan'!$O$32</f>
        <v>90.72</v>
      </c>
      <c r="CJ279" s="237" t="n">
        <f aca="false">CJ277*$AC$275*CJ278*CJ$38*'⑫ Roll-out Plan'!$O$32</f>
        <v>161.9352</v>
      </c>
      <c r="CK279" s="237" t="n">
        <f aca="false">CK277*$AC$275*CK278*CK$38*'⑫ Roll-out Plan'!$O$32</f>
        <v>179.6256</v>
      </c>
      <c r="CL279" s="237" t="n">
        <f aca="false">CL277*$AC$275*CL278*CL$38*'⑫ Roll-out Plan'!$O$32</f>
        <v>142.5816</v>
      </c>
      <c r="CM279" s="237" t="n">
        <f aca="false">CM277*$AC$275*CM278*CM$38*'⑫ Roll-out Plan'!$O$32</f>
        <v>207.5472</v>
      </c>
      <c r="CN279" s="237" t="n">
        <f aca="false">CN277*$AC$275*CN278*CN$38*'⑫ Roll-out Plan'!$O$32</f>
        <v>196.812</v>
      </c>
      <c r="CO279" s="237" t="n">
        <f aca="false">CO277*$AC$275*CO278*CO$38*'⑫ Roll-out Plan'!$O$32</f>
        <v>169.2432</v>
      </c>
      <c r="CP279" s="237" t="n">
        <f aca="false">CP277*$AC$275*CP278*CP$38*'⑫ Roll-out Plan'!$O$32</f>
        <v>151.2</v>
      </c>
      <c r="CQ279" s="237" t="n">
        <f aca="false">CQ277*$AC$275*CQ278*CQ$38*'⑫ Roll-out Plan'!$O$32</f>
        <v>162.9936</v>
      </c>
      <c r="CR279" s="237" t="n">
        <f aca="false">CR277*$AC$275*CR278*CR$38*'⑫ Roll-out Plan'!$O$32</f>
        <v>282.6936</v>
      </c>
      <c r="CS279" s="237" t="n">
        <f aca="false">CS277*$AC$275*CS278*CS$38*'⑫ Roll-out Plan'!$O$32</f>
        <v>230.9328</v>
      </c>
      <c r="CT279" s="237" t="n">
        <f aca="false">CT277*$AC$275*CT278*CT$38*'⑫ Roll-out Plan'!$O$32</f>
        <v>193.536</v>
      </c>
      <c r="CU279" s="237" t="n">
        <f aca="false">CU277*$AC$275*CU278*CU$38*'⑫ Roll-out Plan'!$O$32</f>
        <v>148.7808</v>
      </c>
      <c r="CV279" s="237" t="n">
        <f aca="false">CV277*$AC$275*CV278*CV$38*'⑫ Roll-out Plan'!$O$32</f>
        <v>215.9136</v>
      </c>
      <c r="CW279" s="237" t="n">
        <f aca="false">CW277*$AC$275*CW278*CW$38*'⑫ Roll-out Plan'!$O$32</f>
        <v>231.336</v>
      </c>
      <c r="CX279" s="237" t="n">
        <f aca="false">CX277*$AC$275*CX278*CX$38*'⑫ Roll-out Plan'!$O$32</f>
        <v>175.644</v>
      </c>
      <c r="CY279" s="237" t="n">
        <f aca="false">CY277*$AC$275*CY278*CY$38*'⑫ Roll-out Plan'!$O$32</f>
        <v>251.3952</v>
      </c>
      <c r="CZ279" s="237" t="n">
        <f aca="false">CZ277*$AC$275*CZ278*CZ$38*'⑫ Roll-out Plan'!$O$32</f>
        <v>243.936</v>
      </c>
      <c r="DA279" s="237" t="n">
        <f aca="false">DA277*$AC$275*DA278*DA$38*'⑫ Roll-out Plan'!$O$32</f>
        <v>206.3376</v>
      </c>
      <c r="DB279" s="237" t="n">
        <f aca="false">DB277*$AC$275*DB278*DB$38*'⑫ Roll-out Plan'!$O$32</f>
        <v>181.44</v>
      </c>
      <c r="DC279" s="237" t="n">
        <f aca="false">DC277*$AC$275*DC278*DC$38*'⑫ Roll-out Plan'!$O$32</f>
        <v>190.512</v>
      </c>
      <c r="DD279" s="237" t="n">
        <f aca="false">DD277*$AC$275*DD278*DD$38*'⑫ Roll-out Plan'!$O$32</f>
        <v>329.2128</v>
      </c>
      <c r="DE279" s="237" t="n">
        <f aca="false">DE277*$AC$275*DE278*DE$38*'⑫ Roll-out Plan'!$O$32</f>
        <v>271.8576</v>
      </c>
      <c r="DF279" s="237" t="n">
        <f aca="false">DF277*$AC$275*DF278*DF$38*'⑫ Roll-out Plan'!$O$32</f>
        <v>227.4048</v>
      </c>
      <c r="DG279" s="237" t="n">
        <f aca="false">DG277*$AC$275*DG278*DG$38*'⑫ Roll-out Plan'!$O$32</f>
        <v>172.368</v>
      </c>
      <c r="DH279" s="237" t="n">
        <f aca="false">DH277*$AC$275*DH278*DH$38*'⑫ Roll-out Plan'!$O$32</f>
        <v>244.188</v>
      </c>
      <c r="DI279" s="237" t="n">
        <f aca="false">DI277*$AC$275*DI278*DI$38*'⑫ Roll-out Plan'!$O$32</f>
        <v>263.9952</v>
      </c>
      <c r="DJ279" s="237" t="n">
        <f aca="false">DJ277*$AC$275*DJ278*DJ$38*'⑫ Roll-out Plan'!$O$32</f>
        <v>202.5072</v>
      </c>
      <c r="DK279" s="237" t="n">
        <f aca="false">DK277*$AC$275*DK278*DK$38*'⑫ Roll-out Plan'!$O$32</f>
        <v>289.3968</v>
      </c>
      <c r="DL279" s="237" t="n">
        <f aca="false">DL277*$AC$275*DL278*DL$38*'⑫ Roll-out Plan'!$O$32</f>
        <v>277.2</v>
      </c>
      <c r="DM279" s="237" t="n">
        <f aca="false">DM277*$AC$275*DM278*DM$38*'⑫ Roll-out Plan'!$O$32</f>
        <v>231.84</v>
      </c>
      <c r="DN279" s="237" t="n">
        <f aca="false">DN277*$AC$275*DN278*DN$38*'⑫ Roll-out Plan'!$O$32</f>
        <v>201.6</v>
      </c>
      <c r="DO279" s="237" t="n">
        <f aca="false">DO277*$AC$275*DO278*DO$38*'⑫ Roll-out Plan'!$O$32</f>
        <v>211.68</v>
      </c>
      <c r="DP279" s="237" t="n">
        <f aca="false">DP277*$AC$275*DP278*DP$38*'⑫ Roll-out Plan'!$O$32</f>
        <v>357.84</v>
      </c>
      <c r="DQ279" s="237" t="n">
        <f aca="false">DQ277*$AC$275*DQ278*DQ$38*'⑫ Roll-out Plan'!$O$32</f>
        <v>292.32</v>
      </c>
      <c r="DR279" s="237" t="n">
        <f aca="false">DR277*$AC$275*DR278*DR$38*'⑫ Roll-out Plan'!$O$32</f>
        <v>241.92</v>
      </c>
      <c r="DS279" s="237" t="n">
        <f aca="false">DS277*$AC$275*DS278*DS$38*'⑫ Roll-out Plan'!$O$32</f>
        <v>181.44</v>
      </c>
      <c r="DT279" s="237" t="n">
        <f aca="false">DT277*$AC$275*DT278*DT$38*'⑫ Roll-out Plan'!$O$32</f>
        <v>257.04</v>
      </c>
      <c r="DU279" s="237" t="n">
        <f aca="false">DU277*$AC$275*DU278*DU$38*'⑫ Roll-out Plan'!$O$32</f>
        <v>272.16</v>
      </c>
      <c r="DV279" s="237" t="n">
        <f aca="false">DV277*$AC$275*DV278*DV$38*'⑫ Roll-out Plan'!$O$32</f>
        <v>206.64</v>
      </c>
      <c r="DW279" s="237" t="n">
        <f aca="false">DW277*$AC$275*DW278*DW$38*'⑫ Roll-out Plan'!$O$32</f>
        <v>292.32</v>
      </c>
      <c r="DX279" s="237" t="n">
        <f aca="false">DX277*$AC$275*DX278*DX$38*'⑫ Roll-out Plan'!$O$32</f>
        <v>277.2</v>
      </c>
      <c r="DY279" s="237" t="n">
        <f aca="false">DY277*$AC$275*DY278*DY$38*'⑫ Roll-out Plan'!$O$32</f>
        <v>231.84</v>
      </c>
      <c r="DZ279" s="237" t="n">
        <f aca="false">DZ277*$AC$275*DZ278*DZ$38*'⑫ Roll-out Plan'!$O$32</f>
        <v>201.6</v>
      </c>
      <c r="EA279" s="237" t="n">
        <f aca="false">EA277*$AC$275*EA278*EA$38*'⑫ Roll-out Plan'!$O$32</f>
        <v>211.68</v>
      </c>
      <c r="EB279" s="237" t="n">
        <f aca="false">EB277*$AC$275*EB278*EB$38*'⑫ Roll-out Plan'!$O$32</f>
        <v>357.84</v>
      </c>
      <c r="EC279" s="237" t="n">
        <f aca="false">EC277*$AC$275*EC278*EC$38*'⑫ Roll-out Plan'!$O$32</f>
        <v>292.32</v>
      </c>
      <c r="ED279" s="237" t="n">
        <f aca="false">ED277*$AC$275*ED278*ED$38*'⑫ Roll-out Plan'!$O$32</f>
        <v>241.92</v>
      </c>
      <c r="EE279" s="237" t="n">
        <f aca="false">EE277*$AC$275*EE278*EE$38*'⑫ Roll-out Plan'!$O$32</f>
        <v>181.44</v>
      </c>
      <c r="EF279" s="237" t="n">
        <f aca="false">EF277*$AC$275*EF278*EF$38*'⑫ Roll-out Plan'!$O$32</f>
        <v>257.04</v>
      </c>
      <c r="EG279" s="237" t="n">
        <f aca="false">EG277*$AC$275*EG278*EG$38*'⑫ Roll-out Plan'!$O$32</f>
        <v>272.16</v>
      </c>
      <c r="EH279" s="237" t="n">
        <f aca="false">EH277*$AC$275*EH278*EH$38*'⑫ Roll-out Plan'!$O$32</f>
        <v>206.64</v>
      </c>
      <c r="EI279" s="237" t="n">
        <f aca="false">EI277*$AC$275*EI278*EI$38*'⑫ Roll-out Plan'!$O$32</f>
        <v>292.32</v>
      </c>
      <c r="EJ279" s="237" t="n">
        <f aca="false">EJ277*$AC$275*EJ278*EJ$38*'⑫ Roll-out Plan'!$O$32</f>
        <v>277.2</v>
      </c>
      <c r="EK279" s="237" t="n">
        <f aca="false">EK277*$AC$275*EK278*EK$38*'⑫ Roll-out Plan'!$O$32</f>
        <v>231.84</v>
      </c>
      <c r="EL279" s="237" t="n">
        <f aca="false">EL277*$AC$275*EL278*EL$38*'⑫ Roll-out Plan'!$O$32</f>
        <v>201.6</v>
      </c>
      <c r="EM279" s="237" t="n">
        <f aca="false">EM277*$AC$275*EM278*EM$38*'⑫ Roll-out Plan'!$O$32</f>
        <v>211.68</v>
      </c>
      <c r="EN279" s="237" t="n">
        <f aca="false">EN277*$AC$275*EN278*EN$38*'⑫ Roll-out Plan'!$O$32</f>
        <v>357.84</v>
      </c>
      <c r="EO279" s="237" t="n">
        <f aca="false">EO277*$AC$275*EO278*EO$38*'⑫ Roll-out Plan'!$O$32</f>
        <v>292.32</v>
      </c>
      <c r="EP279" s="237" t="n">
        <f aca="false">EP277*$AC$275*EP278*EP$38*'⑫ Roll-out Plan'!$O$32</f>
        <v>241.92</v>
      </c>
      <c r="EQ279" s="237" t="n">
        <f aca="false">EQ277*$AC$275*EQ278*EQ$38*'⑫ Roll-out Plan'!$O$32</f>
        <v>181.44</v>
      </c>
      <c r="ER279" s="237" t="n">
        <f aca="false">ER277*$AC$275*ER278*ER$38*'⑫ Roll-out Plan'!$O$32</f>
        <v>257.04</v>
      </c>
      <c r="ES279" s="9" t="n">
        <f aca="false">ES277*$AC$275*ES278*ES$38*'⑫ Roll-out Plan'!$O$32</f>
        <v>272.16</v>
      </c>
      <c r="ET279" s="9" t="n">
        <f aca="false">ET277*$AC$275*ET278*ET$38*'⑫ Roll-out Plan'!$O$32</f>
        <v>206.64</v>
      </c>
      <c r="EU279" s="9" t="n">
        <f aca="false">EU277*$AC$275*EU278*EU$38*'⑫ Roll-out Plan'!$O$32</f>
        <v>292.32</v>
      </c>
      <c r="EV279" s="9" t="n">
        <f aca="false">EV277*$AC$275*EV278*EV$38*'⑫ Roll-out Plan'!$O$32</f>
        <v>277.2</v>
      </c>
      <c r="EW279" s="9" t="n">
        <f aca="false">EW277*$AC$275*EW278*EW$38*'⑫ Roll-out Plan'!$O$32</f>
        <v>231.84</v>
      </c>
      <c r="EX279" s="9" t="n">
        <f aca="false">EX277*$AC$275*EX278*EX$38*'⑫ Roll-out Plan'!$O$32</f>
        <v>201.6</v>
      </c>
      <c r="EY279" s="9" t="n">
        <f aca="false">EY277*$AC$275*EY278*EY$38*'⑫ Roll-out Plan'!$O$32</f>
        <v>211.68</v>
      </c>
      <c r="EZ279" s="9" t="n">
        <f aca="false">EZ277*$AC$275*EZ278*EZ$38*'⑫ Roll-out Plan'!$O$32</f>
        <v>357.84</v>
      </c>
      <c r="FA279" s="9" t="n">
        <f aca="false">FA277*$AC$275*FA278*FA$38*'⑫ Roll-out Plan'!$O$32</f>
        <v>292.32</v>
      </c>
      <c r="FB279" s="9" t="n">
        <f aca="false">FB277*$AC$275*FB278*FB$38*'⑫ Roll-out Plan'!$O$32</f>
        <v>241.92</v>
      </c>
      <c r="FC279" s="9" t="n">
        <f aca="false">FC277*$AC$275*FC278*FC$38*'⑫ Roll-out Plan'!$O$32</f>
        <v>181.44</v>
      </c>
      <c r="FD279" s="9" t="n">
        <f aca="false">FD277*$AC$275*FD278*FD$38*'⑫ Roll-out Plan'!$O$32</f>
        <v>257.04</v>
      </c>
      <c r="FE279" s="9" t="n">
        <f aca="false">FE277*$AC$275*FE278*FE$38*'⑫ Roll-out Plan'!$O$32</f>
        <v>272.16</v>
      </c>
      <c r="FF279" s="9" t="n">
        <f aca="false">FF277*$AC$275*FF278*FF$38*'⑫ Roll-out Plan'!$O$32</f>
        <v>206.64</v>
      </c>
      <c r="FG279" s="9" t="n">
        <f aca="false">FG277*$AC$275*FG278*FG$38*'⑫ Roll-out Plan'!$O$32</f>
        <v>292.32</v>
      </c>
      <c r="FH279" s="9" t="n">
        <f aca="false">FH277*$AC$275*FH278*FH$38*'⑫ Roll-out Plan'!$O$32</f>
        <v>277.2</v>
      </c>
      <c r="FI279" s="9" t="n">
        <f aca="false">FI277*$AC$275*FI278*FI$38*'⑫ Roll-out Plan'!$O$32</f>
        <v>231.84</v>
      </c>
      <c r="FJ279" s="9" t="n">
        <f aca="false">FJ277*$AC$275*FJ278*FJ$38*'⑫ Roll-out Plan'!$O$32</f>
        <v>201.6</v>
      </c>
      <c r="FK279" s="9" t="n">
        <f aca="false">FK277*$AC$275*FK278*FK$38*'⑫ Roll-out Plan'!$O$32</f>
        <v>211.68</v>
      </c>
      <c r="FL279" s="9" t="n">
        <f aca="false">FL277*$AC$275*FL278*FL$38*'⑫ Roll-out Plan'!$O$32</f>
        <v>357.84</v>
      </c>
      <c r="FM279" s="9" t="n">
        <f aca="false">FM277*$AC$275*FM278*FM$38*'⑫ Roll-out Plan'!$O$32</f>
        <v>292.32</v>
      </c>
      <c r="FN279" s="9" t="n">
        <f aca="false">FN277*$AC$275*FN278*FN$38*'⑫ Roll-out Plan'!$O$32</f>
        <v>241.92</v>
      </c>
      <c r="FO279" s="9" t="n">
        <f aca="false">FO277*$AC$275*FO278*FO$38*'⑫ Roll-out Plan'!$O$32</f>
        <v>181.44</v>
      </c>
      <c r="FP279" s="9" t="n">
        <f aca="false">FP277*$AC$275*FP278*FP$38*'⑫ Roll-out Plan'!$O$32</f>
        <v>257.04</v>
      </c>
    </row>
    <row r="280" customFormat="false" ht="15" hidden="false" customHeight="false" outlineLevel="2" collapsed="false">
      <c r="B280" s="47" t="s">
        <v>877</v>
      </c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237" t="n">
        <f aca="true">IFERROR(SUMPRODUCT(OFFSET($BJ$31,0,1-MIN(60,COLUMN()-29),1,MIN(60,COLUMN()-29)),OFFSET(AC279,0,-MIN(60,COLUMN()-29),1,MIN(60,COLUMN()-29))),0)</f>
        <v>0</v>
      </c>
      <c r="AD280" s="237" t="n">
        <f aca="true">IFERROR(SUMPRODUCT(OFFSET($BJ$31,0,1-MIN(60,COLUMN()-29),1,MIN(60,COLUMN()-29)),OFFSET(AD279,0,-MIN(60,COLUMN()-29),1,MIN(60,COLUMN()-29))),0)</f>
        <v>0</v>
      </c>
      <c r="AE280" s="237" t="n">
        <f aca="true">IFERROR(SUMPRODUCT(OFFSET($BJ$31,0,1-MIN(60,COLUMN()-29),1,MIN(60,COLUMN()-29)),OFFSET(AE279,0,-MIN(60,COLUMN()-29),1,MIN(60,COLUMN()-29))),0)</f>
        <v>0</v>
      </c>
      <c r="AF280" s="237" t="n">
        <f aca="true">IFERROR(SUMPRODUCT(OFFSET($BJ$31,0,1-MIN(60,COLUMN()-29),1,MIN(60,COLUMN()-29)),OFFSET(AF279,0,-MIN(60,COLUMN()-29),1,MIN(60,COLUMN()-29))),0)</f>
        <v>0</v>
      </c>
      <c r="AG280" s="237" t="n">
        <f aca="true">IFERROR(SUMPRODUCT(OFFSET($BJ$31,0,1-MIN(60,COLUMN()-29),1,MIN(60,COLUMN()-29)),OFFSET(AG279,0,-MIN(60,COLUMN()-29),1,MIN(60,COLUMN()-29))),0)</f>
        <v>0</v>
      </c>
      <c r="AH280" s="237" t="n">
        <f aca="true">IFERROR(SUMPRODUCT(OFFSET($BJ$31,0,1-MIN(60,COLUMN()-29),1,MIN(60,COLUMN()-29)),OFFSET(AH279,0,-MIN(60,COLUMN()-29),1,MIN(60,COLUMN()-29))),0)</f>
        <v>0</v>
      </c>
      <c r="AI280" s="237" t="n">
        <f aca="true">IFERROR(SUMPRODUCT(OFFSET($BJ$31,0,1-MIN(60,COLUMN()-29),1,MIN(60,COLUMN()-29)),OFFSET(AI279,0,-MIN(60,COLUMN()-29),1,MIN(60,COLUMN()-29))),0)</f>
        <v>0</v>
      </c>
      <c r="AJ280" s="237" t="n">
        <f aca="true">IFERROR(SUMPRODUCT(OFFSET($BJ$31,0,1-MIN(60,COLUMN()-29),1,MIN(60,COLUMN()-29)),OFFSET(AJ279,0,-MIN(60,COLUMN()-29),1,MIN(60,COLUMN()-29))),0)</f>
        <v>0</v>
      </c>
      <c r="AK280" s="237" t="n">
        <f aca="true">IFERROR(SUMPRODUCT(OFFSET($BJ$31,0,1-MIN(60,COLUMN()-29),1,MIN(60,COLUMN()-29)),OFFSET(AK279,0,-MIN(60,COLUMN()-29),1,MIN(60,COLUMN()-29))),0)</f>
        <v>0</v>
      </c>
      <c r="AL280" s="237" t="n">
        <f aca="true">IFERROR(SUMPRODUCT(OFFSET($BJ$31,0,1-MIN(60,COLUMN()-29),1,MIN(60,COLUMN()-29)),OFFSET(AL279,0,-MIN(60,COLUMN()-29),1,MIN(60,COLUMN()-29))),0)</f>
        <v>0</v>
      </c>
      <c r="AM280" s="237" t="n">
        <f aca="true">IFERROR(SUMPRODUCT(OFFSET($BJ$31,0,1-MIN(60,COLUMN()-29),1,MIN(60,COLUMN()-29)),OFFSET(AM279,0,-MIN(60,COLUMN()-29),1,MIN(60,COLUMN()-29))),0)</f>
        <v>0</v>
      </c>
      <c r="AN280" s="237" t="n">
        <f aca="true">IFERROR(SUMPRODUCT(OFFSET($BJ$31,0,1-MIN(60,COLUMN()-29),1,MIN(60,COLUMN()-29)),OFFSET(AN279,0,-MIN(60,COLUMN()-29),1,MIN(60,COLUMN()-29))),0)</f>
        <v>0</v>
      </c>
      <c r="AO280" s="237" t="n">
        <f aca="true">IFERROR(SUMPRODUCT(OFFSET($BJ$31,0,1-MIN(60,COLUMN()-29),1,MIN(60,COLUMN()-29)),OFFSET(AO279,0,-MIN(60,COLUMN()-29),1,MIN(60,COLUMN()-29))),0)</f>
        <v>0</v>
      </c>
      <c r="AP280" s="237" t="n">
        <f aca="true">IFERROR(SUMPRODUCT(OFFSET($BJ$31,0,1-MIN(60,COLUMN()-29),1,MIN(60,COLUMN()-29)),OFFSET(AP279,0,-MIN(60,COLUMN()-29),1,MIN(60,COLUMN()-29))),0)</f>
        <v>0</v>
      </c>
      <c r="AQ280" s="237" t="n">
        <f aca="true">IFERROR(SUMPRODUCT(OFFSET($BJ$31,0,1-MIN(60,COLUMN()-29),1,MIN(60,COLUMN()-29)),OFFSET(AQ279,0,-MIN(60,COLUMN()-29),1,MIN(60,COLUMN()-29))),0)</f>
        <v>0</v>
      </c>
      <c r="AR280" s="237" t="n">
        <f aca="true">IFERROR(SUMPRODUCT(OFFSET($BJ$31,0,1-MIN(60,COLUMN()-29),1,MIN(60,COLUMN()-29)),OFFSET(AR279,0,-MIN(60,COLUMN()-29),1,MIN(60,COLUMN()-29))),0)</f>
        <v>0</v>
      </c>
      <c r="AS280" s="237" t="n">
        <f aca="true">IFERROR(SUMPRODUCT(OFFSET($BJ$31,0,1-MIN(60,COLUMN()-29),1,MIN(60,COLUMN()-29)),OFFSET(AS279,0,-MIN(60,COLUMN()-29),1,MIN(60,COLUMN()-29))),0)</f>
        <v>0</v>
      </c>
      <c r="AT280" s="237" t="n">
        <f aca="true">IFERROR(SUMPRODUCT(OFFSET($BJ$31,0,1-MIN(60,COLUMN()-29),1,MIN(60,COLUMN()-29)),OFFSET(AT279,0,-MIN(60,COLUMN()-29),1,MIN(60,COLUMN()-29))),0)</f>
        <v>0</v>
      </c>
      <c r="AU280" s="237" t="n">
        <f aca="true">IFERROR(SUMPRODUCT(OFFSET($BJ$31,0,1-MIN(60,COLUMN()-29),1,MIN(60,COLUMN()-29)),OFFSET(AU279,0,-MIN(60,COLUMN()-29),1,MIN(60,COLUMN()-29))),0)</f>
        <v>0</v>
      </c>
      <c r="AV280" s="237" t="n">
        <f aca="true">IFERROR(SUMPRODUCT(OFFSET($BJ$31,0,1-MIN(60,COLUMN()-29),1,MIN(60,COLUMN()-29)),OFFSET(AV279,0,-MIN(60,COLUMN()-29),1,MIN(60,COLUMN()-29))),0)</f>
        <v>0</v>
      </c>
      <c r="AW280" s="237" t="n">
        <f aca="true">IFERROR(SUMPRODUCT(OFFSET($BJ$31,0,1-MIN(60,COLUMN()-29),1,MIN(60,COLUMN()-29)),OFFSET(AW279,0,-MIN(60,COLUMN()-29),1,MIN(60,COLUMN()-29))),0)</f>
        <v>0</v>
      </c>
      <c r="AX280" s="237" t="n">
        <f aca="true">IFERROR(SUMPRODUCT(OFFSET($BJ$31,0,1-MIN(60,COLUMN()-29),1,MIN(60,COLUMN()-29)),OFFSET(AX279,0,-MIN(60,COLUMN()-29),1,MIN(60,COLUMN()-29))),0)</f>
        <v>0</v>
      </c>
      <c r="AY280" s="237" t="n">
        <f aca="true">IFERROR(SUMPRODUCT(OFFSET($BJ$31,0,1-MIN(60,COLUMN()-29),1,MIN(60,COLUMN()-29)),OFFSET(AY279,0,-MIN(60,COLUMN()-29),1,MIN(60,COLUMN()-29))),0)</f>
        <v>0</v>
      </c>
      <c r="AZ280" s="237" t="n">
        <f aca="true">IFERROR(SUMPRODUCT(OFFSET($BJ$31,0,1-MIN(60,COLUMN()-29),1,MIN(60,COLUMN()-29)),OFFSET(AZ279,0,-MIN(60,COLUMN()-29),1,MIN(60,COLUMN()-29))),0)</f>
        <v>0</v>
      </c>
      <c r="BA280" s="237" t="n">
        <f aca="true">IFERROR(SUMPRODUCT(OFFSET($BJ$31,0,1-MIN(60,COLUMN()-29),1,MIN(60,COLUMN()-29)),OFFSET(BA279,0,-MIN(60,COLUMN()-29),1,MIN(60,COLUMN()-29))),0)</f>
        <v>0</v>
      </c>
      <c r="BB280" s="237" t="n">
        <f aca="true">IFERROR(SUMPRODUCT(OFFSET($BJ$31,0,1-MIN(60,COLUMN()-29),1,MIN(60,COLUMN()-29)),OFFSET(BB279,0,-MIN(60,COLUMN()-29),1,MIN(60,COLUMN()-29))),0)</f>
        <v>0</v>
      </c>
      <c r="BC280" s="237" t="n">
        <f aca="true">IFERROR(SUMPRODUCT(OFFSET($BJ$31,0,1-MIN(60,COLUMN()-29),1,MIN(60,COLUMN()-29)),OFFSET(BC279,0,-MIN(60,COLUMN()-29),1,MIN(60,COLUMN()-29))),0)</f>
        <v>0</v>
      </c>
      <c r="BD280" s="237" t="n">
        <f aca="true">IFERROR(SUMPRODUCT(OFFSET($BJ$31,0,1-MIN(60,COLUMN()-29),1,MIN(60,COLUMN()-29)),OFFSET(BD279,0,-MIN(60,COLUMN()-29),1,MIN(60,COLUMN()-29))),0)</f>
        <v>0</v>
      </c>
      <c r="BE280" s="237" t="n">
        <f aca="true">IFERROR(SUMPRODUCT(OFFSET($BJ$31,0,1-MIN(60,COLUMN()-29),1,MIN(60,COLUMN()-29)),OFFSET(BE279,0,-MIN(60,COLUMN()-29),1,MIN(60,COLUMN()-29))),0)</f>
        <v>0</v>
      </c>
      <c r="BF280" s="237" t="n">
        <f aca="true">IFERROR(SUMPRODUCT(OFFSET($BJ$31,0,1-MIN(60,COLUMN()-29),1,MIN(60,COLUMN()-29)),OFFSET(BF279,0,-MIN(60,COLUMN()-29),1,MIN(60,COLUMN()-29))),0)</f>
        <v>0</v>
      </c>
      <c r="BG280" s="237" t="n">
        <f aca="true">IFERROR(SUMPRODUCT(OFFSET($BJ$31,0,1-MIN(60,COLUMN()-29),1,MIN(60,COLUMN()-29)),OFFSET(BG279,0,-MIN(60,COLUMN()-29),1,MIN(60,COLUMN()-29))),0)</f>
        <v>0</v>
      </c>
      <c r="BH280" s="237" t="n">
        <f aca="true">IFERROR(SUMPRODUCT(OFFSET($BJ$31,0,1-MIN(60,COLUMN()-29),1,MIN(60,COLUMN()-29)),OFFSET(BH279,0,-MIN(60,COLUMN()-29),1,MIN(60,COLUMN()-29))),0)</f>
        <v>0</v>
      </c>
      <c r="BI280" s="237" t="n">
        <f aca="true">IFERROR(SUMPRODUCT(OFFSET($BJ$31,0,1-MIN(60,COLUMN()-29),1,MIN(60,COLUMN()-29)),OFFSET(BI279,0,-MIN(60,COLUMN()-29),1,MIN(60,COLUMN()-29))),0)</f>
        <v>0</v>
      </c>
      <c r="BJ280" s="237" t="n">
        <f aca="true">IFERROR(SUMPRODUCT(OFFSET($BJ$31,0,1-MIN(60,COLUMN()-29),1,MIN(60,COLUMN()-29)),OFFSET(BJ279,0,-MIN(60,COLUMN()-29),1,MIN(60,COLUMN()-29))),0)</f>
        <v>0</v>
      </c>
      <c r="BK280" s="237" t="n">
        <f aca="true">IFERROR(SUMPRODUCT(OFFSET($BJ$31,0,1-MIN(60,COLUMN()-29),1,MIN(60,COLUMN()-29)),OFFSET(BK279,0,-MIN(60,COLUMN()-29),1,MIN(60,COLUMN()-29))),0)</f>
        <v>0</v>
      </c>
      <c r="BL280" s="237" t="n">
        <f aca="true">IFERROR(SUMPRODUCT(OFFSET($BJ$31,0,1-MIN(60,COLUMN()-29),1,MIN(60,COLUMN()-29)),OFFSET(BL279,0,-MIN(60,COLUMN()-29),1,MIN(60,COLUMN()-29))),0)</f>
        <v>0</v>
      </c>
      <c r="BM280" s="237" t="n">
        <f aca="true">IFERROR(SUMPRODUCT(OFFSET($BJ$31,0,1-MIN(60,COLUMN()-29),1,MIN(60,COLUMN()-29)),OFFSET(BM279,0,-MIN(60,COLUMN()-29),1,MIN(60,COLUMN()-29))),0)</f>
        <v>0</v>
      </c>
      <c r="BN280" s="237" t="n">
        <f aca="true">IFERROR(SUMPRODUCT(OFFSET($BJ$31,0,1-MIN(60,COLUMN()-29),1,MIN(60,COLUMN()-29)),OFFSET(BN279,0,-MIN(60,COLUMN()-29),1,MIN(60,COLUMN()-29))),0)</f>
        <v>0</v>
      </c>
      <c r="BO280" s="237" t="n">
        <f aca="true">IFERROR(SUMPRODUCT(OFFSET($BJ$31,0,1-MIN(60,COLUMN()-29),1,MIN(60,COLUMN()-29)),OFFSET(BO279,0,-MIN(60,COLUMN()-29),1,MIN(60,COLUMN()-29))),0)</f>
        <v>0</v>
      </c>
      <c r="BP280" s="237" t="n">
        <f aca="true">IFERROR(SUMPRODUCT(OFFSET($BJ$31,0,1-MIN(60,COLUMN()-29),1,MIN(60,COLUMN()-29)),OFFSET(BP279,0,-MIN(60,COLUMN()-29),1,MIN(60,COLUMN()-29))),0)</f>
        <v>0</v>
      </c>
      <c r="BQ280" s="237" t="n">
        <f aca="true">IFERROR(SUMPRODUCT(OFFSET($BJ$31,0,1-MIN(60,COLUMN()-29),1,MIN(60,COLUMN()-29)),OFFSET(BQ279,0,-MIN(60,COLUMN()-29),1,MIN(60,COLUMN()-29))),0)</f>
        <v>0</v>
      </c>
      <c r="BR280" s="237" t="n">
        <f aca="true">IFERROR(SUMPRODUCT(OFFSET($BJ$31,0,1-MIN(60,COLUMN()-29),1,MIN(60,COLUMN()-29)),OFFSET(BR279,0,-MIN(60,COLUMN()-29),1,MIN(60,COLUMN()-29))),0)</f>
        <v>0</v>
      </c>
      <c r="BS280" s="237" t="n">
        <f aca="true">IFERROR(SUMPRODUCT(OFFSET($BJ$31,0,1-MIN(60,COLUMN()-29),1,MIN(60,COLUMN()-29)),OFFSET(BS279,0,-MIN(60,COLUMN()-29),1,MIN(60,COLUMN()-29))),0)</f>
        <v>0</v>
      </c>
      <c r="BT280" s="237" t="n">
        <f aca="true">IFERROR(SUMPRODUCT(OFFSET($BJ$31,0,1-MIN(60,COLUMN()-29),1,MIN(60,COLUMN()-29)),OFFSET(BT279,0,-MIN(60,COLUMN()-29),1,MIN(60,COLUMN()-29))),0)</f>
        <v>0</v>
      </c>
      <c r="BU280" s="237" t="n">
        <f aca="true">IFERROR(SUMPRODUCT(OFFSET($BJ$31,0,1-MIN(60,COLUMN()-29),1,MIN(60,COLUMN()-29)),OFFSET(BU279,0,-MIN(60,COLUMN()-29),1,MIN(60,COLUMN()-29))),0)</f>
        <v>0</v>
      </c>
      <c r="BV280" s="237" t="n">
        <f aca="true">IFERROR(SUMPRODUCT(OFFSET($BJ$31,0,1-MIN(60,COLUMN()-29),1,MIN(60,COLUMN()-29)),OFFSET(BV279,0,-MIN(60,COLUMN()-29),1,MIN(60,COLUMN()-29))),0)</f>
        <v>6.23616</v>
      </c>
      <c r="BW280" s="237" t="n">
        <f aca="true">IFERROR(SUMPRODUCT(OFFSET($BJ$31,0,1-MIN(60,COLUMN()-29),1,MIN(60,COLUMN()-29)),OFFSET(BW279,0,-MIN(60,COLUMN()-29),1,MIN(60,COLUMN()-29))),0)</f>
        <v>6.534528</v>
      </c>
      <c r="BX280" s="237" t="n">
        <f aca="true">IFERROR(SUMPRODUCT(OFFSET($BJ$31,0,1-MIN(60,COLUMN()-29),1,MIN(60,COLUMN()-29)),OFFSET(BX279,0,-MIN(60,COLUMN()-29),1,MIN(60,COLUMN()-29))),0)</f>
        <v>6.5167872</v>
      </c>
      <c r="BY280" s="237" t="n">
        <f aca="true">IFERROR(SUMPRODUCT(OFFSET($BJ$31,0,1-MIN(60,COLUMN()-29),1,MIN(60,COLUMN()-29)),OFFSET(BY279,0,-MIN(60,COLUMN()-29),1,MIN(60,COLUMN()-29))),0)</f>
        <v>9.6585216</v>
      </c>
      <c r="BZ280" s="237" t="n">
        <f aca="true">IFERROR(SUMPRODUCT(OFFSET($BJ$31,0,1-MIN(60,COLUMN()-29),1,MIN(60,COLUMN()-29)),OFFSET(BZ279,0,-MIN(60,COLUMN()-29),1,MIN(60,COLUMN()-29))),0)</f>
        <v>10.7043552</v>
      </c>
      <c r="CA280" s="237" t="n">
        <f aca="true">IFERROR(SUMPRODUCT(OFFSET($BJ$31,0,1-MIN(60,COLUMN()-29),1,MIN(60,COLUMN()-29)),OFFSET(CA279,0,-MIN(60,COLUMN()-29),1,MIN(60,COLUMN()-29))),0)</f>
        <v>10.3302528</v>
      </c>
      <c r="CB280" s="237" t="n">
        <f aca="true">IFERROR(SUMPRODUCT(OFFSET($BJ$31,0,1-MIN(60,COLUMN()-29),1,MIN(60,COLUMN()-29)),OFFSET(CB279,0,-MIN(60,COLUMN()-29),1,MIN(60,COLUMN()-29))),0)</f>
        <v>15.3055392</v>
      </c>
      <c r="CC280" s="237" t="n">
        <f aca="true">IFERROR(SUMPRODUCT(OFFSET($BJ$31,0,1-MIN(60,COLUMN()-29),1,MIN(60,COLUMN()-29)),OFFSET(CC279,0,-MIN(60,COLUMN()-29),1,MIN(60,COLUMN()-29))),0)</f>
        <v>16.6845504</v>
      </c>
      <c r="CD280" s="237" t="n">
        <f aca="true">IFERROR(SUMPRODUCT(OFFSET($BJ$31,0,1-MIN(60,COLUMN()-29),1,MIN(60,COLUMN()-29)),OFFSET(CD279,0,-MIN(60,COLUMN()-29),1,MIN(60,COLUMN()-29))),0)</f>
        <v>17.1864</v>
      </c>
      <c r="CE280" s="237" t="n">
        <f aca="true">IFERROR(SUMPRODUCT(OFFSET($BJ$31,0,1-MIN(60,COLUMN()-29),1,MIN(60,COLUMN()-29)),OFFSET(CE279,0,-MIN(60,COLUMN()-29),1,MIN(60,COLUMN()-29))),0)</f>
        <v>17.2564224</v>
      </c>
      <c r="CF280" s="237" t="n">
        <f aca="true">IFERROR(SUMPRODUCT(OFFSET($BJ$31,0,1-MIN(60,COLUMN()-29),1,MIN(60,COLUMN()-29)),OFFSET(CF279,0,-MIN(60,COLUMN()-29),1,MIN(60,COLUMN()-29))),0)</f>
        <v>18.813312</v>
      </c>
      <c r="CG280" s="237" t="n">
        <f aca="true">IFERROR(SUMPRODUCT(OFFSET($BJ$31,0,1-MIN(60,COLUMN()-29),1,MIN(60,COLUMN()-29)),OFFSET(CG279,0,-MIN(60,COLUMN()-29),1,MIN(60,COLUMN()-29))),0)</f>
        <v>29.165472</v>
      </c>
      <c r="CH280" s="237" t="n">
        <f aca="true">IFERROR(SUMPRODUCT(OFFSET($BJ$31,0,1-MIN(60,COLUMN()-29),1,MIN(60,COLUMN()-29)),OFFSET(CH279,0,-MIN(60,COLUMN()-29),1,MIN(60,COLUMN()-29))),0)</f>
        <v>30.5452896</v>
      </c>
      <c r="CI280" s="237" t="n">
        <f aca="true">IFERROR(SUMPRODUCT(OFFSET($BJ$31,0,1-MIN(60,COLUMN()-29),1,MIN(60,COLUMN()-29)),OFFSET(CI279,0,-MIN(60,COLUMN()-29),1,MIN(60,COLUMN()-29))),0)</f>
        <v>30.2785728</v>
      </c>
      <c r="CJ280" s="237" t="n">
        <f aca="true">IFERROR(SUMPRODUCT(OFFSET($BJ$31,0,1-MIN(60,COLUMN()-29),1,MIN(60,COLUMN()-29)),OFFSET(CJ279,0,-MIN(60,COLUMN()-29),1,MIN(60,COLUMN()-29))),0)</f>
        <v>27.588624</v>
      </c>
      <c r="CK280" s="237" t="n">
        <f aca="true">IFERROR(SUMPRODUCT(OFFSET($BJ$31,0,1-MIN(60,COLUMN()-29),1,MIN(60,COLUMN()-29)),OFFSET(CK279,0,-MIN(60,COLUMN()-29),1,MIN(60,COLUMN()-29))),0)</f>
        <v>37.7963712</v>
      </c>
      <c r="CL280" s="237" t="n">
        <f aca="true">IFERROR(SUMPRODUCT(OFFSET($BJ$31,0,1-MIN(60,COLUMN()-29),1,MIN(60,COLUMN()-29)),OFFSET(CL279,0,-MIN(60,COLUMN()-29),1,MIN(60,COLUMN()-29))),0)</f>
        <v>42.30936192</v>
      </c>
      <c r="CM280" s="237" t="n">
        <f aca="true">IFERROR(SUMPRODUCT(OFFSET($BJ$31,0,1-MIN(60,COLUMN()-29),1,MIN(60,COLUMN()-29)),OFFSET(CM279,0,-MIN(60,COLUMN()-29),1,MIN(60,COLUMN()-29))),0)</f>
        <v>41.95626624</v>
      </c>
      <c r="CN280" s="237" t="n">
        <f aca="true">IFERROR(SUMPRODUCT(OFFSET($BJ$31,0,1-MIN(60,COLUMN()-29),1,MIN(60,COLUMN()-29)),OFFSET(CN279,0,-MIN(60,COLUMN()-29),1,MIN(60,COLUMN()-29))),0)</f>
        <v>52.93739136</v>
      </c>
      <c r="CO280" s="237" t="n">
        <f aca="true">IFERROR(SUMPRODUCT(OFFSET($BJ$31,0,1-MIN(60,COLUMN()-29),1,MIN(60,COLUMN()-29)),OFFSET(CO279,0,-MIN(60,COLUMN()-29),1,MIN(60,COLUMN()-29))),0)</f>
        <v>55.16294616</v>
      </c>
      <c r="CP280" s="237" t="n">
        <f aca="true">IFERROR(SUMPRODUCT(OFFSET($BJ$31,0,1-MIN(60,COLUMN()-29),1,MIN(60,COLUMN()-29)),OFFSET(CP279,0,-MIN(60,COLUMN()-29),1,MIN(60,COLUMN()-29))),0)</f>
        <v>55.14233928</v>
      </c>
      <c r="CQ280" s="237" t="n">
        <f aca="true">IFERROR(SUMPRODUCT(OFFSET($BJ$31,0,1-MIN(60,COLUMN()-29),1,MIN(60,COLUMN()-29)),OFFSET(CQ279,0,-MIN(60,COLUMN()-29),1,MIN(60,COLUMN()-29))),0)</f>
        <v>55.13473392</v>
      </c>
      <c r="CR280" s="237" t="n">
        <f aca="true">IFERROR(SUMPRODUCT(OFFSET($BJ$31,0,1-MIN(60,COLUMN()-29),1,MIN(60,COLUMN()-29)),OFFSET(CR279,0,-MIN(60,COLUMN()-29),1,MIN(60,COLUMN()-29))),0)</f>
        <v>60.67785024</v>
      </c>
      <c r="CS280" s="237" t="n">
        <f aca="true">IFERROR(SUMPRODUCT(OFFSET($BJ$31,0,1-MIN(60,COLUMN()-29),1,MIN(60,COLUMN()-29)),OFFSET(CS279,0,-MIN(60,COLUMN()-29),1,MIN(60,COLUMN()-29))),0)</f>
        <v>79.82773848</v>
      </c>
      <c r="CT280" s="237" t="n">
        <f aca="true">IFERROR(SUMPRODUCT(OFFSET($BJ$31,0,1-MIN(60,COLUMN()-29),1,MIN(60,COLUMN()-29)),OFFSET(CT279,0,-MIN(60,COLUMN()-29),1,MIN(60,COLUMN()-29))),0)</f>
        <v>79.45672728</v>
      </c>
      <c r="CU280" s="237" t="n">
        <f aca="true">IFERROR(SUMPRODUCT(OFFSET($BJ$31,0,1-MIN(60,COLUMN()-29),1,MIN(60,COLUMN()-29)),OFFSET(CU279,0,-MIN(60,COLUMN()-29),1,MIN(60,COLUMN()-29))),0)</f>
        <v>78.08154648</v>
      </c>
      <c r="CV280" s="237" t="n">
        <f aca="true">IFERROR(SUMPRODUCT(OFFSET($BJ$31,0,1-MIN(60,COLUMN()-29),1,MIN(60,COLUMN()-29)),OFFSET(CV279,0,-MIN(60,COLUMN()-29),1,MIN(60,COLUMN()-29))),0)</f>
        <v>75.1728348</v>
      </c>
      <c r="CW280" s="237" t="n">
        <f aca="true">IFERROR(SUMPRODUCT(OFFSET($BJ$31,0,1-MIN(60,COLUMN()-29),1,MIN(60,COLUMN()-29)),OFFSET(CW279,0,-MIN(60,COLUMN()-29),1,MIN(60,COLUMN()-29))),0)</f>
        <v>90.07027512</v>
      </c>
      <c r="CX280" s="237" t="n">
        <f aca="true">IFERROR(SUMPRODUCT(OFFSET($BJ$31,0,1-MIN(60,COLUMN()-29),1,MIN(60,COLUMN()-29)),OFFSET(CX279,0,-MIN(60,COLUMN()-29),1,MIN(60,COLUMN()-29))),0)</f>
        <v>95.63973048</v>
      </c>
      <c r="CY280" s="237" t="n">
        <f aca="true">IFERROR(SUMPRODUCT(OFFSET($BJ$31,0,1-MIN(60,COLUMN()-29),1,MIN(60,COLUMN()-29)),OFFSET(CY279,0,-MIN(60,COLUMN()-29),1,MIN(60,COLUMN()-29))),0)</f>
        <v>95.15822904</v>
      </c>
      <c r="CZ280" s="237" t="n">
        <f aca="true">IFERROR(SUMPRODUCT(OFFSET($BJ$31,0,1-MIN(60,COLUMN()-29),1,MIN(60,COLUMN()-29)),OFFSET(CZ279,0,-MIN(60,COLUMN()-29),1,MIN(60,COLUMN()-29))),0)</f>
        <v>108.93855672</v>
      </c>
      <c r="DA280" s="237" t="n">
        <f aca="true">IFERROR(SUMPRODUCT(OFFSET($BJ$31,0,1-MIN(60,COLUMN()-29),1,MIN(60,COLUMN()-29)),OFFSET(DA279,0,-MIN(60,COLUMN()-29),1,MIN(60,COLUMN()-29))),0)</f>
        <v>113.23609416</v>
      </c>
      <c r="DB280" s="237" t="n">
        <f aca="true">IFERROR(SUMPRODUCT(OFFSET($BJ$31,0,1-MIN(60,COLUMN()-29),1,MIN(60,COLUMN()-29)),OFFSET(DB279,0,-MIN(60,COLUMN()-29),1,MIN(60,COLUMN()-29))),0)</f>
        <v>114.62927112</v>
      </c>
      <c r="DC280" s="237" t="n">
        <f aca="true">IFERROR(SUMPRODUCT(OFFSET($BJ$31,0,1-MIN(60,COLUMN()-29),1,MIN(60,COLUMN()-29)),OFFSET(DC279,0,-MIN(60,COLUMN()-29),1,MIN(60,COLUMN()-29))),0)</f>
        <v>115.06318488</v>
      </c>
      <c r="DD280" s="237" t="n">
        <f aca="true">IFERROR(SUMPRODUCT(OFFSET($BJ$31,0,1-MIN(60,COLUMN()-29),1,MIN(60,COLUMN()-29)),OFFSET(DD279,0,-MIN(60,COLUMN()-29),1,MIN(60,COLUMN()-29))),0)</f>
        <v>123.8000652</v>
      </c>
      <c r="DE280" s="237" t="n">
        <f aca="true">IFERROR(SUMPRODUCT(OFFSET($BJ$31,0,1-MIN(60,COLUMN()-29),1,MIN(60,COLUMN()-29)),OFFSET(DE279,0,-MIN(60,COLUMN()-29),1,MIN(60,COLUMN()-29))),0)</f>
        <v>148.18780872</v>
      </c>
      <c r="DF280" s="237" t="n">
        <f aca="true">IFERROR(SUMPRODUCT(OFFSET($BJ$31,0,1-MIN(60,COLUMN()-29),1,MIN(60,COLUMN()-29)),OFFSET(DF279,0,-MIN(60,COLUMN()-29),1,MIN(60,COLUMN()-29))),0)</f>
        <v>148.37128488</v>
      </c>
      <c r="DG280" s="237" t="n">
        <f aca="true">IFERROR(SUMPRODUCT(OFFSET($BJ$31,0,1-MIN(60,COLUMN()-29),1,MIN(60,COLUMN()-29)),OFFSET(DG279,0,-MIN(60,COLUMN()-29),1,MIN(60,COLUMN()-29))),0)</f>
        <v>147.4381188</v>
      </c>
      <c r="DH280" s="237" t="n">
        <f aca="true">IFERROR(SUMPRODUCT(OFFSET($BJ$31,0,1-MIN(60,COLUMN()-29),1,MIN(60,COLUMN()-29)),OFFSET(DH279,0,-MIN(60,COLUMN()-29),1,MIN(60,COLUMN()-29))),0)</f>
        <v>144.22991688</v>
      </c>
      <c r="DI280" s="237" t="n">
        <f aca="true">IFERROR(SUMPRODUCT(OFFSET($BJ$31,0,1-MIN(60,COLUMN()-29),1,MIN(60,COLUMN()-29)),OFFSET(DI279,0,-MIN(60,COLUMN()-29),1,MIN(60,COLUMN()-29))),0)</f>
        <v>162.36354456</v>
      </c>
      <c r="DJ280" s="237" t="n">
        <f aca="true">IFERROR(SUMPRODUCT(OFFSET($BJ$31,0,1-MIN(60,COLUMN()-29),1,MIN(60,COLUMN()-29)),OFFSET(DJ279,0,-MIN(60,COLUMN()-29),1,MIN(60,COLUMN()-29))),0)</f>
        <v>170.02097784</v>
      </c>
      <c r="DK280" s="237" t="n">
        <f aca="true">IFERROR(SUMPRODUCT(OFFSET($BJ$31,0,1-MIN(60,COLUMN()-29),1,MIN(60,COLUMN()-29)),OFFSET(DK279,0,-MIN(60,COLUMN()-29),1,MIN(60,COLUMN()-29))),0)</f>
        <v>170.39611512</v>
      </c>
      <c r="DL280" s="237" t="n">
        <f aca="true">IFERROR(SUMPRODUCT(OFFSET($BJ$31,0,1-MIN(60,COLUMN()-29),1,MIN(60,COLUMN()-29)),OFFSET(DL279,0,-MIN(60,COLUMN()-29),1,MIN(60,COLUMN()-29))),0)</f>
        <v>187.25745528</v>
      </c>
      <c r="DM280" s="237" t="n">
        <f aca="true">IFERROR(SUMPRODUCT(OFFSET($BJ$31,0,1-MIN(60,COLUMN()-29),1,MIN(60,COLUMN()-29)),OFFSET(DM279,0,-MIN(60,COLUMN()-29),1,MIN(60,COLUMN()-29))),0)</f>
        <v>192.36265272</v>
      </c>
      <c r="DN280" s="237" t="n">
        <f aca="true">IFERROR(SUMPRODUCT(OFFSET($BJ$31,0,1-MIN(60,COLUMN()-29),1,MIN(60,COLUMN()-29)),OFFSET(DN279,0,-MIN(60,COLUMN()-29),1,MIN(60,COLUMN()-29))),0)</f>
        <v>193.98160152</v>
      </c>
      <c r="DO280" s="237" t="n">
        <f aca="true">IFERROR(SUMPRODUCT(OFFSET($BJ$31,0,1-MIN(60,COLUMN()-29),1,MIN(60,COLUMN()-29)),OFFSET(DO279,0,-MIN(60,COLUMN()-29),1,MIN(60,COLUMN()-29))),0)</f>
        <v>194.18456232</v>
      </c>
      <c r="DP280" s="237" t="n">
        <f aca="true">IFERROR(SUMPRODUCT(OFFSET($BJ$31,0,1-MIN(60,COLUMN()-29),1,MIN(60,COLUMN()-29)),OFFSET(DP279,0,-MIN(60,COLUMN()-29),1,MIN(60,COLUMN()-29))),0)</f>
        <v>204.20017128</v>
      </c>
      <c r="DQ280" s="237" t="n">
        <f aca="true">IFERROR(SUMPRODUCT(OFFSET($BJ$31,0,1-MIN(60,COLUMN()-29),1,MIN(60,COLUMN()-29)),OFFSET(DQ279,0,-MIN(60,COLUMN()-29),1,MIN(60,COLUMN()-29))),0)</f>
        <v>230.8337892</v>
      </c>
      <c r="DR280" s="237" t="n">
        <f aca="true">IFERROR(SUMPRODUCT(OFFSET($BJ$31,0,1-MIN(60,COLUMN()-29),1,MIN(60,COLUMN()-29)),OFFSET(DR279,0,-MIN(60,COLUMN()-29),1,MIN(60,COLUMN()-29))),0)</f>
        <v>230.30089992</v>
      </c>
      <c r="DS280" s="237" t="n">
        <f aca="true">IFERROR(SUMPRODUCT(OFFSET($BJ$31,0,1-MIN(60,COLUMN()-29),1,MIN(60,COLUMN()-29)),OFFSET(DS279,0,-MIN(60,COLUMN()-29),1,MIN(60,COLUMN()-29))),0)</f>
        <v>228.39255432</v>
      </c>
      <c r="DT280" s="237" t="n">
        <f aca="true">IFERROR(SUMPRODUCT(OFFSET($BJ$31,0,1-MIN(60,COLUMN()-29),1,MIN(60,COLUMN()-29)),OFFSET(DT279,0,-MIN(60,COLUMN()-29),1,MIN(60,COLUMN()-29))),0)</f>
        <v>224.19221832</v>
      </c>
      <c r="DU280" s="237" t="n">
        <f aca="true">IFERROR(SUMPRODUCT(OFFSET($BJ$31,0,1-MIN(60,COLUMN()-29),1,MIN(60,COLUMN()-29)),OFFSET(DU279,0,-MIN(60,COLUMN()-29),1,MIN(60,COLUMN()-29))),0)</f>
        <v>243.10735344</v>
      </c>
      <c r="DV280" s="237" t="n">
        <f aca="true">IFERROR(SUMPRODUCT(OFFSET($BJ$31,0,1-MIN(60,COLUMN()-29),1,MIN(60,COLUMN()-29)),OFFSET(DV279,0,-MIN(60,COLUMN()-29),1,MIN(60,COLUMN()-29))),0)</f>
        <v>250.0211952</v>
      </c>
      <c r="DW280" s="237" t="n">
        <f aca="true">IFERROR(SUMPRODUCT(OFFSET($BJ$31,0,1-MIN(60,COLUMN()-29),1,MIN(60,COLUMN()-29)),OFFSET(DW279,0,-MIN(60,COLUMN()-29),1,MIN(60,COLUMN()-29))),0)</f>
        <v>249.95090232</v>
      </c>
      <c r="DX280" s="237" t="n">
        <f aca="true">IFERROR(SUMPRODUCT(OFFSET($BJ$31,0,1-MIN(60,COLUMN()-29),1,MIN(60,COLUMN()-29)),OFFSET(DX279,0,-MIN(60,COLUMN()-29),1,MIN(60,COLUMN()-29))),0)</f>
        <v>265.94448552</v>
      </c>
      <c r="DY280" s="237" t="n">
        <f aca="true">IFERROR(SUMPRODUCT(OFFSET($BJ$31,0,1-MIN(60,COLUMN()-29),1,MIN(60,COLUMN()-29)),OFFSET(DY279,0,-MIN(60,COLUMN()-29),1,MIN(60,COLUMN()-29))),0)</f>
        <v>269.64893088</v>
      </c>
      <c r="DZ280" s="237" t="n">
        <f aca="true">IFERROR(SUMPRODUCT(OFFSET($BJ$31,0,1-MIN(60,COLUMN()-29),1,MIN(60,COLUMN()-29)),OFFSET(DZ279,0,-MIN(60,COLUMN()-29),1,MIN(60,COLUMN()-29))),0)</f>
        <v>270.34322112</v>
      </c>
      <c r="EA280" s="237" t="n">
        <f aca="true">IFERROR(SUMPRODUCT(OFFSET($BJ$31,0,1-MIN(60,COLUMN()-29),1,MIN(60,COLUMN()-29)),OFFSET(EA279,0,-MIN(60,COLUMN()-29),1,MIN(60,COLUMN()-29))),0)</f>
        <v>269.73090144</v>
      </c>
      <c r="EB280" s="237" t="n">
        <f aca="true">IFERROR(SUMPRODUCT(OFFSET($BJ$31,0,1-MIN(60,COLUMN()-29),1,MIN(60,COLUMN()-29)),OFFSET(EB279,0,-MIN(60,COLUMN()-29),1,MIN(60,COLUMN()-29))),0)</f>
        <v>279.33909696</v>
      </c>
      <c r="EC280" s="237" t="n">
        <f aca="true">IFERROR(SUMPRODUCT(OFFSET($BJ$31,0,1-MIN(60,COLUMN()-29),1,MIN(60,COLUMN()-29)),OFFSET(EC279,0,-MIN(60,COLUMN()-29),1,MIN(60,COLUMN()-29))),0)</f>
        <v>304.35513696</v>
      </c>
      <c r="ED280" s="237" t="n">
        <f aca="true">IFERROR(SUMPRODUCT(OFFSET($BJ$31,0,1-MIN(60,COLUMN()-29),1,MIN(60,COLUMN()-29)),OFFSET(ED279,0,-MIN(60,COLUMN()-29),1,MIN(60,COLUMN()-29))),0)</f>
        <v>302.10931296</v>
      </c>
      <c r="EE280" s="237" t="n">
        <f aca="true">IFERROR(SUMPRODUCT(OFFSET($BJ$31,0,1-MIN(60,COLUMN()-29),1,MIN(60,COLUMN()-29)),OFFSET(EE279,0,-MIN(60,COLUMN()-29),1,MIN(60,COLUMN()-29))),0)</f>
        <v>298.48696416</v>
      </c>
      <c r="EF280" s="237" t="n">
        <f aca="true">IFERROR(SUMPRODUCT(OFFSET($BJ$31,0,1-MIN(60,COLUMN()-29),1,MIN(60,COLUMN()-29)),OFFSET(EF279,0,-MIN(60,COLUMN()-29),1,MIN(60,COLUMN()-29))),0)</f>
        <v>293.27116896</v>
      </c>
      <c r="EG280" s="237" t="n">
        <f aca="true">IFERROR(SUMPRODUCT(OFFSET($BJ$31,0,1-MIN(60,COLUMN()-29),1,MIN(60,COLUMN()-29)),OFFSET(EG279,0,-MIN(60,COLUMN()-29),1,MIN(60,COLUMN()-29))),0)</f>
        <v>310.38403536</v>
      </c>
      <c r="EH280" s="237" t="n">
        <f aca="true">IFERROR(SUMPRODUCT(OFFSET($BJ$31,0,1-MIN(60,COLUMN()-29),1,MIN(60,COLUMN()-29)),OFFSET(EH279,0,-MIN(60,COLUMN()-29),1,MIN(60,COLUMN()-29))),0)</f>
        <v>314.84564496</v>
      </c>
      <c r="EI280" s="237" t="n">
        <f aca="true">IFERROR(SUMPRODUCT(OFFSET($BJ$31,0,1-MIN(60,COLUMN()-29),1,MIN(60,COLUMN()-29)),OFFSET(EI279,0,-MIN(60,COLUMN()-29),1,MIN(60,COLUMN()-29))),0)</f>
        <v>312.85751616</v>
      </c>
      <c r="EJ280" s="237" t="n">
        <f aca="true">IFERROR(SUMPRODUCT(OFFSET($BJ$31,0,1-MIN(60,COLUMN()-29),1,MIN(60,COLUMN()-29)),OFFSET(EJ279,0,-MIN(60,COLUMN()-29),1,MIN(60,COLUMN()-29))),0)</f>
        <v>325.86626016</v>
      </c>
      <c r="EK280" s="237" t="n">
        <f aca="true">IFERROR(SUMPRODUCT(OFFSET($BJ$31,0,1-MIN(60,COLUMN()-29),1,MIN(60,COLUMN()-29)),OFFSET(EK279,0,-MIN(60,COLUMN()-29),1,MIN(60,COLUMN()-29))),0)</f>
        <v>326.85132816</v>
      </c>
      <c r="EL280" s="237" t="n">
        <f aca="true">IFERROR(SUMPRODUCT(OFFSET($BJ$31,0,1-MIN(60,COLUMN()-29),1,MIN(60,COLUMN()-29)),OFFSET(EL279,0,-MIN(60,COLUMN()-29),1,MIN(60,COLUMN()-29))),0)</f>
        <v>325.21947696</v>
      </c>
      <c r="EM280" s="237" t="n">
        <f aca="true">IFERROR(SUMPRODUCT(OFFSET($BJ$31,0,1-MIN(60,COLUMN()-29),1,MIN(60,COLUMN()-29)),OFFSET(EM279,0,-MIN(60,COLUMN()-29),1,MIN(60,COLUMN()-29))),0)</f>
        <v>322.46259696</v>
      </c>
      <c r="EN280" s="237" t="n">
        <f aca="true">IFERROR(SUMPRODUCT(OFFSET($BJ$31,0,1-MIN(60,COLUMN()-29),1,MIN(60,COLUMN()-29)),OFFSET(EN279,0,-MIN(60,COLUMN()-29),1,MIN(60,COLUMN()-29))),0)</f>
        <v>329.73924816</v>
      </c>
      <c r="EO280" s="237" t="n">
        <f aca="true">IFERROR(SUMPRODUCT(OFFSET($BJ$31,0,1-MIN(60,COLUMN()-29),1,MIN(60,COLUMN()-29)),OFFSET(EO279,0,-MIN(60,COLUMN()-29),1,MIN(60,COLUMN()-29))),0)</f>
        <v>350.60792256</v>
      </c>
      <c r="EP280" s="237" t="n">
        <f aca="true">IFERROR(SUMPRODUCT(OFFSET($BJ$31,0,1-MIN(60,COLUMN()-29),1,MIN(60,COLUMN()-29)),OFFSET(EP279,0,-MIN(60,COLUMN()-29),1,MIN(60,COLUMN()-29))),0)</f>
        <v>345.68152416</v>
      </c>
      <c r="EQ280" s="237" t="n">
        <f aca="true">IFERROR(SUMPRODUCT(OFFSET($BJ$31,0,1-MIN(60,COLUMN()-29),1,MIN(60,COLUMN()-29)),OFFSET(EQ279,0,-MIN(60,COLUMN()-29),1,MIN(60,COLUMN()-29))),0)</f>
        <v>339.86738016</v>
      </c>
      <c r="ER280" s="237" t="n">
        <f aca="true">IFERROR(SUMPRODUCT(OFFSET($BJ$31,0,1-MIN(60,COLUMN()-29),1,MIN(60,COLUMN()-29)),OFFSET(ER279,0,-MIN(60,COLUMN()-29),1,MIN(60,COLUMN()-29))),0)</f>
        <v>332.99685216</v>
      </c>
      <c r="ES280" s="9" t="n">
        <f aca="true">IFERROR(SUMPRODUCT(OFFSET($BJ$31,0,1-MIN(60,COLUMN()-29),1,MIN(60,COLUMN()-29)),OFFSET(ES279,0,-MIN(60,COLUMN()-29),1,MIN(60,COLUMN()-29))),0)</f>
        <v>347.80098528</v>
      </c>
      <c r="ET280" s="9" t="n">
        <f aca="true">IFERROR(SUMPRODUCT(OFFSET($BJ$31,0,1-MIN(60,COLUMN()-29),1,MIN(60,COLUMN()-29)),OFFSET(ET279,0,-MIN(60,COLUMN()-29),1,MIN(60,COLUMN()-29))),0)</f>
        <v>349.78212864</v>
      </c>
      <c r="EU280" s="9" t="n">
        <f aca="true">IFERROR(SUMPRODUCT(OFFSET($BJ$31,0,1-MIN(60,COLUMN()-29),1,MIN(60,COLUMN()-29)),OFFSET(EU279,0,-MIN(60,COLUMN()-29),1,MIN(60,COLUMN()-29))),0)</f>
        <v>346.0135896</v>
      </c>
      <c r="EV280" s="9" t="n">
        <f aca="true">IFERROR(SUMPRODUCT(OFFSET($BJ$31,0,1-MIN(60,COLUMN()-29),1,MIN(60,COLUMN()-29)),OFFSET(EV279,0,-MIN(60,COLUMN()-29),1,MIN(60,COLUMN()-29))),0)</f>
        <v>356.60367792</v>
      </c>
      <c r="EW280" s="9" t="n">
        <f aca="true">IFERROR(SUMPRODUCT(OFFSET($BJ$31,0,1-MIN(60,COLUMN()-29),1,MIN(60,COLUMN()-29)),OFFSET(EW279,0,-MIN(60,COLUMN()-29),1,MIN(60,COLUMN()-29))),0)</f>
        <v>355.34508912</v>
      </c>
      <c r="EX280" s="9" t="n">
        <f aca="true">IFERROR(SUMPRODUCT(OFFSET($BJ$31,0,1-MIN(60,COLUMN()-29),1,MIN(60,COLUMN()-29)),OFFSET(EX279,0,-MIN(60,COLUMN()-29),1,MIN(60,COLUMN()-29))),0)</f>
        <v>351.94383504</v>
      </c>
      <c r="EY280" s="9" t="n">
        <f aca="true">IFERROR(SUMPRODUCT(OFFSET($BJ$31,0,1-MIN(60,COLUMN()-29),1,MIN(60,COLUMN()-29)),OFFSET(EY279,0,-MIN(60,COLUMN()-29),1,MIN(60,COLUMN()-29))),0)</f>
        <v>347.62052304</v>
      </c>
      <c r="EZ280" s="9" t="n">
        <f aca="true">IFERROR(SUMPRODUCT(OFFSET($BJ$31,0,1-MIN(60,COLUMN()-29),1,MIN(60,COLUMN()-29)),OFFSET(EZ279,0,-MIN(60,COLUMN()-29),1,MIN(60,COLUMN()-29))),0)</f>
        <v>353.3565672</v>
      </c>
      <c r="FA280" s="9" t="n">
        <f aca="true">IFERROR(SUMPRODUCT(OFFSET($BJ$31,0,1-MIN(60,COLUMN()-29),1,MIN(60,COLUMN()-29)),OFFSET(FA279,0,-MIN(60,COLUMN()-29),1,MIN(60,COLUMN()-29))),0)</f>
        <v>371.68958736</v>
      </c>
      <c r="FB280" s="9" t="n">
        <f aca="true">IFERROR(SUMPRODUCT(OFFSET($BJ$31,0,1-MIN(60,COLUMN()-29),1,MIN(60,COLUMN()-29)),OFFSET(FB279,0,-MIN(60,COLUMN()-29),1,MIN(60,COLUMN()-29))),0)</f>
        <v>364.78827504</v>
      </c>
      <c r="FC280" s="9" t="n">
        <f aca="true">IFERROR(SUMPRODUCT(OFFSET($BJ$31,0,1-MIN(60,COLUMN()-29),1,MIN(60,COLUMN()-29)),OFFSET(FC279,0,-MIN(60,COLUMN()-29),1,MIN(60,COLUMN()-29))),0)</f>
        <v>357.42100464</v>
      </c>
      <c r="FD280" s="9" t="n">
        <f aca="true">IFERROR(SUMPRODUCT(OFFSET($BJ$31,0,1-MIN(60,COLUMN()-29),1,MIN(60,COLUMN()-29)),OFFSET(FD279,0,-MIN(60,COLUMN()-29),1,MIN(60,COLUMN()-29))),0)</f>
        <v>349.36059312</v>
      </c>
      <c r="FE280" s="9" t="n">
        <f aca="true">IFERROR(SUMPRODUCT(OFFSET($BJ$31,0,1-MIN(60,COLUMN()-29),1,MIN(60,COLUMN()-29)),OFFSET(FE279,0,-MIN(60,COLUMN()-29),1,MIN(60,COLUMN()-29))),0)</f>
        <v>362.96332128</v>
      </c>
      <c r="FF280" s="9" t="n">
        <f aca="true">IFERROR(SUMPRODUCT(OFFSET($BJ$31,0,1-MIN(60,COLUMN()-29),1,MIN(60,COLUMN()-29)),OFFSET(FF279,0,-MIN(60,COLUMN()-29),1,MIN(60,COLUMN()-29))),0)</f>
        <v>363.70994688</v>
      </c>
      <c r="FG280" s="9" t="n">
        <f aca="true">IFERROR(SUMPRODUCT(OFFSET($BJ$31,0,1-MIN(60,COLUMN()-29),1,MIN(60,COLUMN()-29)),OFFSET(FG279,0,-MIN(60,COLUMN()-29),1,MIN(60,COLUMN()-29))),0)</f>
        <v>359.06236128</v>
      </c>
      <c r="FH280" s="9" t="n">
        <f aca="true">IFERROR(SUMPRODUCT(OFFSET($BJ$31,0,1-MIN(60,COLUMN()-29),1,MIN(60,COLUMN()-29)),OFFSET(FH279,0,-MIN(60,COLUMN()-29),1,MIN(60,COLUMN()-29))),0)</f>
        <v>368.4510144</v>
      </c>
      <c r="FI280" s="9" t="n">
        <f aca="true">IFERROR(SUMPRODUCT(OFFSET($BJ$31,0,1-MIN(60,COLUMN()-29),1,MIN(60,COLUMN()-29)),OFFSET(FI279,0,-MIN(60,COLUMN()-29),1,MIN(60,COLUMN()-29))),0)</f>
        <v>366.01488</v>
      </c>
      <c r="FJ280" s="9" t="n">
        <f aca="true">IFERROR(SUMPRODUCT(OFFSET($BJ$31,0,1-MIN(60,COLUMN()-29),1,MIN(60,COLUMN()-29)),OFFSET(FJ279,0,-MIN(60,COLUMN()-29),1,MIN(60,COLUMN()-29))),0)</f>
        <v>361.69693056</v>
      </c>
      <c r="FK280" s="9" t="n">
        <f aca="true">IFERROR(SUMPRODUCT(OFFSET($BJ$31,0,1-MIN(60,COLUMN()-29),1,MIN(60,COLUMN()-29)),OFFSET(FK279,0,-MIN(60,COLUMN()-29),1,MIN(60,COLUMN()-29))),0)</f>
        <v>356.63576256</v>
      </c>
      <c r="FL280" s="9" t="n">
        <f aca="true">IFERROR(SUMPRODUCT(OFFSET($BJ$31,0,1-MIN(60,COLUMN()-29),1,MIN(60,COLUMN()-29)),OFFSET(FL279,0,-MIN(60,COLUMN()-29),1,MIN(60,COLUMN()-29))),0)</f>
        <v>361.65802176</v>
      </c>
      <c r="FM280" s="9" t="n">
        <f aca="true">IFERROR(SUMPRODUCT(OFFSET($BJ$31,0,1-MIN(60,COLUMN()-29),1,MIN(60,COLUMN()-29)),OFFSET(FM279,0,-MIN(60,COLUMN()-29),1,MIN(60,COLUMN()-29))),0)</f>
        <v>378.89175744</v>
      </c>
      <c r="FN280" s="9" t="n">
        <f aca="true">IFERROR(SUMPRODUCT(OFFSET($BJ$31,0,1-MIN(60,COLUMN()-29),1,MIN(60,COLUMN()-29)),OFFSET(FN279,0,-MIN(60,COLUMN()-29),1,MIN(60,COLUMN()-29))),0)</f>
        <v>371.094192</v>
      </c>
      <c r="FO280" s="9" t="n">
        <f aca="true">IFERROR(SUMPRODUCT(OFFSET($BJ$31,0,1-MIN(60,COLUMN()-29),1,MIN(60,COLUMN()-29)),OFFSET(FO279,0,-MIN(60,COLUMN()-29),1,MIN(60,COLUMN()-29))),0)</f>
        <v>363.02148288</v>
      </c>
      <c r="FP280" s="9" t="n">
        <f aca="true">IFERROR(SUMPRODUCT(OFFSET($BJ$31,0,1-MIN(60,COLUMN()-29),1,MIN(60,COLUMN()-29)),OFFSET(FP279,0,-MIN(60,COLUMN()-29),1,MIN(60,COLUMN()-29))),0)</f>
        <v>354.48533568</v>
      </c>
    </row>
    <row r="281" customFormat="false" ht="15" hidden="false" customHeight="false" outlineLevel="2" collapsed="false">
      <c r="B281" s="47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237"/>
      <c r="AD281" s="237"/>
      <c r="AE281" s="237"/>
      <c r="AF281" s="237"/>
      <c r="AG281" s="237"/>
      <c r="AH281" s="237"/>
      <c r="AI281" s="237"/>
      <c r="AJ281" s="237"/>
      <c r="AK281" s="237"/>
      <c r="AL281" s="237"/>
      <c r="AM281" s="237"/>
      <c r="AN281" s="237"/>
      <c r="AO281" s="237"/>
      <c r="AP281" s="237"/>
      <c r="AQ281" s="237"/>
      <c r="AR281" s="237"/>
      <c r="AS281" s="237"/>
      <c r="AT281" s="237"/>
      <c r="AU281" s="237"/>
      <c r="AV281" s="237"/>
      <c r="AW281" s="237"/>
      <c r="AX281" s="237"/>
      <c r="AY281" s="237"/>
      <c r="AZ281" s="237"/>
      <c r="BA281" s="237"/>
      <c r="BB281" s="237"/>
      <c r="BC281" s="237"/>
      <c r="BD281" s="237"/>
      <c r="BE281" s="237"/>
      <c r="BF281" s="237"/>
      <c r="BG281" s="237"/>
      <c r="BH281" s="237"/>
      <c r="BI281" s="237"/>
      <c r="BJ281" s="237"/>
      <c r="BK281" s="237"/>
      <c r="BL281" s="237"/>
      <c r="BM281" s="237"/>
      <c r="BN281" s="237"/>
      <c r="BO281" s="237"/>
      <c r="BP281" s="237"/>
      <c r="BQ281" s="237"/>
      <c r="BR281" s="237"/>
      <c r="BS281" s="237"/>
      <c r="BT281" s="237"/>
      <c r="BU281" s="237"/>
      <c r="BV281" s="237"/>
      <c r="BW281" s="237"/>
      <c r="BX281" s="237"/>
      <c r="BY281" s="237"/>
      <c r="BZ281" s="237"/>
      <c r="CA281" s="237"/>
      <c r="CB281" s="237"/>
      <c r="CC281" s="237"/>
      <c r="CD281" s="237"/>
      <c r="CE281" s="237"/>
      <c r="CF281" s="237"/>
      <c r="CG281" s="237"/>
      <c r="CH281" s="237"/>
      <c r="CI281" s="237"/>
      <c r="CJ281" s="237"/>
      <c r="CK281" s="237"/>
      <c r="CL281" s="237"/>
      <c r="CM281" s="237"/>
      <c r="CN281" s="237"/>
      <c r="CO281" s="237"/>
      <c r="CP281" s="237"/>
      <c r="CQ281" s="237"/>
      <c r="CR281" s="237"/>
      <c r="CS281" s="237"/>
      <c r="CT281" s="237"/>
      <c r="CU281" s="237"/>
      <c r="CV281" s="237"/>
      <c r="CW281" s="237"/>
      <c r="CX281" s="237"/>
      <c r="CY281" s="237"/>
      <c r="CZ281" s="237"/>
      <c r="DA281" s="237"/>
      <c r="DB281" s="237"/>
      <c r="DC281" s="237"/>
      <c r="DD281" s="237"/>
      <c r="DE281" s="237"/>
      <c r="DF281" s="237"/>
      <c r="DG281" s="237"/>
      <c r="DH281" s="237"/>
      <c r="DI281" s="237"/>
      <c r="DJ281" s="237"/>
      <c r="DK281" s="237"/>
      <c r="DL281" s="237"/>
      <c r="DM281" s="237"/>
      <c r="DN281" s="237"/>
      <c r="DO281" s="237"/>
      <c r="DP281" s="237"/>
      <c r="DQ281" s="237"/>
      <c r="DR281" s="237"/>
      <c r="DS281" s="237"/>
      <c r="DT281" s="237"/>
      <c r="DU281" s="237"/>
      <c r="DV281" s="237"/>
      <c r="DW281" s="237"/>
      <c r="DX281" s="237"/>
      <c r="DY281" s="237"/>
      <c r="DZ281" s="237"/>
      <c r="EA281" s="237"/>
      <c r="EB281" s="237"/>
      <c r="EC281" s="237"/>
      <c r="ED281" s="237"/>
      <c r="EE281" s="237"/>
      <c r="EF281" s="237"/>
      <c r="EG281" s="237"/>
      <c r="EH281" s="237"/>
      <c r="EI281" s="237"/>
      <c r="EJ281" s="237"/>
      <c r="EK281" s="237"/>
      <c r="EL281" s="237"/>
      <c r="EM281" s="237"/>
      <c r="EN281" s="237"/>
      <c r="EO281" s="237"/>
      <c r="EP281" s="237"/>
      <c r="EQ281" s="237"/>
      <c r="ER281" s="237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</row>
    <row r="282" customFormat="false" ht="15" hidden="false" customHeight="false" outlineLevel="2" collapsed="false">
      <c r="B282" s="47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237"/>
      <c r="AD282" s="237"/>
      <c r="AE282" s="237"/>
      <c r="AF282" s="237"/>
      <c r="AG282" s="237"/>
      <c r="AH282" s="237"/>
      <c r="AI282" s="237"/>
      <c r="AJ282" s="237"/>
      <c r="AK282" s="237"/>
      <c r="AL282" s="237"/>
      <c r="AM282" s="237"/>
      <c r="AN282" s="237"/>
      <c r="AO282" s="237"/>
      <c r="AP282" s="237"/>
      <c r="AQ282" s="237"/>
      <c r="AR282" s="237"/>
      <c r="AS282" s="237"/>
      <c r="AT282" s="237"/>
      <c r="AU282" s="237"/>
      <c r="AV282" s="237"/>
      <c r="AW282" s="237"/>
      <c r="AX282" s="237"/>
      <c r="AY282" s="237"/>
      <c r="AZ282" s="237"/>
      <c r="BA282" s="237"/>
      <c r="BB282" s="237"/>
      <c r="BC282" s="237"/>
      <c r="BD282" s="237"/>
      <c r="BE282" s="237"/>
      <c r="BF282" s="237"/>
      <c r="BG282" s="237"/>
      <c r="BH282" s="237"/>
      <c r="BI282" s="237"/>
      <c r="BJ282" s="237"/>
      <c r="BK282" s="237"/>
      <c r="BL282" s="237"/>
      <c r="BM282" s="237"/>
      <c r="BN282" s="237"/>
      <c r="BO282" s="237"/>
      <c r="BP282" s="237"/>
      <c r="BQ282" s="237"/>
      <c r="BR282" s="237"/>
      <c r="BS282" s="237"/>
      <c r="BT282" s="237"/>
      <c r="BU282" s="237"/>
      <c r="BV282" s="237"/>
      <c r="BW282" s="237"/>
      <c r="BX282" s="237"/>
      <c r="BY282" s="237"/>
      <c r="BZ282" s="237"/>
      <c r="CA282" s="237"/>
      <c r="CB282" s="237"/>
      <c r="CC282" s="237"/>
      <c r="CD282" s="237"/>
      <c r="CE282" s="237"/>
      <c r="CF282" s="237"/>
      <c r="CG282" s="237"/>
      <c r="CH282" s="237"/>
      <c r="CI282" s="237"/>
      <c r="CJ282" s="237"/>
      <c r="CK282" s="237"/>
      <c r="CL282" s="237"/>
      <c r="CM282" s="237"/>
      <c r="CN282" s="237"/>
      <c r="CO282" s="237"/>
      <c r="CP282" s="237"/>
      <c r="CQ282" s="237"/>
      <c r="CR282" s="237"/>
      <c r="CS282" s="237"/>
      <c r="CT282" s="237"/>
      <c r="CU282" s="237"/>
      <c r="CV282" s="237"/>
      <c r="CW282" s="237"/>
      <c r="CX282" s="237"/>
      <c r="CY282" s="237"/>
      <c r="CZ282" s="237"/>
      <c r="DA282" s="237"/>
      <c r="DB282" s="237"/>
      <c r="DC282" s="237"/>
      <c r="DD282" s="237"/>
      <c r="DE282" s="237"/>
      <c r="DF282" s="237"/>
      <c r="DG282" s="237"/>
      <c r="DH282" s="237"/>
      <c r="DI282" s="237"/>
      <c r="DJ282" s="237"/>
      <c r="DK282" s="237"/>
      <c r="DL282" s="237"/>
      <c r="DM282" s="237"/>
      <c r="DN282" s="237"/>
      <c r="DO282" s="237"/>
      <c r="DP282" s="237"/>
      <c r="DQ282" s="237"/>
      <c r="DR282" s="237"/>
      <c r="DS282" s="237"/>
      <c r="DT282" s="237"/>
      <c r="DU282" s="237"/>
      <c r="DV282" s="237"/>
      <c r="DW282" s="237"/>
      <c r="DX282" s="237"/>
      <c r="DY282" s="237"/>
      <c r="DZ282" s="237"/>
      <c r="EA282" s="237"/>
      <c r="EB282" s="237"/>
      <c r="EC282" s="237"/>
      <c r="ED282" s="237"/>
      <c r="EE282" s="237"/>
      <c r="EF282" s="237"/>
      <c r="EG282" s="237"/>
      <c r="EH282" s="237"/>
      <c r="EI282" s="237"/>
      <c r="EJ282" s="237"/>
      <c r="EK282" s="237"/>
      <c r="EL282" s="237"/>
      <c r="EM282" s="237"/>
      <c r="EN282" s="237"/>
      <c r="EO282" s="237"/>
      <c r="EP282" s="237"/>
      <c r="EQ282" s="237"/>
      <c r="ER282" s="237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</row>
    <row r="283" customFormat="false" ht="15" hidden="false" customHeight="false" outlineLevel="2" collapsed="false">
      <c r="B283" s="47" t="s">
        <v>901</v>
      </c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237"/>
      <c r="AD283" s="237"/>
      <c r="AE283" s="237"/>
      <c r="AF283" s="237"/>
      <c r="AG283" s="237"/>
      <c r="AH283" s="237"/>
      <c r="AI283" s="237"/>
      <c r="AJ283" s="237"/>
      <c r="AK283" s="237"/>
      <c r="AL283" s="237"/>
      <c r="AM283" s="237"/>
      <c r="AN283" s="237"/>
      <c r="AO283" s="237"/>
      <c r="AP283" s="237"/>
      <c r="AQ283" s="237"/>
      <c r="AR283" s="237"/>
      <c r="AS283" s="237"/>
      <c r="AT283" s="237"/>
      <c r="AU283" s="237"/>
      <c r="AV283" s="237"/>
      <c r="AW283" s="237"/>
      <c r="AX283" s="237"/>
      <c r="AY283" s="237"/>
      <c r="AZ283" s="237"/>
      <c r="BA283" s="237"/>
      <c r="BB283" s="237"/>
      <c r="BC283" s="237"/>
      <c r="BD283" s="237"/>
      <c r="BE283" s="237"/>
      <c r="BF283" s="237"/>
      <c r="BG283" s="237"/>
      <c r="BH283" s="237"/>
      <c r="BI283" s="237"/>
      <c r="BJ283" s="237"/>
      <c r="BK283" s="237"/>
      <c r="BL283" s="237"/>
      <c r="BM283" s="237"/>
      <c r="BN283" s="237"/>
      <c r="BO283" s="237"/>
      <c r="BP283" s="237"/>
      <c r="BQ283" s="237"/>
      <c r="BR283" s="237"/>
      <c r="BS283" s="237"/>
      <c r="BT283" s="237"/>
      <c r="BU283" s="237"/>
      <c r="BV283" s="237"/>
      <c r="BW283" s="237"/>
      <c r="BX283" s="237"/>
      <c r="BY283" s="237"/>
      <c r="BZ283" s="237"/>
      <c r="CA283" s="237"/>
      <c r="CB283" s="237"/>
      <c r="CC283" s="237"/>
      <c r="CD283" s="237"/>
      <c r="CE283" s="237"/>
      <c r="CF283" s="237"/>
      <c r="CG283" s="237"/>
      <c r="CH283" s="237"/>
      <c r="CI283" s="237"/>
      <c r="CJ283" s="237"/>
      <c r="CK283" s="237"/>
      <c r="CL283" s="237"/>
      <c r="CM283" s="237"/>
      <c r="CN283" s="237"/>
      <c r="CO283" s="237"/>
      <c r="CP283" s="237"/>
      <c r="CQ283" s="237"/>
      <c r="CR283" s="237"/>
      <c r="CS283" s="237"/>
      <c r="CT283" s="237"/>
      <c r="CU283" s="237"/>
      <c r="CV283" s="237"/>
      <c r="CW283" s="237"/>
      <c r="CX283" s="237"/>
      <c r="CY283" s="237"/>
      <c r="CZ283" s="237"/>
      <c r="DA283" s="237"/>
      <c r="DB283" s="237"/>
      <c r="DC283" s="237"/>
      <c r="DD283" s="237"/>
      <c r="DE283" s="237"/>
      <c r="DF283" s="237"/>
      <c r="DG283" s="237"/>
      <c r="DH283" s="237"/>
      <c r="DI283" s="237"/>
      <c r="DJ283" s="237"/>
      <c r="DK283" s="237"/>
      <c r="DL283" s="237"/>
      <c r="DM283" s="237"/>
      <c r="DN283" s="237"/>
      <c r="DO283" s="237"/>
      <c r="DP283" s="237"/>
      <c r="DQ283" s="237"/>
      <c r="DR283" s="237"/>
      <c r="DS283" s="237"/>
      <c r="DT283" s="237"/>
      <c r="DU283" s="237"/>
      <c r="DV283" s="237"/>
      <c r="DW283" s="237"/>
      <c r="DX283" s="237"/>
      <c r="DY283" s="237"/>
      <c r="DZ283" s="237"/>
      <c r="EA283" s="237"/>
      <c r="EB283" s="237"/>
      <c r="EC283" s="237"/>
      <c r="ED283" s="237"/>
      <c r="EE283" s="237"/>
      <c r="EF283" s="237"/>
      <c r="EG283" s="237"/>
      <c r="EH283" s="237"/>
      <c r="EI283" s="237"/>
      <c r="EJ283" s="237"/>
      <c r="EK283" s="237"/>
      <c r="EL283" s="237"/>
      <c r="EM283" s="237"/>
      <c r="EN283" s="237"/>
      <c r="EO283" s="237"/>
      <c r="EP283" s="237"/>
      <c r="EQ283" s="237"/>
      <c r="ER283" s="237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</row>
    <row r="284" customFormat="false" ht="15" hidden="false" customHeight="false" outlineLevel="2" collapsed="false">
      <c r="B284" s="47" t="s">
        <v>872</v>
      </c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237" t="n">
        <f aca="false">('⑫ Roll-out Plan'!G33-2025)*12+'⑫ Roll-out Plan'!F33</f>
        <v>77</v>
      </c>
      <c r="AD284" s="237"/>
      <c r="AE284" s="237"/>
      <c r="AF284" s="237"/>
      <c r="AG284" s="237"/>
      <c r="AH284" s="237"/>
      <c r="AI284" s="237"/>
      <c r="AJ284" s="237"/>
      <c r="AK284" s="237"/>
      <c r="AL284" s="237"/>
      <c r="AM284" s="237"/>
      <c r="AN284" s="237"/>
      <c r="AO284" s="237"/>
      <c r="AP284" s="237"/>
      <c r="AQ284" s="237"/>
      <c r="AR284" s="237"/>
      <c r="AS284" s="237"/>
      <c r="AT284" s="237"/>
      <c r="AU284" s="237"/>
      <c r="AV284" s="237"/>
      <c r="AW284" s="237"/>
      <c r="AX284" s="237"/>
      <c r="AY284" s="237"/>
      <c r="AZ284" s="237"/>
      <c r="BA284" s="237"/>
      <c r="BB284" s="237"/>
      <c r="BC284" s="237"/>
      <c r="BD284" s="237"/>
      <c r="BE284" s="237"/>
      <c r="BF284" s="237"/>
      <c r="BG284" s="237"/>
      <c r="BH284" s="237"/>
      <c r="BI284" s="237"/>
      <c r="BJ284" s="237"/>
      <c r="BK284" s="237"/>
      <c r="BL284" s="237"/>
      <c r="BM284" s="237"/>
      <c r="BN284" s="237"/>
      <c r="BO284" s="237"/>
      <c r="BP284" s="237"/>
      <c r="BQ284" s="237"/>
      <c r="BR284" s="237"/>
      <c r="BS284" s="237"/>
      <c r="BT284" s="237"/>
      <c r="BU284" s="237"/>
      <c r="BV284" s="237"/>
      <c r="BW284" s="237"/>
      <c r="BX284" s="237"/>
      <c r="BY284" s="237"/>
      <c r="BZ284" s="237"/>
      <c r="CA284" s="237"/>
      <c r="CB284" s="237"/>
      <c r="CC284" s="237"/>
      <c r="CD284" s="237"/>
      <c r="CE284" s="237"/>
      <c r="CF284" s="237"/>
      <c r="CG284" s="237"/>
      <c r="CH284" s="237"/>
      <c r="CI284" s="237"/>
      <c r="CJ284" s="237"/>
      <c r="CK284" s="237"/>
      <c r="CL284" s="237"/>
      <c r="CM284" s="237"/>
      <c r="CN284" s="237"/>
      <c r="CO284" s="237"/>
      <c r="CP284" s="237"/>
      <c r="CQ284" s="237"/>
      <c r="CR284" s="237"/>
      <c r="CS284" s="237"/>
      <c r="CT284" s="237"/>
      <c r="CU284" s="237"/>
      <c r="CV284" s="237"/>
      <c r="CW284" s="237"/>
      <c r="CX284" s="237"/>
      <c r="CY284" s="237"/>
      <c r="CZ284" s="237"/>
      <c r="DA284" s="237"/>
      <c r="DB284" s="237"/>
      <c r="DC284" s="237"/>
      <c r="DD284" s="237"/>
      <c r="DE284" s="237"/>
      <c r="DF284" s="237"/>
      <c r="DG284" s="237"/>
      <c r="DH284" s="237"/>
      <c r="DI284" s="237"/>
      <c r="DJ284" s="237"/>
      <c r="DK284" s="237"/>
      <c r="DL284" s="237"/>
      <c r="DM284" s="237"/>
      <c r="DN284" s="237"/>
      <c r="DO284" s="237"/>
      <c r="DP284" s="237"/>
      <c r="DQ284" s="237"/>
      <c r="DR284" s="237"/>
      <c r="DS284" s="237"/>
      <c r="DT284" s="237"/>
      <c r="DU284" s="237"/>
      <c r="DV284" s="237"/>
      <c r="DW284" s="237"/>
      <c r="DX284" s="237"/>
      <c r="DY284" s="237"/>
      <c r="DZ284" s="237"/>
      <c r="EA284" s="237"/>
      <c r="EB284" s="237"/>
      <c r="EC284" s="237"/>
      <c r="ED284" s="237"/>
      <c r="EE284" s="237"/>
      <c r="EF284" s="237"/>
      <c r="EG284" s="237"/>
      <c r="EH284" s="237"/>
      <c r="EI284" s="237"/>
      <c r="EJ284" s="237"/>
      <c r="EK284" s="237"/>
      <c r="EL284" s="237"/>
      <c r="EM284" s="237"/>
      <c r="EN284" s="237"/>
      <c r="EO284" s="237"/>
      <c r="EP284" s="237"/>
      <c r="EQ284" s="237"/>
      <c r="ER284" s="237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</row>
    <row r="285" customFormat="false" ht="15" hidden="false" customHeight="false" outlineLevel="2" collapsed="false">
      <c r="B285" s="47" t="s">
        <v>873</v>
      </c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237" t="n">
        <f aca="false">VLOOKUP("B",$B$14:$C$18,2,FALSE())</f>
        <v>185</v>
      </c>
      <c r="AD285" s="237"/>
      <c r="AE285" s="237"/>
      <c r="AF285" s="237"/>
      <c r="AG285" s="237"/>
      <c r="AH285" s="237"/>
      <c r="AI285" s="237"/>
      <c r="AJ285" s="237"/>
      <c r="AK285" s="237"/>
      <c r="AL285" s="237"/>
      <c r="AM285" s="237"/>
      <c r="AN285" s="237"/>
      <c r="AO285" s="237"/>
      <c r="AP285" s="237"/>
      <c r="AQ285" s="237"/>
      <c r="AR285" s="237"/>
      <c r="AS285" s="237"/>
      <c r="AT285" s="237"/>
      <c r="AU285" s="237"/>
      <c r="AV285" s="237"/>
      <c r="AW285" s="237"/>
      <c r="AX285" s="237"/>
      <c r="AY285" s="237"/>
      <c r="AZ285" s="237"/>
      <c r="BA285" s="237"/>
      <c r="BB285" s="237"/>
      <c r="BC285" s="237"/>
      <c r="BD285" s="237"/>
      <c r="BE285" s="237"/>
      <c r="BF285" s="237"/>
      <c r="BG285" s="237"/>
      <c r="BH285" s="237"/>
      <c r="BI285" s="237"/>
      <c r="BJ285" s="237"/>
      <c r="BK285" s="237"/>
      <c r="BL285" s="237"/>
      <c r="BM285" s="237"/>
      <c r="BN285" s="237"/>
      <c r="BO285" s="237"/>
      <c r="BP285" s="237"/>
      <c r="BQ285" s="237"/>
      <c r="BR285" s="237"/>
      <c r="BS285" s="237"/>
      <c r="BT285" s="237"/>
      <c r="BU285" s="237"/>
      <c r="BV285" s="237"/>
      <c r="BW285" s="237"/>
      <c r="BX285" s="237"/>
      <c r="BY285" s="237"/>
      <c r="BZ285" s="237"/>
      <c r="CA285" s="237"/>
      <c r="CB285" s="237"/>
      <c r="CC285" s="237"/>
      <c r="CD285" s="237"/>
      <c r="CE285" s="237"/>
      <c r="CF285" s="237"/>
      <c r="CG285" s="237"/>
      <c r="CH285" s="237"/>
      <c r="CI285" s="237"/>
      <c r="CJ285" s="237"/>
      <c r="CK285" s="237"/>
      <c r="CL285" s="237"/>
      <c r="CM285" s="237"/>
      <c r="CN285" s="237"/>
      <c r="CO285" s="237"/>
      <c r="CP285" s="237"/>
      <c r="CQ285" s="237"/>
      <c r="CR285" s="237"/>
      <c r="CS285" s="237"/>
      <c r="CT285" s="237"/>
      <c r="CU285" s="237"/>
      <c r="CV285" s="237"/>
      <c r="CW285" s="237"/>
      <c r="CX285" s="237"/>
      <c r="CY285" s="237"/>
      <c r="CZ285" s="237"/>
      <c r="DA285" s="237"/>
      <c r="DB285" s="237"/>
      <c r="DC285" s="237"/>
      <c r="DD285" s="237"/>
      <c r="DE285" s="237"/>
      <c r="DF285" s="237"/>
      <c r="DG285" s="237"/>
      <c r="DH285" s="237"/>
      <c r="DI285" s="237"/>
      <c r="DJ285" s="237"/>
      <c r="DK285" s="237"/>
      <c r="DL285" s="237"/>
      <c r="DM285" s="237"/>
      <c r="DN285" s="237"/>
      <c r="DO285" s="237"/>
      <c r="DP285" s="237"/>
      <c r="DQ285" s="237"/>
      <c r="DR285" s="237"/>
      <c r="DS285" s="237"/>
      <c r="DT285" s="237"/>
      <c r="DU285" s="237"/>
      <c r="DV285" s="237"/>
      <c r="DW285" s="237"/>
      <c r="DX285" s="237"/>
      <c r="DY285" s="237"/>
      <c r="DZ285" s="237"/>
      <c r="EA285" s="237"/>
      <c r="EB285" s="237"/>
      <c r="EC285" s="237"/>
      <c r="ED285" s="237"/>
      <c r="EE285" s="237"/>
      <c r="EF285" s="237"/>
      <c r="EG285" s="237"/>
      <c r="EH285" s="237"/>
      <c r="EI285" s="237"/>
      <c r="EJ285" s="237"/>
      <c r="EK285" s="237"/>
      <c r="EL285" s="237"/>
      <c r="EM285" s="237"/>
      <c r="EN285" s="237"/>
      <c r="EO285" s="237"/>
      <c r="EP285" s="237"/>
      <c r="EQ285" s="237"/>
      <c r="ER285" s="237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</row>
    <row r="286" customFormat="false" ht="15" hidden="false" customHeight="false" outlineLevel="2" collapsed="false">
      <c r="B286" s="47" t="s">
        <v>799</v>
      </c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237" t="n">
        <f aca="false">IF(AC$35&gt;=$AC$284,AC$35-$AC$284+1,0)</f>
        <v>0</v>
      </c>
      <c r="AD286" s="237" t="n">
        <f aca="false">IF(AD$35&gt;=$AC$284,AD$35-$AC$284+1,0)</f>
        <v>0</v>
      </c>
      <c r="AE286" s="237" t="n">
        <f aca="false">IF(AE$35&gt;=$AC$284,AE$35-$AC$284+1,0)</f>
        <v>0</v>
      </c>
      <c r="AF286" s="237" t="n">
        <f aca="false">IF(AF$35&gt;=$AC$284,AF$35-$AC$284+1,0)</f>
        <v>0</v>
      </c>
      <c r="AG286" s="237" t="n">
        <f aca="false">IF(AG$35&gt;=$AC$284,AG$35-$AC$284+1,0)</f>
        <v>0</v>
      </c>
      <c r="AH286" s="237" t="n">
        <f aca="false">IF(AH$35&gt;=$AC$284,AH$35-$AC$284+1,0)</f>
        <v>0</v>
      </c>
      <c r="AI286" s="237" t="n">
        <f aca="false">IF(AI$35&gt;=$AC$284,AI$35-$AC$284+1,0)</f>
        <v>0</v>
      </c>
      <c r="AJ286" s="237" t="n">
        <f aca="false">IF(AJ$35&gt;=$AC$284,AJ$35-$AC$284+1,0)</f>
        <v>0</v>
      </c>
      <c r="AK286" s="237" t="n">
        <f aca="false">IF(AK$35&gt;=$AC$284,AK$35-$AC$284+1,0)</f>
        <v>0</v>
      </c>
      <c r="AL286" s="237" t="n">
        <f aca="false">IF(AL$35&gt;=$AC$284,AL$35-$AC$284+1,0)</f>
        <v>0</v>
      </c>
      <c r="AM286" s="237" t="n">
        <f aca="false">IF(AM$35&gt;=$AC$284,AM$35-$AC$284+1,0)</f>
        <v>0</v>
      </c>
      <c r="AN286" s="237" t="n">
        <f aca="false">IF(AN$35&gt;=$AC$284,AN$35-$AC$284+1,0)</f>
        <v>0</v>
      </c>
      <c r="AO286" s="237" t="n">
        <f aca="false">IF(AO$35&gt;=$AC$284,AO$35-$AC$284+1,0)</f>
        <v>0</v>
      </c>
      <c r="AP286" s="237" t="n">
        <f aca="false">IF(AP$35&gt;=$AC$284,AP$35-$AC$284+1,0)</f>
        <v>0</v>
      </c>
      <c r="AQ286" s="237" t="n">
        <f aca="false">IF(AQ$35&gt;=$AC$284,AQ$35-$AC$284+1,0)</f>
        <v>0</v>
      </c>
      <c r="AR286" s="237" t="n">
        <f aca="false">IF(AR$35&gt;=$AC$284,AR$35-$AC$284+1,0)</f>
        <v>0</v>
      </c>
      <c r="AS286" s="237" t="n">
        <f aca="false">IF(AS$35&gt;=$AC$284,AS$35-$AC$284+1,0)</f>
        <v>0</v>
      </c>
      <c r="AT286" s="237" t="n">
        <f aca="false">IF(AT$35&gt;=$AC$284,AT$35-$AC$284+1,0)</f>
        <v>0</v>
      </c>
      <c r="AU286" s="237" t="n">
        <f aca="false">IF(AU$35&gt;=$AC$284,AU$35-$AC$284+1,0)</f>
        <v>0</v>
      </c>
      <c r="AV286" s="237" t="n">
        <f aca="false">IF(AV$35&gt;=$AC$284,AV$35-$AC$284+1,0)</f>
        <v>0</v>
      </c>
      <c r="AW286" s="237" t="n">
        <f aca="false">IF(AW$35&gt;=$AC$284,AW$35-$AC$284+1,0)</f>
        <v>0</v>
      </c>
      <c r="AX286" s="237" t="n">
        <f aca="false">IF(AX$35&gt;=$AC$284,AX$35-$AC$284+1,0)</f>
        <v>0</v>
      </c>
      <c r="AY286" s="237" t="n">
        <f aca="false">IF(AY$35&gt;=$AC$284,AY$35-$AC$284+1,0)</f>
        <v>0</v>
      </c>
      <c r="AZ286" s="237" t="n">
        <f aca="false">IF(AZ$35&gt;=$AC$284,AZ$35-$AC$284+1,0)</f>
        <v>0</v>
      </c>
      <c r="BA286" s="237" t="n">
        <f aca="false">IF(BA$35&gt;=$AC$284,BA$35-$AC$284+1,0)</f>
        <v>0</v>
      </c>
      <c r="BB286" s="237" t="n">
        <f aca="false">IF(BB$35&gt;=$AC$284,BB$35-$AC$284+1,0)</f>
        <v>0</v>
      </c>
      <c r="BC286" s="237" t="n">
        <f aca="false">IF(BC$35&gt;=$AC$284,BC$35-$AC$284+1,0)</f>
        <v>0</v>
      </c>
      <c r="BD286" s="237" t="n">
        <f aca="false">IF(BD$35&gt;=$AC$284,BD$35-$AC$284+1,0)</f>
        <v>0</v>
      </c>
      <c r="BE286" s="237" t="n">
        <f aca="false">IF(BE$35&gt;=$AC$284,BE$35-$AC$284+1,0)</f>
        <v>0</v>
      </c>
      <c r="BF286" s="237" t="n">
        <f aca="false">IF(BF$35&gt;=$AC$284,BF$35-$AC$284+1,0)</f>
        <v>0</v>
      </c>
      <c r="BG286" s="237" t="n">
        <f aca="false">IF(BG$35&gt;=$AC$284,BG$35-$AC$284+1,0)</f>
        <v>0</v>
      </c>
      <c r="BH286" s="237" t="n">
        <f aca="false">IF(BH$35&gt;=$AC$284,BH$35-$AC$284+1,0)</f>
        <v>0</v>
      </c>
      <c r="BI286" s="237" t="n">
        <f aca="false">IF(BI$35&gt;=$AC$284,BI$35-$AC$284+1,0)</f>
        <v>0</v>
      </c>
      <c r="BJ286" s="237" t="n">
        <f aca="false">IF(BJ$35&gt;=$AC$284,BJ$35-$AC$284+1,0)</f>
        <v>0</v>
      </c>
      <c r="BK286" s="237" t="n">
        <f aca="false">IF(BK$35&gt;=$AC$284,BK$35-$AC$284+1,0)</f>
        <v>0</v>
      </c>
      <c r="BL286" s="237" t="n">
        <f aca="false">IF(BL$35&gt;=$AC$284,BL$35-$AC$284+1,0)</f>
        <v>0</v>
      </c>
      <c r="BM286" s="237" t="n">
        <f aca="false">IF(BM$35&gt;=$AC$284,BM$35-$AC$284+1,0)</f>
        <v>0</v>
      </c>
      <c r="BN286" s="237" t="n">
        <f aca="false">IF(BN$35&gt;=$AC$284,BN$35-$AC$284+1,0)</f>
        <v>0</v>
      </c>
      <c r="BO286" s="237" t="n">
        <f aca="false">IF(BO$35&gt;=$AC$284,BO$35-$AC$284+1,0)</f>
        <v>0</v>
      </c>
      <c r="BP286" s="237" t="n">
        <f aca="false">IF(BP$35&gt;=$AC$284,BP$35-$AC$284+1,0)</f>
        <v>0</v>
      </c>
      <c r="BQ286" s="237" t="n">
        <f aca="false">IF(BQ$35&gt;=$AC$284,BQ$35-$AC$284+1,0)</f>
        <v>0</v>
      </c>
      <c r="BR286" s="237" t="n">
        <f aca="false">IF(BR$35&gt;=$AC$284,BR$35-$AC$284+1,0)</f>
        <v>0</v>
      </c>
      <c r="BS286" s="237" t="n">
        <f aca="false">IF(BS$35&gt;=$AC$284,BS$35-$AC$284+1,0)</f>
        <v>0</v>
      </c>
      <c r="BT286" s="237" t="n">
        <f aca="false">IF(BT$35&gt;=$AC$284,BT$35-$AC$284+1,0)</f>
        <v>0</v>
      </c>
      <c r="BU286" s="237" t="n">
        <f aca="false">IF(BU$35&gt;=$AC$284,BU$35-$AC$284+1,0)</f>
        <v>0</v>
      </c>
      <c r="BV286" s="237" t="n">
        <f aca="false">IF(BV$35&gt;=$AC$284,BV$35-$AC$284+1,0)</f>
        <v>0</v>
      </c>
      <c r="BW286" s="237" t="n">
        <f aca="false">IF(BW$35&gt;=$AC$284,BW$35-$AC$284+1,0)</f>
        <v>0</v>
      </c>
      <c r="BX286" s="237" t="n">
        <f aca="false">IF(BX$35&gt;=$AC$284,BX$35-$AC$284+1,0)</f>
        <v>0</v>
      </c>
      <c r="BY286" s="237" t="n">
        <f aca="false">IF(BY$35&gt;=$AC$284,BY$35-$AC$284+1,0)</f>
        <v>0</v>
      </c>
      <c r="BZ286" s="237" t="n">
        <f aca="false">IF(BZ$35&gt;=$AC$284,BZ$35-$AC$284+1,0)</f>
        <v>0</v>
      </c>
      <c r="CA286" s="237" t="n">
        <f aca="false">IF(CA$35&gt;=$AC$284,CA$35-$AC$284+1,0)</f>
        <v>0</v>
      </c>
      <c r="CB286" s="237" t="n">
        <f aca="false">IF(CB$35&gt;=$AC$284,CB$35-$AC$284+1,0)</f>
        <v>0</v>
      </c>
      <c r="CC286" s="237" t="n">
        <f aca="false">IF(CC$35&gt;=$AC$284,CC$35-$AC$284+1,0)</f>
        <v>0</v>
      </c>
      <c r="CD286" s="237" t="n">
        <f aca="false">IF(CD$35&gt;=$AC$284,CD$35-$AC$284+1,0)</f>
        <v>0</v>
      </c>
      <c r="CE286" s="237" t="n">
        <f aca="false">IF(CE$35&gt;=$AC$284,CE$35-$AC$284+1,0)</f>
        <v>0</v>
      </c>
      <c r="CF286" s="237" t="n">
        <f aca="false">IF(CF$35&gt;=$AC$284,CF$35-$AC$284+1,0)</f>
        <v>0</v>
      </c>
      <c r="CG286" s="237" t="n">
        <f aca="false">IF(CG$35&gt;=$AC$284,CG$35-$AC$284+1,0)</f>
        <v>0</v>
      </c>
      <c r="CH286" s="237" t="n">
        <f aca="false">IF(CH$35&gt;=$AC$284,CH$35-$AC$284+1,0)</f>
        <v>0</v>
      </c>
      <c r="CI286" s="237" t="n">
        <f aca="false">IF(CI$35&gt;=$AC$284,CI$35-$AC$284+1,0)</f>
        <v>0</v>
      </c>
      <c r="CJ286" s="237" t="n">
        <f aca="false">IF(CJ$35&gt;=$AC$284,CJ$35-$AC$284+1,0)</f>
        <v>0</v>
      </c>
      <c r="CK286" s="237" t="n">
        <f aca="false">IF(CK$35&gt;=$AC$284,CK$35-$AC$284+1,0)</f>
        <v>0</v>
      </c>
      <c r="CL286" s="237" t="n">
        <f aca="false">IF(CL$35&gt;=$AC$284,CL$35-$AC$284+1,0)</f>
        <v>0</v>
      </c>
      <c r="CM286" s="237" t="n">
        <f aca="false">IF(CM$35&gt;=$AC$284,CM$35-$AC$284+1,0)</f>
        <v>0</v>
      </c>
      <c r="CN286" s="237" t="n">
        <f aca="false">IF(CN$35&gt;=$AC$284,CN$35-$AC$284+1,0)</f>
        <v>0</v>
      </c>
      <c r="CO286" s="237" t="n">
        <f aca="false">IF(CO$35&gt;=$AC$284,CO$35-$AC$284+1,0)</f>
        <v>0</v>
      </c>
      <c r="CP286" s="237" t="n">
        <f aca="false">IF(CP$35&gt;=$AC$284,CP$35-$AC$284+1,0)</f>
        <v>0</v>
      </c>
      <c r="CQ286" s="237" t="n">
        <f aca="false">IF(CQ$35&gt;=$AC$284,CQ$35-$AC$284+1,0)</f>
        <v>0</v>
      </c>
      <c r="CR286" s="237" t="n">
        <f aca="false">IF(CR$35&gt;=$AC$284,CR$35-$AC$284+1,0)</f>
        <v>0</v>
      </c>
      <c r="CS286" s="237" t="n">
        <f aca="false">IF(CS$35&gt;=$AC$284,CS$35-$AC$284+1,0)</f>
        <v>0</v>
      </c>
      <c r="CT286" s="237" t="n">
        <f aca="false">IF(CT$35&gt;=$AC$284,CT$35-$AC$284+1,0)</f>
        <v>0</v>
      </c>
      <c r="CU286" s="237" t="n">
        <f aca="false">IF(CU$35&gt;=$AC$284,CU$35-$AC$284+1,0)</f>
        <v>0</v>
      </c>
      <c r="CV286" s="237" t="n">
        <f aca="false">IF(CV$35&gt;=$AC$284,CV$35-$AC$284+1,0)</f>
        <v>0</v>
      </c>
      <c r="CW286" s="237" t="n">
        <f aca="false">IF(CW$35&gt;=$AC$284,CW$35-$AC$284+1,0)</f>
        <v>0</v>
      </c>
      <c r="CX286" s="237" t="n">
        <f aca="false">IF(CX$35&gt;=$AC$284,CX$35-$AC$284+1,0)</f>
        <v>0</v>
      </c>
      <c r="CY286" s="237" t="n">
        <f aca="false">IF(CY$35&gt;=$AC$284,CY$35-$AC$284+1,0)</f>
        <v>0</v>
      </c>
      <c r="CZ286" s="237" t="n">
        <f aca="false">IF(CZ$35&gt;=$AC$284,CZ$35-$AC$284+1,0)</f>
        <v>0</v>
      </c>
      <c r="DA286" s="237" t="n">
        <f aca="false">IF(DA$35&gt;=$AC$284,DA$35-$AC$284+1,0)</f>
        <v>1</v>
      </c>
      <c r="DB286" s="237" t="n">
        <f aca="false">IF(DB$35&gt;=$AC$284,DB$35-$AC$284+1,0)</f>
        <v>2</v>
      </c>
      <c r="DC286" s="237" t="n">
        <f aca="false">IF(DC$35&gt;=$AC$284,DC$35-$AC$284+1,0)</f>
        <v>3</v>
      </c>
      <c r="DD286" s="237" t="n">
        <f aca="false">IF(DD$35&gt;=$AC$284,DD$35-$AC$284+1,0)</f>
        <v>4</v>
      </c>
      <c r="DE286" s="237" t="n">
        <f aca="false">IF(DE$35&gt;=$AC$284,DE$35-$AC$284+1,0)</f>
        <v>5</v>
      </c>
      <c r="DF286" s="237" t="n">
        <f aca="false">IF(DF$35&gt;=$AC$284,DF$35-$AC$284+1,0)</f>
        <v>6</v>
      </c>
      <c r="DG286" s="237" t="n">
        <f aca="false">IF(DG$35&gt;=$AC$284,DG$35-$AC$284+1,0)</f>
        <v>7</v>
      </c>
      <c r="DH286" s="237" t="n">
        <f aca="false">IF(DH$35&gt;=$AC$284,DH$35-$AC$284+1,0)</f>
        <v>8</v>
      </c>
      <c r="DI286" s="237" t="n">
        <f aca="false">IF(DI$35&gt;=$AC$284,DI$35-$AC$284+1,0)</f>
        <v>9</v>
      </c>
      <c r="DJ286" s="237" t="n">
        <f aca="false">IF(DJ$35&gt;=$AC$284,DJ$35-$AC$284+1,0)</f>
        <v>10</v>
      </c>
      <c r="DK286" s="237" t="n">
        <f aca="false">IF(DK$35&gt;=$AC$284,DK$35-$AC$284+1,0)</f>
        <v>11</v>
      </c>
      <c r="DL286" s="237" t="n">
        <f aca="false">IF(DL$35&gt;=$AC$284,DL$35-$AC$284+1,0)</f>
        <v>12</v>
      </c>
      <c r="DM286" s="237" t="n">
        <f aca="false">IF(DM$35&gt;=$AC$284,DM$35-$AC$284+1,0)</f>
        <v>13</v>
      </c>
      <c r="DN286" s="237" t="n">
        <f aca="false">IF(DN$35&gt;=$AC$284,DN$35-$AC$284+1,0)</f>
        <v>14</v>
      </c>
      <c r="DO286" s="237" t="n">
        <f aca="false">IF(DO$35&gt;=$AC$284,DO$35-$AC$284+1,0)</f>
        <v>15</v>
      </c>
      <c r="DP286" s="237" t="n">
        <f aca="false">IF(DP$35&gt;=$AC$284,DP$35-$AC$284+1,0)</f>
        <v>16</v>
      </c>
      <c r="DQ286" s="237" t="n">
        <f aca="false">IF(DQ$35&gt;=$AC$284,DQ$35-$AC$284+1,0)</f>
        <v>17</v>
      </c>
      <c r="DR286" s="237" t="n">
        <f aca="false">IF(DR$35&gt;=$AC$284,DR$35-$AC$284+1,0)</f>
        <v>18</v>
      </c>
      <c r="DS286" s="237" t="n">
        <f aca="false">IF(DS$35&gt;=$AC$284,DS$35-$AC$284+1,0)</f>
        <v>19</v>
      </c>
      <c r="DT286" s="237" t="n">
        <f aca="false">IF(DT$35&gt;=$AC$284,DT$35-$AC$284+1,0)</f>
        <v>20</v>
      </c>
      <c r="DU286" s="237" t="n">
        <f aca="false">IF(DU$35&gt;=$AC$284,DU$35-$AC$284+1,0)</f>
        <v>21</v>
      </c>
      <c r="DV286" s="237" t="n">
        <f aca="false">IF(DV$35&gt;=$AC$284,DV$35-$AC$284+1,0)</f>
        <v>22</v>
      </c>
      <c r="DW286" s="237" t="n">
        <f aca="false">IF(DW$35&gt;=$AC$284,DW$35-$AC$284+1,0)</f>
        <v>23</v>
      </c>
      <c r="DX286" s="237" t="n">
        <f aca="false">IF(DX$35&gt;=$AC$284,DX$35-$AC$284+1,0)</f>
        <v>24</v>
      </c>
      <c r="DY286" s="237" t="n">
        <f aca="false">IF(DY$35&gt;=$AC$284,DY$35-$AC$284+1,0)</f>
        <v>25</v>
      </c>
      <c r="DZ286" s="237" t="n">
        <f aca="false">IF(DZ$35&gt;=$AC$284,DZ$35-$AC$284+1,0)</f>
        <v>26</v>
      </c>
      <c r="EA286" s="237" t="n">
        <f aca="false">IF(EA$35&gt;=$AC$284,EA$35-$AC$284+1,0)</f>
        <v>27</v>
      </c>
      <c r="EB286" s="237" t="n">
        <f aca="false">IF(EB$35&gt;=$AC$284,EB$35-$AC$284+1,0)</f>
        <v>28</v>
      </c>
      <c r="EC286" s="237" t="n">
        <f aca="false">IF(EC$35&gt;=$AC$284,EC$35-$AC$284+1,0)</f>
        <v>29</v>
      </c>
      <c r="ED286" s="237" t="n">
        <f aca="false">IF(ED$35&gt;=$AC$284,ED$35-$AC$284+1,0)</f>
        <v>30</v>
      </c>
      <c r="EE286" s="237" t="n">
        <f aca="false">IF(EE$35&gt;=$AC$284,EE$35-$AC$284+1,0)</f>
        <v>31</v>
      </c>
      <c r="EF286" s="237" t="n">
        <f aca="false">IF(EF$35&gt;=$AC$284,EF$35-$AC$284+1,0)</f>
        <v>32</v>
      </c>
      <c r="EG286" s="237" t="n">
        <f aca="false">IF(EG$35&gt;=$AC$284,EG$35-$AC$284+1,0)</f>
        <v>33</v>
      </c>
      <c r="EH286" s="237" t="n">
        <f aca="false">IF(EH$35&gt;=$AC$284,EH$35-$AC$284+1,0)</f>
        <v>34</v>
      </c>
      <c r="EI286" s="237" t="n">
        <f aca="false">IF(EI$35&gt;=$AC$284,EI$35-$AC$284+1,0)</f>
        <v>35</v>
      </c>
      <c r="EJ286" s="237" t="n">
        <f aca="false">IF(EJ$35&gt;=$AC$284,EJ$35-$AC$284+1,0)</f>
        <v>36</v>
      </c>
      <c r="EK286" s="237" t="n">
        <f aca="false">IF(EK$35&gt;=$AC$284,EK$35-$AC$284+1,0)</f>
        <v>37</v>
      </c>
      <c r="EL286" s="237" t="n">
        <f aca="false">IF(EL$35&gt;=$AC$284,EL$35-$AC$284+1,0)</f>
        <v>38</v>
      </c>
      <c r="EM286" s="237" t="n">
        <f aca="false">IF(EM$35&gt;=$AC$284,EM$35-$AC$284+1,0)</f>
        <v>39</v>
      </c>
      <c r="EN286" s="237" t="n">
        <f aca="false">IF(EN$35&gt;=$AC$284,EN$35-$AC$284+1,0)</f>
        <v>40</v>
      </c>
      <c r="EO286" s="237" t="n">
        <f aca="false">IF(EO$35&gt;=$AC$284,EO$35-$AC$284+1,0)</f>
        <v>41</v>
      </c>
      <c r="EP286" s="237" t="n">
        <f aca="false">IF(EP$35&gt;=$AC$284,EP$35-$AC$284+1,0)</f>
        <v>42</v>
      </c>
      <c r="EQ286" s="237" t="n">
        <f aca="false">IF(EQ$35&gt;=$AC$284,EQ$35-$AC$284+1,0)</f>
        <v>43</v>
      </c>
      <c r="ER286" s="237" t="n">
        <f aca="false">IF(ER$35&gt;=$AC$284,ER$35-$AC$284+1,0)</f>
        <v>44</v>
      </c>
      <c r="ES286" s="9" t="n">
        <f aca="false">IF(ES$35&gt;=$AC$284,ES$35-$AC$284+1,0)</f>
        <v>45</v>
      </c>
      <c r="ET286" s="9" t="n">
        <f aca="false">IF(ET$35&gt;=$AC$284,ET$35-$AC$284+1,0)</f>
        <v>46</v>
      </c>
      <c r="EU286" s="9" t="n">
        <f aca="false">IF(EU$35&gt;=$AC$284,EU$35-$AC$284+1,0)</f>
        <v>47</v>
      </c>
      <c r="EV286" s="9" t="n">
        <f aca="false">IF(EV$35&gt;=$AC$284,EV$35-$AC$284+1,0)</f>
        <v>48</v>
      </c>
      <c r="EW286" s="9" t="n">
        <f aca="false">IF(EW$35&gt;=$AC$284,EW$35-$AC$284+1,0)</f>
        <v>49</v>
      </c>
      <c r="EX286" s="9" t="n">
        <f aca="false">IF(EX$35&gt;=$AC$284,EX$35-$AC$284+1,0)</f>
        <v>50</v>
      </c>
      <c r="EY286" s="9" t="n">
        <f aca="false">IF(EY$35&gt;=$AC$284,EY$35-$AC$284+1,0)</f>
        <v>51</v>
      </c>
      <c r="EZ286" s="9" t="n">
        <f aca="false">IF(EZ$35&gt;=$AC$284,EZ$35-$AC$284+1,0)</f>
        <v>52</v>
      </c>
      <c r="FA286" s="9" t="n">
        <f aca="false">IF(FA$35&gt;=$AC$284,FA$35-$AC$284+1,0)</f>
        <v>53</v>
      </c>
      <c r="FB286" s="9" t="n">
        <f aca="false">IF(FB$35&gt;=$AC$284,FB$35-$AC$284+1,0)</f>
        <v>54</v>
      </c>
      <c r="FC286" s="9" t="n">
        <f aca="false">IF(FC$35&gt;=$AC$284,FC$35-$AC$284+1,0)</f>
        <v>55</v>
      </c>
      <c r="FD286" s="9" t="n">
        <f aca="false">IF(FD$35&gt;=$AC$284,FD$35-$AC$284+1,0)</f>
        <v>56</v>
      </c>
      <c r="FE286" s="9" t="n">
        <f aca="false">IF(FE$35&gt;=$AC$284,FE$35-$AC$284+1,0)</f>
        <v>57</v>
      </c>
      <c r="FF286" s="9" t="n">
        <f aca="false">IF(FF$35&gt;=$AC$284,FF$35-$AC$284+1,0)</f>
        <v>58</v>
      </c>
      <c r="FG286" s="9" t="n">
        <f aca="false">IF(FG$35&gt;=$AC$284,FG$35-$AC$284+1,0)</f>
        <v>59</v>
      </c>
      <c r="FH286" s="9" t="n">
        <f aca="false">IF(FH$35&gt;=$AC$284,FH$35-$AC$284+1,0)</f>
        <v>60</v>
      </c>
      <c r="FI286" s="9" t="n">
        <f aca="false">IF(FI$35&gt;=$AC$284,FI$35-$AC$284+1,0)</f>
        <v>61</v>
      </c>
      <c r="FJ286" s="9" t="n">
        <f aca="false">IF(FJ$35&gt;=$AC$284,FJ$35-$AC$284+1,0)</f>
        <v>62</v>
      </c>
      <c r="FK286" s="9" t="n">
        <f aca="false">IF(FK$35&gt;=$AC$284,FK$35-$AC$284+1,0)</f>
        <v>63</v>
      </c>
      <c r="FL286" s="9" t="n">
        <f aca="false">IF(FL$35&gt;=$AC$284,FL$35-$AC$284+1,0)</f>
        <v>64</v>
      </c>
      <c r="FM286" s="9" t="n">
        <f aca="false">IF(FM$35&gt;=$AC$284,FM$35-$AC$284+1,0)</f>
        <v>65</v>
      </c>
      <c r="FN286" s="9" t="n">
        <f aca="false">IF(FN$35&gt;=$AC$284,FN$35-$AC$284+1,0)</f>
        <v>66</v>
      </c>
      <c r="FO286" s="9" t="n">
        <f aca="false">IF(FO$35&gt;=$AC$284,FO$35-$AC$284+1,0)</f>
        <v>67</v>
      </c>
      <c r="FP286" s="9" t="n">
        <f aca="false">IF(FP$35&gt;=$AC$284,FP$35-$AC$284+1,0)</f>
        <v>68</v>
      </c>
    </row>
    <row r="287" customFormat="false" ht="15" hidden="false" customHeight="false" outlineLevel="2" collapsed="false">
      <c r="B287" s="47" t="s">
        <v>874</v>
      </c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237" t="n">
        <f aca="false" t="array" ref="AC287:AC287">IF(AC286=0,0,IF(AC286/'🎚️ Escenario'!$C$11&gt;=36,$AL$23,INDEX($C$23:$AL$23,MAX(1,ROUNDUP(AC286/'🎚️ Escenario'!$C$11,0)))))</f>
        <v>0</v>
      </c>
      <c r="AD287" s="237" t="n">
        <f aca="false" t="array" ref="AD287:AD287">IF(AD286=0,0,IF(AD286/'🎚️ Escenario'!$C$11&gt;=36,$AL$23,INDEX($C$23:$AL$23,MAX(1,ROUNDUP(AD286/'🎚️ Escenario'!$C$11,0)))))</f>
        <v>0</v>
      </c>
      <c r="AE287" s="237" t="n">
        <f aca="false" t="array" ref="AE287:AE287">IF(AE286=0,0,IF(AE286/'🎚️ Escenario'!$C$11&gt;=36,$AL$23,INDEX($C$23:$AL$23,MAX(1,ROUNDUP(AE286/'🎚️ Escenario'!$C$11,0)))))</f>
        <v>0</v>
      </c>
      <c r="AF287" s="237" t="n">
        <f aca="false" t="array" ref="AF287:AF287">IF(AF286=0,0,IF(AF286/'🎚️ Escenario'!$C$11&gt;=36,$AL$23,INDEX($C$23:$AL$23,MAX(1,ROUNDUP(AF286/'🎚️ Escenario'!$C$11,0)))))</f>
        <v>0</v>
      </c>
      <c r="AG287" s="237" t="n">
        <f aca="false" t="array" ref="AG287:AG287">IF(AG286=0,0,IF(AG286/'🎚️ Escenario'!$C$11&gt;=36,$AL$23,INDEX($C$23:$AL$23,MAX(1,ROUNDUP(AG286/'🎚️ Escenario'!$C$11,0)))))</f>
        <v>0</v>
      </c>
      <c r="AH287" s="237" t="n">
        <f aca="false" t="array" ref="AH287:AH287">IF(AH286=0,0,IF(AH286/'🎚️ Escenario'!$C$11&gt;=36,$AL$23,INDEX($C$23:$AL$23,MAX(1,ROUNDUP(AH286/'🎚️ Escenario'!$C$11,0)))))</f>
        <v>0</v>
      </c>
      <c r="AI287" s="237" t="n">
        <f aca="false" t="array" ref="AI287:AI287">IF(AI286=0,0,IF(AI286/'🎚️ Escenario'!$C$11&gt;=36,$AL$23,INDEX($C$23:$AL$23,MAX(1,ROUNDUP(AI286/'🎚️ Escenario'!$C$11,0)))))</f>
        <v>0</v>
      </c>
      <c r="AJ287" s="237" t="n">
        <f aca="false" t="array" ref="AJ287:AJ287">IF(AJ286=0,0,IF(AJ286/'🎚️ Escenario'!$C$11&gt;=36,$AL$23,INDEX($C$23:$AL$23,MAX(1,ROUNDUP(AJ286/'🎚️ Escenario'!$C$11,0)))))</f>
        <v>0</v>
      </c>
      <c r="AK287" s="237" t="n">
        <f aca="false" t="array" ref="AK287:AK287">IF(AK286=0,0,IF(AK286/'🎚️ Escenario'!$C$11&gt;=36,$AL$23,INDEX($C$23:$AL$23,MAX(1,ROUNDUP(AK286/'🎚️ Escenario'!$C$11,0)))))</f>
        <v>0</v>
      </c>
      <c r="AL287" s="237" t="n">
        <f aca="false" t="array" ref="AL287:AL287">IF(AL286=0,0,IF(AL286/'🎚️ Escenario'!$C$11&gt;=36,$AL$23,INDEX($C$23:$AL$23,MAX(1,ROUNDUP(AL286/'🎚️ Escenario'!$C$11,0)))))</f>
        <v>0</v>
      </c>
      <c r="AM287" s="237" t="n">
        <f aca="false" t="array" ref="AM287:AM287">IF(AM286=0,0,IF(AM286/'🎚️ Escenario'!$C$11&gt;=36,$AL$23,INDEX($C$23:$AL$23,MAX(1,ROUNDUP(AM286/'🎚️ Escenario'!$C$11,0)))))</f>
        <v>0</v>
      </c>
      <c r="AN287" s="237" t="n">
        <f aca="false" t="array" ref="AN287:AN287">IF(AN286=0,0,IF(AN286/'🎚️ Escenario'!$C$11&gt;=36,$AL$23,INDEX($C$23:$AL$23,MAX(1,ROUNDUP(AN286/'🎚️ Escenario'!$C$11,0)))))</f>
        <v>0</v>
      </c>
      <c r="AO287" s="237" t="n">
        <f aca="false" t="array" ref="AO287:AO287">IF(AO286=0,0,IF(AO286/'🎚️ Escenario'!$C$11&gt;=36,$AL$23,INDEX($C$23:$AL$23,MAX(1,ROUNDUP(AO286/'🎚️ Escenario'!$C$11,0)))))</f>
        <v>0</v>
      </c>
      <c r="AP287" s="237" t="n">
        <f aca="false" t="array" ref="AP287:AP287">IF(AP286=0,0,IF(AP286/'🎚️ Escenario'!$C$11&gt;=36,$AL$23,INDEX($C$23:$AL$23,MAX(1,ROUNDUP(AP286/'🎚️ Escenario'!$C$11,0)))))</f>
        <v>0</v>
      </c>
      <c r="AQ287" s="237" t="n">
        <f aca="false" t="array" ref="AQ287:AQ287">IF(AQ286=0,0,IF(AQ286/'🎚️ Escenario'!$C$11&gt;=36,$AL$23,INDEX($C$23:$AL$23,MAX(1,ROUNDUP(AQ286/'🎚️ Escenario'!$C$11,0)))))</f>
        <v>0</v>
      </c>
      <c r="AR287" s="237" t="n">
        <f aca="false" t="array" ref="AR287:AR287">IF(AR286=0,0,IF(AR286/'🎚️ Escenario'!$C$11&gt;=36,$AL$23,INDEX($C$23:$AL$23,MAX(1,ROUNDUP(AR286/'🎚️ Escenario'!$C$11,0)))))</f>
        <v>0</v>
      </c>
      <c r="AS287" s="237" t="n">
        <f aca="false" t="array" ref="AS287:AS287">IF(AS286=0,0,IF(AS286/'🎚️ Escenario'!$C$11&gt;=36,$AL$23,INDEX($C$23:$AL$23,MAX(1,ROUNDUP(AS286/'🎚️ Escenario'!$C$11,0)))))</f>
        <v>0</v>
      </c>
      <c r="AT287" s="237" t="n">
        <f aca="false" t="array" ref="AT287:AT287">IF(AT286=0,0,IF(AT286/'🎚️ Escenario'!$C$11&gt;=36,$AL$23,INDEX($C$23:$AL$23,MAX(1,ROUNDUP(AT286/'🎚️ Escenario'!$C$11,0)))))</f>
        <v>0</v>
      </c>
      <c r="AU287" s="237" t="n">
        <f aca="false" t="array" ref="AU287:AU287">IF(AU286=0,0,IF(AU286/'🎚️ Escenario'!$C$11&gt;=36,$AL$23,INDEX($C$23:$AL$23,MAX(1,ROUNDUP(AU286/'🎚️ Escenario'!$C$11,0)))))</f>
        <v>0</v>
      </c>
      <c r="AV287" s="237" t="n">
        <f aca="false" t="array" ref="AV287:AV287">IF(AV286=0,0,IF(AV286/'🎚️ Escenario'!$C$11&gt;=36,$AL$23,INDEX($C$23:$AL$23,MAX(1,ROUNDUP(AV286/'🎚️ Escenario'!$C$11,0)))))</f>
        <v>0</v>
      </c>
      <c r="AW287" s="237" t="n">
        <f aca="false" t="array" ref="AW287:AW287">IF(AW286=0,0,IF(AW286/'🎚️ Escenario'!$C$11&gt;=36,$AL$23,INDEX($C$23:$AL$23,MAX(1,ROUNDUP(AW286/'🎚️ Escenario'!$C$11,0)))))</f>
        <v>0</v>
      </c>
      <c r="AX287" s="237" t="n">
        <f aca="false" t="array" ref="AX287:AX287">IF(AX286=0,0,IF(AX286/'🎚️ Escenario'!$C$11&gt;=36,$AL$23,INDEX($C$23:$AL$23,MAX(1,ROUNDUP(AX286/'🎚️ Escenario'!$C$11,0)))))</f>
        <v>0</v>
      </c>
      <c r="AY287" s="237" t="n">
        <f aca="false" t="array" ref="AY287:AY287">IF(AY286=0,0,IF(AY286/'🎚️ Escenario'!$C$11&gt;=36,$AL$23,INDEX($C$23:$AL$23,MAX(1,ROUNDUP(AY286/'🎚️ Escenario'!$C$11,0)))))</f>
        <v>0</v>
      </c>
      <c r="AZ287" s="237" t="n">
        <f aca="false" t="array" ref="AZ287:AZ287">IF(AZ286=0,0,IF(AZ286/'🎚️ Escenario'!$C$11&gt;=36,$AL$23,INDEX($C$23:$AL$23,MAX(1,ROUNDUP(AZ286/'🎚️ Escenario'!$C$11,0)))))</f>
        <v>0</v>
      </c>
      <c r="BA287" s="237" t="n">
        <f aca="false" t="array" ref="BA287:BA287">IF(BA286=0,0,IF(BA286/'🎚️ Escenario'!$C$11&gt;=36,$AL$23,INDEX($C$23:$AL$23,MAX(1,ROUNDUP(BA286/'🎚️ Escenario'!$C$11,0)))))</f>
        <v>0</v>
      </c>
      <c r="BB287" s="237" t="n">
        <f aca="false" t="array" ref="BB287:BB287">IF(BB286=0,0,IF(BB286/'🎚️ Escenario'!$C$11&gt;=36,$AL$23,INDEX($C$23:$AL$23,MAX(1,ROUNDUP(BB286/'🎚️ Escenario'!$C$11,0)))))</f>
        <v>0</v>
      </c>
      <c r="BC287" s="237" t="n">
        <f aca="false" t="array" ref="BC287:BC287">IF(BC286=0,0,IF(BC286/'🎚️ Escenario'!$C$11&gt;=36,$AL$23,INDEX($C$23:$AL$23,MAX(1,ROUNDUP(BC286/'🎚️ Escenario'!$C$11,0)))))</f>
        <v>0</v>
      </c>
      <c r="BD287" s="237" t="n">
        <f aca="false" t="array" ref="BD287:BD287">IF(BD286=0,0,IF(BD286/'🎚️ Escenario'!$C$11&gt;=36,$AL$23,INDEX($C$23:$AL$23,MAX(1,ROUNDUP(BD286/'🎚️ Escenario'!$C$11,0)))))</f>
        <v>0</v>
      </c>
      <c r="BE287" s="237" t="n">
        <f aca="false" t="array" ref="BE287:BE287">IF(BE286=0,0,IF(BE286/'🎚️ Escenario'!$C$11&gt;=36,$AL$23,INDEX($C$23:$AL$23,MAX(1,ROUNDUP(BE286/'🎚️ Escenario'!$C$11,0)))))</f>
        <v>0</v>
      </c>
      <c r="BF287" s="237" t="n">
        <f aca="false" t="array" ref="BF287:BF287">IF(BF286=0,0,IF(BF286/'🎚️ Escenario'!$C$11&gt;=36,$AL$23,INDEX($C$23:$AL$23,MAX(1,ROUNDUP(BF286/'🎚️ Escenario'!$C$11,0)))))</f>
        <v>0</v>
      </c>
      <c r="BG287" s="237" t="n">
        <f aca="false" t="array" ref="BG287:BG287">IF(BG286=0,0,IF(BG286/'🎚️ Escenario'!$C$11&gt;=36,$AL$23,INDEX($C$23:$AL$23,MAX(1,ROUNDUP(BG286/'🎚️ Escenario'!$C$11,0)))))</f>
        <v>0</v>
      </c>
      <c r="BH287" s="237" t="n">
        <f aca="false" t="array" ref="BH287:BH287">IF(BH286=0,0,IF(BH286/'🎚️ Escenario'!$C$11&gt;=36,$AL$23,INDEX($C$23:$AL$23,MAX(1,ROUNDUP(BH286/'🎚️ Escenario'!$C$11,0)))))</f>
        <v>0</v>
      </c>
      <c r="BI287" s="237" t="n">
        <f aca="false" t="array" ref="BI287:BI287">IF(BI286=0,0,IF(BI286/'🎚️ Escenario'!$C$11&gt;=36,$AL$23,INDEX($C$23:$AL$23,MAX(1,ROUNDUP(BI286/'🎚️ Escenario'!$C$11,0)))))</f>
        <v>0</v>
      </c>
      <c r="BJ287" s="237" t="n">
        <f aca="false" t="array" ref="BJ287:BJ287">IF(BJ286=0,0,IF(BJ286/'🎚️ Escenario'!$C$11&gt;=36,$AL$23,INDEX($C$23:$AL$23,MAX(1,ROUNDUP(BJ286/'🎚️ Escenario'!$C$11,0)))))</f>
        <v>0</v>
      </c>
      <c r="BK287" s="237" t="n">
        <f aca="false" t="array" ref="BK287:BK287">IF(BK286=0,0,IF(BK286/'🎚️ Escenario'!$C$11&gt;=36,$AL$23,INDEX($C$23:$AL$23,MAX(1,ROUNDUP(BK286/'🎚️ Escenario'!$C$11,0)))))</f>
        <v>0</v>
      </c>
      <c r="BL287" s="237" t="n">
        <f aca="false" t="array" ref="BL287:BL287">IF(BL286=0,0,IF(BL286/'🎚️ Escenario'!$C$11&gt;=36,$AL$23,INDEX($C$23:$AL$23,MAX(1,ROUNDUP(BL286/'🎚️ Escenario'!$C$11,0)))))</f>
        <v>0</v>
      </c>
      <c r="BM287" s="237" t="n">
        <f aca="false" t="array" ref="BM287:BM287">IF(BM286=0,0,IF(BM286/'🎚️ Escenario'!$C$11&gt;=36,$AL$23,INDEX($C$23:$AL$23,MAX(1,ROUNDUP(BM286/'🎚️ Escenario'!$C$11,0)))))</f>
        <v>0</v>
      </c>
      <c r="BN287" s="237" t="n">
        <f aca="false" t="array" ref="BN287:BN287">IF(BN286=0,0,IF(BN286/'🎚️ Escenario'!$C$11&gt;=36,$AL$23,INDEX($C$23:$AL$23,MAX(1,ROUNDUP(BN286/'🎚️ Escenario'!$C$11,0)))))</f>
        <v>0</v>
      </c>
      <c r="BO287" s="237" t="n">
        <f aca="false" t="array" ref="BO287:BO287">IF(BO286=0,0,IF(BO286/'🎚️ Escenario'!$C$11&gt;=36,$AL$23,INDEX($C$23:$AL$23,MAX(1,ROUNDUP(BO286/'🎚️ Escenario'!$C$11,0)))))</f>
        <v>0</v>
      </c>
      <c r="BP287" s="237" t="n">
        <f aca="false" t="array" ref="BP287:BP287">IF(BP286=0,0,IF(BP286/'🎚️ Escenario'!$C$11&gt;=36,$AL$23,INDEX($C$23:$AL$23,MAX(1,ROUNDUP(BP286/'🎚️ Escenario'!$C$11,0)))))</f>
        <v>0</v>
      </c>
      <c r="BQ287" s="237" t="n">
        <f aca="false" t="array" ref="BQ287:BQ287">IF(BQ286=0,0,IF(BQ286/'🎚️ Escenario'!$C$11&gt;=36,$AL$23,INDEX($C$23:$AL$23,MAX(1,ROUNDUP(BQ286/'🎚️ Escenario'!$C$11,0)))))</f>
        <v>0</v>
      </c>
      <c r="BR287" s="237" t="n">
        <f aca="false" t="array" ref="BR287:BR287">IF(BR286=0,0,IF(BR286/'🎚️ Escenario'!$C$11&gt;=36,$AL$23,INDEX($C$23:$AL$23,MAX(1,ROUNDUP(BR286/'🎚️ Escenario'!$C$11,0)))))</f>
        <v>0</v>
      </c>
      <c r="BS287" s="237" t="n">
        <f aca="false" t="array" ref="BS287:BS287">IF(BS286=0,0,IF(BS286/'🎚️ Escenario'!$C$11&gt;=36,$AL$23,INDEX($C$23:$AL$23,MAX(1,ROUNDUP(BS286/'🎚️ Escenario'!$C$11,0)))))</f>
        <v>0</v>
      </c>
      <c r="BT287" s="237" t="n">
        <f aca="false" t="array" ref="BT287:BT287">IF(BT286=0,0,IF(BT286/'🎚️ Escenario'!$C$11&gt;=36,$AL$23,INDEX($C$23:$AL$23,MAX(1,ROUNDUP(BT286/'🎚️ Escenario'!$C$11,0)))))</f>
        <v>0</v>
      </c>
      <c r="BU287" s="237" t="n">
        <f aca="false" t="array" ref="BU287:BU287">IF(BU286=0,0,IF(BU286/'🎚️ Escenario'!$C$11&gt;=36,$AL$23,INDEX($C$23:$AL$23,MAX(1,ROUNDUP(BU286/'🎚️ Escenario'!$C$11,0)))))</f>
        <v>0</v>
      </c>
      <c r="BV287" s="237" t="n">
        <f aca="false" t="array" ref="BV287:BV287">IF(BV286=0,0,IF(BV286/'🎚️ Escenario'!$C$11&gt;=36,$AL$23,INDEX($C$23:$AL$23,MAX(1,ROUNDUP(BV286/'🎚️ Escenario'!$C$11,0)))))</f>
        <v>0</v>
      </c>
      <c r="BW287" s="237" t="n">
        <f aca="false" t="array" ref="BW287:BW287">IF(BW286=0,0,IF(BW286/'🎚️ Escenario'!$C$11&gt;=36,$AL$23,INDEX($C$23:$AL$23,MAX(1,ROUNDUP(BW286/'🎚️ Escenario'!$C$11,0)))))</f>
        <v>0</v>
      </c>
      <c r="BX287" s="237" t="n">
        <f aca="false" t="array" ref="BX287:BX287">IF(BX286=0,0,IF(BX286/'🎚️ Escenario'!$C$11&gt;=36,$AL$23,INDEX($C$23:$AL$23,MAX(1,ROUNDUP(BX286/'🎚️ Escenario'!$C$11,0)))))</f>
        <v>0</v>
      </c>
      <c r="BY287" s="237" t="n">
        <f aca="false" t="array" ref="BY287:BY287">IF(BY286=0,0,IF(BY286/'🎚️ Escenario'!$C$11&gt;=36,$AL$23,INDEX($C$23:$AL$23,MAX(1,ROUNDUP(BY286/'🎚️ Escenario'!$C$11,0)))))</f>
        <v>0</v>
      </c>
      <c r="BZ287" s="237" t="n">
        <f aca="false" t="array" ref="BZ287:BZ287">IF(BZ286=0,0,IF(BZ286/'🎚️ Escenario'!$C$11&gt;=36,$AL$23,INDEX($C$23:$AL$23,MAX(1,ROUNDUP(BZ286/'🎚️ Escenario'!$C$11,0)))))</f>
        <v>0</v>
      </c>
      <c r="CA287" s="237" t="n">
        <f aca="false" t="array" ref="CA287:CA287">IF(CA286=0,0,IF(CA286/'🎚️ Escenario'!$C$11&gt;=36,$AL$23,INDEX($C$23:$AL$23,MAX(1,ROUNDUP(CA286/'🎚️ Escenario'!$C$11,0)))))</f>
        <v>0</v>
      </c>
      <c r="CB287" s="237" t="n">
        <f aca="false" t="array" ref="CB287:CB287">IF(CB286=0,0,IF(CB286/'🎚️ Escenario'!$C$11&gt;=36,$AL$23,INDEX($C$23:$AL$23,MAX(1,ROUNDUP(CB286/'🎚️ Escenario'!$C$11,0)))))</f>
        <v>0</v>
      </c>
      <c r="CC287" s="237" t="n">
        <f aca="false" t="array" ref="CC287:CC287">IF(CC286=0,0,IF(CC286/'🎚️ Escenario'!$C$11&gt;=36,$AL$23,INDEX($C$23:$AL$23,MAX(1,ROUNDUP(CC286/'🎚️ Escenario'!$C$11,0)))))</f>
        <v>0</v>
      </c>
      <c r="CD287" s="237" t="n">
        <f aca="false" t="array" ref="CD287:CD287">IF(CD286=0,0,IF(CD286/'🎚️ Escenario'!$C$11&gt;=36,$AL$23,INDEX($C$23:$AL$23,MAX(1,ROUNDUP(CD286/'🎚️ Escenario'!$C$11,0)))))</f>
        <v>0</v>
      </c>
      <c r="CE287" s="237" t="n">
        <f aca="false" t="array" ref="CE287:CE287">IF(CE286=0,0,IF(CE286/'🎚️ Escenario'!$C$11&gt;=36,$AL$23,INDEX($C$23:$AL$23,MAX(1,ROUNDUP(CE286/'🎚️ Escenario'!$C$11,0)))))</f>
        <v>0</v>
      </c>
      <c r="CF287" s="237" t="n">
        <f aca="false" t="array" ref="CF287:CF287">IF(CF286=0,0,IF(CF286/'🎚️ Escenario'!$C$11&gt;=36,$AL$23,INDEX($C$23:$AL$23,MAX(1,ROUNDUP(CF286/'🎚️ Escenario'!$C$11,0)))))</f>
        <v>0</v>
      </c>
      <c r="CG287" s="237" t="n">
        <f aca="false" t="array" ref="CG287:CG287">IF(CG286=0,0,IF(CG286/'🎚️ Escenario'!$C$11&gt;=36,$AL$23,INDEX($C$23:$AL$23,MAX(1,ROUNDUP(CG286/'🎚️ Escenario'!$C$11,0)))))</f>
        <v>0</v>
      </c>
      <c r="CH287" s="237" t="n">
        <f aca="false" t="array" ref="CH287:CH287">IF(CH286=0,0,IF(CH286/'🎚️ Escenario'!$C$11&gt;=36,$AL$23,INDEX($C$23:$AL$23,MAX(1,ROUNDUP(CH286/'🎚️ Escenario'!$C$11,0)))))</f>
        <v>0</v>
      </c>
      <c r="CI287" s="237" t="n">
        <f aca="false" t="array" ref="CI287:CI287">IF(CI286=0,0,IF(CI286/'🎚️ Escenario'!$C$11&gt;=36,$AL$23,INDEX($C$23:$AL$23,MAX(1,ROUNDUP(CI286/'🎚️ Escenario'!$C$11,0)))))</f>
        <v>0</v>
      </c>
      <c r="CJ287" s="237" t="n">
        <f aca="false" t="array" ref="CJ287:CJ287">IF(CJ286=0,0,IF(CJ286/'🎚️ Escenario'!$C$11&gt;=36,$AL$23,INDEX($C$23:$AL$23,MAX(1,ROUNDUP(CJ286/'🎚️ Escenario'!$C$11,0)))))</f>
        <v>0</v>
      </c>
      <c r="CK287" s="237" t="n">
        <f aca="false" t="array" ref="CK287:CK287">IF(CK286=0,0,IF(CK286/'🎚️ Escenario'!$C$11&gt;=36,$AL$23,INDEX($C$23:$AL$23,MAX(1,ROUNDUP(CK286/'🎚️ Escenario'!$C$11,0)))))</f>
        <v>0</v>
      </c>
      <c r="CL287" s="237" t="n">
        <f aca="false" t="array" ref="CL287:CL287">IF(CL286=0,0,IF(CL286/'🎚️ Escenario'!$C$11&gt;=36,$AL$23,INDEX($C$23:$AL$23,MAX(1,ROUNDUP(CL286/'🎚️ Escenario'!$C$11,0)))))</f>
        <v>0</v>
      </c>
      <c r="CM287" s="237" t="n">
        <f aca="false" t="array" ref="CM287:CM287">IF(CM286=0,0,IF(CM286/'🎚️ Escenario'!$C$11&gt;=36,$AL$23,INDEX($C$23:$AL$23,MAX(1,ROUNDUP(CM286/'🎚️ Escenario'!$C$11,0)))))</f>
        <v>0</v>
      </c>
      <c r="CN287" s="237" t="n">
        <f aca="false" t="array" ref="CN287:CN287">IF(CN286=0,0,IF(CN286/'🎚️ Escenario'!$C$11&gt;=36,$AL$23,INDEX($C$23:$AL$23,MAX(1,ROUNDUP(CN286/'🎚️ Escenario'!$C$11,0)))))</f>
        <v>0</v>
      </c>
      <c r="CO287" s="237" t="n">
        <f aca="false" t="array" ref="CO287:CO287">IF(CO286=0,0,IF(CO286/'🎚️ Escenario'!$C$11&gt;=36,$AL$23,INDEX($C$23:$AL$23,MAX(1,ROUNDUP(CO286/'🎚️ Escenario'!$C$11,0)))))</f>
        <v>0</v>
      </c>
      <c r="CP287" s="237" t="n">
        <f aca="false" t="array" ref="CP287:CP287">IF(CP286=0,0,IF(CP286/'🎚️ Escenario'!$C$11&gt;=36,$AL$23,INDEX($C$23:$AL$23,MAX(1,ROUNDUP(CP286/'🎚️ Escenario'!$C$11,0)))))</f>
        <v>0</v>
      </c>
      <c r="CQ287" s="237" t="n">
        <f aca="false" t="array" ref="CQ287:CQ287">IF(CQ286=0,0,IF(CQ286/'🎚️ Escenario'!$C$11&gt;=36,$AL$23,INDEX($C$23:$AL$23,MAX(1,ROUNDUP(CQ286/'🎚️ Escenario'!$C$11,0)))))</f>
        <v>0</v>
      </c>
      <c r="CR287" s="237" t="n">
        <f aca="false" t="array" ref="CR287:CR287">IF(CR286=0,0,IF(CR286/'🎚️ Escenario'!$C$11&gt;=36,$AL$23,INDEX($C$23:$AL$23,MAX(1,ROUNDUP(CR286/'🎚️ Escenario'!$C$11,0)))))</f>
        <v>0</v>
      </c>
      <c r="CS287" s="237" t="n">
        <f aca="false" t="array" ref="CS287:CS287">IF(CS286=0,0,IF(CS286/'🎚️ Escenario'!$C$11&gt;=36,$AL$23,INDEX($C$23:$AL$23,MAX(1,ROUNDUP(CS286/'🎚️ Escenario'!$C$11,0)))))</f>
        <v>0</v>
      </c>
      <c r="CT287" s="237" t="n">
        <f aca="false" t="array" ref="CT287:CT287">IF(CT286=0,0,IF(CT286/'🎚️ Escenario'!$C$11&gt;=36,$AL$23,INDEX($C$23:$AL$23,MAX(1,ROUNDUP(CT286/'🎚️ Escenario'!$C$11,0)))))</f>
        <v>0</v>
      </c>
      <c r="CU287" s="237" t="n">
        <f aca="false" t="array" ref="CU287:CU287">IF(CU286=0,0,IF(CU286/'🎚️ Escenario'!$C$11&gt;=36,$AL$23,INDEX($C$23:$AL$23,MAX(1,ROUNDUP(CU286/'🎚️ Escenario'!$C$11,0)))))</f>
        <v>0</v>
      </c>
      <c r="CV287" s="237" t="n">
        <f aca="false" t="array" ref="CV287:CV287">IF(CV286=0,0,IF(CV286/'🎚️ Escenario'!$C$11&gt;=36,$AL$23,INDEX($C$23:$AL$23,MAX(1,ROUNDUP(CV286/'🎚️ Escenario'!$C$11,0)))))</f>
        <v>0</v>
      </c>
      <c r="CW287" s="237" t="n">
        <f aca="false" t="array" ref="CW287:CW287">IF(CW286=0,0,IF(CW286/'🎚️ Escenario'!$C$11&gt;=36,$AL$23,INDEX($C$23:$AL$23,MAX(1,ROUNDUP(CW286/'🎚️ Escenario'!$C$11,0)))))</f>
        <v>0</v>
      </c>
      <c r="CX287" s="237" t="n">
        <f aca="false" t="array" ref="CX287:CX287">IF(CX286=0,0,IF(CX286/'🎚️ Escenario'!$C$11&gt;=36,$AL$23,INDEX($C$23:$AL$23,MAX(1,ROUNDUP(CX286/'🎚️ Escenario'!$C$11,0)))))</f>
        <v>0</v>
      </c>
      <c r="CY287" s="237" t="n">
        <f aca="false" t="array" ref="CY287:CY287">IF(CY286=0,0,IF(CY286/'🎚️ Escenario'!$C$11&gt;=36,$AL$23,INDEX($C$23:$AL$23,MAX(1,ROUNDUP(CY286/'🎚️ Escenario'!$C$11,0)))))</f>
        <v>0</v>
      </c>
      <c r="CZ287" s="237" t="n">
        <f aca="false" t="array" ref="CZ287:CZ287">IF(CZ286=0,0,IF(CZ286/'🎚️ Escenario'!$C$11&gt;=36,$AL$23,INDEX($C$23:$AL$23,MAX(1,ROUNDUP(CZ286/'🎚️ Escenario'!$C$11,0)))))</f>
        <v>0</v>
      </c>
      <c r="DA287" s="237" t="n">
        <f aca="false" t="array" ref="DA287:DA287">IF(DA286=0,0,IF(DA286/'🎚️ Escenario'!$C$11&gt;=36,$AL$23,INDEX($C$23:$AL$23,MAX(1,ROUNDUP(DA286/'🎚️ Escenario'!$C$11,0)))))</f>
        <v>0.2</v>
      </c>
      <c r="DB287" s="237" t="n">
        <f aca="false" t="array" ref="DB287:DB287">IF(DB286=0,0,IF(DB286/'🎚️ Escenario'!$C$11&gt;=36,$AL$23,INDEX($C$23:$AL$23,MAX(1,ROUNDUP(DB286/'🎚️ Escenario'!$C$11,0)))))</f>
        <v>0.22</v>
      </c>
      <c r="DC287" s="237" t="n">
        <f aca="false" t="array" ref="DC287:DC287">IF(DC286=0,0,IF(DC286/'🎚️ Escenario'!$C$11&gt;=36,$AL$23,INDEX($C$23:$AL$23,MAX(1,ROUNDUP(DC286/'🎚️ Escenario'!$C$11,0)))))</f>
        <v>0.24</v>
      </c>
      <c r="DD287" s="237" t="n">
        <f aca="false" t="array" ref="DD287:DD287">IF(DD286=0,0,IF(DD286/'🎚️ Escenario'!$C$11&gt;=36,$AL$23,INDEX($C$23:$AL$23,MAX(1,ROUNDUP(DD286/'🎚️ Escenario'!$C$11,0)))))</f>
        <v>0.27</v>
      </c>
      <c r="DE287" s="237" t="n">
        <f aca="false" t="array" ref="DE287:DE287">IF(DE286=0,0,IF(DE286/'🎚️ Escenario'!$C$11&gt;=36,$AL$23,INDEX($C$23:$AL$23,MAX(1,ROUNDUP(DE286/'🎚️ Escenario'!$C$11,0)))))</f>
        <v>0.27</v>
      </c>
      <c r="DF287" s="237" t="n">
        <f aca="false" t="array" ref="DF287:DF287">IF(DF286=0,0,IF(DF286/'🎚️ Escenario'!$C$11&gt;=36,$AL$23,INDEX($C$23:$AL$23,MAX(1,ROUNDUP(DF286/'🎚️ Escenario'!$C$11,0)))))</f>
        <v>0.31</v>
      </c>
      <c r="DG287" s="237" t="n">
        <f aca="false" t="array" ref="DG287:DG287">IF(DG286=0,0,IF(DG286/'🎚️ Escenario'!$C$11&gt;=36,$AL$23,INDEX($C$23:$AL$23,MAX(1,ROUNDUP(DG286/'🎚️ Escenario'!$C$11,0)))))</f>
        <v>0.35</v>
      </c>
      <c r="DH287" s="237" t="n">
        <f aca="false" t="array" ref="DH287:DH287">IF(DH286=0,0,IF(DH286/'🎚️ Escenario'!$C$11&gt;=36,$AL$23,INDEX($C$23:$AL$23,MAX(1,ROUNDUP(DH286/'🎚️ Escenario'!$C$11,0)))))</f>
        <v>0.39</v>
      </c>
      <c r="DI287" s="237" t="n">
        <f aca="false" t="array" ref="DI287:DI287">IF(DI286=0,0,IF(DI286/'🎚️ Escenario'!$C$11&gt;=36,$AL$23,INDEX($C$23:$AL$23,MAX(1,ROUNDUP(DI286/'🎚️ Escenario'!$C$11,0)))))</f>
        <v>0.44</v>
      </c>
      <c r="DJ287" s="237" t="n">
        <f aca="false" t="array" ref="DJ287:DJ287">IF(DJ286=0,0,IF(DJ286/'🎚️ Escenario'!$C$11&gt;=36,$AL$23,INDEX($C$23:$AL$23,MAX(1,ROUNDUP(DJ286/'🎚️ Escenario'!$C$11,0)))))</f>
        <v>0.44</v>
      </c>
      <c r="DK287" s="237" t="n">
        <f aca="false" t="array" ref="DK287:DK287">IF(DK286=0,0,IF(DK286/'🎚️ Escenario'!$C$11&gt;=36,$AL$23,INDEX($C$23:$AL$23,MAX(1,ROUNDUP(DK286/'🎚️ Escenario'!$C$11,0)))))</f>
        <v>0.48</v>
      </c>
      <c r="DL287" s="237" t="n">
        <f aca="false" t="array" ref="DL287:DL287">IF(DL286=0,0,IF(DL286/'🎚️ Escenario'!$C$11&gt;=36,$AL$23,INDEX($C$23:$AL$23,MAX(1,ROUNDUP(DL286/'🎚️ Escenario'!$C$11,0)))))</f>
        <v>0.52</v>
      </c>
      <c r="DM287" s="237" t="n">
        <f aca="false" t="array" ref="DM287:DM287">IF(DM286=0,0,IF(DM286/'🎚️ Escenario'!$C$11&gt;=36,$AL$23,INDEX($C$23:$AL$23,MAX(1,ROUNDUP(DM286/'🎚️ Escenario'!$C$11,0)))))</f>
        <v>0.56</v>
      </c>
      <c r="DN287" s="237" t="n">
        <f aca="false" t="array" ref="DN287:DN287">IF(DN286=0,0,IF(DN286/'🎚️ Escenario'!$C$11&gt;=36,$AL$23,INDEX($C$23:$AL$23,MAX(1,ROUNDUP(DN286/'🎚️ Escenario'!$C$11,0)))))</f>
        <v>0.6</v>
      </c>
      <c r="DO287" s="237" t="n">
        <f aca="false" t="array" ref="DO287:DO287">IF(DO286=0,0,IF(DO286/'🎚️ Escenario'!$C$11&gt;=36,$AL$23,INDEX($C$23:$AL$23,MAX(1,ROUNDUP(DO286/'🎚️ Escenario'!$C$11,0)))))</f>
        <v>0.6</v>
      </c>
      <c r="DP287" s="237" t="n">
        <f aca="false" t="array" ref="DP287:DP287">IF(DP286=0,0,IF(DP286/'🎚️ Escenario'!$C$11&gt;=36,$AL$23,INDEX($C$23:$AL$23,MAX(1,ROUNDUP(DP286/'🎚️ Escenario'!$C$11,0)))))</f>
        <v>0.63</v>
      </c>
      <c r="DQ287" s="237" t="n">
        <f aca="false" t="array" ref="DQ287:DQ287">IF(DQ286=0,0,IF(DQ286/'🎚️ Escenario'!$C$11&gt;=36,$AL$23,INDEX($C$23:$AL$23,MAX(1,ROUNDUP(DQ286/'🎚️ Escenario'!$C$11,0)))))</f>
        <v>0.66</v>
      </c>
      <c r="DR287" s="237" t="n">
        <f aca="false" t="array" ref="DR287:DR287">IF(DR286=0,0,IF(DR286/'🎚️ Escenario'!$C$11&gt;=36,$AL$23,INDEX($C$23:$AL$23,MAX(1,ROUNDUP(DR286/'🎚️ Escenario'!$C$11,0)))))</f>
        <v>0.69</v>
      </c>
      <c r="DS287" s="237" t="n">
        <f aca="false" t="array" ref="DS287:DS287">IF(DS286=0,0,IF(DS286/'🎚️ Escenario'!$C$11&gt;=36,$AL$23,INDEX($C$23:$AL$23,MAX(1,ROUNDUP(DS286/'🎚️ Escenario'!$C$11,0)))))</f>
        <v>0.71</v>
      </c>
      <c r="DT287" s="237" t="n">
        <f aca="false" t="array" ref="DT287:DT287">IF(DT286=0,0,IF(DT286/'🎚️ Escenario'!$C$11&gt;=36,$AL$23,INDEX($C$23:$AL$23,MAX(1,ROUNDUP(DT286/'🎚️ Escenario'!$C$11,0)))))</f>
        <v>0.71</v>
      </c>
      <c r="DU287" s="237" t="n">
        <f aca="false" t="array" ref="DU287:DU287">IF(DU286=0,0,IF(DU286/'🎚️ Escenario'!$C$11&gt;=36,$AL$23,INDEX($C$23:$AL$23,MAX(1,ROUNDUP(DU286/'🎚️ Escenario'!$C$11,0)))))</f>
        <v>0.73</v>
      </c>
      <c r="DV287" s="237" t="n">
        <f aca="false" t="array" ref="DV287:DV287">IF(DV286=0,0,IF(DV286/'🎚️ Escenario'!$C$11&gt;=36,$AL$23,INDEX($C$23:$AL$23,MAX(1,ROUNDUP(DV286/'🎚️ Escenario'!$C$11,0)))))</f>
        <v>0.75</v>
      </c>
      <c r="DW287" s="237" t="n">
        <f aca="false" t="array" ref="DW287:DW287">IF(DW286=0,0,IF(DW286/'🎚️ Escenario'!$C$11&gt;=36,$AL$23,INDEX($C$23:$AL$23,MAX(1,ROUNDUP(DW286/'🎚️ Escenario'!$C$11,0)))))</f>
        <v>0.77</v>
      </c>
      <c r="DX287" s="237" t="n">
        <f aca="false" t="array" ref="DX287:DX287">IF(DX286=0,0,IF(DX286/'🎚️ Escenario'!$C$11&gt;=36,$AL$23,INDEX($C$23:$AL$23,MAX(1,ROUNDUP(DX286/'🎚️ Escenario'!$C$11,0)))))</f>
        <v>0.79</v>
      </c>
      <c r="DY287" s="237" t="n">
        <f aca="false" t="array" ref="DY287:DY287">IF(DY286=0,0,IF(DY286/'🎚️ Escenario'!$C$11&gt;=36,$AL$23,INDEX($C$23:$AL$23,MAX(1,ROUNDUP(DY286/'🎚️ Escenario'!$C$11,0)))))</f>
        <v>0.79</v>
      </c>
      <c r="DZ287" s="237" t="n">
        <f aca="false" t="array" ref="DZ287:DZ287">IF(DZ286=0,0,IF(DZ286/'🎚️ Escenario'!$C$11&gt;=36,$AL$23,INDEX($C$23:$AL$23,MAX(1,ROUNDUP(DZ286/'🎚️ Escenario'!$C$11,0)))))</f>
        <v>0.8</v>
      </c>
      <c r="EA287" s="237" t="n">
        <f aca="false" t="array" ref="EA287:EA287">IF(EA286=0,0,IF(EA286/'🎚️ Escenario'!$C$11&gt;=36,$AL$23,INDEX($C$23:$AL$23,MAX(1,ROUNDUP(EA286/'🎚️ Escenario'!$C$11,0)))))</f>
        <v>0.82</v>
      </c>
      <c r="EB287" s="237" t="n">
        <f aca="false" t="array" ref="EB287:EB287">IF(EB286=0,0,IF(EB286/'🎚️ Escenario'!$C$11&gt;=36,$AL$23,INDEX($C$23:$AL$23,MAX(1,ROUNDUP(EB286/'🎚️ Escenario'!$C$11,0)))))</f>
        <v>0.84</v>
      </c>
      <c r="EC287" s="237" t="n">
        <f aca="false" t="array" ref="EC287:EC287">IF(EC286=0,0,IF(EC286/'🎚️ Escenario'!$C$11&gt;=36,$AL$23,INDEX($C$23:$AL$23,MAX(1,ROUNDUP(EC286/'🎚️ Escenario'!$C$11,0)))))</f>
        <v>0.85</v>
      </c>
      <c r="ED287" s="237" t="n">
        <f aca="false" t="array" ref="ED287:ED287">IF(ED286=0,0,IF(ED286/'🎚️ Escenario'!$C$11&gt;=36,$AL$23,INDEX($C$23:$AL$23,MAX(1,ROUNDUP(ED286/'🎚️ Escenario'!$C$11,0)))))</f>
        <v>0.85</v>
      </c>
      <c r="EE287" s="237" t="n">
        <f aca="false" t="array" ref="EE287:EE287">IF(EE286=0,0,IF(EE286/'🎚️ Escenario'!$C$11&gt;=36,$AL$23,INDEX($C$23:$AL$23,MAX(1,ROUNDUP(EE286/'🎚️ Escenario'!$C$11,0)))))</f>
        <v>0.86</v>
      </c>
      <c r="EF287" s="237" t="n">
        <f aca="false" t="array" ref="EF287:EF287">IF(EF286=0,0,IF(EF286/'🎚️ Escenario'!$C$11&gt;=36,$AL$23,INDEX($C$23:$AL$23,MAX(1,ROUNDUP(EF286/'🎚️ Escenario'!$C$11,0)))))</f>
        <v>0.88</v>
      </c>
      <c r="EG287" s="237" t="n">
        <f aca="false" t="array" ref="EG287:EG287">IF(EG286=0,0,IF(EG286/'🎚️ Escenario'!$C$11&gt;=36,$AL$23,INDEX($C$23:$AL$23,MAX(1,ROUNDUP(EG286/'🎚️ Escenario'!$C$11,0)))))</f>
        <v>0.89</v>
      </c>
      <c r="EH287" s="237" t="n">
        <f aca="false" t="array" ref="EH287:EH287">IF(EH286=0,0,IF(EH286/'🎚️ Escenario'!$C$11&gt;=36,$AL$23,INDEX($C$23:$AL$23,MAX(1,ROUNDUP(EH286/'🎚️ Escenario'!$C$11,0)))))</f>
        <v>0.9</v>
      </c>
      <c r="EI287" s="237" t="n">
        <f aca="false" t="array" ref="EI287:EI287">IF(EI286=0,0,IF(EI286/'🎚️ Escenario'!$C$11&gt;=36,$AL$23,INDEX($C$23:$AL$23,MAX(1,ROUNDUP(EI286/'🎚️ Escenario'!$C$11,0)))))</f>
        <v>0.9</v>
      </c>
      <c r="EJ287" s="237" t="n">
        <f aca="false" t="array" ref="EJ287:EJ287">IF(EJ286=0,0,IF(EJ286/'🎚️ Escenario'!$C$11&gt;=36,$AL$23,INDEX($C$23:$AL$23,MAX(1,ROUNDUP(EJ286/'🎚️ Escenario'!$C$11,0)))))</f>
        <v>0.92</v>
      </c>
      <c r="EK287" s="237" t="n">
        <f aca="false" t="array" ref="EK287:EK287">IF(EK286=0,0,IF(EK286/'🎚️ Escenario'!$C$11&gt;=36,$AL$23,INDEX($C$23:$AL$23,MAX(1,ROUNDUP(EK286/'🎚️ Escenario'!$C$11,0)))))</f>
        <v>0.93</v>
      </c>
      <c r="EL287" s="237" t="n">
        <f aca="false" t="array" ref="EL287:EL287">IF(EL286=0,0,IF(EL286/'🎚️ Escenario'!$C$11&gt;=36,$AL$23,INDEX($C$23:$AL$23,MAX(1,ROUNDUP(EL286/'🎚️ Escenario'!$C$11,0)))))</f>
        <v>0.94</v>
      </c>
      <c r="EM287" s="237" t="n">
        <f aca="false" t="array" ref="EM287:EM287">IF(EM286=0,0,IF(EM286/'🎚️ Escenario'!$C$11&gt;=36,$AL$23,INDEX($C$23:$AL$23,MAX(1,ROUNDUP(EM286/'🎚️ Escenario'!$C$11,0)))))</f>
        <v>0.95</v>
      </c>
      <c r="EN287" s="237" t="n">
        <f aca="false" t="array" ref="EN287:EN287">IF(EN286=0,0,IF(EN286/'🎚️ Escenario'!$C$11&gt;=36,$AL$23,INDEX($C$23:$AL$23,MAX(1,ROUNDUP(EN286/'🎚️ Escenario'!$C$11,0)))))</f>
        <v>0.95</v>
      </c>
      <c r="EO287" s="237" t="n">
        <f aca="false" t="array" ref="EO287:EO287">IF(EO286=0,0,IF(EO286/'🎚️ Escenario'!$C$11&gt;=36,$AL$23,INDEX($C$23:$AL$23,MAX(1,ROUNDUP(EO286/'🎚️ Escenario'!$C$11,0)))))</f>
        <v>0.97</v>
      </c>
      <c r="EP287" s="237" t="n">
        <f aca="false" t="array" ref="EP287:EP287">IF(EP286=0,0,IF(EP286/'🎚️ Escenario'!$C$11&gt;=36,$AL$23,INDEX($C$23:$AL$23,MAX(1,ROUNDUP(EP286/'🎚️ Escenario'!$C$11,0)))))</f>
        <v>0.98</v>
      </c>
      <c r="EQ287" s="237" t="n">
        <f aca="false" t="array" ref="EQ287:EQ287">IF(EQ286=0,0,IF(EQ286/'🎚️ Escenario'!$C$11&gt;=36,$AL$23,INDEX($C$23:$AL$23,MAX(1,ROUNDUP(EQ286/'🎚️ Escenario'!$C$11,0)))))</f>
        <v>0.99</v>
      </c>
      <c r="ER287" s="237" t="n">
        <f aca="false" t="array" ref="ER287:ER287">IF(ER286=0,0,IF(ER286/'🎚️ Escenario'!$C$11&gt;=36,$AL$23,INDEX($C$23:$AL$23,MAX(1,ROUNDUP(ER286/'🎚️ Escenario'!$C$11,0)))))</f>
        <v>1</v>
      </c>
      <c r="ES287" s="9" t="n">
        <f aca="false" t="array" ref="ES287:ES287">IF(ES286=0,0,IF(ES286/'🎚️ Escenario'!$C$11&gt;=36,$AL$23,INDEX($C$23:$AL$23,MAX(1,ROUNDUP(ES286/'🎚️ Escenario'!$C$11,0)))))</f>
        <v>1</v>
      </c>
      <c r="ET287" s="9" t="n">
        <f aca="false" t="array" ref="ET287:ET287">IF(ET286=0,0,IF(ET286/'🎚️ Escenario'!$C$11&gt;=36,$AL$23,INDEX($C$23:$AL$23,MAX(1,ROUNDUP(ET286/'🎚️ Escenario'!$C$11,0)))))</f>
        <v>1</v>
      </c>
      <c r="EU287" s="9" t="n">
        <f aca="false" t="array" ref="EU287:EU287">IF(EU286=0,0,IF(EU286/'🎚️ Escenario'!$C$11&gt;=36,$AL$23,INDEX($C$23:$AL$23,MAX(1,ROUNDUP(EU286/'🎚️ Escenario'!$C$11,0)))))</f>
        <v>1</v>
      </c>
      <c r="EV287" s="9" t="n">
        <f aca="false" t="array" ref="EV287:EV287">IF(EV286=0,0,IF(EV286/'🎚️ Escenario'!$C$11&gt;=36,$AL$23,INDEX($C$23:$AL$23,MAX(1,ROUNDUP(EV286/'🎚️ Escenario'!$C$11,0)))))</f>
        <v>1</v>
      </c>
      <c r="EW287" s="9" t="n">
        <f aca="false" t="array" ref="EW287:EW287">IF(EW286=0,0,IF(EW286/'🎚️ Escenario'!$C$11&gt;=36,$AL$23,INDEX($C$23:$AL$23,MAX(1,ROUNDUP(EW286/'🎚️ Escenario'!$C$11,0)))))</f>
        <v>1</v>
      </c>
      <c r="EX287" s="9" t="n">
        <f aca="false" t="array" ref="EX287:EX287">IF(EX286=0,0,IF(EX286/'🎚️ Escenario'!$C$11&gt;=36,$AL$23,INDEX($C$23:$AL$23,MAX(1,ROUNDUP(EX286/'🎚️ Escenario'!$C$11,0)))))</f>
        <v>1</v>
      </c>
      <c r="EY287" s="9" t="n">
        <f aca="false" t="array" ref="EY287:EY287">IF(EY286=0,0,IF(EY286/'🎚️ Escenario'!$C$11&gt;=36,$AL$23,INDEX($C$23:$AL$23,MAX(1,ROUNDUP(EY286/'🎚️ Escenario'!$C$11,0)))))</f>
        <v>1</v>
      </c>
      <c r="EZ287" s="9" t="n">
        <f aca="false" t="array" ref="EZ287:EZ287">IF(EZ286=0,0,IF(EZ286/'🎚️ Escenario'!$C$11&gt;=36,$AL$23,INDEX($C$23:$AL$23,MAX(1,ROUNDUP(EZ286/'🎚️ Escenario'!$C$11,0)))))</f>
        <v>1</v>
      </c>
      <c r="FA287" s="9" t="n">
        <f aca="false" t="array" ref="FA287:FA287">IF(FA286=0,0,IF(FA286/'🎚️ Escenario'!$C$11&gt;=36,$AL$23,INDEX($C$23:$AL$23,MAX(1,ROUNDUP(FA286/'🎚️ Escenario'!$C$11,0)))))</f>
        <v>1</v>
      </c>
      <c r="FB287" s="9" t="n">
        <f aca="false" t="array" ref="FB287:FB287">IF(FB286=0,0,IF(FB286/'🎚️ Escenario'!$C$11&gt;=36,$AL$23,INDEX($C$23:$AL$23,MAX(1,ROUNDUP(FB286/'🎚️ Escenario'!$C$11,0)))))</f>
        <v>1</v>
      </c>
      <c r="FC287" s="9" t="n">
        <f aca="false" t="array" ref="FC287:FC287">IF(FC286=0,0,IF(FC286/'🎚️ Escenario'!$C$11&gt;=36,$AL$23,INDEX($C$23:$AL$23,MAX(1,ROUNDUP(FC286/'🎚️ Escenario'!$C$11,0)))))</f>
        <v>1</v>
      </c>
      <c r="FD287" s="9" t="n">
        <f aca="false" t="array" ref="FD287:FD287">IF(FD286=0,0,IF(FD286/'🎚️ Escenario'!$C$11&gt;=36,$AL$23,INDEX($C$23:$AL$23,MAX(1,ROUNDUP(FD286/'🎚️ Escenario'!$C$11,0)))))</f>
        <v>1</v>
      </c>
      <c r="FE287" s="9" t="n">
        <f aca="false" t="array" ref="FE287:FE287">IF(FE286=0,0,IF(FE286/'🎚️ Escenario'!$C$11&gt;=36,$AL$23,INDEX($C$23:$AL$23,MAX(1,ROUNDUP(FE286/'🎚️ Escenario'!$C$11,0)))))</f>
        <v>1</v>
      </c>
      <c r="FF287" s="9" t="n">
        <f aca="false" t="array" ref="FF287:FF287">IF(FF286=0,0,IF(FF286/'🎚️ Escenario'!$C$11&gt;=36,$AL$23,INDEX($C$23:$AL$23,MAX(1,ROUNDUP(FF286/'🎚️ Escenario'!$C$11,0)))))</f>
        <v>1</v>
      </c>
      <c r="FG287" s="9" t="n">
        <f aca="false" t="array" ref="FG287:FG287">IF(FG286=0,0,IF(FG286/'🎚️ Escenario'!$C$11&gt;=36,$AL$23,INDEX($C$23:$AL$23,MAX(1,ROUNDUP(FG286/'🎚️ Escenario'!$C$11,0)))))</f>
        <v>1</v>
      </c>
      <c r="FH287" s="9" t="n">
        <f aca="false" t="array" ref="FH287:FH287">IF(FH286=0,0,IF(FH286/'🎚️ Escenario'!$C$11&gt;=36,$AL$23,INDEX($C$23:$AL$23,MAX(1,ROUNDUP(FH286/'🎚️ Escenario'!$C$11,0)))))</f>
        <v>1</v>
      </c>
      <c r="FI287" s="9" t="n">
        <f aca="false" t="array" ref="FI287:FI287">IF(FI286=0,0,IF(FI286/'🎚️ Escenario'!$C$11&gt;=36,$AL$23,INDEX($C$23:$AL$23,MAX(1,ROUNDUP(FI286/'🎚️ Escenario'!$C$11,0)))))</f>
        <v>1</v>
      </c>
      <c r="FJ287" s="9" t="n">
        <f aca="false" t="array" ref="FJ287:FJ287">IF(FJ286=0,0,IF(FJ286/'🎚️ Escenario'!$C$11&gt;=36,$AL$23,INDEX($C$23:$AL$23,MAX(1,ROUNDUP(FJ286/'🎚️ Escenario'!$C$11,0)))))</f>
        <v>1</v>
      </c>
      <c r="FK287" s="9" t="n">
        <f aca="false" t="array" ref="FK287:FK287">IF(FK286=0,0,IF(FK286/'🎚️ Escenario'!$C$11&gt;=36,$AL$23,INDEX($C$23:$AL$23,MAX(1,ROUNDUP(FK286/'🎚️ Escenario'!$C$11,0)))))</f>
        <v>1</v>
      </c>
      <c r="FL287" s="9" t="n">
        <f aca="false" t="array" ref="FL287:FL287">IF(FL286=0,0,IF(FL286/'🎚️ Escenario'!$C$11&gt;=36,$AL$23,INDEX($C$23:$AL$23,MAX(1,ROUNDUP(FL286/'🎚️ Escenario'!$C$11,0)))))</f>
        <v>1</v>
      </c>
      <c r="FM287" s="9" t="n">
        <f aca="false" t="array" ref="FM287:FM287">IF(FM286=0,0,IF(FM286/'🎚️ Escenario'!$C$11&gt;=36,$AL$23,INDEX($C$23:$AL$23,MAX(1,ROUNDUP(FM286/'🎚️ Escenario'!$C$11,0)))))</f>
        <v>1</v>
      </c>
      <c r="FN287" s="9" t="n">
        <f aca="false" t="array" ref="FN287:FN287">IF(FN286=0,0,IF(FN286/'🎚️ Escenario'!$C$11&gt;=36,$AL$23,INDEX($C$23:$AL$23,MAX(1,ROUNDUP(FN286/'🎚️ Escenario'!$C$11,0)))))</f>
        <v>1</v>
      </c>
      <c r="FO287" s="9" t="n">
        <f aca="false" t="array" ref="FO287:FO287">IF(FO286=0,0,IF(FO286/'🎚️ Escenario'!$C$11&gt;=36,$AL$23,INDEX($C$23:$AL$23,MAX(1,ROUNDUP(FO286/'🎚️ Escenario'!$C$11,0)))))</f>
        <v>1</v>
      </c>
      <c r="FP287" s="9" t="n">
        <f aca="false" t="array" ref="FP287:FP287">IF(FP286=0,0,IF(FP286/'🎚️ Escenario'!$C$11&gt;=36,$AL$23,INDEX($C$23:$AL$23,MAX(1,ROUNDUP(FP286/'🎚️ Escenario'!$C$11,0)))))</f>
        <v>1</v>
      </c>
    </row>
    <row r="288" customFormat="false" ht="15" hidden="false" customHeight="false" outlineLevel="2" collapsed="false">
      <c r="B288" s="47" t="s">
        <v>875</v>
      </c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237" t="n">
        <f aca="false">IF(AC286=0,0,IF(AC286&lt;=12*'🎚️ Escenario'!$C$11,1,1+$C$6))</f>
        <v>0</v>
      </c>
      <c r="AD288" s="237" t="n">
        <f aca="false">IF(AD286=0,0,IF(AD286&lt;=12*'🎚️ Escenario'!$C$11,1,1+$C$6))</f>
        <v>0</v>
      </c>
      <c r="AE288" s="237" t="n">
        <f aca="false">IF(AE286=0,0,IF(AE286&lt;=12*'🎚️ Escenario'!$C$11,1,1+$C$6))</f>
        <v>0</v>
      </c>
      <c r="AF288" s="237" t="n">
        <f aca="false">IF(AF286=0,0,IF(AF286&lt;=12*'🎚️ Escenario'!$C$11,1,1+$C$6))</f>
        <v>0</v>
      </c>
      <c r="AG288" s="237" t="n">
        <f aca="false">IF(AG286=0,0,IF(AG286&lt;=12*'🎚️ Escenario'!$C$11,1,1+$C$6))</f>
        <v>0</v>
      </c>
      <c r="AH288" s="237" t="n">
        <f aca="false">IF(AH286=0,0,IF(AH286&lt;=12*'🎚️ Escenario'!$C$11,1,1+$C$6))</f>
        <v>0</v>
      </c>
      <c r="AI288" s="237" t="n">
        <f aca="false">IF(AI286=0,0,IF(AI286&lt;=12*'🎚️ Escenario'!$C$11,1,1+$C$6))</f>
        <v>0</v>
      </c>
      <c r="AJ288" s="237" t="n">
        <f aca="false">IF(AJ286=0,0,IF(AJ286&lt;=12*'🎚️ Escenario'!$C$11,1,1+$C$6))</f>
        <v>0</v>
      </c>
      <c r="AK288" s="237" t="n">
        <f aca="false">IF(AK286=0,0,IF(AK286&lt;=12*'🎚️ Escenario'!$C$11,1,1+$C$6))</f>
        <v>0</v>
      </c>
      <c r="AL288" s="237" t="n">
        <f aca="false">IF(AL286=0,0,IF(AL286&lt;=12*'🎚️ Escenario'!$C$11,1,1+$C$6))</f>
        <v>0</v>
      </c>
      <c r="AM288" s="237" t="n">
        <f aca="false">IF(AM286=0,0,IF(AM286&lt;=12*'🎚️ Escenario'!$C$11,1,1+$C$6))</f>
        <v>0</v>
      </c>
      <c r="AN288" s="237" t="n">
        <f aca="false">IF(AN286=0,0,IF(AN286&lt;=12*'🎚️ Escenario'!$C$11,1,1+$C$6))</f>
        <v>0</v>
      </c>
      <c r="AO288" s="237" t="n">
        <f aca="false">IF(AO286=0,0,IF(AO286&lt;=12*'🎚️ Escenario'!$C$11,1,1+$C$6))</f>
        <v>0</v>
      </c>
      <c r="AP288" s="237" t="n">
        <f aca="false">IF(AP286=0,0,IF(AP286&lt;=12*'🎚️ Escenario'!$C$11,1,1+$C$6))</f>
        <v>0</v>
      </c>
      <c r="AQ288" s="237" t="n">
        <f aca="false">IF(AQ286=0,0,IF(AQ286&lt;=12*'🎚️ Escenario'!$C$11,1,1+$C$6))</f>
        <v>0</v>
      </c>
      <c r="AR288" s="237" t="n">
        <f aca="false">IF(AR286=0,0,IF(AR286&lt;=12*'🎚️ Escenario'!$C$11,1,1+$C$6))</f>
        <v>0</v>
      </c>
      <c r="AS288" s="237" t="n">
        <f aca="false">IF(AS286=0,0,IF(AS286&lt;=12*'🎚️ Escenario'!$C$11,1,1+$C$6))</f>
        <v>0</v>
      </c>
      <c r="AT288" s="237" t="n">
        <f aca="false">IF(AT286=0,0,IF(AT286&lt;=12*'🎚️ Escenario'!$C$11,1,1+$C$6))</f>
        <v>0</v>
      </c>
      <c r="AU288" s="237" t="n">
        <f aca="false">IF(AU286=0,0,IF(AU286&lt;=12*'🎚️ Escenario'!$C$11,1,1+$C$6))</f>
        <v>0</v>
      </c>
      <c r="AV288" s="237" t="n">
        <f aca="false">IF(AV286=0,0,IF(AV286&lt;=12*'🎚️ Escenario'!$C$11,1,1+$C$6))</f>
        <v>0</v>
      </c>
      <c r="AW288" s="237" t="n">
        <f aca="false">IF(AW286=0,0,IF(AW286&lt;=12*'🎚️ Escenario'!$C$11,1,1+$C$6))</f>
        <v>0</v>
      </c>
      <c r="AX288" s="237" t="n">
        <f aca="false">IF(AX286=0,0,IF(AX286&lt;=12*'🎚️ Escenario'!$C$11,1,1+$C$6))</f>
        <v>0</v>
      </c>
      <c r="AY288" s="237" t="n">
        <f aca="false">IF(AY286=0,0,IF(AY286&lt;=12*'🎚️ Escenario'!$C$11,1,1+$C$6))</f>
        <v>0</v>
      </c>
      <c r="AZ288" s="237" t="n">
        <f aca="false">IF(AZ286=0,0,IF(AZ286&lt;=12*'🎚️ Escenario'!$C$11,1,1+$C$6))</f>
        <v>0</v>
      </c>
      <c r="BA288" s="237" t="n">
        <f aca="false">IF(BA286=0,0,IF(BA286&lt;=12*'🎚️ Escenario'!$C$11,1,1+$C$6))</f>
        <v>0</v>
      </c>
      <c r="BB288" s="237" t="n">
        <f aca="false">IF(BB286=0,0,IF(BB286&lt;=12*'🎚️ Escenario'!$C$11,1,1+$C$6))</f>
        <v>0</v>
      </c>
      <c r="BC288" s="237" t="n">
        <f aca="false">IF(BC286=0,0,IF(BC286&lt;=12*'🎚️ Escenario'!$C$11,1,1+$C$6))</f>
        <v>0</v>
      </c>
      <c r="BD288" s="237" t="n">
        <f aca="false">IF(BD286=0,0,IF(BD286&lt;=12*'🎚️ Escenario'!$C$11,1,1+$C$6))</f>
        <v>0</v>
      </c>
      <c r="BE288" s="237" t="n">
        <f aca="false">IF(BE286=0,0,IF(BE286&lt;=12*'🎚️ Escenario'!$C$11,1,1+$C$6))</f>
        <v>0</v>
      </c>
      <c r="BF288" s="237" t="n">
        <f aca="false">IF(BF286=0,0,IF(BF286&lt;=12*'🎚️ Escenario'!$C$11,1,1+$C$6))</f>
        <v>0</v>
      </c>
      <c r="BG288" s="237" t="n">
        <f aca="false">IF(BG286=0,0,IF(BG286&lt;=12*'🎚️ Escenario'!$C$11,1,1+$C$6))</f>
        <v>0</v>
      </c>
      <c r="BH288" s="237" t="n">
        <f aca="false">IF(BH286=0,0,IF(BH286&lt;=12*'🎚️ Escenario'!$C$11,1,1+$C$6))</f>
        <v>0</v>
      </c>
      <c r="BI288" s="237" t="n">
        <f aca="false">IF(BI286=0,0,IF(BI286&lt;=12*'🎚️ Escenario'!$C$11,1,1+$C$6))</f>
        <v>0</v>
      </c>
      <c r="BJ288" s="237" t="n">
        <f aca="false">IF(BJ286=0,0,IF(BJ286&lt;=12*'🎚️ Escenario'!$C$11,1,1+$C$6))</f>
        <v>0</v>
      </c>
      <c r="BK288" s="237" t="n">
        <f aca="false">IF(BK286=0,0,IF(BK286&lt;=12*'🎚️ Escenario'!$C$11,1,1+$C$6))</f>
        <v>0</v>
      </c>
      <c r="BL288" s="237" t="n">
        <f aca="false">IF(BL286=0,0,IF(BL286&lt;=12*'🎚️ Escenario'!$C$11,1,1+$C$6))</f>
        <v>0</v>
      </c>
      <c r="BM288" s="237" t="n">
        <f aca="false">IF(BM286=0,0,IF(BM286&lt;=12*'🎚️ Escenario'!$C$11,1,1+$C$6))</f>
        <v>0</v>
      </c>
      <c r="BN288" s="237" t="n">
        <f aca="false">IF(BN286=0,0,IF(BN286&lt;=12*'🎚️ Escenario'!$C$11,1,1+$C$6))</f>
        <v>0</v>
      </c>
      <c r="BO288" s="237" t="n">
        <f aca="false">IF(BO286=0,0,IF(BO286&lt;=12*'🎚️ Escenario'!$C$11,1,1+$C$6))</f>
        <v>0</v>
      </c>
      <c r="BP288" s="237" t="n">
        <f aca="false">IF(BP286=0,0,IF(BP286&lt;=12*'🎚️ Escenario'!$C$11,1,1+$C$6))</f>
        <v>0</v>
      </c>
      <c r="BQ288" s="237" t="n">
        <f aca="false">IF(BQ286=0,0,IF(BQ286&lt;=12*'🎚️ Escenario'!$C$11,1,1+$C$6))</f>
        <v>0</v>
      </c>
      <c r="BR288" s="237" t="n">
        <f aca="false">IF(BR286=0,0,IF(BR286&lt;=12*'🎚️ Escenario'!$C$11,1,1+$C$6))</f>
        <v>0</v>
      </c>
      <c r="BS288" s="237" t="n">
        <f aca="false">IF(BS286=0,0,IF(BS286&lt;=12*'🎚️ Escenario'!$C$11,1,1+$C$6))</f>
        <v>0</v>
      </c>
      <c r="BT288" s="237" t="n">
        <f aca="false">IF(BT286=0,0,IF(BT286&lt;=12*'🎚️ Escenario'!$C$11,1,1+$C$6))</f>
        <v>0</v>
      </c>
      <c r="BU288" s="237" t="n">
        <f aca="false">IF(BU286=0,0,IF(BU286&lt;=12*'🎚️ Escenario'!$C$11,1,1+$C$6))</f>
        <v>0</v>
      </c>
      <c r="BV288" s="237" t="n">
        <f aca="false">IF(BV286=0,0,IF(BV286&lt;=12*'🎚️ Escenario'!$C$11,1,1+$C$6))</f>
        <v>0</v>
      </c>
      <c r="BW288" s="237" t="n">
        <f aca="false">IF(BW286=0,0,IF(BW286&lt;=12*'🎚️ Escenario'!$C$11,1,1+$C$6))</f>
        <v>0</v>
      </c>
      <c r="BX288" s="237" t="n">
        <f aca="false">IF(BX286=0,0,IF(BX286&lt;=12*'🎚️ Escenario'!$C$11,1,1+$C$6))</f>
        <v>0</v>
      </c>
      <c r="BY288" s="237" t="n">
        <f aca="false">IF(BY286=0,0,IF(BY286&lt;=12*'🎚️ Escenario'!$C$11,1,1+$C$6))</f>
        <v>0</v>
      </c>
      <c r="BZ288" s="237" t="n">
        <f aca="false">IF(BZ286=0,0,IF(BZ286&lt;=12*'🎚️ Escenario'!$C$11,1,1+$C$6))</f>
        <v>0</v>
      </c>
      <c r="CA288" s="237" t="n">
        <f aca="false">IF(CA286=0,0,IF(CA286&lt;=12*'🎚️ Escenario'!$C$11,1,1+$C$6))</f>
        <v>0</v>
      </c>
      <c r="CB288" s="237" t="n">
        <f aca="false">IF(CB286=0,0,IF(CB286&lt;=12*'🎚️ Escenario'!$C$11,1,1+$C$6))</f>
        <v>0</v>
      </c>
      <c r="CC288" s="237" t="n">
        <f aca="false">IF(CC286=0,0,IF(CC286&lt;=12*'🎚️ Escenario'!$C$11,1,1+$C$6))</f>
        <v>0</v>
      </c>
      <c r="CD288" s="237" t="n">
        <f aca="false">IF(CD286=0,0,IF(CD286&lt;=12*'🎚️ Escenario'!$C$11,1,1+$C$6))</f>
        <v>0</v>
      </c>
      <c r="CE288" s="237" t="n">
        <f aca="false">IF(CE286=0,0,IF(CE286&lt;=12*'🎚️ Escenario'!$C$11,1,1+$C$6))</f>
        <v>0</v>
      </c>
      <c r="CF288" s="237" t="n">
        <f aca="false">IF(CF286=0,0,IF(CF286&lt;=12*'🎚️ Escenario'!$C$11,1,1+$C$6))</f>
        <v>0</v>
      </c>
      <c r="CG288" s="237" t="n">
        <f aca="false">IF(CG286=0,0,IF(CG286&lt;=12*'🎚️ Escenario'!$C$11,1,1+$C$6))</f>
        <v>0</v>
      </c>
      <c r="CH288" s="237" t="n">
        <f aca="false">IF(CH286=0,0,IF(CH286&lt;=12*'🎚️ Escenario'!$C$11,1,1+$C$6))</f>
        <v>0</v>
      </c>
      <c r="CI288" s="237" t="n">
        <f aca="false">IF(CI286=0,0,IF(CI286&lt;=12*'🎚️ Escenario'!$C$11,1,1+$C$6))</f>
        <v>0</v>
      </c>
      <c r="CJ288" s="237" t="n">
        <f aca="false">IF(CJ286=0,0,IF(CJ286&lt;=12*'🎚️ Escenario'!$C$11,1,1+$C$6))</f>
        <v>0</v>
      </c>
      <c r="CK288" s="237" t="n">
        <f aca="false">IF(CK286=0,0,IF(CK286&lt;=12*'🎚️ Escenario'!$C$11,1,1+$C$6))</f>
        <v>0</v>
      </c>
      <c r="CL288" s="237" t="n">
        <f aca="false">IF(CL286=0,0,IF(CL286&lt;=12*'🎚️ Escenario'!$C$11,1,1+$C$6))</f>
        <v>0</v>
      </c>
      <c r="CM288" s="237" t="n">
        <f aca="false">IF(CM286=0,0,IF(CM286&lt;=12*'🎚️ Escenario'!$C$11,1,1+$C$6))</f>
        <v>0</v>
      </c>
      <c r="CN288" s="237" t="n">
        <f aca="false">IF(CN286=0,0,IF(CN286&lt;=12*'🎚️ Escenario'!$C$11,1,1+$C$6))</f>
        <v>0</v>
      </c>
      <c r="CO288" s="237" t="n">
        <f aca="false">IF(CO286=0,0,IF(CO286&lt;=12*'🎚️ Escenario'!$C$11,1,1+$C$6))</f>
        <v>0</v>
      </c>
      <c r="CP288" s="237" t="n">
        <f aca="false">IF(CP286=0,0,IF(CP286&lt;=12*'🎚️ Escenario'!$C$11,1,1+$C$6))</f>
        <v>0</v>
      </c>
      <c r="CQ288" s="237" t="n">
        <f aca="false">IF(CQ286=0,0,IF(CQ286&lt;=12*'🎚️ Escenario'!$C$11,1,1+$C$6))</f>
        <v>0</v>
      </c>
      <c r="CR288" s="237" t="n">
        <f aca="false">IF(CR286=0,0,IF(CR286&lt;=12*'🎚️ Escenario'!$C$11,1,1+$C$6))</f>
        <v>0</v>
      </c>
      <c r="CS288" s="237" t="n">
        <f aca="false">IF(CS286=0,0,IF(CS286&lt;=12*'🎚️ Escenario'!$C$11,1,1+$C$6))</f>
        <v>0</v>
      </c>
      <c r="CT288" s="237" t="n">
        <f aca="false">IF(CT286=0,0,IF(CT286&lt;=12*'🎚️ Escenario'!$C$11,1,1+$C$6))</f>
        <v>0</v>
      </c>
      <c r="CU288" s="237" t="n">
        <f aca="false">IF(CU286=0,0,IF(CU286&lt;=12*'🎚️ Escenario'!$C$11,1,1+$C$6))</f>
        <v>0</v>
      </c>
      <c r="CV288" s="237" t="n">
        <f aca="false">IF(CV286=0,0,IF(CV286&lt;=12*'🎚️ Escenario'!$C$11,1,1+$C$6))</f>
        <v>0</v>
      </c>
      <c r="CW288" s="237" t="n">
        <f aca="false">IF(CW286=0,0,IF(CW286&lt;=12*'🎚️ Escenario'!$C$11,1,1+$C$6))</f>
        <v>0</v>
      </c>
      <c r="CX288" s="237" t="n">
        <f aca="false">IF(CX286=0,0,IF(CX286&lt;=12*'🎚️ Escenario'!$C$11,1,1+$C$6))</f>
        <v>0</v>
      </c>
      <c r="CY288" s="237" t="n">
        <f aca="false">IF(CY286=0,0,IF(CY286&lt;=12*'🎚️ Escenario'!$C$11,1,1+$C$6))</f>
        <v>0</v>
      </c>
      <c r="CZ288" s="237" t="n">
        <f aca="false">IF(CZ286=0,0,IF(CZ286&lt;=12*'🎚️ Escenario'!$C$11,1,1+$C$6))</f>
        <v>0</v>
      </c>
      <c r="DA288" s="237" t="n">
        <f aca="false">IF(DA286=0,0,IF(DA286&lt;=12*'🎚️ Escenario'!$C$11,1,1+$C$6))</f>
        <v>1</v>
      </c>
      <c r="DB288" s="237" t="n">
        <f aca="false">IF(DB286=0,0,IF(DB286&lt;=12*'🎚️ Escenario'!$C$11,1,1+$C$6))</f>
        <v>1</v>
      </c>
      <c r="DC288" s="237" t="n">
        <f aca="false">IF(DC286=0,0,IF(DC286&lt;=12*'🎚️ Escenario'!$C$11,1,1+$C$6))</f>
        <v>1</v>
      </c>
      <c r="DD288" s="237" t="n">
        <f aca="false">IF(DD286=0,0,IF(DD286&lt;=12*'🎚️ Escenario'!$C$11,1,1+$C$6))</f>
        <v>1</v>
      </c>
      <c r="DE288" s="237" t="n">
        <f aca="false">IF(DE286=0,0,IF(DE286&lt;=12*'🎚️ Escenario'!$C$11,1,1+$C$6))</f>
        <v>1</v>
      </c>
      <c r="DF288" s="237" t="n">
        <f aca="false">IF(DF286=0,0,IF(DF286&lt;=12*'🎚️ Escenario'!$C$11,1,1+$C$6))</f>
        <v>1</v>
      </c>
      <c r="DG288" s="237" t="n">
        <f aca="false">IF(DG286=0,0,IF(DG286&lt;=12*'🎚️ Escenario'!$C$11,1,1+$C$6))</f>
        <v>1</v>
      </c>
      <c r="DH288" s="237" t="n">
        <f aca="false">IF(DH286=0,0,IF(DH286&lt;=12*'🎚️ Escenario'!$C$11,1,1+$C$6))</f>
        <v>1</v>
      </c>
      <c r="DI288" s="237" t="n">
        <f aca="false">IF(DI286=0,0,IF(DI286&lt;=12*'🎚️ Escenario'!$C$11,1,1+$C$6))</f>
        <v>1</v>
      </c>
      <c r="DJ288" s="237" t="n">
        <f aca="false">IF(DJ286=0,0,IF(DJ286&lt;=12*'🎚️ Escenario'!$C$11,1,1+$C$6))</f>
        <v>1</v>
      </c>
      <c r="DK288" s="237" t="n">
        <f aca="false">IF(DK286=0,0,IF(DK286&lt;=12*'🎚️ Escenario'!$C$11,1,1+$C$6))</f>
        <v>1</v>
      </c>
      <c r="DL288" s="237" t="n">
        <f aca="false">IF(DL286=0,0,IF(DL286&lt;=12*'🎚️ Escenario'!$C$11,1,1+$C$6))</f>
        <v>1</v>
      </c>
      <c r="DM288" s="237" t="n">
        <f aca="false">IF(DM286=0,0,IF(DM286&lt;=12*'🎚️ Escenario'!$C$11,1,1+$C$6))</f>
        <v>1</v>
      </c>
      <c r="DN288" s="237" t="n">
        <f aca="false">IF(DN286=0,0,IF(DN286&lt;=12*'🎚️ Escenario'!$C$11,1,1+$C$6))</f>
        <v>1</v>
      </c>
      <c r="DO288" s="237" t="n">
        <f aca="false">IF(DO286=0,0,IF(DO286&lt;=12*'🎚️ Escenario'!$C$11,1,1+$C$6))</f>
        <v>1</v>
      </c>
      <c r="DP288" s="237" t="n">
        <f aca="false">IF(DP286=0,0,IF(DP286&lt;=12*'🎚️ Escenario'!$C$11,1,1+$C$6))</f>
        <v>1.2</v>
      </c>
      <c r="DQ288" s="237" t="n">
        <f aca="false">IF(DQ286=0,0,IF(DQ286&lt;=12*'🎚️ Escenario'!$C$11,1,1+$C$6))</f>
        <v>1.2</v>
      </c>
      <c r="DR288" s="237" t="n">
        <f aca="false">IF(DR286=0,0,IF(DR286&lt;=12*'🎚️ Escenario'!$C$11,1,1+$C$6))</f>
        <v>1.2</v>
      </c>
      <c r="DS288" s="237" t="n">
        <f aca="false">IF(DS286=0,0,IF(DS286&lt;=12*'🎚️ Escenario'!$C$11,1,1+$C$6))</f>
        <v>1.2</v>
      </c>
      <c r="DT288" s="237" t="n">
        <f aca="false">IF(DT286=0,0,IF(DT286&lt;=12*'🎚️ Escenario'!$C$11,1,1+$C$6))</f>
        <v>1.2</v>
      </c>
      <c r="DU288" s="237" t="n">
        <f aca="false">IF(DU286=0,0,IF(DU286&lt;=12*'🎚️ Escenario'!$C$11,1,1+$C$6))</f>
        <v>1.2</v>
      </c>
      <c r="DV288" s="237" t="n">
        <f aca="false">IF(DV286=0,0,IF(DV286&lt;=12*'🎚️ Escenario'!$C$11,1,1+$C$6))</f>
        <v>1.2</v>
      </c>
      <c r="DW288" s="237" t="n">
        <f aca="false">IF(DW286=0,0,IF(DW286&lt;=12*'🎚️ Escenario'!$C$11,1,1+$C$6))</f>
        <v>1.2</v>
      </c>
      <c r="DX288" s="237" t="n">
        <f aca="false">IF(DX286=0,0,IF(DX286&lt;=12*'🎚️ Escenario'!$C$11,1,1+$C$6))</f>
        <v>1.2</v>
      </c>
      <c r="DY288" s="237" t="n">
        <f aca="false">IF(DY286=0,0,IF(DY286&lt;=12*'🎚️ Escenario'!$C$11,1,1+$C$6))</f>
        <v>1.2</v>
      </c>
      <c r="DZ288" s="237" t="n">
        <f aca="false">IF(DZ286=0,0,IF(DZ286&lt;=12*'🎚️ Escenario'!$C$11,1,1+$C$6))</f>
        <v>1.2</v>
      </c>
      <c r="EA288" s="237" t="n">
        <f aca="false">IF(EA286=0,0,IF(EA286&lt;=12*'🎚️ Escenario'!$C$11,1,1+$C$6))</f>
        <v>1.2</v>
      </c>
      <c r="EB288" s="237" t="n">
        <f aca="false">IF(EB286=0,0,IF(EB286&lt;=12*'🎚️ Escenario'!$C$11,1,1+$C$6))</f>
        <v>1.2</v>
      </c>
      <c r="EC288" s="237" t="n">
        <f aca="false">IF(EC286=0,0,IF(EC286&lt;=12*'🎚️ Escenario'!$C$11,1,1+$C$6))</f>
        <v>1.2</v>
      </c>
      <c r="ED288" s="237" t="n">
        <f aca="false">IF(ED286=0,0,IF(ED286&lt;=12*'🎚️ Escenario'!$C$11,1,1+$C$6))</f>
        <v>1.2</v>
      </c>
      <c r="EE288" s="237" t="n">
        <f aca="false">IF(EE286=0,0,IF(EE286&lt;=12*'🎚️ Escenario'!$C$11,1,1+$C$6))</f>
        <v>1.2</v>
      </c>
      <c r="EF288" s="237" t="n">
        <f aca="false">IF(EF286=0,0,IF(EF286&lt;=12*'🎚️ Escenario'!$C$11,1,1+$C$6))</f>
        <v>1.2</v>
      </c>
      <c r="EG288" s="237" t="n">
        <f aca="false">IF(EG286=0,0,IF(EG286&lt;=12*'🎚️ Escenario'!$C$11,1,1+$C$6))</f>
        <v>1.2</v>
      </c>
      <c r="EH288" s="237" t="n">
        <f aca="false">IF(EH286=0,0,IF(EH286&lt;=12*'🎚️ Escenario'!$C$11,1,1+$C$6))</f>
        <v>1.2</v>
      </c>
      <c r="EI288" s="237" t="n">
        <f aca="false">IF(EI286=0,0,IF(EI286&lt;=12*'🎚️ Escenario'!$C$11,1,1+$C$6))</f>
        <v>1.2</v>
      </c>
      <c r="EJ288" s="237" t="n">
        <f aca="false">IF(EJ286=0,0,IF(EJ286&lt;=12*'🎚️ Escenario'!$C$11,1,1+$C$6))</f>
        <v>1.2</v>
      </c>
      <c r="EK288" s="237" t="n">
        <f aca="false">IF(EK286=0,0,IF(EK286&lt;=12*'🎚️ Escenario'!$C$11,1,1+$C$6))</f>
        <v>1.2</v>
      </c>
      <c r="EL288" s="237" t="n">
        <f aca="false">IF(EL286=0,0,IF(EL286&lt;=12*'🎚️ Escenario'!$C$11,1,1+$C$6))</f>
        <v>1.2</v>
      </c>
      <c r="EM288" s="237" t="n">
        <f aca="false">IF(EM286=0,0,IF(EM286&lt;=12*'🎚️ Escenario'!$C$11,1,1+$C$6))</f>
        <v>1.2</v>
      </c>
      <c r="EN288" s="237" t="n">
        <f aca="false">IF(EN286=0,0,IF(EN286&lt;=12*'🎚️ Escenario'!$C$11,1,1+$C$6))</f>
        <v>1.2</v>
      </c>
      <c r="EO288" s="237" t="n">
        <f aca="false">IF(EO286=0,0,IF(EO286&lt;=12*'🎚️ Escenario'!$C$11,1,1+$C$6))</f>
        <v>1.2</v>
      </c>
      <c r="EP288" s="237" t="n">
        <f aca="false">IF(EP286=0,0,IF(EP286&lt;=12*'🎚️ Escenario'!$C$11,1,1+$C$6))</f>
        <v>1.2</v>
      </c>
      <c r="EQ288" s="237" t="n">
        <f aca="false">IF(EQ286=0,0,IF(EQ286&lt;=12*'🎚️ Escenario'!$C$11,1,1+$C$6))</f>
        <v>1.2</v>
      </c>
      <c r="ER288" s="237" t="n">
        <f aca="false">IF(ER286=0,0,IF(ER286&lt;=12*'🎚️ Escenario'!$C$11,1,1+$C$6))</f>
        <v>1.2</v>
      </c>
      <c r="ES288" s="238" t="n">
        <f aca="false">IF(ES286=0,0,IF(ES286&lt;=12*'🎚️ Escenario'!$C$11,1,1+$C$6))</f>
        <v>1.2</v>
      </c>
      <c r="ET288" s="238" t="n">
        <f aca="false">IF(ET286=0,0,IF(ET286&lt;=12*'🎚️ Escenario'!$C$11,1,1+$C$6))</f>
        <v>1.2</v>
      </c>
      <c r="EU288" s="238" t="n">
        <f aca="false">IF(EU286=0,0,IF(EU286&lt;=12*'🎚️ Escenario'!$C$11,1,1+$C$6))</f>
        <v>1.2</v>
      </c>
      <c r="EV288" s="238" t="n">
        <f aca="false">IF(EV286=0,0,IF(EV286&lt;=12*'🎚️ Escenario'!$C$11,1,1+$C$6))</f>
        <v>1.2</v>
      </c>
      <c r="EW288" s="238" t="n">
        <f aca="false">IF(EW286=0,0,IF(EW286&lt;=12*'🎚️ Escenario'!$C$11,1,1+$C$6))</f>
        <v>1.2</v>
      </c>
      <c r="EX288" s="238" t="n">
        <f aca="false">IF(EX286=0,0,IF(EX286&lt;=12*'🎚️ Escenario'!$C$11,1,1+$C$6))</f>
        <v>1.2</v>
      </c>
      <c r="EY288" s="238" t="n">
        <f aca="false">IF(EY286=0,0,IF(EY286&lt;=12*'🎚️ Escenario'!$C$11,1,1+$C$6))</f>
        <v>1.2</v>
      </c>
      <c r="EZ288" s="238" t="n">
        <f aca="false">IF(EZ286=0,0,IF(EZ286&lt;=12*'🎚️ Escenario'!$C$11,1,1+$C$6))</f>
        <v>1.2</v>
      </c>
      <c r="FA288" s="238" t="n">
        <f aca="false">IF(FA286=0,0,IF(FA286&lt;=12*'🎚️ Escenario'!$C$11,1,1+$C$6))</f>
        <v>1.2</v>
      </c>
      <c r="FB288" s="238" t="n">
        <f aca="false">IF(FB286=0,0,IF(FB286&lt;=12*'🎚️ Escenario'!$C$11,1,1+$C$6))</f>
        <v>1.2</v>
      </c>
      <c r="FC288" s="238" t="n">
        <f aca="false">IF(FC286=0,0,IF(FC286&lt;=12*'🎚️ Escenario'!$C$11,1,1+$C$6))</f>
        <v>1.2</v>
      </c>
      <c r="FD288" s="238" t="n">
        <f aca="false">IF(FD286=0,0,IF(FD286&lt;=12*'🎚️ Escenario'!$C$11,1,1+$C$6))</f>
        <v>1.2</v>
      </c>
      <c r="FE288" s="238" t="n">
        <f aca="false">IF(FE286=0,0,IF(FE286&lt;=12*'🎚️ Escenario'!$C$11,1,1+$C$6))</f>
        <v>1.2</v>
      </c>
      <c r="FF288" s="238" t="n">
        <f aca="false">IF(FF286=0,0,IF(FF286&lt;=12*'🎚️ Escenario'!$C$11,1,1+$C$6))</f>
        <v>1.2</v>
      </c>
      <c r="FG288" s="238" t="n">
        <f aca="false">IF(FG286=0,0,IF(FG286&lt;=12*'🎚️ Escenario'!$C$11,1,1+$C$6))</f>
        <v>1.2</v>
      </c>
      <c r="FH288" s="238" t="n">
        <f aca="false">IF(FH286=0,0,IF(FH286&lt;=12*'🎚️ Escenario'!$C$11,1,1+$C$6))</f>
        <v>1.2</v>
      </c>
      <c r="FI288" s="238" t="n">
        <f aca="false">IF(FI286=0,0,IF(FI286&lt;=12*'🎚️ Escenario'!$C$11,1,1+$C$6))</f>
        <v>1.2</v>
      </c>
      <c r="FJ288" s="238" t="n">
        <f aca="false">IF(FJ286=0,0,IF(FJ286&lt;=12*'🎚️ Escenario'!$C$11,1,1+$C$6))</f>
        <v>1.2</v>
      </c>
      <c r="FK288" s="238" t="n">
        <f aca="false">IF(FK286=0,0,IF(FK286&lt;=12*'🎚️ Escenario'!$C$11,1,1+$C$6))</f>
        <v>1.2</v>
      </c>
      <c r="FL288" s="238" t="n">
        <f aca="false">IF(FL286=0,0,IF(FL286&lt;=12*'🎚️ Escenario'!$C$11,1,1+$C$6))</f>
        <v>1.2</v>
      </c>
      <c r="FM288" s="238" t="n">
        <f aca="false">IF(FM286=0,0,IF(FM286&lt;=12*'🎚️ Escenario'!$C$11,1,1+$C$6))</f>
        <v>1.2</v>
      </c>
      <c r="FN288" s="238" t="n">
        <f aca="false">IF(FN286=0,0,IF(FN286&lt;=12*'🎚️ Escenario'!$C$11,1,1+$C$6))</f>
        <v>1.2</v>
      </c>
      <c r="FO288" s="238" t="n">
        <f aca="false">IF(FO286=0,0,IF(FO286&lt;=12*'🎚️ Escenario'!$C$11,1,1+$C$6))</f>
        <v>1.2</v>
      </c>
      <c r="FP288" s="238" t="n">
        <f aca="false">IF(FP286=0,0,IF(FP286&lt;=12*'🎚️ Escenario'!$C$11,1,1+$C$6))</f>
        <v>1.2</v>
      </c>
    </row>
    <row r="289" customFormat="false" ht="15" hidden="false" customHeight="false" outlineLevel="2" collapsed="false">
      <c r="B289" s="47" t="s">
        <v>876</v>
      </c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237" t="n">
        <f aca="false">AC287*$AC$285*AC288*AC$38*'⑫ Roll-out Plan'!$O$33</f>
        <v>0</v>
      </c>
      <c r="AD289" s="237" t="n">
        <f aca="false">AD287*$AC$285*AD288*AD$38*'⑫ Roll-out Plan'!$O$33</f>
        <v>0</v>
      </c>
      <c r="AE289" s="237" t="n">
        <f aca="false">AE287*$AC$285*AE288*AE$38*'⑫ Roll-out Plan'!$O$33</f>
        <v>0</v>
      </c>
      <c r="AF289" s="237" t="n">
        <f aca="false">AF287*$AC$285*AF288*AF$38*'⑫ Roll-out Plan'!$O$33</f>
        <v>0</v>
      </c>
      <c r="AG289" s="237" t="n">
        <f aca="false">AG287*$AC$285*AG288*AG$38*'⑫ Roll-out Plan'!$O$33</f>
        <v>0</v>
      </c>
      <c r="AH289" s="237" t="n">
        <f aca="false">AH287*$AC$285*AH288*AH$38*'⑫ Roll-out Plan'!$O$33</f>
        <v>0</v>
      </c>
      <c r="AI289" s="237" t="n">
        <f aca="false">AI287*$AC$285*AI288*AI$38*'⑫ Roll-out Plan'!$O$33</f>
        <v>0</v>
      </c>
      <c r="AJ289" s="237" t="n">
        <f aca="false">AJ287*$AC$285*AJ288*AJ$38*'⑫ Roll-out Plan'!$O$33</f>
        <v>0</v>
      </c>
      <c r="AK289" s="237" t="n">
        <f aca="false">AK287*$AC$285*AK288*AK$38*'⑫ Roll-out Plan'!$O$33</f>
        <v>0</v>
      </c>
      <c r="AL289" s="237" t="n">
        <f aca="false">AL287*$AC$285*AL288*AL$38*'⑫ Roll-out Plan'!$O$33</f>
        <v>0</v>
      </c>
      <c r="AM289" s="237" t="n">
        <f aca="false">AM287*$AC$285*AM288*AM$38*'⑫ Roll-out Plan'!$O$33</f>
        <v>0</v>
      </c>
      <c r="AN289" s="237" t="n">
        <f aca="false">AN287*$AC$285*AN288*AN$38*'⑫ Roll-out Plan'!$O$33</f>
        <v>0</v>
      </c>
      <c r="AO289" s="237" t="n">
        <f aca="false">AO287*$AC$285*AO288*AO$38*'⑫ Roll-out Plan'!$O$33</f>
        <v>0</v>
      </c>
      <c r="AP289" s="237" t="n">
        <f aca="false">AP287*$AC$285*AP288*AP$38*'⑫ Roll-out Plan'!$O$33</f>
        <v>0</v>
      </c>
      <c r="AQ289" s="237" t="n">
        <f aca="false">AQ287*$AC$285*AQ288*AQ$38*'⑫ Roll-out Plan'!$O$33</f>
        <v>0</v>
      </c>
      <c r="AR289" s="237" t="n">
        <f aca="false">AR287*$AC$285*AR288*AR$38*'⑫ Roll-out Plan'!$O$33</f>
        <v>0</v>
      </c>
      <c r="AS289" s="237" t="n">
        <f aca="false">AS287*$AC$285*AS288*AS$38*'⑫ Roll-out Plan'!$O$33</f>
        <v>0</v>
      </c>
      <c r="AT289" s="237" t="n">
        <f aca="false">AT287*$AC$285*AT288*AT$38*'⑫ Roll-out Plan'!$O$33</f>
        <v>0</v>
      </c>
      <c r="AU289" s="237" t="n">
        <f aca="false">AU287*$AC$285*AU288*AU$38*'⑫ Roll-out Plan'!$O$33</f>
        <v>0</v>
      </c>
      <c r="AV289" s="237" t="n">
        <f aca="false">AV287*$AC$285*AV288*AV$38*'⑫ Roll-out Plan'!$O$33</f>
        <v>0</v>
      </c>
      <c r="AW289" s="237" t="n">
        <f aca="false">AW287*$AC$285*AW288*AW$38*'⑫ Roll-out Plan'!$O$33</f>
        <v>0</v>
      </c>
      <c r="AX289" s="237" t="n">
        <f aca="false">AX287*$AC$285*AX288*AX$38*'⑫ Roll-out Plan'!$O$33</f>
        <v>0</v>
      </c>
      <c r="AY289" s="237" t="n">
        <f aca="false">AY287*$AC$285*AY288*AY$38*'⑫ Roll-out Plan'!$O$33</f>
        <v>0</v>
      </c>
      <c r="AZ289" s="237" t="n">
        <f aca="false">AZ287*$AC$285*AZ288*AZ$38*'⑫ Roll-out Plan'!$O$33</f>
        <v>0</v>
      </c>
      <c r="BA289" s="237" t="n">
        <f aca="false">BA287*$AC$285*BA288*BA$38*'⑫ Roll-out Plan'!$O$33</f>
        <v>0</v>
      </c>
      <c r="BB289" s="237" t="n">
        <f aca="false">BB287*$AC$285*BB288*BB$38*'⑫ Roll-out Plan'!$O$33</f>
        <v>0</v>
      </c>
      <c r="BC289" s="237" t="n">
        <f aca="false">BC287*$AC$285*BC288*BC$38*'⑫ Roll-out Plan'!$O$33</f>
        <v>0</v>
      </c>
      <c r="BD289" s="237" t="n">
        <f aca="false">BD287*$AC$285*BD288*BD$38*'⑫ Roll-out Plan'!$O$33</f>
        <v>0</v>
      </c>
      <c r="BE289" s="237" t="n">
        <f aca="false">BE287*$AC$285*BE288*BE$38*'⑫ Roll-out Plan'!$O$33</f>
        <v>0</v>
      </c>
      <c r="BF289" s="237" t="n">
        <f aca="false">BF287*$AC$285*BF288*BF$38*'⑫ Roll-out Plan'!$O$33</f>
        <v>0</v>
      </c>
      <c r="BG289" s="237" t="n">
        <f aca="false">BG287*$AC$285*BG288*BG$38*'⑫ Roll-out Plan'!$O$33</f>
        <v>0</v>
      </c>
      <c r="BH289" s="237" t="n">
        <f aca="false">BH287*$AC$285*BH288*BH$38*'⑫ Roll-out Plan'!$O$33</f>
        <v>0</v>
      </c>
      <c r="BI289" s="237" t="n">
        <f aca="false">BI287*$AC$285*BI288*BI$38*'⑫ Roll-out Plan'!$O$33</f>
        <v>0</v>
      </c>
      <c r="BJ289" s="237" t="n">
        <f aca="false">BJ287*$AC$285*BJ288*BJ$38*'⑫ Roll-out Plan'!$O$33</f>
        <v>0</v>
      </c>
      <c r="BK289" s="237" t="n">
        <f aca="false">BK287*$AC$285*BK288*BK$38*'⑫ Roll-out Plan'!$O$33</f>
        <v>0</v>
      </c>
      <c r="BL289" s="237" t="n">
        <f aca="false">BL287*$AC$285*BL288*BL$38*'⑫ Roll-out Plan'!$O$33</f>
        <v>0</v>
      </c>
      <c r="BM289" s="237" t="n">
        <f aca="false">BM287*$AC$285*BM288*BM$38*'⑫ Roll-out Plan'!$O$33</f>
        <v>0</v>
      </c>
      <c r="BN289" s="237" t="n">
        <f aca="false">BN287*$AC$285*BN288*BN$38*'⑫ Roll-out Plan'!$O$33</f>
        <v>0</v>
      </c>
      <c r="BO289" s="237" t="n">
        <f aca="false">BO287*$AC$285*BO288*BO$38*'⑫ Roll-out Plan'!$O$33</f>
        <v>0</v>
      </c>
      <c r="BP289" s="237" t="n">
        <f aca="false">BP287*$AC$285*BP288*BP$38*'⑫ Roll-out Plan'!$O$33</f>
        <v>0</v>
      </c>
      <c r="BQ289" s="237" t="n">
        <f aca="false">BQ287*$AC$285*BQ288*BQ$38*'⑫ Roll-out Plan'!$O$33</f>
        <v>0</v>
      </c>
      <c r="BR289" s="237" t="n">
        <f aca="false">BR287*$AC$285*BR288*BR$38*'⑫ Roll-out Plan'!$O$33</f>
        <v>0</v>
      </c>
      <c r="BS289" s="237" t="n">
        <f aca="false">BS287*$AC$285*BS288*BS$38*'⑫ Roll-out Plan'!$O$33</f>
        <v>0</v>
      </c>
      <c r="BT289" s="237" t="n">
        <f aca="false">BT287*$AC$285*BT288*BT$38*'⑫ Roll-out Plan'!$O$33</f>
        <v>0</v>
      </c>
      <c r="BU289" s="237" t="n">
        <f aca="false">BU287*$AC$285*BU288*BU$38*'⑫ Roll-out Plan'!$O$33</f>
        <v>0</v>
      </c>
      <c r="BV289" s="237" t="n">
        <f aca="false">BV287*$AC$285*BV288*BV$38*'⑫ Roll-out Plan'!$O$33</f>
        <v>0</v>
      </c>
      <c r="BW289" s="237" t="n">
        <f aca="false">BW287*$AC$285*BW288*BW$38*'⑫ Roll-out Plan'!$O$33</f>
        <v>0</v>
      </c>
      <c r="BX289" s="237" t="n">
        <f aca="false">BX287*$AC$285*BX288*BX$38*'⑫ Roll-out Plan'!$O$33</f>
        <v>0</v>
      </c>
      <c r="BY289" s="237" t="n">
        <f aca="false">BY287*$AC$285*BY288*BY$38*'⑫ Roll-out Plan'!$O$33</f>
        <v>0</v>
      </c>
      <c r="BZ289" s="237" t="n">
        <f aca="false">BZ287*$AC$285*BZ288*BZ$38*'⑫ Roll-out Plan'!$O$33</f>
        <v>0</v>
      </c>
      <c r="CA289" s="237" t="n">
        <f aca="false">CA287*$AC$285*CA288*CA$38*'⑫ Roll-out Plan'!$O$33</f>
        <v>0</v>
      </c>
      <c r="CB289" s="237" t="n">
        <f aca="false">CB287*$AC$285*CB288*CB$38*'⑫ Roll-out Plan'!$O$33</f>
        <v>0</v>
      </c>
      <c r="CC289" s="237" t="n">
        <f aca="false">CC287*$AC$285*CC288*CC$38*'⑫ Roll-out Plan'!$O$33</f>
        <v>0</v>
      </c>
      <c r="CD289" s="237" t="n">
        <f aca="false">CD287*$AC$285*CD288*CD$38*'⑫ Roll-out Plan'!$O$33</f>
        <v>0</v>
      </c>
      <c r="CE289" s="237" t="n">
        <f aca="false">CE287*$AC$285*CE288*CE$38*'⑫ Roll-out Plan'!$O$33</f>
        <v>0</v>
      </c>
      <c r="CF289" s="237" t="n">
        <f aca="false">CF287*$AC$285*CF288*CF$38*'⑫ Roll-out Plan'!$O$33</f>
        <v>0</v>
      </c>
      <c r="CG289" s="237" t="n">
        <f aca="false">CG287*$AC$285*CG288*CG$38*'⑫ Roll-out Plan'!$O$33</f>
        <v>0</v>
      </c>
      <c r="CH289" s="237" t="n">
        <f aca="false">CH287*$AC$285*CH288*CH$38*'⑫ Roll-out Plan'!$O$33</f>
        <v>0</v>
      </c>
      <c r="CI289" s="237" t="n">
        <f aca="false">CI287*$AC$285*CI288*CI$38*'⑫ Roll-out Plan'!$O$33</f>
        <v>0</v>
      </c>
      <c r="CJ289" s="237" t="n">
        <f aca="false">CJ287*$AC$285*CJ288*CJ$38*'⑫ Roll-out Plan'!$O$33</f>
        <v>0</v>
      </c>
      <c r="CK289" s="237" t="n">
        <f aca="false">CK287*$AC$285*CK288*CK$38*'⑫ Roll-out Plan'!$O$33</f>
        <v>0</v>
      </c>
      <c r="CL289" s="237" t="n">
        <f aca="false">CL287*$AC$285*CL288*CL$38*'⑫ Roll-out Plan'!$O$33</f>
        <v>0</v>
      </c>
      <c r="CM289" s="237" t="n">
        <f aca="false">CM287*$AC$285*CM288*CM$38*'⑫ Roll-out Plan'!$O$33</f>
        <v>0</v>
      </c>
      <c r="CN289" s="237" t="n">
        <f aca="false">CN287*$AC$285*CN288*CN$38*'⑫ Roll-out Plan'!$O$33</f>
        <v>0</v>
      </c>
      <c r="CO289" s="237" t="n">
        <f aca="false">CO287*$AC$285*CO288*CO$38*'⑫ Roll-out Plan'!$O$33</f>
        <v>0</v>
      </c>
      <c r="CP289" s="237" t="n">
        <f aca="false">CP287*$AC$285*CP288*CP$38*'⑫ Roll-out Plan'!$O$33</f>
        <v>0</v>
      </c>
      <c r="CQ289" s="237" t="n">
        <f aca="false">CQ287*$AC$285*CQ288*CQ$38*'⑫ Roll-out Plan'!$O$33</f>
        <v>0</v>
      </c>
      <c r="CR289" s="237" t="n">
        <f aca="false">CR287*$AC$285*CR288*CR$38*'⑫ Roll-out Plan'!$O$33</f>
        <v>0</v>
      </c>
      <c r="CS289" s="237" t="n">
        <f aca="false">CS287*$AC$285*CS288*CS$38*'⑫ Roll-out Plan'!$O$33</f>
        <v>0</v>
      </c>
      <c r="CT289" s="237" t="n">
        <f aca="false">CT287*$AC$285*CT288*CT$38*'⑫ Roll-out Plan'!$O$33</f>
        <v>0</v>
      </c>
      <c r="CU289" s="237" t="n">
        <f aca="false">CU287*$AC$285*CU288*CU$38*'⑫ Roll-out Plan'!$O$33</f>
        <v>0</v>
      </c>
      <c r="CV289" s="237" t="n">
        <f aca="false">CV287*$AC$285*CV288*CV$38*'⑫ Roll-out Plan'!$O$33</f>
        <v>0</v>
      </c>
      <c r="CW289" s="237" t="n">
        <f aca="false">CW287*$AC$285*CW288*CW$38*'⑫ Roll-out Plan'!$O$33</f>
        <v>0</v>
      </c>
      <c r="CX289" s="237" t="n">
        <f aca="false">CX287*$AC$285*CX288*CX$38*'⑫ Roll-out Plan'!$O$33</f>
        <v>0</v>
      </c>
      <c r="CY289" s="237" t="n">
        <f aca="false">CY287*$AC$285*CY288*CY$38*'⑫ Roll-out Plan'!$O$33</f>
        <v>0</v>
      </c>
      <c r="CZ289" s="237" t="n">
        <f aca="false">CZ287*$AC$285*CZ288*CZ$38*'⑫ Roll-out Plan'!$O$33</f>
        <v>0</v>
      </c>
      <c r="DA289" s="237" t="n">
        <f aca="false">DA287*$AC$285*DA288*DA$38*'⑫ Roll-out Plan'!$O$33</f>
        <v>34.04</v>
      </c>
      <c r="DB289" s="237" t="n">
        <f aca="false">DB287*$AC$285*DB288*DB$38*'⑫ Roll-out Plan'!$O$33</f>
        <v>32.56</v>
      </c>
      <c r="DC289" s="237" t="n">
        <f aca="false">DC287*$AC$285*DC288*DC$38*'⑫ Roll-out Plan'!$O$33</f>
        <v>37.296</v>
      </c>
      <c r="DD289" s="237" t="n">
        <f aca="false">DD287*$AC$285*DD288*DD$38*'⑫ Roll-out Plan'!$O$33</f>
        <v>70.929</v>
      </c>
      <c r="DE289" s="237" t="n">
        <f aca="false">DE287*$AC$285*DE288*DE$38*'⑫ Roll-out Plan'!$O$33</f>
        <v>57.942</v>
      </c>
      <c r="DF289" s="237" t="n">
        <f aca="false">DF287*$AC$285*DF288*DF$38*'⑫ Roll-out Plan'!$O$33</f>
        <v>55.056</v>
      </c>
      <c r="DG289" s="237" t="n">
        <f aca="false">DG287*$AC$285*DG288*DG$38*'⑫ Roll-out Plan'!$O$33</f>
        <v>46.62</v>
      </c>
      <c r="DH289" s="237" t="n">
        <f aca="false">DH287*$AC$285*DH288*DH$38*'⑫ Roll-out Plan'!$O$33</f>
        <v>73.593</v>
      </c>
      <c r="DI289" s="237" t="n">
        <f aca="false">DI287*$AC$285*DI288*DI$38*'⑫ Roll-out Plan'!$O$33</f>
        <v>87.912</v>
      </c>
      <c r="DJ289" s="237" t="n">
        <f aca="false">DJ287*$AC$285*DJ288*DJ$38*'⑫ Roll-out Plan'!$O$33</f>
        <v>66.748</v>
      </c>
      <c r="DK289" s="237" t="n">
        <f aca="false">DK287*$AC$285*DK288*DK$38*'⑫ Roll-out Plan'!$O$33</f>
        <v>103.008</v>
      </c>
      <c r="DL289" s="237" t="n">
        <f aca="false">DL287*$AC$285*DL288*DL$38*'⑫ Roll-out Plan'!$O$33</f>
        <v>105.82</v>
      </c>
      <c r="DM289" s="237" t="n">
        <f aca="false">DM287*$AC$285*DM288*DM$38*'⑫ Roll-out Plan'!$O$33</f>
        <v>95.312</v>
      </c>
      <c r="DN289" s="237" t="n">
        <f aca="false">DN287*$AC$285*DN288*DN$38*'⑫ Roll-out Plan'!$O$33</f>
        <v>88.8</v>
      </c>
      <c r="DO289" s="237" t="n">
        <f aca="false">DO287*$AC$285*DO288*DO$38*'⑫ Roll-out Plan'!$O$33</f>
        <v>93.24</v>
      </c>
      <c r="DP289" s="237" t="n">
        <f aca="false">DP287*$AC$285*DP288*DP$38*'⑫ Roll-out Plan'!$O$33</f>
        <v>198.6012</v>
      </c>
      <c r="DQ289" s="237" t="n">
        <f aca="false">DQ287*$AC$285*DQ288*DQ$38*'⑫ Roll-out Plan'!$O$33</f>
        <v>169.9632</v>
      </c>
      <c r="DR289" s="237" t="n">
        <f aca="false">DR287*$AC$285*DR288*DR$38*'⑫ Roll-out Plan'!$O$33</f>
        <v>147.0528</v>
      </c>
      <c r="DS289" s="237" t="n">
        <f aca="false">DS287*$AC$285*DS288*DS$38*'⑫ Roll-out Plan'!$O$33</f>
        <v>113.4864</v>
      </c>
      <c r="DT289" s="237" t="n">
        <f aca="false">DT287*$AC$285*DT288*DT$38*'⑫ Roll-out Plan'!$O$33</f>
        <v>160.7724</v>
      </c>
      <c r="DU289" s="237" t="n">
        <f aca="false">DU287*$AC$285*DU288*DU$38*'⑫ Roll-out Plan'!$O$33</f>
        <v>175.0248</v>
      </c>
      <c r="DV289" s="237" t="n">
        <f aca="false">DV287*$AC$285*DV288*DV$38*'⑫ Roll-out Plan'!$O$33</f>
        <v>136.53</v>
      </c>
      <c r="DW289" s="237" t="n">
        <f aca="false">DW287*$AC$285*DW288*DW$38*'⑫ Roll-out Plan'!$O$33</f>
        <v>198.2904</v>
      </c>
      <c r="DX289" s="237" t="n">
        <f aca="false">DX287*$AC$285*DX288*DX$38*'⑫ Roll-out Plan'!$O$33</f>
        <v>192.918</v>
      </c>
      <c r="DY289" s="237" t="n">
        <f aca="false">DY287*$AC$285*DY288*DY$38*'⑫ Roll-out Plan'!$O$33</f>
        <v>161.3496</v>
      </c>
      <c r="DZ289" s="237" t="n">
        <f aca="false">DZ287*$AC$285*DZ288*DZ$38*'⑫ Roll-out Plan'!$O$33</f>
        <v>142.08</v>
      </c>
      <c r="EA289" s="237" t="n">
        <f aca="false">EA287*$AC$285*EA288*EA$38*'⑫ Roll-out Plan'!$O$33</f>
        <v>152.9136</v>
      </c>
      <c r="EB289" s="237" t="n">
        <f aca="false">EB287*$AC$285*EB288*EB$38*'⑫ Roll-out Plan'!$O$33</f>
        <v>264.8016</v>
      </c>
      <c r="EC289" s="237" t="n">
        <f aca="false">EC287*$AC$285*EC288*EC$38*'⑫ Roll-out Plan'!$O$33</f>
        <v>218.892</v>
      </c>
      <c r="ED289" s="237" t="n">
        <f aca="false">ED287*$AC$285*ED288*ED$38*'⑫ Roll-out Plan'!$O$33</f>
        <v>181.152</v>
      </c>
      <c r="EE289" s="237" t="n">
        <f aca="false">EE287*$AC$285*EE288*EE$38*'⑫ Roll-out Plan'!$O$33</f>
        <v>137.4624</v>
      </c>
      <c r="EF289" s="237" t="n">
        <f aca="false">EF287*$AC$285*EF288*EF$38*'⑫ Roll-out Plan'!$O$33</f>
        <v>199.2672</v>
      </c>
      <c r="EG289" s="237" t="n">
        <f aca="false">EG287*$AC$285*EG288*EG$38*'⑫ Roll-out Plan'!$O$33</f>
        <v>213.3864</v>
      </c>
      <c r="EH289" s="237" t="n">
        <f aca="false">EH287*$AC$285*EH288*EH$38*'⑫ Roll-out Plan'!$O$33</f>
        <v>163.836</v>
      </c>
      <c r="EI289" s="237" t="n">
        <f aca="false">EI287*$AC$285*EI288*EI$38*'⑫ Roll-out Plan'!$O$33</f>
        <v>231.768</v>
      </c>
      <c r="EJ289" s="237" t="n">
        <f aca="false">EJ287*$AC$285*EJ288*EJ$38*'⑫ Roll-out Plan'!$O$33</f>
        <v>224.664</v>
      </c>
      <c r="EK289" s="237" t="n">
        <f aca="false">EK287*$AC$285*EK288*EK$38*'⑫ Roll-out Plan'!$O$33</f>
        <v>189.9432</v>
      </c>
      <c r="EL289" s="237" t="n">
        <f aca="false">EL287*$AC$285*EL288*EL$38*'⑫ Roll-out Plan'!$O$33</f>
        <v>166.944</v>
      </c>
      <c r="EM289" s="237" t="n">
        <f aca="false">EM287*$AC$285*EM288*EM$38*'⑫ Roll-out Plan'!$O$33</f>
        <v>177.156</v>
      </c>
      <c r="EN289" s="237" t="n">
        <f aca="false">EN287*$AC$285*EN288*EN$38*'⑫ Roll-out Plan'!$O$33</f>
        <v>299.478</v>
      </c>
      <c r="EO289" s="237" t="n">
        <f aca="false">EO287*$AC$285*EO288*EO$38*'⑫ Roll-out Plan'!$O$33</f>
        <v>249.7944</v>
      </c>
      <c r="EP289" s="237" t="n">
        <f aca="false">EP287*$AC$285*EP288*EP$38*'⑫ Roll-out Plan'!$O$33</f>
        <v>208.8576</v>
      </c>
      <c r="EQ289" s="237" t="n">
        <f aca="false">EQ287*$AC$285*EQ288*EQ$38*'⑫ Roll-out Plan'!$O$33</f>
        <v>158.2416</v>
      </c>
      <c r="ER289" s="237" t="n">
        <f aca="false">ER287*$AC$285*ER288*ER$38*'⑫ Roll-out Plan'!$O$33</f>
        <v>226.44</v>
      </c>
      <c r="ES289" s="9" t="n">
        <f aca="false">ES287*$AC$285*ES288*ES$38*'⑫ Roll-out Plan'!$O$33</f>
        <v>239.76</v>
      </c>
      <c r="ET289" s="9" t="n">
        <f aca="false">ET287*$AC$285*ET288*ET$38*'⑫ Roll-out Plan'!$O$33</f>
        <v>182.04</v>
      </c>
      <c r="EU289" s="9" t="n">
        <f aca="false">EU287*$AC$285*EU288*EU$38*'⑫ Roll-out Plan'!$O$33</f>
        <v>257.52</v>
      </c>
      <c r="EV289" s="9" t="n">
        <f aca="false">EV287*$AC$285*EV288*EV$38*'⑫ Roll-out Plan'!$O$33</f>
        <v>244.2</v>
      </c>
      <c r="EW289" s="9" t="n">
        <f aca="false">EW287*$AC$285*EW288*EW$38*'⑫ Roll-out Plan'!$O$33</f>
        <v>204.24</v>
      </c>
      <c r="EX289" s="9" t="n">
        <f aca="false">EX287*$AC$285*EX288*EX$38*'⑫ Roll-out Plan'!$O$33</f>
        <v>177.6</v>
      </c>
      <c r="EY289" s="9" t="n">
        <f aca="false">EY287*$AC$285*EY288*EY$38*'⑫ Roll-out Plan'!$O$33</f>
        <v>186.48</v>
      </c>
      <c r="EZ289" s="9" t="n">
        <f aca="false">EZ287*$AC$285*EZ288*EZ$38*'⑫ Roll-out Plan'!$O$33</f>
        <v>315.24</v>
      </c>
      <c r="FA289" s="9" t="n">
        <f aca="false">FA287*$AC$285*FA288*FA$38*'⑫ Roll-out Plan'!$O$33</f>
        <v>257.52</v>
      </c>
      <c r="FB289" s="9" t="n">
        <f aca="false">FB287*$AC$285*FB288*FB$38*'⑫ Roll-out Plan'!$O$33</f>
        <v>213.12</v>
      </c>
      <c r="FC289" s="9" t="n">
        <f aca="false">FC287*$AC$285*FC288*FC$38*'⑫ Roll-out Plan'!$O$33</f>
        <v>159.84</v>
      </c>
      <c r="FD289" s="9" t="n">
        <f aca="false">FD287*$AC$285*FD288*FD$38*'⑫ Roll-out Plan'!$O$33</f>
        <v>226.44</v>
      </c>
      <c r="FE289" s="9" t="n">
        <f aca="false">FE287*$AC$285*FE288*FE$38*'⑫ Roll-out Plan'!$O$33</f>
        <v>239.76</v>
      </c>
      <c r="FF289" s="9" t="n">
        <f aca="false">FF287*$AC$285*FF288*FF$38*'⑫ Roll-out Plan'!$O$33</f>
        <v>182.04</v>
      </c>
      <c r="FG289" s="9" t="n">
        <f aca="false">FG287*$AC$285*FG288*FG$38*'⑫ Roll-out Plan'!$O$33</f>
        <v>257.52</v>
      </c>
      <c r="FH289" s="9" t="n">
        <f aca="false">FH287*$AC$285*FH288*FH$38*'⑫ Roll-out Plan'!$O$33</f>
        <v>244.2</v>
      </c>
      <c r="FI289" s="9" t="n">
        <f aca="false">FI287*$AC$285*FI288*FI$38*'⑫ Roll-out Plan'!$O$33</f>
        <v>204.24</v>
      </c>
      <c r="FJ289" s="9" t="n">
        <f aca="false">FJ287*$AC$285*FJ288*FJ$38*'⑫ Roll-out Plan'!$O$33</f>
        <v>177.6</v>
      </c>
      <c r="FK289" s="9" t="n">
        <f aca="false">FK287*$AC$285*FK288*FK$38*'⑫ Roll-out Plan'!$O$33</f>
        <v>186.48</v>
      </c>
      <c r="FL289" s="9" t="n">
        <f aca="false">FL287*$AC$285*FL288*FL$38*'⑫ Roll-out Plan'!$O$33</f>
        <v>315.24</v>
      </c>
      <c r="FM289" s="9" t="n">
        <f aca="false">FM287*$AC$285*FM288*FM$38*'⑫ Roll-out Plan'!$O$33</f>
        <v>257.52</v>
      </c>
      <c r="FN289" s="9" t="n">
        <f aca="false">FN287*$AC$285*FN288*FN$38*'⑫ Roll-out Plan'!$O$33</f>
        <v>213.12</v>
      </c>
      <c r="FO289" s="9" t="n">
        <f aca="false">FO287*$AC$285*FO288*FO$38*'⑫ Roll-out Plan'!$O$33</f>
        <v>159.84</v>
      </c>
      <c r="FP289" s="9" t="n">
        <f aca="false">FP287*$AC$285*FP288*FP$38*'⑫ Roll-out Plan'!$O$33</f>
        <v>226.44</v>
      </c>
    </row>
    <row r="290" customFormat="false" ht="15" hidden="false" customHeight="false" outlineLevel="2" collapsed="false">
      <c r="B290" s="47" t="s">
        <v>877</v>
      </c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237" t="n">
        <f aca="true">IFERROR(SUMPRODUCT(OFFSET($BJ$31,0,1-MIN(60,COLUMN()-29),1,MIN(60,COLUMN()-29)),OFFSET(AC289,0,-MIN(60,COLUMN()-29),1,MIN(60,COLUMN()-29))),0)</f>
        <v>0</v>
      </c>
      <c r="AD290" s="237" t="n">
        <f aca="true">IFERROR(SUMPRODUCT(OFFSET($BJ$31,0,1-MIN(60,COLUMN()-29),1,MIN(60,COLUMN()-29)),OFFSET(AD289,0,-MIN(60,COLUMN()-29),1,MIN(60,COLUMN()-29))),0)</f>
        <v>0</v>
      </c>
      <c r="AE290" s="237" t="n">
        <f aca="true">IFERROR(SUMPRODUCT(OFFSET($BJ$31,0,1-MIN(60,COLUMN()-29),1,MIN(60,COLUMN()-29)),OFFSET(AE289,0,-MIN(60,COLUMN()-29),1,MIN(60,COLUMN()-29))),0)</f>
        <v>0</v>
      </c>
      <c r="AF290" s="237" t="n">
        <f aca="true">IFERROR(SUMPRODUCT(OFFSET($BJ$31,0,1-MIN(60,COLUMN()-29),1,MIN(60,COLUMN()-29)),OFFSET(AF289,0,-MIN(60,COLUMN()-29),1,MIN(60,COLUMN()-29))),0)</f>
        <v>0</v>
      </c>
      <c r="AG290" s="237" t="n">
        <f aca="true">IFERROR(SUMPRODUCT(OFFSET($BJ$31,0,1-MIN(60,COLUMN()-29),1,MIN(60,COLUMN()-29)),OFFSET(AG289,0,-MIN(60,COLUMN()-29),1,MIN(60,COLUMN()-29))),0)</f>
        <v>0</v>
      </c>
      <c r="AH290" s="237" t="n">
        <f aca="true">IFERROR(SUMPRODUCT(OFFSET($BJ$31,0,1-MIN(60,COLUMN()-29),1,MIN(60,COLUMN()-29)),OFFSET(AH289,0,-MIN(60,COLUMN()-29),1,MIN(60,COLUMN()-29))),0)</f>
        <v>0</v>
      </c>
      <c r="AI290" s="237" t="n">
        <f aca="true">IFERROR(SUMPRODUCT(OFFSET($BJ$31,0,1-MIN(60,COLUMN()-29),1,MIN(60,COLUMN()-29)),OFFSET(AI289,0,-MIN(60,COLUMN()-29),1,MIN(60,COLUMN()-29))),0)</f>
        <v>0</v>
      </c>
      <c r="AJ290" s="237" t="n">
        <f aca="true">IFERROR(SUMPRODUCT(OFFSET($BJ$31,0,1-MIN(60,COLUMN()-29),1,MIN(60,COLUMN()-29)),OFFSET(AJ289,0,-MIN(60,COLUMN()-29),1,MIN(60,COLUMN()-29))),0)</f>
        <v>0</v>
      </c>
      <c r="AK290" s="237" t="n">
        <f aca="true">IFERROR(SUMPRODUCT(OFFSET($BJ$31,0,1-MIN(60,COLUMN()-29),1,MIN(60,COLUMN()-29)),OFFSET(AK289,0,-MIN(60,COLUMN()-29),1,MIN(60,COLUMN()-29))),0)</f>
        <v>0</v>
      </c>
      <c r="AL290" s="237" t="n">
        <f aca="true">IFERROR(SUMPRODUCT(OFFSET($BJ$31,0,1-MIN(60,COLUMN()-29),1,MIN(60,COLUMN()-29)),OFFSET(AL289,0,-MIN(60,COLUMN()-29),1,MIN(60,COLUMN()-29))),0)</f>
        <v>0</v>
      </c>
      <c r="AM290" s="237" t="n">
        <f aca="true">IFERROR(SUMPRODUCT(OFFSET($BJ$31,0,1-MIN(60,COLUMN()-29),1,MIN(60,COLUMN()-29)),OFFSET(AM289,0,-MIN(60,COLUMN()-29),1,MIN(60,COLUMN()-29))),0)</f>
        <v>0</v>
      </c>
      <c r="AN290" s="237" t="n">
        <f aca="true">IFERROR(SUMPRODUCT(OFFSET($BJ$31,0,1-MIN(60,COLUMN()-29),1,MIN(60,COLUMN()-29)),OFFSET(AN289,0,-MIN(60,COLUMN()-29),1,MIN(60,COLUMN()-29))),0)</f>
        <v>0</v>
      </c>
      <c r="AO290" s="237" t="n">
        <f aca="true">IFERROR(SUMPRODUCT(OFFSET($BJ$31,0,1-MIN(60,COLUMN()-29),1,MIN(60,COLUMN()-29)),OFFSET(AO289,0,-MIN(60,COLUMN()-29),1,MIN(60,COLUMN()-29))),0)</f>
        <v>0</v>
      </c>
      <c r="AP290" s="237" t="n">
        <f aca="true">IFERROR(SUMPRODUCT(OFFSET($BJ$31,0,1-MIN(60,COLUMN()-29),1,MIN(60,COLUMN()-29)),OFFSET(AP289,0,-MIN(60,COLUMN()-29),1,MIN(60,COLUMN()-29))),0)</f>
        <v>0</v>
      </c>
      <c r="AQ290" s="237" t="n">
        <f aca="true">IFERROR(SUMPRODUCT(OFFSET($BJ$31,0,1-MIN(60,COLUMN()-29),1,MIN(60,COLUMN()-29)),OFFSET(AQ289,0,-MIN(60,COLUMN()-29),1,MIN(60,COLUMN()-29))),0)</f>
        <v>0</v>
      </c>
      <c r="AR290" s="237" t="n">
        <f aca="true">IFERROR(SUMPRODUCT(OFFSET($BJ$31,0,1-MIN(60,COLUMN()-29),1,MIN(60,COLUMN()-29)),OFFSET(AR289,0,-MIN(60,COLUMN()-29),1,MIN(60,COLUMN()-29))),0)</f>
        <v>0</v>
      </c>
      <c r="AS290" s="237" t="n">
        <f aca="true">IFERROR(SUMPRODUCT(OFFSET($BJ$31,0,1-MIN(60,COLUMN()-29),1,MIN(60,COLUMN()-29)),OFFSET(AS289,0,-MIN(60,COLUMN()-29),1,MIN(60,COLUMN()-29))),0)</f>
        <v>0</v>
      </c>
      <c r="AT290" s="237" t="n">
        <f aca="true">IFERROR(SUMPRODUCT(OFFSET($BJ$31,0,1-MIN(60,COLUMN()-29),1,MIN(60,COLUMN()-29)),OFFSET(AT289,0,-MIN(60,COLUMN()-29),1,MIN(60,COLUMN()-29))),0)</f>
        <v>0</v>
      </c>
      <c r="AU290" s="237" t="n">
        <f aca="true">IFERROR(SUMPRODUCT(OFFSET($BJ$31,0,1-MIN(60,COLUMN()-29),1,MIN(60,COLUMN()-29)),OFFSET(AU289,0,-MIN(60,COLUMN()-29),1,MIN(60,COLUMN()-29))),0)</f>
        <v>0</v>
      </c>
      <c r="AV290" s="237" t="n">
        <f aca="true">IFERROR(SUMPRODUCT(OFFSET($BJ$31,0,1-MIN(60,COLUMN()-29),1,MIN(60,COLUMN()-29)),OFFSET(AV289,0,-MIN(60,COLUMN()-29),1,MIN(60,COLUMN()-29))),0)</f>
        <v>0</v>
      </c>
      <c r="AW290" s="237" t="n">
        <f aca="true">IFERROR(SUMPRODUCT(OFFSET($BJ$31,0,1-MIN(60,COLUMN()-29),1,MIN(60,COLUMN()-29)),OFFSET(AW289,0,-MIN(60,COLUMN()-29),1,MIN(60,COLUMN()-29))),0)</f>
        <v>0</v>
      </c>
      <c r="AX290" s="237" t="n">
        <f aca="true">IFERROR(SUMPRODUCT(OFFSET($BJ$31,0,1-MIN(60,COLUMN()-29),1,MIN(60,COLUMN()-29)),OFFSET(AX289,0,-MIN(60,COLUMN()-29),1,MIN(60,COLUMN()-29))),0)</f>
        <v>0</v>
      </c>
      <c r="AY290" s="237" t="n">
        <f aca="true">IFERROR(SUMPRODUCT(OFFSET($BJ$31,0,1-MIN(60,COLUMN()-29),1,MIN(60,COLUMN()-29)),OFFSET(AY289,0,-MIN(60,COLUMN()-29),1,MIN(60,COLUMN()-29))),0)</f>
        <v>0</v>
      </c>
      <c r="AZ290" s="237" t="n">
        <f aca="true">IFERROR(SUMPRODUCT(OFFSET($BJ$31,0,1-MIN(60,COLUMN()-29),1,MIN(60,COLUMN()-29)),OFFSET(AZ289,0,-MIN(60,COLUMN()-29),1,MIN(60,COLUMN()-29))),0)</f>
        <v>0</v>
      </c>
      <c r="BA290" s="237" t="n">
        <f aca="true">IFERROR(SUMPRODUCT(OFFSET($BJ$31,0,1-MIN(60,COLUMN()-29),1,MIN(60,COLUMN()-29)),OFFSET(BA289,0,-MIN(60,COLUMN()-29),1,MIN(60,COLUMN()-29))),0)</f>
        <v>0</v>
      </c>
      <c r="BB290" s="237" t="n">
        <f aca="true">IFERROR(SUMPRODUCT(OFFSET($BJ$31,0,1-MIN(60,COLUMN()-29),1,MIN(60,COLUMN()-29)),OFFSET(BB289,0,-MIN(60,COLUMN()-29),1,MIN(60,COLUMN()-29))),0)</f>
        <v>0</v>
      </c>
      <c r="BC290" s="237" t="n">
        <f aca="true">IFERROR(SUMPRODUCT(OFFSET($BJ$31,0,1-MIN(60,COLUMN()-29),1,MIN(60,COLUMN()-29)),OFFSET(BC289,0,-MIN(60,COLUMN()-29),1,MIN(60,COLUMN()-29))),0)</f>
        <v>0</v>
      </c>
      <c r="BD290" s="237" t="n">
        <f aca="true">IFERROR(SUMPRODUCT(OFFSET($BJ$31,0,1-MIN(60,COLUMN()-29),1,MIN(60,COLUMN()-29)),OFFSET(BD289,0,-MIN(60,COLUMN()-29),1,MIN(60,COLUMN()-29))),0)</f>
        <v>0</v>
      </c>
      <c r="BE290" s="237" t="n">
        <f aca="true">IFERROR(SUMPRODUCT(OFFSET($BJ$31,0,1-MIN(60,COLUMN()-29),1,MIN(60,COLUMN()-29)),OFFSET(BE289,0,-MIN(60,COLUMN()-29),1,MIN(60,COLUMN()-29))),0)</f>
        <v>0</v>
      </c>
      <c r="BF290" s="237" t="n">
        <f aca="true">IFERROR(SUMPRODUCT(OFFSET($BJ$31,0,1-MIN(60,COLUMN()-29),1,MIN(60,COLUMN()-29)),OFFSET(BF289,0,-MIN(60,COLUMN()-29),1,MIN(60,COLUMN()-29))),0)</f>
        <v>0</v>
      </c>
      <c r="BG290" s="237" t="n">
        <f aca="true">IFERROR(SUMPRODUCT(OFFSET($BJ$31,0,1-MIN(60,COLUMN()-29),1,MIN(60,COLUMN()-29)),OFFSET(BG289,0,-MIN(60,COLUMN()-29),1,MIN(60,COLUMN()-29))),0)</f>
        <v>0</v>
      </c>
      <c r="BH290" s="237" t="n">
        <f aca="true">IFERROR(SUMPRODUCT(OFFSET($BJ$31,0,1-MIN(60,COLUMN()-29),1,MIN(60,COLUMN()-29)),OFFSET(BH289,0,-MIN(60,COLUMN()-29),1,MIN(60,COLUMN()-29))),0)</f>
        <v>0</v>
      </c>
      <c r="BI290" s="237" t="n">
        <f aca="true">IFERROR(SUMPRODUCT(OFFSET($BJ$31,0,1-MIN(60,COLUMN()-29),1,MIN(60,COLUMN()-29)),OFFSET(BI289,0,-MIN(60,COLUMN()-29),1,MIN(60,COLUMN()-29))),0)</f>
        <v>0</v>
      </c>
      <c r="BJ290" s="237" t="n">
        <f aca="true">IFERROR(SUMPRODUCT(OFFSET($BJ$31,0,1-MIN(60,COLUMN()-29),1,MIN(60,COLUMN()-29)),OFFSET(BJ289,0,-MIN(60,COLUMN()-29),1,MIN(60,COLUMN()-29))),0)</f>
        <v>0</v>
      </c>
      <c r="BK290" s="237" t="n">
        <f aca="true">IFERROR(SUMPRODUCT(OFFSET($BJ$31,0,1-MIN(60,COLUMN()-29),1,MIN(60,COLUMN()-29)),OFFSET(BK289,0,-MIN(60,COLUMN()-29),1,MIN(60,COLUMN()-29))),0)</f>
        <v>0</v>
      </c>
      <c r="BL290" s="237" t="n">
        <f aca="true">IFERROR(SUMPRODUCT(OFFSET($BJ$31,0,1-MIN(60,COLUMN()-29),1,MIN(60,COLUMN()-29)),OFFSET(BL289,0,-MIN(60,COLUMN()-29),1,MIN(60,COLUMN()-29))),0)</f>
        <v>0</v>
      </c>
      <c r="BM290" s="237" t="n">
        <f aca="true">IFERROR(SUMPRODUCT(OFFSET($BJ$31,0,1-MIN(60,COLUMN()-29),1,MIN(60,COLUMN()-29)),OFFSET(BM289,0,-MIN(60,COLUMN()-29),1,MIN(60,COLUMN()-29))),0)</f>
        <v>0</v>
      </c>
      <c r="BN290" s="237" t="n">
        <f aca="true">IFERROR(SUMPRODUCT(OFFSET($BJ$31,0,1-MIN(60,COLUMN()-29),1,MIN(60,COLUMN()-29)),OFFSET(BN289,0,-MIN(60,COLUMN()-29),1,MIN(60,COLUMN()-29))),0)</f>
        <v>0</v>
      </c>
      <c r="BO290" s="237" t="n">
        <f aca="true">IFERROR(SUMPRODUCT(OFFSET($BJ$31,0,1-MIN(60,COLUMN()-29),1,MIN(60,COLUMN()-29)),OFFSET(BO289,0,-MIN(60,COLUMN()-29),1,MIN(60,COLUMN()-29))),0)</f>
        <v>0</v>
      </c>
      <c r="BP290" s="237" t="n">
        <f aca="true">IFERROR(SUMPRODUCT(OFFSET($BJ$31,0,1-MIN(60,COLUMN()-29),1,MIN(60,COLUMN()-29)),OFFSET(BP289,0,-MIN(60,COLUMN()-29),1,MIN(60,COLUMN()-29))),0)</f>
        <v>0</v>
      </c>
      <c r="BQ290" s="237" t="n">
        <f aca="true">IFERROR(SUMPRODUCT(OFFSET($BJ$31,0,1-MIN(60,COLUMN()-29),1,MIN(60,COLUMN()-29)),OFFSET(BQ289,0,-MIN(60,COLUMN()-29),1,MIN(60,COLUMN()-29))),0)</f>
        <v>0</v>
      </c>
      <c r="BR290" s="237" t="n">
        <f aca="true">IFERROR(SUMPRODUCT(OFFSET($BJ$31,0,1-MIN(60,COLUMN()-29),1,MIN(60,COLUMN()-29)),OFFSET(BR289,0,-MIN(60,COLUMN()-29),1,MIN(60,COLUMN()-29))),0)</f>
        <v>0</v>
      </c>
      <c r="BS290" s="237" t="n">
        <f aca="true">IFERROR(SUMPRODUCT(OFFSET($BJ$31,0,1-MIN(60,COLUMN()-29),1,MIN(60,COLUMN()-29)),OFFSET(BS289,0,-MIN(60,COLUMN()-29),1,MIN(60,COLUMN()-29))),0)</f>
        <v>0</v>
      </c>
      <c r="BT290" s="237" t="n">
        <f aca="true">IFERROR(SUMPRODUCT(OFFSET($BJ$31,0,1-MIN(60,COLUMN()-29),1,MIN(60,COLUMN()-29)),OFFSET(BT289,0,-MIN(60,COLUMN()-29),1,MIN(60,COLUMN()-29))),0)</f>
        <v>0</v>
      </c>
      <c r="BU290" s="237" t="n">
        <f aca="true">IFERROR(SUMPRODUCT(OFFSET($BJ$31,0,1-MIN(60,COLUMN()-29),1,MIN(60,COLUMN()-29)),OFFSET(BU289,0,-MIN(60,COLUMN()-29),1,MIN(60,COLUMN()-29))),0)</f>
        <v>0</v>
      </c>
      <c r="BV290" s="237" t="n">
        <f aca="true">IFERROR(SUMPRODUCT(OFFSET($BJ$31,0,1-MIN(60,COLUMN()-29),1,MIN(60,COLUMN()-29)),OFFSET(BV289,0,-MIN(60,COLUMN()-29),1,MIN(60,COLUMN()-29))),0)</f>
        <v>0</v>
      </c>
      <c r="BW290" s="237" t="n">
        <f aca="true">IFERROR(SUMPRODUCT(OFFSET($BJ$31,0,1-MIN(60,COLUMN()-29),1,MIN(60,COLUMN()-29)),OFFSET(BW289,0,-MIN(60,COLUMN()-29),1,MIN(60,COLUMN()-29))),0)</f>
        <v>0</v>
      </c>
      <c r="BX290" s="237" t="n">
        <f aca="true">IFERROR(SUMPRODUCT(OFFSET($BJ$31,0,1-MIN(60,COLUMN()-29),1,MIN(60,COLUMN()-29)),OFFSET(BX289,0,-MIN(60,COLUMN()-29),1,MIN(60,COLUMN()-29))),0)</f>
        <v>0</v>
      </c>
      <c r="BY290" s="237" t="n">
        <f aca="true">IFERROR(SUMPRODUCT(OFFSET($BJ$31,0,1-MIN(60,COLUMN()-29),1,MIN(60,COLUMN()-29)),OFFSET(BY289,0,-MIN(60,COLUMN()-29),1,MIN(60,COLUMN()-29))),0)</f>
        <v>0</v>
      </c>
      <c r="BZ290" s="237" t="n">
        <f aca="true">IFERROR(SUMPRODUCT(OFFSET($BJ$31,0,1-MIN(60,COLUMN()-29),1,MIN(60,COLUMN()-29)),OFFSET(BZ289,0,-MIN(60,COLUMN()-29),1,MIN(60,COLUMN()-29))),0)</f>
        <v>0</v>
      </c>
      <c r="CA290" s="237" t="n">
        <f aca="true">IFERROR(SUMPRODUCT(OFFSET($BJ$31,0,1-MIN(60,COLUMN()-29),1,MIN(60,COLUMN()-29)),OFFSET(CA289,0,-MIN(60,COLUMN()-29),1,MIN(60,COLUMN()-29))),0)</f>
        <v>0</v>
      </c>
      <c r="CB290" s="237" t="n">
        <f aca="true">IFERROR(SUMPRODUCT(OFFSET($BJ$31,0,1-MIN(60,COLUMN()-29),1,MIN(60,COLUMN()-29)),OFFSET(CB289,0,-MIN(60,COLUMN()-29),1,MIN(60,COLUMN()-29))),0)</f>
        <v>0</v>
      </c>
      <c r="CC290" s="237" t="n">
        <f aca="true">IFERROR(SUMPRODUCT(OFFSET($BJ$31,0,1-MIN(60,COLUMN()-29),1,MIN(60,COLUMN()-29)),OFFSET(CC289,0,-MIN(60,COLUMN()-29),1,MIN(60,COLUMN()-29))),0)</f>
        <v>0</v>
      </c>
      <c r="CD290" s="237" t="n">
        <f aca="true">IFERROR(SUMPRODUCT(OFFSET($BJ$31,0,1-MIN(60,COLUMN()-29),1,MIN(60,COLUMN()-29)),OFFSET(CD289,0,-MIN(60,COLUMN()-29),1,MIN(60,COLUMN()-29))),0)</f>
        <v>0</v>
      </c>
      <c r="CE290" s="237" t="n">
        <f aca="true">IFERROR(SUMPRODUCT(OFFSET($BJ$31,0,1-MIN(60,COLUMN()-29),1,MIN(60,COLUMN()-29)),OFFSET(CE289,0,-MIN(60,COLUMN()-29),1,MIN(60,COLUMN()-29))),0)</f>
        <v>0</v>
      </c>
      <c r="CF290" s="237" t="n">
        <f aca="true">IFERROR(SUMPRODUCT(OFFSET($BJ$31,0,1-MIN(60,COLUMN()-29),1,MIN(60,COLUMN()-29)),OFFSET(CF289,0,-MIN(60,COLUMN()-29),1,MIN(60,COLUMN()-29))),0)</f>
        <v>0</v>
      </c>
      <c r="CG290" s="237" t="n">
        <f aca="true">IFERROR(SUMPRODUCT(OFFSET($BJ$31,0,1-MIN(60,COLUMN()-29),1,MIN(60,COLUMN()-29)),OFFSET(CG289,0,-MIN(60,COLUMN()-29),1,MIN(60,COLUMN()-29))),0)</f>
        <v>0</v>
      </c>
      <c r="CH290" s="237" t="n">
        <f aca="true">IFERROR(SUMPRODUCT(OFFSET($BJ$31,0,1-MIN(60,COLUMN()-29),1,MIN(60,COLUMN()-29)),OFFSET(CH289,0,-MIN(60,COLUMN()-29),1,MIN(60,COLUMN()-29))),0)</f>
        <v>0</v>
      </c>
      <c r="CI290" s="237" t="n">
        <f aca="true">IFERROR(SUMPRODUCT(OFFSET($BJ$31,0,1-MIN(60,COLUMN()-29),1,MIN(60,COLUMN()-29)),OFFSET(CI289,0,-MIN(60,COLUMN()-29),1,MIN(60,COLUMN()-29))),0)</f>
        <v>0</v>
      </c>
      <c r="CJ290" s="237" t="n">
        <f aca="true">IFERROR(SUMPRODUCT(OFFSET($BJ$31,0,1-MIN(60,COLUMN()-29),1,MIN(60,COLUMN()-29)),OFFSET(CJ289,0,-MIN(60,COLUMN()-29),1,MIN(60,COLUMN()-29))),0)</f>
        <v>0</v>
      </c>
      <c r="CK290" s="237" t="n">
        <f aca="true">IFERROR(SUMPRODUCT(OFFSET($BJ$31,0,1-MIN(60,COLUMN()-29),1,MIN(60,COLUMN()-29)),OFFSET(CK289,0,-MIN(60,COLUMN()-29),1,MIN(60,COLUMN()-29))),0)</f>
        <v>0</v>
      </c>
      <c r="CL290" s="237" t="n">
        <f aca="true">IFERROR(SUMPRODUCT(OFFSET($BJ$31,0,1-MIN(60,COLUMN()-29),1,MIN(60,COLUMN()-29)),OFFSET(CL289,0,-MIN(60,COLUMN()-29),1,MIN(60,COLUMN()-29))),0)</f>
        <v>0</v>
      </c>
      <c r="CM290" s="237" t="n">
        <f aca="true">IFERROR(SUMPRODUCT(OFFSET($BJ$31,0,1-MIN(60,COLUMN()-29),1,MIN(60,COLUMN()-29)),OFFSET(CM289,0,-MIN(60,COLUMN()-29),1,MIN(60,COLUMN()-29))),0)</f>
        <v>0</v>
      </c>
      <c r="CN290" s="237" t="n">
        <f aca="true">IFERROR(SUMPRODUCT(OFFSET($BJ$31,0,1-MIN(60,COLUMN()-29),1,MIN(60,COLUMN()-29)),OFFSET(CN289,0,-MIN(60,COLUMN()-29),1,MIN(60,COLUMN()-29))),0)</f>
        <v>0</v>
      </c>
      <c r="CO290" s="237" t="n">
        <f aca="true">IFERROR(SUMPRODUCT(OFFSET($BJ$31,0,1-MIN(60,COLUMN()-29),1,MIN(60,COLUMN()-29)),OFFSET(CO289,0,-MIN(60,COLUMN()-29),1,MIN(60,COLUMN()-29))),0)</f>
        <v>0</v>
      </c>
      <c r="CP290" s="237" t="n">
        <f aca="true">IFERROR(SUMPRODUCT(OFFSET($BJ$31,0,1-MIN(60,COLUMN()-29),1,MIN(60,COLUMN()-29)),OFFSET(CP289,0,-MIN(60,COLUMN()-29),1,MIN(60,COLUMN()-29))),0)</f>
        <v>0</v>
      </c>
      <c r="CQ290" s="237" t="n">
        <f aca="true">IFERROR(SUMPRODUCT(OFFSET($BJ$31,0,1-MIN(60,COLUMN()-29),1,MIN(60,COLUMN()-29)),OFFSET(CQ289,0,-MIN(60,COLUMN()-29),1,MIN(60,COLUMN()-29))),0)</f>
        <v>0</v>
      </c>
      <c r="CR290" s="237" t="n">
        <f aca="true">IFERROR(SUMPRODUCT(OFFSET($BJ$31,0,1-MIN(60,COLUMN()-29),1,MIN(60,COLUMN()-29)),OFFSET(CR289,0,-MIN(60,COLUMN()-29),1,MIN(60,COLUMN()-29))),0)</f>
        <v>0</v>
      </c>
      <c r="CS290" s="237" t="n">
        <f aca="true">IFERROR(SUMPRODUCT(OFFSET($BJ$31,0,1-MIN(60,COLUMN()-29),1,MIN(60,COLUMN()-29)),OFFSET(CS289,0,-MIN(60,COLUMN()-29),1,MIN(60,COLUMN()-29))),0)</f>
        <v>0</v>
      </c>
      <c r="CT290" s="237" t="n">
        <f aca="true">IFERROR(SUMPRODUCT(OFFSET($BJ$31,0,1-MIN(60,COLUMN()-29),1,MIN(60,COLUMN()-29)),OFFSET(CT289,0,-MIN(60,COLUMN()-29),1,MIN(60,COLUMN()-29))),0)</f>
        <v>0</v>
      </c>
      <c r="CU290" s="237" t="n">
        <f aca="true">IFERROR(SUMPRODUCT(OFFSET($BJ$31,0,1-MIN(60,COLUMN()-29),1,MIN(60,COLUMN()-29)),OFFSET(CU289,0,-MIN(60,COLUMN()-29),1,MIN(60,COLUMN()-29))),0)</f>
        <v>0</v>
      </c>
      <c r="CV290" s="237" t="n">
        <f aca="true">IFERROR(SUMPRODUCT(OFFSET($BJ$31,0,1-MIN(60,COLUMN()-29),1,MIN(60,COLUMN()-29)),OFFSET(CV289,0,-MIN(60,COLUMN()-29),1,MIN(60,COLUMN()-29))),0)</f>
        <v>0</v>
      </c>
      <c r="CW290" s="237" t="n">
        <f aca="true">IFERROR(SUMPRODUCT(OFFSET($BJ$31,0,1-MIN(60,COLUMN()-29),1,MIN(60,COLUMN()-29)),OFFSET(CW289,0,-MIN(60,COLUMN()-29),1,MIN(60,COLUMN()-29))),0)</f>
        <v>0</v>
      </c>
      <c r="CX290" s="237" t="n">
        <f aca="true">IFERROR(SUMPRODUCT(OFFSET($BJ$31,0,1-MIN(60,COLUMN()-29),1,MIN(60,COLUMN()-29)),OFFSET(CX289,0,-MIN(60,COLUMN()-29),1,MIN(60,COLUMN()-29))),0)</f>
        <v>0</v>
      </c>
      <c r="CY290" s="237" t="n">
        <f aca="true">IFERROR(SUMPRODUCT(OFFSET($BJ$31,0,1-MIN(60,COLUMN()-29),1,MIN(60,COLUMN()-29)),OFFSET(CY289,0,-MIN(60,COLUMN()-29),1,MIN(60,COLUMN()-29))),0)</f>
        <v>0</v>
      </c>
      <c r="CZ290" s="237" t="n">
        <f aca="true">IFERROR(SUMPRODUCT(OFFSET($BJ$31,0,1-MIN(60,COLUMN()-29),1,MIN(60,COLUMN()-29)),OFFSET(CZ289,0,-MIN(60,COLUMN()-29),1,MIN(60,COLUMN()-29))),0)</f>
        <v>0</v>
      </c>
      <c r="DA290" s="237" t="n">
        <f aca="true">IFERROR(SUMPRODUCT(OFFSET($BJ$31,0,1-MIN(60,COLUMN()-29),1,MIN(60,COLUMN()-29)),OFFSET(DA289,0,-MIN(60,COLUMN()-29),1,MIN(60,COLUMN()-29))),0)</f>
        <v>0</v>
      </c>
      <c r="DB290" s="237" t="n">
        <f aca="true">IFERROR(SUMPRODUCT(OFFSET($BJ$31,0,1-MIN(60,COLUMN()-29),1,MIN(60,COLUMN()-29)),OFFSET(DB289,0,-MIN(60,COLUMN()-29),1,MIN(60,COLUMN()-29))),0)</f>
        <v>4.35712</v>
      </c>
      <c r="DC290" s="237" t="n">
        <f aca="true">IFERROR(SUMPRODUCT(OFFSET($BJ$31,0,1-MIN(60,COLUMN()-29),1,MIN(60,COLUMN()-29)),OFFSET(DC289,0,-MIN(60,COLUMN()-29),1,MIN(60,COLUMN()-29))),0)</f>
        <v>4.766784</v>
      </c>
      <c r="DD290" s="237" t="n">
        <f aca="true">IFERROR(SUMPRODUCT(OFFSET($BJ$31,0,1-MIN(60,COLUMN()-29),1,MIN(60,COLUMN()-29)),OFFSET(DD289,0,-MIN(60,COLUMN()-29),1,MIN(60,COLUMN()-29))),0)</f>
        <v>6.10944</v>
      </c>
      <c r="DE290" s="237" t="n">
        <f aca="true">IFERROR(SUMPRODUCT(OFFSET($BJ$31,0,1-MIN(60,COLUMN()-29),1,MIN(60,COLUMN()-29)),OFFSET(DE289,0,-MIN(60,COLUMN()-29),1,MIN(60,COLUMN()-29))),0)</f>
        <v>10.9003776</v>
      </c>
      <c r="DF290" s="237" t="n">
        <f aca="true">IFERROR(SUMPRODUCT(OFFSET($BJ$31,0,1-MIN(60,COLUMN()-29),1,MIN(60,COLUMN()-29)),OFFSET(DF289,0,-MIN(60,COLUMN()-29),1,MIN(60,COLUMN()-29))),0)</f>
        <v>10.2439088</v>
      </c>
      <c r="DG290" s="237" t="n">
        <f aca="true">IFERROR(SUMPRODUCT(OFFSET($BJ$31,0,1-MIN(60,COLUMN()-29),1,MIN(60,COLUMN()-29)),OFFSET(DG289,0,-MIN(60,COLUMN()-29),1,MIN(60,COLUMN()-29))),0)</f>
        <v>10.6091136</v>
      </c>
      <c r="DH290" s="237" t="n">
        <f aca="true">IFERROR(SUMPRODUCT(OFFSET($BJ$31,0,1-MIN(60,COLUMN()-29),1,MIN(60,COLUMN()-29)),OFFSET(DH289,0,-MIN(60,COLUMN()-29),1,MIN(60,COLUMN()-29))),0)</f>
        <v>10.2011072</v>
      </c>
      <c r="DI290" s="237" t="n">
        <f aca="true">IFERROR(SUMPRODUCT(OFFSET($BJ$31,0,1-MIN(60,COLUMN()-29),1,MIN(60,COLUMN()-29)),OFFSET(DI289,0,-MIN(60,COLUMN()-29),1,MIN(60,COLUMN()-29))),0)</f>
        <v>13.7596192</v>
      </c>
      <c r="DJ290" s="237" t="n">
        <f aca="true">IFERROR(SUMPRODUCT(OFFSET($BJ$31,0,1-MIN(60,COLUMN()-29),1,MIN(60,COLUMN()-29)),OFFSET(DJ289,0,-MIN(60,COLUMN()-29),1,MIN(60,COLUMN()-29))),0)</f>
        <v>16.273488</v>
      </c>
      <c r="DK290" s="237" t="n">
        <f aca="true">IFERROR(SUMPRODUCT(OFFSET($BJ$31,0,1-MIN(60,COLUMN()-29),1,MIN(60,COLUMN()-29)),OFFSET(DK289,0,-MIN(60,COLUMN()-29),1,MIN(60,COLUMN()-29))),0)</f>
        <v>15.3684384</v>
      </c>
      <c r="DL290" s="237" t="n">
        <f aca="true">IFERROR(SUMPRODUCT(OFFSET($BJ$31,0,1-MIN(60,COLUMN()-29),1,MIN(60,COLUMN()-29)),OFFSET(DL289,0,-MIN(60,COLUMN()-29),1,MIN(60,COLUMN()-29))),0)</f>
        <v>20.2903856</v>
      </c>
      <c r="DM290" s="237" t="n">
        <f aca="true">IFERROR(SUMPRODUCT(OFFSET($BJ$31,0,1-MIN(60,COLUMN()-29),1,MIN(60,COLUMN()-29)),OFFSET(DM289,0,-MIN(60,COLUMN()-29),1,MIN(60,COLUMN()-29))),0)</f>
        <v>22.435024</v>
      </c>
      <c r="DN290" s="237" t="n">
        <f aca="true">IFERROR(SUMPRODUCT(OFFSET($BJ$31,0,1-MIN(60,COLUMN()-29),1,MIN(60,COLUMN()-29)),OFFSET(DN289,0,-MIN(60,COLUMN()-29),1,MIN(60,COLUMN()-29))),0)</f>
        <v>23.4392928</v>
      </c>
      <c r="DO290" s="237" t="n">
        <f aca="true">IFERROR(SUMPRODUCT(OFFSET($BJ$31,0,1-MIN(60,COLUMN()-29),1,MIN(60,COLUMN()-29)),OFFSET(DO289,0,-MIN(60,COLUMN()-29),1,MIN(60,COLUMN()-29))),0)</f>
        <v>23.5138848</v>
      </c>
      <c r="DP290" s="237" t="n">
        <f aca="true">IFERROR(SUMPRODUCT(OFFSET($BJ$31,0,1-MIN(60,COLUMN()-29),1,MIN(60,COLUMN()-29)),OFFSET(DP289,0,-MIN(60,COLUMN()-29),1,MIN(60,COLUMN()-29))),0)</f>
        <v>25.6461504</v>
      </c>
      <c r="DQ290" s="237" t="n">
        <f aca="true">IFERROR(SUMPRODUCT(OFFSET($BJ$31,0,1-MIN(60,COLUMN()-29),1,MIN(60,COLUMN()-29)),OFFSET(DQ289,0,-MIN(60,COLUMN()-29),1,MIN(60,COLUMN()-29))),0)</f>
        <v>40.1019616</v>
      </c>
      <c r="DR290" s="237" t="n">
        <f aca="true">IFERROR(SUMPRODUCT(OFFSET($BJ$31,0,1-MIN(60,COLUMN()-29),1,MIN(60,COLUMN()-29)),OFFSET(DR289,0,-MIN(60,COLUMN()-29),1,MIN(60,COLUMN()-29))),0)</f>
        <v>40.16616992</v>
      </c>
      <c r="DS290" s="237" t="n">
        <f aca="true">IFERROR(SUMPRODUCT(OFFSET($BJ$31,0,1-MIN(60,COLUMN()-29),1,MIN(60,COLUMN()-29)),OFFSET(DS289,0,-MIN(60,COLUMN()-29),1,MIN(60,COLUMN()-29))),0)</f>
        <v>40.2831136</v>
      </c>
      <c r="DT290" s="237" t="n">
        <f aca="true">IFERROR(SUMPRODUCT(OFFSET($BJ$31,0,1-MIN(60,COLUMN()-29),1,MIN(60,COLUMN()-29)),OFFSET(DT289,0,-MIN(60,COLUMN()-29),1,MIN(60,COLUMN()-29))),0)</f>
        <v>37.79319712</v>
      </c>
      <c r="DU290" s="237" t="n">
        <f aca="true">IFERROR(SUMPRODUCT(OFFSET($BJ$31,0,1-MIN(60,COLUMN()-29),1,MIN(60,COLUMN()-29)),OFFSET(DU289,0,-MIN(60,COLUMN()-29),1,MIN(60,COLUMN()-29))),0)</f>
        <v>47.04440924</v>
      </c>
      <c r="DV290" s="237" t="n">
        <f aca="true">IFERROR(SUMPRODUCT(OFFSET($BJ$31,0,1-MIN(60,COLUMN()-29),1,MIN(60,COLUMN()-29)),OFFSET(DV289,0,-MIN(60,COLUMN()-29),1,MIN(60,COLUMN()-29))),0)</f>
        <v>50.80743652</v>
      </c>
      <c r="DW290" s="237" t="n">
        <f aca="true">IFERROR(SUMPRODUCT(OFFSET($BJ$31,0,1-MIN(60,COLUMN()-29),1,MIN(60,COLUMN()-29)),OFFSET(DW289,0,-MIN(60,COLUMN()-29),1,MIN(60,COLUMN()-29))),0)</f>
        <v>50.1266602</v>
      </c>
      <c r="DX290" s="237" t="n">
        <f aca="true">IFERROR(SUMPRODUCT(OFFSET($BJ$31,0,1-MIN(60,COLUMN()-29),1,MIN(60,COLUMN()-29)),OFFSET(DX289,0,-MIN(60,COLUMN()-29),1,MIN(60,COLUMN()-29))),0)</f>
        <v>60.65128948</v>
      </c>
      <c r="DY290" s="237" t="n">
        <f aca="true">IFERROR(SUMPRODUCT(OFFSET($BJ$31,0,1-MIN(60,COLUMN()-29),1,MIN(60,COLUMN()-29)),OFFSET(DY289,0,-MIN(60,COLUMN()-29),1,MIN(60,COLUMN()-29))),0)</f>
        <v>63.48874992</v>
      </c>
      <c r="DZ290" s="237" t="n">
        <f aca="true">IFERROR(SUMPRODUCT(OFFSET($BJ$31,0,1-MIN(60,COLUMN()-29),1,MIN(60,COLUMN()-29)),OFFSET(DZ289,0,-MIN(60,COLUMN()-29),1,MIN(60,COLUMN()-29))),0)</f>
        <v>63.86044304</v>
      </c>
      <c r="EA290" s="237" t="n">
        <f aca="true">IFERROR(SUMPRODUCT(OFFSET($BJ$31,0,1-MIN(60,COLUMN()-29),1,MIN(60,COLUMN()-29)),OFFSET(EA289,0,-MIN(60,COLUMN()-29),1,MIN(60,COLUMN()-29))),0)</f>
        <v>63.47384928</v>
      </c>
      <c r="EB290" s="237" t="n">
        <f aca="true">IFERROR(SUMPRODUCT(OFFSET($BJ$31,0,1-MIN(60,COLUMN()-29),1,MIN(60,COLUMN()-29)),OFFSET(EB289,0,-MIN(60,COLUMN()-29),1,MIN(60,COLUMN()-29))),0)</f>
        <v>69.67396</v>
      </c>
      <c r="EC290" s="237" t="n">
        <f aca="true">IFERROR(SUMPRODUCT(OFFSET($BJ$31,0,1-MIN(60,COLUMN()-29),1,MIN(60,COLUMN()-29)),OFFSET(EC289,0,-MIN(60,COLUMN()-29),1,MIN(60,COLUMN()-29))),0)</f>
        <v>88.77141232</v>
      </c>
      <c r="ED290" s="237" t="n">
        <f aca="true">IFERROR(SUMPRODUCT(OFFSET($BJ$31,0,1-MIN(60,COLUMN()-29),1,MIN(60,COLUMN()-29)),OFFSET(ED289,0,-MIN(60,COLUMN()-29),1,MIN(60,COLUMN()-29))),0)</f>
        <v>88.5450552</v>
      </c>
      <c r="EE290" s="237" t="n">
        <f aca="true">IFERROR(SUMPRODUCT(OFFSET($BJ$31,0,1-MIN(60,COLUMN()-29),1,MIN(60,COLUMN()-29)),OFFSET(EE289,0,-MIN(60,COLUMN()-29),1,MIN(60,COLUMN()-29))),0)</f>
        <v>87.2439576</v>
      </c>
      <c r="EF290" s="237" t="n">
        <f aca="true">IFERROR(SUMPRODUCT(OFFSET($BJ$31,0,1-MIN(60,COLUMN()-29),1,MIN(60,COLUMN()-29)),OFFSET(EF289,0,-MIN(60,COLUMN()-29),1,MIN(60,COLUMN()-29))),0)</f>
        <v>83.9443272</v>
      </c>
      <c r="EG290" s="237" t="n">
        <f aca="true">IFERROR(SUMPRODUCT(OFFSET($BJ$31,0,1-MIN(60,COLUMN()-29),1,MIN(60,COLUMN()-29)),OFFSET(EG289,0,-MIN(60,COLUMN()-29),1,MIN(60,COLUMN()-29))),0)</f>
        <v>98.26125816</v>
      </c>
      <c r="EH290" s="237" t="n">
        <f aca="true">IFERROR(SUMPRODUCT(OFFSET($BJ$31,0,1-MIN(60,COLUMN()-29),1,MIN(60,COLUMN()-29)),OFFSET(EH289,0,-MIN(60,COLUMN()-29),1,MIN(60,COLUMN()-29))),0)</f>
        <v>104.09367768</v>
      </c>
      <c r="EI290" s="237" t="n">
        <f aca="true">IFERROR(SUMPRODUCT(OFFSET($BJ$31,0,1-MIN(60,COLUMN()-29),1,MIN(60,COLUMN()-29)),OFFSET(EI289,0,-MIN(60,COLUMN()-29),1,MIN(60,COLUMN()-29))),0)</f>
        <v>104.39559768</v>
      </c>
      <c r="EJ290" s="237" t="n">
        <f aca="true">IFERROR(SUMPRODUCT(OFFSET($BJ$31,0,1-MIN(60,COLUMN()-29),1,MIN(60,COLUMN()-29)),OFFSET(EJ289,0,-MIN(60,COLUMN()-29),1,MIN(60,COLUMN()-29))),0)</f>
        <v>117.6630636</v>
      </c>
      <c r="EK290" s="237" t="n">
        <f aca="true">IFERROR(SUMPRODUCT(OFFSET($BJ$31,0,1-MIN(60,COLUMN()-29),1,MIN(60,COLUMN()-29)),OFFSET(EK289,0,-MIN(60,COLUMN()-29),1,MIN(60,COLUMN()-29))),0)</f>
        <v>121.83622848</v>
      </c>
      <c r="EL290" s="237" t="n">
        <f aca="true">IFERROR(SUMPRODUCT(OFFSET($BJ$31,0,1-MIN(60,COLUMN()-29),1,MIN(60,COLUMN()-29)),OFFSET(EL289,0,-MIN(60,COLUMN()-29),1,MIN(60,COLUMN()-29))),0)</f>
        <v>123.1035288</v>
      </c>
      <c r="EM290" s="237" t="n">
        <f aca="true">IFERROR(SUMPRODUCT(OFFSET($BJ$31,0,1-MIN(60,COLUMN()-29),1,MIN(60,COLUMN()-29)),OFFSET(EM289,0,-MIN(60,COLUMN()-29),1,MIN(60,COLUMN()-29))),0)</f>
        <v>123.52864104</v>
      </c>
      <c r="EN290" s="237" t="n">
        <f aca="true">IFERROR(SUMPRODUCT(OFFSET($BJ$31,0,1-MIN(60,COLUMN()-29),1,MIN(60,COLUMN()-29)),OFFSET(EN289,0,-MIN(60,COLUMN()-29),1,MIN(60,COLUMN()-29))),0)</f>
        <v>131.91070392</v>
      </c>
      <c r="EO290" s="237" t="n">
        <f aca="true">IFERROR(SUMPRODUCT(OFFSET($BJ$31,0,1-MIN(60,COLUMN()-29),1,MIN(60,COLUMN()-29)),OFFSET(EO289,0,-MIN(60,COLUMN()-29),1,MIN(60,COLUMN()-29))),0)</f>
        <v>154.03898016</v>
      </c>
      <c r="EP290" s="237" t="n">
        <f aca="true">IFERROR(SUMPRODUCT(OFFSET($BJ$31,0,1-MIN(60,COLUMN()-29),1,MIN(60,COLUMN()-29)),OFFSET(EP289,0,-MIN(60,COLUMN()-29),1,MIN(60,COLUMN()-29))),0)</f>
        <v>154.65331632</v>
      </c>
      <c r="EQ290" s="237" t="n">
        <f aca="true">IFERROR(SUMPRODUCT(OFFSET($BJ$31,0,1-MIN(60,COLUMN()-29),1,MIN(60,COLUMN()-29)),OFFSET(EQ289,0,-MIN(60,COLUMN()-29),1,MIN(60,COLUMN()-29))),0)</f>
        <v>153.6912216</v>
      </c>
      <c r="ER290" s="237" t="n">
        <f aca="true">IFERROR(SUMPRODUCT(OFFSET($BJ$31,0,1-MIN(60,COLUMN()-29),1,MIN(60,COLUMN()-29)),OFFSET(ER289,0,-MIN(60,COLUMN()-29),1,MIN(60,COLUMN()-29))),0)</f>
        <v>150.76504848</v>
      </c>
      <c r="ES290" s="9" t="n">
        <f aca="true">IFERROR(SUMPRODUCT(OFFSET($BJ$31,0,1-MIN(60,COLUMN()-29),1,MIN(60,COLUMN()-29)),OFFSET(ES289,0,-MIN(60,COLUMN()-29),1,MIN(60,COLUMN()-29))),0)</f>
        <v>167.77362288</v>
      </c>
      <c r="ET290" s="9" t="n">
        <f aca="true">IFERROR(SUMPRODUCT(OFFSET($BJ$31,0,1-MIN(60,COLUMN()-29),1,MIN(60,COLUMN()-29)),OFFSET(ET289,0,-MIN(60,COLUMN()-29),1,MIN(60,COLUMN()-29))),0)</f>
        <v>174.42891648</v>
      </c>
      <c r="EU290" s="9" t="n">
        <f aca="true">IFERROR(SUMPRODUCT(OFFSET($BJ$31,0,1-MIN(60,COLUMN()-29),1,MIN(60,COLUMN()-29)),OFFSET(EU289,0,-MIN(60,COLUMN()-29),1,MIN(60,COLUMN()-29))),0)</f>
        <v>174.6053088</v>
      </c>
      <c r="EV290" s="9" t="n">
        <f aca="true">IFERROR(SUMPRODUCT(OFFSET($BJ$31,0,1-MIN(60,COLUMN()-29),1,MIN(60,COLUMN()-29)),OFFSET(EV289,0,-MIN(60,COLUMN()-29),1,MIN(60,COLUMN()-29))),0)</f>
        <v>189.45110592</v>
      </c>
      <c r="EW290" s="9" t="n">
        <f aca="true">IFERROR(SUMPRODUCT(OFFSET($BJ$31,0,1-MIN(60,COLUMN()-29),1,MIN(60,COLUMN()-29)),OFFSET(EW289,0,-MIN(60,COLUMN()-29),1,MIN(60,COLUMN()-29))),0)</f>
        <v>193.73368128</v>
      </c>
      <c r="EX290" s="9" t="n">
        <f aca="true">IFERROR(SUMPRODUCT(OFFSET($BJ$31,0,1-MIN(60,COLUMN()-29),1,MIN(60,COLUMN()-29)),OFFSET(EX289,0,-MIN(60,COLUMN()-29),1,MIN(60,COLUMN()-29))),0)</f>
        <v>194.69384016</v>
      </c>
      <c r="EY290" s="9" t="n">
        <f aca="true">IFERROR(SUMPRODUCT(OFFSET($BJ$31,0,1-MIN(60,COLUMN()-29),1,MIN(60,COLUMN()-29)),OFFSET(EY289,0,-MIN(60,COLUMN()-29),1,MIN(60,COLUMN()-29))),0)</f>
        <v>194.60203872</v>
      </c>
      <c r="EZ290" s="9" t="n">
        <f aca="true">IFERROR(SUMPRODUCT(OFFSET($BJ$31,0,1-MIN(60,COLUMN()-29),1,MIN(60,COLUMN()-29)),OFFSET(EZ289,0,-MIN(60,COLUMN()-29),1,MIN(60,COLUMN()-29))),0)</f>
        <v>203.06471424</v>
      </c>
      <c r="FA290" s="9" t="n">
        <f aca="true">IFERROR(SUMPRODUCT(OFFSET($BJ$31,0,1-MIN(60,COLUMN()-29),1,MIN(60,COLUMN()-29)),OFFSET(FA289,0,-MIN(60,COLUMN()-29),1,MIN(60,COLUMN()-29))),0)</f>
        <v>225.67631556</v>
      </c>
      <c r="FB290" s="9" t="n">
        <f aca="true">IFERROR(SUMPRODUCT(OFFSET($BJ$31,0,1-MIN(60,COLUMN()-29),1,MIN(60,COLUMN()-29)),OFFSET(FB289,0,-MIN(60,COLUMN()-29),1,MIN(60,COLUMN()-29))),0)</f>
        <v>225.2147598</v>
      </c>
      <c r="FC290" s="9" t="n">
        <f aca="true">IFERROR(SUMPRODUCT(OFFSET($BJ$31,0,1-MIN(60,COLUMN()-29),1,MIN(60,COLUMN()-29)),OFFSET(FC289,0,-MIN(60,COLUMN()-29),1,MIN(60,COLUMN()-29))),0)</f>
        <v>223.2735918</v>
      </c>
      <c r="FD290" s="9" t="n">
        <f aca="true">IFERROR(SUMPRODUCT(OFFSET($BJ$31,0,1-MIN(60,COLUMN()-29),1,MIN(60,COLUMN()-29)),OFFSET(FD289,0,-MIN(60,COLUMN()-29),1,MIN(60,COLUMN()-29))),0)</f>
        <v>219.578979</v>
      </c>
      <c r="FE290" s="9" t="n">
        <f aca="true">IFERROR(SUMPRODUCT(OFFSET($BJ$31,0,1-MIN(60,COLUMN()-29),1,MIN(60,COLUMN()-29)),OFFSET(FE289,0,-MIN(60,COLUMN()-29),1,MIN(60,COLUMN()-29))),0)</f>
        <v>236.15000472</v>
      </c>
      <c r="FF290" s="9" t="n">
        <f aca="true">IFERROR(SUMPRODUCT(OFFSET($BJ$31,0,1-MIN(60,COLUMN()-29),1,MIN(60,COLUMN()-29)),OFFSET(FF289,0,-MIN(60,COLUMN()-29),1,MIN(60,COLUMN()-29))),0)</f>
        <v>241.76054856</v>
      </c>
      <c r="FG290" s="9" t="n">
        <f aca="true">IFERROR(SUMPRODUCT(OFFSET($BJ$31,0,1-MIN(60,COLUMN()-29),1,MIN(60,COLUMN()-29)),OFFSET(FG289,0,-MIN(60,COLUMN()-29),1,MIN(60,COLUMN()-29))),0)</f>
        <v>241.48308408</v>
      </c>
      <c r="FH290" s="9" t="n">
        <f aca="true">IFERROR(SUMPRODUCT(OFFSET($BJ$31,0,1-MIN(60,COLUMN()-29),1,MIN(60,COLUMN()-29)),OFFSET(FH289,0,-MIN(60,COLUMN()-29),1,MIN(60,COLUMN()-29))),0)</f>
        <v>255.18801432</v>
      </c>
      <c r="FI290" s="9" t="n">
        <f aca="true">IFERROR(SUMPRODUCT(OFFSET($BJ$31,0,1-MIN(60,COLUMN()-29),1,MIN(60,COLUMN()-29)),OFFSET(FI289,0,-MIN(60,COLUMN()-29),1,MIN(60,COLUMN()-29))),0)</f>
        <v>258.21209832</v>
      </c>
      <c r="FJ290" s="9" t="n">
        <f aca="true">IFERROR(SUMPRODUCT(OFFSET($BJ$31,0,1-MIN(60,COLUMN()-29),1,MIN(60,COLUMN()-29)),OFFSET(FJ289,0,-MIN(60,COLUMN()-29),1,MIN(60,COLUMN()-29))),0)</f>
        <v>258.16947432</v>
      </c>
      <c r="FK290" s="9" t="n">
        <f aca="true">IFERROR(SUMPRODUCT(OFFSET($BJ$31,0,1-MIN(60,COLUMN()-29),1,MIN(60,COLUMN()-29)),OFFSET(FK289,0,-MIN(60,COLUMN()-29),1,MIN(60,COLUMN()-29))),0)</f>
        <v>256.87565832</v>
      </c>
      <c r="FL290" s="9" t="n">
        <f aca="true">IFERROR(SUMPRODUCT(OFFSET($BJ$31,0,1-MIN(60,COLUMN()-29),1,MIN(60,COLUMN()-29)),OFFSET(FL289,0,-MIN(60,COLUMN()-29),1,MIN(60,COLUMN()-29))),0)</f>
        <v>264.57834792</v>
      </c>
      <c r="FM290" s="9" t="n">
        <f aca="true">IFERROR(SUMPRODUCT(OFFSET($BJ$31,0,1-MIN(60,COLUMN()-29),1,MIN(60,COLUMN()-29)),OFFSET(FM289,0,-MIN(60,COLUMN()-29),1,MIN(60,COLUMN()-29))),0)</f>
        <v>284.66495232</v>
      </c>
      <c r="FN290" s="9" t="n">
        <f aca="true">IFERROR(SUMPRODUCT(OFFSET($BJ$31,0,1-MIN(60,COLUMN()-29),1,MIN(60,COLUMN()-29)),OFFSET(FN289,0,-MIN(60,COLUMN()-29),1,MIN(60,COLUMN()-29))),0)</f>
        <v>281.72336352</v>
      </c>
      <c r="FO290" s="9" t="n">
        <f aca="true">IFERROR(SUMPRODUCT(OFFSET($BJ$31,0,1-MIN(60,COLUMN()-29),1,MIN(60,COLUMN()-29)),OFFSET(FO289,0,-MIN(60,COLUMN()-29),1,MIN(60,COLUMN()-29))),0)</f>
        <v>277.69468512</v>
      </c>
      <c r="FP290" s="9" t="n">
        <f aca="true">IFERROR(SUMPRODUCT(OFFSET($BJ$31,0,1-MIN(60,COLUMN()-29),1,MIN(60,COLUMN()-29)),OFFSET(FP289,0,-MIN(60,COLUMN()-29),1,MIN(60,COLUMN()-29))),0)</f>
        <v>272.38533312</v>
      </c>
    </row>
    <row r="291" customFormat="false" ht="15" hidden="false" customHeight="false" outlineLevel="2" collapsed="false">
      <c r="B291" s="47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237"/>
      <c r="AD291" s="237"/>
      <c r="AE291" s="237"/>
      <c r="AF291" s="237"/>
      <c r="AG291" s="237"/>
      <c r="AH291" s="237"/>
      <c r="AI291" s="237"/>
      <c r="AJ291" s="237"/>
      <c r="AK291" s="237"/>
      <c r="AL291" s="237"/>
      <c r="AM291" s="237"/>
      <c r="AN291" s="237"/>
      <c r="AO291" s="237"/>
      <c r="AP291" s="237"/>
      <c r="AQ291" s="237"/>
      <c r="AR291" s="237"/>
      <c r="AS291" s="237"/>
      <c r="AT291" s="237"/>
      <c r="AU291" s="237"/>
      <c r="AV291" s="237"/>
      <c r="AW291" s="237"/>
      <c r="AX291" s="237"/>
      <c r="AY291" s="237"/>
      <c r="AZ291" s="237"/>
      <c r="BA291" s="237"/>
      <c r="BB291" s="237"/>
      <c r="BC291" s="237"/>
      <c r="BD291" s="237"/>
      <c r="BE291" s="237"/>
      <c r="BF291" s="237"/>
      <c r="BG291" s="237"/>
      <c r="BH291" s="237"/>
      <c r="BI291" s="237"/>
      <c r="BJ291" s="237"/>
      <c r="BK291" s="237"/>
      <c r="BL291" s="237"/>
      <c r="BM291" s="237"/>
      <c r="BN291" s="237"/>
      <c r="BO291" s="237"/>
      <c r="BP291" s="237"/>
      <c r="BQ291" s="237"/>
      <c r="BR291" s="237"/>
      <c r="BS291" s="237"/>
      <c r="BT291" s="237"/>
      <c r="BU291" s="237"/>
      <c r="BV291" s="237"/>
      <c r="BW291" s="237"/>
      <c r="BX291" s="237"/>
      <c r="BY291" s="237"/>
      <c r="BZ291" s="237"/>
      <c r="CA291" s="237"/>
      <c r="CB291" s="237"/>
      <c r="CC291" s="237"/>
      <c r="CD291" s="237"/>
      <c r="CE291" s="237"/>
      <c r="CF291" s="237"/>
      <c r="CG291" s="237"/>
      <c r="CH291" s="237"/>
      <c r="CI291" s="237"/>
      <c r="CJ291" s="237"/>
      <c r="CK291" s="237"/>
      <c r="CL291" s="237"/>
      <c r="CM291" s="237"/>
      <c r="CN291" s="237"/>
      <c r="CO291" s="237"/>
      <c r="CP291" s="237"/>
      <c r="CQ291" s="237"/>
      <c r="CR291" s="237"/>
      <c r="CS291" s="237"/>
      <c r="CT291" s="237"/>
      <c r="CU291" s="237"/>
      <c r="CV291" s="237"/>
      <c r="CW291" s="237"/>
      <c r="CX291" s="237"/>
      <c r="CY291" s="237"/>
      <c r="CZ291" s="237"/>
      <c r="DA291" s="237"/>
      <c r="DB291" s="237"/>
      <c r="DC291" s="237"/>
      <c r="DD291" s="237"/>
      <c r="DE291" s="237"/>
      <c r="DF291" s="237"/>
      <c r="DG291" s="237"/>
      <c r="DH291" s="237"/>
      <c r="DI291" s="237"/>
      <c r="DJ291" s="237"/>
      <c r="DK291" s="237"/>
      <c r="DL291" s="237"/>
      <c r="DM291" s="237"/>
      <c r="DN291" s="237"/>
      <c r="DO291" s="237"/>
      <c r="DP291" s="237"/>
      <c r="DQ291" s="237"/>
      <c r="DR291" s="237"/>
      <c r="DS291" s="237"/>
      <c r="DT291" s="237"/>
      <c r="DU291" s="237"/>
      <c r="DV291" s="237"/>
      <c r="DW291" s="237"/>
      <c r="DX291" s="237"/>
      <c r="DY291" s="237"/>
      <c r="DZ291" s="237"/>
      <c r="EA291" s="237"/>
      <c r="EB291" s="237"/>
      <c r="EC291" s="237"/>
      <c r="ED291" s="237"/>
      <c r="EE291" s="237"/>
      <c r="EF291" s="237"/>
      <c r="EG291" s="237"/>
      <c r="EH291" s="237"/>
      <c r="EI291" s="237"/>
      <c r="EJ291" s="237"/>
      <c r="EK291" s="237"/>
      <c r="EL291" s="237"/>
      <c r="EM291" s="237"/>
      <c r="EN291" s="237"/>
      <c r="EO291" s="237"/>
      <c r="EP291" s="237"/>
      <c r="EQ291" s="237"/>
      <c r="ER291" s="237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</row>
    <row r="292" customFormat="false" ht="15" hidden="false" customHeight="false" outlineLevel="2" collapsed="false">
      <c r="B292" s="47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237"/>
      <c r="AD292" s="237"/>
      <c r="AE292" s="237"/>
      <c r="AF292" s="237"/>
      <c r="AG292" s="237"/>
      <c r="AH292" s="237"/>
      <c r="AI292" s="237"/>
      <c r="AJ292" s="237"/>
      <c r="AK292" s="237"/>
      <c r="AL292" s="237"/>
      <c r="AM292" s="237"/>
      <c r="AN292" s="237"/>
      <c r="AO292" s="237"/>
      <c r="AP292" s="237"/>
      <c r="AQ292" s="237"/>
      <c r="AR292" s="237"/>
      <c r="AS292" s="237"/>
      <c r="AT292" s="237"/>
      <c r="AU292" s="237"/>
      <c r="AV292" s="237"/>
      <c r="AW292" s="237"/>
      <c r="AX292" s="237"/>
      <c r="AY292" s="237"/>
      <c r="AZ292" s="237"/>
      <c r="BA292" s="237"/>
      <c r="BB292" s="237"/>
      <c r="BC292" s="237"/>
      <c r="BD292" s="237"/>
      <c r="BE292" s="237"/>
      <c r="BF292" s="237"/>
      <c r="BG292" s="237"/>
      <c r="BH292" s="237"/>
      <c r="BI292" s="237"/>
      <c r="BJ292" s="237"/>
      <c r="BK292" s="237"/>
      <c r="BL292" s="237"/>
      <c r="BM292" s="237"/>
      <c r="BN292" s="237"/>
      <c r="BO292" s="237"/>
      <c r="BP292" s="237"/>
      <c r="BQ292" s="237"/>
      <c r="BR292" s="237"/>
      <c r="BS292" s="237"/>
      <c r="BT292" s="237"/>
      <c r="BU292" s="237"/>
      <c r="BV292" s="237"/>
      <c r="BW292" s="237"/>
      <c r="BX292" s="237"/>
      <c r="BY292" s="237"/>
      <c r="BZ292" s="237"/>
      <c r="CA292" s="237"/>
      <c r="CB292" s="237"/>
      <c r="CC292" s="237"/>
      <c r="CD292" s="237"/>
      <c r="CE292" s="237"/>
      <c r="CF292" s="237"/>
      <c r="CG292" s="237"/>
      <c r="CH292" s="237"/>
      <c r="CI292" s="237"/>
      <c r="CJ292" s="237"/>
      <c r="CK292" s="237"/>
      <c r="CL292" s="237"/>
      <c r="CM292" s="237"/>
      <c r="CN292" s="237"/>
      <c r="CO292" s="237"/>
      <c r="CP292" s="237"/>
      <c r="CQ292" s="237"/>
      <c r="CR292" s="237"/>
      <c r="CS292" s="237"/>
      <c r="CT292" s="237"/>
      <c r="CU292" s="237"/>
      <c r="CV292" s="237"/>
      <c r="CW292" s="237"/>
      <c r="CX292" s="237"/>
      <c r="CY292" s="237"/>
      <c r="CZ292" s="237"/>
      <c r="DA292" s="237"/>
      <c r="DB292" s="237"/>
      <c r="DC292" s="237"/>
      <c r="DD292" s="237"/>
      <c r="DE292" s="237"/>
      <c r="DF292" s="237"/>
      <c r="DG292" s="237"/>
      <c r="DH292" s="237"/>
      <c r="DI292" s="237"/>
      <c r="DJ292" s="237"/>
      <c r="DK292" s="237"/>
      <c r="DL292" s="237"/>
      <c r="DM292" s="237"/>
      <c r="DN292" s="237"/>
      <c r="DO292" s="237"/>
      <c r="DP292" s="237"/>
      <c r="DQ292" s="237"/>
      <c r="DR292" s="237"/>
      <c r="DS292" s="237"/>
      <c r="DT292" s="237"/>
      <c r="DU292" s="237"/>
      <c r="DV292" s="237"/>
      <c r="DW292" s="237"/>
      <c r="DX292" s="237"/>
      <c r="DY292" s="237"/>
      <c r="DZ292" s="237"/>
      <c r="EA292" s="237"/>
      <c r="EB292" s="237"/>
      <c r="EC292" s="237"/>
      <c r="ED292" s="237"/>
      <c r="EE292" s="237"/>
      <c r="EF292" s="237"/>
      <c r="EG292" s="237"/>
      <c r="EH292" s="237"/>
      <c r="EI292" s="237"/>
      <c r="EJ292" s="237"/>
      <c r="EK292" s="237"/>
      <c r="EL292" s="237"/>
      <c r="EM292" s="237"/>
      <c r="EN292" s="237"/>
      <c r="EO292" s="237"/>
      <c r="EP292" s="237"/>
      <c r="EQ292" s="237"/>
      <c r="ER292" s="237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</row>
    <row r="293" customFormat="false" ht="15" hidden="false" customHeight="false" outlineLevel="2" collapsed="false">
      <c r="B293" s="47" t="s">
        <v>902</v>
      </c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237"/>
      <c r="AD293" s="237"/>
      <c r="AE293" s="237"/>
      <c r="AF293" s="237"/>
      <c r="AG293" s="237"/>
      <c r="AH293" s="237"/>
      <c r="AI293" s="237"/>
      <c r="AJ293" s="237"/>
      <c r="AK293" s="237"/>
      <c r="AL293" s="237"/>
      <c r="AM293" s="237"/>
      <c r="AN293" s="237"/>
      <c r="AO293" s="237"/>
      <c r="AP293" s="237"/>
      <c r="AQ293" s="237"/>
      <c r="AR293" s="237"/>
      <c r="AS293" s="237"/>
      <c r="AT293" s="237"/>
      <c r="AU293" s="237"/>
      <c r="AV293" s="237"/>
      <c r="AW293" s="237"/>
      <c r="AX293" s="237"/>
      <c r="AY293" s="237"/>
      <c r="AZ293" s="237"/>
      <c r="BA293" s="237"/>
      <c r="BB293" s="237"/>
      <c r="BC293" s="237"/>
      <c r="BD293" s="237"/>
      <c r="BE293" s="237"/>
      <c r="BF293" s="237"/>
      <c r="BG293" s="237"/>
      <c r="BH293" s="237"/>
      <c r="BI293" s="237"/>
      <c r="BJ293" s="237"/>
      <c r="BK293" s="237"/>
      <c r="BL293" s="237"/>
      <c r="BM293" s="237"/>
      <c r="BN293" s="237"/>
      <c r="BO293" s="237"/>
      <c r="BP293" s="237"/>
      <c r="BQ293" s="237"/>
      <c r="BR293" s="237"/>
      <c r="BS293" s="237"/>
      <c r="BT293" s="237"/>
      <c r="BU293" s="237"/>
      <c r="BV293" s="237"/>
      <c r="BW293" s="237"/>
      <c r="BX293" s="237"/>
      <c r="BY293" s="237"/>
      <c r="BZ293" s="237"/>
      <c r="CA293" s="237"/>
      <c r="CB293" s="237"/>
      <c r="CC293" s="237"/>
      <c r="CD293" s="237"/>
      <c r="CE293" s="237"/>
      <c r="CF293" s="237"/>
      <c r="CG293" s="237"/>
      <c r="CH293" s="237"/>
      <c r="CI293" s="237"/>
      <c r="CJ293" s="237"/>
      <c r="CK293" s="237"/>
      <c r="CL293" s="237"/>
      <c r="CM293" s="237"/>
      <c r="CN293" s="237"/>
      <c r="CO293" s="237"/>
      <c r="CP293" s="237"/>
      <c r="CQ293" s="237"/>
      <c r="CR293" s="237"/>
      <c r="CS293" s="237"/>
      <c r="CT293" s="237"/>
      <c r="CU293" s="237"/>
      <c r="CV293" s="237"/>
      <c r="CW293" s="237"/>
      <c r="CX293" s="237"/>
      <c r="CY293" s="237"/>
      <c r="CZ293" s="237"/>
      <c r="DA293" s="237"/>
      <c r="DB293" s="237"/>
      <c r="DC293" s="237"/>
      <c r="DD293" s="237"/>
      <c r="DE293" s="237"/>
      <c r="DF293" s="237"/>
      <c r="DG293" s="237"/>
      <c r="DH293" s="237"/>
      <c r="DI293" s="237"/>
      <c r="DJ293" s="237"/>
      <c r="DK293" s="237"/>
      <c r="DL293" s="237"/>
      <c r="DM293" s="237"/>
      <c r="DN293" s="237"/>
      <c r="DO293" s="237"/>
      <c r="DP293" s="237"/>
      <c r="DQ293" s="237"/>
      <c r="DR293" s="237"/>
      <c r="DS293" s="237"/>
      <c r="DT293" s="237"/>
      <c r="DU293" s="237"/>
      <c r="DV293" s="237"/>
      <c r="DW293" s="237"/>
      <c r="DX293" s="237"/>
      <c r="DY293" s="237"/>
      <c r="DZ293" s="237"/>
      <c r="EA293" s="237"/>
      <c r="EB293" s="237"/>
      <c r="EC293" s="237"/>
      <c r="ED293" s="237"/>
      <c r="EE293" s="237"/>
      <c r="EF293" s="237"/>
      <c r="EG293" s="237"/>
      <c r="EH293" s="237"/>
      <c r="EI293" s="237"/>
      <c r="EJ293" s="237"/>
      <c r="EK293" s="237"/>
      <c r="EL293" s="237"/>
      <c r="EM293" s="237"/>
      <c r="EN293" s="237"/>
      <c r="EO293" s="237"/>
      <c r="EP293" s="237"/>
      <c r="EQ293" s="237"/>
      <c r="ER293" s="237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</row>
    <row r="294" customFormat="false" ht="15" hidden="false" customHeight="false" outlineLevel="2" collapsed="false">
      <c r="B294" s="47" t="s">
        <v>872</v>
      </c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237" t="n">
        <f aca="false">('⑫ Roll-out Plan'!G34-2025)*12+'⑫ Roll-out Plan'!F34</f>
        <v>92</v>
      </c>
      <c r="AD294" s="237"/>
      <c r="AE294" s="237"/>
      <c r="AF294" s="237"/>
      <c r="AG294" s="237"/>
      <c r="AH294" s="237"/>
      <c r="AI294" s="237"/>
      <c r="AJ294" s="237"/>
      <c r="AK294" s="237"/>
      <c r="AL294" s="237"/>
      <c r="AM294" s="237"/>
      <c r="AN294" s="237"/>
      <c r="AO294" s="237"/>
      <c r="AP294" s="237"/>
      <c r="AQ294" s="237"/>
      <c r="AR294" s="237"/>
      <c r="AS294" s="237"/>
      <c r="AT294" s="237"/>
      <c r="AU294" s="237"/>
      <c r="AV294" s="237"/>
      <c r="AW294" s="237"/>
      <c r="AX294" s="237"/>
      <c r="AY294" s="237"/>
      <c r="AZ294" s="237"/>
      <c r="BA294" s="237"/>
      <c r="BB294" s="237"/>
      <c r="BC294" s="237"/>
      <c r="BD294" s="237"/>
      <c r="BE294" s="237"/>
      <c r="BF294" s="237"/>
      <c r="BG294" s="237"/>
      <c r="BH294" s="237"/>
      <c r="BI294" s="237"/>
      <c r="BJ294" s="237"/>
      <c r="BK294" s="237"/>
      <c r="BL294" s="237"/>
      <c r="BM294" s="237"/>
      <c r="BN294" s="237"/>
      <c r="BO294" s="237"/>
      <c r="BP294" s="237"/>
      <c r="BQ294" s="237"/>
      <c r="BR294" s="237"/>
      <c r="BS294" s="237"/>
      <c r="BT294" s="237"/>
      <c r="BU294" s="237"/>
      <c r="BV294" s="237"/>
      <c r="BW294" s="237"/>
      <c r="BX294" s="237"/>
      <c r="BY294" s="237"/>
      <c r="BZ294" s="237"/>
      <c r="CA294" s="237"/>
      <c r="CB294" s="237"/>
      <c r="CC294" s="237"/>
      <c r="CD294" s="237"/>
      <c r="CE294" s="237"/>
      <c r="CF294" s="237"/>
      <c r="CG294" s="237"/>
      <c r="CH294" s="237"/>
      <c r="CI294" s="237"/>
      <c r="CJ294" s="237"/>
      <c r="CK294" s="237"/>
      <c r="CL294" s="237"/>
      <c r="CM294" s="237"/>
      <c r="CN294" s="237"/>
      <c r="CO294" s="237"/>
      <c r="CP294" s="237"/>
      <c r="CQ294" s="237"/>
      <c r="CR294" s="237"/>
      <c r="CS294" s="237"/>
      <c r="CT294" s="237"/>
      <c r="CU294" s="237"/>
      <c r="CV294" s="237"/>
      <c r="CW294" s="237"/>
      <c r="CX294" s="237"/>
      <c r="CY294" s="237"/>
      <c r="CZ294" s="237"/>
      <c r="DA294" s="237"/>
      <c r="DB294" s="237"/>
      <c r="DC294" s="237"/>
      <c r="DD294" s="237"/>
      <c r="DE294" s="237"/>
      <c r="DF294" s="237"/>
      <c r="DG294" s="237"/>
      <c r="DH294" s="237"/>
      <c r="DI294" s="237"/>
      <c r="DJ294" s="237"/>
      <c r="DK294" s="237"/>
      <c r="DL294" s="237"/>
      <c r="DM294" s="237"/>
      <c r="DN294" s="237"/>
      <c r="DO294" s="237"/>
      <c r="DP294" s="237"/>
      <c r="DQ294" s="237"/>
      <c r="DR294" s="237"/>
      <c r="DS294" s="237"/>
      <c r="DT294" s="237"/>
      <c r="DU294" s="237"/>
      <c r="DV294" s="237"/>
      <c r="DW294" s="237"/>
      <c r="DX294" s="237"/>
      <c r="DY294" s="237"/>
      <c r="DZ294" s="237"/>
      <c r="EA294" s="237"/>
      <c r="EB294" s="237"/>
      <c r="EC294" s="237"/>
      <c r="ED294" s="237"/>
      <c r="EE294" s="237"/>
      <c r="EF294" s="237"/>
      <c r="EG294" s="237"/>
      <c r="EH294" s="237"/>
      <c r="EI294" s="237"/>
      <c r="EJ294" s="237"/>
      <c r="EK294" s="237"/>
      <c r="EL294" s="237"/>
      <c r="EM294" s="237"/>
      <c r="EN294" s="237"/>
      <c r="EO294" s="237"/>
      <c r="EP294" s="237"/>
      <c r="EQ294" s="237"/>
      <c r="ER294" s="237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</row>
    <row r="295" customFormat="false" ht="15" hidden="false" customHeight="false" outlineLevel="2" collapsed="false">
      <c r="B295" s="47" t="s">
        <v>873</v>
      </c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237" t="n">
        <f aca="false">VLOOKUP("B",$B$14:$C$18,2,FALSE())</f>
        <v>185</v>
      </c>
      <c r="AD295" s="237"/>
      <c r="AE295" s="237"/>
      <c r="AF295" s="237"/>
      <c r="AG295" s="237"/>
      <c r="AH295" s="237"/>
      <c r="AI295" s="237"/>
      <c r="AJ295" s="237"/>
      <c r="AK295" s="237"/>
      <c r="AL295" s="237"/>
      <c r="AM295" s="237"/>
      <c r="AN295" s="237"/>
      <c r="AO295" s="237"/>
      <c r="AP295" s="237"/>
      <c r="AQ295" s="237"/>
      <c r="AR295" s="237"/>
      <c r="AS295" s="237"/>
      <c r="AT295" s="237"/>
      <c r="AU295" s="237"/>
      <c r="AV295" s="237"/>
      <c r="AW295" s="237"/>
      <c r="AX295" s="237"/>
      <c r="AY295" s="237"/>
      <c r="AZ295" s="237"/>
      <c r="BA295" s="237"/>
      <c r="BB295" s="237"/>
      <c r="BC295" s="237"/>
      <c r="BD295" s="237"/>
      <c r="BE295" s="237"/>
      <c r="BF295" s="237"/>
      <c r="BG295" s="237"/>
      <c r="BH295" s="237"/>
      <c r="BI295" s="237"/>
      <c r="BJ295" s="237"/>
      <c r="BK295" s="237"/>
      <c r="BL295" s="237"/>
      <c r="BM295" s="237"/>
      <c r="BN295" s="237"/>
      <c r="BO295" s="237"/>
      <c r="BP295" s="237"/>
      <c r="BQ295" s="237"/>
      <c r="BR295" s="237"/>
      <c r="BS295" s="237"/>
      <c r="BT295" s="237"/>
      <c r="BU295" s="237"/>
      <c r="BV295" s="237"/>
      <c r="BW295" s="237"/>
      <c r="BX295" s="237"/>
      <c r="BY295" s="237"/>
      <c r="BZ295" s="237"/>
      <c r="CA295" s="237"/>
      <c r="CB295" s="237"/>
      <c r="CC295" s="237"/>
      <c r="CD295" s="237"/>
      <c r="CE295" s="237"/>
      <c r="CF295" s="237"/>
      <c r="CG295" s="237"/>
      <c r="CH295" s="237"/>
      <c r="CI295" s="237"/>
      <c r="CJ295" s="237"/>
      <c r="CK295" s="237"/>
      <c r="CL295" s="237"/>
      <c r="CM295" s="237"/>
      <c r="CN295" s="237"/>
      <c r="CO295" s="237"/>
      <c r="CP295" s="237"/>
      <c r="CQ295" s="237"/>
      <c r="CR295" s="237"/>
      <c r="CS295" s="237"/>
      <c r="CT295" s="237"/>
      <c r="CU295" s="237"/>
      <c r="CV295" s="237"/>
      <c r="CW295" s="237"/>
      <c r="CX295" s="237"/>
      <c r="CY295" s="237"/>
      <c r="CZ295" s="237"/>
      <c r="DA295" s="237"/>
      <c r="DB295" s="237"/>
      <c r="DC295" s="237"/>
      <c r="DD295" s="237"/>
      <c r="DE295" s="237"/>
      <c r="DF295" s="237"/>
      <c r="DG295" s="237"/>
      <c r="DH295" s="237"/>
      <c r="DI295" s="237"/>
      <c r="DJ295" s="237"/>
      <c r="DK295" s="237"/>
      <c r="DL295" s="237"/>
      <c r="DM295" s="237"/>
      <c r="DN295" s="237"/>
      <c r="DO295" s="237"/>
      <c r="DP295" s="237"/>
      <c r="DQ295" s="237"/>
      <c r="DR295" s="237"/>
      <c r="DS295" s="237"/>
      <c r="DT295" s="237"/>
      <c r="DU295" s="237"/>
      <c r="DV295" s="237"/>
      <c r="DW295" s="237"/>
      <c r="DX295" s="237"/>
      <c r="DY295" s="237"/>
      <c r="DZ295" s="237"/>
      <c r="EA295" s="237"/>
      <c r="EB295" s="237"/>
      <c r="EC295" s="237"/>
      <c r="ED295" s="237"/>
      <c r="EE295" s="237"/>
      <c r="EF295" s="237"/>
      <c r="EG295" s="237"/>
      <c r="EH295" s="237"/>
      <c r="EI295" s="237"/>
      <c r="EJ295" s="237"/>
      <c r="EK295" s="237"/>
      <c r="EL295" s="237"/>
      <c r="EM295" s="237"/>
      <c r="EN295" s="237"/>
      <c r="EO295" s="237"/>
      <c r="EP295" s="237"/>
      <c r="EQ295" s="237"/>
      <c r="ER295" s="237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</row>
    <row r="296" customFormat="false" ht="15" hidden="false" customHeight="false" outlineLevel="2" collapsed="false">
      <c r="B296" s="47" t="s">
        <v>799</v>
      </c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237" t="n">
        <f aca="false">IF(AC$35&gt;=$AC$294,AC$35-$AC$294+1,0)</f>
        <v>0</v>
      </c>
      <c r="AD296" s="237" t="n">
        <f aca="false">IF(AD$35&gt;=$AC$294,AD$35-$AC$294+1,0)</f>
        <v>0</v>
      </c>
      <c r="AE296" s="237" t="n">
        <f aca="false">IF(AE$35&gt;=$AC$294,AE$35-$AC$294+1,0)</f>
        <v>0</v>
      </c>
      <c r="AF296" s="237" t="n">
        <f aca="false">IF(AF$35&gt;=$AC$294,AF$35-$AC$294+1,0)</f>
        <v>0</v>
      </c>
      <c r="AG296" s="237" t="n">
        <f aca="false">IF(AG$35&gt;=$AC$294,AG$35-$AC$294+1,0)</f>
        <v>0</v>
      </c>
      <c r="AH296" s="237" t="n">
        <f aca="false">IF(AH$35&gt;=$AC$294,AH$35-$AC$294+1,0)</f>
        <v>0</v>
      </c>
      <c r="AI296" s="237" t="n">
        <f aca="false">IF(AI$35&gt;=$AC$294,AI$35-$AC$294+1,0)</f>
        <v>0</v>
      </c>
      <c r="AJ296" s="237" t="n">
        <f aca="false">IF(AJ$35&gt;=$AC$294,AJ$35-$AC$294+1,0)</f>
        <v>0</v>
      </c>
      <c r="AK296" s="237" t="n">
        <f aca="false">IF(AK$35&gt;=$AC$294,AK$35-$AC$294+1,0)</f>
        <v>0</v>
      </c>
      <c r="AL296" s="237" t="n">
        <f aca="false">IF(AL$35&gt;=$AC$294,AL$35-$AC$294+1,0)</f>
        <v>0</v>
      </c>
      <c r="AM296" s="237" t="n">
        <f aca="false">IF(AM$35&gt;=$AC$294,AM$35-$AC$294+1,0)</f>
        <v>0</v>
      </c>
      <c r="AN296" s="237" t="n">
        <f aca="false">IF(AN$35&gt;=$AC$294,AN$35-$AC$294+1,0)</f>
        <v>0</v>
      </c>
      <c r="AO296" s="237" t="n">
        <f aca="false">IF(AO$35&gt;=$AC$294,AO$35-$AC$294+1,0)</f>
        <v>0</v>
      </c>
      <c r="AP296" s="237" t="n">
        <f aca="false">IF(AP$35&gt;=$AC$294,AP$35-$AC$294+1,0)</f>
        <v>0</v>
      </c>
      <c r="AQ296" s="237" t="n">
        <f aca="false">IF(AQ$35&gt;=$AC$294,AQ$35-$AC$294+1,0)</f>
        <v>0</v>
      </c>
      <c r="AR296" s="237" t="n">
        <f aca="false">IF(AR$35&gt;=$AC$294,AR$35-$AC$294+1,0)</f>
        <v>0</v>
      </c>
      <c r="AS296" s="237" t="n">
        <f aca="false">IF(AS$35&gt;=$AC$294,AS$35-$AC$294+1,0)</f>
        <v>0</v>
      </c>
      <c r="AT296" s="237" t="n">
        <f aca="false">IF(AT$35&gt;=$AC$294,AT$35-$AC$294+1,0)</f>
        <v>0</v>
      </c>
      <c r="AU296" s="237" t="n">
        <f aca="false">IF(AU$35&gt;=$AC$294,AU$35-$AC$294+1,0)</f>
        <v>0</v>
      </c>
      <c r="AV296" s="237" t="n">
        <f aca="false">IF(AV$35&gt;=$AC$294,AV$35-$AC$294+1,0)</f>
        <v>0</v>
      </c>
      <c r="AW296" s="237" t="n">
        <f aca="false">IF(AW$35&gt;=$AC$294,AW$35-$AC$294+1,0)</f>
        <v>0</v>
      </c>
      <c r="AX296" s="237" t="n">
        <f aca="false">IF(AX$35&gt;=$AC$294,AX$35-$AC$294+1,0)</f>
        <v>0</v>
      </c>
      <c r="AY296" s="237" t="n">
        <f aca="false">IF(AY$35&gt;=$AC$294,AY$35-$AC$294+1,0)</f>
        <v>0</v>
      </c>
      <c r="AZ296" s="237" t="n">
        <f aca="false">IF(AZ$35&gt;=$AC$294,AZ$35-$AC$294+1,0)</f>
        <v>0</v>
      </c>
      <c r="BA296" s="237" t="n">
        <f aca="false">IF(BA$35&gt;=$AC$294,BA$35-$AC$294+1,0)</f>
        <v>0</v>
      </c>
      <c r="BB296" s="237" t="n">
        <f aca="false">IF(BB$35&gt;=$AC$294,BB$35-$AC$294+1,0)</f>
        <v>0</v>
      </c>
      <c r="BC296" s="237" t="n">
        <f aca="false">IF(BC$35&gt;=$AC$294,BC$35-$AC$294+1,0)</f>
        <v>0</v>
      </c>
      <c r="BD296" s="237" t="n">
        <f aca="false">IF(BD$35&gt;=$AC$294,BD$35-$AC$294+1,0)</f>
        <v>0</v>
      </c>
      <c r="BE296" s="237" t="n">
        <f aca="false">IF(BE$35&gt;=$AC$294,BE$35-$AC$294+1,0)</f>
        <v>0</v>
      </c>
      <c r="BF296" s="237" t="n">
        <f aca="false">IF(BF$35&gt;=$AC$294,BF$35-$AC$294+1,0)</f>
        <v>0</v>
      </c>
      <c r="BG296" s="237" t="n">
        <f aca="false">IF(BG$35&gt;=$AC$294,BG$35-$AC$294+1,0)</f>
        <v>0</v>
      </c>
      <c r="BH296" s="237" t="n">
        <f aca="false">IF(BH$35&gt;=$AC$294,BH$35-$AC$294+1,0)</f>
        <v>0</v>
      </c>
      <c r="BI296" s="237" t="n">
        <f aca="false">IF(BI$35&gt;=$AC$294,BI$35-$AC$294+1,0)</f>
        <v>0</v>
      </c>
      <c r="BJ296" s="237" t="n">
        <f aca="false">IF(BJ$35&gt;=$AC$294,BJ$35-$AC$294+1,0)</f>
        <v>0</v>
      </c>
      <c r="BK296" s="237" t="n">
        <f aca="false">IF(BK$35&gt;=$AC$294,BK$35-$AC$294+1,0)</f>
        <v>0</v>
      </c>
      <c r="BL296" s="237" t="n">
        <f aca="false">IF(BL$35&gt;=$AC$294,BL$35-$AC$294+1,0)</f>
        <v>0</v>
      </c>
      <c r="BM296" s="237" t="n">
        <f aca="false">IF(BM$35&gt;=$AC$294,BM$35-$AC$294+1,0)</f>
        <v>0</v>
      </c>
      <c r="BN296" s="237" t="n">
        <f aca="false">IF(BN$35&gt;=$AC$294,BN$35-$AC$294+1,0)</f>
        <v>0</v>
      </c>
      <c r="BO296" s="237" t="n">
        <f aca="false">IF(BO$35&gt;=$AC$294,BO$35-$AC$294+1,0)</f>
        <v>0</v>
      </c>
      <c r="BP296" s="237" t="n">
        <f aca="false">IF(BP$35&gt;=$AC$294,BP$35-$AC$294+1,0)</f>
        <v>0</v>
      </c>
      <c r="BQ296" s="237" t="n">
        <f aca="false">IF(BQ$35&gt;=$AC$294,BQ$35-$AC$294+1,0)</f>
        <v>0</v>
      </c>
      <c r="BR296" s="237" t="n">
        <f aca="false">IF(BR$35&gt;=$AC$294,BR$35-$AC$294+1,0)</f>
        <v>0</v>
      </c>
      <c r="BS296" s="237" t="n">
        <f aca="false">IF(BS$35&gt;=$AC$294,BS$35-$AC$294+1,0)</f>
        <v>0</v>
      </c>
      <c r="BT296" s="237" t="n">
        <f aca="false">IF(BT$35&gt;=$AC$294,BT$35-$AC$294+1,0)</f>
        <v>0</v>
      </c>
      <c r="BU296" s="237" t="n">
        <f aca="false">IF(BU$35&gt;=$AC$294,BU$35-$AC$294+1,0)</f>
        <v>0</v>
      </c>
      <c r="BV296" s="237" t="n">
        <f aca="false">IF(BV$35&gt;=$AC$294,BV$35-$AC$294+1,0)</f>
        <v>0</v>
      </c>
      <c r="BW296" s="237" t="n">
        <f aca="false">IF(BW$35&gt;=$AC$294,BW$35-$AC$294+1,0)</f>
        <v>0</v>
      </c>
      <c r="BX296" s="237" t="n">
        <f aca="false">IF(BX$35&gt;=$AC$294,BX$35-$AC$294+1,0)</f>
        <v>0</v>
      </c>
      <c r="BY296" s="237" t="n">
        <f aca="false">IF(BY$35&gt;=$AC$294,BY$35-$AC$294+1,0)</f>
        <v>0</v>
      </c>
      <c r="BZ296" s="237" t="n">
        <f aca="false">IF(BZ$35&gt;=$AC$294,BZ$35-$AC$294+1,0)</f>
        <v>0</v>
      </c>
      <c r="CA296" s="237" t="n">
        <f aca="false">IF(CA$35&gt;=$AC$294,CA$35-$AC$294+1,0)</f>
        <v>0</v>
      </c>
      <c r="CB296" s="237" t="n">
        <f aca="false">IF(CB$35&gt;=$AC$294,CB$35-$AC$294+1,0)</f>
        <v>0</v>
      </c>
      <c r="CC296" s="237" t="n">
        <f aca="false">IF(CC$35&gt;=$AC$294,CC$35-$AC$294+1,0)</f>
        <v>0</v>
      </c>
      <c r="CD296" s="237" t="n">
        <f aca="false">IF(CD$35&gt;=$AC$294,CD$35-$AC$294+1,0)</f>
        <v>0</v>
      </c>
      <c r="CE296" s="237" t="n">
        <f aca="false">IF(CE$35&gt;=$AC$294,CE$35-$AC$294+1,0)</f>
        <v>0</v>
      </c>
      <c r="CF296" s="237" t="n">
        <f aca="false">IF(CF$35&gt;=$AC$294,CF$35-$AC$294+1,0)</f>
        <v>0</v>
      </c>
      <c r="CG296" s="237" t="n">
        <f aca="false">IF(CG$35&gt;=$AC$294,CG$35-$AC$294+1,0)</f>
        <v>0</v>
      </c>
      <c r="CH296" s="237" t="n">
        <f aca="false">IF(CH$35&gt;=$AC$294,CH$35-$AC$294+1,0)</f>
        <v>0</v>
      </c>
      <c r="CI296" s="237" t="n">
        <f aca="false">IF(CI$35&gt;=$AC$294,CI$35-$AC$294+1,0)</f>
        <v>0</v>
      </c>
      <c r="CJ296" s="237" t="n">
        <f aca="false">IF(CJ$35&gt;=$AC$294,CJ$35-$AC$294+1,0)</f>
        <v>0</v>
      </c>
      <c r="CK296" s="237" t="n">
        <f aca="false">IF(CK$35&gt;=$AC$294,CK$35-$AC$294+1,0)</f>
        <v>0</v>
      </c>
      <c r="CL296" s="237" t="n">
        <f aca="false">IF(CL$35&gt;=$AC$294,CL$35-$AC$294+1,0)</f>
        <v>0</v>
      </c>
      <c r="CM296" s="237" t="n">
        <f aca="false">IF(CM$35&gt;=$AC$294,CM$35-$AC$294+1,0)</f>
        <v>0</v>
      </c>
      <c r="CN296" s="237" t="n">
        <f aca="false">IF(CN$35&gt;=$AC$294,CN$35-$AC$294+1,0)</f>
        <v>0</v>
      </c>
      <c r="CO296" s="237" t="n">
        <f aca="false">IF(CO$35&gt;=$AC$294,CO$35-$AC$294+1,0)</f>
        <v>0</v>
      </c>
      <c r="CP296" s="237" t="n">
        <f aca="false">IF(CP$35&gt;=$AC$294,CP$35-$AC$294+1,0)</f>
        <v>0</v>
      </c>
      <c r="CQ296" s="237" t="n">
        <f aca="false">IF(CQ$35&gt;=$AC$294,CQ$35-$AC$294+1,0)</f>
        <v>0</v>
      </c>
      <c r="CR296" s="237" t="n">
        <f aca="false">IF(CR$35&gt;=$AC$294,CR$35-$AC$294+1,0)</f>
        <v>0</v>
      </c>
      <c r="CS296" s="237" t="n">
        <f aca="false">IF(CS$35&gt;=$AC$294,CS$35-$AC$294+1,0)</f>
        <v>0</v>
      </c>
      <c r="CT296" s="237" t="n">
        <f aca="false">IF(CT$35&gt;=$AC$294,CT$35-$AC$294+1,0)</f>
        <v>0</v>
      </c>
      <c r="CU296" s="237" t="n">
        <f aca="false">IF(CU$35&gt;=$AC$294,CU$35-$AC$294+1,0)</f>
        <v>0</v>
      </c>
      <c r="CV296" s="237" t="n">
        <f aca="false">IF(CV$35&gt;=$AC$294,CV$35-$AC$294+1,0)</f>
        <v>0</v>
      </c>
      <c r="CW296" s="237" t="n">
        <f aca="false">IF(CW$35&gt;=$AC$294,CW$35-$AC$294+1,0)</f>
        <v>0</v>
      </c>
      <c r="CX296" s="237" t="n">
        <f aca="false">IF(CX$35&gt;=$AC$294,CX$35-$AC$294+1,0)</f>
        <v>0</v>
      </c>
      <c r="CY296" s="237" t="n">
        <f aca="false">IF(CY$35&gt;=$AC$294,CY$35-$AC$294+1,0)</f>
        <v>0</v>
      </c>
      <c r="CZ296" s="237" t="n">
        <f aca="false">IF(CZ$35&gt;=$AC$294,CZ$35-$AC$294+1,0)</f>
        <v>0</v>
      </c>
      <c r="DA296" s="237" t="n">
        <f aca="false">IF(DA$35&gt;=$AC$294,DA$35-$AC$294+1,0)</f>
        <v>0</v>
      </c>
      <c r="DB296" s="237" t="n">
        <f aca="false">IF(DB$35&gt;=$AC$294,DB$35-$AC$294+1,0)</f>
        <v>0</v>
      </c>
      <c r="DC296" s="237" t="n">
        <f aca="false">IF(DC$35&gt;=$AC$294,DC$35-$AC$294+1,0)</f>
        <v>0</v>
      </c>
      <c r="DD296" s="237" t="n">
        <f aca="false">IF(DD$35&gt;=$AC$294,DD$35-$AC$294+1,0)</f>
        <v>0</v>
      </c>
      <c r="DE296" s="237" t="n">
        <f aca="false">IF(DE$35&gt;=$AC$294,DE$35-$AC$294+1,0)</f>
        <v>0</v>
      </c>
      <c r="DF296" s="237" t="n">
        <f aca="false">IF(DF$35&gt;=$AC$294,DF$35-$AC$294+1,0)</f>
        <v>0</v>
      </c>
      <c r="DG296" s="237" t="n">
        <f aca="false">IF(DG$35&gt;=$AC$294,DG$35-$AC$294+1,0)</f>
        <v>0</v>
      </c>
      <c r="DH296" s="237" t="n">
        <f aca="false">IF(DH$35&gt;=$AC$294,DH$35-$AC$294+1,0)</f>
        <v>0</v>
      </c>
      <c r="DI296" s="237" t="n">
        <f aca="false">IF(DI$35&gt;=$AC$294,DI$35-$AC$294+1,0)</f>
        <v>0</v>
      </c>
      <c r="DJ296" s="237" t="n">
        <f aca="false">IF(DJ$35&gt;=$AC$294,DJ$35-$AC$294+1,0)</f>
        <v>0</v>
      </c>
      <c r="DK296" s="237" t="n">
        <f aca="false">IF(DK$35&gt;=$AC$294,DK$35-$AC$294+1,0)</f>
        <v>0</v>
      </c>
      <c r="DL296" s="237" t="n">
        <f aca="false">IF(DL$35&gt;=$AC$294,DL$35-$AC$294+1,0)</f>
        <v>0</v>
      </c>
      <c r="DM296" s="237" t="n">
        <f aca="false">IF(DM$35&gt;=$AC$294,DM$35-$AC$294+1,0)</f>
        <v>0</v>
      </c>
      <c r="DN296" s="237" t="n">
        <f aca="false">IF(DN$35&gt;=$AC$294,DN$35-$AC$294+1,0)</f>
        <v>0</v>
      </c>
      <c r="DO296" s="237" t="n">
        <f aca="false">IF(DO$35&gt;=$AC$294,DO$35-$AC$294+1,0)</f>
        <v>0</v>
      </c>
      <c r="DP296" s="237" t="n">
        <f aca="false">IF(DP$35&gt;=$AC$294,DP$35-$AC$294+1,0)</f>
        <v>1</v>
      </c>
      <c r="DQ296" s="237" t="n">
        <f aca="false">IF(DQ$35&gt;=$AC$294,DQ$35-$AC$294+1,0)</f>
        <v>2</v>
      </c>
      <c r="DR296" s="237" t="n">
        <f aca="false">IF(DR$35&gt;=$AC$294,DR$35-$AC$294+1,0)</f>
        <v>3</v>
      </c>
      <c r="DS296" s="237" t="n">
        <f aca="false">IF(DS$35&gt;=$AC$294,DS$35-$AC$294+1,0)</f>
        <v>4</v>
      </c>
      <c r="DT296" s="237" t="n">
        <f aca="false">IF(DT$35&gt;=$AC$294,DT$35-$AC$294+1,0)</f>
        <v>5</v>
      </c>
      <c r="DU296" s="237" t="n">
        <f aca="false">IF(DU$35&gt;=$AC$294,DU$35-$AC$294+1,0)</f>
        <v>6</v>
      </c>
      <c r="DV296" s="237" t="n">
        <f aca="false">IF(DV$35&gt;=$AC$294,DV$35-$AC$294+1,0)</f>
        <v>7</v>
      </c>
      <c r="DW296" s="237" t="n">
        <f aca="false">IF(DW$35&gt;=$AC$294,DW$35-$AC$294+1,0)</f>
        <v>8</v>
      </c>
      <c r="DX296" s="237" t="n">
        <f aca="false">IF(DX$35&gt;=$AC$294,DX$35-$AC$294+1,0)</f>
        <v>9</v>
      </c>
      <c r="DY296" s="237" t="n">
        <f aca="false">IF(DY$35&gt;=$AC$294,DY$35-$AC$294+1,0)</f>
        <v>10</v>
      </c>
      <c r="DZ296" s="237" t="n">
        <f aca="false">IF(DZ$35&gt;=$AC$294,DZ$35-$AC$294+1,0)</f>
        <v>11</v>
      </c>
      <c r="EA296" s="237" t="n">
        <f aca="false">IF(EA$35&gt;=$AC$294,EA$35-$AC$294+1,0)</f>
        <v>12</v>
      </c>
      <c r="EB296" s="237" t="n">
        <f aca="false">IF(EB$35&gt;=$AC$294,EB$35-$AC$294+1,0)</f>
        <v>13</v>
      </c>
      <c r="EC296" s="237" t="n">
        <f aca="false">IF(EC$35&gt;=$AC$294,EC$35-$AC$294+1,0)</f>
        <v>14</v>
      </c>
      <c r="ED296" s="237" t="n">
        <f aca="false">IF(ED$35&gt;=$AC$294,ED$35-$AC$294+1,0)</f>
        <v>15</v>
      </c>
      <c r="EE296" s="237" t="n">
        <f aca="false">IF(EE$35&gt;=$AC$294,EE$35-$AC$294+1,0)</f>
        <v>16</v>
      </c>
      <c r="EF296" s="237" t="n">
        <f aca="false">IF(EF$35&gt;=$AC$294,EF$35-$AC$294+1,0)</f>
        <v>17</v>
      </c>
      <c r="EG296" s="237" t="n">
        <f aca="false">IF(EG$35&gt;=$AC$294,EG$35-$AC$294+1,0)</f>
        <v>18</v>
      </c>
      <c r="EH296" s="237" t="n">
        <f aca="false">IF(EH$35&gt;=$AC$294,EH$35-$AC$294+1,0)</f>
        <v>19</v>
      </c>
      <c r="EI296" s="237" t="n">
        <f aca="false">IF(EI$35&gt;=$AC$294,EI$35-$AC$294+1,0)</f>
        <v>20</v>
      </c>
      <c r="EJ296" s="237" t="n">
        <f aca="false">IF(EJ$35&gt;=$AC$294,EJ$35-$AC$294+1,0)</f>
        <v>21</v>
      </c>
      <c r="EK296" s="237" t="n">
        <f aca="false">IF(EK$35&gt;=$AC$294,EK$35-$AC$294+1,0)</f>
        <v>22</v>
      </c>
      <c r="EL296" s="237" t="n">
        <f aca="false">IF(EL$35&gt;=$AC$294,EL$35-$AC$294+1,0)</f>
        <v>23</v>
      </c>
      <c r="EM296" s="237" t="n">
        <f aca="false">IF(EM$35&gt;=$AC$294,EM$35-$AC$294+1,0)</f>
        <v>24</v>
      </c>
      <c r="EN296" s="237" t="n">
        <f aca="false">IF(EN$35&gt;=$AC$294,EN$35-$AC$294+1,0)</f>
        <v>25</v>
      </c>
      <c r="EO296" s="237" t="n">
        <f aca="false">IF(EO$35&gt;=$AC$294,EO$35-$AC$294+1,0)</f>
        <v>26</v>
      </c>
      <c r="EP296" s="237" t="n">
        <f aca="false">IF(EP$35&gt;=$AC$294,EP$35-$AC$294+1,0)</f>
        <v>27</v>
      </c>
      <c r="EQ296" s="237" t="n">
        <f aca="false">IF(EQ$35&gt;=$AC$294,EQ$35-$AC$294+1,0)</f>
        <v>28</v>
      </c>
      <c r="ER296" s="237" t="n">
        <f aca="false">IF(ER$35&gt;=$AC$294,ER$35-$AC$294+1,0)</f>
        <v>29</v>
      </c>
      <c r="ES296" s="9" t="n">
        <f aca="false">IF(ES$35&gt;=$AC$294,ES$35-$AC$294+1,0)</f>
        <v>30</v>
      </c>
      <c r="ET296" s="9" t="n">
        <f aca="false">IF(ET$35&gt;=$AC$294,ET$35-$AC$294+1,0)</f>
        <v>31</v>
      </c>
      <c r="EU296" s="9" t="n">
        <f aca="false">IF(EU$35&gt;=$AC$294,EU$35-$AC$294+1,0)</f>
        <v>32</v>
      </c>
      <c r="EV296" s="9" t="n">
        <f aca="false">IF(EV$35&gt;=$AC$294,EV$35-$AC$294+1,0)</f>
        <v>33</v>
      </c>
      <c r="EW296" s="9" t="n">
        <f aca="false">IF(EW$35&gt;=$AC$294,EW$35-$AC$294+1,0)</f>
        <v>34</v>
      </c>
      <c r="EX296" s="9" t="n">
        <f aca="false">IF(EX$35&gt;=$AC$294,EX$35-$AC$294+1,0)</f>
        <v>35</v>
      </c>
      <c r="EY296" s="9" t="n">
        <f aca="false">IF(EY$35&gt;=$AC$294,EY$35-$AC$294+1,0)</f>
        <v>36</v>
      </c>
      <c r="EZ296" s="9" t="n">
        <f aca="false">IF(EZ$35&gt;=$AC$294,EZ$35-$AC$294+1,0)</f>
        <v>37</v>
      </c>
      <c r="FA296" s="9" t="n">
        <f aca="false">IF(FA$35&gt;=$AC$294,FA$35-$AC$294+1,0)</f>
        <v>38</v>
      </c>
      <c r="FB296" s="9" t="n">
        <f aca="false">IF(FB$35&gt;=$AC$294,FB$35-$AC$294+1,0)</f>
        <v>39</v>
      </c>
      <c r="FC296" s="9" t="n">
        <f aca="false">IF(FC$35&gt;=$AC$294,FC$35-$AC$294+1,0)</f>
        <v>40</v>
      </c>
      <c r="FD296" s="9" t="n">
        <f aca="false">IF(FD$35&gt;=$AC$294,FD$35-$AC$294+1,0)</f>
        <v>41</v>
      </c>
      <c r="FE296" s="9" t="n">
        <f aca="false">IF(FE$35&gt;=$AC$294,FE$35-$AC$294+1,0)</f>
        <v>42</v>
      </c>
      <c r="FF296" s="9" t="n">
        <f aca="false">IF(FF$35&gt;=$AC$294,FF$35-$AC$294+1,0)</f>
        <v>43</v>
      </c>
      <c r="FG296" s="9" t="n">
        <f aca="false">IF(FG$35&gt;=$AC$294,FG$35-$AC$294+1,0)</f>
        <v>44</v>
      </c>
      <c r="FH296" s="9" t="n">
        <f aca="false">IF(FH$35&gt;=$AC$294,FH$35-$AC$294+1,0)</f>
        <v>45</v>
      </c>
      <c r="FI296" s="9" t="n">
        <f aca="false">IF(FI$35&gt;=$AC$294,FI$35-$AC$294+1,0)</f>
        <v>46</v>
      </c>
      <c r="FJ296" s="9" t="n">
        <f aca="false">IF(FJ$35&gt;=$AC$294,FJ$35-$AC$294+1,0)</f>
        <v>47</v>
      </c>
      <c r="FK296" s="9" t="n">
        <f aca="false">IF(FK$35&gt;=$AC$294,FK$35-$AC$294+1,0)</f>
        <v>48</v>
      </c>
      <c r="FL296" s="9" t="n">
        <f aca="false">IF(FL$35&gt;=$AC$294,FL$35-$AC$294+1,0)</f>
        <v>49</v>
      </c>
      <c r="FM296" s="9" t="n">
        <f aca="false">IF(FM$35&gt;=$AC$294,FM$35-$AC$294+1,0)</f>
        <v>50</v>
      </c>
      <c r="FN296" s="9" t="n">
        <f aca="false">IF(FN$35&gt;=$AC$294,FN$35-$AC$294+1,0)</f>
        <v>51</v>
      </c>
      <c r="FO296" s="9" t="n">
        <f aca="false">IF(FO$35&gt;=$AC$294,FO$35-$AC$294+1,0)</f>
        <v>52</v>
      </c>
      <c r="FP296" s="9" t="n">
        <f aca="false">IF(FP$35&gt;=$AC$294,FP$35-$AC$294+1,0)</f>
        <v>53</v>
      </c>
    </row>
    <row r="297" customFormat="false" ht="15" hidden="false" customHeight="false" outlineLevel="2" collapsed="false">
      <c r="B297" s="47" t="s">
        <v>874</v>
      </c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237" t="n">
        <f aca="false" t="array" ref="AC297:AC297">IF(AC296=0,0,IF(AC296/('🎚️ Escenario'!$C$10*'🎚️ Escenario'!$C$11)&gt;=36,$AL$23,INDEX($C$23:$AL$23,MAX(1,ROUNDUP(AC296/('🎚️ Escenario'!$C$10*'🎚️ Escenario'!$C$11),0)))))</f>
        <v>0</v>
      </c>
      <c r="AD297" s="237" t="n">
        <f aca="false" t="array" ref="AD297:AD297">IF(AD296=0,0,IF(AD296/('🎚️ Escenario'!$C$10*'🎚️ Escenario'!$C$11)&gt;=36,$AL$23,INDEX($C$23:$AL$23,MAX(1,ROUNDUP(AD296/('🎚️ Escenario'!$C$10*'🎚️ Escenario'!$C$11),0)))))</f>
        <v>0</v>
      </c>
      <c r="AE297" s="237" t="n">
        <f aca="false" t="array" ref="AE297:AE297">IF(AE296=0,0,IF(AE296/('🎚️ Escenario'!$C$10*'🎚️ Escenario'!$C$11)&gt;=36,$AL$23,INDEX($C$23:$AL$23,MAX(1,ROUNDUP(AE296/('🎚️ Escenario'!$C$10*'🎚️ Escenario'!$C$11),0)))))</f>
        <v>0</v>
      </c>
      <c r="AF297" s="237" t="n">
        <f aca="false" t="array" ref="AF297:AF297">IF(AF296=0,0,IF(AF296/('🎚️ Escenario'!$C$10*'🎚️ Escenario'!$C$11)&gt;=36,$AL$23,INDEX($C$23:$AL$23,MAX(1,ROUNDUP(AF296/('🎚️ Escenario'!$C$10*'🎚️ Escenario'!$C$11),0)))))</f>
        <v>0</v>
      </c>
      <c r="AG297" s="237" t="n">
        <f aca="false" t="array" ref="AG297:AG297">IF(AG296=0,0,IF(AG296/('🎚️ Escenario'!$C$10*'🎚️ Escenario'!$C$11)&gt;=36,$AL$23,INDEX($C$23:$AL$23,MAX(1,ROUNDUP(AG296/('🎚️ Escenario'!$C$10*'🎚️ Escenario'!$C$11),0)))))</f>
        <v>0</v>
      </c>
      <c r="AH297" s="237" t="n">
        <f aca="false" t="array" ref="AH297:AH297">IF(AH296=0,0,IF(AH296/('🎚️ Escenario'!$C$10*'🎚️ Escenario'!$C$11)&gt;=36,$AL$23,INDEX($C$23:$AL$23,MAX(1,ROUNDUP(AH296/('🎚️ Escenario'!$C$10*'🎚️ Escenario'!$C$11),0)))))</f>
        <v>0</v>
      </c>
      <c r="AI297" s="237" t="n">
        <f aca="false" t="array" ref="AI297:AI297">IF(AI296=0,0,IF(AI296/('🎚️ Escenario'!$C$10*'🎚️ Escenario'!$C$11)&gt;=36,$AL$23,INDEX($C$23:$AL$23,MAX(1,ROUNDUP(AI296/('🎚️ Escenario'!$C$10*'🎚️ Escenario'!$C$11),0)))))</f>
        <v>0</v>
      </c>
      <c r="AJ297" s="237" t="n">
        <f aca="false" t="array" ref="AJ297:AJ297">IF(AJ296=0,0,IF(AJ296/('🎚️ Escenario'!$C$10*'🎚️ Escenario'!$C$11)&gt;=36,$AL$23,INDEX($C$23:$AL$23,MAX(1,ROUNDUP(AJ296/('🎚️ Escenario'!$C$10*'🎚️ Escenario'!$C$11),0)))))</f>
        <v>0</v>
      </c>
      <c r="AK297" s="237" t="n">
        <f aca="false" t="array" ref="AK297:AK297">IF(AK296=0,0,IF(AK296/('🎚️ Escenario'!$C$10*'🎚️ Escenario'!$C$11)&gt;=36,$AL$23,INDEX($C$23:$AL$23,MAX(1,ROUNDUP(AK296/('🎚️ Escenario'!$C$10*'🎚️ Escenario'!$C$11),0)))))</f>
        <v>0</v>
      </c>
      <c r="AL297" s="237" t="n">
        <f aca="false" t="array" ref="AL297:AL297">IF(AL296=0,0,IF(AL296/('🎚️ Escenario'!$C$10*'🎚️ Escenario'!$C$11)&gt;=36,$AL$23,INDEX($C$23:$AL$23,MAX(1,ROUNDUP(AL296/('🎚️ Escenario'!$C$10*'🎚️ Escenario'!$C$11),0)))))</f>
        <v>0</v>
      </c>
      <c r="AM297" s="237" t="n">
        <f aca="false" t="array" ref="AM297:AM297">IF(AM296=0,0,IF(AM296/('🎚️ Escenario'!$C$10*'🎚️ Escenario'!$C$11)&gt;=36,$AL$23,INDEX($C$23:$AL$23,MAX(1,ROUNDUP(AM296/('🎚️ Escenario'!$C$10*'🎚️ Escenario'!$C$11),0)))))</f>
        <v>0</v>
      </c>
      <c r="AN297" s="237" t="n">
        <f aca="false" t="array" ref="AN297:AN297">IF(AN296=0,0,IF(AN296/('🎚️ Escenario'!$C$10*'🎚️ Escenario'!$C$11)&gt;=36,$AL$23,INDEX($C$23:$AL$23,MAX(1,ROUNDUP(AN296/('🎚️ Escenario'!$C$10*'🎚️ Escenario'!$C$11),0)))))</f>
        <v>0</v>
      </c>
      <c r="AO297" s="237" t="n">
        <f aca="false" t="array" ref="AO297:AO297">IF(AO296=0,0,IF(AO296/('🎚️ Escenario'!$C$10*'🎚️ Escenario'!$C$11)&gt;=36,$AL$23,INDEX($C$23:$AL$23,MAX(1,ROUNDUP(AO296/('🎚️ Escenario'!$C$10*'🎚️ Escenario'!$C$11),0)))))</f>
        <v>0</v>
      </c>
      <c r="AP297" s="237" t="n">
        <f aca="false" t="array" ref="AP297:AP297">IF(AP296=0,0,IF(AP296/('🎚️ Escenario'!$C$10*'🎚️ Escenario'!$C$11)&gt;=36,$AL$23,INDEX($C$23:$AL$23,MAX(1,ROUNDUP(AP296/('🎚️ Escenario'!$C$10*'🎚️ Escenario'!$C$11),0)))))</f>
        <v>0</v>
      </c>
      <c r="AQ297" s="237" t="n">
        <f aca="false" t="array" ref="AQ297:AQ297">IF(AQ296=0,0,IF(AQ296/('🎚️ Escenario'!$C$10*'🎚️ Escenario'!$C$11)&gt;=36,$AL$23,INDEX($C$23:$AL$23,MAX(1,ROUNDUP(AQ296/('🎚️ Escenario'!$C$10*'🎚️ Escenario'!$C$11),0)))))</f>
        <v>0</v>
      </c>
      <c r="AR297" s="237" t="n">
        <f aca="false" t="array" ref="AR297:AR297">IF(AR296=0,0,IF(AR296/('🎚️ Escenario'!$C$10*'🎚️ Escenario'!$C$11)&gt;=36,$AL$23,INDEX($C$23:$AL$23,MAX(1,ROUNDUP(AR296/('🎚️ Escenario'!$C$10*'🎚️ Escenario'!$C$11),0)))))</f>
        <v>0</v>
      </c>
      <c r="AS297" s="237" t="n">
        <f aca="false" t="array" ref="AS297:AS297">IF(AS296=0,0,IF(AS296/('🎚️ Escenario'!$C$10*'🎚️ Escenario'!$C$11)&gt;=36,$AL$23,INDEX($C$23:$AL$23,MAX(1,ROUNDUP(AS296/('🎚️ Escenario'!$C$10*'🎚️ Escenario'!$C$11),0)))))</f>
        <v>0</v>
      </c>
      <c r="AT297" s="237" t="n">
        <f aca="false" t="array" ref="AT297:AT297">IF(AT296=0,0,IF(AT296/('🎚️ Escenario'!$C$10*'🎚️ Escenario'!$C$11)&gt;=36,$AL$23,INDEX($C$23:$AL$23,MAX(1,ROUNDUP(AT296/('🎚️ Escenario'!$C$10*'🎚️ Escenario'!$C$11),0)))))</f>
        <v>0</v>
      </c>
      <c r="AU297" s="237" t="n">
        <f aca="false" t="array" ref="AU297:AU297">IF(AU296=0,0,IF(AU296/('🎚️ Escenario'!$C$10*'🎚️ Escenario'!$C$11)&gt;=36,$AL$23,INDEX($C$23:$AL$23,MAX(1,ROUNDUP(AU296/('🎚️ Escenario'!$C$10*'🎚️ Escenario'!$C$11),0)))))</f>
        <v>0</v>
      </c>
      <c r="AV297" s="237" t="n">
        <f aca="false" t="array" ref="AV297:AV297">IF(AV296=0,0,IF(AV296/('🎚️ Escenario'!$C$10*'🎚️ Escenario'!$C$11)&gt;=36,$AL$23,INDEX($C$23:$AL$23,MAX(1,ROUNDUP(AV296/('🎚️ Escenario'!$C$10*'🎚️ Escenario'!$C$11),0)))))</f>
        <v>0</v>
      </c>
      <c r="AW297" s="237" t="n">
        <f aca="false" t="array" ref="AW297:AW297">IF(AW296=0,0,IF(AW296/('🎚️ Escenario'!$C$10*'🎚️ Escenario'!$C$11)&gt;=36,$AL$23,INDEX($C$23:$AL$23,MAX(1,ROUNDUP(AW296/('🎚️ Escenario'!$C$10*'🎚️ Escenario'!$C$11),0)))))</f>
        <v>0</v>
      </c>
      <c r="AX297" s="237" t="n">
        <f aca="false" t="array" ref="AX297:AX297">IF(AX296=0,0,IF(AX296/('🎚️ Escenario'!$C$10*'🎚️ Escenario'!$C$11)&gt;=36,$AL$23,INDEX($C$23:$AL$23,MAX(1,ROUNDUP(AX296/('🎚️ Escenario'!$C$10*'🎚️ Escenario'!$C$11),0)))))</f>
        <v>0</v>
      </c>
      <c r="AY297" s="237" t="n">
        <f aca="false" t="array" ref="AY297:AY297">IF(AY296=0,0,IF(AY296/('🎚️ Escenario'!$C$10*'🎚️ Escenario'!$C$11)&gt;=36,$AL$23,INDEX($C$23:$AL$23,MAX(1,ROUNDUP(AY296/('🎚️ Escenario'!$C$10*'🎚️ Escenario'!$C$11),0)))))</f>
        <v>0</v>
      </c>
      <c r="AZ297" s="237" t="n">
        <f aca="false" t="array" ref="AZ297:AZ297">IF(AZ296=0,0,IF(AZ296/('🎚️ Escenario'!$C$10*'🎚️ Escenario'!$C$11)&gt;=36,$AL$23,INDEX($C$23:$AL$23,MAX(1,ROUNDUP(AZ296/('🎚️ Escenario'!$C$10*'🎚️ Escenario'!$C$11),0)))))</f>
        <v>0</v>
      </c>
      <c r="BA297" s="237" t="n">
        <f aca="false" t="array" ref="BA297:BA297">IF(BA296=0,0,IF(BA296/('🎚️ Escenario'!$C$10*'🎚️ Escenario'!$C$11)&gt;=36,$AL$23,INDEX($C$23:$AL$23,MAX(1,ROUNDUP(BA296/('🎚️ Escenario'!$C$10*'🎚️ Escenario'!$C$11),0)))))</f>
        <v>0</v>
      </c>
      <c r="BB297" s="237" t="n">
        <f aca="false" t="array" ref="BB297:BB297">IF(BB296=0,0,IF(BB296/('🎚️ Escenario'!$C$10*'🎚️ Escenario'!$C$11)&gt;=36,$AL$23,INDEX($C$23:$AL$23,MAX(1,ROUNDUP(BB296/('🎚️ Escenario'!$C$10*'🎚️ Escenario'!$C$11),0)))))</f>
        <v>0</v>
      </c>
      <c r="BC297" s="237" t="n">
        <f aca="false" t="array" ref="BC297:BC297">IF(BC296=0,0,IF(BC296/('🎚️ Escenario'!$C$10*'🎚️ Escenario'!$C$11)&gt;=36,$AL$23,INDEX($C$23:$AL$23,MAX(1,ROUNDUP(BC296/('🎚️ Escenario'!$C$10*'🎚️ Escenario'!$C$11),0)))))</f>
        <v>0</v>
      </c>
      <c r="BD297" s="237" t="n">
        <f aca="false" t="array" ref="BD297:BD297">IF(BD296=0,0,IF(BD296/('🎚️ Escenario'!$C$10*'🎚️ Escenario'!$C$11)&gt;=36,$AL$23,INDEX($C$23:$AL$23,MAX(1,ROUNDUP(BD296/('🎚️ Escenario'!$C$10*'🎚️ Escenario'!$C$11),0)))))</f>
        <v>0</v>
      </c>
      <c r="BE297" s="237" t="n">
        <f aca="false" t="array" ref="BE297:BE297">IF(BE296=0,0,IF(BE296/('🎚️ Escenario'!$C$10*'🎚️ Escenario'!$C$11)&gt;=36,$AL$23,INDEX($C$23:$AL$23,MAX(1,ROUNDUP(BE296/('🎚️ Escenario'!$C$10*'🎚️ Escenario'!$C$11),0)))))</f>
        <v>0</v>
      </c>
      <c r="BF297" s="237" t="n">
        <f aca="false" t="array" ref="BF297:BF297">IF(BF296=0,0,IF(BF296/('🎚️ Escenario'!$C$10*'🎚️ Escenario'!$C$11)&gt;=36,$AL$23,INDEX($C$23:$AL$23,MAX(1,ROUNDUP(BF296/('🎚️ Escenario'!$C$10*'🎚️ Escenario'!$C$11),0)))))</f>
        <v>0</v>
      </c>
      <c r="BG297" s="237" t="n">
        <f aca="false" t="array" ref="BG297:BG297">IF(BG296=0,0,IF(BG296/('🎚️ Escenario'!$C$10*'🎚️ Escenario'!$C$11)&gt;=36,$AL$23,INDEX($C$23:$AL$23,MAX(1,ROUNDUP(BG296/('🎚️ Escenario'!$C$10*'🎚️ Escenario'!$C$11),0)))))</f>
        <v>0</v>
      </c>
      <c r="BH297" s="237" t="n">
        <f aca="false" t="array" ref="BH297:BH297">IF(BH296=0,0,IF(BH296/('🎚️ Escenario'!$C$10*'🎚️ Escenario'!$C$11)&gt;=36,$AL$23,INDEX($C$23:$AL$23,MAX(1,ROUNDUP(BH296/('🎚️ Escenario'!$C$10*'🎚️ Escenario'!$C$11),0)))))</f>
        <v>0</v>
      </c>
      <c r="BI297" s="237" t="n">
        <f aca="false" t="array" ref="BI297:BI297">IF(BI296=0,0,IF(BI296/('🎚️ Escenario'!$C$10*'🎚️ Escenario'!$C$11)&gt;=36,$AL$23,INDEX($C$23:$AL$23,MAX(1,ROUNDUP(BI296/('🎚️ Escenario'!$C$10*'🎚️ Escenario'!$C$11),0)))))</f>
        <v>0</v>
      </c>
      <c r="BJ297" s="237" t="n">
        <f aca="false" t="array" ref="BJ297:BJ297">IF(BJ296=0,0,IF(BJ296/('🎚️ Escenario'!$C$10*'🎚️ Escenario'!$C$11)&gt;=36,$AL$23,INDEX($C$23:$AL$23,MAX(1,ROUNDUP(BJ296/('🎚️ Escenario'!$C$10*'🎚️ Escenario'!$C$11),0)))))</f>
        <v>0</v>
      </c>
      <c r="BK297" s="237" t="n">
        <f aca="false" t="array" ref="BK297:BK297">IF(BK296=0,0,IF(BK296/('🎚️ Escenario'!$C$10*'🎚️ Escenario'!$C$11)&gt;=36,$AL$23,INDEX($C$23:$AL$23,MAX(1,ROUNDUP(BK296/('🎚️ Escenario'!$C$10*'🎚️ Escenario'!$C$11),0)))))</f>
        <v>0</v>
      </c>
      <c r="BL297" s="237" t="n">
        <f aca="false" t="array" ref="BL297:BL297">IF(BL296=0,0,IF(BL296/('🎚️ Escenario'!$C$10*'🎚️ Escenario'!$C$11)&gt;=36,$AL$23,INDEX($C$23:$AL$23,MAX(1,ROUNDUP(BL296/('🎚️ Escenario'!$C$10*'🎚️ Escenario'!$C$11),0)))))</f>
        <v>0</v>
      </c>
      <c r="BM297" s="237" t="n">
        <f aca="false" t="array" ref="BM297:BM297">IF(BM296=0,0,IF(BM296/('🎚️ Escenario'!$C$10*'🎚️ Escenario'!$C$11)&gt;=36,$AL$23,INDEX($C$23:$AL$23,MAX(1,ROUNDUP(BM296/('🎚️ Escenario'!$C$10*'🎚️ Escenario'!$C$11),0)))))</f>
        <v>0</v>
      </c>
      <c r="BN297" s="237" t="n">
        <f aca="false" t="array" ref="BN297:BN297">IF(BN296=0,0,IF(BN296/('🎚️ Escenario'!$C$10*'🎚️ Escenario'!$C$11)&gt;=36,$AL$23,INDEX($C$23:$AL$23,MAX(1,ROUNDUP(BN296/('🎚️ Escenario'!$C$10*'🎚️ Escenario'!$C$11),0)))))</f>
        <v>0</v>
      </c>
      <c r="BO297" s="237" t="n">
        <f aca="false" t="array" ref="BO297:BO297">IF(BO296=0,0,IF(BO296/('🎚️ Escenario'!$C$10*'🎚️ Escenario'!$C$11)&gt;=36,$AL$23,INDEX($C$23:$AL$23,MAX(1,ROUNDUP(BO296/('🎚️ Escenario'!$C$10*'🎚️ Escenario'!$C$11),0)))))</f>
        <v>0</v>
      </c>
      <c r="BP297" s="237" t="n">
        <f aca="false" t="array" ref="BP297:BP297">IF(BP296=0,0,IF(BP296/('🎚️ Escenario'!$C$10*'🎚️ Escenario'!$C$11)&gt;=36,$AL$23,INDEX($C$23:$AL$23,MAX(1,ROUNDUP(BP296/('🎚️ Escenario'!$C$10*'🎚️ Escenario'!$C$11),0)))))</f>
        <v>0</v>
      </c>
      <c r="BQ297" s="237" t="n">
        <f aca="false" t="array" ref="BQ297:BQ297">IF(BQ296=0,0,IF(BQ296/('🎚️ Escenario'!$C$10*'🎚️ Escenario'!$C$11)&gt;=36,$AL$23,INDEX($C$23:$AL$23,MAX(1,ROUNDUP(BQ296/('🎚️ Escenario'!$C$10*'🎚️ Escenario'!$C$11),0)))))</f>
        <v>0</v>
      </c>
      <c r="BR297" s="237" t="n">
        <f aca="false" t="array" ref="BR297:BR297">IF(BR296=0,0,IF(BR296/('🎚️ Escenario'!$C$10*'🎚️ Escenario'!$C$11)&gt;=36,$AL$23,INDEX($C$23:$AL$23,MAX(1,ROUNDUP(BR296/('🎚️ Escenario'!$C$10*'🎚️ Escenario'!$C$11),0)))))</f>
        <v>0</v>
      </c>
      <c r="BS297" s="237" t="n">
        <f aca="false" t="array" ref="BS297:BS297">IF(BS296=0,0,IF(BS296/('🎚️ Escenario'!$C$10*'🎚️ Escenario'!$C$11)&gt;=36,$AL$23,INDEX($C$23:$AL$23,MAX(1,ROUNDUP(BS296/('🎚️ Escenario'!$C$10*'🎚️ Escenario'!$C$11),0)))))</f>
        <v>0</v>
      </c>
      <c r="BT297" s="237" t="n">
        <f aca="false" t="array" ref="BT297:BT297">IF(BT296=0,0,IF(BT296/('🎚️ Escenario'!$C$10*'🎚️ Escenario'!$C$11)&gt;=36,$AL$23,INDEX($C$23:$AL$23,MAX(1,ROUNDUP(BT296/('🎚️ Escenario'!$C$10*'🎚️ Escenario'!$C$11),0)))))</f>
        <v>0</v>
      </c>
      <c r="BU297" s="237" t="n">
        <f aca="false" t="array" ref="BU297:BU297">IF(BU296=0,0,IF(BU296/('🎚️ Escenario'!$C$10*'🎚️ Escenario'!$C$11)&gt;=36,$AL$23,INDEX($C$23:$AL$23,MAX(1,ROUNDUP(BU296/('🎚️ Escenario'!$C$10*'🎚️ Escenario'!$C$11),0)))))</f>
        <v>0</v>
      </c>
      <c r="BV297" s="237" t="n">
        <f aca="false" t="array" ref="BV297:BV297">IF(BV296=0,0,IF(BV296/('🎚️ Escenario'!$C$10*'🎚️ Escenario'!$C$11)&gt;=36,$AL$23,INDEX($C$23:$AL$23,MAX(1,ROUNDUP(BV296/('🎚️ Escenario'!$C$10*'🎚️ Escenario'!$C$11),0)))))</f>
        <v>0</v>
      </c>
      <c r="BW297" s="237" t="n">
        <f aca="false" t="array" ref="BW297:BW297">IF(BW296=0,0,IF(BW296/('🎚️ Escenario'!$C$10*'🎚️ Escenario'!$C$11)&gt;=36,$AL$23,INDEX($C$23:$AL$23,MAX(1,ROUNDUP(BW296/('🎚️ Escenario'!$C$10*'🎚️ Escenario'!$C$11),0)))))</f>
        <v>0</v>
      </c>
      <c r="BX297" s="237" t="n">
        <f aca="false" t="array" ref="BX297:BX297">IF(BX296=0,0,IF(BX296/('🎚️ Escenario'!$C$10*'🎚️ Escenario'!$C$11)&gt;=36,$AL$23,INDEX($C$23:$AL$23,MAX(1,ROUNDUP(BX296/('🎚️ Escenario'!$C$10*'🎚️ Escenario'!$C$11),0)))))</f>
        <v>0</v>
      </c>
      <c r="BY297" s="237" t="n">
        <f aca="false" t="array" ref="BY297:BY297">IF(BY296=0,0,IF(BY296/('🎚️ Escenario'!$C$10*'🎚️ Escenario'!$C$11)&gt;=36,$AL$23,INDEX($C$23:$AL$23,MAX(1,ROUNDUP(BY296/('🎚️ Escenario'!$C$10*'🎚️ Escenario'!$C$11),0)))))</f>
        <v>0</v>
      </c>
      <c r="BZ297" s="237" t="n">
        <f aca="false" t="array" ref="BZ297:BZ297">IF(BZ296=0,0,IF(BZ296/('🎚️ Escenario'!$C$10*'🎚️ Escenario'!$C$11)&gt;=36,$AL$23,INDEX($C$23:$AL$23,MAX(1,ROUNDUP(BZ296/('🎚️ Escenario'!$C$10*'🎚️ Escenario'!$C$11),0)))))</f>
        <v>0</v>
      </c>
      <c r="CA297" s="237" t="n">
        <f aca="false" t="array" ref="CA297:CA297">IF(CA296=0,0,IF(CA296/('🎚️ Escenario'!$C$10*'🎚️ Escenario'!$C$11)&gt;=36,$AL$23,INDEX($C$23:$AL$23,MAX(1,ROUNDUP(CA296/('🎚️ Escenario'!$C$10*'🎚️ Escenario'!$C$11),0)))))</f>
        <v>0</v>
      </c>
      <c r="CB297" s="237" t="n">
        <f aca="false" t="array" ref="CB297:CB297">IF(CB296=0,0,IF(CB296/('🎚️ Escenario'!$C$10*'🎚️ Escenario'!$C$11)&gt;=36,$AL$23,INDEX($C$23:$AL$23,MAX(1,ROUNDUP(CB296/('🎚️ Escenario'!$C$10*'🎚️ Escenario'!$C$11),0)))))</f>
        <v>0</v>
      </c>
      <c r="CC297" s="237" t="n">
        <f aca="false" t="array" ref="CC297:CC297">IF(CC296=0,0,IF(CC296/('🎚️ Escenario'!$C$10*'🎚️ Escenario'!$C$11)&gt;=36,$AL$23,INDEX($C$23:$AL$23,MAX(1,ROUNDUP(CC296/('🎚️ Escenario'!$C$10*'🎚️ Escenario'!$C$11),0)))))</f>
        <v>0</v>
      </c>
      <c r="CD297" s="237" t="n">
        <f aca="false" t="array" ref="CD297:CD297">IF(CD296=0,0,IF(CD296/('🎚️ Escenario'!$C$10*'🎚️ Escenario'!$C$11)&gt;=36,$AL$23,INDEX($C$23:$AL$23,MAX(1,ROUNDUP(CD296/('🎚️ Escenario'!$C$10*'🎚️ Escenario'!$C$11),0)))))</f>
        <v>0</v>
      </c>
      <c r="CE297" s="237" t="n">
        <f aca="false" t="array" ref="CE297:CE297">IF(CE296=0,0,IF(CE296/('🎚️ Escenario'!$C$10*'🎚️ Escenario'!$C$11)&gt;=36,$AL$23,INDEX($C$23:$AL$23,MAX(1,ROUNDUP(CE296/('🎚️ Escenario'!$C$10*'🎚️ Escenario'!$C$11),0)))))</f>
        <v>0</v>
      </c>
      <c r="CF297" s="237" t="n">
        <f aca="false" t="array" ref="CF297:CF297">IF(CF296=0,0,IF(CF296/('🎚️ Escenario'!$C$10*'🎚️ Escenario'!$C$11)&gt;=36,$AL$23,INDEX($C$23:$AL$23,MAX(1,ROUNDUP(CF296/('🎚️ Escenario'!$C$10*'🎚️ Escenario'!$C$11),0)))))</f>
        <v>0</v>
      </c>
      <c r="CG297" s="237" t="n">
        <f aca="false" t="array" ref="CG297:CG297">IF(CG296=0,0,IF(CG296/('🎚️ Escenario'!$C$10*'🎚️ Escenario'!$C$11)&gt;=36,$AL$23,INDEX($C$23:$AL$23,MAX(1,ROUNDUP(CG296/('🎚️ Escenario'!$C$10*'🎚️ Escenario'!$C$11),0)))))</f>
        <v>0</v>
      </c>
      <c r="CH297" s="237" t="n">
        <f aca="false" t="array" ref="CH297:CH297">IF(CH296=0,0,IF(CH296/('🎚️ Escenario'!$C$10*'🎚️ Escenario'!$C$11)&gt;=36,$AL$23,INDEX($C$23:$AL$23,MAX(1,ROUNDUP(CH296/('🎚️ Escenario'!$C$10*'🎚️ Escenario'!$C$11),0)))))</f>
        <v>0</v>
      </c>
      <c r="CI297" s="237" t="n">
        <f aca="false" t="array" ref="CI297:CI297">IF(CI296=0,0,IF(CI296/('🎚️ Escenario'!$C$10*'🎚️ Escenario'!$C$11)&gt;=36,$AL$23,INDEX($C$23:$AL$23,MAX(1,ROUNDUP(CI296/('🎚️ Escenario'!$C$10*'🎚️ Escenario'!$C$11),0)))))</f>
        <v>0</v>
      </c>
      <c r="CJ297" s="237" t="n">
        <f aca="false" t="array" ref="CJ297:CJ297">IF(CJ296=0,0,IF(CJ296/('🎚️ Escenario'!$C$10*'🎚️ Escenario'!$C$11)&gt;=36,$AL$23,INDEX($C$23:$AL$23,MAX(1,ROUNDUP(CJ296/('🎚️ Escenario'!$C$10*'🎚️ Escenario'!$C$11),0)))))</f>
        <v>0</v>
      </c>
      <c r="CK297" s="237" t="n">
        <f aca="false" t="array" ref="CK297:CK297">IF(CK296=0,0,IF(CK296/('🎚️ Escenario'!$C$10*'🎚️ Escenario'!$C$11)&gt;=36,$AL$23,INDEX($C$23:$AL$23,MAX(1,ROUNDUP(CK296/('🎚️ Escenario'!$C$10*'🎚️ Escenario'!$C$11),0)))))</f>
        <v>0</v>
      </c>
      <c r="CL297" s="237" t="n">
        <f aca="false" t="array" ref="CL297:CL297">IF(CL296=0,0,IF(CL296/('🎚️ Escenario'!$C$10*'🎚️ Escenario'!$C$11)&gt;=36,$AL$23,INDEX($C$23:$AL$23,MAX(1,ROUNDUP(CL296/('🎚️ Escenario'!$C$10*'🎚️ Escenario'!$C$11),0)))))</f>
        <v>0</v>
      </c>
      <c r="CM297" s="237" t="n">
        <f aca="false" t="array" ref="CM297:CM297">IF(CM296=0,0,IF(CM296/('🎚️ Escenario'!$C$10*'🎚️ Escenario'!$C$11)&gt;=36,$AL$23,INDEX($C$23:$AL$23,MAX(1,ROUNDUP(CM296/('🎚️ Escenario'!$C$10*'🎚️ Escenario'!$C$11),0)))))</f>
        <v>0</v>
      </c>
      <c r="CN297" s="237" t="n">
        <f aca="false" t="array" ref="CN297:CN297">IF(CN296=0,0,IF(CN296/('🎚️ Escenario'!$C$10*'🎚️ Escenario'!$C$11)&gt;=36,$AL$23,INDEX($C$23:$AL$23,MAX(1,ROUNDUP(CN296/('🎚️ Escenario'!$C$10*'🎚️ Escenario'!$C$11),0)))))</f>
        <v>0</v>
      </c>
      <c r="CO297" s="237" t="n">
        <f aca="false" t="array" ref="CO297:CO297">IF(CO296=0,0,IF(CO296/('🎚️ Escenario'!$C$10*'🎚️ Escenario'!$C$11)&gt;=36,$AL$23,INDEX($C$23:$AL$23,MAX(1,ROUNDUP(CO296/('🎚️ Escenario'!$C$10*'🎚️ Escenario'!$C$11),0)))))</f>
        <v>0</v>
      </c>
      <c r="CP297" s="237" t="n">
        <f aca="false" t="array" ref="CP297:CP297">IF(CP296=0,0,IF(CP296/('🎚️ Escenario'!$C$10*'🎚️ Escenario'!$C$11)&gt;=36,$AL$23,INDEX($C$23:$AL$23,MAX(1,ROUNDUP(CP296/('🎚️ Escenario'!$C$10*'🎚️ Escenario'!$C$11),0)))))</f>
        <v>0</v>
      </c>
      <c r="CQ297" s="237" t="n">
        <f aca="false" t="array" ref="CQ297:CQ297">IF(CQ296=0,0,IF(CQ296/('🎚️ Escenario'!$C$10*'🎚️ Escenario'!$C$11)&gt;=36,$AL$23,INDEX($C$23:$AL$23,MAX(1,ROUNDUP(CQ296/('🎚️ Escenario'!$C$10*'🎚️ Escenario'!$C$11),0)))))</f>
        <v>0</v>
      </c>
      <c r="CR297" s="237" t="n">
        <f aca="false" t="array" ref="CR297:CR297">IF(CR296=0,0,IF(CR296/('🎚️ Escenario'!$C$10*'🎚️ Escenario'!$C$11)&gt;=36,$AL$23,INDEX($C$23:$AL$23,MAX(1,ROUNDUP(CR296/('🎚️ Escenario'!$C$10*'🎚️ Escenario'!$C$11),0)))))</f>
        <v>0</v>
      </c>
      <c r="CS297" s="237" t="n">
        <f aca="false" t="array" ref="CS297:CS297">IF(CS296=0,0,IF(CS296/('🎚️ Escenario'!$C$10*'🎚️ Escenario'!$C$11)&gt;=36,$AL$23,INDEX($C$23:$AL$23,MAX(1,ROUNDUP(CS296/('🎚️ Escenario'!$C$10*'🎚️ Escenario'!$C$11),0)))))</f>
        <v>0</v>
      </c>
      <c r="CT297" s="237" t="n">
        <f aca="false" t="array" ref="CT297:CT297">IF(CT296=0,0,IF(CT296/('🎚️ Escenario'!$C$10*'🎚️ Escenario'!$C$11)&gt;=36,$AL$23,INDEX($C$23:$AL$23,MAX(1,ROUNDUP(CT296/('🎚️ Escenario'!$C$10*'🎚️ Escenario'!$C$11),0)))))</f>
        <v>0</v>
      </c>
      <c r="CU297" s="237" t="n">
        <f aca="false" t="array" ref="CU297:CU297">IF(CU296=0,0,IF(CU296/('🎚️ Escenario'!$C$10*'🎚️ Escenario'!$C$11)&gt;=36,$AL$23,INDEX($C$23:$AL$23,MAX(1,ROUNDUP(CU296/('🎚️ Escenario'!$C$10*'🎚️ Escenario'!$C$11),0)))))</f>
        <v>0</v>
      </c>
      <c r="CV297" s="237" t="n">
        <f aca="false" t="array" ref="CV297:CV297">IF(CV296=0,0,IF(CV296/('🎚️ Escenario'!$C$10*'🎚️ Escenario'!$C$11)&gt;=36,$AL$23,INDEX($C$23:$AL$23,MAX(1,ROUNDUP(CV296/('🎚️ Escenario'!$C$10*'🎚️ Escenario'!$C$11),0)))))</f>
        <v>0</v>
      </c>
      <c r="CW297" s="237" t="n">
        <f aca="false" t="array" ref="CW297:CW297">IF(CW296=0,0,IF(CW296/('🎚️ Escenario'!$C$10*'🎚️ Escenario'!$C$11)&gt;=36,$AL$23,INDEX($C$23:$AL$23,MAX(1,ROUNDUP(CW296/('🎚️ Escenario'!$C$10*'🎚️ Escenario'!$C$11),0)))))</f>
        <v>0</v>
      </c>
      <c r="CX297" s="237" t="n">
        <f aca="false" t="array" ref="CX297:CX297">IF(CX296=0,0,IF(CX296/('🎚️ Escenario'!$C$10*'🎚️ Escenario'!$C$11)&gt;=36,$AL$23,INDEX($C$23:$AL$23,MAX(1,ROUNDUP(CX296/('🎚️ Escenario'!$C$10*'🎚️ Escenario'!$C$11),0)))))</f>
        <v>0</v>
      </c>
      <c r="CY297" s="237" t="n">
        <f aca="false" t="array" ref="CY297:CY297">IF(CY296=0,0,IF(CY296/('🎚️ Escenario'!$C$10*'🎚️ Escenario'!$C$11)&gt;=36,$AL$23,INDEX($C$23:$AL$23,MAX(1,ROUNDUP(CY296/('🎚️ Escenario'!$C$10*'🎚️ Escenario'!$C$11),0)))))</f>
        <v>0</v>
      </c>
      <c r="CZ297" s="237" t="n">
        <f aca="false" t="array" ref="CZ297:CZ297">IF(CZ296=0,0,IF(CZ296/('🎚️ Escenario'!$C$10*'🎚️ Escenario'!$C$11)&gt;=36,$AL$23,INDEX($C$23:$AL$23,MAX(1,ROUNDUP(CZ296/('🎚️ Escenario'!$C$10*'🎚️ Escenario'!$C$11),0)))))</f>
        <v>0</v>
      </c>
      <c r="DA297" s="237" t="n">
        <f aca="false" t="array" ref="DA297:DA297">IF(DA296=0,0,IF(DA296/('🎚️ Escenario'!$C$10*'🎚️ Escenario'!$C$11)&gt;=36,$AL$23,INDEX($C$23:$AL$23,MAX(1,ROUNDUP(DA296/('🎚️ Escenario'!$C$10*'🎚️ Escenario'!$C$11),0)))))</f>
        <v>0</v>
      </c>
      <c r="DB297" s="237" t="n">
        <f aca="false" t="array" ref="DB297:DB297">IF(DB296=0,0,IF(DB296/('🎚️ Escenario'!$C$10*'🎚️ Escenario'!$C$11)&gt;=36,$AL$23,INDEX($C$23:$AL$23,MAX(1,ROUNDUP(DB296/('🎚️ Escenario'!$C$10*'🎚️ Escenario'!$C$11),0)))))</f>
        <v>0</v>
      </c>
      <c r="DC297" s="237" t="n">
        <f aca="false" t="array" ref="DC297:DC297">IF(DC296=0,0,IF(DC296/('🎚️ Escenario'!$C$10*'🎚️ Escenario'!$C$11)&gt;=36,$AL$23,INDEX($C$23:$AL$23,MAX(1,ROUNDUP(DC296/('🎚️ Escenario'!$C$10*'🎚️ Escenario'!$C$11),0)))))</f>
        <v>0</v>
      </c>
      <c r="DD297" s="237" t="n">
        <f aca="false" t="array" ref="DD297:DD297">IF(DD296=0,0,IF(DD296/('🎚️ Escenario'!$C$10*'🎚️ Escenario'!$C$11)&gt;=36,$AL$23,INDEX($C$23:$AL$23,MAX(1,ROUNDUP(DD296/('🎚️ Escenario'!$C$10*'🎚️ Escenario'!$C$11),0)))))</f>
        <v>0</v>
      </c>
      <c r="DE297" s="237" t="n">
        <f aca="false" t="array" ref="DE297:DE297">IF(DE296=0,0,IF(DE296/('🎚️ Escenario'!$C$10*'🎚️ Escenario'!$C$11)&gt;=36,$AL$23,INDEX($C$23:$AL$23,MAX(1,ROUNDUP(DE296/('🎚️ Escenario'!$C$10*'🎚️ Escenario'!$C$11),0)))))</f>
        <v>0</v>
      </c>
      <c r="DF297" s="237" t="n">
        <f aca="false" t="array" ref="DF297:DF297">IF(DF296=0,0,IF(DF296/('🎚️ Escenario'!$C$10*'🎚️ Escenario'!$C$11)&gt;=36,$AL$23,INDEX($C$23:$AL$23,MAX(1,ROUNDUP(DF296/('🎚️ Escenario'!$C$10*'🎚️ Escenario'!$C$11),0)))))</f>
        <v>0</v>
      </c>
      <c r="DG297" s="237" t="n">
        <f aca="false" t="array" ref="DG297:DG297">IF(DG296=0,0,IF(DG296/('🎚️ Escenario'!$C$10*'🎚️ Escenario'!$C$11)&gt;=36,$AL$23,INDEX($C$23:$AL$23,MAX(1,ROUNDUP(DG296/('🎚️ Escenario'!$C$10*'🎚️ Escenario'!$C$11),0)))))</f>
        <v>0</v>
      </c>
      <c r="DH297" s="237" t="n">
        <f aca="false" t="array" ref="DH297:DH297">IF(DH296=0,0,IF(DH296/('🎚️ Escenario'!$C$10*'🎚️ Escenario'!$C$11)&gt;=36,$AL$23,INDEX($C$23:$AL$23,MAX(1,ROUNDUP(DH296/('🎚️ Escenario'!$C$10*'🎚️ Escenario'!$C$11),0)))))</f>
        <v>0</v>
      </c>
      <c r="DI297" s="237" t="n">
        <f aca="false" t="array" ref="DI297:DI297">IF(DI296=0,0,IF(DI296/('🎚️ Escenario'!$C$10*'🎚️ Escenario'!$C$11)&gt;=36,$AL$23,INDEX($C$23:$AL$23,MAX(1,ROUNDUP(DI296/('🎚️ Escenario'!$C$10*'🎚️ Escenario'!$C$11),0)))))</f>
        <v>0</v>
      </c>
      <c r="DJ297" s="237" t="n">
        <f aca="false" t="array" ref="DJ297:DJ297">IF(DJ296=0,0,IF(DJ296/('🎚️ Escenario'!$C$10*'🎚️ Escenario'!$C$11)&gt;=36,$AL$23,INDEX($C$23:$AL$23,MAX(1,ROUNDUP(DJ296/('🎚️ Escenario'!$C$10*'🎚️ Escenario'!$C$11),0)))))</f>
        <v>0</v>
      </c>
      <c r="DK297" s="237" t="n">
        <f aca="false" t="array" ref="DK297:DK297">IF(DK296=0,0,IF(DK296/('🎚️ Escenario'!$C$10*'🎚️ Escenario'!$C$11)&gt;=36,$AL$23,INDEX($C$23:$AL$23,MAX(1,ROUNDUP(DK296/('🎚️ Escenario'!$C$10*'🎚️ Escenario'!$C$11),0)))))</f>
        <v>0</v>
      </c>
      <c r="DL297" s="237" t="n">
        <f aca="false" t="array" ref="DL297:DL297">IF(DL296=0,0,IF(DL296/('🎚️ Escenario'!$C$10*'🎚️ Escenario'!$C$11)&gt;=36,$AL$23,INDEX($C$23:$AL$23,MAX(1,ROUNDUP(DL296/('🎚️ Escenario'!$C$10*'🎚️ Escenario'!$C$11),0)))))</f>
        <v>0</v>
      </c>
      <c r="DM297" s="237" t="n">
        <f aca="false" t="array" ref="DM297:DM297">IF(DM296=0,0,IF(DM296/('🎚️ Escenario'!$C$10*'🎚️ Escenario'!$C$11)&gt;=36,$AL$23,INDEX($C$23:$AL$23,MAX(1,ROUNDUP(DM296/('🎚️ Escenario'!$C$10*'🎚️ Escenario'!$C$11),0)))))</f>
        <v>0</v>
      </c>
      <c r="DN297" s="237" t="n">
        <f aca="false" t="array" ref="DN297:DN297">IF(DN296=0,0,IF(DN296/('🎚️ Escenario'!$C$10*'🎚️ Escenario'!$C$11)&gt;=36,$AL$23,INDEX($C$23:$AL$23,MAX(1,ROUNDUP(DN296/('🎚️ Escenario'!$C$10*'🎚️ Escenario'!$C$11),0)))))</f>
        <v>0</v>
      </c>
      <c r="DO297" s="237" t="n">
        <f aca="false" t="array" ref="DO297:DO297">IF(DO296=0,0,IF(DO296/('🎚️ Escenario'!$C$10*'🎚️ Escenario'!$C$11)&gt;=36,$AL$23,INDEX($C$23:$AL$23,MAX(1,ROUNDUP(DO296/('🎚️ Escenario'!$C$10*'🎚️ Escenario'!$C$11),0)))))</f>
        <v>0</v>
      </c>
      <c r="DP297" s="237" t="n">
        <f aca="false" t="array" ref="DP297:DP297">IF(DP296=0,0,IF(DP296/('🎚️ Escenario'!$C$10*'🎚️ Escenario'!$C$11)&gt;=36,$AL$23,INDEX($C$23:$AL$23,MAX(1,ROUNDUP(DP296/('🎚️ Escenario'!$C$10*'🎚️ Escenario'!$C$11),0)))))</f>
        <v>0.2</v>
      </c>
      <c r="DQ297" s="237" t="n">
        <f aca="false" t="array" ref="DQ297:DQ297">IF(DQ296=0,0,IF(DQ296/('🎚️ Escenario'!$C$10*'🎚️ Escenario'!$C$11)&gt;=36,$AL$23,INDEX($C$23:$AL$23,MAX(1,ROUNDUP(DQ296/('🎚️ Escenario'!$C$10*'🎚️ Escenario'!$C$11),0)))))</f>
        <v>0.22</v>
      </c>
      <c r="DR297" s="237" t="n">
        <f aca="false" t="array" ref="DR297:DR297">IF(DR296=0,0,IF(DR296/('🎚️ Escenario'!$C$10*'🎚️ Escenario'!$C$11)&gt;=36,$AL$23,INDEX($C$23:$AL$23,MAX(1,ROUNDUP(DR296/('🎚️ Escenario'!$C$10*'🎚️ Escenario'!$C$11),0)))))</f>
        <v>0.22</v>
      </c>
      <c r="DS297" s="237" t="n">
        <f aca="false" t="array" ref="DS297:DS297">IF(DS296=0,0,IF(DS296/('🎚️ Escenario'!$C$10*'🎚️ Escenario'!$C$11)&gt;=36,$AL$23,INDEX($C$23:$AL$23,MAX(1,ROUNDUP(DS296/('🎚️ Escenario'!$C$10*'🎚️ Escenario'!$C$11),0)))))</f>
        <v>0.24</v>
      </c>
      <c r="DT297" s="237" t="n">
        <f aca="false" t="array" ref="DT297:DT297">IF(DT296=0,0,IF(DT296/('🎚️ Escenario'!$C$10*'🎚️ Escenario'!$C$11)&gt;=36,$AL$23,INDEX($C$23:$AL$23,MAX(1,ROUNDUP(DT296/('🎚️ Escenario'!$C$10*'🎚️ Escenario'!$C$11),0)))))</f>
        <v>0.24</v>
      </c>
      <c r="DU297" s="237" t="n">
        <f aca="false" t="array" ref="DU297:DU297">IF(DU296=0,0,IF(DU296/('🎚️ Escenario'!$C$10*'🎚️ Escenario'!$C$11)&gt;=36,$AL$23,INDEX($C$23:$AL$23,MAX(1,ROUNDUP(DU296/('🎚️ Escenario'!$C$10*'🎚️ Escenario'!$C$11),0)))))</f>
        <v>0.27</v>
      </c>
      <c r="DV297" s="237" t="n">
        <f aca="false" t="array" ref="DV297:DV297">IF(DV296=0,0,IF(DV296/('🎚️ Escenario'!$C$10*'🎚️ Escenario'!$C$11)&gt;=36,$AL$23,INDEX($C$23:$AL$23,MAX(1,ROUNDUP(DV296/('🎚️ Escenario'!$C$10*'🎚️ Escenario'!$C$11),0)))))</f>
        <v>0.27</v>
      </c>
      <c r="DW297" s="237" t="n">
        <f aca="false" t="array" ref="DW297:DW297">IF(DW296=0,0,IF(DW296/('🎚️ Escenario'!$C$10*'🎚️ Escenario'!$C$11)&gt;=36,$AL$23,INDEX($C$23:$AL$23,MAX(1,ROUNDUP(DW296/('🎚️ Escenario'!$C$10*'🎚️ Escenario'!$C$11),0)))))</f>
        <v>0.31</v>
      </c>
      <c r="DX297" s="237" t="n">
        <f aca="false" t="array" ref="DX297:DX297">IF(DX296=0,0,IF(DX296/('🎚️ Escenario'!$C$10*'🎚️ Escenario'!$C$11)&gt;=36,$AL$23,INDEX($C$23:$AL$23,MAX(1,ROUNDUP(DX296/('🎚️ Escenario'!$C$10*'🎚️ Escenario'!$C$11),0)))))</f>
        <v>0.31</v>
      </c>
      <c r="DY297" s="237" t="n">
        <f aca="false" t="array" ref="DY297:DY297">IF(DY296=0,0,IF(DY296/('🎚️ Escenario'!$C$10*'🎚️ Escenario'!$C$11)&gt;=36,$AL$23,INDEX($C$23:$AL$23,MAX(1,ROUNDUP(DY296/('🎚️ Escenario'!$C$10*'🎚️ Escenario'!$C$11),0)))))</f>
        <v>0.35</v>
      </c>
      <c r="DZ297" s="237" t="n">
        <f aca="false" t="array" ref="DZ297:DZ297">IF(DZ296=0,0,IF(DZ296/('🎚️ Escenario'!$C$10*'🎚️ Escenario'!$C$11)&gt;=36,$AL$23,INDEX($C$23:$AL$23,MAX(1,ROUNDUP(DZ296/('🎚️ Escenario'!$C$10*'🎚️ Escenario'!$C$11),0)))))</f>
        <v>0.35</v>
      </c>
      <c r="EA297" s="237" t="n">
        <f aca="false" t="array" ref="EA297:EA297">IF(EA296=0,0,IF(EA296/('🎚️ Escenario'!$C$10*'🎚️ Escenario'!$C$11)&gt;=36,$AL$23,INDEX($C$23:$AL$23,MAX(1,ROUNDUP(EA296/('🎚️ Escenario'!$C$10*'🎚️ Escenario'!$C$11),0)))))</f>
        <v>0.39</v>
      </c>
      <c r="EB297" s="237" t="n">
        <f aca="false" t="array" ref="EB297:EB297">IF(EB296=0,0,IF(EB296/('🎚️ Escenario'!$C$10*'🎚️ Escenario'!$C$11)&gt;=36,$AL$23,INDEX($C$23:$AL$23,MAX(1,ROUNDUP(EB296/('🎚️ Escenario'!$C$10*'🎚️ Escenario'!$C$11),0)))))</f>
        <v>0.39</v>
      </c>
      <c r="EC297" s="237" t="n">
        <f aca="false" t="array" ref="EC297:EC297">IF(EC296=0,0,IF(EC296/('🎚️ Escenario'!$C$10*'🎚️ Escenario'!$C$11)&gt;=36,$AL$23,INDEX($C$23:$AL$23,MAX(1,ROUNDUP(EC296/('🎚️ Escenario'!$C$10*'🎚️ Escenario'!$C$11),0)))))</f>
        <v>0.44</v>
      </c>
      <c r="ED297" s="237" t="n">
        <f aca="false" t="array" ref="ED297:ED297">IF(ED296=0,0,IF(ED296/('🎚️ Escenario'!$C$10*'🎚️ Escenario'!$C$11)&gt;=36,$AL$23,INDEX($C$23:$AL$23,MAX(1,ROUNDUP(ED296/('🎚️ Escenario'!$C$10*'🎚️ Escenario'!$C$11),0)))))</f>
        <v>0.44</v>
      </c>
      <c r="EE297" s="237" t="n">
        <f aca="false" t="array" ref="EE297:EE297">IF(EE296=0,0,IF(EE296/('🎚️ Escenario'!$C$10*'🎚️ Escenario'!$C$11)&gt;=36,$AL$23,INDEX($C$23:$AL$23,MAX(1,ROUNDUP(EE296/('🎚️ Escenario'!$C$10*'🎚️ Escenario'!$C$11),0)))))</f>
        <v>0.48</v>
      </c>
      <c r="EF297" s="237" t="n">
        <f aca="false" t="array" ref="EF297:EF297">IF(EF296=0,0,IF(EF296/('🎚️ Escenario'!$C$10*'🎚️ Escenario'!$C$11)&gt;=36,$AL$23,INDEX($C$23:$AL$23,MAX(1,ROUNDUP(EF296/('🎚️ Escenario'!$C$10*'🎚️ Escenario'!$C$11),0)))))</f>
        <v>0.52</v>
      </c>
      <c r="EG297" s="237" t="n">
        <f aca="false" t="array" ref="EG297:EG297">IF(EG296=0,0,IF(EG296/('🎚️ Escenario'!$C$10*'🎚️ Escenario'!$C$11)&gt;=36,$AL$23,INDEX($C$23:$AL$23,MAX(1,ROUNDUP(EG296/('🎚️ Escenario'!$C$10*'🎚️ Escenario'!$C$11),0)))))</f>
        <v>0.52</v>
      </c>
      <c r="EH297" s="237" t="n">
        <f aca="false" t="array" ref="EH297:EH297">IF(EH296=0,0,IF(EH296/('🎚️ Escenario'!$C$10*'🎚️ Escenario'!$C$11)&gt;=36,$AL$23,INDEX($C$23:$AL$23,MAX(1,ROUNDUP(EH296/('🎚️ Escenario'!$C$10*'🎚️ Escenario'!$C$11),0)))))</f>
        <v>0.56</v>
      </c>
      <c r="EI297" s="237" t="n">
        <f aca="false" t="array" ref="EI297:EI297">IF(EI296=0,0,IF(EI296/('🎚️ Escenario'!$C$10*'🎚️ Escenario'!$C$11)&gt;=36,$AL$23,INDEX($C$23:$AL$23,MAX(1,ROUNDUP(EI296/('🎚️ Escenario'!$C$10*'🎚️ Escenario'!$C$11),0)))))</f>
        <v>0.56</v>
      </c>
      <c r="EJ297" s="237" t="n">
        <f aca="false" t="array" ref="EJ297:EJ297">IF(EJ296=0,0,IF(EJ296/('🎚️ Escenario'!$C$10*'🎚️ Escenario'!$C$11)&gt;=36,$AL$23,INDEX($C$23:$AL$23,MAX(1,ROUNDUP(EJ296/('🎚️ Escenario'!$C$10*'🎚️ Escenario'!$C$11),0)))))</f>
        <v>0.6</v>
      </c>
      <c r="EK297" s="237" t="n">
        <f aca="false" t="array" ref="EK297:EK297">IF(EK296=0,0,IF(EK296/('🎚️ Escenario'!$C$10*'🎚️ Escenario'!$C$11)&gt;=36,$AL$23,INDEX($C$23:$AL$23,MAX(1,ROUNDUP(EK296/('🎚️ Escenario'!$C$10*'🎚️ Escenario'!$C$11),0)))))</f>
        <v>0.6</v>
      </c>
      <c r="EL297" s="237" t="n">
        <f aca="false" t="array" ref="EL297:EL297">IF(EL296=0,0,IF(EL296/('🎚️ Escenario'!$C$10*'🎚️ Escenario'!$C$11)&gt;=36,$AL$23,INDEX($C$23:$AL$23,MAX(1,ROUNDUP(EL296/('🎚️ Escenario'!$C$10*'🎚️ Escenario'!$C$11),0)))))</f>
        <v>0.63</v>
      </c>
      <c r="EM297" s="237" t="n">
        <f aca="false" t="array" ref="EM297:EM297">IF(EM296=0,0,IF(EM296/('🎚️ Escenario'!$C$10*'🎚️ Escenario'!$C$11)&gt;=36,$AL$23,INDEX($C$23:$AL$23,MAX(1,ROUNDUP(EM296/('🎚️ Escenario'!$C$10*'🎚️ Escenario'!$C$11),0)))))</f>
        <v>0.63</v>
      </c>
      <c r="EN297" s="237" t="n">
        <f aca="false" t="array" ref="EN297:EN297">IF(EN296=0,0,IF(EN296/('🎚️ Escenario'!$C$10*'🎚️ Escenario'!$C$11)&gt;=36,$AL$23,INDEX($C$23:$AL$23,MAX(1,ROUNDUP(EN296/('🎚️ Escenario'!$C$10*'🎚️ Escenario'!$C$11),0)))))</f>
        <v>0.66</v>
      </c>
      <c r="EO297" s="237" t="n">
        <f aca="false" t="array" ref="EO297:EO297">IF(EO296=0,0,IF(EO296/('🎚️ Escenario'!$C$10*'🎚️ Escenario'!$C$11)&gt;=36,$AL$23,INDEX($C$23:$AL$23,MAX(1,ROUNDUP(EO296/('🎚️ Escenario'!$C$10*'🎚️ Escenario'!$C$11),0)))))</f>
        <v>0.66</v>
      </c>
      <c r="EP297" s="237" t="n">
        <f aca="false" t="array" ref="EP297:EP297">IF(EP296=0,0,IF(EP296/('🎚️ Escenario'!$C$10*'🎚️ Escenario'!$C$11)&gt;=36,$AL$23,INDEX($C$23:$AL$23,MAX(1,ROUNDUP(EP296/('🎚️ Escenario'!$C$10*'🎚️ Escenario'!$C$11),0)))))</f>
        <v>0.69</v>
      </c>
      <c r="EQ297" s="237" t="n">
        <f aca="false" t="array" ref="EQ297:EQ297">IF(EQ296=0,0,IF(EQ296/('🎚️ Escenario'!$C$10*'🎚️ Escenario'!$C$11)&gt;=36,$AL$23,INDEX($C$23:$AL$23,MAX(1,ROUNDUP(EQ296/('🎚️ Escenario'!$C$10*'🎚️ Escenario'!$C$11),0)))))</f>
        <v>0.69</v>
      </c>
      <c r="ER297" s="237" t="n">
        <f aca="false" t="array" ref="ER297:ER297">IF(ER296=0,0,IF(ER296/('🎚️ Escenario'!$C$10*'🎚️ Escenario'!$C$11)&gt;=36,$AL$23,INDEX($C$23:$AL$23,MAX(1,ROUNDUP(ER296/('🎚️ Escenario'!$C$10*'🎚️ Escenario'!$C$11),0)))))</f>
        <v>0.71</v>
      </c>
      <c r="ES297" s="9" t="n">
        <f aca="false" t="array" ref="ES297:ES297">IF(ES296=0,0,IF(ES296/('🎚️ Escenario'!$C$10*'🎚️ Escenario'!$C$11)&gt;=36,$AL$23,INDEX($C$23:$AL$23,MAX(1,ROUNDUP(ES296/('🎚️ Escenario'!$C$10*'🎚️ Escenario'!$C$11),0)))))</f>
        <v>0.71</v>
      </c>
      <c r="ET297" s="9" t="n">
        <f aca="false" t="array" ref="ET297:ET297">IF(ET296=0,0,IF(ET296/('🎚️ Escenario'!$C$10*'🎚️ Escenario'!$C$11)&gt;=36,$AL$23,INDEX($C$23:$AL$23,MAX(1,ROUNDUP(ET296/('🎚️ Escenario'!$C$10*'🎚️ Escenario'!$C$11),0)))))</f>
        <v>0.73</v>
      </c>
      <c r="EU297" s="9" t="n">
        <f aca="false" t="array" ref="EU297:EU297">IF(EU296=0,0,IF(EU296/('🎚️ Escenario'!$C$10*'🎚️ Escenario'!$C$11)&gt;=36,$AL$23,INDEX($C$23:$AL$23,MAX(1,ROUNDUP(EU296/('🎚️ Escenario'!$C$10*'🎚️ Escenario'!$C$11),0)))))</f>
        <v>0.75</v>
      </c>
      <c r="EV297" s="9" t="n">
        <f aca="false" t="array" ref="EV297:EV297">IF(EV296=0,0,IF(EV296/('🎚️ Escenario'!$C$10*'🎚️ Escenario'!$C$11)&gt;=36,$AL$23,INDEX($C$23:$AL$23,MAX(1,ROUNDUP(EV296/('🎚️ Escenario'!$C$10*'🎚️ Escenario'!$C$11),0)))))</f>
        <v>0.75</v>
      </c>
      <c r="EW297" s="9" t="n">
        <f aca="false" t="array" ref="EW297:EW297">IF(EW296=0,0,IF(EW296/('🎚️ Escenario'!$C$10*'🎚️ Escenario'!$C$11)&gt;=36,$AL$23,INDEX($C$23:$AL$23,MAX(1,ROUNDUP(EW296/('🎚️ Escenario'!$C$10*'🎚️ Escenario'!$C$11),0)))))</f>
        <v>0.77</v>
      </c>
      <c r="EX297" s="9" t="n">
        <f aca="false" t="array" ref="EX297:EX297">IF(EX296=0,0,IF(EX296/('🎚️ Escenario'!$C$10*'🎚️ Escenario'!$C$11)&gt;=36,$AL$23,INDEX($C$23:$AL$23,MAX(1,ROUNDUP(EX296/('🎚️ Escenario'!$C$10*'🎚️ Escenario'!$C$11),0)))))</f>
        <v>0.77</v>
      </c>
      <c r="EY297" s="9" t="n">
        <f aca="false" t="array" ref="EY297:EY297">IF(EY296=0,0,IF(EY296/('🎚️ Escenario'!$C$10*'🎚️ Escenario'!$C$11)&gt;=36,$AL$23,INDEX($C$23:$AL$23,MAX(1,ROUNDUP(EY296/('🎚️ Escenario'!$C$10*'🎚️ Escenario'!$C$11),0)))))</f>
        <v>0.79</v>
      </c>
      <c r="EZ297" s="9" t="n">
        <f aca="false" t="array" ref="EZ297:EZ297">IF(EZ296=0,0,IF(EZ296/('🎚️ Escenario'!$C$10*'🎚️ Escenario'!$C$11)&gt;=36,$AL$23,INDEX($C$23:$AL$23,MAX(1,ROUNDUP(EZ296/('🎚️ Escenario'!$C$10*'🎚️ Escenario'!$C$11),0)))))</f>
        <v>0.79</v>
      </c>
      <c r="FA297" s="9" t="n">
        <f aca="false" t="array" ref="FA297:FA297">IF(FA296=0,0,IF(FA296/('🎚️ Escenario'!$C$10*'🎚️ Escenario'!$C$11)&gt;=36,$AL$23,INDEX($C$23:$AL$23,MAX(1,ROUNDUP(FA296/('🎚️ Escenario'!$C$10*'🎚️ Escenario'!$C$11),0)))))</f>
        <v>0.8</v>
      </c>
      <c r="FB297" s="9" t="n">
        <f aca="false" t="array" ref="FB297:FB297">IF(FB296=0,0,IF(FB296/('🎚️ Escenario'!$C$10*'🎚️ Escenario'!$C$11)&gt;=36,$AL$23,INDEX($C$23:$AL$23,MAX(1,ROUNDUP(FB296/('🎚️ Escenario'!$C$10*'🎚️ Escenario'!$C$11),0)))))</f>
        <v>0.8</v>
      </c>
      <c r="FC297" s="9" t="n">
        <f aca="false" t="array" ref="FC297:FC297">IF(FC296=0,0,IF(FC296/('🎚️ Escenario'!$C$10*'🎚️ Escenario'!$C$11)&gt;=36,$AL$23,INDEX($C$23:$AL$23,MAX(1,ROUNDUP(FC296/('🎚️ Escenario'!$C$10*'🎚️ Escenario'!$C$11),0)))))</f>
        <v>0.82</v>
      </c>
      <c r="FD297" s="9" t="n">
        <f aca="false" t="array" ref="FD297:FD297">IF(FD296=0,0,IF(FD296/('🎚️ Escenario'!$C$10*'🎚️ Escenario'!$C$11)&gt;=36,$AL$23,INDEX($C$23:$AL$23,MAX(1,ROUNDUP(FD296/('🎚️ Escenario'!$C$10*'🎚️ Escenario'!$C$11),0)))))</f>
        <v>0.82</v>
      </c>
      <c r="FE297" s="9" t="n">
        <f aca="false" t="array" ref="FE297:FE297">IF(FE296=0,0,IF(FE296/('🎚️ Escenario'!$C$10*'🎚️ Escenario'!$C$11)&gt;=36,$AL$23,INDEX($C$23:$AL$23,MAX(1,ROUNDUP(FE296/('🎚️ Escenario'!$C$10*'🎚️ Escenario'!$C$11),0)))))</f>
        <v>0.84</v>
      </c>
      <c r="FF297" s="9" t="n">
        <f aca="false" t="array" ref="FF297:FF297">IF(FF296=0,0,IF(FF296/('🎚️ Escenario'!$C$10*'🎚️ Escenario'!$C$11)&gt;=36,$AL$23,INDEX($C$23:$AL$23,MAX(1,ROUNDUP(FF296/('🎚️ Escenario'!$C$10*'🎚️ Escenario'!$C$11),0)))))</f>
        <v>0.84</v>
      </c>
      <c r="FG297" s="9" t="n">
        <f aca="false" t="array" ref="FG297:FG297">IF(FG296=0,0,IF(FG296/('🎚️ Escenario'!$C$10*'🎚️ Escenario'!$C$11)&gt;=36,$AL$23,INDEX($C$23:$AL$23,MAX(1,ROUNDUP(FG296/('🎚️ Escenario'!$C$10*'🎚️ Escenario'!$C$11),0)))))</f>
        <v>0.85</v>
      </c>
      <c r="FH297" s="9" t="n">
        <f aca="false" t="array" ref="FH297:FH297">IF(FH296=0,0,IF(FH296/('🎚️ Escenario'!$C$10*'🎚️ Escenario'!$C$11)&gt;=36,$AL$23,INDEX($C$23:$AL$23,MAX(1,ROUNDUP(FH296/('🎚️ Escenario'!$C$10*'🎚️ Escenario'!$C$11),0)))))</f>
        <v>0.85</v>
      </c>
      <c r="FI297" s="9" t="n">
        <f aca="false" t="array" ref="FI297:FI297">IF(FI296=0,0,IF(FI296/('🎚️ Escenario'!$C$10*'🎚️ Escenario'!$C$11)&gt;=36,$AL$23,INDEX($C$23:$AL$23,MAX(1,ROUNDUP(FI296/('🎚️ Escenario'!$C$10*'🎚️ Escenario'!$C$11),0)))))</f>
        <v>0.86</v>
      </c>
      <c r="FJ297" s="9" t="n">
        <f aca="false" t="array" ref="FJ297:FJ297">IF(FJ296=0,0,IF(FJ296/('🎚️ Escenario'!$C$10*'🎚️ Escenario'!$C$11)&gt;=36,$AL$23,INDEX($C$23:$AL$23,MAX(1,ROUNDUP(FJ296/('🎚️ Escenario'!$C$10*'🎚️ Escenario'!$C$11),0)))))</f>
        <v>0.88</v>
      </c>
      <c r="FK297" s="9" t="n">
        <f aca="false" t="array" ref="FK297:FK297">IF(FK296=0,0,IF(FK296/('🎚️ Escenario'!$C$10*'🎚️ Escenario'!$C$11)&gt;=36,$AL$23,INDEX($C$23:$AL$23,MAX(1,ROUNDUP(FK296/('🎚️ Escenario'!$C$10*'🎚️ Escenario'!$C$11),0)))))</f>
        <v>0.88</v>
      </c>
      <c r="FL297" s="9" t="n">
        <f aca="false" t="array" ref="FL297:FL297">IF(FL296=0,0,IF(FL296/('🎚️ Escenario'!$C$10*'🎚️ Escenario'!$C$11)&gt;=36,$AL$23,INDEX($C$23:$AL$23,MAX(1,ROUNDUP(FL296/('🎚️ Escenario'!$C$10*'🎚️ Escenario'!$C$11),0)))))</f>
        <v>0.89</v>
      </c>
      <c r="FM297" s="9" t="n">
        <f aca="false" t="array" ref="FM297:FM297">IF(FM296=0,0,IF(FM296/('🎚️ Escenario'!$C$10*'🎚️ Escenario'!$C$11)&gt;=36,$AL$23,INDEX($C$23:$AL$23,MAX(1,ROUNDUP(FM296/('🎚️ Escenario'!$C$10*'🎚️ Escenario'!$C$11),0)))))</f>
        <v>0.89</v>
      </c>
      <c r="FN297" s="9" t="n">
        <f aca="false" t="array" ref="FN297:FN297">IF(FN296=0,0,IF(FN296/('🎚️ Escenario'!$C$10*'🎚️ Escenario'!$C$11)&gt;=36,$AL$23,INDEX($C$23:$AL$23,MAX(1,ROUNDUP(FN296/('🎚️ Escenario'!$C$10*'🎚️ Escenario'!$C$11),0)))))</f>
        <v>0.9</v>
      </c>
      <c r="FO297" s="9" t="n">
        <f aca="false" t="array" ref="FO297:FO297">IF(FO296=0,0,IF(FO296/('🎚️ Escenario'!$C$10*'🎚️ Escenario'!$C$11)&gt;=36,$AL$23,INDEX($C$23:$AL$23,MAX(1,ROUNDUP(FO296/('🎚️ Escenario'!$C$10*'🎚️ Escenario'!$C$11),0)))))</f>
        <v>0.9</v>
      </c>
      <c r="FP297" s="9" t="n">
        <f aca="false" t="array" ref="FP297:FP297">IF(FP296=0,0,IF(FP296/('🎚️ Escenario'!$C$10*'🎚️ Escenario'!$C$11)&gt;=36,$AL$23,INDEX($C$23:$AL$23,MAX(1,ROUNDUP(FP296/('🎚️ Escenario'!$C$10*'🎚️ Escenario'!$C$11),0)))))</f>
        <v>0.92</v>
      </c>
    </row>
    <row r="298" customFormat="false" ht="15" hidden="false" customHeight="false" outlineLevel="2" collapsed="false">
      <c r="B298" s="47" t="s">
        <v>875</v>
      </c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237" t="n">
        <f aca="false">IF(AC296=0,0,IF(AC296&lt;=12*'🎚️ Escenario'!$C$11,1,1+$C$6))</f>
        <v>0</v>
      </c>
      <c r="AD298" s="237" t="n">
        <f aca="false">IF(AD296=0,0,IF(AD296&lt;=12*'🎚️ Escenario'!$C$11,1,1+$C$6))</f>
        <v>0</v>
      </c>
      <c r="AE298" s="237" t="n">
        <f aca="false">IF(AE296=0,0,IF(AE296&lt;=12*'🎚️ Escenario'!$C$11,1,1+$C$6))</f>
        <v>0</v>
      </c>
      <c r="AF298" s="237" t="n">
        <f aca="false">IF(AF296=0,0,IF(AF296&lt;=12*'🎚️ Escenario'!$C$11,1,1+$C$6))</f>
        <v>0</v>
      </c>
      <c r="AG298" s="237" t="n">
        <f aca="false">IF(AG296=0,0,IF(AG296&lt;=12*'🎚️ Escenario'!$C$11,1,1+$C$6))</f>
        <v>0</v>
      </c>
      <c r="AH298" s="237" t="n">
        <f aca="false">IF(AH296=0,0,IF(AH296&lt;=12*'🎚️ Escenario'!$C$11,1,1+$C$6))</f>
        <v>0</v>
      </c>
      <c r="AI298" s="237" t="n">
        <f aca="false">IF(AI296=0,0,IF(AI296&lt;=12*'🎚️ Escenario'!$C$11,1,1+$C$6))</f>
        <v>0</v>
      </c>
      <c r="AJ298" s="237" t="n">
        <f aca="false">IF(AJ296=0,0,IF(AJ296&lt;=12*'🎚️ Escenario'!$C$11,1,1+$C$6))</f>
        <v>0</v>
      </c>
      <c r="AK298" s="237" t="n">
        <f aca="false">IF(AK296=0,0,IF(AK296&lt;=12*'🎚️ Escenario'!$C$11,1,1+$C$6))</f>
        <v>0</v>
      </c>
      <c r="AL298" s="237" t="n">
        <f aca="false">IF(AL296=0,0,IF(AL296&lt;=12*'🎚️ Escenario'!$C$11,1,1+$C$6))</f>
        <v>0</v>
      </c>
      <c r="AM298" s="237" t="n">
        <f aca="false">IF(AM296=0,0,IF(AM296&lt;=12*'🎚️ Escenario'!$C$11,1,1+$C$6))</f>
        <v>0</v>
      </c>
      <c r="AN298" s="237" t="n">
        <f aca="false">IF(AN296=0,0,IF(AN296&lt;=12*'🎚️ Escenario'!$C$11,1,1+$C$6))</f>
        <v>0</v>
      </c>
      <c r="AO298" s="237" t="n">
        <f aca="false">IF(AO296=0,0,IF(AO296&lt;=12*'🎚️ Escenario'!$C$11,1,1+$C$6))</f>
        <v>0</v>
      </c>
      <c r="AP298" s="237" t="n">
        <f aca="false">IF(AP296=0,0,IF(AP296&lt;=12*'🎚️ Escenario'!$C$11,1,1+$C$6))</f>
        <v>0</v>
      </c>
      <c r="AQ298" s="237" t="n">
        <f aca="false">IF(AQ296=0,0,IF(AQ296&lt;=12*'🎚️ Escenario'!$C$11,1,1+$C$6))</f>
        <v>0</v>
      </c>
      <c r="AR298" s="237" t="n">
        <f aca="false">IF(AR296=0,0,IF(AR296&lt;=12*'🎚️ Escenario'!$C$11,1,1+$C$6))</f>
        <v>0</v>
      </c>
      <c r="AS298" s="237" t="n">
        <f aca="false">IF(AS296=0,0,IF(AS296&lt;=12*'🎚️ Escenario'!$C$11,1,1+$C$6))</f>
        <v>0</v>
      </c>
      <c r="AT298" s="237" t="n">
        <f aca="false">IF(AT296=0,0,IF(AT296&lt;=12*'🎚️ Escenario'!$C$11,1,1+$C$6))</f>
        <v>0</v>
      </c>
      <c r="AU298" s="237" t="n">
        <f aca="false">IF(AU296=0,0,IF(AU296&lt;=12*'🎚️ Escenario'!$C$11,1,1+$C$6))</f>
        <v>0</v>
      </c>
      <c r="AV298" s="237" t="n">
        <f aca="false">IF(AV296=0,0,IF(AV296&lt;=12*'🎚️ Escenario'!$C$11,1,1+$C$6))</f>
        <v>0</v>
      </c>
      <c r="AW298" s="237" t="n">
        <f aca="false">IF(AW296=0,0,IF(AW296&lt;=12*'🎚️ Escenario'!$C$11,1,1+$C$6))</f>
        <v>0</v>
      </c>
      <c r="AX298" s="237" t="n">
        <f aca="false">IF(AX296=0,0,IF(AX296&lt;=12*'🎚️ Escenario'!$C$11,1,1+$C$6))</f>
        <v>0</v>
      </c>
      <c r="AY298" s="237" t="n">
        <f aca="false">IF(AY296=0,0,IF(AY296&lt;=12*'🎚️ Escenario'!$C$11,1,1+$C$6))</f>
        <v>0</v>
      </c>
      <c r="AZ298" s="237" t="n">
        <f aca="false">IF(AZ296=0,0,IF(AZ296&lt;=12*'🎚️ Escenario'!$C$11,1,1+$C$6))</f>
        <v>0</v>
      </c>
      <c r="BA298" s="237" t="n">
        <f aca="false">IF(BA296=0,0,IF(BA296&lt;=12*'🎚️ Escenario'!$C$11,1,1+$C$6))</f>
        <v>0</v>
      </c>
      <c r="BB298" s="237" t="n">
        <f aca="false">IF(BB296=0,0,IF(BB296&lt;=12*'🎚️ Escenario'!$C$11,1,1+$C$6))</f>
        <v>0</v>
      </c>
      <c r="BC298" s="237" t="n">
        <f aca="false">IF(BC296=0,0,IF(BC296&lt;=12*'🎚️ Escenario'!$C$11,1,1+$C$6))</f>
        <v>0</v>
      </c>
      <c r="BD298" s="237" t="n">
        <f aca="false">IF(BD296=0,0,IF(BD296&lt;=12*'🎚️ Escenario'!$C$11,1,1+$C$6))</f>
        <v>0</v>
      </c>
      <c r="BE298" s="237" t="n">
        <f aca="false">IF(BE296=0,0,IF(BE296&lt;=12*'🎚️ Escenario'!$C$11,1,1+$C$6))</f>
        <v>0</v>
      </c>
      <c r="BF298" s="237" t="n">
        <f aca="false">IF(BF296=0,0,IF(BF296&lt;=12*'🎚️ Escenario'!$C$11,1,1+$C$6))</f>
        <v>0</v>
      </c>
      <c r="BG298" s="237" t="n">
        <f aca="false">IF(BG296=0,0,IF(BG296&lt;=12*'🎚️ Escenario'!$C$11,1,1+$C$6))</f>
        <v>0</v>
      </c>
      <c r="BH298" s="237" t="n">
        <f aca="false">IF(BH296=0,0,IF(BH296&lt;=12*'🎚️ Escenario'!$C$11,1,1+$C$6))</f>
        <v>0</v>
      </c>
      <c r="BI298" s="237" t="n">
        <f aca="false">IF(BI296=0,0,IF(BI296&lt;=12*'🎚️ Escenario'!$C$11,1,1+$C$6))</f>
        <v>0</v>
      </c>
      <c r="BJ298" s="237" t="n">
        <f aca="false">IF(BJ296=0,0,IF(BJ296&lt;=12*'🎚️ Escenario'!$C$11,1,1+$C$6))</f>
        <v>0</v>
      </c>
      <c r="BK298" s="237" t="n">
        <f aca="false">IF(BK296=0,0,IF(BK296&lt;=12*'🎚️ Escenario'!$C$11,1,1+$C$6))</f>
        <v>0</v>
      </c>
      <c r="BL298" s="237" t="n">
        <f aca="false">IF(BL296=0,0,IF(BL296&lt;=12*'🎚️ Escenario'!$C$11,1,1+$C$6))</f>
        <v>0</v>
      </c>
      <c r="BM298" s="237" t="n">
        <f aca="false">IF(BM296=0,0,IF(BM296&lt;=12*'🎚️ Escenario'!$C$11,1,1+$C$6))</f>
        <v>0</v>
      </c>
      <c r="BN298" s="237" t="n">
        <f aca="false">IF(BN296=0,0,IF(BN296&lt;=12*'🎚️ Escenario'!$C$11,1,1+$C$6))</f>
        <v>0</v>
      </c>
      <c r="BO298" s="237" t="n">
        <f aca="false">IF(BO296=0,0,IF(BO296&lt;=12*'🎚️ Escenario'!$C$11,1,1+$C$6))</f>
        <v>0</v>
      </c>
      <c r="BP298" s="237" t="n">
        <f aca="false">IF(BP296=0,0,IF(BP296&lt;=12*'🎚️ Escenario'!$C$11,1,1+$C$6))</f>
        <v>0</v>
      </c>
      <c r="BQ298" s="237" t="n">
        <f aca="false">IF(BQ296=0,0,IF(BQ296&lt;=12*'🎚️ Escenario'!$C$11,1,1+$C$6))</f>
        <v>0</v>
      </c>
      <c r="BR298" s="237" t="n">
        <f aca="false">IF(BR296=0,0,IF(BR296&lt;=12*'🎚️ Escenario'!$C$11,1,1+$C$6))</f>
        <v>0</v>
      </c>
      <c r="BS298" s="237" t="n">
        <f aca="false">IF(BS296=0,0,IF(BS296&lt;=12*'🎚️ Escenario'!$C$11,1,1+$C$6))</f>
        <v>0</v>
      </c>
      <c r="BT298" s="237" t="n">
        <f aca="false">IF(BT296=0,0,IF(BT296&lt;=12*'🎚️ Escenario'!$C$11,1,1+$C$6))</f>
        <v>0</v>
      </c>
      <c r="BU298" s="237" t="n">
        <f aca="false">IF(BU296=0,0,IF(BU296&lt;=12*'🎚️ Escenario'!$C$11,1,1+$C$6))</f>
        <v>0</v>
      </c>
      <c r="BV298" s="237" t="n">
        <f aca="false">IF(BV296=0,0,IF(BV296&lt;=12*'🎚️ Escenario'!$C$11,1,1+$C$6))</f>
        <v>0</v>
      </c>
      <c r="BW298" s="237" t="n">
        <f aca="false">IF(BW296=0,0,IF(BW296&lt;=12*'🎚️ Escenario'!$C$11,1,1+$C$6))</f>
        <v>0</v>
      </c>
      <c r="BX298" s="237" t="n">
        <f aca="false">IF(BX296=0,0,IF(BX296&lt;=12*'🎚️ Escenario'!$C$11,1,1+$C$6))</f>
        <v>0</v>
      </c>
      <c r="BY298" s="237" t="n">
        <f aca="false">IF(BY296=0,0,IF(BY296&lt;=12*'🎚️ Escenario'!$C$11,1,1+$C$6))</f>
        <v>0</v>
      </c>
      <c r="BZ298" s="237" t="n">
        <f aca="false">IF(BZ296=0,0,IF(BZ296&lt;=12*'🎚️ Escenario'!$C$11,1,1+$C$6))</f>
        <v>0</v>
      </c>
      <c r="CA298" s="237" t="n">
        <f aca="false">IF(CA296=0,0,IF(CA296&lt;=12*'🎚️ Escenario'!$C$11,1,1+$C$6))</f>
        <v>0</v>
      </c>
      <c r="CB298" s="237" t="n">
        <f aca="false">IF(CB296=0,0,IF(CB296&lt;=12*'🎚️ Escenario'!$C$11,1,1+$C$6))</f>
        <v>0</v>
      </c>
      <c r="CC298" s="237" t="n">
        <f aca="false">IF(CC296=0,0,IF(CC296&lt;=12*'🎚️ Escenario'!$C$11,1,1+$C$6))</f>
        <v>0</v>
      </c>
      <c r="CD298" s="237" t="n">
        <f aca="false">IF(CD296=0,0,IF(CD296&lt;=12*'🎚️ Escenario'!$C$11,1,1+$C$6))</f>
        <v>0</v>
      </c>
      <c r="CE298" s="237" t="n">
        <f aca="false">IF(CE296=0,0,IF(CE296&lt;=12*'🎚️ Escenario'!$C$11,1,1+$C$6))</f>
        <v>0</v>
      </c>
      <c r="CF298" s="237" t="n">
        <f aca="false">IF(CF296=0,0,IF(CF296&lt;=12*'🎚️ Escenario'!$C$11,1,1+$C$6))</f>
        <v>0</v>
      </c>
      <c r="CG298" s="237" t="n">
        <f aca="false">IF(CG296=0,0,IF(CG296&lt;=12*'🎚️ Escenario'!$C$11,1,1+$C$6))</f>
        <v>0</v>
      </c>
      <c r="CH298" s="237" t="n">
        <f aca="false">IF(CH296=0,0,IF(CH296&lt;=12*'🎚️ Escenario'!$C$11,1,1+$C$6))</f>
        <v>0</v>
      </c>
      <c r="CI298" s="237" t="n">
        <f aca="false">IF(CI296=0,0,IF(CI296&lt;=12*'🎚️ Escenario'!$C$11,1,1+$C$6))</f>
        <v>0</v>
      </c>
      <c r="CJ298" s="237" t="n">
        <f aca="false">IF(CJ296=0,0,IF(CJ296&lt;=12*'🎚️ Escenario'!$C$11,1,1+$C$6))</f>
        <v>0</v>
      </c>
      <c r="CK298" s="237" t="n">
        <f aca="false">IF(CK296=0,0,IF(CK296&lt;=12*'🎚️ Escenario'!$C$11,1,1+$C$6))</f>
        <v>0</v>
      </c>
      <c r="CL298" s="237" t="n">
        <f aca="false">IF(CL296=0,0,IF(CL296&lt;=12*'🎚️ Escenario'!$C$11,1,1+$C$6))</f>
        <v>0</v>
      </c>
      <c r="CM298" s="237" t="n">
        <f aca="false">IF(CM296=0,0,IF(CM296&lt;=12*'🎚️ Escenario'!$C$11,1,1+$C$6))</f>
        <v>0</v>
      </c>
      <c r="CN298" s="237" t="n">
        <f aca="false">IF(CN296=0,0,IF(CN296&lt;=12*'🎚️ Escenario'!$C$11,1,1+$C$6))</f>
        <v>0</v>
      </c>
      <c r="CO298" s="237" t="n">
        <f aca="false">IF(CO296=0,0,IF(CO296&lt;=12*'🎚️ Escenario'!$C$11,1,1+$C$6))</f>
        <v>0</v>
      </c>
      <c r="CP298" s="237" t="n">
        <f aca="false">IF(CP296=0,0,IF(CP296&lt;=12*'🎚️ Escenario'!$C$11,1,1+$C$6))</f>
        <v>0</v>
      </c>
      <c r="CQ298" s="237" t="n">
        <f aca="false">IF(CQ296=0,0,IF(CQ296&lt;=12*'🎚️ Escenario'!$C$11,1,1+$C$6))</f>
        <v>0</v>
      </c>
      <c r="CR298" s="237" t="n">
        <f aca="false">IF(CR296=0,0,IF(CR296&lt;=12*'🎚️ Escenario'!$C$11,1,1+$C$6))</f>
        <v>0</v>
      </c>
      <c r="CS298" s="237" t="n">
        <f aca="false">IF(CS296=0,0,IF(CS296&lt;=12*'🎚️ Escenario'!$C$11,1,1+$C$6))</f>
        <v>0</v>
      </c>
      <c r="CT298" s="237" t="n">
        <f aca="false">IF(CT296=0,0,IF(CT296&lt;=12*'🎚️ Escenario'!$C$11,1,1+$C$6))</f>
        <v>0</v>
      </c>
      <c r="CU298" s="237" t="n">
        <f aca="false">IF(CU296=0,0,IF(CU296&lt;=12*'🎚️ Escenario'!$C$11,1,1+$C$6))</f>
        <v>0</v>
      </c>
      <c r="CV298" s="237" t="n">
        <f aca="false">IF(CV296=0,0,IF(CV296&lt;=12*'🎚️ Escenario'!$C$11,1,1+$C$6))</f>
        <v>0</v>
      </c>
      <c r="CW298" s="237" t="n">
        <f aca="false">IF(CW296=0,0,IF(CW296&lt;=12*'🎚️ Escenario'!$C$11,1,1+$C$6))</f>
        <v>0</v>
      </c>
      <c r="CX298" s="237" t="n">
        <f aca="false">IF(CX296=0,0,IF(CX296&lt;=12*'🎚️ Escenario'!$C$11,1,1+$C$6))</f>
        <v>0</v>
      </c>
      <c r="CY298" s="237" t="n">
        <f aca="false">IF(CY296=0,0,IF(CY296&lt;=12*'🎚️ Escenario'!$C$11,1,1+$C$6))</f>
        <v>0</v>
      </c>
      <c r="CZ298" s="237" t="n">
        <f aca="false">IF(CZ296=0,0,IF(CZ296&lt;=12*'🎚️ Escenario'!$C$11,1,1+$C$6))</f>
        <v>0</v>
      </c>
      <c r="DA298" s="237" t="n">
        <f aca="false">IF(DA296=0,0,IF(DA296&lt;=12*'🎚️ Escenario'!$C$11,1,1+$C$6))</f>
        <v>0</v>
      </c>
      <c r="DB298" s="237" t="n">
        <f aca="false">IF(DB296=0,0,IF(DB296&lt;=12*'🎚️ Escenario'!$C$11,1,1+$C$6))</f>
        <v>0</v>
      </c>
      <c r="DC298" s="237" t="n">
        <f aca="false">IF(DC296=0,0,IF(DC296&lt;=12*'🎚️ Escenario'!$C$11,1,1+$C$6))</f>
        <v>0</v>
      </c>
      <c r="DD298" s="237" t="n">
        <f aca="false">IF(DD296=0,0,IF(DD296&lt;=12*'🎚️ Escenario'!$C$11,1,1+$C$6))</f>
        <v>0</v>
      </c>
      <c r="DE298" s="237" t="n">
        <f aca="false">IF(DE296=0,0,IF(DE296&lt;=12*'🎚️ Escenario'!$C$11,1,1+$C$6))</f>
        <v>0</v>
      </c>
      <c r="DF298" s="237" t="n">
        <f aca="false">IF(DF296=0,0,IF(DF296&lt;=12*'🎚️ Escenario'!$C$11,1,1+$C$6))</f>
        <v>0</v>
      </c>
      <c r="DG298" s="237" t="n">
        <f aca="false">IF(DG296=0,0,IF(DG296&lt;=12*'🎚️ Escenario'!$C$11,1,1+$C$6))</f>
        <v>0</v>
      </c>
      <c r="DH298" s="237" t="n">
        <f aca="false">IF(DH296=0,0,IF(DH296&lt;=12*'🎚️ Escenario'!$C$11,1,1+$C$6))</f>
        <v>0</v>
      </c>
      <c r="DI298" s="237" t="n">
        <f aca="false">IF(DI296=0,0,IF(DI296&lt;=12*'🎚️ Escenario'!$C$11,1,1+$C$6))</f>
        <v>0</v>
      </c>
      <c r="DJ298" s="237" t="n">
        <f aca="false">IF(DJ296=0,0,IF(DJ296&lt;=12*'🎚️ Escenario'!$C$11,1,1+$C$6))</f>
        <v>0</v>
      </c>
      <c r="DK298" s="237" t="n">
        <f aca="false">IF(DK296=0,0,IF(DK296&lt;=12*'🎚️ Escenario'!$C$11,1,1+$C$6))</f>
        <v>0</v>
      </c>
      <c r="DL298" s="237" t="n">
        <f aca="false">IF(DL296=0,0,IF(DL296&lt;=12*'🎚️ Escenario'!$C$11,1,1+$C$6))</f>
        <v>0</v>
      </c>
      <c r="DM298" s="237" t="n">
        <f aca="false">IF(DM296=0,0,IF(DM296&lt;=12*'🎚️ Escenario'!$C$11,1,1+$C$6))</f>
        <v>0</v>
      </c>
      <c r="DN298" s="237" t="n">
        <f aca="false">IF(DN296=0,0,IF(DN296&lt;=12*'🎚️ Escenario'!$C$11,1,1+$C$6))</f>
        <v>0</v>
      </c>
      <c r="DO298" s="237" t="n">
        <f aca="false">IF(DO296=0,0,IF(DO296&lt;=12*'🎚️ Escenario'!$C$11,1,1+$C$6))</f>
        <v>0</v>
      </c>
      <c r="DP298" s="237" t="n">
        <f aca="false">IF(DP296=0,0,IF(DP296&lt;=12*'🎚️ Escenario'!$C$11,1,1+$C$6))</f>
        <v>1</v>
      </c>
      <c r="DQ298" s="237" t="n">
        <f aca="false">IF(DQ296=0,0,IF(DQ296&lt;=12*'🎚️ Escenario'!$C$11,1,1+$C$6))</f>
        <v>1</v>
      </c>
      <c r="DR298" s="237" t="n">
        <f aca="false">IF(DR296=0,0,IF(DR296&lt;=12*'🎚️ Escenario'!$C$11,1,1+$C$6))</f>
        <v>1</v>
      </c>
      <c r="DS298" s="237" t="n">
        <f aca="false">IF(DS296=0,0,IF(DS296&lt;=12*'🎚️ Escenario'!$C$11,1,1+$C$6))</f>
        <v>1</v>
      </c>
      <c r="DT298" s="237" t="n">
        <f aca="false">IF(DT296=0,0,IF(DT296&lt;=12*'🎚️ Escenario'!$C$11,1,1+$C$6))</f>
        <v>1</v>
      </c>
      <c r="DU298" s="237" t="n">
        <f aca="false">IF(DU296=0,0,IF(DU296&lt;=12*'🎚️ Escenario'!$C$11,1,1+$C$6))</f>
        <v>1</v>
      </c>
      <c r="DV298" s="237" t="n">
        <f aca="false">IF(DV296=0,0,IF(DV296&lt;=12*'🎚️ Escenario'!$C$11,1,1+$C$6))</f>
        <v>1</v>
      </c>
      <c r="DW298" s="237" t="n">
        <f aca="false">IF(DW296=0,0,IF(DW296&lt;=12*'🎚️ Escenario'!$C$11,1,1+$C$6))</f>
        <v>1</v>
      </c>
      <c r="DX298" s="237" t="n">
        <f aca="false">IF(DX296=0,0,IF(DX296&lt;=12*'🎚️ Escenario'!$C$11,1,1+$C$6))</f>
        <v>1</v>
      </c>
      <c r="DY298" s="237" t="n">
        <f aca="false">IF(DY296=0,0,IF(DY296&lt;=12*'🎚️ Escenario'!$C$11,1,1+$C$6))</f>
        <v>1</v>
      </c>
      <c r="DZ298" s="237" t="n">
        <f aca="false">IF(DZ296=0,0,IF(DZ296&lt;=12*'🎚️ Escenario'!$C$11,1,1+$C$6))</f>
        <v>1</v>
      </c>
      <c r="EA298" s="237" t="n">
        <f aca="false">IF(EA296=0,0,IF(EA296&lt;=12*'🎚️ Escenario'!$C$11,1,1+$C$6))</f>
        <v>1</v>
      </c>
      <c r="EB298" s="237" t="n">
        <f aca="false">IF(EB296=0,0,IF(EB296&lt;=12*'🎚️ Escenario'!$C$11,1,1+$C$6))</f>
        <v>1</v>
      </c>
      <c r="EC298" s="237" t="n">
        <f aca="false">IF(EC296=0,0,IF(EC296&lt;=12*'🎚️ Escenario'!$C$11,1,1+$C$6))</f>
        <v>1</v>
      </c>
      <c r="ED298" s="237" t="n">
        <f aca="false">IF(ED296=0,0,IF(ED296&lt;=12*'🎚️ Escenario'!$C$11,1,1+$C$6))</f>
        <v>1</v>
      </c>
      <c r="EE298" s="237" t="n">
        <f aca="false">IF(EE296=0,0,IF(EE296&lt;=12*'🎚️ Escenario'!$C$11,1,1+$C$6))</f>
        <v>1.2</v>
      </c>
      <c r="EF298" s="237" t="n">
        <f aca="false">IF(EF296=0,0,IF(EF296&lt;=12*'🎚️ Escenario'!$C$11,1,1+$C$6))</f>
        <v>1.2</v>
      </c>
      <c r="EG298" s="237" t="n">
        <f aca="false">IF(EG296=0,0,IF(EG296&lt;=12*'🎚️ Escenario'!$C$11,1,1+$C$6))</f>
        <v>1.2</v>
      </c>
      <c r="EH298" s="237" t="n">
        <f aca="false">IF(EH296=0,0,IF(EH296&lt;=12*'🎚️ Escenario'!$C$11,1,1+$C$6))</f>
        <v>1.2</v>
      </c>
      <c r="EI298" s="237" t="n">
        <f aca="false">IF(EI296=0,0,IF(EI296&lt;=12*'🎚️ Escenario'!$C$11,1,1+$C$6))</f>
        <v>1.2</v>
      </c>
      <c r="EJ298" s="237" t="n">
        <f aca="false">IF(EJ296=0,0,IF(EJ296&lt;=12*'🎚️ Escenario'!$C$11,1,1+$C$6))</f>
        <v>1.2</v>
      </c>
      <c r="EK298" s="237" t="n">
        <f aca="false">IF(EK296=0,0,IF(EK296&lt;=12*'🎚️ Escenario'!$C$11,1,1+$C$6))</f>
        <v>1.2</v>
      </c>
      <c r="EL298" s="237" t="n">
        <f aca="false">IF(EL296=0,0,IF(EL296&lt;=12*'🎚️ Escenario'!$C$11,1,1+$C$6))</f>
        <v>1.2</v>
      </c>
      <c r="EM298" s="237" t="n">
        <f aca="false">IF(EM296=0,0,IF(EM296&lt;=12*'🎚️ Escenario'!$C$11,1,1+$C$6))</f>
        <v>1.2</v>
      </c>
      <c r="EN298" s="237" t="n">
        <f aca="false">IF(EN296=0,0,IF(EN296&lt;=12*'🎚️ Escenario'!$C$11,1,1+$C$6))</f>
        <v>1.2</v>
      </c>
      <c r="EO298" s="237" t="n">
        <f aca="false">IF(EO296=0,0,IF(EO296&lt;=12*'🎚️ Escenario'!$C$11,1,1+$C$6))</f>
        <v>1.2</v>
      </c>
      <c r="EP298" s="237" t="n">
        <f aca="false">IF(EP296=0,0,IF(EP296&lt;=12*'🎚️ Escenario'!$C$11,1,1+$C$6))</f>
        <v>1.2</v>
      </c>
      <c r="EQ298" s="237" t="n">
        <f aca="false">IF(EQ296=0,0,IF(EQ296&lt;=12*'🎚️ Escenario'!$C$11,1,1+$C$6))</f>
        <v>1.2</v>
      </c>
      <c r="ER298" s="237" t="n">
        <f aca="false">IF(ER296=0,0,IF(ER296&lt;=12*'🎚️ Escenario'!$C$11,1,1+$C$6))</f>
        <v>1.2</v>
      </c>
      <c r="ES298" s="238" t="n">
        <f aca="false">IF(ES296=0,0,IF(ES296&lt;=12*'🎚️ Escenario'!$C$11,1,1+$C$6))</f>
        <v>1.2</v>
      </c>
      <c r="ET298" s="238" t="n">
        <f aca="false">IF(ET296=0,0,IF(ET296&lt;=12*'🎚️ Escenario'!$C$11,1,1+$C$6))</f>
        <v>1.2</v>
      </c>
      <c r="EU298" s="238" t="n">
        <f aca="false">IF(EU296=0,0,IF(EU296&lt;=12*'🎚️ Escenario'!$C$11,1,1+$C$6))</f>
        <v>1.2</v>
      </c>
      <c r="EV298" s="238" t="n">
        <f aca="false">IF(EV296=0,0,IF(EV296&lt;=12*'🎚️ Escenario'!$C$11,1,1+$C$6))</f>
        <v>1.2</v>
      </c>
      <c r="EW298" s="238" t="n">
        <f aca="false">IF(EW296=0,0,IF(EW296&lt;=12*'🎚️ Escenario'!$C$11,1,1+$C$6))</f>
        <v>1.2</v>
      </c>
      <c r="EX298" s="238" t="n">
        <f aca="false">IF(EX296=0,0,IF(EX296&lt;=12*'🎚️ Escenario'!$C$11,1,1+$C$6))</f>
        <v>1.2</v>
      </c>
      <c r="EY298" s="238" t="n">
        <f aca="false">IF(EY296=0,0,IF(EY296&lt;=12*'🎚️ Escenario'!$C$11,1,1+$C$6))</f>
        <v>1.2</v>
      </c>
      <c r="EZ298" s="238" t="n">
        <f aca="false">IF(EZ296=0,0,IF(EZ296&lt;=12*'🎚️ Escenario'!$C$11,1,1+$C$6))</f>
        <v>1.2</v>
      </c>
      <c r="FA298" s="238" t="n">
        <f aca="false">IF(FA296=0,0,IF(FA296&lt;=12*'🎚️ Escenario'!$C$11,1,1+$C$6))</f>
        <v>1.2</v>
      </c>
      <c r="FB298" s="238" t="n">
        <f aca="false">IF(FB296=0,0,IF(FB296&lt;=12*'🎚️ Escenario'!$C$11,1,1+$C$6))</f>
        <v>1.2</v>
      </c>
      <c r="FC298" s="238" t="n">
        <f aca="false">IF(FC296=0,0,IF(FC296&lt;=12*'🎚️ Escenario'!$C$11,1,1+$C$6))</f>
        <v>1.2</v>
      </c>
      <c r="FD298" s="238" t="n">
        <f aca="false">IF(FD296=0,0,IF(FD296&lt;=12*'🎚️ Escenario'!$C$11,1,1+$C$6))</f>
        <v>1.2</v>
      </c>
      <c r="FE298" s="238" t="n">
        <f aca="false">IF(FE296=0,0,IF(FE296&lt;=12*'🎚️ Escenario'!$C$11,1,1+$C$6))</f>
        <v>1.2</v>
      </c>
      <c r="FF298" s="238" t="n">
        <f aca="false">IF(FF296=0,0,IF(FF296&lt;=12*'🎚️ Escenario'!$C$11,1,1+$C$6))</f>
        <v>1.2</v>
      </c>
      <c r="FG298" s="238" t="n">
        <f aca="false">IF(FG296=0,0,IF(FG296&lt;=12*'🎚️ Escenario'!$C$11,1,1+$C$6))</f>
        <v>1.2</v>
      </c>
      <c r="FH298" s="238" t="n">
        <f aca="false">IF(FH296=0,0,IF(FH296&lt;=12*'🎚️ Escenario'!$C$11,1,1+$C$6))</f>
        <v>1.2</v>
      </c>
      <c r="FI298" s="238" t="n">
        <f aca="false">IF(FI296=0,0,IF(FI296&lt;=12*'🎚️ Escenario'!$C$11,1,1+$C$6))</f>
        <v>1.2</v>
      </c>
      <c r="FJ298" s="238" t="n">
        <f aca="false">IF(FJ296=0,0,IF(FJ296&lt;=12*'🎚️ Escenario'!$C$11,1,1+$C$6))</f>
        <v>1.2</v>
      </c>
      <c r="FK298" s="238" t="n">
        <f aca="false">IF(FK296=0,0,IF(FK296&lt;=12*'🎚️ Escenario'!$C$11,1,1+$C$6))</f>
        <v>1.2</v>
      </c>
      <c r="FL298" s="238" t="n">
        <f aca="false">IF(FL296=0,0,IF(FL296&lt;=12*'🎚️ Escenario'!$C$11,1,1+$C$6))</f>
        <v>1.2</v>
      </c>
      <c r="FM298" s="238" t="n">
        <f aca="false">IF(FM296=0,0,IF(FM296&lt;=12*'🎚️ Escenario'!$C$11,1,1+$C$6))</f>
        <v>1.2</v>
      </c>
      <c r="FN298" s="238" t="n">
        <f aca="false">IF(FN296=0,0,IF(FN296&lt;=12*'🎚️ Escenario'!$C$11,1,1+$C$6))</f>
        <v>1.2</v>
      </c>
      <c r="FO298" s="238" t="n">
        <f aca="false">IF(FO296=0,0,IF(FO296&lt;=12*'🎚️ Escenario'!$C$11,1,1+$C$6))</f>
        <v>1.2</v>
      </c>
      <c r="FP298" s="238" t="n">
        <f aca="false">IF(FP296=0,0,IF(FP296&lt;=12*'🎚️ Escenario'!$C$11,1,1+$C$6))</f>
        <v>1.2</v>
      </c>
    </row>
    <row r="299" customFormat="false" ht="15" hidden="false" customHeight="false" outlineLevel="2" collapsed="false">
      <c r="B299" s="47" t="s">
        <v>876</v>
      </c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237" t="n">
        <f aca="false">AC297*$AC$295*AC298*AC$38*'⑫ Roll-out Plan'!$O$34</f>
        <v>0</v>
      </c>
      <c r="AD299" s="237" t="n">
        <f aca="false">AD297*$AC$295*AD298*AD$38*'⑫ Roll-out Plan'!$O$34</f>
        <v>0</v>
      </c>
      <c r="AE299" s="237" t="n">
        <f aca="false">AE297*$AC$295*AE298*AE$38*'⑫ Roll-out Plan'!$O$34</f>
        <v>0</v>
      </c>
      <c r="AF299" s="237" t="n">
        <f aca="false">AF297*$AC$295*AF298*AF$38*'⑫ Roll-out Plan'!$O$34</f>
        <v>0</v>
      </c>
      <c r="AG299" s="237" t="n">
        <f aca="false">AG297*$AC$295*AG298*AG$38*'⑫ Roll-out Plan'!$O$34</f>
        <v>0</v>
      </c>
      <c r="AH299" s="237" t="n">
        <f aca="false">AH297*$AC$295*AH298*AH$38*'⑫ Roll-out Plan'!$O$34</f>
        <v>0</v>
      </c>
      <c r="AI299" s="237" t="n">
        <f aca="false">AI297*$AC$295*AI298*AI$38*'⑫ Roll-out Plan'!$O$34</f>
        <v>0</v>
      </c>
      <c r="AJ299" s="237" t="n">
        <f aca="false">AJ297*$AC$295*AJ298*AJ$38*'⑫ Roll-out Plan'!$O$34</f>
        <v>0</v>
      </c>
      <c r="AK299" s="237" t="n">
        <f aca="false">AK297*$AC$295*AK298*AK$38*'⑫ Roll-out Plan'!$O$34</f>
        <v>0</v>
      </c>
      <c r="AL299" s="237" t="n">
        <f aca="false">AL297*$AC$295*AL298*AL$38*'⑫ Roll-out Plan'!$O$34</f>
        <v>0</v>
      </c>
      <c r="AM299" s="237" t="n">
        <f aca="false">AM297*$AC$295*AM298*AM$38*'⑫ Roll-out Plan'!$O$34</f>
        <v>0</v>
      </c>
      <c r="AN299" s="237" t="n">
        <f aca="false">AN297*$AC$295*AN298*AN$38*'⑫ Roll-out Plan'!$O$34</f>
        <v>0</v>
      </c>
      <c r="AO299" s="237" t="n">
        <f aca="false">AO297*$AC$295*AO298*AO$38*'⑫ Roll-out Plan'!$O$34</f>
        <v>0</v>
      </c>
      <c r="AP299" s="237" t="n">
        <f aca="false">AP297*$AC$295*AP298*AP$38*'⑫ Roll-out Plan'!$O$34</f>
        <v>0</v>
      </c>
      <c r="AQ299" s="237" t="n">
        <f aca="false">AQ297*$AC$295*AQ298*AQ$38*'⑫ Roll-out Plan'!$O$34</f>
        <v>0</v>
      </c>
      <c r="AR299" s="237" t="n">
        <f aca="false">AR297*$AC$295*AR298*AR$38*'⑫ Roll-out Plan'!$O$34</f>
        <v>0</v>
      </c>
      <c r="AS299" s="237" t="n">
        <f aca="false">AS297*$AC$295*AS298*AS$38*'⑫ Roll-out Plan'!$O$34</f>
        <v>0</v>
      </c>
      <c r="AT299" s="237" t="n">
        <f aca="false">AT297*$AC$295*AT298*AT$38*'⑫ Roll-out Plan'!$O$34</f>
        <v>0</v>
      </c>
      <c r="AU299" s="237" t="n">
        <f aca="false">AU297*$AC$295*AU298*AU$38*'⑫ Roll-out Plan'!$O$34</f>
        <v>0</v>
      </c>
      <c r="AV299" s="237" t="n">
        <f aca="false">AV297*$AC$295*AV298*AV$38*'⑫ Roll-out Plan'!$O$34</f>
        <v>0</v>
      </c>
      <c r="AW299" s="237" t="n">
        <f aca="false">AW297*$AC$295*AW298*AW$38*'⑫ Roll-out Plan'!$O$34</f>
        <v>0</v>
      </c>
      <c r="AX299" s="237" t="n">
        <f aca="false">AX297*$AC$295*AX298*AX$38*'⑫ Roll-out Plan'!$O$34</f>
        <v>0</v>
      </c>
      <c r="AY299" s="237" t="n">
        <f aca="false">AY297*$AC$295*AY298*AY$38*'⑫ Roll-out Plan'!$O$34</f>
        <v>0</v>
      </c>
      <c r="AZ299" s="237" t="n">
        <f aca="false">AZ297*$AC$295*AZ298*AZ$38*'⑫ Roll-out Plan'!$O$34</f>
        <v>0</v>
      </c>
      <c r="BA299" s="237" t="n">
        <f aca="false">BA297*$AC$295*BA298*BA$38*'⑫ Roll-out Plan'!$O$34</f>
        <v>0</v>
      </c>
      <c r="BB299" s="237" t="n">
        <f aca="false">BB297*$AC$295*BB298*BB$38*'⑫ Roll-out Plan'!$O$34</f>
        <v>0</v>
      </c>
      <c r="BC299" s="237" t="n">
        <f aca="false">BC297*$AC$295*BC298*BC$38*'⑫ Roll-out Plan'!$O$34</f>
        <v>0</v>
      </c>
      <c r="BD299" s="237" t="n">
        <f aca="false">BD297*$AC$295*BD298*BD$38*'⑫ Roll-out Plan'!$O$34</f>
        <v>0</v>
      </c>
      <c r="BE299" s="237" t="n">
        <f aca="false">BE297*$AC$295*BE298*BE$38*'⑫ Roll-out Plan'!$O$34</f>
        <v>0</v>
      </c>
      <c r="BF299" s="237" t="n">
        <f aca="false">BF297*$AC$295*BF298*BF$38*'⑫ Roll-out Plan'!$O$34</f>
        <v>0</v>
      </c>
      <c r="BG299" s="237" t="n">
        <f aca="false">BG297*$AC$295*BG298*BG$38*'⑫ Roll-out Plan'!$O$34</f>
        <v>0</v>
      </c>
      <c r="BH299" s="237" t="n">
        <f aca="false">BH297*$AC$295*BH298*BH$38*'⑫ Roll-out Plan'!$O$34</f>
        <v>0</v>
      </c>
      <c r="BI299" s="237" t="n">
        <f aca="false">BI297*$AC$295*BI298*BI$38*'⑫ Roll-out Plan'!$O$34</f>
        <v>0</v>
      </c>
      <c r="BJ299" s="237" t="n">
        <f aca="false">BJ297*$AC$295*BJ298*BJ$38*'⑫ Roll-out Plan'!$O$34</f>
        <v>0</v>
      </c>
      <c r="BK299" s="237" t="n">
        <f aca="false">BK297*$AC$295*BK298*BK$38*'⑫ Roll-out Plan'!$O$34</f>
        <v>0</v>
      </c>
      <c r="BL299" s="237" t="n">
        <f aca="false">BL297*$AC$295*BL298*BL$38*'⑫ Roll-out Plan'!$O$34</f>
        <v>0</v>
      </c>
      <c r="BM299" s="237" t="n">
        <f aca="false">BM297*$AC$295*BM298*BM$38*'⑫ Roll-out Plan'!$O$34</f>
        <v>0</v>
      </c>
      <c r="BN299" s="237" t="n">
        <f aca="false">BN297*$AC$295*BN298*BN$38*'⑫ Roll-out Plan'!$O$34</f>
        <v>0</v>
      </c>
      <c r="BO299" s="237" t="n">
        <f aca="false">BO297*$AC$295*BO298*BO$38*'⑫ Roll-out Plan'!$O$34</f>
        <v>0</v>
      </c>
      <c r="BP299" s="237" t="n">
        <f aca="false">BP297*$AC$295*BP298*BP$38*'⑫ Roll-out Plan'!$O$34</f>
        <v>0</v>
      </c>
      <c r="BQ299" s="237" t="n">
        <f aca="false">BQ297*$AC$295*BQ298*BQ$38*'⑫ Roll-out Plan'!$O$34</f>
        <v>0</v>
      </c>
      <c r="BR299" s="237" t="n">
        <f aca="false">BR297*$AC$295*BR298*BR$38*'⑫ Roll-out Plan'!$O$34</f>
        <v>0</v>
      </c>
      <c r="BS299" s="237" t="n">
        <f aca="false">BS297*$AC$295*BS298*BS$38*'⑫ Roll-out Plan'!$O$34</f>
        <v>0</v>
      </c>
      <c r="BT299" s="237" t="n">
        <f aca="false">BT297*$AC$295*BT298*BT$38*'⑫ Roll-out Plan'!$O$34</f>
        <v>0</v>
      </c>
      <c r="BU299" s="237" t="n">
        <f aca="false">BU297*$AC$295*BU298*BU$38*'⑫ Roll-out Plan'!$O$34</f>
        <v>0</v>
      </c>
      <c r="BV299" s="237" t="n">
        <f aca="false">BV297*$AC$295*BV298*BV$38*'⑫ Roll-out Plan'!$O$34</f>
        <v>0</v>
      </c>
      <c r="BW299" s="237" t="n">
        <f aca="false">BW297*$AC$295*BW298*BW$38*'⑫ Roll-out Plan'!$O$34</f>
        <v>0</v>
      </c>
      <c r="BX299" s="237" t="n">
        <f aca="false">BX297*$AC$295*BX298*BX$38*'⑫ Roll-out Plan'!$O$34</f>
        <v>0</v>
      </c>
      <c r="BY299" s="237" t="n">
        <f aca="false">BY297*$AC$295*BY298*BY$38*'⑫ Roll-out Plan'!$O$34</f>
        <v>0</v>
      </c>
      <c r="BZ299" s="237" t="n">
        <f aca="false">BZ297*$AC$295*BZ298*BZ$38*'⑫ Roll-out Plan'!$O$34</f>
        <v>0</v>
      </c>
      <c r="CA299" s="237" t="n">
        <f aca="false">CA297*$AC$295*CA298*CA$38*'⑫ Roll-out Plan'!$O$34</f>
        <v>0</v>
      </c>
      <c r="CB299" s="237" t="n">
        <f aca="false">CB297*$AC$295*CB298*CB$38*'⑫ Roll-out Plan'!$O$34</f>
        <v>0</v>
      </c>
      <c r="CC299" s="237" t="n">
        <f aca="false">CC297*$AC$295*CC298*CC$38*'⑫ Roll-out Plan'!$O$34</f>
        <v>0</v>
      </c>
      <c r="CD299" s="237" t="n">
        <f aca="false">CD297*$AC$295*CD298*CD$38*'⑫ Roll-out Plan'!$O$34</f>
        <v>0</v>
      </c>
      <c r="CE299" s="237" t="n">
        <f aca="false">CE297*$AC$295*CE298*CE$38*'⑫ Roll-out Plan'!$O$34</f>
        <v>0</v>
      </c>
      <c r="CF299" s="237" t="n">
        <f aca="false">CF297*$AC$295*CF298*CF$38*'⑫ Roll-out Plan'!$O$34</f>
        <v>0</v>
      </c>
      <c r="CG299" s="237" t="n">
        <f aca="false">CG297*$AC$295*CG298*CG$38*'⑫ Roll-out Plan'!$O$34</f>
        <v>0</v>
      </c>
      <c r="CH299" s="237" t="n">
        <f aca="false">CH297*$AC$295*CH298*CH$38*'⑫ Roll-out Plan'!$O$34</f>
        <v>0</v>
      </c>
      <c r="CI299" s="237" t="n">
        <f aca="false">CI297*$AC$295*CI298*CI$38*'⑫ Roll-out Plan'!$O$34</f>
        <v>0</v>
      </c>
      <c r="CJ299" s="237" t="n">
        <f aca="false">CJ297*$AC$295*CJ298*CJ$38*'⑫ Roll-out Plan'!$O$34</f>
        <v>0</v>
      </c>
      <c r="CK299" s="237" t="n">
        <f aca="false">CK297*$AC$295*CK298*CK$38*'⑫ Roll-out Plan'!$O$34</f>
        <v>0</v>
      </c>
      <c r="CL299" s="237" t="n">
        <f aca="false">CL297*$AC$295*CL298*CL$38*'⑫ Roll-out Plan'!$O$34</f>
        <v>0</v>
      </c>
      <c r="CM299" s="237" t="n">
        <f aca="false">CM297*$AC$295*CM298*CM$38*'⑫ Roll-out Plan'!$O$34</f>
        <v>0</v>
      </c>
      <c r="CN299" s="237" t="n">
        <f aca="false">CN297*$AC$295*CN298*CN$38*'⑫ Roll-out Plan'!$O$34</f>
        <v>0</v>
      </c>
      <c r="CO299" s="237" t="n">
        <f aca="false">CO297*$AC$295*CO298*CO$38*'⑫ Roll-out Plan'!$O$34</f>
        <v>0</v>
      </c>
      <c r="CP299" s="237" t="n">
        <f aca="false">CP297*$AC$295*CP298*CP$38*'⑫ Roll-out Plan'!$O$34</f>
        <v>0</v>
      </c>
      <c r="CQ299" s="237" t="n">
        <f aca="false">CQ297*$AC$295*CQ298*CQ$38*'⑫ Roll-out Plan'!$O$34</f>
        <v>0</v>
      </c>
      <c r="CR299" s="237" t="n">
        <f aca="false">CR297*$AC$295*CR298*CR$38*'⑫ Roll-out Plan'!$O$34</f>
        <v>0</v>
      </c>
      <c r="CS299" s="237" t="n">
        <f aca="false">CS297*$AC$295*CS298*CS$38*'⑫ Roll-out Plan'!$O$34</f>
        <v>0</v>
      </c>
      <c r="CT299" s="237" t="n">
        <f aca="false">CT297*$AC$295*CT298*CT$38*'⑫ Roll-out Plan'!$O$34</f>
        <v>0</v>
      </c>
      <c r="CU299" s="237" t="n">
        <f aca="false">CU297*$AC$295*CU298*CU$38*'⑫ Roll-out Plan'!$O$34</f>
        <v>0</v>
      </c>
      <c r="CV299" s="237" t="n">
        <f aca="false">CV297*$AC$295*CV298*CV$38*'⑫ Roll-out Plan'!$O$34</f>
        <v>0</v>
      </c>
      <c r="CW299" s="237" t="n">
        <f aca="false">CW297*$AC$295*CW298*CW$38*'⑫ Roll-out Plan'!$O$34</f>
        <v>0</v>
      </c>
      <c r="CX299" s="237" t="n">
        <f aca="false">CX297*$AC$295*CX298*CX$38*'⑫ Roll-out Plan'!$O$34</f>
        <v>0</v>
      </c>
      <c r="CY299" s="237" t="n">
        <f aca="false">CY297*$AC$295*CY298*CY$38*'⑫ Roll-out Plan'!$O$34</f>
        <v>0</v>
      </c>
      <c r="CZ299" s="237" t="n">
        <f aca="false">CZ297*$AC$295*CZ298*CZ$38*'⑫ Roll-out Plan'!$O$34</f>
        <v>0</v>
      </c>
      <c r="DA299" s="237" t="n">
        <f aca="false">DA297*$AC$295*DA298*DA$38*'⑫ Roll-out Plan'!$O$34</f>
        <v>0</v>
      </c>
      <c r="DB299" s="237" t="n">
        <f aca="false">DB297*$AC$295*DB298*DB$38*'⑫ Roll-out Plan'!$O$34</f>
        <v>0</v>
      </c>
      <c r="DC299" s="237" t="n">
        <f aca="false">DC297*$AC$295*DC298*DC$38*'⑫ Roll-out Plan'!$O$34</f>
        <v>0</v>
      </c>
      <c r="DD299" s="237" t="n">
        <f aca="false">DD297*$AC$295*DD298*DD$38*'⑫ Roll-out Plan'!$O$34</f>
        <v>0</v>
      </c>
      <c r="DE299" s="237" t="n">
        <f aca="false">DE297*$AC$295*DE298*DE$38*'⑫ Roll-out Plan'!$O$34</f>
        <v>0</v>
      </c>
      <c r="DF299" s="237" t="n">
        <f aca="false">DF297*$AC$295*DF298*DF$38*'⑫ Roll-out Plan'!$O$34</f>
        <v>0</v>
      </c>
      <c r="DG299" s="237" t="n">
        <f aca="false">DG297*$AC$295*DG298*DG$38*'⑫ Roll-out Plan'!$O$34</f>
        <v>0</v>
      </c>
      <c r="DH299" s="237" t="n">
        <f aca="false">DH297*$AC$295*DH298*DH$38*'⑫ Roll-out Plan'!$O$34</f>
        <v>0</v>
      </c>
      <c r="DI299" s="237" t="n">
        <f aca="false">DI297*$AC$295*DI298*DI$38*'⑫ Roll-out Plan'!$O$34</f>
        <v>0</v>
      </c>
      <c r="DJ299" s="237" t="n">
        <f aca="false">DJ297*$AC$295*DJ298*DJ$38*'⑫ Roll-out Plan'!$O$34</f>
        <v>0</v>
      </c>
      <c r="DK299" s="237" t="n">
        <f aca="false">DK297*$AC$295*DK298*DK$38*'⑫ Roll-out Plan'!$O$34</f>
        <v>0</v>
      </c>
      <c r="DL299" s="237" t="n">
        <f aca="false">DL297*$AC$295*DL298*DL$38*'⑫ Roll-out Plan'!$O$34</f>
        <v>0</v>
      </c>
      <c r="DM299" s="237" t="n">
        <f aca="false">DM297*$AC$295*DM298*DM$38*'⑫ Roll-out Plan'!$O$34</f>
        <v>0</v>
      </c>
      <c r="DN299" s="237" t="n">
        <f aca="false">DN297*$AC$295*DN298*DN$38*'⑫ Roll-out Plan'!$O$34</f>
        <v>0</v>
      </c>
      <c r="DO299" s="237" t="n">
        <f aca="false">DO297*$AC$295*DO298*DO$38*'⑫ Roll-out Plan'!$O$34</f>
        <v>0</v>
      </c>
      <c r="DP299" s="237" t="n">
        <f aca="false">DP297*$AC$295*DP298*DP$38*'⑫ Roll-out Plan'!$O$34</f>
        <v>52.54</v>
      </c>
      <c r="DQ299" s="237" t="n">
        <f aca="false">DQ297*$AC$295*DQ298*DQ$38*'⑫ Roll-out Plan'!$O$34</f>
        <v>47.212</v>
      </c>
      <c r="DR299" s="237" t="n">
        <f aca="false">DR297*$AC$295*DR298*DR$38*'⑫ Roll-out Plan'!$O$34</f>
        <v>39.072</v>
      </c>
      <c r="DS299" s="237" t="n">
        <f aca="false">DS297*$AC$295*DS298*DS$38*'⑫ Roll-out Plan'!$O$34</f>
        <v>31.968</v>
      </c>
      <c r="DT299" s="237" t="n">
        <f aca="false">DT297*$AC$295*DT298*DT$38*'⑫ Roll-out Plan'!$O$34</f>
        <v>45.288</v>
      </c>
      <c r="DU299" s="237" t="n">
        <f aca="false">DU297*$AC$295*DU298*DU$38*'⑫ Roll-out Plan'!$O$34</f>
        <v>53.946</v>
      </c>
      <c r="DV299" s="237" t="n">
        <f aca="false">DV297*$AC$295*DV298*DV$38*'⑫ Roll-out Plan'!$O$34</f>
        <v>40.959</v>
      </c>
      <c r="DW299" s="237" t="n">
        <f aca="false">DW297*$AC$295*DW298*DW$38*'⑫ Roll-out Plan'!$O$34</f>
        <v>66.526</v>
      </c>
      <c r="DX299" s="237" t="n">
        <f aca="false">DX297*$AC$295*DX298*DX$38*'⑫ Roll-out Plan'!$O$34</f>
        <v>63.085</v>
      </c>
      <c r="DY299" s="237" t="n">
        <f aca="false">DY297*$AC$295*DY298*DY$38*'⑫ Roll-out Plan'!$O$34</f>
        <v>59.57</v>
      </c>
      <c r="DZ299" s="237" t="n">
        <f aca="false">DZ297*$AC$295*DZ298*DZ$38*'⑫ Roll-out Plan'!$O$34</f>
        <v>51.8</v>
      </c>
      <c r="EA299" s="237" t="n">
        <f aca="false">EA297*$AC$295*EA298*EA$38*'⑫ Roll-out Plan'!$O$34</f>
        <v>60.606</v>
      </c>
      <c r="EB299" s="237" t="n">
        <f aca="false">EB297*$AC$295*EB298*EB$38*'⑫ Roll-out Plan'!$O$34</f>
        <v>102.453</v>
      </c>
      <c r="EC299" s="237" t="n">
        <f aca="false">EC297*$AC$295*EC298*EC$38*'⑫ Roll-out Plan'!$O$34</f>
        <v>94.424</v>
      </c>
      <c r="ED299" s="237" t="n">
        <f aca="false">ED297*$AC$295*ED298*ED$38*'⑫ Roll-out Plan'!$O$34</f>
        <v>78.144</v>
      </c>
      <c r="EE299" s="237" t="n">
        <f aca="false">EE297*$AC$295*EE298*EE$38*'⑫ Roll-out Plan'!$O$34</f>
        <v>76.7232</v>
      </c>
      <c r="EF299" s="237" t="n">
        <f aca="false">EF297*$AC$295*EF298*EF$38*'⑫ Roll-out Plan'!$O$34</f>
        <v>117.7488</v>
      </c>
      <c r="EG299" s="237" t="n">
        <f aca="false">EG297*$AC$295*EG298*EG$38*'⑫ Roll-out Plan'!$O$34</f>
        <v>124.6752</v>
      </c>
      <c r="EH299" s="237" t="n">
        <f aca="false">EH297*$AC$295*EH298*EH$38*'⑫ Roll-out Plan'!$O$34</f>
        <v>101.9424</v>
      </c>
      <c r="EI299" s="237" t="n">
        <f aca="false">EI297*$AC$295*EI298*EI$38*'⑫ Roll-out Plan'!$O$34</f>
        <v>144.2112</v>
      </c>
      <c r="EJ299" s="237" t="n">
        <f aca="false">EJ297*$AC$295*EJ298*EJ$38*'⑫ Roll-out Plan'!$O$34</f>
        <v>146.52</v>
      </c>
      <c r="EK299" s="237" t="n">
        <f aca="false">EK297*$AC$295*EK298*EK$38*'⑫ Roll-out Plan'!$O$34</f>
        <v>122.544</v>
      </c>
      <c r="EL299" s="237" t="n">
        <f aca="false">EL297*$AC$295*EL298*EL$38*'⑫ Roll-out Plan'!$O$34</f>
        <v>111.888</v>
      </c>
      <c r="EM299" s="237" t="n">
        <f aca="false">EM297*$AC$295*EM298*EM$38*'⑫ Roll-out Plan'!$O$34</f>
        <v>117.4824</v>
      </c>
      <c r="EN299" s="237" t="n">
        <f aca="false">EN297*$AC$295*EN298*EN$38*'⑫ Roll-out Plan'!$O$34</f>
        <v>208.0584</v>
      </c>
      <c r="EO299" s="237" t="n">
        <f aca="false">EO297*$AC$295*EO298*EO$38*'⑫ Roll-out Plan'!$O$34</f>
        <v>169.9632</v>
      </c>
      <c r="EP299" s="237" t="n">
        <f aca="false">EP297*$AC$295*EP298*EP$38*'⑫ Roll-out Plan'!$O$34</f>
        <v>147.0528</v>
      </c>
      <c r="EQ299" s="237" t="n">
        <f aca="false">EQ297*$AC$295*EQ298*EQ$38*'⑫ Roll-out Plan'!$O$34</f>
        <v>110.2896</v>
      </c>
      <c r="ER299" s="237" t="n">
        <f aca="false">ER297*$AC$295*ER298*ER$38*'⑫ Roll-out Plan'!$O$34</f>
        <v>160.7724</v>
      </c>
      <c r="ES299" s="9" t="n">
        <f aca="false">ES297*$AC$295*ES298*ES$38*'⑫ Roll-out Plan'!$O$34</f>
        <v>170.2296</v>
      </c>
      <c r="ET299" s="9" t="n">
        <f aca="false">ET297*$AC$295*ET298*ET$38*'⑫ Roll-out Plan'!$O$34</f>
        <v>132.8892</v>
      </c>
      <c r="EU299" s="9" t="n">
        <f aca="false">EU297*$AC$295*EU298*EU$38*'⑫ Roll-out Plan'!$O$34</f>
        <v>193.14</v>
      </c>
      <c r="EV299" s="9" t="n">
        <f aca="false">EV297*$AC$295*EV298*EV$38*'⑫ Roll-out Plan'!$O$34</f>
        <v>183.15</v>
      </c>
      <c r="EW299" s="9" t="n">
        <f aca="false">EW297*$AC$295*EW298*EW$38*'⑫ Roll-out Plan'!$O$34</f>
        <v>157.2648</v>
      </c>
      <c r="EX299" s="9" t="n">
        <f aca="false">EX297*$AC$295*EX298*EX$38*'⑫ Roll-out Plan'!$O$34</f>
        <v>136.752</v>
      </c>
      <c r="EY299" s="9" t="n">
        <f aca="false">EY297*$AC$295*EY298*EY$38*'⑫ Roll-out Plan'!$O$34</f>
        <v>147.3192</v>
      </c>
      <c r="EZ299" s="9" t="n">
        <f aca="false">EZ297*$AC$295*EZ298*EZ$38*'⑫ Roll-out Plan'!$O$34</f>
        <v>249.0396</v>
      </c>
      <c r="FA299" s="9" t="n">
        <f aca="false">FA297*$AC$295*FA298*FA$38*'⑫ Roll-out Plan'!$O$34</f>
        <v>206.016</v>
      </c>
      <c r="FB299" s="9" t="n">
        <f aca="false">FB297*$AC$295*FB298*FB$38*'⑫ Roll-out Plan'!$O$34</f>
        <v>170.496</v>
      </c>
      <c r="FC299" s="9" t="n">
        <f aca="false">FC297*$AC$295*FC298*FC$38*'⑫ Roll-out Plan'!$O$34</f>
        <v>131.0688</v>
      </c>
      <c r="FD299" s="9" t="n">
        <f aca="false">FD297*$AC$295*FD298*FD$38*'⑫ Roll-out Plan'!$O$34</f>
        <v>185.6808</v>
      </c>
      <c r="FE299" s="9" t="n">
        <f aca="false">FE297*$AC$295*FE298*FE$38*'⑫ Roll-out Plan'!$O$34</f>
        <v>201.3984</v>
      </c>
      <c r="FF299" s="9" t="n">
        <f aca="false">FF297*$AC$295*FF298*FF$38*'⑫ Roll-out Plan'!$O$34</f>
        <v>152.9136</v>
      </c>
      <c r="FG299" s="9" t="n">
        <f aca="false">FG297*$AC$295*FG298*FG$38*'⑫ Roll-out Plan'!$O$34</f>
        <v>218.892</v>
      </c>
      <c r="FH299" s="9" t="n">
        <f aca="false">FH297*$AC$295*FH298*FH$38*'⑫ Roll-out Plan'!$O$34</f>
        <v>207.57</v>
      </c>
      <c r="FI299" s="9" t="n">
        <f aca="false">FI297*$AC$295*FI298*FI$38*'⑫ Roll-out Plan'!$O$34</f>
        <v>175.6464</v>
      </c>
      <c r="FJ299" s="9" t="n">
        <f aca="false">FJ297*$AC$295*FJ298*FJ$38*'⑫ Roll-out Plan'!$O$34</f>
        <v>156.288</v>
      </c>
      <c r="FK299" s="9" t="n">
        <f aca="false">FK297*$AC$295*FK298*FK$38*'⑫ Roll-out Plan'!$O$34</f>
        <v>164.1024</v>
      </c>
      <c r="FL299" s="9" t="n">
        <f aca="false">FL297*$AC$295*FL298*FL$38*'⑫ Roll-out Plan'!$O$34</f>
        <v>280.5636</v>
      </c>
      <c r="FM299" s="9" t="n">
        <f aca="false">FM297*$AC$295*FM298*FM$38*'⑫ Roll-out Plan'!$O$34</f>
        <v>229.1928</v>
      </c>
      <c r="FN299" s="9" t="n">
        <f aca="false">FN297*$AC$295*FN298*FN$38*'⑫ Roll-out Plan'!$O$34</f>
        <v>191.808</v>
      </c>
      <c r="FO299" s="9" t="n">
        <f aca="false">FO297*$AC$295*FO298*FO$38*'⑫ Roll-out Plan'!$O$34</f>
        <v>143.856</v>
      </c>
      <c r="FP299" s="9" t="n">
        <f aca="false">FP297*$AC$295*FP298*FP$38*'⑫ Roll-out Plan'!$O$34</f>
        <v>208.3248</v>
      </c>
    </row>
    <row r="300" customFormat="false" ht="15" hidden="false" customHeight="false" outlineLevel="2" collapsed="false">
      <c r="B300" s="47" t="s">
        <v>877</v>
      </c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237" t="n">
        <f aca="true">IFERROR(SUMPRODUCT(OFFSET($BJ$31,0,1-MIN(60,COLUMN()-29),1,MIN(60,COLUMN()-29)),OFFSET(AC299,0,-MIN(60,COLUMN()-29),1,MIN(60,COLUMN()-29))),0)</f>
        <v>0</v>
      </c>
      <c r="AD300" s="237" t="n">
        <f aca="true">IFERROR(SUMPRODUCT(OFFSET($BJ$31,0,1-MIN(60,COLUMN()-29),1,MIN(60,COLUMN()-29)),OFFSET(AD299,0,-MIN(60,COLUMN()-29),1,MIN(60,COLUMN()-29))),0)</f>
        <v>0</v>
      </c>
      <c r="AE300" s="237" t="n">
        <f aca="true">IFERROR(SUMPRODUCT(OFFSET($BJ$31,0,1-MIN(60,COLUMN()-29),1,MIN(60,COLUMN()-29)),OFFSET(AE299,0,-MIN(60,COLUMN()-29),1,MIN(60,COLUMN()-29))),0)</f>
        <v>0</v>
      </c>
      <c r="AF300" s="237" t="n">
        <f aca="true">IFERROR(SUMPRODUCT(OFFSET($BJ$31,0,1-MIN(60,COLUMN()-29),1,MIN(60,COLUMN()-29)),OFFSET(AF299,0,-MIN(60,COLUMN()-29),1,MIN(60,COLUMN()-29))),0)</f>
        <v>0</v>
      </c>
      <c r="AG300" s="237" t="n">
        <f aca="true">IFERROR(SUMPRODUCT(OFFSET($BJ$31,0,1-MIN(60,COLUMN()-29),1,MIN(60,COLUMN()-29)),OFFSET(AG299,0,-MIN(60,COLUMN()-29),1,MIN(60,COLUMN()-29))),0)</f>
        <v>0</v>
      </c>
      <c r="AH300" s="237" t="n">
        <f aca="true">IFERROR(SUMPRODUCT(OFFSET($BJ$31,0,1-MIN(60,COLUMN()-29),1,MIN(60,COLUMN()-29)),OFFSET(AH299,0,-MIN(60,COLUMN()-29),1,MIN(60,COLUMN()-29))),0)</f>
        <v>0</v>
      </c>
      <c r="AI300" s="237" t="n">
        <f aca="true">IFERROR(SUMPRODUCT(OFFSET($BJ$31,0,1-MIN(60,COLUMN()-29),1,MIN(60,COLUMN()-29)),OFFSET(AI299,0,-MIN(60,COLUMN()-29),1,MIN(60,COLUMN()-29))),0)</f>
        <v>0</v>
      </c>
      <c r="AJ300" s="237" t="n">
        <f aca="true">IFERROR(SUMPRODUCT(OFFSET($BJ$31,0,1-MIN(60,COLUMN()-29),1,MIN(60,COLUMN()-29)),OFFSET(AJ299,0,-MIN(60,COLUMN()-29),1,MIN(60,COLUMN()-29))),0)</f>
        <v>0</v>
      </c>
      <c r="AK300" s="237" t="n">
        <f aca="true">IFERROR(SUMPRODUCT(OFFSET($BJ$31,0,1-MIN(60,COLUMN()-29),1,MIN(60,COLUMN()-29)),OFFSET(AK299,0,-MIN(60,COLUMN()-29),1,MIN(60,COLUMN()-29))),0)</f>
        <v>0</v>
      </c>
      <c r="AL300" s="237" t="n">
        <f aca="true">IFERROR(SUMPRODUCT(OFFSET($BJ$31,0,1-MIN(60,COLUMN()-29),1,MIN(60,COLUMN()-29)),OFFSET(AL299,0,-MIN(60,COLUMN()-29),1,MIN(60,COLUMN()-29))),0)</f>
        <v>0</v>
      </c>
      <c r="AM300" s="237" t="n">
        <f aca="true">IFERROR(SUMPRODUCT(OFFSET($BJ$31,0,1-MIN(60,COLUMN()-29),1,MIN(60,COLUMN()-29)),OFFSET(AM299,0,-MIN(60,COLUMN()-29),1,MIN(60,COLUMN()-29))),0)</f>
        <v>0</v>
      </c>
      <c r="AN300" s="237" t="n">
        <f aca="true">IFERROR(SUMPRODUCT(OFFSET($BJ$31,0,1-MIN(60,COLUMN()-29),1,MIN(60,COLUMN()-29)),OFFSET(AN299,0,-MIN(60,COLUMN()-29),1,MIN(60,COLUMN()-29))),0)</f>
        <v>0</v>
      </c>
      <c r="AO300" s="237" t="n">
        <f aca="true">IFERROR(SUMPRODUCT(OFFSET($BJ$31,0,1-MIN(60,COLUMN()-29),1,MIN(60,COLUMN()-29)),OFFSET(AO299,0,-MIN(60,COLUMN()-29),1,MIN(60,COLUMN()-29))),0)</f>
        <v>0</v>
      </c>
      <c r="AP300" s="237" t="n">
        <f aca="true">IFERROR(SUMPRODUCT(OFFSET($BJ$31,0,1-MIN(60,COLUMN()-29),1,MIN(60,COLUMN()-29)),OFFSET(AP299,0,-MIN(60,COLUMN()-29),1,MIN(60,COLUMN()-29))),0)</f>
        <v>0</v>
      </c>
      <c r="AQ300" s="237" t="n">
        <f aca="true">IFERROR(SUMPRODUCT(OFFSET($BJ$31,0,1-MIN(60,COLUMN()-29),1,MIN(60,COLUMN()-29)),OFFSET(AQ299,0,-MIN(60,COLUMN()-29),1,MIN(60,COLUMN()-29))),0)</f>
        <v>0</v>
      </c>
      <c r="AR300" s="237" t="n">
        <f aca="true">IFERROR(SUMPRODUCT(OFFSET($BJ$31,0,1-MIN(60,COLUMN()-29),1,MIN(60,COLUMN()-29)),OFFSET(AR299,0,-MIN(60,COLUMN()-29),1,MIN(60,COLUMN()-29))),0)</f>
        <v>0</v>
      </c>
      <c r="AS300" s="237" t="n">
        <f aca="true">IFERROR(SUMPRODUCT(OFFSET($BJ$31,0,1-MIN(60,COLUMN()-29),1,MIN(60,COLUMN()-29)),OFFSET(AS299,0,-MIN(60,COLUMN()-29),1,MIN(60,COLUMN()-29))),0)</f>
        <v>0</v>
      </c>
      <c r="AT300" s="237" t="n">
        <f aca="true">IFERROR(SUMPRODUCT(OFFSET($BJ$31,0,1-MIN(60,COLUMN()-29),1,MIN(60,COLUMN()-29)),OFFSET(AT299,0,-MIN(60,COLUMN()-29),1,MIN(60,COLUMN()-29))),0)</f>
        <v>0</v>
      </c>
      <c r="AU300" s="237" t="n">
        <f aca="true">IFERROR(SUMPRODUCT(OFFSET($BJ$31,0,1-MIN(60,COLUMN()-29),1,MIN(60,COLUMN()-29)),OFFSET(AU299,0,-MIN(60,COLUMN()-29),1,MIN(60,COLUMN()-29))),0)</f>
        <v>0</v>
      </c>
      <c r="AV300" s="237" t="n">
        <f aca="true">IFERROR(SUMPRODUCT(OFFSET($BJ$31,0,1-MIN(60,COLUMN()-29),1,MIN(60,COLUMN()-29)),OFFSET(AV299,0,-MIN(60,COLUMN()-29),1,MIN(60,COLUMN()-29))),0)</f>
        <v>0</v>
      </c>
      <c r="AW300" s="237" t="n">
        <f aca="true">IFERROR(SUMPRODUCT(OFFSET($BJ$31,0,1-MIN(60,COLUMN()-29),1,MIN(60,COLUMN()-29)),OFFSET(AW299,0,-MIN(60,COLUMN()-29),1,MIN(60,COLUMN()-29))),0)</f>
        <v>0</v>
      </c>
      <c r="AX300" s="237" t="n">
        <f aca="true">IFERROR(SUMPRODUCT(OFFSET($BJ$31,0,1-MIN(60,COLUMN()-29),1,MIN(60,COLUMN()-29)),OFFSET(AX299,0,-MIN(60,COLUMN()-29),1,MIN(60,COLUMN()-29))),0)</f>
        <v>0</v>
      </c>
      <c r="AY300" s="237" t="n">
        <f aca="true">IFERROR(SUMPRODUCT(OFFSET($BJ$31,0,1-MIN(60,COLUMN()-29),1,MIN(60,COLUMN()-29)),OFFSET(AY299,0,-MIN(60,COLUMN()-29),1,MIN(60,COLUMN()-29))),0)</f>
        <v>0</v>
      </c>
      <c r="AZ300" s="237" t="n">
        <f aca="true">IFERROR(SUMPRODUCT(OFFSET($BJ$31,0,1-MIN(60,COLUMN()-29),1,MIN(60,COLUMN()-29)),OFFSET(AZ299,0,-MIN(60,COLUMN()-29),1,MIN(60,COLUMN()-29))),0)</f>
        <v>0</v>
      </c>
      <c r="BA300" s="237" t="n">
        <f aca="true">IFERROR(SUMPRODUCT(OFFSET($BJ$31,0,1-MIN(60,COLUMN()-29),1,MIN(60,COLUMN()-29)),OFFSET(BA299,0,-MIN(60,COLUMN()-29),1,MIN(60,COLUMN()-29))),0)</f>
        <v>0</v>
      </c>
      <c r="BB300" s="237" t="n">
        <f aca="true">IFERROR(SUMPRODUCT(OFFSET($BJ$31,0,1-MIN(60,COLUMN()-29),1,MIN(60,COLUMN()-29)),OFFSET(BB299,0,-MIN(60,COLUMN()-29),1,MIN(60,COLUMN()-29))),0)</f>
        <v>0</v>
      </c>
      <c r="BC300" s="237" t="n">
        <f aca="true">IFERROR(SUMPRODUCT(OFFSET($BJ$31,0,1-MIN(60,COLUMN()-29),1,MIN(60,COLUMN()-29)),OFFSET(BC299,0,-MIN(60,COLUMN()-29),1,MIN(60,COLUMN()-29))),0)</f>
        <v>0</v>
      </c>
      <c r="BD300" s="237" t="n">
        <f aca="true">IFERROR(SUMPRODUCT(OFFSET($BJ$31,0,1-MIN(60,COLUMN()-29),1,MIN(60,COLUMN()-29)),OFFSET(BD299,0,-MIN(60,COLUMN()-29),1,MIN(60,COLUMN()-29))),0)</f>
        <v>0</v>
      </c>
      <c r="BE300" s="237" t="n">
        <f aca="true">IFERROR(SUMPRODUCT(OFFSET($BJ$31,0,1-MIN(60,COLUMN()-29),1,MIN(60,COLUMN()-29)),OFFSET(BE299,0,-MIN(60,COLUMN()-29),1,MIN(60,COLUMN()-29))),0)</f>
        <v>0</v>
      </c>
      <c r="BF300" s="237" t="n">
        <f aca="true">IFERROR(SUMPRODUCT(OFFSET($BJ$31,0,1-MIN(60,COLUMN()-29),1,MIN(60,COLUMN()-29)),OFFSET(BF299,0,-MIN(60,COLUMN()-29),1,MIN(60,COLUMN()-29))),0)</f>
        <v>0</v>
      </c>
      <c r="BG300" s="237" t="n">
        <f aca="true">IFERROR(SUMPRODUCT(OFFSET($BJ$31,0,1-MIN(60,COLUMN()-29),1,MIN(60,COLUMN()-29)),OFFSET(BG299,0,-MIN(60,COLUMN()-29),1,MIN(60,COLUMN()-29))),0)</f>
        <v>0</v>
      </c>
      <c r="BH300" s="237" t="n">
        <f aca="true">IFERROR(SUMPRODUCT(OFFSET($BJ$31,0,1-MIN(60,COLUMN()-29),1,MIN(60,COLUMN()-29)),OFFSET(BH299,0,-MIN(60,COLUMN()-29),1,MIN(60,COLUMN()-29))),0)</f>
        <v>0</v>
      </c>
      <c r="BI300" s="237" t="n">
        <f aca="true">IFERROR(SUMPRODUCT(OFFSET($BJ$31,0,1-MIN(60,COLUMN()-29),1,MIN(60,COLUMN()-29)),OFFSET(BI299,0,-MIN(60,COLUMN()-29),1,MIN(60,COLUMN()-29))),0)</f>
        <v>0</v>
      </c>
      <c r="BJ300" s="237" t="n">
        <f aca="true">IFERROR(SUMPRODUCT(OFFSET($BJ$31,0,1-MIN(60,COLUMN()-29),1,MIN(60,COLUMN()-29)),OFFSET(BJ299,0,-MIN(60,COLUMN()-29),1,MIN(60,COLUMN()-29))),0)</f>
        <v>0</v>
      </c>
      <c r="BK300" s="237" t="n">
        <f aca="true">IFERROR(SUMPRODUCT(OFFSET($BJ$31,0,1-MIN(60,COLUMN()-29),1,MIN(60,COLUMN()-29)),OFFSET(BK299,0,-MIN(60,COLUMN()-29),1,MIN(60,COLUMN()-29))),0)</f>
        <v>0</v>
      </c>
      <c r="BL300" s="237" t="n">
        <f aca="true">IFERROR(SUMPRODUCT(OFFSET($BJ$31,0,1-MIN(60,COLUMN()-29),1,MIN(60,COLUMN()-29)),OFFSET(BL299,0,-MIN(60,COLUMN()-29),1,MIN(60,COLUMN()-29))),0)</f>
        <v>0</v>
      </c>
      <c r="BM300" s="237" t="n">
        <f aca="true">IFERROR(SUMPRODUCT(OFFSET($BJ$31,0,1-MIN(60,COLUMN()-29),1,MIN(60,COLUMN()-29)),OFFSET(BM299,0,-MIN(60,COLUMN()-29),1,MIN(60,COLUMN()-29))),0)</f>
        <v>0</v>
      </c>
      <c r="BN300" s="237" t="n">
        <f aca="true">IFERROR(SUMPRODUCT(OFFSET($BJ$31,0,1-MIN(60,COLUMN()-29),1,MIN(60,COLUMN()-29)),OFFSET(BN299,0,-MIN(60,COLUMN()-29),1,MIN(60,COLUMN()-29))),0)</f>
        <v>0</v>
      </c>
      <c r="BO300" s="237" t="n">
        <f aca="true">IFERROR(SUMPRODUCT(OFFSET($BJ$31,0,1-MIN(60,COLUMN()-29),1,MIN(60,COLUMN()-29)),OFFSET(BO299,0,-MIN(60,COLUMN()-29),1,MIN(60,COLUMN()-29))),0)</f>
        <v>0</v>
      </c>
      <c r="BP300" s="237" t="n">
        <f aca="true">IFERROR(SUMPRODUCT(OFFSET($BJ$31,0,1-MIN(60,COLUMN()-29),1,MIN(60,COLUMN()-29)),OFFSET(BP299,0,-MIN(60,COLUMN()-29),1,MIN(60,COLUMN()-29))),0)</f>
        <v>0</v>
      </c>
      <c r="BQ300" s="237" t="n">
        <f aca="true">IFERROR(SUMPRODUCT(OFFSET($BJ$31,0,1-MIN(60,COLUMN()-29),1,MIN(60,COLUMN()-29)),OFFSET(BQ299,0,-MIN(60,COLUMN()-29),1,MIN(60,COLUMN()-29))),0)</f>
        <v>0</v>
      </c>
      <c r="BR300" s="237" t="n">
        <f aca="true">IFERROR(SUMPRODUCT(OFFSET($BJ$31,0,1-MIN(60,COLUMN()-29),1,MIN(60,COLUMN()-29)),OFFSET(BR299,0,-MIN(60,COLUMN()-29),1,MIN(60,COLUMN()-29))),0)</f>
        <v>0</v>
      </c>
      <c r="BS300" s="237" t="n">
        <f aca="true">IFERROR(SUMPRODUCT(OFFSET($BJ$31,0,1-MIN(60,COLUMN()-29),1,MIN(60,COLUMN()-29)),OFFSET(BS299,0,-MIN(60,COLUMN()-29),1,MIN(60,COLUMN()-29))),0)</f>
        <v>0</v>
      </c>
      <c r="BT300" s="237" t="n">
        <f aca="true">IFERROR(SUMPRODUCT(OFFSET($BJ$31,0,1-MIN(60,COLUMN()-29),1,MIN(60,COLUMN()-29)),OFFSET(BT299,0,-MIN(60,COLUMN()-29),1,MIN(60,COLUMN()-29))),0)</f>
        <v>0</v>
      </c>
      <c r="BU300" s="237" t="n">
        <f aca="true">IFERROR(SUMPRODUCT(OFFSET($BJ$31,0,1-MIN(60,COLUMN()-29),1,MIN(60,COLUMN()-29)),OFFSET(BU299,0,-MIN(60,COLUMN()-29),1,MIN(60,COLUMN()-29))),0)</f>
        <v>0</v>
      </c>
      <c r="BV300" s="237" t="n">
        <f aca="true">IFERROR(SUMPRODUCT(OFFSET($BJ$31,0,1-MIN(60,COLUMN()-29),1,MIN(60,COLUMN()-29)),OFFSET(BV299,0,-MIN(60,COLUMN()-29),1,MIN(60,COLUMN()-29))),0)</f>
        <v>0</v>
      </c>
      <c r="BW300" s="237" t="n">
        <f aca="true">IFERROR(SUMPRODUCT(OFFSET($BJ$31,0,1-MIN(60,COLUMN()-29),1,MIN(60,COLUMN()-29)),OFFSET(BW299,0,-MIN(60,COLUMN()-29),1,MIN(60,COLUMN()-29))),0)</f>
        <v>0</v>
      </c>
      <c r="BX300" s="237" t="n">
        <f aca="true">IFERROR(SUMPRODUCT(OFFSET($BJ$31,0,1-MIN(60,COLUMN()-29),1,MIN(60,COLUMN()-29)),OFFSET(BX299,0,-MIN(60,COLUMN()-29),1,MIN(60,COLUMN()-29))),0)</f>
        <v>0</v>
      </c>
      <c r="BY300" s="237" t="n">
        <f aca="true">IFERROR(SUMPRODUCT(OFFSET($BJ$31,0,1-MIN(60,COLUMN()-29),1,MIN(60,COLUMN()-29)),OFFSET(BY299,0,-MIN(60,COLUMN()-29),1,MIN(60,COLUMN()-29))),0)</f>
        <v>0</v>
      </c>
      <c r="BZ300" s="237" t="n">
        <f aca="true">IFERROR(SUMPRODUCT(OFFSET($BJ$31,0,1-MIN(60,COLUMN()-29),1,MIN(60,COLUMN()-29)),OFFSET(BZ299,0,-MIN(60,COLUMN()-29),1,MIN(60,COLUMN()-29))),0)</f>
        <v>0</v>
      </c>
      <c r="CA300" s="237" t="n">
        <f aca="true">IFERROR(SUMPRODUCT(OFFSET($BJ$31,0,1-MIN(60,COLUMN()-29),1,MIN(60,COLUMN()-29)),OFFSET(CA299,0,-MIN(60,COLUMN()-29),1,MIN(60,COLUMN()-29))),0)</f>
        <v>0</v>
      </c>
      <c r="CB300" s="237" t="n">
        <f aca="true">IFERROR(SUMPRODUCT(OFFSET($BJ$31,0,1-MIN(60,COLUMN()-29),1,MIN(60,COLUMN()-29)),OFFSET(CB299,0,-MIN(60,COLUMN()-29),1,MIN(60,COLUMN()-29))),0)</f>
        <v>0</v>
      </c>
      <c r="CC300" s="237" t="n">
        <f aca="true">IFERROR(SUMPRODUCT(OFFSET($BJ$31,0,1-MIN(60,COLUMN()-29),1,MIN(60,COLUMN()-29)),OFFSET(CC299,0,-MIN(60,COLUMN()-29),1,MIN(60,COLUMN()-29))),0)</f>
        <v>0</v>
      </c>
      <c r="CD300" s="237" t="n">
        <f aca="true">IFERROR(SUMPRODUCT(OFFSET($BJ$31,0,1-MIN(60,COLUMN()-29),1,MIN(60,COLUMN()-29)),OFFSET(CD299,0,-MIN(60,COLUMN()-29),1,MIN(60,COLUMN()-29))),0)</f>
        <v>0</v>
      </c>
      <c r="CE300" s="237" t="n">
        <f aca="true">IFERROR(SUMPRODUCT(OFFSET($BJ$31,0,1-MIN(60,COLUMN()-29),1,MIN(60,COLUMN()-29)),OFFSET(CE299,0,-MIN(60,COLUMN()-29),1,MIN(60,COLUMN()-29))),0)</f>
        <v>0</v>
      </c>
      <c r="CF300" s="237" t="n">
        <f aca="true">IFERROR(SUMPRODUCT(OFFSET($BJ$31,0,1-MIN(60,COLUMN()-29),1,MIN(60,COLUMN()-29)),OFFSET(CF299,0,-MIN(60,COLUMN()-29),1,MIN(60,COLUMN()-29))),0)</f>
        <v>0</v>
      </c>
      <c r="CG300" s="237" t="n">
        <f aca="true">IFERROR(SUMPRODUCT(OFFSET($BJ$31,0,1-MIN(60,COLUMN()-29),1,MIN(60,COLUMN()-29)),OFFSET(CG299,0,-MIN(60,COLUMN()-29),1,MIN(60,COLUMN()-29))),0)</f>
        <v>0</v>
      </c>
      <c r="CH300" s="237" t="n">
        <f aca="true">IFERROR(SUMPRODUCT(OFFSET($BJ$31,0,1-MIN(60,COLUMN()-29),1,MIN(60,COLUMN()-29)),OFFSET(CH299,0,-MIN(60,COLUMN()-29),1,MIN(60,COLUMN()-29))),0)</f>
        <v>0</v>
      </c>
      <c r="CI300" s="237" t="n">
        <f aca="true">IFERROR(SUMPRODUCT(OFFSET($BJ$31,0,1-MIN(60,COLUMN()-29),1,MIN(60,COLUMN()-29)),OFFSET(CI299,0,-MIN(60,COLUMN()-29),1,MIN(60,COLUMN()-29))),0)</f>
        <v>0</v>
      </c>
      <c r="CJ300" s="237" t="n">
        <f aca="true">IFERROR(SUMPRODUCT(OFFSET($BJ$31,0,1-MIN(60,COLUMN()-29),1,MIN(60,COLUMN()-29)),OFFSET(CJ299,0,-MIN(60,COLUMN()-29),1,MIN(60,COLUMN()-29))),0)</f>
        <v>0</v>
      </c>
      <c r="CK300" s="237" t="n">
        <f aca="true">IFERROR(SUMPRODUCT(OFFSET($BJ$31,0,1-MIN(60,COLUMN()-29),1,MIN(60,COLUMN()-29)),OFFSET(CK299,0,-MIN(60,COLUMN()-29),1,MIN(60,COLUMN()-29))),0)</f>
        <v>0</v>
      </c>
      <c r="CL300" s="237" t="n">
        <f aca="true">IFERROR(SUMPRODUCT(OFFSET($BJ$31,0,1-MIN(60,COLUMN()-29),1,MIN(60,COLUMN()-29)),OFFSET(CL299,0,-MIN(60,COLUMN()-29),1,MIN(60,COLUMN()-29))),0)</f>
        <v>0</v>
      </c>
      <c r="CM300" s="237" t="n">
        <f aca="true">IFERROR(SUMPRODUCT(OFFSET($BJ$31,0,1-MIN(60,COLUMN()-29),1,MIN(60,COLUMN()-29)),OFFSET(CM299,0,-MIN(60,COLUMN()-29),1,MIN(60,COLUMN()-29))),0)</f>
        <v>0</v>
      </c>
      <c r="CN300" s="237" t="n">
        <f aca="true">IFERROR(SUMPRODUCT(OFFSET($BJ$31,0,1-MIN(60,COLUMN()-29),1,MIN(60,COLUMN()-29)),OFFSET(CN299,0,-MIN(60,COLUMN()-29),1,MIN(60,COLUMN()-29))),0)</f>
        <v>0</v>
      </c>
      <c r="CO300" s="237" t="n">
        <f aca="true">IFERROR(SUMPRODUCT(OFFSET($BJ$31,0,1-MIN(60,COLUMN()-29),1,MIN(60,COLUMN()-29)),OFFSET(CO299,0,-MIN(60,COLUMN()-29),1,MIN(60,COLUMN()-29))),0)</f>
        <v>0</v>
      </c>
      <c r="CP300" s="237" t="n">
        <f aca="true">IFERROR(SUMPRODUCT(OFFSET($BJ$31,0,1-MIN(60,COLUMN()-29),1,MIN(60,COLUMN()-29)),OFFSET(CP299,0,-MIN(60,COLUMN()-29),1,MIN(60,COLUMN()-29))),0)</f>
        <v>0</v>
      </c>
      <c r="CQ300" s="237" t="n">
        <f aca="true">IFERROR(SUMPRODUCT(OFFSET($BJ$31,0,1-MIN(60,COLUMN()-29),1,MIN(60,COLUMN()-29)),OFFSET(CQ299,0,-MIN(60,COLUMN()-29),1,MIN(60,COLUMN()-29))),0)</f>
        <v>0</v>
      </c>
      <c r="CR300" s="237" t="n">
        <f aca="true">IFERROR(SUMPRODUCT(OFFSET($BJ$31,0,1-MIN(60,COLUMN()-29),1,MIN(60,COLUMN()-29)),OFFSET(CR299,0,-MIN(60,COLUMN()-29),1,MIN(60,COLUMN()-29))),0)</f>
        <v>0</v>
      </c>
      <c r="CS300" s="237" t="n">
        <f aca="true">IFERROR(SUMPRODUCT(OFFSET($BJ$31,0,1-MIN(60,COLUMN()-29),1,MIN(60,COLUMN()-29)),OFFSET(CS299,0,-MIN(60,COLUMN()-29),1,MIN(60,COLUMN()-29))),0)</f>
        <v>0</v>
      </c>
      <c r="CT300" s="237" t="n">
        <f aca="true">IFERROR(SUMPRODUCT(OFFSET($BJ$31,0,1-MIN(60,COLUMN()-29),1,MIN(60,COLUMN()-29)),OFFSET(CT299,0,-MIN(60,COLUMN()-29),1,MIN(60,COLUMN()-29))),0)</f>
        <v>0</v>
      </c>
      <c r="CU300" s="237" t="n">
        <f aca="true">IFERROR(SUMPRODUCT(OFFSET($BJ$31,0,1-MIN(60,COLUMN()-29),1,MIN(60,COLUMN()-29)),OFFSET(CU299,0,-MIN(60,COLUMN()-29),1,MIN(60,COLUMN()-29))),0)</f>
        <v>0</v>
      </c>
      <c r="CV300" s="237" t="n">
        <f aca="true">IFERROR(SUMPRODUCT(OFFSET($BJ$31,0,1-MIN(60,COLUMN()-29),1,MIN(60,COLUMN()-29)),OFFSET(CV299,0,-MIN(60,COLUMN()-29),1,MIN(60,COLUMN()-29))),0)</f>
        <v>0</v>
      </c>
      <c r="CW300" s="237" t="n">
        <f aca="true">IFERROR(SUMPRODUCT(OFFSET($BJ$31,0,1-MIN(60,COLUMN()-29),1,MIN(60,COLUMN()-29)),OFFSET(CW299,0,-MIN(60,COLUMN()-29),1,MIN(60,COLUMN()-29))),0)</f>
        <v>0</v>
      </c>
      <c r="CX300" s="237" t="n">
        <f aca="true">IFERROR(SUMPRODUCT(OFFSET($BJ$31,0,1-MIN(60,COLUMN()-29),1,MIN(60,COLUMN()-29)),OFFSET(CX299,0,-MIN(60,COLUMN()-29),1,MIN(60,COLUMN()-29))),0)</f>
        <v>0</v>
      </c>
      <c r="CY300" s="237" t="n">
        <f aca="true">IFERROR(SUMPRODUCT(OFFSET($BJ$31,0,1-MIN(60,COLUMN()-29),1,MIN(60,COLUMN()-29)),OFFSET(CY299,0,-MIN(60,COLUMN()-29),1,MIN(60,COLUMN()-29))),0)</f>
        <v>0</v>
      </c>
      <c r="CZ300" s="237" t="n">
        <f aca="true">IFERROR(SUMPRODUCT(OFFSET($BJ$31,0,1-MIN(60,COLUMN()-29),1,MIN(60,COLUMN()-29)),OFFSET(CZ299,0,-MIN(60,COLUMN()-29),1,MIN(60,COLUMN()-29))),0)</f>
        <v>0</v>
      </c>
      <c r="DA300" s="237" t="n">
        <f aca="true">IFERROR(SUMPRODUCT(OFFSET($BJ$31,0,1-MIN(60,COLUMN()-29),1,MIN(60,COLUMN()-29)),OFFSET(DA299,0,-MIN(60,COLUMN()-29),1,MIN(60,COLUMN()-29))),0)</f>
        <v>0</v>
      </c>
      <c r="DB300" s="237" t="n">
        <f aca="true">IFERROR(SUMPRODUCT(OFFSET($BJ$31,0,1-MIN(60,COLUMN()-29),1,MIN(60,COLUMN()-29)),OFFSET(DB299,0,-MIN(60,COLUMN()-29),1,MIN(60,COLUMN()-29))),0)</f>
        <v>0</v>
      </c>
      <c r="DC300" s="237" t="n">
        <f aca="true">IFERROR(SUMPRODUCT(OFFSET($BJ$31,0,1-MIN(60,COLUMN()-29),1,MIN(60,COLUMN()-29)),OFFSET(DC299,0,-MIN(60,COLUMN()-29),1,MIN(60,COLUMN()-29))),0)</f>
        <v>0</v>
      </c>
      <c r="DD300" s="237" t="n">
        <f aca="true">IFERROR(SUMPRODUCT(OFFSET($BJ$31,0,1-MIN(60,COLUMN()-29),1,MIN(60,COLUMN()-29)),OFFSET(DD299,0,-MIN(60,COLUMN()-29),1,MIN(60,COLUMN()-29))),0)</f>
        <v>0</v>
      </c>
      <c r="DE300" s="237" t="n">
        <f aca="true">IFERROR(SUMPRODUCT(OFFSET($BJ$31,0,1-MIN(60,COLUMN()-29),1,MIN(60,COLUMN()-29)),OFFSET(DE299,0,-MIN(60,COLUMN()-29),1,MIN(60,COLUMN()-29))),0)</f>
        <v>0</v>
      </c>
      <c r="DF300" s="237" t="n">
        <f aca="true">IFERROR(SUMPRODUCT(OFFSET($BJ$31,0,1-MIN(60,COLUMN()-29),1,MIN(60,COLUMN()-29)),OFFSET(DF299,0,-MIN(60,COLUMN()-29),1,MIN(60,COLUMN()-29))),0)</f>
        <v>0</v>
      </c>
      <c r="DG300" s="237" t="n">
        <f aca="true">IFERROR(SUMPRODUCT(OFFSET($BJ$31,0,1-MIN(60,COLUMN()-29),1,MIN(60,COLUMN()-29)),OFFSET(DG299,0,-MIN(60,COLUMN()-29),1,MIN(60,COLUMN()-29))),0)</f>
        <v>0</v>
      </c>
      <c r="DH300" s="237" t="n">
        <f aca="true">IFERROR(SUMPRODUCT(OFFSET($BJ$31,0,1-MIN(60,COLUMN()-29),1,MIN(60,COLUMN()-29)),OFFSET(DH299,0,-MIN(60,COLUMN()-29),1,MIN(60,COLUMN()-29))),0)</f>
        <v>0</v>
      </c>
      <c r="DI300" s="237" t="n">
        <f aca="true">IFERROR(SUMPRODUCT(OFFSET($BJ$31,0,1-MIN(60,COLUMN()-29),1,MIN(60,COLUMN()-29)),OFFSET(DI299,0,-MIN(60,COLUMN()-29),1,MIN(60,COLUMN()-29))),0)</f>
        <v>0</v>
      </c>
      <c r="DJ300" s="237" t="n">
        <f aca="true">IFERROR(SUMPRODUCT(OFFSET($BJ$31,0,1-MIN(60,COLUMN()-29),1,MIN(60,COLUMN()-29)),OFFSET(DJ299,0,-MIN(60,COLUMN()-29),1,MIN(60,COLUMN()-29))),0)</f>
        <v>0</v>
      </c>
      <c r="DK300" s="237" t="n">
        <f aca="true">IFERROR(SUMPRODUCT(OFFSET($BJ$31,0,1-MIN(60,COLUMN()-29),1,MIN(60,COLUMN()-29)),OFFSET(DK299,0,-MIN(60,COLUMN()-29),1,MIN(60,COLUMN()-29))),0)</f>
        <v>0</v>
      </c>
      <c r="DL300" s="237" t="n">
        <f aca="true">IFERROR(SUMPRODUCT(OFFSET($BJ$31,0,1-MIN(60,COLUMN()-29),1,MIN(60,COLUMN()-29)),OFFSET(DL299,0,-MIN(60,COLUMN()-29),1,MIN(60,COLUMN()-29))),0)</f>
        <v>0</v>
      </c>
      <c r="DM300" s="237" t="n">
        <f aca="true">IFERROR(SUMPRODUCT(OFFSET($BJ$31,0,1-MIN(60,COLUMN()-29),1,MIN(60,COLUMN()-29)),OFFSET(DM299,0,-MIN(60,COLUMN()-29),1,MIN(60,COLUMN()-29))),0)</f>
        <v>0</v>
      </c>
      <c r="DN300" s="237" t="n">
        <f aca="true">IFERROR(SUMPRODUCT(OFFSET($BJ$31,0,1-MIN(60,COLUMN()-29),1,MIN(60,COLUMN()-29)),OFFSET(DN299,0,-MIN(60,COLUMN()-29),1,MIN(60,COLUMN()-29))),0)</f>
        <v>0</v>
      </c>
      <c r="DO300" s="237" t="n">
        <f aca="true">IFERROR(SUMPRODUCT(OFFSET($BJ$31,0,1-MIN(60,COLUMN()-29),1,MIN(60,COLUMN()-29)),OFFSET(DO299,0,-MIN(60,COLUMN()-29),1,MIN(60,COLUMN()-29))),0)</f>
        <v>0</v>
      </c>
      <c r="DP300" s="237" t="n">
        <f aca="true">IFERROR(SUMPRODUCT(OFFSET($BJ$31,0,1-MIN(60,COLUMN()-29),1,MIN(60,COLUMN()-29)),OFFSET(DP299,0,-MIN(60,COLUMN()-29),1,MIN(60,COLUMN()-29))),0)</f>
        <v>0</v>
      </c>
      <c r="DQ300" s="237" t="n">
        <f aca="true">IFERROR(SUMPRODUCT(OFFSET($BJ$31,0,1-MIN(60,COLUMN()-29),1,MIN(60,COLUMN()-29)),OFFSET(DQ299,0,-MIN(60,COLUMN()-29),1,MIN(60,COLUMN()-29))),0)</f>
        <v>6.72512</v>
      </c>
      <c r="DR300" s="237" t="n">
        <f aca="true">IFERROR(SUMPRODUCT(OFFSET($BJ$31,0,1-MIN(60,COLUMN()-29),1,MIN(60,COLUMN()-29)),OFFSET(DR299,0,-MIN(60,COLUMN()-29),1,MIN(60,COLUMN()-29))),0)</f>
        <v>6.96784</v>
      </c>
      <c r="DS300" s="237" t="n">
        <f aca="true">IFERROR(SUMPRODUCT(OFFSET($BJ$31,0,1-MIN(60,COLUMN()-29),1,MIN(60,COLUMN()-29)),OFFSET(DS299,0,-MIN(60,COLUMN()-29),1,MIN(60,COLUMN()-29))),0)</f>
        <v>7.0090432</v>
      </c>
      <c r="DT300" s="237" t="n">
        <f aca="true">IFERROR(SUMPRODUCT(OFFSET($BJ$31,0,1-MIN(60,COLUMN()-29),1,MIN(60,COLUMN()-29)),OFFSET(DT299,0,-MIN(60,COLUMN()-29),1,MIN(60,COLUMN()-29))),0)</f>
        <v>6.509632</v>
      </c>
      <c r="DU300" s="237" t="n">
        <f aca="true">IFERROR(SUMPRODUCT(OFFSET($BJ$31,0,1-MIN(60,COLUMN()-29),1,MIN(60,COLUMN()-29)),OFFSET(DU299,0,-MIN(60,COLUMN()-29),1,MIN(60,COLUMN()-29))),0)</f>
        <v>8.3434112</v>
      </c>
      <c r="DV300" s="237" t="n">
        <f aca="true">IFERROR(SUMPRODUCT(OFFSET($BJ$31,0,1-MIN(60,COLUMN()-29),1,MIN(60,COLUMN()-29)),OFFSET(DV299,0,-MIN(60,COLUMN()-29),1,MIN(60,COLUMN()-29))),0)</f>
        <v>9.6237888</v>
      </c>
      <c r="DW300" s="237" t="n">
        <f aca="true">IFERROR(SUMPRODUCT(OFFSET($BJ$31,0,1-MIN(60,COLUMN()-29),1,MIN(60,COLUMN()-29)),OFFSET(DW299,0,-MIN(60,COLUMN()-29),1,MIN(60,COLUMN()-29))),0)</f>
        <v>9.058192</v>
      </c>
      <c r="DX300" s="237" t="n">
        <f aca="true">IFERROR(SUMPRODUCT(OFFSET($BJ$31,0,1-MIN(60,COLUMN()-29),1,MIN(60,COLUMN()-29)),OFFSET(DX299,0,-MIN(60,COLUMN()-29),1,MIN(60,COLUMN()-29))),0)</f>
        <v>12.5263056</v>
      </c>
      <c r="DY300" s="237" t="n">
        <f aca="true">IFERROR(SUMPRODUCT(OFFSET($BJ$31,0,1-MIN(60,COLUMN()-29),1,MIN(60,COLUMN()-29)),OFFSET(DY299,0,-MIN(60,COLUMN()-29),1,MIN(60,COLUMN()-29))),0)</f>
        <v>12.7980928</v>
      </c>
      <c r="DZ300" s="237" t="n">
        <f aca="true">IFERROR(SUMPRODUCT(OFFSET($BJ$31,0,1-MIN(60,COLUMN()-29),1,MIN(60,COLUMN()-29)),OFFSET(DZ299,0,-MIN(60,COLUMN()-29),1,MIN(60,COLUMN()-29))),0)</f>
        <v>13.5619504</v>
      </c>
      <c r="EA300" s="237" t="n">
        <f aca="true">IFERROR(SUMPRODUCT(OFFSET($BJ$31,0,1-MIN(60,COLUMN()-29),1,MIN(60,COLUMN()-29)),OFFSET(EA299,0,-MIN(60,COLUMN()-29),1,MIN(60,COLUMN()-29))),0)</f>
        <v>12.8478208</v>
      </c>
      <c r="EB300" s="237" t="n">
        <f aca="true">IFERROR(SUMPRODUCT(OFFSET($BJ$31,0,1-MIN(60,COLUMN()-29),1,MIN(60,COLUMN()-29)),OFFSET(EB299,0,-MIN(60,COLUMN()-29),1,MIN(60,COLUMN()-29))),0)</f>
        <v>15.3016016</v>
      </c>
      <c r="EC300" s="237" t="n">
        <f aca="true">IFERROR(SUMPRODUCT(OFFSET($BJ$31,0,1-MIN(60,COLUMN()-29),1,MIN(60,COLUMN()-29)),OFFSET(EC299,0,-MIN(60,COLUMN()-29),1,MIN(60,COLUMN()-29))),0)</f>
        <v>22.1986976</v>
      </c>
      <c r="ED300" s="237" t="n">
        <f aca="true">IFERROR(SUMPRODUCT(OFFSET($BJ$31,0,1-MIN(60,COLUMN()-29),1,MIN(60,COLUMN()-29)),OFFSET(ED299,0,-MIN(60,COLUMN()-29),1,MIN(60,COLUMN()-29))),0)</f>
        <v>22.7760752</v>
      </c>
      <c r="EE300" s="237" t="n">
        <f aca="true">IFERROR(SUMPRODUCT(OFFSET($BJ$31,0,1-MIN(60,COLUMN()-29),1,MIN(60,COLUMN()-29)),OFFSET(EE299,0,-MIN(60,COLUMN()-29),1,MIN(60,COLUMN()-29))),0)</f>
        <v>21.6965632</v>
      </c>
      <c r="EF300" s="237" t="n">
        <f aca="true">IFERROR(SUMPRODUCT(OFFSET($BJ$31,0,1-MIN(60,COLUMN()-29),1,MIN(60,COLUMN()-29)),OFFSET(EF299,0,-MIN(60,COLUMN()-29),1,MIN(60,COLUMN()-29))),0)</f>
        <v>21.9847488</v>
      </c>
      <c r="EG300" s="237" t="n">
        <f aca="true">IFERROR(SUMPRODUCT(OFFSET($BJ$31,0,1-MIN(60,COLUMN()-29),1,MIN(60,COLUMN()-29)),OFFSET(EG299,0,-MIN(60,COLUMN()-29),1,MIN(60,COLUMN()-29))),0)</f>
        <v>29.45745232</v>
      </c>
      <c r="EH300" s="237" t="n">
        <f aca="true">IFERROR(SUMPRODUCT(OFFSET($BJ$31,0,1-MIN(60,COLUMN()-29),1,MIN(60,COLUMN()-29)),OFFSET(EH299,0,-MIN(60,COLUMN()-29),1,MIN(60,COLUMN()-29))),0)</f>
        <v>32.38481536</v>
      </c>
      <c r="EI300" s="237" t="n">
        <f aca="true">IFERROR(SUMPRODUCT(OFFSET($BJ$31,0,1-MIN(60,COLUMN()-29),1,MIN(60,COLUMN()-29)),OFFSET(EI299,0,-MIN(60,COLUMN()-29),1,MIN(60,COLUMN()-29))),0)</f>
        <v>32.4435536</v>
      </c>
      <c r="EJ300" s="237" t="n">
        <f aca="true">IFERROR(SUMPRODUCT(OFFSET($BJ$31,0,1-MIN(60,COLUMN()-29),1,MIN(60,COLUMN()-29)),OFFSET(EJ299,0,-MIN(60,COLUMN()-29),1,MIN(60,COLUMN()-29))),0)</f>
        <v>39.85559488</v>
      </c>
      <c r="EK300" s="237" t="n">
        <f aca="true">IFERROR(SUMPRODUCT(OFFSET($BJ$31,0,1-MIN(60,COLUMN()-29),1,MIN(60,COLUMN()-29)),OFFSET(EK299,0,-MIN(60,COLUMN()-29),1,MIN(60,COLUMN()-29))),0)</f>
        <v>42.41925088</v>
      </c>
      <c r="EL300" s="237" t="n">
        <f aca="true">IFERROR(SUMPRODUCT(OFFSET($BJ$31,0,1-MIN(60,COLUMN()-29),1,MIN(60,COLUMN()-29)),OFFSET(EL299,0,-MIN(60,COLUMN()-29),1,MIN(60,COLUMN()-29))),0)</f>
        <v>42.29180216</v>
      </c>
      <c r="EM300" s="237" t="n">
        <f aca="true">IFERROR(SUMPRODUCT(OFFSET($BJ$31,0,1-MIN(60,COLUMN()-29),1,MIN(60,COLUMN()-29)),OFFSET(EM299,0,-MIN(60,COLUMN()-29),1,MIN(60,COLUMN()-29))),0)</f>
        <v>42.69637052</v>
      </c>
      <c r="EN300" s="237" t="n">
        <f aca="true">IFERROR(SUMPRODUCT(OFFSET($BJ$31,0,1-MIN(60,COLUMN()-29),1,MIN(60,COLUMN()-29)),OFFSET(EN299,0,-MIN(60,COLUMN()-29),1,MIN(60,COLUMN()-29))),0)</f>
        <v>46.2461002</v>
      </c>
      <c r="EO300" s="237" t="n">
        <f aca="true">IFERROR(SUMPRODUCT(OFFSET($BJ$31,0,1-MIN(60,COLUMN()-29),1,MIN(60,COLUMN()-29)),OFFSET(EO299,0,-MIN(60,COLUMN()-29),1,MIN(60,COLUMN()-29))),0)</f>
        <v>60.69683056</v>
      </c>
      <c r="EP300" s="237" t="n">
        <f aca="true">IFERROR(SUMPRODUCT(OFFSET($BJ$31,0,1-MIN(60,COLUMN()-29),1,MIN(60,COLUMN()-29)),OFFSET(EP299,0,-MIN(60,COLUMN()-29),1,MIN(60,COLUMN()-29))),0)</f>
        <v>60.06686856</v>
      </c>
      <c r="EQ300" s="237" t="n">
        <f aca="true">IFERROR(SUMPRODUCT(OFFSET($BJ$31,0,1-MIN(60,COLUMN()-29),1,MIN(60,COLUMN()-29)),OFFSET(EQ299,0,-MIN(60,COLUMN()-29),1,MIN(60,COLUMN()-29))),0)</f>
        <v>59.98220072</v>
      </c>
      <c r="ER300" s="237" t="n">
        <f aca="true">IFERROR(SUMPRODUCT(OFFSET($BJ$31,0,1-MIN(60,COLUMN()-29),1,MIN(60,COLUMN()-29)),OFFSET(ER299,0,-MIN(60,COLUMN()-29),1,MIN(60,COLUMN()-29))),0)</f>
        <v>57.74741552</v>
      </c>
      <c r="ES300" s="9" t="n">
        <f aca="true">IFERROR(SUMPRODUCT(OFFSET($BJ$31,0,1-MIN(60,COLUMN()-29),1,MIN(60,COLUMN()-29)),OFFSET(ES299,0,-MIN(60,COLUMN()-29),1,MIN(60,COLUMN()-29))),0)</f>
        <v>68.24765884</v>
      </c>
      <c r="ET300" s="9" t="n">
        <f aca="true">IFERROR(SUMPRODUCT(OFFSET($BJ$31,0,1-MIN(60,COLUMN()-29),1,MIN(60,COLUMN()-29)),OFFSET(ET299,0,-MIN(60,COLUMN()-29),1,MIN(60,COLUMN()-29))),0)</f>
        <v>71.99794332</v>
      </c>
      <c r="EU300" s="9" t="n">
        <f aca="true">IFERROR(SUMPRODUCT(OFFSET($BJ$31,0,1-MIN(60,COLUMN()-29),1,MIN(60,COLUMN()-29)),OFFSET(EU299,0,-MIN(60,COLUMN()-29),1,MIN(60,COLUMN()-29))),0)</f>
        <v>71.77409628</v>
      </c>
      <c r="EV300" s="9" t="n">
        <f aca="true">IFERROR(SUMPRODUCT(OFFSET($BJ$31,0,1-MIN(60,COLUMN()-29),1,MIN(60,COLUMN()-29)),OFFSET(EV299,0,-MIN(60,COLUMN()-29),1,MIN(60,COLUMN()-29))),0)</f>
        <v>82.79630748</v>
      </c>
      <c r="EW300" s="9" t="n">
        <f aca="true">IFERROR(SUMPRODUCT(OFFSET($BJ$31,0,1-MIN(60,COLUMN()-29),1,MIN(60,COLUMN()-29)),OFFSET(EW299,0,-MIN(60,COLUMN()-29),1,MIN(60,COLUMN()-29))),0)</f>
        <v>85.72042044</v>
      </c>
      <c r="EX300" s="9" t="n">
        <f aca="true">IFERROR(SUMPRODUCT(OFFSET($BJ$31,0,1-MIN(60,COLUMN()-29),1,MIN(60,COLUMN()-29)),OFFSET(EX299,0,-MIN(60,COLUMN()-29),1,MIN(60,COLUMN()-29))),0)</f>
        <v>86.83326204</v>
      </c>
      <c r="EY300" s="9" t="n">
        <f aca="true">IFERROR(SUMPRODUCT(OFFSET($BJ$31,0,1-MIN(60,COLUMN()-29),1,MIN(60,COLUMN()-29)),OFFSET(EY299,0,-MIN(60,COLUMN()-29),1,MIN(60,COLUMN()-29))),0)</f>
        <v>86.88675516</v>
      </c>
      <c r="EZ300" s="9" t="n">
        <f aca="true">IFERROR(SUMPRODUCT(OFFSET($BJ$31,0,1-MIN(60,COLUMN()-29),1,MIN(60,COLUMN()-29)),OFFSET(EZ299,0,-MIN(60,COLUMN()-29),1,MIN(60,COLUMN()-29))),0)</f>
        <v>93.61637436</v>
      </c>
      <c r="FA300" s="9" t="n">
        <f aca="true">IFERROR(SUMPRODUCT(OFFSET($BJ$31,0,1-MIN(60,COLUMN()-29),1,MIN(60,COLUMN()-29)),OFFSET(FA299,0,-MIN(60,COLUMN()-29),1,MIN(60,COLUMN()-29))),0)</f>
        <v>111.64856412</v>
      </c>
      <c r="FB300" s="9" t="n">
        <f aca="true">IFERROR(SUMPRODUCT(OFFSET($BJ$31,0,1-MIN(60,COLUMN()-29),1,MIN(60,COLUMN()-29)),OFFSET(FB299,0,-MIN(60,COLUMN()-29),1,MIN(60,COLUMN()-29))),0)</f>
        <v>111.88647708</v>
      </c>
      <c r="FC300" s="9" t="n">
        <f aca="true">IFERROR(SUMPRODUCT(OFFSET($BJ$31,0,1-MIN(60,COLUMN()-29),1,MIN(60,COLUMN()-29)),OFFSET(FC299,0,-MIN(60,COLUMN()-29),1,MIN(60,COLUMN()-29))),0)</f>
        <v>110.88985692</v>
      </c>
      <c r="FD300" s="9" t="n">
        <f aca="true">IFERROR(SUMPRODUCT(OFFSET($BJ$31,0,1-MIN(60,COLUMN()-29),1,MIN(60,COLUMN()-29)),OFFSET(FD299,0,-MIN(60,COLUMN()-29),1,MIN(60,COLUMN()-29))),0)</f>
        <v>108.62305932</v>
      </c>
      <c r="FE300" s="9" t="n">
        <f aca="true">IFERROR(SUMPRODUCT(OFFSET($BJ$31,0,1-MIN(60,COLUMN()-29),1,MIN(60,COLUMN()-29)),OFFSET(FE299,0,-MIN(60,COLUMN()-29),1,MIN(60,COLUMN()-29))),0)</f>
        <v>122.1709734</v>
      </c>
      <c r="FF300" s="9" t="n">
        <f aca="true">IFERROR(SUMPRODUCT(OFFSET($BJ$31,0,1-MIN(60,COLUMN()-29),1,MIN(60,COLUMN()-29)),OFFSET(FF299,0,-MIN(60,COLUMN()-29),1,MIN(60,COLUMN()-29))),0)</f>
        <v>128.00502684</v>
      </c>
      <c r="FG300" s="9" t="n">
        <f aca="true">IFERROR(SUMPRODUCT(OFFSET($BJ$31,0,1-MIN(60,COLUMN()-29),1,MIN(60,COLUMN()-29)),OFFSET(FG299,0,-MIN(60,COLUMN()-29),1,MIN(60,COLUMN()-29))),0)</f>
        <v>128.26553052</v>
      </c>
      <c r="FH300" s="9" t="n">
        <f aca="true">IFERROR(SUMPRODUCT(OFFSET($BJ$31,0,1-MIN(60,COLUMN()-29),1,MIN(60,COLUMN()-29)),OFFSET(FH299,0,-MIN(60,COLUMN()-29),1,MIN(60,COLUMN()-29))),0)</f>
        <v>141.00019644</v>
      </c>
      <c r="FI300" s="9" t="n">
        <f aca="true">IFERROR(SUMPRODUCT(OFFSET($BJ$31,0,1-MIN(60,COLUMN()-29),1,MIN(60,COLUMN()-29)),OFFSET(FI299,0,-MIN(60,COLUMN()-29),1,MIN(60,COLUMN()-29))),0)</f>
        <v>144.4876122</v>
      </c>
      <c r="FJ300" s="9" t="n">
        <f aca="true">IFERROR(SUMPRODUCT(OFFSET($BJ$31,0,1-MIN(60,COLUMN()-29),1,MIN(60,COLUMN()-29)),OFFSET(FJ299,0,-MIN(60,COLUMN()-29),1,MIN(60,COLUMN()-29))),0)</f>
        <v>145.8820386</v>
      </c>
      <c r="FK300" s="9" t="n">
        <f aca="true">IFERROR(SUMPRODUCT(OFFSET($BJ$31,0,1-MIN(60,COLUMN()-29),1,MIN(60,COLUMN()-29)),OFFSET(FK299,0,-MIN(60,COLUMN()-29),1,MIN(60,COLUMN()-29))),0)</f>
        <v>146.50757244</v>
      </c>
      <c r="FL300" s="9" t="n">
        <f aca="true">IFERROR(SUMPRODUCT(OFFSET($BJ$31,0,1-MIN(60,COLUMN()-29),1,MIN(60,COLUMN()-29)),OFFSET(FL299,0,-MIN(60,COLUMN()-29),1,MIN(60,COLUMN()-29))),0)</f>
        <v>154.29755244</v>
      </c>
      <c r="FM300" s="9" t="n">
        <f aca="true">IFERROR(SUMPRODUCT(OFFSET($BJ$31,0,1-MIN(60,COLUMN()-29),1,MIN(60,COLUMN()-29)),OFFSET(FM299,0,-MIN(60,COLUMN()-29),1,MIN(60,COLUMN()-29))),0)</f>
        <v>174.41260836</v>
      </c>
      <c r="FN300" s="9" t="n">
        <f aca="true">IFERROR(SUMPRODUCT(OFFSET($BJ$31,0,1-MIN(60,COLUMN()-29),1,MIN(60,COLUMN()-29)),OFFSET(FN299,0,-MIN(60,COLUMN()-29),1,MIN(60,COLUMN()-29))),0)</f>
        <v>173.79047556</v>
      </c>
      <c r="FO300" s="9" t="n">
        <f aca="true">IFERROR(SUMPRODUCT(OFFSET($BJ$31,0,1-MIN(60,COLUMN()-29),1,MIN(60,COLUMN()-29)),OFFSET(FO299,0,-MIN(60,COLUMN()-29),1,MIN(60,COLUMN()-29))),0)</f>
        <v>172.44590148</v>
      </c>
      <c r="FP300" s="9" t="n">
        <f aca="true">IFERROR(SUMPRODUCT(OFFSET($BJ$31,0,1-MIN(60,COLUMN()-29),1,MIN(60,COLUMN()-29)),OFFSET(FP299,0,-MIN(60,COLUMN()-29),1,MIN(60,COLUMN()-29))),0)</f>
        <v>169.12074996</v>
      </c>
    </row>
    <row r="301" customFormat="false" ht="15" hidden="false" customHeight="false" outlineLevel="2" collapsed="false">
      <c r="B301" s="47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237"/>
      <c r="AD301" s="237"/>
      <c r="AE301" s="237"/>
      <c r="AF301" s="237"/>
      <c r="AG301" s="237"/>
      <c r="AH301" s="237"/>
      <c r="AI301" s="237"/>
      <c r="AJ301" s="237"/>
      <c r="AK301" s="237"/>
      <c r="AL301" s="237"/>
      <c r="AM301" s="237"/>
      <c r="AN301" s="237"/>
      <c r="AO301" s="237"/>
      <c r="AP301" s="237"/>
      <c r="AQ301" s="237"/>
      <c r="AR301" s="237"/>
      <c r="AS301" s="237"/>
      <c r="AT301" s="237"/>
      <c r="AU301" s="237"/>
      <c r="AV301" s="237"/>
      <c r="AW301" s="237"/>
      <c r="AX301" s="237"/>
      <c r="AY301" s="237"/>
      <c r="AZ301" s="237"/>
      <c r="BA301" s="237"/>
      <c r="BB301" s="237"/>
      <c r="BC301" s="237"/>
      <c r="BD301" s="237"/>
      <c r="BE301" s="237"/>
      <c r="BF301" s="237"/>
      <c r="BG301" s="237"/>
      <c r="BH301" s="237"/>
      <c r="BI301" s="237"/>
      <c r="BJ301" s="237"/>
      <c r="BK301" s="237"/>
      <c r="BL301" s="237"/>
      <c r="BM301" s="237"/>
      <c r="BN301" s="237"/>
      <c r="BO301" s="237"/>
      <c r="BP301" s="237"/>
      <c r="BQ301" s="237"/>
      <c r="BR301" s="237"/>
      <c r="BS301" s="237"/>
      <c r="BT301" s="237"/>
      <c r="BU301" s="237"/>
      <c r="BV301" s="237"/>
      <c r="BW301" s="237"/>
      <c r="BX301" s="237"/>
      <c r="BY301" s="237"/>
      <c r="BZ301" s="237"/>
      <c r="CA301" s="237"/>
      <c r="CB301" s="237"/>
      <c r="CC301" s="237"/>
      <c r="CD301" s="237"/>
      <c r="CE301" s="237"/>
      <c r="CF301" s="237"/>
      <c r="CG301" s="237"/>
      <c r="CH301" s="237"/>
      <c r="CI301" s="237"/>
      <c r="CJ301" s="237"/>
      <c r="CK301" s="237"/>
      <c r="CL301" s="237"/>
      <c r="CM301" s="237"/>
      <c r="CN301" s="237"/>
      <c r="CO301" s="237"/>
      <c r="CP301" s="237"/>
      <c r="CQ301" s="237"/>
      <c r="CR301" s="237"/>
      <c r="CS301" s="237"/>
      <c r="CT301" s="237"/>
      <c r="CU301" s="237"/>
      <c r="CV301" s="237"/>
      <c r="CW301" s="237"/>
      <c r="CX301" s="237"/>
      <c r="CY301" s="237"/>
      <c r="CZ301" s="237"/>
      <c r="DA301" s="237"/>
      <c r="DB301" s="237"/>
      <c r="DC301" s="237"/>
      <c r="DD301" s="237"/>
      <c r="DE301" s="237"/>
      <c r="DF301" s="237"/>
      <c r="DG301" s="237"/>
      <c r="DH301" s="237"/>
      <c r="DI301" s="237"/>
      <c r="DJ301" s="237"/>
      <c r="DK301" s="237"/>
      <c r="DL301" s="237"/>
      <c r="DM301" s="237"/>
      <c r="DN301" s="237"/>
      <c r="DO301" s="237"/>
      <c r="DP301" s="237"/>
      <c r="DQ301" s="237"/>
      <c r="DR301" s="237"/>
      <c r="DS301" s="237"/>
      <c r="DT301" s="237"/>
      <c r="DU301" s="237"/>
      <c r="DV301" s="237"/>
      <c r="DW301" s="237"/>
      <c r="DX301" s="237"/>
      <c r="DY301" s="237"/>
      <c r="DZ301" s="237"/>
      <c r="EA301" s="237"/>
      <c r="EB301" s="237"/>
      <c r="EC301" s="237"/>
      <c r="ED301" s="237"/>
      <c r="EE301" s="237"/>
      <c r="EF301" s="237"/>
      <c r="EG301" s="237"/>
      <c r="EH301" s="237"/>
      <c r="EI301" s="237"/>
      <c r="EJ301" s="237"/>
      <c r="EK301" s="237"/>
      <c r="EL301" s="237"/>
      <c r="EM301" s="237"/>
      <c r="EN301" s="237"/>
      <c r="EO301" s="237"/>
      <c r="EP301" s="237"/>
      <c r="EQ301" s="237"/>
      <c r="ER301" s="237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/>
      <c r="FK301" s="9"/>
      <c r="FL301" s="9"/>
      <c r="FM301" s="9"/>
      <c r="FN301" s="9"/>
      <c r="FO301" s="9"/>
      <c r="FP301" s="9"/>
    </row>
    <row r="302" customFormat="false" ht="15" hidden="false" customHeight="false" outlineLevel="2" collapsed="false">
      <c r="B302" s="47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237"/>
      <c r="AD302" s="237"/>
      <c r="AE302" s="237"/>
      <c r="AF302" s="237"/>
      <c r="AG302" s="237"/>
      <c r="AH302" s="237"/>
      <c r="AI302" s="237"/>
      <c r="AJ302" s="237"/>
      <c r="AK302" s="237"/>
      <c r="AL302" s="237"/>
      <c r="AM302" s="237"/>
      <c r="AN302" s="237"/>
      <c r="AO302" s="237"/>
      <c r="AP302" s="237"/>
      <c r="AQ302" s="237"/>
      <c r="AR302" s="237"/>
      <c r="AS302" s="237"/>
      <c r="AT302" s="237"/>
      <c r="AU302" s="237"/>
      <c r="AV302" s="237"/>
      <c r="AW302" s="237"/>
      <c r="AX302" s="237"/>
      <c r="AY302" s="237"/>
      <c r="AZ302" s="237"/>
      <c r="BA302" s="237"/>
      <c r="BB302" s="237"/>
      <c r="BC302" s="237"/>
      <c r="BD302" s="237"/>
      <c r="BE302" s="237"/>
      <c r="BF302" s="237"/>
      <c r="BG302" s="237"/>
      <c r="BH302" s="237"/>
      <c r="BI302" s="237"/>
      <c r="BJ302" s="237"/>
      <c r="BK302" s="237"/>
      <c r="BL302" s="237"/>
      <c r="BM302" s="237"/>
      <c r="BN302" s="237"/>
      <c r="BO302" s="237"/>
      <c r="BP302" s="237"/>
      <c r="BQ302" s="237"/>
      <c r="BR302" s="237"/>
      <c r="BS302" s="237"/>
      <c r="BT302" s="237"/>
      <c r="BU302" s="237"/>
      <c r="BV302" s="237"/>
      <c r="BW302" s="237"/>
      <c r="BX302" s="237"/>
      <c r="BY302" s="237"/>
      <c r="BZ302" s="237"/>
      <c r="CA302" s="237"/>
      <c r="CB302" s="237"/>
      <c r="CC302" s="237"/>
      <c r="CD302" s="237"/>
      <c r="CE302" s="237"/>
      <c r="CF302" s="237"/>
      <c r="CG302" s="237"/>
      <c r="CH302" s="237"/>
      <c r="CI302" s="237"/>
      <c r="CJ302" s="237"/>
      <c r="CK302" s="237"/>
      <c r="CL302" s="237"/>
      <c r="CM302" s="237"/>
      <c r="CN302" s="237"/>
      <c r="CO302" s="237"/>
      <c r="CP302" s="237"/>
      <c r="CQ302" s="237"/>
      <c r="CR302" s="237"/>
      <c r="CS302" s="237"/>
      <c r="CT302" s="237"/>
      <c r="CU302" s="237"/>
      <c r="CV302" s="237"/>
      <c r="CW302" s="237"/>
      <c r="CX302" s="237"/>
      <c r="CY302" s="237"/>
      <c r="CZ302" s="237"/>
      <c r="DA302" s="237"/>
      <c r="DB302" s="237"/>
      <c r="DC302" s="237"/>
      <c r="DD302" s="237"/>
      <c r="DE302" s="237"/>
      <c r="DF302" s="237"/>
      <c r="DG302" s="237"/>
      <c r="DH302" s="237"/>
      <c r="DI302" s="237"/>
      <c r="DJ302" s="237"/>
      <c r="DK302" s="237"/>
      <c r="DL302" s="237"/>
      <c r="DM302" s="237"/>
      <c r="DN302" s="237"/>
      <c r="DO302" s="237"/>
      <c r="DP302" s="237"/>
      <c r="DQ302" s="237"/>
      <c r="DR302" s="237"/>
      <c r="DS302" s="237"/>
      <c r="DT302" s="237"/>
      <c r="DU302" s="237"/>
      <c r="DV302" s="237"/>
      <c r="DW302" s="237"/>
      <c r="DX302" s="237"/>
      <c r="DY302" s="237"/>
      <c r="DZ302" s="237"/>
      <c r="EA302" s="237"/>
      <c r="EB302" s="237"/>
      <c r="EC302" s="237"/>
      <c r="ED302" s="237"/>
      <c r="EE302" s="237"/>
      <c r="EF302" s="237"/>
      <c r="EG302" s="237"/>
      <c r="EH302" s="237"/>
      <c r="EI302" s="237"/>
      <c r="EJ302" s="237"/>
      <c r="EK302" s="237"/>
      <c r="EL302" s="237"/>
      <c r="EM302" s="237"/>
      <c r="EN302" s="237"/>
      <c r="EO302" s="237"/>
      <c r="EP302" s="237"/>
      <c r="EQ302" s="237"/>
      <c r="ER302" s="237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</row>
    <row r="303" customFormat="false" ht="15" hidden="false" customHeight="false" outlineLevel="2" collapsed="false">
      <c r="B303" s="47" t="s">
        <v>903</v>
      </c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237"/>
      <c r="AD303" s="237"/>
      <c r="AE303" s="237"/>
      <c r="AF303" s="237"/>
      <c r="AG303" s="237"/>
      <c r="AH303" s="237"/>
      <c r="AI303" s="237"/>
      <c r="AJ303" s="237"/>
      <c r="AK303" s="237"/>
      <c r="AL303" s="237"/>
      <c r="AM303" s="237"/>
      <c r="AN303" s="237"/>
      <c r="AO303" s="237"/>
      <c r="AP303" s="237"/>
      <c r="AQ303" s="237"/>
      <c r="AR303" s="237"/>
      <c r="AS303" s="237"/>
      <c r="AT303" s="237"/>
      <c r="AU303" s="237"/>
      <c r="AV303" s="237"/>
      <c r="AW303" s="237"/>
      <c r="AX303" s="237"/>
      <c r="AY303" s="237"/>
      <c r="AZ303" s="237"/>
      <c r="BA303" s="237"/>
      <c r="BB303" s="237"/>
      <c r="BC303" s="237"/>
      <c r="BD303" s="237"/>
      <c r="BE303" s="237"/>
      <c r="BF303" s="237"/>
      <c r="BG303" s="237"/>
      <c r="BH303" s="237"/>
      <c r="BI303" s="237"/>
      <c r="BJ303" s="237"/>
      <c r="BK303" s="237"/>
      <c r="BL303" s="237"/>
      <c r="BM303" s="237"/>
      <c r="BN303" s="237"/>
      <c r="BO303" s="237"/>
      <c r="BP303" s="237"/>
      <c r="BQ303" s="237"/>
      <c r="BR303" s="237"/>
      <c r="BS303" s="237"/>
      <c r="BT303" s="237"/>
      <c r="BU303" s="237"/>
      <c r="BV303" s="237"/>
      <c r="BW303" s="237"/>
      <c r="BX303" s="237"/>
      <c r="BY303" s="237"/>
      <c r="BZ303" s="237"/>
      <c r="CA303" s="237"/>
      <c r="CB303" s="237"/>
      <c r="CC303" s="237"/>
      <c r="CD303" s="237"/>
      <c r="CE303" s="237"/>
      <c r="CF303" s="237"/>
      <c r="CG303" s="237"/>
      <c r="CH303" s="237"/>
      <c r="CI303" s="237"/>
      <c r="CJ303" s="237"/>
      <c r="CK303" s="237"/>
      <c r="CL303" s="237"/>
      <c r="CM303" s="237"/>
      <c r="CN303" s="237"/>
      <c r="CO303" s="237"/>
      <c r="CP303" s="237"/>
      <c r="CQ303" s="237"/>
      <c r="CR303" s="237"/>
      <c r="CS303" s="237"/>
      <c r="CT303" s="237"/>
      <c r="CU303" s="237"/>
      <c r="CV303" s="237"/>
      <c r="CW303" s="237"/>
      <c r="CX303" s="237"/>
      <c r="CY303" s="237"/>
      <c r="CZ303" s="237"/>
      <c r="DA303" s="237"/>
      <c r="DB303" s="237"/>
      <c r="DC303" s="237"/>
      <c r="DD303" s="237"/>
      <c r="DE303" s="237"/>
      <c r="DF303" s="237"/>
      <c r="DG303" s="237"/>
      <c r="DH303" s="237"/>
      <c r="DI303" s="237"/>
      <c r="DJ303" s="237"/>
      <c r="DK303" s="237"/>
      <c r="DL303" s="237"/>
      <c r="DM303" s="237"/>
      <c r="DN303" s="237"/>
      <c r="DO303" s="237"/>
      <c r="DP303" s="237"/>
      <c r="DQ303" s="237"/>
      <c r="DR303" s="237"/>
      <c r="DS303" s="237"/>
      <c r="DT303" s="237"/>
      <c r="DU303" s="237"/>
      <c r="DV303" s="237"/>
      <c r="DW303" s="237"/>
      <c r="DX303" s="237"/>
      <c r="DY303" s="237"/>
      <c r="DZ303" s="237"/>
      <c r="EA303" s="237"/>
      <c r="EB303" s="237"/>
      <c r="EC303" s="237"/>
      <c r="ED303" s="237"/>
      <c r="EE303" s="237"/>
      <c r="EF303" s="237"/>
      <c r="EG303" s="237"/>
      <c r="EH303" s="237"/>
      <c r="EI303" s="237"/>
      <c r="EJ303" s="237"/>
      <c r="EK303" s="237"/>
      <c r="EL303" s="237"/>
      <c r="EM303" s="237"/>
      <c r="EN303" s="237"/>
      <c r="EO303" s="237"/>
      <c r="EP303" s="237"/>
      <c r="EQ303" s="237"/>
      <c r="ER303" s="237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</row>
    <row r="304" customFormat="false" ht="15" hidden="false" customHeight="false" outlineLevel="2" collapsed="false">
      <c r="B304" s="47" t="s">
        <v>872</v>
      </c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237" t="n">
        <f aca="false">('⑫ Roll-out Plan'!G35-2025)*12+'⑫ Roll-out Plan'!F35</f>
        <v>88</v>
      </c>
      <c r="AD304" s="237"/>
      <c r="AE304" s="237"/>
      <c r="AF304" s="237"/>
      <c r="AG304" s="237"/>
      <c r="AH304" s="237"/>
      <c r="AI304" s="237"/>
      <c r="AJ304" s="237"/>
      <c r="AK304" s="237"/>
      <c r="AL304" s="237"/>
      <c r="AM304" s="237"/>
      <c r="AN304" s="237"/>
      <c r="AO304" s="237"/>
      <c r="AP304" s="237"/>
      <c r="AQ304" s="237"/>
      <c r="AR304" s="237"/>
      <c r="AS304" s="237"/>
      <c r="AT304" s="237"/>
      <c r="AU304" s="237"/>
      <c r="AV304" s="237"/>
      <c r="AW304" s="237"/>
      <c r="AX304" s="237"/>
      <c r="AY304" s="237"/>
      <c r="AZ304" s="237"/>
      <c r="BA304" s="237"/>
      <c r="BB304" s="237"/>
      <c r="BC304" s="237"/>
      <c r="BD304" s="237"/>
      <c r="BE304" s="237"/>
      <c r="BF304" s="237"/>
      <c r="BG304" s="237"/>
      <c r="BH304" s="237"/>
      <c r="BI304" s="237"/>
      <c r="BJ304" s="237"/>
      <c r="BK304" s="237"/>
      <c r="BL304" s="237"/>
      <c r="BM304" s="237"/>
      <c r="BN304" s="237"/>
      <c r="BO304" s="237"/>
      <c r="BP304" s="237"/>
      <c r="BQ304" s="237"/>
      <c r="BR304" s="237"/>
      <c r="BS304" s="237"/>
      <c r="BT304" s="237"/>
      <c r="BU304" s="237"/>
      <c r="BV304" s="237"/>
      <c r="BW304" s="237"/>
      <c r="BX304" s="237"/>
      <c r="BY304" s="237"/>
      <c r="BZ304" s="237"/>
      <c r="CA304" s="237"/>
      <c r="CB304" s="237"/>
      <c r="CC304" s="237"/>
      <c r="CD304" s="237"/>
      <c r="CE304" s="237"/>
      <c r="CF304" s="237"/>
      <c r="CG304" s="237"/>
      <c r="CH304" s="237"/>
      <c r="CI304" s="237"/>
      <c r="CJ304" s="237"/>
      <c r="CK304" s="237"/>
      <c r="CL304" s="237"/>
      <c r="CM304" s="237"/>
      <c r="CN304" s="237"/>
      <c r="CO304" s="237"/>
      <c r="CP304" s="237"/>
      <c r="CQ304" s="237"/>
      <c r="CR304" s="237"/>
      <c r="CS304" s="237"/>
      <c r="CT304" s="237"/>
      <c r="CU304" s="237"/>
      <c r="CV304" s="237"/>
      <c r="CW304" s="237"/>
      <c r="CX304" s="237"/>
      <c r="CY304" s="237"/>
      <c r="CZ304" s="237"/>
      <c r="DA304" s="237"/>
      <c r="DB304" s="237"/>
      <c r="DC304" s="237"/>
      <c r="DD304" s="237"/>
      <c r="DE304" s="237"/>
      <c r="DF304" s="237"/>
      <c r="DG304" s="237"/>
      <c r="DH304" s="237"/>
      <c r="DI304" s="237"/>
      <c r="DJ304" s="237"/>
      <c r="DK304" s="237"/>
      <c r="DL304" s="237"/>
      <c r="DM304" s="237"/>
      <c r="DN304" s="237"/>
      <c r="DO304" s="237"/>
      <c r="DP304" s="237"/>
      <c r="DQ304" s="237"/>
      <c r="DR304" s="237"/>
      <c r="DS304" s="237"/>
      <c r="DT304" s="237"/>
      <c r="DU304" s="237"/>
      <c r="DV304" s="237"/>
      <c r="DW304" s="237"/>
      <c r="DX304" s="237"/>
      <c r="DY304" s="237"/>
      <c r="DZ304" s="237"/>
      <c r="EA304" s="237"/>
      <c r="EB304" s="237"/>
      <c r="EC304" s="237"/>
      <c r="ED304" s="237"/>
      <c r="EE304" s="237"/>
      <c r="EF304" s="237"/>
      <c r="EG304" s="237"/>
      <c r="EH304" s="237"/>
      <c r="EI304" s="237"/>
      <c r="EJ304" s="237"/>
      <c r="EK304" s="237"/>
      <c r="EL304" s="237"/>
      <c r="EM304" s="237"/>
      <c r="EN304" s="237"/>
      <c r="EO304" s="237"/>
      <c r="EP304" s="237"/>
      <c r="EQ304" s="237"/>
      <c r="ER304" s="237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</row>
    <row r="305" customFormat="false" ht="15" hidden="false" customHeight="false" outlineLevel="2" collapsed="false">
      <c r="B305" s="47" t="s">
        <v>873</v>
      </c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237" t="n">
        <f aca="false">VLOOKUP("A",$B$14:$C$18,2,FALSE())</f>
        <v>210</v>
      </c>
      <c r="AD305" s="237"/>
      <c r="AE305" s="237"/>
      <c r="AF305" s="237"/>
      <c r="AG305" s="237"/>
      <c r="AH305" s="237"/>
      <c r="AI305" s="237"/>
      <c r="AJ305" s="237"/>
      <c r="AK305" s="237"/>
      <c r="AL305" s="237"/>
      <c r="AM305" s="237"/>
      <c r="AN305" s="237"/>
      <c r="AO305" s="237"/>
      <c r="AP305" s="237"/>
      <c r="AQ305" s="237"/>
      <c r="AR305" s="237"/>
      <c r="AS305" s="237"/>
      <c r="AT305" s="237"/>
      <c r="AU305" s="237"/>
      <c r="AV305" s="237"/>
      <c r="AW305" s="237"/>
      <c r="AX305" s="237"/>
      <c r="AY305" s="237"/>
      <c r="AZ305" s="237"/>
      <c r="BA305" s="237"/>
      <c r="BB305" s="237"/>
      <c r="BC305" s="237"/>
      <c r="BD305" s="237"/>
      <c r="BE305" s="237"/>
      <c r="BF305" s="237"/>
      <c r="BG305" s="237"/>
      <c r="BH305" s="237"/>
      <c r="BI305" s="237"/>
      <c r="BJ305" s="237"/>
      <c r="BK305" s="237"/>
      <c r="BL305" s="237"/>
      <c r="BM305" s="237"/>
      <c r="BN305" s="237"/>
      <c r="BO305" s="237"/>
      <c r="BP305" s="237"/>
      <c r="BQ305" s="237"/>
      <c r="BR305" s="237"/>
      <c r="BS305" s="237"/>
      <c r="BT305" s="237"/>
      <c r="BU305" s="237"/>
      <c r="BV305" s="237"/>
      <c r="BW305" s="237"/>
      <c r="BX305" s="237"/>
      <c r="BY305" s="237"/>
      <c r="BZ305" s="237"/>
      <c r="CA305" s="237"/>
      <c r="CB305" s="237"/>
      <c r="CC305" s="237"/>
      <c r="CD305" s="237"/>
      <c r="CE305" s="237"/>
      <c r="CF305" s="237"/>
      <c r="CG305" s="237"/>
      <c r="CH305" s="237"/>
      <c r="CI305" s="237"/>
      <c r="CJ305" s="237"/>
      <c r="CK305" s="237"/>
      <c r="CL305" s="237"/>
      <c r="CM305" s="237"/>
      <c r="CN305" s="237"/>
      <c r="CO305" s="237"/>
      <c r="CP305" s="237"/>
      <c r="CQ305" s="237"/>
      <c r="CR305" s="237"/>
      <c r="CS305" s="237"/>
      <c r="CT305" s="237"/>
      <c r="CU305" s="237"/>
      <c r="CV305" s="237"/>
      <c r="CW305" s="237"/>
      <c r="CX305" s="237"/>
      <c r="CY305" s="237"/>
      <c r="CZ305" s="237"/>
      <c r="DA305" s="237"/>
      <c r="DB305" s="237"/>
      <c r="DC305" s="237"/>
      <c r="DD305" s="237"/>
      <c r="DE305" s="237"/>
      <c r="DF305" s="237"/>
      <c r="DG305" s="237"/>
      <c r="DH305" s="237"/>
      <c r="DI305" s="237"/>
      <c r="DJ305" s="237"/>
      <c r="DK305" s="237"/>
      <c r="DL305" s="237"/>
      <c r="DM305" s="237"/>
      <c r="DN305" s="237"/>
      <c r="DO305" s="237"/>
      <c r="DP305" s="237"/>
      <c r="DQ305" s="237"/>
      <c r="DR305" s="237"/>
      <c r="DS305" s="237"/>
      <c r="DT305" s="237"/>
      <c r="DU305" s="237"/>
      <c r="DV305" s="237"/>
      <c r="DW305" s="237"/>
      <c r="DX305" s="237"/>
      <c r="DY305" s="237"/>
      <c r="DZ305" s="237"/>
      <c r="EA305" s="237"/>
      <c r="EB305" s="237"/>
      <c r="EC305" s="237"/>
      <c r="ED305" s="237"/>
      <c r="EE305" s="237"/>
      <c r="EF305" s="237"/>
      <c r="EG305" s="237"/>
      <c r="EH305" s="237"/>
      <c r="EI305" s="237"/>
      <c r="EJ305" s="237"/>
      <c r="EK305" s="237"/>
      <c r="EL305" s="237"/>
      <c r="EM305" s="237"/>
      <c r="EN305" s="237"/>
      <c r="EO305" s="237"/>
      <c r="EP305" s="237"/>
      <c r="EQ305" s="237"/>
      <c r="ER305" s="237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  <c r="FJ305" s="9"/>
      <c r="FK305" s="9"/>
      <c r="FL305" s="9"/>
      <c r="FM305" s="9"/>
      <c r="FN305" s="9"/>
      <c r="FO305" s="9"/>
      <c r="FP305" s="9"/>
    </row>
    <row r="306" customFormat="false" ht="15" hidden="false" customHeight="false" outlineLevel="2" collapsed="false">
      <c r="B306" s="47" t="s">
        <v>799</v>
      </c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237" t="n">
        <f aca="false">IF(AC$35&gt;=$AC$304,AC$35-$AC$304+1,0)</f>
        <v>0</v>
      </c>
      <c r="AD306" s="237" t="n">
        <f aca="false">IF(AD$35&gt;=$AC$304,AD$35-$AC$304+1,0)</f>
        <v>0</v>
      </c>
      <c r="AE306" s="237" t="n">
        <f aca="false">IF(AE$35&gt;=$AC$304,AE$35-$AC$304+1,0)</f>
        <v>0</v>
      </c>
      <c r="AF306" s="237" t="n">
        <f aca="false">IF(AF$35&gt;=$AC$304,AF$35-$AC$304+1,0)</f>
        <v>0</v>
      </c>
      <c r="AG306" s="237" t="n">
        <f aca="false">IF(AG$35&gt;=$AC$304,AG$35-$AC$304+1,0)</f>
        <v>0</v>
      </c>
      <c r="AH306" s="237" t="n">
        <f aca="false">IF(AH$35&gt;=$AC$304,AH$35-$AC$304+1,0)</f>
        <v>0</v>
      </c>
      <c r="AI306" s="237" t="n">
        <f aca="false">IF(AI$35&gt;=$AC$304,AI$35-$AC$304+1,0)</f>
        <v>0</v>
      </c>
      <c r="AJ306" s="237" t="n">
        <f aca="false">IF(AJ$35&gt;=$AC$304,AJ$35-$AC$304+1,0)</f>
        <v>0</v>
      </c>
      <c r="AK306" s="237" t="n">
        <f aca="false">IF(AK$35&gt;=$AC$304,AK$35-$AC$304+1,0)</f>
        <v>0</v>
      </c>
      <c r="AL306" s="237" t="n">
        <f aca="false">IF(AL$35&gt;=$AC$304,AL$35-$AC$304+1,0)</f>
        <v>0</v>
      </c>
      <c r="AM306" s="237" t="n">
        <f aca="false">IF(AM$35&gt;=$AC$304,AM$35-$AC$304+1,0)</f>
        <v>0</v>
      </c>
      <c r="AN306" s="237" t="n">
        <f aca="false">IF(AN$35&gt;=$AC$304,AN$35-$AC$304+1,0)</f>
        <v>0</v>
      </c>
      <c r="AO306" s="237" t="n">
        <f aca="false">IF(AO$35&gt;=$AC$304,AO$35-$AC$304+1,0)</f>
        <v>0</v>
      </c>
      <c r="AP306" s="237" t="n">
        <f aca="false">IF(AP$35&gt;=$AC$304,AP$35-$AC$304+1,0)</f>
        <v>0</v>
      </c>
      <c r="AQ306" s="237" t="n">
        <f aca="false">IF(AQ$35&gt;=$AC$304,AQ$35-$AC$304+1,0)</f>
        <v>0</v>
      </c>
      <c r="AR306" s="237" t="n">
        <f aca="false">IF(AR$35&gt;=$AC$304,AR$35-$AC$304+1,0)</f>
        <v>0</v>
      </c>
      <c r="AS306" s="237" t="n">
        <f aca="false">IF(AS$35&gt;=$AC$304,AS$35-$AC$304+1,0)</f>
        <v>0</v>
      </c>
      <c r="AT306" s="237" t="n">
        <f aca="false">IF(AT$35&gt;=$AC$304,AT$35-$AC$304+1,0)</f>
        <v>0</v>
      </c>
      <c r="AU306" s="237" t="n">
        <f aca="false">IF(AU$35&gt;=$AC$304,AU$35-$AC$304+1,0)</f>
        <v>0</v>
      </c>
      <c r="AV306" s="237" t="n">
        <f aca="false">IF(AV$35&gt;=$AC$304,AV$35-$AC$304+1,0)</f>
        <v>0</v>
      </c>
      <c r="AW306" s="237" t="n">
        <f aca="false">IF(AW$35&gt;=$AC$304,AW$35-$AC$304+1,0)</f>
        <v>0</v>
      </c>
      <c r="AX306" s="237" t="n">
        <f aca="false">IF(AX$35&gt;=$AC$304,AX$35-$AC$304+1,0)</f>
        <v>0</v>
      </c>
      <c r="AY306" s="237" t="n">
        <f aca="false">IF(AY$35&gt;=$AC$304,AY$35-$AC$304+1,0)</f>
        <v>0</v>
      </c>
      <c r="AZ306" s="237" t="n">
        <f aca="false">IF(AZ$35&gt;=$AC$304,AZ$35-$AC$304+1,0)</f>
        <v>0</v>
      </c>
      <c r="BA306" s="237" t="n">
        <f aca="false">IF(BA$35&gt;=$AC$304,BA$35-$AC$304+1,0)</f>
        <v>0</v>
      </c>
      <c r="BB306" s="237" t="n">
        <f aca="false">IF(BB$35&gt;=$AC$304,BB$35-$AC$304+1,0)</f>
        <v>0</v>
      </c>
      <c r="BC306" s="237" t="n">
        <f aca="false">IF(BC$35&gt;=$AC$304,BC$35-$AC$304+1,0)</f>
        <v>0</v>
      </c>
      <c r="BD306" s="237" t="n">
        <f aca="false">IF(BD$35&gt;=$AC$304,BD$35-$AC$304+1,0)</f>
        <v>0</v>
      </c>
      <c r="BE306" s="237" t="n">
        <f aca="false">IF(BE$35&gt;=$AC$304,BE$35-$AC$304+1,0)</f>
        <v>0</v>
      </c>
      <c r="BF306" s="237" t="n">
        <f aca="false">IF(BF$35&gt;=$AC$304,BF$35-$AC$304+1,0)</f>
        <v>0</v>
      </c>
      <c r="BG306" s="237" t="n">
        <f aca="false">IF(BG$35&gt;=$AC$304,BG$35-$AC$304+1,0)</f>
        <v>0</v>
      </c>
      <c r="BH306" s="237" t="n">
        <f aca="false">IF(BH$35&gt;=$AC$304,BH$35-$AC$304+1,0)</f>
        <v>0</v>
      </c>
      <c r="BI306" s="237" t="n">
        <f aca="false">IF(BI$35&gt;=$AC$304,BI$35-$AC$304+1,0)</f>
        <v>0</v>
      </c>
      <c r="BJ306" s="237" t="n">
        <f aca="false">IF(BJ$35&gt;=$AC$304,BJ$35-$AC$304+1,0)</f>
        <v>0</v>
      </c>
      <c r="BK306" s="237" t="n">
        <f aca="false">IF(BK$35&gt;=$AC$304,BK$35-$AC$304+1,0)</f>
        <v>0</v>
      </c>
      <c r="BL306" s="237" t="n">
        <f aca="false">IF(BL$35&gt;=$AC$304,BL$35-$AC$304+1,0)</f>
        <v>0</v>
      </c>
      <c r="BM306" s="237" t="n">
        <f aca="false">IF(BM$35&gt;=$AC$304,BM$35-$AC$304+1,0)</f>
        <v>0</v>
      </c>
      <c r="BN306" s="237" t="n">
        <f aca="false">IF(BN$35&gt;=$AC$304,BN$35-$AC$304+1,0)</f>
        <v>0</v>
      </c>
      <c r="BO306" s="237" t="n">
        <f aca="false">IF(BO$35&gt;=$AC$304,BO$35-$AC$304+1,0)</f>
        <v>0</v>
      </c>
      <c r="BP306" s="237" t="n">
        <f aca="false">IF(BP$35&gt;=$AC$304,BP$35-$AC$304+1,0)</f>
        <v>0</v>
      </c>
      <c r="BQ306" s="237" t="n">
        <f aca="false">IF(BQ$35&gt;=$AC$304,BQ$35-$AC$304+1,0)</f>
        <v>0</v>
      </c>
      <c r="BR306" s="237" t="n">
        <f aca="false">IF(BR$35&gt;=$AC$304,BR$35-$AC$304+1,0)</f>
        <v>0</v>
      </c>
      <c r="BS306" s="237" t="n">
        <f aca="false">IF(BS$35&gt;=$AC$304,BS$35-$AC$304+1,0)</f>
        <v>0</v>
      </c>
      <c r="BT306" s="237" t="n">
        <f aca="false">IF(BT$35&gt;=$AC$304,BT$35-$AC$304+1,0)</f>
        <v>0</v>
      </c>
      <c r="BU306" s="237" t="n">
        <f aca="false">IF(BU$35&gt;=$AC$304,BU$35-$AC$304+1,0)</f>
        <v>0</v>
      </c>
      <c r="BV306" s="237" t="n">
        <f aca="false">IF(BV$35&gt;=$AC$304,BV$35-$AC$304+1,0)</f>
        <v>0</v>
      </c>
      <c r="BW306" s="237" t="n">
        <f aca="false">IF(BW$35&gt;=$AC$304,BW$35-$AC$304+1,0)</f>
        <v>0</v>
      </c>
      <c r="BX306" s="237" t="n">
        <f aca="false">IF(BX$35&gt;=$AC$304,BX$35-$AC$304+1,0)</f>
        <v>0</v>
      </c>
      <c r="BY306" s="237" t="n">
        <f aca="false">IF(BY$35&gt;=$AC$304,BY$35-$AC$304+1,0)</f>
        <v>0</v>
      </c>
      <c r="BZ306" s="237" t="n">
        <f aca="false">IF(BZ$35&gt;=$AC$304,BZ$35-$AC$304+1,0)</f>
        <v>0</v>
      </c>
      <c r="CA306" s="237" t="n">
        <f aca="false">IF(CA$35&gt;=$AC$304,CA$35-$AC$304+1,0)</f>
        <v>0</v>
      </c>
      <c r="CB306" s="237" t="n">
        <f aca="false">IF(CB$35&gt;=$AC$304,CB$35-$AC$304+1,0)</f>
        <v>0</v>
      </c>
      <c r="CC306" s="237" t="n">
        <f aca="false">IF(CC$35&gt;=$AC$304,CC$35-$AC$304+1,0)</f>
        <v>0</v>
      </c>
      <c r="CD306" s="237" t="n">
        <f aca="false">IF(CD$35&gt;=$AC$304,CD$35-$AC$304+1,0)</f>
        <v>0</v>
      </c>
      <c r="CE306" s="237" t="n">
        <f aca="false">IF(CE$35&gt;=$AC$304,CE$35-$AC$304+1,0)</f>
        <v>0</v>
      </c>
      <c r="CF306" s="237" t="n">
        <f aca="false">IF(CF$35&gt;=$AC$304,CF$35-$AC$304+1,0)</f>
        <v>0</v>
      </c>
      <c r="CG306" s="237" t="n">
        <f aca="false">IF(CG$35&gt;=$AC$304,CG$35-$AC$304+1,0)</f>
        <v>0</v>
      </c>
      <c r="CH306" s="237" t="n">
        <f aca="false">IF(CH$35&gt;=$AC$304,CH$35-$AC$304+1,0)</f>
        <v>0</v>
      </c>
      <c r="CI306" s="237" t="n">
        <f aca="false">IF(CI$35&gt;=$AC$304,CI$35-$AC$304+1,0)</f>
        <v>0</v>
      </c>
      <c r="CJ306" s="237" t="n">
        <f aca="false">IF(CJ$35&gt;=$AC$304,CJ$35-$AC$304+1,0)</f>
        <v>0</v>
      </c>
      <c r="CK306" s="237" t="n">
        <f aca="false">IF(CK$35&gt;=$AC$304,CK$35-$AC$304+1,0)</f>
        <v>0</v>
      </c>
      <c r="CL306" s="237" t="n">
        <f aca="false">IF(CL$35&gt;=$AC$304,CL$35-$AC$304+1,0)</f>
        <v>0</v>
      </c>
      <c r="CM306" s="237" t="n">
        <f aca="false">IF(CM$35&gt;=$AC$304,CM$35-$AC$304+1,0)</f>
        <v>0</v>
      </c>
      <c r="CN306" s="237" t="n">
        <f aca="false">IF(CN$35&gt;=$AC$304,CN$35-$AC$304+1,0)</f>
        <v>0</v>
      </c>
      <c r="CO306" s="237" t="n">
        <f aca="false">IF(CO$35&gt;=$AC$304,CO$35-$AC$304+1,0)</f>
        <v>0</v>
      </c>
      <c r="CP306" s="237" t="n">
        <f aca="false">IF(CP$35&gt;=$AC$304,CP$35-$AC$304+1,0)</f>
        <v>0</v>
      </c>
      <c r="CQ306" s="237" t="n">
        <f aca="false">IF(CQ$35&gt;=$AC$304,CQ$35-$AC$304+1,0)</f>
        <v>0</v>
      </c>
      <c r="CR306" s="237" t="n">
        <f aca="false">IF(CR$35&gt;=$AC$304,CR$35-$AC$304+1,0)</f>
        <v>0</v>
      </c>
      <c r="CS306" s="237" t="n">
        <f aca="false">IF(CS$35&gt;=$AC$304,CS$35-$AC$304+1,0)</f>
        <v>0</v>
      </c>
      <c r="CT306" s="237" t="n">
        <f aca="false">IF(CT$35&gt;=$AC$304,CT$35-$AC$304+1,0)</f>
        <v>0</v>
      </c>
      <c r="CU306" s="237" t="n">
        <f aca="false">IF(CU$35&gt;=$AC$304,CU$35-$AC$304+1,0)</f>
        <v>0</v>
      </c>
      <c r="CV306" s="237" t="n">
        <f aca="false">IF(CV$35&gt;=$AC$304,CV$35-$AC$304+1,0)</f>
        <v>0</v>
      </c>
      <c r="CW306" s="237" t="n">
        <f aca="false">IF(CW$35&gt;=$AC$304,CW$35-$AC$304+1,0)</f>
        <v>0</v>
      </c>
      <c r="CX306" s="237" t="n">
        <f aca="false">IF(CX$35&gt;=$AC$304,CX$35-$AC$304+1,0)</f>
        <v>0</v>
      </c>
      <c r="CY306" s="237" t="n">
        <f aca="false">IF(CY$35&gt;=$AC$304,CY$35-$AC$304+1,0)</f>
        <v>0</v>
      </c>
      <c r="CZ306" s="237" t="n">
        <f aca="false">IF(CZ$35&gt;=$AC$304,CZ$35-$AC$304+1,0)</f>
        <v>0</v>
      </c>
      <c r="DA306" s="237" t="n">
        <f aca="false">IF(DA$35&gt;=$AC$304,DA$35-$AC$304+1,0)</f>
        <v>0</v>
      </c>
      <c r="DB306" s="237" t="n">
        <f aca="false">IF(DB$35&gt;=$AC$304,DB$35-$AC$304+1,0)</f>
        <v>0</v>
      </c>
      <c r="DC306" s="237" t="n">
        <f aca="false">IF(DC$35&gt;=$AC$304,DC$35-$AC$304+1,0)</f>
        <v>0</v>
      </c>
      <c r="DD306" s="237" t="n">
        <f aca="false">IF(DD$35&gt;=$AC$304,DD$35-$AC$304+1,0)</f>
        <v>0</v>
      </c>
      <c r="DE306" s="237" t="n">
        <f aca="false">IF(DE$35&gt;=$AC$304,DE$35-$AC$304+1,0)</f>
        <v>0</v>
      </c>
      <c r="DF306" s="237" t="n">
        <f aca="false">IF(DF$35&gt;=$AC$304,DF$35-$AC$304+1,0)</f>
        <v>0</v>
      </c>
      <c r="DG306" s="237" t="n">
        <f aca="false">IF(DG$35&gt;=$AC$304,DG$35-$AC$304+1,0)</f>
        <v>0</v>
      </c>
      <c r="DH306" s="237" t="n">
        <f aca="false">IF(DH$35&gt;=$AC$304,DH$35-$AC$304+1,0)</f>
        <v>0</v>
      </c>
      <c r="DI306" s="237" t="n">
        <f aca="false">IF(DI$35&gt;=$AC$304,DI$35-$AC$304+1,0)</f>
        <v>0</v>
      </c>
      <c r="DJ306" s="237" t="n">
        <f aca="false">IF(DJ$35&gt;=$AC$304,DJ$35-$AC$304+1,0)</f>
        <v>0</v>
      </c>
      <c r="DK306" s="237" t="n">
        <f aca="false">IF(DK$35&gt;=$AC$304,DK$35-$AC$304+1,0)</f>
        <v>0</v>
      </c>
      <c r="DL306" s="237" t="n">
        <f aca="false">IF(DL$35&gt;=$AC$304,DL$35-$AC$304+1,0)</f>
        <v>1</v>
      </c>
      <c r="DM306" s="237" t="n">
        <f aca="false">IF(DM$35&gt;=$AC$304,DM$35-$AC$304+1,0)</f>
        <v>2</v>
      </c>
      <c r="DN306" s="237" t="n">
        <f aca="false">IF(DN$35&gt;=$AC$304,DN$35-$AC$304+1,0)</f>
        <v>3</v>
      </c>
      <c r="DO306" s="237" t="n">
        <f aca="false">IF(DO$35&gt;=$AC$304,DO$35-$AC$304+1,0)</f>
        <v>4</v>
      </c>
      <c r="DP306" s="237" t="n">
        <f aca="false">IF(DP$35&gt;=$AC$304,DP$35-$AC$304+1,0)</f>
        <v>5</v>
      </c>
      <c r="DQ306" s="237" t="n">
        <f aca="false">IF(DQ$35&gt;=$AC$304,DQ$35-$AC$304+1,0)</f>
        <v>6</v>
      </c>
      <c r="DR306" s="237" t="n">
        <f aca="false">IF(DR$35&gt;=$AC$304,DR$35-$AC$304+1,0)</f>
        <v>7</v>
      </c>
      <c r="DS306" s="237" t="n">
        <f aca="false">IF(DS$35&gt;=$AC$304,DS$35-$AC$304+1,0)</f>
        <v>8</v>
      </c>
      <c r="DT306" s="237" t="n">
        <f aca="false">IF(DT$35&gt;=$AC$304,DT$35-$AC$304+1,0)</f>
        <v>9</v>
      </c>
      <c r="DU306" s="237" t="n">
        <f aca="false">IF(DU$35&gt;=$AC$304,DU$35-$AC$304+1,0)</f>
        <v>10</v>
      </c>
      <c r="DV306" s="237" t="n">
        <f aca="false">IF(DV$35&gt;=$AC$304,DV$35-$AC$304+1,0)</f>
        <v>11</v>
      </c>
      <c r="DW306" s="237" t="n">
        <f aca="false">IF(DW$35&gt;=$AC$304,DW$35-$AC$304+1,0)</f>
        <v>12</v>
      </c>
      <c r="DX306" s="237" t="n">
        <f aca="false">IF(DX$35&gt;=$AC$304,DX$35-$AC$304+1,0)</f>
        <v>13</v>
      </c>
      <c r="DY306" s="237" t="n">
        <f aca="false">IF(DY$35&gt;=$AC$304,DY$35-$AC$304+1,0)</f>
        <v>14</v>
      </c>
      <c r="DZ306" s="237" t="n">
        <f aca="false">IF(DZ$35&gt;=$AC$304,DZ$35-$AC$304+1,0)</f>
        <v>15</v>
      </c>
      <c r="EA306" s="237" t="n">
        <f aca="false">IF(EA$35&gt;=$AC$304,EA$35-$AC$304+1,0)</f>
        <v>16</v>
      </c>
      <c r="EB306" s="237" t="n">
        <f aca="false">IF(EB$35&gt;=$AC$304,EB$35-$AC$304+1,0)</f>
        <v>17</v>
      </c>
      <c r="EC306" s="237" t="n">
        <f aca="false">IF(EC$35&gt;=$AC$304,EC$35-$AC$304+1,0)</f>
        <v>18</v>
      </c>
      <c r="ED306" s="237" t="n">
        <f aca="false">IF(ED$35&gt;=$AC$304,ED$35-$AC$304+1,0)</f>
        <v>19</v>
      </c>
      <c r="EE306" s="237" t="n">
        <f aca="false">IF(EE$35&gt;=$AC$304,EE$35-$AC$304+1,0)</f>
        <v>20</v>
      </c>
      <c r="EF306" s="237" t="n">
        <f aca="false">IF(EF$35&gt;=$AC$304,EF$35-$AC$304+1,0)</f>
        <v>21</v>
      </c>
      <c r="EG306" s="237" t="n">
        <f aca="false">IF(EG$35&gt;=$AC$304,EG$35-$AC$304+1,0)</f>
        <v>22</v>
      </c>
      <c r="EH306" s="237" t="n">
        <f aca="false">IF(EH$35&gt;=$AC$304,EH$35-$AC$304+1,0)</f>
        <v>23</v>
      </c>
      <c r="EI306" s="237" t="n">
        <f aca="false">IF(EI$35&gt;=$AC$304,EI$35-$AC$304+1,0)</f>
        <v>24</v>
      </c>
      <c r="EJ306" s="237" t="n">
        <f aca="false">IF(EJ$35&gt;=$AC$304,EJ$35-$AC$304+1,0)</f>
        <v>25</v>
      </c>
      <c r="EK306" s="237" t="n">
        <f aca="false">IF(EK$35&gt;=$AC$304,EK$35-$AC$304+1,0)</f>
        <v>26</v>
      </c>
      <c r="EL306" s="237" t="n">
        <f aca="false">IF(EL$35&gt;=$AC$304,EL$35-$AC$304+1,0)</f>
        <v>27</v>
      </c>
      <c r="EM306" s="237" t="n">
        <f aca="false">IF(EM$35&gt;=$AC$304,EM$35-$AC$304+1,0)</f>
        <v>28</v>
      </c>
      <c r="EN306" s="237" t="n">
        <f aca="false">IF(EN$35&gt;=$AC$304,EN$35-$AC$304+1,0)</f>
        <v>29</v>
      </c>
      <c r="EO306" s="237" t="n">
        <f aca="false">IF(EO$35&gt;=$AC$304,EO$35-$AC$304+1,0)</f>
        <v>30</v>
      </c>
      <c r="EP306" s="237" t="n">
        <f aca="false">IF(EP$35&gt;=$AC$304,EP$35-$AC$304+1,0)</f>
        <v>31</v>
      </c>
      <c r="EQ306" s="237" t="n">
        <f aca="false">IF(EQ$35&gt;=$AC$304,EQ$35-$AC$304+1,0)</f>
        <v>32</v>
      </c>
      <c r="ER306" s="237" t="n">
        <f aca="false">IF(ER$35&gt;=$AC$304,ER$35-$AC$304+1,0)</f>
        <v>33</v>
      </c>
      <c r="ES306" s="9" t="n">
        <f aca="false">IF(ES$35&gt;=$AC$304,ES$35-$AC$304+1,0)</f>
        <v>34</v>
      </c>
      <c r="ET306" s="9" t="n">
        <f aca="false">IF(ET$35&gt;=$AC$304,ET$35-$AC$304+1,0)</f>
        <v>35</v>
      </c>
      <c r="EU306" s="9" t="n">
        <f aca="false">IF(EU$35&gt;=$AC$304,EU$35-$AC$304+1,0)</f>
        <v>36</v>
      </c>
      <c r="EV306" s="9" t="n">
        <f aca="false">IF(EV$35&gt;=$AC$304,EV$35-$AC$304+1,0)</f>
        <v>37</v>
      </c>
      <c r="EW306" s="9" t="n">
        <f aca="false">IF(EW$35&gt;=$AC$304,EW$35-$AC$304+1,0)</f>
        <v>38</v>
      </c>
      <c r="EX306" s="9" t="n">
        <f aca="false">IF(EX$35&gt;=$AC$304,EX$35-$AC$304+1,0)</f>
        <v>39</v>
      </c>
      <c r="EY306" s="9" t="n">
        <f aca="false">IF(EY$35&gt;=$AC$304,EY$35-$AC$304+1,0)</f>
        <v>40</v>
      </c>
      <c r="EZ306" s="9" t="n">
        <f aca="false">IF(EZ$35&gt;=$AC$304,EZ$35-$AC$304+1,0)</f>
        <v>41</v>
      </c>
      <c r="FA306" s="9" t="n">
        <f aca="false">IF(FA$35&gt;=$AC$304,FA$35-$AC$304+1,0)</f>
        <v>42</v>
      </c>
      <c r="FB306" s="9" t="n">
        <f aca="false">IF(FB$35&gt;=$AC$304,FB$35-$AC$304+1,0)</f>
        <v>43</v>
      </c>
      <c r="FC306" s="9" t="n">
        <f aca="false">IF(FC$35&gt;=$AC$304,FC$35-$AC$304+1,0)</f>
        <v>44</v>
      </c>
      <c r="FD306" s="9" t="n">
        <f aca="false">IF(FD$35&gt;=$AC$304,FD$35-$AC$304+1,0)</f>
        <v>45</v>
      </c>
      <c r="FE306" s="9" t="n">
        <f aca="false">IF(FE$35&gt;=$AC$304,FE$35-$AC$304+1,0)</f>
        <v>46</v>
      </c>
      <c r="FF306" s="9" t="n">
        <f aca="false">IF(FF$35&gt;=$AC$304,FF$35-$AC$304+1,0)</f>
        <v>47</v>
      </c>
      <c r="FG306" s="9" t="n">
        <f aca="false">IF(FG$35&gt;=$AC$304,FG$35-$AC$304+1,0)</f>
        <v>48</v>
      </c>
      <c r="FH306" s="9" t="n">
        <f aca="false">IF(FH$35&gt;=$AC$304,FH$35-$AC$304+1,0)</f>
        <v>49</v>
      </c>
      <c r="FI306" s="9" t="n">
        <f aca="false">IF(FI$35&gt;=$AC$304,FI$35-$AC$304+1,0)</f>
        <v>50</v>
      </c>
      <c r="FJ306" s="9" t="n">
        <f aca="false">IF(FJ$35&gt;=$AC$304,FJ$35-$AC$304+1,0)</f>
        <v>51</v>
      </c>
      <c r="FK306" s="9" t="n">
        <f aca="false">IF(FK$35&gt;=$AC$304,FK$35-$AC$304+1,0)</f>
        <v>52</v>
      </c>
      <c r="FL306" s="9" t="n">
        <f aca="false">IF(FL$35&gt;=$AC$304,FL$35-$AC$304+1,0)</f>
        <v>53</v>
      </c>
      <c r="FM306" s="9" t="n">
        <f aca="false">IF(FM$35&gt;=$AC$304,FM$35-$AC$304+1,0)</f>
        <v>54</v>
      </c>
      <c r="FN306" s="9" t="n">
        <f aca="false">IF(FN$35&gt;=$AC$304,FN$35-$AC$304+1,0)</f>
        <v>55</v>
      </c>
      <c r="FO306" s="9" t="n">
        <f aca="false">IF(FO$35&gt;=$AC$304,FO$35-$AC$304+1,0)</f>
        <v>56</v>
      </c>
      <c r="FP306" s="9" t="n">
        <f aca="false">IF(FP$35&gt;=$AC$304,FP$35-$AC$304+1,0)</f>
        <v>57</v>
      </c>
    </row>
    <row r="307" customFormat="false" ht="15" hidden="false" customHeight="false" outlineLevel="2" collapsed="false">
      <c r="B307" s="47" t="s">
        <v>874</v>
      </c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237" t="n">
        <f aca="false" t="array" ref="AC307:AC307">IF(AC306=0,0,IF(AC306/('🎚️ Escenario'!$C$10*'🎚️ Escenario'!$C$11)&gt;=36,$AL$23,INDEX($C$23:$AL$23,MAX(1,ROUNDUP(AC306/('🎚️ Escenario'!$C$10*'🎚️ Escenario'!$C$11),0)))))</f>
        <v>0</v>
      </c>
      <c r="AD307" s="237" t="n">
        <f aca="false" t="array" ref="AD307:AD307">IF(AD306=0,0,IF(AD306/('🎚️ Escenario'!$C$10*'🎚️ Escenario'!$C$11)&gt;=36,$AL$23,INDEX($C$23:$AL$23,MAX(1,ROUNDUP(AD306/('🎚️ Escenario'!$C$10*'🎚️ Escenario'!$C$11),0)))))</f>
        <v>0</v>
      </c>
      <c r="AE307" s="237" t="n">
        <f aca="false" t="array" ref="AE307:AE307">IF(AE306=0,0,IF(AE306/('🎚️ Escenario'!$C$10*'🎚️ Escenario'!$C$11)&gt;=36,$AL$23,INDEX($C$23:$AL$23,MAX(1,ROUNDUP(AE306/('🎚️ Escenario'!$C$10*'🎚️ Escenario'!$C$11),0)))))</f>
        <v>0</v>
      </c>
      <c r="AF307" s="237" t="n">
        <f aca="false" t="array" ref="AF307:AF307">IF(AF306=0,0,IF(AF306/('🎚️ Escenario'!$C$10*'🎚️ Escenario'!$C$11)&gt;=36,$AL$23,INDEX($C$23:$AL$23,MAX(1,ROUNDUP(AF306/('🎚️ Escenario'!$C$10*'🎚️ Escenario'!$C$11),0)))))</f>
        <v>0</v>
      </c>
      <c r="AG307" s="237" t="n">
        <f aca="false" t="array" ref="AG307:AG307">IF(AG306=0,0,IF(AG306/('🎚️ Escenario'!$C$10*'🎚️ Escenario'!$C$11)&gt;=36,$AL$23,INDEX($C$23:$AL$23,MAX(1,ROUNDUP(AG306/('🎚️ Escenario'!$C$10*'🎚️ Escenario'!$C$11),0)))))</f>
        <v>0</v>
      </c>
      <c r="AH307" s="237" t="n">
        <f aca="false" t="array" ref="AH307:AH307">IF(AH306=0,0,IF(AH306/('🎚️ Escenario'!$C$10*'🎚️ Escenario'!$C$11)&gt;=36,$AL$23,INDEX($C$23:$AL$23,MAX(1,ROUNDUP(AH306/('🎚️ Escenario'!$C$10*'🎚️ Escenario'!$C$11),0)))))</f>
        <v>0</v>
      </c>
      <c r="AI307" s="237" t="n">
        <f aca="false" t="array" ref="AI307:AI307">IF(AI306=0,0,IF(AI306/('🎚️ Escenario'!$C$10*'🎚️ Escenario'!$C$11)&gt;=36,$AL$23,INDEX($C$23:$AL$23,MAX(1,ROUNDUP(AI306/('🎚️ Escenario'!$C$10*'🎚️ Escenario'!$C$11),0)))))</f>
        <v>0</v>
      </c>
      <c r="AJ307" s="237" t="n">
        <f aca="false" t="array" ref="AJ307:AJ307">IF(AJ306=0,0,IF(AJ306/('🎚️ Escenario'!$C$10*'🎚️ Escenario'!$C$11)&gt;=36,$AL$23,INDEX($C$23:$AL$23,MAX(1,ROUNDUP(AJ306/('🎚️ Escenario'!$C$10*'🎚️ Escenario'!$C$11),0)))))</f>
        <v>0</v>
      </c>
      <c r="AK307" s="237" t="n">
        <f aca="false" t="array" ref="AK307:AK307">IF(AK306=0,0,IF(AK306/('🎚️ Escenario'!$C$10*'🎚️ Escenario'!$C$11)&gt;=36,$AL$23,INDEX($C$23:$AL$23,MAX(1,ROUNDUP(AK306/('🎚️ Escenario'!$C$10*'🎚️ Escenario'!$C$11),0)))))</f>
        <v>0</v>
      </c>
      <c r="AL307" s="237" t="n">
        <f aca="false" t="array" ref="AL307:AL307">IF(AL306=0,0,IF(AL306/('🎚️ Escenario'!$C$10*'🎚️ Escenario'!$C$11)&gt;=36,$AL$23,INDEX($C$23:$AL$23,MAX(1,ROUNDUP(AL306/('🎚️ Escenario'!$C$10*'🎚️ Escenario'!$C$11),0)))))</f>
        <v>0</v>
      </c>
      <c r="AM307" s="237" t="n">
        <f aca="false" t="array" ref="AM307:AM307">IF(AM306=0,0,IF(AM306/('🎚️ Escenario'!$C$10*'🎚️ Escenario'!$C$11)&gt;=36,$AL$23,INDEX($C$23:$AL$23,MAX(1,ROUNDUP(AM306/('🎚️ Escenario'!$C$10*'🎚️ Escenario'!$C$11),0)))))</f>
        <v>0</v>
      </c>
      <c r="AN307" s="237" t="n">
        <f aca="false" t="array" ref="AN307:AN307">IF(AN306=0,0,IF(AN306/('🎚️ Escenario'!$C$10*'🎚️ Escenario'!$C$11)&gt;=36,$AL$23,INDEX($C$23:$AL$23,MAX(1,ROUNDUP(AN306/('🎚️ Escenario'!$C$10*'🎚️ Escenario'!$C$11),0)))))</f>
        <v>0</v>
      </c>
      <c r="AO307" s="237" t="n">
        <f aca="false" t="array" ref="AO307:AO307">IF(AO306=0,0,IF(AO306/('🎚️ Escenario'!$C$10*'🎚️ Escenario'!$C$11)&gt;=36,$AL$23,INDEX($C$23:$AL$23,MAX(1,ROUNDUP(AO306/('🎚️ Escenario'!$C$10*'🎚️ Escenario'!$C$11),0)))))</f>
        <v>0</v>
      </c>
      <c r="AP307" s="237" t="n">
        <f aca="false" t="array" ref="AP307:AP307">IF(AP306=0,0,IF(AP306/('🎚️ Escenario'!$C$10*'🎚️ Escenario'!$C$11)&gt;=36,$AL$23,INDEX($C$23:$AL$23,MAX(1,ROUNDUP(AP306/('🎚️ Escenario'!$C$10*'🎚️ Escenario'!$C$11),0)))))</f>
        <v>0</v>
      </c>
      <c r="AQ307" s="237" t="n">
        <f aca="false" t="array" ref="AQ307:AQ307">IF(AQ306=0,0,IF(AQ306/('🎚️ Escenario'!$C$10*'🎚️ Escenario'!$C$11)&gt;=36,$AL$23,INDEX($C$23:$AL$23,MAX(1,ROUNDUP(AQ306/('🎚️ Escenario'!$C$10*'🎚️ Escenario'!$C$11),0)))))</f>
        <v>0</v>
      </c>
      <c r="AR307" s="237" t="n">
        <f aca="false" t="array" ref="AR307:AR307">IF(AR306=0,0,IF(AR306/('🎚️ Escenario'!$C$10*'🎚️ Escenario'!$C$11)&gt;=36,$AL$23,INDEX($C$23:$AL$23,MAX(1,ROUNDUP(AR306/('🎚️ Escenario'!$C$10*'🎚️ Escenario'!$C$11),0)))))</f>
        <v>0</v>
      </c>
      <c r="AS307" s="237" t="n">
        <f aca="false" t="array" ref="AS307:AS307">IF(AS306=0,0,IF(AS306/('🎚️ Escenario'!$C$10*'🎚️ Escenario'!$C$11)&gt;=36,$AL$23,INDEX($C$23:$AL$23,MAX(1,ROUNDUP(AS306/('🎚️ Escenario'!$C$10*'🎚️ Escenario'!$C$11),0)))))</f>
        <v>0</v>
      </c>
      <c r="AT307" s="237" t="n">
        <f aca="false" t="array" ref="AT307:AT307">IF(AT306=0,0,IF(AT306/('🎚️ Escenario'!$C$10*'🎚️ Escenario'!$C$11)&gt;=36,$AL$23,INDEX($C$23:$AL$23,MAX(1,ROUNDUP(AT306/('🎚️ Escenario'!$C$10*'🎚️ Escenario'!$C$11),0)))))</f>
        <v>0</v>
      </c>
      <c r="AU307" s="237" t="n">
        <f aca="false" t="array" ref="AU307:AU307">IF(AU306=0,0,IF(AU306/('🎚️ Escenario'!$C$10*'🎚️ Escenario'!$C$11)&gt;=36,$AL$23,INDEX($C$23:$AL$23,MAX(1,ROUNDUP(AU306/('🎚️ Escenario'!$C$10*'🎚️ Escenario'!$C$11),0)))))</f>
        <v>0</v>
      </c>
      <c r="AV307" s="237" t="n">
        <f aca="false" t="array" ref="AV307:AV307">IF(AV306=0,0,IF(AV306/('🎚️ Escenario'!$C$10*'🎚️ Escenario'!$C$11)&gt;=36,$AL$23,INDEX($C$23:$AL$23,MAX(1,ROUNDUP(AV306/('🎚️ Escenario'!$C$10*'🎚️ Escenario'!$C$11),0)))))</f>
        <v>0</v>
      </c>
      <c r="AW307" s="237" t="n">
        <f aca="false" t="array" ref="AW307:AW307">IF(AW306=0,0,IF(AW306/('🎚️ Escenario'!$C$10*'🎚️ Escenario'!$C$11)&gt;=36,$AL$23,INDEX($C$23:$AL$23,MAX(1,ROUNDUP(AW306/('🎚️ Escenario'!$C$10*'🎚️ Escenario'!$C$11),0)))))</f>
        <v>0</v>
      </c>
      <c r="AX307" s="237" t="n">
        <f aca="false" t="array" ref="AX307:AX307">IF(AX306=0,0,IF(AX306/('🎚️ Escenario'!$C$10*'🎚️ Escenario'!$C$11)&gt;=36,$AL$23,INDEX($C$23:$AL$23,MAX(1,ROUNDUP(AX306/('🎚️ Escenario'!$C$10*'🎚️ Escenario'!$C$11),0)))))</f>
        <v>0</v>
      </c>
      <c r="AY307" s="237" t="n">
        <f aca="false" t="array" ref="AY307:AY307">IF(AY306=0,0,IF(AY306/('🎚️ Escenario'!$C$10*'🎚️ Escenario'!$C$11)&gt;=36,$AL$23,INDEX($C$23:$AL$23,MAX(1,ROUNDUP(AY306/('🎚️ Escenario'!$C$10*'🎚️ Escenario'!$C$11),0)))))</f>
        <v>0</v>
      </c>
      <c r="AZ307" s="237" t="n">
        <f aca="false" t="array" ref="AZ307:AZ307">IF(AZ306=0,0,IF(AZ306/('🎚️ Escenario'!$C$10*'🎚️ Escenario'!$C$11)&gt;=36,$AL$23,INDEX($C$23:$AL$23,MAX(1,ROUNDUP(AZ306/('🎚️ Escenario'!$C$10*'🎚️ Escenario'!$C$11),0)))))</f>
        <v>0</v>
      </c>
      <c r="BA307" s="237" t="n">
        <f aca="false" t="array" ref="BA307:BA307">IF(BA306=0,0,IF(BA306/('🎚️ Escenario'!$C$10*'🎚️ Escenario'!$C$11)&gt;=36,$AL$23,INDEX($C$23:$AL$23,MAX(1,ROUNDUP(BA306/('🎚️ Escenario'!$C$10*'🎚️ Escenario'!$C$11),0)))))</f>
        <v>0</v>
      </c>
      <c r="BB307" s="237" t="n">
        <f aca="false" t="array" ref="BB307:BB307">IF(BB306=0,0,IF(BB306/('🎚️ Escenario'!$C$10*'🎚️ Escenario'!$C$11)&gt;=36,$AL$23,INDEX($C$23:$AL$23,MAX(1,ROUNDUP(BB306/('🎚️ Escenario'!$C$10*'🎚️ Escenario'!$C$11),0)))))</f>
        <v>0</v>
      </c>
      <c r="BC307" s="237" t="n">
        <f aca="false" t="array" ref="BC307:BC307">IF(BC306=0,0,IF(BC306/('🎚️ Escenario'!$C$10*'🎚️ Escenario'!$C$11)&gt;=36,$AL$23,INDEX($C$23:$AL$23,MAX(1,ROUNDUP(BC306/('🎚️ Escenario'!$C$10*'🎚️ Escenario'!$C$11),0)))))</f>
        <v>0</v>
      </c>
      <c r="BD307" s="237" t="n">
        <f aca="false" t="array" ref="BD307:BD307">IF(BD306=0,0,IF(BD306/('🎚️ Escenario'!$C$10*'🎚️ Escenario'!$C$11)&gt;=36,$AL$23,INDEX($C$23:$AL$23,MAX(1,ROUNDUP(BD306/('🎚️ Escenario'!$C$10*'🎚️ Escenario'!$C$11),0)))))</f>
        <v>0</v>
      </c>
      <c r="BE307" s="237" t="n">
        <f aca="false" t="array" ref="BE307:BE307">IF(BE306=0,0,IF(BE306/('🎚️ Escenario'!$C$10*'🎚️ Escenario'!$C$11)&gt;=36,$AL$23,INDEX($C$23:$AL$23,MAX(1,ROUNDUP(BE306/('🎚️ Escenario'!$C$10*'🎚️ Escenario'!$C$11),0)))))</f>
        <v>0</v>
      </c>
      <c r="BF307" s="237" t="n">
        <f aca="false" t="array" ref="BF307:BF307">IF(BF306=0,0,IF(BF306/('🎚️ Escenario'!$C$10*'🎚️ Escenario'!$C$11)&gt;=36,$AL$23,INDEX($C$23:$AL$23,MAX(1,ROUNDUP(BF306/('🎚️ Escenario'!$C$10*'🎚️ Escenario'!$C$11),0)))))</f>
        <v>0</v>
      </c>
      <c r="BG307" s="237" t="n">
        <f aca="false" t="array" ref="BG307:BG307">IF(BG306=0,0,IF(BG306/('🎚️ Escenario'!$C$10*'🎚️ Escenario'!$C$11)&gt;=36,$AL$23,INDEX($C$23:$AL$23,MAX(1,ROUNDUP(BG306/('🎚️ Escenario'!$C$10*'🎚️ Escenario'!$C$11),0)))))</f>
        <v>0</v>
      </c>
      <c r="BH307" s="237" t="n">
        <f aca="false" t="array" ref="BH307:BH307">IF(BH306=0,0,IF(BH306/('🎚️ Escenario'!$C$10*'🎚️ Escenario'!$C$11)&gt;=36,$AL$23,INDEX($C$23:$AL$23,MAX(1,ROUNDUP(BH306/('🎚️ Escenario'!$C$10*'🎚️ Escenario'!$C$11),0)))))</f>
        <v>0</v>
      </c>
      <c r="BI307" s="237" t="n">
        <f aca="false" t="array" ref="BI307:BI307">IF(BI306=0,0,IF(BI306/('🎚️ Escenario'!$C$10*'🎚️ Escenario'!$C$11)&gt;=36,$AL$23,INDEX($C$23:$AL$23,MAX(1,ROUNDUP(BI306/('🎚️ Escenario'!$C$10*'🎚️ Escenario'!$C$11),0)))))</f>
        <v>0</v>
      </c>
      <c r="BJ307" s="237" t="n">
        <f aca="false" t="array" ref="BJ307:BJ307">IF(BJ306=0,0,IF(BJ306/('🎚️ Escenario'!$C$10*'🎚️ Escenario'!$C$11)&gt;=36,$AL$23,INDEX($C$23:$AL$23,MAX(1,ROUNDUP(BJ306/('🎚️ Escenario'!$C$10*'🎚️ Escenario'!$C$11),0)))))</f>
        <v>0</v>
      </c>
      <c r="BK307" s="237" t="n">
        <f aca="false" t="array" ref="BK307:BK307">IF(BK306=0,0,IF(BK306/('🎚️ Escenario'!$C$10*'🎚️ Escenario'!$C$11)&gt;=36,$AL$23,INDEX($C$23:$AL$23,MAX(1,ROUNDUP(BK306/('🎚️ Escenario'!$C$10*'🎚️ Escenario'!$C$11),0)))))</f>
        <v>0</v>
      </c>
      <c r="BL307" s="237" t="n">
        <f aca="false" t="array" ref="BL307:BL307">IF(BL306=0,0,IF(BL306/('🎚️ Escenario'!$C$10*'🎚️ Escenario'!$C$11)&gt;=36,$AL$23,INDEX($C$23:$AL$23,MAX(1,ROUNDUP(BL306/('🎚️ Escenario'!$C$10*'🎚️ Escenario'!$C$11),0)))))</f>
        <v>0</v>
      </c>
      <c r="BM307" s="237" t="n">
        <f aca="false" t="array" ref="BM307:BM307">IF(BM306=0,0,IF(BM306/('🎚️ Escenario'!$C$10*'🎚️ Escenario'!$C$11)&gt;=36,$AL$23,INDEX($C$23:$AL$23,MAX(1,ROUNDUP(BM306/('🎚️ Escenario'!$C$10*'🎚️ Escenario'!$C$11),0)))))</f>
        <v>0</v>
      </c>
      <c r="BN307" s="237" t="n">
        <f aca="false" t="array" ref="BN307:BN307">IF(BN306=0,0,IF(BN306/('🎚️ Escenario'!$C$10*'🎚️ Escenario'!$C$11)&gt;=36,$AL$23,INDEX($C$23:$AL$23,MAX(1,ROUNDUP(BN306/('🎚️ Escenario'!$C$10*'🎚️ Escenario'!$C$11),0)))))</f>
        <v>0</v>
      </c>
      <c r="BO307" s="237" t="n">
        <f aca="false" t="array" ref="BO307:BO307">IF(BO306=0,0,IF(BO306/('🎚️ Escenario'!$C$10*'🎚️ Escenario'!$C$11)&gt;=36,$AL$23,INDEX($C$23:$AL$23,MAX(1,ROUNDUP(BO306/('🎚️ Escenario'!$C$10*'🎚️ Escenario'!$C$11),0)))))</f>
        <v>0</v>
      </c>
      <c r="BP307" s="237" t="n">
        <f aca="false" t="array" ref="BP307:BP307">IF(BP306=0,0,IF(BP306/('🎚️ Escenario'!$C$10*'🎚️ Escenario'!$C$11)&gt;=36,$AL$23,INDEX($C$23:$AL$23,MAX(1,ROUNDUP(BP306/('🎚️ Escenario'!$C$10*'🎚️ Escenario'!$C$11),0)))))</f>
        <v>0</v>
      </c>
      <c r="BQ307" s="237" t="n">
        <f aca="false" t="array" ref="BQ307:BQ307">IF(BQ306=0,0,IF(BQ306/('🎚️ Escenario'!$C$10*'🎚️ Escenario'!$C$11)&gt;=36,$AL$23,INDEX($C$23:$AL$23,MAX(1,ROUNDUP(BQ306/('🎚️ Escenario'!$C$10*'🎚️ Escenario'!$C$11),0)))))</f>
        <v>0</v>
      </c>
      <c r="BR307" s="237" t="n">
        <f aca="false" t="array" ref="BR307:BR307">IF(BR306=0,0,IF(BR306/('🎚️ Escenario'!$C$10*'🎚️ Escenario'!$C$11)&gt;=36,$AL$23,INDEX($C$23:$AL$23,MAX(1,ROUNDUP(BR306/('🎚️ Escenario'!$C$10*'🎚️ Escenario'!$C$11),0)))))</f>
        <v>0</v>
      </c>
      <c r="BS307" s="237" t="n">
        <f aca="false" t="array" ref="BS307:BS307">IF(BS306=0,0,IF(BS306/('🎚️ Escenario'!$C$10*'🎚️ Escenario'!$C$11)&gt;=36,$AL$23,INDEX($C$23:$AL$23,MAX(1,ROUNDUP(BS306/('🎚️ Escenario'!$C$10*'🎚️ Escenario'!$C$11),0)))))</f>
        <v>0</v>
      </c>
      <c r="BT307" s="237" t="n">
        <f aca="false" t="array" ref="BT307:BT307">IF(BT306=0,0,IF(BT306/('🎚️ Escenario'!$C$10*'🎚️ Escenario'!$C$11)&gt;=36,$AL$23,INDEX($C$23:$AL$23,MAX(1,ROUNDUP(BT306/('🎚️ Escenario'!$C$10*'🎚️ Escenario'!$C$11),0)))))</f>
        <v>0</v>
      </c>
      <c r="BU307" s="237" t="n">
        <f aca="false" t="array" ref="BU307:BU307">IF(BU306=0,0,IF(BU306/('🎚️ Escenario'!$C$10*'🎚️ Escenario'!$C$11)&gt;=36,$AL$23,INDEX($C$23:$AL$23,MAX(1,ROUNDUP(BU306/('🎚️ Escenario'!$C$10*'🎚️ Escenario'!$C$11),0)))))</f>
        <v>0</v>
      </c>
      <c r="BV307" s="237" t="n">
        <f aca="false" t="array" ref="BV307:BV307">IF(BV306=0,0,IF(BV306/('🎚️ Escenario'!$C$10*'🎚️ Escenario'!$C$11)&gt;=36,$AL$23,INDEX($C$23:$AL$23,MAX(1,ROUNDUP(BV306/('🎚️ Escenario'!$C$10*'🎚️ Escenario'!$C$11),0)))))</f>
        <v>0</v>
      </c>
      <c r="BW307" s="237" t="n">
        <f aca="false" t="array" ref="BW307:BW307">IF(BW306=0,0,IF(BW306/('🎚️ Escenario'!$C$10*'🎚️ Escenario'!$C$11)&gt;=36,$AL$23,INDEX($C$23:$AL$23,MAX(1,ROUNDUP(BW306/('🎚️ Escenario'!$C$10*'🎚️ Escenario'!$C$11),0)))))</f>
        <v>0</v>
      </c>
      <c r="BX307" s="237" t="n">
        <f aca="false" t="array" ref="BX307:BX307">IF(BX306=0,0,IF(BX306/('🎚️ Escenario'!$C$10*'🎚️ Escenario'!$C$11)&gt;=36,$AL$23,INDEX($C$23:$AL$23,MAX(1,ROUNDUP(BX306/('🎚️ Escenario'!$C$10*'🎚️ Escenario'!$C$11),0)))))</f>
        <v>0</v>
      </c>
      <c r="BY307" s="237" t="n">
        <f aca="false" t="array" ref="BY307:BY307">IF(BY306=0,0,IF(BY306/('🎚️ Escenario'!$C$10*'🎚️ Escenario'!$C$11)&gt;=36,$AL$23,INDEX($C$23:$AL$23,MAX(1,ROUNDUP(BY306/('🎚️ Escenario'!$C$10*'🎚️ Escenario'!$C$11),0)))))</f>
        <v>0</v>
      </c>
      <c r="BZ307" s="237" t="n">
        <f aca="false" t="array" ref="BZ307:BZ307">IF(BZ306=0,0,IF(BZ306/('🎚️ Escenario'!$C$10*'🎚️ Escenario'!$C$11)&gt;=36,$AL$23,INDEX($C$23:$AL$23,MAX(1,ROUNDUP(BZ306/('🎚️ Escenario'!$C$10*'🎚️ Escenario'!$C$11),0)))))</f>
        <v>0</v>
      </c>
      <c r="CA307" s="237" t="n">
        <f aca="false" t="array" ref="CA307:CA307">IF(CA306=0,0,IF(CA306/('🎚️ Escenario'!$C$10*'🎚️ Escenario'!$C$11)&gt;=36,$AL$23,INDEX($C$23:$AL$23,MAX(1,ROUNDUP(CA306/('🎚️ Escenario'!$C$10*'🎚️ Escenario'!$C$11),0)))))</f>
        <v>0</v>
      </c>
      <c r="CB307" s="237" t="n">
        <f aca="false" t="array" ref="CB307:CB307">IF(CB306=0,0,IF(CB306/('🎚️ Escenario'!$C$10*'🎚️ Escenario'!$C$11)&gt;=36,$AL$23,INDEX($C$23:$AL$23,MAX(1,ROUNDUP(CB306/('🎚️ Escenario'!$C$10*'🎚️ Escenario'!$C$11),0)))))</f>
        <v>0</v>
      </c>
      <c r="CC307" s="237" t="n">
        <f aca="false" t="array" ref="CC307:CC307">IF(CC306=0,0,IF(CC306/('🎚️ Escenario'!$C$10*'🎚️ Escenario'!$C$11)&gt;=36,$AL$23,INDEX($C$23:$AL$23,MAX(1,ROUNDUP(CC306/('🎚️ Escenario'!$C$10*'🎚️ Escenario'!$C$11),0)))))</f>
        <v>0</v>
      </c>
      <c r="CD307" s="237" t="n">
        <f aca="false" t="array" ref="CD307:CD307">IF(CD306=0,0,IF(CD306/('🎚️ Escenario'!$C$10*'🎚️ Escenario'!$C$11)&gt;=36,$AL$23,INDEX($C$23:$AL$23,MAX(1,ROUNDUP(CD306/('🎚️ Escenario'!$C$10*'🎚️ Escenario'!$C$11),0)))))</f>
        <v>0</v>
      </c>
      <c r="CE307" s="237" t="n">
        <f aca="false" t="array" ref="CE307:CE307">IF(CE306=0,0,IF(CE306/('🎚️ Escenario'!$C$10*'🎚️ Escenario'!$C$11)&gt;=36,$AL$23,INDEX($C$23:$AL$23,MAX(1,ROUNDUP(CE306/('🎚️ Escenario'!$C$10*'🎚️ Escenario'!$C$11),0)))))</f>
        <v>0</v>
      </c>
      <c r="CF307" s="237" t="n">
        <f aca="false" t="array" ref="CF307:CF307">IF(CF306=0,0,IF(CF306/('🎚️ Escenario'!$C$10*'🎚️ Escenario'!$C$11)&gt;=36,$AL$23,INDEX($C$23:$AL$23,MAX(1,ROUNDUP(CF306/('🎚️ Escenario'!$C$10*'🎚️ Escenario'!$C$11),0)))))</f>
        <v>0</v>
      </c>
      <c r="CG307" s="237" t="n">
        <f aca="false" t="array" ref="CG307:CG307">IF(CG306=0,0,IF(CG306/('🎚️ Escenario'!$C$10*'🎚️ Escenario'!$C$11)&gt;=36,$AL$23,INDEX($C$23:$AL$23,MAX(1,ROUNDUP(CG306/('🎚️ Escenario'!$C$10*'🎚️ Escenario'!$C$11),0)))))</f>
        <v>0</v>
      </c>
      <c r="CH307" s="237" t="n">
        <f aca="false" t="array" ref="CH307:CH307">IF(CH306=0,0,IF(CH306/('🎚️ Escenario'!$C$10*'🎚️ Escenario'!$C$11)&gt;=36,$AL$23,INDEX($C$23:$AL$23,MAX(1,ROUNDUP(CH306/('🎚️ Escenario'!$C$10*'🎚️ Escenario'!$C$11),0)))))</f>
        <v>0</v>
      </c>
      <c r="CI307" s="237" t="n">
        <f aca="false" t="array" ref="CI307:CI307">IF(CI306=0,0,IF(CI306/('🎚️ Escenario'!$C$10*'🎚️ Escenario'!$C$11)&gt;=36,$AL$23,INDEX($C$23:$AL$23,MAX(1,ROUNDUP(CI306/('🎚️ Escenario'!$C$10*'🎚️ Escenario'!$C$11),0)))))</f>
        <v>0</v>
      </c>
      <c r="CJ307" s="237" t="n">
        <f aca="false" t="array" ref="CJ307:CJ307">IF(CJ306=0,0,IF(CJ306/('🎚️ Escenario'!$C$10*'🎚️ Escenario'!$C$11)&gt;=36,$AL$23,INDEX($C$23:$AL$23,MAX(1,ROUNDUP(CJ306/('🎚️ Escenario'!$C$10*'🎚️ Escenario'!$C$11),0)))))</f>
        <v>0</v>
      </c>
      <c r="CK307" s="237" t="n">
        <f aca="false" t="array" ref="CK307:CK307">IF(CK306=0,0,IF(CK306/('🎚️ Escenario'!$C$10*'🎚️ Escenario'!$C$11)&gt;=36,$AL$23,INDEX($C$23:$AL$23,MAX(1,ROUNDUP(CK306/('🎚️ Escenario'!$C$10*'🎚️ Escenario'!$C$11),0)))))</f>
        <v>0</v>
      </c>
      <c r="CL307" s="237" t="n">
        <f aca="false" t="array" ref="CL307:CL307">IF(CL306=0,0,IF(CL306/('🎚️ Escenario'!$C$10*'🎚️ Escenario'!$C$11)&gt;=36,$AL$23,INDEX($C$23:$AL$23,MAX(1,ROUNDUP(CL306/('🎚️ Escenario'!$C$10*'🎚️ Escenario'!$C$11),0)))))</f>
        <v>0</v>
      </c>
      <c r="CM307" s="237" t="n">
        <f aca="false" t="array" ref="CM307:CM307">IF(CM306=0,0,IF(CM306/('🎚️ Escenario'!$C$10*'🎚️ Escenario'!$C$11)&gt;=36,$AL$23,INDEX($C$23:$AL$23,MAX(1,ROUNDUP(CM306/('🎚️ Escenario'!$C$10*'🎚️ Escenario'!$C$11),0)))))</f>
        <v>0</v>
      </c>
      <c r="CN307" s="237" t="n">
        <f aca="false" t="array" ref="CN307:CN307">IF(CN306=0,0,IF(CN306/('🎚️ Escenario'!$C$10*'🎚️ Escenario'!$C$11)&gt;=36,$AL$23,INDEX($C$23:$AL$23,MAX(1,ROUNDUP(CN306/('🎚️ Escenario'!$C$10*'🎚️ Escenario'!$C$11),0)))))</f>
        <v>0</v>
      </c>
      <c r="CO307" s="237" t="n">
        <f aca="false" t="array" ref="CO307:CO307">IF(CO306=0,0,IF(CO306/('🎚️ Escenario'!$C$10*'🎚️ Escenario'!$C$11)&gt;=36,$AL$23,INDEX($C$23:$AL$23,MAX(1,ROUNDUP(CO306/('🎚️ Escenario'!$C$10*'🎚️ Escenario'!$C$11),0)))))</f>
        <v>0</v>
      </c>
      <c r="CP307" s="237" t="n">
        <f aca="false" t="array" ref="CP307:CP307">IF(CP306=0,0,IF(CP306/('🎚️ Escenario'!$C$10*'🎚️ Escenario'!$C$11)&gt;=36,$AL$23,INDEX($C$23:$AL$23,MAX(1,ROUNDUP(CP306/('🎚️ Escenario'!$C$10*'🎚️ Escenario'!$C$11),0)))))</f>
        <v>0</v>
      </c>
      <c r="CQ307" s="237" t="n">
        <f aca="false" t="array" ref="CQ307:CQ307">IF(CQ306=0,0,IF(CQ306/('🎚️ Escenario'!$C$10*'🎚️ Escenario'!$C$11)&gt;=36,$AL$23,INDEX($C$23:$AL$23,MAX(1,ROUNDUP(CQ306/('🎚️ Escenario'!$C$10*'🎚️ Escenario'!$C$11),0)))))</f>
        <v>0</v>
      </c>
      <c r="CR307" s="237" t="n">
        <f aca="false" t="array" ref="CR307:CR307">IF(CR306=0,0,IF(CR306/('🎚️ Escenario'!$C$10*'🎚️ Escenario'!$C$11)&gt;=36,$AL$23,INDEX($C$23:$AL$23,MAX(1,ROUNDUP(CR306/('🎚️ Escenario'!$C$10*'🎚️ Escenario'!$C$11),0)))))</f>
        <v>0</v>
      </c>
      <c r="CS307" s="237" t="n">
        <f aca="false" t="array" ref="CS307:CS307">IF(CS306=0,0,IF(CS306/('🎚️ Escenario'!$C$10*'🎚️ Escenario'!$C$11)&gt;=36,$AL$23,INDEX($C$23:$AL$23,MAX(1,ROUNDUP(CS306/('🎚️ Escenario'!$C$10*'🎚️ Escenario'!$C$11),0)))))</f>
        <v>0</v>
      </c>
      <c r="CT307" s="237" t="n">
        <f aca="false" t="array" ref="CT307:CT307">IF(CT306=0,0,IF(CT306/('🎚️ Escenario'!$C$10*'🎚️ Escenario'!$C$11)&gt;=36,$AL$23,INDEX($C$23:$AL$23,MAX(1,ROUNDUP(CT306/('🎚️ Escenario'!$C$10*'🎚️ Escenario'!$C$11),0)))))</f>
        <v>0</v>
      </c>
      <c r="CU307" s="237" t="n">
        <f aca="false" t="array" ref="CU307:CU307">IF(CU306=0,0,IF(CU306/('🎚️ Escenario'!$C$10*'🎚️ Escenario'!$C$11)&gt;=36,$AL$23,INDEX($C$23:$AL$23,MAX(1,ROUNDUP(CU306/('🎚️ Escenario'!$C$10*'🎚️ Escenario'!$C$11),0)))))</f>
        <v>0</v>
      </c>
      <c r="CV307" s="237" t="n">
        <f aca="false" t="array" ref="CV307:CV307">IF(CV306=0,0,IF(CV306/('🎚️ Escenario'!$C$10*'🎚️ Escenario'!$C$11)&gt;=36,$AL$23,INDEX($C$23:$AL$23,MAX(1,ROUNDUP(CV306/('🎚️ Escenario'!$C$10*'🎚️ Escenario'!$C$11),0)))))</f>
        <v>0</v>
      </c>
      <c r="CW307" s="237" t="n">
        <f aca="false" t="array" ref="CW307:CW307">IF(CW306=0,0,IF(CW306/('🎚️ Escenario'!$C$10*'🎚️ Escenario'!$C$11)&gt;=36,$AL$23,INDEX($C$23:$AL$23,MAX(1,ROUNDUP(CW306/('🎚️ Escenario'!$C$10*'🎚️ Escenario'!$C$11),0)))))</f>
        <v>0</v>
      </c>
      <c r="CX307" s="237" t="n">
        <f aca="false" t="array" ref="CX307:CX307">IF(CX306=0,0,IF(CX306/('🎚️ Escenario'!$C$10*'🎚️ Escenario'!$C$11)&gt;=36,$AL$23,INDEX($C$23:$AL$23,MAX(1,ROUNDUP(CX306/('🎚️ Escenario'!$C$10*'🎚️ Escenario'!$C$11),0)))))</f>
        <v>0</v>
      </c>
      <c r="CY307" s="237" t="n">
        <f aca="false" t="array" ref="CY307:CY307">IF(CY306=0,0,IF(CY306/('🎚️ Escenario'!$C$10*'🎚️ Escenario'!$C$11)&gt;=36,$AL$23,INDEX($C$23:$AL$23,MAX(1,ROUNDUP(CY306/('🎚️ Escenario'!$C$10*'🎚️ Escenario'!$C$11),0)))))</f>
        <v>0</v>
      </c>
      <c r="CZ307" s="237" t="n">
        <f aca="false" t="array" ref="CZ307:CZ307">IF(CZ306=0,0,IF(CZ306/('🎚️ Escenario'!$C$10*'🎚️ Escenario'!$C$11)&gt;=36,$AL$23,INDEX($C$23:$AL$23,MAX(1,ROUNDUP(CZ306/('🎚️ Escenario'!$C$10*'🎚️ Escenario'!$C$11),0)))))</f>
        <v>0</v>
      </c>
      <c r="DA307" s="237" t="n">
        <f aca="false" t="array" ref="DA307:DA307">IF(DA306=0,0,IF(DA306/('🎚️ Escenario'!$C$10*'🎚️ Escenario'!$C$11)&gt;=36,$AL$23,INDEX($C$23:$AL$23,MAX(1,ROUNDUP(DA306/('🎚️ Escenario'!$C$10*'🎚️ Escenario'!$C$11),0)))))</f>
        <v>0</v>
      </c>
      <c r="DB307" s="237" t="n">
        <f aca="false" t="array" ref="DB307:DB307">IF(DB306=0,0,IF(DB306/('🎚️ Escenario'!$C$10*'🎚️ Escenario'!$C$11)&gt;=36,$AL$23,INDEX($C$23:$AL$23,MAX(1,ROUNDUP(DB306/('🎚️ Escenario'!$C$10*'🎚️ Escenario'!$C$11),0)))))</f>
        <v>0</v>
      </c>
      <c r="DC307" s="237" t="n">
        <f aca="false" t="array" ref="DC307:DC307">IF(DC306=0,0,IF(DC306/('🎚️ Escenario'!$C$10*'🎚️ Escenario'!$C$11)&gt;=36,$AL$23,INDEX($C$23:$AL$23,MAX(1,ROUNDUP(DC306/('🎚️ Escenario'!$C$10*'🎚️ Escenario'!$C$11),0)))))</f>
        <v>0</v>
      </c>
      <c r="DD307" s="237" t="n">
        <f aca="false" t="array" ref="DD307:DD307">IF(DD306=0,0,IF(DD306/('🎚️ Escenario'!$C$10*'🎚️ Escenario'!$C$11)&gt;=36,$AL$23,INDEX($C$23:$AL$23,MAX(1,ROUNDUP(DD306/('🎚️ Escenario'!$C$10*'🎚️ Escenario'!$C$11),0)))))</f>
        <v>0</v>
      </c>
      <c r="DE307" s="237" t="n">
        <f aca="false" t="array" ref="DE307:DE307">IF(DE306=0,0,IF(DE306/('🎚️ Escenario'!$C$10*'🎚️ Escenario'!$C$11)&gt;=36,$AL$23,INDEX($C$23:$AL$23,MAX(1,ROUNDUP(DE306/('🎚️ Escenario'!$C$10*'🎚️ Escenario'!$C$11),0)))))</f>
        <v>0</v>
      </c>
      <c r="DF307" s="237" t="n">
        <f aca="false" t="array" ref="DF307:DF307">IF(DF306=0,0,IF(DF306/('🎚️ Escenario'!$C$10*'🎚️ Escenario'!$C$11)&gt;=36,$AL$23,INDEX($C$23:$AL$23,MAX(1,ROUNDUP(DF306/('🎚️ Escenario'!$C$10*'🎚️ Escenario'!$C$11),0)))))</f>
        <v>0</v>
      </c>
      <c r="DG307" s="237" t="n">
        <f aca="false" t="array" ref="DG307:DG307">IF(DG306=0,0,IF(DG306/('🎚️ Escenario'!$C$10*'🎚️ Escenario'!$C$11)&gt;=36,$AL$23,INDEX($C$23:$AL$23,MAX(1,ROUNDUP(DG306/('🎚️ Escenario'!$C$10*'🎚️ Escenario'!$C$11),0)))))</f>
        <v>0</v>
      </c>
      <c r="DH307" s="237" t="n">
        <f aca="false" t="array" ref="DH307:DH307">IF(DH306=0,0,IF(DH306/('🎚️ Escenario'!$C$10*'🎚️ Escenario'!$C$11)&gt;=36,$AL$23,INDEX($C$23:$AL$23,MAX(1,ROUNDUP(DH306/('🎚️ Escenario'!$C$10*'🎚️ Escenario'!$C$11),0)))))</f>
        <v>0</v>
      </c>
      <c r="DI307" s="237" t="n">
        <f aca="false" t="array" ref="DI307:DI307">IF(DI306=0,0,IF(DI306/('🎚️ Escenario'!$C$10*'🎚️ Escenario'!$C$11)&gt;=36,$AL$23,INDEX($C$23:$AL$23,MAX(1,ROUNDUP(DI306/('🎚️ Escenario'!$C$10*'🎚️ Escenario'!$C$11),0)))))</f>
        <v>0</v>
      </c>
      <c r="DJ307" s="237" t="n">
        <f aca="false" t="array" ref="DJ307:DJ307">IF(DJ306=0,0,IF(DJ306/('🎚️ Escenario'!$C$10*'🎚️ Escenario'!$C$11)&gt;=36,$AL$23,INDEX($C$23:$AL$23,MAX(1,ROUNDUP(DJ306/('🎚️ Escenario'!$C$10*'🎚️ Escenario'!$C$11),0)))))</f>
        <v>0</v>
      </c>
      <c r="DK307" s="237" t="n">
        <f aca="false" t="array" ref="DK307:DK307">IF(DK306=0,0,IF(DK306/('🎚️ Escenario'!$C$10*'🎚️ Escenario'!$C$11)&gt;=36,$AL$23,INDEX($C$23:$AL$23,MAX(1,ROUNDUP(DK306/('🎚️ Escenario'!$C$10*'🎚️ Escenario'!$C$11),0)))))</f>
        <v>0</v>
      </c>
      <c r="DL307" s="237" t="n">
        <f aca="false" t="array" ref="DL307:DL307">IF(DL306=0,0,IF(DL306/('🎚️ Escenario'!$C$10*'🎚️ Escenario'!$C$11)&gt;=36,$AL$23,INDEX($C$23:$AL$23,MAX(1,ROUNDUP(DL306/('🎚️ Escenario'!$C$10*'🎚️ Escenario'!$C$11),0)))))</f>
        <v>0.2</v>
      </c>
      <c r="DM307" s="237" t="n">
        <f aca="false" t="array" ref="DM307:DM307">IF(DM306=0,0,IF(DM306/('🎚️ Escenario'!$C$10*'🎚️ Escenario'!$C$11)&gt;=36,$AL$23,INDEX($C$23:$AL$23,MAX(1,ROUNDUP(DM306/('🎚️ Escenario'!$C$10*'🎚️ Escenario'!$C$11),0)))))</f>
        <v>0.22</v>
      </c>
      <c r="DN307" s="237" t="n">
        <f aca="false" t="array" ref="DN307:DN307">IF(DN306=0,0,IF(DN306/('🎚️ Escenario'!$C$10*'🎚️ Escenario'!$C$11)&gt;=36,$AL$23,INDEX($C$23:$AL$23,MAX(1,ROUNDUP(DN306/('🎚️ Escenario'!$C$10*'🎚️ Escenario'!$C$11),0)))))</f>
        <v>0.22</v>
      </c>
      <c r="DO307" s="237" t="n">
        <f aca="false" t="array" ref="DO307:DO307">IF(DO306=0,0,IF(DO306/('🎚️ Escenario'!$C$10*'🎚️ Escenario'!$C$11)&gt;=36,$AL$23,INDEX($C$23:$AL$23,MAX(1,ROUNDUP(DO306/('🎚️ Escenario'!$C$10*'🎚️ Escenario'!$C$11),0)))))</f>
        <v>0.24</v>
      </c>
      <c r="DP307" s="237" t="n">
        <f aca="false" t="array" ref="DP307:DP307">IF(DP306=0,0,IF(DP306/('🎚️ Escenario'!$C$10*'🎚️ Escenario'!$C$11)&gt;=36,$AL$23,INDEX($C$23:$AL$23,MAX(1,ROUNDUP(DP306/('🎚️ Escenario'!$C$10*'🎚️ Escenario'!$C$11),0)))))</f>
        <v>0.24</v>
      </c>
      <c r="DQ307" s="237" t="n">
        <f aca="false" t="array" ref="DQ307:DQ307">IF(DQ306=0,0,IF(DQ306/('🎚️ Escenario'!$C$10*'🎚️ Escenario'!$C$11)&gt;=36,$AL$23,INDEX($C$23:$AL$23,MAX(1,ROUNDUP(DQ306/('🎚️ Escenario'!$C$10*'🎚️ Escenario'!$C$11),0)))))</f>
        <v>0.27</v>
      </c>
      <c r="DR307" s="237" t="n">
        <f aca="false" t="array" ref="DR307:DR307">IF(DR306=0,0,IF(DR306/('🎚️ Escenario'!$C$10*'🎚️ Escenario'!$C$11)&gt;=36,$AL$23,INDEX($C$23:$AL$23,MAX(1,ROUNDUP(DR306/('🎚️ Escenario'!$C$10*'🎚️ Escenario'!$C$11),0)))))</f>
        <v>0.27</v>
      </c>
      <c r="DS307" s="237" t="n">
        <f aca="false" t="array" ref="DS307:DS307">IF(DS306=0,0,IF(DS306/('🎚️ Escenario'!$C$10*'🎚️ Escenario'!$C$11)&gt;=36,$AL$23,INDEX($C$23:$AL$23,MAX(1,ROUNDUP(DS306/('🎚️ Escenario'!$C$10*'🎚️ Escenario'!$C$11),0)))))</f>
        <v>0.31</v>
      </c>
      <c r="DT307" s="237" t="n">
        <f aca="false" t="array" ref="DT307:DT307">IF(DT306=0,0,IF(DT306/('🎚️ Escenario'!$C$10*'🎚️ Escenario'!$C$11)&gt;=36,$AL$23,INDEX($C$23:$AL$23,MAX(1,ROUNDUP(DT306/('🎚️ Escenario'!$C$10*'🎚️ Escenario'!$C$11),0)))))</f>
        <v>0.31</v>
      </c>
      <c r="DU307" s="237" t="n">
        <f aca="false" t="array" ref="DU307:DU307">IF(DU306=0,0,IF(DU306/('🎚️ Escenario'!$C$10*'🎚️ Escenario'!$C$11)&gt;=36,$AL$23,INDEX($C$23:$AL$23,MAX(1,ROUNDUP(DU306/('🎚️ Escenario'!$C$10*'🎚️ Escenario'!$C$11),0)))))</f>
        <v>0.35</v>
      </c>
      <c r="DV307" s="237" t="n">
        <f aca="false" t="array" ref="DV307:DV307">IF(DV306=0,0,IF(DV306/('🎚️ Escenario'!$C$10*'🎚️ Escenario'!$C$11)&gt;=36,$AL$23,INDEX($C$23:$AL$23,MAX(1,ROUNDUP(DV306/('🎚️ Escenario'!$C$10*'🎚️ Escenario'!$C$11),0)))))</f>
        <v>0.35</v>
      </c>
      <c r="DW307" s="237" t="n">
        <f aca="false" t="array" ref="DW307:DW307">IF(DW306=0,0,IF(DW306/('🎚️ Escenario'!$C$10*'🎚️ Escenario'!$C$11)&gt;=36,$AL$23,INDEX($C$23:$AL$23,MAX(1,ROUNDUP(DW306/('🎚️ Escenario'!$C$10*'🎚️ Escenario'!$C$11),0)))))</f>
        <v>0.39</v>
      </c>
      <c r="DX307" s="237" t="n">
        <f aca="false" t="array" ref="DX307:DX307">IF(DX306=0,0,IF(DX306/('🎚️ Escenario'!$C$10*'🎚️ Escenario'!$C$11)&gt;=36,$AL$23,INDEX($C$23:$AL$23,MAX(1,ROUNDUP(DX306/('🎚️ Escenario'!$C$10*'🎚️ Escenario'!$C$11),0)))))</f>
        <v>0.39</v>
      </c>
      <c r="DY307" s="237" t="n">
        <f aca="false" t="array" ref="DY307:DY307">IF(DY306=0,0,IF(DY306/('🎚️ Escenario'!$C$10*'🎚️ Escenario'!$C$11)&gt;=36,$AL$23,INDEX($C$23:$AL$23,MAX(1,ROUNDUP(DY306/('🎚️ Escenario'!$C$10*'🎚️ Escenario'!$C$11),0)))))</f>
        <v>0.44</v>
      </c>
      <c r="DZ307" s="237" t="n">
        <f aca="false" t="array" ref="DZ307:DZ307">IF(DZ306=0,0,IF(DZ306/('🎚️ Escenario'!$C$10*'🎚️ Escenario'!$C$11)&gt;=36,$AL$23,INDEX($C$23:$AL$23,MAX(1,ROUNDUP(DZ306/('🎚️ Escenario'!$C$10*'🎚️ Escenario'!$C$11),0)))))</f>
        <v>0.44</v>
      </c>
      <c r="EA307" s="237" t="n">
        <f aca="false" t="array" ref="EA307:EA307">IF(EA306=0,0,IF(EA306/('🎚️ Escenario'!$C$10*'🎚️ Escenario'!$C$11)&gt;=36,$AL$23,INDEX($C$23:$AL$23,MAX(1,ROUNDUP(EA306/('🎚️ Escenario'!$C$10*'🎚️ Escenario'!$C$11),0)))))</f>
        <v>0.48</v>
      </c>
      <c r="EB307" s="237" t="n">
        <f aca="false" t="array" ref="EB307:EB307">IF(EB306=0,0,IF(EB306/('🎚️ Escenario'!$C$10*'🎚️ Escenario'!$C$11)&gt;=36,$AL$23,INDEX($C$23:$AL$23,MAX(1,ROUNDUP(EB306/('🎚️ Escenario'!$C$10*'🎚️ Escenario'!$C$11),0)))))</f>
        <v>0.52</v>
      </c>
      <c r="EC307" s="237" t="n">
        <f aca="false" t="array" ref="EC307:EC307">IF(EC306=0,0,IF(EC306/('🎚️ Escenario'!$C$10*'🎚️ Escenario'!$C$11)&gt;=36,$AL$23,INDEX($C$23:$AL$23,MAX(1,ROUNDUP(EC306/('🎚️ Escenario'!$C$10*'🎚️ Escenario'!$C$11),0)))))</f>
        <v>0.52</v>
      </c>
      <c r="ED307" s="237" t="n">
        <f aca="false" t="array" ref="ED307:ED307">IF(ED306=0,0,IF(ED306/('🎚️ Escenario'!$C$10*'🎚️ Escenario'!$C$11)&gt;=36,$AL$23,INDEX($C$23:$AL$23,MAX(1,ROUNDUP(ED306/('🎚️ Escenario'!$C$10*'🎚️ Escenario'!$C$11),0)))))</f>
        <v>0.56</v>
      </c>
      <c r="EE307" s="237" t="n">
        <f aca="false" t="array" ref="EE307:EE307">IF(EE306=0,0,IF(EE306/('🎚️ Escenario'!$C$10*'🎚️ Escenario'!$C$11)&gt;=36,$AL$23,INDEX($C$23:$AL$23,MAX(1,ROUNDUP(EE306/('🎚️ Escenario'!$C$10*'🎚️ Escenario'!$C$11),0)))))</f>
        <v>0.56</v>
      </c>
      <c r="EF307" s="237" t="n">
        <f aca="false" t="array" ref="EF307:EF307">IF(EF306=0,0,IF(EF306/('🎚️ Escenario'!$C$10*'🎚️ Escenario'!$C$11)&gt;=36,$AL$23,INDEX($C$23:$AL$23,MAX(1,ROUNDUP(EF306/('🎚️ Escenario'!$C$10*'🎚️ Escenario'!$C$11),0)))))</f>
        <v>0.6</v>
      </c>
      <c r="EG307" s="237" t="n">
        <f aca="false" t="array" ref="EG307:EG307">IF(EG306=0,0,IF(EG306/('🎚️ Escenario'!$C$10*'🎚️ Escenario'!$C$11)&gt;=36,$AL$23,INDEX($C$23:$AL$23,MAX(1,ROUNDUP(EG306/('🎚️ Escenario'!$C$10*'🎚️ Escenario'!$C$11),0)))))</f>
        <v>0.6</v>
      </c>
      <c r="EH307" s="237" t="n">
        <f aca="false" t="array" ref="EH307:EH307">IF(EH306=0,0,IF(EH306/('🎚️ Escenario'!$C$10*'🎚️ Escenario'!$C$11)&gt;=36,$AL$23,INDEX($C$23:$AL$23,MAX(1,ROUNDUP(EH306/('🎚️ Escenario'!$C$10*'🎚️ Escenario'!$C$11),0)))))</f>
        <v>0.63</v>
      </c>
      <c r="EI307" s="237" t="n">
        <f aca="false" t="array" ref="EI307:EI307">IF(EI306=0,0,IF(EI306/('🎚️ Escenario'!$C$10*'🎚️ Escenario'!$C$11)&gt;=36,$AL$23,INDEX($C$23:$AL$23,MAX(1,ROUNDUP(EI306/('🎚️ Escenario'!$C$10*'🎚️ Escenario'!$C$11),0)))))</f>
        <v>0.63</v>
      </c>
      <c r="EJ307" s="237" t="n">
        <f aca="false" t="array" ref="EJ307:EJ307">IF(EJ306=0,0,IF(EJ306/('🎚️ Escenario'!$C$10*'🎚️ Escenario'!$C$11)&gt;=36,$AL$23,INDEX($C$23:$AL$23,MAX(1,ROUNDUP(EJ306/('🎚️ Escenario'!$C$10*'🎚️ Escenario'!$C$11),0)))))</f>
        <v>0.66</v>
      </c>
      <c r="EK307" s="237" t="n">
        <f aca="false" t="array" ref="EK307:EK307">IF(EK306=0,0,IF(EK306/('🎚️ Escenario'!$C$10*'🎚️ Escenario'!$C$11)&gt;=36,$AL$23,INDEX($C$23:$AL$23,MAX(1,ROUNDUP(EK306/('🎚️ Escenario'!$C$10*'🎚️ Escenario'!$C$11),0)))))</f>
        <v>0.66</v>
      </c>
      <c r="EL307" s="237" t="n">
        <f aca="false" t="array" ref="EL307:EL307">IF(EL306=0,0,IF(EL306/('🎚️ Escenario'!$C$10*'🎚️ Escenario'!$C$11)&gt;=36,$AL$23,INDEX($C$23:$AL$23,MAX(1,ROUNDUP(EL306/('🎚️ Escenario'!$C$10*'🎚️ Escenario'!$C$11),0)))))</f>
        <v>0.69</v>
      </c>
      <c r="EM307" s="237" t="n">
        <f aca="false" t="array" ref="EM307:EM307">IF(EM306=0,0,IF(EM306/('🎚️ Escenario'!$C$10*'🎚️ Escenario'!$C$11)&gt;=36,$AL$23,INDEX($C$23:$AL$23,MAX(1,ROUNDUP(EM306/('🎚️ Escenario'!$C$10*'🎚️ Escenario'!$C$11),0)))))</f>
        <v>0.69</v>
      </c>
      <c r="EN307" s="237" t="n">
        <f aca="false" t="array" ref="EN307:EN307">IF(EN306=0,0,IF(EN306/('🎚️ Escenario'!$C$10*'🎚️ Escenario'!$C$11)&gt;=36,$AL$23,INDEX($C$23:$AL$23,MAX(1,ROUNDUP(EN306/('🎚️ Escenario'!$C$10*'🎚️ Escenario'!$C$11),0)))))</f>
        <v>0.71</v>
      </c>
      <c r="EO307" s="237" t="n">
        <f aca="false" t="array" ref="EO307:EO307">IF(EO306=0,0,IF(EO306/('🎚️ Escenario'!$C$10*'🎚️ Escenario'!$C$11)&gt;=36,$AL$23,INDEX($C$23:$AL$23,MAX(1,ROUNDUP(EO306/('🎚️ Escenario'!$C$10*'🎚️ Escenario'!$C$11),0)))))</f>
        <v>0.71</v>
      </c>
      <c r="EP307" s="237" t="n">
        <f aca="false" t="array" ref="EP307:EP307">IF(EP306=0,0,IF(EP306/('🎚️ Escenario'!$C$10*'🎚️ Escenario'!$C$11)&gt;=36,$AL$23,INDEX($C$23:$AL$23,MAX(1,ROUNDUP(EP306/('🎚️ Escenario'!$C$10*'🎚️ Escenario'!$C$11),0)))))</f>
        <v>0.73</v>
      </c>
      <c r="EQ307" s="237" t="n">
        <f aca="false" t="array" ref="EQ307:EQ307">IF(EQ306=0,0,IF(EQ306/('🎚️ Escenario'!$C$10*'🎚️ Escenario'!$C$11)&gt;=36,$AL$23,INDEX($C$23:$AL$23,MAX(1,ROUNDUP(EQ306/('🎚️ Escenario'!$C$10*'🎚️ Escenario'!$C$11),0)))))</f>
        <v>0.75</v>
      </c>
      <c r="ER307" s="237" t="n">
        <f aca="false" t="array" ref="ER307:ER307">IF(ER306=0,0,IF(ER306/('🎚️ Escenario'!$C$10*'🎚️ Escenario'!$C$11)&gt;=36,$AL$23,INDEX($C$23:$AL$23,MAX(1,ROUNDUP(ER306/('🎚️ Escenario'!$C$10*'🎚️ Escenario'!$C$11),0)))))</f>
        <v>0.75</v>
      </c>
      <c r="ES307" s="9" t="n">
        <f aca="false" t="array" ref="ES307:ES307">IF(ES306=0,0,IF(ES306/('🎚️ Escenario'!$C$10*'🎚️ Escenario'!$C$11)&gt;=36,$AL$23,INDEX($C$23:$AL$23,MAX(1,ROUNDUP(ES306/('🎚️ Escenario'!$C$10*'🎚️ Escenario'!$C$11),0)))))</f>
        <v>0.77</v>
      </c>
      <c r="ET307" s="9" t="n">
        <f aca="false" t="array" ref="ET307:ET307">IF(ET306=0,0,IF(ET306/('🎚️ Escenario'!$C$10*'🎚️ Escenario'!$C$11)&gt;=36,$AL$23,INDEX($C$23:$AL$23,MAX(1,ROUNDUP(ET306/('🎚️ Escenario'!$C$10*'🎚️ Escenario'!$C$11),0)))))</f>
        <v>0.77</v>
      </c>
      <c r="EU307" s="9" t="n">
        <f aca="false" t="array" ref="EU307:EU307">IF(EU306=0,0,IF(EU306/('🎚️ Escenario'!$C$10*'🎚️ Escenario'!$C$11)&gt;=36,$AL$23,INDEX($C$23:$AL$23,MAX(1,ROUNDUP(EU306/('🎚️ Escenario'!$C$10*'🎚️ Escenario'!$C$11),0)))))</f>
        <v>0.79</v>
      </c>
      <c r="EV307" s="9" t="n">
        <f aca="false" t="array" ref="EV307:EV307">IF(EV306=0,0,IF(EV306/('🎚️ Escenario'!$C$10*'🎚️ Escenario'!$C$11)&gt;=36,$AL$23,INDEX($C$23:$AL$23,MAX(1,ROUNDUP(EV306/('🎚️ Escenario'!$C$10*'🎚️ Escenario'!$C$11),0)))))</f>
        <v>0.79</v>
      </c>
      <c r="EW307" s="9" t="n">
        <f aca="false" t="array" ref="EW307:EW307">IF(EW306=0,0,IF(EW306/('🎚️ Escenario'!$C$10*'🎚️ Escenario'!$C$11)&gt;=36,$AL$23,INDEX($C$23:$AL$23,MAX(1,ROUNDUP(EW306/('🎚️ Escenario'!$C$10*'🎚️ Escenario'!$C$11),0)))))</f>
        <v>0.8</v>
      </c>
      <c r="EX307" s="9" t="n">
        <f aca="false" t="array" ref="EX307:EX307">IF(EX306=0,0,IF(EX306/('🎚️ Escenario'!$C$10*'🎚️ Escenario'!$C$11)&gt;=36,$AL$23,INDEX($C$23:$AL$23,MAX(1,ROUNDUP(EX306/('🎚️ Escenario'!$C$10*'🎚️ Escenario'!$C$11),0)))))</f>
        <v>0.8</v>
      </c>
      <c r="EY307" s="9" t="n">
        <f aca="false" t="array" ref="EY307:EY307">IF(EY306=0,0,IF(EY306/('🎚️ Escenario'!$C$10*'🎚️ Escenario'!$C$11)&gt;=36,$AL$23,INDEX($C$23:$AL$23,MAX(1,ROUNDUP(EY306/('🎚️ Escenario'!$C$10*'🎚️ Escenario'!$C$11),0)))))</f>
        <v>0.82</v>
      </c>
      <c r="EZ307" s="9" t="n">
        <f aca="false" t="array" ref="EZ307:EZ307">IF(EZ306=0,0,IF(EZ306/('🎚️ Escenario'!$C$10*'🎚️ Escenario'!$C$11)&gt;=36,$AL$23,INDEX($C$23:$AL$23,MAX(1,ROUNDUP(EZ306/('🎚️ Escenario'!$C$10*'🎚️ Escenario'!$C$11),0)))))</f>
        <v>0.82</v>
      </c>
      <c r="FA307" s="9" t="n">
        <f aca="false" t="array" ref="FA307:FA307">IF(FA306=0,0,IF(FA306/('🎚️ Escenario'!$C$10*'🎚️ Escenario'!$C$11)&gt;=36,$AL$23,INDEX($C$23:$AL$23,MAX(1,ROUNDUP(FA306/('🎚️ Escenario'!$C$10*'🎚️ Escenario'!$C$11),0)))))</f>
        <v>0.84</v>
      </c>
      <c r="FB307" s="9" t="n">
        <f aca="false" t="array" ref="FB307:FB307">IF(FB306=0,0,IF(FB306/('🎚️ Escenario'!$C$10*'🎚️ Escenario'!$C$11)&gt;=36,$AL$23,INDEX($C$23:$AL$23,MAX(1,ROUNDUP(FB306/('🎚️ Escenario'!$C$10*'🎚️ Escenario'!$C$11),0)))))</f>
        <v>0.84</v>
      </c>
      <c r="FC307" s="9" t="n">
        <f aca="false" t="array" ref="FC307:FC307">IF(FC306=0,0,IF(FC306/('🎚️ Escenario'!$C$10*'🎚️ Escenario'!$C$11)&gt;=36,$AL$23,INDEX($C$23:$AL$23,MAX(1,ROUNDUP(FC306/('🎚️ Escenario'!$C$10*'🎚️ Escenario'!$C$11),0)))))</f>
        <v>0.85</v>
      </c>
      <c r="FD307" s="9" t="n">
        <f aca="false" t="array" ref="FD307:FD307">IF(FD306=0,0,IF(FD306/('🎚️ Escenario'!$C$10*'🎚️ Escenario'!$C$11)&gt;=36,$AL$23,INDEX($C$23:$AL$23,MAX(1,ROUNDUP(FD306/('🎚️ Escenario'!$C$10*'🎚️ Escenario'!$C$11),0)))))</f>
        <v>0.85</v>
      </c>
      <c r="FE307" s="9" t="n">
        <f aca="false" t="array" ref="FE307:FE307">IF(FE306=0,0,IF(FE306/('🎚️ Escenario'!$C$10*'🎚️ Escenario'!$C$11)&gt;=36,$AL$23,INDEX($C$23:$AL$23,MAX(1,ROUNDUP(FE306/('🎚️ Escenario'!$C$10*'🎚️ Escenario'!$C$11),0)))))</f>
        <v>0.86</v>
      </c>
      <c r="FF307" s="9" t="n">
        <f aca="false" t="array" ref="FF307:FF307">IF(FF306=0,0,IF(FF306/('🎚️ Escenario'!$C$10*'🎚️ Escenario'!$C$11)&gt;=36,$AL$23,INDEX($C$23:$AL$23,MAX(1,ROUNDUP(FF306/('🎚️ Escenario'!$C$10*'🎚️ Escenario'!$C$11),0)))))</f>
        <v>0.88</v>
      </c>
      <c r="FG307" s="9" t="n">
        <f aca="false" t="array" ref="FG307:FG307">IF(FG306=0,0,IF(FG306/('🎚️ Escenario'!$C$10*'🎚️ Escenario'!$C$11)&gt;=36,$AL$23,INDEX($C$23:$AL$23,MAX(1,ROUNDUP(FG306/('🎚️ Escenario'!$C$10*'🎚️ Escenario'!$C$11),0)))))</f>
        <v>0.88</v>
      </c>
      <c r="FH307" s="9" t="n">
        <f aca="false" t="array" ref="FH307:FH307">IF(FH306=0,0,IF(FH306/('🎚️ Escenario'!$C$10*'🎚️ Escenario'!$C$11)&gt;=36,$AL$23,INDEX($C$23:$AL$23,MAX(1,ROUNDUP(FH306/('🎚️ Escenario'!$C$10*'🎚️ Escenario'!$C$11),0)))))</f>
        <v>0.89</v>
      </c>
      <c r="FI307" s="9" t="n">
        <f aca="false" t="array" ref="FI307:FI307">IF(FI306=0,0,IF(FI306/('🎚️ Escenario'!$C$10*'🎚️ Escenario'!$C$11)&gt;=36,$AL$23,INDEX($C$23:$AL$23,MAX(1,ROUNDUP(FI306/('🎚️ Escenario'!$C$10*'🎚️ Escenario'!$C$11),0)))))</f>
        <v>0.89</v>
      </c>
      <c r="FJ307" s="9" t="n">
        <f aca="false" t="array" ref="FJ307:FJ307">IF(FJ306=0,0,IF(FJ306/('🎚️ Escenario'!$C$10*'🎚️ Escenario'!$C$11)&gt;=36,$AL$23,INDEX($C$23:$AL$23,MAX(1,ROUNDUP(FJ306/('🎚️ Escenario'!$C$10*'🎚️ Escenario'!$C$11),0)))))</f>
        <v>0.9</v>
      </c>
      <c r="FK307" s="9" t="n">
        <f aca="false" t="array" ref="FK307:FK307">IF(FK306=0,0,IF(FK306/('🎚️ Escenario'!$C$10*'🎚️ Escenario'!$C$11)&gt;=36,$AL$23,INDEX($C$23:$AL$23,MAX(1,ROUNDUP(FK306/('🎚️ Escenario'!$C$10*'🎚️ Escenario'!$C$11),0)))))</f>
        <v>0.9</v>
      </c>
      <c r="FL307" s="9" t="n">
        <f aca="false" t="array" ref="FL307:FL307">IF(FL306=0,0,IF(FL306/('🎚️ Escenario'!$C$10*'🎚️ Escenario'!$C$11)&gt;=36,$AL$23,INDEX($C$23:$AL$23,MAX(1,ROUNDUP(FL306/('🎚️ Escenario'!$C$10*'🎚️ Escenario'!$C$11),0)))))</f>
        <v>0.92</v>
      </c>
      <c r="FM307" s="9" t="n">
        <f aca="false" t="array" ref="FM307:FM307">IF(FM306=0,0,IF(FM306/('🎚️ Escenario'!$C$10*'🎚️ Escenario'!$C$11)&gt;=36,$AL$23,INDEX($C$23:$AL$23,MAX(1,ROUNDUP(FM306/('🎚️ Escenario'!$C$10*'🎚️ Escenario'!$C$11),0)))))</f>
        <v>0.92</v>
      </c>
      <c r="FN307" s="9" t="n">
        <f aca="false" t="array" ref="FN307:FN307">IF(FN306=0,0,IF(FN306/('🎚️ Escenario'!$C$10*'🎚️ Escenario'!$C$11)&gt;=36,$AL$23,INDEX($C$23:$AL$23,MAX(1,ROUNDUP(FN306/('🎚️ Escenario'!$C$10*'🎚️ Escenario'!$C$11),0)))))</f>
        <v>0.93</v>
      </c>
      <c r="FO307" s="9" t="n">
        <f aca="false" t="array" ref="FO307:FO307">IF(FO306=0,0,IF(FO306/('🎚️ Escenario'!$C$10*'🎚️ Escenario'!$C$11)&gt;=36,$AL$23,INDEX($C$23:$AL$23,MAX(1,ROUNDUP(FO306/('🎚️ Escenario'!$C$10*'🎚️ Escenario'!$C$11),0)))))</f>
        <v>0.93</v>
      </c>
      <c r="FP307" s="9" t="n">
        <f aca="false" t="array" ref="FP307:FP307">IF(FP306=0,0,IF(FP306/('🎚️ Escenario'!$C$10*'🎚️ Escenario'!$C$11)&gt;=36,$AL$23,INDEX($C$23:$AL$23,MAX(1,ROUNDUP(FP306/('🎚️ Escenario'!$C$10*'🎚️ Escenario'!$C$11),0)))))</f>
        <v>0.94</v>
      </c>
    </row>
    <row r="308" customFormat="false" ht="15" hidden="false" customHeight="false" outlineLevel="2" collapsed="false">
      <c r="B308" s="47" t="s">
        <v>875</v>
      </c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237" t="n">
        <f aca="false">IF(AC306=0,0,IF(AC306&lt;=12*'🎚️ Escenario'!$C$11,1,1+$C$6))</f>
        <v>0</v>
      </c>
      <c r="AD308" s="237" t="n">
        <f aca="false">IF(AD306=0,0,IF(AD306&lt;=12*'🎚️ Escenario'!$C$11,1,1+$C$6))</f>
        <v>0</v>
      </c>
      <c r="AE308" s="237" t="n">
        <f aca="false">IF(AE306=0,0,IF(AE306&lt;=12*'🎚️ Escenario'!$C$11,1,1+$C$6))</f>
        <v>0</v>
      </c>
      <c r="AF308" s="237" t="n">
        <f aca="false">IF(AF306=0,0,IF(AF306&lt;=12*'🎚️ Escenario'!$C$11,1,1+$C$6))</f>
        <v>0</v>
      </c>
      <c r="AG308" s="237" t="n">
        <f aca="false">IF(AG306=0,0,IF(AG306&lt;=12*'🎚️ Escenario'!$C$11,1,1+$C$6))</f>
        <v>0</v>
      </c>
      <c r="AH308" s="237" t="n">
        <f aca="false">IF(AH306=0,0,IF(AH306&lt;=12*'🎚️ Escenario'!$C$11,1,1+$C$6))</f>
        <v>0</v>
      </c>
      <c r="AI308" s="237" t="n">
        <f aca="false">IF(AI306=0,0,IF(AI306&lt;=12*'🎚️ Escenario'!$C$11,1,1+$C$6))</f>
        <v>0</v>
      </c>
      <c r="AJ308" s="237" t="n">
        <f aca="false">IF(AJ306=0,0,IF(AJ306&lt;=12*'🎚️ Escenario'!$C$11,1,1+$C$6))</f>
        <v>0</v>
      </c>
      <c r="AK308" s="237" t="n">
        <f aca="false">IF(AK306=0,0,IF(AK306&lt;=12*'🎚️ Escenario'!$C$11,1,1+$C$6))</f>
        <v>0</v>
      </c>
      <c r="AL308" s="237" t="n">
        <f aca="false">IF(AL306=0,0,IF(AL306&lt;=12*'🎚️ Escenario'!$C$11,1,1+$C$6))</f>
        <v>0</v>
      </c>
      <c r="AM308" s="237" t="n">
        <f aca="false">IF(AM306=0,0,IF(AM306&lt;=12*'🎚️ Escenario'!$C$11,1,1+$C$6))</f>
        <v>0</v>
      </c>
      <c r="AN308" s="237" t="n">
        <f aca="false">IF(AN306=0,0,IF(AN306&lt;=12*'🎚️ Escenario'!$C$11,1,1+$C$6))</f>
        <v>0</v>
      </c>
      <c r="AO308" s="237" t="n">
        <f aca="false">IF(AO306=0,0,IF(AO306&lt;=12*'🎚️ Escenario'!$C$11,1,1+$C$6))</f>
        <v>0</v>
      </c>
      <c r="AP308" s="237" t="n">
        <f aca="false">IF(AP306=0,0,IF(AP306&lt;=12*'🎚️ Escenario'!$C$11,1,1+$C$6))</f>
        <v>0</v>
      </c>
      <c r="AQ308" s="237" t="n">
        <f aca="false">IF(AQ306=0,0,IF(AQ306&lt;=12*'🎚️ Escenario'!$C$11,1,1+$C$6))</f>
        <v>0</v>
      </c>
      <c r="AR308" s="237" t="n">
        <f aca="false">IF(AR306=0,0,IF(AR306&lt;=12*'🎚️ Escenario'!$C$11,1,1+$C$6))</f>
        <v>0</v>
      </c>
      <c r="AS308" s="237" t="n">
        <f aca="false">IF(AS306=0,0,IF(AS306&lt;=12*'🎚️ Escenario'!$C$11,1,1+$C$6))</f>
        <v>0</v>
      </c>
      <c r="AT308" s="237" t="n">
        <f aca="false">IF(AT306=0,0,IF(AT306&lt;=12*'🎚️ Escenario'!$C$11,1,1+$C$6))</f>
        <v>0</v>
      </c>
      <c r="AU308" s="237" t="n">
        <f aca="false">IF(AU306=0,0,IF(AU306&lt;=12*'🎚️ Escenario'!$C$11,1,1+$C$6))</f>
        <v>0</v>
      </c>
      <c r="AV308" s="237" t="n">
        <f aca="false">IF(AV306=0,0,IF(AV306&lt;=12*'🎚️ Escenario'!$C$11,1,1+$C$6))</f>
        <v>0</v>
      </c>
      <c r="AW308" s="237" t="n">
        <f aca="false">IF(AW306=0,0,IF(AW306&lt;=12*'🎚️ Escenario'!$C$11,1,1+$C$6))</f>
        <v>0</v>
      </c>
      <c r="AX308" s="237" t="n">
        <f aca="false">IF(AX306=0,0,IF(AX306&lt;=12*'🎚️ Escenario'!$C$11,1,1+$C$6))</f>
        <v>0</v>
      </c>
      <c r="AY308" s="237" t="n">
        <f aca="false">IF(AY306=0,0,IF(AY306&lt;=12*'🎚️ Escenario'!$C$11,1,1+$C$6))</f>
        <v>0</v>
      </c>
      <c r="AZ308" s="237" t="n">
        <f aca="false">IF(AZ306=0,0,IF(AZ306&lt;=12*'🎚️ Escenario'!$C$11,1,1+$C$6))</f>
        <v>0</v>
      </c>
      <c r="BA308" s="237" t="n">
        <f aca="false">IF(BA306=0,0,IF(BA306&lt;=12*'🎚️ Escenario'!$C$11,1,1+$C$6))</f>
        <v>0</v>
      </c>
      <c r="BB308" s="237" t="n">
        <f aca="false">IF(BB306=0,0,IF(BB306&lt;=12*'🎚️ Escenario'!$C$11,1,1+$C$6))</f>
        <v>0</v>
      </c>
      <c r="BC308" s="237" t="n">
        <f aca="false">IF(BC306=0,0,IF(BC306&lt;=12*'🎚️ Escenario'!$C$11,1,1+$C$6))</f>
        <v>0</v>
      </c>
      <c r="BD308" s="237" t="n">
        <f aca="false">IF(BD306=0,0,IF(BD306&lt;=12*'🎚️ Escenario'!$C$11,1,1+$C$6))</f>
        <v>0</v>
      </c>
      <c r="BE308" s="237" t="n">
        <f aca="false">IF(BE306=0,0,IF(BE306&lt;=12*'🎚️ Escenario'!$C$11,1,1+$C$6))</f>
        <v>0</v>
      </c>
      <c r="BF308" s="237" t="n">
        <f aca="false">IF(BF306=0,0,IF(BF306&lt;=12*'🎚️ Escenario'!$C$11,1,1+$C$6))</f>
        <v>0</v>
      </c>
      <c r="BG308" s="237" t="n">
        <f aca="false">IF(BG306=0,0,IF(BG306&lt;=12*'🎚️ Escenario'!$C$11,1,1+$C$6))</f>
        <v>0</v>
      </c>
      <c r="BH308" s="237" t="n">
        <f aca="false">IF(BH306=0,0,IF(BH306&lt;=12*'🎚️ Escenario'!$C$11,1,1+$C$6))</f>
        <v>0</v>
      </c>
      <c r="BI308" s="237" t="n">
        <f aca="false">IF(BI306=0,0,IF(BI306&lt;=12*'🎚️ Escenario'!$C$11,1,1+$C$6))</f>
        <v>0</v>
      </c>
      <c r="BJ308" s="237" t="n">
        <f aca="false">IF(BJ306=0,0,IF(BJ306&lt;=12*'🎚️ Escenario'!$C$11,1,1+$C$6))</f>
        <v>0</v>
      </c>
      <c r="BK308" s="237" t="n">
        <f aca="false">IF(BK306=0,0,IF(BK306&lt;=12*'🎚️ Escenario'!$C$11,1,1+$C$6))</f>
        <v>0</v>
      </c>
      <c r="BL308" s="237" t="n">
        <f aca="false">IF(BL306=0,0,IF(BL306&lt;=12*'🎚️ Escenario'!$C$11,1,1+$C$6))</f>
        <v>0</v>
      </c>
      <c r="BM308" s="237" t="n">
        <f aca="false">IF(BM306=0,0,IF(BM306&lt;=12*'🎚️ Escenario'!$C$11,1,1+$C$6))</f>
        <v>0</v>
      </c>
      <c r="BN308" s="237" t="n">
        <f aca="false">IF(BN306=0,0,IF(BN306&lt;=12*'🎚️ Escenario'!$C$11,1,1+$C$6))</f>
        <v>0</v>
      </c>
      <c r="BO308" s="237" t="n">
        <f aca="false">IF(BO306=0,0,IF(BO306&lt;=12*'🎚️ Escenario'!$C$11,1,1+$C$6))</f>
        <v>0</v>
      </c>
      <c r="BP308" s="237" t="n">
        <f aca="false">IF(BP306=0,0,IF(BP306&lt;=12*'🎚️ Escenario'!$C$11,1,1+$C$6))</f>
        <v>0</v>
      </c>
      <c r="BQ308" s="237" t="n">
        <f aca="false">IF(BQ306=0,0,IF(BQ306&lt;=12*'🎚️ Escenario'!$C$11,1,1+$C$6))</f>
        <v>0</v>
      </c>
      <c r="BR308" s="237" t="n">
        <f aca="false">IF(BR306=0,0,IF(BR306&lt;=12*'🎚️ Escenario'!$C$11,1,1+$C$6))</f>
        <v>0</v>
      </c>
      <c r="BS308" s="237" t="n">
        <f aca="false">IF(BS306=0,0,IF(BS306&lt;=12*'🎚️ Escenario'!$C$11,1,1+$C$6))</f>
        <v>0</v>
      </c>
      <c r="BT308" s="237" t="n">
        <f aca="false">IF(BT306=0,0,IF(BT306&lt;=12*'🎚️ Escenario'!$C$11,1,1+$C$6))</f>
        <v>0</v>
      </c>
      <c r="BU308" s="237" t="n">
        <f aca="false">IF(BU306=0,0,IF(BU306&lt;=12*'🎚️ Escenario'!$C$11,1,1+$C$6))</f>
        <v>0</v>
      </c>
      <c r="BV308" s="237" t="n">
        <f aca="false">IF(BV306=0,0,IF(BV306&lt;=12*'🎚️ Escenario'!$C$11,1,1+$C$6))</f>
        <v>0</v>
      </c>
      <c r="BW308" s="237" t="n">
        <f aca="false">IF(BW306=0,0,IF(BW306&lt;=12*'🎚️ Escenario'!$C$11,1,1+$C$6))</f>
        <v>0</v>
      </c>
      <c r="BX308" s="237" t="n">
        <f aca="false">IF(BX306=0,0,IF(BX306&lt;=12*'🎚️ Escenario'!$C$11,1,1+$C$6))</f>
        <v>0</v>
      </c>
      <c r="BY308" s="237" t="n">
        <f aca="false">IF(BY306=0,0,IF(BY306&lt;=12*'🎚️ Escenario'!$C$11,1,1+$C$6))</f>
        <v>0</v>
      </c>
      <c r="BZ308" s="237" t="n">
        <f aca="false">IF(BZ306=0,0,IF(BZ306&lt;=12*'🎚️ Escenario'!$C$11,1,1+$C$6))</f>
        <v>0</v>
      </c>
      <c r="CA308" s="237" t="n">
        <f aca="false">IF(CA306=0,0,IF(CA306&lt;=12*'🎚️ Escenario'!$C$11,1,1+$C$6))</f>
        <v>0</v>
      </c>
      <c r="CB308" s="237" t="n">
        <f aca="false">IF(CB306=0,0,IF(CB306&lt;=12*'🎚️ Escenario'!$C$11,1,1+$C$6))</f>
        <v>0</v>
      </c>
      <c r="CC308" s="237" t="n">
        <f aca="false">IF(CC306=0,0,IF(CC306&lt;=12*'🎚️ Escenario'!$C$11,1,1+$C$6))</f>
        <v>0</v>
      </c>
      <c r="CD308" s="237" t="n">
        <f aca="false">IF(CD306=0,0,IF(CD306&lt;=12*'🎚️ Escenario'!$C$11,1,1+$C$6))</f>
        <v>0</v>
      </c>
      <c r="CE308" s="237" t="n">
        <f aca="false">IF(CE306=0,0,IF(CE306&lt;=12*'🎚️ Escenario'!$C$11,1,1+$C$6))</f>
        <v>0</v>
      </c>
      <c r="CF308" s="237" t="n">
        <f aca="false">IF(CF306=0,0,IF(CF306&lt;=12*'🎚️ Escenario'!$C$11,1,1+$C$6))</f>
        <v>0</v>
      </c>
      <c r="CG308" s="237" t="n">
        <f aca="false">IF(CG306=0,0,IF(CG306&lt;=12*'🎚️ Escenario'!$C$11,1,1+$C$6))</f>
        <v>0</v>
      </c>
      <c r="CH308" s="237" t="n">
        <f aca="false">IF(CH306=0,0,IF(CH306&lt;=12*'🎚️ Escenario'!$C$11,1,1+$C$6))</f>
        <v>0</v>
      </c>
      <c r="CI308" s="237" t="n">
        <f aca="false">IF(CI306=0,0,IF(CI306&lt;=12*'🎚️ Escenario'!$C$11,1,1+$C$6))</f>
        <v>0</v>
      </c>
      <c r="CJ308" s="237" t="n">
        <f aca="false">IF(CJ306=0,0,IF(CJ306&lt;=12*'🎚️ Escenario'!$C$11,1,1+$C$6))</f>
        <v>0</v>
      </c>
      <c r="CK308" s="237" t="n">
        <f aca="false">IF(CK306=0,0,IF(CK306&lt;=12*'🎚️ Escenario'!$C$11,1,1+$C$6))</f>
        <v>0</v>
      </c>
      <c r="CL308" s="237" t="n">
        <f aca="false">IF(CL306=0,0,IF(CL306&lt;=12*'🎚️ Escenario'!$C$11,1,1+$C$6))</f>
        <v>0</v>
      </c>
      <c r="CM308" s="237" t="n">
        <f aca="false">IF(CM306=0,0,IF(CM306&lt;=12*'🎚️ Escenario'!$C$11,1,1+$C$6))</f>
        <v>0</v>
      </c>
      <c r="CN308" s="237" t="n">
        <f aca="false">IF(CN306=0,0,IF(CN306&lt;=12*'🎚️ Escenario'!$C$11,1,1+$C$6))</f>
        <v>0</v>
      </c>
      <c r="CO308" s="237" t="n">
        <f aca="false">IF(CO306=0,0,IF(CO306&lt;=12*'🎚️ Escenario'!$C$11,1,1+$C$6))</f>
        <v>0</v>
      </c>
      <c r="CP308" s="237" t="n">
        <f aca="false">IF(CP306=0,0,IF(CP306&lt;=12*'🎚️ Escenario'!$C$11,1,1+$C$6))</f>
        <v>0</v>
      </c>
      <c r="CQ308" s="237" t="n">
        <f aca="false">IF(CQ306=0,0,IF(CQ306&lt;=12*'🎚️ Escenario'!$C$11,1,1+$C$6))</f>
        <v>0</v>
      </c>
      <c r="CR308" s="237" t="n">
        <f aca="false">IF(CR306=0,0,IF(CR306&lt;=12*'🎚️ Escenario'!$C$11,1,1+$C$6))</f>
        <v>0</v>
      </c>
      <c r="CS308" s="237" t="n">
        <f aca="false">IF(CS306=0,0,IF(CS306&lt;=12*'🎚️ Escenario'!$C$11,1,1+$C$6))</f>
        <v>0</v>
      </c>
      <c r="CT308" s="237" t="n">
        <f aca="false">IF(CT306=0,0,IF(CT306&lt;=12*'🎚️ Escenario'!$C$11,1,1+$C$6))</f>
        <v>0</v>
      </c>
      <c r="CU308" s="237" t="n">
        <f aca="false">IF(CU306=0,0,IF(CU306&lt;=12*'🎚️ Escenario'!$C$11,1,1+$C$6))</f>
        <v>0</v>
      </c>
      <c r="CV308" s="237" t="n">
        <f aca="false">IF(CV306=0,0,IF(CV306&lt;=12*'🎚️ Escenario'!$C$11,1,1+$C$6))</f>
        <v>0</v>
      </c>
      <c r="CW308" s="237" t="n">
        <f aca="false">IF(CW306=0,0,IF(CW306&lt;=12*'🎚️ Escenario'!$C$11,1,1+$C$6))</f>
        <v>0</v>
      </c>
      <c r="CX308" s="237" t="n">
        <f aca="false">IF(CX306=0,0,IF(CX306&lt;=12*'🎚️ Escenario'!$C$11,1,1+$C$6))</f>
        <v>0</v>
      </c>
      <c r="CY308" s="237" t="n">
        <f aca="false">IF(CY306=0,0,IF(CY306&lt;=12*'🎚️ Escenario'!$C$11,1,1+$C$6))</f>
        <v>0</v>
      </c>
      <c r="CZ308" s="237" t="n">
        <f aca="false">IF(CZ306=0,0,IF(CZ306&lt;=12*'🎚️ Escenario'!$C$11,1,1+$C$6))</f>
        <v>0</v>
      </c>
      <c r="DA308" s="237" t="n">
        <f aca="false">IF(DA306=0,0,IF(DA306&lt;=12*'🎚️ Escenario'!$C$11,1,1+$C$6))</f>
        <v>0</v>
      </c>
      <c r="DB308" s="237" t="n">
        <f aca="false">IF(DB306=0,0,IF(DB306&lt;=12*'🎚️ Escenario'!$C$11,1,1+$C$6))</f>
        <v>0</v>
      </c>
      <c r="DC308" s="237" t="n">
        <f aca="false">IF(DC306=0,0,IF(DC306&lt;=12*'🎚️ Escenario'!$C$11,1,1+$C$6))</f>
        <v>0</v>
      </c>
      <c r="DD308" s="237" t="n">
        <f aca="false">IF(DD306=0,0,IF(DD306&lt;=12*'🎚️ Escenario'!$C$11,1,1+$C$6))</f>
        <v>0</v>
      </c>
      <c r="DE308" s="237" t="n">
        <f aca="false">IF(DE306=0,0,IF(DE306&lt;=12*'🎚️ Escenario'!$C$11,1,1+$C$6))</f>
        <v>0</v>
      </c>
      <c r="DF308" s="237" t="n">
        <f aca="false">IF(DF306=0,0,IF(DF306&lt;=12*'🎚️ Escenario'!$C$11,1,1+$C$6))</f>
        <v>0</v>
      </c>
      <c r="DG308" s="237" t="n">
        <f aca="false">IF(DG306=0,0,IF(DG306&lt;=12*'🎚️ Escenario'!$C$11,1,1+$C$6))</f>
        <v>0</v>
      </c>
      <c r="DH308" s="237" t="n">
        <f aca="false">IF(DH306=0,0,IF(DH306&lt;=12*'🎚️ Escenario'!$C$11,1,1+$C$6))</f>
        <v>0</v>
      </c>
      <c r="DI308" s="237" t="n">
        <f aca="false">IF(DI306=0,0,IF(DI306&lt;=12*'🎚️ Escenario'!$C$11,1,1+$C$6))</f>
        <v>0</v>
      </c>
      <c r="DJ308" s="237" t="n">
        <f aca="false">IF(DJ306=0,0,IF(DJ306&lt;=12*'🎚️ Escenario'!$C$11,1,1+$C$6))</f>
        <v>0</v>
      </c>
      <c r="DK308" s="237" t="n">
        <f aca="false">IF(DK306=0,0,IF(DK306&lt;=12*'🎚️ Escenario'!$C$11,1,1+$C$6))</f>
        <v>0</v>
      </c>
      <c r="DL308" s="237" t="n">
        <f aca="false">IF(DL306=0,0,IF(DL306&lt;=12*'🎚️ Escenario'!$C$11,1,1+$C$6))</f>
        <v>1</v>
      </c>
      <c r="DM308" s="237" t="n">
        <f aca="false">IF(DM306=0,0,IF(DM306&lt;=12*'🎚️ Escenario'!$C$11,1,1+$C$6))</f>
        <v>1</v>
      </c>
      <c r="DN308" s="237" t="n">
        <f aca="false">IF(DN306=0,0,IF(DN306&lt;=12*'🎚️ Escenario'!$C$11,1,1+$C$6))</f>
        <v>1</v>
      </c>
      <c r="DO308" s="237" t="n">
        <f aca="false">IF(DO306=0,0,IF(DO306&lt;=12*'🎚️ Escenario'!$C$11,1,1+$C$6))</f>
        <v>1</v>
      </c>
      <c r="DP308" s="237" t="n">
        <f aca="false">IF(DP306=0,0,IF(DP306&lt;=12*'🎚️ Escenario'!$C$11,1,1+$C$6))</f>
        <v>1</v>
      </c>
      <c r="DQ308" s="237" t="n">
        <f aca="false">IF(DQ306=0,0,IF(DQ306&lt;=12*'🎚️ Escenario'!$C$11,1,1+$C$6))</f>
        <v>1</v>
      </c>
      <c r="DR308" s="237" t="n">
        <f aca="false">IF(DR306=0,0,IF(DR306&lt;=12*'🎚️ Escenario'!$C$11,1,1+$C$6))</f>
        <v>1</v>
      </c>
      <c r="DS308" s="237" t="n">
        <f aca="false">IF(DS306=0,0,IF(DS306&lt;=12*'🎚️ Escenario'!$C$11,1,1+$C$6))</f>
        <v>1</v>
      </c>
      <c r="DT308" s="237" t="n">
        <f aca="false">IF(DT306=0,0,IF(DT306&lt;=12*'🎚️ Escenario'!$C$11,1,1+$C$6))</f>
        <v>1</v>
      </c>
      <c r="DU308" s="237" t="n">
        <f aca="false">IF(DU306=0,0,IF(DU306&lt;=12*'🎚️ Escenario'!$C$11,1,1+$C$6))</f>
        <v>1</v>
      </c>
      <c r="DV308" s="237" t="n">
        <f aca="false">IF(DV306=0,0,IF(DV306&lt;=12*'🎚️ Escenario'!$C$11,1,1+$C$6))</f>
        <v>1</v>
      </c>
      <c r="DW308" s="237" t="n">
        <f aca="false">IF(DW306=0,0,IF(DW306&lt;=12*'🎚️ Escenario'!$C$11,1,1+$C$6))</f>
        <v>1</v>
      </c>
      <c r="DX308" s="237" t="n">
        <f aca="false">IF(DX306=0,0,IF(DX306&lt;=12*'🎚️ Escenario'!$C$11,1,1+$C$6))</f>
        <v>1</v>
      </c>
      <c r="DY308" s="237" t="n">
        <f aca="false">IF(DY306=0,0,IF(DY306&lt;=12*'🎚️ Escenario'!$C$11,1,1+$C$6))</f>
        <v>1</v>
      </c>
      <c r="DZ308" s="237" t="n">
        <f aca="false">IF(DZ306=0,0,IF(DZ306&lt;=12*'🎚️ Escenario'!$C$11,1,1+$C$6))</f>
        <v>1</v>
      </c>
      <c r="EA308" s="237" t="n">
        <f aca="false">IF(EA306=0,0,IF(EA306&lt;=12*'🎚️ Escenario'!$C$11,1,1+$C$6))</f>
        <v>1.2</v>
      </c>
      <c r="EB308" s="237" t="n">
        <f aca="false">IF(EB306=0,0,IF(EB306&lt;=12*'🎚️ Escenario'!$C$11,1,1+$C$6))</f>
        <v>1.2</v>
      </c>
      <c r="EC308" s="237" t="n">
        <f aca="false">IF(EC306=0,0,IF(EC306&lt;=12*'🎚️ Escenario'!$C$11,1,1+$C$6))</f>
        <v>1.2</v>
      </c>
      <c r="ED308" s="237" t="n">
        <f aca="false">IF(ED306=0,0,IF(ED306&lt;=12*'🎚️ Escenario'!$C$11,1,1+$C$6))</f>
        <v>1.2</v>
      </c>
      <c r="EE308" s="237" t="n">
        <f aca="false">IF(EE306=0,0,IF(EE306&lt;=12*'🎚️ Escenario'!$C$11,1,1+$C$6))</f>
        <v>1.2</v>
      </c>
      <c r="EF308" s="237" t="n">
        <f aca="false">IF(EF306=0,0,IF(EF306&lt;=12*'🎚️ Escenario'!$C$11,1,1+$C$6))</f>
        <v>1.2</v>
      </c>
      <c r="EG308" s="237" t="n">
        <f aca="false">IF(EG306=0,0,IF(EG306&lt;=12*'🎚️ Escenario'!$C$11,1,1+$C$6))</f>
        <v>1.2</v>
      </c>
      <c r="EH308" s="237" t="n">
        <f aca="false">IF(EH306=0,0,IF(EH306&lt;=12*'🎚️ Escenario'!$C$11,1,1+$C$6))</f>
        <v>1.2</v>
      </c>
      <c r="EI308" s="237" t="n">
        <f aca="false">IF(EI306=0,0,IF(EI306&lt;=12*'🎚️ Escenario'!$C$11,1,1+$C$6))</f>
        <v>1.2</v>
      </c>
      <c r="EJ308" s="237" t="n">
        <f aca="false">IF(EJ306=0,0,IF(EJ306&lt;=12*'🎚️ Escenario'!$C$11,1,1+$C$6))</f>
        <v>1.2</v>
      </c>
      <c r="EK308" s="237" t="n">
        <f aca="false">IF(EK306=0,0,IF(EK306&lt;=12*'🎚️ Escenario'!$C$11,1,1+$C$6))</f>
        <v>1.2</v>
      </c>
      <c r="EL308" s="237" t="n">
        <f aca="false">IF(EL306=0,0,IF(EL306&lt;=12*'🎚️ Escenario'!$C$11,1,1+$C$6))</f>
        <v>1.2</v>
      </c>
      <c r="EM308" s="237" t="n">
        <f aca="false">IF(EM306=0,0,IF(EM306&lt;=12*'🎚️ Escenario'!$C$11,1,1+$C$6))</f>
        <v>1.2</v>
      </c>
      <c r="EN308" s="237" t="n">
        <f aca="false">IF(EN306=0,0,IF(EN306&lt;=12*'🎚️ Escenario'!$C$11,1,1+$C$6))</f>
        <v>1.2</v>
      </c>
      <c r="EO308" s="237" t="n">
        <f aca="false">IF(EO306=0,0,IF(EO306&lt;=12*'🎚️ Escenario'!$C$11,1,1+$C$6))</f>
        <v>1.2</v>
      </c>
      <c r="EP308" s="237" t="n">
        <f aca="false">IF(EP306=0,0,IF(EP306&lt;=12*'🎚️ Escenario'!$C$11,1,1+$C$6))</f>
        <v>1.2</v>
      </c>
      <c r="EQ308" s="237" t="n">
        <f aca="false">IF(EQ306=0,0,IF(EQ306&lt;=12*'🎚️ Escenario'!$C$11,1,1+$C$6))</f>
        <v>1.2</v>
      </c>
      <c r="ER308" s="237" t="n">
        <f aca="false">IF(ER306=0,0,IF(ER306&lt;=12*'🎚️ Escenario'!$C$11,1,1+$C$6))</f>
        <v>1.2</v>
      </c>
      <c r="ES308" s="238" t="n">
        <f aca="false">IF(ES306=0,0,IF(ES306&lt;=12*'🎚️ Escenario'!$C$11,1,1+$C$6))</f>
        <v>1.2</v>
      </c>
      <c r="ET308" s="238" t="n">
        <f aca="false">IF(ET306=0,0,IF(ET306&lt;=12*'🎚️ Escenario'!$C$11,1,1+$C$6))</f>
        <v>1.2</v>
      </c>
      <c r="EU308" s="238" t="n">
        <f aca="false">IF(EU306=0,0,IF(EU306&lt;=12*'🎚️ Escenario'!$C$11,1,1+$C$6))</f>
        <v>1.2</v>
      </c>
      <c r="EV308" s="238" t="n">
        <f aca="false">IF(EV306=0,0,IF(EV306&lt;=12*'🎚️ Escenario'!$C$11,1,1+$C$6))</f>
        <v>1.2</v>
      </c>
      <c r="EW308" s="238" t="n">
        <f aca="false">IF(EW306=0,0,IF(EW306&lt;=12*'🎚️ Escenario'!$C$11,1,1+$C$6))</f>
        <v>1.2</v>
      </c>
      <c r="EX308" s="238" t="n">
        <f aca="false">IF(EX306=0,0,IF(EX306&lt;=12*'🎚️ Escenario'!$C$11,1,1+$C$6))</f>
        <v>1.2</v>
      </c>
      <c r="EY308" s="238" t="n">
        <f aca="false">IF(EY306=0,0,IF(EY306&lt;=12*'🎚️ Escenario'!$C$11,1,1+$C$6))</f>
        <v>1.2</v>
      </c>
      <c r="EZ308" s="238" t="n">
        <f aca="false">IF(EZ306=0,0,IF(EZ306&lt;=12*'🎚️ Escenario'!$C$11,1,1+$C$6))</f>
        <v>1.2</v>
      </c>
      <c r="FA308" s="238" t="n">
        <f aca="false">IF(FA306=0,0,IF(FA306&lt;=12*'🎚️ Escenario'!$C$11,1,1+$C$6))</f>
        <v>1.2</v>
      </c>
      <c r="FB308" s="238" t="n">
        <f aca="false">IF(FB306=0,0,IF(FB306&lt;=12*'🎚️ Escenario'!$C$11,1,1+$C$6))</f>
        <v>1.2</v>
      </c>
      <c r="FC308" s="238" t="n">
        <f aca="false">IF(FC306=0,0,IF(FC306&lt;=12*'🎚️ Escenario'!$C$11,1,1+$C$6))</f>
        <v>1.2</v>
      </c>
      <c r="FD308" s="238" t="n">
        <f aca="false">IF(FD306=0,0,IF(FD306&lt;=12*'🎚️ Escenario'!$C$11,1,1+$C$6))</f>
        <v>1.2</v>
      </c>
      <c r="FE308" s="238" t="n">
        <f aca="false">IF(FE306=0,0,IF(FE306&lt;=12*'🎚️ Escenario'!$C$11,1,1+$C$6))</f>
        <v>1.2</v>
      </c>
      <c r="FF308" s="238" t="n">
        <f aca="false">IF(FF306=0,0,IF(FF306&lt;=12*'🎚️ Escenario'!$C$11,1,1+$C$6))</f>
        <v>1.2</v>
      </c>
      <c r="FG308" s="238" t="n">
        <f aca="false">IF(FG306=0,0,IF(FG306&lt;=12*'🎚️ Escenario'!$C$11,1,1+$C$6))</f>
        <v>1.2</v>
      </c>
      <c r="FH308" s="238" t="n">
        <f aca="false">IF(FH306=0,0,IF(FH306&lt;=12*'🎚️ Escenario'!$C$11,1,1+$C$6))</f>
        <v>1.2</v>
      </c>
      <c r="FI308" s="238" t="n">
        <f aca="false">IF(FI306=0,0,IF(FI306&lt;=12*'🎚️ Escenario'!$C$11,1,1+$C$6))</f>
        <v>1.2</v>
      </c>
      <c r="FJ308" s="238" t="n">
        <f aca="false">IF(FJ306=0,0,IF(FJ306&lt;=12*'🎚️ Escenario'!$C$11,1,1+$C$6))</f>
        <v>1.2</v>
      </c>
      <c r="FK308" s="238" t="n">
        <f aca="false">IF(FK306=0,0,IF(FK306&lt;=12*'🎚️ Escenario'!$C$11,1,1+$C$6))</f>
        <v>1.2</v>
      </c>
      <c r="FL308" s="238" t="n">
        <f aca="false">IF(FL306=0,0,IF(FL306&lt;=12*'🎚️ Escenario'!$C$11,1,1+$C$6))</f>
        <v>1.2</v>
      </c>
      <c r="FM308" s="238" t="n">
        <f aca="false">IF(FM306=0,0,IF(FM306&lt;=12*'🎚️ Escenario'!$C$11,1,1+$C$6))</f>
        <v>1.2</v>
      </c>
      <c r="FN308" s="238" t="n">
        <f aca="false">IF(FN306=0,0,IF(FN306&lt;=12*'🎚️ Escenario'!$C$11,1,1+$C$6))</f>
        <v>1.2</v>
      </c>
      <c r="FO308" s="238" t="n">
        <f aca="false">IF(FO306=0,0,IF(FO306&lt;=12*'🎚️ Escenario'!$C$11,1,1+$C$6))</f>
        <v>1.2</v>
      </c>
      <c r="FP308" s="238" t="n">
        <f aca="false">IF(FP306=0,0,IF(FP306&lt;=12*'🎚️ Escenario'!$C$11,1,1+$C$6))</f>
        <v>1.2</v>
      </c>
    </row>
    <row r="309" customFormat="false" ht="15" hidden="false" customHeight="false" outlineLevel="2" collapsed="false">
      <c r="B309" s="47" t="s">
        <v>876</v>
      </c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237" t="n">
        <f aca="false">AC307*$AC$305*AC308*AC$38*'⑫ Roll-out Plan'!$O$35</f>
        <v>0</v>
      </c>
      <c r="AD309" s="237" t="n">
        <f aca="false">AD307*$AC$305*AD308*AD$38*'⑫ Roll-out Plan'!$O$35</f>
        <v>0</v>
      </c>
      <c r="AE309" s="237" t="n">
        <f aca="false">AE307*$AC$305*AE308*AE$38*'⑫ Roll-out Plan'!$O$35</f>
        <v>0</v>
      </c>
      <c r="AF309" s="237" t="n">
        <f aca="false">AF307*$AC$305*AF308*AF$38*'⑫ Roll-out Plan'!$O$35</f>
        <v>0</v>
      </c>
      <c r="AG309" s="237" t="n">
        <f aca="false">AG307*$AC$305*AG308*AG$38*'⑫ Roll-out Plan'!$O$35</f>
        <v>0</v>
      </c>
      <c r="AH309" s="237" t="n">
        <f aca="false">AH307*$AC$305*AH308*AH$38*'⑫ Roll-out Plan'!$O$35</f>
        <v>0</v>
      </c>
      <c r="AI309" s="237" t="n">
        <f aca="false">AI307*$AC$305*AI308*AI$38*'⑫ Roll-out Plan'!$O$35</f>
        <v>0</v>
      </c>
      <c r="AJ309" s="237" t="n">
        <f aca="false">AJ307*$AC$305*AJ308*AJ$38*'⑫ Roll-out Plan'!$O$35</f>
        <v>0</v>
      </c>
      <c r="AK309" s="237" t="n">
        <f aca="false">AK307*$AC$305*AK308*AK$38*'⑫ Roll-out Plan'!$O$35</f>
        <v>0</v>
      </c>
      <c r="AL309" s="237" t="n">
        <f aca="false">AL307*$AC$305*AL308*AL$38*'⑫ Roll-out Plan'!$O$35</f>
        <v>0</v>
      </c>
      <c r="AM309" s="237" t="n">
        <f aca="false">AM307*$AC$305*AM308*AM$38*'⑫ Roll-out Plan'!$O$35</f>
        <v>0</v>
      </c>
      <c r="AN309" s="237" t="n">
        <f aca="false">AN307*$AC$305*AN308*AN$38*'⑫ Roll-out Plan'!$O$35</f>
        <v>0</v>
      </c>
      <c r="AO309" s="237" t="n">
        <f aca="false">AO307*$AC$305*AO308*AO$38*'⑫ Roll-out Plan'!$O$35</f>
        <v>0</v>
      </c>
      <c r="AP309" s="237" t="n">
        <f aca="false">AP307*$AC$305*AP308*AP$38*'⑫ Roll-out Plan'!$O$35</f>
        <v>0</v>
      </c>
      <c r="AQ309" s="237" t="n">
        <f aca="false">AQ307*$AC$305*AQ308*AQ$38*'⑫ Roll-out Plan'!$O$35</f>
        <v>0</v>
      </c>
      <c r="AR309" s="237" t="n">
        <f aca="false">AR307*$AC$305*AR308*AR$38*'⑫ Roll-out Plan'!$O$35</f>
        <v>0</v>
      </c>
      <c r="AS309" s="237" t="n">
        <f aca="false">AS307*$AC$305*AS308*AS$38*'⑫ Roll-out Plan'!$O$35</f>
        <v>0</v>
      </c>
      <c r="AT309" s="237" t="n">
        <f aca="false">AT307*$AC$305*AT308*AT$38*'⑫ Roll-out Plan'!$O$35</f>
        <v>0</v>
      </c>
      <c r="AU309" s="237" t="n">
        <f aca="false">AU307*$AC$305*AU308*AU$38*'⑫ Roll-out Plan'!$O$35</f>
        <v>0</v>
      </c>
      <c r="AV309" s="237" t="n">
        <f aca="false">AV307*$AC$305*AV308*AV$38*'⑫ Roll-out Plan'!$O$35</f>
        <v>0</v>
      </c>
      <c r="AW309" s="237" t="n">
        <f aca="false">AW307*$AC$305*AW308*AW$38*'⑫ Roll-out Plan'!$O$35</f>
        <v>0</v>
      </c>
      <c r="AX309" s="237" t="n">
        <f aca="false">AX307*$AC$305*AX308*AX$38*'⑫ Roll-out Plan'!$O$35</f>
        <v>0</v>
      </c>
      <c r="AY309" s="237" t="n">
        <f aca="false">AY307*$AC$305*AY308*AY$38*'⑫ Roll-out Plan'!$O$35</f>
        <v>0</v>
      </c>
      <c r="AZ309" s="237" t="n">
        <f aca="false">AZ307*$AC$305*AZ308*AZ$38*'⑫ Roll-out Plan'!$O$35</f>
        <v>0</v>
      </c>
      <c r="BA309" s="237" t="n">
        <f aca="false">BA307*$AC$305*BA308*BA$38*'⑫ Roll-out Plan'!$O$35</f>
        <v>0</v>
      </c>
      <c r="BB309" s="237" t="n">
        <f aca="false">BB307*$AC$305*BB308*BB$38*'⑫ Roll-out Plan'!$O$35</f>
        <v>0</v>
      </c>
      <c r="BC309" s="237" t="n">
        <f aca="false">BC307*$AC$305*BC308*BC$38*'⑫ Roll-out Plan'!$O$35</f>
        <v>0</v>
      </c>
      <c r="BD309" s="237" t="n">
        <f aca="false">BD307*$AC$305*BD308*BD$38*'⑫ Roll-out Plan'!$O$35</f>
        <v>0</v>
      </c>
      <c r="BE309" s="237" t="n">
        <f aca="false">BE307*$AC$305*BE308*BE$38*'⑫ Roll-out Plan'!$O$35</f>
        <v>0</v>
      </c>
      <c r="BF309" s="237" t="n">
        <f aca="false">BF307*$AC$305*BF308*BF$38*'⑫ Roll-out Plan'!$O$35</f>
        <v>0</v>
      </c>
      <c r="BG309" s="237" t="n">
        <f aca="false">BG307*$AC$305*BG308*BG$38*'⑫ Roll-out Plan'!$O$35</f>
        <v>0</v>
      </c>
      <c r="BH309" s="237" t="n">
        <f aca="false">BH307*$AC$305*BH308*BH$38*'⑫ Roll-out Plan'!$O$35</f>
        <v>0</v>
      </c>
      <c r="BI309" s="237" t="n">
        <f aca="false">BI307*$AC$305*BI308*BI$38*'⑫ Roll-out Plan'!$O$35</f>
        <v>0</v>
      </c>
      <c r="BJ309" s="237" t="n">
        <f aca="false">BJ307*$AC$305*BJ308*BJ$38*'⑫ Roll-out Plan'!$O$35</f>
        <v>0</v>
      </c>
      <c r="BK309" s="237" t="n">
        <f aca="false">BK307*$AC$305*BK308*BK$38*'⑫ Roll-out Plan'!$O$35</f>
        <v>0</v>
      </c>
      <c r="BL309" s="237" t="n">
        <f aca="false">BL307*$AC$305*BL308*BL$38*'⑫ Roll-out Plan'!$O$35</f>
        <v>0</v>
      </c>
      <c r="BM309" s="237" t="n">
        <f aca="false">BM307*$AC$305*BM308*BM$38*'⑫ Roll-out Plan'!$O$35</f>
        <v>0</v>
      </c>
      <c r="BN309" s="237" t="n">
        <f aca="false">BN307*$AC$305*BN308*BN$38*'⑫ Roll-out Plan'!$O$35</f>
        <v>0</v>
      </c>
      <c r="BO309" s="237" t="n">
        <f aca="false">BO307*$AC$305*BO308*BO$38*'⑫ Roll-out Plan'!$O$35</f>
        <v>0</v>
      </c>
      <c r="BP309" s="237" t="n">
        <f aca="false">BP307*$AC$305*BP308*BP$38*'⑫ Roll-out Plan'!$O$35</f>
        <v>0</v>
      </c>
      <c r="BQ309" s="237" t="n">
        <f aca="false">BQ307*$AC$305*BQ308*BQ$38*'⑫ Roll-out Plan'!$O$35</f>
        <v>0</v>
      </c>
      <c r="BR309" s="237" t="n">
        <f aca="false">BR307*$AC$305*BR308*BR$38*'⑫ Roll-out Plan'!$O$35</f>
        <v>0</v>
      </c>
      <c r="BS309" s="237" t="n">
        <f aca="false">BS307*$AC$305*BS308*BS$38*'⑫ Roll-out Plan'!$O$35</f>
        <v>0</v>
      </c>
      <c r="BT309" s="237" t="n">
        <f aca="false">BT307*$AC$305*BT308*BT$38*'⑫ Roll-out Plan'!$O$35</f>
        <v>0</v>
      </c>
      <c r="BU309" s="237" t="n">
        <f aca="false">BU307*$AC$305*BU308*BU$38*'⑫ Roll-out Plan'!$O$35</f>
        <v>0</v>
      </c>
      <c r="BV309" s="237" t="n">
        <f aca="false">BV307*$AC$305*BV308*BV$38*'⑫ Roll-out Plan'!$O$35</f>
        <v>0</v>
      </c>
      <c r="BW309" s="237" t="n">
        <f aca="false">BW307*$AC$305*BW308*BW$38*'⑫ Roll-out Plan'!$O$35</f>
        <v>0</v>
      </c>
      <c r="BX309" s="237" t="n">
        <f aca="false">BX307*$AC$305*BX308*BX$38*'⑫ Roll-out Plan'!$O$35</f>
        <v>0</v>
      </c>
      <c r="BY309" s="237" t="n">
        <f aca="false">BY307*$AC$305*BY308*BY$38*'⑫ Roll-out Plan'!$O$35</f>
        <v>0</v>
      </c>
      <c r="BZ309" s="237" t="n">
        <f aca="false">BZ307*$AC$305*BZ308*BZ$38*'⑫ Roll-out Plan'!$O$35</f>
        <v>0</v>
      </c>
      <c r="CA309" s="237" t="n">
        <f aca="false">CA307*$AC$305*CA308*CA$38*'⑫ Roll-out Plan'!$O$35</f>
        <v>0</v>
      </c>
      <c r="CB309" s="237" t="n">
        <f aca="false">CB307*$AC$305*CB308*CB$38*'⑫ Roll-out Plan'!$O$35</f>
        <v>0</v>
      </c>
      <c r="CC309" s="237" t="n">
        <f aca="false">CC307*$AC$305*CC308*CC$38*'⑫ Roll-out Plan'!$O$35</f>
        <v>0</v>
      </c>
      <c r="CD309" s="237" t="n">
        <f aca="false">CD307*$AC$305*CD308*CD$38*'⑫ Roll-out Plan'!$O$35</f>
        <v>0</v>
      </c>
      <c r="CE309" s="237" t="n">
        <f aca="false">CE307*$AC$305*CE308*CE$38*'⑫ Roll-out Plan'!$O$35</f>
        <v>0</v>
      </c>
      <c r="CF309" s="237" t="n">
        <f aca="false">CF307*$AC$305*CF308*CF$38*'⑫ Roll-out Plan'!$O$35</f>
        <v>0</v>
      </c>
      <c r="CG309" s="237" t="n">
        <f aca="false">CG307*$AC$305*CG308*CG$38*'⑫ Roll-out Plan'!$O$35</f>
        <v>0</v>
      </c>
      <c r="CH309" s="237" t="n">
        <f aca="false">CH307*$AC$305*CH308*CH$38*'⑫ Roll-out Plan'!$O$35</f>
        <v>0</v>
      </c>
      <c r="CI309" s="237" t="n">
        <f aca="false">CI307*$AC$305*CI308*CI$38*'⑫ Roll-out Plan'!$O$35</f>
        <v>0</v>
      </c>
      <c r="CJ309" s="237" t="n">
        <f aca="false">CJ307*$AC$305*CJ308*CJ$38*'⑫ Roll-out Plan'!$O$35</f>
        <v>0</v>
      </c>
      <c r="CK309" s="237" t="n">
        <f aca="false">CK307*$AC$305*CK308*CK$38*'⑫ Roll-out Plan'!$O$35</f>
        <v>0</v>
      </c>
      <c r="CL309" s="237" t="n">
        <f aca="false">CL307*$AC$305*CL308*CL$38*'⑫ Roll-out Plan'!$O$35</f>
        <v>0</v>
      </c>
      <c r="CM309" s="237" t="n">
        <f aca="false">CM307*$AC$305*CM308*CM$38*'⑫ Roll-out Plan'!$O$35</f>
        <v>0</v>
      </c>
      <c r="CN309" s="237" t="n">
        <f aca="false">CN307*$AC$305*CN308*CN$38*'⑫ Roll-out Plan'!$O$35</f>
        <v>0</v>
      </c>
      <c r="CO309" s="237" t="n">
        <f aca="false">CO307*$AC$305*CO308*CO$38*'⑫ Roll-out Plan'!$O$35</f>
        <v>0</v>
      </c>
      <c r="CP309" s="237" t="n">
        <f aca="false">CP307*$AC$305*CP308*CP$38*'⑫ Roll-out Plan'!$O$35</f>
        <v>0</v>
      </c>
      <c r="CQ309" s="237" t="n">
        <f aca="false">CQ307*$AC$305*CQ308*CQ$38*'⑫ Roll-out Plan'!$O$35</f>
        <v>0</v>
      </c>
      <c r="CR309" s="237" t="n">
        <f aca="false">CR307*$AC$305*CR308*CR$38*'⑫ Roll-out Plan'!$O$35</f>
        <v>0</v>
      </c>
      <c r="CS309" s="237" t="n">
        <f aca="false">CS307*$AC$305*CS308*CS$38*'⑫ Roll-out Plan'!$O$35</f>
        <v>0</v>
      </c>
      <c r="CT309" s="237" t="n">
        <f aca="false">CT307*$AC$305*CT308*CT$38*'⑫ Roll-out Plan'!$O$35</f>
        <v>0</v>
      </c>
      <c r="CU309" s="237" t="n">
        <f aca="false">CU307*$AC$305*CU308*CU$38*'⑫ Roll-out Plan'!$O$35</f>
        <v>0</v>
      </c>
      <c r="CV309" s="237" t="n">
        <f aca="false">CV307*$AC$305*CV308*CV$38*'⑫ Roll-out Plan'!$O$35</f>
        <v>0</v>
      </c>
      <c r="CW309" s="237" t="n">
        <f aca="false">CW307*$AC$305*CW308*CW$38*'⑫ Roll-out Plan'!$O$35</f>
        <v>0</v>
      </c>
      <c r="CX309" s="237" t="n">
        <f aca="false">CX307*$AC$305*CX308*CX$38*'⑫ Roll-out Plan'!$O$35</f>
        <v>0</v>
      </c>
      <c r="CY309" s="237" t="n">
        <f aca="false">CY307*$AC$305*CY308*CY$38*'⑫ Roll-out Plan'!$O$35</f>
        <v>0</v>
      </c>
      <c r="CZ309" s="237" t="n">
        <f aca="false">CZ307*$AC$305*CZ308*CZ$38*'⑫ Roll-out Plan'!$O$35</f>
        <v>0</v>
      </c>
      <c r="DA309" s="237" t="n">
        <f aca="false">DA307*$AC$305*DA308*DA$38*'⑫ Roll-out Plan'!$O$35</f>
        <v>0</v>
      </c>
      <c r="DB309" s="237" t="n">
        <f aca="false">DB307*$AC$305*DB308*DB$38*'⑫ Roll-out Plan'!$O$35</f>
        <v>0</v>
      </c>
      <c r="DC309" s="237" t="n">
        <f aca="false">DC307*$AC$305*DC308*DC$38*'⑫ Roll-out Plan'!$O$35</f>
        <v>0</v>
      </c>
      <c r="DD309" s="237" t="n">
        <f aca="false">DD307*$AC$305*DD308*DD$38*'⑫ Roll-out Plan'!$O$35</f>
        <v>0</v>
      </c>
      <c r="DE309" s="237" t="n">
        <f aca="false">DE307*$AC$305*DE308*DE$38*'⑫ Roll-out Plan'!$O$35</f>
        <v>0</v>
      </c>
      <c r="DF309" s="237" t="n">
        <f aca="false">DF307*$AC$305*DF308*DF$38*'⑫ Roll-out Plan'!$O$35</f>
        <v>0</v>
      </c>
      <c r="DG309" s="237" t="n">
        <f aca="false">DG307*$AC$305*DG308*DG$38*'⑫ Roll-out Plan'!$O$35</f>
        <v>0</v>
      </c>
      <c r="DH309" s="237" t="n">
        <f aca="false">DH307*$AC$305*DH308*DH$38*'⑫ Roll-out Plan'!$O$35</f>
        <v>0</v>
      </c>
      <c r="DI309" s="237" t="n">
        <f aca="false">DI307*$AC$305*DI308*DI$38*'⑫ Roll-out Plan'!$O$35</f>
        <v>0</v>
      </c>
      <c r="DJ309" s="237" t="n">
        <f aca="false">DJ307*$AC$305*DJ308*DJ$38*'⑫ Roll-out Plan'!$O$35</f>
        <v>0</v>
      </c>
      <c r="DK309" s="237" t="n">
        <f aca="false">DK307*$AC$305*DK308*DK$38*'⑫ Roll-out Plan'!$O$35</f>
        <v>0</v>
      </c>
      <c r="DL309" s="237" t="n">
        <f aca="false">DL307*$AC$305*DL308*DL$38*'⑫ Roll-out Plan'!$O$35</f>
        <v>46.2</v>
      </c>
      <c r="DM309" s="237" t="n">
        <f aca="false">DM307*$AC$305*DM308*DM$38*'⑫ Roll-out Plan'!$O$35</f>
        <v>42.504</v>
      </c>
      <c r="DN309" s="237" t="n">
        <f aca="false">DN307*$AC$305*DN308*DN$38*'⑫ Roll-out Plan'!$O$35</f>
        <v>36.96</v>
      </c>
      <c r="DO309" s="237" t="n">
        <f aca="false">DO307*$AC$305*DO308*DO$38*'⑫ Roll-out Plan'!$O$35</f>
        <v>42.336</v>
      </c>
      <c r="DP309" s="237" t="n">
        <f aca="false">DP307*$AC$305*DP308*DP$38*'⑫ Roll-out Plan'!$O$35</f>
        <v>71.568</v>
      </c>
      <c r="DQ309" s="237" t="n">
        <f aca="false">DQ307*$AC$305*DQ308*DQ$38*'⑫ Roll-out Plan'!$O$35</f>
        <v>65.772</v>
      </c>
      <c r="DR309" s="237" t="n">
        <f aca="false">DR307*$AC$305*DR308*DR$38*'⑫ Roll-out Plan'!$O$35</f>
        <v>54.432</v>
      </c>
      <c r="DS309" s="237" t="n">
        <f aca="false">DS307*$AC$305*DS308*DS$38*'⑫ Roll-out Plan'!$O$35</f>
        <v>46.872</v>
      </c>
      <c r="DT309" s="237" t="n">
        <f aca="false">DT307*$AC$305*DT308*DT$38*'⑫ Roll-out Plan'!$O$35</f>
        <v>66.402</v>
      </c>
      <c r="DU309" s="237" t="n">
        <f aca="false">DU307*$AC$305*DU308*DU$38*'⑫ Roll-out Plan'!$O$35</f>
        <v>79.38</v>
      </c>
      <c r="DV309" s="237" t="n">
        <f aca="false">DV307*$AC$305*DV308*DV$38*'⑫ Roll-out Plan'!$O$35</f>
        <v>60.27</v>
      </c>
      <c r="DW309" s="237" t="n">
        <f aca="false">DW307*$AC$305*DW308*DW$38*'⑫ Roll-out Plan'!$O$35</f>
        <v>95.004</v>
      </c>
      <c r="DX309" s="237" t="n">
        <f aca="false">DX307*$AC$305*DX308*DX$38*'⑫ Roll-out Plan'!$O$35</f>
        <v>90.09</v>
      </c>
      <c r="DY309" s="237" t="n">
        <f aca="false">DY307*$AC$305*DY308*DY$38*'⑫ Roll-out Plan'!$O$35</f>
        <v>85.008</v>
      </c>
      <c r="DZ309" s="237" t="n">
        <f aca="false">DZ307*$AC$305*DZ308*DZ$38*'⑫ Roll-out Plan'!$O$35</f>
        <v>73.92</v>
      </c>
      <c r="EA309" s="237" t="n">
        <f aca="false">EA307*$AC$305*EA308*EA$38*'⑫ Roll-out Plan'!$O$35</f>
        <v>101.6064</v>
      </c>
      <c r="EB309" s="237" t="n">
        <f aca="false">EB307*$AC$305*EB308*EB$38*'⑫ Roll-out Plan'!$O$35</f>
        <v>186.0768</v>
      </c>
      <c r="EC309" s="237" t="n">
        <f aca="false">EC307*$AC$305*EC308*EC$38*'⑫ Roll-out Plan'!$O$35</f>
        <v>152.0064</v>
      </c>
      <c r="ED309" s="237" t="n">
        <f aca="false">ED307*$AC$305*ED308*ED$38*'⑫ Roll-out Plan'!$O$35</f>
        <v>135.4752</v>
      </c>
      <c r="EE309" s="237" t="n">
        <f aca="false">EE307*$AC$305*EE308*EE$38*'⑫ Roll-out Plan'!$O$35</f>
        <v>101.6064</v>
      </c>
      <c r="EF309" s="237" t="n">
        <f aca="false">EF307*$AC$305*EF308*EF$38*'⑫ Roll-out Plan'!$O$35</f>
        <v>154.224</v>
      </c>
      <c r="EG309" s="237" t="n">
        <f aca="false">EG307*$AC$305*EG308*EG$38*'⑫ Roll-out Plan'!$O$35</f>
        <v>163.296</v>
      </c>
      <c r="EH309" s="237" t="n">
        <f aca="false">EH307*$AC$305*EH308*EH$38*'⑫ Roll-out Plan'!$O$35</f>
        <v>130.1832</v>
      </c>
      <c r="EI309" s="237" t="n">
        <f aca="false">EI307*$AC$305*EI308*EI$38*'⑫ Roll-out Plan'!$O$35</f>
        <v>184.1616</v>
      </c>
      <c r="EJ309" s="237" t="n">
        <f aca="false">EJ307*$AC$305*EJ308*EJ$38*'⑫ Roll-out Plan'!$O$35</f>
        <v>182.952</v>
      </c>
      <c r="EK309" s="237" t="n">
        <f aca="false">EK307*$AC$305*EK308*EK$38*'⑫ Roll-out Plan'!$O$35</f>
        <v>153.0144</v>
      </c>
      <c r="EL309" s="237" t="n">
        <f aca="false">EL307*$AC$305*EL308*EL$38*'⑫ Roll-out Plan'!$O$35</f>
        <v>139.104</v>
      </c>
      <c r="EM309" s="237" t="n">
        <f aca="false">EM307*$AC$305*EM308*EM$38*'⑫ Roll-out Plan'!$O$35</f>
        <v>146.0592</v>
      </c>
      <c r="EN309" s="237" t="n">
        <f aca="false">EN307*$AC$305*EN308*EN$38*'⑫ Roll-out Plan'!$O$35</f>
        <v>254.0664</v>
      </c>
      <c r="EO309" s="237" t="n">
        <f aca="false">EO307*$AC$305*EO308*EO$38*'⑫ Roll-out Plan'!$O$35</f>
        <v>207.5472</v>
      </c>
      <c r="EP309" s="237" t="n">
        <f aca="false">EP307*$AC$305*EP308*EP$38*'⑫ Roll-out Plan'!$O$35</f>
        <v>176.6016</v>
      </c>
      <c r="EQ309" s="237" t="n">
        <f aca="false">EQ307*$AC$305*EQ308*EQ$38*'⑫ Roll-out Plan'!$O$35</f>
        <v>136.08</v>
      </c>
      <c r="ER309" s="237" t="n">
        <f aca="false">ER307*$AC$305*ER308*ER$38*'⑫ Roll-out Plan'!$O$35</f>
        <v>192.78</v>
      </c>
      <c r="ES309" s="9" t="n">
        <f aca="false">ES307*$AC$305*ES308*ES$38*'⑫ Roll-out Plan'!$O$35</f>
        <v>209.5632</v>
      </c>
      <c r="ET309" s="9" t="n">
        <f aca="false">ET307*$AC$305*ET308*ET$38*'⑫ Roll-out Plan'!$O$35</f>
        <v>159.1128</v>
      </c>
      <c r="EU309" s="9" t="n">
        <f aca="false">EU307*$AC$305*EU308*EU$38*'⑫ Roll-out Plan'!$O$35</f>
        <v>230.9328</v>
      </c>
      <c r="EV309" s="9" t="n">
        <f aca="false">EV307*$AC$305*EV308*EV$38*'⑫ Roll-out Plan'!$O$35</f>
        <v>218.988</v>
      </c>
      <c r="EW309" s="9" t="n">
        <f aca="false">EW307*$AC$305*EW308*EW$38*'⑫ Roll-out Plan'!$O$35</f>
        <v>185.472</v>
      </c>
      <c r="EX309" s="9" t="n">
        <f aca="false">EX307*$AC$305*EX308*EX$38*'⑫ Roll-out Plan'!$O$35</f>
        <v>161.28</v>
      </c>
      <c r="EY309" s="9" t="n">
        <f aca="false">EY307*$AC$305*EY308*EY$38*'⑫ Roll-out Plan'!$O$35</f>
        <v>173.5776</v>
      </c>
      <c r="EZ309" s="9" t="n">
        <f aca="false">EZ307*$AC$305*EZ308*EZ$38*'⑫ Roll-out Plan'!$O$35</f>
        <v>293.4288</v>
      </c>
      <c r="FA309" s="9" t="n">
        <f aca="false">FA307*$AC$305*FA308*FA$38*'⑫ Roll-out Plan'!$O$35</f>
        <v>245.5488</v>
      </c>
      <c r="FB309" s="9" t="n">
        <f aca="false">FB307*$AC$305*FB308*FB$38*'⑫ Roll-out Plan'!$O$35</f>
        <v>203.2128</v>
      </c>
      <c r="FC309" s="9" t="n">
        <f aca="false">FC307*$AC$305*FC308*FC$38*'⑫ Roll-out Plan'!$O$35</f>
        <v>154.224</v>
      </c>
      <c r="FD309" s="9" t="n">
        <f aca="false">FD307*$AC$305*FD308*FD$38*'⑫ Roll-out Plan'!$O$35</f>
        <v>218.484</v>
      </c>
      <c r="FE309" s="9" t="n">
        <f aca="false">FE307*$AC$305*FE308*FE$38*'⑫ Roll-out Plan'!$O$35</f>
        <v>234.0576</v>
      </c>
      <c r="FF309" s="9" t="n">
        <f aca="false">FF307*$AC$305*FF308*FF$38*'⑫ Roll-out Plan'!$O$35</f>
        <v>181.8432</v>
      </c>
      <c r="FG309" s="9" t="n">
        <f aca="false">FG307*$AC$305*FG308*FG$38*'⑫ Roll-out Plan'!$O$35</f>
        <v>257.2416</v>
      </c>
      <c r="FH309" s="9" t="n">
        <f aca="false">FH307*$AC$305*FH308*FH$38*'⑫ Roll-out Plan'!$O$35</f>
        <v>246.708</v>
      </c>
      <c r="FI309" s="9" t="n">
        <f aca="false">FI307*$AC$305*FI308*FI$38*'⑫ Roll-out Plan'!$O$35</f>
        <v>206.3376</v>
      </c>
      <c r="FJ309" s="9" t="n">
        <f aca="false">FJ307*$AC$305*FJ308*FJ$38*'⑫ Roll-out Plan'!$O$35</f>
        <v>181.44</v>
      </c>
      <c r="FK309" s="9" t="n">
        <f aca="false">FK307*$AC$305*FK308*FK$38*'⑫ Roll-out Plan'!$O$35</f>
        <v>190.512</v>
      </c>
      <c r="FL309" s="9" t="n">
        <f aca="false">FL307*$AC$305*FL308*FL$38*'⑫ Roll-out Plan'!$O$35</f>
        <v>329.2128</v>
      </c>
      <c r="FM309" s="9" t="n">
        <f aca="false">FM307*$AC$305*FM308*FM$38*'⑫ Roll-out Plan'!$O$35</f>
        <v>268.9344</v>
      </c>
      <c r="FN309" s="9" t="n">
        <f aca="false">FN307*$AC$305*FN308*FN$38*'⑫ Roll-out Plan'!$O$35</f>
        <v>224.9856</v>
      </c>
      <c r="FO309" s="9" t="n">
        <f aca="false">FO307*$AC$305*FO308*FO$38*'⑫ Roll-out Plan'!$O$35</f>
        <v>168.7392</v>
      </c>
      <c r="FP309" s="9" t="n">
        <f aca="false">FP307*$AC$305*FP308*FP$38*'⑫ Roll-out Plan'!$O$35</f>
        <v>241.6176</v>
      </c>
    </row>
    <row r="310" customFormat="false" ht="15" hidden="false" customHeight="false" outlineLevel="2" collapsed="false">
      <c r="B310" s="47" t="s">
        <v>877</v>
      </c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237" t="n">
        <f aca="true">IFERROR(SUMPRODUCT(OFFSET($BJ$31,0,1-MIN(60,COLUMN()-29),1,MIN(60,COLUMN()-29)),OFFSET(AC309,0,-MIN(60,COLUMN()-29),1,MIN(60,COLUMN()-29))),0)</f>
        <v>0</v>
      </c>
      <c r="AD310" s="237" t="n">
        <f aca="true">IFERROR(SUMPRODUCT(OFFSET($BJ$31,0,1-MIN(60,COLUMN()-29),1,MIN(60,COLUMN()-29)),OFFSET(AD309,0,-MIN(60,COLUMN()-29),1,MIN(60,COLUMN()-29))),0)</f>
        <v>0</v>
      </c>
      <c r="AE310" s="237" t="n">
        <f aca="true">IFERROR(SUMPRODUCT(OFFSET($BJ$31,0,1-MIN(60,COLUMN()-29),1,MIN(60,COLUMN()-29)),OFFSET(AE309,0,-MIN(60,COLUMN()-29),1,MIN(60,COLUMN()-29))),0)</f>
        <v>0</v>
      </c>
      <c r="AF310" s="237" t="n">
        <f aca="true">IFERROR(SUMPRODUCT(OFFSET($BJ$31,0,1-MIN(60,COLUMN()-29),1,MIN(60,COLUMN()-29)),OFFSET(AF309,0,-MIN(60,COLUMN()-29),1,MIN(60,COLUMN()-29))),0)</f>
        <v>0</v>
      </c>
      <c r="AG310" s="237" t="n">
        <f aca="true">IFERROR(SUMPRODUCT(OFFSET($BJ$31,0,1-MIN(60,COLUMN()-29),1,MIN(60,COLUMN()-29)),OFFSET(AG309,0,-MIN(60,COLUMN()-29),1,MIN(60,COLUMN()-29))),0)</f>
        <v>0</v>
      </c>
      <c r="AH310" s="237" t="n">
        <f aca="true">IFERROR(SUMPRODUCT(OFFSET($BJ$31,0,1-MIN(60,COLUMN()-29),1,MIN(60,COLUMN()-29)),OFFSET(AH309,0,-MIN(60,COLUMN()-29),1,MIN(60,COLUMN()-29))),0)</f>
        <v>0</v>
      </c>
      <c r="AI310" s="237" t="n">
        <f aca="true">IFERROR(SUMPRODUCT(OFFSET($BJ$31,0,1-MIN(60,COLUMN()-29),1,MIN(60,COLUMN()-29)),OFFSET(AI309,0,-MIN(60,COLUMN()-29),1,MIN(60,COLUMN()-29))),0)</f>
        <v>0</v>
      </c>
      <c r="AJ310" s="237" t="n">
        <f aca="true">IFERROR(SUMPRODUCT(OFFSET($BJ$31,0,1-MIN(60,COLUMN()-29),1,MIN(60,COLUMN()-29)),OFFSET(AJ309,0,-MIN(60,COLUMN()-29),1,MIN(60,COLUMN()-29))),0)</f>
        <v>0</v>
      </c>
      <c r="AK310" s="237" t="n">
        <f aca="true">IFERROR(SUMPRODUCT(OFFSET($BJ$31,0,1-MIN(60,COLUMN()-29),1,MIN(60,COLUMN()-29)),OFFSET(AK309,0,-MIN(60,COLUMN()-29),1,MIN(60,COLUMN()-29))),0)</f>
        <v>0</v>
      </c>
      <c r="AL310" s="237" t="n">
        <f aca="true">IFERROR(SUMPRODUCT(OFFSET($BJ$31,0,1-MIN(60,COLUMN()-29),1,MIN(60,COLUMN()-29)),OFFSET(AL309,0,-MIN(60,COLUMN()-29),1,MIN(60,COLUMN()-29))),0)</f>
        <v>0</v>
      </c>
      <c r="AM310" s="237" t="n">
        <f aca="true">IFERROR(SUMPRODUCT(OFFSET($BJ$31,0,1-MIN(60,COLUMN()-29),1,MIN(60,COLUMN()-29)),OFFSET(AM309,0,-MIN(60,COLUMN()-29),1,MIN(60,COLUMN()-29))),0)</f>
        <v>0</v>
      </c>
      <c r="AN310" s="237" t="n">
        <f aca="true">IFERROR(SUMPRODUCT(OFFSET($BJ$31,0,1-MIN(60,COLUMN()-29),1,MIN(60,COLUMN()-29)),OFFSET(AN309,0,-MIN(60,COLUMN()-29),1,MIN(60,COLUMN()-29))),0)</f>
        <v>0</v>
      </c>
      <c r="AO310" s="237" t="n">
        <f aca="true">IFERROR(SUMPRODUCT(OFFSET($BJ$31,0,1-MIN(60,COLUMN()-29),1,MIN(60,COLUMN()-29)),OFFSET(AO309,0,-MIN(60,COLUMN()-29),1,MIN(60,COLUMN()-29))),0)</f>
        <v>0</v>
      </c>
      <c r="AP310" s="237" t="n">
        <f aca="true">IFERROR(SUMPRODUCT(OFFSET($BJ$31,0,1-MIN(60,COLUMN()-29),1,MIN(60,COLUMN()-29)),OFFSET(AP309,0,-MIN(60,COLUMN()-29),1,MIN(60,COLUMN()-29))),0)</f>
        <v>0</v>
      </c>
      <c r="AQ310" s="237" t="n">
        <f aca="true">IFERROR(SUMPRODUCT(OFFSET($BJ$31,0,1-MIN(60,COLUMN()-29),1,MIN(60,COLUMN()-29)),OFFSET(AQ309,0,-MIN(60,COLUMN()-29),1,MIN(60,COLUMN()-29))),0)</f>
        <v>0</v>
      </c>
      <c r="AR310" s="237" t="n">
        <f aca="true">IFERROR(SUMPRODUCT(OFFSET($BJ$31,0,1-MIN(60,COLUMN()-29),1,MIN(60,COLUMN()-29)),OFFSET(AR309,0,-MIN(60,COLUMN()-29),1,MIN(60,COLUMN()-29))),0)</f>
        <v>0</v>
      </c>
      <c r="AS310" s="237" t="n">
        <f aca="true">IFERROR(SUMPRODUCT(OFFSET($BJ$31,0,1-MIN(60,COLUMN()-29),1,MIN(60,COLUMN()-29)),OFFSET(AS309,0,-MIN(60,COLUMN()-29),1,MIN(60,COLUMN()-29))),0)</f>
        <v>0</v>
      </c>
      <c r="AT310" s="237" t="n">
        <f aca="true">IFERROR(SUMPRODUCT(OFFSET($BJ$31,0,1-MIN(60,COLUMN()-29),1,MIN(60,COLUMN()-29)),OFFSET(AT309,0,-MIN(60,COLUMN()-29),1,MIN(60,COLUMN()-29))),0)</f>
        <v>0</v>
      </c>
      <c r="AU310" s="237" t="n">
        <f aca="true">IFERROR(SUMPRODUCT(OFFSET($BJ$31,0,1-MIN(60,COLUMN()-29),1,MIN(60,COLUMN()-29)),OFFSET(AU309,0,-MIN(60,COLUMN()-29),1,MIN(60,COLUMN()-29))),0)</f>
        <v>0</v>
      </c>
      <c r="AV310" s="237" t="n">
        <f aca="true">IFERROR(SUMPRODUCT(OFFSET($BJ$31,0,1-MIN(60,COLUMN()-29),1,MIN(60,COLUMN()-29)),OFFSET(AV309,0,-MIN(60,COLUMN()-29),1,MIN(60,COLUMN()-29))),0)</f>
        <v>0</v>
      </c>
      <c r="AW310" s="237" t="n">
        <f aca="true">IFERROR(SUMPRODUCT(OFFSET($BJ$31,0,1-MIN(60,COLUMN()-29),1,MIN(60,COLUMN()-29)),OFFSET(AW309,0,-MIN(60,COLUMN()-29),1,MIN(60,COLUMN()-29))),0)</f>
        <v>0</v>
      </c>
      <c r="AX310" s="237" t="n">
        <f aca="true">IFERROR(SUMPRODUCT(OFFSET($BJ$31,0,1-MIN(60,COLUMN()-29),1,MIN(60,COLUMN()-29)),OFFSET(AX309,0,-MIN(60,COLUMN()-29),1,MIN(60,COLUMN()-29))),0)</f>
        <v>0</v>
      </c>
      <c r="AY310" s="237" t="n">
        <f aca="true">IFERROR(SUMPRODUCT(OFFSET($BJ$31,0,1-MIN(60,COLUMN()-29),1,MIN(60,COLUMN()-29)),OFFSET(AY309,0,-MIN(60,COLUMN()-29),1,MIN(60,COLUMN()-29))),0)</f>
        <v>0</v>
      </c>
      <c r="AZ310" s="237" t="n">
        <f aca="true">IFERROR(SUMPRODUCT(OFFSET($BJ$31,0,1-MIN(60,COLUMN()-29),1,MIN(60,COLUMN()-29)),OFFSET(AZ309,0,-MIN(60,COLUMN()-29),1,MIN(60,COLUMN()-29))),0)</f>
        <v>0</v>
      </c>
      <c r="BA310" s="237" t="n">
        <f aca="true">IFERROR(SUMPRODUCT(OFFSET($BJ$31,0,1-MIN(60,COLUMN()-29),1,MIN(60,COLUMN()-29)),OFFSET(BA309,0,-MIN(60,COLUMN()-29),1,MIN(60,COLUMN()-29))),0)</f>
        <v>0</v>
      </c>
      <c r="BB310" s="237" t="n">
        <f aca="true">IFERROR(SUMPRODUCT(OFFSET($BJ$31,0,1-MIN(60,COLUMN()-29),1,MIN(60,COLUMN()-29)),OFFSET(BB309,0,-MIN(60,COLUMN()-29),1,MIN(60,COLUMN()-29))),0)</f>
        <v>0</v>
      </c>
      <c r="BC310" s="237" t="n">
        <f aca="true">IFERROR(SUMPRODUCT(OFFSET($BJ$31,0,1-MIN(60,COLUMN()-29),1,MIN(60,COLUMN()-29)),OFFSET(BC309,0,-MIN(60,COLUMN()-29),1,MIN(60,COLUMN()-29))),0)</f>
        <v>0</v>
      </c>
      <c r="BD310" s="237" t="n">
        <f aca="true">IFERROR(SUMPRODUCT(OFFSET($BJ$31,0,1-MIN(60,COLUMN()-29),1,MIN(60,COLUMN()-29)),OFFSET(BD309,0,-MIN(60,COLUMN()-29),1,MIN(60,COLUMN()-29))),0)</f>
        <v>0</v>
      </c>
      <c r="BE310" s="237" t="n">
        <f aca="true">IFERROR(SUMPRODUCT(OFFSET($BJ$31,0,1-MIN(60,COLUMN()-29),1,MIN(60,COLUMN()-29)),OFFSET(BE309,0,-MIN(60,COLUMN()-29),1,MIN(60,COLUMN()-29))),0)</f>
        <v>0</v>
      </c>
      <c r="BF310" s="237" t="n">
        <f aca="true">IFERROR(SUMPRODUCT(OFFSET($BJ$31,0,1-MIN(60,COLUMN()-29),1,MIN(60,COLUMN()-29)),OFFSET(BF309,0,-MIN(60,COLUMN()-29),1,MIN(60,COLUMN()-29))),0)</f>
        <v>0</v>
      </c>
      <c r="BG310" s="237" t="n">
        <f aca="true">IFERROR(SUMPRODUCT(OFFSET($BJ$31,0,1-MIN(60,COLUMN()-29),1,MIN(60,COLUMN()-29)),OFFSET(BG309,0,-MIN(60,COLUMN()-29),1,MIN(60,COLUMN()-29))),0)</f>
        <v>0</v>
      </c>
      <c r="BH310" s="237" t="n">
        <f aca="true">IFERROR(SUMPRODUCT(OFFSET($BJ$31,0,1-MIN(60,COLUMN()-29),1,MIN(60,COLUMN()-29)),OFFSET(BH309,0,-MIN(60,COLUMN()-29),1,MIN(60,COLUMN()-29))),0)</f>
        <v>0</v>
      </c>
      <c r="BI310" s="237" t="n">
        <f aca="true">IFERROR(SUMPRODUCT(OFFSET($BJ$31,0,1-MIN(60,COLUMN()-29),1,MIN(60,COLUMN()-29)),OFFSET(BI309,0,-MIN(60,COLUMN()-29),1,MIN(60,COLUMN()-29))),0)</f>
        <v>0</v>
      </c>
      <c r="BJ310" s="237" t="n">
        <f aca="true">IFERROR(SUMPRODUCT(OFFSET($BJ$31,0,1-MIN(60,COLUMN()-29),1,MIN(60,COLUMN()-29)),OFFSET(BJ309,0,-MIN(60,COLUMN()-29),1,MIN(60,COLUMN()-29))),0)</f>
        <v>0</v>
      </c>
      <c r="BK310" s="237" t="n">
        <f aca="true">IFERROR(SUMPRODUCT(OFFSET($BJ$31,0,1-MIN(60,COLUMN()-29),1,MIN(60,COLUMN()-29)),OFFSET(BK309,0,-MIN(60,COLUMN()-29),1,MIN(60,COLUMN()-29))),0)</f>
        <v>0</v>
      </c>
      <c r="BL310" s="237" t="n">
        <f aca="true">IFERROR(SUMPRODUCT(OFFSET($BJ$31,0,1-MIN(60,COLUMN()-29),1,MIN(60,COLUMN()-29)),OFFSET(BL309,0,-MIN(60,COLUMN()-29),1,MIN(60,COLUMN()-29))),0)</f>
        <v>0</v>
      </c>
      <c r="BM310" s="237" t="n">
        <f aca="true">IFERROR(SUMPRODUCT(OFFSET($BJ$31,0,1-MIN(60,COLUMN()-29),1,MIN(60,COLUMN()-29)),OFFSET(BM309,0,-MIN(60,COLUMN()-29),1,MIN(60,COLUMN()-29))),0)</f>
        <v>0</v>
      </c>
      <c r="BN310" s="237" t="n">
        <f aca="true">IFERROR(SUMPRODUCT(OFFSET($BJ$31,0,1-MIN(60,COLUMN()-29),1,MIN(60,COLUMN()-29)),OFFSET(BN309,0,-MIN(60,COLUMN()-29),1,MIN(60,COLUMN()-29))),0)</f>
        <v>0</v>
      </c>
      <c r="BO310" s="237" t="n">
        <f aca="true">IFERROR(SUMPRODUCT(OFFSET($BJ$31,0,1-MIN(60,COLUMN()-29),1,MIN(60,COLUMN()-29)),OFFSET(BO309,0,-MIN(60,COLUMN()-29),1,MIN(60,COLUMN()-29))),0)</f>
        <v>0</v>
      </c>
      <c r="BP310" s="237" t="n">
        <f aca="true">IFERROR(SUMPRODUCT(OFFSET($BJ$31,0,1-MIN(60,COLUMN()-29),1,MIN(60,COLUMN()-29)),OFFSET(BP309,0,-MIN(60,COLUMN()-29),1,MIN(60,COLUMN()-29))),0)</f>
        <v>0</v>
      </c>
      <c r="BQ310" s="237" t="n">
        <f aca="true">IFERROR(SUMPRODUCT(OFFSET($BJ$31,0,1-MIN(60,COLUMN()-29),1,MIN(60,COLUMN()-29)),OFFSET(BQ309,0,-MIN(60,COLUMN()-29),1,MIN(60,COLUMN()-29))),0)</f>
        <v>0</v>
      </c>
      <c r="BR310" s="237" t="n">
        <f aca="true">IFERROR(SUMPRODUCT(OFFSET($BJ$31,0,1-MIN(60,COLUMN()-29),1,MIN(60,COLUMN()-29)),OFFSET(BR309,0,-MIN(60,COLUMN()-29),1,MIN(60,COLUMN()-29))),0)</f>
        <v>0</v>
      </c>
      <c r="BS310" s="237" t="n">
        <f aca="true">IFERROR(SUMPRODUCT(OFFSET($BJ$31,0,1-MIN(60,COLUMN()-29),1,MIN(60,COLUMN()-29)),OFFSET(BS309,0,-MIN(60,COLUMN()-29),1,MIN(60,COLUMN()-29))),0)</f>
        <v>0</v>
      </c>
      <c r="BT310" s="237" t="n">
        <f aca="true">IFERROR(SUMPRODUCT(OFFSET($BJ$31,0,1-MIN(60,COLUMN()-29),1,MIN(60,COLUMN()-29)),OFFSET(BT309,0,-MIN(60,COLUMN()-29),1,MIN(60,COLUMN()-29))),0)</f>
        <v>0</v>
      </c>
      <c r="BU310" s="237" t="n">
        <f aca="true">IFERROR(SUMPRODUCT(OFFSET($BJ$31,0,1-MIN(60,COLUMN()-29),1,MIN(60,COLUMN()-29)),OFFSET(BU309,0,-MIN(60,COLUMN()-29),1,MIN(60,COLUMN()-29))),0)</f>
        <v>0</v>
      </c>
      <c r="BV310" s="237" t="n">
        <f aca="true">IFERROR(SUMPRODUCT(OFFSET($BJ$31,0,1-MIN(60,COLUMN()-29),1,MIN(60,COLUMN()-29)),OFFSET(BV309,0,-MIN(60,COLUMN()-29),1,MIN(60,COLUMN()-29))),0)</f>
        <v>0</v>
      </c>
      <c r="BW310" s="237" t="n">
        <f aca="true">IFERROR(SUMPRODUCT(OFFSET($BJ$31,0,1-MIN(60,COLUMN()-29),1,MIN(60,COLUMN()-29)),OFFSET(BW309,0,-MIN(60,COLUMN()-29),1,MIN(60,COLUMN()-29))),0)</f>
        <v>0</v>
      </c>
      <c r="BX310" s="237" t="n">
        <f aca="true">IFERROR(SUMPRODUCT(OFFSET($BJ$31,0,1-MIN(60,COLUMN()-29),1,MIN(60,COLUMN()-29)),OFFSET(BX309,0,-MIN(60,COLUMN()-29),1,MIN(60,COLUMN()-29))),0)</f>
        <v>0</v>
      </c>
      <c r="BY310" s="237" t="n">
        <f aca="true">IFERROR(SUMPRODUCT(OFFSET($BJ$31,0,1-MIN(60,COLUMN()-29),1,MIN(60,COLUMN()-29)),OFFSET(BY309,0,-MIN(60,COLUMN()-29),1,MIN(60,COLUMN()-29))),0)</f>
        <v>0</v>
      </c>
      <c r="BZ310" s="237" t="n">
        <f aca="true">IFERROR(SUMPRODUCT(OFFSET($BJ$31,0,1-MIN(60,COLUMN()-29),1,MIN(60,COLUMN()-29)),OFFSET(BZ309,0,-MIN(60,COLUMN()-29),1,MIN(60,COLUMN()-29))),0)</f>
        <v>0</v>
      </c>
      <c r="CA310" s="237" t="n">
        <f aca="true">IFERROR(SUMPRODUCT(OFFSET($BJ$31,0,1-MIN(60,COLUMN()-29),1,MIN(60,COLUMN()-29)),OFFSET(CA309,0,-MIN(60,COLUMN()-29),1,MIN(60,COLUMN()-29))),0)</f>
        <v>0</v>
      </c>
      <c r="CB310" s="237" t="n">
        <f aca="true">IFERROR(SUMPRODUCT(OFFSET($BJ$31,0,1-MIN(60,COLUMN()-29),1,MIN(60,COLUMN()-29)),OFFSET(CB309,0,-MIN(60,COLUMN()-29),1,MIN(60,COLUMN()-29))),0)</f>
        <v>0</v>
      </c>
      <c r="CC310" s="237" t="n">
        <f aca="true">IFERROR(SUMPRODUCT(OFFSET($BJ$31,0,1-MIN(60,COLUMN()-29),1,MIN(60,COLUMN()-29)),OFFSET(CC309,0,-MIN(60,COLUMN()-29),1,MIN(60,COLUMN()-29))),0)</f>
        <v>0</v>
      </c>
      <c r="CD310" s="237" t="n">
        <f aca="true">IFERROR(SUMPRODUCT(OFFSET($BJ$31,0,1-MIN(60,COLUMN()-29),1,MIN(60,COLUMN()-29)),OFFSET(CD309,0,-MIN(60,COLUMN()-29),1,MIN(60,COLUMN()-29))),0)</f>
        <v>0</v>
      </c>
      <c r="CE310" s="237" t="n">
        <f aca="true">IFERROR(SUMPRODUCT(OFFSET($BJ$31,0,1-MIN(60,COLUMN()-29),1,MIN(60,COLUMN()-29)),OFFSET(CE309,0,-MIN(60,COLUMN()-29),1,MIN(60,COLUMN()-29))),0)</f>
        <v>0</v>
      </c>
      <c r="CF310" s="237" t="n">
        <f aca="true">IFERROR(SUMPRODUCT(OFFSET($BJ$31,0,1-MIN(60,COLUMN()-29),1,MIN(60,COLUMN()-29)),OFFSET(CF309,0,-MIN(60,COLUMN()-29),1,MIN(60,COLUMN()-29))),0)</f>
        <v>0</v>
      </c>
      <c r="CG310" s="237" t="n">
        <f aca="true">IFERROR(SUMPRODUCT(OFFSET($BJ$31,0,1-MIN(60,COLUMN()-29),1,MIN(60,COLUMN()-29)),OFFSET(CG309,0,-MIN(60,COLUMN()-29),1,MIN(60,COLUMN()-29))),0)</f>
        <v>0</v>
      </c>
      <c r="CH310" s="237" t="n">
        <f aca="true">IFERROR(SUMPRODUCT(OFFSET($BJ$31,0,1-MIN(60,COLUMN()-29),1,MIN(60,COLUMN()-29)),OFFSET(CH309,0,-MIN(60,COLUMN()-29),1,MIN(60,COLUMN()-29))),0)</f>
        <v>0</v>
      </c>
      <c r="CI310" s="237" t="n">
        <f aca="true">IFERROR(SUMPRODUCT(OFFSET($BJ$31,0,1-MIN(60,COLUMN()-29),1,MIN(60,COLUMN()-29)),OFFSET(CI309,0,-MIN(60,COLUMN()-29),1,MIN(60,COLUMN()-29))),0)</f>
        <v>0</v>
      </c>
      <c r="CJ310" s="237" t="n">
        <f aca="true">IFERROR(SUMPRODUCT(OFFSET($BJ$31,0,1-MIN(60,COLUMN()-29),1,MIN(60,COLUMN()-29)),OFFSET(CJ309,0,-MIN(60,COLUMN()-29),1,MIN(60,COLUMN()-29))),0)</f>
        <v>0</v>
      </c>
      <c r="CK310" s="237" t="n">
        <f aca="true">IFERROR(SUMPRODUCT(OFFSET($BJ$31,0,1-MIN(60,COLUMN()-29),1,MIN(60,COLUMN()-29)),OFFSET(CK309,0,-MIN(60,COLUMN()-29),1,MIN(60,COLUMN()-29))),0)</f>
        <v>0</v>
      </c>
      <c r="CL310" s="237" t="n">
        <f aca="true">IFERROR(SUMPRODUCT(OFFSET($BJ$31,0,1-MIN(60,COLUMN()-29),1,MIN(60,COLUMN()-29)),OFFSET(CL309,0,-MIN(60,COLUMN()-29),1,MIN(60,COLUMN()-29))),0)</f>
        <v>0</v>
      </c>
      <c r="CM310" s="237" t="n">
        <f aca="true">IFERROR(SUMPRODUCT(OFFSET($BJ$31,0,1-MIN(60,COLUMN()-29),1,MIN(60,COLUMN()-29)),OFFSET(CM309,0,-MIN(60,COLUMN()-29),1,MIN(60,COLUMN()-29))),0)</f>
        <v>0</v>
      </c>
      <c r="CN310" s="237" t="n">
        <f aca="true">IFERROR(SUMPRODUCT(OFFSET($BJ$31,0,1-MIN(60,COLUMN()-29),1,MIN(60,COLUMN()-29)),OFFSET(CN309,0,-MIN(60,COLUMN()-29),1,MIN(60,COLUMN()-29))),0)</f>
        <v>0</v>
      </c>
      <c r="CO310" s="237" t="n">
        <f aca="true">IFERROR(SUMPRODUCT(OFFSET($BJ$31,0,1-MIN(60,COLUMN()-29),1,MIN(60,COLUMN()-29)),OFFSET(CO309,0,-MIN(60,COLUMN()-29),1,MIN(60,COLUMN()-29))),0)</f>
        <v>0</v>
      </c>
      <c r="CP310" s="237" t="n">
        <f aca="true">IFERROR(SUMPRODUCT(OFFSET($BJ$31,0,1-MIN(60,COLUMN()-29),1,MIN(60,COLUMN()-29)),OFFSET(CP309,0,-MIN(60,COLUMN()-29),1,MIN(60,COLUMN()-29))),0)</f>
        <v>0</v>
      </c>
      <c r="CQ310" s="237" t="n">
        <f aca="true">IFERROR(SUMPRODUCT(OFFSET($BJ$31,0,1-MIN(60,COLUMN()-29),1,MIN(60,COLUMN()-29)),OFFSET(CQ309,0,-MIN(60,COLUMN()-29),1,MIN(60,COLUMN()-29))),0)</f>
        <v>0</v>
      </c>
      <c r="CR310" s="237" t="n">
        <f aca="true">IFERROR(SUMPRODUCT(OFFSET($BJ$31,0,1-MIN(60,COLUMN()-29),1,MIN(60,COLUMN()-29)),OFFSET(CR309,0,-MIN(60,COLUMN()-29),1,MIN(60,COLUMN()-29))),0)</f>
        <v>0</v>
      </c>
      <c r="CS310" s="237" t="n">
        <f aca="true">IFERROR(SUMPRODUCT(OFFSET($BJ$31,0,1-MIN(60,COLUMN()-29),1,MIN(60,COLUMN()-29)),OFFSET(CS309,0,-MIN(60,COLUMN()-29),1,MIN(60,COLUMN()-29))),0)</f>
        <v>0</v>
      </c>
      <c r="CT310" s="237" t="n">
        <f aca="true">IFERROR(SUMPRODUCT(OFFSET($BJ$31,0,1-MIN(60,COLUMN()-29),1,MIN(60,COLUMN()-29)),OFFSET(CT309,0,-MIN(60,COLUMN()-29),1,MIN(60,COLUMN()-29))),0)</f>
        <v>0</v>
      </c>
      <c r="CU310" s="237" t="n">
        <f aca="true">IFERROR(SUMPRODUCT(OFFSET($BJ$31,0,1-MIN(60,COLUMN()-29),1,MIN(60,COLUMN()-29)),OFFSET(CU309,0,-MIN(60,COLUMN()-29),1,MIN(60,COLUMN()-29))),0)</f>
        <v>0</v>
      </c>
      <c r="CV310" s="237" t="n">
        <f aca="true">IFERROR(SUMPRODUCT(OFFSET($BJ$31,0,1-MIN(60,COLUMN()-29),1,MIN(60,COLUMN()-29)),OFFSET(CV309,0,-MIN(60,COLUMN()-29),1,MIN(60,COLUMN()-29))),0)</f>
        <v>0</v>
      </c>
      <c r="CW310" s="237" t="n">
        <f aca="true">IFERROR(SUMPRODUCT(OFFSET($BJ$31,0,1-MIN(60,COLUMN()-29),1,MIN(60,COLUMN()-29)),OFFSET(CW309,0,-MIN(60,COLUMN()-29),1,MIN(60,COLUMN()-29))),0)</f>
        <v>0</v>
      </c>
      <c r="CX310" s="237" t="n">
        <f aca="true">IFERROR(SUMPRODUCT(OFFSET($BJ$31,0,1-MIN(60,COLUMN()-29),1,MIN(60,COLUMN()-29)),OFFSET(CX309,0,-MIN(60,COLUMN()-29),1,MIN(60,COLUMN()-29))),0)</f>
        <v>0</v>
      </c>
      <c r="CY310" s="237" t="n">
        <f aca="true">IFERROR(SUMPRODUCT(OFFSET($BJ$31,0,1-MIN(60,COLUMN()-29),1,MIN(60,COLUMN()-29)),OFFSET(CY309,0,-MIN(60,COLUMN()-29),1,MIN(60,COLUMN()-29))),0)</f>
        <v>0</v>
      </c>
      <c r="CZ310" s="237" t="n">
        <f aca="true">IFERROR(SUMPRODUCT(OFFSET($BJ$31,0,1-MIN(60,COLUMN()-29),1,MIN(60,COLUMN()-29)),OFFSET(CZ309,0,-MIN(60,COLUMN()-29),1,MIN(60,COLUMN()-29))),0)</f>
        <v>0</v>
      </c>
      <c r="DA310" s="237" t="n">
        <f aca="true">IFERROR(SUMPRODUCT(OFFSET($BJ$31,0,1-MIN(60,COLUMN()-29),1,MIN(60,COLUMN()-29)),OFFSET(DA309,0,-MIN(60,COLUMN()-29),1,MIN(60,COLUMN()-29))),0)</f>
        <v>0</v>
      </c>
      <c r="DB310" s="237" t="n">
        <f aca="true">IFERROR(SUMPRODUCT(OFFSET($BJ$31,0,1-MIN(60,COLUMN()-29),1,MIN(60,COLUMN()-29)),OFFSET(DB309,0,-MIN(60,COLUMN()-29),1,MIN(60,COLUMN()-29))),0)</f>
        <v>0</v>
      </c>
      <c r="DC310" s="237" t="n">
        <f aca="true">IFERROR(SUMPRODUCT(OFFSET($BJ$31,0,1-MIN(60,COLUMN()-29),1,MIN(60,COLUMN()-29)),OFFSET(DC309,0,-MIN(60,COLUMN()-29),1,MIN(60,COLUMN()-29))),0)</f>
        <v>0</v>
      </c>
      <c r="DD310" s="237" t="n">
        <f aca="true">IFERROR(SUMPRODUCT(OFFSET($BJ$31,0,1-MIN(60,COLUMN()-29),1,MIN(60,COLUMN()-29)),OFFSET(DD309,0,-MIN(60,COLUMN()-29),1,MIN(60,COLUMN()-29))),0)</f>
        <v>0</v>
      </c>
      <c r="DE310" s="237" t="n">
        <f aca="true">IFERROR(SUMPRODUCT(OFFSET($BJ$31,0,1-MIN(60,COLUMN()-29),1,MIN(60,COLUMN()-29)),OFFSET(DE309,0,-MIN(60,COLUMN()-29),1,MIN(60,COLUMN()-29))),0)</f>
        <v>0</v>
      </c>
      <c r="DF310" s="237" t="n">
        <f aca="true">IFERROR(SUMPRODUCT(OFFSET($BJ$31,0,1-MIN(60,COLUMN()-29),1,MIN(60,COLUMN()-29)),OFFSET(DF309,0,-MIN(60,COLUMN()-29),1,MIN(60,COLUMN()-29))),0)</f>
        <v>0</v>
      </c>
      <c r="DG310" s="237" t="n">
        <f aca="true">IFERROR(SUMPRODUCT(OFFSET($BJ$31,0,1-MIN(60,COLUMN()-29),1,MIN(60,COLUMN()-29)),OFFSET(DG309,0,-MIN(60,COLUMN()-29),1,MIN(60,COLUMN()-29))),0)</f>
        <v>0</v>
      </c>
      <c r="DH310" s="237" t="n">
        <f aca="true">IFERROR(SUMPRODUCT(OFFSET($BJ$31,0,1-MIN(60,COLUMN()-29),1,MIN(60,COLUMN()-29)),OFFSET(DH309,0,-MIN(60,COLUMN()-29),1,MIN(60,COLUMN()-29))),0)</f>
        <v>0</v>
      </c>
      <c r="DI310" s="237" t="n">
        <f aca="true">IFERROR(SUMPRODUCT(OFFSET($BJ$31,0,1-MIN(60,COLUMN()-29),1,MIN(60,COLUMN()-29)),OFFSET(DI309,0,-MIN(60,COLUMN()-29),1,MIN(60,COLUMN()-29))),0)</f>
        <v>0</v>
      </c>
      <c r="DJ310" s="237" t="n">
        <f aca="true">IFERROR(SUMPRODUCT(OFFSET($BJ$31,0,1-MIN(60,COLUMN()-29),1,MIN(60,COLUMN()-29)),OFFSET(DJ309,0,-MIN(60,COLUMN()-29),1,MIN(60,COLUMN()-29))),0)</f>
        <v>0</v>
      </c>
      <c r="DK310" s="237" t="n">
        <f aca="true">IFERROR(SUMPRODUCT(OFFSET($BJ$31,0,1-MIN(60,COLUMN()-29),1,MIN(60,COLUMN()-29)),OFFSET(DK309,0,-MIN(60,COLUMN()-29),1,MIN(60,COLUMN()-29))),0)</f>
        <v>0</v>
      </c>
      <c r="DL310" s="237" t="n">
        <f aca="true">IFERROR(SUMPRODUCT(OFFSET($BJ$31,0,1-MIN(60,COLUMN()-29),1,MIN(60,COLUMN()-29)),OFFSET(DL309,0,-MIN(60,COLUMN()-29),1,MIN(60,COLUMN()-29))),0)</f>
        <v>0</v>
      </c>
      <c r="DM310" s="237" t="n">
        <f aca="true">IFERROR(SUMPRODUCT(OFFSET($BJ$31,0,1-MIN(60,COLUMN()-29),1,MIN(60,COLUMN()-29)),OFFSET(DM309,0,-MIN(60,COLUMN()-29),1,MIN(60,COLUMN()-29))),0)</f>
        <v>5.9136</v>
      </c>
      <c r="DN310" s="237" t="n">
        <f aca="true">IFERROR(SUMPRODUCT(OFFSET($BJ$31,0,1-MIN(60,COLUMN()-29),1,MIN(60,COLUMN()-29)),OFFSET(DN309,0,-MIN(60,COLUMN()-29),1,MIN(60,COLUMN()-29))),0)</f>
        <v>6.253632</v>
      </c>
      <c r="DO310" s="237" t="n">
        <f aca="true">IFERROR(SUMPRODUCT(OFFSET($BJ$31,0,1-MIN(60,COLUMN()-29),1,MIN(60,COLUMN()-29)),OFFSET(DO309,0,-MIN(60,COLUMN()-29),1,MIN(60,COLUMN()-29))),0)</f>
        <v>6.5138304</v>
      </c>
      <c r="DP310" s="237" t="n">
        <f aca="true">IFERROR(SUMPRODUCT(OFFSET($BJ$31,0,1-MIN(60,COLUMN()-29),1,MIN(60,COLUMN()-29)),OFFSET(DP309,0,-MIN(60,COLUMN()-29),1,MIN(60,COLUMN()-29))),0)</f>
        <v>7.6129536</v>
      </c>
      <c r="DQ310" s="237" t="n">
        <f aca="true">IFERROR(SUMPRODUCT(OFFSET($BJ$31,0,1-MIN(60,COLUMN()-29),1,MIN(60,COLUMN()-29)),OFFSET(DQ309,0,-MIN(60,COLUMN()-29),1,MIN(60,COLUMN()-29))),0)</f>
        <v>11.7212928</v>
      </c>
      <c r="DR310" s="237" t="n">
        <f aca="true">IFERROR(SUMPRODUCT(OFFSET($BJ$31,0,1-MIN(60,COLUMN()-29),1,MIN(60,COLUMN()-29)),OFFSET(DR309,0,-MIN(60,COLUMN()-29),1,MIN(60,COLUMN()-29))),0)</f>
        <v>11.7296256</v>
      </c>
      <c r="DS310" s="237" t="n">
        <f aca="true">IFERROR(SUMPRODUCT(OFFSET($BJ$31,0,1-MIN(60,COLUMN()-29),1,MIN(60,COLUMN()-29)),OFFSET(DS309,0,-MIN(60,COLUMN()-29),1,MIN(60,COLUMN()-29))),0)</f>
        <v>11.5679424</v>
      </c>
      <c r="DT310" s="237" t="n">
        <f aca="true">IFERROR(SUMPRODUCT(OFFSET($BJ$31,0,1-MIN(60,COLUMN()-29),1,MIN(60,COLUMN()-29)),OFFSET(DT309,0,-MIN(60,COLUMN()-29),1,MIN(60,COLUMN()-29))),0)</f>
        <v>10.83264</v>
      </c>
      <c r="DU310" s="237" t="n">
        <f aca="true">IFERROR(SUMPRODUCT(OFFSET($BJ$31,0,1-MIN(60,COLUMN()-29),1,MIN(60,COLUMN()-29)),OFFSET(DU309,0,-MIN(60,COLUMN()-29),1,MIN(60,COLUMN()-29))),0)</f>
        <v>13.5147264</v>
      </c>
      <c r="DV310" s="237" t="n">
        <f aca="true">IFERROR(SUMPRODUCT(OFFSET($BJ$31,0,1-MIN(60,COLUMN()-29),1,MIN(60,COLUMN()-29)),OFFSET(DV309,0,-MIN(60,COLUMN()-29),1,MIN(60,COLUMN()-29))),0)</f>
        <v>16.1268576</v>
      </c>
      <c r="DW310" s="237" t="n">
        <f aca="true">IFERROR(SUMPRODUCT(OFFSET($BJ$31,0,1-MIN(60,COLUMN()-29),1,MIN(60,COLUMN()-29)),OFFSET(DW309,0,-MIN(60,COLUMN()-29),1,MIN(60,COLUMN()-29))),0)</f>
        <v>14.6362944</v>
      </c>
      <c r="DX310" s="237" t="n">
        <f aca="true">IFERROR(SUMPRODUCT(OFFSET($BJ$31,0,1-MIN(60,COLUMN()-29),1,MIN(60,COLUMN()-29)),OFFSET(DX309,0,-MIN(60,COLUMN()-29),1,MIN(60,COLUMN()-29))),0)</f>
        <v>20.4060192</v>
      </c>
      <c r="DY310" s="237" t="n">
        <f aca="true">IFERROR(SUMPRODUCT(OFFSET($BJ$31,0,1-MIN(60,COLUMN()-29),1,MIN(60,COLUMN()-29)),OFFSET(DY309,0,-MIN(60,COLUMN()-29),1,MIN(60,COLUMN()-29))),0)</f>
        <v>21.951552</v>
      </c>
      <c r="DZ310" s="237" t="n">
        <f aca="true">IFERROR(SUMPRODUCT(OFFSET($BJ$31,0,1-MIN(60,COLUMN()-29),1,MIN(60,COLUMN()-29)),OFFSET(DZ309,0,-MIN(60,COLUMN()-29),1,MIN(60,COLUMN()-29))),0)</f>
        <v>22.5035328</v>
      </c>
      <c r="EA310" s="237" t="n">
        <f aca="true">IFERROR(SUMPRODUCT(OFFSET($BJ$31,0,1-MIN(60,COLUMN()-29),1,MIN(60,COLUMN()-29)),OFFSET(EA309,0,-MIN(60,COLUMN()-29),1,MIN(60,COLUMN()-29))),0)</f>
        <v>21.7941696</v>
      </c>
      <c r="EB310" s="237" t="n">
        <f aca="true">IFERROR(SUMPRODUCT(OFFSET($BJ$31,0,1-MIN(60,COLUMN()-29),1,MIN(60,COLUMN()-29)),OFFSET(EB309,0,-MIN(60,COLUMN()-29),1,MIN(60,COLUMN()-29))),0)</f>
        <v>26.4690048</v>
      </c>
      <c r="EC310" s="237" t="n">
        <f aca="true">IFERROR(SUMPRODUCT(OFFSET($BJ$31,0,1-MIN(60,COLUMN()-29),1,MIN(60,COLUMN()-29)),OFFSET(EC309,0,-MIN(60,COLUMN()-29),1,MIN(60,COLUMN()-29))),0)</f>
        <v>39.54744864</v>
      </c>
      <c r="ED310" s="237" t="n">
        <f aca="true">IFERROR(SUMPRODUCT(OFFSET($BJ$31,0,1-MIN(60,COLUMN()-29),1,MIN(60,COLUMN()-29)),OFFSET(ED309,0,-MIN(60,COLUMN()-29),1,MIN(60,COLUMN()-29))),0)</f>
        <v>39.06753984</v>
      </c>
      <c r="EE310" s="237" t="n">
        <f aca="true">IFERROR(SUMPRODUCT(OFFSET($BJ$31,0,1-MIN(60,COLUMN()-29),1,MIN(60,COLUMN()-29)),OFFSET(EE309,0,-MIN(60,COLUMN()-29),1,MIN(60,COLUMN()-29))),0)</f>
        <v>39.45045888</v>
      </c>
      <c r="EF310" s="237" t="n">
        <f aca="true">IFERROR(SUMPRODUCT(OFFSET($BJ$31,0,1-MIN(60,COLUMN()-29),1,MIN(60,COLUMN()-29)),OFFSET(EF309,0,-MIN(60,COLUMN()-29),1,MIN(60,COLUMN()-29))),0)</f>
        <v>36.84037056</v>
      </c>
      <c r="EG310" s="237" t="n">
        <f aca="true">IFERROR(SUMPRODUCT(OFFSET($BJ$31,0,1-MIN(60,COLUMN()-29),1,MIN(60,COLUMN()-29)),OFFSET(EG309,0,-MIN(60,COLUMN()-29),1,MIN(60,COLUMN()-29))),0)</f>
        <v>46.30444224</v>
      </c>
      <c r="EH310" s="237" t="n">
        <f aca="true">IFERROR(SUMPRODUCT(OFFSET($BJ$31,0,1-MIN(60,COLUMN()-29),1,MIN(60,COLUMN()-29)),OFFSET(EH309,0,-MIN(60,COLUMN()-29),1,MIN(60,COLUMN()-29))),0)</f>
        <v>49.7795592</v>
      </c>
      <c r="EI310" s="237" t="n">
        <f aca="true">IFERROR(SUMPRODUCT(OFFSET($BJ$31,0,1-MIN(60,COLUMN()-29),1,MIN(60,COLUMN()-29)),OFFSET(EI309,0,-MIN(60,COLUMN()-29),1,MIN(60,COLUMN()-29))),0)</f>
        <v>49.57247568</v>
      </c>
      <c r="EJ310" s="237" t="n">
        <f aca="true">IFERROR(SUMPRODUCT(OFFSET($BJ$31,0,1-MIN(60,COLUMN()-29),1,MIN(60,COLUMN()-29)),OFFSET(EJ309,0,-MIN(60,COLUMN()-29),1,MIN(60,COLUMN()-29))),0)</f>
        <v>58.8404376</v>
      </c>
      <c r="EK310" s="237" t="n">
        <f aca="true">IFERROR(SUMPRODUCT(OFFSET($BJ$31,0,1-MIN(60,COLUMN()-29),1,MIN(60,COLUMN()-29)),OFFSET(EK309,0,-MIN(60,COLUMN()-29),1,MIN(60,COLUMN()-29))),0)</f>
        <v>62.1070884</v>
      </c>
      <c r="EL310" s="237" t="n">
        <f aca="true">IFERROR(SUMPRODUCT(OFFSET($BJ$31,0,1-MIN(60,COLUMN()-29),1,MIN(60,COLUMN()-29)),OFFSET(EL309,0,-MIN(60,COLUMN()-29),1,MIN(60,COLUMN()-29))),0)</f>
        <v>62.04005976</v>
      </c>
      <c r="EM310" s="237" t="n">
        <f aca="true">IFERROR(SUMPRODUCT(OFFSET($BJ$31,0,1-MIN(60,COLUMN()-29),1,MIN(60,COLUMN()-29)),OFFSET(EM309,0,-MIN(60,COLUMN()-29),1,MIN(60,COLUMN()-29))),0)</f>
        <v>62.61402336</v>
      </c>
      <c r="EN310" s="237" t="n">
        <f aca="true">IFERROR(SUMPRODUCT(OFFSET($BJ$31,0,1-MIN(60,COLUMN()-29),1,MIN(60,COLUMN()-29)),OFFSET(EN309,0,-MIN(60,COLUMN()-29),1,MIN(60,COLUMN()-29))),0)</f>
        <v>68.45009136</v>
      </c>
      <c r="EO310" s="237" t="n">
        <f aca="true">IFERROR(SUMPRODUCT(OFFSET($BJ$31,0,1-MIN(60,COLUMN()-29),1,MIN(60,COLUMN()-29)),OFFSET(EO309,0,-MIN(60,COLUMN()-29),1,MIN(60,COLUMN()-29))),0)</f>
        <v>86.16052872</v>
      </c>
      <c r="EP310" s="237" t="n">
        <f aca="true">IFERROR(SUMPRODUCT(OFFSET($BJ$31,0,1-MIN(60,COLUMN()-29),1,MIN(60,COLUMN()-29)),OFFSET(EP309,0,-MIN(60,COLUMN()-29),1,MIN(60,COLUMN()-29))),0)</f>
        <v>85.41878856</v>
      </c>
      <c r="EQ310" s="237" t="n">
        <f aca="true">IFERROR(SUMPRODUCT(OFFSET($BJ$31,0,1-MIN(60,COLUMN()-29),1,MIN(60,COLUMN()-29)),OFFSET(EQ309,0,-MIN(60,COLUMN()-29),1,MIN(60,COLUMN()-29))),0)</f>
        <v>84.57615432</v>
      </c>
      <c r="ER310" s="237" t="n">
        <f aca="true">IFERROR(SUMPRODUCT(OFFSET($BJ$31,0,1-MIN(60,COLUMN()-29),1,MIN(60,COLUMN()-29)),OFFSET(ER309,0,-MIN(60,COLUMN()-29),1,MIN(60,COLUMN()-29))),0)</f>
        <v>82.00010952</v>
      </c>
      <c r="ES310" s="9" t="n">
        <f aca="true">IFERROR(SUMPRODUCT(OFFSET($BJ$31,0,1-MIN(60,COLUMN()-29),1,MIN(60,COLUMN()-29)),OFFSET(ES309,0,-MIN(60,COLUMN()-29),1,MIN(60,COLUMN()-29))),0)</f>
        <v>95.52484872</v>
      </c>
      <c r="ET310" s="9" t="n">
        <f aca="true">IFERROR(SUMPRODUCT(OFFSET($BJ$31,0,1-MIN(60,COLUMN()-29),1,MIN(60,COLUMN()-29)),OFFSET(ET309,0,-MIN(60,COLUMN()-29),1,MIN(60,COLUMN()-29))),0)</f>
        <v>101.31302664</v>
      </c>
      <c r="EU310" s="9" t="n">
        <f aca="true">IFERROR(SUMPRODUCT(OFFSET($BJ$31,0,1-MIN(60,COLUMN()-29),1,MIN(60,COLUMN()-29)),OFFSET(EU309,0,-MIN(60,COLUMN()-29),1,MIN(60,COLUMN()-29))),0)</f>
        <v>101.18456712</v>
      </c>
      <c r="EV310" s="9" t="n">
        <f aca="true">IFERROR(SUMPRODUCT(OFFSET($BJ$31,0,1-MIN(60,COLUMN()-29),1,MIN(60,COLUMN()-29)),OFFSET(EV309,0,-MIN(60,COLUMN()-29),1,MIN(60,COLUMN()-29))),0)</f>
        <v>114.560082</v>
      </c>
      <c r="EW310" s="9" t="n">
        <f aca="true">IFERROR(SUMPRODUCT(OFFSET($BJ$31,0,1-MIN(60,COLUMN()-29),1,MIN(60,COLUMN()-29)),OFFSET(EW309,0,-MIN(60,COLUMN()-29),1,MIN(60,COLUMN()-29))),0)</f>
        <v>118.1096532</v>
      </c>
      <c r="EX310" s="9" t="n">
        <f aca="true">IFERROR(SUMPRODUCT(OFFSET($BJ$31,0,1-MIN(60,COLUMN()-29),1,MIN(60,COLUMN()-29)),OFFSET(EX309,0,-MIN(60,COLUMN()-29),1,MIN(60,COLUMN()-29))),0)</f>
        <v>119.38021704</v>
      </c>
      <c r="EY310" s="9" t="n">
        <f aca="true">IFERROR(SUMPRODUCT(OFFSET($BJ$31,0,1-MIN(60,COLUMN()-29),1,MIN(60,COLUMN()-29)),OFFSET(EY309,0,-MIN(60,COLUMN()-29),1,MIN(60,COLUMN()-29))),0)</f>
        <v>119.49413112</v>
      </c>
      <c r="EZ310" s="9" t="n">
        <f aca="true">IFERROR(SUMPRODUCT(OFFSET($BJ$31,0,1-MIN(60,COLUMN()-29),1,MIN(60,COLUMN()-29)),OFFSET(EZ309,0,-MIN(60,COLUMN()-29),1,MIN(60,COLUMN()-29))),0)</f>
        <v>127.74047832</v>
      </c>
      <c r="FA310" s="9" t="n">
        <f aca="true">IFERROR(SUMPRODUCT(OFFSET($BJ$31,0,1-MIN(60,COLUMN()-29),1,MIN(60,COLUMN()-29)),OFFSET(FA309,0,-MIN(60,COLUMN()-29),1,MIN(60,COLUMN()-29))),0)</f>
        <v>149.16041784</v>
      </c>
      <c r="FB310" s="9" t="n">
        <f aca="true">IFERROR(SUMPRODUCT(OFFSET($BJ$31,0,1-MIN(60,COLUMN()-29),1,MIN(60,COLUMN()-29)),OFFSET(FB309,0,-MIN(60,COLUMN()-29),1,MIN(60,COLUMN()-29))),0)</f>
        <v>149.85992952</v>
      </c>
      <c r="FC310" s="9" t="n">
        <f aca="true">IFERROR(SUMPRODUCT(OFFSET($BJ$31,0,1-MIN(60,COLUMN()-29),1,MIN(60,COLUMN()-29)),OFFSET(FC309,0,-MIN(60,COLUMN()-29),1,MIN(60,COLUMN()-29))),0)</f>
        <v>148.83580152</v>
      </c>
      <c r="FD310" s="9" t="n">
        <f aca="true">IFERROR(SUMPRODUCT(OFFSET($BJ$31,0,1-MIN(60,COLUMN()-29),1,MIN(60,COLUMN()-29)),OFFSET(FD309,0,-MIN(60,COLUMN()-29),1,MIN(60,COLUMN()-29))),0)</f>
        <v>145.9517724</v>
      </c>
      <c r="FE310" s="9" t="n">
        <f aca="true">IFERROR(SUMPRODUCT(OFFSET($BJ$31,0,1-MIN(60,COLUMN()-29),1,MIN(60,COLUMN()-29)),OFFSET(FE309,0,-MIN(60,COLUMN()-29),1,MIN(60,COLUMN()-29))),0)</f>
        <v>162.15253992</v>
      </c>
      <c r="FF310" s="9" t="n">
        <f aca="true">IFERROR(SUMPRODUCT(OFFSET($BJ$31,0,1-MIN(60,COLUMN()-29),1,MIN(60,COLUMN()-29)),OFFSET(FF309,0,-MIN(60,COLUMN()-29),1,MIN(60,COLUMN()-29))),0)</f>
        <v>168.7858452</v>
      </c>
      <c r="FG310" s="9" t="n">
        <f aca="true">IFERROR(SUMPRODUCT(OFFSET($BJ$31,0,1-MIN(60,COLUMN()-29),1,MIN(60,COLUMN()-29)),OFFSET(FG309,0,-MIN(60,COLUMN()-29),1,MIN(60,COLUMN()-29))),0)</f>
        <v>169.53749064</v>
      </c>
      <c r="FH310" s="9" t="n">
        <f aca="true">IFERROR(SUMPRODUCT(OFFSET($BJ$31,0,1-MIN(60,COLUMN()-29),1,MIN(60,COLUMN()-29)),OFFSET(FH309,0,-MIN(60,COLUMN()-29),1,MIN(60,COLUMN()-29))),0)</f>
        <v>184.44206088</v>
      </c>
      <c r="FI310" s="9" t="n">
        <f aca="true">IFERROR(SUMPRODUCT(OFFSET($BJ$31,0,1-MIN(60,COLUMN()-29),1,MIN(60,COLUMN()-29)),OFFSET(FI309,0,-MIN(60,COLUMN()-29),1,MIN(60,COLUMN()-29))),0)</f>
        <v>188.23090104</v>
      </c>
      <c r="FJ310" s="9" t="n">
        <f aca="true">IFERROR(SUMPRODUCT(OFFSET($BJ$31,0,1-MIN(60,COLUMN()-29),1,MIN(60,COLUMN()-29)),OFFSET(FJ309,0,-MIN(60,COLUMN()-29),1,MIN(60,COLUMN()-29))),0)</f>
        <v>189.01149624</v>
      </c>
      <c r="FK310" s="9" t="n">
        <f aca="true">IFERROR(SUMPRODUCT(OFFSET($BJ$31,0,1-MIN(60,COLUMN()-29),1,MIN(60,COLUMN()-29)),OFFSET(FK309,0,-MIN(60,COLUMN()-29),1,MIN(60,COLUMN()-29))),0)</f>
        <v>189.016002</v>
      </c>
      <c r="FL310" s="9" t="n">
        <f aca="true">IFERROR(SUMPRODUCT(OFFSET($BJ$31,0,1-MIN(60,COLUMN()-29),1,MIN(60,COLUMN()-29)),OFFSET(FL309,0,-MIN(60,COLUMN()-29),1,MIN(60,COLUMN()-29))),0)</f>
        <v>197.46741672</v>
      </c>
      <c r="FM310" s="9" t="n">
        <f aca="true">IFERROR(SUMPRODUCT(OFFSET($BJ$31,0,1-MIN(60,COLUMN()-29),1,MIN(60,COLUMN()-29)),OFFSET(FM309,0,-MIN(60,COLUMN()-29),1,MIN(60,COLUMN()-29))),0)</f>
        <v>221.30547768</v>
      </c>
      <c r="FN310" s="9" t="n">
        <f aca="true">IFERROR(SUMPRODUCT(OFFSET($BJ$31,0,1-MIN(60,COLUMN()-29),1,MIN(60,COLUMN()-29)),OFFSET(FN309,0,-MIN(60,COLUMN()-29),1,MIN(60,COLUMN()-29))),0)</f>
        <v>220.4727588</v>
      </c>
      <c r="FO310" s="9" t="n">
        <f aca="true">IFERROR(SUMPRODUCT(OFFSET($BJ$31,0,1-MIN(60,COLUMN()-29),1,MIN(60,COLUMN()-29)),OFFSET(FO309,0,-MIN(60,COLUMN()-29),1,MIN(60,COLUMN()-29))),0)</f>
        <v>218.75536872</v>
      </c>
      <c r="FP310" s="9" t="n">
        <f aca="true">IFERROR(SUMPRODUCT(OFFSET($BJ$31,0,1-MIN(60,COLUMN()-29),1,MIN(60,COLUMN()-29)),OFFSET(FP309,0,-MIN(60,COLUMN()-29),1,MIN(60,COLUMN()-29))),0)</f>
        <v>214.70520456</v>
      </c>
    </row>
    <row r="311" customFormat="false" ht="15" hidden="false" customHeight="false" outlineLevel="2" collapsed="false">
      <c r="B311" s="47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237"/>
      <c r="AD311" s="237"/>
      <c r="AE311" s="237"/>
      <c r="AF311" s="237"/>
      <c r="AG311" s="237"/>
      <c r="AH311" s="237"/>
      <c r="AI311" s="237"/>
      <c r="AJ311" s="237"/>
      <c r="AK311" s="237"/>
      <c r="AL311" s="237"/>
      <c r="AM311" s="237"/>
      <c r="AN311" s="237"/>
      <c r="AO311" s="237"/>
      <c r="AP311" s="237"/>
      <c r="AQ311" s="237"/>
      <c r="AR311" s="237"/>
      <c r="AS311" s="237"/>
      <c r="AT311" s="237"/>
      <c r="AU311" s="237"/>
      <c r="AV311" s="237"/>
      <c r="AW311" s="237"/>
      <c r="AX311" s="237"/>
      <c r="AY311" s="237"/>
      <c r="AZ311" s="237"/>
      <c r="BA311" s="237"/>
      <c r="BB311" s="237"/>
      <c r="BC311" s="237"/>
      <c r="BD311" s="237"/>
      <c r="BE311" s="237"/>
      <c r="BF311" s="237"/>
      <c r="BG311" s="237"/>
      <c r="BH311" s="237"/>
      <c r="BI311" s="237"/>
      <c r="BJ311" s="237"/>
      <c r="BK311" s="237"/>
      <c r="BL311" s="237"/>
      <c r="BM311" s="237"/>
      <c r="BN311" s="237"/>
      <c r="BO311" s="237"/>
      <c r="BP311" s="237"/>
      <c r="BQ311" s="237"/>
      <c r="BR311" s="237"/>
      <c r="BS311" s="237"/>
      <c r="BT311" s="237"/>
      <c r="BU311" s="237"/>
      <c r="BV311" s="237"/>
      <c r="BW311" s="237"/>
      <c r="BX311" s="237"/>
      <c r="BY311" s="237"/>
      <c r="BZ311" s="237"/>
      <c r="CA311" s="237"/>
      <c r="CB311" s="237"/>
      <c r="CC311" s="237"/>
      <c r="CD311" s="237"/>
      <c r="CE311" s="237"/>
      <c r="CF311" s="237"/>
      <c r="CG311" s="237"/>
      <c r="CH311" s="237"/>
      <c r="CI311" s="237"/>
      <c r="CJ311" s="237"/>
      <c r="CK311" s="237"/>
      <c r="CL311" s="237"/>
      <c r="CM311" s="237"/>
      <c r="CN311" s="237"/>
      <c r="CO311" s="237"/>
      <c r="CP311" s="237"/>
      <c r="CQ311" s="237"/>
      <c r="CR311" s="237"/>
      <c r="CS311" s="237"/>
      <c r="CT311" s="237"/>
      <c r="CU311" s="237"/>
      <c r="CV311" s="237"/>
      <c r="CW311" s="237"/>
      <c r="CX311" s="237"/>
      <c r="CY311" s="237"/>
      <c r="CZ311" s="237"/>
      <c r="DA311" s="237"/>
      <c r="DB311" s="237"/>
      <c r="DC311" s="237"/>
      <c r="DD311" s="237"/>
      <c r="DE311" s="237"/>
      <c r="DF311" s="237"/>
      <c r="DG311" s="237"/>
      <c r="DH311" s="237"/>
      <c r="DI311" s="237"/>
      <c r="DJ311" s="237"/>
      <c r="DK311" s="237"/>
      <c r="DL311" s="237"/>
      <c r="DM311" s="237"/>
      <c r="DN311" s="237"/>
      <c r="DO311" s="237"/>
      <c r="DP311" s="237"/>
      <c r="DQ311" s="237"/>
      <c r="DR311" s="237"/>
      <c r="DS311" s="237"/>
      <c r="DT311" s="237"/>
      <c r="DU311" s="237"/>
      <c r="DV311" s="237"/>
      <c r="DW311" s="237"/>
      <c r="DX311" s="237"/>
      <c r="DY311" s="237"/>
      <c r="DZ311" s="237"/>
      <c r="EA311" s="237"/>
      <c r="EB311" s="237"/>
      <c r="EC311" s="237"/>
      <c r="ED311" s="237"/>
      <c r="EE311" s="237"/>
      <c r="EF311" s="237"/>
      <c r="EG311" s="237"/>
      <c r="EH311" s="237"/>
      <c r="EI311" s="237"/>
      <c r="EJ311" s="237"/>
      <c r="EK311" s="237"/>
      <c r="EL311" s="237"/>
      <c r="EM311" s="237"/>
      <c r="EN311" s="237"/>
      <c r="EO311" s="237"/>
      <c r="EP311" s="237"/>
      <c r="EQ311" s="237"/>
      <c r="ER311" s="237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</row>
    <row r="312" customFormat="false" ht="15" hidden="false" customHeight="false" outlineLevel="2" collapsed="false">
      <c r="B312" s="47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237"/>
      <c r="AD312" s="237"/>
      <c r="AE312" s="237"/>
      <c r="AF312" s="237"/>
      <c r="AG312" s="237"/>
      <c r="AH312" s="237"/>
      <c r="AI312" s="237"/>
      <c r="AJ312" s="237"/>
      <c r="AK312" s="237"/>
      <c r="AL312" s="237"/>
      <c r="AM312" s="237"/>
      <c r="AN312" s="237"/>
      <c r="AO312" s="237"/>
      <c r="AP312" s="237"/>
      <c r="AQ312" s="237"/>
      <c r="AR312" s="237"/>
      <c r="AS312" s="237"/>
      <c r="AT312" s="237"/>
      <c r="AU312" s="237"/>
      <c r="AV312" s="237"/>
      <c r="AW312" s="237"/>
      <c r="AX312" s="237"/>
      <c r="AY312" s="237"/>
      <c r="AZ312" s="237"/>
      <c r="BA312" s="237"/>
      <c r="BB312" s="237"/>
      <c r="BC312" s="237"/>
      <c r="BD312" s="237"/>
      <c r="BE312" s="237"/>
      <c r="BF312" s="237"/>
      <c r="BG312" s="237"/>
      <c r="BH312" s="237"/>
      <c r="BI312" s="237"/>
      <c r="BJ312" s="237"/>
      <c r="BK312" s="237"/>
      <c r="BL312" s="237"/>
      <c r="BM312" s="237"/>
      <c r="BN312" s="237"/>
      <c r="BO312" s="237"/>
      <c r="BP312" s="237"/>
      <c r="BQ312" s="237"/>
      <c r="BR312" s="237"/>
      <c r="BS312" s="237"/>
      <c r="BT312" s="237"/>
      <c r="BU312" s="237"/>
      <c r="BV312" s="237"/>
      <c r="BW312" s="237"/>
      <c r="BX312" s="237"/>
      <c r="BY312" s="237"/>
      <c r="BZ312" s="237"/>
      <c r="CA312" s="237"/>
      <c r="CB312" s="237"/>
      <c r="CC312" s="237"/>
      <c r="CD312" s="237"/>
      <c r="CE312" s="237"/>
      <c r="CF312" s="237"/>
      <c r="CG312" s="237"/>
      <c r="CH312" s="237"/>
      <c r="CI312" s="237"/>
      <c r="CJ312" s="237"/>
      <c r="CK312" s="237"/>
      <c r="CL312" s="237"/>
      <c r="CM312" s="237"/>
      <c r="CN312" s="237"/>
      <c r="CO312" s="237"/>
      <c r="CP312" s="237"/>
      <c r="CQ312" s="237"/>
      <c r="CR312" s="237"/>
      <c r="CS312" s="237"/>
      <c r="CT312" s="237"/>
      <c r="CU312" s="237"/>
      <c r="CV312" s="237"/>
      <c r="CW312" s="237"/>
      <c r="CX312" s="237"/>
      <c r="CY312" s="237"/>
      <c r="CZ312" s="237"/>
      <c r="DA312" s="237"/>
      <c r="DB312" s="237"/>
      <c r="DC312" s="237"/>
      <c r="DD312" s="237"/>
      <c r="DE312" s="237"/>
      <c r="DF312" s="237"/>
      <c r="DG312" s="237"/>
      <c r="DH312" s="237"/>
      <c r="DI312" s="237"/>
      <c r="DJ312" s="237"/>
      <c r="DK312" s="237"/>
      <c r="DL312" s="237"/>
      <c r="DM312" s="237"/>
      <c r="DN312" s="237"/>
      <c r="DO312" s="237"/>
      <c r="DP312" s="237"/>
      <c r="DQ312" s="237"/>
      <c r="DR312" s="237"/>
      <c r="DS312" s="237"/>
      <c r="DT312" s="237"/>
      <c r="DU312" s="237"/>
      <c r="DV312" s="237"/>
      <c r="DW312" s="237"/>
      <c r="DX312" s="237"/>
      <c r="DY312" s="237"/>
      <c r="DZ312" s="237"/>
      <c r="EA312" s="237"/>
      <c r="EB312" s="237"/>
      <c r="EC312" s="237"/>
      <c r="ED312" s="237"/>
      <c r="EE312" s="237"/>
      <c r="EF312" s="237"/>
      <c r="EG312" s="237"/>
      <c r="EH312" s="237"/>
      <c r="EI312" s="237"/>
      <c r="EJ312" s="237"/>
      <c r="EK312" s="237"/>
      <c r="EL312" s="237"/>
      <c r="EM312" s="237"/>
      <c r="EN312" s="237"/>
      <c r="EO312" s="237"/>
      <c r="EP312" s="237"/>
      <c r="EQ312" s="237"/>
      <c r="ER312" s="237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</row>
    <row r="313" customFormat="false" ht="15" hidden="false" customHeight="false" outlineLevel="2" collapsed="false">
      <c r="B313" s="47" t="s">
        <v>904</v>
      </c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237"/>
      <c r="AD313" s="237"/>
      <c r="AE313" s="237"/>
      <c r="AF313" s="237"/>
      <c r="AG313" s="237"/>
      <c r="AH313" s="237"/>
      <c r="AI313" s="237"/>
      <c r="AJ313" s="237"/>
      <c r="AK313" s="237"/>
      <c r="AL313" s="237"/>
      <c r="AM313" s="237"/>
      <c r="AN313" s="237"/>
      <c r="AO313" s="237"/>
      <c r="AP313" s="237"/>
      <c r="AQ313" s="237"/>
      <c r="AR313" s="237"/>
      <c r="AS313" s="237"/>
      <c r="AT313" s="237"/>
      <c r="AU313" s="237"/>
      <c r="AV313" s="237"/>
      <c r="AW313" s="237"/>
      <c r="AX313" s="237"/>
      <c r="AY313" s="237"/>
      <c r="AZ313" s="237"/>
      <c r="BA313" s="237"/>
      <c r="BB313" s="237"/>
      <c r="BC313" s="237"/>
      <c r="BD313" s="237"/>
      <c r="BE313" s="237"/>
      <c r="BF313" s="237"/>
      <c r="BG313" s="237"/>
      <c r="BH313" s="237"/>
      <c r="BI313" s="237"/>
      <c r="BJ313" s="237"/>
      <c r="BK313" s="237"/>
      <c r="BL313" s="237"/>
      <c r="BM313" s="237"/>
      <c r="BN313" s="237"/>
      <c r="BO313" s="237"/>
      <c r="BP313" s="237"/>
      <c r="BQ313" s="237"/>
      <c r="BR313" s="237"/>
      <c r="BS313" s="237"/>
      <c r="BT313" s="237"/>
      <c r="BU313" s="237"/>
      <c r="BV313" s="237"/>
      <c r="BW313" s="237"/>
      <c r="BX313" s="237"/>
      <c r="BY313" s="237"/>
      <c r="BZ313" s="237"/>
      <c r="CA313" s="237"/>
      <c r="CB313" s="237"/>
      <c r="CC313" s="237"/>
      <c r="CD313" s="237"/>
      <c r="CE313" s="237"/>
      <c r="CF313" s="237"/>
      <c r="CG313" s="237"/>
      <c r="CH313" s="237"/>
      <c r="CI313" s="237"/>
      <c r="CJ313" s="237"/>
      <c r="CK313" s="237"/>
      <c r="CL313" s="237"/>
      <c r="CM313" s="237"/>
      <c r="CN313" s="237"/>
      <c r="CO313" s="237"/>
      <c r="CP313" s="237"/>
      <c r="CQ313" s="237"/>
      <c r="CR313" s="237"/>
      <c r="CS313" s="237"/>
      <c r="CT313" s="237"/>
      <c r="CU313" s="237"/>
      <c r="CV313" s="237"/>
      <c r="CW313" s="237"/>
      <c r="CX313" s="237"/>
      <c r="CY313" s="237"/>
      <c r="CZ313" s="237"/>
      <c r="DA313" s="237"/>
      <c r="DB313" s="237"/>
      <c r="DC313" s="237"/>
      <c r="DD313" s="237"/>
      <c r="DE313" s="237"/>
      <c r="DF313" s="237"/>
      <c r="DG313" s="237"/>
      <c r="DH313" s="237"/>
      <c r="DI313" s="237"/>
      <c r="DJ313" s="237"/>
      <c r="DK313" s="237"/>
      <c r="DL313" s="237"/>
      <c r="DM313" s="237"/>
      <c r="DN313" s="237"/>
      <c r="DO313" s="237"/>
      <c r="DP313" s="237"/>
      <c r="DQ313" s="237"/>
      <c r="DR313" s="237"/>
      <c r="DS313" s="237"/>
      <c r="DT313" s="237"/>
      <c r="DU313" s="237"/>
      <c r="DV313" s="237"/>
      <c r="DW313" s="237"/>
      <c r="DX313" s="237"/>
      <c r="DY313" s="237"/>
      <c r="DZ313" s="237"/>
      <c r="EA313" s="237"/>
      <c r="EB313" s="237"/>
      <c r="EC313" s="237"/>
      <c r="ED313" s="237"/>
      <c r="EE313" s="237"/>
      <c r="EF313" s="237"/>
      <c r="EG313" s="237"/>
      <c r="EH313" s="237"/>
      <c r="EI313" s="237"/>
      <c r="EJ313" s="237"/>
      <c r="EK313" s="237"/>
      <c r="EL313" s="237"/>
      <c r="EM313" s="237"/>
      <c r="EN313" s="237"/>
      <c r="EO313" s="237"/>
      <c r="EP313" s="237"/>
      <c r="EQ313" s="237"/>
      <c r="ER313" s="237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  <c r="FJ313" s="9"/>
      <c r="FK313" s="9"/>
      <c r="FL313" s="9"/>
      <c r="FM313" s="9"/>
      <c r="FN313" s="9"/>
      <c r="FO313" s="9"/>
      <c r="FP313" s="9"/>
    </row>
    <row r="314" customFormat="false" ht="15" hidden="false" customHeight="false" outlineLevel="2" collapsed="false">
      <c r="B314" s="47" t="s">
        <v>872</v>
      </c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237" t="n">
        <f aca="false">('⑫ Roll-out Plan'!G36-2025)*12+'⑫ Roll-out Plan'!F36</f>
        <v>87</v>
      </c>
      <c r="AD314" s="237"/>
      <c r="AE314" s="237"/>
      <c r="AF314" s="237"/>
      <c r="AG314" s="237"/>
      <c r="AH314" s="237"/>
      <c r="AI314" s="237"/>
      <c r="AJ314" s="237"/>
      <c r="AK314" s="237"/>
      <c r="AL314" s="237"/>
      <c r="AM314" s="237"/>
      <c r="AN314" s="237"/>
      <c r="AO314" s="237"/>
      <c r="AP314" s="237"/>
      <c r="AQ314" s="237"/>
      <c r="AR314" s="237"/>
      <c r="AS314" s="237"/>
      <c r="AT314" s="237"/>
      <c r="AU314" s="237"/>
      <c r="AV314" s="237"/>
      <c r="AW314" s="237"/>
      <c r="AX314" s="237"/>
      <c r="AY314" s="237"/>
      <c r="AZ314" s="237"/>
      <c r="BA314" s="237"/>
      <c r="BB314" s="237"/>
      <c r="BC314" s="237"/>
      <c r="BD314" s="237"/>
      <c r="BE314" s="237"/>
      <c r="BF314" s="237"/>
      <c r="BG314" s="237"/>
      <c r="BH314" s="237"/>
      <c r="BI314" s="237"/>
      <c r="BJ314" s="237"/>
      <c r="BK314" s="237"/>
      <c r="BL314" s="237"/>
      <c r="BM314" s="237"/>
      <c r="BN314" s="237"/>
      <c r="BO314" s="237"/>
      <c r="BP314" s="237"/>
      <c r="BQ314" s="237"/>
      <c r="BR314" s="237"/>
      <c r="BS314" s="237"/>
      <c r="BT314" s="237"/>
      <c r="BU314" s="237"/>
      <c r="BV314" s="237"/>
      <c r="BW314" s="237"/>
      <c r="BX314" s="237"/>
      <c r="BY314" s="237"/>
      <c r="BZ314" s="237"/>
      <c r="CA314" s="237"/>
      <c r="CB314" s="237"/>
      <c r="CC314" s="237"/>
      <c r="CD314" s="237"/>
      <c r="CE314" s="237"/>
      <c r="CF314" s="237"/>
      <c r="CG314" s="237"/>
      <c r="CH314" s="237"/>
      <c r="CI314" s="237"/>
      <c r="CJ314" s="237"/>
      <c r="CK314" s="237"/>
      <c r="CL314" s="237"/>
      <c r="CM314" s="237"/>
      <c r="CN314" s="237"/>
      <c r="CO314" s="237"/>
      <c r="CP314" s="237"/>
      <c r="CQ314" s="237"/>
      <c r="CR314" s="237"/>
      <c r="CS314" s="237"/>
      <c r="CT314" s="237"/>
      <c r="CU314" s="237"/>
      <c r="CV314" s="237"/>
      <c r="CW314" s="237"/>
      <c r="CX314" s="237"/>
      <c r="CY314" s="237"/>
      <c r="CZ314" s="237"/>
      <c r="DA314" s="237"/>
      <c r="DB314" s="237"/>
      <c r="DC314" s="237"/>
      <c r="DD314" s="237"/>
      <c r="DE314" s="237"/>
      <c r="DF314" s="237"/>
      <c r="DG314" s="237"/>
      <c r="DH314" s="237"/>
      <c r="DI314" s="237"/>
      <c r="DJ314" s="237"/>
      <c r="DK314" s="237"/>
      <c r="DL314" s="237"/>
      <c r="DM314" s="237"/>
      <c r="DN314" s="237"/>
      <c r="DO314" s="237"/>
      <c r="DP314" s="237"/>
      <c r="DQ314" s="237"/>
      <c r="DR314" s="237"/>
      <c r="DS314" s="237"/>
      <c r="DT314" s="237"/>
      <c r="DU314" s="237"/>
      <c r="DV314" s="237"/>
      <c r="DW314" s="237"/>
      <c r="DX314" s="237"/>
      <c r="DY314" s="237"/>
      <c r="DZ314" s="237"/>
      <c r="EA314" s="237"/>
      <c r="EB314" s="237"/>
      <c r="EC314" s="237"/>
      <c r="ED314" s="237"/>
      <c r="EE314" s="237"/>
      <c r="EF314" s="237"/>
      <c r="EG314" s="237"/>
      <c r="EH314" s="237"/>
      <c r="EI314" s="237"/>
      <c r="EJ314" s="237"/>
      <c r="EK314" s="237"/>
      <c r="EL314" s="237"/>
      <c r="EM314" s="237"/>
      <c r="EN314" s="237"/>
      <c r="EO314" s="237"/>
      <c r="EP314" s="237"/>
      <c r="EQ314" s="237"/>
      <c r="ER314" s="237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</row>
    <row r="315" customFormat="false" ht="15" hidden="false" customHeight="false" outlineLevel="2" collapsed="false">
      <c r="B315" s="47" t="s">
        <v>873</v>
      </c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237" t="n">
        <f aca="false">VLOOKUP("B",$B$14:$C$18,2,FALSE())</f>
        <v>185</v>
      </c>
      <c r="AD315" s="237"/>
      <c r="AE315" s="237"/>
      <c r="AF315" s="237"/>
      <c r="AG315" s="237"/>
      <c r="AH315" s="237"/>
      <c r="AI315" s="237"/>
      <c r="AJ315" s="237"/>
      <c r="AK315" s="237"/>
      <c r="AL315" s="237"/>
      <c r="AM315" s="237"/>
      <c r="AN315" s="237"/>
      <c r="AO315" s="237"/>
      <c r="AP315" s="237"/>
      <c r="AQ315" s="237"/>
      <c r="AR315" s="237"/>
      <c r="AS315" s="237"/>
      <c r="AT315" s="237"/>
      <c r="AU315" s="237"/>
      <c r="AV315" s="237"/>
      <c r="AW315" s="237"/>
      <c r="AX315" s="237"/>
      <c r="AY315" s="237"/>
      <c r="AZ315" s="237"/>
      <c r="BA315" s="237"/>
      <c r="BB315" s="237"/>
      <c r="BC315" s="237"/>
      <c r="BD315" s="237"/>
      <c r="BE315" s="237"/>
      <c r="BF315" s="237"/>
      <c r="BG315" s="237"/>
      <c r="BH315" s="237"/>
      <c r="BI315" s="237"/>
      <c r="BJ315" s="237"/>
      <c r="BK315" s="237"/>
      <c r="BL315" s="237"/>
      <c r="BM315" s="237"/>
      <c r="BN315" s="237"/>
      <c r="BO315" s="237"/>
      <c r="BP315" s="237"/>
      <c r="BQ315" s="237"/>
      <c r="BR315" s="237"/>
      <c r="BS315" s="237"/>
      <c r="BT315" s="237"/>
      <c r="BU315" s="237"/>
      <c r="BV315" s="237"/>
      <c r="BW315" s="237"/>
      <c r="BX315" s="237"/>
      <c r="BY315" s="237"/>
      <c r="BZ315" s="237"/>
      <c r="CA315" s="237"/>
      <c r="CB315" s="237"/>
      <c r="CC315" s="237"/>
      <c r="CD315" s="237"/>
      <c r="CE315" s="237"/>
      <c r="CF315" s="237"/>
      <c r="CG315" s="237"/>
      <c r="CH315" s="237"/>
      <c r="CI315" s="237"/>
      <c r="CJ315" s="237"/>
      <c r="CK315" s="237"/>
      <c r="CL315" s="237"/>
      <c r="CM315" s="237"/>
      <c r="CN315" s="237"/>
      <c r="CO315" s="237"/>
      <c r="CP315" s="237"/>
      <c r="CQ315" s="237"/>
      <c r="CR315" s="237"/>
      <c r="CS315" s="237"/>
      <c r="CT315" s="237"/>
      <c r="CU315" s="237"/>
      <c r="CV315" s="237"/>
      <c r="CW315" s="237"/>
      <c r="CX315" s="237"/>
      <c r="CY315" s="237"/>
      <c r="CZ315" s="237"/>
      <c r="DA315" s="237"/>
      <c r="DB315" s="237"/>
      <c r="DC315" s="237"/>
      <c r="DD315" s="237"/>
      <c r="DE315" s="237"/>
      <c r="DF315" s="237"/>
      <c r="DG315" s="237"/>
      <c r="DH315" s="237"/>
      <c r="DI315" s="237"/>
      <c r="DJ315" s="237"/>
      <c r="DK315" s="237"/>
      <c r="DL315" s="237"/>
      <c r="DM315" s="237"/>
      <c r="DN315" s="237"/>
      <c r="DO315" s="237"/>
      <c r="DP315" s="237"/>
      <c r="DQ315" s="237"/>
      <c r="DR315" s="237"/>
      <c r="DS315" s="237"/>
      <c r="DT315" s="237"/>
      <c r="DU315" s="237"/>
      <c r="DV315" s="237"/>
      <c r="DW315" s="237"/>
      <c r="DX315" s="237"/>
      <c r="DY315" s="237"/>
      <c r="DZ315" s="237"/>
      <c r="EA315" s="237"/>
      <c r="EB315" s="237"/>
      <c r="EC315" s="237"/>
      <c r="ED315" s="237"/>
      <c r="EE315" s="237"/>
      <c r="EF315" s="237"/>
      <c r="EG315" s="237"/>
      <c r="EH315" s="237"/>
      <c r="EI315" s="237"/>
      <c r="EJ315" s="237"/>
      <c r="EK315" s="237"/>
      <c r="EL315" s="237"/>
      <c r="EM315" s="237"/>
      <c r="EN315" s="237"/>
      <c r="EO315" s="237"/>
      <c r="EP315" s="237"/>
      <c r="EQ315" s="237"/>
      <c r="ER315" s="237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  <c r="FJ315" s="9"/>
      <c r="FK315" s="9"/>
      <c r="FL315" s="9"/>
      <c r="FM315" s="9"/>
      <c r="FN315" s="9"/>
      <c r="FO315" s="9"/>
      <c r="FP315" s="9"/>
    </row>
    <row r="316" customFormat="false" ht="15" hidden="false" customHeight="false" outlineLevel="2" collapsed="false">
      <c r="B316" s="47" t="s">
        <v>799</v>
      </c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237" t="n">
        <f aca="false">IF(AC$35&gt;=$AC$314,AC$35-$AC$314+1,0)</f>
        <v>0</v>
      </c>
      <c r="AD316" s="237" t="n">
        <f aca="false">IF(AD$35&gt;=$AC$314,AD$35-$AC$314+1,0)</f>
        <v>0</v>
      </c>
      <c r="AE316" s="237" t="n">
        <f aca="false">IF(AE$35&gt;=$AC$314,AE$35-$AC$314+1,0)</f>
        <v>0</v>
      </c>
      <c r="AF316" s="237" t="n">
        <f aca="false">IF(AF$35&gt;=$AC$314,AF$35-$AC$314+1,0)</f>
        <v>0</v>
      </c>
      <c r="AG316" s="237" t="n">
        <f aca="false">IF(AG$35&gt;=$AC$314,AG$35-$AC$314+1,0)</f>
        <v>0</v>
      </c>
      <c r="AH316" s="237" t="n">
        <f aca="false">IF(AH$35&gt;=$AC$314,AH$35-$AC$314+1,0)</f>
        <v>0</v>
      </c>
      <c r="AI316" s="237" t="n">
        <f aca="false">IF(AI$35&gt;=$AC$314,AI$35-$AC$314+1,0)</f>
        <v>0</v>
      </c>
      <c r="AJ316" s="237" t="n">
        <f aca="false">IF(AJ$35&gt;=$AC$314,AJ$35-$AC$314+1,0)</f>
        <v>0</v>
      </c>
      <c r="AK316" s="237" t="n">
        <f aca="false">IF(AK$35&gt;=$AC$314,AK$35-$AC$314+1,0)</f>
        <v>0</v>
      </c>
      <c r="AL316" s="237" t="n">
        <f aca="false">IF(AL$35&gt;=$AC$314,AL$35-$AC$314+1,0)</f>
        <v>0</v>
      </c>
      <c r="AM316" s="237" t="n">
        <f aca="false">IF(AM$35&gt;=$AC$314,AM$35-$AC$314+1,0)</f>
        <v>0</v>
      </c>
      <c r="AN316" s="237" t="n">
        <f aca="false">IF(AN$35&gt;=$AC$314,AN$35-$AC$314+1,0)</f>
        <v>0</v>
      </c>
      <c r="AO316" s="237" t="n">
        <f aca="false">IF(AO$35&gt;=$AC$314,AO$35-$AC$314+1,0)</f>
        <v>0</v>
      </c>
      <c r="AP316" s="237" t="n">
        <f aca="false">IF(AP$35&gt;=$AC$314,AP$35-$AC$314+1,0)</f>
        <v>0</v>
      </c>
      <c r="AQ316" s="237" t="n">
        <f aca="false">IF(AQ$35&gt;=$AC$314,AQ$35-$AC$314+1,0)</f>
        <v>0</v>
      </c>
      <c r="AR316" s="237" t="n">
        <f aca="false">IF(AR$35&gt;=$AC$314,AR$35-$AC$314+1,0)</f>
        <v>0</v>
      </c>
      <c r="AS316" s="237" t="n">
        <f aca="false">IF(AS$35&gt;=$AC$314,AS$35-$AC$314+1,0)</f>
        <v>0</v>
      </c>
      <c r="AT316" s="237" t="n">
        <f aca="false">IF(AT$35&gt;=$AC$314,AT$35-$AC$314+1,0)</f>
        <v>0</v>
      </c>
      <c r="AU316" s="237" t="n">
        <f aca="false">IF(AU$35&gt;=$AC$314,AU$35-$AC$314+1,0)</f>
        <v>0</v>
      </c>
      <c r="AV316" s="237" t="n">
        <f aca="false">IF(AV$35&gt;=$AC$314,AV$35-$AC$314+1,0)</f>
        <v>0</v>
      </c>
      <c r="AW316" s="237" t="n">
        <f aca="false">IF(AW$35&gt;=$AC$314,AW$35-$AC$314+1,0)</f>
        <v>0</v>
      </c>
      <c r="AX316" s="237" t="n">
        <f aca="false">IF(AX$35&gt;=$AC$314,AX$35-$AC$314+1,0)</f>
        <v>0</v>
      </c>
      <c r="AY316" s="237" t="n">
        <f aca="false">IF(AY$35&gt;=$AC$314,AY$35-$AC$314+1,0)</f>
        <v>0</v>
      </c>
      <c r="AZ316" s="237" t="n">
        <f aca="false">IF(AZ$35&gt;=$AC$314,AZ$35-$AC$314+1,0)</f>
        <v>0</v>
      </c>
      <c r="BA316" s="237" t="n">
        <f aca="false">IF(BA$35&gt;=$AC$314,BA$35-$AC$314+1,0)</f>
        <v>0</v>
      </c>
      <c r="BB316" s="237" t="n">
        <f aca="false">IF(BB$35&gt;=$AC$314,BB$35-$AC$314+1,0)</f>
        <v>0</v>
      </c>
      <c r="BC316" s="237" t="n">
        <f aca="false">IF(BC$35&gt;=$AC$314,BC$35-$AC$314+1,0)</f>
        <v>0</v>
      </c>
      <c r="BD316" s="237" t="n">
        <f aca="false">IF(BD$35&gt;=$AC$314,BD$35-$AC$314+1,0)</f>
        <v>0</v>
      </c>
      <c r="BE316" s="237" t="n">
        <f aca="false">IF(BE$35&gt;=$AC$314,BE$35-$AC$314+1,0)</f>
        <v>0</v>
      </c>
      <c r="BF316" s="237" t="n">
        <f aca="false">IF(BF$35&gt;=$AC$314,BF$35-$AC$314+1,0)</f>
        <v>0</v>
      </c>
      <c r="BG316" s="237" t="n">
        <f aca="false">IF(BG$35&gt;=$AC$314,BG$35-$AC$314+1,0)</f>
        <v>0</v>
      </c>
      <c r="BH316" s="237" t="n">
        <f aca="false">IF(BH$35&gt;=$AC$314,BH$35-$AC$314+1,0)</f>
        <v>0</v>
      </c>
      <c r="BI316" s="237" t="n">
        <f aca="false">IF(BI$35&gt;=$AC$314,BI$35-$AC$314+1,0)</f>
        <v>0</v>
      </c>
      <c r="BJ316" s="237" t="n">
        <f aca="false">IF(BJ$35&gt;=$AC$314,BJ$35-$AC$314+1,0)</f>
        <v>0</v>
      </c>
      <c r="BK316" s="237" t="n">
        <f aca="false">IF(BK$35&gt;=$AC$314,BK$35-$AC$314+1,0)</f>
        <v>0</v>
      </c>
      <c r="BL316" s="237" t="n">
        <f aca="false">IF(BL$35&gt;=$AC$314,BL$35-$AC$314+1,0)</f>
        <v>0</v>
      </c>
      <c r="BM316" s="237" t="n">
        <f aca="false">IF(BM$35&gt;=$AC$314,BM$35-$AC$314+1,0)</f>
        <v>0</v>
      </c>
      <c r="BN316" s="237" t="n">
        <f aca="false">IF(BN$35&gt;=$AC$314,BN$35-$AC$314+1,0)</f>
        <v>0</v>
      </c>
      <c r="BO316" s="237" t="n">
        <f aca="false">IF(BO$35&gt;=$AC$314,BO$35-$AC$314+1,0)</f>
        <v>0</v>
      </c>
      <c r="BP316" s="237" t="n">
        <f aca="false">IF(BP$35&gt;=$AC$314,BP$35-$AC$314+1,0)</f>
        <v>0</v>
      </c>
      <c r="BQ316" s="237" t="n">
        <f aca="false">IF(BQ$35&gt;=$AC$314,BQ$35-$AC$314+1,0)</f>
        <v>0</v>
      </c>
      <c r="BR316" s="237" t="n">
        <f aca="false">IF(BR$35&gt;=$AC$314,BR$35-$AC$314+1,0)</f>
        <v>0</v>
      </c>
      <c r="BS316" s="237" t="n">
        <f aca="false">IF(BS$35&gt;=$AC$314,BS$35-$AC$314+1,0)</f>
        <v>0</v>
      </c>
      <c r="BT316" s="237" t="n">
        <f aca="false">IF(BT$35&gt;=$AC$314,BT$35-$AC$314+1,0)</f>
        <v>0</v>
      </c>
      <c r="BU316" s="237" t="n">
        <f aca="false">IF(BU$35&gt;=$AC$314,BU$35-$AC$314+1,0)</f>
        <v>0</v>
      </c>
      <c r="BV316" s="237" t="n">
        <f aca="false">IF(BV$35&gt;=$AC$314,BV$35-$AC$314+1,0)</f>
        <v>0</v>
      </c>
      <c r="BW316" s="237" t="n">
        <f aca="false">IF(BW$35&gt;=$AC$314,BW$35-$AC$314+1,0)</f>
        <v>0</v>
      </c>
      <c r="BX316" s="237" t="n">
        <f aca="false">IF(BX$35&gt;=$AC$314,BX$35-$AC$314+1,0)</f>
        <v>0</v>
      </c>
      <c r="BY316" s="237" t="n">
        <f aca="false">IF(BY$35&gt;=$AC$314,BY$35-$AC$314+1,0)</f>
        <v>0</v>
      </c>
      <c r="BZ316" s="237" t="n">
        <f aca="false">IF(BZ$35&gt;=$AC$314,BZ$35-$AC$314+1,0)</f>
        <v>0</v>
      </c>
      <c r="CA316" s="237" t="n">
        <f aca="false">IF(CA$35&gt;=$AC$314,CA$35-$AC$314+1,0)</f>
        <v>0</v>
      </c>
      <c r="CB316" s="237" t="n">
        <f aca="false">IF(CB$35&gt;=$AC$314,CB$35-$AC$314+1,0)</f>
        <v>0</v>
      </c>
      <c r="CC316" s="237" t="n">
        <f aca="false">IF(CC$35&gt;=$AC$314,CC$35-$AC$314+1,0)</f>
        <v>0</v>
      </c>
      <c r="CD316" s="237" t="n">
        <f aca="false">IF(CD$35&gt;=$AC$314,CD$35-$AC$314+1,0)</f>
        <v>0</v>
      </c>
      <c r="CE316" s="237" t="n">
        <f aca="false">IF(CE$35&gt;=$AC$314,CE$35-$AC$314+1,0)</f>
        <v>0</v>
      </c>
      <c r="CF316" s="237" t="n">
        <f aca="false">IF(CF$35&gt;=$AC$314,CF$35-$AC$314+1,0)</f>
        <v>0</v>
      </c>
      <c r="CG316" s="237" t="n">
        <f aca="false">IF(CG$35&gt;=$AC$314,CG$35-$AC$314+1,0)</f>
        <v>0</v>
      </c>
      <c r="CH316" s="237" t="n">
        <f aca="false">IF(CH$35&gt;=$AC$314,CH$35-$AC$314+1,0)</f>
        <v>0</v>
      </c>
      <c r="CI316" s="237" t="n">
        <f aca="false">IF(CI$35&gt;=$AC$314,CI$35-$AC$314+1,0)</f>
        <v>0</v>
      </c>
      <c r="CJ316" s="237" t="n">
        <f aca="false">IF(CJ$35&gt;=$AC$314,CJ$35-$AC$314+1,0)</f>
        <v>0</v>
      </c>
      <c r="CK316" s="237" t="n">
        <f aca="false">IF(CK$35&gt;=$AC$314,CK$35-$AC$314+1,0)</f>
        <v>0</v>
      </c>
      <c r="CL316" s="237" t="n">
        <f aca="false">IF(CL$35&gt;=$AC$314,CL$35-$AC$314+1,0)</f>
        <v>0</v>
      </c>
      <c r="CM316" s="237" t="n">
        <f aca="false">IF(CM$35&gt;=$AC$314,CM$35-$AC$314+1,0)</f>
        <v>0</v>
      </c>
      <c r="CN316" s="237" t="n">
        <f aca="false">IF(CN$35&gt;=$AC$314,CN$35-$AC$314+1,0)</f>
        <v>0</v>
      </c>
      <c r="CO316" s="237" t="n">
        <f aca="false">IF(CO$35&gt;=$AC$314,CO$35-$AC$314+1,0)</f>
        <v>0</v>
      </c>
      <c r="CP316" s="237" t="n">
        <f aca="false">IF(CP$35&gt;=$AC$314,CP$35-$AC$314+1,0)</f>
        <v>0</v>
      </c>
      <c r="CQ316" s="237" t="n">
        <f aca="false">IF(CQ$35&gt;=$AC$314,CQ$35-$AC$314+1,0)</f>
        <v>0</v>
      </c>
      <c r="CR316" s="237" t="n">
        <f aca="false">IF(CR$35&gt;=$AC$314,CR$35-$AC$314+1,0)</f>
        <v>0</v>
      </c>
      <c r="CS316" s="237" t="n">
        <f aca="false">IF(CS$35&gt;=$AC$314,CS$35-$AC$314+1,0)</f>
        <v>0</v>
      </c>
      <c r="CT316" s="237" t="n">
        <f aca="false">IF(CT$35&gt;=$AC$314,CT$35-$AC$314+1,0)</f>
        <v>0</v>
      </c>
      <c r="CU316" s="237" t="n">
        <f aca="false">IF(CU$35&gt;=$AC$314,CU$35-$AC$314+1,0)</f>
        <v>0</v>
      </c>
      <c r="CV316" s="237" t="n">
        <f aca="false">IF(CV$35&gt;=$AC$314,CV$35-$AC$314+1,0)</f>
        <v>0</v>
      </c>
      <c r="CW316" s="237" t="n">
        <f aca="false">IF(CW$35&gt;=$AC$314,CW$35-$AC$314+1,0)</f>
        <v>0</v>
      </c>
      <c r="CX316" s="237" t="n">
        <f aca="false">IF(CX$35&gt;=$AC$314,CX$35-$AC$314+1,0)</f>
        <v>0</v>
      </c>
      <c r="CY316" s="237" t="n">
        <f aca="false">IF(CY$35&gt;=$AC$314,CY$35-$AC$314+1,0)</f>
        <v>0</v>
      </c>
      <c r="CZ316" s="237" t="n">
        <f aca="false">IF(CZ$35&gt;=$AC$314,CZ$35-$AC$314+1,0)</f>
        <v>0</v>
      </c>
      <c r="DA316" s="237" t="n">
        <f aca="false">IF(DA$35&gt;=$AC$314,DA$35-$AC$314+1,0)</f>
        <v>0</v>
      </c>
      <c r="DB316" s="237" t="n">
        <f aca="false">IF(DB$35&gt;=$AC$314,DB$35-$AC$314+1,0)</f>
        <v>0</v>
      </c>
      <c r="DC316" s="237" t="n">
        <f aca="false">IF(DC$35&gt;=$AC$314,DC$35-$AC$314+1,0)</f>
        <v>0</v>
      </c>
      <c r="DD316" s="237" t="n">
        <f aca="false">IF(DD$35&gt;=$AC$314,DD$35-$AC$314+1,0)</f>
        <v>0</v>
      </c>
      <c r="DE316" s="237" t="n">
        <f aca="false">IF(DE$35&gt;=$AC$314,DE$35-$AC$314+1,0)</f>
        <v>0</v>
      </c>
      <c r="DF316" s="237" t="n">
        <f aca="false">IF(DF$35&gt;=$AC$314,DF$35-$AC$314+1,0)</f>
        <v>0</v>
      </c>
      <c r="DG316" s="237" t="n">
        <f aca="false">IF(DG$35&gt;=$AC$314,DG$35-$AC$314+1,0)</f>
        <v>0</v>
      </c>
      <c r="DH316" s="237" t="n">
        <f aca="false">IF(DH$35&gt;=$AC$314,DH$35-$AC$314+1,0)</f>
        <v>0</v>
      </c>
      <c r="DI316" s="237" t="n">
        <f aca="false">IF(DI$35&gt;=$AC$314,DI$35-$AC$314+1,0)</f>
        <v>0</v>
      </c>
      <c r="DJ316" s="237" t="n">
        <f aca="false">IF(DJ$35&gt;=$AC$314,DJ$35-$AC$314+1,0)</f>
        <v>0</v>
      </c>
      <c r="DK316" s="237" t="n">
        <f aca="false">IF(DK$35&gt;=$AC$314,DK$35-$AC$314+1,0)</f>
        <v>1</v>
      </c>
      <c r="DL316" s="237" t="n">
        <f aca="false">IF(DL$35&gt;=$AC$314,DL$35-$AC$314+1,0)</f>
        <v>2</v>
      </c>
      <c r="DM316" s="237" t="n">
        <f aca="false">IF(DM$35&gt;=$AC$314,DM$35-$AC$314+1,0)</f>
        <v>3</v>
      </c>
      <c r="DN316" s="237" t="n">
        <f aca="false">IF(DN$35&gt;=$AC$314,DN$35-$AC$314+1,0)</f>
        <v>4</v>
      </c>
      <c r="DO316" s="237" t="n">
        <f aca="false">IF(DO$35&gt;=$AC$314,DO$35-$AC$314+1,0)</f>
        <v>5</v>
      </c>
      <c r="DP316" s="237" t="n">
        <f aca="false">IF(DP$35&gt;=$AC$314,DP$35-$AC$314+1,0)</f>
        <v>6</v>
      </c>
      <c r="DQ316" s="237" t="n">
        <f aca="false">IF(DQ$35&gt;=$AC$314,DQ$35-$AC$314+1,0)</f>
        <v>7</v>
      </c>
      <c r="DR316" s="237" t="n">
        <f aca="false">IF(DR$35&gt;=$AC$314,DR$35-$AC$314+1,0)</f>
        <v>8</v>
      </c>
      <c r="DS316" s="237" t="n">
        <f aca="false">IF(DS$35&gt;=$AC$314,DS$35-$AC$314+1,0)</f>
        <v>9</v>
      </c>
      <c r="DT316" s="237" t="n">
        <f aca="false">IF(DT$35&gt;=$AC$314,DT$35-$AC$314+1,0)</f>
        <v>10</v>
      </c>
      <c r="DU316" s="237" t="n">
        <f aca="false">IF(DU$35&gt;=$AC$314,DU$35-$AC$314+1,0)</f>
        <v>11</v>
      </c>
      <c r="DV316" s="237" t="n">
        <f aca="false">IF(DV$35&gt;=$AC$314,DV$35-$AC$314+1,0)</f>
        <v>12</v>
      </c>
      <c r="DW316" s="237" t="n">
        <f aca="false">IF(DW$35&gt;=$AC$314,DW$35-$AC$314+1,0)</f>
        <v>13</v>
      </c>
      <c r="DX316" s="237" t="n">
        <f aca="false">IF(DX$35&gt;=$AC$314,DX$35-$AC$314+1,0)</f>
        <v>14</v>
      </c>
      <c r="DY316" s="237" t="n">
        <f aca="false">IF(DY$35&gt;=$AC$314,DY$35-$AC$314+1,0)</f>
        <v>15</v>
      </c>
      <c r="DZ316" s="237" t="n">
        <f aca="false">IF(DZ$35&gt;=$AC$314,DZ$35-$AC$314+1,0)</f>
        <v>16</v>
      </c>
      <c r="EA316" s="237" t="n">
        <f aca="false">IF(EA$35&gt;=$AC$314,EA$35-$AC$314+1,0)</f>
        <v>17</v>
      </c>
      <c r="EB316" s="237" t="n">
        <f aca="false">IF(EB$35&gt;=$AC$314,EB$35-$AC$314+1,0)</f>
        <v>18</v>
      </c>
      <c r="EC316" s="237" t="n">
        <f aca="false">IF(EC$35&gt;=$AC$314,EC$35-$AC$314+1,0)</f>
        <v>19</v>
      </c>
      <c r="ED316" s="237" t="n">
        <f aca="false">IF(ED$35&gt;=$AC$314,ED$35-$AC$314+1,0)</f>
        <v>20</v>
      </c>
      <c r="EE316" s="237" t="n">
        <f aca="false">IF(EE$35&gt;=$AC$314,EE$35-$AC$314+1,0)</f>
        <v>21</v>
      </c>
      <c r="EF316" s="237" t="n">
        <f aca="false">IF(EF$35&gt;=$AC$314,EF$35-$AC$314+1,0)</f>
        <v>22</v>
      </c>
      <c r="EG316" s="237" t="n">
        <f aca="false">IF(EG$35&gt;=$AC$314,EG$35-$AC$314+1,0)</f>
        <v>23</v>
      </c>
      <c r="EH316" s="237" t="n">
        <f aca="false">IF(EH$35&gt;=$AC$314,EH$35-$AC$314+1,0)</f>
        <v>24</v>
      </c>
      <c r="EI316" s="237" t="n">
        <f aca="false">IF(EI$35&gt;=$AC$314,EI$35-$AC$314+1,0)</f>
        <v>25</v>
      </c>
      <c r="EJ316" s="237" t="n">
        <f aca="false">IF(EJ$35&gt;=$AC$314,EJ$35-$AC$314+1,0)</f>
        <v>26</v>
      </c>
      <c r="EK316" s="237" t="n">
        <f aca="false">IF(EK$35&gt;=$AC$314,EK$35-$AC$314+1,0)</f>
        <v>27</v>
      </c>
      <c r="EL316" s="237" t="n">
        <f aca="false">IF(EL$35&gt;=$AC$314,EL$35-$AC$314+1,0)</f>
        <v>28</v>
      </c>
      <c r="EM316" s="237" t="n">
        <f aca="false">IF(EM$35&gt;=$AC$314,EM$35-$AC$314+1,0)</f>
        <v>29</v>
      </c>
      <c r="EN316" s="237" t="n">
        <f aca="false">IF(EN$35&gt;=$AC$314,EN$35-$AC$314+1,0)</f>
        <v>30</v>
      </c>
      <c r="EO316" s="237" t="n">
        <f aca="false">IF(EO$35&gt;=$AC$314,EO$35-$AC$314+1,0)</f>
        <v>31</v>
      </c>
      <c r="EP316" s="237" t="n">
        <f aca="false">IF(EP$35&gt;=$AC$314,EP$35-$AC$314+1,0)</f>
        <v>32</v>
      </c>
      <c r="EQ316" s="237" t="n">
        <f aca="false">IF(EQ$35&gt;=$AC$314,EQ$35-$AC$314+1,0)</f>
        <v>33</v>
      </c>
      <c r="ER316" s="237" t="n">
        <f aca="false">IF(ER$35&gt;=$AC$314,ER$35-$AC$314+1,0)</f>
        <v>34</v>
      </c>
      <c r="ES316" s="9" t="n">
        <f aca="false">IF(ES$35&gt;=$AC$314,ES$35-$AC$314+1,0)</f>
        <v>35</v>
      </c>
      <c r="ET316" s="9" t="n">
        <f aca="false">IF(ET$35&gt;=$AC$314,ET$35-$AC$314+1,0)</f>
        <v>36</v>
      </c>
      <c r="EU316" s="9" t="n">
        <f aca="false">IF(EU$35&gt;=$AC$314,EU$35-$AC$314+1,0)</f>
        <v>37</v>
      </c>
      <c r="EV316" s="9" t="n">
        <f aca="false">IF(EV$35&gt;=$AC$314,EV$35-$AC$314+1,0)</f>
        <v>38</v>
      </c>
      <c r="EW316" s="9" t="n">
        <f aca="false">IF(EW$35&gt;=$AC$314,EW$35-$AC$314+1,0)</f>
        <v>39</v>
      </c>
      <c r="EX316" s="9" t="n">
        <f aca="false">IF(EX$35&gt;=$AC$314,EX$35-$AC$314+1,0)</f>
        <v>40</v>
      </c>
      <c r="EY316" s="9" t="n">
        <f aca="false">IF(EY$35&gt;=$AC$314,EY$35-$AC$314+1,0)</f>
        <v>41</v>
      </c>
      <c r="EZ316" s="9" t="n">
        <f aca="false">IF(EZ$35&gt;=$AC$314,EZ$35-$AC$314+1,0)</f>
        <v>42</v>
      </c>
      <c r="FA316" s="9" t="n">
        <f aca="false">IF(FA$35&gt;=$AC$314,FA$35-$AC$314+1,0)</f>
        <v>43</v>
      </c>
      <c r="FB316" s="9" t="n">
        <f aca="false">IF(FB$35&gt;=$AC$314,FB$35-$AC$314+1,0)</f>
        <v>44</v>
      </c>
      <c r="FC316" s="9" t="n">
        <f aca="false">IF(FC$35&gt;=$AC$314,FC$35-$AC$314+1,0)</f>
        <v>45</v>
      </c>
      <c r="FD316" s="9" t="n">
        <f aca="false">IF(FD$35&gt;=$AC$314,FD$35-$AC$314+1,0)</f>
        <v>46</v>
      </c>
      <c r="FE316" s="9" t="n">
        <f aca="false">IF(FE$35&gt;=$AC$314,FE$35-$AC$314+1,0)</f>
        <v>47</v>
      </c>
      <c r="FF316" s="9" t="n">
        <f aca="false">IF(FF$35&gt;=$AC$314,FF$35-$AC$314+1,0)</f>
        <v>48</v>
      </c>
      <c r="FG316" s="9" t="n">
        <f aca="false">IF(FG$35&gt;=$AC$314,FG$35-$AC$314+1,0)</f>
        <v>49</v>
      </c>
      <c r="FH316" s="9" t="n">
        <f aca="false">IF(FH$35&gt;=$AC$314,FH$35-$AC$314+1,0)</f>
        <v>50</v>
      </c>
      <c r="FI316" s="9" t="n">
        <f aca="false">IF(FI$35&gt;=$AC$314,FI$35-$AC$314+1,0)</f>
        <v>51</v>
      </c>
      <c r="FJ316" s="9" t="n">
        <f aca="false">IF(FJ$35&gt;=$AC$314,FJ$35-$AC$314+1,0)</f>
        <v>52</v>
      </c>
      <c r="FK316" s="9" t="n">
        <f aca="false">IF(FK$35&gt;=$AC$314,FK$35-$AC$314+1,0)</f>
        <v>53</v>
      </c>
      <c r="FL316" s="9" t="n">
        <f aca="false">IF(FL$35&gt;=$AC$314,FL$35-$AC$314+1,0)</f>
        <v>54</v>
      </c>
      <c r="FM316" s="9" t="n">
        <f aca="false">IF(FM$35&gt;=$AC$314,FM$35-$AC$314+1,0)</f>
        <v>55</v>
      </c>
      <c r="FN316" s="9" t="n">
        <f aca="false">IF(FN$35&gt;=$AC$314,FN$35-$AC$314+1,0)</f>
        <v>56</v>
      </c>
      <c r="FO316" s="9" t="n">
        <f aca="false">IF(FO$35&gt;=$AC$314,FO$35-$AC$314+1,0)</f>
        <v>57</v>
      </c>
      <c r="FP316" s="9" t="n">
        <f aca="false">IF(FP$35&gt;=$AC$314,FP$35-$AC$314+1,0)</f>
        <v>58</v>
      </c>
    </row>
    <row r="317" customFormat="false" ht="15" hidden="false" customHeight="false" outlineLevel="2" collapsed="false">
      <c r="B317" s="47" t="s">
        <v>874</v>
      </c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237" t="n">
        <f aca="false" t="array" ref="AC317:AC317">IF(AC316=0,0,IF(AC316/('🎚️ Escenario'!$C$10*'🎚️ Escenario'!$C$11)&gt;=36,$AL$23,INDEX($C$23:$AL$23,MAX(1,ROUNDUP(AC316/('🎚️ Escenario'!$C$10*'🎚️ Escenario'!$C$11),0)))))</f>
        <v>0</v>
      </c>
      <c r="AD317" s="237" t="n">
        <f aca="false" t="array" ref="AD317:AD317">IF(AD316=0,0,IF(AD316/('🎚️ Escenario'!$C$10*'🎚️ Escenario'!$C$11)&gt;=36,$AL$23,INDEX($C$23:$AL$23,MAX(1,ROUNDUP(AD316/('🎚️ Escenario'!$C$10*'🎚️ Escenario'!$C$11),0)))))</f>
        <v>0</v>
      </c>
      <c r="AE317" s="237" t="n">
        <f aca="false" t="array" ref="AE317:AE317">IF(AE316=0,0,IF(AE316/('🎚️ Escenario'!$C$10*'🎚️ Escenario'!$C$11)&gt;=36,$AL$23,INDEX($C$23:$AL$23,MAX(1,ROUNDUP(AE316/('🎚️ Escenario'!$C$10*'🎚️ Escenario'!$C$11),0)))))</f>
        <v>0</v>
      </c>
      <c r="AF317" s="237" t="n">
        <f aca="false" t="array" ref="AF317:AF317">IF(AF316=0,0,IF(AF316/('🎚️ Escenario'!$C$10*'🎚️ Escenario'!$C$11)&gt;=36,$AL$23,INDEX($C$23:$AL$23,MAX(1,ROUNDUP(AF316/('🎚️ Escenario'!$C$10*'🎚️ Escenario'!$C$11),0)))))</f>
        <v>0</v>
      </c>
      <c r="AG317" s="237" t="n">
        <f aca="false" t="array" ref="AG317:AG317">IF(AG316=0,0,IF(AG316/('🎚️ Escenario'!$C$10*'🎚️ Escenario'!$C$11)&gt;=36,$AL$23,INDEX($C$23:$AL$23,MAX(1,ROUNDUP(AG316/('🎚️ Escenario'!$C$10*'🎚️ Escenario'!$C$11),0)))))</f>
        <v>0</v>
      </c>
      <c r="AH317" s="237" t="n">
        <f aca="false" t="array" ref="AH317:AH317">IF(AH316=0,0,IF(AH316/('🎚️ Escenario'!$C$10*'🎚️ Escenario'!$C$11)&gt;=36,$AL$23,INDEX($C$23:$AL$23,MAX(1,ROUNDUP(AH316/('🎚️ Escenario'!$C$10*'🎚️ Escenario'!$C$11),0)))))</f>
        <v>0</v>
      </c>
      <c r="AI317" s="237" t="n">
        <f aca="false" t="array" ref="AI317:AI317">IF(AI316=0,0,IF(AI316/('🎚️ Escenario'!$C$10*'🎚️ Escenario'!$C$11)&gt;=36,$AL$23,INDEX($C$23:$AL$23,MAX(1,ROUNDUP(AI316/('🎚️ Escenario'!$C$10*'🎚️ Escenario'!$C$11),0)))))</f>
        <v>0</v>
      </c>
      <c r="AJ317" s="237" t="n">
        <f aca="false" t="array" ref="AJ317:AJ317">IF(AJ316=0,0,IF(AJ316/('🎚️ Escenario'!$C$10*'🎚️ Escenario'!$C$11)&gt;=36,$AL$23,INDEX($C$23:$AL$23,MAX(1,ROUNDUP(AJ316/('🎚️ Escenario'!$C$10*'🎚️ Escenario'!$C$11),0)))))</f>
        <v>0</v>
      </c>
      <c r="AK317" s="237" t="n">
        <f aca="false" t="array" ref="AK317:AK317">IF(AK316=0,0,IF(AK316/('🎚️ Escenario'!$C$10*'🎚️ Escenario'!$C$11)&gt;=36,$AL$23,INDEX($C$23:$AL$23,MAX(1,ROUNDUP(AK316/('🎚️ Escenario'!$C$10*'🎚️ Escenario'!$C$11),0)))))</f>
        <v>0</v>
      </c>
      <c r="AL317" s="237" t="n">
        <f aca="false" t="array" ref="AL317:AL317">IF(AL316=0,0,IF(AL316/('🎚️ Escenario'!$C$10*'🎚️ Escenario'!$C$11)&gt;=36,$AL$23,INDEX($C$23:$AL$23,MAX(1,ROUNDUP(AL316/('🎚️ Escenario'!$C$10*'🎚️ Escenario'!$C$11),0)))))</f>
        <v>0</v>
      </c>
      <c r="AM317" s="237" t="n">
        <f aca="false" t="array" ref="AM317:AM317">IF(AM316=0,0,IF(AM316/('🎚️ Escenario'!$C$10*'🎚️ Escenario'!$C$11)&gt;=36,$AL$23,INDEX($C$23:$AL$23,MAX(1,ROUNDUP(AM316/('🎚️ Escenario'!$C$10*'🎚️ Escenario'!$C$11),0)))))</f>
        <v>0</v>
      </c>
      <c r="AN317" s="237" t="n">
        <f aca="false" t="array" ref="AN317:AN317">IF(AN316=0,0,IF(AN316/('🎚️ Escenario'!$C$10*'🎚️ Escenario'!$C$11)&gt;=36,$AL$23,INDEX($C$23:$AL$23,MAX(1,ROUNDUP(AN316/('🎚️ Escenario'!$C$10*'🎚️ Escenario'!$C$11),0)))))</f>
        <v>0</v>
      </c>
      <c r="AO317" s="237" t="n">
        <f aca="false" t="array" ref="AO317:AO317">IF(AO316=0,0,IF(AO316/('🎚️ Escenario'!$C$10*'🎚️ Escenario'!$C$11)&gt;=36,$AL$23,INDEX($C$23:$AL$23,MAX(1,ROUNDUP(AO316/('🎚️ Escenario'!$C$10*'🎚️ Escenario'!$C$11),0)))))</f>
        <v>0</v>
      </c>
      <c r="AP317" s="237" t="n">
        <f aca="false" t="array" ref="AP317:AP317">IF(AP316=0,0,IF(AP316/('🎚️ Escenario'!$C$10*'🎚️ Escenario'!$C$11)&gt;=36,$AL$23,INDEX($C$23:$AL$23,MAX(1,ROUNDUP(AP316/('🎚️ Escenario'!$C$10*'🎚️ Escenario'!$C$11),0)))))</f>
        <v>0</v>
      </c>
      <c r="AQ317" s="237" t="n">
        <f aca="false" t="array" ref="AQ317:AQ317">IF(AQ316=0,0,IF(AQ316/('🎚️ Escenario'!$C$10*'🎚️ Escenario'!$C$11)&gt;=36,$AL$23,INDEX($C$23:$AL$23,MAX(1,ROUNDUP(AQ316/('🎚️ Escenario'!$C$10*'🎚️ Escenario'!$C$11),0)))))</f>
        <v>0</v>
      </c>
      <c r="AR317" s="237" t="n">
        <f aca="false" t="array" ref="AR317:AR317">IF(AR316=0,0,IF(AR316/('🎚️ Escenario'!$C$10*'🎚️ Escenario'!$C$11)&gt;=36,$AL$23,INDEX($C$23:$AL$23,MAX(1,ROUNDUP(AR316/('🎚️ Escenario'!$C$10*'🎚️ Escenario'!$C$11),0)))))</f>
        <v>0</v>
      </c>
      <c r="AS317" s="237" t="n">
        <f aca="false" t="array" ref="AS317:AS317">IF(AS316=0,0,IF(AS316/('🎚️ Escenario'!$C$10*'🎚️ Escenario'!$C$11)&gt;=36,$AL$23,INDEX($C$23:$AL$23,MAX(1,ROUNDUP(AS316/('🎚️ Escenario'!$C$10*'🎚️ Escenario'!$C$11),0)))))</f>
        <v>0</v>
      </c>
      <c r="AT317" s="237" t="n">
        <f aca="false" t="array" ref="AT317:AT317">IF(AT316=0,0,IF(AT316/('🎚️ Escenario'!$C$10*'🎚️ Escenario'!$C$11)&gt;=36,$AL$23,INDEX($C$23:$AL$23,MAX(1,ROUNDUP(AT316/('🎚️ Escenario'!$C$10*'🎚️ Escenario'!$C$11),0)))))</f>
        <v>0</v>
      </c>
      <c r="AU317" s="237" t="n">
        <f aca="false" t="array" ref="AU317:AU317">IF(AU316=0,0,IF(AU316/('🎚️ Escenario'!$C$10*'🎚️ Escenario'!$C$11)&gt;=36,$AL$23,INDEX($C$23:$AL$23,MAX(1,ROUNDUP(AU316/('🎚️ Escenario'!$C$10*'🎚️ Escenario'!$C$11),0)))))</f>
        <v>0</v>
      </c>
      <c r="AV317" s="237" t="n">
        <f aca="false" t="array" ref="AV317:AV317">IF(AV316=0,0,IF(AV316/('🎚️ Escenario'!$C$10*'🎚️ Escenario'!$C$11)&gt;=36,$AL$23,INDEX($C$23:$AL$23,MAX(1,ROUNDUP(AV316/('🎚️ Escenario'!$C$10*'🎚️ Escenario'!$C$11),0)))))</f>
        <v>0</v>
      </c>
      <c r="AW317" s="237" t="n">
        <f aca="false" t="array" ref="AW317:AW317">IF(AW316=0,0,IF(AW316/('🎚️ Escenario'!$C$10*'🎚️ Escenario'!$C$11)&gt;=36,$AL$23,INDEX($C$23:$AL$23,MAX(1,ROUNDUP(AW316/('🎚️ Escenario'!$C$10*'🎚️ Escenario'!$C$11),0)))))</f>
        <v>0</v>
      </c>
      <c r="AX317" s="237" t="n">
        <f aca="false" t="array" ref="AX317:AX317">IF(AX316=0,0,IF(AX316/('🎚️ Escenario'!$C$10*'🎚️ Escenario'!$C$11)&gt;=36,$AL$23,INDEX($C$23:$AL$23,MAX(1,ROUNDUP(AX316/('🎚️ Escenario'!$C$10*'🎚️ Escenario'!$C$11),0)))))</f>
        <v>0</v>
      </c>
      <c r="AY317" s="237" t="n">
        <f aca="false" t="array" ref="AY317:AY317">IF(AY316=0,0,IF(AY316/('🎚️ Escenario'!$C$10*'🎚️ Escenario'!$C$11)&gt;=36,$AL$23,INDEX($C$23:$AL$23,MAX(1,ROUNDUP(AY316/('🎚️ Escenario'!$C$10*'🎚️ Escenario'!$C$11),0)))))</f>
        <v>0</v>
      </c>
      <c r="AZ317" s="237" t="n">
        <f aca="false" t="array" ref="AZ317:AZ317">IF(AZ316=0,0,IF(AZ316/('🎚️ Escenario'!$C$10*'🎚️ Escenario'!$C$11)&gt;=36,$AL$23,INDEX($C$23:$AL$23,MAX(1,ROUNDUP(AZ316/('🎚️ Escenario'!$C$10*'🎚️ Escenario'!$C$11),0)))))</f>
        <v>0</v>
      </c>
      <c r="BA317" s="237" t="n">
        <f aca="false" t="array" ref="BA317:BA317">IF(BA316=0,0,IF(BA316/('🎚️ Escenario'!$C$10*'🎚️ Escenario'!$C$11)&gt;=36,$AL$23,INDEX($C$23:$AL$23,MAX(1,ROUNDUP(BA316/('🎚️ Escenario'!$C$10*'🎚️ Escenario'!$C$11),0)))))</f>
        <v>0</v>
      </c>
      <c r="BB317" s="237" t="n">
        <f aca="false" t="array" ref="BB317:BB317">IF(BB316=0,0,IF(BB316/('🎚️ Escenario'!$C$10*'🎚️ Escenario'!$C$11)&gt;=36,$AL$23,INDEX($C$23:$AL$23,MAX(1,ROUNDUP(BB316/('🎚️ Escenario'!$C$10*'🎚️ Escenario'!$C$11),0)))))</f>
        <v>0</v>
      </c>
      <c r="BC317" s="237" t="n">
        <f aca="false" t="array" ref="BC317:BC317">IF(BC316=0,0,IF(BC316/('🎚️ Escenario'!$C$10*'🎚️ Escenario'!$C$11)&gt;=36,$AL$23,INDEX($C$23:$AL$23,MAX(1,ROUNDUP(BC316/('🎚️ Escenario'!$C$10*'🎚️ Escenario'!$C$11),0)))))</f>
        <v>0</v>
      </c>
      <c r="BD317" s="237" t="n">
        <f aca="false" t="array" ref="BD317:BD317">IF(BD316=0,0,IF(BD316/('🎚️ Escenario'!$C$10*'🎚️ Escenario'!$C$11)&gt;=36,$AL$23,INDEX($C$23:$AL$23,MAX(1,ROUNDUP(BD316/('🎚️ Escenario'!$C$10*'🎚️ Escenario'!$C$11),0)))))</f>
        <v>0</v>
      </c>
      <c r="BE317" s="237" t="n">
        <f aca="false" t="array" ref="BE317:BE317">IF(BE316=0,0,IF(BE316/('🎚️ Escenario'!$C$10*'🎚️ Escenario'!$C$11)&gt;=36,$AL$23,INDEX($C$23:$AL$23,MAX(1,ROUNDUP(BE316/('🎚️ Escenario'!$C$10*'🎚️ Escenario'!$C$11),0)))))</f>
        <v>0</v>
      </c>
      <c r="BF317" s="237" t="n">
        <f aca="false" t="array" ref="BF317:BF317">IF(BF316=0,0,IF(BF316/('🎚️ Escenario'!$C$10*'🎚️ Escenario'!$C$11)&gt;=36,$AL$23,INDEX($C$23:$AL$23,MAX(1,ROUNDUP(BF316/('🎚️ Escenario'!$C$10*'🎚️ Escenario'!$C$11),0)))))</f>
        <v>0</v>
      </c>
      <c r="BG317" s="237" t="n">
        <f aca="false" t="array" ref="BG317:BG317">IF(BG316=0,0,IF(BG316/('🎚️ Escenario'!$C$10*'🎚️ Escenario'!$C$11)&gt;=36,$AL$23,INDEX($C$23:$AL$23,MAX(1,ROUNDUP(BG316/('🎚️ Escenario'!$C$10*'🎚️ Escenario'!$C$11),0)))))</f>
        <v>0</v>
      </c>
      <c r="BH317" s="237" t="n">
        <f aca="false" t="array" ref="BH317:BH317">IF(BH316=0,0,IF(BH316/('🎚️ Escenario'!$C$10*'🎚️ Escenario'!$C$11)&gt;=36,$AL$23,INDEX($C$23:$AL$23,MAX(1,ROUNDUP(BH316/('🎚️ Escenario'!$C$10*'🎚️ Escenario'!$C$11),0)))))</f>
        <v>0</v>
      </c>
      <c r="BI317" s="237" t="n">
        <f aca="false" t="array" ref="BI317:BI317">IF(BI316=0,0,IF(BI316/('🎚️ Escenario'!$C$10*'🎚️ Escenario'!$C$11)&gt;=36,$AL$23,INDEX($C$23:$AL$23,MAX(1,ROUNDUP(BI316/('🎚️ Escenario'!$C$10*'🎚️ Escenario'!$C$11),0)))))</f>
        <v>0</v>
      </c>
      <c r="BJ317" s="237" t="n">
        <f aca="false" t="array" ref="BJ317:BJ317">IF(BJ316=0,0,IF(BJ316/('🎚️ Escenario'!$C$10*'🎚️ Escenario'!$C$11)&gt;=36,$AL$23,INDEX($C$23:$AL$23,MAX(1,ROUNDUP(BJ316/('🎚️ Escenario'!$C$10*'🎚️ Escenario'!$C$11),0)))))</f>
        <v>0</v>
      </c>
      <c r="BK317" s="237" t="n">
        <f aca="false" t="array" ref="BK317:BK317">IF(BK316=0,0,IF(BK316/('🎚️ Escenario'!$C$10*'🎚️ Escenario'!$C$11)&gt;=36,$AL$23,INDEX($C$23:$AL$23,MAX(1,ROUNDUP(BK316/('🎚️ Escenario'!$C$10*'🎚️ Escenario'!$C$11),0)))))</f>
        <v>0</v>
      </c>
      <c r="BL317" s="237" t="n">
        <f aca="false" t="array" ref="BL317:BL317">IF(BL316=0,0,IF(BL316/('🎚️ Escenario'!$C$10*'🎚️ Escenario'!$C$11)&gt;=36,$AL$23,INDEX($C$23:$AL$23,MAX(1,ROUNDUP(BL316/('🎚️ Escenario'!$C$10*'🎚️ Escenario'!$C$11),0)))))</f>
        <v>0</v>
      </c>
      <c r="BM317" s="237" t="n">
        <f aca="false" t="array" ref="BM317:BM317">IF(BM316=0,0,IF(BM316/('🎚️ Escenario'!$C$10*'🎚️ Escenario'!$C$11)&gt;=36,$AL$23,INDEX($C$23:$AL$23,MAX(1,ROUNDUP(BM316/('🎚️ Escenario'!$C$10*'🎚️ Escenario'!$C$11),0)))))</f>
        <v>0</v>
      </c>
      <c r="BN317" s="237" t="n">
        <f aca="false" t="array" ref="BN317:BN317">IF(BN316=0,0,IF(BN316/('🎚️ Escenario'!$C$10*'🎚️ Escenario'!$C$11)&gt;=36,$AL$23,INDEX($C$23:$AL$23,MAX(1,ROUNDUP(BN316/('🎚️ Escenario'!$C$10*'🎚️ Escenario'!$C$11),0)))))</f>
        <v>0</v>
      </c>
      <c r="BO317" s="237" t="n">
        <f aca="false" t="array" ref="BO317:BO317">IF(BO316=0,0,IF(BO316/('🎚️ Escenario'!$C$10*'🎚️ Escenario'!$C$11)&gt;=36,$AL$23,INDEX($C$23:$AL$23,MAX(1,ROUNDUP(BO316/('🎚️ Escenario'!$C$10*'🎚️ Escenario'!$C$11),0)))))</f>
        <v>0</v>
      </c>
      <c r="BP317" s="237" t="n">
        <f aca="false" t="array" ref="BP317:BP317">IF(BP316=0,0,IF(BP316/('🎚️ Escenario'!$C$10*'🎚️ Escenario'!$C$11)&gt;=36,$AL$23,INDEX($C$23:$AL$23,MAX(1,ROUNDUP(BP316/('🎚️ Escenario'!$C$10*'🎚️ Escenario'!$C$11),0)))))</f>
        <v>0</v>
      </c>
      <c r="BQ317" s="237" t="n">
        <f aca="false" t="array" ref="BQ317:BQ317">IF(BQ316=0,0,IF(BQ316/('🎚️ Escenario'!$C$10*'🎚️ Escenario'!$C$11)&gt;=36,$AL$23,INDEX($C$23:$AL$23,MAX(1,ROUNDUP(BQ316/('🎚️ Escenario'!$C$10*'🎚️ Escenario'!$C$11),0)))))</f>
        <v>0</v>
      </c>
      <c r="BR317" s="237" t="n">
        <f aca="false" t="array" ref="BR317:BR317">IF(BR316=0,0,IF(BR316/('🎚️ Escenario'!$C$10*'🎚️ Escenario'!$C$11)&gt;=36,$AL$23,INDEX($C$23:$AL$23,MAX(1,ROUNDUP(BR316/('🎚️ Escenario'!$C$10*'🎚️ Escenario'!$C$11),0)))))</f>
        <v>0</v>
      </c>
      <c r="BS317" s="237" t="n">
        <f aca="false" t="array" ref="BS317:BS317">IF(BS316=0,0,IF(BS316/('🎚️ Escenario'!$C$10*'🎚️ Escenario'!$C$11)&gt;=36,$AL$23,INDEX($C$23:$AL$23,MAX(1,ROUNDUP(BS316/('🎚️ Escenario'!$C$10*'🎚️ Escenario'!$C$11),0)))))</f>
        <v>0</v>
      </c>
      <c r="BT317" s="237" t="n">
        <f aca="false" t="array" ref="BT317:BT317">IF(BT316=0,0,IF(BT316/('🎚️ Escenario'!$C$10*'🎚️ Escenario'!$C$11)&gt;=36,$AL$23,INDEX($C$23:$AL$23,MAX(1,ROUNDUP(BT316/('🎚️ Escenario'!$C$10*'🎚️ Escenario'!$C$11),0)))))</f>
        <v>0</v>
      </c>
      <c r="BU317" s="237" t="n">
        <f aca="false" t="array" ref="BU317:BU317">IF(BU316=0,0,IF(BU316/('🎚️ Escenario'!$C$10*'🎚️ Escenario'!$C$11)&gt;=36,$AL$23,INDEX($C$23:$AL$23,MAX(1,ROUNDUP(BU316/('🎚️ Escenario'!$C$10*'🎚️ Escenario'!$C$11),0)))))</f>
        <v>0</v>
      </c>
      <c r="BV317" s="237" t="n">
        <f aca="false" t="array" ref="BV317:BV317">IF(BV316=0,0,IF(BV316/('🎚️ Escenario'!$C$10*'🎚️ Escenario'!$C$11)&gt;=36,$AL$23,INDEX($C$23:$AL$23,MAX(1,ROUNDUP(BV316/('🎚️ Escenario'!$C$10*'🎚️ Escenario'!$C$11),0)))))</f>
        <v>0</v>
      </c>
      <c r="BW317" s="237" t="n">
        <f aca="false" t="array" ref="BW317:BW317">IF(BW316=0,0,IF(BW316/('🎚️ Escenario'!$C$10*'🎚️ Escenario'!$C$11)&gt;=36,$AL$23,INDEX($C$23:$AL$23,MAX(1,ROUNDUP(BW316/('🎚️ Escenario'!$C$10*'🎚️ Escenario'!$C$11),0)))))</f>
        <v>0</v>
      </c>
      <c r="BX317" s="237" t="n">
        <f aca="false" t="array" ref="BX317:BX317">IF(BX316=0,0,IF(BX316/('🎚️ Escenario'!$C$10*'🎚️ Escenario'!$C$11)&gt;=36,$AL$23,INDEX($C$23:$AL$23,MAX(1,ROUNDUP(BX316/('🎚️ Escenario'!$C$10*'🎚️ Escenario'!$C$11),0)))))</f>
        <v>0</v>
      </c>
      <c r="BY317" s="237" t="n">
        <f aca="false" t="array" ref="BY317:BY317">IF(BY316=0,0,IF(BY316/('🎚️ Escenario'!$C$10*'🎚️ Escenario'!$C$11)&gt;=36,$AL$23,INDEX($C$23:$AL$23,MAX(1,ROUNDUP(BY316/('🎚️ Escenario'!$C$10*'🎚️ Escenario'!$C$11),0)))))</f>
        <v>0</v>
      </c>
      <c r="BZ317" s="237" t="n">
        <f aca="false" t="array" ref="BZ317:BZ317">IF(BZ316=0,0,IF(BZ316/('🎚️ Escenario'!$C$10*'🎚️ Escenario'!$C$11)&gt;=36,$AL$23,INDEX($C$23:$AL$23,MAX(1,ROUNDUP(BZ316/('🎚️ Escenario'!$C$10*'🎚️ Escenario'!$C$11),0)))))</f>
        <v>0</v>
      </c>
      <c r="CA317" s="237" t="n">
        <f aca="false" t="array" ref="CA317:CA317">IF(CA316=0,0,IF(CA316/('🎚️ Escenario'!$C$10*'🎚️ Escenario'!$C$11)&gt;=36,$AL$23,INDEX($C$23:$AL$23,MAX(1,ROUNDUP(CA316/('🎚️ Escenario'!$C$10*'🎚️ Escenario'!$C$11),0)))))</f>
        <v>0</v>
      </c>
      <c r="CB317" s="237" t="n">
        <f aca="false" t="array" ref="CB317:CB317">IF(CB316=0,0,IF(CB316/('🎚️ Escenario'!$C$10*'🎚️ Escenario'!$C$11)&gt;=36,$AL$23,INDEX($C$23:$AL$23,MAX(1,ROUNDUP(CB316/('🎚️ Escenario'!$C$10*'🎚️ Escenario'!$C$11),0)))))</f>
        <v>0</v>
      </c>
      <c r="CC317" s="237" t="n">
        <f aca="false" t="array" ref="CC317:CC317">IF(CC316=0,0,IF(CC316/('🎚️ Escenario'!$C$10*'🎚️ Escenario'!$C$11)&gt;=36,$AL$23,INDEX($C$23:$AL$23,MAX(1,ROUNDUP(CC316/('🎚️ Escenario'!$C$10*'🎚️ Escenario'!$C$11),0)))))</f>
        <v>0</v>
      </c>
      <c r="CD317" s="237" t="n">
        <f aca="false" t="array" ref="CD317:CD317">IF(CD316=0,0,IF(CD316/('🎚️ Escenario'!$C$10*'🎚️ Escenario'!$C$11)&gt;=36,$AL$23,INDEX($C$23:$AL$23,MAX(1,ROUNDUP(CD316/('🎚️ Escenario'!$C$10*'🎚️ Escenario'!$C$11),0)))))</f>
        <v>0</v>
      </c>
      <c r="CE317" s="237" t="n">
        <f aca="false" t="array" ref="CE317:CE317">IF(CE316=0,0,IF(CE316/('🎚️ Escenario'!$C$10*'🎚️ Escenario'!$C$11)&gt;=36,$AL$23,INDEX($C$23:$AL$23,MAX(1,ROUNDUP(CE316/('🎚️ Escenario'!$C$10*'🎚️ Escenario'!$C$11),0)))))</f>
        <v>0</v>
      </c>
      <c r="CF317" s="237" t="n">
        <f aca="false" t="array" ref="CF317:CF317">IF(CF316=0,0,IF(CF316/('🎚️ Escenario'!$C$10*'🎚️ Escenario'!$C$11)&gt;=36,$AL$23,INDEX($C$23:$AL$23,MAX(1,ROUNDUP(CF316/('🎚️ Escenario'!$C$10*'🎚️ Escenario'!$C$11),0)))))</f>
        <v>0</v>
      </c>
      <c r="CG317" s="237" t="n">
        <f aca="false" t="array" ref="CG317:CG317">IF(CG316=0,0,IF(CG316/('🎚️ Escenario'!$C$10*'🎚️ Escenario'!$C$11)&gt;=36,$AL$23,INDEX($C$23:$AL$23,MAX(1,ROUNDUP(CG316/('🎚️ Escenario'!$C$10*'🎚️ Escenario'!$C$11),0)))))</f>
        <v>0</v>
      </c>
      <c r="CH317" s="237" t="n">
        <f aca="false" t="array" ref="CH317:CH317">IF(CH316=0,0,IF(CH316/('🎚️ Escenario'!$C$10*'🎚️ Escenario'!$C$11)&gt;=36,$AL$23,INDEX($C$23:$AL$23,MAX(1,ROUNDUP(CH316/('🎚️ Escenario'!$C$10*'🎚️ Escenario'!$C$11),0)))))</f>
        <v>0</v>
      </c>
      <c r="CI317" s="237" t="n">
        <f aca="false" t="array" ref="CI317:CI317">IF(CI316=0,0,IF(CI316/('🎚️ Escenario'!$C$10*'🎚️ Escenario'!$C$11)&gt;=36,$AL$23,INDEX($C$23:$AL$23,MAX(1,ROUNDUP(CI316/('🎚️ Escenario'!$C$10*'🎚️ Escenario'!$C$11),0)))))</f>
        <v>0</v>
      </c>
      <c r="CJ317" s="237" t="n">
        <f aca="false" t="array" ref="CJ317:CJ317">IF(CJ316=0,0,IF(CJ316/('🎚️ Escenario'!$C$10*'🎚️ Escenario'!$C$11)&gt;=36,$AL$23,INDEX($C$23:$AL$23,MAX(1,ROUNDUP(CJ316/('🎚️ Escenario'!$C$10*'🎚️ Escenario'!$C$11),0)))))</f>
        <v>0</v>
      </c>
      <c r="CK317" s="237" t="n">
        <f aca="false" t="array" ref="CK317:CK317">IF(CK316=0,0,IF(CK316/('🎚️ Escenario'!$C$10*'🎚️ Escenario'!$C$11)&gt;=36,$AL$23,INDEX($C$23:$AL$23,MAX(1,ROUNDUP(CK316/('🎚️ Escenario'!$C$10*'🎚️ Escenario'!$C$11),0)))))</f>
        <v>0</v>
      </c>
      <c r="CL317" s="237" t="n">
        <f aca="false" t="array" ref="CL317:CL317">IF(CL316=0,0,IF(CL316/('🎚️ Escenario'!$C$10*'🎚️ Escenario'!$C$11)&gt;=36,$AL$23,INDEX($C$23:$AL$23,MAX(1,ROUNDUP(CL316/('🎚️ Escenario'!$C$10*'🎚️ Escenario'!$C$11),0)))))</f>
        <v>0</v>
      </c>
      <c r="CM317" s="237" t="n">
        <f aca="false" t="array" ref="CM317:CM317">IF(CM316=0,0,IF(CM316/('🎚️ Escenario'!$C$10*'🎚️ Escenario'!$C$11)&gt;=36,$AL$23,INDEX($C$23:$AL$23,MAX(1,ROUNDUP(CM316/('🎚️ Escenario'!$C$10*'🎚️ Escenario'!$C$11),0)))))</f>
        <v>0</v>
      </c>
      <c r="CN317" s="237" t="n">
        <f aca="false" t="array" ref="CN317:CN317">IF(CN316=0,0,IF(CN316/('🎚️ Escenario'!$C$10*'🎚️ Escenario'!$C$11)&gt;=36,$AL$23,INDEX($C$23:$AL$23,MAX(1,ROUNDUP(CN316/('🎚️ Escenario'!$C$10*'🎚️ Escenario'!$C$11),0)))))</f>
        <v>0</v>
      </c>
      <c r="CO317" s="237" t="n">
        <f aca="false" t="array" ref="CO317:CO317">IF(CO316=0,0,IF(CO316/('🎚️ Escenario'!$C$10*'🎚️ Escenario'!$C$11)&gt;=36,$AL$23,INDEX($C$23:$AL$23,MAX(1,ROUNDUP(CO316/('🎚️ Escenario'!$C$10*'🎚️ Escenario'!$C$11),0)))))</f>
        <v>0</v>
      </c>
      <c r="CP317" s="237" t="n">
        <f aca="false" t="array" ref="CP317:CP317">IF(CP316=0,0,IF(CP316/('🎚️ Escenario'!$C$10*'🎚️ Escenario'!$C$11)&gt;=36,$AL$23,INDEX($C$23:$AL$23,MAX(1,ROUNDUP(CP316/('🎚️ Escenario'!$C$10*'🎚️ Escenario'!$C$11),0)))))</f>
        <v>0</v>
      </c>
      <c r="CQ317" s="237" t="n">
        <f aca="false" t="array" ref="CQ317:CQ317">IF(CQ316=0,0,IF(CQ316/('🎚️ Escenario'!$C$10*'🎚️ Escenario'!$C$11)&gt;=36,$AL$23,INDEX($C$23:$AL$23,MAX(1,ROUNDUP(CQ316/('🎚️ Escenario'!$C$10*'🎚️ Escenario'!$C$11),0)))))</f>
        <v>0</v>
      </c>
      <c r="CR317" s="237" t="n">
        <f aca="false" t="array" ref="CR317:CR317">IF(CR316=0,0,IF(CR316/('🎚️ Escenario'!$C$10*'🎚️ Escenario'!$C$11)&gt;=36,$AL$23,INDEX($C$23:$AL$23,MAX(1,ROUNDUP(CR316/('🎚️ Escenario'!$C$10*'🎚️ Escenario'!$C$11),0)))))</f>
        <v>0</v>
      </c>
      <c r="CS317" s="237" t="n">
        <f aca="false" t="array" ref="CS317:CS317">IF(CS316=0,0,IF(CS316/('🎚️ Escenario'!$C$10*'🎚️ Escenario'!$C$11)&gt;=36,$AL$23,INDEX($C$23:$AL$23,MAX(1,ROUNDUP(CS316/('🎚️ Escenario'!$C$10*'🎚️ Escenario'!$C$11),0)))))</f>
        <v>0</v>
      </c>
      <c r="CT317" s="237" t="n">
        <f aca="false" t="array" ref="CT317:CT317">IF(CT316=0,0,IF(CT316/('🎚️ Escenario'!$C$10*'🎚️ Escenario'!$C$11)&gt;=36,$AL$23,INDEX($C$23:$AL$23,MAX(1,ROUNDUP(CT316/('🎚️ Escenario'!$C$10*'🎚️ Escenario'!$C$11),0)))))</f>
        <v>0</v>
      </c>
      <c r="CU317" s="237" t="n">
        <f aca="false" t="array" ref="CU317:CU317">IF(CU316=0,0,IF(CU316/('🎚️ Escenario'!$C$10*'🎚️ Escenario'!$C$11)&gt;=36,$AL$23,INDEX($C$23:$AL$23,MAX(1,ROUNDUP(CU316/('🎚️ Escenario'!$C$10*'🎚️ Escenario'!$C$11),0)))))</f>
        <v>0</v>
      </c>
      <c r="CV317" s="237" t="n">
        <f aca="false" t="array" ref="CV317:CV317">IF(CV316=0,0,IF(CV316/('🎚️ Escenario'!$C$10*'🎚️ Escenario'!$C$11)&gt;=36,$AL$23,INDEX($C$23:$AL$23,MAX(1,ROUNDUP(CV316/('🎚️ Escenario'!$C$10*'🎚️ Escenario'!$C$11),0)))))</f>
        <v>0</v>
      </c>
      <c r="CW317" s="237" t="n">
        <f aca="false" t="array" ref="CW317:CW317">IF(CW316=0,0,IF(CW316/('🎚️ Escenario'!$C$10*'🎚️ Escenario'!$C$11)&gt;=36,$AL$23,INDEX($C$23:$AL$23,MAX(1,ROUNDUP(CW316/('🎚️ Escenario'!$C$10*'🎚️ Escenario'!$C$11),0)))))</f>
        <v>0</v>
      </c>
      <c r="CX317" s="237" t="n">
        <f aca="false" t="array" ref="CX317:CX317">IF(CX316=0,0,IF(CX316/('🎚️ Escenario'!$C$10*'🎚️ Escenario'!$C$11)&gt;=36,$AL$23,INDEX($C$23:$AL$23,MAX(1,ROUNDUP(CX316/('🎚️ Escenario'!$C$10*'🎚️ Escenario'!$C$11),0)))))</f>
        <v>0</v>
      </c>
      <c r="CY317" s="237" t="n">
        <f aca="false" t="array" ref="CY317:CY317">IF(CY316=0,0,IF(CY316/('🎚️ Escenario'!$C$10*'🎚️ Escenario'!$C$11)&gt;=36,$AL$23,INDEX($C$23:$AL$23,MAX(1,ROUNDUP(CY316/('🎚️ Escenario'!$C$10*'🎚️ Escenario'!$C$11),0)))))</f>
        <v>0</v>
      </c>
      <c r="CZ317" s="237" t="n">
        <f aca="false" t="array" ref="CZ317:CZ317">IF(CZ316=0,0,IF(CZ316/('🎚️ Escenario'!$C$10*'🎚️ Escenario'!$C$11)&gt;=36,$AL$23,INDEX($C$23:$AL$23,MAX(1,ROUNDUP(CZ316/('🎚️ Escenario'!$C$10*'🎚️ Escenario'!$C$11),0)))))</f>
        <v>0</v>
      </c>
      <c r="DA317" s="237" t="n">
        <f aca="false" t="array" ref="DA317:DA317">IF(DA316=0,0,IF(DA316/('🎚️ Escenario'!$C$10*'🎚️ Escenario'!$C$11)&gt;=36,$AL$23,INDEX($C$23:$AL$23,MAX(1,ROUNDUP(DA316/('🎚️ Escenario'!$C$10*'🎚️ Escenario'!$C$11),0)))))</f>
        <v>0</v>
      </c>
      <c r="DB317" s="237" t="n">
        <f aca="false" t="array" ref="DB317:DB317">IF(DB316=0,0,IF(DB316/('🎚️ Escenario'!$C$10*'🎚️ Escenario'!$C$11)&gt;=36,$AL$23,INDEX($C$23:$AL$23,MAX(1,ROUNDUP(DB316/('🎚️ Escenario'!$C$10*'🎚️ Escenario'!$C$11),0)))))</f>
        <v>0</v>
      </c>
      <c r="DC317" s="237" t="n">
        <f aca="false" t="array" ref="DC317:DC317">IF(DC316=0,0,IF(DC316/('🎚️ Escenario'!$C$10*'🎚️ Escenario'!$C$11)&gt;=36,$AL$23,INDEX($C$23:$AL$23,MAX(1,ROUNDUP(DC316/('🎚️ Escenario'!$C$10*'🎚️ Escenario'!$C$11),0)))))</f>
        <v>0</v>
      </c>
      <c r="DD317" s="237" t="n">
        <f aca="false" t="array" ref="DD317:DD317">IF(DD316=0,0,IF(DD316/('🎚️ Escenario'!$C$10*'🎚️ Escenario'!$C$11)&gt;=36,$AL$23,INDEX($C$23:$AL$23,MAX(1,ROUNDUP(DD316/('🎚️ Escenario'!$C$10*'🎚️ Escenario'!$C$11),0)))))</f>
        <v>0</v>
      </c>
      <c r="DE317" s="237" t="n">
        <f aca="false" t="array" ref="DE317:DE317">IF(DE316=0,0,IF(DE316/('🎚️ Escenario'!$C$10*'🎚️ Escenario'!$C$11)&gt;=36,$AL$23,INDEX($C$23:$AL$23,MAX(1,ROUNDUP(DE316/('🎚️ Escenario'!$C$10*'🎚️ Escenario'!$C$11),0)))))</f>
        <v>0</v>
      </c>
      <c r="DF317" s="237" t="n">
        <f aca="false" t="array" ref="DF317:DF317">IF(DF316=0,0,IF(DF316/('🎚️ Escenario'!$C$10*'🎚️ Escenario'!$C$11)&gt;=36,$AL$23,INDEX($C$23:$AL$23,MAX(1,ROUNDUP(DF316/('🎚️ Escenario'!$C$10*'🎚️ Escenario'!$C$11),0)))))</f>
        <v>0</v>
      </c>
      <c r="DG317" s="237" t="n">
        <f aca="false" t="array" ref="DG317:DG317">IF(DG316=0,0,IF(DG316/('🎚️ Escenario'!$C$10*'🎚️ Escenario'!$C$11)&gt;=36,$AL$23,INDEX($C$23:$AL$23,MAX(1,ROUNDUP(DG316/('🎚️ Escenario'!$C$10*'🎚️ Escenario'!$C$11),0)))))</f>
        <v>0</v>
      </c>
      <c r="DH317" s="237" t="n">
        <f aca="false" t="array" ref="DH317:DH317">IF(DH316=0,0,IF(DH316/('🎚️ Escenario'!$C$10*'🎚️ Escenario'!$C$11)&gt;=36,$AL$23,INDEX($C$23:$AL$23,MAX(1,ROUNDUP(DH316/('🎚️ Escenario'!$C$10*'🎚️ Escenario'!$C$11),0)))))</f>
        <v>0</v>
      </c>
      <c r="DI317" s="237" t="n">
        <f aca="false" t="array" ref="DI317:DI317">IF(DI316=0,0,IF(DI316/('🎚️ Escenario'!$C$10*'🎚️ Escenario'!$C$11)&gt;=36,$AL$23,INDEX($C$23:$AL$23,MAX(1,ROUNDUP(DI316/('🎚️ Escenario'!$C$10*'🎚️ Escenario'!$C$11),0)))))</f>
        <v>0</v>
      </c>
      <c r="DJ317" s="237" t="n">
        <f aca="false" t="array" ref="DJ317:DJ317">IF(DJ316=0,0,IF(DJ316/('🎚️ Escenario'!$C$10*'🎚️ Escenario'!$C$11)&gt;=36,$AL$23,INDEX($C$23:$AL$23,MAX(1,ROUNDUP(DJ316/('🎚️ Escenario'!$C$10*'🎚️ Escenario'!$C$11),0)))))</f>
        <v>0</v>
      </c>
      <c r="DK317" s="237" t="n">
        <f aca="false" t="array" ref="DK317:DK317">IF(DK316=0,0,IF(DK316/('🎚️ Escenario'!$C$10*'🎚️ Escenario'!$C$11)&gt;=36,$AL$23,INDEX($C$23:$AL$23,MAX(1,ROUNDUP(DK316/('🎚️ Escenario'!$C$10*'🎚️ Escenario'!$C$11),0)))))</f>
        <v>0.2</v>
      </c>
      <c r="DL317" s="237" t="n">
        <f aca="false" t="array" ref="DL317:DL317">IF(DL316=0,0,IF(DL316/('🎚️ Escenario'!$C$10*'🎚️ Escenario'!$C$11)&gt;=36,$AL$23,INDEX($C$23:$AL$23,MAX(1,ROUNDUP(DL316/('🎚️ Escenario'!$C$10*'🎚️ Escenario'!$C$11),0)))))</f>
        <v>0.22</v>
      </c>
      <c r="DM317" s="237" t="n">
        <f aca="false" t="array" ref="DM317:DM317">IF(DM316=0,0,IF(DM316/('🎚️ Escenario'!$C$10*'🎚️ Escenario'!$C$11)&gt;=36,$AL$23,INDEX($C$23:$AL$23,MAX(1,ROUNDUP(DM316/('🎚️ Escenario'!$C$10*'🎚️ Escenario'!$C$11),0)))))</f>
        <v>0.22</v>
      </c>
      <c r="DN317" s="237" t="n">
        <f aca="false" t="array" ref="DN317:DN317">IF(DN316=0,0,IF(DN316/('🎚️ Escenario'!$C$10*'🎚️ Escenario'!$C$11)&gt;=36,$AL$23,INDEX($C$23:$AL$23,MAX(1,ROUNDUP(DN316/('🎚️ Escenario'!$C$10*'🎚️ Escenario'!$C$11),0)))))</f>
        <v>0.24</v>
      </c>
      <c r="DO317" s="237" t="n">
        <f aca="false" t="array" ref="DO317:DO317">IF(DO316=0,0,IF(DO316/('🎚️ Escenario'!$C$10*'🎚️ Escenario'!$C$11)&gt;=36,$AL$23,INDEX($C$23:$AL$23,MAX(1,ROUNDUP(DO316/('🎚️ Escenario'!$C$10*'🎚️ Escenario'!$C$11),0)))))</f>
        <v>0.24</v>
      </c>
      <c r="DP317" s="237" t="n">
        <f aca="false" t="array" ref="DP317:DP317">IF(DP316=0,0,IF(DP316/('🎚️ Escenario'!$C$10*'🎚️ Escenario'!$C$11)&gt;=36,$AL$23,INDEX($C$23:$AL$23,MAX(1,ROUNDUP(DP316/('🎚️ Escenario'!$C$10*'🎚️ Escenario'!$C$11),0)))))</f>
        <v>0.27</v>
      </c>
      <c r="DQ317" s="237" t="n">
        <f aca="false" t="array" ref="DQ317:DQ317">IF(DQ316=0,0,IF(DQ316/('🎚️ Escenario'!$C$10*'🎚️ Escenario'!$C$11)&gt;=36,$AL$23,INDEX($C$23:$AL$23,MAX(1,ROUNDUP(DQ316/('🎚️ Escenario'!$C$10*'🎚️ Escenario'!$C$11),0)))))</f>
        <v>0.27</v>
      </c>
      <c r="DR317" s="237" t="n">
        <f aca="false" t="array" ref="DR317:DR317">IF(DR316=0,0,IF(DR316/('🎚️ Escenario'!$C$10*'🎚️ Escenario'!$C$11)&gt;=36,$AL$23,INDEX($C$23:$AL$23,MAX(1,ROUNDUP(DR316/('🎚️ Escenario'!$C$10*'🎚️ Escenario'!$C$11),0)))))</f>
        <v>0.31</v>
      </c>
      <c r="DS317" s="237" t="n">
        <f aca="false" t="array" ref="DS317:DS317">IF(DS316=0,0,IF(DS316/('🎚️ Escenario'!$C$10*'🎚️ Escenario'!$C$11)&gt;=36,$AL$23,INDEX($C$23:$AL$23,MAX(1,ROUNDUP(DS316/('🎚️ Escenario'!$C$10*'🎚️ Escenario'!$C$11),0)))))</f>
        <v>0.31</v>
      </c>
      <c r="DT317" s="237" t="n">
        <f aca="false" t="array" ref="DT317:DT317">IF(DT316=0,0,IF(DT316/('🎚️ Escenario'!$C$10*'🎚️ Escenario'!$C$11)&gt;=36,$AL$23,INDEX($C$23:$AL$23,MAX(1,ROUNDUP(DT316/('🎚️ Escenario'!$C$10*'🎚️ Escenario'!$C$11),0)))))</f>
        <v>0.35</v>
      </c>
      <c r="DU317" s="237" t="n">
        <f aca="false" t="array" ref="DU317:DU317">IF(DU316=0,0,IF(DU316/('🎚️ Escenario'!$C$10*'🎚️ Escenario'!$C$11)&gt;=36,$AL$23,INDEX($C$23:$AL$23,MAX(1,ROUNDUP(DU316/('🎚️ Escenario'!$C$10*'🎚️ Escenario'!$C$11),0)))))</f>
        <v>0.35</v>
      </c>
      <c r="DV317" s="237" t="n">
        <f aca="false" t="array" ref="DV317:DV317">IF(DV316=0,0,IF(DV316/('🎚️ Escenario'!$C$10*'🎚️ Escenario'!$C$11)&gt;=36,$AL$23,INDEX($C$23:$AL$23,MAX(1,ROUNDUP(DV316/('🎚️ Escenario'!$C$10*'🎚️ Escenario'!$C$11),0)))))</f>
        <v>0.39</v>
      </c>
      <c r="DW317" s="237" t="n">
        <f aca="false" t="array" ref="DW317:DW317">IF(DW316=0,0,IF(DW316/('🎚️ Escenario'!$C$10*'🎚️ Escenario'!$C$11)&gt;=36,$AL$23,INDEX($C$23:$AL$23,MAX(1,ROUNDUP(DW316/('🎚️ Escenario'!$C$10*'🎚️ Escenario'!$C$11),0)))))</f>
        <v>0.39</v>
      </c>
      <c r="DX317" s="237" t="n">
        <f aca="false" t="array" ref="DX317:DX317">IF(DX316=0,0,IF(DX316/('🎚️ Escenario'!$C$10*'🎚️ Escenario'!$C$11)&gt;=36,$AL$23,INDEX($C$23:$AL$23,MAX(1,ROUNDUP(DX316/('🎚️ Escenario'!$C$10*'🎚️ Escenario'!$C$11),0)))))</f>
        <v>0.44</v>
      </c>
      <c r="DY317" s="237" t="n">
        <f aca="false" t="array" ref="DY317:DY317">IF(DY316=0,0,IF(DY316/('🎚️ Escenario'!$C$10*'🎚️ Escenario'!$C$11)&gt;=36,$AL$23,INDEX($C$23:$AL$23,MAX(1,ROUNDUP(DY316/('🎚️ Escenario'!$C$10*'🎚️ Escenario'!$C$11),0)))))</f>
        <v>0.44</v>
      </c>
      <c r="DZ317" s="237" t="n">
        <f aca="false" t="array" ref="DZ317:DZ317">IF(DZ316=0,0,IF(DZ316/('🎚️ Escenario'!$C$10*'🎚️ Escenario'!$C$11)&gt;=36,$AL$23,INDEX($C$23:$AL$23,MAX(1,ROUNDUP(DZ316/('🎚️ Escenario'!$C$10*'🎚️ Escenario'!$C$11),0)))))</f>
        <v>0.48</v>
      </c>
      <c r="EA317" s="237" t="n">
        <f aca="false" t="array" ref="EA317:EA317">IF(EA316=0,0,IF(EA316/('🎚️ Escenario'!$C$10*'🎚️ Escenario'!$C$11)&gt;=36,$AL$23,INDEX($C$23:$AL$23,MAX(1,ROUNDUP(EA316/('🎚️ Escenario'!$C$10*'🎚️ Escenario'!$C$11),0)))))</f>
        <v>0.52</v>
      </c>
      <c r="EB317" s="237" t="n">
        <f aca="false" t="array" ref="EB317:EB317">IF(EB316=0,0,IF(EB316/('🎚️ Escenario'!$C$10*'🎚️ Escenario'!$C$11)&gt;=36,$AL$23,INDEX($C$23:$AL$23,MAX(1,ROUNDUP(EB316/('🎚️ Escenario'!$C$10*'🎚️ Escenario'!$C$11),0)))))</f>
        <v>0.52</v>
      </c>
      <c r="EC317" s="237" t="n">
        <f aca="false" t="array" ref="EC317:EC317">IF(EC316=0,0,IF(EC316/('🎚️ Escenario'!$C$10*'🎚️ Escenario'!$C$11)&gt;=36,$AL$23,INDEX($C$23:$AL$23,MAX(1,ROUNDUP(EC316/('🎚️ Escenario'!$C$10*'🎚️ Escenario'!$C$11),0)))))</f>
        <v>0.56</v>
      </c>
      <c r="ED317" s="237" t="n">
        <f aca="false" t="array" ref="ED317:ED317">IF(ED316=0,0,IF(ED316/('🎚️ Escenario'!$C$10*'🎚️ Escenario'!$C$11)&gt;=36,$AL$23,INDEX($C$23:$AL$23,MAX(1,ROUNDUP(ED316/('🎚️ Escenario'!$C$10*'🎚️ Escenario'!$C$11),0)))))</f>
        <v>0.56</v>
      </c>
      <c r="EE317" s="237" t="n">
        <f aca="false" t="array" ref="EE317:EE317">IF(EE316=0,0,IF(EE316/('🎚️ Escenario'!$C$10*'🎚️ Escenario'!$C$11)&gt;=36,$AL$23,INDEX($C$23:$AL$23,MAX(1,ROUNDUP(EE316/('🎚️ Escenario'!$C$10*'🎚️ Escenario'!$C$11),0)))))</f>
        <v>0.6</v>
      </c>
      <c r="EF317" s="237" t="n">
        <f aca="false" t="array" ref="EF317:EF317">IF(EF316=0,0,IF(EF316/('🎚️ Escenario'!$C$10*'🎚️ Escenario'!$C$11)&gt;=36,$AL$23,INDEX($C$23:$AL$23,MAX(1,ROUNDUP(EF316/('🎚️ Escenario'!$C$10*'🎚️ Escenario'!$C$11),0)))))</f>
        <v>0.6</v>
      </c>
      <c r="EG317" s="237" t="n">
        <f aca="false" t="array" ref="EG317:EG317">IF(EG316=0,0,IF(EG316/('🎚️ Escenario'!$C$10*'🎚️ Escenario'!$C$11)&gt;=36,$AL$23,INDEX($C$23:$AL$23,MAX(1,ROUNDUP(EG316/('🎚️ Escenario'!$C$10*'🎚️ Escenario'!$C$11),0)))))</f>
        <v>0.63</v>
      </c>
      <c r="EH317" s="237" t="n">
        <f aca="false" t="array" ref="EH317:EH317">IF(EH316=0,0,IF(EH316/('🎚️ Escenario'!$C$10*'🎚️ Escenario'!$C$11)&gt;=36,$AL$23,INDEX($C$23:$AL$23,MAX(1,ROUNDUP(EH316/('🎚️ Escenario'!$C$10*'🎚️ Escenario'!$C$11),0)))))</f>
        <v>0.63</v>
      </c>
      <c r="EI317" s="237" t="n">
        <f aca="false" t="array" ref="EI317:EI317">IF(EI316=0,0,IF(EI316/('🎚️ Escenario'!$C$10*'🎚️ Escenario'!$C$11)&gt;=36,$AL$23,INDEX($C$23:$AL$23,MAX(1,ROUNDUP(EI316/('🎚️ Escenario'!$C$10*'🎚️ Escenario'!$C$11),0)))))</f>
        <v>0.66</v>
      </c>
      <c r="EJ317" s="237" t="n">
        <f aca="false" t="array" ref="EJ317:EJ317">IF(EJ316=0,0,IF(EJ316/('🎚️ Escenario'!$C$10*'🎚️ Escenario'!$C$11)&gt;=36,$AL$23,INDEX($C$23:$AL$23,MAX(1,ROUNDUP(EJ316/('🎚️ Escenario'!$C$10*'🎚️ Escenario'!$C$11),0)))))</f>
        <v>0.66</v>
      </c>
      <c r="EK317" s="237" t="n">
        <f aca="false" t="array" ref="EK317:EK317">IF(EK316=0,0,IF(EK316/('🎚️ Escenario'!$C$10*'🎚️ Escenario'!$C$11)&gt;=36,$AL$23,INDEX($C$23:$AL$23,MAX(1,ROUNDUP(EK316/('🎚️ Escenario'!$C$10*'🎚️ Escenario'!$C$11),0)))))</f>
        <v>0.69</v>
      </c>
      <c r="EL317" s="237" t="n">
        <f aca="false" t="array" ref="EL317:EL317">IF(EL316=0,0,IF(EL316/('🎚️ Escenario'!$C$10*'🎚️ Escenario'!$C$11)&gt;=36,$AL$23,INDEX($C$23:$AL$23,MAX(1,ROUNDUP(EL316/('🎚️ Escenario'!$C$10*'🎚️ Escenario'!$C$11),0)))))</f>
        <v>0.69</v>
      </c>
      <c r="EM317" s="237" t="n">
        <f aca="false" t="array" ref="EM317:EM317">IF(EM316=0,0,IF(EM316/('🎚️ Escenario'!$C$10*'🎚️ Escenario'!$C$11)&gt;=36,$AL$23,INDEX($C$23:$AL$23,MAX(1,ROUNDUP(EM316/('🎚️ Escenario'!$C$10*'🎚️ Escenario'!$C$11),0)))))</f>
        <v>0.71</v>
      </c>
      <c r="EN317" s="237" t="n">
        <f aca="false" t="array" ref="EN317:EN317">IF(EN316=0,0,IF(EN316/('🎚️ Escenario'!$C$10*'🎚️ Escenario'!$C$11)&gt;=36,$AL$23,INDEX($C$23:$AL$23,MAX(1,ROUNDUP(EN316/('🎚️ Escenario'!$C$10*'🎚️ Escenario'!$C$11),0)))))</f>
        <v>0.71</v>
      </c>
      <c r="EO317" s="237" t="n">
        <f aca="false" t="array" ref="EO317:EO317">IF(EO316=0,0,IF(EO316/('🎚️ Escenario'!$C$10*'🎚️ Escenario'!$C$11)&gt;=36,$AL$23,INDEX($C$23:$AL$23,MAX(1,ROUNDUP(EO316/('🎚️ Escenario'!$C$10*'🎚️ Escenario'!$C$11),0)))))</f>
        <v>0.73</v>
      </c>
      <c r="EP317" s="237" t="n">
        <f aca="false" t="array" ref="EP317:EP317">IF(EP316=0,0,IF(EP316/('🎚️ Escenario'!$C$10*'🎚️ Escenario'!$C$11)&gt;=36,$AL$23,INDEX($C$23:$AL$23,MAX(1,ROUNDUP(EP316/('🎚️ Escenario'!$C$10*'🎚️ Escenario'!$C$11),0)))))</f>
        <v>0.75</v>
      </c>
      <c r="EQ317" s="237" t="n">
        <f aca="false" t="array" ref="EQ317:EQ317">IF(EQ316=0,0,IF(EQ316/('🎚️ Escenario'!$C$10*'🎚️ Escenario'!$C$11)&gt;=36,$AL$23,INDEX($C$23:$AL$23,MAX(1,ROUNDUP(EQ316/('🎚️ Escenario'!$C$10*'🎚️ Escenario'!$C$11),0)))))</f>
        <v>0.75</v>
      </c>
      <c r="ER317" s="237" t="n">
        <f aca="false" t="array" ref="ER317:ER317">IF(ER316=0,0,IF(ER316/('🎚️ Escenario'!$C$10*'🎚️ Escenario'!$C$11)&gt;=36,$AL$23,INDEX($C$23:$AL$23,MAX(1,ROUNDUP(ER316/('🎚️ Escenario'!$C$10*'🎚️ Escenario'!$C$11),0)))))</f>
        <v>0.77</v>
      </c>
      <c r="ES317" s="9" t="n">
        <f aca="false" t="array" ref="ES317:ES317">IF(ES316=0,0,IF(ES316/('🎚️ Escenario'!$C$10*'🎚️ Escenario'!$C$11)&gt;=36,$AL$23,INDEX($C$23:$AL$23,MAX(1,ROUNDUP(ES316/('🎚️ Escenario'!$C$10*'🎚️ Escenario'!$C$11),0)))))</f>
        <v>0.77</v>
      </c>
      <c r="ET317" s="9" t="n">
        <f aca="false" t="array" ref="ET317:ET317">IF(ET316=0,0,IF(ET316/('🎚️ Escenario'!$C$10*'🎚️ Escenario'!$C$11)&gt;=36,$AL$23,INDEX($C$23:$AL$23,MAX(1,ROUNDUP(ET316/('🎚️ Escenario'!$C$10*'🎚️ Escenario'!$C$11),0)))))</f>
        <v>0.79</v>
      </c>
      <c r="EU317" s="9" t="n">
        <f aca="false" t="array" ref="EU317:EU317">IF(EU316=0,0,IF(EU316/('🎚️ Escenario'!$C$10*'🎚️ Escenario'!$C$11)&gt;=36,$AL$23,INDEX($C$23:$AL$23,MAX(1,ROUNDUP(EU316/('🎚️ Escenario'!$C$10*'🎚️ Escenario'!$C$11),0)))))</f>
        <v>0.79</v>
      </c>
      <c r="EV317" s="9" t="n">
        <f aca="false" t="array" ref="EV317:EV317">IF(EV316=0,0,IF(EV316/('🎚️ Escenario'!$C$10*'🎚️ Escenario'!$C$11)&gt;=36,$AL$23,INDEX($C$23:$AL$23,MAX(1,ROUNDUP(EV316/('🎚️ Escenario'!$C$10*'🎚️ Escenario'!$C$11),0)))))</f>
        <v>0.8</v>
      </c>
      <c r="EW317" s="9" t="n">
        <f aca="false" t="array" ref="EW317:EW317">IF(EW316=0,0,IF(EW316/('🎚️ Escenario'!$C$10*'🎚️ Escenario'!$C$11)&gt;=36,$AL$23,INDEX($C$23:$AL$23,MAX(1,ROUNDUP(EW316/('🎚️ Escenario'!$C$10*'🎚️ Escenario'!$C$11),0)))))</f>
        <v>0.8</v>
      </c>
      <c r="EX317" s="9" t="n">
        <f aca="false" t="array" ref="EX317:EX317">IF(EX316=0,0,IF(EX316/('🎚️ Escenario'!$C$10*'🎚️ Escenario'!$C$11)&gt;=36,$AL$23,INDEX($C$23:$AL$23,MAX(1,ROUNDUP(EX316/('🎚️ Escenario'!$C$10*'🎚️ Escenario'!$C$11),0)))))</f>
        <v>0.82</v>
      </c>
      <c r="EY317" s="9" t="n">
        <f aca="false" t="array" ref="EY317:EY317">IF(EY316=0,0,IF(EY316/('🎚️ Escenario'!$C$10*'🎚️ Escenario'!$C$11)&gt;=36,$AL$23,INDEX($C$23:$AL$23,MAX(1,ROUNDUP(EY316/('🎚️ Escenario'!$C$10*'🎚️ Escenario'!$C$11),0)))))</f>
        <v>0.82</v>
      </c>
      <c r="EZ317" s="9" t="n">
        <f aca="false" t="array" ref="EZ317:EZ317">IF(EZ316=0,0,IF(EZ316/('🎚️ Escenario'!$C$10*'🎚️ Escenario'!$C$11)&gt;=36,$AL$23,INDEX($C$23:$AL$23,MAX(1,ROUNDUP(EZ316/('🎚️ Escenario'!$C$10*'🎚️ Escenario'!$C$11),0)))))</f>
        <v>0.84</v>
      </c>
      <c r="FA317" s="9" t="n">
        <f aca="false" t="array" ref="FA317:FA317">IF(FA316=0,0,IF(FA316/('🎚️ Escenario'!$C$10*'🎚️ Escenario'!$C$11)&gt;=36,$AL$23,INDEX($C$23:$AL$23,MAX(1,ROUNDUP(FA316/('🎚️ Escenario'!$C$10*'🎚️ Escenario'!$C$11),0)))))</f>
        <v>0.84</v>
      </c>
      <c r="FB317" s="9" t="n">
        <f aca="false" t="array" ref="FB317:FB317">IF(FB316=0,0,IF(FB316/('🎚️ Escenario'!$C$10*'🎚️ Escenario'!$C$11)&gt;=36,$AL$23,INDEX($C$23:$AL$23,MAX(1,ROUNDUP(FB316/('🎚️ Escenario'!$C$10*'🎚️ Escenario'!$C$11),0)))))</f>
        <v>0.85</v>
      </c>
      <c r="FC317" s="9" t="n">
        <f aca="false" t="array" ref="FC317:FC317">IF(FC316=0,0,IF(FC316/('🎚️ Escenario'!$C$10*'🎚️ Escenario'!$C$11)&gt;=36,$AL$23,INDEX($C$23:$AL$23,MAX(1,ROUNDUP(FC316/('🎚️ Escenario'!$C$10*'🎚️ Escenario'!$C$11),0)))))</f>
        <v>0.85</v>
      </c>
      <c r="FD317" s="9" t="n">
        <f aca="false" t="array" ref="FD317:FD317">IF(FD316=0,0,IF(FD316/('🎚️ Escenario'!$C$10*'🎚️ Escenario'!$C$11)&gt;=36,$AL$23,INDEX($C$23:$AL$23,MAX(1,ROUNDUP(FD316/('🎚️ Escenario'!$C$10*'🎚️ Escenario'!$C$11),0)))))</f>
        <v>0.86</v>
      </c>
      <c r="FE317" s="9" t="n">
        <f aca="false" t="array" ref="FE317:FE317">IF(FE316=0,0,IF(FE316/('🎚️ Escenario'!$C$10*'🎚️ Escenario'!$C$11)&gt;=36,$AL$23,INDEX($C$23:$AL$23,MAX(1,ROUNDUP(FE316/('🎚️ Escenario'!$C$10*'🎚️ Escenario'!$C$11),0)))))</f>
        <v>0.88</v>
      </c>
      <c r="FF317" s="9" t="n">
        <f aca="false" t="array" ref="FF317:FF317">IF(FF316=0,0,IF(FF316/('🎚️ Escenario'!$C$10*'🎚️ Escenario'!$C$11)&gt;=36,$AL$23,INDEX($C$23:$AL$23,MAX(1,ROUNDUP(FF316/('🎚️ Escenario'!$C$10*'🎚️ Escenario'!$C$11),0)))))</f>
        <v>0.88</v>
      </c>
      <c r="FG317" s="9" t="n">
        <f aca="false" t="array" ref="FG317:FG317">IF(FG316=0,0,IF(FG316/('🎚️ Escenario'!$C$10*'🎚️ Escenario'!$C$11)&gt;=36,$AL$23,INDEX($C$23:$AL$23,MAX(1,ROUNDUP(FG316/('🎚️ Escenario'!$C$10*'🎚️ Escenario'!$C$11),0)))))</f>
        <v>0.89</v>
      </c>
      <c r="FH317" s="9" t="n">
        <f aca="false" t="array" ref="FH317:FH317">IF(FH316=0,0,IF(FH316/('🎚️ Escenario'!$C$10*'🎚️ Escenario'!$C$11)&gt;=36,$AL$23,INDEX($C$23:$AL$23,MAX(1,ROUNDUP(FH316/('🎚️ Escenario'!$C$10*'🎚️ Escenario'!$C$11),0)))))</f>
        <v>0.89</v>
      </c>
      <c r="FI317" s="9" t="n">
        <f aca="false" t="array" ref="FI317:FI317">IF(FI316=0,0,IF(FI316/('🎚️ Escenario'!$C$10*'🎚️ Escenario'!$C$11)&gt;=36,$AL$23,INDEX($C$23:$AL$23,MAX(1,ROUNDUP(FI316/('🎚️ Escenario'!$C$10*'🎚️ Escenario'!$C$11),0)))))</f>
        <v>0.9</v>
      </c>
      <c r="FJ317" s="9" t="n">
        <f aca="false" t="array" ref="FJ317:FJ317">IF(FJ316=0,0,IF(FJ316/('🎚️ Escenario'!$C$10*'🎚️ Escenario'!$C$11)&gt;=36,$AL$23,INDEX($C$23:$AL$23,MAX(1,ROUNDUP(FJ316/('🎚️ Escenario'!$C$10*'🎚️ Escenario'!$C$11),0)))))</f>
        <v>0.9</v>
      </c>
      <c r="FK317" s="9" t="n">
        <f aca="false" t="array" ref="FK317:FK317">IF(FK316=0,0,IF(FK316/('🎚️ Escenario'!$C$10*'🎚️ Escenario'!$C$11)&gt;=36,$AL$23,INDEX($C$23:$AL$23,MAX(1,ROUNDUP(FK316/('🎚️ Escenario'!$C$10*'🎚️ Escenario'!$C$11),0)))))</f>
        <v>0.92</v>
      </c>
      <c r="FL317" s="9" t="n">
        <f aca="false" t="array" ref="FL317:FL317">IF(FL316=0,0,IF(FL316/('🎚️ Escenario'!$C$10*'🎚️ Escenario'!$C$11)&gt;=36,$AL$23,INDEX($C$23:$AL$23,MAX(1,ROUNDUP(FL316/('🎚️ Escenario'!$C$10*'🎚️ Escenario'!$C$11),0)))))</f>
        <v>0.92</v>
      </c>
      <c r="FM317" s="9" t="n">
        <f aca="false" t="array" ref="FM317:FM317">IF(FM316=0,0,IF(FM316/('🎚️ Escenario'!$C$10*'🎚️ Escenario'!$C$11)&gt;=36,$AL$23,INDEX($C$23:$AL$23,MAX(1,ROUNDUP(FM316/('🎚️ Escenario'!$C$10*'🎚️ Escenario'!$C$11),0)))))</f>
        <v>0.93</v>
      </c>
      <c r="FN317" s="9" t="n">
        <f aca="false" t="array" ref="FN317:FN317">IF(FN316=0,0,IF(FN316/('🎚️ Escenario'!$C$10*'🎚️ Escenario'!$C$11)&gt;=36,$AL$23,INDEX($C$23:$AL$23,MAX(1,ROUNDUP(FN316/('🎚️ Escenario'!$C$10*'🎚️ Escenario'!$C$11),0)))))</f>
        <v>0.93</v>
      </c>
      <c r="FO317" s="9" t="n">
        <f aca="false" t="array" ref="FO317:FO317">IF(FO316=0,0,IF(FO316/('🎚️ Escenario'!$C$10*'🎚️ Escenario'!$C$11)&gt;=36,$AL$23,INDEX($C$23:$AL$23,MAX(1,ROUNDUP(FO316/('🎚️ Escenario'!$C$10*'🎚️ Escenario'!$C$11),0)))))</f>
        <v>0.94</v>
      </c>
      <c r="FP317" s="9" t="n">
        <f aca="false" t="array" ref="FP317:FP317">IF(FP316=0,0,IF(FP316/('🎚️ Escenario'!$C$10*'🎚️ Escenario'!$C$11)&gt;=36,$AL$23,INDEX($C$23:$AL$23,MAX(1,ROUNDUP(FP316/('🎚️ Escenario'!$C$10*'🎚️ Escenario'!$C$11),0)))))</f>
        <v>0.94</v>
      </c>
    </row>
    <row r="318" customFormat="false" ht="15" hidden="false" customHeight="false" outlineLevel="2" collapsed="false">
      <c r="B318" s="47" t="s">
        <v>875</v>
      </c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237" t="n">
        <f aca="false">IF(AC316=0,0,IF(AC316&lt;=12*'🎚️ Escenario'!$C$11,1,1+$C$6))</f>
        <v>0</v>
      </c>
      <c r="AD318" s="237" t="n">
        <f aca="false">IF(AD316=0,0,IF(AD316&lt;=12*'🎚️ Escenario'!$C$11,1,1+$C$6))</f>
        <v>0</v>
      </c>
      <c r="AE318" s="237" t="n">
        <f aca="false">IF(AE316=0,0,IF(AE316&lt;=12*'🎚️ Escenario'!$C$11,1,1+$C$6))</f>
        <v>0</v>
      </c>
      <c r="AF318" s="237" t="n">
        <f aca="false">IF(AF316=0,0,IF(AF316&lt;=12*'🎚️ Escenario'!$C$11,1,1+$C$6))</f>
        <v>0</v>
      </c>
      <c r="AG318" s="237" t="n">
        <f aca="false">IF(AG316=0,0,IF(AG316&lt;=12*'🎚️ Escenario'!$C$11,1,1+$C$6))</f>
        <v>0</v>
      </c>
      <c r="AH318" s="237" t="n">
        <f aca="false">IF(AH316=0,0,IF(AH316&lt;=12*'🎚️ Escenario'!$C$11,1,1+$C$6))</f>
        <v>0</v>
      </c>
      <c r="AI318" s="237" t="n">
        <f aca="false">IF(AI316=0,0,IF(AI316&lt;=12*'🎚️ Escenario'!$C$11,1,1+$C$6))</f>
        <v>0</v>
      </c>
      <c r="AJ318" s="237" t="n">
        <f aca="false">IF(AJ316=0,0,IF(AJ316&lt;=12*'🎚️ Escenario'!$C$11,1,1+$C$6))</f>
        <v>0</v>
      </c>
      <c r="AK318" s="237" t="n">
        <f aca="false">IF(AK316=0,0,IF(AK316&lt;=12*'🎚️ Escenario'!$C$11,1,1+$C$6))</f>
        <v>0</v>
      </c>
      <c r="AL318" s="237" t="n">
        <f aca="false">IF(AL316=0,0,IF(AL316&lt;=12*'🎚️ Escenario'!$C$11,1,1+$C$6))</f>
        <v>0</v>
      </c>
      <c r="AM318" s="237" t="n">
        <f aca="false">IF(AM316=0,0,IF(AM316&lt;=12*'🎚️ Escenario'!$C$11,1,1+$C$6))</f>
        <v>0</v>
      </c>
      <c r="AN318" s="237" t="n">
        <f aca="false">IF(AN316=0,0,IF(AN316&lt;=12*'🎚️ Escenario'!$C$11,1,1+$C$6))</f>
        <v>0</v>
      </c>
      <c r="AO318" s="237" t="n">
        <f aca="false">IF(AO316=0,0,IF(AO316&lt;=12*'🎚️ Escenario'!$C$11,1,1+$C$6))</f>
        <v>0</v>
      </c>
      <c r="AP318" s="237" t="n">
        <f aca="false">IF(AP316=0,0,IF(AP316&lt;=12*'🎚️ Escenario'!$C$11,1,1+$C$6))</f>
        <v>0</v>
      </c>
      <c r="AQ318" s="237" t="n">
        <f aca="false">IF(AQ316=0,0,IF(AQ316&lt;=12*'🎚️ Escenario'!$C$11,1,1+$C$6))</f>
        <v>0</v>
      </c>
      <c r="AR318" s="237" t="n">
        <f aca="false">IF(AR316=0,0,IF(AR316&lt;=12*'🎚️ Escenario'!$C$11,1,1+$C$6))</f>
        <v>0</v>
      </c>
      <c r="AS318" s="237" t="n">
        <f aca="false">IF(AS316=0,0,IF(AS316&lt;=12*'🎚️ Escenario'!$C$11,1,1+$C$6))</f>
        <v>0</v>
      </c>
      <c r="AT318" s="237" t="n">
        <f aca="false">IF(AT316=0,0,IF(AT316&lt;=12*'🎚️ Escenario'!$C$11,1,1+$C$6))</f>
        <v>0</v>
      </c>
      <c r="AU318" s="237" t="n">
        <f aca="false">IF(AU316=0,0,IF(AU316&lt;=12*'🎚️ Escenario'!$C$11,1,1+$C$6))</f>
        <v>0</v>
      </c>
      <c r="AV318" s="237" t="n">
        <f aca="false">IF(AV316=0,0,IF(AV316&lt;=12*'🎚️ Escenario'!$C$11,1,1+$C$6))</f>
        <v>0</v>
      </c>
      <c r="AW318" s="237" t="n">
        <f aca="false">IF(AW316=0,0,IF(AW316&lt;=12*'🎚️ Escenario'!$C$11,1,1+$C$6))</f>
        <v>0</v>
      </c>
      <c r="AX318" s="237" t="n">
        <f aca="false">IF(AX316=0,0,IF(AX316&lt;=12*'🎚️ Escenario'!$C$11,1,1+$C$6))</f>
        <v>0</v>
      </c>
      <c r="AY318" s="237" t="n">
        <f aca="false">IF(AY316=0,0,IF(AY316&lt;=12*'🎚️ Escenario'!$C$11,1,1+$C$6))</f>
        <v>0</v>
      </c>
      <c r="AZ318" s="237" t="n">
        <f aca="false">IF(AZ316=0,0,IF(AZ316&lt;=12*'🎚️ Escenario'!$C$11,1,1+$C$6))</f>
        <v>0</v>
      </c>
      <c r="BA318" s="237" t="n">
        <f aca="false">IF(BA316=0,0,IF(BA316&lt;=12*'🎚️ Escenario'!$C$11,1,1+$C$6))</f>
        <v>0</v>
      </c>
      <c r="BB318" s="237" t="n">
        <f aca="false">IF(BB316=0,0,IF(BB316&lt;=12*'🎚️ Escenario'!$C$11,1,1+$C$6))</f>
        <v>0</v>
      </c>
      <c r="BC318" s="237" t="n">
        <f aca="false">IF(BC316=0,0,IF(BC316&lt;=12*'🎚️ Escenario'!$C$11,1,1+$C$6))</f>
        <v>0</v>
      </c>
      <c r="BD318" s="237" t="n">
        <f aca="false">IF(BD316=0,0,IF(BD316&lt;=12*'🎚️ Escenario'!$C$11,1,1+$C$6))</f>
        <v>0</v>
      </c>
      <c r="BE318" s="237" t="n">
        <f aca="false">IF(BE316=0,0,IF(BE316&lt;=12*'🎚️ Escenario'!$C$11,1,1+$C$6))</f>
        <v>0</v>
      </c>
      <c r="BF318" s="237" t="n">
        <f aca="false">IF(BF316=0,0,IF(BF316&lt;=12*'🎚️ Escenario'!$C$11,1,1+$C$6))</f>
        <v>0</v>
      </c>
      <c r="BG318" s="237" t="n">
        <f aca="false">IF(BG316=0,0,IF(BG316&lt;=12*'🎚️ Escenario'!$C$11,1,1+$C$6))</f>
        <v>0</v>
      </c>
      <c r="BH318" s="237" t="n">
        <f aca="false">IF(BH316=0,0,IF(BH316&lt;=12*'🎚️ Escenario'!$C$11,1,1+$C$6))</f>
        <v>0</v>
      </c>
      <c r="BI318" s="237" t="n">
        <f aca="false">IF(BI316=0,0,IF(BI316&lt;=12*'🎚️ Escenario'!$C$11,1,1+$C$6))</f>
        <v>0</v>
      </c>
      <c r="BJ318" s="237" t="n">
        <f aca="false">IF(BJ316=0,0,IF(BJ316&lt;=12*'🎚️ Escenario'!$C$11,1,1+$C$6))</f>
        <v>0</v>
      </c>
      <c r="BK318" s="237" t="n">
        <f aca="false">IF(BK316=0,0,IF(BK316&lt;=12*'🎚️ Escenario'!$C$11,1,1+$C$6))</f>
        <v>0</v>
      </c>
      <c r="BL318" s="237" t="n">
        <f aca="false">IF(BL316=0,0,IF(BL316&lt;=12*'🎚️ Escenario'!$C$11,1,1+$C$6))</f>
        <v>0</v>
      </c>
      <c r="BM318" s="237" t="n">
        <f aca="false">IF(BM316=0,0,IF(BM316&lt;=12*'🎚️ Escenario'!$C$11,1,1+$C$6))</f>
        <v>0</v>
      </c>
      <c r="BN318" s="237" t="n">
        <f aca="false">IF(BN316=0,0,IF(BN316&lt;=12*'🎚️ Escenario'!$C$11,1,1+$C$6))</f>
        <v>0</v>
      </c>
      <c r="BO318" s="237" t="n">
        <f aca="false">IF(BO316=0,0,IF(BO316&lt;=12*'🎚️ Escenario'!$C$11,1,1+$C$6))</f>
        <v>0</v>
      </c>
      <c r="BP318" s="237" t="n">
        <f aca="false">IF(BP316=0,0,IF(BP316&lt;=12*'🎚️ Escenario'!$C$11,1,1+$C$6))</f>
        <v>0</v>
      </c>
      <c r="BQ318" s="237" t="n">
        <f aca="false">IF(BQ316=0,0,IF(BQ316&lt;=12*'🎚️ Escenario'!$C$11,1,1+$C$6))</f>
        <v>0</v>
      </c>
      <c r="BR318" s="237" t="n">
        <f aca="false">IF(BR316=0,0,IF(BR316&lt;=12*'🎚️ Escenario'!$C$11,1,1+$C$6))</f>
        <v>0</v>
      </c>
      <c r="BS318" s="237" t="n">
        <f aca="false">IF(BS316=0,0,IF(BS316&lt;=12*'🎚️ Escenario'!$C$11,1,1+$C$6))</f>
        <v>0</v>
      </c>
      <c r="BT318" s="237" t="n">
        <f aca="false">IF(BT316=0,0,IF(BT316&lt;=12*'🎚️ Escenario'!$C$11,1,1+$C$6))</f>
        <v>0</v>
      </c>
      <c r="BU318" s="237" t="n">
        <f aca="false">IF(BU316=0,0,IF(BU316&lt;=12*'🎚️ Escenario'!$C$11,1,1+$C$6))</f>
        <v>0</v>
      </c>
      <c r="BV318" s="237" t="n">
        <f aca="false">IF(BV316=0,0,IF(BV316&lt;=12*'🎚️ Escenario'!$C$11,1,1+$C$6))</f>
        <v>0</v>
      </c>
      <c r="BW318" s="237" t="n">
        <f aca="false">IF(BW316=0,0,IF(BW316&lt;=12*'🎚️ Escenario'!$C$11,1,1+$C$6))</f>
        <v>0</v>
      </c>
      <c r="BX318" s="237" t="n">
        <f aca="false">IF(BX316=0,0,IF(BX316&lt;=12*'🎚️ Escenario'!$C$11,1,1+$C$6))</f>
        <v>0</v>
      </c>
      <c r="BY318" s="237" t="n">
        <f aca="false">IF(BY316=0,0,IF(BY316&lt;=12*'🎚️ Escenario'!$C$11,1,1+$C$6))</f>
        <v>0</v>
      </c>
      <c r="BZ318" s="237" t="n">
        <f aca="false">IF(BZ316=0,0,IF(BZ316&lt;=12*'🎚️ Escenario'!$C$11,1,1+$C$6))</f>
        <v>0</v>
      </c>
      <c r="CA318" s="237" t="n">
        <f aca="false">IF(CA316=0,0,IF(CA316&lt;=12*'🎚️ Escenario'!$C$11,1,1+$C$6))</f>
        <v>0</v>
      </c>
      <c r="CB318" s="237" t="n">
        <f aca="false">IF(CB316=0,0,IF(CB316&lt;=12*'🎚️ Escenario'!$C$11,1,1+$C$6))</f>
        <v>0</v>
      </c>
      <c r="CC318" s="237" t="n">
        <f aca="false">IF(CC316=0,0,IF(CC316&lt;=12*'🎚️ Escenario'!$C$11,1,1+$C$6))</f>
        <v>0</v>
      </c>
      <c r="CD318" s="237" t="n">
        <f aca="false">IF(CD316=0,0,IF(CD316&lt;=12*'🎚️ Escenario'!$C$11,1,1+$C$6))</f>
        <v>0</v>
      </c>
      <c r="CE318" s="237" t="n">
        <f aca="false">IF(CE316=0,0,IF(CE316&lt;=12*'🎚️ Escenario'!$C$11,1,1+$C$6))</f>
        <v>0</v>
      </c>
      <c r="CF318" s="237" t="n">
        <f aca="false">IF(CF316=0,0,IF(CF316&lt;=12*'🎚️ Escenario'!$C$11,1,1+$C$6))</f>
        <v>0</v>
      </c>
      <c r="CG318" s="237" t="n">
        <f aca="false">IF(CG316=0,0,IF(CG316&lt;=12*'🎚️ Escenario'!$C$11,1,1+$C$6))</f>
        <v>0</v>
      </c>
      <c r="CH318" s="237" t="n">
        <f aca="false">IF(CH316=0,0,IF(CH316&lt;=12*'🎚️ Escenario'!$C$11,1,1+$C$6))</f>
        <v>0</v>
      </c>
      <c r="CI318" s="237" t="n">
        <f aca="false">IF(CI316=0,0,IF(CI316&lt;=12*'🎚️ Escenario'!$C$11,1,1+$C$6))</f>
        <v>0</v>
      </c>
      <c r="CJ318" s="237" t="n">
        <f aca="false">IF(CJ316=0,0,IF(CJ316&lt;=12*'🎚️ Escenario'!$C$11,1,1+$C$6))</f>
        <v>0</v>
      </c>
      <c r="CK318" s="237" t="n">
        <f aca="false">IF(CK316=0,0,IF(CK316&lt;=12*'🎚️ Escenario'!$C$11,1,1+$C$6))</f>
        <v>0</v>
      </c>
      <c r="CL318" s="237" t="n">
        <f aca="false">IF(CL316=0,0,IF(CL316&lt;=12*'🎚️ Escenario'!$C$11,1,1+$C$6))</f>
        <v>0</v>
      </c>
      <c r="CM318" s="237" t="n">
        <f aca="false">IF(CM316=0,0,IF(CM316&lt;=12*'🎚️ Escenario'!$C$11,1,1+$C$6))</f>
        <v>0</v>
      </c>
      <c r="CN318" s="237" t="n">
        <f aca="false">IF(CN316=0,0,IF(CN316&lt;=12*'🎚️ Escenario'!$C$11,1,1+$C$6))</f>
        <v>0</v>
      </c>
      <c r="CO318" s="237" t="n">
        <f aca="false">IF(CO316=0,0,IF(CO316&lt;=12*'🎚️ Escenario'!$C$11,1,1+$C$6))</f>
        <v>0</v>
      </c>
      <c r="CP318" s="237" t="n">
        <f aca="false">IF(CP316=0,0,IF(CP316&lt;=12*'🎚️ Escenario'!$C$11,1,1+$C$6))</f>
        <v>0</v>
      </c>
      <c r="CQ318" s="237" t="n">
        <f aca="false">IF(CQ316=0,0,IF(CQ316&lt;=12*'🎚️ Escenario'!$C$11,1,1+$C$6))</f>
        <v>0</v>
      </c>
      <c r="CR318" s="237" t="n">
        <f aca="false">IF(CR316=0,0,IF(CR316&lt;=12*'🎚️ Escenario'!$C$11,1,1+$C$6))</f>
        <v>0</v>
      </c>
      <c r="CS318" s="237" t="n">
        <f aca="false">IF(CS316=0,0,IF(CS316&lt;=12*'🎚️ Escenario'!$C$11,1,1+$C$6))</f>
        <v>0</v>
      </c>
      <c r="CT318" s="237" t="n">
        <f aca="false">IF(CT316=0,0,IF(CT316&lt;=12*'🎚️ Escenario'!$C$11,1,1+$C$6))</f>
        <v>0</v>
      </c>
      <c r="CU318" s="237" t="n">
        <f aca="false">IF(CU316=0,0,IF(CU316&lt;=12*'🎚️ Escenario'!$C$11,1,1+$C$6))</f>
        <v>0</v>
      </c>
      <c r="CV318" s="237" t="n">
        <f aca="false">IF(CV316=0,0,IF(CV316&lt;=12*'🎚️ Escenario'!$C$11,1,1+$C$6))</f>
        <v>0</v>
      </c>
      <c r="CW318" s="237" t="n">
        <f aca="false">IF(CW316=0,0,IF(CW316&lt;=12*'🎚️ Escenario'!$C$11,1,1+$C$6))</f>
        <v>0</v>
      </c>
      <c r="CX318" s="237" t="n">
        <f aca="false">IF(CX316=0,0,IF(CX316&lt;=12*'🎚️ Escenario'!$C$11,1,1+$C$6))</f>
        <v>0</v>
      </c>
      <c r="CY318" s="237" t="n">
        <f aca="false">IF(CY316=0,0,IF(CY316&lt;=12*'🎚️ Escenario'!$C$11,1,1+$C$6))</f>
        <v>0</v>
      </c>
      <c r="CZ318" s="237" t="n">
        <f aca="false">IF(CZ316=0,0,IF(CZ316&lt;=12*'🎚️ Escenario'!$C$11,1,1+$C$6))</f>
        <v>0</v>
      </c>
      <c r="DA318" s="237" t="n">
        <f aca="false">IF(DA316=0,0,IF(DA316&lt;=12*'🎚️ Escenario'!$C$11,1,1+$C$6))</f>
        <v>0</v>
      </c>
      <c r="DB318" s="237" t="n">
        <f aca="false">IF(DB316=0,0,IF(DB316&lt;=12*'🎚️ Escenario'!$C$11,1,1+$C$6))</f>
        <v>0</v>
      </c>
      <c r="DC318" s="237" t="n">
        <f aca="false">IF(DC316=0,0,IF(DC316&lt;=12*'🎚️ Escenario'!$C$11,1,1+$C$6))</f>
        <v>0</v>
      </c>
      <c r="DD318" s="237" t="n">
        <f aca="false">IF(DD316=0,0,IF(DD316&lt;=12*'🎚️ Escenario'!$C$11,1,1+$C$6))</f>
        <v>0</v>
      </c>
      <c r="DE318" s="237" t="n">
        <f aca="false">IF(DE316=0,0,IF(DE316&lt;=12*'🎚️ Escenario'!$C$11,1,1+$C$6))</f>
        <v>0</v>
      </c>
      <c r="DF318" s="237" t="n">
        <f aca="false">IF(DF316=0,0,IF(DF316&lt;=12*'🎚️ Escenario'!$C$11,1,1+$C$6))</f>
        <v>0</v>
      </c>
      <c r="DG318" s="237" t="n">
        <f aca="false">IF(DG316=0,0,IF(DG316&lt;=12*'🎚️ Escenario'!$C$11,1,1+$C$6))</f>
        <v>0</v>
      </c>
      <c r="DH318" s="237" t="n">
        <f aca="false">IF(DH316=0,0,IF(DH316&lt;=12*'🎚️ Escenario'!$C$11,1,1+$C$6))</f>
        <v>0</v>
      </c>
      <c r="DI318" s="237" t="n">
        <f aca="false">IF(DI316=0,0,IF(DI316&lt;=12*'🎚️ Escenario'!$C$11,1,1+$C$6))</f>
        <v>0</v>
      </c>
      <c r="DJ318" s="237" t="n">
        <f aca="false">IF(DJ316=0,0,IF(DJ316&lt;=12*'🎚️ Escenario'!$C$11,1,1+$C$6))</f>
        <v>0</v>
      </c>
      <c r="DK318" s="237" t="n">
        <f aca="false">IF(DK316=0,0,IF(DK316&lt;=12*'🎚️ Escenario'!$C$11,1,1+$C$6))</f>
        <v>1</v>
      </c>
      <c r="DL318" s="237" t="n">
        <f aca="false">IF(DL316=0,0,IF(DL316&lt;=12*'🎚️ Escenario'!$C$11,1,1+$C$6))</f>
        <v>1</v>
      </c>
      <c r="DM318" s="237" t="n">
        <f aca="false">IF(DM316=0,0,IF(DM316&lt;=12*'🎚️ Escenario'!$C$11,1,1+$C$6))</f>
        <v>1</v>
      </c>
      <c r="DN318" s="237" t="n">
        <f aca="false">IF(DN316=0,0,IF(DN316&lt;=12*'🎚️ Escenario'!$C$11,1,1+$C$6))</f>
        <v>1</v>
      </c>
      <c r="DO318" s="237" t="n">
        <f aca="false">IF(DO316=0,0,IF(DO316&lt;=12*'🎚️ Escenario'!$C$11,1,1+$C$6))</f>
        <v>1</v>
      </c>
      <c r="DP318" s="237" t="n">
        <f aca="false">IF(DP316=0,0,IF(DP316&lt;=12*'🎚️ Escenario'!$C$11,1,1+$C$6))</f>
        <v>1</v>
      </c>
      <c r="DQ318" s="237" t="n">
        <f aca="false">IF(DQ316=0,0,IF(DQ316&lt;=12*'🎚️ Escenario'!$C$11,1,1+$C$6))</f>
        <v>1</v>
      </c>
      <c r="DR318" s="237" t="n">
        <f aca="false">IF(DR316=0,0,IF(DR316&lt;=12*'🎚️ Escenario'!$C$11,1,1+$C$6))</f>
        <v>1</v>
      </c>
      <c r="DS318" s="237" t="n">
        <f aca="false">IF(DS316=0,0,IF(DS316&lt;=12*'🎚️ Escenario'!$C$11,1,1+$C$6))</f>
        <v>1</v>
      </c>
      <c r="DT318" s="237" t="n">
        <f aca="false">IF(DT316=0,0,IF(DT316&lt;=12*'🎚️ Escenario'!$C$11,1,1+$C$6))</f>
        <v>1</v>
      </c>
      <c r="DU318" s="237" t="n">
        <f aca="false">IF(DU316=0,0,IF(DU316&lt;=12*'🎚️ Escenario'!$C$11,1,1+$C$6))</f>
        <v>1</v>
      </c>
      <c r="DV318" s="237" t="n">
        <f aca="false">IF(DV316=0,0,IF(DV316&lt;=12*'🎚️ Escenario'!$C$11,1,1+$C$6))</f>
        <v>1</v>
      </c>
      <c r="DW318" s="237" t="n">
        <f aca="false">IF(DW316=0,0,IF(DW316&lt;=12*'🎚️ Escenario'!$C$11,1,1+$C$6))</f>
        <v>1</v>
      </c>
      <c r="DX318" s="237" t="n">
        <f aca="false">IF(DX316=0,0,IF(DX316&lt;=12*'🎚️ Escenario'!$C$11,1,1+$C$6))</f>
        <v>1</v>
      </c>
      <c r="DY318" s="237" t="n">
        <f aca="false">IF(DY316=0,0,IF(DY316&lt;=12*'🎚️ Escenario'!$C$11,1,1+$C$6))</f>
        <v>1</v>
      </c>
      <c r="DZ318" s="237" t="n">
        <f aca="false">IF(DZ316=0,0,IF(DZ316&lt;=12*'🎚️ Escenario'!$C$11,1,1+$C$6))</f>
        <v>1.2</v>
      </c>
      <c r="EA318" s="237" t="n">
        <f aca="false">IF(EA316=0,0,IF(EA316&lt;=12*'🎚️ Escenario'!$C$11,1,1+$C$6))</f>
        <v>1.2</v>
      </c>
      <c r="EB318" s="237" t="n">
        <f aca="false">IF(EB316=0,0,IF(EB316&lt;=12*'🎚️ Escenario'!$C$11,1,1+$C$6))</f>
        <v>1.2</v>
      </c>
      <c r="EC318" s="237" t="n">
        <f aca="false">IF(EC316=0,0,IF(EC316&lt;=12*'🎚️ Escenario'!$C$11,1,1+$C$6))</f>
        <v>1.2</v>
      </c>
      <c r="ED318" s="237" t="n">
        <f aca="false">IF(ED316=0,0,IF(ED316&lt;=12*'🎚️ Escenario'!$C$11,1,1+$C$6))</f>
        <v>1.2</v>
      </c>
      <c r="EE318" s="237" t="n">
        <f aca="false">IF(EE316=0,0,IF(EE316&lt;=12*'🎚️ Escenario'!$C$11,1,1+$C$6))</f>
        <v>1.2</v>
      </c>
      <c r="EF318" s="237" t="n">
        <f aca="false">IF(EF316=0,0,IF(EF316&lt;=12*'🎚️ Escenario'!$C$11,1,1+$C$6))</f>
        <v>1.2</v>
      </c>
      <c r="EG318" s="237" t="n">
        <f aca="false">IF(EG316=0,0,IF(EG316&lt;=12*'🎚️ Escenario'!$C$11,1,1+$C$6))</f>
        <v>1.2</v>
      </c>
      <c r="EH318" s="237" t="n">
        <f aca="false">IF(EH316=0,0,IF(EH316&lt;=12*'🎚️ Escenario'!$C$11,1,1+$C$6))</f>
        <v>1.2</v>
      </c>
      <c r="EI318" s="237" t="n">
        <f aca="false">IF(EI316=0,0,IF(EI316&lt;=12*'🎚️ Escenario'!$C$11,1,1+$C$6))</f>
        <v>1.2</v>
      </c>
      <c r="EJ318" s="237" t="n">
        <f aca="false">IF(EJ316=0,0,IF(EJ316&lt;=12*'🎚️ Escenario'!$C$11,1,1+$C$6))</f>
        <v>1.2</v>
      </c>
      <c r="EK318" s="237" t="n">
        <f aca="false">IF(EK316=0,0,IF(EK316&lt;=12*'🎚️ Escenario'!$C$11,1,1+$C$6))</f>
        <v>1.2</v>
      </c>
      <c r="EL318" s="237" t="n">
        <f aca="false">IF(EL316=0,0,IF(EL316&lt;=12*'🎚️ Escenario'!$C$11,1,1+$C$6))</f>
        <v>1.2</v>
      </c>
      <c r="EM318" s="237" t="n">
        <f aca="false">IF(EM316=0,0,IF(EM316&lt;=12*'🎚️ Escenario'!$C$11,1,1+$C$6))</f>
        <v>1.2</v>
      </c>
      <c r="EN318" s="237" t="n">
        <f aca="false">IF(EN316=0,0,IF(EN316&lt;=12*'🎚️ Escenario'!$C$11,1,1+$C$6))</f>
        <v>1.2</v>
      </c>
      <c r="EO318" s="237" t="n">
        <f aca="false">IF(EO316=0,0,IF(EO316&lt;=12*'🎚️ Escenario'!$C$11,1,1+$C$6))</f>
        <v>1.2</v>
      </c>
      <c r="EP318" s="237" t="n">
        <f aca="false">IF(EP316=0,0,IF(EP316&lt;=12*'🎚️ Escenario'!$C$11,1,1+$C$6))</f>
        <v>1.2</v>
      </c>
      <c r="EQ318" s="237" t="n">
        <f aca="false">IF(EQ316=0,0,IF(EQ316&lt;=12*'🎚️ Escenario'!$C$11,1,1+$C$6))</f>
        <v>1.2</v>
      </c>
      <c r="ER318" s="237" t="n">
        <f aca="false">IF(ER316=0,0,IF(ER316&lt;=12*'🎚️ Escenario'!$C$11,1,1+$C$6))</f>
        <v>1.2</v>
      </c>
      <c r="ES318" s="238" t="n">
        <f aca="false">IF(ES316=0,0,IF(ES316&lt;=12*'🎚️ Escenario'!$C$11,1,1+$C$6))</f>
        <v>1.2</v>
      </c>
      <c r="ET318" s="238" t="n">
        <f aca="false">IF(ET316=0,0,IF(ET316&lt;=12*'🎚️ Escenario'!$C$11,1,1+$C$6))</f>
        <v>1.2</v>
      </c>
      <c r="EU318" s="238" t="n">
        <f aca="false">IF(EU316=0,0,IF(EU316&lt;=12*'🎚️ Escenario'!$C$11,1,1+$C$6))</f>
        <v>1.2</v>
      </c>
      <c r="EV318" s="238" t="n">
        <f aca="false">IF(EV316=0,0,IF(EV316&lt;=12*'🎚️ Escenario'!$C$11,1,1+$C$6))</f>
        <v>1.2</v>
      </c>
      <c r="EW318" s="238" t="n">
        <f aca="false">IF(EW316=0,0,IF(EW316&lt;=12*'🎚️ Escenario'!$C$11,1,1+$C$6))</f>
        <v>1.2</v>
      </c>
      <c r="EX318" s="238" t="n">
        <f aca="false">IF(EX316=0,0,IF(EX316&lt;=12*'🎚️ Escenario'!$C$11,1,1+$C$6))</f>
        <v>1.2</v>
      </c>
      <c r="EY318" s="238" t="n">
        <f aca="false">IF(EY316=0,0,IF(EY316&lt;=12*'🎚️ Escenario'!$C$11,1,1+$C$6))</f>
        <v>1.2</v>
      </c>
      <c r="EZ318" s="238" t="n">
        <f aca="false">IF(EZ316=0,0,IF(EZ316&lt;=12*'🎚️ Escenario'!$C$11,1,1+$C$6))</f>
        <v>1.2</v>
      </c>
      <c r="FA318" s="238" t="n">
        <f aca="false">IF(FA316=0,0,IF(FA316&lt;=12*'🎚️ Escenario'!$C$11,1,1+$C$6))</f>
        <v>1.2</v>
      </c>
      <c r="FB318" s="238" t="n">
        <f aca="false">IF(FB316=0,0,IF(FB316&lt;=12*'🎚️ Escenario'!$C$11,1,1+$C$6))</f>
        <v>1.2</v>
      </c>
      <c r="FC318" s="238" t="n">
        <f aca="false">IF(FC316=0,0,IF(FC316&lt;=12*'🎚️ Escenario'!$C$11,1,1+$C$6))</f>
        <v>1.2</v>
      </c>
      <c r="FD318" s="238" t="n">
        <f aca="false">IF(FD316=0,0,IF(FD316&lt;=12*'🎚️ Escenario'!$C$11,1,1+$C$6))</f>
        <v>1.2</v>
      </c>
      <c r="FE318" s="238" t="n">
        <f aca="false">IF(FE316=0,0,IF(FE316&lt;=12*'🎚️ Escenario'!$C$11,1,1+$C$6))</f>
        <v>1.2</v>
      </c>
      <c r="FF318" s="238" t="n">
        <f aca="false">IF(FF316=0,0,IF(FF316&lt;=12*'🎚️ Escenario'!$C$11,1,1+$C$6))</f>
        <v>1.2</v>
      </c>
      <c r="FG318" s="238" t="n">
        <f aca="false">IF(FG316=0,0,IF(FG316&lt;=12*'🎚️ Escenario'!$C$11,1,1+$C$6))</f>
        <v>1.2</v>
      </c>
      <c r="FH318" s="238" t="n">
        <f aca="false">IF(FH316=0,0,IF(FH316&lt;=12*'🎚️ Escenario'!$C$11,1,1+$C$6))</f>
        <v>1.2</v>
      </c>
      <c r="FI318" s="238" t="n">
        <f aca="false">IF(FI316=0,0,IF(FI316&lt;=12*'🎚️ Escenario'!$C$11,1,1+$C$6))</f>
        <v>1.2</v>
      </c>
      <c r="FJ318" s="238" t="n">
        <f aca="false">IF(FJ316=0,0,IF(FJ316&lt;=12*'🎚️ Escenario'!$C$11,1,1+$C$6))</f>
        <v>1.2</v>
      </c>
      <c r="FK318" s="238" t="n">
        <f aca="false">IF(FK316=0,0,IF(FK316&lt;=12*'🎚️ Escenario'!$C$11,1,1+$C$6))</f>
        <v>1.2</v>
      </c>
      <c r="FL318" s="238" t="n">
        <f aca="false">IF(FL316=0,0,IF(FL316&lt;=12*'🎚️ Escenario'!$C$11,1,1+$C$6))</f>
        <v>1.2</v>
      </c>
      <c r="FM318" s="238" t="n">
        <f aca="false">IF(FM316=0,0,IF(FM316&lt;=12*'🎚️ Escenario'!$C$11,1,1+$C$6))</f>
        <v>1.2</v>
      </c>
      <c r="FN318" s="238" t="n">
        <f aca="false">IF(FN316=0,0,IF(FN316&lt;=12*'🎚️ Escenario'!$C$11,1,1+$C$6))</f>
        <v>1.2</v>
      </c>
      <c r="FO318" s="238" t="n">
        <f aca="false">IF(FO316=0,0,IF(FO316&lt;=12*'🎚️ Escenario'!$C$11,1,1+$C$6))</f>
        <v>1.2</v>
      </c>
      <c r="FP318" s="238" t="n">
        <f aca="false">IF(FP316=0,0,IF(FP316&lt;=12*'🎚️ Escenario'!$C$11,1,1+$C$6))</f>
        <v>1.2</v>
      </c>
    </row>
    <row r="319" customFormat="false" ht="15" hidden="false" customHeight="false" outlineLevel="2" collapsed="false">
      <c r="B319" s="47" t="s">
        <v>876</v>
      </c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237" t="n">
        <f aca="false">AC317*$AC$315*AC318*AC$38*'⑫ Roll-out Plan'!$O$36</f>
        <v>0</v>
      </c>
      <c r="AD319" s="237" t="n">
        <f aca="false">AD317*$AC$315*AD318*AD$38*'⑫ Roll-out Plan'!$O$36</f>
        <v>0</v>
      </c>
      <c r="AE319" s="237" t="n">
        <f aca="false">AE317*$AC$315*AE318*AE$38*'⑫ Roll-out Plan'!$O$36</f>
        <v>0</v>
      </c>
      <c r="AF319" s="237" t="n">
        <f aca="false">AF317*$AC$315*AF318*AF$38*'⑫ Roll-out Plan'!$O$36</f>
        <v>0</v>
      </c>
      <c r="AG319" s="237" t="n">
        <f aca="false">AG317*$AC$315*AG318*AG$38*'⑫ Roll-out Plan'!$O$36</f>
        <v>0</v>
      </c>
      <c r="AH319" s="237" t="n">
        <f aca="false">AH317*$AC$315*AH318*AH$38*'⑫ Roll-out Plan'!$O$36</f>
        <v>0</v>
      </c>
      <c r="AI319" s="237" t="n">
        <f aca="false">AI317*$AC$315*AI318*AI$38*'⑫ Roll-out Plan'!$O$36</f>
        <v>0</v>
      </c>
      <c r="AJ319" s="237" t="n">
        <f aca="false">AJ317*$AC$315*AJ318*AJ$38*'⑫ Roll-out Plan'!$O$36</f>
        <v>0</v>
      </c>
      <c r="AK319" s="237" t="n">
        <f aca="false">AK317*$AC$315*AK318*AK$38*'⑫ Roll-out Plan'!$O$36</f>
        <v>0</v>
      </c>
      <c r="AL319" s="237" t="n">
        <f aca="false">AL317*$AC$315*AL318*AL$38*'⑫ Roll-out Plan'!$O$36</f>
        <v>0</v>
      </c>
      <c r="AM319" s="237" t="n">
        <f aca="false">AM317*$AC$315*AM318*AM$38*'⑫ Roll-out Plan'!$O$36</f>
        <v>0</v>
      </c>
      <c r="AN319" s="237" t="n">
        <f aca="false">AN317*$AC$315*AN318*AN$38*'⑫ Roll-out Plan'!$O$36</f>
        <v>0</v>
      </c>
      <c r="AO319" s="237" t="n">
        <f aca="false">AO317*$AC$315*AO318*AO$38*'⑫ Roll-out Plan'!$O$36</f>
        <v>0</v>
      </c>
      <c r="AP319" s="237" t="n">
        <f aca="false">AP317*$AC$315*AP318*AP$38*'⑫ Roll-out Plan'!$O$36</f>
        <v>0</v>
      </c>
      <c r="AQ319" s="237" t="n">
        <f aca="false">AQ317*$AC$315*AQ318*AQ$38*'⑫ Roll-out Plan'!$O$36</f>
        <v>0</v>
      </c>
      <c r="AR319" s="237" t="n">
        <f aca="false">AR317*$AC$315*AR318*AR$38*'⑫ Roll-out Plan'!$O$36</f>
        <v>0</v>
      </c>
      <c r="AS319" s="237" t="n">
        <f aca="false">AS317*$AC$315*AS318*AS$38*'⑫ Roll-out Plan'!$O$36</f>
        <v>0</v>
      </c>
      <c r="AT319" s="237" t="n">
        <f aca="false">AT317*$AC$315*AT318*AT$38*'⑫ Roll-out Plan'!$O$36</f>
        <v>0</v>
      </c>
      <c r="AU319" s="237" t="n">
        <f aca="false">AU317*$AC$315*AU318*AU$38*'⑫ Roll-out Plan'!$O$36</f>
        <v>0</v>
      </c>
      <c r="AV319" s="237" t="n">
        <f aca="false">AV317*$AC$315*AV318*AV$38*'⑫ Roll-out Plan'!$O$36</f>
        <v>0</v>
      </c>
      <c r="AW319" s="237" t="n">
        <f aca="false">AW317*$AC$315*AW318*AW$38*'⑫ Roll-out Plan'!$O$36</f>
        <v>0</v>
      </c>
      <c r="AX319" s="237" t="n">
        <f aca="false">AX317*$AC$315*AX318*AX$38*'⑫ Roll-out Plan'!$O$36</f>
        <v>0</v>
      </c>
      <c r="AY319" s="237" t="n">
        <f aca="false">AY317*$AC$315*AY318*AY$38*'⑫ Roll-out Plan'!$O$36</f>
        <v>0</v>
      </c>
      <c r="AZ319" s="237" t="n">
        <f aca="false">AZ317*$AC$315*AZ318*AZ$38*'⑫ Roll-out Plan'!$O$36</f>
        <v>0</v>
      </c>
      <c r="BA319" s="237" t="n">
        <f aca="false">BA317*$AC$315*BA318*BA$38*'⑫ Roll-out Plan'!$O$36</f>
        <v>0</v>
      </c>
      <c r="BB319" s="237" t="n">
        <f aca="false">BB317*$AC$315*BB318*BB$38*'⑫ Roll-out Plan'!$O$36</f>
        <v>0</v>
      </c>
      <c r="BC319" s="237" t="n">
        <f aca="false">BC317*$AC$315*BC318*BC$38*'⑫ Roll-out Plan'!$O$36</f>
        <v>0</v>
      </c>
      <c r="BD319" s="237" t="n">
        <f aca="false">BD317*$AC$315*BD318*BD$38*'⑫ Roll-out Plan'!$O$36</f>
        <v>0</v>
      </c>
      <c r="BE319" s="237" t="n">
        <f aca="false">BE317*$AC$315*BE318*BE$38*'⑫ Roll-out Plan'!$O$36</f>
        <v>0</v>
      </c>
      <c r="BF319" s="237" t="n">
        <f aca="false">BF317*$AC$315*BF318*BF$38*'⑫ Roll-out Plan'!$O$36</f>
        <v>0</v>
      </c>
      <c r="BG319" s="237" t="n">
        <f aca="false">BG317*$AC$315*BG318*BG$38*'⑫ Roll-out Plan'!$O$36</f>
        <v>0</v>
      </c>
      <c r="BH319" s="237" t="n">
        <f aca="false">BH317*$AC$315*BH318*BH$38*'⑫ Roll-out Plan'!$O$36</f>
        <v>0</v>
      </c>
      <c r="BI319" s="237" t="n">
        <f aca="false">BI317*$AC$315*BI318*BI$38*'⑫ Roll-out Plan'!$O$36</f>
        <v>0</v>
      </c>
      <c r="BJ319" s="237" t="n">
        <f aca="false">BJ317*$AC$315*BJ318*BJ$38*'⑫ Roll-out Plan'!$O$36</f>
        <v>0</v>
      </c>
      <c r="BK319" s="237" t="n">
        <f aca="false">BK317*$AC$315*BK318*BK$38*'⑫ Roll-out Plan'!$O$36</f>
        <v>0</v>
      </c>
      <c r="BL319" s="237" t="n">
        <f aca="false">BL317*$AC$315*BL318*BL$38*'⑫ Roll-out Plan'!$O$36</f>
        <v>0</v>
      </c>
      <c r="BM319" s="237" t="n">
        <f aca="false">BM317*$AC$315*BM318*BM$38*'⑫ Roll-out Plan'!$O$36</f>
        <v>0</v>
      </c>
      <c r="BN319" s="237" t="n">
        <f aca="false">BN317*$AC$315*BN318*BN$38*'⑫ Roll-out Plan'!$O$36</f>
        <v>0</v>
      </c>
      <c r="BO319" s="237" t="n">
        <f aca="false">BO317*$AC$315*BO318*BO$38*'⑫ Roll-out Plan'!$O$36</f>
        <v>0</v>
      </c>
      <c r="BP319" s="237" t="n">
        <f aca="false">BP317*$AC$315*BP318*BP$38*'⑫ Roll-out Plan'!$O$36</f>
        <v>0</v>
      </c>
      <c r="BQ319" s="237" t="n">
        <f aca="false">BQ317*$AC$315*BQ318*BQ$38*'⑫ Roll-out Plan'!$O$36</f>
        <v>0</v>
      </c>
      <c r="BR319" s="237" t="n">
        <f aca="false">BR317*$AC$315*BR318*BR$38*'⑫ Roll-out Plan'!$O$36</f>
        <v>0</v>
      </c>
      <c r="BS319" s="237" t="n">
        <f aca="false">BS317*$AC$315*BS318*BS$38*'⑫ Roll-out Plan'!$O$36</f>
        <v>0</v>
      </c>
      <c r="BT319" s="237" t="n">
        <f aca="false">BT317*$AC$315*BT318*BT$38*'⑫ Roll-out Plan'!$O$36</f>
        <v>0</v>
      </c>
      <c r="BU319" s="237" t="n">
        <f aca="false">BU317*$AC$315*BU318*BU$38*'⑫ Roll-out Plan'!$O$36</f>
        <v>0</v>
      </c>
      <c r="BV319" s="237" t="n">
        <f aca="false">BV317*$AC$315*BV318*BV$38*'⑫ Roll-out Plan'!$O$36</f>
        <v>0</v>
      </c>
      <c r="BW319" s="237" t="n">
        <f aca="false">BW317*$AC$315*BW318*BW$38*'⑫ Roll-out Plan'!$O$36</f>
        <v>0</v>
      </c>
      <c r="BX319" s="237" t="n">
        <f aca="false">BX317*$AC$315*BX318*BX$38*'⑫ Roll-out Plan'!$O$36</f>
        <v>0</v>
      </c>
      <c r="BY319" s="237" t="n">
        <f aca="false">BY317*$AC$315*BY318*BY$38*'⑫ Roll-out Plan'!$O$36</f>
        <v>0</v>
      </c>
      <c r="BZ319" s="237" t="n">
        <f aca="false">BZ317*$AC$315*BZ318*BZ$38*'⑫ Roll-out Plan'!$O$36</f>
        <v>0</v>
      </c>
      <c r="CA319" s="237" t="n">
        <f aca="false">CA317*$AC$315*CA318*CA$38*'⑫ Roll-out Plan'!$O$36</f>
        <v>0</v>
      </c>
      <c r="CB319" s="237" t="n">
        <f aca="false">CB317*$AC$315*CB318*CB$38*'⑫ Roll-out Plan'!$O$36</f>
        <v>0</v>
      </c>
      <c r="CC319" s="237" t="n">
        <f aca="false">CC317*$AC$315*CC318*CC$38*'⑫ Roll-out Plan'!$O$36</f>
        <v>0</v>
      </c>
      <c r="CD319" s="237" t="n">
        <f aca="false">CD317*$AC$315*CD318*CD$38*'⑫ Roll-out Plan'!$O$36</f>
        <v>0</v>
      </c>
      <c r="CE319" s="237" t="n">
        <f aca="false">CE317*$AC$315*CE318*CE$38*'⑫ Roll-out Plan'!$O$36</f>
        <v>0</v>
      </c>
      <c r="CF319" s="237" t="n">
        <f aca="false">CF317*$AC$315*CF318*CF$38*'⑫ Roll-out Plan'!$O$36</f>
        <v>0</v>
      </c>
      <c r="CG319" s="237" t="n">
        <f aca="false">CG317*$AC$315*CG318*CG$38*'⑫ Roll-out Plan'!$O$36</f>
        <v>0</v>
      </c>
      <c r="CH319" s="237" t="n">
        <f aca="false">CH317*$AC$315*CH318*CH$38*'⑫ Roll-out Plan'!$O$36</f>
        <v>0</v>
      </c>
      <c r="CI319" s="237" t="n">
        <f aca="false">CI317*$AC$315*CI318*CI$38*'⑫ Roll-out Plan'!$O$36</f>
        <v>0</v>
      </c>
      <c r="CJ319" s="237" t="n">
        <f aca="false">CJ317*$AC$315*CJ318*CJ$38*'⑫ Roll-out Plan'!$O$36</f>
        <v>0</v>
      </c>
      <c r="CK319" s="237" t="n">
        <f aca="false">CK317*$AC$315*CK318*CK$38*'⑫ Roll-out Plan'!$O$36</f>
        <v>0</v>
      </c>
      <c r="CL319" s="237" t="n">
        <f aca="false">CL317*$AC$315*CL318*CL$38*'⑫ Roll-out Plan'!$O$36</f>
        <v>0</v>
      </c>
      <c r="CM319" s="237" t="n">
        <f aca="false">CM317*$AC$315*CM318*CM$38*'⑫ Roll-out Plan'!$O$36</f>
        <v>0</v>
      </c>
      <c r="CN319" s="237" t="n">
        <f aca="false">CN317*$AC$315*CN318*CN$38*'⑫ Roll-out Plan'!$O$36</f>
        <v>0</v>
      </c>
      <c r="CO319" s="237" t="n">
        <f aca="false">CO317*$AC$315*CO318*CO$38*'⑫ Roll-out Plan'!$O$36</f>
        <v>0</v>
      </c>
      <c r="CP319" s="237" t="n">
        <f aca="false">CP317*$AC$315*CP318*CP$38*'⑫ Roll-out Plan'!$O$36</f>
        <v>0</v>
      </c>
      <c r="CQ319" s="237" t="n">
        <f aca="false">CQ317*$AC$315*CQ318*CQ$38*'⑫ Roll-out Plan'!$O$36</f>
        <v>0</v>
      </c>
      <c r="CR319" s="237" t="n">
        <f aca="false">CR317*$AC$315*CR318*CR$38*'⑫ Roll-out Plan'!$O$36</f>
        <v>0</v>
      </c>
      <c r="CS319" s="237" t="n">
        <f aca="false">CS317*$AC$315*CS318*CS$38*'⑫ Roll-out Plan'!$O$36</f>
        <v>0</v>
      </c>
      <c r="CT319" s="237" t="n">
        <f aca="false">CT317*$AC$315*CT318*CT$38*'⑫ Roll-out Plan'!$O$36</f>
        <v>0</v>
      </c>
      <c r="CU319" s="237" t="n">
        <f aca="false">CU317*$AC$315*CU318*CU$38*'⑫ Roll-out Plan'!$O$36</f>
        <v>0</v>
      </c>
      <c r="CV319" s="237" t="n">
        <f aca="false">CV317*$AC$315*CV318*CV$38*'⑫ Roll-out Plan'!$O$36</f>
        <v>0</v>
      </c>
      <c r="CW319" s="237" t="n">
        <f aca="false">CW317*$AC$315*CW318*CW$38*'⑫ Roll-out Plan'!$O$36</f>
        <v>0</v>
      </c>
      <c r="CX319" s="237" t="n">
        <f aca="false">CX317*$AC$315*CX318*CX$38*'⑫ Roll-out Plan'!$O$36</f>
        <v>0</v>
      </c>
      <c r="CY319" s="237" t="n">
        <f aca="false">CY317*$AC$315*CY318*CY$38*'⑫ Roll-out Plan'!$O$36</f>
        <v>0</v>
      </c>
      <c r="CZ319" s="237" t="n">
        <f aca="false">CZ317*$AC$315*CZ318*CZ$38*'⑫ Roll-out Plan'!$O$36</f>
        <v>0</v>
      </c>
      <c r="DA319" s="237" t="n">
        <f aca="false">DA317*$AC$315*DA318*DA$38*'⑫ Roll-out Plan'!$O$36</f>
        <v>0</v>
      </c>
      <c r="DB319" s="237" t="n">
        <f aca="false">DB317*$AC$315*DB318*DB$38*'⑫ Roll-out Plan'!$O$36</f>
        <v>0</v>
      </c>
      <c r="DC319" s="237" t="n">
        <f aca="false">DC317*$AC$315*DC318*DC$38*'⑫ Roll-out Plan'!$O$36</f>
        <v>0</v>
      </c>
      <c r="DD319" s="237" t="n">
        <f aca="false">DD317*$AC$315*DD318*DD$38*'⑫ Roll-out Plan'!$O$36</f>
        <v>0</v>
      </c>
      <c r="DE319" s="237" t="n">
        <f aca="false">DE317*$AC$315*DE318*DE$38*'⑫ Roll-out Plan'!$O$36</f>
        <v>0</v>
      </c>
      <c r="DF319" s="237" t="n">
        <f aca="false">DF317*$AC$315*DF318*DF$38*'⑫ Roll-out Plan'!$O$36</f>
        <v>0</v>
      </c>
      <c r="DG319" s="237" t="n">
        <f aca="false">DG317*$AC$315*DG318*DG$38*'⑫ Roll-out Plan'!$O$36</f>
        <v>0</v>
      </c>
      <c r="DH319" s="237" t="n">
        <f aca="false">DH317*$AC$315*DH318*DH$38*'⑫ Roll-out Plan'!$O$36</f>
        <v>0</v>
      </c>
      <c r="DI319" s="237" t="n">
        <f aca="false">DI317*$AC$315*DI318*DI$38*'⑫ Roll-out Plan'!$O$36</f>
        <v>0</v>
      </c>
      <c r="DJ319" s="237" t="n">
        <f aca="false">DJ317*$AC$315*DJ318*DJ$38*'⑫ Roll-out Plan'!$O$36</f>
        <v>0</v>
      </c>
      <c r="DK319" s="237" t="n">
        <f aca="false">DK317*$AC$315*DK318*DK$38*'⑫ Roll-out Plan'!$O$36</f>
        <v>42.92</v>
      </c>
      <c r="DL319" s="237" t="n">
        <f aca="false">DL317*$AC$315*DL318*DL$38*'⑫ Roll-out Plan'!$O$36</f>
        <v>44.77</v>
      </c>
      <c r="DM319" s="237" t="n">
        <f aca="false">DM317*$AC$315*DM318*DM$38*'⑫ Roll-out Plan'!$O$36</f>
        <v>37.444</v>
      </c>
      <c r="DN319" s="237" t="n">
        <f aca="false">DN317*$AC$315*DN318*DN$38*'⑫ Roll-out Plan'!$O$36</f>
        <v>35.52</v>
      </c>
      <c r="DO319" s="237" t="n">
        <f aca="false">DO317*$AC$315*DO318*DO$38*'⑫ Roll-out Plan'!$O$36</f>
        <v>37.296</v>
      </c>
      <c r="DP319" s="237" t="n">
        <f aca="false">DP317*$AC$315*DP318*DP$38*'⑫ Roll-out Plan'!$O$36</f>
        <v>70.929</v>
      </c>
      <c r="DQ319" s="237" t="n">
        <f aca="false">DQ317*$AC$315*DQ318*DQ$38*'⑫ Roll-out Plan'!$O$36</f>
        <v>57.942</v>
      </c>
      <c r="DR319" s="237" t="n">
        <f aca="false">DR317*$AC$315*DR318*DR$38*'⑫ Roll-out Plan'!$O$36</f>
        <v>55.056</v>
      </c>
      <c r="DS319" s="237" t="n">
        <f aca="false">DS317*$AC$315*DS318*DS$38*'⑫ Roll-out Plan'!$O$36</f>
        <v>41.292</v>
      </c>
      <c r="DT319" s="237" t="n">
        <f aca="false">DT317*$AC$315*DT318*DT$38*'⑫ Roll-out Plan'!$O$36</f>
        <v>66.045</v>
      </c>
      <c r="DU319" s="237" t="n">
        <f aca="false">DU317*$AC$315*DU318*DU$38*'⑫ Roll-out Plan'!$O$36</f>
        <v>69.93</v>
      </c>
      <c r="DV319" s="237" t="n">
        <f aca="false">DV317*$AC$315*DV318*DV$38*'⑫ Roll-out Plan'!$O$36</f>
        <v>59.163</v>
      </c>
      <c r="DW319" s="237" t="n">
        <f aca="false">DW317*$AC$315*DW318*DW$38*'⑫ Roll-out Plan'!$O$36</f>
        <v>83.694</v>
      </c>
      <c r="DX319" s="237" t="n">
        <f aca="false">DX317*$AC$315*DX318*DX$38*'⑫ Roll-out Plan'!$O$36</f>
        <v>89.54</v>
      </c>
      <c r="DY319" s="237" t="n">
        <f aca="false">DY317*$AC$315*DY318*DY$38*'⑫ Roll-out Plan'!$O$36</f>
        <v>74.888</v>
      </c>
      <c r="DZ319" s="237" t="n">
        <f aca="false">DZ317*$AC$315*DZ318*DZ$38*'⑫ Roll-out Plan'!$O$36</f>
        <v>85.248</v>
      </c>
      <c r="EA319" s="237" t="n">
        <f aca="false">EA317*$AC$315*EA318*EA$38*'⑫ Roll-out Plan'!$O$36</f>
        <v>96.9696</v>
      </c>
      <c r="EB319" s="237" t="n">
        <f aca="false">EB317*$AC$315*EB318*EB$38*'⑫ Roll-out Plan'!$O$36</f>
        <v>163.9248</v>
      </c>
      <c r="EC319" s="237" t="n">
        <f aca="false">EC317*$AC$315*EC318*EC$38*'⑫ Roll-out Plan'!$O$36</f>
        <v>144.2112</v>
      </c>
      <c r="ED319" s="237" t="n">
        <f aca="false">ED317*$AC$315*ED318*ED$38*'⑫ Roll-out Plan'!$O$36</f>
        <v>119.3472</v>
      </c>
      <c r="EE319" s="237" t="n">
        <f aca="false">EE317*$AC$315*EE318*EE$38*'⑫ Roll-out Plan'!$O$36</f>
        <v>95.904</v>
      </c>
      <c r="EF319" s="237" t="n">
        <f aca="false">EF317*$AC$315*EF318*EF$38*'⑫ Roll-out Plan'!$O$36</f>
        <v>135.864</v>
      </c>
      <c r="EG319" s="237" t="n">
        <f aca="false">EG317*$AC$315*EG318*EG$38*'⑫ Roll-out Plan'!$O$36</f>
        <v>151.0488</v>
      </c>
      <c r="EH319" s="237" t="n">
        <f aca="false">EH317*$AC$315*EH318*EH$38*'⑫ Roll-out Plan'!$O$36</f>
        <v>114.6852</v>
      </c>
      <c r="EI319" s="237" t="n">
        <f aca="false">EI317*$AC$315*EI318*EI$38*'⑫ Roll-out Plan'!$O$36</f>
        <v>169.9632</v>
      </c>
      <c r="EJ319" s="237" t="n">
        <f aca="false">EJ317*$AC$315*EJ318*EJ$38*'⑫ Roll-out Plan'!$O$36</f>
        <v>161.172</v>
      </c>
      <c r="EK319" s="237" t="n">
        <f aca="false">EK317*$AC$315*EK318*EK$38*'⑫ Roll-out Plan'!$O$36</f>
        <v>140.9256</v>
      </c>
      <c r="EL319" s="237" t="n">
        <f aca="false">EL317*$AC$315*EL318*EL$38*'⑫ Roll-out Plan'!$O$36</f>
        <v>122.544</v>
      </c>
      <c r="EM319" s="237" t="n">
        <f aca="false">EM317*$AC$315*EM318*EM$38*'⑫ Roll-out Plan'!$O$36</f>
        <v>132.4008</v>
      </c>
      <c r="EN319" s="237" t="n">
        <f aca="false">EN317*$AC$315*EN318*EN$38*'⑫ Roll-out Plan'!$O$36</f>
        <v>223.8204</v>
      </c>
      <c r="EO319" s="237" t="n">
        <f aca="false">EO317*$AC$315*EO318*EO$38*'⑫ Roll-out Plan'!$O$36</f>
        <v>187.9896</v>
      </c>
      <c r="EP319" s="237" t="n">
        <f aca="false">EP317*$AC$315*EP318*EP$38*'⑫ Roll-out Plan'!$O$36</f>
        <v>159.84</v>
      </c>
      <c r="EQ319" s="237" t="n">
        <f aca="false">EQ317*$AC$315*EQ318*EQ$38*'⑫ Roll-out Plan'!$O$36</f>
        <v>119.88</v>
      </c>
      <c r="ER319" s="237" t="n">
        <f aca="false">ER317*$AC$315*ER318*ER$38*'⑫ Roll-out Plan'!$O$36</f>
        <v>174.3588</v>
      </c>
      <c r="ES319" s="9" t="n">
        <f aca="false">ES317*$AC$315*ES318*ES$38*'⑫ Roll-out Plan'!$O$36</f>
        <v>184.6152</v>
      </c>
      <c r="ET319" s="9" t="n">
        <f aca="false">ET317*$AC$315*ET318*ET$38*'⑫ Roll-out Plan'!$O$36</f>
        <v>143.8116</v>
      </c>
      <c r="EU319" s="9" t="n">
        <f aca="false">EU317*$AC$315*EU318*EU$38*'⑫ Roll-out Plan'!$O$36</f>
        <v>203.4408</v>
      </c>
      <c r="EV319" s="9" t="n">
        <f aca="false">EV317*$AC$315*EV318*EV$38*'⑫ Roll-out Plan'!$O$36</f>
        <v>195.36</v>
      </c>
      <c r="EW319" s="9" t="n">
        <f aca="false">EW317*$AC$315*EW318*EW$38*'⑫ Roll-out Plan'!$O$36</f>
        <v>163.392</v>
      </c>
      <c r="EX319" s="9" t="n">
        <f aca="false">EX317*$AC$315*EX318*EX$38*'⑫ Roll-out Plan'!$O$36</f>
        <v>145.632</v>
      </c>
      <c r="EY319" s="9" t="n">
        <f aca="false">EY317*$AC$315*EY318*EY$38*'⑫ Roll-out Plan'!$O$36</f>
        <v>152.9136</v>
      </c>
      <c r="EZ319" s="9" t="n">
        <f aca="false">EZ317*$AC$315*EZ318*EZ$38*'⑫ Roll-out Plan'!$O$36</f>
        <v>264.8016</v>
      </c>
      <c r="FA319" s="9" t="n">
        <f aca="false">FA317*$AC$315*FA318*FA$38*'⑫ Roll-out Plan'!$O$36</f>
        <v>216.3168</v>
      </c>
      <c r="FB319" s="9" t="n">
        <f aca="false">FB317*$AC$315*FB318*FB$38*'⑫ Roll-out Plan'!$O$36</f>
        <v>181.152</v>
      </c>
      <c r="FC319" s="9" t="n">
        <f aca="false">FC317*$AC$315*FC318*FC$38*'⑫ Roll-out Plan'!$O$36</f>
        <v>135.864</v>
      </c>
      <c r="FD319" s="9" t="n">
        <f aca="false">FD317*$AC$315*FD318*FD$38*'⑫ Roll-out Plan'!$O$36</f>
        <v>194.7384</v>
      </c>
      <c r="FE319" s="9" t="n">
        <f aca="false">FE317*$AC$315*FE318*FE$38*'⑫ Roll-out Plan'!$O$36</f>
        <v>210.9888</v>
      </c>
      <c r="FF319" s="9" t="n">
        <f aca="false">FF317*$AC$315*FF318*FF$38*'⑫ Roll-out Plan'!$O$36</f>
        <v>160.1952</v>
      </c>
      <c r="FG319" s="9" t="n">
        <f aca="false">FG317*$AC$315*FG318*FG$38*'⑫ Roll-out Plan'!$O$36</f>
        <v>229.1928</v>
      </c>
      <c r="FH319" s="9" t="n">
        <f aca="false">FH317*$AC$315*FH318*FH$38*'⑫ Roll-out Plan'!$O$36</f>
        <v>217.338</v>
      </c>
      <c r="FI319" s="9" t="n">
        <f aca="false">FI317*$AC$315*FI318*FI$38*'⑫ Roll-out Plan'!$O$36</f>
        <v>183.816</v>
      </c>
      <c r="FJ319" s="9" t="n">
        <f aca="false">FJ317*$AC$315*FJ318*FJ$38*'⑫ Roll-out Plan'!$O$36</f>
        <v>159.84</v>
      </c>
      <c r="FK319" s="9" t="n">
        <f aca="false">FK317*$AC$315*FK318*FK$38*'⑫ Roll-out Plan'!$O$36</f>
        <v>171.5616</v>
      </c>
      <c r="FL319" s="9" t="n">
        <f aca="false">FL317*$AC$315*FL318*FL$38*'⑫ Roll-out Plan'!$O$36</f>
        <v>290.0208</v>
      </c>
      <c r="FM319" s="9" t="n">
        <f aca="false">FM317*$AC$315*FM318*FM$38*'⑫ Roll-out Plan'!$O$36</f>
        <v>239.4936</v>
      </c>
      <c r="FN319" s="9" t="n">
        <f aca="false">FN317*$AC$315*FN318*FN$38*'⑫ Roll-out Plan'!$O$36</f>
        <v>198.2016</v>
      </c>
      <c r="FO319" s="9" t="n">
        <f aca="false">FO317*$AC$315*FO318*FO$38*'⑫ Roll-out Plan'!$O$36</f>
        <v>150.2496</v>
      </c>
      <c r="FP319" s="9" t="n">
        <f aca="false">FP317*$AC$315*FP318*FP$38*'⑫ Roll-out Plan'!$O$36</f>
        <v>212.8536</v>
      </c>
    </row>
    <row r="320" customFormat="false" ht="15" hidden="false" customHeight="false" outlineLevel="2" collapsed="false">
      <c r="B320" s="47" t="s">
        <v>877</v>
      </c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237" t="n">
        <f aca="true">IFERROR(SUMPRODUCT(OFFSET($BJ$31,0,1-MIN(60,COLUMN()-29),1,MIN(60,COLUMN()-29)),OFFSET(AC319,0,-MIN(60,COLUMN()-29),1,MIN(60,COLUMN()-29))),0)</f>
        <v>0</v>
      </c>
      <c r="AD320" s="237" t="n">
        <f aca="true">IFERROR(SUMPRODUCT(OFFSET($BJ$31,0,1-MIN(60,COLUMN()-29),1,MIN(60,COLUMN()-29)),OFFSET(AD319,0,-MIN(60,COLUMN()-29),1,MIN(60,COLUMN()-29))),0)</f>
        <v>0</v>
      </c>
      <c r="AE320" s="237" t="n">
        <f aca="true">IFERROR(SUMPRODUCT(OFFSET($BJ$31,0,1-MIN(60,COLUMN()-29),1,MIN(60,COLUMN()-29)),OFFSET(AE319,0,-MIN(60,COLUMN()-29),1,MIN(60,COLUMN()-29))),0)</f>
        <v>0</v>
      </c>
      <c r="AF320" s="237" t="n">
        <f aca="true">IFERROR(SUMPRODUCT(OFFSET($BJ$31,0,1-MIN(60,COLUMN()-29),1,MIN(60,COLUMN()-29)),OFFSET(AF319,0,-MIN(60,COLUMN()-29),1,MIN(60,COLUMN()-29))),0)</f>
        <v>0</v>
      </c>
      <c r="AG320" s="237" t="n">
        <f aca="true">IFERROR(SUMPRODUCT(OFFSET($BJ$31,0,1-MIN(60,COLUMN()-29),1,MIN(60,COLUMN()-29)),OFFSET(AG319,0,-MIN(60,COLUMN()-29),1,MIN(60,COLUMN()-29))),0)</f>
        <v>0</v>
      </c>
      <c r="AH320" s="237" t="n">
        <f aca="true">IFERROR(SUMPRODUCT(OFFSET($BJ$31,0,1-MIN(60,COLUMN()-29),1,MIN(60,COLUMN()-29)),OFFSET(AH319,0,-MIN(60,COLUMN()-29),1,MIN(60,COLUMN()-29))),0)</f>
        <v>0</v>
      </c>
      <c r="AI320" s="237" t="n">
        <f aca="true">IFERROR(SUMPRODUCT(OFFSET($BJ$31,0,1-MIN(60,COLUMN()-29),1,MIN(60,COLUMN()-29)),OFFSET(AI319,0,-MIN(60,COLUMN()-29),1,MIN(60,COLUMN()-29))),0)</f>
        <v>0</v>
      </c>
      <c r="AJ320" s="237" t="n">
        <f aca="true">IFERROR(SUMPRODUCT(OFFSET($BJ$31,0,1-MIN(60,COLUMN()-29),1,MIN(60,COLUMN()-29)),OFFSET(AJ319,0,-MIN(60,COLUMN()-29),1,MIN(60,COLUMN()-29))),0)</f>
        <v>0</v>
      </c>
      <c r="AK320" s="237" t="n">
        <f aca="true">IFERROR(SUMPRODUCT(OFFSET($BJ$31,0,1-MIN(60,COLUMN()-29),1,MIN(60,COLUMN()-29)),OFFSET(AK319,0,-MIN(60,COLUMN()-29),1,MIN(60,COLUMN()-29))),0)</f>
        <v>0</v>
      </c>
      <c r="AL320" s="237" t="n">
        <f aca="true">IFERROR(SUMPRODUCT(OFFSET($BJ$31,0,1-MIN(60,COLUMN()-29),1,MIN(60,COLUMN()-29)),OFFSET(AL319,0,-MIN(60,COLUMN()-29),1,MIN(60,COLUMN()-29))),0)</f>
        <v>0</v>
      </c>
      <c r="AM320" s="237" t="n">
        <f aca="true">IFERROR(SUMPRODUCT(OFFSET($BJ$31,0,1-MIN(60,COLUMN()-29),1,MIN(60,COLUMN()-29)),OFFSET(AM319,0,-MIN(60,COLUMN()-29),1,MIN(60,COLUMN()-29))),0)</f>
        <v>0</v>
      </c>
      <c r="AN320" s="237" t="n">
        <f aca="true">IFERROR(SUMPRODUCT(OFFSET($BJ$31,0,1-MIN(60,COLUMN()-29),1,MIN(60,COLUMN()-29)),OFFSET(AN319,0,-MIN(60,COLUMN()-29),1,MIN(60,COLUMN()-29))),0)</f>
        <v>0</v>
      </c>
      <c r="AO320" s="237" t="n">
        <f aca="true">IFERROR(SUMPRODUCT(OFFSET($BJ$31,0,1-MIN(60,COLUMN()-29),1,MIN(60,COLUMN()-29)),OFFSET(AO319,0,-MIN(60,COLUMN()-29),1,MIN(60,COLUMN()-29))),0)</f>
        <v>0</v>
      </c>
      <c r="AP320" s="237" t="n">
        <f aca="true">IFERROR(SUMPRODUCT(OFFSET($BJ$31,0,1-MIN(60,COLUMN()-29),1,MIN(60,COLUMN()-29)),OFFSET(AP319,0,-MIN(60,COLUMN()-29),1,MIN(60,COLUMN()-29))),0)</f>
        <v>0</v>
      </c>
      <c r="AQ320" s="237" t="n">
        <f aca="true">IFERROR(SUMPRODUCT(OFFSET($BJ$31,0,1-MIN(60,COLUMN()-29),1,MIN(60,COLUMN()-29)),OFFSET(AQ319,0,-MIN(60,COLUMN()-29),1,MIN(60,COLUMN()-29))),0)</f>
        <v>0</v>
      </c>
      <c r="AR320" s="237" t="n">
        <f aca="true">IFERROR(SUMPRODUCT(OFFSET($BJ$31,0,1-MIN(60,COLUMN()-29),1,MIN(60,COLUMN()-29)),OFFSET(AR319,0,-MIN(60,COLUMN()-29),1,MIN(60,COLUMN()-29))),0)</f>
        <v>0</v>
      </c>
      <c r="AS320" s="237" t="n">
        <f aca="true">IFERROR(SUMPRODUCT(OFFSET($BJ$31,0,1-MIN(60,COLUMN()-29),1,MIN(60,COLUMN()-29)),OFFSET(AS319,0,-MIN(60,COLUMN()-29),1,MIN(60,COLUMN()-29))),0)</f>
        <v>0</v>
      </c>
      <c r="AT320" s="237" t="n">
        <f aca="true">IFERROR(SUMPRODUCT(OFFSET($BJ$31,0,1-MIN(60,COLUMN()-29),1,MIN(60,COLUMN()-29)),OFFSET(AT319,0,-MIN(60,COLUMN()-29),1,MIN(60,COLUMN()-29))),0)</f>
        <v>0</v>
      </c>
      <c r="AU320" s="237" t="n">
        <f aca="true">IFERROR(SUMPRODUCT(OFFSET($BJ$31,0,1-MIN(60,COLUMN()-29),1,MIN(60,COLUMN()-29)),OFFSET(AU319,0,-MIN(60,COLUMN()-29),1,MIN(60,COLUMN()-29))),0)</f>
        <v>0</v>
      </c>
      <c r="AV320" s="237" t="n">
        <f aca="true">IFERROR(SUMPRODUCT(OFFSET($BJ$31,0,1-MIN(60,COLUMN()-29),1,MIN(60,COLUMN()-29)),OFFSET(AV319,0,-MIN(60,COLUMN()-29),1,MIN(60,COLUMN()-29))),0)</f>
        <v>0</v>
      </c>
      <c r="AW320" s="237" t="n">
        <f aca="true">IFERROR(SUMPRODUCT(OFFSET($BJ$31,0,1-MIN(60,COLUMN()-29),1,MIN(60,COLUMN()-29)),OFFSET(AW319,0,-MIN(60,COLUMN()-29),1,MIN(60,COLUMN()-29))),0)</f>
        <v>0</v>
      </c>
      <c r="AX320" s="237" t="n">
        <f aca="true">IFERROR(SUMPRODUCT(OFFSET($BJ$31,0,1-MIN(60,COLUMN()-29),1,MIN(60,COLUMN()-29)),OFFSET(AX319,0,-MIN(60,COLUMN()-29),1,MIN(60,COLUMN()-29))),0)</f>
        <v>0</v>
      </c>
      <c r="AY320" s="237" t="n">
        <f aca="true">IFERROR(SUMPRODUCT(OFFSET($BJ$31,0,1-MIN(60,COLUMN()-29),1,MIN(60,COLUMN()-29)),OFFSET(AY319,0,-MIN(60,COLUMN()-29),1,MIN(60,COLUMN()-29))),0)</f>
        <v>0</v>
      </c>
      <c r="AZ320" s="237" t="n">
        <f aca="true">IFERROR(SUMPRODUCT(OFFSET($BJ$31,0,1-MIN(60,COLUMN()-29),1,MIN(60,COLUMN()-29)),OFFSET(AZ319,0,-MIN(60,COLUMN()-29),1,MIN(60,COLUMN()-29))),0)</f>
        <v>0</v>
      </c>
      <c r="BA320" s="237" t="n">
        <f aca="true">IFERROR(SUMPRODUCT(OFFSET($BJ$31,0,1-MIN(60,COLUMN()-29),1,MIN(60,COLUMN()-29)),OFFSET(BA319,0,-MIN(60,COLUMN()-29),1,MIN(60,COLUMN()-29))),0)</f>
        <v>0</v>
      </c>
      <c r="BB320" s="237" t="n">
        <f aca="true">IFERROR(SUMPRODUCT(OFFSET($BJ$31,0,1-MIN(60,COLUMN()-29),1,MIN(60,COLUMN()-29)),OFFSET(BB319,0,-MIN(60,COLUMN()-29),1,MIN(60,COLUMN()-29))),0)</f>
        <v>0</v>
      </c>
      <c r="BC320" s="237" t="n">
        <f aca="true">IFERROR(SUMPRODUCT(OFFSET($BJ$31,0,1-MIN(60,COLUMN()-29),1,MIN(60,COLUMN()-29)),OFFSET(BC319,0,-MIN(60,COLUMN()-29),1,MIN(60,COLUMN()-29))),0)</f>
        <v>0</v>
      </c>
      <c r="BD320" s="237" t="n">
        <f aca="true">IFERROR(SUMPRODUCT(OFFSET($BJ$31,0,1-MIN(60,COLUMN()-29),1,MIN(60,COLUMN()-29)),OFFSET(BD319,0,-MIN(60,COLUMN()-29),1,MIN(60,COLUMN()-29))),0)</f>
        <v>0</v>
      </c>
      <c r="BE320" s="237" t="n">
        <f aca="true">IFERROR(SUMPRODUCT(OFFSET($BJ$31,0,1-MIN(60,COLUMN()-29),1,MIN(60,COLUMN()-29)),OFFSET(BE319,0,-MIN(60,COLUMN()-29),1,MIN(60,COLUMN()-29))),0)</f>
        <v>0</v>
      </c>
      <c r="BF320" s="237" t="n">
        <f aca="true">IFERROR(SUMPRODUCT(OFFSET($BJ$31,0,1-MIN(60,COLUMN()-29),1,MIN(60,COLUMN()-29)),OFFSET(BF319,0,-MIN(60,COLUMN()-29),1,MIN(60,COLUMN()-29))),0)</f>
        <v>0</v>
      </c>
      <c r="BG320" s="237" t="n">
        <f aca="true">IFERROR(SUMPRODUCT(OFFSET($BJ$31,0,1-MIN(60,COLUMN()-29),1,MIN(60,COLUMN()-29)),OFFSET(BG319,0,-MIN(60,COLUMN()-29),1,MIN(60,COLUMN()-29))),0)</f>
        <v>0</v>
      </c>
      <c r="BH320" s="237" t="n">
        <f aca="true">IFERROR(SUMPRODUCT(OFFSET($BJ$31,0,1-MIN(60,COLUMN()-29),1,MIN(60,COLUMN()-29)),OFFSET(BH319,0,-MIN(60,COLUMN()-29),1,MIN(60,COLUMN()-29))),0)</f>
        <v>0</v>
      </c>
      <c r="BI320" s="237" t="n">
        <f aca="true">IFERROR(SUMPRODUCT(OFFSET($BJ$31,0,1-MIN(60,COLUMN()-29),1,MIN(60,COLUMN()-29)),OFFSET(BI319,0,-MIN(60,COLUMN()-29),1,MIN(60,COLUMN()-29))),0)</f>
        <v>0</v>
      </c>
      <c r="BJ320" s="237" t="n">
        <f aca="true">IFERROR(SUMPRODUCT(OFFSET($BJ$31,0,1-MIN(60,COLUMN()-29),1,MIN(60,COLUMN()-29)),OFFSET(BJ319,0,-MIN(60,COLUMN()-29),1,MIN(60,COLUMN()-29))),0)</f>
        <v>0</v>
      </c>
      <c r="BK320" s="237" t="n">
        <f aca="true">IFERROR(SUMPRODUCT(OFFSET($BJ$31,0,1-MIN(60,COLUMN()-29),1,MIN(60,COLUMN()-29)),OFFSET(BK319,0,-MIN(60,COLUMN()-29),1,MIN(60,COLUMN()-29))),0)</f>
        <v>0</v>
      </c>
      <c r="BL320" s="237" t="n">
        <f aca="true">IFERROR(SUMPRODUCT(OFFSET($BJ$31,0,1-MIN(60,COLUMN()-29),1,MIN(60,COLUMN()-29)),OFFSET(BL319,0,-MIN(60,COLUMN()-29),1,MIN(60,COLUMN()-29))),0)</f>
        <v>0</v>
      </c>
      <c r="BM320" s="237" t="n">
        <f aca="true">IFERROR(SUMPRODUCT(OFFSET($BJ$31,0,1-MIN(60,COLUMN()-29),1,MIN(60,COLUMN()-29)),OFFSET(BM319,0,-MIN(60,COLUMN()-29),1,MIN(60,COLUMN()-29))),0)</f>
        <v>0</v>
      </c>
      <c r="BN320" s="237" t="n">
        <f aca="true">IFERROR(SUMPRODUCT(OFFSET($BJ$31,0,1-MIN(60,COLUMN()-29),1,MIN(60,COLUMN()-29)),OFFSET(BN319,0,-MIN(60,COLUMN()-29),1,MIN(60,COLUMN()-29))),0)</f>
        <v>0</v>
      </c>
      <c r="BO320" s="237" t="n">
        <f aca="true">IFERROR(SUMPRODUCT(OFFSET($BJ$31,0,1-MIN(60,COLUMN()-29),1,MIN(60,COLUMN()-29)),OFFSET(BO319,0,-MIN(60,COLUMN()-29),1,MIN(60,COLUMN()-29))),0)</f>
        <v>0</v>
      </c>
      <c r="BP320" s="237" t="n">
        <f aca="true">IFERROR(SUMPRODUCT(OFFSET($BJ$31,0,1-MIN(60,COLUMN()-29),1,MIN(60,COLUMN()-29)),OFFSET(BP319,0,-MIN(60,COLUMN()-29),1,MIN(60,COLUMN()-29))),0)</f>
        <v>0</v>
      </c>
      <c r="BQ320" s="237" t="n">
        <f aca="true">IFERROR(SUMPRODUCT(OFFSET($BJ$31,0,1-MIN(60,COLUMN()-29),1,MIN(60,COLUMN()-29)),OFFSET(BQ319,0,-MIN(60,COLUMN()-29),1,MIN(60,COLUMN()-29))),0)</f>
        <v>0</v>
      </c>
      <c r="BR320" s="237" t="n">
        <f aca="true">IFERROR(SUMPRODUCT(OFFSET($BJ$31,0,1-MIN(60,COLUMN()-29),1,MIN(60,COLUMN()-29)),OFFSET(BR319,0,-MIN(60,COLUMN()-29),1,MIN(60,COLUMN()-29))),0)</f>
        <v>0</v>
      </c>
      <c r="BS320" s="237" t="n">
        <f aca="true">IFERROR(SUMPRODUCT(OFFSET($BJ$31,0,1-MIN(60,COLUMN()-29),1,MIN(60,COLUMN()-29)),OFFSET(BS319,0,-MIN(60,COLUMN()-29),1,MIN(60,COLUMN()-29))),0)</f>
        <v>0</v>
      </c>
      <c r="BT320" s="237" t="n">
        <f aca="true">IFERROR(SUMPRODUCT(OFFSET($BJ$31,0,1-MIN(60,COLUMN()-29),1,MIN(60,COLUMN()-29)),OFFSET(BT319,0,-MIN(60,COLUMN()-29),1,MIN(60,COLUMN()-29))),0)</f>
        <v>0</v>
      </c>
      <c r="BU320" s="237" t="n">
        <f aca="true">IFERROR(SUMPRODUCT(OFFSET($BJ$31,0,1-MIN(60,COLUMN()-29),1,MIN(60,COLUMN()-29)),OFFSET(BU319,0,-MIN(60,COLUMN()-29),1,MIN(60,COLUMN()-29))),0)</f>
        <v>0</v>
      </c>
      <c r="BV320" s="237" t="n">
        <f aca="true">IFERROR(SUMPRODUCT(OFFSET($BJ$31,0,1-MIN(60,COLUMN()-29),1,MIN(60,COLUMN()-29)),OFFSET(BV319,0,-MIN(60,COLUMN()-29),1,MIN(60,COLUMN()-29))),0)</f>
        <v>0</v>
      </c>
      <c r="BW320" s="237" t="n">
        <f aca="true">IFERROR(SUMPRODUCT(OFFSET($BJ$31,0,1-MIN(60,COLUMN()-29),1,MIN(60,COLUMN()-29)),OFFSET(BW319,0,-MIN(60,COLUMN()-29),1,MIN(60,COLUMN()-29))),0)</f>
        <v>0</v>
      </c>
      <c r="BX320" s="237" t="n">
        <f aca="true">IFERROR(SUMPRODUCT(OFFSET($BJ$31,0,1-MIN(60,COLUMN()-29),1,MIN(60,COLUMN()-29)),OFFSET(BX319,0,-MIN(60,COLUMN()-29),1,MIN(60,COLUMN()-29))),0)</f>
        <v>0</v>
      </c>
      <c r="BY320" s="237" t="n">
        <f aca="true">IFERROR(SUMPRODUCT(OFFSET($BJ$31,0,1-MIN(60,COLUMN()-29),1,MIN(60,COLUMN()-29)),OFFSET(BY319,0,-MIN(60,COLUMN()-29),1,MIN(60,COLUMN()-29))),0)</f>
        <v>0</v>
      </c>
      <c r="BZ320" s="237" t="n">
        <f aca="true">IFERROR(SUMPRODUCT(OFFSET($BJ$31,0,1-MIN(60,COLUMN()-29),1,MIN(60,COLUMN()-29)),OFFSET(BZ319,0,-MIN(60,COLUMN()-29),1,MIN(60,COLUMN()-29))),0)</f>
        <v>0</v>
      </c>
      <c r="CA320" s="237" t="n">
        <f aca="true">IFERROR(SUMPRODUCT(OFFSET($BJ$31,0,1-MIN(60,COLUMN()-29),1,MIN(60,COLUMN()-29)),OFFSET(CA319,0,-MIN(60,COLUMN()-29),1,MIN(60,COLUMN()-29))),0)</f>
        <v>0</v>
      </c>
      <c r="CB320" s="237" t="n">
        <f aca="true">IFERROR(SUMPRODUCT(OFFSET($BJ$31,0,1-MIN(60,COLUMN()-29),1,MIN(60,COLUMN()-29)),OFFSET(CB319,0,-MIN(60,COLUMN()-29),1,MIN(60,COLUMN()-29))),0)</f>
        <v>0</v>
      </c>
      <c r="CC320" s="237" t="n">
        <f aca="true">IFERROR(SUMPRODUCT(OFFSET($BJ$31,0,1-MIN(60,COLUMN()-29),1,MIN(60,COLUMN()-29)),OFFSET(CC319,0,-MIN(60,COLUMN()-29),1,MIN(60,COLUMN()-29))),0)</f>
        <v>0</v>
      </c>
      <c r="CD320" s="237" t="n">
        <f aca="true">IFERROR(SUMPRODUCT(OFFSET($BJ$31,0,1-MIN(60,COLUMN()-29),1,MIN(60,COLUMN()-29)),OFFSET(CD319,0,-MIN(60,COLUMN()-29),1,MIN(60,COLUMN()-29))),0)</f>
        <v>0</v>
      </c>
      <c r="CE320" s="237" t="n">
        <f aca="true">IFERROR(SUMPRODUCT(OFFSET($BJ$31,0,1-MIN(60,COLUMN()-29),1,MIN(60,COLUMN()-29)),OFFSET(CE319,0,-MIN(60,COLUMN()-29),1,MIN(60,COLUMN()-29))),0)</f>
        <v>0</v>
      </c>
      <c r="CF320" s="237" t="n">
        <f aca="true">IFERROR(SUMPRODUCT(OFFSET($BJ$31,0,1-MIN(60,COLUMN()-29),1,MIN(60,COLUMN()-29)),OFFSET(CF319,0,-MIN(60,COLUMN()-29),1,MIN(60,COLUMN()-29))),0)</f>
        <v>0</v>
      </c>
      <c r="CG320" s="237" t="n">
        <f aca="true">IFERROR(SUMPRODUCT(OFFSET($BJ$31,0,1-MIN(60,COLUMN()-29),1,MIN(60,COLUMN()-29)),OFFSET(CG319,0,-MIN(60,COLUMN()-29),1,MIN(60,COLUMN()-29))),0)</f>
        <v>0</v>
      </c>
      <c r="CH320" s="237" t="n">
        <f aca="true">IFERROR(SUMPRODUCT(OFFSET($BJ$31,0,1-MIN(60,COLUMN()-29),1,MIN(60,COLUMN()-29)),OFFSET(CH319,0,-MIN(60,COLUMN()-29),1,MIN(60,COLUMN()-29))),0)</f>
        <v>0</v>
      </c>
      <c r="CI320" s="237" t="n">
        <f aca="true">IFERROR(SUMPRODUCT(OFFSET($BJ$31,0,1-MIN(60,COLUMN()-29),1,MIN(60,COLUMN()-29)),OFFSET(CI319,0,-MIN(60,COLUMN()-29),1,MIN(60,COLUMN()-29))),0)</f>
        <v>0</v>
      </c>
      <c r="CJ320" s="237" t="n">
        <f aca="true">IFERROR(SUMPRODUCT(OFFSET($BJ$31,0,1-MIN(60,COLUMN()-29),1,MIN(60,COLUMN()-29)),OFFSET(CJ319,0,-MIN(60,COLUMN()-29),1,MIN(60,COLUMN()-29))),0)</f>
        <v>0</v>
      </c>
      <c r="CK320" s="237" t="n">
        <f aca="true">IFERROR(SUMPRODUCT(OFFSET($BJ$31,0,1-MIN(60,COLUMN()-29),1,MIN(60,COLUMN()-29)),OFFSET(CK319,0,-MIN(60,COLUMN()-29),1,MIN(60,COLUMN()-29))),0)</f>
        <v>0</v>
      </c>
      <c r="CL320" s="237" t="n">
        <f aca="true">IFERROR(SUMPRODUCT(OFFSET($BJ$31,0,1-MIN(60,COLUMN()-29),1,MIN(60,COLUMN()-29)),OFFSET(CL319,0,-MIN(60,COLUMN()-29),1,MIN(60,COLUMN()-29))),0)</f>
        <v>0</v>
      </c>
      <c r="CM320" s="237" t="n">
        <f aca="true">IFERROR(SUMPRODUCT(OFFSET($BJ$31,0,1-MIN(60,COLUMN()-29),1,MIN(60,COLUMN()-29)),OFFSET(CM319,0,-MIN(60,COLUMN()-29),1,MIN(60,COLUMN()-29))),0)</f>
        <v>0</v>
      </c>
      <c r="CN320" s="237" t="n">
        <f aca="true">IFERROR(SUMPRODUCT(OFFSET($BJ$31,0,1-MIN(60,COLUMN()-29),1,MIN(60,COLUMN()-29)),OFFSET(CN319,0,-MIN(60,COLUMN()-29),1,MIN(60,COLUMN()-29))),0)</f>
        <v>0</v>
      </c>
      <c r="CO320" s="237" t="n">
        <f aca="true">IFERROR(SUMPRODUCT(OFFSET($BJ$31,0,1-MIN(60,COLUMN()-29),1,MIN(60,COLUMN()-29)),OFFSET(CO319,0,-MIN(60,COLUMN()-29),1,MIN(60,COLUMN()-29))),0)</f>
        <v>0</v>
      </c>
      <c r="CP320" s="237" t="n">
        <f aca="true">IFERROR(SUMPRODUCT(OFFSET($BJ$31,0,1-MIN(60,COLUMN()-29),1,MIN(60,COLUMN()-29)),OFFSET(CP319,0,-MIN(60,COLUMN()-29),1,MIN(60,COLUMN()-29))),0)</f>
        <v>0</v>
      </c>
      <c r="CQ320" s="237" t="n">
        <f aca="true">IFERROR(SUMPRODUCT(OFFSET($BJ$31,0,1-MIN(60,COLUMN()-29),1,MIN(60,COLUMN()-29)),OFFSET(CQ319,0,-MIN(60,COLUMN()-29),1,MIN(60,COLUMN()-29))),0)</f>
        <v>0</v>
      </c>
      <c r="CR320" s="237" t="n">
        <f aca="true">IFERROR(SUMPRODUCT(OFFSET($BJ$31,0,1-MIN(60,COLUMN()-29),1,MIN(60,COLUMN()-29)),OFFSET(CR319,0,-MIN(60,COLUMN()-29),1,MIN(60,COLUMN()-29))),0)</f>
        <v>0</v>
      </c>
      <c r="CS320" s="237" t="n">
        <f aca="true">IFERROR(SUMPRODUCT(OFFSET($BJ$31,0,1-MIN(60,COLUMN()-29),1,MIN(60,COLUMN()-29)),OFFSET(CS319,0,-MIN(60,COLUMN()-29),1,MIN(60,COLUMN()-29))),0)</f>
        <v>0</v>
      </c>
      <c r="CT320" s="237" t="n">
        <f aca="true">IFERROR(SUMPRODUCT(OFFSET($BJ$31,0,1-MIN(60,COLUMN()-29),1,MIN(60,COLUMN()-29)),OFFSET(CT319,0,-MIN(60,COLUMN()-29),1,MIN(60,COLUMN()-29))),0)</f>
        <v>0</v>
      </c>
      <c r="CU320" s="237" t="n">
        <f aca="true">IFERROR(SUMPRODUCT(OFFSET($BJ$31,0,1-MIN(60,COLUMN()-29),1,MIN(60,COLUMN()-29)),OFFSET(CU319,0,-MIN(60,COLUMN()-29),1,MIN(60,COLUMN()-29))),0)</f>
        <v>0</v>
      </c>
      <c r="CV320" s="237" t="n">
        <f aca="true">IFERROR(SUMPRODUCT(OFFSET($BJ$31,0,1-MIN(60,COLUMN()-29),1,MIN(60,COLUMN()-29)),OFFSET(CV319,0,-MIN(60,COLUMN()-29),1,MIN(60,COLUMN()-29))),0)</f>
        <v>0</v>
      </c>
      <c r="CW320" s="237" t="n">
        <f aca="true">IFERROR(SUMPRODUCT(OFFSET($BJ$31,0,1-MIN(60,COLUMN()-29),1,MIN(60,COLUMN()-29)),OFFSET(CW319,0,-MIN(60,COLUMN()-29),1,MIN(60,COLUMN()-29))),0)</f>
        <v>0</v>
      </c>
      <c r="CX320" s="237" t="n">
        <f aca="true">IFERROR(SUMPRODUCT(OFFSET($BJ$31,0,1-MIN(60,COLUMN()-29),1,MIN(60,COLUMN()-29)),OFFSET(CX319,0,-MIN(60,COLUMN()-29),1,MIN(60,COLUMN()-29))),0)</f>
        <v>0</v>
      </c>
      <c r="CY320" s="237" t="n">
        <f aca="true">IFERROR(SUMPRODUCT(OFFSET($BJ$31,0,1-MIN(60,COLUMN()-29),1,MIN(60,COLUMN()-29)),OFFSET(CY319,0,-MIN(60,COLUMN()-29),1,MIN(60,COLUMN()-29))),0)</f>
        <v>0</v>
      </c>
      <c r="CZ320" s="237" t="n">
        <f aca="true">IFERROR(SUMPRODUCT(OFFSET($BJ$31,0,1-MIN(60,COLUMN()-29),1,MIN(60,COLUMN()-29)),OFFSET(CZ319,0,-MIN(60,COLUMN()-29),1,MIN(60,COLUMN()-29))),0)</f>
        <v>0</v>
      </c>
      <c r="DA320" s="237" t="n">
        <f aca="true">IFERROR(SUMPRODUCT(OFFSET($BJ$31,0,1-MIN(60,COLUMN()-29),1,MIN(60,COLUMN()-29)),OFFSET(DA319,0,-MIN(60,COLUMN()-29),1,MIN(60,COLUMN()-29))),0)</f>
        <v>0</v>
      </c>
      <c r="DB320" s="237" t="n">
        <f aca="true">IFERROR(SUMPRODUCT(OFFSET($BJ$31,0,1-MIN(60,COLUMN()-29),1,MIN(60,COLUMN()-29)),OFFSET(DB319,0,-MIN(60,COLUMN()-29),1,MIN(60,COLUMN()-29))),0)</f>
        <v>0</v>
      </c>
      <c r="DC320" s="237" t="n">
        <f aca="true">IFERROR(SUMPRODUCT(OFFSET($BJ$31,0,1-MIN(60,COLUMN()-29),1,MIN(60,COLUMN()-29)),OFFSET(DC319,0,-MIN(60,COLUMN()-29),1,MIN(60,COLUMN()-29))),0)</f>
        <v>0</v>
      </c>
      <c r="DD320" s="237" t="n">
        <f aca="true">IFERROR(SUMPRODUCT(OFFSET($BJ$31,0,1-MIN(60,COLUMN()-29),1,MIN(60,COLUMN()-29)),OFFSET(DD319,0,-MIN(60,COLUMN()-29),1,MIN(60,COLUMN()-29))),0)</f>
        <v>0</v>
      </c>
      <c r="DE320" s="237" t="n">
        <f aca="true">IFERROR(SUMPRODUCT(OFFSET($BJ$31,0,1-MIN(60,COLUMN()-29),1,MIN(60,COLUMN()-29)),OFFSET(DE319,0,-MIN(60,COLUMN()-29),1,MIN(60,COLUMN()-29))),0)</f>
        <v>0</v>
      </c>
      <c r="DF320" s="237" t="n">
        <f aca="true">IFERROR(SUMPRODUCT(OFFSET($BJ$31,0,1-MIN(60,COLUMN()-29),1,MIN(60,COLUMN()-29)),OFFSET(DF319,0,-MIN(60,COLUMN()-29),1,MIN(60,COLUMN()-29))),0)</f>
        <v>0</v>
      </c>
      <c r="DG320" s="237" t="n">
        <f aca="true">IFERROR(SUMPRODUCT(OFFSET($BJ$31,0,1-MIN(60,COLUMN()-29),1,MIN(60,COLUMN()-29)),OFFSET(DG319,0,-MIN(60,COLUMN()-29),1,MIN(60,COLUMN()-29))),0)</f>
        <v>0</v>
      </c>
      <c r="DH320" s="237" t="n">
        <f aca="true">IFERROR(SUMPRODUCT(OFFSET($BJ$31,0,1-MIN(60,COLUMN()-29),1,MIN(60,COLUMN()-29)),OFFSET(DH319,0,-MIN(60,COLUMN()-29),1,MIN(60,COLUMN()-29))),0)</f>
        <v>0</v>
      </c>
      <c r="DI320" s="237" t="n">
        <f aca="true">IFERROR(SUMPRODUCT(OFFSET($BJ$31,0,1-MIN(60,COLUMN()-29),1,MIN(60,COLUMN()-29)),OFFSET(DI319,0,-MIN(60,COLUMN()-29),1,MIN(60,COLUMN()-29))),0)</f>
        <v>0</v>
      </c>
      <c r="DJ320" s="237" t="n">
        <f aca="true">IFERROR(SUMPRODUCT(OFFSET($BJ$31,0,1-MIN(60,COLUMN()-29),1,MIN(60,COLUMN()-29)),OFFSET(DJ319,0,-MIN(60,COLUMN()-29),1,MIN(60,COLUMN()-29))),0)</f>
        <v>0</v>
      </c>
      <c r="DK320" s="237" t="n">
        <f aca="true">IFERROR(SUMPRODUCT(OFFSET($BJ$31,0,1-MIN(60,COLUMN()-29),1,MIN(60,COLUMN()-29)),OFFSET(DK319,0,-MIN(60,COLUMN()-29),1,MIN(60,COLUMN()-29))),0)</f>
        <v>0</v>
      </c>
      <c r="DL320" s="237" t="n">
        <f aca="true">IFERROR(SUMPRODUCT(OFFSET($BJ$31,0,1-MIN(60,COLUMN()-29),1,MIN(60,COLUMN()-29)),OFFSET(DL319,0,-MIN(60,COLUMN()-29),1,MIN(60,COLUMN()-29))),0)</f>
        <v>5.49376</v>
      </c>
      <c r="DM320" s="237" t="n">
        <f aca="true">IFERROR(SUMPRODUCT(OFFSET($BJ$31,0,1-MIN(60,COLUMN()-29),1,MIN(60,COLUMN()-29)),OFFSET(DM319,0,-MIN(60,COLUMN()-29),1,MIN(60,COLUMN()-29))),0)</f>
        <v>6.485952</v>
      </c>
      <c r="DN320" s="237" t="n">
        <f aca="true">IFERROR(SUMPRODUCT(OFFSET($BJ$31,0,1-MIN(60,COLUMN()-29),1,MIN(60,COLUMN()-29)),OFFSET(DN319,0,-MIN(60,COLUMN()-29),1,MIN(60,COLUMN()-29))),0)</f>
        <v>6.542192</v>
      </c>
      <c r="DO320" s="237" t="n">
        <f aca="true">IFERROR(SUMPRODUCT(OFFSET($BJ$31,0,1-MIN(60,COLUMN()-29),1,MIN(60,COLUMN()-29)),OFFSET(DO319,0,-MIN(60,COLUMN()-29),1,MIN(60,COLUMN()-29))),0)</f>
        <v>6.7577984</v>
      </c>
      <c r="DP320" s="237" t="n">
        <f aca="true">IFERROR(SUMPRODUCT(OFFSET($BJ$31,0,1-MIN(60,COLUMN()-29),1,MIN(60,COLUMN()-29)),OFFSET(DP319,0,-MIN(60,COLUMN()-29),1,MIN(60,COLUMN()-29))),0)</f>
        <v>7.2228736</v>
      </c>
      <c r="DQ320" s="237" t="n">
        <f aca="true">IFERROR(SUMPRODUCT(OFFSET($BJ$31,0,1-MIN(60,COLUMN()-29),1,MIN(60,COLUMN()-29)),OFFSET(DQ319,0,-MIN(60,COLUMN()-29),1,MIN(60,COLUMN()-29))),0)</f>
        <v>11.6460608</v>
      </c>
      <c r="DR320" s="237" t="n">
        <f aca="true">IFERROR(SUMPRODUCT(OFFSET($BJ$31,0,1-MIN(60,COLUMN()-29),1,MIN(60,COLUMN()-29)),OFFSET(DR319,0,-MIN(60,COLUMN()-29),1,MIN(60,COLUMN()-29))),0)</f>
        <v>11.2160912</v>
      </c>
      <c r="DS320" s="237" t="n">
        <f aca="true">IFERROR(SUMPRODUCT(OFFSET($BJ$31,0,1-MIN(60,COLUMN()-29),1,MIN(60,COLUMN()-29)),OFFSET(DS319,0,-MIN(60,COLUMN()-29),1,MIN(60,COLUMN()-29))),0)</f>
        <v>11.5762048</v>
      </c>
      <c r="DT320" s="237" t="n">
        <f aca="true">IFERROR(SUMPRODUCT(OFFSET($BJ$31,0,1-MIN(60,COLUMN()-29),1,MIN(60,COLUMN()-29)),OFFSET(DT319,0,-MIN(60,COLUMN()-29),1,MIN(60,COLUMN()-29))),0)</f>
        <v>10.2147232</v>
      </c>
      <c r="DU320" s="237" t="n">
        <f aca="true">IFERROR(SUMPRODUCT(OFFSET($BJ$31,0,1-MIN(60,COLUMN()-29),1,MIN(60,COLUMN()-29)),OFFSET(DU319,0,-MIN(60,COLUMN()-29),1,MIN(60,COLUMN()-29))),0)</f>
        <v>13.9485856</v>
      </c>
      <c r="DV320" s="237" t="n">
        <f aca="true">IFERROR(SUMPRODUCT(OFFSET($BJ$31,0,1-MIN(60,COLUMN()-29),1,MIN(60,COLUMN()-29)),OFFSET(DV319,0,-MIN(60,COLUMN()-29),1,MIN(60,COLUMN()-29))),0)</f>
        <v>14.6917824</v>
      </c>
      <c r="DW320" s="237" t="n">
        <f aca="true">IFERROR(SUMPRODUCT(OFFSET($BJ$31,0,1-MIN(60,COLUMN()-29),1,MIN(60,COLUMN()-29)),OFFSET(DW319,0,-MIN(60,COLUMN()-29),1,MIN(60,COLUMN()-29))),0)</f>
        <v>15.242816</v>
      </c>
      <c r="DX320" s="237" t="n">
        <f aca="true">IFERROR(SUMPRODUCT(OFFSET($BJ$31,0,1-MIN(60,COLUMN()-29),1,MIN(60,COLUMN()-29)),OFFSET(DX319,0,-MIN(60,COLUMN()-29),1,MIN(60,COLUMN()-29))),0)</f>
        <v>19.9256544</v>
      </c>
      <c r="DY320" s="237" t="n">
        <f aca="true">IFERROR(SUMPRODUCT(OFFSET($BJ$31,0,1-MIN(60,COLUMN()-29),1,MIN(60,COLUMN()-29)),OFFSET(DY319,0,-MIN(60,COLUMN()-29),1,MIN(60,COLUMN()-29))),0)</f>
        <v>21.6718176</v>
      </c>
      <c r="DZ320" s="237" t="n">
        <f aca="true">IFERROR(SUMPRODUCT(OFFSET($BJ$31,0,1-MIN(60,COLUMN()-29),1,MIN(60,COLUMN()-29)),OFFSET(DZ319,0,-MIN(60,COLUMN()-29),1,MIN(60,COLUMN()-29))),0)</f>
        <v>20.8971264</v>
      </c>
      <c r="EA320" s="237" t="n">
        <f aca="true">IFERROR(SUMPRODUCT(OFFSET($BJ$31,0,1-MIN(60,COLUMN()-29),1,MIN(60,COLUMN()-29)),OFFSET(EA319,0,-MIN(60,COLUMN()-29),1,MIN(60,COLUMN()-29))),0)</f>
        <v>22.769504</v>
      </c>
      <c r="EB320" s="237" t="n">
        <f aca="true">IFERROR(SUMPRODUCT(OFFSET($BJ$31,0,1-MIN(60,COLUMN()-29),1,MIN(60,COLUMN()-29)),OFFSET(EB319,0,-MIN(60,COLUMN()-29),1,MIN(60,COLUMN()-29))),0)</f>
        <v>26.4895136</v>
      </c>
      <c r="EC320" s="237" t="n">
        <f aca="true">IFERROR(SUMPRODUCT(OFFSET($BJ$31,0,1-MIN(60,COLUMN()-29),1,MIN(60,COLUMN()-29)),OFFSET(EC319,0,-MIN(60,COLUMN()-29),1,MIN(60,COLUMN()-29))),0)</f>
        <v>37.40359896</v>
      </c>
      <c r="ED320" s="237" t="n">
        <f aca="true">IFERROR(SUMPRODUCT(OFFSET($BJ$31,0,1-MIN(60,COLUMN()-29),1,MIN(60,COLUMN()-29)),OFFSET(ED319,0,-MIN(60,COLUMN()-29),1,MIN(60,COLUMN()-29))),0)</f>
        <v>38.05736232</v>
      </c>
      <c r="EE320" s="237" t="n">
        <f aca="true">IFERROR(SUMPRODUCT(OFFSET($BJ$31,0,1-MIN(60,COLUMN()-29),1,MIN(60,COLUMN()-29)),OFFSET(EE319,0,-MIN(60,COLUMN()-29),1,MIN(60,COLUMN()-29))),0)</f>
        <v>37.27604072</v>
      </c>
      <c r="EF320" s="237" t="n">
        <f aca="true">IFERROR(SUMPRODUCT(OFFSET($BJ$31,0,1-MIN(60,COLUMN()-29),1,MIN(60,COLUMN()-29)),OFFSET(EF319,0,-MIN(60,COLUMN()-29),1,MIN(60,COLUMN()-29))),0)</f>
        <v>35.6440388</v>
      </c>
      <c r="EG320" s="237" t="n">
        <f aca="true">IFERROR(SUMPRODUCT(OFFSET($BJ$31,0,1-MIN(60,COLUMN()-29),1,MIN(60,COLUMN()-29)),OFFSET(EG319,0,-MIN(60,COLUMN()-29),1,MIN(60,COLUMN()-29))),0)</f>
        <v>43.5568218</v>
      </c>
      <c r="EH320" s="237" t="n">
        <f aca="true">IFERROR(SUMPRODUCT(OFFSET($BJ$31,0,1-MIN(60,COLUMN()-29),1,MIN(60,COLUMN()-29)),OFFSET(EH319,0,-MIN(60,COLUMN()-29),1,MIN(60,COLUMN()-29))),0)</f>
        <v>47.41789612</v>
      </c>
      <c r="EI320" s="237" t="n">
        <f aca="true">IFERROR(SUMPRODUCT(OFFSET($BJ$31,0,1-MIN(60,COLUMN()-29),1,MIN(60,COLUMN()-29)),OFFSET(EI319,0,-MIN(60,COLUMN()-29),1,MIN(60,COLUMN()-29))),0)</f>
        <v>46.39767884</v>
      </c>
      <c r="EJ320" s="237" t="n">
        <f aca="true">IFERROR(SUMPRODUCT(OFFSET($BJ$31,0,1-MIN(60,COLUMN()-29),1,MIN(60,COLUMN()-29)),OFFSET(EJ319,0,-MIN(60,COLUMN()-29),1,MIN(60,COLUMN()-29))),0)</f>
        <v>55.9518662</v>
      </c>
      <c r="EK320" s="237" t="n">
        <f aca="true">IFERROR(SUMPRODUCT(OFFSET($BJ$31,0,1-MIN(60,COLUMN()-29),1,MIN(60,COLUMN()-29)),OFFSET(EK319,0,-MIN(60,COLUMN()-29),1,MIN(60,COLUMN()-29))),0)</f>
        <v>57.77437224</v>
      </c>
      <c r="EL320" s="237" t="n">
        <f aca="true">IFERROR(SUMPRODUCT(OFFSET($BJ$31,0,1-MIN(60,COLUMN()-29),1,MIN(60,COLUMN()-29)),OFFSET(EL319,0,-MIN(60,COLUMN()-29),1,MIN(60,COLUMN()-29))),0)</f>
        <v>58.7467648</v>
      </c>
      <c r="EM320" s="237" t="n">
        <f aca="true">IFERROR(SUMPRODUCT(OFFSET($BJ$31,0,1-MIN(60,COLUMN()-29),1,MIN(60,COLUMN()-29)),OFFSET(EM319,0,-MIN(60,COLUMN()-29),1,MIN(60,COLUMN()-29))),0)</f>
        <v>58.9479634</v>
      </c>
      <c r="EN320" s="237" t="n">
        <f aca="true">IFERROR(SUMPRODUCT(OFFSET($BJ$31,0,1-MIN(60,COLUMN()-29),1,MIN(60,COLUMN()-29)),OFFSET(EN319,0,-MIN(60,COLUMN()-29),1,MIN(60,COLUMN()-29))),0)</f>
        <v>64.07829756</v>
      </c>
      <c r="EO320" s="237" t="n">
        <f aca="true">IFERROR(SUMPRODUCT(OFFSET($BJ$31,0,1-MIN(60,COLUMN()-29),1,MIN(60,COLUMN()-29)),OFFSET(EO319,0,-MIN(60,COLUMN()-29),1,MIN(60,COLUMN()-29))),0)</f>
        <v>79.42923052</v>
      </c>
      <c r="EP320" s="237" t="n">
        <f aca="true">IFERROR(SUMPRODUCT(OFFSET($BJ$31,0,1-MIN(60,COLUMN()-29),1,MIN(60,COLUMN()-29)),OFFSET(EP319,0,-MIN(60,COLUMN()-29),1,MIN(60,COLUMN()-29))),0)</f>
        <v>79.48032012</v>
      </c>
      <c r="EQ320" s="237" t="n">
        <f aca="true">IFERROR(SUMPRODUCT(OFFSET($BJ$31,0,1-MIN(60,COLUMN()-29),1,MIN(60,COLUMN()-29)),OFFSET(EQ319,0,-MIN(60,COLUMN()-29),1,MIN(60,COLUMN()-29))),0)</f>
        <v>78.93388044</v>
      </c>
      <c r="ER320" s="237" t="n">
        <f aca="true">IFERROR(SUMPRODUCT(OFFSET($BJ$31,0,1-MIN(60,COLUMN()-29),1,MIN(60,COLUMN()-29)),OFFSET(ER319,0,-MIN(60,COLUMN()-29),1,MIN(60,COLUMN()-29))),0)</f>
        <v>76.41963276</v>
      </c>
      <c r="ES320" s="9" t="n">
        <f aca="true">IFERROR(SUMPRODUCT(OFFSET($BJ$31,0,1-MIN(60,COLUMN()-29),1,MIN(60,COLUMN()-29)),OFFSET(ES319,0,-MIN(60,COLUMN()-29),1,MIN(60,COLUMN()-29))),0)</f>
        <v>88.84648236</v>
      </c>
      <c r="ET320" s="9" t="n">
        <f aca="true">IFERROR(SUMPRODUCT(OFFSET($BJ$31,0,1-MIN(60,COLUMN()-29),1,MIN(60,COLUMN()-29)),OFFSET(ET319,0,-MIN(60,COLUMN()-29),1,MIN(60,COLUMN()-29))),0)</f>
        <v>93.6261246</v>
      </c>
      <c r="EU320" s="9" t="n">
        <f aca="true">IFERROR(SUMPRODUCT(OFFSET($BJ$31,0,1-MIN(60,COLUMN()-29),1,MIN(60,COLUMN()-29)),OFFSET(EU319,0,-MIN(60,COLUMN()-29),1,MIN(60,COLUMN()-29))),0)</f>
        <v>93.96193068</v>
      </c>
      <c r="EV320" s="9" t="n">
        <f aca="true">IFERROR(SUMPRODUCT(OFFSET($BJ$31,0,1-MIN(60,COLUMN()-29),1,MIN(60,COLUMN()-29)),OFFSET(EV319,0,-MIN(60,COLUMN()-29),1,MIN(60,COLUMN()-29))),0)</f>
        <v>105.46522476</v>
      </c>
      <c r="EW320" s="9" t="n">
        <f aca="true">IFERROR(SUMPRODUCT(OFFSET($BJ$31,0,1-MIN(60,COLUMN()-29),1,MIN(60,COLUMN()-29)),OFFSET(EW319,0,-MIN(60,COLUMN()-29),1,MIN(60,COLUMN()-29))),0)</f>
        <v>108.86630028</v>
      </c>
      <c r="EX320" s="9" t="n">
        <f aca="true">IFERROR(SUMPRODUCT(OFFSET($BJ$31,0,1-MIN(60,COLUMN()-29),1,MIN(60,COLUMN()-29)),OFFSET(EX319,0,-MIN(60,COLUMN()-29),1,MIN(60,COLUMN()-29))),0)</f>
        <v>109.78554012</v>
      </c>
      <c r="EY320" s="9" t="n">
        <f aca="true">IFERROR(SUMPRODUCT(OFFSET($BJ$31,0,1-MIN(60,COLUMN()-29),1,MIN(60,COLUMN()-29)),OFFSET(EY319,0,-MIN(60,COLUMN()-29),1,MIN(60,COLUMN()-29))),0)</f>
        <v>110.370741</v>
      </c>
      <c r="EZ320" s="9" t="n">
        <f aca="true">IFERROR(SUMPRODUCT(OFFSET($BJ$31,0,1-MIN(60,COLUMN()-29),1,MIN(60,COLUMN()-29)),OFFSET(EZ319,0,-MIN(60,COLUMN()-29),1,MIN(60,COLUMN()-29))),0)</f>
        <v>117.30669588</v>
      </c>
      <c r="FA320" s="9" t="n">
        <f aca="true">IFERROR(SUMPRODUCT(OFFSET($BJ$31,0,1-MIN(60,COLUMN()-29),1,MIN(60,COLUMN()-29)),OFFSET(FA319,0,-MIN(60,COLUMN()-29),1,MIN(60,COLUMN()-29))),0)</f>
        <v>137.008521</v>
      </c>
      <c r="FB320" s="9" t="n">
        <f aca="true">IFERROR(SUMPRODUCT(OFFSET($BJ$31,0,1-MIN(60,COLUMN()-29),1,MIN(60,COLUMN()-29)),OFFSET(FB319,0,-MIN(60,COLUMN()-29),1,MIN(60,COLUMN()-29))),0)</f>
        <v>137.15296308</v>
      </c>
      <c r="FC320" s="9" t="n">
        <f aca="true">IFERROR(SUMPRODUCT(OFFSET($BJ$31,0,1-MIN(60,COLUMN()-29),1,MIN(60,COLUMN()-29)),OFFSET(FC319,0,-MIN(60,COLUMN()-29),1,MIN(60,COLUMN()-29))),0)</f>
        <v>136.42061172</v>
      </c>
      <c r="FD320" s="9" t="n">
        <f aca="true">IFERROR(SUMPRODUCT(OFFSET($BJ$31,0,1-MIN(60,COLUMN()-29),1,MIN(60,COLUMN()-29)),OFFSET(FD319,0,-MIN(60,COLUMN()-29),1,MIN(60,COLUMN()-29))),0)</f>
        <v>133.65504228</v>
      </c>
      <c r="FE320" s="9" t="n">
        <f aca="true">IFERROR(SUMPRODUCT(OFFSET($BJ$31,0,1-MIN(60,COLUMN()-29),1,MIN(60,COLUMN()-29)),OFFSET(FE319,0,-MIN(60,COLUMN()-29),1,MIN(60,COLUMN()-29))),0)</f>
        <v>148.2258702</v>
      </c>
      <c r="FF320" s="9" t="n">
        <f aca="true">IFERROR(SUMPRODUCT(OFFSET($BJ$31,0,1-MIN(60,COLUMN()-29),1,MIN(60,COLUMN()-29)),OFFSET(FF319,0,-MIN(60,COLUMN()-29),1,MIN(60,COLUMN()-29))),0)</f>
        <v>154.43759004</v>
      </c>
      <c r="FG320" s="9" t="n">
        <f aca="true">IFERROR(SUMPRODUCT(OFFSET($BJ$31,0,1-MIN(60,COLUMN()-29),1,MIN(60,COLUMN()-29)),OFFSET(FG319,0,-MIN(60,COLUMN()-29),1,MIN(60,COLUMN()-29))),0)</f>
        <v>154.7472534</v>
      </c>
      <c r="FH320" s="9" t="n">
        <f aca="true">IFERROR(SUMPRODUCT(OFFSET($BJ$31,0,1-MIN(60,COLUMN()-29),1,MIN(60,COLUMN()-29)),OFFSET(FH319,0,-MIN(60,COLUMN()-29),1,MIN(60,COLUMN()-29))),0)</f>
        <v>167.46888348</v>
      </c>
      <c r="FI320" s="9" t="n">
        <f aca="true">IFERROR(SUMPRODUCT(OFFSET($BJ$31,0,1-MIN(60,COLUMN()-29),1,MIN(60,COLUMN()-29)),OFFSET(FI319,0,-MIN(60,COLUMN()-29),1,MIN(60,COLUMN()-29))),0)</f>
        <v>170.52747516</v>
      </c>
      <c r="FJ320" s="9" t="n">
        <f aca="true">IFERROR(SUMPRODUCT(OFFSET($BJ$31,0,1-MIN(60,COLUMN()-29),1,MIN(60,COLUMN()-29)),OFFSET(FJ319,0,-MIN(60,COLUMN()-29),1,MIN(60,COLUMN()-29))),0)</f>
        <v>171.50427516</v>
      </c>
      <c r="FK320" s="9" t="n">
        <f aca="true">IFERROR(SUMPRODUCT(OFFSET($BJ$31,0,1-MIN(60,COLUMN()-29),1,MIN(60,COLUMN()-29)),OFFSET(FK319,0,-MIN(60,COLUMN()-29),1,MIN(60,COLUMN()-29))),0)</f>
        <v>171.24175572</v>
      </c>
      <c r="FL320" s="9" t="n">
        <f aca="true">IFERROR(SUMPRODUCT(OFFSET($BJ$31,0,1-MIN(60,COLUMN()-29),1,MIN(60,COLUMN()-29)),OFFSET(FL319,0,-MIN(60,COLUMN()-29),1,MIN(60,COLUMN()-29))),0)</f>
        <v>179.26964868</v>
      </c>
      <c r="FM320" s="9" t="n">
        <f aca="true">IFERROR(SUMPRODUCT(OFFSET($BJ$31,0,1-MIN(60,COLUMN()-29),1,MIN(60,COLUMN()-29)),OFFSET(FM319,0,-MIN(60,COLUMN()-29),1,MIN(60,COLUMN()-29))),0)</f>
        <v>199.7370852</v>
      </c>
      <c r="FN320" s="9" t="n">
        <f aca="true">IFERROR(SUMPRODUCT(OFFSET($BJ$31,0,1-MIN(60,COLUMN()-29),1,MIN(60,COLUMN()-29)),OFFSET(FN319,0,-MIN(60,COLUMN()-29),1,MIN(60,COLUMN()-29))),0)</f>
        <v>199.30293312</v>
      </c>
      <c r="FO320" s="9" t="n">
        <f aca="true">IFERROR(SUMPRODUCT(OFFSET($BJ$31,0,1-MIN(60,COLUMN()-29),1,MIN(60,COLUMN()-29)),OFFSET(FO319,0,-MIN(60,COLUMN()-29),1,MIN(60,COLUMN()-29))),0)</f>
        <v>197.42349888</v>
      </c>
      <c r="FP320" s="9" t="n">
        <f aca="true">IFERROR(SUMPRODUCT(OFFSET($BJ$31,0,1-MIN(60,COLUMN()-29),1,MIN(60,COLUMN()-29)),OFFSET(FP319,0,-MIN(60,COLUMN()-29),1,MIN(60,COLUMN()-29))),0)</f>
        <v>194.00972496</v>
      </c>
    </row>
    <row r="321" customFormat="false" ht="15" hidden="false" customHeight="false" outlineLevel="2" collapsed="false">
      <c r="B321" s="47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237"/>
      <c r="AD321" s="237"/>
      <c r="AE321" s="237"/>
      <c r="AF321" s="237"/>
      <c r="AG321" s="237"/>
      <c r="AH321" s="237"/>
      <c r="AI321" s="237"/>
      <c r="AJ321" s="237"/>
      <c r="AK321" s="237"/>
      <c r="AL321" s="237"/>
      <c r="AM321" s="237"/>
      <c r="AN321" s="237"/>
      <c r="AO321" s="237"/>
      <c r="AP321" s="237"/>
      <c r="AQ321" s="237"/>
      <c r="AR321" s="237"/>
      <c r="AS321" s="237"/>
      <c r="AT321" s="237"/>
      <c r="AU321" s="237"/>
      <c r="AV321" s="237"/>
      <c r="AW321" s="237"/>
      <c r="AX321" s="237"/>
      <c r="AY321" s="237"/>
      <c r="AZ321" s="237"/>
      <c r="BA321" s="237"/>
      <c r="BB321" s="237"/>
      <c r="BC321" s="237"/>
      <c r="BD321" s="237"/>
      <c r="BE321" s="237"/>
      <c r="BF321" s="237"/>
      <c r="BG321" s="237"/>
      <c r="BH321" s="237"/>
      <c r="BI321" s="237"/>
      <c r="BJ321" s="237"/>
      <c r="BK321" s="237"/>
      <c r="BL321" s="237"/>
      <c r="BM321" s="237"/>
      <c r="BN321" s="237"/>
      <c r="BO321" s="237"/>
      <c r="BP321" s="237"/>
      <c r="BQ321" s="237"/>
      <c r="BR321" s="237"/>
      <c r="BS321" s="237"/>
      <c r="BT321" s="237"/>
      <c r="BU321" s="237"/>
      <c r="BV321" s="237"/>
      <c r="BW321" s="237"/>
      <c r="BX321" s="237"/>
      <c r="BY321" s="237"/>
      <c r="BZ321" s="237"/>
      <c r="CA321" s="237"/>
      <c r="CB321" s="237"/>
      <c r="CC321" s="237"/>
      <c r="CD321" s="237"/>
      <c r="CE321" s="237"/>
      <c r="CF321" s="237"/>
      <c r="CG321" s="237"/>
      <c r="CH321" s="237"/>
      <c r="CI321" s="237"/>
      <c r="CJ321" s="237"/>
      <c r="CK321" s="237"/>
      <c r="CL321" s="237"/>
      <c r="CM321" s="237"/>
      <c r="CN321" s="237"/>
      <c r="CO321" s="237"/>
      <c r="CP321" s="237"/>
      <c r="CQ321" s="237"/>
      <c r="CR321" s="237"/>
      <c r="CS321" s="237"/>
      <c r="CT321" s="237"/>
      <c r="CU321" s="237"/>
      <c r="CV321" s="237"/>
      <c r="CW321" s="237"/>
      <c r="CX321" s="237"/>
      <c r="CY321" s="237"/>
      <c r="CZ321" s="237"/>
      <c r="DA321" s="237"/>
      <c r="DB321" s="237"/>
      <c r="DC321" s="237"/>
      <c r="DD321" s="237"/>
      <c r="DE321" s="237"/>
      <c r="DF321" s="237"/>
      <c r="DG321" s="237"/>
      <c r="DH321" s="237"/>
      <c r="DI321" s="237"/>
      <c r="DJ321" s="237"/>
      <c r="DK321" s="237"/>
      <c r="DL321" s="237"/>
      <c r="DM321" s="237"/>
      <c r="DN321" s="237"/>
      <c r="DO321" s="237"/>
      <c r="DP321" s="237"/>
      <c r="DQ321" s="237"/>
      <c r="DR321" s="237"/>
      <c r="DS321" s="237"/>
      <c r="DT321" s="237"/>
      <c r="DU321" s="237"/>
      <c r="DV321" s="237"/>
      <c r="DW321" s="237"/>
      <c r="DX321" s="237"/>
      <c r="DY321" s="237"/>
      <c r="DZ321" s="237"/>
      <c r="EA321" s="237"/>
      <c r="EB321" s="237"/>
      <c r="EC321" s="237"/>
      <c r="ED321" s="237"/>
      <c r="EE321" s="237"/>
      <c r="EF321" s="237"/>
      <c r="EG321" s="237"/>
      <c r="EH321" s="237"/>
      <c r="EI321" s="237"/>
      <c r="EJ321" s="237"/>
      <c r="EK321" s="237"/>
      <c r="EL321" s="237"/>
      <c r="EM321" s="237"/>
      <c r="EN321" s="237"/>
      <c r="EO321" s="237"/>
      <c r="EP321" s="237"/>
      <c r="EQ321" s="237"/>
      <c r="ER321" s="237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</row>
    <row r="322" customFormat="false" ht="15" hidden="false" customHeight="false" outlineLevel="2" collapsed="false">
      <c r="B322" s="47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237"/>
      <c r="AD322" s="237"/>
      <c r="AE322" s="237"/>
      <c r="AF322" s="237"/>
      <c r="AG322" s="237"/>
      <c r="AH322" s="237"/>
      <c r="AI322" s="237"/>
      <c r="AJ322" s="237"/>
      <c r="AK322" s="237"/>
      <c r="AL322" s="237"/>
      <c r="AM322" s="237"/>
      <c r="AN322" s="237"/>
      <c r="AO322" s="237"/>
      <c r="AP322" s="237"/>
      <c r="AQ322" s="237"/>
      <c r="AR322" s="237"/>
      <c r="AS322" s="237"/>
      <c r="AT322" s="237"/>
      <c r="AU322" s="237"/>
      <c r="AV322" s="237"/>
      <c r="AW322" s="237"/>
      <c r="AX322" s="237"/>
      <c r="AY322" s="237"/>
      <c r="AZ322" s="237"/>
      <c r="BA322" s="237"/>
      <c r="BB322" s="237"/>
      <c r="BC322" s="237"/>
      <c r="BD322" s="237"/>
      <c r="BE322" s="237"/>
      <c r="BF322" s="237"/>
      <c r="BG322" s="237"/>
      <c r="BH322" s="237"/>
      <c r="BI322" s="237"/>
      <c r="BJ322" s="237"/>
      <c r="BK322" s="237"/>
      <c r="BL322" s="237"/>
      <c r="BM322" s="237"/>
      <c r="BN322" s="237"/>
      <c r="BO322" s="237"/>
      <c r="BP322" s="237"/>
      <c r="BQ322" s="237"/>
      <c r="BR322" s="237"/>
      <c r="BS322" s="237"/>
      <c r="BT322" s="237"/>
      <c r="BU322" s="237"/>
      <c r="BV322" s="237"/>
      <c r="BW322" s="237"/>
      <c r="BX322" s="237"/>
      <c r="BY322" s="237"/>
      <c r="BZ322" s="237"/>
      <c r="CA322" s="237"/>
      <c r="CB322" s="237"/>
      <c r="CC322" s="237"/>
      <c r="CD322" s="237"/>
      <c r="CE322" s="237"/>
      <c r="CF322" s="237"/>
      <c r="CG322" s="237"/>
      <c r="CH322" s="237"/>
      <c r="CI322" s="237"/>
      <c r="CJ322" s="237"/>
      <c r="CK322" s="237"/>
      <c r="CL322" s="237"/>
      <c r="CM322" s="237"/>
      <c r="CN322" s="237"/>
      <c r="CO322" s="237"/>
      <c r="CP322" s="237"/>
      <c r="CQ322" s="237"/>
      <c r="CR322" s="237"/>
      <c r="CS322" s="237"/>
      <c r="CT322" s="237"/>
      <c r="CU322" s="237"/>
      <c r="CV322" s="237"/>
      <c r="CW322" s="237"/>
      <c r="CX322" s="237"/>
      <c r="CY322" s="237"/>
      <c r="CZ322" s="237"/>
      <c r="DA322" s="237"/>
      <c r="DB322" s="237"/>
      <c r="DC322" s="237"/>
      <c r="DD322" s="237"/>
      <c r="DE322" s="237"/>
      <c r="DF322" s="237"/>
      <c r="DG322" s="237"/>
      <c r="DH322" s="237"/>
      <c r="DI322" s="237"/>
      <c r="DJ322" s="237"/>
      <c r="DK322" s="237"/>
      <c r="DL322" s="237"/>
      <c r="DM322" s="237"/>
      <c r="DN322" s="237"/>
      <c r="DO322" s="237"/>
      <c r="DP322" s="237"/>
      <c r="DQ322" s="237"/>
      <c r="DR322" s="237"/>
      <c r="DS322" s="237"/>
      <c r="DT322" s="237"/>
      <c r="DU322" s="237"/>
      <c r="DV322" s="237"/>
      <c r="DW322" s="237"/>
      <c r="DX322" s="237"/>
      <c r="DY322" s="237"/>
      <c r="DZ322" s="237"/>
      <c r="EA322" s="237"/>
      <c r="EB322" s="237"/>
      <c r="EC322" s="237"/>
      <c r="ED322" s="237"/>
      <c r="EE322" s="237"/>
      <c r="EF322" s="237"/>
      <c r="EG322" s="237"/>
      <c r="EH322" s="237"/>
      <c r="EI322" s="237"/>
      <c r="EJ322" s="237"/>
      <c r="EK322" s="237"/>
      <c r="EL322" s="237"/>
      <c r="EM322" s="237"/>
      <c r="EN322" s="237"/>
      <c r="EO322" s="237"/>
      <c r="EP322" s="237"/>
      <c r="EQ322" s="237"/>
      <c r="ER322" s="237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</row>
    <row r="323" customFormat="false" ht="15" hidden="false" customHeight="false" outlineLevel="2" collapsed="false">
      <c r="B323" s="47" t="s">
        <v>905</v>
      </c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237"/>
      <c r="AD323" s="237"/>
      <c r="AE323" s="237"/>
      <c r="AF323" s="237"/>
      <c r="AG323" s="237"/>
      <c r="AH323" s="237"/>
      <c r="AI323" s="237"/>
      <c r="AJ323" s="237"/>
      <c r="AK323" s="237"/>
      <c r="AL323" s="237"/>
      <c r="AM323" s="237"/>
      <c r="AN323" s="237"/>
      <c r="AO323" s="237"/>
      <c r="AP323" s="237"/>
      <c r="AQ323" s="237"/>
      <c r="AR323" s="237"/>
      <c r="AS323" s="237"/>
      <c r="AT323" s="237"/>
      <c r="AU323" s="237"/>
      <c r="AV323" s="237"/>
      <c r="AW323" s="237"/>
      <c r="AX323" s="237"/>
      <c r="AY323" s="237"/>
      <c r="AZ323" s="237"/>
      <c r="BA323" s="237"/>
      <c r="BB323" s="237"/>
      <c r="BC323" s="237"/>
      <c r="BD323" s="237"/>
      <c r="BE323" s="237"/>
      <c r="BF323" s="237"/>
      <c r="BG323" s="237"/>
      <c r="BH323" s="237"/>
      <c r="BI323" s="237"/>
      <c r="BJ323" s="237"/>
      <c r="BK323" s="237"/>
      <c r="BL323" s="237"/>
      <c r="BM323" s="237"/>
      <c r="BN323" s="237"/>
      <c r="BO323" s="237"/>
      <c r="BP323" s="237"/>
      <c r="BQ323" s="237"/>
      <c r="BR323" s="237"/>
      <c r="BS323" s="237"/>
      <c r="BT323" s="237"/>
      <c r="BU323" s="237"/>
      <c r="BV323" s="237"/>
      <c r="BW323" s="237"/>
      <c r="BX323" s="237"/>
      <c r="BY323" s="237"/>
      <c r="BZ323" s="237"/>
      <c r="CA323" s="237"/>
      <c r="CB323" s="237"/>
      <c r="CC323" s="237"/>
      <c r="CD323" s="237"/>
      <c r="CE323" s="237"/>
      <c r="CF323" s="237"/>
      <c r="CG323" s="237"/>
      <c r="CH323" s="237"/>
      <c r="CI323" s="237"/>
      <c r="CJ323" s="237"/>
      <c r="CK323" s="237"/>
      <c r="CL323" s="237"/>
      <c r="CM323" s="237"/>
      <c r="CN323" s="237"/>
      <c r="CO323" s="237"/>
      <c r="CP323" s="237"/>
      <c r="CQ323" s="237"/>
      <c r="CR323" s="237"/>
      <c r="CS323" s="237"/>
      <c r="CT323" s="237"/>
      <c r="CU323" s="237"/>
      <c r="CV323" s="237"/>
      <c r="CW323" s="237"/>
      <c r="CX323" s="237"/>
      <c r="CY323" s="237"/>
      <c r="CZ323" s="237"/>
      <c r="DA323" s="237"/>
      <c r="DB323" s="237"/>
      <c r="DC323" s="237"/>
      <c r="DD323" s="237"/>
      <c r="DE323" s="237"/>
      <c r="DF323" s="237"/>
      <c r="DG323" s="237"/>
      <c r="DH323" s="237"/>
      <c r="DI323" s="237"/>
      <c r="DJ323" s="237"/>
      <c r="DK323" s="237"/>
      <c r="DL323" s="237"/>
      <c r="DM323" s="237"/>
      <c r="DN323" s="237"/>
      <c r="DO323" s="237"/>
      <c r="DP323" s="237"/>
      <c r="DQ323" s="237"/>
      <c r="DR323" s="237"/>
      <c r="DS323" s="237"/>
      <c r="DT323" s="237"/>
      <c r="DU323" s="237"/>
      <c r="DV323" s="237"/>
      <c r="DW323" s="237"/>
      <c r="DX323" s="237"/>
      <c r="DY323" s="237"/>
      <c r="DZ323" s="237"/>
      <c r="EA323" s="237"/>
      <c r="EB323" s="237"/>
      <c r="EC323" s="237"/>
      <c r="ED323" s="237"/>
      <c r="EE323" s="237"/>
      <c r="EF323" s="237"/>
      <c r="EG323" s="237"/>
      <c r="EH323" s="237"/>
      <c r="EI323" s="237"/>
      <c r="EJ323" s="237"/>
      <c r="EK323" s="237"/>
      <c r="EL323" s="237"/>
      <c r="EM323" s="237"/>
      <c r="EN323" s="237"/>
      <c r="EO323" s="237"/>
      <c r="EP323" s="237"/>
      <c r="EQ323" s="237"/>
      <c r="ER323" s="237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</row>
    <row r="324" customFormat="false" ht="15" hidden="false" customHeight="false" outlineLevel="2" collapsed="false">
      <c r="B324" s="47" t="s">
        <v>872</v>
      </c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237" t="n">
        <f aca="false">('⑫ Roll-out Plan'!G37-2025)*12+'⑫ Roll-out Plan'!F37</f>
        <v>93</v>
      </c>
      <c r="AD324" s="237"/>
      <c r="AE324" s="237"/>
      <c r="AF324" s="237"/>
      <c r="AG324" s="237"/>
      <c r="AH324" s="237"/>
      <c r="AI324" s="237"/>
      <c r="AJ324" s="237"/>
      <c r="AK324" s="237"/>
      <c r="AL324" s="237"/>
      <c r="AM324" s="237"/>
      <c r="AN324" s="237"/>
      <c r="AO324" s="237"/>
      <c r="AP324" s="237"/>
      <c r="AQ324" s="237"/>
      <c r="AR324" s="237"/>
      <c r="AS324" s="237"/>
      <c r="AT324" s="237"/>
      <c r="AU324" s="237"/>
      <c r="AV324" s="237"/>
      <c r="AW324" s="237"/>
      <c r="AX324" s="237"/>
      <c r="AY324" s="237"/>
      <c r="AZ324" s="237"/>
      <c r="BA324" s="237"/>
      <c r="BB324" s="237"/>
      <c r="BC324" s="237"/>
      <c r="BD324" s="237"/>
      <c r="BE324" s="237"/>
      <c r="BF324" s="237"/>
      <c r="BG324" s="237"/>
      <c r="BH324" s="237"/>
      <c r="BI324" s="237"/>
      <c r="BJ324" s="237"/>
      <c r="BK324" s="237"/>
      <c r="BL324" s="237"/>
      <c r="BM324" s="237"/>
      <c r="BN324" s="237"/>
      <c r="BO324" s="237"/>
      <c r="BP324" s="237"/>
      <c r="BQ324" s="237"/>
      <c r="BR324" s="237"/>
      <c r="BS324" s="237"/>
      <c r="BT324" s="237"/>
      <c r="BU324" s="237"/>
      <c r="BV324" s="237"/>
      <c r="BW324" s="237"/>
      <c r="BX324" s="237"/>
      <c r="BY324" s="237"/>
      <c r="BZ324" s="237"/>
      <c r="CA324" s="237"/>
      <c r="CB324" s="237"/>
      <c r="CC324" s="237"/>
      <c r="CD324" s="237"/>
      <c r="CE324" s="237"/>
      <c r="CF324" s="237"/>
      <c r="CG324" s="237"/>
      <c r="CH324" s="237"/>
      <c r="CI324" s="237"/>
      <c r="CJ324" s="237"/>
      <c r="CK324" s="237"/>
      <c r="CL324" s="237"/>
      <c r="CM324" s="237"/>
      <c r="CN324" s="237"/>
      <c r="CO324" s="237"/>
      <c r="CP324" s="237"/>
      <c r="CQ324" s="237"/>
      <c r="CR324" s="237"/>
      <c r="CS324" s="237"/>
      <c r="CT324" s="237"/>
      <c r="CU324" s="237"/>
      <c r="CV324" s="237"/>
      <c r="CW324" s="237"/>
      <c r="CX324" s="237"/>
      <c r="CY324" s="237"/>
      <c r="CZ324" s="237"/>
      <c r="DA324" s="237"/>
      <c r="DB324" s="237"/>
      <c r="DC324" s="237"/>
      <c r="DD324" s="237"/>
      <c r="DE324" s="237"/>
      <c r="DF324" s="237"/>
      <c r="DG324" s="237"/>
      <c r="DH324" s="237"/>
      <c r="DI324" s="237"/>
      <c r="DJ324" s="237"/>
      <c r="DK324" s="237"/>
      <c r="DL324" s="237"/>
      <c r="DM324" s="237"/>
      <c r="DN324" s="237"/>
      <c r="DO324" s="237"/>
      <c r="DP324" s="237"/>
      <c r="DQ324" s="237"/>
      <c r="DR324" s="237"/>
      <c r="DS324" s="237"/>
      <c r="DT324" s="237"/>
      <c r="DU324" s="237"/>
      <c r="DV324" s="237"/>
      <c r="DW324" s="237"/>
      <c r="DX324" s="237"/>
      <c r="DY324" s="237"/>
      <c r="DZ324" s="237"/>
      <c r="EA324" s="237"/>
      <c r="EB324" s="237"/>
      <c r="EC324" s="237"/>
      <c r="ED324" s="237"/>
      <c r="EE324" s="237"/>
      <c r="EF324" s="237"/>
      <c r="EG324" s="237"/>
      <c r="EH324" s="237"/>
      <c r="EI324" s="237"/>
      <c r="EJ324" s="237"/>
      <c r="EK324" s="237"/>
      <c r="EL324" s="237"/>
      <c r="EM324" s="237"/>
      <c r="EN324" s="237"/>
      <c r="EO324" s="237"/>
      <c r="EP324" s="237"/>
      <c r="EQ324" s="237"/>
      <c r="ER324" s="237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</row>
    <row r="325" customFormat="false" ht="15" hidden="false" customHeight="false" outlineLevel="2" collapsed="false">
      <c r="B325" s="47" t="s">
        <v>873</v>
      </c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237" t="n">
        <f aca="false">VLOOKUP("B",$B$14:$C$18,2,FALSE())</f>
        <v>185</v>
      </c>
      <c r="AD325" s="237"/>
      <c r="AE325" s="237"/>
      <c r="AF325" s="237"/>
      <c r="AG325" s="237"/>
      <c r="AH325" s="237"/>
      <c r="AI325" s="237"/>
      <c r="AJ325" s="237"/>
      <c r="AK325" s="237"/>
      <c r="AL325" s="237"/>
      <c r="AM325" s="237"/>
      <c r="AN325" s="237"/>
      <c r="AO325" s="237"/>
      <c r="AP325" s="237"/>
      <c r="AQ325" s="237"/>
      <c r="AR325" s="237"/>
      <c r="AS325" s="237"/>
      <c r="AT325" s="237"/>
      <c r="AU325" s="237"/>
      <c r="AV325" s="237"/>
      <c r="AW325" s="237"/>
      <c r="AX325" s="237"/>
      <c r="AY325" s="237"/>
      <c r="AZ325" s="237"/>
      <c r="BA325" s="237"/>
      <c r="BB325" s="237"/>
      <c r="BC325" s="237"/>
      <c r="BD325" s="237"/>
      <c r="BE325" s="237"/>
      <c r="BF325" s="237"/>
      <c r="BG325" s="237"/>
      <c r="BH325" s="237"/>
      <c r="BI325" s="237"/>
      <c r="BJ325" s="237"/>
      <c r="BK325" s="237"/>
      <c r="BL325" s="237"/>
      <c r="BM325" s="237"/>
      <c r="BN325" s="237"/>
      <c r="BO325" s="237"/>
      <c r="BP325" s="237"/>
      <c r="BQ325" s="237"/>
      <c r="BR325" s="237"/>
      <c r="BS325" s="237"/>
      <c r="BT325" s="237"/>
      <c r="BU325" s="237"/>
      <c r="BV325" s="237"/>
      <c r="BW325" s="237"/>
      <c r="BX325" s="237"/>
      <c r="BY325" s="237"/>
      <c r="BZ325" s="237"/>
      <c r="CA325" s="237"/>
      <c r="CB325" s="237"/>
      <c r="CC325" s="237"/>
      <c r="CD325" s="237"/>
      <c r="CE325" s="237"/>
      <c r="CF325" s="237"/>
      <c r="CG325" s="237"/>
      <c r="CH325" s="237"/>
      <c r="CI325" s="237"/>
      <c r="CJ325" s="237"/>
      <c r="CK325" s="237"/>
      <c r="CL325" s="237"/>
      <c r="CM325" s="237"/>
      <c r="CN325" s="237"/>
      <c r="CO325" s="237"/>
      <c r="CP325" s="237"/>
      <c r="CQ325" s="237"/>
      <c r="CR325" s="237"/>
      <c r="CS325" s="237"/>
      <c r="CT325" s="237"/>
      <c r="CU325" s="237"/>
      <c r="CV325" s="237"/>
      <c r="CW325" s="237"/>
      <c r="CX325" s="237"/>
      <c r="CY325" s="237"/>
      <c r="CZ325" s="237"/>
      <c r="DA325" s="237"/>
      <c r="DB325" s="237"/>
      <c r="DC325" s="237"/>
      <c r="DD325" s="237"/>
      <c r="DE325" s="237"/>
      <c r="DF325" s="237"/>
      <c r="DG325" s="237"/>
      <c r="DH325" s="237"/>
      <c r="DI325" s="237"/>
      <c r="DJ325" s="237"/>
      <c r="DK325" s="237"/>
      <c r="DL325" s="237"/>
      <c r="DM325" s="237"/>
      <c r="DN325" s="237"/>
      <c r="DO325" s="237"/>
      <c r="DP325" s="237"/>
      <c r="DQ325" s="237"/>
      <c r="DR325" s="237"/>
      <c r="DS325" s="237"/>
      <c r="DT325" s="237"/>
      <c r="DU325" s="237"/>
      <c r="DV325" s="237"/>
      <c r="DW325" s="237"/>
      <c r="DX325" s="237"/>
      <c r="DY325" s="237"/>
      <c r="DZ325" s="237"/>
      <c r="EA325" s="237"/>
      <c r="EB325" s="237"/>
      <c r="EC325" s="237"/>
      <c r="ED325" s="237"/>
      <c r="EE325" s="237"/>
      <c r="EF325" s="237"/>
      <c r="EG325" s="237"/>
      <c r="EH325" s="237"/>
      <c r="EI325" s="237"/>
      <c r="EJ325" s="237"/>
      <c r="EK325" s="237"/>
      <c r="EL325" s="237"/>
      <c r="EM325" s="237"/>
      <c r="EN325" s="237"/>
      <c r="EO325" s="237"/>
      <c r="EP325" s="237"/>
      <c r="EQ325" s="237"/>
      <c r="ER325" s="237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9"/>
      <c r="FH325" s="9"/>
      <c r="FI325" s="9"/>
      <c r="FJ325" s="9"/>
      <c r="FK325" s="9"/>
      <c r="FL325" s="9"/>
      <c r="FM325" s="9"/>
      <c r="FN325" s="9"/>
      <c r="FO325" s="9"/>
      <c r="FP325" s="9"/>
    </row>
    <row r="326" customFormat="false" ht="15" hidden="false" customHeight="false" outlineLevel="2" collapsed="false">
      <c r="B326" s="47" t="s">
        <v>799</v>
      </c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237" t="n">
        <f aca="false">IF(AC$35&gt;=$AC$324,AC$35-$AC$324+1,0)</f>
        <v>0</v>
      </c>
      <c r="AD326" s="237" t="n">
        <f aca="false">IF(AD$35&gt;=$AC$324,AD$35-$AC$324+1,0)</f>
        <v>0</v>
      </c>
      <c r="AE326" s="237" t="n">
        <f aca="false">IF(AE$35&gt;=$AC$324,AE$35-$AC$324+1,0)</f>
        <v>0</v>
      </c>
      <c r="AF326" s="237" t="n">
        <f aca="false">IF(AF$35&gt;=$AC$324,AF$35-$AC$324+1,0)</f>
        <v>0</v>
      </c>
      <c r="AG326" s="237" t="n">
        <f aca="false">IF(AG$35&gt;=$AC$324,AG$35-$AC$324+1,0)</f>
        <v>0</v>
      </c>
      <c r="AH326" s="237" t="n">
        <f aca="false">IF(AH$35&gt;=$AC$324,AH$35-$AC$324+1,0)</f>
        <v>0</v>
      </c>
      <c r="AI326" s="237" t="n">
        <f aca="false">IF(AI$35&gt;=$AC$324,AI$35-$AC$324+1,0)</f>
        <v>0</v>
      </c>
      <c r="AJ326" s="237" t="n">
        <f aca="false">IF(AJ$35&gt;=$AC$324,AJ$35-$AC$324+1,0)</f>
        <v>0</v>
      </c>
      <c r="AK326" s="237" t="n">
        <f aca="false">IF(AK$35&gt;=$AC$324,AK$35-$AC$324+1,0)</f>
        <v>0</v>
      </c>
      <c r="AL326" s="237" t="n">
        <f aca="false">IF(AL$35&gt;=$AC$324,AL$35-$AC$324+1,0)</f>
        <v>0</v>
      </c>
      <c r="AM326" s="237" t="n">
        <f aca="false">IF(AM$35&gt;=$AC$324,AM$35-$AC$324+1,0)</f>
        <v>0</v>
      </c>
      <c r="AN326" s="237" t="n">
        <f aca="false">IF(AN$35&gt;=$AC$324,AN$35-$AC$324+1,0)</f>
        <v>0</v>
      </c>
      <c r="AO326" s="237" t="n">
        <f aca="false">IF(AO$35&gt;=$AC$324,AO$35-$AC$324+1,0)</f>
        <v>0</v>
      </c>
      <c r="AP326" s="237" t="n">
        <f aca="false">IF(AP$35&gt;=$AC$324,AP$35-$AC$324+1,0)</f>
        <v>0</v>
      </c>
      <c r="AQ326" s="237" t="n">
        <f aca="false">IF(AQ$35&gt;=$AC$324,AQ$35-$AC$324+1,0)</f>
        <v>0</v>
      </c>
      <c r="AR326" s="237" t="n">
        <f aca="false">IF(AR$35&gt;=$AC$324,AR$35-$AC$324+1,0)</f>
        <v>0</v>
      </c>
      <c r="AS326" s="237" t="n">
        <f aca="false">IF(AS$35&gt;=$AC$324,AS$35-$AC$324+1,0)</f>
        <v>0</v>
      </c>
      <c r="AT326" s="237" t="n">
        <f aca="false">IF(AT$35&gt;=$AC$324,AT$35-$AC$324+1,0)</f>
        <v>0</v>
      </c>
      <c r="AU326" s="237" t="n">
        <f aca="false">IF(AU$35&gt;=$AC$324,AU$35-$AC$324+1,0)</f>
        <v>0</v>
      </c>
      <c r="AV326" s="237" t="n">
        <f aca="false">IF(AV$35&gt;=$AC$324,AV$35-$AC$324+1,0)</f>
        <v>0</v>
      </c>
      <c r="AW326" s="237" t="n">
        <f aca="false">IF(AW$35&gt;=$AC$324,AW$35-$AC$324+1,0)</f>
        <v>0</v>
      </c>
      <c r="AX326" s="237" t="n">
        <f aca="false">IF(AX$35&gt;=$AC$324,AX$35-$AC$324+1,0)</f>
        <v>0</v>
      </c>
      <c r="AY326" s="237" t="n">
        <f aca="false">IF(AY$35&gt;=$AC$324,AY$35-$AC$324+1,0)</f>
        <v>0</v>
      </c>
      <c r="AZ326" s="237" t="n">
        <f aca="false">IF(AZ$35&gt;=$AC$324,AZ$35-$AC$324+1,0)</f>
        <v>0</v>
      </c>
      <c r="BA326" s="237" t="n">
        <f aca="false">IF(BA$35&gt;=$AC$324,BA$35-$AC$324+1,0)</f>
        <v>0</v>
      </c>
      <c r="BB326" s="237" t="n">
        <f aca="false">IF(BB$35&gt;=$AC$324,BB$35-$AC$324+1,0)</f>
        <v>0</v>
      </c>
      <c r="BC326" s="237" t="n">
        <f aca="false">IF(BC$35&gt;=$AC$324,BC$35-$AC$324+1,0)</f>
        <v>0</v>
      </c>
      <c r="BD326" s="237" t="n">
        <f aca="false">IF(BD$35&gt;=$AC$324,BD$35-$AC$324+1,0)</f>
        <v>0</v>
      </c>
      <c r="BE326" s="237" t="n">
        <f aca="false">IF(BE$35&gt;=$AC$324,BE$35-$AC$324+1,0)</f>
        <v>0</v>
      </c>
      <c r="BF326" s="237" t="n">
        <f aca="false">IF(BF$35&gt;=$AC$324,BF$35-$AC$324+1,0)</f>
        <v>0</v>
      </c>
      <c r="BG326" s="237" t="n">
        <f aca="false">IF(BG$35&gt;=$AC$324,BG$35-$AC$324+1,0)</f>
        <v>0</v>
      </c>
      <c r="BH326" s="237" t="n">
        <f aca="false">IF(BH$35&gt;=$AC$324,BH$35-$AC$324+1,0)</f>
        <v>0</v>
      </c>
      <c r="BI326" s="237" t="n">
        <f aca="false">IF(BI$35&gt;=$AC$324,BI$35-$AC$324+1,0)</f>
        <v>0</v>
      </c>
      <c r="BJ326" s="237" t="n">
        <f aca="false">IF(BJ$35&gt;=$AC$324,BJ$35-$AC$324+1,0)</f>
        <v>0</v>
      </c>
      <c r="BK326" s="237" t="n">
        <f aca="false">IF(BK$35&gt;=$AC$324,BK$35-$AC$324+1,0)</f>
        <v>0</v>
      </c>
      <c r="BL326" s="237" t="n">
        <f aca="false">IF(BL$35&gt;=$AC$324,BL$35-$AC$324+1,0)</f>
        <v>0</v>
      </c>
      <c r="BM326" s="237" t="n">
        <f aca="false">IF(BM$35&gt;=$AC$324,BM$35-$AC$324+1,0)</f>
        <v>0</v>
      </c>
      <c r="BN326" s="237" t="n">
        <f aca="false">IF(BN$35&gt;=$AC$324,BN$35-$AC$324+1,0)</f>
        <v>0</v>
      </c>
      <c r="BO326" s="237" t="n">
        <f aca="false">IF(BO$35&gt;=$AC$324,BO$35-$AC$324+1,0)</f>
        <v>0</v>
      </c>
      <c r="BP326" s="237" t="n">
        <f aca="false">IF(BP$35&gt;=$AC$324,BP$35-$AC$324+1,0)</f>
        <v>0</v>
      </c>
      <c r="BQ326" s="237" t="n">
        <f aca="false">IF(BQ$35&gt;=$AC$324,BQ$35-$AC$324+1,0)</f>
        <v>0</v>
      </c>
      <c r="BR326" s="237" t="n">
        <f aca="false">IF(BR$35&gt;=$AC$324,BR$35-$AC$324+1,0)</f>
        <v>0</v>
      </c>
      <c r="BS326" s="237" t="n">
        <f aca="false">IF(BS$35&gt;=$AC$324,BS$35-$AC$324+1,0)</f>
        <v>0</v>
      </c>
      <c r="BT326" s="237" t="n">
        <f aca="false">IF(BT$35&gt;=$AC$324,BT$35-$AC$324+1,0)</f>
        <v>0</v>
      </c>
      <c r="BU326" s="237" t="n">
        <f aca="false">IF(BU$35&gt;=$AC$324,BU$35-$AC$324+1,0)</f>
        <v>0</v>
      </c>
      <c r="BV326" s="237" t="n">
        <f aca="false">IF(BV$35&gt;=$AC$324,BV$35-$AC$324+1,0)</f>
        <v>0</v>
      </c>
      <c r="BW326" s="237" t="n">
        <f aca="false">IF(BW$35&gt;=$AC$324,BW$35-$AC$324+1,0)</f>
        <v>0</v>
      </c>
      <c r="BX326" s="237" t="n">
        <f aca="false">IF(BX$35&gt;=$AC$324,BX$35-$AC$324+1,0)</f>
        <v>0</v>
      </c>
      <c r="BY326" s="237" t="n">
        <f aca="false">IF(BY$35&gt;=$AC$324,BY$35-$AC$324+1,0)</f>
        <v>0</v>
      </c>
      <c r="BZ326" s="237" t="n">
        <f aca="false">IF(BZ$35&gt;=$AC$324,BZ$35-$AC$324+1,0)</f>
        <v>0</v>
      </c>
      <c r="CA326" s="237" t="n">
        <f aca="false">IF(CA$35&gt;=$AC$324,CA$35-$AC$324+1,0)</f>
        <v>0</v>
      </c>
      <c r="CB326" s="237" t="n">
        <f aca="false">IF(CB$35&gt;=$AC$324,CB$35-$AC$324+1,0)</f>
        <v>0</v>
      </c>
      <c r="CC326" s="237" t="n">
        <f aca="false">IF(CC$35&gt;=$AC$324,CC$35-$AC$324+1,0)</f>
        <v>0</v>
      </c>
      <c r="CD326" s="237" t="n">
        <f aca="false">IF(CD$35&gt;=$AC$324,CD$35-$AC$324+1,0)</f>
        <v>0</v>
      </c>
      <c r="CE326" s="237" t="n">
        <f aca="false">IF(CE$35&gt;=$AC$324,CE$35-$AC$324+1,0)</f>
        <v>0</v>
      </c>
      <c r="CF326" s="237" t="n">
        <f aca="false">IF(CF$35&gt;=$AC$324,CF$35-$AC$324+1,0)</f>
        <v>0</v>
      </c>
      <c r="CG326" s="237" t="n">
        <f aca="false">IF(CG$35&gt;=$AC$324,CG$35-$AC$324+1,0)</f>
        <v>0</v>
      </c>
      <c r="CH326" s="237" t="n">
        <f aca="false">IF(CH$35&gt;=$AC$324,CH$35-$AC$324+1,0)</f>
        <v>0</v>
      </c>
      <c r="CI326" s="237" t="n">
        <f aca="false">IF(CI$35&gt;=$AC$324,CI$35-$AC$324+1,0)</f>
        <v>0</v>
      </c>
      <c r="CJ326" s="237" t="n">
        <f aca="false">IF(CJ$35&gt;=$AC$324,CJ$35-$AC$324+1,0)</f>
        <v>0</v>
      </c>
      <c r="CK326" s="237" t="n">
        <f aca="false">IF(CK$35&gt;=$AC$324,CK$35-$AC$324+1,0)</f>
        <v>0</v>
      </c>
      <c r="CL326" s="237" t="n">
        <f aca="false">IF(CL$35&gt;=$AC$324,CL$35-$AC$324+1,0)</f>
        <v>0</v>
      </c>
      <c r="CM326" s="237" t="n">
        <f aca="false">IF(CM$35&gt;=$AC$324,CM$35-$AC$324+1,0)</f>
        <v>0</v>
      </c>
      <c r="CN326" s="237" t="n">
        <f aca="false">IF(CN$35&gt;=$AC$324,CN$35-$AC$324+1,0)</f>
        <v>0</v>
      </c>
      <c r="CO326" s="237" t="n">
        <f aca="false">IF(CO$35&gt;=$AC$324,CO$35-$AC$324+1,0)</f>
        <v>0</v>
      </c>
      <c r="CP326" s="237" t="n">
        <f aca="false">IF(CP$35&gt;=$AC$324,CP$35-$AC$324+1,0)</f>
        <v>0</v>
      </c>
      <c r="CQ326" s="237" t="n">
        <f aca="false">IF(CQ$35&gt;=$AC$324,CQ$35-$AC$324+1,0)</f>
        <v>0</v>
      </c>
      <c r="CR326" s="237" t="n">
        <f aca="false">IF(CR$35&gt;=$AC$324,CR$35-$AC$324+1,0)</f>
        <v>0</v>
      </c>
      <c r="CS326" s="237" t="n">
        <f aca="false">IF(CS$35&gt;=$AC$324,CS$35-$AC$324+1,0)</f>
        <v>0</v>
      </c>
      <c r="CT326" s="237" t="n">
        <f aca="false">IF(CT$35&gt;=$AC$324,CT$35-$AC$324+1,0)</f>
        <v>0</v>
      </c>
      <c r="CU326" s="237" t="n">
        <f aca="false">IF(CU$35&gt;=$AC$324,CU$35-$AC$324+1,0)</f>
        <v>0</v>
      </c>
      <c r="CV326" s="237" t="n">
        <f aca="false">IF(CV$35&gt;=$AC$324,CV$35-$AC$324+1,0)</f>
        <v>0</v>
      </c>
      <c r="CW326" s="237" t="n">
        <f aca="false">IF(CW$35&gt;=$AC$324,CW$35-$AC$324+1,0)</f>
        <v>0</v>
      </c>
      <c r="CX326" s="237" t="n">
        <f aca="false">IF(CX$35&gt;=$AC$324,CX$35-$AC$324+1,0)</f>
        <v>0</v>
      </c>
      <c r="CY326" s="237" t="n">
        <f aca="false">IF(CY$35&gt;=$AC$324,CY$35-$AC$324+1,0)</f>
        <v>0</v>
      </c>
      <c r="CZ326" s="237" t="n">
        <f aca="false">IF(CZ$35&gt;=$AC$324,CZ$35-$AC$324+1,0)</f>
        <v>0</v>
      </c>
      <c r="DA326" s="237" t="n">
        <f aca="false">IF(DA$35&gt;=$AC$324,DA$35-$AC$324+1,0)</f>
        <v>0</v>
      </c>
      <c r="DB326" s="237" t="n">
        <f aca="false">IF(DB$35&gt;=$AC$324,DB$35-$AC$324+1,0)</f>
        <v>0</v>
      </c>
      <c r="DC326" s="237" t="n">
        <f aca="false">IF(DC$35&gt;=$AC$324,DC$35-$AC$324+1,0)</f>
        <v>0</v>
      </c>
      <c r="DD326" s="237" t="n">
        <f aca="false">IF(DD$35&gt;=$AC$324,DD$35-$AC$324+1,0)</f>
        <v>0</v>
      </c>
      <c r="DE326" s="237" t="n">
        <f aca="false">IF(DE$35&gt;=$AC$324,DE$35-$AC$324+1,0)</f>
        <v>0</v>
      </c>
      <c r="DF326" s="237" t="n">
        <f aca="false">IF(DF$35&gt;=$AC$324,DF$35-$AC$324+1,0)</f>
        <v>0</v>
      </c>
      <c r="DG326" s="237" t="n">
        <f aca="false">IF(DG$35&gt;=$AC$324,DG$35-$AC$324+1,0)</f>
        <v>0</v>
      </c>
      <c r="DH326" s="237" t="n">
        <f aca="false">IF(DH$35&gt;=$AC$324,DH$35-$AC$324+1,0)</f>
        <v>0</v>
      </c>
      <c r="DI326" s="237" t="n">
        <f aca="false">IF(DI$35&gt;=$AC$324,DI$35-$AC$324+1,0)</f>
        <v>0</v>
      </c>
      <c r="DJ326" s="237" t="n">
        <f aca="false">IF(DJ$35&gt;=$AC$324,DJ$35-$AC$324+1,0)</f>
        <v>0</v>
      </c>
      <c r="DK326" s="237" t="n">
        <f aca="false">IF(DK$35&gt;=$AC$324,DK$35-$AC$324+1,0)</f>
        <v>0</v>
      </c>
      <c r="DL326" s="237" t="n">
        <f aca="false">IF(DL$35&gt;=$AC$324,DL$35-$AC$324+1,0)</f>
        <v>0</v>
      </c>
      <c r="DM326" s="237" t="n">
        <f aca="false">IF(DM$35&gt;=$AC$324,DM$35-$AC$324+1,0)</f>
        <v>0</v>
      </c>
      <c r="DN326" s="237" t="n">
        <f aca="false">IF(DN$35&gt;=$AC$324,DN$35-$AC$324+1,0)</f>
        <v>0</v>
      </c>
      <c r="DO326" s="237" t="n">
        <f aca="false">IF(DO$35&gt;=$AC$324,DO$35-$AC$324+1,0)</f>
        <v>0</v>
      </c>
      <c r="DP326" s="237" t="n">
        <f aca="false">IF(DP$35&gt;=$AC$324,DP$35-$AC$324+1,0)</f>
        <v>0</v>
      </c>
      <c r="DQ326" s="237" t="n">
        <f aca="false">IF(DQ$35&gt;=$AC$324,DQ$35-$AC$324+1,0)</f>
        <v>1</v>
      </c>
      <c r="DR326" s="237" t="n">
        <f aca="false">IF(DR$35&gt;=$AC$324,DR$35-$AC$324+1,0)</f>
        <v>2</v>
      </c>
      <c r="DS326" s="237" t="n">
        <f aca="false">IF(DS$35&gt;=$AC$324,DS$35-$AC$324+1,0)</f>
        <v>3</v>
      </c>
      <c r="DT326" s="237" t="n">
        <f aca="false">IF(DT$35&gt;=$AC$324,DT$35-$AC$324+1,0)</f>
        <v>4</v>
      </c>
      <c r="DU326" s="237" t="n">
        <f aca="false">IF(DU$35&gt;=$AC$324,DU$35-$AC$324+1,0)</f>
        <v>5</v>
      </c>
      <c r="DV326" s="237" t="n">
        <f aca="false">IF(DV$35&gt;=$AC$324,DV$35-$AC$324+1,0)</f>
        <v>6</v>
      </c>
      <c r="DW326" s="237" t="n">
        <f aca="false">IF(DW$35&gt;=$AC$324,DW$35-$AC$324+1,0)</f>
        <v>7</v>
      </c>
      <c r="DX326" s="237" t="n">
        <f aca="false">IF(DX$35&gt;=$AC$324,DX$35-$AC$324+1,0)</f>
        <v>8</v>
      </c>
      <c r="DY326" s="237" t="n">
        <f aca="false">IF(DY$35&gt;=$AC$324,DY$35-$AC$324+1,0)</f>
        <v>9</v>
      </c>
      <c r="DZ326" s="237" t="n">
        <f aca="false">IF(DZ$35&gt;=$AC$324,DZ$35-$AC$324+1,0)</f>
        <v>10</v>
      </c>
      <c r="EA326" s="237" t="n">
        <f aca="false">IF(EA$35&gt;=$AC$324,EA$35-$AC$324+1,0)</f>
        <v>11</v>
      </c>
      <c r="EB326" s="237" t="n">
        <f aca="false">IF(EB$35&gt;=$AC$324,EB$35-$AC$324+1,0)</f>
        <v>12</v>
      </c>
      <c r="EC326" s="237" t="n">
        <f aca="false">IF(EC$35&gt;=$AC$324,EC$35-$AC$324+1,0)</f>
        <v>13</v>
      </c>
      <c r="ED326" s="237" t="n">
        <f aca="false">IF(ED$35&gt;=$AC$324,ED$35-$AC$324+1,0)</f>
        <v>14</v>
      </c>
      <c r="EE326" s="237" t="n">
        <f aca="false">IF(EE$35&gt;=$AC$324,EE$35-$AC$324+1,0)</f>
        <v>15</v>
      </c>
      <c r="EF326" s="237" t="n">
        <f aca="false">IF(EF$35&gt;=$AC$324,EF$35-$AC$324+1,0)</f>
        <v>16</v>
      </c>
      <c r="EG326" s="237" t="n">
        <f aca="false">IF(EG$35&gt;=$AC$324,EG$35-$AC$324+1,0)</f>
        <v>17</v>
      </c>
      <c r="EH326" s="237" t="n">
        <f aca="false">IF(EH$35&gt;=$AC$324,EH$35-$AC$324+1,0)</f>
        <v>18</v>
      </c>
      <c r="EI326" s="237" t="n">
        <f aca="false">IF(EI$35&gt;=$AC$324,EI$35-$AC$324+1,0)</f>
        <v>19</v>
      </c>
      <c r="EJ326" s="237" t="n">
        <f aca="false">IF(EJ$35&gt;=$AC$324,EJ$35-$AC$324+1,0)</f>
        <v>20</v>
      </c>
      <c r="EK326" s="237" t="n">
        <f aca="false">IF(EK$35&gt;=$AC$324,EK$35-$AC$324+1,0)</f>
        <v>21</v>
      </c>
      <c r="EL326" s="237" t="n">
        <f aca="false">IF(EL$35&gt;=$AC$324,EL$35-$AC$324+1,0)</f>
        <v>22</v>
      </c>
      <c r="EM326" s="237" t="n">
        <f aca="false">IF(EM$35&gt;=$AC$324,EM$35-$AC$324+1,0)</f>
        <v>23</v>
      </c>
      <c r="EN326" s="237" t="n">
        <f aca="false">IF(EN$35&gt;=$AC$324,EN$35-$AC$324+1,0)</f>
        <v>24</v>
      </c>
      <c r="EO326" s="237" t="n">
        <f aca="false">IF(EO$35&gt;=$AC$324,EO$35-$AC$324+1,0)</f>
        <v>25</v>
      </c>
      <c r="EP326" s="237" t="n">
        <f aca="false">IF(EP$35&gt;=$AC$324,EP$35-$AC$324+1,0)</f>
        <v>26</v>
      </c>
      <c r="EQ326" s="237" t="n">
        <f aca="false">IF(EQ$35&gt;=$AC$324,EQ$35-$AC$324+1,0)</f>
        <v>27</v>
      </c>
      <c r="ER326" s="237" t="n">
        <f aca="false">IF(ER$35&gt;=$AC$324,ER$35-$AC$324+1,0)</f>
        <v>28</v>
      </c>
      <c r="ES326" s="9" t="n">
        <f aca="false">IF(ES$35&gt;=$AC$324,ES$35-$AC$324+1,0)</f>
        <v>29</v>
      </c>
      <c r="ET326" s="9" t="n">
        <f aca="false">IF(ET$35&gt;=$AC$324,ET$35-$AC$324+1,0)</f>
        <v>30</v>
      </c>
      <c r="EU326" s="9" t="n">
        <f aca="false">IF(EU$35&gt;=$AC$324,EU$35-$AC$324+1,0)</f>
        <v>31</v>
      </c>
      <c r="EV326" s="9" t="n">
        <f aca="false">IF(EV$35&gt;=$AC$324,EV$35-$AC$324+1,0)</f>
        <v>32</v>
      </c>
      <c r="EW326" s="9" t="n">
        <f aca="false">IF(EW$35&gt;=$AC$324,EW$35-$AC$324+1,0)</f>
        <v>33</v>
      </c>
      <c r="EX326" s="9" t="n">
        <f aca="false">IF(EX$35&gt;=$AC$324,EX$35-$AC$324+1,0)</f>
        <v>34</v>
      </c>
      <c r="EY326" s="9" t="n">
        <f aca="false">IF(EY$35&gt;=$AC$324,EY$35-$AC$324+1,0)</f>
        <v>35</v>
      </c>
      <c r="EZ326" s="9" t="n">
        <f aca="false">IF(EZ$35&gt;=$AC$324,EZ$35-$AC$324+1,0)</f>
        <v>36</v>
      </c>
      <c r="FA326" s="9" t="n">
        <f aca="false">IF(FA$35&gt;=$AC$324,FA$35-$AC$324+1,0)</f>
        <v>37</v>
      </c>
      <c r="FB326" s="9" t="n">
        <f aca="false">IF(FB$35&gt;=$AC$324,FB$35-$AC$324+1,0)</f>
        <v>38</v>
      </c>
      <c r="FC326" s="9" t="n">
        <f aca="false">IF(FC$35&gt;=$AC$324,FC$35-$AC$324+1,0)</f>
        <v>39</v>
      </c>
      <c r="FD326" s="9" t="n">
        <f aca="false">IF(FD$35&gt;=$AC$324,FD$35-$AC$324+1,0)</f>
        <v>40</v>
      </c>
      <c r="FE326" s="9" t="n">
        <f aca="false">IF(FE$35&gt;=$AC$324,FE$35-$AC$324+1,0)</f>
        <v>41</v>
      </c>
      <c r="FF326" s="9" t="n">
        <f aca="false">IF(FF$35&gt;=$AC$324,FF$35-$AC$324+1,0)</f>
        <v>42</v>
      </c>
      <c r="FG326" s="9" t="n">
        <f aca="false">IF(FG$35&gt;=$AC$324,FG$35-$AC$324+1,0)</f>
        <v>43</v>
      </c>
      <c r="FH326" s="9" t="n">
        <f aca="false">IF(FH$35&gt;=$AC$324,FH$35-$AC$324+1,0)</f>
        <v>44</v>
      </c>
      <c r="FI326" s="9" t="n">
        <f aca="false">IF(FI$35&gt;=$AC$324,FI$35-$AC$324+1,0)</f>
        <v>45</v>
      </c>
      <c r="FJ326" s="9" t="n">
        <f aca="false">IF(FJ$35&gt;=$AC$324,FJ$35-$AC$324+1,0)</f>
        <v>46</v>
      </c>
      <c r="FK326" s="9" t="n">
        <f aca="false">IF(FK$35&gt;=$AC$324,FK$35-$AC$324+1,0)</f>
        <v>47</v>
      </c>
      <c r="FL326" s="9" t="n">
        <f aca="false">IF(FL$35&gt;=$AC$324,FL$35-$AC$324+1,0)</f>
        <v>48</v>
      </c>
      <c r="FM326" s="9" t="n">
        <f aca="false">IF(FM$35&gt;=$AC$324,FM$35-$AC$324+1,0)</f>
        <v>49</v>
      </c>
      <c r="FN326" s="9" t="n">
        <f aca="false">IF(FN$35&gt;=$AC$324,FN$35-$AC$324+1,0)</f>
        <v>50</v>
      </c>
      <c r="FO326" s="9" t="n">
        <f aca="false">IF(FO$35&gt;=$AC$324,FO$35-$AC$324+1,0)</f>
        <v>51</v>
      </c>
      <c r="FP326" s="9" t="n">
        <f aca="false">IF(FP$35&gt;=$AC$324,FP$35-$AC$324+1,0)</f>
        <v>52</v>
      </c>
    </row>
    <row r="327" customFormat="false" ht="15" hidden="false" customHeight="false" outlineLevel="2" collapsed="false">
      <c r="B327" s="47" t="s">
        <v>874</v>
      </c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237" t="n">
        <f aca="false" t="array" ref="AC327:AC327">IF(AC326=0,0,IF(AC326/('🎚️ Escenario'!$C$10*'🎚️ Escenario'!$C$11)&gt;=36,$AL$23,INDEX($C$23:$AL$23,MAX(1,ROUNDUP(AC326/('🎚️ Escenario'!$C$10*'🎚️ Escenario'!$C$11),0)))))</f>
        <v>0</v>
      </c>
      <c r="AD327" s="237" t="n">
        <f aca="false" t="array" ref="AD327:AD327">IF(AD326=0,0,IF(AD326/('🎚️ Escenario'!$C$10*'🎚️ Escenario'!$C$11)&gt;=36,$AL$23,INDEX($C$23:$AL$23,MAX(1,ROUNDUP(AD326/('🎚️ Escenario'!$C$10*'🎚️ Escenario'!$C$11),0)))))</f>
        <v>0</v>
      </c>
      <c r="AE327" s="237" t="n">
        <f aca="false" t="array" ref="AE327:AE327">IF(AE326=0,0,IF(AE326/('🎚️ Escenario'!$C$10*'🎚️ Escenario'!$C$11)&gt;=36,$AL$23,INDEX($C$23:$AL$23,MAX(1,ROUNDUP(AE326/('🎚️ Escenario'!$C$10*'🎚️ Escenario'!$C$11),0)))))</f>
        <v>0</v>
      </c>
      <c r="AF327" s="237" t="n">
        <f aca="false" t="array" ref="AF327:AF327">IF(AF326=0,0,IF(AF326/('🎚️ Escenario'!$C$10*'🎚️ Escenario'!$C$11)&gt;=36,$AL$23,INDEX($C$23:$AL$23,MAX(1,ROUNDUP(AF326/('🎚️ Escenario'!$C$10*'🎚️ Escenario'!$C$11),0)))))</f>
        <v>0</v>
      </c>
      <c r="AG327" s="237" t="n">
        <f aca="false" t="array" ref="AG327:AG327">IF(AG326=0,0,IF(AG326/('🎚️ Escenario'!$C$10*'🎚️ Escenario'!$C$11)&gt;=36,$AL$23,INDEX($C$23:$AL$23,MAX(1,ROUNDUP(AG326/('🎚️ Escenario'!$C$10*'🎚️ Escenario'!$C$11),0)))))</f>
        <v>0</v>
      </c>
      <c r="AH327" s="237" t="n">
        <f aca="false" t="array" ref="AH327:AH327">IF(AH326=0,0,IF(AH326/('🎚️ Escenario'!$C$10*'🎚️ Escenario'!$C$11)&gt;=36,$AL$23,INDEX($C$23:$AL$23,MAX(1,ROUNDUP(AH326/('🎚️ Escenario'!$C$10*'🎚️ Escenario'!$C$11),0)))))</f>
        <v>0</v>
      </c>
      <c r="AI327" s="237" t="n">
        <f aca="false" t="array" ref="AI327:AI327">IF(AI326=0,0,IF(AI326/('🎚️ Escenario'!$C$10*'🎚️ Escenario'!$C$11)&gt;=36,$AL$23,INDEX($C$23:$AL$23,MAX(1,ROUNDUP(AI326/('🎚️ Escenario'!$C$10*'🎚️ Escenario'!$C$11),0)))))</f>
        <v>0</v>
      </c>
      <c r="AJ327" s="237" t="n">
        <f aca="false" t="array" ref="AJ327:AJ327">IF(AJ326=0,0,IF(AJ326/('🎚️ Escenario'!$C$10*'🎚️ Escenario'!$C$11)&gt;=36,$AL$23,INDEX($C$23:$AL$23,MAX(1,ROUNDUP(AJ326/('🎚️ Escenario'!$C$10*'🎚️ Escenario'!$C$11),0)))))</f>
        <v>0</v>
      </c>
      <c r="AK327" s="237" t="n">
        <f aca="false" t="array" ref="AK327:AK327">IF(AK326=0,0,IF(AK326/('🎚️ Escenario'!$C$10*'🎚️ Escenario'!$C$11)&gt;=36,$AL$23,INDEX($C$23:$AL$23,MAX(1,ROUNDUP(AK326/('🎚️ Escenario'!$C$10*'🎚️ Escenario'!$C$11),0)))))</f>
        <v>0</v>
      </c>
      <c r="AL327" s="237" t="n">
        <f aca="false" t="array" ref="AL327:AL327">IF(AL326=0,0,IF(AL326/('🎚️ Escenario'!$C$10*'🎚️ Escenario'!$C$11)&gt;=36,$AL$23,INDEX($C$23:$AL$23,MAX(1,ROUNDUP(AL326/('🎚️ Escenario'!$C$10*'🎚️ Escenario'!$C$11),0)))))</f>
        <v>0</v>
      </c>
      <c r="AM327" s="237" t="n">
        <f aca="false" t="array" ref="AM327:AM327">IF(AM326=0,0,IF(AM326/('🎚️ Escenario'!$C$10*'🎚️ Escenario'!$C$11)&gt;=36,$AL$23,INDEX($C$23:$AL$23,MAX(1,ROUNDUP(AM326/('🎚️ Escenario'!$C$10*'🎚️ Escenario'!$C$11),0)))))</f>
        <v>0</v>
      </c>
      <c r="AN327" s="237" t="n">
        <f aca="false" t="array" ref="AN327:AN327">IF(AN326=0,0,IF(AN326/('🎚️ Escenario'!$C$10*'🎚️ Escenario'!$C$11)&gt;=36,$AL$23,INDEX($C$23:$AL$23,MAX(1,ROUNDUP(AN326/('🎚️ Escenario'!$C$10*'🎚️ Escenario'!$C$11),0)))))</f>
        <v>0</v>
      </c>
      <c r="AO327" s="237" t="n">
        <f aca="false" t="array" ref="AO327:AO327">IF(AO326=0,0,IF(AO326/('🎚️ Escenario'!$C$10*'🎚️ Escenario'!$C$11)&gt;=36,$AL$23,INDEX($C$23:$AL$23,MAX(1,ROUNDUP(AO326/('🎚️ Escenario'!$C$10*'🎚️ Escenario'!$C$11),0)))))</f>
        <v>0</v>
      </c>
      <c r="AP327" s="237" t="n">
        <f aca="false" t="array" ref="AP327:AP327">IF(AP326=0,0,IF(AP326/('🎚️ Escenario'!$C$10*'🎚️ Escenario'!$C$11)&gt;=36,$AL$23,INDEX($C$23:$AL$23,MAX(1,ROUNDUP(AP326/('🎚️ Escenario'!$C$10*'🎚️ Escenario'!$C$11),0)))))</f>
        <v>0</v>
      </c>
      <c r="AQ327" s="237" t="n">
        <f aca="false" t="array" ref="AQ327:AQ327">IF(AQ326=0,0,IF(AQ326/('🎚️ Escenario'!$C$10*'🎚️ Escenario'!$C$11)&gt;=36,$AL$23,INDEX($C$23:$AL$23,MAX(1,ROUNDUP(AQ326/('🎚️ Escenario'!$C$10*'🎚️ Escenario'!$C$11),0)))))</f>
        <v>0</v>
      </c>
      <c r="AR327" s="237" t="n">
        <f aca="false" t="array" ref="AR327:AR327">IF(AR326=0,0,IF(AR326/('🎚️ Escenario'!$C$10*'🎚️ Escenario'!$C$11)&gt;=36,$AL$23,INDEX($C$23:$AL$23,MAX(1,ROUNDUP(AR326/('🎚️ Escenario'!$C$10*'🎚️ Escenario'!$C$11),0)))))</f>
        <v>0</v>
      </c>
      <c r="AS327" s="237" t="n">
        <f aca="false" t="array" ref="AS327:AS327">IF(AS326=0,0,IF(AS326/('🎚️ Escenario'!$C$10*'🎚️ Escenario'!$C$11)&gt;=36,$AL$23,INDEX($C$23:$AL$23,MAX(1,ROUNDUP(AS326/('🎚️ Escenario'!$C$10*'🎚️ Escenario'!$C$11),0)))))</f>
        <v>0</v>
      </c>
      <c r="AT327" s="237" t="n">
        <f aca="false" t="array" ref="AT327:AT327">IF(AT326=0,0,IF(AT326/('🎚️ Escenario'!$C$10*'🎚️ Escenario'!$C$11)&gt;=36,$AL$23,INDEX($C$23:$AL$23,MAX(1,ROUNDUP(AT326/('🎚️ Escenario'!$C$10*'🎚️ Escenario'!$C$11),0)))))</f>
        <v>0</v>
      </c>
      <c r="AU327" s="237" t="n">
        <f aca="false" t="array" ref="AU327:AU327">IF(AU326=0,0,IF(AU326/('🎚️ Escenario'!$C$10*'🎚️ Escenario'!$C$11)&gt;=36,$AL$23,INDEX($C$23:$AL$23,MAX(1,ROUNDUP(AU326/('🎚️ Escenario'!$C$10*'🎚️ Escenario'!$C$11),0)))))</f>
        <v>0</v>
      </c>
      <c r="AV327" s="237" t="n">
        <f aca="false" t="array" ref="AV327:AV327">IF(AV326=0,0,IF(AV326/('🎚️ Escenario'!$C$10*'🎚️ Escenario'!$C$11)&gt;=36,$AL$23,INDEX($C$23:$AL$23,MAX(1,ROUNDUP(AV326/('🎚️ Escenario'!$C$10*'🎚️ Escenario'!$C$11),0)))))</f>
        <v>0</v>
      </c>
      <c r="AW327" s="237" t="n">
        <f aca="false" t="array" ref="AW327:AW327">IF(AW326=0,0,IF(AW326/('🎚️ Escenario'!$C$10*'🎚️ Escenario'!$C$11)&gt;=36,$AL$23,INDEX($C$23:$AL$23,MAX(1,ROUNDUP(AW326/('🎚️ Escenario'!$C$10*'🎚️ Escenario'!$C$11),0)))))</f>
        <v>0</v>
      </c>
      <c r="AX327" s="237" t="n">
        <f aca="false" t="array" ref="AX327:AX327">IF(AX326=0,0,IF(AX326/('🎚️ Escenario'!$C$10*'🎚️ Escenario'!$C$11)&gt;=36,$AL$23,INDEX($C$23:$AL$23,MAX(1,ROUNDUP(AX326/('🎚️ Escenario'!$C$10*'🎚️ Escenario'!$C$11),0)))))</f>
        <v>0</v>
      </c>
      <c r="AY327" s="237" t="n">
        <f aca="false" t="array" ref="AY327:AY327">IF(AY326=0,0,IF(AY326/('🎚️ Escenario'!$C$10*'🎚️ Escenario'!$C$11)&gt;=36,$AL$23,INDEX($C$23:$AL$23,MAX(1,ROUNDUP(AY326/('🎚️ Escenario'!$C$10*'🎚️ Escenario'!$C$11),0)))))</f>
        <v>0</v>
      </c>
      <c r="AZ327" s="237" t="n">
        <f aca="false" t="array" ref="AZ327:AZ327">IF(AZ326=0,0,IF(AZ326/('🎚️ Escenario'!$C$10*'🎚️ Escenario'!$C$11)&gt;=36,$AL$23,INDEX($C$23:$AL$23,MAX(1,ROUNDUP(AZ326/('🎚️ Escenario'!$C$10*'🎚️ Escenario'!$C$11),0)))))</f>
        <v>0</v>
      </c>
      <c r="BA327" s="237" t="n">
        <f aca="false" t="array" ref="BA327:BA327">IF(BA326=0,0,IF(BA326/('🎚️ Escenario'!$C$10*'🎚️ Escenario'!$C$11)&gt;=36,$AL$23,INDEX($C$23:$AL$23,MAX(1,ROUNDUP(BA326/('🎚️ Escenario'!$C$10*'🎚️ Escenario'!$C$11),0)))))</f>
        <v>0</v>
      </c>
      <c r="BB327" s="237" t="n">
        <f aca="false" t="array" ref="BB327:BB327">IF(BB326=0,0,IF(BB326/('🎚️ Escenario'!$C$10*'🎚️ Escenario'!$C$11)&gt;=36,$AL$23,INDEX($C$23:$AL$23,MAX(1,ROUNDUP(BB326/('🎚️ Escenario'!$C$10*'🎚️ Escenario'!$C$11),0)))))</f>
        <v>0</v>
      </c>
      <c r="BC327" s="237" t="n">
        <f aca="false" t="array" ref="BC327:BC327">IF(BC326=0,0,IF(BC326/('🎚️ Escenario'!$C$10*'🎚️ Escenario'!$C$11)&gt;=36,$AL$23,INDEX($C$23:$AL$23,MAX(1,ROUNDUP(BC326/('🎚️ Escenario'!$C$10*'🎚️ Escenario'!$C$11),0)))))</f>
        <v>0</v>
      </c>
      <c r="BD327" s="237" t="n">
        <f aca="false" t="array" ref="BD327:BD327">IF(BD326=0,0,IF(BD326/('🎚️ Escenario'!$C$10*'🎚️ Escenario'!$C$11)&gt;=36,$AL$23,INDEX($C$23:$AL$23,MAX(1,ROUNDUP(BD326/('🎚️ Escenario'!$C$10*'🎚️ Escenario'!$C$11),0)))))</f>
        <v>0</v>
      </c>
      <c r="BE327" s="237" t="n">
        <f aca="false" t="array" ref="BE327:BE327">IF(BE326=0,0,IF(BE326/('🎚️ Escenario'!$C$10*'🎚️ Escenario'!$C$11)&gt;=36,$AL$23,INDEX($C$23:$AL$23,MAX(1,ROUNDUP(BE326/('🎚️ Escenario'!$C$10*'🎚️ Escenario'!$C$11),0)))))</f>
        <v>0</v>
      </c>
      <c r="BF327" s="237" t="n">
        <f aca="false" t="array" ref="BF327:BF327">IF(BF326=0,0,IF(BF326/('🎚️ Escenario'!$C$10*'🎚️ Escenario'!$C$11)&gt;=36,$AL$23,INDEX($C$23:$AL$23,MAX(1,ROUNDUP(BF326/('🎚️ Escenario'!$C$10*'🎚️ Escenario'!$C$11),0)))))</f>
        <v>0</v>
      </c>
      <c r="BG327" s="237" t="n">
        <f aca="false" t="array" ref="BG327:BG327">IF(BG326=0,0,IF(BG326/('🎚️ Escenario'!$C$10*'🎚️ Escenario'!$C$11)&gt;=36,$AL$23,INDEX($C$23:$AL$23,MAX(1,ROUNDUP(BG326/('🎚️ Escenario'!$C$10*'🎚️ Escenario'!$C$11),0)))))</f>
        <v>0</v>
      </c>
      <c r="BH327" s="237" t="n">
        <f aca="false" t="array" ref="BH327:BH327">IF(BH326=0,0,IF(BH326/('🎚️ Escenario'!$C$10*'🎚️ Escenario'!$C$11)&gt;=36,$AL$23,INDEX($C$23:$AL$23,MAX(1,ROUNDUP(BH326/('🎚️ Escenario'!$C$10*'🎚️ Escenario'!$C$11),0)))))</f>
        <v>0</v>
      </c>
      <c r="BI327" s="237" t="n">
        <f aca="false" t="array" ref="BI327:BI327">IF(BI326=0,0,IF(BI326/('🎚️ Escenario'!$C$10*'🎚️ Escenario'!$C$11)&gt;=36,$AL$23,INDEX($C$23:$AL$23,MAX(1,ROUNDUP(BI326/('🎚️ Escenario'!$C$10*'🎚️ Escenario'!$C$11),0)))))</f>
        <v>0</v>
      </c>
      <c r="BJ327" s="237" t="n">
        <f aca="false" t="array" ref="BJ327:BJ327">IF(BJ326=0,0,IF(BJ326/('🎚️ Escenario'!$C$10*'🎚️ Escenario'!$C$11)&gt;=36,$AL$23,INDEX($C$23:$AL$23,MAX(1,ROUNDUP(BJ326/('🎚️ Escenario'!$C$10*'🎚️ Escenario'!$C$11),0)))))</f>
        <v>0</v>
      </c>
      <c r="BK327" s="237" t="n">
        <f aca="false" t="array" ref="BK327:BK327">IF(BK326=0,0,IF(BK326/('🎚️ Escenario'!$C$10*'🎚️ Escenario'!$C$11)&gt;=36,$AL$23,INDEX($C$23:$AL$23,MAX(1,ROUNDUP(BK326/('🎚️ Escenario'!$C$10*'🎚️ Escenario'!$C$11),0)))))</f>
        <v>0</v>
      </c>
      <c r="BL327" s="237" t="n">
        <f aca="false" t="array" ref="BL327:BL327">IF(BL326=0,0,IF(BL326/('🎚️ Escenario'!$C$10*'🎚️ Escenario'!$C$11)&gt;=36,$AL$23,INDEX($C$23:$AL$23,MAX(1,ROUNDUP(BL326/('🎚️ Escenario'!$C$10*'🎚️ Escenario'!$C$11),0)))))</f>
        <v>0</v>
      </c>
      <c r="BM327" s="237" t="n">
        <f aca="false" t="array" ref="BM327:BM327">IF(BM326=0,0,IF(BM326/('🎚️ Escenario'!$C$10*'🎚️ Escenario'!$C$11)&gt;=36,$AL$23,INDEX($C$23:$AL$23,MAX(1,ROUNDUP(BM326/('🎚️ Escenario'!$C$10*'🎚️ Escenario'!$C$11),0)))))</f>
        <v>0</v>
      </c>
      <c r="BN327" s="237" t="n">
        <f aca="false" t="array" ref="BN327:BN327">IF(BN326=0,0,IF(BN326/('🎚️ Escenario'!$C$10*'🎚️ Escenario'!$C$11)&gt;=36,$AL$23,INDEX($C$23:$AL$23,MAX(1,ROUNDUP(BN326/('🎚️ Escenario'!$C$10*'🎚️ Escenario'!$C$11),0)))))</f>
        <v>0</v>
      </c>
      <c r="BO327" s="237" t="n">
        <f aca="false" t="array" ref="BO327:BO327">IF(BO326=0,0,IF(BO326/('🎚️ Escenario'!$C$10*'🎚️ Escenario'!$C$11)&gt;=36,$AL$23,INDEX($C$23:$AL$23,MAX(1,ROUNDUP(BO326/('🎚️ Escenario'!$C$10*'🎚️ Escenario'!$C$11),0)))))</f>
        <v>0</v>
      </c>
      <c r="BP327" s="237" t="n">
        <f aca="false" t="array" ref="BP327:BP327">IF(BP326=0,0,IF(BP326/('🎚️ Escenario'!$C$10*'🎚️ Escenario'!$C$11)&gt;=36,$AL$23,INDEX($C$23:$AL$23,MAX(1,ROUNDUP(BP326/('🎚️ Escenario'!$C$10*'🎚️ Escenario'!$C$11),0)))))</f>
        <v>0</v>
      </c>
      <c r="BQ327" s="237" t="n">
        <f aca="false" t="array" ref="BQ327:BQ327">IF(BQ326=0,0,IF(BQ326/('🎚️ Escenario'!$C$10*'🎚️ Escenario'!$C$11)&gt;=36,$AL$23,INDEX($C$23:$AL$23,MAX(1,ROUNDUP(BQ326/('🎚️ Escenario'!$C$10*'🎚️ Escenario'!$C$11),0)))))</f>
        <v>0</v>
      </c>
      <c r="BR327" s="237" t="n">
        <f aca="false" t="array" ref="BR327:BR327">IF(BR326=0,0,IF(BR326/('🎚️ Escenario'!$C$10*'🎚️ Escenario'!$C$11)&gt;=36,$AL$23,INDEX($C$23:$AL$23,MAX(1,ROUNDUP(BR326/('🎚️ Escenario'!$C$10*'🎚️ Escenario'!$C$11),0)))))</f>
        <v>0</v>
      </c>
      <c r="BS327" s="237" t="n">
        <f aca="false" t="array" ref="BS327:BS327">IF(BS326=0,0,IF(BS326/('🎚️ Escenario'!$C$10*'🎚️ Escenario'!$C$11)&gt;=36,$AL$23,INDEX($C$23:$AL$23,MAX(1,ROUNDUP(BS326/('🎚️ Escenario'!$C$10*'🎚️ Escenario'!$C$11),0)))))</f>
        <v>0</v>
      </c>
      <c r="BT327" s="237" t="n">
        <f aca="false" t="array" ref="BT327:BT327">IF(BT326=0,0,IF(BT326/('🎚️ Escenario'!$C$10*'🎚️ Escenario'!$C$11)&gt;=36,$AL$23,INDEX($C$23:$AL$23,MAX(1,ROUNDUP(BT326/('🎚️ Escenario'!$C$10*'🎚️ Escenario'!$C$11),0)))))</f>
        <v>0</v>
      </c>
      <c r="BU327" s="237" t="n">
        <f aca="false" t="array" ref="BU327:BU327">IF(BU326=0,0,IF(BU326/('🎚️ Escenario'!$C$10*'🎚️ Escenario'!$C$11)&gt;=36,$AL$23,INDEX($C$23:$AL$23,MAX(1,ROUNDUP(BU326/('🎚️ Escenario'!$C$10*'🎚️ Escenario'!$C$11),0)))))</f>
        <v>0</v>
      </c>
      <c r="BV327" s="237" t="n">
        <f aca="false" t="array" ref="BV327:BV327">IF(BV326=0,0,IF(BV326/('🎚️ Escenario'!$C$10*'🎚️ Escenario'!$C$11)&gt;=36,$AL$23,INDEX($C$23:$AL$23,MAX(1,ROUNDUP(BV326/('🎚️ Escenario'!$C$10*'🎚️ Escenario'!$C$11),0)))))</f>
        <v>0</v>
      </c>
      <c r="BW327" s="237" t="n">
        <f aca="false" t="array" ref="BW327:BW327">IF(BW326=0,0,IF(BW326/('🎚️ Escenario'!$C$10*'🎚️ Escenario'!$C$11)&gt;=36,$AL$23,INDEX($C$23:$AL$23,MAX(1,ROUNDUP(BW326/('🎚️ Escenario'!$C$10*'🎚️ Escenario'!$C$11),0)))))</f>
        <v>0</v>
      </c>
      <c r="BX327" s="237" t="n">
        <f aca="false" t="array" ref="BX327:BX327">IF(BX326=0,0,IF(BX326/('🎚️ Escenario'!$C$10*'🎚️ Escenario'!$C$11)&gt;=36,$AL$23,INDEX($C$23:$AL$23,MAX(1,ROUNDUP(BX326/('🎚️ Escenario'!$C$10*'🎚️ Escenario'!$C$11),0)))))</f>
        <v>0</v>
      </c>
      <c r="BY327" s="237" t="n">
        <f aca="false" t="array" ref="BY327:BY327">IF(BY326=0,0,IF(BY326/('🎚️ Escenario'!$C$10*'🎚️ Escenario'!$C$11)&gt;=36,$AL$23,INDEX($C$23:$AL$23,MAX(1,ROUNDUP(BY326/('🎚️ Escenario'!$C$10*'🎚️ Escenario'!$C$11),0)))))</f>
        <v>0</v>
      </c>
      <c r="BZ327" s="237" t="n">
        <f aca="false" t="array" ref="BZ327:BZ327">IF(BZ326=0,0,IF(BZ326/('🎚️ Escenario'!$C$10*'🎚️ Escenario'!$C$11)&gt;=36,$AL$23,INDEX($C$23:$AL$23,MAX(1,ROUNDUP(BZ326/('🎚️ Escenario'!$C$10*'🎚️ Escenario'!$C$11),0)))))</f>
        <v>0</v>
      </c>
      <c r="CA327" s="237" t="n">
        <f aca="false" t="array" ref="CA327:CA327">IF(CA326=0,0,IF(CA326/('🎚️ Escenario'!$C$10*'🎚️ Escenario'!$C$11)&gt;=36,$AL$23,INDEX($C$23:$AL$23,MAX(1,ROUNDUP(CA326/('🎚️ Escenario'!$C$10*'🎚️ Escenario'!$C$11),0)))))</f>
        <v>0</v>
      </c>
      <c r="CB327" s="237" t="n">
        <f aca="false" t="array" ref="CB327:CB327">IF(CB326=0,0,IF(CB326/('🎚️ Escenario'!$C$10*'🎚️ Escenario'!$C$11)&gt;=36,$AL$23,INDEX($C$23:$AL$23,MAX(1,ROUNDUP(CB326/('🎚️ Escenario'!$C$10*'🎚️ Escenario'!$C$11),0)))))</f>
        <v>0</v>
      </c>
      <c r="CC327" s="237" t="n">
        <f aca="false" t="array" ref="CC327:CC327">IF(CC326=0,0,IF(CC326/('🎚️ Escenario'!$C$10*'🎚️ Escenario'!$C$11)&gt;=36,$AL$23,INDEX($C$23:$AL$23,MAX(1,ROUNDUP(CC326/('🎚️ Escenario'!$C$10*'🎚️ Escenario'!$C$11),0)))))</f>
        <v>0</v>
      </c>
      <c r="CD327" s="237" t="n">
        <f aca="false" t="array" ref="CD327:CD327">IF(CD326=0,0,IF(CD326/('🎚️ Escenario'!$C$10*'🎚️ Escenario'!$C$11)&gt;=36,$AL$23,INDEX($C$23:$AL$23,MAX(1,ROUNDUP(CD326/('🎚️ Escenario'!$C$10*'🎚️ Escenario'!$C$11),0)))))</f>
        <v>0</v>
      </c>
      <c r="CE327" s="237" t="n">
        <f aca="false" t="array" ref="CE327:CE327">IF(CE326=0,0,IF(CE326/('🎚️ Escenario'!$C$10*'🎚️ Escenario'!$C$11)&gt;=36,$AL$23,INDEX($C$23:$AL$23,MAX(1,ROUNDUP(CE326/('🎚️ Escenario'!$C$10*'🎚️ Escenario'!$C$11),0)))))</f>
        <v>0</v>
      </c>
      <c r="CF327" s="237" t="n">
        <f aca="false" t="array" ref="CF327:CF327">IF(CF326=0,0,IF(CF326/('🎚️ Escenario'!$C$10*'🎚️ Escenario'!$C$11)&gt;=36,$AL$23,INDEX($C$23:$AL$23,MAX(1,ROUNDUP(CF326/('🎚️ Escenario'!$C$10*'🎚️ Escenario'!$C$11),0)))))</f>
        <v>0</v>
      </c>
      <c r="CG327" s="237" t="n">
        <f aca="false" t="array" ref="CG327:CG327">IF(CG326=0,0,IF(CG326/('🎚️ Escenario'!$C$10*'🎚️ Escenario'!$C$11)&gt;=36,$AL$23,INDEX($C$23:$AL$23,MAX(1,ROUNDUP(CG326/('🎚️ Escenario'!$C$10*'🎚️ Escenario'!$C$11),0)))))</f>
        <v>0</v>
      </c>
      <c r="CH327" s="237" t="n">
        <f aca="false" t="array" ref="CH327:CH327">IF(CH326=0,0,IF(CH326/('🎚️ Escenario'!$C$10*'🎚️ Escenario'!$C$11)&gt;=36,$AL$23,INDEX($C$23:$AL$23,MAX(1,ROUNDUP(CH326/('🎚️ Escenario'!$C$10*'🎚️ Escenario'!$C$11),0)))))</f>
        <v>0</v>
      </c>
      <c r="CI327" s="237" t="n">
        <f aca="false" t="array" ref="CI327:CI327">IF(CI326=0,0,IF(CI326/('🎚️ Escenario'!$C$10*'🎚️ Escenario'!$C$11)&gt;=36,$AL$23,INDEX($C$23:$AL$23,MAX(1,ROUNDUP(CI326/('🎚️ Escenario'!$C$10*'🎚️ Escenario'!$C$11),0)))))</f>
        <v>0</v>
      </c>
      <c r="CJ327" s="237" t="n">
        <f aca="false" t="array" ref="CJ327:CJ327">IF(CJ326=0,0,IF(CJ326/('🎚️ Escenario'!$C$10*'🎚️ Escenario'!$C$11)&gt;=36,$AL$23,INDEX($C$23:$AL$23,MAX(1,ROUNDUP(CJ326/('🎚️ Escenario'!$C$10*'🎚️ Escenario'!$C$11),0)))))</f>
        <v>0</v>
      </c>
      <c r="CK327" s="237" t="n">
        <f aca="false" t="array" ref="CK327:CK327">IF(CK326=0,0,IF(CK326/('🎚️ Escenario'!$C$10*'🎚️ Escenario'!$C$11)&gt;=36,$AL$23,INDEX($C$23:$AL$23,MAX(1,ROUNDUP(CK326/('🎚️ Escenario'!$C$10*'🎚️ Escenario'!$C$11),0)))))</f>
        <v>0</v>
      </c>
      <c r="CL327" s="237" t="n">
        <f aca="false" t="array" ref="CL327:CL327">IF(CL326=0,0,IF(CL326/('🎚️ Escenario'!$C$10*'🎚️ Escenario'!$C$11)&gt;=36,$AL$23,INDEX($C$23:$AL$23,MAX(1,ROUNDUP(CL326/('🎚️ Escenario'!$C$10*'🎚️ Escenario'!$C$11),0)))))</f>
        <v>0</v>
      </c>
      <c r="CM327" s="237" t="n">
        <f aca="false" t="array" ref="CM327:CM327">IF(CM326=0,0,IF(CM326/('🎚️ Escenario'!$C$10*'🎚️ Escenario'!$C$11)&gt;=36,$AL$23,INDEX($C$23:$AL$23,MAX(1,ROUNDUP(CM326/('🎚️ Escenario'!$C$10*'🎚️ Escenario'!$C$11),0)))))</f>
        <v>0</v>
      </c>
      <c r="CN327" s="237" t="n">
        <f aca="false" t="array" ref="CN327:CN327">IF(CN326=0,0,IF(CN326/('🎚️ Escenario'!$C$10*'🎚️ Escenario'!$C$11)&gt;=36,$AL$23,INDEX($C$23:$AL$23,MAX(1,ROUNDUP(CN326/('🎚️ Escenario'!$C$10*'🎚️ Escenario'!$C$11),0)))))</f>
        <v>0</v>
      </c>
      <c r="CO327" s="237" t="n">
        <f aca="false" t="array" ref="CO327:CO327">IF(CO326=0,0,IF(CO326/('🎚️ Escenario'!$C$10*'🎚️ Escenario'!$C$11)&gt;=36,$AL$23,INDEX($C$23:$AL$23,MAX(1,ROUNDUP(CO326/('🎚️ Escenario'!$C$10*'🎚️ Escenario'!$C$11),0)))))</f>
        <v>0</v>
      </c>
      <c r="CP327" s="237" t="n">
        <f aca="false" t="array" ref="CP327:CP327">IF(CP326=0,0,IF(CP326/('🎚️ Escenario'!$C$10*'🎚️ Escenario'!$C$11)&gt;=36,$AL$23,INDEX($C$23:$AL$23,MAX(1,ROUNDUP(CP326/('🎚️ Escenario'!$C$10*'🎚️ Escenario'!$C$11),0)))))</f>
        <v>0</v>
      </c>
      <c r="CQ327" s="237" t="n">
        <f aca="false" t="array" ref="CQ327:CQ327">IF(CQ326=0,0,IF(CQ326/('🎚️ Escenario'!$C$10*'🎚️ Escenario'!$C$11)&gt;=36,$AL$23,INDEX($C$23:$AL$23,MAX(1,ROUNDUP(CQ326/('🎚️ Escenario'!$C$10*'🎚️ Escenario'!$C$11),0)))))</f>
        <v>0</v>
      </c>
      <c r="CR327" s="237" t="n">
        <f aca="false" t="array" ref="CR327:CR327">IF(CR326=0,0,IF(CR326/('🎚️ Escenario'!$C$10*'🎚️ Escenario'!$C$11)&gt;=36,$AL$23,INDEX($C$23:$AL$23,MAX(1,ROUNDUP(CR326/('🎚️ Escenario'!$C$10*'🎚️ Escenario'!$C$11),0)))))</f>
        <v>0</v>
      </c>
      <c r="CS327" s="237" t="n">
        <f aca="false" t="array" ref="CS327:CS327">IF(CS326=0,0,IF(CS326/('🎚️ Escenario'!$C$10*'🎚️ Escenario'!$C$11)&gt;=36,$AL$23,INDEX($C$23:$AL$23,MAX(1,ROUNDUP(CS326/('🎚️ Escenario'!$C$10*'🎚️ Escenario'!$C$11),0)))))</f>
        <v>0</v>
      </c>
      <c r="CT327" s="237" t="n">
        <f aca="false" t="array" ref="CT327:CT327">IF(CT326=0,0,IF(CT326/('🎚️ Escenario'!$C$10*'🎚️ Escenario'!$C$11)&gt;=36,$AL$23,INDEX($C$23:$AL$23,MAX(1,ROUNDUP(CT326/('🎚️ Escenario'!$C$10*'🎚️ Escenario'!$C$11),0)))))</f>
        <v>0</v>
      </c>
      <c r="CU327" s="237" t="n">
        <f aca="false" t="array" ref="CU327:CU327">IF(CU326=0,0,IF(CU326/('🎚️ Escenario'!$C$10*'🎚️ Escenario'!$C$11)&gt;=36,$AL$23,INDEX($C$23:$AL$23,MAX(1,ROUNDUP(CU326/('🎚️ Escenario'!$C$10*'🎚️ Escenario'!$C$11),0)))))</f>
        <v>0</v>
      </c>
      <c r="CV327" s="237" t="n">
        <f aca="false" t="array" ref="CV327:CV327">IF(CV326=0,0,IF(CV326/('🎚️ Escenario'!$C$10*'🎚️ Escenario'!$C$11)&gt;=36,$AL$23,INDEX($C$23:$AL$23,MAX(1,ROUNDUP(CV326/('🎚️ Escenario'!$C$10*'🎚️ Escenario'!$C$11),0)))))</f>
        <v>0</v>
      </c>
      <c r="CW327" s="237" t="n">
        <f aca="false" t="array" ref="CW327:CW327">IF(CW326=0,0,IF(CW326/('🎚️ Escenario'!$C$10*'🎚️ Escenario'!$C$11)&gt;=36,$AL$23,INDEX($C$23:$AL$23,MAX(1,ROUNDUP(CW326/('🎚️ Escenario'!$C$10*'🎚️ Escenario'!$C$11),0)))))</f>
        <v>0</v>
      </c>
      <c r="CX327" s="237" t="n">
        <f aca="false" t="array" ref="CX327:CX327">IF(CX326=0,0,IF(CX326/('🎚️ Escenario'!$C$10*'🎚️ Escenario'!$C$11)&gt;=36,$AL$23,INDEX($C$23:$AL$23,MAX(1,ROUNDUP(CX326/('🎚️ Escenario'!$C$10*'🎚️ Escenario'!$C$11),0)))))</f>
        <v>0</v>
      </c>
      <c r="CY327" s="237" t="n">
        <f aca="false" t="array" ref="CY327:CY327">IF(CY326=0,0,IF(CY326/('🎚️ Escenario'!$C$10*'🎚️ Escenario'!$C$11)&gt;=36,$AL$23,INDEX($C$23:$AL$23,MAX(1,ROUNDUP(CY326/('🎚️ Escenario'!$C$10*'🎚️ Escenario'!$C$11),0)))))</f>
        <v>0</v>
      </c>
      <c r="CZ327" s="237" t="n">
        <f aca="false" t="array" ref="CZ327:CZ327">IF(CZ326=0,0,IF(CZ326/('🎚️ Escenario'!$C$10*'🎚️ Escenario'!$C$11)&gt;=36,$AL$23,INDEX($C$23:$AL$23,MAX(1,ROUNDUP(CZ326/('🎚️ Escenario'!$C$10*'🎚️ Escenario'!$C$11),0)))))</f>
        <v>0</v>
      </c>
      <c r="DA327" s="237" t="n">
        <f aca="false" t="array" ref="DA327:DA327">IF(DA326=0,0,IF(DA326/('🎚️ Escenario'!$C$10*'🎚️ Escenario'!$C$11)&gt;=36,$AL$23,INDEX($C$23:$AL$23,MAX(1,ROUNDUP(DA326/('🎚️ Escenario'!$C$10*'🎚️ Escenario'!$C$11),0)))))</f>
        <v>0</v>
      </c>
      <c r="DB327" s="237" t="n">
        <f aca="false" t="array" ref="DB327:DB327">IF(DB326=0,0,IF(DB326/('🎚️ Escenario'!$C$10*'🎚️ Escenario'!$C$11)&gt;=36,$AL$23,INDEX($C$23:$AL$23,MAX(1,ROUNDUP(DB326/('🎚️ Escenario'!$C$10*'🎚️ Escenario'!$C$11),0)))))</f>
        <v>0</v>
      </c>
      <c r="DC327" s="237" t="n">
        <f aca="false" t="array" ref="DC327:DC327">IF(DC326=0,0,IF(DC326/('🎚️ Escenario'!$C$10*'🎚️ Escenario'!$C$11)&gt;=36,$AL$23,INDEX($C$23:$AL$23,MAX(1,ROUNDUP(DC326/('🎚️ Escenario'!$C$10*'🎚️ Escenario'!$C$11),0)))))</f>
        <v>0</v>
      </c>
      <c r="DD327" s="237" t="n">
        <f aca="false" t="array" ref="DD327:DD327">IF(DD326=0,0,IF(DD326/('🎚️ Escenario'!$C$10*'🎚️ Escenario'!$C$11)&gt;=36,$AL$23,INDEX($C$23:$AL$23,MAX(1,ROUNDUP(DD326/('🎚️ Escenario'!$C$10*'🎚️ Escenario'!$C$11),0)))))</f>
        <v>0</v>
      </c>
      <c r="DE327" s="237" t="n">
        <f aca="false" t="array" ref="DE327:DE327">IF(DE326=0,0,IF(DE326/('🎚️ Escenario'!$C$10*'🎚️ Escenario'!$C$11)&gt;=36,$AL$23,INDEX($C$23:$AL$23,MAX(1,ROUNDUP(DE326/('🎚️ Escenario'!$C$10*'🎚️ Escenario'!$C$11),0)))))</f>
        <v>0</v>
      </c>
      <c r="DF327" s="237" t="n">
        <f aca="false" t="array" ref="DF327:DF327">IF(DF326=0,0,IF(DF326/('🎚️ Escenario'!$C$10*'🎚️ Escenario'!$C$11)&gt;=36,$AL$23,INDEX($C$23:$AL$23,MAX(1,ROUNDUP(DF326/('🎚️ Escenario'!$C$10*'🎚️ Escenario'!$C$11),0)))))</f>
        <v>0</v>
      </c>
      <c r="DG327" s="237" t="n">
        <f aca="false" t="array" ref="DG327:DG327">IF(DG326=0,0,IF(DG326/('🎚️ Escenario'!$C$10*'🎚️ Escenario'!$C$11)&gt;=36,$AL$23,INDEX($C$23:$AL$23,MAX(1,ROUNDUP(DG326/('🎚️ Escenario'!$C$10*'🎚️ Escenario'!$C$11),0)))))</f>
        <v>0</v>
      </c>
      <c r="DH327" s="237" t="n">
        <f aca="false" t="array" ref="DH327:DH327">IF(DH326=0,0,IF(DH326/('🎚️ Escenario'!$C$10*'🎚️ Escenario'!$C$11)&gt;=36,$AL$23,INDEX($C$23:$AL$23,MAX(1,ROUNDUP(DH326/('🎚️ Escenario'!$C$10*'🎚️ Escenario'!$C$11),0)))))</f>
        <v>0</v>
      </c>
      <c r="DI327" s="237" t="n">
        <f aca="false" t="array" ref="DI327:DI327">IF(DI326=0,0,IF(DI326/('🎚️ Escenario'!$C$10*'🎚️ Escenario'!$C$11)&gt;=36,$AL$23,INDEX($C$23:$AL$23,MAX(1,ROUNDUP(DI326/('🎚️ Escenario'!$C$10*'🎚️ Escenario'!$C$11),0)))))</f>
        <v>0</v>
      </c>
      <c r="DJ327" s="237" t="n">
        <f aca="false" t="array" ref="DJ327:DJ327">IF(DJ326=0,0,IF(DJ326/('🎚️ Escenario'!$C$10*'🎚️ Escenario'!$C$11)&gt;=36,$AL$23,INDEX($C$23:$AL$23,MAX(1,ROUNDUP(DJ326/('🎚️ Escenario'!$C$10*'🎚️ Escenario'!$C$11),0)))))</f>
        <v>0</v>
      </c>
      <c r="DK327" s="237" t="n">
        <f aca="false" t="array" ref="DK327:DK327">IF(DK326=0,0,IF(DK326/('🎚️ Escenario'!$C$10*'🎚️ Escenario'!$C$11)&gt;=36,$AL$23,INDEX($C$23:$AL$23,MAX(1,ROUNDUP(DK326/('🎚️ Escenario'!$C$10*'🎚️ Escenario'!$C$11),0)))))</f>
        <v>0</v>
      </c>
      <c r="DL327" s="237" t="n">
        <f aca="false" t="array" ref="DL327:DL327">IF(DL326=0,0,IF(DL326/('🎚️ Escenario'!$C$10*'🎚️ Escenario'!$C$11)&gt;=36,$AL$23,INDEX($C$23:$AL$23,MAX(1,ROUNDUP(DL326/('🎚️ Escenario'!$C$10*'🎚️ Escenario'!$C$11),0)))))</f>
        <v>0</v>
      </c>
      <c r="DM327" s="237" t="n">
        <f aca="false" t="array" ref="DM327:DM327">IF(DM326=0,0,IF(DM326/('🎚️ Escenario'!$C$10*'🎚️ Escenario'!$C$11)&gt;=36,$AL$23,INDEX($C$23:$AL$23,MAX(1,ROUNDUP(DM326/('🎚️ Escenario'!$C$10*'🎚️ Escenario'!$C$11),0)))))</f>
        <v>0</v>
      </c>
      <c r="DN327" s="237" t="n">
        <f aca="false" t="array" ref="DN327:DN327">IF(DN326=0,0,IF(DN326/('🎚️ Escenario'!$C$10*'🎚️ Escenario'!$C$11)&gt;=36,$AL$23,INDEX($C$23:$AL$23,MAX(1,ROUNDUP(DN326/('🎚️ Escenario'!$C$10*'🎚️ Escenario'!$C$11),0)))))</f>
        <v>0</v>
      </c>
      <c r="DO327" s="237" t="n">
        <f aca="false" t="array" ref="DO327:DO327">IF(DO326=0,0,IF(DO326/('🎚️ Escenario'!$C$10*'🎚️ Escenario'!$C$11)&gt;=36,$AL$23,INDEX($C$23:$AL$23,MAX(1,ROUNDUP(DO326/('🎚️ Escenario'!$C$10*'🎚️ Escenario'!$C$11),0)))))</f>
        <v>0</v>
      </c>
      <c r="DP327" s="237" t="n">
        <f aca="false" t="array" ref="DP327:DP327">IF(DP326=0,0,IF(DP326/('🎚️ Escenario'!$C$10*'🎚️ Escenario'!$C$11)&gt;=36,$AL$23,INDEX($C$23:$AL$23,MAX(1,ROUNDUP(DP326/('🎚️ Escenario'!$C$10*'🎚️ Escenario'!$C$11),0)))))</f>
        <v>0</v>
      </c>
      <c r="DQ327" s="237" t="n">
        <f aca="false" t="array" ref="DQ327:DQ327">IF(DQ326=0,0,IF(DQ326/('🎚️ Escenario'!$C$10*'🎚️ Escenario'!$C$11)&gt;=36,$AL$23,INDEX($C$23:$AL$23,MAX(1,ROUNDUP(DQ326/('🎚️ Escenario'!$C$10*'🎚️ Escenario'!$C$11),0)))))</f>
        <v>0.2</v>
      </c>
      <c r="DR327" s="237" t="n">
        <f aca="false" t="array" ref="DR327:DR327">IF(DR326=0,0,IF(DR326/('🎚️ Escenario'!$C$10*'🎚️ Escenario'!$C$11)&gt;=36,$AL$23,INDEX($C$23:$AL$23,MAX(1,ROUNDUP(DR326/('🎚️ Escenario'!$C$10*'🎚️ Escenario'!$C$11),0)))))</f>
        <v>0.22</v>
      </c>
      <c r="DS327" s="237" t="n">
        <f aca="false" t="array" ref="DS327:DS327">IF(DS326=0,0,IF(DS326/('🎚️ Escenario'!$C$10*'🎚️ Escenario'!$C$11)&gt;=36,$AL$23,INDEX($C$23:$AL$23,MAX(1,ROUNDUP(DS326/('🎚️ Escenario'!$C$10*'🎚️ Escenario'!$C$11),0)))))</f>
        <v>0.22</v>
      </c>
      <c r="DT327" s="237" t="n">
        <f aca="false" t="array" ref="DT327:DT327">IF(DT326=0,0,IF(DT326/('🎚️ Escenario'!$C$10*'🎚️ Escenario'!$C$11)&gt;=36,$AL$23,INDEX($C$23:$AL$23,MAX(1,ROUNDUP(DT326/('🎚️ Escenario'!$C$10*'🎚️ Escenario'!$C$11),0)))))</f>
        <v>0.24</v>
      </c>
      <c r="DU327" s="237" t="n">
        <f aca="false" t="array" ref="DU327:DU327">IF(DU326=0,0,IF(DU326/('🎚️ Escenario'!$C$10*'🎚️ Escenario'!$C$11)&gt;=36,$AL$23,INDEX($C$23:$AL$23,MAX(1,ROUNDUP(DU326/('🎚️ Escenario'!$C$10*'🎚️ Escenario'!$C$11),0)))))</f>
        <v>0.24</v>
      </c>
      <c r="DV327" s="237" t="n">
        <f aca="false" t="array" ref="DV327:DV327">IF(DV326=0,0,IF(DV326/('🎚️ Escenario'!$C$10*'🎚️ Escenario'!$C$11)&gt;=36,$AL$23,INDEX($C$23:$AL$23,MAX(1,ROUNDUP(DV326/('🎚️ Escenario'!$C$10*'🎚️ Escenario'!$C$11),0)))))</f>
        <v>0.27</v>
      </c>
      <c r="DW327" s="237" t="n">
        <f aca="false" t="array" ref="DW327:DW327">IF(DW326=0,0,IF(DW326/('🎚️ Escenario'!$C$10*'🎚️ Escenario'!$C$11)&gt;=36,$AL$23,INDEX($C$23:$AL$23,MAX(1,ROUNDUP(DW326/('🎚️ Escenario'!$C$10*'🎚️ Escenario'!$C$11),0)))))</f>
        <v>0.27</v>
      </c>
      <c r="DX327" s="237" t="n">
        <f aca="false" t="array" ref="DX327:DX327">IF(DX326=0,0,IF(DX326/('🎚️ Escenario'!$C$10*'🎚️ Escenario'!$C$11)&gt;=36,$AL$23,INDEX($C$23:$AL$23,MAX(1,ROUNDUP(DX326/('🎚️ Escenario'!$C$10*'🎚️ Escenario'!$C$11),0)))))</f>
        <v>0.31</v>
      </c>
      <c r="DY327" s="237" t="n">
        <f aca="false" t="array" ref="DY327:DY327">IF(DY326=0,0,IF(DY326/('🎚️ Escenario'!$C$10*'🎚️ Escenario'!$C$11)&gt;=36,$AL$23,INDEX($C$23:$AL$23,MAX(1,ROUNDUP(DY326/('🎚️ Escenario'!$C$10*'🎚️ Escenario'!$C$11),0)))))</f>
        <v>0.31</v>
      </c>
      <c r="DZ327" s="237" t="n">
        <f aca="false" t="array" ref="DZ327:DZ327">IF(DZ326=0,0,IF(DZ326/('🎚️ Escenario'!$C$10*'🎚️ Escenario'!$C$11)&gt;=36,$AL$23,INDEX($C$23:$AL$23,MAX(1,ROUNDUP(DZ326/('🎚️ Escenario'!$C$10*'🎚️ Escenario'!$C$11),0)))))</f>
        <v>0.35</v>
      </c>
      <c r="EA327" s="237" t="n">
        <f aca="false" t="array" ref="EA327:EA327">IF(EA326=0,0,IF(EA326/('🎚️ Escenario'!$C$10*'🎚️ Escenario'!$C$11)&gt;=36,$AL$23,INDEX($C$23:$AL$23,MAX(1,ROUNDUP(EA326/('🎚️ Escenario'!$C$10*'🎚️ Escenario'!$C$11),0)))))</f>
        <v>0.35</v>
      </c>
      <c r="EB327" s="237" t="n">
        <f aca="false" t="array" ref="EB327:EB327">IF(EB326=0,0,IF(EB326/('🎚️ Escenario'!$C$10*'🎚️ Escenario'!$C$11)&gt;=36,$AL$23,INDEX($C$23:$AL$23,MAX(1,ROUNDUP(EB326/('🎚️ Escenario'!$C$10*'🎚️ Escenario'!$C$11),0)))))</f>
        <v>0.39</v>
      </c>
      <c r="EC327" s="237" t="n">
        <f aca="false" t="array" ref="EC327:EC327">IF(EC326=0,0,IF(EC326/('🎚️ Escenario'!$C$10*'🎚️ Escenario'!$C$11)&gt;=36,$AL$23,INDEX($C$23:$AL$23,MAX(1,ROUNDUP(EC326/('🎚️ Escenario'!$C$10*'🎚️ Escenario'!$C$11),0)))))</f>
        <v>0.39</v>
      </c>
      <c r="ED327" s="237" t="n">
        <f aca="false" t="array" ref="ED327:ED327">IF(ED326=0,0,IF(ED326/('🎚️ Escenario'!$C$10*'🎚️ Escenario'!$C$11)&gt;=36,$AL$23,INDEX($C$23:$AL$23,MAX(1,ROUNDUP(ED326/('🎚️ Escenario'!$C$10*'🎚️ Escenario'!$C$11),0)))))</f>
        <v>0.44</v>
      </c>
      <c r="EE327" s="237" t="n">
        <f aca="false" t="array" ref="EE327:EE327">IF(EE326=0,0,IF(EE326/('🎚️ Escenario'!$C$10*'🎚️ Escenario'!$C$11)&gt;=36,$AL$23,INDEX($C$23:$AL$23,MAX(1,ROUNDUP(EE326/('🎚️ Escenario'!$C$10*'🎚️ Escenario'!$C$11),0)))))</f>
        <v>0.44</v>
      </c>
      <c r="EF327" s="237" t="n">
        <f aca="false" t="array" ref="EF327:EF327">IF(EF326=0,0,IF(EF326/('🎚️ Escenario'!$C$10*'🎚️ Escenario'!$C$11)&gt;=36,$AL$23,INDEX($C$23:$AL$23,MAX(1,ROUNDUP(EF326/('🎚️ Escenario'!$C$10*'🎚️ Escenario'!$C$11),0)))))</f>
        <v>0.48</v>
      </c>
      <c r="EG327" s="237" t="n">
        <f aca="false" t="array" ref="EG327:EG327">IF(EG326=0,0,IF(EG326/('🎚️ Escenario'!$C$10*'🎚️ Escenario'!$C$11)&gt;=36,$AL$23,INDEX($C$23:$AL$23,MAX(1,ROUNDUP(EG326/('🎚️ Escenario'!$C$10*'🎚️ Escenario'!$C$11),0)))))</f>
        <v>0.52</v>
      </c>
      <c r="EH327" s="237" t="n">
        <f aca="false" t="array" ref="EH327:EH327">IF(EH326=0,0,IF(EH326/('🎚️ Escenario'!$C$10*'🎚️ Escenario'!$C$11)&gt;=36,$AL$23,INDEX($C$23:$AL$23,MAX(1,ROUNDUP(EH326/('🎚️ Escenario'!$C$10*'🎚️ Escenario'!$C$11),0)))))</f>
        <v>0.52</v>
      </c>
      <c r="EI327" s="237" t="n">
        <f aca="false" t="array" ref="EI327:EI327">IF(EI326=0,0,IF(EI326/('🎚️ Escenario'!$C$10*'🎚️ Escenario'!$C$11)&gt;=36,$AL$23,INDEX($C$23:$AL$23,MAX(1,ROUNDUP(EI326/('🎚️ Escenario'!$C$10*'🎚️ Escenario'!$C$11),0)))))</f>
        <v>0.56</v>
      </c>
      <c r="EJ327" s="237" t="n">
        <f aca="false" t="array" ref="EJ327:EJ327">IF(EJ326=0,0,IF(EJ326/('🎚️ Escenario'!$C$10*'🎚️ Escenario'!$C$11)&gt;=36,$AL$23,INDEX($C$23:$AL$23,MAX(1,ROUNDUP(EJ326/('🎚️ Escenario'!$C$10*'🎚️ Escenario'!$C$11),0)))))</f>
        <v>0.56</v>
      </c>
      <c r="EK327" s="237" t="n">
        <f aca="false" t="array" ref="EK327:EK327">IF(EK326=0,0,IF(EK326/('🎚️ Escenario'!$C$10*'🎚️ Escenario'!$C$11)&gt;=36,$AL$23,INDEX($C$23:$AL$23,MAX(1,ROUNDUP(EK326/('🎚️ Escenario'!$C$10*'🎚️ Escenario'!$C$11),0)))))</f>
        <v>0.6</v>
      </c>
      <c r="EL327" s="237" t="n">
        <f aca="false" t="array" ref="EL327:EL327">IF(EL326=0,0,IF(EL326/('🎚️ Escenario'!$C$10*'🎚️ Escenario'!$C$11)&gt;=36,$AL$23,INDEX($C$23:$AL$23,MAX(1,ROUNDUP(EL326/('🎚️ Escenario'!$C$10*'🎚️ Escenario'!$C$11),0)))))</f>
        <v>0.6</v>
      </c>
      <c r="EM327" s="237" t="n">
        <f aca="false" t="array" ref="EM327:EM327">IF(EM326=0,0,IF(EM326/('🎚️ Escenario'!$C$10*'🎚️ Escenario'!$C$11)&gt;=36,$AL$23,INDEX($C$23:$AL$23,MAX(1,ROUNDUP(EM326/('🎚️ Escenario'!$C$10*'🎚️ Escenario'!$C$11),0)))))</f>
        <v>0.63</v>
      </c>
      <c r="EN327" s="237" t="n">
        <f aca="false" t="array" ref="EN327:EN327">IF(EN326=0,0,IF(EN326/('🎚️ Escenario'!$C$10*'🎚️ Escenario'!$C$11)&gt;=36,$AL$23,INDEX($C$23:$AL$23,MAX(1,ROUNDUP(EN326/('🎚️ Escenario'!$C$10*'🎚️ Escenario'!$C$11),0)))))</f>
        <v>0.63</v>
      </c>
      <c r="EO327" s="237" t="n">
        <f aca="false" t="array" ref="EO327:EO327">IF(EO326=0,0,IF(EO326/('🎚️ Escenario'!$C$10*'🎚️ Escenario'!$C$11)&gt;=36,$AL$23,INDEX($C$23:$AL$23,MAX(1,ROUNDUP(EO326/('🎚️ Escenario'!$C$10*'🎚️ Escenario'!$C$11),0)))))</f>
        <v>0.66</v>
      </c>
      <c r="EP327" s="237" t="n">
        <f aca="false" t="array" ref="EP327:EP327">IF(EP326=0,0,IF(EP326/('🎚️ Escenario'!$C$10*'🎚️ Escenario'!$C$11)&gt;=36,$AL$23,INDEX($C$23:$AL$23,MAX(1,ROUNDUP(EP326/('🎚️ Escenario'!$C$10*'🎚️ Escenario'!$C$11),0)))))</f>
        <v>0.66</v>
      </c>
      <c r="EQ327" s="237" t="n">
        <f aca="false" t="array" ref="EQ327:EQ327">IF(EQ326=0,0,IF(EQ326/('🎚️ Escenario'!$C$10*'🎚️ Escenario'!$C$11)&gt;=36,$AL$23,INDEX($C$23:$AL$23,MAX(1,ROUNDUP(EQ326/('🎚️ Escenario'!$C$10*'🎚️ Escenario'!$C$11),0)))))</f>
        <v>0.69</v>
      </c>
      <c r="ER327" s="237" t="n">
        <f aca="false" t="array" ref="ER327:ER327">IF(ER326=0,0,IF(ER326/('🎚️ Escenario'!$C$10*'🎚️ Escenario'!$C$11)&gt;=36,$AL$23,INDEX($C$23:$AL$23,MAX(1,ROUNDUP(ER326/('🎚️ Escenario'!$C$10*'🎚️ Escenario'!$C$11),0)))))</f>
        <v>0.69</v>
      </c>
      <c r="ES327" s="9" t="n">
        <f aca="false" t="array" ref="ES327:ES327">IF(ES326=0,0,IF(ES326/('🎚️ Escenario'!$C$10*'🎚️ Escenario'!$C$11)&gt;=36,$AL$23,INDEX($C$23:$AL$23,MAX(1,ROUNDUP(ES326/('🎚️ Escenario'!$C$10*'🎚️ Escenario'!$C$11),0)))))</f>
        <v>0.71</v>
      </c>
      <c r="ET327" s="9" t="n">
        <f aca="false" t="array" ref="ET327:ET327">IF(ET326=0,0,IF(ET326/('🎚️ Escenario'!$C$10*'🎚️ Escenario'!$C$11)&gt;=36,$AL$23,INDEX($C$23:$AL$23,MAX(1,ROUNDUP(ET326/('🎚️ Escenario'!$C$10*'🎚️ Escenario'!$C$11),0)))))</f>
        <v>0.71</v>
      </c>
      <c r="EU327" s="9" t="n">
        <f aca="false" t="array" ref="EU327:EU327">IF(EU326=0,0,IF(EU326/('🎚️ Escenario'!$C$10*'🎚️ Escenario'!$C$11)&gt;=36,$AL$23,INDEX($C$23:$AL$23,MAX(1,ROUNDUP(EU326/('🎚️ Escenario'!$C$10*'🎚️ Escenario'!$C$11),0)))))</f>
        <v>0.73</v>
      </c>
      <c r="EV327" s="9" t="n">
        <f aca="false" t="array" ref="EV327:EV327">IF(EV326=0,0,IF(EV326/('🎚️ Escenario'!$C$10*'🎚️ Escenario'!$C$11)&gt;=36,$AL$23,INDEX($C$23:$AL$23,MAX(1,ROUNDUP(EV326/('🎚️ Escenario'!$C$10*'🎚️ Escenario'!$C$11),0)))))</f>
        <v>0.75</v>
      </c>
      <c r="EW327" s="9" t="n">
        <f aca="false" t="array" ref="EW327:EW327">IF(EW326=0,0,IF(EW326/('🎚️ Escenario'!$C$10*'🎚️ Escenario'!$C$11)&gt;=36,$AL$23,INDEX($C$23:$AL$23,MAX(1,ROUNDUP(EW326/('🎚️ Escenario'!$C$10*'🎚️ Escenario'!$C$11),0)))))</f>
        <v>0.75</v>
      </c>
      <c r="EX327" s="9" t="n">
        <f aca="false" t="array" ref="EX327:EX327">IF(EX326=0,0,IF(EX326/('🎚️ Escenario'!$C$10*'🎚️ Escenario'!$C$11)&gt;=36,$AL$23,INDEX($C$23:$AL$23,MAX(1,ROUNDUP(EX326/('🎚️ Escenario'!$C$10*'🎚️ Escenario'!$C$11),0)))))</f>
        <v>0.77</v>
      </c>
      <c r="EY327" s="9" t="n">
        <f aca="false" t="array" ref="EY327:EY327">IF(EY326=0,0,IF(EY326/('🎚️ Escenario'!$C$10*'🎚️ Escenario'!$C$11)&gt;=36,$AL$23,INDEX($C$23:$AL$23,MAX(1,ROUNDUP(EY326/('🎚️ Escenario'!$C$10*'🎚️ Escenario'!$C$11),0)))))</f>
        <v>0.77</v>
      </c>
      <c r="EZ327" s="9" t="n">
        <f aca="false" t="array" ref="EZ327:EZ327">IF(EZ326=0,0,IF(EZ326/('🎚️ Escenario'!$C$10*'🎚️ Escenario'!$C$11)&gt;=36,$AL$23,INDEX($C$23:$AL$23,MAX(1,ROUNDUP(EZ326/('🎚️ Escenario'!$C$10*'🎚️ Escenario'!$C$11),0)))))</f>
        <v>0.79</v>
      </c>
      <c r="FA327" s="9" t="n">
        <f aca="false" t="array" ref="FA327:FA327">IF(FA326=0,0,IF(FA326/('🎚️ Escenario'!$C$10*'🎚️ Escenario'!$C$11)&gt;=36,$AL$23,INDEX($C$23:$AL$23,MAX(1,ROUNDUP(FA326/('🎚️ Escenario'!$C$10*'🎚️ Escenario'!$C$11),0)))))</f>
        <v>0.79</v>
      </c>
      <c r="FB327" s="9" t="n">
        <f aca="false" t="array" ref="FB327:FB327">IF(FB326=0,0,IF(FB326/('🎚️ Escenario'!$C$10*'🎚️ Escenario'!$C$11)&gt;=36,$AL$23,INDEX($C$23:$AL$23,MAX(1,ROUNDUP(FB326/('🎚️ Escenario'!$C$10*'🎚️ Escenario'!$C$11),0)))))</f>
        <v>0.8</v>
      </c>
      <c r="FC327" s="9" t="n">
        <f aca="false" t="array" ref="FC327:FC327">IF(FC326=0,0,IF(FC326/('🎚️ Escenario'!$C$10*'🎚️ Escenario'!$C$11)&gt;=36,$AL$23,INDEX($C$23:$AL$23,MAX(1,ROUNDUP(FC326/('🎚️ Escenario'!$C$10*'🎚️ Escenario'!$C$11),0)))))</f>
        <v>0.8</v>
      </c>
      <c r="FD327" s="9" t="n">
        <f aca="false" t="array" ref="FD327:FD327">IF(FD326=0,0,IF(FD326/('🎚️ Escenario'!$C$10*'🎚️ Escenario'!$C$11)&gt;=36,$AL$23,INDEX($C$23:$AL$23,MAX(1,ROUNDUP(FD326/('🎚️ Escenario'!$C$10*'🎚️ Escenario'!$C$11),0)))))</f>
        <v>0.82</v>
      </c>
      <c r="FE327" s="9" t="n">
        <f aca="false" t="array" ref="FE327:FE327">IF(FE326=0,0,IF(FE326/('🎚️ Escenario'!$C$10*'🎚️ Escenario'!$C$11)&gt;=36,$AL$23,INDEX($C$23:$AL$23,MAX(1,ROUNDUP(FE326/('🎚️ Escenario'!$C$10*'🎚️ Escenario'!$C$11),0)))))</f>
        <v>0.82</v>
      </c>
      <c r="FF327" s="9" t="n">
        <f aca="false" t="array" ref="FF327:FF327">IF(FF326=0,0,IF(FF326/('🎚️ Escenario'!$C$10*'🎚️ Escenario'!$C$11)&gt;=36,$AL$23,INDEX($C$23:$AL$23,MAX(1,ROUNDUP(FF326/('🎚️ Escenario'!$C$10*'🎚️ Escenario'!$C$11),0)))))</f>
        <v>0.84</v>
      </c>
      <c r="FG327" s="9" t="n">
        <f aca="false" t="array" ref="FG327:FG327">IF(FG326=0,0,IF(FG326/('🎚️ Escenario'!$C$10*'🎚️ Escenario'!$C$11)&gt;=36,$AL$23,INDEX($C$23:$AL$23,MAX(1,ROUNDUP(FG326/('🎚️ Escenario'!$C$10*'🎚️ Escenario'!$C$11),0)))))</f>
        <v>0.84</v>
      </c>
      <c r="FH327" s="9" t="n">
        <f aca="false" t="array" ref="FH327:FH327">IF(FH326=0,0,IF(FH326/('🎚️ Escenario'!$C$10*'🎚️ Escenario'!$C$11)&gt;=36,$AL$23,INDEX($C$23:$AL$23,MAX(1,ROUNDUP(FH326/('🎚️ Escenario'!$C$10*'🎚️ Escenario'!$C$11),0)))))</f>
        <v>0.85</v>
      </c>
      <c r="FI327" s="9" t="n">
        <f aca="false" t="array" ref="FI327:FI327">IF(FI326=0,0,IF(FI326/('🎚️ Escenario'!$C$10*'🎚️ Escenario'!$C$11)&gt;=36,$AL$23,INDEX($C$23:$AL$23,MAX(1,ROUNDUP(FI326/('🎚️ Escenario'!$C$10*'🎚️ Escenario'!$C$11),0)))))</f>
        <v>0.85</v>
      </c>
      <c r="FJ327" s="9" t="n">
        <f aca="false" t="array" ref="FJ327:FJ327">IF(FJ326=0,0,IF(FJ326/('🎚️ Escenario'!$C$10*'🎚️ Escenario'!$C$11)&gt;=36,$AL$23,INDEX($C$23:$AL$23,MAX(1,ROUNDUP(FJ326/('🎚️ Escenario'!$C$10*'🎚️ Escenario'!$C$11),0)))))</f>
        <v>0.86</v>
      </c>
      <c r="FK327" s="9" t="n">
        <f aca="false" t="array" ref="FK327:FK327">IF(FK326=0,0,IF(FK326/('🎚️ Escenario'!$C$10*'🎚️ Escenario'!$C$11)&gt;=36,$AL$23,INDEX($C$23:$AL$23,MAX(1,ROUNDUP(FK326/('🎚️ Escenario'!$C$10*'🎚️ Escenario'!$C$11),0)))))</f>
        <v>0.88</v>
      </c>
      <c r="FL327" s="9" t="n">
        <f aca="false" t="array" ref="FL327:FL327">IF(FL326=0,0,IF(FL326/('🎚️ Escenario'!$C$10*'🎚️ Escenario'!$C$11)&gt;=36,$AL$23,INDEX($C$23:$AL$23,MAX(1,ROUNDUP(FL326/('🎚️ Escenario'!$C$10*'🎚️ Escenario'!$C$11),0)))))</f>
        <v>0.88</v>
      </c>
      <c r="FM327" s="9" t="n">
        <f aca="false" t="array" ref="FM327:FM327">IF(FM326=0,0,IF(FM326/('🎚️ Escenario'!$C$10*'🎚️ Escenario'!$C$11)&gt;=36,$AL$23,INDEX($C$23:$AL$23,MAX(1,ROUNDUP(FM326/('🎚️ Escenario'!$C$10*'🎚️ Escenario'!$C$11),0)))))</f>
        <v>0.89</v>
      </c>
      <c r="FN327" s="9" t="n">
        <f aca="false" t="array" ref="FN327:FN327">IF(FN326=0,0,IF(FN326/('🎚️ Escenario'!$C$10*'🎚️ Escenario'!$C$11)&gt;=36,$AL$23,INDEX($C$23:$AL$23,MAX(1,ROUNDUP(FN326/('🎚️ Escenario'!$C$10*'🎚️ Escenario'!$C$11),0)))))</f>
        <v>0.89</v>
      </c>
      <c r="FO327" s="9" t="n">
        <f aca="false" t="array" ref="FO327:FO327">IF(FO326=0,0,IF(FO326/('🎚️ Escenario'!$C$10*'🎚️ Escenario'!$C$11)&gt;=36,$AL$23,INDEX($C$23:$AL$23,MAX(1,ROUNDUP(FO326/('🎚️ Escenario'!$C$10*'🎚️ Escenario'!$C$11),0)))))</f>
        <v>0.9</v>
      </c>
      <c r="FP327" s="9" t="n">
        <f aca="false" t="array" ref="FP327:FP327">IF(FP326=0,0,IF(FP326/('🎚️ Escenario'!$C$10*'🎚️ Escenario'!$C$11)&gt;=36,$AL$23,INDEX($C$23:$AL$23,MAX(1,ROUNDUP(FP326/('🎚️ Escenario'!$C$10*'🎚️ Escenario'!$C$11),0)))))</f>
        <v>0.9</v>
      </c>
    </row>
    <row r="328" customFormat="false" ht="15" hidden="false" customHeight="false" outlineLevel="2" collapsed="false">
      <c r="B328" s="47" t="s">
        <v>875</v>
      </c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237" t="n">
        <f aca="false">IF(AC326=0,0,IF(AC326&lt;=12*'🎚️ Escenario'!$C$11,1,1+$C$6))</f>
        <v>0</v>
      </c>
      <c r="AD328" s="237" t="n">
        <f aca="false">IF(AD326=0,0,IF(AD326&lt;=12*'🎚️ Escenario'!$C$11,1,1+$C$6))</f>
        <v>0</v>
      </c>
      <c r="AE328" s="237" t="n">
        <f aca="false">IF(AE326=0,0,IF(AE326&lt;=12*'🎚️ Escenario'!$C$11,1,1+$C$6))</f>
        <v>0</v>
      </c>
      <c r="AF328" s="237" t="n">
        <f aca="false">IF(AF326=0,0,IF(AF326&lt;=12*'🎚️ Escenario'!$C$11,1,1+$C$6))</f>
        <v>0</v>
      </c>
      <c r="AG328" s="237" t="n">
        <f aca="false">IF(AG326=0,0,IF(AG326&lt;=12*'🎚️ Escenario'!$C$11,1,1+$C$6))</f>
        <v>0</v>
      </c>
      <c r="AH328" s="237" t="n">
        <f aca="false">IF(AH326=0,0,IF(AH326&lt;=12*'🎚️ Escenario'!$C$11,1,1+$C$6))</f>
        <v>0</v>
      </c>
      <c r="AI328" s="237" t="n">
        <f aca="false">IF(AI326=0,0,IF(AI326&lt;=12*'🎚️ Escenario'!$C$11,1,1+$C$6))</f>
        <v>0</v>
      </c>
      <c r="AJ328" s="237" t="n">
        <f aca="false">IF(AJ326=0,0,IF(AJ326&lt;=12*'🎚️ Escenario'!$C$11,1,1+$C$6))</f>
        <v>0</v>
      </c>
      <c r="AK328" s="237" t="n">
        <f aca="false">IF(AK326=0,0,IF(AK326&lt;=12*'🎚️ Escenario'!$C$11,1,1+$C$6))</f>
        <v>0</v>
      </c>
      <c r="AL328" s="237" t="n">
        <f aca="false">IF(AL326=0,0,IF(AL326&lt;=12*'🎚️ Escenario'!$C$11,1,1+$C$6))</f>
        <v>0</v>
      </c>
      <c r="AM328" s="237" t="n">
        <f aca="false">IF(AM326=0,0,IF(AM326&lt;=12*'🎚️ Escenario'!$C$11,1,1+$C$6))</f>
        <v>0</v>
      </c>
      <c r="AN328" s="237" t="n">
        <f aca="false">IF(AN326=0,0,IF(AN326&lt;=12*'🎚️ Escenario'!$C$11,1,1+$C$6))</f>
        <v>0</v>
      </c>
      <c r="AO328" s="237" t="n">
        <f aca="false">IF(AO326=0,0,IF(AO326&lt;=12*'🎚️ Escenario'!$C$11,1,1+$C$6))</f>
        <v>0</v>
      </c>
      <c r="AP328" s="237" t="n">
        <f aca="false">IF(AP326=0,0,IF(AP326&lt;=12*'🎚️ Escenario'!$C$11,1,1+$C$6))</f>
        <v>0</v>
      </c>
      <c r="AQ328" s="237" t="n">
        <f aca="false">IF(AQ326=0,0,IF(AQ326&lt;=12*'🎚️ Escenario'!$C$11,1,1+$C$6))</f>
        <v>0</v>
      </c>
      <c r="AR328" s="237" t="n">
        <f aca="false">IF(AR326=0,0,IF(AR326&lt;=12*'🎚️ Escenario'!$C$11,1,1+$C$6))</f>
        <v>0</v>
      </c>
      <c r="AS328" s="237" t="n">
        <f aca="false">IF(AS326=0,0,IF(AS326&lt;=12*'🎚️ Escenario'!$C$11,1,1+$C$6))</f>
        <v>0</v>
      </c>
      <c r="AT328" s="237" t="n">
        <f aca="false">IF(AT326=0,0,IF(AT326&lt;=12*'🎚️ Escenario'!$C$11,1,1+$C$6))</f>
        <v>0</v>
      </c>
      <c r="AU328" s="237" t="n">
        <f aca="false">IF(AU326=0,0,IF(AU326&lt;=12*'🎚️ Escenario'!$C$11,1,1+$C$6))</f>
        <v>0</v>
      </c>
      <c r="AV328" s="237" t="n">
        <f aca="false">IF(AV326=0,0,IF(AV326&lt;=12*'🎚️ Escenario'!$C$11,1,1+$C$6))</f>
        <v>0</v>
      </c>
      <c r="AW328" s="237" t="n">
        <f aca="false">IF(AW326=0,0,IF(AW326&lt;=12*'🎚️ Escenario'!$C$11,1,1+$C$6))</f>
        <v>0</v>
      </c>
      <c r="AX328" s="237" t="n">
        <f aca="false">IF(AX326=0,0,IF(AX326&lt;=12*'🎚️ Escenario'!$C$11,1,1+$C$6))</f>
        <v>0</v>
      </c>
      <c r="AY328" s="237" t="n">
        <f aca="false">IF(AY326=0,0,IF(AY326&lt;=12*'🎚️ Escenario'!$C$11,1,1+$C$6))</f>
        <v>0</v>
      </c>
      <c r="AZ328" s="237" t="n">
        <f aca="false">IF(AZ326=0,0,IF(AZ326&lt;=12*'🎚️ Escenario'!$C$11,1,1+$C$6))</f>
        <v>0</v>
      </c>
      <c r="BA328" s="237" t="n">
        <f aca="false">IF(BA326=0,0,IF(BA326&lt;=12*'🎚️ Escenario'!$C$11,1,1+$C$6))</f>
        <v>0</v>
      </c>
      <c r="BB328" s="237" t="n">
        <f aca="false">IF(BB326=0,0,IF(BB326&lt;=12*'🎚️ Escenario'!$C$11,1,1+$C$6))</f>
        <v>0</v>
      </c>
      <c r="BC328" s="237" t="n">
        <f aca="false">IF(BC326=0,0,IF(BC326&lt;=12*'🎚️ Escenario'!$C$11,1,1+$C$6))</f>
        <v>0</v>
      </c>
      <c r="BD328" s="237" t="n">
        <f aca="false">IF(BD326=0,0,IF(BD326&lt;=12*'🎚️ Escenario'!$C$11,1,1+$C$6))</f>
        <v>0</v>
      </c>
      <c r="BE328" s="237" t="n">
        <f aca="false">IF(BE326=0,0,IF(BE326&lt;=12*'🎚️ Escenario'!$C$11,1,1+$C$6))</f>
        <v>0</v>
      </c>
      <c r="BF328" s="237" t="n">
        <f aca="false">IF(BF326=0,0,IF(BF326&lt;=12*'🎚️ Escenario'!$C$11,1,1+$C$6))</f>
        <v>0</v>
      </c>
      <c r="BG328" s="237" t="n">
        <f aca="false">IF(BG326=0,0,IF(BG326&lt;=12*'🎚️ Escenario'!$C$11,1,1+$C$6))</f>
        <v>0</v>
      </c>
      <c r="BH328" s="237" t="n">
        <f aca="false">IF(BH326=0,0,IF(BH326&lt;=12*'🎚️ Escenario'!$C$11,1,1+$C$6))</f>
        <v>0</v>
      </c>
      <c r="BI328" s="237" t="n">
        <f aca="false">IF(BI326=0,0,IF(BI326&lt;=12*'🎚️ Escenario'!$C$11,1,1+$C$6))</f>
        <v>0</v>
      </c>
      <c r="BJ328" s="237" t="n">
        <f aca="false">IF(BJ326=0,0,IF(BJ326&lt;=12*'🎚️ Escenario'!$C$11,1,1+$C$6))</f>
        <v>0</v>
      </c>
      <c r="BK328" s="237" t="n">
        <f aca="false">IF(BK326=0,0,IF(BK326&lt;=12*'🎚️ Escenario'!$C$11,1,1+$C$6))</f>
        <v>0</v>
      </c>
      <c r="BL328" s="237" t="n">
        <f aca="false">IF(BL326=0,0,IF(BL326&lt;=12*'🎚️ Escenario'!$C$11,1,1+$C$6))</f>
        <v>0</v>
      </c>
      <c r="BM328" s="237" t="n">
        <f aca="false">IF(BM326=0,0,IF(BM326&lt;=12*'🎚️ Escenario'!$C$11,1,1+$C$6))</f>
        <v>0</v>
      </c>
      <c r="BN328" s="237" t="n">
        <f aca="false">IF(BN326=0,0,IF(BN326&lt;=12*'🎚️ Escenario'!$C$11,1,1+$C$6))</f>
        <v>0</v>
      </c>
      <c r="BO328" s="237" t="n">
        <f aca="false">IF(BO326=0,0,IF(BO326&lt;=12*'🎚️ Escenario'!$C$11,1,1+$C$6))</f>
        <v>0</v>
      </c>
      <c r="BP328" s="237" t="n">
        <f aca="false">IF(BP326=0,0,IF(BP326&lt;=12*'🎚️ Escenario'!$C$11,1,1+$C$6))</f>
        <v>0</v>
      </c>
      <c r="BQ328" s="237" t="n">
        <f aca="false">IF(BQ326=0,0,IF(BQ326&lt;=12*'🎚️ Escenario'!$C$11,1,1+$C$6))</f>
        <v>0</v>
      </c>
      <c r="BR328" s="237" t="n">
        <f aca="false">IF(BR326=0,0,IF(BR326&lt;=12*'🎚️ Escenario'!$C$11,1,1+$C$6))</f>
        <v>0</v>
      </c>
      <c r="BS328" s="237" t="n">
        <f aca="false">IF(BS326=0,0,IF(BS326&lt;=12*'🎚️ Escenario'!$C$11,1,1+$C$6))</f>
        <v>0</v>
      </c>
      <c r="BT328" s="237" t="n">
        <f aca="false">IF(BT326=0,0,IF(BT326&lt;=12*'🎚️ Escenario'!$C$11,1,1+$C$6))</f>
        <v>0</v>
      </c>
      <c r="BU328" s="237" t="n">
        <f aca="false">IF(BU326=0,0,IF(BU326&lt;=12*'🎚️ Escenario'!$C$11,1,1+$C$6))</f>
        <v>0</v>
      </c>
      <c r="BV328" s="237" t="n">
        <f aca="false">IF(BV326=0,0,IF(BV326&lt;=12*'🎚️ Escenario'!$C$11,1,1+$C$6))</f>
        <v>0</v>
      </c>
      <c r="BW328" s="237" t="n">
        <f aca="false">IF(BW326=0,0,IF(BW326&lt;=12*'🎚️ Escenario'!$C$11,1,1+$C$6))</f>
        <v>0</v>
      </c>
      <c r="BX328" s="237" t="n">
        <f aca="false">IF(BX326=0,0,IF(BX326&lt;=12*'🎚️ Escenario'!$C$11,1,1+$C$6))</f>
        <v>0</v>
      </c>
      <c r="BY328" s="237" t="n">
        <f aca="false">IF(BY326=0,0,IF(BY326&lt;=12*'🎚️ Escenario'!$C$11,1,1+$C$6))</f>
        <v>0</v>
      </c>
      <c r="BZ328" s="237" t="n">
        <f aca="false">IF(BZ326=0,0,IF(BZ326&lt;=12*'🎚️ Escenario'!$C$11,1,1+$C$6))</f>
        <v>0</v>
      </c>
      <c r="CA328" s="237" t="n">
        <f aca="false">IF(CA326=0,0,IF(CA326&lt;=12*'🎚️ Escenario'!$C$11,1,1+$C$6))</f>
        <v>0</v>
      </c>
      <c r="CB328" s="237" t="n">
        <f aca="false">IF(CB326=0,0,IF(CB326&lt;=12*'🎚️ Escenario'!$C$11,1,1+$C$6))</f>
        <v>0</v>
      </c>
      <c r="CC328" s="237" t="n">
        <f aca="false">IF(CC326=0,0,IF(CC326&lt;=12*'🎚️ Escenario'!$C$11,1,1+$C$6))</f>
        <v>0</v>
      </c>
      <c r="CD328" s="237" t="n">
        <f aca="false">IF(CD326=0,0,IF(CD326&lt;=12*'🎚️ Escenario'!$C$11,1,1+$C$6))</f>
        <v>0</v>
      </c>
      <c r="CE328" s="237" t="n">
        <f aca="false">IF(CE326=0,0,IF(CE326&lt;=12*'🎚️ Escenario'!$C$11,1,1+$C$6))</f>
        <v>0</v>
      </c>
      <c r="CF328" s="237" t="n">
        <f aca="false">IF(CF326=0,0,IF(CF326&lt;=12*'🎚️ Escenario'!$C$11,1,1+$C$6))</f>
        <v>0</v>
      </c>
      <c r="CG328" s="237" t="n">
        <f aca="false">IF(CG326=0,0,IF(CG326&lt;=12*'🎚️ Escenario'!$C$11,1,1+$C$6))</f>
        <v>0</v>
      </c>
      <c r="CH328" s="237" t="n">
        <f aca="false">IF(CH326=0,0,IF(CH326&lt;=12*'🎚️ Escenario'!$C$11,1,1+$C$6))</f>
        <v>0</v>
      </c>
      <c r="CI328" s="237" t="n">
        <f aca="false">IF(CI326=0,0,IF(CI326&lt;=12*'🎚️ Escenario'!$C$11,1,1+$C$6))</f>
        <v>0</v>
      </c>
      <c r="CJ328" s="237" t="n">
        <f aca="false">IF(CJ326=0,0,IF(CJ326&lt;=12*'🎚️ Escenario'!$C$11,1,1+$C$6))</f>
        <v>0</v>
      </c>
      <c r="CK328" s="237" t="n">
        <f aca="false">IF(CK326=0,0,IF(CK326&lt;=12*'🎚️ Escenario'!$C$11,1,1+$C$6))</f>
        <v>0</v>
      </c>
      <c r="CL328" s="237" t="n">
        <f aca="false">IF(CL326=0,0,IF(CL326&lt;=12*'🎚️ Escenario'!$C$11,1,1+$C$6))</f>
        <v>0</v>
      </c>
      <c r="CM328" s="237" t="n">
        <f aca="false">IF(CM326=0,0,IF(CM326&lt;=12*'🎚️ Escenario'!$C$11,1,1+$C$6))</f>
        <v>0</v>
      </c>
      <c r="CN328" s="237" t="n">
        <f aca="false">IF(CN326=0,0,IF(CN326&lt;=12*'🎚️ Escenario'!$C$11,1,1+$C$6))</f>
        <v>0</v>
      </c>
      <c r="CO328" s="237" t="n">
        <f aca="false">IF(CO326=0,0,IF(CO326&lt;=12*'🎚️ Escenario'!$C$11,1,1+$C$6))</f>
        <v>0</v>
      </c>
      <c r="CP328" s="237" t="n">
        <f aca="false">IF(CP326=0,0,IF(CP326&lt;=12*'🎚️ Escenario'!$C$11,1,1+$C$6))</f>
        <v>0</v>
      </c>
      <c r="CQ328" s="237" t="n">
        <f aca="false">IF(CQ326=0,0,IF(CQ326&lt;=12*'🎚️ Escenario'!$C$11,1,1+$C$6))</f>
        <v>0</v>
      </c>
      <c r="CR328" s="237" t="n">
        <f aca="false">IF(CR326=0,0,IF(CR326&lt;=12*'🎚️ Escenario'!$C$11,1,1+$C$6))</f>
        <v>0</v>
      </c>
      <c r="CS328" s="237" t="n">
        <f aca="false">IF(CS326=0,0,IF(CS326&lt;=12*'🎚️ Escenario'!$C$11,1,1+$C$6))</f>
        <v>0</v>
      </c>
      <c r="CT328" s="237" t="n">
        <f aca="false">IF(CT326=0,0,IF(CT326&lt;=12*'🎚️ Escenario'!$C$11,1,1+$C$6))</f>
        <v>0</v>
      </c>
      <c r="CU328" s="237" t="n">
        <f aca="false">IF(CU326=0,0,IF(CU326&lt;=12*'🎚️ Escenario'!$C$11,1,1+$C$6))</f>
        <v>0</v>
      </c>
      <c r="CV328" s="237" t="n">
        <f aca="false">IF(CV326=0,0,IF(CV326&lt;=12*'🎚️ Escenario'!$C$11,1,1+$C$6))</f>
        <v>0</v>
      </c>
      <c r="CW328" s="237" t="n">
        <f aca="false">IF(CW326=0,0,IF(CW326&lt;=12*'🎚️ Escenario'!$C$11,1,1+$C$6))</f>
        <v>0</v>
      </c>
      <c r="CX328" s="237" t="n">
        <f aca="false">IF(CX326=0,0,IF(CX326&lt;=12*'🎚️ Escenario'!$C$11,1,1+$C$6))</f>
        <v>0</v>
      </c>
      <c r="CY328" s="237" t="n">
        <f aca="false">IF(CY326=0,0,IF(CY326&lt;=12*'🎚️ Escenario'!$C$11,1,1+$C$6))</f>
        <v>0</v>
      </c>
      <c r="CZ328" s="237" t="n">
        <f aca="false">IF(CZ326=0,0,IF(CZ326&lt;=12*'🎚️ Escenario'!$C$11,1,1+$C$6))</f>
        <v>0</v>
      </c>
      <c r="DA328" s="237" t="n">
        <f aca="false">IF(DA326=0,0,IF(DA326&lt;=12*'🎚️ Escenario'!$C$11,1,1+$C$6))</f>
        <v>0</v>
      </c>
      <c r="DB328" s="237" t="n">
        <f aca="false">IF(DB326=0,0,IF(DB326&lt;=12*'🎚️ Escenario'!$C$11,1,1+$C$6))</f>
        <v>0</v>
      </c>
      <c r="DC328" s="237" t="n">
        <f aca="false">IF(DC326=0,0,IF(DC326&lt;=12*'🎚️ Escenario'!$C$11,1,1+$C$6))</f>
        <v>0</v>
      </c>
      <c r="DD328" s="237" t="n">
        <f aca="false">IF(DD326=0,0,IF(DD326&lt;=12*'🎚️ Escenario'!$C$11,1,1+$C$6))</f>
        <v>0</v>
      </c>
      <c r="DE328" s="237" t="n">
        <f aca="false">IF(DE326=0,0,IF(DE326&lt;=12*'🎚️ Escenario'!$C$11,1,1+$C$6))</f>
        <v>0</v>
      </c>
      <c r="DF328" s="237" t="n">
        <f aca="false">IF(DF326=0,0,IF(DF326&lt;=12*'🎚️ Escenario'!$C$11,1,1+$C$6))</f>
        <v>0</v>
      </c>
      <c r="DG328" s="237" t="n">
        <f aca="false">IF(DG326=0,0,IF(DG326&lt;=12*'🎚️ Escenario'!$C$11,1,1+$C$6))</f>
        <v>0</v>
      </c>
      <c r="DH328" s="237" t="n">
        <f aca="false">IF(DH326=0,0,IF(DH326&lt;=12*'🎚️ Escenario'!$C$11,1,1+$C$6))</f>
        <v>0</v>
      </c>
      <c r="DI328" s="237" t="n">
        <f aca="false">IF(DI326=0,0,IF(DI326&lt;=12*'🎚️ Escenario'!$C$11,1,1+$C$6))</f>
        <v>0</v>
      </c>
      <c r="DJ328" s="237" t="n">
        <f aca="false">IF(DJ326=0,0,IF(DJ326&lt;=12*'🎚️ Escenario'!$C$11,1,1+$C$6))</f>
        <v>0</v>
      </c>
      <c r="DK328" s="237" t="n">
        <f aca="false">IF(DK326=0,0,IF(DK326&lt;=12*'🎚️ Escenario'!$C$11,1,1+$C$6))</f>
        <v>0</v>
      </c>
      <c r="DL328" s="237" t="n">
        <f aca="false">IF(DL326=0,0,IF(DL326&lt;=12*'🎚️ Escenario'!$C$11,1,1+$C$6))</f>
        <v>0</v>
      </c>
      <c r="DM328" s="237" t="n">
        <f aca="false">IF(DM326=0,0,IF(DM326&lt;=12*'🎚️ Escenario'!$C$11,1,1+$C$6))</f>
        <v>0</v>
      </c>
      <c r="DN328" s="237" t="n">
        <f aca="false">IF(DN326=0,0,IF(DN326&lt;=12*'🎚️ Escenario'!$C$11,1,1+$C$6))</f>
        <v>0</v>
      </c>
      <c r="DO328" s="237" t="n">
        <f aca="false">IF(DO326=0,0,IF(DO326&lt;=12*'🎚️ Escenario'!$C$11,1,1+$C$6))</f>
        <v>0</v>
      </c>
      <c r="DP328" s="237" t="n">
        <f aca="false">IF(DP326=0,0,IF(DP326&lt;=12*'🎚️ Escenario'!$C$11,1,1+$C$6))</f>
        <v>0</v>
      </c>
      <c r="DQ328" s="237" t="n">
        <f aca="false">IF(DQ326=0,0,IF(DQ326&lt;=12*'🎚️ Escenario'!$C$11,1,1+$C$6))</f>
        <v>1</v>
      </c>
      <c r="DR328" s="237" t="n">
        <f aca="false">IF(DR326=0,0,IF(DR326&lt;=12*'🎚️ Escenario'!$C$11,1,1+$C$6))</f>
        <v>1</v>
      </c>
      <c r="DS328" s="237" t="n">
        <f aca="false">IF(DS326=0,0,IF(DS326&lt;=12*'🎚️ Escenario'!$C$11,1,1+$C$6))</f>
        <v>1</v>
      </c>
      <c r="DT328" s="237" t="n">
        <f aca="false">IF(DT326=0,0,IF(DT326&lt;=12*'🎚️ Escenario'!$C$11,1,1+$C$6))</f>
        <v>1</v>
      </c>
      <c r="DU328" s="237" t="n">
        <f aca="false">IF(DU326=0,0,IF(DU326&lt;=12*'🎚️ Escenario'!$C$11,1,1+$C$6))</f>
        <v>1</v>
      </c>
      <c r="DV328" s="237" t="n">
        <f aca="false">IF(DV326=0,0,IF(DV326&lt;=12*'🎚️ Escenario'!$C$11,1,1+$C$6))</f>
        <v>1</v>
      </c>
      <c r="DW328" s="237" t="n">
        <f aca="false">IF(DW326=0,0,IF(DW326&lt;=12*'🎚️ Escenario'!$C$11,1,1+$C$6))</f>
        <v>1</v>
      </c>
      <c r="DX328" s="237" t="n">
        <f aca="false">IF(DX326=0,0,IF(DX326&lt;=12*'🎚️ Escenario'!$C$11,1,1+$C$6))</f>
        <v>1</v>
      </c>
      <c r="DY328" s="237" t="n">
        <f aca="false">IF(DY326=0,0,IF(DY326&lt;=12*'🎚️ Escenario'!$C$11,1,1+$C$6))</f>
        <v>1</v>
      </c>
      <c r="DZ328" s="237" t="n">
        <f aca="false">IF(DZ326=0,0,IF(DZ326&lt;=12*'🎚️ Escenario'!$C$11,1,1+$C$6))</f>
        <v>1</v>
      </c>
      <c r="EA328" s="237" t="n">
        <f aca="false">IF(EA326=0,0,IF(EA326&lt;=12*'🎚️ Escenario'!$C$11,1,1+$C$6))</f>
        <v>1</v>
      </c>
      <c r="EB328" s="237" t="n">
        <f aca="false">IF(EB326=0,0,IF(EB326&lt;=12*'🎚️ Escenario'!$C$11,1,1+$C$6))</f>
        <v>1</v>
      </c>
      <c r="EC328" s="237" t="n">
        <f aca="false">IF(EC326=0,0,IF(EC326&lt;=12*'🎚️ Escenario'!$C$11,1,1+$C$6))</f>
        <v>1</v>
      </c>
      <c r="ED328" s="237" t="n">
        <f aca="false">IF(ED326=0,0,IF(ED326&lt;=12*'🎚️ Escenario'!$C$11,1,1+$C$6))</f>
        <v>1</v>
      </c>
      <c r="EE328" s="237" t="n">
        <f aca="false">IF(EE326=0,0,IF(EE326&lt;=12*'🎚️ Escenario'!$C$11,1,1+$C$6))</f>
        <v>1</v>
      </c>
      <c r="EF328" s="237" t="n">
        <f aca="false">IF(EF326=0,0,IF(EF326&lt;=12*'🎚️ Escenario'!$C$11,1,1+$C$6))</f>
        <v>1.2</v>
      </c>
      <c r="EG328" s="237" t="n">
        <f aca="false">IF(EG326=0,0,IF(EG326&lt;=12*'🎚️ Escenario'!$C$11,1,1+$C$6))</f>
        <v>1.2</v>
      </c>
      <c r="EH328" s="237" t="n">
        <f aca="false">IF(EH326=0,0,IF(EH326&lt;=12*'🎚️ Escenario'!$C$11,1,1+$C$6))</f>
        <v>1.2</v>
      </c>
      <c r="EI328" s="237" t="n">
        <f aca="false">IF(EI326=0,0,IF(EI326&lt;=12*'🎚️ Escenario'!$C$11,1,1+$C$6))</f>
        <v>1.2</v>
      </c>
      <c r="EJ328" s="237" t="n">
        <f aca="false">IF(EJ326=0,0,IF(EJ326&lt;=12*'🎚️ Escenario'!$C$11,1,1+$C$6))</f>
        <v>1.2</v>
      </c>
      <c r="EK328" s="237" t="n">
        <f aca="false">IF(EK326=0,0,IF(EK326&lt;=12*'🎚️ Escenario'!$C$11,1,1+$C$6))</f>
        <v>1.2</v>
      </c>
      <c r="EL328" s="237" t="n">
        <f aca="false">IF(EL326=0,0,IF(EL326&lt;=12*'🎚️ Escenario'!$C$11,1,1+$C$6))</f>
        <v>1.2</v>
      </c>
      <c r="EM328" s="237" t="n">
        <f aca="false">IF(EM326=0,0,IF(EM326&lt;=12*'🎚️ Escenario'!$C$11,1,1+$C$6))</f>
        <v>1.2</v>
      </c>
      <c r="EN328" s="237" t="n">
        <f aca="false">IF(EN326=0,0,IF(EN326&lt;=12*'🎚️ Escenario'!$C$11,1,1+$C$6))</f>
        <v>1.2</v>
      </c>
      <c r="EO328" s="237" t="n">
        <f aca="false">IF(EO326=0,0,IF(EO326&lt;=12*'🎚️ Escenario'!$C$11,1,1+$C$6))</f>
        <v>1.2</v>
      </c>
      <c r="EP328" s="237" t="n">
        <f aca="false">IF(EP326=0,0,IF(EP326&lt;=12*'🎚️ Escenario'!$C$11,1,1+$C$6))</f>
        <v>1.2</v>
      </c>
      <c r="EQ328" s="237" t="n">
        <f aca="false">IF(EQ326=0,0,IF(EQ326&lt;=12*'🎚️ Escenario'!$C$11,1,1+$C$6))</f>
        <v>1.2</v>
      </c>
      <c r="ER328" s="237" t="n">
        <f aca="false">IF(ER326=0,0,IF(ER326&lt;=12*'🎚️ Escenario'!$C$11,1,1+$C$6))</f>
        <v>1.2</v>
      </c>
      <c r="ES328" s="238" t="n">
        <f aca="false">IF(ES326=0,0,IF(ES326&lt;=12*'🎚️ Escenario'!$C$11,1,1+$C$6))</f>
        <v>1.2</v>
      </c>
      <c r="ET328" s="238" t="n">
        <f aca="false">IF(ET326=0,0,IF(ET326&lt;=12*'🎚️ Escenario'!$C$11,1,1+$C$6))</f>
        <v>1.2</v>
      </c>
      <c r="EU328" s="238" t="n">
        <f aca="false">IF(EU326=0,0,IF(EU326&lt;=12*'🎚️ Escenario'!$C$11,1,1+$C$6))</f>
        <v>1.2</v>
      </c>
      <c r="EV328" s="238" t="n">
        <f aca="false">IF(EV326=0,0,IF(EV326&lt;=12*'🎚️ Escenario'!$C$11,1,1+$C$6))</f>
        <v>1.2</v>
      </c>
      <c r="EW328" s="238" t="n">
        <f aca="false">IF(EW326=0,0,IF(EW326&lt;=12*'🎚️ Escenario'!$C$11,1,1+$C$6))</f>
        <v>1.2</v>
      </c>
      <c r="EX328" s="238" t="n">
        <f aca="false">IF(EX326=0,0,IF(EX326&lt;=12*'🎚️ Escenario'!$C$11,1,1+$C$6))</f>
        <v>1.2</v>
      </c>
      <c r="EY328" s="238" t="n">
        <f aca="false">IF(EY326=0,0,IF(EY326&lt;=12*'🎚️ Escenario'!$C$11,1,1+$C$6))</f>
        <v>1.2</v>
      </c>
      <c r="EZ328" s="238" t="n">
        <f aca="false">IF(EZ326=0,0,IF(EZ326&lt;=12*'🎚️ Escenario'!$C$11,1,1+$C$6))</f>
        <v>1.2</v>
      </c>
      <c r="FA328" s="238" t="n">
        <f aca="false">IF(FA326=0,0,IF(FA326&lt;=12*'🎚️ Escenario'!$C$11,1,1+$C$6))</f>
        <v>1.2</v>
      </c>
      <c r="FB328" s="238" t="n">
        <f aca="false">IF(FB326=0,0,IF(FB326&lt;=12*'🎚️ Escenario'!$C$11,1,1+$C$6))</f>
        <v>1.2</v>
      </c>
      <c r="FC328" s="238" t="n">
        <f aca="false">IF(FC326=0,0,IF(FC326&lt;=12*'🎚️ Escenario'!$C$11,1,1+$C$6))</f>
        <v>1.2</v>
      </c>
      <c r="FD328" s="238" t="n">
        <f aca="false">IF(FD326=0,0,IF(FD326&lt;=12*'🎚️ Escenario'!$C$11,1,1+$C$6))</f>
        <v>1.2</v>
      </c>
      <c r="FE328" s="238" t="n">
        <f aca="false">IF(FE326=0,0,IF(FE326&lt;=12*'🎚️ Escenario'!$C$11,1,1+$C$6))</f>
        <v>1.2</v>
      </c>
      <c r="FF328" s="238" t="n">
        <f aca="false">IF(FF326=0,0,IF(FF326&lt;=12*'🎚️ Escenario'!$C$11,1,1+$C$6))</f>
        <v>1.2</v>
      </c>
      <c r="FG328" s="238" t="n">
        <f aca="false">IF(FG326=0,0,IF(FG326&lt;=12*'🎚️ Escenario'!$C$11,1,1+$C$6))</f>
        <v>1.2</v>
      </c>
      <c r="FH328" s="238" t="n">
        <f aca="false">IF(FH326=0,0,IF(FH326&lt;=12*'🎚️ Escenario'!$C$11,1,1+$C$6))</f>
        <v>1.2</v>
      </c>
      <c r="FI328" s="238" t="n">
        <f aca="false">IF(FI326=0,0,IF(FI326&lt;=12*'🎚️ Escenario'!$C$11,1,1+$C$6))</f>
        <v>1.2</v>
      </c>
      <c r="FJ328" s="238" t="n">
        <f aca="false">IF(FJ326=0,0,IF(FJ326&lt;=12*'🎚️ Escenario'!$C$11,1,1+$C$6))</f>
        <v>1.2</v>
      </c>
      <c r="FK328" s="238" t="n">
        <f aca="false">IF(FK326=0,0,IF(FK326&lt;=12*'🎚️ Escenario'!$C$11,1,1+$C$6))</f>
        <v>1.2</v>
      </c>
      <c r="FL328" s="238" t="n">
        <f aca="false">IF(FL326=0,0,IF(FL326&lt;=12*'🎚️ Escenario'!$C$11,1,1+$C$6))</f>
        <v>1.2</v>
      </c>
      <c r="FM328" s="238" t="n">
        <f aca="false">IF(FM326=0,0,IF(FM326&lt;=12*'🎚️ Escenario'!$C$11,1,1+$C$6))</f>
        <v>1.2</v>
      </c>
      <c r="FN328" s="238" t="n">
        <f aca="false">IF(FN326=0,0,IF(FN326&lt;=12*'🎚️ Escenario'!$C$11,1,1+$C$6))</f>
        <v>1.2</v>
      </c>
      <c r="FO328" s="238" t="n">
        <f aca="false">IF(FO326=0,0,IF(FO326&lt;=12*'🎚️ Escenario'!$C$11,1,1+$C$6))</f>
        <v>1.2</v>
      </c>
      <c r="FP328" s="238" t="n">
        <f aca="false">IF(FP326=0,0,IF(FP326&lt;=12*'🎚️ Escenario'!$C$11,1,1+$C$6))</f>
        <v>1.2</v>
      </c>
    </row>
    <row r="329" customFormat="false" ht="15" hidden="false" customHeight="false" outlineLevel="2" collapsed="false">
      <c r="B329" s="47" t="s">
        <v>876</v>
      </c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237" t="n">
        <f aca="false">AC327*$AC$325*AC328*AC$38*'⑫ Roll-out Plan'!$O$37</f>
        <v>0</v>
      </c>
      <c r="AD329" s="237" t="n">
        <f aca="false">AD327*$AC$325*AD328*AD$38*'⑫ Roll-out Plan'!$O$37</f>
        <v>0</v>
      </c>
      <c r="AE329" s="237" t="n">
        <f aca="false">AE327*$AC$325*AE328*AE$38*'⑫ Roll-out Plan'!$O$37</f>
        <v>0</v>
      </c>
      <c r="AF329" s="237" t="n">
        <f aca="false">AF327*$AC$325*AF328*AF$38*'⑫ Roll-out Plan'!$O$37</f>
        <v>0</v>
      </c>
      <c r="AG329" s="237" t="n">
        <f aca="false">AG327*$AC$325*AG328*AG$38*'⑫ Roll-out Plan'!$O$37</f>
        <v>0</v>
      </c>
      <c r="AH329" s="237" t="n">
        <f aca="false">AH327*$AC$325*AH328*AH$38*'⑫ Roll-out Plan'!$O$37</f>
        <v>0</v>
      </c>
      <c r="AI329" s="237" t="n">
        <f aca="false">AI327*$AC$325*AI328*AI$38*'⑫ Roll-out Plan'!$O$37</f>
        <v>0</v>
      </c>
      <c r="AJ329" s="237" t="n">
        <f aca="false">AJ327*$AC$325*AJ328*AJ$38*'⑫ Roll-out Plan'!$O$37</f>
        <v>0</v>
      </c>
      <c r="AK329" s="237" t="n">
        <f aca="false">AK327*$AC$325*AK328*AK$38*'⑫ Roll-out Plan'!$O$37</f>
        <v>0</v>
      </c>
      <c r="AL329" s="237" t="n">
        <f aca="false">AL327*$AC$325*AL328*AL$38*'⑫ Roll-out Plan'!$O$37</f>
        <v>0</v>
      </c>
      <c r="AM329" s="237" t="n">
        <f aca="false">AM327*$AC$325*AM328*AM$38*'⑫ Roll-out Plan'!$O$37</f>
        <v>0</v>
      </c>
      <c r="AN329" s="237" t="n">
        <f aca="false">AN327*$AC$325*AN328*AN$38*'⑫ Roll-out Plan'!$O$37</f>
        <v>0</v>
      </c>
      <c r="AO329" s="237" t="n">
        <f aca="false">AO327*$AC$325*AO328*AO$38*'⑫ Roll-out Plan'!$O$37</f>
        <v>0</v>
      </c>
      <c r="AP329" s="237" t="n">
        <f aca="false">AP327*$AC$325*AP328*AP$38*'⑫ Roll-out Plan'!$O$37</f>
        <v>0</v>
      </c>
      <c r="AQ329" s="237" t="n">
        <f aca="false">AQ327*$AC$325*AQ328*AQ$38*'⑫ Roll-out Plan'!$O$37</f>
        <v>0</v>
      </c>
      <c r="AR329" s="237" t="n">
        <f aca="false">AR327*$AC$325*AR328*AR$38*'⑫ Roll-out Plan'!$O$37</f>
        <v>0</v>
      </c>
      <c r="AS329" s="237" t="n">
        <f aca="false">AS327*$AC$325*AS328*AS$38*'⑫ Roll-out Plan'!$O$37</f>
        <v>0</v>
      </c>
      <c r="AT329" s="237" t="n">
        <f aca="false">AT327*$AC$325*AT328*AT$38*'⑫ Roll-out Plan'!$O$37</f>
        <v>0</v>
      </c>
      <c r="AU329" s="237" t="n">
        <f aca="false">AU327*$AC$325*AU328*AU$38*'⑫ Roll-out Plan'!$O$37</f>
        <v>0</v>
      </c>
      <c r="AV329" s="237" t="n">
        <f aca="false">AV327*$AC$325*AV328*AV$38*'⑫ Roll-out Plan'!$O$37</f>
        <v>0</v>
      </c>
      <c r="AW329" s="237" t="n">
        <f aca="false">AW327*$AC$325*AW328*AW$38*'⑫ Roll-out Plan'!$O$37</f>
        <v>0</v>
      </c>
      <c r="AX329" s="237" t="n">
        <f aca="false">AX327*$AC$325*AX328*AX$38*'⑫ Roll-out Plan'!$O$37</f>
        <v>0</v>
      </c>
      <c r="AY329" s="237" t="n">
        <f aca="false">AY327*$AC$325*AY328*AY$38*'⑫ Roll-out Plan'!$O$37</f>
        <v>0</v>
      </c>
      <c r="AZ329" s="237" t="n">
        <f aca="false">AZ327*$AC$325*AZ328*AZ$38*'⑫ Roll-out Plan'!$O$37</f>
        <v>0</v>
      </c>
      <c r="BA329" s="237" t="n">
        <f aca="false">BA327*$AC$325*BA328*BA$38*'⑫ Roll-out Plan'!$O$37</f>
        <v>0</v>
      </c>
      <c r="BB329" s="237" t="n">
        <f aca="false">BB327*$AC$325*BB328*BB$38*'⑫ Roll-out Plan'!$O$37</f>
        <v>0</v>
      </c>
      <c r="BC329" s="237" t="n">
        <f aca="false">BC327*$AC$325*BC328*BC$38*'⑫ Roll-out Plan'!$O$37</f>
        <v>0</v>
      </c>
      <c r="BD329" s="237" t="n">
        <f aca="false">BD327*$AC$325*BD328*BD$38*'⑫ Roll-out Plan'!$O$37</f>
        <v>0</v>
      </c>
      <c r="BE329" s="237" t="n">
        <f aca="false">BE327*$AC$325*BE328*BE$38*'⑫ Roll-out Plan'!$O$37</f>
        <v>0</v>
      </c>
      <c r="BF329" s="237" t="n">
        <f aca="false">BF327*$AC$325*BF328*BF$38*'⑫ Roll-out Plan'!$O$37</f>
        <v>0</v>
      </c>
      <c r="BG329" s="237" t="n">
        <f aca="false">BG327*$AC$325*BG328*BG$38*'⑫ Roll-out Plan'!$O$37</f>
        <v>0</v>
      </c>
      <c r="BH329" s="237" t="n">
        <f aca="false">BH327*$AC$325*BH328*BH$38*'⑫ Roll-out Plan'!$O$37</f>
        <v>0</v>
      </c>
      <c r="BI329" s="237" t="n">
        <f aca="false">BI327*$AC$325*BI328*BI$38*'⑫ Roll-out Plan'!$O$37</f>
        <v>0</v>
      </c>
      <c r="BJ329" s="237" t="n">
        <f aca="false">BJ327*$AC$325*BJ328*BJ$38*'⑫ Roll-out Plan'!$O$37</f>
        <v>0</v>
      </c>
      <c r="BK329" s="237" t="n">
        <f aca="false">BK327*$AC$325*BK328*BK$38*'⑫ Roll-out Plan'!$O$37</f>
        <v>0</v>
      </c>
      <c r="BL329" s="237" t="n">
        <f aca="false">BL327*$AC$325*BL328*BL$38*'⑫ Roll-out Plan'!$O$37</f>
        <v>0</v>
      </c>
      <c r="BM329" s="237" t="n">
        <f aca="false">BM327*$AC$325*BM328*BM$38*'⑫ Roll-out Plan'!$O$37</f>
        <v>0</v>
      </c>
      <c r="BN329" s="237" t="n">
        <f aca="false">BN327*$AC$325*BN328*BN$38*'⑫ Roll-out Plan'!$O$37</f>
        <v>0</v>
      </c>
      <c r="BO329" s="237" t="n">
        <f aca="false">BO327*$AC$325*BO328*BO$38*'⑫ Roll-out Plan'!$O$37</f>
        <v>0</v>
      </c>
      <c r="BP329" s="237" t="n">
        <f aca="false">BP327*$AC$325*BP328*BP$38*'⑫ Roll-out Plan'!$O$37</f>
        <v>0</v>
      </c>
      <c r="BQ329" s="237" t="n">
        <f aca="false">BQ327*$AC$325*BQ328*BQ$38*'⑫ Roll-out Plan'!$O$37</f>
        <v>0</v>
      </c>
      <c r="BR329" s="237" t="n">
        <f aca="false">BR327*$AC$325*BR328*BR$38*'⑫ Roll-out Plan'!$O$37</f>
        <v>0</v>
      </c>
      <c r="BS329" s="237" t="n">
        <f aca="false">BS327*$AC$325*BS328*BS$38*'⑫ Roll-out Plan'!$O$37</f>
        <v>0</v>
      </c>
      <c r="BT329" s="237" t="n">
        <f aca="false">BT327*$AC$325*BT328*BT$38*'⑫ Roll-out Plan'!$O$37</f>
        <v>0</v>
      </c>
      <c r="BU329" s="237" t="n">
        <f aca="false">BU327*$AC$325*BU328*BU$38*'⑫ Roll-out Plan'!$O$37</f>
        <v>0</v>
      </c>
      <c r="BV329" s="237" t="n">
        <f aca="false">BV327*$AC$325*BV328*BV$38*'⑫ Roll-out Plan'!$O$37</f>
        <v>0</v>
      </c>
      <c r="BW329" s="237" t="n">
        <f aca="false">BW327*$AC$325*BW328*BW$38*'⑫ Roll-out Plan'!$O$37</f>
        <v>0</v>
      </c>
      <c r="BX329" s="237" t="n">
        <f aca="false">BX327*$AC$325*BX328*BX$38*'⑫ Roll-out Plan'!$O$37</f>
        <v>0</v>
      </c>
      <c r="BY329" s="237" t="n">
        <f aca="false">BY327*$AC$325*BY328*BY$38*'⑫ Roll-out Plan'!$O$37</f>
        <v>0</v>
      </c>
      <c r="BZ329" s="237" t="n">
        <f aca="false">BZ327*$AC$325*BZ328*BZ$38*'⑫ Roll-out Plan'!$O$37</f>
        <v>0</v>
      </c>
      <c r="CA329" s="237" t="n">
        <f aca="false">CA327*$AC$325*CA328*CA$38*'⑫ Roll-out Plan'!$O$37</f>
        <v>0</v>
      </c>
      <c r="CB329" s="237" t="n">
        <f aca="false">CB327*$AC$325*CB328*CB$38*'⑫ Roll-out Plan'!$O$37</f>
        <v>0</v>
      </c>
      <c r="CC329" s="237" t="n">
        <f aca="false">CC327*$AC$325*CC328*CC$38*'⑫ Roll-out Plan'!$O$37</f>
        <v>0</v>
      </c>
      <c r="CD329" s="237" t="n">
        <f aca="false">CD327*$AC$325*CD328*CD$38*'⑫ Roll-out Plan'!$O$37</f>
        <v>0</v>
      </c>
      <c r="CE329" s="237" t="n">
        <f aca="false">CE327*$AC$325*CE328*CE$38*'⑫ Roll-out Plan'!$O$37</f>
        <v>0</v>
      </c>
      <c r="CF329" s="237" t="n">
        <f aca="false">CF327*$AC$325*CF328*CF$38*'⑫ Roll-out Plan'!$O$37</f>
        <v>0</v>
      </c>
      <c r="CG329" s="237" t="n">
        <f aca="false">CG327*$AC$325*CG328*CG$38*'⑫ Roll-out Plan'!$O$37</f>
        <v>0</v>
      </c>
      <c r="CH329" s="237" t="n">
        <f aca="false">CH327*$AC$325*CH328*CH$38*'⑫ Roll-out Plan'!$O$37</f>
        <v>0</v>
      </c>
      <c r="CI329" s="237" t="n">
        <f aca="false">CI327*$AC$325*CI328*CI$38*'⑫ Roll-out Plan'!$O$37</f>
        <v>0</v>
      </c>
      <c r="CJ329" s="237" t="n">
        <f aca="false">CJ327*$AC$325*CJ328*CJ$38*'⑫ Roll-out Plan'!$O$37</f>
        <v>0</v>
      </c>
      <c r="CK329" s="237" t="n">
        <f aca="false">CK327*$AC$325*CK328*CK$38*'⑫ Roll-out Plan'!$O$37</f>
        <v>0</v>
      </c>
      <c r="CL329" s="237" t="n">
        <f aca="false">CL327*$AC$325*CL328*CL$38*'⑫ Roll-out Plan'!$O$37</f>
        <v>0</v>
      </c>
      <c r="CM329" s="237" t="n">
        <f aca="false">CM327*$AC$325*CM328*CM$38*'⑫ Roll-out Plan'!$O$37</f>
        <v>0</v>
      </c>
      <c r="CN329" s="237" t="n">
        <f aca="false">CN327*$AC$325*CN328*CN$38*'⑫ Roll-out Plan'!$O$37</f>
        <v>0</v>
      </c>
      <c r="CO329" s="237" t="n">
        <f aca="false">CO327*$AC$325*CO328*CO$38*'⑫ Roll-out Plan'!$O$37</f>
        <v>0</v>
      </c>
      <c r="CP329" s="237" t="n">
        <f aca="false">CP327*$AC$325*CP328*CP$38*'⑫ Roll-out Plan'!$O$37</f>
        <v>0</v>
      </c>
      <c r="CQ329" s="237" t="n">
        <f aca="false">CQ327*$AC$325*CQ328*CQ$38*'⑫ Roll-out Plan'!$O$37</f>
        <v>0</v>
      </c>
      <c r="CR329" s="237" t="n">
        <f aca="false">CR327*$AC$325*CR328*CR$38*'⑫ Roll-out Plan'!$O$37</f>
        <v>0</v>
      </c>
      <c r="CS329" s="237" t="n">
        <f aca="false">CS327*$AC$325*CS328*CS$38*'⑫ Roll-out Plan'!$O$37</f>
        <v>0</v>
      </c>
      <c r="CT329" s="237" t="n">
        <f aca="false">CT327*$AC$325*CT328*CT$38*'⑫ Roll-out Plan'!$O$37</f>
        <v>0</v>
      </c>
      <c r="CU329" s="237" t="n">
        <f aca="false">CU327*$AC$325*CU328*CU$38*'⑫ Roll-out Plan'!$O$37</f>
        <v>0</v>
      </c>
      <c r="CV329" s="237" t="n">
        <f aca="false">CV327*$AC$325*CV328*CV$38*'⑫ Roll-out Plan'!$O$37</f>
        <v>0</v>
      </c>
      <c r="CW329" s="237" t="n">
        <f aca="false">CW327*$AC$325*CW328*CW$38*'⑫ Roll-out Plan'!$O$37</f>
        <v>0</v>
      </c>
      <c r="CX329" s="237" t="n">
        <f aca="false">CX327*$AC$325*CX328*CX$38*'⑫ Roll-out Plan'!$O$37</f>
        <v>0</v>
      </c>
      <c r="CY329" s="237" t="n">
        <f aca="false">CY327*$AC$325*CY328*CY$38*'⑫ Roll-out Plan'!$O$37</f>
        <v>0</v>
      </c>
      <c r="CZ329" s="237" t="n">
        <f aca="false">CZ327*$AC$325*CZ328*CZ$38*'⑫ Roll-out Plan'!$O$37</f>
        <v>0</v>
      </c>
      <c r="DA329" s="237" t="n">
        <f aca="false">DA327*$AC$325*DA328*DA$38*'⑫ Roll-out Plan'!$O$37</f>
        <v>0</v>
      </c>
      <c r="DB329" s="237" t="n">
        <f aca="false">DB327*$AC$325*DB328*DB$38*'⑫ Roll-out Plan'!$O$37</f>
        <v>0</v>
      </c>
      <c r="DC329" s="237" t="n">
        <f aca="false">DC327*$AC$325*DC328*DC$38*'⑫ Roll-out Plan'!$O$37</f>
        <v>0</v>
      </c>
      <c r="DD329" s="237" t="n">
        <f aca="false">DD327*$AC$325*DD328*DD$38*'⑫ Roll-out Plan'!$O$37</f>
        <v>0</v>
      </c>
      <c r="DE329" s="237" t="n">
        <f aca="false">DE327*$AC$325*DE328*DE$38*'⑫ Roll-out Plan'!$O$37</f>
        <v>0</v>
      </c>
      <c r="DF329" s="237" t="n">
        <f aca="false">DF327*$AC$325*DF328*DF$38*'⑫ Roll-out Plan'!$O$37</f>
        <v>0</v>
      </c>
      <c r="DG329" s="237" t="n">
        <f aca="false">DG327*$AC$325*DG328*DG$38*'⑫ Roll-out Plan'!$O$37</f>
        <v>0</v>
      </c>
      <c r="DH329" s="237" t="n">
        <f aca="false">DH327*$AC$325*DH328*DH$38*'⑫ Roll-out Plan'!$O$37</f>
        <v>0</v>
      </c>
      <c r="DI329" s="237" t="n">
        <f aca="false">DI327*$AC$325*DI328*DI$38*'⑫ Roll-out Plan'!$O$37</f>
        <v>0</v>
      </c>
      <c r="DJ329" s="237" t="n">
        <f aca="false">DJ327*$AC$325*DJ328*DJ$38*'⑫ Roll-out Plan'!$O$37</f>
        <v>0</v>
      </c>
      <c r="DK329" s="237" t="n">
        <f aca="false">DK327*$AC$325*DK328*DK$38*'⑫ Roll-out Plan'!$O$37</f>
        <v>0</v>
      </c>
      <c r="DL329" s="237" t="n">
        <f aca="false">DL327*$AC$325*DL328*DL$38*'⑫ Roll-out Plan'!$O$37</f>
        <v>0</v>
      </c>
      <c r="DM329" s="237" t="n">
        <f aca="false">DM327*$AC$325*DM328*DM$38*'⑫ Roll-out Plan'!$O$37</f>
        <v>0</v>
      </c>
      <c r="DN329" s="237" t="n">
        <f aca="false">DN327*$AC$325*DN328*DN$38*'⑫ Roll-out Plan'!$O$37</f>
        <v>0</v>
      </c>
      <c r="DO329" s="237" t="n">
        <f aca="false">DO327*$AC$325*DO328*DO$38*'⑫ Roll-out Plan'!$O$37</f>
        <v>0</v>
      </c>
      <c r="DP329" s="237" t="n">
        <f aca="false">DP327*$AC$325*DP328*DP$38*'⑫ Roll-out Plan'!$O$37</f>
        <v>0</v>
      </c>
      <c r="DQ329" s="237" t="n">
        <f aca="false">DQ327*$AC$325*DQ328*DQ$38*'⑫ Roll-out Plan'!$O$37</f>
        <v>42.92</v>
      </c>
      <c r="DR329" s="237" t="n">
        <f aca="false">DR327*$AC$325*DR328*DR$38*'⑫ Roll-out Plan'!$O$37</f>
        <v>39.072</v>
      </c>
      <c r="DS329" s="237" t="n">
        <f aca="false">DS327*$AC$325*DS328*DS$38*'⑫ Roll-out Plan'!$O$37</f>
        <v>29.304</v>
      </c>
      <c r="DT329" s="237" t="n">
        <f aca="false">DT327*$AC$325*DT328*DT$38*'⑫ Roll-out Plan'!$O$37</f>
        <v>45.288</v>
      </c>
      <c r="DU329" s="237" t="n">
        <f aca="false">DU327*$AC$325*DU328*DU$38*'⑫ Roll-out Plan'!$O$37</f>
        <v>47.952</v>
      </c>
      <c r="DV329" s="237" t="n">
        <f aca="false">DV327*$AC$325*DV328*DV$38*'⑫ Roll-out Plan'!$O$37</f>
        <v>40.959</v>
      </c>
      <c r="DW329" s="237" t="n">
        <f aca="false">DW327*$AC$325*DW328*DW$38*'⑫ Roll-out Plan'!$O$37</f>
        <v>57.942</v>
      </c>
      <c r="DX329" s="237" t="n">
        <f aca="false">DX327*$AC$325*DX328*DX$38*'⑫ Roll-out Plan'!$O$37</f>
        <v>63.085</v>
      </c>
      <c r="DY329" s="237" t="n">
        <f aca="false">DY327*$AC$325*DY328*DY$38*'⑫ Roll-out Plan'!$O$37</f>
        <v>52.762</v>
      </c>
      <c r="DZ329" s="237" t="n">
        <f aca="false">DZ327*$AC$325*DZ328*DZ$38*'⑫ Roll-out Plan'!$O$37</f>
        <v>51.8</v>
      </c>
      <c r="EA329" s="237" t="n">
        <f aca="false">EA327*$AC$325*EA328*EA$38*'⑫ Roll-out Plan'!$O$37</f>
        <v>54.39</v>
      </c>
      <c r="EB329" s="237" t="n">
        <f aca="false">EB327*$AC$325*EB328*EB$38*'⑫ Roll-out Plan'!$O$37</f>
        <v>102.453</v>
      </c>
      <c r="EC329" s="237" t="n">
        <f aca="false">EC327*$AC$325*EC328*EC$38*'⑫ Roll-out Plan'!$O$37</f>
        <v>83.694</v>
      </c>
      <c r="ED329" s="237" t="n">
        <f aca="false">ED327*$AC$325*ED328*ED$38*'⑫ Roll-out Plan'!$O$37</f>
        <v>78.144</v>
      </c>
      <c r="EE329" s="237" t="n">
        <f aca="false">EE327*$AC$325*EE328*EE$38*'⑫ Roll-out Plan'!$O$37</f>
        <v>58.608</v>
      </c>
      <c r="EF329" s="237" t="n">
        <f aca="false">EF327*$AC$325*EF328*EF$38*'⑫ Roll-out Plan'!$O$37</f>
        <v>108.6912</v>
      </c>
      <c r="EG329" s="237" t="n">
        <f aca="false">EG327*$AC$325*EG328*EG$38*'⑫ Roll-out Plan'!$O$37</f>
        <v>124.6752</v>
      </c>
      <c r="EH329" s="237" t="n">
        <f aca="false">EH327*$AC$325*EH328*EH$38*'⑫ Roll-out Plan'!$O$37</f>
        <v>94.6608</v>
      </c>
      <c r="EI329" s="237" t="n">
        <f aca="false">EI327*$AC$325*EI328*EI$38*'⑫ Roll-out Plan'!$O$37</f>
        <v>144.2112</v>
      </c>
      <c r="EJ329" s="237" t="n">
        <f aca="false">EJ327*$AC$325*EJ328*EJ$38*'⑫ Roll-out Plan'!$O$37</f>
        <v>136.752</v>
      </c>
      <c r="EK329" s="237" t="n">
        <f aca="false">EK327*$AC$325*EK328*EK$38*'⑫ Roll-out Plan'!$O$37</f>
        <v>122.544</v>
      </c>
      <c r="EL329" s="237" t="n">
        <f aca="false">EL327*$AC$325*EL328*EL$38*'⑫ Roll-out Plan'!$O$37</f>
        <v>106.56</v>
      </c>
      <c r="EM329" s="237" t="n">
        <f aca="false">EM327*$AC$325*EM328*EM$38*'⑫ Roll-out Plan'!$O$37</f>
        <v>117.4824</v>
      </c>
      <c r="EN329" s="237" t="n">
        <f aca="false">EN327*$AC$325*EN328*EN$38*'⑫ Roll-out Plan'!$O$37</f>
        <v>198.6012</v>
      </c>
      <c r="EO329" s="237" t="n">
        <f aca="false">EO327*$AC$325*EO328*EO$38*'⑫ Roll-out Plan'!$O$37</f>
        <v>169.9632</v>
      </c>
      <c r="EP329" s="237" t="n">
        <f aca="false">EP327*$AC$325*EP328*EP$38*'⑫ Roll-out Plan'!$O$37</f>
        <v>140.6592</v>
      </c>
      <c r="EQ329" s="237" t="n">
        <f aca="false">EQ327*$AC$325*EQ328*EQ$38*'⑫ Roll-out Plan'!$O$37</f>
        <v>110.2896</v>
      </c>
      <c r="ER329" s="237" t="n">
        <f aca="false">ER327*$AC$325*ER328*ER$38*'⑫ Roll-out Plan'!$O$37</f>
        <v>156.2436</v>
      </c>
      <c r="ES329" s="9" t="n">
        <f aca="false">ES327*$AC$325*ES328*ES$38*'⑫ Roll-out Plan'!$O$37</f>
        <v>170.2296</v>
      </c>
      <c r="ET329" s="9" t="n">
        <f aca="false">ET327*$AC$325*ET328*ET$38*'⑫ Roll-out Plan'!$O$37</f>
        <v>129.2484</v>
      </c>
      <c r="EU329" s="9" t="n">
        <f aca="false">EU327*$AC$325*EU328*EU$38*'⑫ Roll-out Plan'!$O$37</f>
        <v>187.9896</v>
      </c>
      <c r="EV329" s="9" t="n">
        <f aca="false">EV327*$AC$325*EV328*EV$38*'⑫ Roll-out Plan'!$O$37</f>
        <v>183.15</v>
      </c>
      <c r="EW329" s="9" t="n">
        <f aca="false">EW327*$AC$325*EW328*EW$38*'⑫ Roll-out Plan'!$O$37</f>
        <v>153.18</v>
      </c>
      <c r="EX329" s="9" t="n">
        <f aca="false">EX327*$AC$325*EX328*EX$38*'⑫ Roll-out Plan'!$O$37</f>
        <v>136.752</v>
      </c>
      <c r="EY329" s="9" t="n">
        <f aca="false">EY327*$AC$325*EY328*EY$38*'⑫ Roll-out Plan'!$O$37</f>
        <v>143.5896</v>
      </c>
      <c r="EZ329" s="9" t="n">
        <f aca="false">EZ327*$AC$325*EZ328*EZ$38*'⑫ Roll-out Plan'!$O$37</f>
        <v>249.0396</v>
      </c>
      <c r="FA329" s="9" t="n">
        <f aca="false">FA327*$AC$325*FA328*FA$38*'⑫ Roll-out Plan'!$O$37</f>
        <v>203.4408</v>
      </c>
      <c r="FB329" s="9" t="n">
        <f aca="false">FB327*$AC$325*FB328*FB$38*'⑫ Roll-out Plan'!$O$37</f>
        <v>170.496</v>
      </c>
      <c r="FC329" s="9" t="n">
        <f aca="false">FC327*$AC$325*FC328*FC$38*'⑫ Roll-out Plan'!$O$37</f>
        <v>127.872</v>
      </c>
      <c r="FD329" s="9" t="n">
        <f aca="false">FD327*$AC$325*FD328*FD$38*'⑫ Roll-out Plan'!$O$37</f>
        <v>185.6808</v>
      </c>
      <c r="FE329" s="9" t="n">
        <f aca="false">FE327*$AC$325*FE328*FE$38*'⑫ Roll-out Plan'!$O$37</f>
        <v>196.6032</v>
      </c>
      <c r="FF329" s="9" t="n">
        <f aca="false">FF327*$AC$325*FF328*FF$38*'⑫ Roll-out Plan'!$O$37</f>
        <v>152.9136</v>
      </c>
      <c r="FG329" s="9" t="n">
        <f aca="false">FG327*$AC$325*FG328*FG$38*'⑫ Roll-out Plan'!$O$37</f>
        <v>216.3168</v>
      </c>
      <c r="FH329" s="9" t="n">
        <f aca="false">FH327*$AC$325*FH328*FH$38*'⑫ Roll-out Plan'!$O$37</f>
        <v>207.57</v>
      </c>
      <c r="FI329" s="9" t="n">
        <f aca="false">FI327*$AC$325*FI328*FI$38*'⑫ Roll-out Plan'!$O$37</f>
        <v>173.604</v>
      </c>
      <c r="FJ329" s="9" t="n">
        <f aca="false">FJ327*$AC$325*FJ328*FJ$38*'⑫ Roll-out Plan'!$O$37</f>
        <v>152.736</v>
      </c>
      <c r="FK329" s="9" t="n">
        <f aca="false">FK327*$AC$325*FK328*FK$38*'⑫ Roll-out Plan'!$O$37</f>
        <v>164.1024</v>
      </c>
      <c r="FL329" s="9" t="n">
        <f aca="false">FL327*$AC$325*FL328*FL$38*'⑫ Roll-out Plan'!$O$37</f>
        <v>277.4112</v>
      </c>
      <c r="FM329" s="9" t="n">
        <f aca="false">FM327*$AC$325*FM328*FM$38*'⑫ Roll-out Plan'!$O$37</f>
        <v>229.1928</v>
      </c>
      <c r="FN329" s="9" t="n">
        <f aca="false">FN327*$AC$325*FN328*FN$38*'⑫ Roll-out Plan'!$O$37</f>
        <v>189.6768</v>
      </c>
      <c r="FO329" s="9" t="n">
        <f aca="false">FO327*$AC$325*FO328*FO$38*'⑫ Roll-out Plan'!$O$37</f>
        <v>143.856</v>
      </c>
      <c r="FP329" s="9" t="n">
        <f aca="false">FP327*$AC$325*FP328*FP$38*'⑫ Roll-out Plan'!$O$37</f>
        <v>203.796</v>
      </c>
    </row>
    <row r="330" customFormat="false" ht="15" hidden="false" customHeight="false" outlineLevel="2" collapsed="false">
      <c r="B330" s="47" t="s">
        <v>877</v>
      </c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237" t="n">
        <f aca="true">IFERROR(SUMPRODUCT(OFFSET($BJ$31,0,1-MIN(60,COLUMN()-29),1,MIN(60,COLUMN()-29)),OFFSET(AC329,0,-MIN(60,COLUMN()-29),1,MIN(60,COLUMN()-29))),0)</f>
        <v>0</v>
      </c>
      <c r="AD330" s="237" t="n">
        <f aca="true">IFERROR(SUMPRODUCT(OFFSET($BJ$31,0,1-MIN(60,COLUMN()-29),1,MIN(60,COLUMN()-29)),OFFSET(AD329,0,-MIN(60,COLUMN()-29),1,MIN(60,COLUMN()-29))),0)</f>
        <v>0</v>
      </c>
      <c r="AE330" s="237" t="n">
        <f aca="true">IFERROR(SUMPRODUCT(OFFSET($BJ$31,0,1-MIN(60,COLUMN()-29),1,MIN(60,COLUMN()-29)),OFFSET(AE329,0,-MIN(60,COLUMN()-29),1,MIN(60,COLUMN()-29))),0)</f>
        <v>0</v>
      </c>
      <c r="AF330" s="237" t="n">
        <f aca="true">IFERROR(SUMPRODUCT(OFFSET($BJ$31,0,1-MIN(60,COLUMN()-29),1,MIN(60,COLUMN()-29)),OFFSET(AF329,0,-MIN(60,COLUMN()-29),1,MIN(60,COLUMN()-29))),0)</f>
        <v>0</v>
      </c>
      <c r="AG330" s="237" t="n">
        <f aca="true">IFERROR(SUMPRODUCT(OFFSET($BJ$31,0,1-MIN(60,COLUMN()-29),1,MIN(60,COLUMN()-29)),OFFSET(AG329,0,-MIN(60,COLUMN()-29),1,MIN(60,COLUMN()-29))),0)</f>
        <v>0</v>
      </c>
      <c r="AH330" s="237" t="n">
        <f aca="true">IFERROR(SUMPRODUCT(OFFSET($BJ$31,0,1-MIN(60,COLUMN()-29),1,MIN(60,COLUMN()-29)),OFFSET(AH329,0,-MIN(60,COLUMN()-29),1,MIN(60,COLUMN()-29))),0)</f>
        <v>0</v>
      </c>
      <c r="AI330" s="237" t="n">
        <f aca="true">IFERROR(SUMPRODUCT(OFFSET($BJ$31,0,1-MIN(60,COLUMN()-29),1,MIN(60,COLUMN()-29)),OFFSET(AI329,0,-MIN(60,COLUMN()-29),1,MIN(60,COLUMN()-29))),0)</f>
        <v>0</v>
      </c>
      <c r="AJ330" s="237" t="n">
        <f aca="true">IFERROR(SUMPRODUCT(OFFSET($BJ$31,0,1-MIN(60,COLUMN()-29),1,MIN(60,COLUMN()-29)),OFFSET(AJ329,0,-MIN(60,COLUMN()-29),1,MIN(60,COLUMN()-29))),0)</f>
        <v>0</v>
      </c>
      <c r="AK330" s="237" t="n">
        <f aca="true">IFERROR(SUMPRODUCT(OFFSET($BJ$31,0,1-MIN(60,COLUMN()-29),1,MIN(60,COLUMN()-29)),OFFSET(AK329,0,-MIN(60,COLUMN()-29),1,MIN(60,COLUMN()-29))),0)</f>
        <v>0</v>
      </c>
      <c r="AL330" s="237" t="n">
        <f aca="true">IFERROR(SUMPRODUCT(OFFSET($BJ$31,0,1-MIN(60,COLUMN()-29),1,MIN(60,COLUMN()-29)),OFFSET(AL329,0,-MIN(60,COLUMN()-29),1,MIN(60,COLUMN()-29))),0)</f>
        <v>0</v>
      </c>
      <c r="AM330" s="237" t="n">
        <f aca="true">IFERROR(SUMPRODUCT(OFFSET($BJ$31,0,1-MIN(60,COLUMN()-29),1,MIN(60,COLUMN()-29)),OFFSET(AM329,0,-MIN(60,COLUMN()-29),1,MIN(60,COLUMN()-29))),0)</f>
        <v>0</v>
      </c>
      <c r="AN330" s="237" t="n">
        <f aca="true">IFERROR(SUMPRODUCT(OFFSET($BJ$31,0,1-MIN(60,COLUMN()-29),1,MIN(60,COLUMN()-29)),OFFSET(AN329,0,-MIN(60,COLUMN()-29),1,MIN(60,COLUMN()-29))),0)</f>
        <v>0</v>
      </c>
      <c r="AO330" s="237" t="n">
        <f aca="true">IFERROR(SUMPRODUCT(OFFSET($BJ$31,0,1-MIN(60,COLUMN()-29),1,MIN(60,COLUMN()-29)),OFFSET(AO329,0,-MIN(60,COLUMN()-29),1,MIN(60,COLUMN()-29))),0)</f>
        <v>0</v>
      </c>
      <c r="AP330" s="237" t="n">
        <f aca="true">IFERROR(SUMPRODUCT(OFFSET($BJ$31,0,1-MIN(60,COLUMN()-29),1,MIN(60,COLUMN()-29)),OFFSET(AP329,0,-MIN(60,COLUMN()-29),1,MIN(60,COLUMN()-29))),0)</f>
        <v>0</v>
      </c>
      <c r="AQ330" s="237" t="n">
        <f aca="true">IFERROR(SUMPRODUCT(OFFSET($BJ$31,0,1-MIN(60,COLUMN()-29),1,MIN(60,COLUMN()-29)),OFFSET(AQ329,0,-MIN(60,COLUMN()-29),1,MIN(60,COLUMN()-29))),0)</f>
        <v>0</v>
      </c>
      <c r="AR330" s="237" t="n">
        <f aca="true">IFERROR(SUMPRODUCT(OFFSET($BJ$31,0,1-MIN(60,COLUMN()-29),1,MIN(60,COLUMN()-29)),OFFSET(AR329,0,-MIN(60,COLUMN()-29),1,MIN(60,COLUMN()-29))),0)</f>
        <v>0</v>
      </c>
      <c r="AS330" s="237" t="n">
        <f aca="true">IFERROR(SUMPRODUCT(OFFSET($BJ$31,0,1-MIN(60,COLUMN()-29),1,MIN(60,COLUMN()-29)),OFFSET(AS329,0,-MIN(60,COLUMN()-29),1,MIN(60,COLUMN()-29))),0)</f>
        <v>0</v>
      </c>
      <c r="AT330" s="237" t="n">
        <f aca="true">IFERROR(SUMPRODUCT(OFFSET($BJ$31,0,1-MIN(60,COLUMN()-29),1,MIN(60,COLUMN()-29)),OFFSET(AT329,0,-MIN(60,COLUMN()-29),1,MIN(60,COLUMN()-29))),0)</f>
        <v>0</v>
      </c>
      <c r="AU330" s="237" t="n">
        <f aca="true">IFERROR(SUMPRODUCT(OFFSET($BJ$31,0,1-MIN(60,COLUMN()-29),1,MIN(60,COLUMN()-29)),OFFSET(AU329,0,-MIN(60,COLUMN()-29),1,MIN(60,COLUMN()-29))),0)</f>
        <v>0</v>
      </c>
      <c r="AV330" s="237" t="n">
        <f aca="true">IFERROR(SUMPRODUCT(OFFSET($BJ$31,0,1-MIN(60,COLUMN()-29),1,MIN(60,COLUMN()-29)),OFFSET(AV329,0,-MIN(60,COLUMN()-29),1,MIN(60,COLUMN()-29))),0)</f>
        <v>0</v>
      </c>
      <c r="AW330" s="237" t="n">
        <f aca="true">IFERROR(SUMPRODUCT(OFFSET($BJ$31,0,1-MIN(60,COLUMN()-29),1,MIN(60,COLUMN()-29)),OFFSET(AW329,0,-MIN(60,COLUMN()-29),1,MIN(60,COLUMN()-29))),0)</f>
        <v>0</v>
      </c>
      <c r="AX330" s="237" t="n">
        <f aca="true">IFERROR(SUMPRODUCT(OFFSET($BJ$31,0,1-MIN(60,COLUMN()-29),1,MIN(60,COLUMN()-29)),OFFSET(AX329,0,-MIN(60,COLUMN()-29),1,MIN(60,COLUMN()-29))),0)</f>
        <v>0</v>
      </c>
      <c r="AY330" s="237" t="n">
        <f aca="true">IFERROR(SUMPRODUCT(OFFSET($BJ$31,0,1-MIN(60,COLUMN()-29),1,MIN(60,COLUMN()-29)),OFFSET(AY329,0,-MIN(60,COLUMN()-29),1,MIN(60,COLUMN()-29))),0)</f>
        <v>0</v>
      </c>
      <c r="AZ330" s="237" t="n">
        <f aca="true">IFERROR(SUMPRODUCT(OFFSET($BJ$31,0,1-MIN(60,COLUMN()-29),1,MIN(60,COLUMN()-29)),OFFSET(AZ329,0,-MIN(60,COLUMN()-29),1,MIN(60,COLUMN()-29))),0)</f>
        <v>0</v>
      </c>
      <c r="BA330" s="237" t="n">
        <f aca="true">IFERROR(SUMPRODUCT(OFFSET($BJ$31,0,1-MIN(60,COLUMN()-29),1,MIN(60,COLUMN()-29)),OFFSET(BA329,0,-MIN(60,COLUMN()-29),1,MIN(60,COLUMN()-29))),0)</f>
        <v>0</v>
      </c>
      <c r="BB330" s="237" t="n">
        <f aca="true">IFERROR(SUMPRODUCT(OFFSET($BJ$31,0,1-MIN(60,COLUMN()-29),1,MIN(60,COLUMN()-29)),OFFSET(BB329,0,-MIN(60,COLUMN()-29),1,MIN(60,COLUMN()-29))),0)</f>
        <v>0</v>
      </c>
      <c r="BC330" s="237" t="n">
        <f aca="true">IFERROR(SUMPRODUCT(OFFSET($BJ$31,0,1-MIN(60,COLUMN()-29),1,MIN(60,COLUMN()-29)),OFFSET(BC329,0,-MIN(60,COLUMN()-29),1,MIN(60,COLUMN()-29))),0)</f>
        <v>0</v>
      </c>
      <c r="BD330" s="237" t="n">
        <f aca="true">IFERROR(SUMPRODUCT(OFFSET($BJ$31,0,1-MIN(60,COLUMN()-29),1,MIN(60,COLUMN()-29)),OFFSET(BD329,0,-MIN(60,COLUMN()-29),1,MIN(60,COLUMN()-29))),0)</f>
        <v>0</v>
      </c>
      <c r="BE330" s="237" t="n">
        <f aca="true">IFERROR(SUMPRODUCT(OFFSET($BJ$31,0,1-MIN(60,COLUMN()-29),1,MIN(60,COLUMN()-29)),OFFSET(BE329,0,-MIN(60,COLUMN()-29),1,MIN(60,COLUMN()-29))),0)</f>
        <v>0</v>
      </c>
      <c r="BF330" s="237" t="n">
        <f aca="true">IFERROR(SUMPRODUCT(OFFSET($BJ$31,0,1-MIN(60,COLUMN()-29),1,MIN(60,COLUMN()-29)),OFFSET(BF329,0,-MIN(60,COLUMN()-29),1,MIN(60,COLUMN()-29))),0)</f>
        <v>0</v>
      </c>
      <c r="BG330" s="237" t="n">
        <f aca="true">IFERROR(SUMPRODUCT(OFFSET($BJ$31,0,1-MIN(60,COLUMN()-29),1,MIN(60,COLUMN()-29)),OFFSET(BG329,0,-MIN(60,COLUMN()-29),1,MIN(60,COLUMN()-29))),0)</f>
        <v>0</v>
      </c>
      <c r="BH330" s="237" t="n">
        <f aca="true">IFERROR(SUMPRODUCT(OFFSET($BJ$31,0,1-MIN(60,COLUMN()-29),1,MIN(60,COLUMN()-29)),OFFSET(BH329,0,-MIN(60,COLUMN()-29),1,MIN(60,COLUMN()-29))),0)</f>
        <v>0</v>
      </c>
      <c r="BI330" s="237" t="n">
        <f aca="true">IFERROR(SUMPRODUCT(OFFSET($BJ$31,0,1-MIN(60,COLUMN()-29),1,MIN(60,COLUMN()-29)),OFFSET(BI329,0,-MIN(60,COLUMN()-29),1,MIN(60,COLUMN()-29))),0)</f>
        <v>0</v>
      </c>
      <c r="BJ330" s="237" t="n">
        <f aca="true">IFERROR(SUMPRODUCT(OFFSET($BJ$31,0,1-MIN(60,COLUMN()-29),1,MIN(60,COLUMN()-29)),OFFSET(BJ329,0,-MIN(60,COLUMN()-29),1,MIN(60,COLUMN()-29))),0)</f>
        <v>0</v>
      </c>
      <c r="BK330" s="237" t="n">
        <f aca="true">IFERROR(SUMPRODUCT(OFFSET($BJ$31,0,1-MIN(60,COLUMN()-29),1,MIN(60,COLUMN()-29)),OFFSET(BK329,0,-MIN(60,COLUMN()-29),1,MIN(60,COLUMN()-29))),0)</f>
        <v>0</v>
      </c>
      <c r="BL330" s="237" t="n">
        <f aca="true">IFERROR(SUMPRODUCT(OFFSET($BJ$31,0,1-MIN(60,COLUMN()-29),1,MIN(60,COLUMN()-29)),OFFSET(BL329,0,-MIN(60,COLUMN()-29),1,MIN(60,COLUMN()-29))),0)</f>
        <v>0</v>
      </c>
      <c r="BM330" s="237" t="n">
        <f aca="true">IFERROR(SUMPRODUCT(OFFSET($BJ$31,0,1-MIN(60,COLUMN()-29),1,MIN(60,COLUMN()-29)),OFFSET(BM329,0,-MIN(60,COLUMN()-29),1,MIN(60,COLUMN()-29))),0)</f>
        <v>0</v>
      </c>
      <c r="BN330" s="237" t="n">
        <f aca="true">IFERROR(SUMPRODUCT(OFFSET($BJ$31,0,1-MIN(60,COLUMN()-29),1,MIN(60,COLUMN()-29)),OFFSET(BN329,0,-MIN(60,COLUMN()-29),1,MIN(60,COLUMN()-29))),0)</f>
        <v>0</v>
      </c>
      <c r="BO330" s="237" t="n">
        <f aca="true">IFERROR(SUMPRODUCT(OFFSET($BJ$31,0,1-MIN(60,COLUMN()-29),1,MIN(60,COLUMN()-29)),OFFSET(BO329,0,-MIN(60,COLUMN()-29),1,MIN(60,COLUMN()-29))),0)</f>
        <v>0</v>
      </c>
      <c r="BP330" s="237" t="n">
        <f aca="true">IFERROR(SUMPRODUCT(OFFSET($BJ$31,0,1-MIN(60,COLUMN()-29),1,MIN(60,COLUMN()-29)),OFFSET(BP329,0,-MIN(60,COLUMN()-29),1,MIN(60,COLUMN()-29))),0)</f>
        <v>0</v>
      </c>
      <c r="BQ330" s="237" t="n">
        <f aca="true">IFERROR(SUMPRODUCT(OFFSET($BJ$31,0,1-MIN(60,COLUMN()-29),1,MIN(60,COLUMN()-29)),OFFSET(BQ329,0,-MIN(60,COLUMN()-29),1,MIN(60,COLUMN()-29))),0)</f>
        <v>0</v>
      </c>
      <c r="BR330" s="237" t="n">
        <f aca="true">IFERROR(SUMPRODUCT(OFFSET($BJ$31,0,1-MIN(60,COLUMN()-29),1,MIN(60,COLUMN()-29)),OFFSET(BR329,0,-MIN(60,COLUMN()-29),1,MIN(60,COLUMN()-29))),0)</f>
        <v>0</v>
      </c>
      <c r="BS330" s="237" t="n">
        <f aca="true">IFERROR(SUMPRODUCT(OFFSET($BJ$31,0,1-MIN(60,COLUMN()-29),1,MIN(60,COLUMN()-29)),OFFSET(BS329,0,-MIN(60,COLUMN()-29),1,MIN(60,COLUMN()-29))),0)</f>
        <v>0</v>
      </c>
      <c r="BT330" s="237" t="n">
        <f aca="true">IFERROR(SUMPRODUCT(OFFSET($BJ$31,0,1-MIN(60,COLUMN()-29),1,MIN(60,COLUMN()-29)),OFFSET(BT329,0,-MIN(60,COLUMN()-29),1,MIN(60,COLUMN()-29))),0)</f>
        <v>0</v>
      </c>
      <c r="BU330" s="237" t="n">
        <f aca="true">IFERROR(SUMPRODUCT(OFFSET($BJ$31,0,1-MIN(60,COLUMN()-29),1,MIN(60,COLUMN()-29)),OFFSET(BU329,0,-MIN(60,COLUMN()-29),1,MIN(60,COLUMN()-29))),0)</f>
        <v>0</v>
      </c>
      <c r="BV330" s="237" t="n">
        <f aca="true">IFERROR(SUMPRODUCT(OFFSET($BJ$31,0,1-MIN(60,COLUMN()-29),1,MIN(60,COLUMN()-29)),OFFSET(BV329,0,-MIN(60,COLUMN()-29),1,MIN(60,COLUMN()-29))),0)</f>
        <v>0</v>
      </c>
      <c r="BW330" s="237" t="n">
        <f aca="true">IFERROR(SUMPRODUCT(OFFSET($BJ$31,0,1-MIN(60,COLUMN()-29),1,MIN(60,COLUMN()-29)),OFFSET(BW329,0,-MIN(60,COLUMN()-29),1,MIN(60,COLUMN()-29))),0)</f>
        <v>0</v>
      </c>
      <c r="BX330" s="237" t="n">
        <f aca="true">IFERROR(SUMPRODUCT(OFFSET($BJ$31,0,1-MIN(60,COLUMN()-29),1,MIN(60,COLUMN()-29)),OFFSET(BX329,0,-MIN(60,COLUMN()-29),1,MIN(60,COLUMN()-29))),0)</f>
        <v>0</v>
      </c>
      <c r="BY330" s="237" t="n">
        <f aca="true">IFERROR(SUMPRODUCT(OFFSET($BJ$31,0,1-MIN(60,COLUMN()-29),1,MIN(60,COLUMN()-29)),OFFSET(BY329,0,-MIN(60,COLUMN()-29),1,MIN(60,COLUMN()-29))),0)</f>
        <v>0</v>
      </c>
      <c r="BZ330" s="237" t="n">
        <f aca="true">IFERROR(SUMPRODUCT(OFFSET($BJ$31,0,1-MIN(60,COLUMN()-29),1,MIN(60,COLUMN()-29)),OFFSET(BZ329,0,-MIN(60,COLUMN()-29),1,MIN(60,COLUMN()-29))),0)</f>
        <v>0</v>
      </c>
      <c r="CA330" s="237" t="n">
        <f aca="true">IFERROR(SUMPRODUCT(OFFSET($BJ$31,0,1-MIN(60,COLUMN()-29),1,MIN(60,COLUMN()-29)),OFFSET(CA329,0,-MIN(60,COLUMN()-29),1,MIN(60,COLUMN()-29))),0)</f>
        <v>0</v>
      </c>
      <c r="CB330" s="237" t="n">
        <f aca="true">IFERROR(SUMPRODUCT(OFFSET($BJ$31,0,1-MIN(60,COLUMN()-29),1,MIN(60,COLUMN()-29)),OFFSET(CB329,0,-MIN(60,COLUMN()-29),1,MIN(60,COLUMN()-29))),0)</f>
        <v>0</v>
      </c>
      <c r="CC330" s="237" t="n">
        <f aca="true">IFERROR(SUMPRODUCT(OFFSET($BJ$31,0,1-MIN(60,COLUMN()-29),1,MIN(60,COLUMN()-29)),OFFSET(CC329,0,-MIN(60,COLUMN()-29),1,MIN(60,COLUMN()-29))),0)</f>
        <v>0</v>
      </c>
      <c r="CD330" s="237" t="n">
        <f aca="true">IFERROR(SUMPRODUCT(OFFSET($BJ$31,0,1-MIN(60,COLUMN()-29),1,MIN(60,COLUMN()-29)),OFFSET(CD329,0,-MIN(60,COLUMN()-29),1,MIN(60,COLUMN()-29))),0)</f>
        <v>0</v>
      </c>
      <c r="CE330" s="237" t="n">
        <f aca="true">IFERROR(SUMPRODUCT(OFFSET($BJ$31,0,1-MIN(60,COLUMN()-29),1,MIN(60,COLUMN()-29)),OFFSET(CE329,0,-MIN(60,COLUMN()-29),1,MIN(60,COLUMN()-29))),0)</f>
        <v>0</v>
      </c>
      <c r="CF330" s="237" t="n">
        <f aca="true">IFERROR(SUMPRODUCT(OFFSET($BJ$31,0,1-MIN(60,COLUMN()-29),1,MIN(60,COLUMN()-29)),OFFSET(CF329,0,-MIN(60,COLUMN()-29),1,MIN(60,COLUMN()-29))),0)</f>
        <v>0</v>
      </c>
      <c r="CG330" s="237" t="n">
        <f aca="true">IFERROR(SUMPRODUCT(OFFSET($BJ$31,0,1-MIN(60,COLUMN()-29),1,MIN(60,COLUMN()-29)),OFFSET(CG329,0,-MIN(60,COLUMN()-29),1,MIN(60,COLUMN()-29))),0)</f>
        <v>0</v>
      </c>
      <c r="CH330" s="237" t="n">
        <f aca="true">IFERROR(SUMPRODUCT(OFFSET($BJ$31,0,1-MIN(60,COLUMN()-29),1,MIN(60,COLUMN()-29)),OFFSET(CH329,0,-MIN(60,COLUMN()-29),1,MIN(60,COLUMN()-29))),0)</f>
        <v>0</v>
      </c>
      <c r="CI330" s="237" t="n">
        <f aca="true">IFERROR(SUMPRODUCT(OFFSET($BJ$31,0,1-MIN(60,COLUMN()-29),1,MIN(60,COLUMN()-29)),OFFSET(CI329,0,-MIN(60,COLUMN()-29),1,MIN(60,COLUMN()-29))),0)</f>
        <v>0</v>
      </c>
      <c r="CJ330" s="237" t="n">
        <f aca="true">IFERROR(SUMPRODUCT(OFFSET($BJ$31,0,1-MIN(60,COLUMN()-29),1,MIN(60,COLUMN()-29)),OFFSET(CJ329,0,-MIN(60,COLUMN()-29),1,MIN(60,COLUMN()-29))),0)</f>
        <v>0</v>
      </c>
      <c r="CK330" s="237" t="n">
        <f aca="true">IFERROR(SUMPRODUCT(OFFSET($BJ$31,0,1-MIN(60,COLUMN()-29),1,MIN(60,COLUMN()-29)),OFFSET(CK329,0,-MIN(60,COLUMN()-29),1,MIN(60,COLUMN()-29))),0)</f>
        <v>0</v>
      </c>
      <c r="CL330" s="237" t="n">
        <f aca="true">IFERROR(SUMPRODUCT(OFFSET($BJ$31,0,1-MIN(60,COLUMN()-29),1,MIN(60,COLUMN()-29)),OFFSET(CL329,0,-MIN(60,COLUMN()-29),1,MIN(60,COLUMN()-29))),0)</f>
        <v>0</v>
      </c>
      <c r="CM330" s="237" t="n">
        <f aca="true">IFERROR(SUMPRODUCT(OFFSET($BJ$31,0,1-MIN(60,COLUMN()-29),1,MIN(60,COLUMN()-29)),OFFSET(CM329,0,-MIN(60,COLUMN()-29),1,MIN(60,COLUMN()-29))),0)</f>
        <v>0</v>
      </c>
      <c r="CN330" s="237" t="n">
        <f aca="true">IFERROR(SUMPRODUCT(OFFSET($BJ$31,0,1-MIN(60,COLUMN()-29),1,MIN(60,COLUMN()-29)),OFFSET(CN329,0,-MIN(60,COLUMN()-29),1,MIN(60,COLUMN()-29))),0)</f>
        <v>0</v>
      </c>
      <c r="CO330" s="237" t="n">
        <f aca="true">IFERROR(SUMPRODUCT(OFFSET($BJ$31,0,1-MIN(60,COLUMN()-29),1,MIN(60,COLUMN()-29)),OFFSET(CO329,0,-MIN(60,COLUMN()-29),1,MIN(60,COLUMN()-29))),0)</f>
        <v>0</v>
      </c>
      <c r="CP330" s="237" t="n">
        <f aca="true">IFERROR(SUMPRODUCT(OFFSET($BJ$31,0,1-MIN(60,COLUMN()-29),1,MIN(60,COLUMN()-29)),OFFSET(CP329,0,-MIN(60,COLUMN()-29),1,MIN(60,COLUMN()-29))),0)</f>
        <v>0</v>
      </c>
      <c r="CQ330" s="237" t="n">
        <f aca="true">IFERROR(SUMPRODUCT(OFFSET($BJ$31,0,1-MIN(60,COLUMN()-29),1,MIN(60,COLUMN()-29)),OFFSET(CQ329,0,-MIN(60,COLUMN()-29),1,MIN(60,COLUMN()-29))),0)</f>
        <v>0</v>
      </c>
      <c r="CR330" s="237" t="n">
        <f aca="true">IFERROR(SUMPRODUCT(OFFSET($BJ$31,0,1-MIN(60,COLUMN()-29),1,MIN(60,COLUMN()-29)),OFFSET(CR329,0,-MIN(60,COLUMN()-29),1,MIN(60,COLUMN()-29))),0)</f>
        <v>0</v>
      </c>
      <c r="CS330" s="237" t="n">
        <f aca="true">IFERROR(SUMPRODUCT(OFFSET($BJ$31,0,1-MIN(60,COLUMN()-29),1,MIN(60,COLUMN()-29)),OFFSET(CS329,0,-MIN(60,COLUMN()-29),1,MIN(60,COLUMN()-29))),0)</f>
        <v>0</v>
      </c>
      <c r="CT330" s="237" t="n">
        <f aca="true">IFERROR(SUMPRODUCT(OFFSET($BJ$31,0,1-MIN(60,COLUMN()-29),1,MIN(60,COLUMN()-29)),OFFSET(CT329,0,-MIN(60,COLUMN()-29),1,MIN(60,COLUMN()-29))),0)</f>
        <v>0</v>
      </c>
      <c r="CU330" s="237" t="n">
        <f aca="true">IFERROR(SUMPRODUCT(OFFSET($BJ$31,0,1-MIN(60,COLUMN()-29),1,MIN(60,COLUMN()-29)),OFFSET(CU329,0,-MIN(60,COLUMN()-29),1,MIN(60,COLUMN()-29))),0)</f>
        <v>0</v>
      </c>
      <c r="CV330" s="237" t="n">
        <f aca="true">IFERROR(SUMPRODUCT(OFFSET($BJ$31,0,1-MIN(60,COLUMN()-29),1,MIN(60,COLUMN()-29)),OFFSET(CV329,0,-MIN(60,COLUMN()-29),1,MIN(60,COLUMN()-29))),0)</f>
        <v>0</v>
      </c>
      <c r="CW330" s="237" t="n">
        <f aca="true">IFERROR(SUMPRODUCT(OFFSET($BJ$31,0,1-MIN(60,COLUMN()-29),1,MIN(60,COLUMN()-29)),OFFSET(CW329,0,-MIN(60,COLUMN()-29),1,MIN(60,COLUMN()-29))),0)</f>
        <v>0</v>
      </c>
      <c r="CX330" s="237" t="n">
        <f aca="true">IFERROR(SUMPRODUCT(OFFSET($BJ$31,0,1-MIN(60,COLUMN()-29),1,MIN(60,COLUMN()-29)),OFFSET(CX329,0,-MIN(60,COLUMN()-29),1,MIN(60,COLUMN()-29))),0)</f>
        <v>0</v>
      </c>
      <c r="CY330" s="237" t="n">
        <f aca="true">IFERROR(SUMPRODUCT(OFFSET($BJ$31,0,1-MIN(60,COLUMN()-29),1,MIN(60,COLUMN()-29)),OFFSET(CY329,0,-MIN(60,COLUMN()-29),1,MIN(60,COLUMN()-29))),0)</f>
        <v>0</v>
      </c>
      <c r="CZ330" s="237" t="n">
        <f aca="true">IFERROR(SUMPRODUCT(OFFSET($BJ$31,0,1-MIN(60,COLUMN()-29),1,MIN(60,COLUMN()-29)),OFFSET(CZ329,0,-MIN(60,COLUMN()-29),1,MIN(60,COLUMN()-29))),0)</f>
        <v>0</v>
      </c>
      <c r="DA330" s="237" t="n">
        <f aca="true">IFERROR(SUMPRODUCT(OFFSET($BJ$31,0,1-MIN(60,COLUMN()-29),1,MIN(60,COLUMN()-29)),OFFSET(DA329,0,-MIN(60,COLUMN()-29),1,MIN(60,COLUMN()-29))),0)</f>
        <v>0</v>
      </c>
      <c r="DB330" s="237" t="n">
        <f aca="true">IFERROR(SUMPRODUCT(OFFSET($BJ$31,0,1-MIN(60,COLUMN()-29),1,MIN(60,COLUMN()-29)),OFFSET(DB329,0,-MIN(60,COLUMN()-29),1,MIN(60,COLUMN()-29))),0)</f>
        <v>0</v>
      </c>
      <c r="DC330" s="237" t="n">
        <f aca="true">IFERROR(SUMPRODUCT(OFFSET($BJ$31,0,1-MIN(60,COLUMN()-29),1,MIN(60,COLUMN()-29)),OFFSET(DC329,0,-MIN(60,COLUMN()-29),1,MIN(60,COLUMN()-29))),0)</f>
        <v>0</v>
      </c>
      <c r="DD330" s="237" t="n">
        <f aca="true">IFERROR(SUMPRODUCT(OFFSET($BJ$31,0,1-MIN(60,COLUMN()-29),1,MIN(60,COLUMN()-29)),OFFSET(DD329,0,-MIN(60,COLUMN()-29),1,MIN(60,COLUMN()-29))),0)</f>
        <v>0</v>
      </c>
      <c r="DE330" s="237" t="n">
        <f aca="true">IFERROR(SUMPRODUCT(OFFSET($BJ$31,0,1-MIN(60,COLUMN()-29),1,MIN(60,COLUMN()-29)),OFFSET(DE329,0,-MIN(60,COLUMN()-29),1,MIN(60,COLUMN()-29))),0)</f>
        <v>0</v>
      </c>
      <c r="DF330" s="237" t="n">
        <f aca="true">IFERROR(SUMPRODUCT(OFFSET($BJ$31,0,1-MIN(60,COLUMN()-29),1,MIN(60,COLUMN()-29)),OFFSET(DF329,0,-MIN(60,COLUMN()-29),1,MIN(60,COLUMN()-29))),0)</f>
        <v>0</v>
      </c>
      <c r="DG330" s="237" t="n">
        <f aca="true">IFERROR(SUMPRODUCT(OFFSET($BJ$31,0,1-MIN(60,COLUMN()-29),1,MIN(60,COLUMN()-29)),OFFSET(DG329,0,-MIN(60,COLUMN()-29),1,MIN(60,COLUMN()-29))),0)</f>
        <v>0</v>
      </c>
      <c r="DH330" s="237" t="n">
        <f aca="true">IFERROR(SUMPRODUCT(OFFSET($BJ$31,0,1-MIN(60,COLUMN()-29),1,MIN(60,COLUMN()-29)),OFFSET(DH329,0,-MIN(60,COLUMN()-29),1,MIN(60,COLUMN()-29))),0)</f>
        <v>0</v>
      </c>
      <c r="DI330" s="237" t="n">
        <f aca="true">IFERROR(SUMPRODUCT(OFFSET($BJ$31,0,1-MIN(60,COLUMN()-29),1,MIN(60,COLUMN()-29)),OFFSET(DI329,0,-MIN(60,COLUMN()-29),1,MIN(60,COLUMN()-29))),0)</f>
        <v>0</v>
      </c>
      <c r="DJ330" s="237" t="n">
        <f aca="true">IFERROR(SUMPRODUCT(OFFSET($BJ$31,0,1-MIN(60,COLUMN()-29),1,MIN(60,COLUMN()-29)),OFFSET(DJ329,0,-MIN(60,COLUMN()-29),1,MIN(60,COLUMN()-29))),0)</f>
        <v>0</v>
      </c>
      <c r="DK330" s="237" t="n">
        <f aca="true">IFERROR(SUMPRODUCT(OFFSET($BJ$31,0,1-MIN(60,COLUMN()-29),1,MIN(60,COLUMN()-29)),OFFSET(DK329,0,-MIN(60,COLUMN()-29),1,MIN(60,COLUMN()-29))),0)</f>
        <v>0</v>
      </c>
      <c r="DL330" s="237" t="n">
        <f aca="true">IFERROR(SUMPRODUCT(OFFSET($BJ$31,0,1-MIN(60,COLUMN()-29),1,MIN(60,COLUMN()-29)),OFFSET(DL329,0,-MIN(60,COLUMN()-29),1,MIN(60,COLUMN()-29))),0)</f>
        <v>0</v>
      </c>
      <c r="DM330" s="237" t="n">
        <f aca="true">IFERROR(SUMPRODUCT(OFFSET($BJ$31,0,1-MIN(60,COLUMN()-29),1,MIN(60,COLUMN()-29)),OFFSET(DM329,0,-MIN(60,COLUMN()-29),1,MIN(60,COLUMN()-29))),0)</f>
        <v>0</v>
      </c>
      <c r="DN330" s="237" t="n">
        <f aca="true">IFERROR(SUMPRODUCT(OFFSET($BJ$31,0,1-MIN(60,COLUMN()-29),1,MIN(60,COLUMN()-29)),OFFSET(DN329,0,-MIN(60,COLUMN()-29),1,MIN(60,COLUMN()-29))),0)</f>
        <v>0</v>
      </c>
      <c r="DO330" s="237" t="n">
        <f aca="true">IFERROR(SUMPRODUCT(OFFSET($BJ$31,0,1-MIN(60,COLUMN()-29),1,MIN(60,COLUMN()-29)),OFFSET(DO329,0,-MIN(60,COLUMN()-29),1,MIN(60,COLUMN()-29))),0)</f>
        <v>0</v>
      </c>
      <c r="DP330" s="237" t="n">
        <f aca="true">IFERROR(SUMPRODUCT(OFFSET($BJ$31,0,1-MIN(60,COLUMN()-29),1,MIN(60,COLUMN()-29)),OFFSET(DP329,0,-MIN(60,COLUMN()-29),1,MIN(60,COLUMN()-29))),0)</f>
        <v>0</v>
      </c>
      <c r="DQ330" s="237" t="n">
        <f aca="true">IFERROR(SUMPRODUCT(OFFSET($BJ$31,0,1-MIN(60,COLUMN()-29),1,MIN(60,COLUMN()-29)),OFFSET(DQ329,0,-MIN(60,COLUMN()-29),1,MIN(60,COLUMN()-29))),0)</f>
        <v>0</v>
      </c>
      <c r="DR330" s="237" t="n">
        <f aca="true">IFERROR(SUMPRODUCT(OFFSET($BJ$31,0,1-MIN(60,COLUMN()-29),1,MIN(60,COLUMN()-29)),OFFSET(DR329,0,-MIN(60,COLUMN()-29),1,MIN(60,COLUMN()-29))),0)</f>
        <v>5.49376</v>
      </c>
      <c r="DS330" s="237" t="n">
        <f aca="true">IFERROR(SUMPRODUCT(OFFSET($BJ$31,0,1-MIN(60,COLUMN()-29),1,MIN(60,COLUMN()-29)),OFFSET(DS329,0,-MIN(60,COLUMN()-29),1,MIN(60,COLUMN()-29))),0)</f>
        <v>5.756608</v>
      </c>
      <c r="DT330" s="237" t="n">
        <f aca="true">IFERROR(SUMPRODUCT(OFFSET($BJ$31,0,1-MIN(60,COLUMN()-29),1,MIN(60,COLUMN()-29)),OFFSET(DT329,0,-MIN(60,COLUMN()-29),1,MIN(60,COLUMN()-29))),0)</f>
        <v>5.3999872</v>
      </c>
      <c r="DU330" s="237" t="n">
        <f aca="true">IFERROR(SUMPRODUCT(OFFSET($BJ$31,0,1-MIN(60,COLUMN()-29),1,MIN(60,COLUMN()-29)),OFFSET(DU329,0,-MIN(60,COLUMN()-29),1,MIN(60,COLUMN()-29))),0)</f>
        <v>7.7372032</v>
      </c>
      <c r="DV330" s="237" t="n">
        <f aca="true">IFERROR(SUMPRODUCT(OFFSET($BJ$31,0,1-MIN(60,COLUMN()-29),1,MIN(60,COLUMN()-29)),OFFSET(DV329,0,-MIN(60,COLUMN()-29),1,MIN(60,COLUMN()-29))),0)</f>
        <v>8.503488</v>
      </c>
      <c r="DW330" s="237" t="n">
        <f aca="true">IFERROR(SUMPRODUCT(OFFSET($BJ$31,0,1-MIN(60,COLUMN()-29),1,MIN(60,COLUMN()-29)),OFFSET(DW329,0,-MIN(60,COLUMN()-29),1,MIN(60,COLUMN()-29))),0)</f>
        <v>8.0573568</v>
      </c>
      <c r="DX330" s="237" t="n">
        <f aca="true">IFERROR(SUMPRODUCT(OFFSET($BJ$31,0,1-MIN(60,COLUMN()-29),1,MIN(60,COLUMN()-29)),OFFSET(DX329,0,-MIN(60,COLUMN()-29),1,MIN(60,COLUMN()-29))),0)</f>
        <v>10.9468496</v>
      </c>
      <c r="DY330" s="237" t="n">
        <f aca="true">IFERROR(SUMPRODUCT(OFFSET($BJ$31,0,1-MIN(60,COLUMN()-29),1,MIN(60,COLUMN()-29)),OFFSET(DY329,0,-MIN(60,COLUMN()-29),1,MIN(60,COLUMN()-29))),0)</f>
        <v>12.0325184</v>
      </c>
      <c r="DZ330" s="237" t="n">
        <f aca="true">IFERROR(SUMPRODUCT(OFFSET($BJ$31,0,1-MIN(60,COLUMN()-29),1,MIN(60,COLUMN()-29)),OFFSET(DZ329,0,-MIN(60,COLUMN()-29),1,MIN(60,COLUMN()-29))),0)</f>
        <v>11.4321712</v>
      </c>
      <c r="EA330" s="237" t="n">
        <f aca="true">IFERROR(SUMPRODUCT(OFFSET($BJ$31,0,1-MIN(60,COLUMN()-29),1,MIN(60,COLUMN()-29)),OFFSET(EA329,0,-MIN(60,COLUMN()-29),1,MIN(60,COLUMN()-29))),0)</f>
        <v>12.3328992</v>
      </c>
      <c r="EB330" s="237" t="n">
        <f aca="true">IFERROR(SUMPRODUCT(OFFSET($BJ$31,0,1-MIN(60,COLUMN()-29),1,MIN(60,COLUMN()-29)),OFFSET(EB329,0,-MIN(60,COLUMN()-29),1,MIN(60,COLUMN()-29))),0)</f>
        <v>12.7067472</v>
      </c>
      <c r="EC330" s="237" t="n">
        <f aca="true">IFERROR(SUMPRODUCT(OFFSET($BJ$31,0,1-MIN(60,COLUMN()-29),1,MIN(60,COLUMN()-29)),OFFSET(EC329,0,-MIN(60,COLUMN()-29),1,MIN(60,COLUMN()-29))),0)</f>
        <v>19.9191424</v>
      </c>
      <c r="ED330" s="237" t="n">
        <f aca="true">IFERROR(SUMPRODUCT(OFFSET($BJ$31,0,1-MIN(60,COLUMN()-29),1,MIN(60,COLUMN()-29)),OFFSET(ED329,0,-MIN(60,COLUMN()-29),1,MIN(60,COLUMN()-29))),0)</f>
        <v>20.2551024</v>
      </c>
      <c r="EE330" s="237" t="n">
        <f aca="true">IFERROR(SUMPRODUCT(OFFSET($BJ$31,0,1-MIN(60,COLUMN()-29),1,MIN(60,COLUMN()-29)),OFFSET(EE329,0,-MIN(60,COLUMN()-29),1,MIN(60,COLUMN()-29))),0)</f>
        <v>20.5397952</v>
      </c>
      <c r="EF330" s="237" t="n">
        <f aca="true">IFERROR(SUMPRODUCT(OFFSET($BJ$31,0,1-MIN(60,COLUMN()-29),1,MIN(60,COLUMN()-29)),OFFSET(EF329,0,-MIN(60,COLUMN()-29),1,MIN(60,COLUMN()-29))),0)</f>
        <v>18.5932992</v>
      </c>
      <c r="EG330" s="237" t="n">
        <f aca="true">IFERROR(SUMPRODUCT(OFFSET($BJ$31,0,1-MIN(60,COLUMN()-29),1,MIN(60,COLUMN()-29)),OFFSET(EG329,0,-MIN(60,COLUMN()-29),1,MIN(60,COLUMN()-29))),0)</f>
        <v>25.8564288</v>
      </c>
      <c r="EH330" s="237" t="n">
        <f aca="true">IFERROR(SUMPRODUCT(OFFSET($BJ$31,0,1-MIN(60,COLUMN()-29),1,MIN(60,COLUMN()-29)),OFFSET(EH329,0,-MIN(60,COLUMN()-29),1,MIN(60,COLUMN()-29))),0)</f>
        <v>29.61264512</v>
      </c>
      <c r="EI330" s="237" t="n">
        <f aca="true">IFERROR(SUMPRODUCT(OFFSET($BJ$31,0,1-MIN(60,COLUMN()-29),1,MIN(60,COLUMN()-29)),OFFSET(EI329,0,-MIN(60,COLUMN()-29),1,MIN(60,COLUMN()-29))),0)</f>
        <v>28.882792</v>
      </c>
      <c r="EJ330" s="237" t="n">
        <f aca="true">IFERROR(SUMPRODUCT(OFFSET($BJ$31,0,1-MIN(60,COLUMN()-29),1,MIN(60,COLUMN()-29)),OFFSET(EJ329,0,-MIN(60,COLUMN()-29),1,MIN(60,COLUMN()-29))),0)</f>
        <v>37.06598432</v>
      </c>
      <c r="EK330" s="237" t="n">
        <f aca="true">IFERROR(SUMPRODUCT(OFFSET($BJ$31,0,1-MIN(60,COLUMN()-29),1,MIN(60,COLUMN()-29)),OFFSET(EK329,0,-MIN(60,COLUMN()-29),1,MIN(60,COLUMN()-29))),0)</f>
        <v>38.59257472</v>
      </c>
      <c r="EL330" s="237" t="n">
        <f aca="true">IFERROR(SUMPRODUCT(OFFSET($BJ$31,0,1-MIN(60,COLUMN()-29),1,MIN(60,COLUMN()-29)),OFFSET(EL329,0,-MIN(60,COLUMN()-29),1,MIN(60,COLUMN()-29))),0)</f>
        <v>39.3092736</v>
      </c>
      <c r="EM330" s="237" t="n">
        <f aca="true">IFERROR(SUMPRODUCT(OFFSET($BJ$31,0,1-MIN(60,COLUMN()-29),1,MIN(60,COLUMN()-29)),OFFSET(EM329,0,-MIN(60,COLUMN()-29),1,MIN(60,COLUMN()-29))),0)</f>
        <v>39.0655546</v>
      </c>
      <c r="EN330" s="237" t="n">
        <f aca="true">IFERROR(SUMPRODUCT(OFFSET($BJ$31,0,1-MIN(60,COLUMN()-29),1,MIN(60,COLUMN()-29)),OFFSET(EN329,0,-MIN(60,COLUMN()-29),1,MIN(60,COLUMN()-29))),0)</f>
        <v>43.26779852</v>
      </c>
      <c r="EO330" s="237" t="n">
        <f aca="true">IFERROR(SUMPRODUCT(OFFSET($BJ$31,0,1-MIN(60,COLUMN()-29),1,MIN(60,COLUMN()-29)),OFFSET(EO329,0,-MIN(60,COLUMN()-29),1,MIN(60,COLUMN()-29))),0)</f>
        <v>56.15718808</v>
      </c>
      <c r="EP330" s="237" t="n">
        <f aca="true">IFERROR(SUMPRODUCT(OFFSET($BJ$31,0,1-MIN(60,COLUMN()-29),1,MIN(60,COLUMN()-29)),OFFSET(EP329,0,-MIN(60,COLUMN()-29),1,MIN(60,COLUMN()-29))),0)</f>
        <v>56.70775696</v>
      </c>
      <c r="EQ330" s="237" t="n">
        <f aca="true">IFERROR(SUMPRODUCT(OFFSET($BJ$31,0,1-MIN(60,COLUMN()-29),1,MIN(60,COLUMN()-29)),OFFSET(EQ329,0,-MIN(60,COLUMN()-29),1,MIN(60,COLUMN()-29))),0)</f>
        <v>55.60508592</v>
      </c>
      <c r="ER330" s="237" t="n">
        <f aca="true">IFERROR(SUMPRODUCT(OFFSET($BJ$31,0,1-MIN(60,COLUMN()-29),1,MIN(60,COLUMN()-29)),OFFSET(ER329,0,-MIN(60,COLUMN()-29),1,MIN(60,COLUMN()-29))),0)</f>
        <v>53.74834008</v>
      </c>
      <c r="ES330" s="9" t="n">
        <f aca="true">IFERROR(SUMPRODUCT(OFFSET($BJ$31,0,1-MIN(60,COLUMN()-29),1,MIN(60,COLUMN()-29)),OFFSET(ES329,0,-MIN(60,COLUMN()-29),1,MIN(60,COLUMN()-29))),0)</f>
        <v>64.0634058</v>
      </c>
      <c r="ET330" s="9" t="n">
        <f aca="true">IFERROR(SUMPRODUCT(OFFSET($BJ$31,0,1-MIN(60,COLUMN()-29),1,MIN(60,COLUMN()-29)),OFFSET(ET329,0,-MIN(60,COLUMN()-29),1,MIN(60,COLUMN()-29))),0)</f>
        <v>68.21497452</v>
      </c>
      <c r="EU330" s="9" t="n">
        <f aca="true">IFERROR(SUMPRODUCT(OFFSET($BJ$31,0,1-MIN(60,COLUMN()-29),1,MIN(60,COLUMN()-29)),OFFSET(EU329,0,-MIN(60,COLUMN()-29),1,MIN(60,COLUMN()-29))),0)</f>
        <v>67.53270636</v>
      </c>
      <c r="EV330" s="9" t="n">
        <f aca="true">IFERROR(SUMPRODUCT(OFFSET($BJ$31,0,1-MIN(60,COLUMN()-29),1,MIN(60,COLUMN()-29)),OFFSET(EV329,0,-MIN(60,COLUMN()-29),1,MIN(60,COLUMN()-29))),0)</f>
        <v>78.01671852</v>
      </c>
      <c r="EW330" s="9" t="n">
        <f aca="true">IFERROR(SUMPRODUCT(OFFSET($BJ$31,0,1-MIN(60,COLUMN()-29),1,MIN(60,COLUMN()-29)),OFFSET(EW329,0,-MIN(60,COLUMN()-29),1,MIN(60,COLUMN()-29))),0)</f>
        <v>81.19419564</v>
      </c>
      <c r="EX330" s="9" t="n">
        <f aca="true">IFERROR(SUMPRODUCT(OFFSET($BJ$31,0,1-MIN(60,COLUMN()-29),1,MIN(60,COLUMN()-29)),OFFSET(EX329,0,-MIN(60,COLUMN()-29),1,MIN(60,COLUMN()-29))),0)</f>
        <v>81.94196268</v>
      </c>
      <c r="EY330" s="9" t="n">
        <f aca="true">IFERROR(SUMPRODUCT(OFFSET($BJ$31,0,1-MIN(60,COLUMN()-29),1,MIN(60,COLUMN()-29)),OFFSET(EY329,0,-MIN(60,COLUMN()-29),1,MIN(60,COLUMN()-29))),0)</f>
        <v>82.36383372</v>
      </c>
      <c r="EZ330" s="9" t="n">
        <f aca="true">IFERROR(SUMPRODUCT(OFFSET($BJ$31,0,1-MIN(60,COLUMN()-29),1,MIN(60,COLUMN()-29)),OFFSET(EZ329,0,-MIN(60,COLUMN()-29),1,MIN(60,COLUMN()-29))),0)</f>
        <v>88.56214476</v>
      </c>
      <c r="FA330" s="9" t="n">
        <f aca="true">IFERROR(SUMPRODUCT(OFFSET($BJ$31,0,1-MIN(60,COLUMN()-29),1,MIN(60,COLUMN()-29)),OFFSET(FA329,0,-MIN(60,COLUMN()-29),1,MIN(60,COLUMN()-29))),0)</f>
        <v>106.8148782</v>
      </c>
      <c r="FB330" s="9" t="n">
        <f aca="true">IFERROR(SUMPRODUCT(OFFSET($BJ$31,0,1-MIN(60,COLUMN()-29),1,MIN(60,COLUMN()-29)),OFFSET(FB329,0,-MIN(60,COLUMN()-29),1,MIN(60,COLUMN()-29))),0)</f>
        <v>106.75577292</v>
      </c>
      <c r="FC330" s="9" t="n">
        <f aca="true">IFERROR(SUMPRODUCT(OFFSET($BJ$31,0,1-MIN(60,COLUMN()-29),1,MIN(60,COLUMN()-29)),OFFSET(FC329,0,-MIN(60,COLUMN()-29),1,MIN(60,COLUMN()-29))),0)</f>
        <v>106.0391214</v>
      </c>
      <c r="FD330" s="9" t="n">
        <f aca="true">IFERROR(SUMPRODUCT(OFFSET($BJ$31,0,1-MIN(60,COLUMN()-29),1,MIN(60,COLUMN()-29)),OFFSET(FD329,0,-MIN(60,COLUMN()-29),1,MIN(60,COLUMN()-29))),0)</f>
        <v>103.33812732</v>
      </c>
      <c r="FE330" s="9" t="n">
        <f aca="true">IFERROR(SUMPRODUCT(OFFSET($BJ$31,0,1-MIN(60,COLUMN()-29),1,MIN(60,COLUMN()-29)),OFFSET(FE329,0,-MIN(60,COLUMN()-29),1,MIN(60,COLUMN()-29))),0)</f>
        <v>117.09995172</v>
      </c>
      <c r="FF330" s="9" t="n">
        <f aca="true">IFERROR(SUMPRODUCT(OFFSET($BJ$31,0,1-MIN(60,COLUMN()-29),1,MIN(60,COLUMN()-29)),OFFSET(FF329,0,-MIN(60,COLUMN()-29),1,MIN(60,COLUMN()-29))),0)</f>
        <v>122.36767428</v>
      </c>
      <c r="FG330" s="9" t="n">
        <f aca="true">IFERROR(SUMPRODUCT(OFFSET($BJ$31,0,1-MIN(60,COLUMN()-29),1,MIN(60,COLUMN()-29)),OFFSET(FG329,0,-MIN(60,COLUMN()-29),1,MIN(60,COLUMN()-29))),0)</f>
        <v>122.92015236</v>
      </c>
      <c r="FH330" s="9" t="n">
        <f aca="true">IFERROR(SUMPRODUCT(OFFSET($BJ$31,0,1-MIN(60,COLUMN()-29),1,MIN(60,COLUMN()-29)),OFFSET(FH329,0,-MIN(60,COLUMN()-29),1,MIN(60,COLUMN()-29))),0)</f>
        <v>135.38515044</v>
      </c>
      <c r="FI330" s="9" t="n">
        <f aca="true">IFERROR(SUMPRODUCT(OFFSET($BJ$31,0,1-MIN(60,COLUMN()-29),1,MIN(60,COLUMN()-29)),OFFSET(FI329,0,-MIN(60,COLUMN()-29),1,MIN(60,COLUMN()-29))),0)</f>
        <v>139.14591036</v>
      </c>
      <c r="FJ330" s="9" t="n">
        <f aca="true">IFERROR(SUMPRODUCT(OFFSET($BJ$31,0,1-MIN(60,COLUMN()-29),1,MIN(60,COLUMN()-29)),OFFSET(FJ329,0,-MIN(60,COLUMN()-29),1,MIN(60,COLUMN()-29))),0)</f>
        <v>140.26640652</v>
      </c>
      <c r="FK330" s="9" t="n">
        <f aca="true">IFERROR(SUMPRODUCT(OFFSET($BJ$31,0,1-MIN(60,COLUMN()-29),1,MIN(60,COLUMN()-29)),OFFSET(FK329,0,-MIN(60,COLUMN()-29),1,MIN(60,COLUMN()-29))),0)</f>
        <v>140.67279972</v>
      </c>
      <c r="FL330" s="9" t="n">
        <f aca="true">IFERROR(SUMPRODUCT(OFFSET($BJ$31,0,1-MIN(60,COLUMN()-29),1,MIN(60,COLUMN()-29)),OFFSET(FL329,0,-MIN(60,COLUMN()-29),1,MIN(60,COLUMN()-29))),0)</f>
        <v>148.68133428</v>
      </c>
      <c r="FM330" s="9" t="n">
        <f aca="true">IFERROR(SUMPRODUCT(OFFSET($BJ$31,0,1-MIN(60,COLUMN()-29),1,MIN(60,COLUMN()-29)),OFFSET(FM329,0,-MIN(60,COLUMN()-29),1,MIN(60,COLUMN()-29))),0)</f>
        <v>169.2648102</v>
      </c>
      <c r="FN330" s="9" t="n">
        <f aca="true">IFERROR(SUMPRODUCT(OFFSET($BJ$31,0,1-MIN(60,COLUMN()-29),1,MIN(60,COLUMN()-29)),OFFSET(FN329,0,-MIN(60,COLUMN()-29),1,MIN(60,COLUMN()-29))),0)</f>
        <v>168.98187564</v>
      </c>
      <c r="FO330" s="9" t="n">
        <f aca="true">IFERROR(SUMPRODUCT(OFFSET($BJ$31,0,1-MIN(60,COLUMN()-29),1,MIN(60,COLUMN()-29)),OFFSET(FO329,0,-MIN(60,COLUMN()-29),1,MIN(60,COLUMN()-29))),0)</f>
        <v>167.35804332</v>
      </c>
      <c r="FP330" s="9" t="n">
        <f aca="true">IFERROR(SUMPRODUCT(OFFSET($BJ$31,0,1-MIN(60,COLUMN()-29),1,MIN(60,COLUMN()-29)),OFFSET(FP329,0,-MIN(60,COLUMN()-29),1,MIN(60,COLUMN()-29))),0)</f>
        <v>164.28387612</v>
      </c>
    </row>
    <row r="331" customFormat="false" ht="15" hidden="false" customHeight="false" outlineLevel="2" collapsed="false">
      <c r="B331" s="47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237"/>
      <c r="AD331" s="237"/>
      <c r="AE331" s="237"/>
      <c r="AF331" s="237"/>
      <c r="AG331" s="237"/>
      <c r="AH331" s="237"/>
      <c r="AI331" s="237"/>
      <c r="AJ331" s="237"/>
      <c r="AK331" s="237"/>
      <c r="AL331" s="237"/>
      <c r="AM331" s="237"/>
      <c r="AN331" s="237"/>
      <c r="AO331" s="237"/>
      <c r="AP331" s="237"/>
      <c r="AQ331" s="237"/>
      <c r="AR331" s="237"/>
      <c r="AS331" s="237"/>
      <c r="AT331" s="237"/>
      <c r="AU331" s="237"/>
      <c r="AV331" s="237"/>
      <c r="AW331" s="237"/>
      <c r="AX331" s="237"/>
      <c r="AY331" s="237"/>
      <c r="AZ331" s="237"/>
      <c r="BA331" s="237"/>
      <c r="BB331" s="237"/>
      <c r="BC331" s="237"/>
      <c r="BD331" s="237"/>
      <c r="BE331" s="237"/>
      <c r="BF331" s="237"/>
      <c r="BG331" s="237"/>
      <c r="BH331" s="237"/>
      <c r="BI331" s="237"/>
      <c r="BJ331" s="237"/>
      <c r="BK331" s="237"/>
      <c r="BL331" s="237"/>
      <c r="BM331" s="237"/>
      <c r="BN331" s="237"/>
      <c r="BO331" s="237"/>
      <c r="BP331" s="237"/>
      <c r="BQ331" s="237"/>
      <c r="BR331" s="237"/>
      <c r="BS331" s="237"/>
      <c r="BT331" s="237"/>
      <c r="BU331" s="237"/>
      <c r="BV331" s="237"/>
      <c r="BW331" s="237"/>
      <c r="BX331" s="237"/>
      <c r="BY331" s="237"/>
      <c r="BZ331" s="237"/>
      <c r="CA331" s="237"/>
      <c r="CB331" s="237"/>
      <c r="CC331" s="237"/>
      <c r="CD331" s="237"/>
      <c r="CE331" s="237"/>
      <c r="CF331" s="237"/>
      <c r="CG331" s="237"/>
      <c r="CH331" s="237"/>
      <c r="CI331" s="237"/>
      <c r="CJ331" s="237"/>
      <c r="CK331" s="237"/>
      <c r="CL331" s="237"/>
      <c r="CM331" s="237"/>
      <c r="CN331" s="237"/>
      <c r="CO331" s="237"/>
      <c r="CP331" s="237"/>
      <c r="CQ331" s="237"/>
      <c r="CR331" s="237"/>
      <c r="CS331" s="237"/>
      <c r="CT331" s="237"/>
      <c r="CU331" s="237"/>
      <c r="CV331" s="237"/>
      <c r="CW331" s="237"/>
      <c r="CX331" s="237"/>
      <c r="CY331" s="237"/>
      <c r="CZ331" s="237"/>
      <c r="DA331" s="237"/>
      <c r="DB331" s="237"/>
      <c r="DC331" s="237"/>
      <c r="DD331" s="237"/>
      <c r="DE331" s="237"/>
      <c r="DF331" s="237"/>
      <c r="DG331" s="237"/>
      <c r="DH331" s="237"/>
      <c r="DI331" s="237"/>
      <c r="DJ331" s="237"/>
      <c r="DK331" s="237"/>
      <c r="DL331" s="237"/>
      <c r="DM331" s="237"/>
      <c r="DN331" s="237"/>
      <c r="DO331" s="237"/>
      <c r="DP331" s="237"/>
      <c r="DQ331" s="237"/>
      <c r="DR331" s="237"/>
      <c r="DS331" s="237"/>
      <c r="DT331" s="237"/>
      <c r="DU331" s="237"/>
      <c r="DV331" s="237"/>
      <c r="DW331" s="237"/>
      <c r="DX331" s="237"/>
      <c r="DY331" s="237"/>
      <c r="DZ331" s="237"/>
      <c r="EA331" s="237"/>
      <c r="EB331" s="237"/>
      <c r="EC331" s="237"/>
      <c r="ED331" s="237"/>
      <c r="EE331" s="237"/>
      <c r="EF331" s="237"/>
      <c r="EG331" s="237"/>
      <c r="EH331" s="237"/>
      <c r="EI331" s="237"/>
      <c r="EJ331" s="237"/>
      <c r="EK331" s="237"/>
      <c r="EL331" s="237"/>
      <c r="EM331" s="237"/>
      <c r="EN331" s="237"/>
      <c r="EO331" s="237"/>
      <c r="EP331" s="237"/>
      <c r="EQ331" s="237"/>
      <c r="ER331" s="237"/>
      <c r="ES331" s="9"/>
      <c r="ET331" s="9"/>
      <c r="EU331" s="9"/>
      <c r="EV331" s="9"/>
      <c r="EW331" s="9"/>
      <c r="EX331" s="9"/>
      <c r="EY331" s="9"/>
      <c r="EZ331" s="9"/>
      <c r="FA331" s="9"/>
      <c r="FB331" s="9"/>
      <c r="FC331" s="9"/>
      <c r="FD331" s="9"/>
      <c r="FE331" s="9"/>
      <c r="FF331" s="9"/>
      <c r="FG331" s="9"/>
      <c r="FH331" s="9"/>
      <c r="FI331" s="9"/>
      <c r="FJ331" s="9"/>
      <c r="FK331" s="9"/>
      <c r="FL331" s="9"/>
      <c r="FM331" s="9"/>
      <c r="FN331" s="9"/>
      <c r="FO331" s="9"/>
      <c r="FP331" s="9"/>
    </row>
    <row r="332" customFormat="false" ht="15" hidden="false" customHeight="false" outlineLevel="2" collapsed="false">
      <c r="B332" s="47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237"/>
      <c r="AD332" s="237"/>
      <c r="AE332" s="237"/>
      <c r="AF332" s="237"/>
      <c r="AG332" s="237"/>
      <c r="AH332" s="237"/>
      <c r="AI332" s="237"/>
      <c r="AJ332" s="237"/>
      <c r="AK332" s="237"/>
      <c r="AL332" s="237"/>
      <c r="AM332" s="237"/>
      <c r="AN332" s="237"/>
      <c r="AO332" s="237"/>
      <c r="AP332" s="237"/>
      <c r="AQ332" s="237"/>
      <c r="AR332" s="237"/>
      <c r="AS332" s="237"/>
      <c r="AT332" s="237"/>
      <c r="AU332" s="237"/>
      <c r="AV332" s="237"/>
      <c r="AW332" s="237"/>
      <c r="AX332" s="237"/>
      <c r="AY332" s="237"/>
      <c r="AZ332" s="237"/>
      <c r="BA332" s="237"/>
      <c r="BB332" s="237"/>
      <c r="BC332" s="237"/>
      <c r="BD332" s="237"/>
      <c r="BE332" s="237"/>
      <c r="BF332" s="237"/>
      <c r="BG332" s="237"/>
      <c r="BH332" s="237"/>
      <c r="BI332" s="237"/>
      <c r="BJ332" s="237"/>
      <c r="BK332" s="237"/>
      <c r="BL332" s="237"/>
      <c r="BM332" s="237"/>
      <c r="BN332" s="237"/>
      <c r="BO332" s="237"/>
      <c r="BP332" s="237"/>
      <c r="BQ332" s="237"/>
      <c r="BR332" s="237"/>
      <c r="BS332" s="237"/>
      <c r="BT332" s="237"/>
      <c r="BU332" s="237"/>
      <c r="BV332" s="237"/>
      <c r="BW332" s="237"/>
      <c r="BX332" s="237"/>
      <c r="BY332" s="237"/>
      <c r="BZ332" s="237"/>
      <c r="CA332" s="237"/>
      <c r="CB332" s="237"/>
      <c r="CC332" s="237"/>
      <c r="CD332" s="237"/>
      <c r="CE332" s="237"/>
      <c r="CF332" s="237"/>
      <c r="CG332" s="237"/>
      <c r="CH332" s="237"/>
      <c r="CI332" s="237"/>
      <c r="CJ332" s="237"/>
      <c r="CK332" s="237"/>
      <c r="CL332" s="237"/>
      <c r="CM332" s="237"/>
      <c r="CN332" s="237"/>
      <c r="CO332" s="237"/>
      <c r="CP332" s="237"/>
      <c r="CQ332" s="237"/>
      <c r="CR332" s="237"/>
      <c r="CS332" s="237"/>
      <c r="CT332" s="237"/>
      <c r="CU332" s="237"/>
      <c r="CV332" s="237"/>
      <c r="CW332" s="237"/>
      <c r="CX332" s="237"/>
      <c r="CY332" s="237"/>
      <c r="CZ332" s="237"/>
      <c r="DA332" s="237"/>
      <c r="DB332" s="237"/>
      <c r="DC332" s="237"/>
      <c r="DD332" s="237"/>
      <c r="DE332" s="237"/>
      <c r="DF332" s="237"/>
      <c r="DG332" s="237"/>
      <c r="DH332" s="237"/>
      <c r="DI332" s="237"/>
      <c r="DJ332" s="237"/>
      <c r="DK332" s="237"/>
      <c r="DL332" s="237"/>
      <c r="DM332" s="237"/>
      <c r="DN332" s="237"/>
      <c r="DO332" s="237"/>
      <c r="DP332" s="237"/>
      <c r="DQ332" s="237"/>
      <c r="DR332" s="237"/>
      <c r="DS332" s="237"/>
      <c r="DT332" s="237"/>
      <c r="DU332" s="237"/>
      <c r="DV332" s="237"/>
      <c r="DW332" s="237"/>
      <c r="DX332" s="237"/>
      <c r="DY332" s="237"/>
      <c r="DZ332" s="237"/>
      <c r="EA332" s="237"/>
      <c r="EB332" s="237"/>
      <c r="EC332" s="237"/>
      <c r="ED332" s="237"/>
      <c r="EE332" s="237"/>
      <c r="EF332" s="237"/>
      <c r="EG332" s="237"/>
      <c r="EH332" s="237"/>
      <c r="EI332" s="237"/>
      <c r="EJ332" s="237"/>
      <c r="EK332" s="237"/>
      <c r="EL332" s="237"/>
      <c r="EM332" s="237"/>
      <c r="EN332" s="237"/>
      <c r="EO332" s="237"/>
      <c r="EP332" s="237"/>
      <c r="EQ332" s="237"/>
      <c r="ER332" s="237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</row>
    <row r="333" customFormat="false" ht="15" hidden="false" customHeight="false" outlineLevel="2" collapsed="false">
      <c r="B333" s="47" t="s">
        <v>906</v>
      </c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237"/>
      <c r="AD333" s="237"/>
      <c r="AE333" s="237"/>
      <c r="AF333" s="237"/>
      <c r="AG333" s="237"/>
      <c r="AH333" s="237"/>
      <c r="AI333" s="237"/>
      <c r="AJ333" s="237"/>
      <c r="AK333" s="237"/>
      <c r="AL333" s="237"/>
      <c r="AM333" s="237"/>
      <c r="AN333" s="237"/>
      <c r="AO333" s="237"/>
      <c r="AP333" s="237"/>
      <c r="AQ333" s="237"/>
      <c r="AR333" s="237"/>
      <c r="AS333" s="237"/>
      <c r="AT333" s="237"/>
      <c r="AU333" s="237"/>
      <c r="AV333" s="237"/>
      <c r="AW333" s="237"/>
      <c r="AX333" s="237"/>
      <c r="AY333" s="237"/>
      <c r="AZ333" s="237"/>
      <c r="BA333" s="237"/>
      <c r="BB333" s="237"/>
      <c r="BC333" s="237"/>
      <c r="BD333" s="237"/>
      <c r="BE333" s="237"/>
      <c r="BF333" s="237"/>
      <c r="BG333" s="237"/>
      <c r="BH333" s="237"/>
      <c r="BI333" s="237"/>
      <c r="BJ333" s="237"/>
      <c r="BK333" s="237"/>
      <c r="BL333" s="237"/>
      <c r="BM333" s="237"/>
      <c r="BN333" s="237"/>
      <c r="BO333" s="237"/>
      <c r="BP333" s="237"/>
      <c r="BQ333" s="237"/>
      <c r="BR333" s="237"/>
      <c r="BS333" s="237"/>
      <c r="BT333" s="237"/>
      <c r="BU333" s="237"/>
      <c r="BV333" s="237"/>
      <c r="BW333" s="237"/>
      <c r="BX333" s="237"/>
      <c r="BY333" s="237"/>
      <c r="BZ333" s="237"/>
      <c r="CA333" s="237"/>
      <c r="CB333" s="237"/>
      <c r="CC333" s="237"/>
      <c r="CD333" s="237"/>
      <c r="CE333" s="237"/>
      <c r="CF333" s="237"/>
      <c r="CG333" s="237"/>
      <c r="CH333" s="237"/>
      <c r="CI333" s="237"/>
      <c r="CJ333" s="237"/>
      <c r="CK333" s="237"/>
      <c r="CL333" s="237"/>
      <c r="CM333" s="237"/>
      <c r="CN333" s="237"/>
      <c r="CO333" s="237"/>
      <c r="CP333" s="237"/>
      <c r="CQ333" s="237"/>
      <c r="CR333" s="237"/>
      <c r="CS333" s="237"/>
      <c r="CT333" s="237"/>
      <c r="CU333" s="237"/>
      <c r="CV333" s="237"/>
      <c r="CW333" s="237"/>
      <c r="CX333" s="237"/>
      <c r="CY333" s="237"/>
      <c r="CZ333" s="237"/>
      <c r="DA333" s="237"/>
      <c r="DB333" s="237"/>
      <c r="DC333" s="237"/>
      <c r="DD333" s="237"/>
      <c r="DE333" s="237"/>
      <c r="DF333" s="237"/>
      <c r="DG333" s="237"/>
      <c r="DH333" s="237"/>
      <c r="DI333" s="237"/>
      <c r="DJ333" s="237"/>
      <c r="DK333" s="237"/>
      <c r="DL333" s="237"/>
      <c r="DM333" s="237"/>
      <c r="DN333" s="237"/>
      <c r="DO333" s="237"/>
      <c r="DP333" s="237"/>
      <c r="DQ333" s="237"/>
      <c r="DR333" s="237"/>
      <c r="DS333" s="237"/>
      <c r="DT333" s="237"/>
      <c r="DU333" s="237"/>
      <c r="DV333" s="237"/>
      <c r="DW333" s="237"/>
      <c r="DX333" s="237"/>
      <c r="DY333" s="237"/>
      <c r="DZ333" s="237"/>
      <c r="EA333" s="237"/>
      <c r="EB333" s="237"/>
      <c r="EC333" s="237"/>
      <c r="ED333" s="237"/>
      <c r="EE333" s="237"/>
      <c r="EF333" s="237"/>
      <c r="EG333" s="237"/>
      <c r="EH333" s="237"/>
      <c r="EI333" s="237"/>
      <c r="EJ333" s="237"/>
      <c r="EK333" s="237"/>
      <c r="EL333" s="237"/>
      <c r="EM333" s="237"/>
      <c r="EN333" s="237"/>
      <c r="EO333" s="237"/>
      <c r="EP333" s="237"/>
      <c r="EQ333" s="237"/>
      <c r="ER333" s="237"/>
      <c r="ES333" s="9"/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  <c r="FJ333" s="9"/>
      <c r="FK333" s="9"/>
      <c r="FL333" s="9"/>
      <c r="FM333" s="9"/>
      <c r="FN333" s="9"/>
      <c r="FO333" s="9"/>
      <c r="FP333" s="9"/>
    </row>
    <row r="334" customFormat="false" ht="15" hidden="false" customHeight="false" outlineLevel="2" collapsed="false">
      <c r="B334" s="47" t="s">
        <v>872</v>
      </c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237" t="n">
        <f aca="false">('⑫ Roll-out Plan'!G38-2025)*12+'⑫ Roll-out Plan'!F38</f>
        <v>106</v>
      </c>
      <c r="AD334" s="237"/>
      <c r="AE334" s="237"/>
      <c r="AF334" s="237"/>
      <c r="AG334" s="237"/>
      <c r="AH334" s="237"/>
      <c r="AI334" s="237"/>
      <c r="AJ334" s="237"/>
      <c r="AK334" s="237"/>
      <c r="AL334" s="237"/>
      <c r="AM334" s="237"/>
      <c r="AN334" s="237"/>
      <c r="AO334" s="237"/>
      <c r="AP334" s="237"/>
      <c r="AQ334" s="237"/>
      <c r="AR334" s="237"/>
      <c r="AS334" s="237"/>
      <c r="AT334" s="237"/>
      <c r="AU334" s="237"/>
      <c r="AV334" s="237"/>
      <c r="AW334" s="237"/>
      <c r="AX334" s="237"/>
      <c r="AY334" s="237"/>
      <c r="AZ334" s="237"/>
      <c r="BA334" s="237"/>
      <c r="BB334" s="237"/>
      <c r="BC334" s="237"/>
      <c r="BD334" s="237"/>
      <c r="BE334" s="237"/>
      <c r="BF334" s="237"/>
      <c r="BG334" s="237"/>
      <c r="BH334" s="237"/>
      <c r="BI334" s="237"/>
      <c r="BJ334" s="237"/>
      <c r="BK334" s="237"/>
      <c r="BL334" s="237"/>
      <c r="BM334" s="237"/>
      <c r="BN334" s="237"/>
      <c r="BO334" s="237"/>
      <c r="BP334" s="237"/>
      <c r="BQ334" s="237"/>
      <c r="BR334" s="237"/>
      <c r="BS334" s="237"/>
      <c r="BT334" s="237"/>
      <c r="BU334" s="237"/>
      <c r="BV334" s="237"/>
      <c r="BW334" s="237"/>
      <c r="BX334" s="237"/>
      <c r="BY334" s="237"/>
      <c r="BZ334" s="237"/>
      <c r="CA334" s="237"/>
      <c r="CB334" s="237"/>
      <c r="CC334" s="237"/>
      <c r="CD334" s="237"/>
      <c r="CE334" s="237"/>
      <c r="CF334" s="237"/>
      <c r="CG334" s="237"/>
      <c r="CH334" s="237"/>
      <c r="CI334" s="237"/>
      <c r="CJ334" s="237"/>
      <c r="CK334" s="237"/>
      <c r="CL334" s="237"/>
      <c r="CM334" s="237"/>
      <c r="CN334" s="237"/>
      <c r="CO334" s="237"/>
      <c r="CP334" s="237"/>
      <c r="CQ334" s="237"/>
      <c r="CR334" s="237"/>
      <c r="CS334" s="237"/>
      <c r="CT334" s="237"/>
      <c r="CU334" s="237"/>
      <c r="CV334" s="237"/>
      <c r="CW334" s="237"/>
      <c r="CX334" s="237"/>
      <c r="CY334" s="237"/>
      <c r="CZ334" s="237"/>
      <c r="DA334" s="237"/>
      <c r="DB334" s="237"/>
      <c r="DC334" s="237"/>
      <c r="DD334" s="237"/>
      <c r="DE334" s="237"/>
      <c r="DF334" s="237"/>
      <c r="DG334" s="237"/>
      <c r="DH334" s="237"/>
      <c r="DI334" s="237"/>
      <c r="DJ334" s="237"/>
      <c r="DK334" s="237"/>
      <c r="DL334" s="237"/>
      <c r="DM334" s="237"/>
      <c r="DN334" s="237"/>
      <c r="DO334" s="237"/>
      <c r="DP334" s="237"/>
      <c r="DQ334" s="237"/>
      <c r="DR334" s="237"/>
      <c r="DS334" s="237"/>
      <c r="DT334" s="237"/>
      <c r="DU334" s="237"/>
      <c r="DV334" s="237"/>
      <c r="DW334" s="237"/>
      <c r="DX334" s="237"/>
      <c r="DY334" s="237"/>
      <c r="DZ334" s="237"/>
      <c r="EA334" s="237"/>
      <c r="EB334" s="237"/>
      <c r="EC334" s="237"/>
      <c r="ED334" s="237"/>
      <c r="EE334" s="237"/>
      <c r="EF334" s="237"/>
      <c r="EG334" s="237"/>
      <c r="EH334" s="237"/>
      <c r="EI334" s="237"/>
      <c r="EJ334" s="237"/>
      <c r="EK334" s="237"/>
      <c r="EL334" s="237"/>
      <c r="EM334" s="237"/>
      <c r="EN334" s="237"/>
      <c r="EO334" s="237"/>
      <c r="EP334" s="237"/>
      <c r="EQ334" s="237"/>
      <c r="ER334" s="237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</row>
    <row r="335" customFormat="false" ht="15" hidden="false" customHeight="false" outlineLevel="2" collapsed="false">
      <c r="B335" s="47" t="s">
        <v>873</v>
      </c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237" t="n">
        <f aca="false">VLOOKUP("C",$B$14:$C$18,2,FALSE())</f>
        <v>110</v>
      </c>
      <c r="AD335" s="237"/>
      <c r="AE335" s="237"/>
      <c r="AF335" s="237"/>
      <c r="AG335" s="237"/>
      <c r="AH335" s="237"/>
      <c r="AI335" s="237"/>
      <c r="AJ335" s="237"/>
      <c r="AK335" s="237"/>
      <c r="AL335" s="237"/>
      <c r="AM335" s="237"/>
      <c r="AN335" s="237"/>
      <c r="AO335" s="237"/>
      <c r="AP335" s="237"/>
      <c r="AQ335" s="237"/>
      <c r="AR335" s="237"/>
      <c r="AS335" s="237"/>
      <c r="AT335" s="237"/>
      <c r="AU335" s="237"/>
      <c r="AV335" s="237"/>
      <c r="AW335" s="237"/>
      <c r="AX335" s="237"/>
      <c r="AY335" s="237"/>
      <c r="AZ335" s="237"/>
      <c r="BA335" s="237"/>
      <c r="BB335" s="237"/>
      <c r="BC335" s="237"/>
      <c r="BD335" s="237"/>
      <c r="BE335" s="237"/>
      <c r="BF335" s="237"/>
      <c r="BG335" s="237"/>
      <c r="BH335" s="237"/>
      <c r="BI335" s="237"/>
      <c r="BJ335" s="237"/>
      <c r="BK335" s="237"/>
      <c r="BL335" s="237"/>
      <c r="BM335" s="237"/>
      <c r="BN335" s="237"/>
      <c r="BO335" s="237"/>
      <c r="BP335" s="237"/>
      <c r="BQ335" s="237"/>
      <c r="BR335" s="237"/>
      <c r="BS335" s="237"/>
      <c r="BT335" s="237"/>
      <c r="BU335" s="237"/>
      <c r="BV335" s="237"/>
      <c r="BW335" s="237"/>
      <c r="BX335" s="237"/>
      <c r="BY335" s="237"/>
      <c r="BZ335" s="237"/>
      <c r="CA335" s="237"/>
      <c r="CB335" s="237"/>
      <c r="CC335" s="237"/>
      <c r="CD335" s="237"/>
      <c r="CE335" s="237"/>
      <c r="CF335" s="237"/>
      <c r="CG335" s="237"/>
      <c r="CH335" s="237"/>
      <c r="CI335" s="237"/>
      <c r="CJ335" s="237"/>
      <c r="CK335" s="237"/>
      <c r="CL335" s="237"/>
      <c r="CM335" s="237"/>
      <c r="CN335" s="237"/>
      <c r="CO335" s="237"/>
      <c r="CP335" s="237"/>
      <c r="CQ335" s="237"/>
      <c r="CR335" s="237"/>
      <c r="CS335" s="237"/>
      <c r="CT335" s="237"/>
      <c r="CU335" s="237"/>
      <c r="CV335" s="237"/>
      <c r="CW335" s="237"/>
      <c r="CX335" s="237"/>
      <c r="CY335" s="237"/>
      <c r="CZ335" s="237"/>
      <c r="DA335" s="237"/>
      <c r="DB335" s="237"/>
      <c r="DC335" s="237"/>
      <c r="DD335" s="237"/>
      <c r="DE335" s="237"/>
      <c r="DF335" s="237"/>
      <c r="DG335" s="237"/>
      <c r="DH335" s="237"/>
      <c r="DI335" s="237"/>
      <c r="DJ335" s="237"/>
      <c r="DK335" s="237"/>
      <c r="DL335" s="237"/>
      <c r="DM335" s="237"/>
      <c r="DN335" s="237"/>
      <c r="DO335" s="237"/>
      <c r="DP335" s="237"/>
      <c r="DQ335" s="237"/>
      <c r="DR335" s="237"/>
      <c r="DS335" s="237"/>
      <c r="DT335" s="237"/>
      <c r="DU335" s="237"/>
      <c r="DV335" s="237"/>
      <c r="DW335" s="237"/>
      <c r="DX335" s="237"/>
      <c r="DY335" s="237"/>
      <c r="DZ335" s="237"/>
      <c r="EA335" s="237"/>
      <c r="EB335" s="237"/>
      <c r="EC335" s="237"/>
      <c r="ED335" s="237"/>
      <c r="EE335" s="237"/>
      <c r="EF335" s="237"/>
      <c r="EG335" s="237"/>
      <c r="EH335" s="237"/>
      <c r="EI335" s="237"/>
      <c r="EJ335" s="237"/>
      <c r="EK335" s="237"/>
      <c r="EL335" s="237"/>
      <c r="EM335" s="237"/>
      <c r="EN335" s="237"/>
      <c r="EO335" s="237"/>
      <c r="EP335" s="237"/>
      <c r="EQ335" s="237"/>
      <c r="ER335" s="237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</row>
    <row r="336" customFormat="false" ht="15" hidden="false" customHeight="false" outlineLevel="2" collapsed="false">
      <c r="B336" s="47" t="s">
        <v>799</v>
      </c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237" t="n">
        <f aca="false">IF(AC$35&gt;=$AC$334,AC$35-$AC$334+1,0)</f>
        <v>0</v>
      </c>
      <c r="AD336" s="237" t="n">
        <f aca="false">IF(AD$35&gt;=$AC$334,AD$35-$AC$334+1,0)</f>
        <v>0</v>
      </c>
      <c r="AE336" s="237" t="n">
        <f aca="false">IF(AE$35&gt;=$AC$334,AE$35-$AC$334+1,0)</f>
        <v>0</v>
      </c>
      <c r="AF336" s="237" t="n">
        <f aca="false">IF(AF$35&gt;=$AC$334,AF$35-$AC$334+1,0)</f>
        <v>0</v>
      </c>
      <c r="AG336" s="237" t="n">
        <f aca="false">IF(AG$35&gt;=$AC$334,AG$35-$AC$334+1,0)</f>
        <v>0</v>
      </c>
      <c r="AH336" s="237" t="n">
        <f aca="false">IF(AH$35&gt;=$AC$334,AH$35-$AC$334+1,0)</f>
        <v>0</v>
      </c>
      <c r="AI336" s="237" t="n">
        <f aca="false">IF(AI$35&gt;=$AC$334,AI$35-$AC$334+1,0)</f>
        <v>0</v>
      </c>
      <c r="AJ336" s="237" t="n">
        <f aca="false">IF(AJ$35&gt;=$AC$334,AJ$35-$AC$334+1,0)</f>
        <v>0</v>
      </c>
      <c r="AK336" s="237" t="n">
        <f aca="false">IF(AK$35&gt;=$AC$334,AK$35-$AC$334+1,0)</f>
        <v>0</v>
      </c>
      <c r="AL336" s="237" t="n">
        <f aca="false">IF(AL$35&gt;=$AC$334,AL$35-$AC$334+1,0)</f>
        <v>0</v>
      </c>
      <c r="AM336" s="237" t="n">
        <f aca="false">IF(AM$35&gt;=$AC$334,AM$35-$AC$334+1,0)</f>
        <v>0</v>
      </c>
      <c r="AN336" s="237" t="n">
        <f aca="false">IF(AN$35&gt;=$AC$334,AN$35-$AC$334+1,0)</f>
        <v>0</v>
      </c>
      <c r="AO336" s="237" t="n">
        <f aca="false">IF(AO$35&gt;=$AC$334,AO$35-$AC$334+1,0)</f>
        <v>0</v>
      </c>
      <c r="AP336" s="237" t="n">
        <f aca="false">IF(AP$35&gt;=$AC$334,AP$35-$AC$334+1,0)</f>
        <v>0</v>
      </c>
      <c r="AQ336" s="237" t="n">
        <f aca="false">IF(AQ$35&gt;=$AC$334,AQ$35-$AC$334+1,0)</f>
        <v>0</v>
      </c>
      <c r="AR336" s="237" t="n">
        <f aca="false">IF(AR$35&gt;=$AC$334,AR$35-$AC$334+1,0)</f>
        <v>0</v>
      </c>
      <c r="AS336" s="237" t="n">
        <f aca="false">IF(AS$35&gt;=$AC$334,AS$35-$AC$334+1,0)</f>
        <v>0</v>
      </c>
      <c r="AT336" s="237" t="n">
        <f aca="false">IF(AT$35&gt;=$AC$334,AT$35-$AC$334+1,0)</f>
        <v>0</v>
      </c>
      <c r="AU336" s="237" t="n">
        <f aca="false">IF(AU$35&gt;=$AC$334,AU$35-$AC$334+1,0)</f>
        <v>0</v>
      </c>
      <c r="AV336" s="237" t="n">
        <f aca="false">IF(AV$35&gt;=$AC$334,AV$35-$AC$334+1,0)</f>
        <v>0</v>
      </c>
      <c r="AW336" s="237" t="n">
        <f aca="false">IF(AW$35&gt;=$AC$334,AW$35-$AC$334+1,0)</f>
        <v>0</v>
      </c>
      <c r="AX336" s="237" t="n">
        <f aca="false">IF(AX$35&gt;=$AC$334,AX$35-$AC$334+1,0)</f>
        <v>0</v>
      </c>
      <c r="AY336" s="237" t="n">
        <f aca="false">IF(AY$35&gt;=$AC$334,AY$35-$AC$334+1,0)</f>
        <v>0</v>
      </c>
      <c r="AZ336" s="237" t="n">
        <f aca="false">IF(AZ$35&gt;=$AC$334,AZ$35-$AC$334+1,0)</f>
        <v>0</v>
      </c>
      <c r="BA336" s="237" t="n">
        <f aca="false">IF(BA$35&gt;=$AC$334,BA$35-$AC$334+1,0)</f>
        <v>0</v>
      </c>
      <c r="BB336" s="237" t="n">
        <f aca="false">IF(BB$35&gt;=$AC$334,BB$35-$AC$334+1,0)</f>
        <v>0</v>
      </c>
      <c r="BC336" s="237" t="n">
        <f aca="false">IF(BC$35&gt;=$AC$334,BC$35-$AC$334+1,0)</f>
        <v>0</v>
      </c>
      <c r="BD336" s="237" t="n">
        <f aca="false">IF(BD$35&gt;=$AC$334,BD$35-$AC$334+1,0)</f>
        <v>0</v>
      </c>
      <c r="BE336" s="237" t="n">
        <f aca="false">IF(BE$35&gt;=$AC$334,BE$35-$AC$334+1,0)</f>
        <v>0</v>
      </c>
      <c r="BF336" s="237" t="n">
        <f aca="false">IF(BF$35&gt;=$AC$334,BF$35-$AC$334+1,0)</f>
        <v>0</v>
      </c>
      <c r="BG336" s="237" t="n">
        <f aca="false">IF(BG$35&gt;=$AC$334,BG$35-$AC$334+1,0)</f>
        <v>0</v>
      </c>
      <c r="BH336" s="237" t="n">
        <f aca="false">IF(BH$35&gt;=$AC$334,BH$35-$AC$334+1,0)</f>
        <v>0</v>
      </c>
      <c r="BI336" s="237" t="n">
        <f aca="false">IF(BI$35&gt;=$AC$334,BI$35-$AC$334+1,0)</f>
        <v>0</v>
      </c>
      <c r="BJ336" s="237" t="n">
        <f aca="false">IF(BJ$35&gt;=$AC$334,BJ$35-$AC$334+1,0)</f>
        <v>0</v>
      </c>
      <c r="BK336" s="237" t="n">
        <f aca="false">IF(BK$35&gt;=$AC$334,BK$35-$AC$334+1,0)</f>
        <v>0</v>
      </c>
      <c r="BL336" s="237" t="n">
        <f aca="false">IF(BL$35&gt;=$AC$334,BL$35-$AC$334+1,0)</f>
        <v>0</v>
      </c>
      <c r="BM336" s="237" t="n">
        <f aca="false">IF(BM$35&gt;=$AC$334,BM$35-$AC$334+1,0)</f>
        <v>0</v>
      </c>
      <c r="BN336" s="237" t="n">
        <f aca="false">IF(BN$35&gt;=$AC$334,BN$35-$AC$334+1,0)</f>
        <v>0</v>
      </c>
      <c r="BO336" s="237" t="n">
        <f aca="false">IF(BO$35&gt;=$AC$334,BO$35-$AC$334+1,0)</f>
        <v>0</v>
      </c>
      <c r="BP336" s="237" t="n">
        <f aca="false">IF(BP$35&gt;=$AC$334,BP$35-$AC$334+1,0)</f>
        <v>0</v>
      </c>
      <c r="BQ336" s="237" t="n">
        <f aca="false">IF(BQ$35&gt;=$AC$334,BQ$35-$AC$334+1,0)</f>
        <v>0</v>
      </c>
      <c r="BR336" s="237" t="n">
        <f aca="false">IF(BR$35&gt;=$AC$334,BR$35-$AC$334+1,0)</f>
        <v>0</v>
      </c>
      <c r="BS336" s="237" t="n">
        <f aca="false">IF(BS$35&gt;=$AC$334,BS$35-$AC$334+1,0)</f>
        <v>0</v>
      </c>
      <c r="BT336" s="237" t="n">
        <f aca="false">IF(BT$35&gt;=$AC$334,BT$35-$AC$334+1,0)</f>
        <v>0</v>
      </c>
      <c r="BU336" s="237" t="n">
        <f aca="false">IF(BU$35&gt;=$AC$334,BU$35-$AC$334+1,0)</f>
        <v>0</v>
      </c>
      <c r="BV336" s="237" t="n">
        <f aca="false">IF(BV$35&gt;=$AC$334,BV$35-$AC$334+1,0)</f>
        <v>0</v>
      </c>
      <c r="BW336" s="237" t="n">
        <f aca="false">IF(BW$35&gt;=$AC$334,BW$35-$AC$334+1,0)</f>
        <v>0</v>
      </c>
      <c r="BX336" s="237" t="n">
        <f aca="false">IF(BX$35&gt;=$AC$334,BX$35-$AC$334+1,0)</f>
        <v>0</v>
      </c>
      <c r="BY336" s="237" t="n">
        <f aca="false">IF(BY$35&gt;=$AC$334,BY$35-$AC$334+1,0)</f>
        <v>0</v>
      </c>
      <c r="BZ336" s="237" t="n">
        <f aca="false">IF(BZ$35&gt;=$AC$334,BZ$35-$AC$334+1,0)</f>
        <v>0</v>
      </c>
      <c r="CA336" s="237" t="n">
        <f aca="false">IF(CA$35&gt;=$AC$334,CA$35-$AC$334+1,0)</f>
        <v>0</v>
      </c>
      <c r="CB336" s="237" t="n">
        <f aca="false">IF(CB$35&gt;=$AC$334,CB$35-$AC$334+1,0)</f>
        <v>0</v>
      </c>
      <c r="CC336" s="237" t="n">
        <f aca="false">IF(CC$35&gt;=$AC$334,CC$35-$AC$334+1,0)</f>
        <v>0</v>
      </c>
      <c r="CD336" s="237" t="n">
        <f aca="false">IF(CD$35&gt;=$AC$334,CD$35-$AC$334+1,0)</f>
        <v>0</v>
      </c>
      <c r="CE336" s="237" t="n">
        <f aca="false">IF(CE$35&gt;=$AC$334,CE$35-$AC$334+1,0)</f>
        <v>0</v>
      </c>
      <c r="CF336" s="237" t="n">
        <f aca="false">IF(CF$35&gt;=$AC$334,CF$35-$AC$334+1,0)</f>
        <v>0</v>
      </c>
      <c r="CG336" s="237" t="n">
        <f aca="false">IF(CG$35&gt;=$AC$334,CG$35-$AC$334+1,0)</f>
        <v>0</v>
      </c>
      <c r="CH336" s="237" t="n">
        <f aca="false">IF(CH$35&gt;=$AC$334,CH$35-$AC$334+1,0)</f>
        <v>0</v>
      </c>
      <c r="CI336" s="237" t="n">
        <f aca="false">IF(CI$35&gt;=$AC$334,CI$35-$AC$334+1,0)</f>
        <v>0</v>
      </c>
      <c r="CJ336" s="237" t="n">
        <f aca="false">IF(CJ$35&gt;=$AC$334,CJ$35-$AC$334+1,0)</f>
        <v>0</v>
      </c>
      <c r="CK336" s="237" t="n">
        <f aca="false">IF(CK$35&gt;=$AC$334,CK$35-$AC$334+1,0)</f>
        <v>0</v>
      </c>
      <c r="CL336" s="237" t="n">
        <f aca="false">IF(CL$35&gt;=$AC$334,CL$35-$AC$334+1,0)</f>
        <v>0</v>
      </c>
      <c r="CM336" s="237" t="n">
        <f aca="false">IF(CM$35&gt;=$AC$334,CM$35-$AC$334+1,0)</f>
        <v>0</v>
      </c>
      <c r="CN336" s="237" t="n">
        <f aca="false">IF(CN$35&gt;=$AC$334,CN$35-$AC$334+1,0)</f>
        <v>0</v>
      </c>
      <c r="CO336" s="237" t="n">
        <f aca="false">IF(CO$35&gt;=$AC$334,CO$35-$AC$334+1,0)</f>
        <v>0</v>
      </c>
      <c r="CP336" s="237" t="n">
        <f aca="false">IF(CP$35&gt;=$AC$334,CP$35-$AC$334+1,0)</f>
        <v>0</v>
      </c>
      <c r="CQ336" s="237" t="n">
        <f aca="false">IF(CQ$35&gt;=$AC$334,CQ$35-$AC$334+1,0)</f>
        <v>0</v>
      </c>
      <c r="CR336" s="237" t="n">
        <f aca="false">IF(CR$35&gt;=$AC$334,CR$35-$AC$334+1,0)</f>
        <v>0</v>
      </c>
      <c r="CS336" s="237" t="n">
        <f aca="false">IF(CS$35&gt;=$AC$334,CS$35-$AC$334+1,0)</f>
        <v>0</v>
      </c>
      <c r="CT336" s="237" t="n">
        <f aca="false">IF(CT$35&gt;=$AC$334,CT$35-$AC$334+1,0)</f>
        <v>0</v>
      </c>
      <c r="CU336" s="237" t="n">
        <f aca="false">IF(CU$35&gt;=$AC$334,CU$35-$AC$334+1,0)</f>
        <v>0</v>
      </c>
      <c r="CV336" s="237" t="n">
        <f aca="false">IF(CV$35&gt;=$AC$334,CV$35-$AC$334+1,0)</f>
        <v>0</v>
      </c>
      <c r="CW336" s="237" t="n">
        <f aca="false">IF(CW$35&gt;=$AC$334,CW$35-$AC$334+1,0)</f>
        <v>0</v>
      </c>
      <c r="CX336" s="237" t="n">
        <f aca="false">IF(CX$35&gt;=$AC$334,CX$35-$AC$334+1,0)</f>
        <v>0</v>
      </c>
      <c r="CY336" s="237" t="n">
        <f aca="false">IF(CY$35&gt;=$AC$334,CY$35-$AC$334+1,0)</f>
        <v>0</v>
      </c>
      <c r="CZ336" s="237" t="n">
        <f aca="false">IF(CZ$35&gt;=$AC$334,CZ$35-$AC$334+1,0)</f>
        <v>0</v>
      </c>
      <c r="DA336" s="237" t="n">
        <f aca="false">IF(DA$35&gt;=$AC$334,DA$35-$AC$334+1,0)</f>
        <v>0</v>
      </c>
      <c r="DB336" s="237" t="n">
        <f aca="false">IF(DB$35&gt;=$AC$334,DB$35-$AC$334+1,0)</f>
        <v>0</v>
      </c>
      <c r="DC336" s="237" t="n">
        <f aca="false">IF(DC$35&gt;=$AC$334,DC$35-$AC$334+1,0)</f>
        <v>0</v>
      </c>
      <c r="DD336" s="237" t="n">
        <f aca="false">IF(DD$35&gt;=$AC$334,DD$35-$AC$334+1,0)</f>
        <v>0</v>
      </c>
      <c r="DE336" s="237" t="n">
        <f aca="false">IF(DE$35&gt;=$AC$334,DE$35-$AC$334+1,0)</f>
        <v>0</v>
      </c>
      <c r="DF336" s="237" t="n">
        <f aca="false">IF(DF$35&gt;=$AC$334,DF$35-$AC$334+1,0)</f>
        <v>0</v>
      </c>
      <c r="DG336" s="237" t="n">
        <f aca="false">IF(DG$35&gt;=$AC$334,DG$35-$AC$334+1,0)</f>
        <v>0</v>
      </c>
      <c r="DH336" s="237" t="n">
        <f aca="false">IF(DH$35&gt;=$AC$334,DH$35-$AC$334+1,0)</f>
        <v>0</v>
      </c>
      <c r="DI336" s="237" t="n">
        <f aca="false">IF(DI$35&gt;=$AC$334,DI$35-$AC$334+1,0)</f>
        <v>0</v>
      </c>
      <c r="DJ336" s="237" t="n">
        <f aca="false">IF(DJ$35&gt;=$AC$334,DJ$35-$AC$334+1,0)</f>
        <v>0</v>
      </c>
      <c r="DK336" s="237" t="n">
        <f aca="false">IF(DK$35&gt;=$AC$334,DK$35-$AC$334+1,0)</f>
        <v>0</v>
      </c>
      <c r="DL336" s="237" t="n">
        <f aca="false">IF(DL$35&gt;=$AC$334,DL$35-$AC$334+1,0)</f>
        <v>0</v>
      </c>
      <c r="DM336" s="237" t="n">
        <f aca="false">IF(DM$35&gt;=$AC$334,DM$35-$AC$334+1,0)</f>
        <v>0</v>
      </c>
      <c r="DN336" s="237" t="n">
        <f aca="false">IF(DN$35&gt;=$AC$334,DN$35-$AC$334+1,0)</f>
        <v>0</v>
      </c>
      <c r="DO336" s="237" t="n">
        <f aca="false">IF(DO$35&gt;=$AC$334,DO$35-$AC$334+1,0)</f>
        <v>0</v>
      </c>
      <c r="DP336" s="237" t="n">
        <f aca="false">IF(DP$35&gt;=$AC$334,DP$35-$AC$334+1,0)</f>
        <v>0</v>
      </c>
      <c r="DQ336" s="237" t="n">
        <f aca="false">IF(DQ$35&gt;=$AC$334,DQ$35-$AC$334+1,0)</f>
        <v>0</v>
      </c>
      <c r="DR336" s="237" t="n">
        <f aca="false">IF(DR$35&gt;=$AC$334,DR$35-$AC$334+1,0)</f>
        <v>0</v>
      </c>
      <c r="DS336" s="237" t="n">
        <f aca="false">IF(DS$35&gt;=$AC$334,DS$35-$AC$334+1,0)</f>
        <v>0</v>
      </c>
      <c r="DT336" s="237" t="n">
        <f aca="false">IF(DT$35&gt;=$AC$334,DT$35-$AC$334+1,0)</f>
        <v>0</v>
      </c>
      <c r="DU336" s="237" t="n">
        <f aca="false">IF(DU$35&gt;=$AC$334,DU$35-$AC$334+1,0)</f>
        <v>0</v>
      </c>
      <c r="DV336" s="237" t="n">
        <f aca="false">IF(DV$35&gt;=$AC$334,DV$35-$AC$334+1,0)</f>
        <v>0</v>
      </c>
      <c r="DW336" s="237" t="n">
        <f aca="false">IF(DW$35&gt;=$AC$334,DW$35-$AC$334+1,0)</f>
        <v>0</v>
      </c>
      <c r="DX336" s="237" t="n">
        <f aca="false">IF(DX$35&gt;=$AC$334,DX$35-$AC$334+1,0)</f>
        <v>0</v>
      </c>
      <c r="DY336" s="237" t="n">
        <f aca="false">IF(DY$35&gt;=$AC$334,DY$35-$AC$334+1,0)</f>
        <v>0</v>
      </c>
      <c r="DZ336" s="237" t="n">
        <f aca="false">IF(DZ$35&gt;=$AC$334,DZ$35-$AC$334+1,0)</f>
        <v>0</v>
      </c>
      <c r="EA336" s="237" t="n">
        <f aca="false">IF(EA$35&gt;=$AC$334,EA$35-$AC$334+1,0)</f>
        <v>0</v>
      </c>
      <c r="EB336" s="237" t="n">
        <f aca="false">IF(EB$35&gt;=$AC$334,EB$35-$AC$334+1,0)</f>
        <v>0</v>
      </c>
      <c r="EC336" s="237" t="n">
        <f aca="false">IF(EC$35&gt;=$AC$334,EC$35-$AC$334+1,0)</f>
        <v>0</v>
      </c>
      <c r="ED336" s="237" t="n">
        <f aca="false">IF(ED$35&gt;=$AC$334,ED$35-$AC$334+1,0)</f>
        <v>1</v>
      </c>
      <c r="EE336" s="237" t="n">
        <f aca="false">IF(EE$35&gt;=$AC$334,EE$35-$AC$334+1,0)</f>
        <v>2</v>
      </c>
      <c r="EF336" s="237" t="n">
        <f aca="false">IF(EF$35&gt;=$AC$334,EF$35-$AC$334+1,0)</f>
        <v>3</v>
      </c>
      <c r="EG336" s="237" t="n">
        <f aca="false">IF(EG$35&gt;=$AC$334,EG$35-$AC$334+1,0)</f>
        <v>4</v>
      </c>
      <c r="EH336" s="237" t="n">
        <f aca="false">IF(EH$35&gt;=$AC$334,EH$35-$AC$334+1,0)</f>
        <v>5</v>
      </c>
      <c r="EI336" s="237" t="n">
        <f aca="false">IF(EI$35&gt;=$AC$334,EI$35-$AC$334+1,0)</f>
        <v>6</v>
      </c>
      <c r="EJ336" s="237" t="n">
        <f aca="false">IF(EJ$35&gt;=$AC$334,EJ$35-$AC$334+1,0)</f>
        <v>7</v>
      </c>
      <c r="EK336" s="237" t="n">
        <f aca="false">IF(EK$35&gt;=$AC$334,EK$35-$AC$334+1,0)</f>
        <v>8</v>
      </c>
      <c r="EL336" s="237" t="n">
        <f aca="false">IF(EL$35&gt;=$AC$334,EL$35-$AC$334+1,0)</f>
        <v>9</v>
      </c>
      <c r="EM336" s="237" t="n">
        <f aca="false">IF(EM$35&gt;=$AC$334,EM$35-$AC$334+1,0)</f>
        <v>10</v>
      </c>
      <c r="EN336" s="237" t="n">
        <f aca="false">IF(EN$35&gt;=$AC$334,EN$35-$AC$334+1,0)</f>
        <v>11</v>
      </c>
      <c r="EO336" s="237" t="n">
        <f aca="false">IF(EO$35&gt;=$AC$334,EO$35-$AC$334+1,0)</f>
        <v>12</v>
      </c>
      <c r="EP336" s="237" t="n">
        <f aca="false">IF(EP$35&gt;=$AC$334,EP$35-$AC$334+1,0)</f>
        <v>13</v>
      </c>
      <c r="EQ336" s="237" t="n">
        <f aca="false">IF(EQ$35&gt;=$AC$334,EQ$35-$AC$334+1,0)</f>
        <v>14</v>
      </c>
      <c r="ER336" s="237" t="n">
        <f aca="false">IF(ER$35&gt;=$AC$334,ER$35-$AC$334+1,0)</f>
        <v>15</v>
      </c>
      <c r="ES336" s="9" t="n">
        <f aca="false">IF(ES$35&gt;=$AC$334,ES$35-$AC$334+1,0)</f>
        <v>16</v>
      </c>
      <c r="ET336" s="9" t="n">
        <f aca="false">IF(ET$35&gt;=$AC$334,ET$35-$AC$334+1,0)</f>
        <v>17</v>
      </c>
      <c r="EU336" s="9" t="n">
        <f aca="false">IF(EU$35&gt;=$AC$334,EU$35-$AC$334+1,0)</f>
        <v>18</v>
      </c>
      <c r="EV336" s="9" t="n">
        <f aca="false">IF(EV$35&gt;=$AC$334,EV$35-$AC$334+1,0)</f>
        <v>19</v>
      </c>
      <c r="EW336" s="9" t="n">
        <f aca="false">IF(EW$35&gt;=$AC$334,EW$35-$AC$334+1,0)</f>
        <v>20</v>
      </c>
      <c r="EX336" s="9" t="n">
        <f aca="false">IF(EX$35&gt;=$AC$334,EX$35-$AC$334+1,0)</f>
        <v>21</v>
      </c>
      <c r="EY336" s="9" t="n">
        <f aca="false">IF(EY$35&gt;=$AC$334,EY$35-$AC$334+1,0)</f>
        <v>22</v>
      </c>
      <c r="EZ336" s="9" t="n">
        <f aca="false">IF(EZ$35&gt;=$AC$334,EZ$35-$AC$334+1,0)</f>
        <v>23</v>
      </c>
      <c r="FA336" s="9" t="n">
        <f aca="false">IF(FA$35&gt;=$AC$334,FA$35-$AC$334+1,0)</f>
        <v>24</v>
      </c>
      <c r="FB336" s="9" t="n">
        <f aca="false">IF(FB$35&gt;=$AC$334,FB$35-$AC$334+1,0)</f>
        <v>25</v>
      </c>
      <c r="FC336" s="9" t="n">
        <f aca="false">IF(FC$35&gt;=$AC$334,FC$35-$AC$334+1,0)</f>
        <v>26</v>
      </c>
      <c r="FD336" s="9" t="n">
        <f aca="false">IF(FD$35&gt;=$AC$334,FD$35-$AC$334+1,0)</f>
        <v>27</v>
      </c>
      <c r="FE336" s="9" t="n">
        <f aca="false">IF(FE$35&gt;=$AC$334,FE$35-$AC$334+1,0)</f>
        <v>28</v>
      </c>
      <c r="FF336" s="9" t="n">
        <f aca="false">IF(FF$35&gt;=$AC$334,FF$35-$AC$334+1,0)</f>
        <v>29</v>
      </c>
      <c r="FG336" s="9" t="n">
        <f aca="false">IF(FG$35&gt;=$AC$334,FG$35-$AC$334+1,0)</f>
        <v>30</v>
      </c>
      <c r="FH336" s="9" t="n">
        <f aca="false">IF(FH$35&gt;=$AC$334,FH$35-$AC$334+1,0)</f>
        <v>31</v>
      </c>
      <c r="FI336" s="9" t="n">
        <f aca="false">IF(FI$35&gt;=$AC$334,FI$35-$AC$334+1,0)</f>
        <v>32</v>
      </c>
      <c r="FJ336" s="9" t="n">
        <f aca="false">IF(FJ$35&gt;=$AC$334,FJ$35-$AC$334+1,0)</f>
        <v>33</v>
      </c>
      <c r="FK336" s="9" t="n">
        <f aca="false">IF(FK$35&gt;=$AC$334,FK$35-$AC$334+1,0)</f>
        <v>34</v>
      </c>
      <c r="FL336" s="9" t="n">
        <f aca="false">IF(FL$35&gt;=$AC$334,FL$35-$AC$334+1,0)</f>
        <v>35</v>
      </c>
      <c r="FM336" s="9" t="n">
        <f aca="false">IF(FM$35&gt;=$AC$334,FM$35-$AC$334+1,0)</f>
        <v>36</v>
      </c>
      <c r="FN336" s="9" t="n">
        <f aca="false">IF(FN$35&gt;=$AC$334,FN$35-$AC$334+1,0)</f>
        <v>37</v>
      </c>
      <c r="FO336" s="9" t="n">
        <f aca="false">IF(FO$35&gt;=$AC$334,FO$35-$AC$334+1,0)</f>
        <v>38</v>
      </c>
      <c r="FP336" s="9" t="n">
        <f aca="false">IF(FP$35&gt;=$AC$334,FP$35-$AC$334+1,0)</f>
        <v>39</v>
      </c>
    </row>
    <row r="337" customFormat="false" ht="15" hidden="false" customHeight="false" outlineLevel="2" collapsed="false">
      <c r="B337" s="47" t="s">
        <v>874</v>
      </c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237" t="n">
        <f aca="false" t="array" ref="AC337:AC337">IF(AC336=0,0,IF(AC336/'🎚️ Escenario'!$C$11&gt;=36,$AL$23,INDEX($C$23:$AL$23,MAX(1,ROUNDUP(AC336/'🎚️ Escenario'!$C$11,0)))))</f>
        <v>0</v>
      </c>
      <c r="AD337" s="237" t="n">
        <f aca="false" t="array" ref="AD337:AD337">IF(AD336=0,0,IF(AD336/'🎚️ Escenario'!$C$11&gt;=36,$AL$23,INDEX($C$23:$AL$23,MAX(1,ROUNDUP(AD336/'🎚️ Escenario'!$C$11,0)))))</f>
        <v>0</v>
      </c>
      <c r="AE337" s="237" t="n">
        <f aca="false" t="array" ref="AE337:AE337">IF(AE336=0,0,IF(AE336/'🎚️ Escenario'!$C$11&gt;=36,$AL$23,INDEX($C$23:$AL$23,MAX(1,ROUNDUP(AE336/'🎚️ Escenario'!$C$11,0)))))</f>
        <v>0</v>
      </c>
      <c r="AF337" s="237" t="n">
        <f aca="false" t="array" ref="AF337:AF337">IF(AF336=0,0,IF(AF336/'🎚️ Escenario'!$C$11&gt;=36,$AL$23,INDEX($C$23:$AL$23,MAX(1,ROUNDUP(AF336/'🎚️ Escenario'!$C$11,0)))))</f>
        <v>0</v>
      </c>
      <c r="AG337" s="237" t="n">
        <f aca="false" t="array" ref="AG337:AG337">IF(AG336=0,0,IF(AG336/'🎚️ Escenario'!$C$11&gt;=36,$AL$23,INDEX($C$23:$AL$23,MAX(1,ROUNDUP(AG336/'🎚️ Escenario'!$C$11,0)))))</f>
        <v>0</v>
      </c>
      <c r="AH337" s="237" t="n">
        <f aca="false" t="array" ref="AH337:AH337">IF(AH336=0,0,IF(AH336/'🎚️ Escenario'!$C$11&gt;=36,$AL$23,INDEX($C$23:$AL$23,MAX(1,ROUNDUP(AH336/'🎚️ Escenario'!$C$11,0)))))</f>
        <v>0</v>
      </c>
      <c r="AI337" s="237" t="n">
        <f aca="false" t="array" ref="AI337:AI337">IF(AI336=0,0,IF(AI336/'🎚️ Escenario'!$C$11&gt;=36,$AL$23,INDEX($C$23:$AL$23,MAX(1,ROUNDUP(AI336/'🎚️ Escenario'!$C$11,0)))))</f>
        <v>0</v>
      </c>
      <c r="AJ337" s="237" t="n">
        <f aca="false" t="array" ref="AJ337:AJ337">IF(AJ336=0,0,IF(AJ336/'🎚️ Escenario'!$C$11&gt;=36,$AL$23,INDEX($C$23:$AL$23,MAX(1,ROUNDUP(AJ336/'🎚️ Escenario'!$C$11,0)))))</f>
        <v>0</v>
      </c>
      <c r="AK337" s="237" t="n">
        <f aca="false" t="array" ref="AK337:AK337">IF(AK336=0,0,IF(AK336/'🎚️ Escenario'!$C$11&gt;=36,$AL$23,INDEX($C$23:$AL$23,MAX(1,ROUNDUP(AK336/'🎚️ Escenario'!$C$11,0)))))</f>
        <v>0</v>
      </c>
      <c r="AL337" s="237" t="n">
        <f aca="false" t="array" ref="AL337:AL337">IF(AL336=0,0,IF(AL336/'🎚️ Escenario'!$C$11&gt;=36,$AL$23,INDEX($C$23:$AL$23,MAX(1,ROUNDUP(AL336/'🎚️ Escenario'!$C$11,0)))))</f>
        <v>0</v>
      </c>
      <c r="AM337" s="237" t="n">
        <f aca="false" t="array" ref="AM337:AM337">IF(AM336=0,0,IF(AM336/'🎚️ Escenario'!$C$11&gt;=36,$AL$23,INDEX($C$23:$AL$23,MAX(1,ROUNDUP(AM336/'🎚️ Escenario'!$C$11,0)))))</f>
        <v>0</v>
      </c>
      <c r="AN337" s="237" t="n">
        <f aca="false" t="array" ref="AN337:AN337">IF(AN336=0,0,IF(AN336/'🎚️ Escenario'!$C$11&gt;=36,$AL$23,INDEX($C$23:$AL$23,MAX(1,ROUNDUP(AN336/'🎚️ Escenario'!$C$11,0)))))</f>
        <v>0</v>
      </c>
      <c r="AO337" s="237" t="n">
        <f aca="false" t="array" ref="AO337:AO337">IF(AO336=0,0,IF(AO336/'🎚️ Escenario'!$C$11&gt;=36,$AL$23,INDEX($C$23:$AL$23,MAX(1,ROUNDUP(AO336/'🎚️ Escenario'!$C$11,0)))))</f>
        <v>0</v>
      </c>
      <c r="AP337" s="237" t="n">
        <f aca="false" t="array" ref="AP337:AP337">IF(AP336=0,0,IF(AP336/'🎚️ Escenario'!$C$11&gt;=36,$AL$23,INDEX($C$23:$AL$23,MAX(1,ROUNDUP(AP336/'🎚️ Escenario'!$C$11,0)))))</f>
        <v>0</v>
      </c>
      <c r="AQ337" s="237" t="n">
        <f aca="false" t="array" ref="AQ337:AQ337">IF(AQ336=0,0,IF(AQ336/'🎚️ Escenario'!$C$11&gt;=36,$AL$23,INDEX($C$23:$AL$23,MAX(1,ROUNDUP(AQ336/'🎚️ Escenario'!$C$11,0)))))</f>
        <v>0</v>
      </c>
      <c r="AR337" s="237" t="n">
        <f aca="false" t="array" ref="AR337:AR337">IF(AR336=0,0,IF(AR336/'🎚️ Escenario'!$C$11&gt;=36,$AL$23,INDEX($C$23:$AL$23,MAX(1,ROUNDUP(AR336/'🎚️ Escenario'!$C$11,0)))))</f>
        <v>0</v>
      </c>
      <c r="AS337" s="237" t="n">
        <f aca="false" t="array" ref="AS337:AS337">IF(AS336=0,0,IF(AS336/'🎚️ Escenario'!$C$11&gt;=36,$AL$23,INDEX($C$23:$AL$23,MAX(1,ROUNDUP(AS336/'🎚️ Escenario'!$C$11,0)))))</f>
        <v>0</v>
      </c>
      <c r="AT337" s="237" t="n">
        <f aca="false" t="array" ref="AT337:AT337">IF(AT336=0,0,IF(AT336/'🎚️ Escenario'!$C$11&gt;=36,$AL$23,INDEX($C$23:$AL$23,MAX(1,ROUNDUP(AT336/'🎚️ Escenario'!$C$11,0)))))</f>
        <v>0</v>
      </c>
      <c r="AU337" s="237" t="n">
        <f aca="false" t="array" ref="AU337:AU337">IF(AU336=0,0,IF(AU336/'🎚️ Escenario'!$C$11&gt;=36,$AL$23,INDEX($C$23:$AL$23,MAX(1,ROUNDUP(AU336/'🎚️ Escenario'!$C$11,0)))))</f>
        <v>0</v>
      </c>
      <c r="AV337" s="237" t="n">
        <f aca="false" t="array" ref="AV337:AV337">IF(AV336=0,0,IF(AV336/'🎚️ Escenario'!$C$11&gt;=36,$AL$23,INDEX($C$23:$AL$23,MAX(1,ROUNDUP(AV336/'🎚️ Escenario'!$C$11,0)))))</f>
        <v>0</v>
      </c>
      <c r="AW337" s="237" t="n">
        <f aca="false" t="array" ref="AW337:AW337">IF(AW336=0,0,IF(AW336/'🎚️ Escenario'!$C$11&gt;=36,$AL$23,INDEX($C$23:$AL$23,MAX(1,ROUNDUP(AW336/'🎚️ Escenario'!$C$11,0)))))</f>
        <v>0</v>
      </c>
      <c r="AX337" s="237" t="n">
        <f aca="false" t="array" ref="AX337:AX337">IF(AX336=0,0,IF(AX336/'🎚️ Escenario'!$C$11&gt;=36,$AL$23,INDEX($C$23:$AL$23,MAX(1,ROUNDUP(AX336/'🎚️ Escenario'!$C$11,0)))))</f>
        <v>0</v>
      </c>
      <c r="AY337" s="237" t="n">
        <f aca="false" t="array" ref="AY337:AY337">IF(AY336=0,0,IF(AY336/'🎚️ Escenario'!$C$11&gt;=36,$AL$23,INDEX($C$23:$AL$23,MAX(1,ROUNDUP(AY336/'🎚️ Escenario'!$C$11,0)))))</f>
        <v>0</v>
      </c>
      <c r="AZ337" s="237" t="n">
        <f aca="false" t="array" ref="AZ337:AZ337">IF(AZ336=0,0,IF(AZ336/'🎚️ Escenario'!$C$11&gt;=36,$AL$23,INDEX($C$23:$AL$23,MAX(1,ROUNDUP(AZ336/'🎚️ Escenario'!$C$11,0)))))</f>
        <v>0</v>
      </c>
      <c r="BA337" s="237" t="n">
        <f aca="false" t="array" ref="BA337:BA337">IF(BA336=0,0,IF(BA336/'🎚️ Escenario'!$C$11&gt;=36,$AL$23,INDEX($C$23:$AL$23,MAX(1,ROUNDUP(BA336/'🎚️ Escenario'!$C$11,0)))))</f>
        <v>0</v>
      </c>
      <c r="BB337" s="237" t="n">
        <f aca="false" t="array" ref="BB337:BB337">IF(BB336=0,0,IF(BB336/'🎚️ Escenario'!$C$11&gt;=36,$AL$23,INDEX($C$23:$AL$23,MAX(1,ROUNDUP(BB336/'🎚️ Escenario'!$C$11,0)))))</f>
        <v>0</v>
      </c>
      <c r="BC337" s="237" t="n">
        <f aca="false" t="array" ref="BC337:BC337">IF(BC336=0,0,IF(BC336/'🎚️ Escenario'!$C$11&gt;=36,$AL$23,INDEX($C$23:$AL$23,MAX(1,ROUNDUP(BC336/'🎚️ Escenario'!$C$11,0)))))</f>
        <v>0</v>
      </c>
      <c r="BD337" s="237" t="n">
        <f aca="false" t="array" ref="BD337:BD337">IF(BD336=0,0,IF(BD336/'🎚️ Escenario'!$C$11&gt;=36,$AL$23,INDEX($C$23:$AL$23,MAX(1,ROUNDUP(BD336/'🎚️ Escenario'!$C$11,0)))))</f>
        <v>0</v>
      </c>
      <c r="BE337" s="237" t="n">
        <f aca="false" t="array" ref="BE337:BE337">IF(BE336=0,0,IF(BE336/'🎚️ Escenario'!$C$11&gt;=36,$AL$23,INDEX($C$23:$AL$23,MAX(1,ROUNDUP(BE336/'🎚️ Escenario'!$C$11,0)))))</f>
        <v>0</v>
      </c>
      <c r="BF337" s="237" t="n">
        <f aca="false" t="array" ref="BF337:BF337">IF(BF336=0,0,IF(BF336/'🎚️ Escenario'!$C$11&gt;=36,$AL$23,INDEX($C$23:$AL$23,MAX(1,ROUNDUP(BF336/'🎚️ Escenario'!$C$11,0)))))</f>
        <v>0</v>
      </c>
      <c r="BG337" s="237" t="n">
        <f aca="false" t="array" ref="BG337:BG337">IF(BG336=0,0,IF(BG336/'🎚️ Escenario'!$C$11&gt;=36,$AL$23,INDEX($C$23:$AL$23,MAX(1,ROUNDUP(BG336/'🎚️ Escenario'!$C$11,0)))))</f>
        <v>0</v>
      </c>
      <c r="BH337" s="237" t="n">
        <f aca="false" t="array" ref="BH337:BH337">IF(BH336=0,0,IF(BH336/'🎚️ Escenario'!$C$11&gt;=36,$AL$23,INDEX($C$23:$AL$23,MAX(1,ROUNDUP(BH336/'🎚️ Escenario'!$C$11,0)))))</f>
        <v>0</v>
      </c>
      <c r="BI337" s="237" t="n">
        <f aca="false" t="array" ref="BI337:BI337">IF(BI336=0,0,IF(BI336/'🎚️ Escenario'!$C$11&gt;=36,$AL$23,INDEX($C$23:$AL$23,MAX(1,ROUNDUP(BI336/'🎚️ Escenario'!$C$11,0)))))</f>
        <v>0</v>
      </c>
      <c r="BJ337" s="237" t="n">
        <f aca="false" t="array" ref="BJ337:BJ337">IF(BJ336=0,0,IF(BJ336/'🎚️ Escenario'!$C$11&gt;=36,$AL$23,INDEX($C$23:$AL$23,MAX(1,ROUNDUP(BJ336/'🎚️ Escenario'!$C$11,0)))))</f>
        <v>0</v>
      </c>
      <c r="BK337" s="237" t="n">
        <f aca="false" t="array" ref="BK337:BK337">IF(BK336=0,0,IF(BK336/'🎚️ Escenario'!$C$11&gt;=36,$AL$23,INDEX($C$23:$AL$23,MAX(1,ROUNDUP(BK336/'🎚️ Escenario'!$C$11,0)))))</f>
        <v>0</v>
      </c>
      <c r="BL337" s="237" t="n">
        <f aca="false" t="array" ref="BL337:BL337">IF(BL336=0,0,IF(BL336/'🎚️ Escenario'!$C$11&gt;=36,$AL$23,INDEX($C$23:$AL$23,MAX(1,ROUNDUP(BL336/'🎚️ Escenario'!$C$11,0)))))</f>
        <v>0</v>
      </c>
      <c r="BM337" s="237" t="n">
        <f aca="false" t="array" ref="BM337:BM337">IF(BM336=0,0,IF(BM336/'🎚️ Escenario'!$C$11&gt;=36,$AL$23,INDEX($C$23:$AL$23,MAX(1,ROUNDUP(BM336/'🎚️ Escenario'!$C$11,0)))))</f>
        <v>0</v>
      </c>
      <c r="BN337" s="237" t="n">
        <f aca="false" t="array" ref="BN337:BN337">IF(BN336=0,0,IF(BN336/'🎚️ Escenario'!$C$11&gt;=36,$AL$23,INDEX($C$23:$AL$23,MAX(1,ROUNDUP(BN336/'🎚️ Escenario'!$C$11,0)))))</f>
        <v>0</v>
      </c>
      <c r="BO337" s="237" t="n">
        <f aca="false" t="array" ref="BO337:BO337">IF(BO336=0,0,IF(BO336/'🎚️ Escenario'!$C$11&gt;=36,$AL$23,INDEX($C$23:$AL$23,MAX(1,ROUNDUP(BO336/'🎚️ Escenario'!$C$11,0)))))</f>
        <v>0</v>
      </c>
      <c r="BP337" s="237" t="n">
        <f aca="false" t="array" ref="BP337:BP337">IF(BP336=0,0,IF(BP336/'🎚️ Escenario'!$C$11&gt;=36,$AL$23,INDEX($C$23:$AL$23,MAX(1,ROUNDUP(BP336/'🎚️ Escenario'!$C$11,0)))))</f>
        <v>0</v>
      </c>
      <c r="BQ337" s="237" t="n">
        <f aca="false" t="array" ref="BQ337:BQ337">IF(BQ336=0,0,IF(BQ336/'🎚️ Escenario'!$C$11&gt;=36,$AL$23,INDEX($C$23:$AL$23,MAX(1,ROUNDUP(BQ336/'🎚️ Escenario'!$C$11,0)))))</f>
        <v>0</v>
      </c>
      <c r="BR337" s="237" t="n">
        <f aca="false" t="array" ref="BR337:BR337">IF(BR336=0,0,IF(BR336/'🎚️ Escenario'!$C$11&gt;=36,$AL$23,INDEX($C$23:$AL$23,MAX(1,ROUNDUP(BR336/'🎚️ Escenario'!$C$11,0)))))</f>
        <v>0</v>
      </c>
      <c r="BS337" s="237" t="n">
        <f aca="false" t="array" ref="BS337:BS337">IF(BS336=0,0,IF(BS336/'🎚️ Escenario'!$C$11&gt;=36,$AL$23,INDEX($C$23:$AL$23,MAX(1,ROUNDUP(BS336/'🎚️ Escenario'!$C$11,0)))))</f>
        <v>0</v>
      </c>
      <c r="BT337" s="237" t="n">
        <f aca="false" t="array" ref="BT337:BT337">IF(BT336=0,0,IF(BT336/'🎚️ Escenario'!$C$11&gt;=36,$AL$23,INDEX($C$23:$AL$23,MAX(1,ROUNDUP(BT336/'🎚️ Escenario'!$C$11,0)))))</f>
        <v>0</v>
      </c>
      <c r="BU337" s="237" t="n">
        <f aca="false" t="array" ref="BU337:BU337">IF(BU336=0,0,IF(BU336/'🎚️ Escenario'!$C$11&gt;=36,$AL$23,INDEX($C$23:$AL$23,MAX(1,ROUNDUP(BU336/'🎚️ Escenario'!$C$11,0)))))</f>
        <v>0</v>
      </c>
      <c r="BV337" s="237" t="n">
        <f aca="false" t="array" ref="BV337:BV337">IF(BV336=0,0,IF(BV336/'🎚️ Escenario'!$C$11&gt;=36,$AL$23,INDEX($C$23:$AL$23,MAX(1,ROUNDUP(BV336/'🎚️ Escenario'!$C$11,0)))))</f>
        <v>0</v>
      </c>
      <c r="BW337" s="237" t="n">
        <f aca="false" t="array" ref="BW337:BW337">IF(BW336=0,0,IF(BW336/'🎚️ Escenario'!$C$11&gt;=36,$AL$23,INDEX($C$23:$AL$23,MAX(1,ROUNDUP(BW336/'🎚️ Escenario'!$C$11,0)))))</f>
        <v>0</v>
      </c>
      <c r="BX337" s="237" t="n">
        <f aca="false" t="array" ref="BX337:BX337">IF(BX336=0,0,IF(BX336/'🎚️ Escenario'!$C$11&gt;=36,$AL$23,INDEX($C$23:$AL$23,MAX(1,ROUNDUP(BX336/'🎚️ Escenario'!$C$11,0)))))</f>
        <v>0</v>
      </c>
      <c r="BY337" s="237" t="n">
        <f aca="false" t="array" ref="BY337:BY337">IF(BY336=0,0,IF(BY336/'🎚️ Escenario'!$C$11&gt;=36,$AL$23,INDEX($C$23:$AL$23,MAX(1,ROUNDUP(BY336/'🎚️ Escenario'!$C$11,0)))))</f>
        <v>0</v>
      </c>
      <c r="BZ337" s="237" t="n">
        <f aca="false" t="array" ref="BZ337:BZ337">IF(BZ336=0,0,IF(BZ336/'🎚️ Escenario'!$C$11&gt;=36,$AL$23,INDEX($C$23:$AL$23,MAX(1,ROUNDUP(BZ336/'🎚️ Escenario'!$C$11,0)))))</f>
        <v>0</v>
      </c>
      <c r="CA337" s="237" t="n">
        <f aca="false" t="array" ref="CA337:CA337">IF(CA336=0,0,IF(CA336/'🎚️ Escenario'!$C$11&gt;=36,$AL$23,INDEX($C$23:$AL$23,MAX(1,ROUNDUP(CA336/'🎚️ Escenario'!$C$11,0)))))</f>
        <v>0</v>
      </c>
      <c r="CB337" s="237" t="n">
        <f aca="false" t="array" ref="CB337:CB337">IF(CB336=0,0,IF(CB336/'🎚️ Escenario'!$C$11&gt;=36,$AL$23,INDEX($C$23:$AL$23,MAX(1,ROUNDUP(CB336/'🎚️ Escenario'!$C$11,0)))))</f>
        <v>0</v>
      </c>
      <c r="CC337" s="237" t="n">
        <f aca="false" t="array" ref="CC337:CC337">IF(CC336=0,0,IF(CC336/'🎚️ Escenario'!$C$11&gt;=36,$AL$23,INDEX($C$23:$AL$23,MAX(1,ROUNDUP(CC336/'🎚️ Escenario'!$C$11,0)))))</f>
        <v>0</v>
      </c>
      <c r="CD337" s="237" t="n">
        <f aca="false" t="array" ref="CD337:CD337">IF(CD336=0,0,IF(CD336/'🎚️ Escenario'!$C$11&gt;=36,$AL$23,INDEX($C$23:$AL$23,MAX(1,ROUNDUP(CD336/'🎚️ Escenario'!$C$11,0)))))</f>
        <v>0</v>
      </c>
      <c r="CE337" s="237" t="n">
        <f aca="false" t="array" ref="CE337:CE337">IF(CE336=0,0,IF(CE336/'🎚️ Escenario'!$C$11&gt;=36,$AL$23,INDEX($C$23:$AL$23,MAX(1,ROUNDUP(CE336/'🎚️ Escenario'!$C$11,0)))))</f>
        <v>0</v>
      </c>
      <c r="CF337" s="237" t="n">
        <f aca="false" t="array" ref="CF337:CF337">IF(CF336=0,0,IF(CF336/'🎚️ Escenario'!$C$11&gt;=36,$AL$23,INDEX($C$23:$AL$23,MAX(1,ROUNDUP(CF336/'🎚️ Escenario'!$C$11,0)))))</f>
        <v>0</v>
      </c>
      <c r="CG337" s="237" t="n">
        <f aca="false" t="array" ref="CG337:CG337">IF(CG336=0,0,IF(CG336/'🎚️ Escenario'!$C$11&gt;=36,$AL$23,INDEX($C$23:$AL$23,MAX(1,ROUNDUP(CG336/'🎚️ Escenario'!$C$11,0)))))</f>
        <v>0</v>
      </c>
      <c r="CH337" s="237" t="n">
        <f aca="false" t="array" ref="CH337:CH337">IF(CH336=0,0,IF(CH336/'🎚️ Escenario'!$C$11&gt;=36,$AL$23,INDEX($C$23:$AL$23,MAX(1,ROUNDUP(CH336/'🎚️ Escenario'!$C$11,0)))))</f>
        <v>0</v>
      </c>
      <c r="CI337" s="237" t="n">
        <f aca="false" t="array" ref="CI337:CI337">IF(CI336=0,0,IF(CI336/'🎚️ Escenario'!$C$11&gt;=36,$AL$23,INDEX($C$23:$AL$23,MAX(1,ROUNDUP(CI336/'🎚️ Escenario'!$C$11,0)))))</f>
        <v>0</v>
      </c>
      <c r="CJ337" s="237" t="n">
        <f aca="false" t="array" ref="CJ337:CJ337">IF(CJ336=0,0,IF(CJ336/'🎚️ Escenario'!$C$11&gt;=36,$AL$23,INDEX($C$23:$AL$23,MAX(1,ROUNDUP(CJ336/'🎚️ Escenario'!$C$11,0)))))</f>
        <v>0</v>
      </c>
      <c r="CK337" s="237" t="n">
        <f aca="false" t="array" ref="CK337:CK337">IF(CK336=0,0,IF(CK336/'🎚️ Escenario'!$C$11&gt;=36,$AL$23,INDEX($C$23:$AL$23,MAX(1,ROUNDUP(CK336/'🎚️ Escenario'!$C$11,0)))))</f>
        <v>0</v>
      </c>
      <c r="CL337" s="237" t="n">
        <f aca="false" t="array" ref="CL337:CL337">IF(CL336=0,0,IF(CL336/'🎚️ Escenario'!$C$11&gt;=36,$AL$23,INDEX($C$23:$AL$23,MAX(1,ROUNDUP(CL336/'🎚️ Escenario'!$C$11,0)))))</f>
        <v>0</v>
      </c>
      <c r="CM337" s="237" t="n">
        <f aca="false" t="array" ref="CM337:CM337">IF(CM336=0,0,IF(CM336/'🎚️ Escenario'!$C$11&gt;=36,$AL$23,INDEX($C$23:$AL$23,MAX(1,ROUNDUP(CM336/'🎚️ Escenario'!$C$11,0)))))</f>
        <v>0</v>
      </c>
      <c r="CN337" s="237" t="n">
        <f aca="false" t="array" ref="CN337:CN337">IF(CN336=0,0,IF(CN336/'🎚️ Escenario'!$C$11&gt;=36,$AL$23,INDEX($C$23:$AL$23,MAX(1,ROUNDUP(CN336/'🎚️ Escenario'!$C$11,0)))))</f>
        <v>0</v>
      </c>
      <c r="CO337" s="237" t="n">
        <f aca="false" t="array" ref="CO337:CO337">IF(CO336=0,0,IF(CO336/'🎚️ Escenario'!$C$11&gt;=36,$AL$23,INDEX($C$23:$AL$23,MAX(1,ROUNDUP(CO336/'🎚️ Escenario'!$C$11,0)))))</f>
        <v>0</v>
      </c>
      <c r="CP337" s="237" t="n">
        <f aca="false" t="array" ref="CP337:CP337">IF(CP336=0,0,IF(CP336/'🎚️ Escenario'!$C$11&gt;=36,$AL$23,INDEX($C$23:$AL$23,MAX(1,ROUNDUP(CP336/'🎚️ Escenario'!$C$11,0)))))</f>
        <v>0</v>
      </c>
      <c r="CQ337" s="237" t="n">
        <f aca="false" t="array" ref="CQ337:CQ337">IF(CQ336=0,0,IF(CQ336/'🎚️ Escenario'!$C$11&gt;=36,$AL$23,INDEX($C$23:$AL$23,MAX(1,ROUNDUP(CQ336/'🎚️ Escenario'!$C$11,0)))))</f>
        <v>0</v>
      </c>
      <c r="CR337" s="237" t="n">
        <f aca="false" t="array" ref="CR337:CR337">IF(CR336=0,0,IF(CR336/'🎚️ Escenario'!$C$11&gt;=36,$AL$23,INDEX($C$23:$AL$23,MAX(1,ROUNDUP(CR336/'🎚️ Escenario'!$C$11,0)))))</f>
        <v>0</v>
      </c>
      <c r="CS337" s="237" t="n">
        <f aca="false" t="array" ref="CS337:CS337">IF(CS336=0,0,IF(CS336/'🎚️ Escenario'!$C$11&gt;=36,$AL$23,INDEX($C$23:$AL$23,MAX(1,ROUNDUP(CS336/'🎚️ Escenario'!$C$11,0)))))</f>
        <v>0</v>
      </c>
      <c r="CT337" s="237" t="n">
        <f aca="false" t="array" ref="CT337:CT337">IF(CT336=0,0,IF(CT336/'🎚️ Escenario'!$C$11&gt;=36,$AL$23,INDEX($C$23:$AL$23,MAX(1,ROUNDUP(CT336/'🎚️ Escenario'!$C$11,0)))))</f>
        <v>0</v>
      </c>
      <c r="CU337" s="237" t="n">
        <f aca="false" t="array" ref="CU337:CU337">IF(CU336=0,0,IF(CU336/'🎚️ Escenario'!$C$11&gt;=36,$AL$23,INDEX($C$23:$AL$23,MAX(1,ROUNDUP(CU336/'🎚️ Escenario'!$C$11,0)))))</f>
        <v>0</v>
      </c>
      <c r="CV337" s="237" t="n">
        <f aca="false" t="array" ref="CV337:CV337">IF(CV336=0,0,IF(CV336/'🎚️ Escenario'!$C$11&gt;=36,$AL$23,INDEX($C$23:$AL$23,MAX(1,ROUNDUP(CV336/'🎚️ Escenario'!$C$11,0)))))</f>
        <v>0</v>
      </c>
      <c r="CW337" s="237" t="n">
        <f aca="false" t="array" ref="CW337:CW337">IF(CW336=0,0,IF(CW336/'🎚️ Escenario'!$C$11&gt;=36,$AL$23,INDEX($C$23:$AL$23,MAX(1,ROUNDUP(CW336/'🎚️ Escenario'!$C$11,0)))))</f>
        <v>0</v>
      </c>
      <c r="CX337" s="237" t="n">
        <f aca="false" t="array" ref="CX337:CX337">IF(CX336=0,0,IF(CX336/'🎚️ Escenario'!$C$11&gt;=36,$AL$23,INDEX($C$23:$AL$23,MAX(1,ROUNDUP(CX336/'🎚️ Escenario'!$C$11,0)))))</f>
        <v>0</v>
      </c>
      <c r="CY337" s="237" t="n">
        <f aca="false" t="array" ref="CY337:CY337">IF(CY336=0,0,IF(CY336/'🎚️ Escenario'!$C$11&gt;=36,$AL$23,INDEX($C$23:$AL$23,MAX(1,ROUNDUP(CY336/'🎚️ Escenario'!$C$11,0)))))</f>
        <v>0</v>
      </c>
      <c r="CZ337" s="237" t="n">
        <f aca="false" t="array" ref="CZ337:CZ337">IF(CZ336=0,0,IF(CZ336/'🎚️ Escenario'!$C$11&gt;=36,$AL$23,INDEX($C$23:$AL$23,MAX(1,ROUNDUP(CZ336/'🎚️ Escenario'!$C$11,0)))))</f>
        <v>0</v>
      </c>
      <c r="DA337" s="237" t="n">
        <f aca="false" t="array" ref="DA337:DA337">IF(DA336=0,0,IF(DA336/'🎚️ Escenario'!$C$11&gt;=36,$AL$23,INDEX($C$23:$AL$23,MAX(1,ROUNDUP(DA336/'🎚️ Escenario'!$C$11,0)))))</f>
        <v>0</v>
      </c>
      <c r="DB337" s="237" t="n">
        <f aca="false" t="array" ref="DB337:DB337">IF(DB336=0,0,IF(DB336/'🎚️ Escenario'!$C$11&gt;=36,$AL$23,INDEX($C$23:$AL$23,MAX(1,ROUNDUP(DB336/'🎚️ Escenario'!$C$11,0)))))</f>
        <v>0</v>
      </c>
      <c r="DC337" s="237" t="n">
        <f aca="false" t="array" ref="DC337:DC337">IF(DC336=0,0,IF(DC336/'🎚️ Escenario'!$C$11&gt;=36,$AL$23,INDEX($C$23:$AL$23,MAX(1,ROUNDUP(DC336/'🎚️ Escenario'!$C$11,0)))))</f>
        <v>0</v>
      </c>
      <c r="DD337" s="237" t="n">
        <f aca="false" t="array" ref="DD337:DD337">IF(DD336=0,0,IF(DD336/'🎚️ Escenario'!$C$11&gt;=36,$AL$23,INDEX($C$23:$AL$23,MAX(1,ROUNDUP(DD336/'🎚️ Escenario'!$C$11,0)))))</f>
        <v>0</v>
      </c>
      <c r="DE337" s="237" t="n">
        <f aca="false" t="array" ref="DE337:DE337">IF(DE336=0,0,IF(DE336/'🎚️ Escenario'!$C$11&gt;=36,$AL$23,INDEX($C$23:$AL$23,MAX(1,ROUNDUP(DE336/'🎚️ Escenario'!$C$11,0)))))</f>
        <v>0</v>
      </c>
      <c r="DF337" s="237" t="n">
        <f aca="false" t="array" ref="DF337:DF337">IF(DF336=0,0,IF(DF336/'🎚️ Escenario'!$C$11&gt;=36,$AL$23,INDEX($C$23:$AL$23,MAX(1,ROUNDUP(DF336/'🎚️ Escenario'!$C$11,0)))))</f>
        <v>0</v>
      </c>
      <c r="DG337" s="237" t="n">
        <f aca="false" t="array" ref="DG337:DG337">IF(DG336=0,0,IF(DG336/'🎚️ Escenario'!$C$11&gt;=36,$AL$23,INDEX($C$23:$AL$23,MAX(1,ROUNDUP(DG336/'🎚️ Escenario'!$C$11,0)))))</f>
        <v>0</v>
      </c>
      <c r="DH337" s="237" t="n">
        <f aca="false" t="array" ref="DH337:DH337">IF(DH336=0,0,IF(DH336/'🎚️ Escenario'!$C$11&gt;=36,$AL$23,INDEX($C$23:$AL$23,MAX(1,ROUNDUP(DH336/'🎚️ Escenario'!$C$11,0)))))</f>
        <v>0</v>
      </c>
      <c r="DI337" s="237" t="n">
        <f aca="false" t="array" ref="DI337:DI337">IF(DI336=0,0,IF(DI336/'🎚️ Escenario'!$C$11&gt;=36,$AL$23,INDEX($C$23:$AL$23,MAX(1,ROUNDUP(DI336/'🎚️ Escenario'!$C$11,0)))))</f>
        <v>0</v>
      </c>
      <c r="DJ337" s="237" t="n">
        <f aca="false" t="array" ref="DJ337:DJ337">IF(DJ336=0,0,IF(DJ336/'🎚️ Escenario'!$C$11&gt;=36,$AL$23,INDEX($C$23:$AL$23,MAX(1,ROUNDUP(DJ336/'🎚️ Escenario'!$C$11,0)))))</f>
        <v>0</v>
      </c>
      <c r="DK337" s="237" t="n">
        <f aca="false" t="array" ref="DK337:DK337">IF(DK336=0,0,IF(DK336/'🎚️ Escenario'!$C$11&gt;=36,$AL$23,INDEX($C$23:$AL$23,MAX(1,ROUNDUP(DK336/'🎚️ Escenario'!$C$11,0)))))</f>
        <v>0</v>
      </c>
      <c r="DL337" s="237" t="n">
        <f aca="false" t="array" ref="DL337:DL337">IF(DL336=0,0,IF(DL336/'🎚️ Escenario'!$C$11&gt;=36,$AL$23,INDEX($C$23:$AL$23,MAX(1,ROUNDUP(DL336/'🎚️ Escenario'!$C$11,0)))))</f>
        <v>0</v>
      </c>
      <c r="DM337" s="237" t="n">
        <f aca="false" t="array" ref="DM337:DM337">IF(DM336=0,0,IF(DM336/'🎚️ Escenario'!$C$11&gt;=36,$AL$23,INDEX($C$23:$AL$23,MAX(1,ROUNDUP(DM336/'🎚️ Escenario'!$C$11,0)))))</f>
        <v>0</v>
      </c>
      <c r="DN337" s="237" t="n">
        <f aca="false" t="array" ref="DN337:DN337">IF(DN336=0,0,IF(DN336/'🎚️ Escenario'!$C$11&gt;=36,$AL$23,INDEX($C$23:$AL$23,MAX(1,ROUNDUP(DN336/'🎚️ Escenario'!$C$11,0)))))</f>
        <v>0</v>
      </c>
      <c r="DO337" s="237" t="n">
        <f aca="false" t="array" ref="DO337:DO337">IF(DO336=0,0,IF(DO336/'🎚️ Escenario'!$C$11&gt;=36,$AL$23,INDEX($C$23:$AL$23,MAX(1,ROUNDUP(DO336/'🎚️ Escenario'!$C$11,0)))))</f>
        <v>0</v>
      </c>
      <c r="DP337" s="237" t="n">
        <f aca="false" t="array" ref="DP337:DP337">IF(DP336=0,0,IF(DP336/'🎚️ Escenario'!$C$11&gt;=36,$AL$23,INDEX($C$23:$AL$23,MAX(1,ROUNDUP(DP336/'🎚️ Escenario'!$C$11,0)))))</f>
        <v>0</v>
      </c>
      <c r="DQ337" s="237" t="n">
        <f aca="false" t="array" ref="DQ337:DQ337">IF(DQ336=0,0,IF(DQ336/'🎚️ Escenario'!$C$11&gt;=36,$AL$23,INDEX($C$23:$AL$23,MAX(1,ROUNDUP(DQ336/'🎚️ Escenario'!$C$11,0)))))</f>
        <v>0</v>
      </c>
      <c r="DR337" s="237" t="n">
        <f aca="false" t="array" ref="DR337:DR337">IF(DR336=0,0,IF(DR336/'🎚️ Escenario'!$C$11&gt;=36,$AL$23,INDEX($C$23:$AL$23,MAX(1,ROUNDUP(DR336/'🎚️ Escenario'!$C$11,0)))))</f>
        <v>0</v>
      </c>
      <c r="DS337" s="237" t="n">
        <f aca="false" t="array" ref="DS337:DS337">IF(DS336=0,0,IF(DS336/'🎚️ Escenario'!$C$11&gt;=36,$AL$23,INDEX($C$23:$AL$23,MAX(1,ROUNDUP(DS336/'🎚️ Escenario'!$C$11,0)))))</f>
        <v>0</v>
      </c>
      <c r="DT337" s="237" t="n">
        <f aca="false" t="array" ref="DT337:DT337">IF(DT336=0,0,IF(DT336/'🎚️ Escenario'!$C$11&gt;=36,$AL$23,INDEX($C$23:$AL$23,MAX(1,ROUNDUP(DT336/'🎚️ Escenario'!$C$11,0)))))</f>
        <v>0</v>
      </c>
      <c r="DU337" s="237" t="n">
        <f aca="false" t="array" ref="DU337:DU337">IF(DU336=0,0,IF(DU336/'🎚️ Escenario'!$C$11&gt;=36,$AL$23,INDEX($C$23:$AL$23,MAX(1,ROUNDUP(DU336/'🎚️ Escenario'!$C$11,0)))))</f>
        <v>0</v>
      </c>
      <c r="DV337" s="237" t="n">
        <f aca="false" t="array" ref="DV337:DV337">IF(DV336=0,0,IF(DV336/'🎚️ Escenario'!$C$11&gt;=36,$AL$23,INDEX($C$23:$AL$23,MAX(1,ROUNDUP(DV336/'🎚️ Escenario'!$C$11,0)))))</f>
        <v>0</v>
      </c>
      <c r="DW337" s="237" t="n">
        <f aca="false" t="array" ref="DW337:DW337">IF(DW336=0,0,IF(DW336/'🎚️ Escenario'!$C$11&gt;=36,$AL$23,INDEX($C$23:$AL$23,MAX(1,ROUNDUP(DW336/'🎚️ Escenario'!$C$11,0)))))</f>
        <v>0</v>
      </c>
      <c r="DX337" s="237" t="n">
        <f aca="false" t="array" ref="DX337:DX337">IF(DX336=0,0,IF(DX336/'🎚️ Escenario'!$C$11&gt;=36,$AL$23,INDEX($C$23:$AL$23,MAX(1,ROUNDUP(DX336/'🎚️ Escenario'!$C$11,0)))))</f>
        <v>0</v>
      </c>
      <c r="DY337" s="237" t="n">
        <f aca="false" t="array" ref="DY337:DY337">IF(DY336=0,0,IF(DY336/'🎚️ Escenario'!$C$11&gt;=36,$AL$23,INDEX($C$23:$AL$23,MAX(1,ROUNDUP(DY336/'🎚️ Escenario'!$C$11,0)))))</f>
        <v>0</v>
      </c>
      <c r="DZ337" s="237" t="n">
        <f aca="false" t="array" ref="DZ337:DZ337">IF(DZ336=0,0,IF(DZ336/'🎚️ Escenario'!$C$11&gt;=36,$AL$23,INDEX($C$23:$AL$23,MAX(1,ROUNDUP(DZ336/'🎚️ Escenario'!$C$11,0)))))</f>
        <v>0</v>
      </c>
      <c r="EA337" s="237" t="n">
        <f aca="false" t="array" ref="EA337:EA337">IF(EA336=0,0,IF(EA336/'🎚️ Escenario'!$C$11&gt;=36,$AL$23,INDEX($C$23:$AL$23,MAX(1,ROUNDUP(EA336/'🎚️ Escenario'!$C$11,0)))))</f>
        <v>0</v>
      </c>
      <c r="EB337" s="237" t="n">
        <f aca="false" t="array" ref="EB337:EB337">IF(EB336=0,0,IF(EB336/'🎚️ Escenario'!$C$11&gt;=36,$AL$23,INDEX($C$23:$AL$23,MAX(1,ROUNDUP(EB336/'🎚️ Escenario'!$C$11,0)))))</f>
        <v>0</v>
      </c>
      <c r="EC337" s="237" t="n">
        <f aca="false" t="array" ref="EC337:EC337">IF(EC336=0,0,IF(EC336/'🎚️ Escenario'!$C$11&gt;=36,$AL$23,INDEX($C$23:$AL$23,MAX(1,ROUNDUP(EC336/'🎚️ Escenario'!$C$11,0)))))</f>
        <v>0</v>
      </c>
      <c r="ED337" s="237" t="n">
        <f aca="false" t="array" ref="ED337:ED337">IF(ED336=0,0,IF(ED336/'🎚️ Escenario'!$C$11&gt;=36,$AL$23,INDEX($C$23:$AL$23,MAX(1,ROUNDUP(ED336/'🎚️ Escenario'!$C$11,0)))))</f>
        <v>0.2</v>
      </c>
      <c r="EE337" s="237" t="n">
        <f aca="false" t="array" ref="EE337:EE337">IF(EE336=0,0,IF(EE336/'🎚️ Escenario'!$C$11&gt;=36,$AL$23,INDEX($C$23:$AL$23,MAX(1,ROUNDUP(EE336/'🎚️ Escenario'!$C$11,0)))))</f>
        <v>0.22</v>
      </c>
      <c r="EF337" s="237" t="n">
        <f aca="false" t="array" ref="EF337:EF337">IF(EF336=0,0,IF(EF336/'🎚️ Escenario'!$C$11&gt;=36,$AL$23,INDEX($C$23:$AL$23,MAX(1,ROUNDUP(EF336/'🎚️ Escenario'!$C$11,0)))))</f>
        <v>0.24</v>
      </c>
      <c r="EG337" s="237" t="n">
        <f aca="false" t="array" ref="EG337:EG337">IF(EG336=0,0,IF(EG336/'🎚️ Escenario'!$C$11&gt;=36,$AL$23,INDEX($C$23:$AL$23,MAX(1,ROUNDUP(EG336/'🎚️ Escenario'!$C$11,0)))))</f>
        <v>0.27</v>
      </c>
      <c r="EH337" s="237" t="n">
        <f aca="false" t="array" ref="EH337:EH337">IF(EH336=0,0,IF(EH336/'🎚️ Escenario'!$C$11&gt;=36,$AL$23,INDEX($C$23:$AL$23,MAX(1,ROUNDUP(EH336/'🎚️ Escenario'!$C$11,0)))))</f>
        <v>0.27</v>
      </c>
      <c r="EI337" s="237" t="n">
        <f aca="false" t="array" ref="EI337:EI337">IF(EI336=0,0,IF(EI336/'🎚️ Escenario'!$C$11&gt;=36,$AL$23,INDEX($C$23:$AL$23,MAX(1,ROUNDUP(EI336/'🎚️ Escenario'!$C$11,0)))))</f>
        <v>0.31</v>
      </c>
      <c r="EJ337" s="237" t="n">
        <f aca="false" t="array" ref="EJ337:EJ337">IF(EJ336=0,0,IF(EJ336/'🎚️ Escenario'!$C$11&gt;=36,$AL$23,INDEX($C$23:$AL$23,MAX(1,ROUNDUP(EJ336/'🎚️ Escenario'!$C$11,0)))))</f>
        <v>0.35</v>
      </c>
      <c r="EK337" s="237" t="n">
        <f aca="false" t="array" ref="EK337:EK337">IF(EK336=0,0,IF(EK336/'🎚️ Escenario'!$C$11&gt;=36,$AL$23,INDEX($C$23:$AL$23,MAX(1,ROUNDUP(EK336/'🎚️ Escenario'!$C$11,0)))))</f>
        <v>0.39</v>
      </c>
      <c r="EL337" s="237" t="n">
        <f aca="false" t="array" ref="EL337:EL337">IF(EL336=0,0,IF(EL336/'🎚️ Escenario'!$C$11&gt;=36,$AL$23,INDEX($C$23:$AL$23,MAX(1,ROUNDUP(EL336/'🎚️ Escenario'!$C$11,0)))))</f>
        <v>0.44</v>
      </c>
      <c r="EM337" s="237" t="n">
        <f aca="false" t="array" ref="EM337:EM337">IF(EM336=0,0,IF(EM336/'🎚️ Escenario'!$C$11&gt;=36,$AL$23,INDEX($C$23:$AL$23,MAX(1,ROUNDUP(EM336/'🎚️ Escenario'!$C$11,0)))))</f>
        <v>0.44</v>
      </c>
      <c r="EN337" s="237" t="n">
        <f aca="false" t="array" ref="EN337:EN337">IF(EN336=0,0,IF(EN336/'🎚️ Escenario'!$C$11&gt;=36,$AL$23,INDEX($C$23:$AL$23,MAX(1,ROUNDUP(EN336/'🎚️ Escenario'!$C$11,0)))))</f>
        <v>0.48</v>
      </c>
      <c r="EO337" s="237" t="n">
        <f aca="false" t="array" ref="EO337:EO337">IF(EO336=0,0,IF(EO336/'🎚️ Escenario'!$C$11&gt;=36,$AL$23,INDEX($C$23:$AL$23,MAX(1,ROUNDUP(EO336/'🎚️ Escenario'!$C$11,0)))))</f>
        <v>0.52</v>
      </c>
      <c r="EP337" s="237" t="n">
        <f aca="false" t="array" ref="EP337:EP337">IF(EP336=0,0,IF(EP336/'🎚️ Escenario'!$C$11&gt;=36,$AL$23,INDEX($C$23:$AL$23,MAX(1,ROUNDUP(EP336/'🎚️ Escenario'!$C$11,0)))))</f>
        <v>0.56</v>
      </c>
      <c r="EQ337" s="237" t="n">
        <f aca="false" t="array" ref="EQ337:EQ337">IF(EQ336=0,0,IF(EQ336/'🎚️ Escenario'!$C$11&gt;=36,$AL$23,INDEX($C$23:$AL$23,MAX(1,ROUNDUP(EQ336/'🎚️ Escenario'!$C$11,0)))))</f>
        <v>0.6</v>
      </c>
      <c r="ER337" s="237" t="n">
        <f aca="false" t="array" ref="ER337:ER337">IF(ER336=0,0,IF(ER336/'🎚️ Escenario'!$C$11&gt;=36,$AL$23,INDEX($C$23:$AL$23,MAX(1,ROUNDUP(ER336/'🎚️ Escenario'!$C$11,0)))))</f>
        <v>0.6</v>
      </c>
      <c r="ES337" s="9" t="n">
        <f aca="false" t="array" ref="ES337:ES337">IF(ES336=0,0,IF(ES336/'🎚️ Escenario'!$C$11&gt;=36,$AL$23,INDEX($C$23:$AL$23,MAX(1,ROUNDUP(ES336/'🎚️ Escenario'!$C$11,0)))))</f>
        <v>0.63</v>
      </c>
      <c r="ET337" s="9" t="n">
        <f aca="false" t="array" ref="ET337:ET337">IF(ET336=0,0,IF(ET336/'🎚️ Escenario'!$C$11&gt;=36,$AL$23,INDEX($C$23:$AL$23,MAX(1,ROUNDUP(ET336/'🎚️ Escenario'!$C$11,0)))))</f>
        <v>0.66</v>
      </c>
      <c r="EU337" s="9" t="n">
        <f aca="false" t="array" ref="EU337:EU337">IF(EU336=0,0,IF(EU336/'🎚️ Escenario'!$C$11&gt;=36,$AL$23,INDEX($C$23:$AL$23,MAX(1,ROUNDUP(EU336/'🎚️ Escenario'!$C$11,0)))))</f>
        <v>0.69</v>
      </c>
      <c r="EV337" s="9" t="n">
        <f aca="false" t="array" ref="EV337:EV337">IF(EV336=0,0,IF(EV336/'🎚️ Escenario'!$C$11&gt;=36,$AL$23,INDEX($C$23:$AL$23,MAX(1,ROUNDUP(EV336/'🎚️ Escenario'!$C$11,0)))))</f>
        <v>0.71</v>
      </c>
      <c r="EW337" s="9" t="n">
        <f aca="false" t="array" ref="EW337:EW337">IF(EW336=0,0,IF(EW336/'🎚️ Escenario'!$C$11&gt;=36,$AL$23,INDEX($C$23:$AL$23,MAX(1,ROUNDUP(EW336/'🎚️ Escenario'!$C$11,0)))))</f>
        <v>0.71</v>
      </c>
      <c r="EX337" s="9" t="n">
        <f aca="false" t="array" ref="EX337:EX337">IF(EX336=0,0,IF(EX336/'🎚️ Escenario'!$C$11&gt;=36,$AL$23,INDEX($C$23:$AL$23,MAX(1,ROUNDUP(EX336/'🎚️ Escenario'!$C$11,0)))))</f>
        <v>0.73</v>
      </c>
      <c r="EY337" s="9" t="n">
        <f aca="false" t="array" ref="EY337:EY337">IF(EY336=0,0,IF(EY336/'🎚️ Escenario'!$C$11&gt;=36,$AL$23,INDEX($C$23:$AL$23,MAX(1,ROUNDUP(EY336/'🎚️ Escenario'!$C$11,0)))))</f>
        <v>0.75</v>
      </c>
      <c r="EZ337" s="9" t="n">
        <f aca="false" t="array" ref="EZ337:EZ337">IF(EZ336=0,0,IF(EZ336/'🎚️ Escenario'!$C$11&gt;=36,$AL$23,INDEX($C$23:$AL$23,MAX(1,ROUNDUP(EZ336/'🎚️ Escenario'!$C$11,0)))))</f>
        <v>0.77</v>
      </c>
      <c r="FA337" s="9" t="n">
        <f aca="false" t="array" ref="FA337:FA337">IF(FA336=0,0,IF(FA336/'🎚️ Escenario'!$C$11&gt;=36,$AL$23,INDEX($C$23:$AL$23,MAX(1,ROUNDUP(FA336/'🎚️ Escenario'!$C$11,0)))))</f>
        <v>0.79</v>
      </c>
      <c r="FB337" s="9" t="n">
        <f aca="false" t="array" ref="FB337:FB337">IF(FB336=0,0,IF(FB336/'🎚️ Escenario'!$C$11&gt;=36,$AL$23,INDEX($C$23:$AL$23,MAX(1,ROUNDUP(FB336/'🎚️ Escenario'!$C$11,0)))))</f>
        <v>0.79</v>
      </c>
      <c r="FC337" s="9" t="n">
        <f aca="false" t="array" ref="FC337:FC337">IF(FC336=0,0,IF(FC336/'🎚️ Escenario'!$C$11&gt;=36,$AL$23,INDEX($C$23:$AL$23,MAX(1,ROUNDUP(FC336/'🎚️ Escenario'!$C$11,0)))))</f>
        <v>0.8</v>
      </c>
      <c r="FD337" s="9" t="n">
        <f aca="false" t="array" ref="FD337:FD337">IF(FD336=0,0,IF(FD336/'🎚️ Escenario'!$C$11&gt;=36,$AL$23,INDEX($C$23:$AL$23,MAX(1,ROUNDUP(FD336/'🎚️ Escenario'!$C$11,0)))))</f>
        <v>0.82</v>
      </c>
      <c r="FE337" s="9" t="n">
        <f aca="false" t="array" ref="FE337:FE337">IF(FE336=0,0,IF(FE336/'🎚️ Escenario'!$C$11&gt;=36,$AL$23,INDEX($C$23:$AL$23,MAX(1,ROUNDUP(FE336/'🎚️ Escenario'!$C$11,0)))))</f>
        <v>0.84</v>
      </c>
      <c r="FF337" s="9" t="n">
        <f aca="false" t="array" ref="FF337:FF337">IF(FF336=0,0,IF(FF336/'🎚️ Escenario'!$C$11&gt;=36,$AL$23,INDEX($C$23:$AL$23,MAX(1,ROUNDUP(FF336/'🎚️ Escenario'!$C$11,0)))))</f>
        <v>0.85</v>
      </c>
      <c r="FG337" s="9" t="n">
        <f aca="false" t="array" ref="FG337:FG337">IF(FG336=0,0,IF(FG336/'🎚️ Escenario'!$C$11&gt;=36,$AL$23,INDEX($C$23:$AL$23,MAX(1,ROUNDUP(FG336/'🎚️ Escenario'!$C$11,0)))))</f>
        <v>0.85</v>
      </c>
      <c r="FH337" s="9" t="n">
        <f aca="false" t="array" ref="FH337:FH337">IF(FH336=0,0,IF(FH336/'🎚️ Escenario'!$C$11&gt;=36,$AL$23,INDEX($C$23:$AL$23,MAX(1,ROUNDUP(FH336/'🎚️ Escenario'!$C$11,0)))))</f>
        <v>0.86</v>
      </c>
      <c r="FI337" s="9" t="n">
        <f aca="false" t="array" ref="FI337:FI337">IF(FI336=0,0,IF(FI336/'🎚️ Escenario'!$C$11&gt;=36,$AL$23,INDEX($C$23:$AL$23,MAX(1,ROUNDUP(FI336/'🎚️ Escenario'!$C$11,0)))))</f>
        <v>0.88</v>
      </c>
      <c r="FJ337" s="9" t="n">
        <f aca="false" t="array" ref="FJ337:FJ337">IF(FJ336=0,0,IF(FJ336/'🎚️ Escenario'!$C$11&gt;=36,$AL$23,INDEX($C$23:$AL$23,MAX(1,ROUNDUP(FJ336/'🎚️ Escenario'!$C$11,0)))))</f>
        <v>0.89</v>
      </c>
      <c r="FK337" s="9" t="n">
        <f aca="false" t="array" ref="FK337:FK337">IF(FK336=0,0,IF(FK336/'🎚️ Escenario'!$C$11&gt;=36,$AL$23,INDEX($C$23:$AL$23,MAX(1,ROUNDUP(FK336/'🎚️ Escenario'!$C$11,0)))))</f>
        <v>0.9</v>
      </c>
      <c r="FL337" s="9" t="n">
        <f aca="false" t="array" ref="FL337:FL337">IF(FL336=0,0,IF(FL336/'🎚️ Escenario'!$C$11&gt;=36,$AL$23,INDEX($C$23:$AL$23,MAX(1,ROUNDUP(FL336/'🎚️ Escenario'!$C$11,0)))))</f>
        <v>0.9</v>
      </c>
      <c r="FM337" s="9" t="n">
        <f aca="false" t="array" ref="FM337:FM337">IF(FM336=0,0,IF(FM336/'🎚️ Escenario'!$C$11&gt;=36,$AL$23,INDEX($C$23:$AL$23,MAX(1,ROUNDUP(FM336/'🎚️ Escenario'!$C$11,0)))))</f>
        <v>0.92</v>
      </c>
      <c r="FN337" s="9" t="n">
        <f aca="false" t="array" ref="FN337:FN337">IF(FN336=0,0,IF(FN336/'🎚️ Escenario'!$C$11&gt;=36,$AL$23,INDEX($C$23:$AL$23,MAX(1,ROUNDUP(FN336/'🎚️ Escenario'!$C$11,0)))))</f>
        <v>0.93</v>
      </c>
      <c r="FO337" s="9" t="n">
        <f aca="false" t="array" ref="FO337:FO337">IF(FO336=0,0,IF(FO336/'🎚️ Escenario'!$C$11&gt;=36,$AL$23,INDEX($C$23:$AL$23,MAX(1,ROUNDUP(FO336/'🎚️ Escenario'!$C$11,0)))))</f>
        <v>0.94</v>
      </c>
      <c r="FP337" s="9" t="n">
        <f aca="false" t="array" ref="FP337:FP337">IF(FP336=0,0,IF(FP336/'🎚️ Escenario'!$C$11&gt;=36,$AL$23,INDEX($C$23:$AL$23,MAX(1,ROUNDUP(FP336/'🎚️ Escenario'!$C$11,0)))))</f>
        <v>0.95</v>
      </c>
    </row>
    <row r="338" customFormat="false" ht="15" hidden="false" customHeight="false" outlineLevel="2" collapsed="false">
      <c r="B338" s="47" t="s">
        <v>875</v>
      </c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237" t="n">
        <f aca="false">IF(AC336=0,0,IF(AC336&lt;=12*'🎚️ Escenario'!$C$11,1,1+$C$6))</f>
        <v>0</v>
      </c>
      <c r="AD338" s="237" t="n">
        <f aca="false">IF(AD336=0,0,IF(AD336&lt;=12*'🎚️ Escenario'!$C$11,1,1+$C$6))</f>
        <v>0</v>
      </c>
      <c r="AE338" s="237" t="n">
        <f aca="false">IF(AE336=0,0,IF(AE336&lt;=12*'🎚️ Escenario'!$C$11,1,1+$C$6))</f>
        <v>0</v>
      </c>
      <c r="AF338" s="237" t="n">
        <f aca="false">IF(AF336=0,0,IF(AF336&lt;=12*'🎚️ Escenario'!$C$11,1,1+$C$6))</f>
        <v>0</v>
      </c>
      <c r="AG338" s="237" t="n">
        <f aca="false">IF(AG336=0,0,IF(AG336&lt;=12*'🎚️ Escenario'!$C$11,1,1+$C$6))</f>
        <v>0</v>
      </c>
      <c r="AH338" s="237" t="n">
        <f aca="false">IF(AH336=0,0,IF(AH336&lt;=12*'🎚️ Escenario'!$C$11,1,1+$C$6))</f>
        <v>0</v>
      </c>
      <c r="AI338" s="237" t="n">
        <f aca="false">IF(AI336=0,0,IF(AI336&lt;=12*'🎚️ Escenario'!$C$11,1,1+$C$6))</f>
        <v>0</v>
      </c>
      <c r="AJ338" s="237" t="n">
        <f aca="false">IF(AJ336=0,0,IF(AJ336&lt;=12*'🎚️ Escenario'!$C$11,1,1+$C$6))</f>
        <v>0</v>
      </c>
      <c r="AK338" s="237" t="n">
        <f aca="false">IF(AK336=0,0,IF(AK336&lt;=12*'🎚️ Escenario'!$C$11,1,1+$C$6))</f>
        <v>0</v>
      </c>
      <c r="AL338" s="237" t="n">
        <f aca="false">IF(AL336=0,0,IF(AL336&lt;=12*'🎚️ Escenario'!$C$11,1,1+$C$6))</f>
        <v>0</v>
      </c>
      <c r="AM338" s="237" t="n">
        <f aca="false">IF(AM336=0,0,IF(AM336&lt;=12*'🎚️ Escenario'!$C$11,1,1+$C$6))</f>
        <v>0</v>
      </c>
      <c r="AN338" s="237" t="n">
        <f aca="false">IF(AN336=0,0,IF(AN336&lt;=12*'🎚️ Escenario'!$C$11,1,1+$C$6))</f>
        <v>0</v>
      </c>
      <c r="AO338" s="237" t="n">
        <f aca="false">IF(AO336=0,0,IF(AO336&lt;=12*'🎚️ Escenario'!$C$11,1,1+$C$6))</f>
        <v>0</v>
      </c>
      <c r="AP338" s="237" t="n">
        <f aca="false">IF(AP336=0,0,IF(AP336&lt;=12*'🎚️ Escenario'!$C$11,1,1+$C$6))</f>
        <v>0</v>
      </c>
      <c r="AQ338" s="237" t="n">
        <f aca="false">IF(AQ336=0,0,IF(AQ336&lt;=12*'🎚️ Escenario'!$C$11,1,1+$C$6))</f>
        <v>0</v>
      </c>
      <c r="AR338" s="237" t="n">
        <f aca="false">IF(AR336=0,0,IF(AR336&lt;=12*'🎚️ Escenario'!$C$11,1,1+$C$6))</f>
        <v>0</v>
      </c>
      <c r="AS338" s="237" t="n">
        <f aca="false">IF(AS336=0,0,IF(AS336&lt;=12*'🎚️ Escenario'!$C$11,1,1+$C$6))</f>
        <v>0</v>
      </c>
      <c r="AT338" s="237" t="n">
        <f aca="false">IF(AT336=0,0,IF(AT336&lt;=12*'🎚️ Escenario'!$C$11,1,1+$C$6))</f>
        <v>0</v>
      </c>
      <c r="AU338" s="237" t="n">
        <f aca="false">IF(AU336=0,0,IF(AU336&lt;=12*'🎚️ Escenario'!$C$11,1,1+$C$6))</f>
        <v>0</v>
      </c>
      <c r="AV338" s="237" t="n">
        <f aca="false">IF(AV336=0,0,IF(AV336&lt;=12*'🎚️ Escenario'!$C$11,1,1+$C$6))</f>
        <v>0</v>
      </c>
      <c r="AW338" s="237" t="n">
        <f aca="false">IF(AW336=0,0,IF(AW336&lt;=12*'🎚️ Escenario'!$C$11,1,1+$C$6))</f>
        <v>0</v>
      </c>
      <c r="AX338" s="237" t="n">
        <f aca="false">IF(AX336=0,0,IF(AX336&lt;=12*'🎚️ Escenario'!$C$11,1,1+$C$6))</f>
        <v>0</v>
      </c>
      <c r="AY338" s="237" t="n">
        <f aca="false">IF(AY336=0,0,IF(AY336&lt;=12*'🎚️ Escenario'!$C$11,1,1+$C$6))</f>
        <v>0</v>
      </c>
      <c r="AZ338" s="237" t="n">
        <f aca="false">IF(AZ336=0,0,IF(AZ336&lt;=12*'🎚️ Escenario'!$C$11,1,1+$C$6))</f>
        <v>0</v>
      </c>
      <c r="BA338" s="237" t="n">
        <f aca="false">IF(BA336=0,0,IF(BA336&lt;=12*'🎚️ Escenario'!$C$11,1,1+$C$6))</f>
        <v>0</v>
      </c>
      <c r="BB338" s="237" t="n">
        <f aca="false">IF(BB336=0,0,IF(BB336&lt;=12*'🎚️ Escenario'!$C$11,1,1+$C$6))</f>
        <v>0</v>
      </c>
      <c r="BC338" s="237" t="n">
        <f aca="false">IF(BC336=0,0,IF(BC336&lt;=12*'🎚️ Escenario'!$C$11,1,1+$C$6))</f>
        <v>0</v>
      </c>
      <c r="BD338" s="237" t="n">
        <f aca="false">IF(BD336=0,0,IF(BD336&lt;=12*'🎚️ Escenario'!$C$11,1,1+$C$6))</f>
        <v>0</v>
      </c>
      <c r="BE338" s="237" t="n">
        <f aca="false">IF(BE336=0,0,IF(BE336&lt;=12*'🎚️ Escenario'!$C$11,1,1+$C$6))</f>
        <v>0</v>
      </c>
      <c r="BF338" s="237" t="n">
        <f aca="false">IF(BF336=0,0,IF(BF336&lt;=12*'🎚️ Escenario'!$C$11,1,1+$C$6))</f>
        <v>0</v>
      </c>
      <c r="BG338" s="237" t="n">
        <f aca="false">IF(BG336=0,0,IF(BG336&lt;=12*'🎚️ Escenario'!$C$11,1,1+$C$6))</f>
        <v>0</v>
      </c>
      <c r="BH338" s="237" t="n">
        <f aca="false">IF(BH336=0,0,IF(BH336&lt;=12*'🎚️ Escenario'!$C$11,1,1+$C$6))</f>
        <v>0</v>
      </c>
      <c r="BI338" s="237" t="n">
        <f aca="false">IF(BI336=0,0,IF(BI336&lt;=12*'🎚️ Escenario'!$C$11,1,1+$C$6))</f>
        <v>0</v>
      </c>
      <c r="BJ338" s="237" t="n">
        <f aca="false">IF(BJ336=0,0,IF(BJ336&lt;=12*'🎚️ Escenario'!$C$11,1,1+$C$6))</f>
        <v>0</v>
      </c>
      <c r="BK338" s="237" t="n">
        <f aca="false">IF(BK336=0,0,IF(BK336&lt;=12*'🎚️ Escenario'!$C$11,1,1+$C$6))</f>
        <v>0</v>
      </c>
      <c r="BL338" s="237" t="n">
        <f aca="false">IF(BL336=0,0,IF(BL336&lt;=12*'🎚️ Escenario'!$C$11,1,1+$C$6))</f>
        <v>0</v>
      </c>
      <c r="BM338" s="237" t="n">
        <f aca="false">IF(BM336=0,0,IF(BM336&lt;=12*'🎚️ Escenario'!$C$11,1,1+$C$6))</f>
        <v>0</v>
      </c>
      <c r="BN338" s="237" t="n">
        <f aca="false">IF(BN336=0,0,IF(BN336&lt;=12*'🎚️ Escenario'!$C$11,1,1+$C$6))</f>
        <v>0</v>
      </c>
      <c r="BO338" s="237" t="n">
        <f aca="false">IF(BO336=0,0,IF(BO336&lt;=12*'🎚️ Escenario'!$C$11,1,1+$C$6))</f>
        <v>0</v>
      </c>
      <c r="BP338" s="237" t="n">
        <f aca="false">IF(BP336=0,0,IF(BP336&lt;=12*'🎚️ Escenario'!$C$11,1,1+$C$6))</f>
        <v>0</v>
      </c>
      <c r="BQ338" s="237" t="n">
        <f aca="false">IF(BQ336=0,0,IF(BQ336&lt;=12*'🎚️ Escenario'!$C$11,1,1+$C$6))</f>
        <v>0</v>
      </c>
      <c r="BR338" s="237" t="n">
        <f aca="false">IF(BR336=0,0,IF(BR336&lt;=12*'🎚️ Escenario'!$C$11,1,1+$C$6))</f>
        <v>0</v>
      </c>
      <c r="BS338" s="237" t="n">
        <f aca="false">IF(BS336=0,0,IF(BS336&lt;=12*'🎚️ Escenario'!$C$11,1,1+$C$6))</f>
        <v>0</v>
      </c>
      <c r="BT338" s="237" t="n">
        <f aca="false">IF(BT336=0,0,IF(BT336&lt;=12*'🎚️ Escenario'!$C$11,1,1+$C$6))</f>
        <v>0</v>
      </c>
      <c r="BU338" s="237" t="n">
        <f aca="false">IF(BU336=0,0,IF(BU336&lt;=12*'🎚️ Escenario'!$C$11,1,1+$C$6))</f>
        <v>0</v>
      </c>
      <c r="BV338" s="237" t="n">
        <f aca="false">IF(BV336=0,0,IF(BV336&lt;=12*'🎚️ Escenario'!$C$11,1,1+$C$6))</f>
        <v>0</v>
      </c>
      <c r="BW338" s="237" t="n">
        <f aca="false">IF(BW336=0,0,IF(BW336&lt;=12*'🎚️ Escenario'!$C$11,1,1+$C$6))</f>
        <v>0</v>
      </c>
      <c r="BX338" s="237" t="n">
        <f aca="false">IF(BX336=0,0,IF(BX336&lt;=12*'🎚️ Escenario'!$C$11,1,1+$C$6))</f>
        <v>0</v>
      </c>
      <c r="BY338" s="237" t="n">
        <f aca="false">IF(BY336=0,0,IF(BY336&lt;=12*'🎚️ Escenario'!$C$11,1,1+$C$6))</f>
        <v>0</v>
      </c>
      <c r="BZ338" s="237" t="n">
        <f aca="false">IF(BZ336=0,0,IF(BZ336&lt;=12*'🎚️ Escenario'!$C$11,1,1+$C$6))</f>
        <v>0</v>
      </c>
      <c r="CA338" s="237" t="n">
        <f aca="false">IF(CA336=0,0,IF(CA336&lt;=12*'🎚️ Escenario'!$C$11,1,1+$C$6))</f>
        <v>0</v>
      </c>
      <c r="CB338" s="237" t="n">
        <f aca="false">IF(CB336=0,0,IF(CB336&lt;=12*'🎚️ Escenario'!$C$11,1,1+$C$6))</f>
        <v>0</v>
      </c>
      <c r="CC338" s="237" t="n">
        <f aca="false">IF(CC336=0,0,IF(CC336&lt;=12*'🎚️ Escenario'!$C$11,1,1+$C$6))</f>
        <v>0</v>
      </c>
      <c r="CD338" s="237" t="n">
        <f aca="false">IF(CD336=0,0,IF(CD336&lt;=12*'🎚️ Escenario'!$C$11,1,1+$C$6))</f>
        <v>0</v>
      </c>
      <c r="CE338" s="237" t="n">
        <f aca="false">IF(CE336=0,0,IF(CE336&lt;=12*'🎚️ Escenario'!$C$11,1,1+$C$6))</f>
        <v>0</v>
      </c>
      <c r="CF338" s="237" t="n">
        <f aca="false">IF(CF336=0,0,IF(CF336&lt;=12*'🎚️ Escenario'!$C$11,1,1+$C$6))</f>
        <v>0</v>
      </c>
      <c r="CG338" s="237" t="n">
        <f aca="false">IF(CG336=0,0,IF(CG336&lt;=12*'🎚️ Escenario'!$C$11,1,1+$C$6))</f>
        <v>0</v>
      </c>
      <c r="CH338" s="237" t="n">
        <f aca="false">IF(CH336=0,0,IF(CH336&lt;=12*'🎚️ Escenario'!$C$11,1,1+$C$6))</f>
        <v>0</v>
      </c>
      <c r="CI338" s="237" t="n">
        <f aca="false">IF(CI336=0,0,IF(CI336&lt;=12*'🎚️ Escenario'!$C$11,1,1+$C$6))</f>
        <v>0</v>
      </c>
      <c r="CJ338" s="237" t="n">
        <f aca="false">IF(CJ336=0,0,IF(CJ336&lt;=12*'🎚️ Escenario'!$C$11,1,1+$C$6))</f>
        <v>0</v>
      </c>
      <c r="CK338" s="237" t="n">
        <f aca="false">IF(CK336=0,0,IF(CK336&lt;=12*'🎚️ Escenario'!$C$11,1,1+$C$6))</f>
        <v>0</v>
      </c>
      <c r="CL338" s="237" t="n">
        <f aca="false">IF(CL336=0,0,IF(CL336&lt;=12*'🎚️ Escenario'!$C$11,1,1+$C$6))</f>
        <v>0</v>
      </c>
      <c r="CM338" s="237" t="n">
        <f aca="false">IF(CM336=0,0,IF(CM336&lt;=12*'🎚️ Escenario'!$C$11,1,1+$C$6))</f>
        <v>0</v>
      </c>
      <c r="CN338" s="237" t="n">
        <f aca="false">IF(CN336=0,0,IF(CN336&lt;=12*'🎚️ Escenario'!$C$11,1,1+$C$6))</f>
        <v>0</v>
      </c>
      <c r="CO338" s="237" t="n">
        <f aca="false">IF(CO336=0,0,IF(CO336&lt;=12*'🎚️ Escenario'!$C$11,1,1+$C$6))</f>
        <v>0</v>
      </c>
      <c r="CP338" s="237" t="n">
        <f aca="false">IF(CP336=0,0,IF(CP336&lt;=12*'🎚️ Escenario'!$C$11,1,1+$C$6))</f>
        <v>0</v>
      </c>
      <c r="CQ338" s="237" t="n">
        <f aca="false">IF(CQ336=0,0,IF(CQ336&lt;=12*'🎚️ Escenario'!$C$11,1,1+$C$6))</f>
        <v>0</v>
      </c>
      <c r="CR338" s="237" t="n">
        <f aca="false">IF(CR336=0,0,IF(CR336&lt;=12*'🎚️ Escenario'!$C$11,1,1+$C$6))</f>
        <v>0</v>
      </c>
      <c r="CS338" s="237" t="n">
        <f aca="false">IF(CS336=0,0,IF(CS336&lt;=12*'🎚️ Escenario'!$C$11,1,1+$C$6))</f>
        <v>0</v>
      </c>
      <c r="CT338" s="237" t="n">
        <f aca="false">IF(CT336=0,0,IF(CT336&lt;=12*'🎚️ Escenario'!$C$11,1,1+$C$6))</f>
        <v>0</v>
      </c>
      <c r="CU338" s="237" t="n">
        <f aca="false">IF(CU336=0,0,IF(CU336&lt;=12*'🎚️ Escenario'!$C$11,1,1+$C$6))</f>
        <v>0</v>
      </c>
      <c r="CV338" s="237" t="n">
        <f aca="false">IF(CV336=0,0,IF(CV336&lt;=12*'🎚️ Escenario'!$C$11,1,1+$C$6))</f>
        <v>0</v>
      </c>
      <c r="CW338" s="237" t="n">
        <f aca="false">IF(CW336=0,0,IF(CW336&lt;=12*'🎚️ Escenario'!$C$11,1,1+$C$6))</f>
        <v>0</v>
      </c>
      <c r="CX338" s="237" t="n">
        <f aca="false">IF(CX336=0,0,IF(CX336&lt;=12*'🎚️ Escenario'!$C$11,1,1+$C$6))</f>
        <v>0</v>
      </c>
      <c r="CY338" s="237" t="n">
        <f aca="false">IF(CY336=0,0,IF(CY336&lt;=12*'🎚️ Escenario'!$C$11,1,1+$C$6))</f>
        <v>0</v>
      </c>
      <c r="CZ338" s="237" t="n">
        <f aca="false">IF(CZ336=0,0,IF(CZ336&lt;=12*'🎚️ Escenario'!$C$11,1,1+$C$6))</f>
        <v>0</v>
      </c>
      <c r="DA338" s="237" t="n">
        <f aca="false">IF(DA336=0,0,IF(DA336&lt;=12*'🎚️ Escenario'!$C$11,1,1+$C$6))</f>
        <v>0</v>
      </c>
      <c r="DB338" s="237" t="n">
        <f aca="false">IF(DB336=0,0,IF(DB336&lt;=12*'🎚️ Escenario'!$C$11,1,1+$C$6))</f>
        <v>0</v>
      </c>
      <c r="DC338" s="237" t="n">
        <f aca="false">IF(DC336=0,0,IF(DC336&lt;=12*'🎚️ Escenario'!$C$11,1,1+$C$6))</f>
        <v>0</v>
      </c>
      <c r="DD338" s="237" t="n">
        <f aca="false">IF(DD336=0,0,IF(DD336&lt;=12*'🎚️ Escenario'!$C$11,1,1+$C$6))</f>
        <v>0</v>
      </c>
      <c r="DE338" s="237" t="n">
        <f aca="false">IF(DE336=0,0,IF(DE336&lt;=12*'🎚️ Escenario'!$C$11,1,1+$C$6))</f>
        <v>0</v>
      </c>
      <c r="DF338" s="237" t="n">
        <f aca="false">IF(DF336=0,0,IF(DF336&lt;=12*'🎚️ Escenario'!$C$11,1,1+$C$6))</f>
        <v>0</v>
      </c>
      <c r="DG338" s="237" t="n">
        <f aca="false">IF(DG336=0,0,IF(DG336&lt;=12*'🎚️ Escenario'!$C$11,1,1+$C$6))</f>
        <v>0</v>
      </c>
      <c r="DH338" s="237" t="n">
        <f aca="false">IF(DH336=0,0,IF(DH336&lt;=12*'🎚️ Escenario'!$C$11,1,1+$C$6))</f>
        <v>0</v>
      </c>
      <c r="DI338" s="237" t="n">
        <f aca="false">IF(DI336=0,0,IF(DI336&lt;=12*'🎚️ Escenario'!$C$11,1,1+$C$6))</f>
        <v>0</v>
      </c>
      <c r="DJ338" s="237" t="n">
        <f aca="false">IF(DJ336=0,0,IF(DJ336&lt;=12*'🎚️ Escenario'!$C$11,1,1+$C$6))</f>
        <v>0</v>
      </c>
      <c r="DK338" s="237" t="n">
        <f aca="false">IF(DK336=0,0,IF(DK336&lt;=12*'🎚️ Escenario'!$C$11,1,1+$C$6))</f>
        <v>0</v>
      </c>
      <c r="DL338" s="237" t="n">
        <f aca="false">IF(DL336=0,0,IF(DL336&lt;=12*'🎚️ Escenario'!$C$11,1,1+$C$6))</f>
        <v>0</v>
      </c>
      <c r="DM338" s="237" t="n">
        <f aca="false">IF(DM336=0,0,IF(DM336&lt;=12*'🎚️ Escenario'!$C$11,1,1+$C$6))</f>
        <v>0</v>
      </c>
      <c r="DN338" s="237" t="n">
        <f aca="false">IF(DN336=0,0,IF(DN336&lt;=12*'🎚️ Escenario'!$C$11,1,1+$C$6))</f>
        <v>0</v>
      </c>
      <c r="DO338" s="237" t="n">
        <f aca="false">IF(DO336=0,0,IF(DO336&lt;=12*'🎚️ Escenario'!$C$11,1,1+$C$6))</f>
        <v>0</v>
      </c>
      <c r="DP338" s="237" t="n">
        <f aca="false">IF(DP336=0,0,IF(DP336&lt;=12*'🎚️ Escenario'!$C$11,1,1+$C$6))</f>
        <v>0</v>
      </c>
      <c r="DQ338" s="237" t="n">
        <f aca="false">IF(DQ336=0,0,IF(DQ336&lt;=12*'🎚️ Escenario'!$C$11,1,1+$C$6))</f>
        <v>0</v>
      </c>
      <c r="DR338" s="237" t="n">
        <f aca="false">IF(DR336=0,0,IF(DR336&lt;=12*'🎚️ Escenario'!$C$11,1,1+$C$6))</f>
        <v>0</v>
      </c>
      <c r="DS338" s="237" t="n">
        <f aca="false">IF(DS336=0,0,IF(DS336&lt;=12*'🎚️ Escenario'!$C$11,1,1+$C$6))</f>
        <v>0</v>
      </c>
      <c r="DT338" s="237" t="n">
        <f aca="false">IF(DT336=0,0,IF(DT336&lt;=12*'🎚️ Escenario'!$C$11,1,1+$C$6))</f>
        <v>0</v>
      </c>
      <c r="DU338" s="237" t="n">
        <f aca="false">IF(DU336=0,0,IF(DU336&lt;=12*'🎚️ Escenario'!$C$11,1,1+$C$6))</f>
        <v>0</v>
      </c>
      <c r="DV338" s="237" t="n">
        <f aca="false">IF(DV336=0,0,IF(DV336&lt;=12*'🎚️ Escenario'!$C$11,1,1+$C$6))</f>
        <v>0</v>
      </c>
      <c r="DW338" s="237" t="n">
        <f aca="false">IF(DW336=0,0,IF(DW336&lt;=12*'🎚️ Escenario'!$C$11,1,1+$C$6))</f>
        <v>0</v>
      </c>
      <c r="DX338" s="237" t="n">
        <f aca="false">IF(DX336=0,0,IF(DX336&lt;=12*'🎚️ Escenario'!$C$11,1,1+$C$6))</f>
        <v>0</v>
      </c>
      <c r="DY338" s="237" t="n">
        <f aca="false">IF(DY336=0,0,IF(DY336&lt;=12*'🎚️ Escenario'!$C$11,1,1+$C$6))</f>
        <v>0</v>
      </c>
      <c r="DZ338" s="237" t="n">
        <f aca="false">IF(DZ336=0,0,IF(DZ336&lt;=12*'🎚️ Escenario'!$C$11,1,1+$C$6))</f>
        <v>0</v>
      </c>
      <c r="EA338" s="237" t="n">
        <f aca="false">IF(EA336=0,0,IF(EA336&lt;=12*'🎚️ Escenario'!$C$11,1,1+$C$6))</f>
        <v>0</v>
      </c>
      <c r="EB338" s="237" t="n">
        <f aca="false">IF(EB336=0,0,IF(EB336&lt;=12*'🎚️ Escenario'!$C$11,1,1+$C$6))</f>
        <v>0</v>
      </c>
      <c r="EC338" s="237" t="n">
        <f aca="false">IF(EC336=0,0,IF(EC336&lt;=12*'🎚️ Escenario'!$C$11,1,1+$C$6))</f>
        <v>0</v>
      </c>
      <c r="ED338" s="237" t="n">
        <f aca="false">IF(ED336=0,0,IF(ED336&lt;=12*'🎚️ Escenario'!$C$11,1,1+$C$6))</f>
        <v>1</v>
      </c>
      <c r="EE338" s="237" t="n">
        <f aca="false">IF(EE336=0,0,IF(EE336&lt;=12*'🎚️ Escenario'!$C$11,1,1+$C$6))</f>
        <v>1</v>
      </c>
      <c r="EF338" s="237" t="n">
        <f aca="false">IF(EF336=0,0,IF(EF336&lt;=12*'🎚️ Escenario'!$C$11,1,1+$C$6))</f>
        <v>1</v>
      </c>
      <c r="EG338" s="237" t="n">
        <f aca="false">IF(EG336=0,0,IF(EG336&lt;=12*'🎚️ Escenario'!$C$11,1,1+$C$6))</f>
        <v>1</v>
      </c>
      <c r="EH338" s="237" t="n">
        <f aca="false">IF(EH336=0,0,IF(EH336&lt;=12*'🎚️ Escenario'!$C$11,1,1+$C$6))</f>
        <v>1</v>
      </c>
      <c r="EI338" s="237" t="n">
        <f aca="false">IF(EI336=0,0,IF(EI336&lt;=12*'🎚️ Escenario'!$C$11,1,1+$C$6))</f>
        <v>1</v>
      </c>
      <c r="EJ338" s="237" t="n">
        <f aca="false">IF(EJ336=0,0,IF(EJ336&lt;=12*'🎚️ Escenario'!$C$11,1,1+$C$6))</f>
        <v>1</v>
      </c>
      <c r="EK338" s="237" t="n">
        <f aca="false">IF(EK336=0,0,IF(EK336&lt;=12*'🎚️ Escenario'!$C$11,1,1+$C$6))</f>
        <v>1</v>
      </c>
      <c r="EL338" s="237" t="n">
        <f aca="false">IF(EL336=0,0,IF(EL336&lt;=12*'🎚️ Escenario'!$C$11,1,1+$C$6))</f>
        <v>1</v>
      </c>
      <c r="EM338" s="237" t="n">
        <f aca="false">IF(EM336=0,0,IF(EM336&lt;=12*'🎚️ Escenario'!$C$11,1,1+$C$6))</f>
        <v>1</v>
      </c>
      <c r="EN338" s="237" t="n">
        <f aca="false">IF(EN336=0,0,IF(EN336&lt;=12*'🎚️ Escenario'!$C$11,1,1+$C$6))</f>
        <v>1</v>
      </c>
      <c r="EO338" s="237" t="n">
        <f aca="false">IF(EO336=0,0,IF(EO336&lt;=12*'🎚️ Escenario'!$C$11,1,1+$C$6))</f>
        <v>1</v>
      </c>
      <c r="EP338" s="237" t="n">
        <f aca="false">IF(EP336=0,0,IF(EP336&lt;=12*'🎚️ Escenario'!$C$11,1,1+$C$6))</f>
        <v>1</v>
      </c>
      <c r="EQ338" s="237" t="n">
        <f aca="false">IF(EQ336=0,0,IF(EQ336&lt;=12*'🎚️ Escenario'!$C$11,1,1+$C$6))</f>
        <v>1</v>
      </c>
      <c r="ER338" s="237" t="n">
        <f aca="false">IF(ER336=0,0,IF(ER336&lt;=12*'🎚️ Escenario'!$C$11,1,1+$C$6))</f>
        <v>1</v>
      </c>
      <c r="ES338" s="238" t="n">
        <f aca="false">IF(ES336=0,0,IF(ES336&lt;=12*'🎚️ Escenario'!$C$11,1,1+$C$6))</f>
        <v>1.2</v>
      </c>
      <c r="ET338" s="238" t="n">
        <f aca="false">IF(ET336=0,0,IF(ET336&lt;=12*'🎚️ Escenario'!$C$11,1,1+$C$6))</f>
        <v>1.2</v>
      </c>
      <c r="EU338" s="238" t="n">
        <f aca="false">IF(EU336=0,0,IF(EU336&lt;=12*'🎚️ Escenario'!$C$11,1,1+$C$6))</f>
        <v>1.2</v>
      </c>
      <c r="EV338" s="238" t="n">
        <f aca="false">IF(EV336=0,0,IF(EV336&lt;=12*'🎚️ Escenario'!$C$11,1,1+$C$6))</f>
        <v>1.2</v>
      </c>
      <c r="EW338" s="238" t="n">
        <f aca="false">IF(EW336=0,0,IF(EW336&lt;=12*'🎚️ Escenario'!$C$11,1,1+$C$6))</f>
        <v>1.2</v>
      </c>
      <c r="EX338" s="238" t="n">
        <f aca="false">IF(EX336=0,0,IF(EX336&lt;=12*'🎚️ Escenario'!$C$11,1,1+$C$6))</f>
        <v>1.2</v>
      </c>
      <c r="EY338" s="238" t="n">
        <f aca="false">IF(EY336=0,0,IF(EY336&lt;=12*'🎚️ Escenario'!$C$11,1,1+$C$6))</f>
        <v>1.2</v>
      </c>
      <c r="EZ338" s="238" t="n">
        <f aca="false">IF(EZ336=0,0,IF(EZ336&lt;=12*'🎚️ Escenario'!$C$11,1,1+$C$6))</f>
        <v>1.2</v>
      </c>
      <c r="FA338" s="238" t="n">
        <f aca="false">IF(FA336=0,0,IF(FA336&lt;=12*'🎚️ Escenario'!$C$11,1,1+$C$6))</f>
        <v>1.2</v>
      </c>
      <c r="FB338" s="238" t="n">
        <f aca="false">IF(FB336=0,0,IF(FB336&lt;=12*'🎚️ Escenario'!$C$11,1,1+$C$6))</f>
        <v>1.2</v>
      </c>
      <c r="FC338" s="238" t="n">
        <f aca="false">IF(FC336=0,0,IF(FC336&lt;=12*'🎚️ Escenario'!$C$11,1,1+$C$6))</f>
        <v>1.2</v>
      </c>
      <c r="FD338" s="238" t="n">
        <f aca="false">IF(FD336=0,0,IF(FD336&lt;=12*'🎚️ Escenario'!$C$11,1,1+$C$6))</f>
        <v>1.2</v>
      </c>
      <c r="FE338" s="238" t="n">
        <f aca="false">IF(FE336=0,0,IF(FE336&lt;=12*'🎚️ Escenario'!$C$11,1,1+$C$6))</f>
        <v>1.2</v>
      </c>
      <c r="FF338" s="238" t="n">
        <f aca="false">IF(FF336=0,0,IF(FF336&lt;=12*'🎚️ Escenario'!$C$11,1,1+$C$6))</f>
        <v>1.2</v>
      </c>
      <c r="FG338" s="238" t="n">
        <f aca="false">IF(FG336=0,0,IF(FG336&lt;=12*'🎚️ Escenario'!$C$11,1,1+$C$6))</f>
        <v>1.2</v>
      </c>
      <c r="FH338" s="238" t="n">
        <f aca="false">IF(FH336=0,0,IF(FH336&lt;=12*'🎚️ Escenario'!$C$11,1,1+$C$6))</f>
        <v>1.2</v>
      </c>
      <c r="FI338" s="238" t="n">
        <f aca="false">IF(FI336=0,0,IF(FI336&lt;=12*'🎚️ Escenario'!$C$11,1,1+$C$6))</f>
        <v>1.2</v>
      </c>
      <c r="FJ338" s="238" t="n">
        <f aca="false">IF(FJ336=0,0,IF(FJ336&lt;=12*'🎚️ Escenario'!$C$11,1,1+$C$6))</f>
        <v>1.2</v>
      </c>
      <c r="FK338" s="238" t="n">
        <f aca="false">IF(FK336=0,0,IF(FK336&lt;=12*'🎚️ Escenario'!$C$11,1,1+$C$6))</f>
        <v>1.2</v>
      </c>
      <c r="FL338" s="238" t="n">
        <f aca="false">IF(FL336=0,0,IF(FL336&lt;=12*'🎚️ Escenario'!$C$11,1,1+$C$6))</f>
        <v>1.2</v>
      </c>
      <c r="FM338" s="238" t="n">
        <f aca="false">IF(FM336=0,0,IF(FM336&lt;=12*'🎚️ Escenario'!$C$11,1,1+$C$6))</f>
        <v>1.2</v>
      </c>
      <c r="FN338" s="238" t="n">
        <f aca="false">IF(FN336=0,0,IF(FN336&lt;=12*'🎚️ Escenario'!$C$11,1,1+$C$6))</f>
        <v>1.2</v>
      </c>
      <c r="FO338" s="238" t="n">
        <f aca="false">IF(FO336=0,0,IF(FO336&lt;=12*'🎚️ Escenario'!$C$11,1,1+$C$6))</f>
        <v>1.2</v>
      </c>
      <c r="FP338" s="238" t="n">
        <f aca="false">IF(FP336=0,0,IF(FP336&lt;=12*'🎚️ Escenario'!$C$11,1,1+$C$6))</f>
        <v>1.2</v>
      </c>
    </row>
    <row r="339" customFormat="false" ht="15" hidden="false" customHeight="false" outlineLevel="2" collapsed="false">
      <c r="B339" s="47" t="s">
        <v>876</v>
      </c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237" t="n">
        <f aca="false">AC337*$AC$335*AC338*AC$38*'⑫ Roll-out Plan'!$O$38</f>
        <v>0</v>
      </c>
      <c r="AD339" s="237" t="n">
        <f aca="false">AD337*$AC$335*AD338*AD$38*'⑫ Roll-out Plan'!$O$38</f>
        <v>0</v>
      </c>
      <c r="AE339" s="237" t="n">
        <f aca="false">AE337*$AC$335*AE338*AE$38*'⑫ Roll-out Plan'!$O$38</f>
        <v>0</v>
      </c>
      <c r="AF339" s="237" t="n">
        <f aca="false">AF337*$AC$335*AF338*AF$38*'⑫ Roll-out Plan'!$O$38</f>
        <v>0</v>
      </c>
      <c r="AG339" s="237" t="n">
        <f aca="false">AG337*$AC$335*AG338*AG$38*'⑫ Roll-out Plan'!$O$38</f>
        <v>0</v>
      </c>
      <c r="AH339" s="237" t="n">
        <f aca="false">AH337*$AC$335*AH338*AH$38*'⑫ Roll-out Plan'!$O$38</f>
        <v>0</v>
      </c>
      <c r="AI339" s="237" t="n">
        <f aca="false">AI337*$AC$335*AI338*AI$38*'⑫ Roll-out Plan'!$O$38</f>
        <v>0</v>
      </c>
      <c r="AJ339" s="237" t="n">
        <f aca="false">AJ337*$AC$335*AJ338*AJ$38*'⑫ Roll-out Plan'!$O$38</f>
        <v>0</v>
      </c>
      <c r="AK339" s="237" t="n">
        <f aca="false">AK337*$AC$335*AK338*AK$38*'⑫ Roll-out Plan'!$O$38</f>
        <v>0</v>
      </c>
      <c r="AL339" s="237" t="n">
        <f aca="false">AL337*$AC$335*AL338*AL$38*'⑫ Roll-out Plan'!$O$38</f>
        <v>0</v>
      </c>
      <c r="AM339" s="237" t="n">
        <f aca="false">AM337*$AC$335*AM338*AM$38*'⑫ Roll-out Plan'!$O$38</f>
        <v>0</v>
      </c>
      <c r="AN339" s="237" t="n">
        <f aca="false">AN337*$AC$335*AN338*AN$38*'⑫ Roll-out Plan'!$O$38</f>
        <v>0</v>
      </c>
      <c r="AO339" s="237" t="n">
        <f aca="false">AO337*$AC$335*AO338*AO$38*'⑫ Roll-out Plan'!$O$38</f>
        <v>0</v>
      </c>
      <c r="AP339" s="237" t="n">
        <f aca="false">AP337*$AC$335*AP338*AP$38*'⑫ Roll-out Plan'!$O$38</f>
        <v>0</v>
      </c>
      <c r="AQ339" s="237" t="n">
        <f aca="false">AQ337*$AC$335*AQ338*AQ$38*'⑫ Roll-out Plan'!$O$38</f>
        <v>0</v>
      </c>
      <c r="AR339" s="237" t="n">
        <f aca="false">AR337*$AC$335*AR338*AR$38*'⑫ Roll-out Plan'!$O$38</f>
        <v>0</v>
      </c>
      <c r="AS339" s="237" t="n">
        <f aca="false">AS337*$AC$335*AS338*AS$38*'⑫ Roll-out Plan'!$O$38</f>
        <v>0</v>
      </c>
      <c r="AT339" s="237" t="n">
        <f aca="false">AT337*$AC$335*AT338*AT$38*'⑫ Roll-out Plan'!$O$38</f>
        <v>0</v>
      </c>
      <c r="AU339" s="237" t="n">
        <f aca="false">AU337*$AC$335*AU338*AU$38*'⑫ Roll-out Plan'!$O$38</f>
        <v>0</v>
      </c>
      <c r="AV339" s="237" t="n">
        <f aca="false">AV337*$AC$335*AV338*AV$38*'⑫ Roll-out Plan'!$O$38</f>
        <v>0</v>
      </c>
      <c r="AW339" s="237" t="n">
        <f aca="false">AW337*$AC$335*AW338*AW$38*'⑫ Roll-out Plan'!$O$38</f>
        <v>0</v>
      </c>
      <c r="AX339" s="237" t="n">
        <f aca="false">AX337*$AC$335*AX338*AX$38*'⑫ Roll-out Plan'!$O$38</f>
        <v>0</v>
      </c>
      <c r="AY339" s="237" t="n">
        <f aca="false">AY337*$AC$335*AY338*AY$38*'⑫ Roll-out Plan'!$O$38</f>
        <v>0</v>
      </c>
      <c r="AZ339" s="237" t="n">
        <f aca="false">AZ337*$AC$335*AZ338*AZ$38*'⑫ Roll-out Plan'!$O$38</f>
        <v>0</v>
      </c>
      <c r="BA339" s="237" t="n">
        <f aca="false">BA337*$AC$335*BA338*BA$38*'⑫ Roll-out Plan'!$O$38</f>
        <v>0</v>
      </c>
      <c r="BB339" s="237" t="n">
        <f aca="false">BB337*$AC$335*BB338*BB$38*'⑫ Roll-out Plan'!$O$38</f>
        <v>0</v>
      </c>
      <c r="BC339" s="237" t="n">
        <f aca="false">BC337*$AC$335*BC338*BC$38*'⑫ Roll-out Plan'!$O$38</f>
        <v>0</v>
      </c>
      <c r="BD339" s="237" t="n">
        <f aca="false">BD337*$AC$335*BD338*BD$38*'⑫ Roll-out Plan'!$O$38</f>
        <v>0</v>
      </c>
      <c r="BE339" s="237" t="n">
        <f aca="false">BE337*$AC$335*BE338*BE$38*'⑫ Roll-out Plan'!$O$38</f>
        <v>0</v>
      </c>
      <c r="BF339" s="237" t="n">
        <f aca="false">BF337*$AC$335*BF338*BF$38*'⑫ Roll-out Plan'!$O$38</f>
        <v>0</v>
      </c>
      <c r="BG339" s="237" t="n">
        <f aca="false">BG337*$AC$335*BG338*BG$38*'⑫ Roll-out Plan'!$O$38</f>
        <v>0</v>
      </c>
      <c r="BH339" s="237" t="n">
        <f aca="false">BH337*$AC$335*BH338*BH$38*'⑫ Roll-out Plan'!$O$38</f>
        <v>0</v>
      </c>
      <c r="BI339" s="237" t="n">
        <f aca="false">BI337*$AC$335*BI338*BI$38*'⑫ Roll-out Plan'!$O$38</f>
        <v>0</v>
      </c>
      <c r="BJ339" s="237" t="n">
        <f aca="false">BJ337*$AC$335*BJ338*BJ$38*'⑫ Roll-out Plan'!$O$38</f>
        <v>0</v>
      </c>
      <c r="BK339" s="237" t="n">
        <f aca="false">BK337*$AC$335*BK338*BK$38*'⑫ Roll-out Plan'!$O$38</f>
        <v>0</v>
      </c>
      <c r="BL339" s="237" t="n">
        <f aca="false">BL337*$AC$335*BL338*BL$38*'⑫ Roll-out Plan'!$O$38</f>
        <v>0</v>
      </c>
      <c r="BM339" s="237" t="n">
        <f aca="false">BM337*$AC$335*BM338*BM$38*'⑫ Roll-out Plan'!$O$38</f>
        <v>0</v>
      </c>
      <c r="BN339" s="237" t="n">
        <f aca="false">BN337*$AC$335*BN338*BN$38*'⑫ Roll-out Plan'!$O$38</f>
        <v>0</v>
      </c>
      <c r="BO339" s="237" t="n">
        <f aca="false">BO337*$AC$335*BO338*BO$38*'⑫ Roll-out Plan'!$O$38</f>
        <v>0</v>
      </c>
      <c r="BP339" s="237" t="n">
        <f aca="false">BP337*$AC$335*BP338*BP$38*'⑫ Roll-out Plan'!$O$38</f>
        <v>0</v>
      </c>
      <c r="BQ339" s="237" t="n">
        <f aca="false">BQ337*$AC$335*BQ338*BQ$38*'⑫ Roll-out Plan'!$O$38</f>
        <v>0</v>
      </c>
      <c r="BR339" s="237" t="n">
        <f aca="false">BR337*$AC$335*BR338*BR$38*'⑫ Roll-out Plan'!$O$38</f>
        <v>0</v>
      </c>
      <c r="BS339" s="237" t="n">
        <f aca="false">BS337*$AC$335*BS338*BS$38*'⑫ Roll-out Plan'!$O$38</f>
        <v>0</v>
      </c>
      <c r="BT339" s="237" t="n">
        <f aca="false">BT337*$AC$335*BT338*BT$38*'⑫ Roll-out Plan'!$O$38</f>
        <v>0</v>
      </c>
      <c r="BU339" s="237" t="n">
        <f aca="false">BU337*$AC$335*BU338*BU$38*'⑫ Roll-out Plan'!$O$38</f>
        <v>0</v>
      </c>
      <c r="BV339" s="237" t="n">
        <f aca="false">BV337*$AC$335*BV338*BV$38*'⑫ Roll-out Plan'!$O$38</f>
        <v>0</v>
      </c>
      <c r="BW339" s="237" t="n">
        <f aca="false">BW337*$AC$335*BW338*BW$38*'⑫ Roll-out Plan'!$O$38</f>
        <v>0</v>
      </c>
      <c r="BX339" s="237" t="n">
        <f aca="false">BX337*$AC$335*BX338*BX$38*'⑫ Roll-out Plan'!$O$38</f>
        <v>0</v>
      </c>
      <c r="BY339" s="237" t="n">
        <f aca="false">BY337*$AC$335*BY338*BY$38*'⑫ Roll-out Plan'!$O$38</f>
        <v>0</v>
      </c>
      <c r="BZ339" s="237" t="n">
        <f aca="false">BZ337*$AC$335*BZ338*BZ$38*'⑫ Roll-out Plan'!$O$38</f>
        <v>0</v>
      </c>
      <c r="CA339" s="237" t="n">
        <f aca="false">CA337*$AC$335*CA338*CA$38*'⑫ Roll-out Plan'!$O$38</f>
        <v>0</v>
      </c>
      <c r="CB339" s="237" t="n">
        <f aca="false">CB337*$AC$335*CB338*CB$38*'⑫ Roll-out Plan'!$O$38</f>
        <v>0</v>
      </c>
      <c r="CC339" s="237" t="n">
        <f aca="false">CC337*$AC$335*CC338*CC$38*'⑫ Roll-out Plan'!$O$38</f>
        <v>0</v>
      </c>
      <c r="CD339" s="237" t="n">
        <f aca="false">CD337*$AC$335*CD338*CD$38*'⑫ Roll-out Plan'!$O$38</f>
        <v>0</v>
      </c>
      <c r="CE339" s="237" t="n">
        <f aca="false">CE337*$AC$335*CE338*CE$38*'⑫ Roll-out Plan'!$O$38</f>
        <v>0</v>
      </c>
      <c r="CF339" s="237" t="n">
        <f aca="false">CF337*$AC$335*CF338*CF$38*'⑫ Roll-out Plan'!$O$38</f>
        <v>0</v>
      </c>
      <c r="CG339" s="237" t="n">
        <f aca="false">CG337*$AC$335*CG338*CG$38*'⑫ Roll-out Plan'!$O$38</f>
        <v>0</v>
      </c>
      <c r="CH339" s="237" t="n">
        <f aca="false">CH337*$AC$335*CH338*CH$38*'⑫ Roll-out Plan'!$O$38</f>
        <v>0</v>
      </c>
      <c r="CI339" s="237" t="n">
        <f aca="false">CI337*$AC$335*CI338*CI$38*'⑫ Roll-out Plan'!$O$38</f>
        <v>0</v>
      </c>
      <c r="CJ339" s="237" t="n">
        <f aca="false">CJ337*$AC$335*CJ338*CJ$38*'⑫ Roll-out Plan'!$O$38</f>
        <v>0</v>
      </c>
      <c r="CK339" s="237" t="n">
        <f aca="false">CK337*$AC$335*CK338*CK$38*'⑫ Roll-out Plan'!$O$38</f>
        <v>0</v>
      </c>
      <c r="CL339" s="237" t="n">
        <f aca="false">CL337*$AC$335*CL338*CL$38*'⑫ Roll-out Plan'!$O$38</f>
        <v>0</v>
      </c>
      <c r="CM339" s="237" t="n">
        <f aca="false">CM337*$AC$335*CM338*CM$38*'⑫ Roll-out Plan'!$O$38</f>
        <v>0</v>
      </c>
      <c r="CN339" s="237" t="n">
        <f aca="false">CN337*$AC$335*CN338*CN$38*'⑫ Roll-out Plan'!$O$38</f>
        <v>0</v>
      </c>
      <c r="CO339" s="237" t="n">
        <f aca="false">CO337*$AC$335*CO338*CO$38*'⑫ Roll-out Plan'!$O$38</f>
        <v>0</v>
      </c>
      <c r="CP339" s="237" t="n">
        <f aca="false">CP337*$AC$335*CP338*CP$38*'⑫ Roll-out Plan'!$O$38</f>
        <v>0</v>
      </c>
      <c r="CQ339" s="237" t="n">
        <f aca="false">CQ337*$AC$335*CQ338*CQ$38*'⑫ Roll-out Plan'!$O$38</f>
        <v>0</v>
      </c>
      <c r="CR339" s="237" t="n">
        <f aca="false">CR337*$AC$335*CR338*CR$38*'⑫ Roll-out Plan'!$O$38</f>
        <v>0</v>
      </c>
      <c r="CS339" s="237" t="n">
        <f aca="false">CS337*$AC$335*CS338*CS$38*'⑫ Roll-out Plan'!$O$38</f>
        <v>0</v>
      </c>
      <c r="CT339" s="237" t="n">
        <f aca="false">CT337*$AC$335*CT338*CT$38*'⑫ Roll-out Plan'!$O$38</f>
        <v>0</v>
      </c>
      <c r="CU339" s="237" t="n">
        <f aca="false">CU337*$AC$335*CU338*CU$38*'⑫ Roll-out Plan'!$O$38</f>
        <v>0</v>
      </c>
      <c r="CV339" s="237" t="n">
        <f aca="false">CV337*$AC$335*CV338*CV$38*'⑫ Roll-out Plan'!$O$38</f>
        <v>0</v>
      </c>
      <c r="CW339" s="237" t="n">
        <f aca="false">CW337*$AC$335*CW338*CW$38*'⑫ Roll-out Plan'!$O$38</f>
        <v>0</v>
      </c>
      <c r="CX339" s="237" t="n">
        <f aca="false">CX337*$AC$335*CX338*CX$38*'⑫ Roll-out Plan'!$O$38</f>
        <v>0</v>
      </c>
      <c r="CY339" s="237" t="n">
        <f aca="false">CY337*$AC$335*CY338*CY$38*'⑫ Roll-out Plan'!$O$38</f>
        <v>0</v>
      </c>
      <c r="CZ339" s="237" t="n">
        <f aca="false">CZ337*$AC$335*CZ338*CZ$38*'⑫ Roll-out Plan'!$O$38</f>
        <v>0</v>
      </c>
      <c r="DA339" s="237" t="n">
        <f aca="false">DA337*$AC$335*DA338*DA$38*'⑫ Roll-out Plan'!$O$38</f>
        <v>0</v>
      </c>
      <c r="DB339" s="237" t="n">
        <f aca="false">DB337*$AC$335*DB338*DB$38*'⑫ Roll-out Plan'!$O$38</f>
        <v>0</v>
      </c>
      <c r="DC339" s="237" t="n">
        <f aca="false">DC337*$AC$335*DC338*DC$38*'⑫ Roll-out Plan'!$O$38</f>
        <v>0</v>
      </c>
      <c r="DD339" s="237" t="n">
        <f aca="false">DD337*$AC$335*DD338*DD$38*'⑫ Roll-out Plan'!$O$38</f>
        <v>0</v>
      </c>
      <c r="DE339" s="237" t="n">
        <f aca="false">DE337*$AC$335*DE338*DE$38*'⑫ Roll-out Plan'!$O$38</f>
        <v>0</v>
      </c>
      <c r="DF339" s="237" t="n">
        <f aca="false">DF337*$AC$335*DF338*DF$38*'⑫ Roll-out Plan'!$O$38</f>
        <v>0</v>
      </c>
      <c r="DG339" s="237" t="n">
        <f aca="false">DG337*$AC$335*DG338*DG$38*'⑫ Roll-out Plan'!$O$38</f>
        <v>0</v>
      </c>
      <c r="DH339" s="237" t="n">
        <f aca="false">DH337*$AC$335*DH338*DH$38*'⑫ Roll-out Plan'!$O$38</f>
        <v>0</v>
      </c>
      <c r="DI339" s="237" t="n">
        <f aca="false">DI337*$AC$335*DI338*DI$38*'⑫ Roll-out Plan'!$O$38</f>
        <v>0</v>
      </c>
      <c r="DJ339" s="237" t="n">
        <f aca="false">DJ337*$AC$335*DJ338*DJ$38*'⑫ Roll-out Plan'!$O$38</f>
        <v>0</v>
      </c>
      <c r="DK339" s="237" t="n">
        <f aca="false">DK337*$AC$335*DK338*DK$38*'⑫ Roll-out Plan'!$O$38</f>
        <v>0</v>
      </c>
      <c r="DL339" s="237" t="n">
        <f aca="false">DL337*$AC$335*DL338*DL$38*'⑫ Roll-out Plan'!$O$38</f>
        <v>0</v>
      </c>
      <c r="DM339" s="237" t="n">
        <f aca="false">DM337*$AC$335*DM338*DM$38*'⑫ Roll-out Plan'!$O$38</f>
        <v>0</v>
      </c>
      <c r="DN339" s="237" t="n">
        <f aca="false">DN337*$AC$335*DN338*DN$38*'⑫ Roll-out Plan'!$O$38</f>
        <v>0</v>
      </c>
      <c r="DO339" s="237" t="n">
        <f aca="false">DO337*$AC$335*DO338*DO$38*'⑫ Roll-out Plan'!$O$38</f>
        <v>0</v>
      </c>
      <c r="DP339" s="237" t="n">
        <f aca="false">DP337*$AC$335*DP338*DP$38*'⑫ Roll-out Plan'!$O$38</f>
        <v>0</v>
      </c>
      <c r="DQ339" s="237" t="n">
        <f aca="false">DQ337*$AC$335*DQ338*DQ$38*'⑫ Roll-out Plan'!$O$38</f>
        <v>0</v>
      </c>
      <c r="DR339" s="237" t="n">
        <f aca="false">DR337*$AC$335*DR338*DR$38*'⑫ Roll-out Plan'!$O$38</f>
        <v>0</v>
      </c>
      <c r="DS339" s="237" t="n">
        <f aca="false">DS337*$AC$335*DS338*DS$38*'⑫ Roll-out Plan'!$O$38</f>
        <v>0</v>
      </c>
      <c r="DT339" s="237" t="n">
        <f aca="false">DT337*$AC$335*DT338*DT$38*'⑫ Roll-out Plan'!$O$38</f>
        <v>0</v>
      </c>
      <c r="DU339" s="237" t="n">
        <f aca="false">DU337*$AC$335*DU338*DU$38*'⑫ Roll-out Plan'!$O$38</f>
        <v>0</v>
      </c>
      <c r="DV339" s="237" t="n">
        <f aca="false">DV337*$AC$335*DV338*DV$38*'⑫ Roll-out Plan'!$O$38</f>
        <v>0</v>
      </c>
      <c r="DW339" s="237" t="n">
        <f aca="false">DW337*$AC$335*DW338*DW$38*'⑫ Roll-out Plan'!$O$38</f>
        <v>0</v>
      </c>
      <c r="DX339" s="237" t="n">
        <f aca="false">DX337*$AC$335*DX338*DX$38*'⑫ Roll-out Plan'!$O$38</f>
        <v>0</v>
      </c>
      <c r="DY339" s="237" t="n">
        <f aca="false">DY337*$AC$335*DY338*DY$38*'⑫ Roll-out Plan'!$O$38</f>
        <v>0</v>
      </c>
      <c r="DZ339" s="237" t="n">
        <f aca="false">DZ337*$AC$335*DZ338*DZ$38*'⑫ Roll-out Plan'!$O$38</f>
        <v>0</v>
      </c>
      <c r="EA339" s="237" t="n">
        <f aca="false">EA337*$AC$335*EA338*EA$38*'⑫ Roll-out Plan'!$O$38</f>
        <v>0</v>
      </c>
      <c r="EB339" s="237" t="n">
        <f aca="false">EB337*$AC$335*EB338*EB$38*'⑫ Roll-out Plan'!$O$38</f>
        <v>0</v>
      </c>
      <c r="EC339" s="237" t="n">
        <f aca="false">EC337*$AC$335*EC338*EC$38*'⑫ Roll-out Plan'!$O$38</f>
        <v>0</v>
      </c>
      <c r="ED339" s="237" t="n">
        <f aca="false">ED337*$AC$335*ED338*ED$38*'⑫ Roll-out Plan'!$O$38</f>
        <v>21.12</v>
      </c>
      <c r="EE339" s="237" t="n">
        <f aca="false">EE337*$AC$335*EE338*EE$38*'⑫ Roll-out Plan'!$O$38</f>
        <v>17.424</v>
      </c>
      <c r="EF339" s="237" t="n">
        <f aca="false">EF337*$AC$335*EF338*EF$38*'⑫ Roll-out Plan'!$O$38</f>
        <v>26.928</v>
      </c>
      <c r="EG339" s="237" t="n">
        <f aca="false">EG337*$AC$335*EG338*EG$38*'⑫ Roll-out Plan'!$O$38</f>
        <v>32.076</v>
      </c>
      <c r="EH339" s="237" t="n">
        <f aca="false">EH337*$AC$335*EH338*EH$38*'⑫ Roll-out Plan'!$O$38</f>
        <v>24.354</v>
      </c>
      <c r="EI339" s="237" t="n">
        <f aca="false">EI337*$AC$335*EI338*EI$38*'⑫ Roll-out Plan'!$O$38</f>
        <v>39.556</v>
      </c>
      <c r="EJ339" s="237" t="n">
        <f aca="false">EJ337*$AC$335*EJ338*EJ$38*'⑫ Roll-out Plan'!$O$38</f>
        <v>42.35</v>
      </c>
      <c r="EK339" s="237" t="n">
        <f aca="false">EK337*$AC$335*EK338*EK$38*'⑫ Roll-out Plan'!$O$38</f>
        <v>39.468</v>
      </c>
      <c r="EL339" s="237" t="n">
        <f aca="false">EL337*$AC$335*EL338*EL$38*'⑫ Roll-out Plan'!$O$38</f>
        <v>38.72</v>
      </c>
      <c r="EM339" s="237" t="n">
        <f aca="false">EM337*$AC$335*EM338*EM$38*'⑫ Roll-out Plan'!$O$38</f>
        <v>40.656</v>
      </c>
      <c r="EN339" s="237" t="n">
        <f aca="false">EN337*$AC$335*EN338*EN$38*'⑫ Roll-out Plan'!$O$38</f>
        <v>74.976</v>
      </c>
      <c r="EO339" s="237" t="n">
        <f aca="false">EO337*$AC$335*EO338*EO$38*'⑫ Roll-out Plan'!$O$38</f>
        <v>66.352</v>
      </c>
      <c r="EP339" s="237" t="n">
        <f aca="false">EP337*$AC$335*EP338*EP$38*'⑫ Roll-out Plan'!$O$38</f>
        <v>59.136</v>
      </c>
      <c r="EQ339" s="237" t="n">
        <f aca="false">EQ337*$AC$335*EQ338*EQ$38*'⑫ Roll-out Plan'!$O$38</f>
        <v>47.52</v>
      </c>
      <c r="ER339" s="237" t="n">
        <f aca="false">ER337*$AC$335*ER338*ER$38*'⑫ Roll-out Plan'!$O$38</f>
        <v>67.32</v>
      </c>
      <c r="ES339" s="9" t="n">
        <f aca="false">ES337*$AC$335*ES338*ES$38*'⑫ Roll-out Plan'!$O$38</f>
        <v>89.8128</v>
      </c>
      <c r="ET339" s="9" t="n">
        <f aca="false">ET337*$AC$335*ET338*ET$38*'⑫ Roll-out Plan'!$O$38</f>
        <v>71.4384</v>
      </c>
      <c r="EU339" s="9" t="n">
        <f aca="false">EU337*$AC$335*EU338*EU$38*'⑫ Roll-out Plan'!$O$38</f>
        <v>105.6528</v>
      </c>
      <c r="EV339" s="9" t="n">
        <f aca="false">EV337*$AC$335*EV338*EV$38*'⑫ Roll-out Plan'!$O$38</f>
        <v>103.092</v>
      </c>
      <c r="EW339" s="9" t="n">
        <f aca="false">EW337*$AC$335*EW338*EW$38*'⑫ Roll-out Plan'!$O$38</f>
        <v>86.2224</v>
      </c>
      <c r="EX339" s="9" t="n">
        <f aca="false">EX337*$AC$335*EX338*EX$38*'⑫ Roll-out Plan'!$O$38</f>
        <v>77.088</v>
      </c>
      <c r="EY339" s="9" t="n">
        <f aca="false">EY337*$AC$335*EY338*EY$38*'⑫ Roll-out Plan'!$O$38</f>
        <v>83.16</v>
      </c>
      <c r="EZ339" s="9" t="n">
        <f aca="false">EZ337*$AC$335*EZ338*EZ$38*'⑫ Roll-out Plan'!$O$38</f>
        <v>144.3288</v>
      </c>
      <c r="FA339" s="9" t="n">
        <f aca="false">FA337*$AC$335*FA338*FA$38*'⑫ Roll-out Plan'!$O$38</f>
        <v>120.9648</v>
      </c>
      <c r="FB339" s="9" t="n">
        <f aca="false">FB337*$AC$335*FB338*FB$38*'⑫ Roll-out Plan'!$O$38</f>
        <v>100.1088</v>
      </c>
      <c r="FC339" s="9" t="n">
        <f aca="false">FC337*$AC$335*FC338*FC$38*'⑫ Roll-out Plan'!$O$38</f>
        <v>76.032</v>
      </c>
      <c r="FD339" s="9" t="n">
        <f aca="false">FD337*$AC$335*FD338*FD$38*'⑫ Roll-out Plan'!$O$38</f>
        <v>110.4048</v>
      </c>
      <c r="FE339" s="9" t="n">
        <f aca="false">FE337*$AC$335*FE338*FE$38*'⑫ Roll-out Plan'!$O$38</f>
        <v>119.7504</v>
      </c>
      <c r="FF339" s="9" t="n">
        <f aca="false">FF337*$AC$335*FF338*FF$38*'⑫ Roll-out Plan'!$O$38</f>
        <v>92.004</v>
      </c>
      <c r="FG339" s="9" t="n">
        <f aca="false">FG337*$AC$335*FG338*FG$38*'⑫ Roll-out Plan'!$O$38</f>
        <v>130.152</v>
      </c>
      <c r="FH339" s="9" t="n">
        <f aca="false">FH337*$AC$335*FH338*FH$38*'⑫ Roll-out Plan'!$O$38</f>
        <v>124.872</v>
      </c>
      <c r="FI339" s="9" t="n">
        <f aca="false">FI337*$AC$335*FI338*FI$38*'⑫ Roll-out Plan'!$O$38</f>
        <v>106.8672</v>
      </c>
      <c r="FJ339" s="9" t="n">
        <f aca="false">FJ337*$AC$335*FJ338*FJ$38*'⑫ Roll-out Plan'!$O$38</f>
        <v>93.984</v>
      </c>
      <c r="FK339" s="9" t="n">
        <f aca="false">FK337*$AC$335*FK338*FK$38*'⑫ Roll-out Plan'!$O$38</f>
        <v>99.792</v>
      </c>
      <c r="FL339" s="9" t="n">
        <f aca="false">FL337*$AC$335*FL338*FL$38*'⑫ Roll-out Plan'!$O$38</f>
        <v>168.696</v>
      </c>
      <c r="FM339" s="9" t="n">
        <f aca="false">FM337*$AC$335*FM338*FM$38*'⑫ Roll-out Plan'!$O$38</f>
        <v>140.8704</v>
      </c>
      <c r="FN339" s="9" t="n">
        <f aca="false">FN337*$AC$335*FN338*FN$38*'⑫ Roll-out Plan'!$O$38</f>
        <v>117.8496</v>
      </c>
      <c r="FO339" s="9" t="n">
        <f aca="false">FO337*$AC$335*FO338*FO$38*'⑫ Roll-out Plan'!$O$38</f>
        <v>89.3376</v>
      </c>
      <c r="FP339" s="9" t="n">
        <f aca="false">FP337*$AC$335*FP338*FP$38*'⑫ Roll-out Plan'!$O$38</f>
        <v>127.908</v>
      </c>
    </row>
    <row r="340" customFormat="false" ht="15" hidden="false" customHeight="false" outlineLevel="2" collapsed="false">
      <c r="B340" s="47" t="s">
        <v>877</v>
      </c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237" t="n">
        <f aca="true">IFERROR(SUMPRODUCT(OFFSET($BJ$31,0,1-MIN(60,COLUMN()-29),1,MIN(60,COLUMN()-29)),OFFSET(AC339,0,-MIN(60,COLUMN()-29),1,MIN(60,COLUMN()-29))),0)</f>
        <v>0</v>
      </c>
      <c r="AD340" s="237" t="n">
        <f aca="true">IFERROR(SUMPRODUCT(OFFSET($BJ$31,0,1-MIN(60,COLUMN()-29),1,MIN(60,COLUMN()-29)),OFFSET(AD339,0,-MIN(60,COLUMN()-29),1,MIN(60,COLUMN()-29))),0)</f>
        <v>0</v>
      </c>
      <c r="AE340" s="237" t="n">
        <f aca="true">IFERROR(SUMPRODUCT(OFFSET($BJ$31,0,1-MIN(60,COLUMN()-29),1,MIN(60,COLUMN()-29)),OFFSET(AE339,0,-MIN(60,COLUMN()-29),1,MIN(60,COLUMN()-29))),0)</f>
        <v>0</v>
      </c>
      <c r="AF340" s="237" t="n">
        <f aca="true">IFERROR(SUMPRODUCT(OFFSET($BJ$31,0,1-MIN(60,COLUMN()-29),1,MIN(60,COLUMN()-29)),OFFSET(AF339,0,-MIN(60,COLUMN()-29),1,MIN(60,COLUMN()-29))),0)</f>
        <v>0</v>
      </c>
      <c r="AG340" s="237" t="n">
        <f aca="true">IFERROR(SUMPRODUCT(OFFSET($BJ$31,0,1-MIN(60,COLUMN()-29),1,MIN(60,COLUMN()-29)),OFFSET(AG339,0,-MIN(60,COLUMN()-29),1,MIN(60,COLUMN()-29))),0)</f>
        <v>0</v>
      </c>
      <c r="AH340" s="237" t="n">
        <f aca="true">IFERROR(SUMPRODUCT(OFFSET($BJ$31,0,1-MIN(60,COLUMN()-29),1,MIN(60,COLUMN()-29)),OFFSET(AH339,0,-MIN(60,COLUMN()-29),1,MIN(60,COLUMN()-29))),0)</f>
        <v>0</v>
      </c>
      <c r="AI340" s="237" t="n">
        <f aca="true">IFERROR(SUMPRODUCT(OFFSET($BJ$31,0,1-MIN(60,COLUMN()-29),1,MIN(60,COLUMN()-29)),OFFSET(AI339,0,-MIN(60,COLUMN()-29),1,MIN(60,COLUMN()-29))),0)</f>
        <v>0</v>
      </c>
      <c r="AJ340" s="237" t="n">
        <f aca="true">IFERROR(SUMPRODUCT(OFFSET($BJ$31,0,1-MIN(60,COLUMN()-29),1,MIN(60,COLUMN()-29)),OFFSET(AJ339,0,-MIN(60,COLUMN()-29),1,MIN(60,COLUMN()-29))),0)</f>
        <v>0</v>
      </c>
      <c r="AK340" s="237" t="n">
        <f aca="true">IFERROR(SUMPRODUCT(OFFSET($BJ$31,0,1-MIN(60,COLUMN()-29),1,MIN(60,COLUMN()-29)),OFFSET(AK339,0,-MIN(60,COLUMN()-29),1,MIN(60,COLUMN()-29))),0)</f>
        <v>0</v>
      </c>
      <c r="AL340" s="237" t="n">
        <f aca="true">IFERROR(SUMPRODUCT(OFFSET($BJ$31,0,1-MIN(60,COLUMN()-29),1,MIN(60,COLUMN()-29)),OFFSET(AL339,0,-MIN(60,COLUMN()-29),1,MIN(60,COLUMN()-29))),0)</f>
        <v>0</v>
      </c>
      <c r="AM340" s="237" t="n">
        <f aca="true">IFERROR(SUMPRODUCT(OFFSET($BJ$31,0,1-MIN(60,COLUMN()-29),1,MIN(60,COLUMN()-29)),OFFSET(AM339,0,-MIN(60,COLUMN()-29),1,MIN(60,COLUMN()-29))),0)</f>
        <v>0</v>
      </c>
      <c r="AN340" s="237" t="n">
        <f aca="true">IFERROR(SUMPRODUCT(OFFSET($BJ$31,0,1-MIN(60,COLUMN()-29),1,MIN(60,COLUMN()-29)),OFFSET(AN339,0,-MIN(60,COLUMN()-29),1,MIN(60,COLUMN()-29))),0)</f>
        <v>0</v>
      </c>
      <c r="AO340" s="237" t="n">
        <f aca="true">IFERROR(SUMPRODUCT(OFFSET($BJ$31,0,1-MIN(60,COLUMN()-29),1,MIN(60,COLUMN()-29)),OFFSET(AO339,0,-MIN(60,COLUMN()-29),1,MIN(60,COLUMN()-29))),0)</f>
        <v>0</v>
      </c>
      <c r="AP340" s="237" t="n">
        <f aca="true">IFERROR(SUMPRODUCT(OFFSET($BJ$31,0,1-MIN(60,COLUMN()-29),1,MIN(60,COLUMN()-29)),OFFSET(AP339,0,-MIN(60,COLUMN()-29),1,MIN(60,COLUMN()-29))),0)</f>
        <v>0</v>
      </c>
      <c r="AQ340" s="237" t="n">
        <f aca="true">IFERROR(SUMPRODUCT(OFFSET($BJ$31,0,1-MIN(60,COLUMN()-29),1,MIN(60,COLUMN()-29)),OFFSET(AQ339,0,-MIN(60,COLUMN()-29),1,MIN(60,COLUMN()-29))),0)</f>
        <v>0</v>
      </c>
      <c r="AR340" s="237" t="n">
        <f aca="true">IFERROR(SUMPRODUCT(OFFSET($BJ$31,0,1-MIN(60,COLUMN()-29),1,MIN(60,COLUMN()-29)),OFFSET(AR339,0,-MIN(60,COLUMN()-29),1,MIN(60,COLUMN()-29))),0)</f>
        <v>0</v>
      </c>
      <c r="AS340" s="237" t="n">
        <f aca="true">IFERROR(SUMPRODUCT(OFFSET($BJ$31,0,1-MIN(60,COLUMN()-29),1,MIN(60,COLUMN()-29)),OFFSET(AS339,0,-MIN(60,COLUMN()-29),1,MIN(60,COLUMN()-29))),0)</f>
        <v>0</v>
      </c>
      <c r="AT340" s="237" t="n">
        <f aca="true">IFERROR(SUMPRODUCT(OFFSET($BJ$31,0,1-MIN(60,COLUMN()-29),1,MIN(60,COLUMN()-29)),OFFSET(AT339,0,-MIN(60,COLUMN()-29),1,MIN(60,COLUMN()-29))),0)</f>
        <v>0</v>
      </c>
      <c r="AU340" s="237" t="n">
        <f aca="true">IFERROR(SUMPRODUCT(OFFSET($BJ$31,0,1-MIN(60,COLUMN()-29),1,MIN(60,COLUMN()-29)),OFFSET(AU339,0,-MIN(60,COLUMN()-29),1,MIN(60,COLUMN()-29))),0)</f>
        <v>0</v>
      </c>
      <c r="AV340" s="237" t="n">
        <f aca="true">IFERROR(SUMPRODUCT(OFFSET($BJ$31,0,1-MIN(60,COLUMN()-29),1,MIN(60,COLUMN()-29)),OFFSET(AV339,0,-MIN(60,COLUMN()-29),1,MIN(60,COLUMN()-29))),0)</f>
        <v>0</v>
      </c>
      <c r="AW340" s="237" t="n">
        <f aca="true">IFERROR(SUMPRODUCT(OFFSET($BJ$31,0,1-MIN(60,COLUMN()-29),1,MIN(60,COLUMN()-29)),OFFSET(AW339,0,-MIN(60,COLUMN()-29),1,MIN(60,COLUMN()-29))),0)</f>
        <v>0</v>
      </c>
      <c r="AX340" s="237" t="n">
        <f aca="true">IFERROR(SUMPRODUCT(OFFSET($BJ$31,0,1-MIN(60,COLUMN()-29),1,MIN(60,COLUMN()-29)),OFFSET(AX339,0,-MIN(60,COLUMN()-29),1,MIN(60,COLUMN()-29))),0)</f>
        <v>0</v>
      </c>
      <c r="AY340" s="237" t="n">
        <f aca="true">IFERROR(SUMPRODUCT(OFFSET($BJ$31,0,1-MIN(60,COLUMN()-29),1,MIN(60,COLUMN()-29)),OFFSET(AY339,0,-MIN(60,COLUMN()-29),1,MIN(60,COLUMN()-29))),0)</f>
        <v>0</v>
      </c>
      <c r="AZ340" s="237" t="n">
        <f aca="true">IFERROR(SUMPRODUCT(OFFSET($BJ$31,0,1-MIN(60,COLUMN()-29),1,MIN(60,COLUMN()-29)),OFFSET(AZ339,0,-MIN(60,COLUMN()-29),1,MIN(60,COLUMN()-29))),0)</f>
        <v>0</v>
      </c>
      <c r="BA340" s="237" t="n">
        <f aca="true">IFERROR(SUMPRODUCT(OFFSET($BJ$31,0,1-MIN(60,COLUMN()-29),1,MIN(60,COLUMN()-29)),OFFSET(BA339,0,-MIN(60,COLUMN()-29),1,MIN(60,COLUMN()-29))),0)</f>
        <v>0</v>
      </c>
      <c r="BB340" s="237" t="n">
        <f aca="true">IFERROR(SUMPRODUCT(OFFSET($BJ$31,0,1-MIN(60,COLUMN()-29),1,MIN(60,COLUMN()-29)),OFFSET(BB339,0,-MIN(60,COLUMN()-29),1,MIN(60,COLUMN()-29))),0)</f>
        <v>0</v>
      </c>
      <c r="BC340" s="237" t="n">
        <f aca="true">IFERROR(SUMPRODUCT(OFFSET($BJ$31,0,1-MIN(60,COLUMN()-29),1,MIN(60,COLUMN()-29)),OFFSET(BC339,0,-MIN(60,COLUMN()-29),1,MIN(60,COLUMN()-29))),0)</f>
        <v>0</v>
      </c>
      <c r="BD340" s="237" t="n">
        <f aca="true">IFERROR(SUMPRODUCT(OFFSET($BJ$31,0,1-MIN(60,COLUMN()-29),1,MIN(60,COLUMN()-29)),OFFSET(BD339,0,-MIN(60,COLUMN()-29),1,MIN(60,COLUMN()-29))),0)</f>
        <v>0</v>
      </c>
      <c r="BE340" s="237" t="n">
        <f aca="true">IFERROR(SUMPRODUCT(OFFSET($BJ$31,0,1-MIN(60,COLUMN()-29),1,MIN(60,COLUMN()-29)),OFFSET(BE339,0,-MIN(60,COLUMN()-29),1,MIN(60,COLUMN()-29))),0)</f>
        <v>0</v>
      </c>
      <c r="BF340" s="237" t="n">
        <f aca="true">IFERROR(SUMPRODUCT(OFFSET($BJ$31,0,1-MIN(60,COLUMN()-29),1,MIN(60,COLUMN()-29)),OFFSET(BF339,0,-MIN(60,COLUMN()-29),1,MIN(60,COLUMN()-29))),0)</f>
        <v>0</v>
      </c>
      <c r="BG340" s="237" t="n">
        <f aca="true">IFERROR(SUMPRODUCT(OFFSET($BJ$31,0,1-MIN(60,COLUMN()-29),1,MIN(60,COLUMN()-29)),OFFSET(BG339,0,-MIN(60,COLUMN()-29),1,MIN(60,COLUMN()-29))),0)</f>
        <v>0</v>
      </c>
      <c r="BH340" s="237" t="n">
        <f aca="true">IFERROR(SUMPRODUCT(OFFSET($BJ$31,0,1-MIN(60,COLUMN()-29),1,MIN(60,COLUMN()-29)),OFFSET(BH339,0,-MIN(60,COLUMN()-29),1,MIN(60,COLUMN()-29))),0)</f>
        <v>0</v>
      </c>
      <c r="BI340" s="237" t="n">
        <f aca="true">IFERROR(SUMPRODUCT(OFFSET($BJ$31,0,1-MIN(60,COLUMN()-29),1,MIN(60,COLUMN()-29)),OFFSET(BI339,0,-MIN(60,COLUMN()-29),1,MIN(60,COLUMN()-29))),0)</f>
        <v>0</v>
      </c>
      <c r="BJ340" s="237" t="n">
        <f aca="true">IFERROR(SUMPRODUCT(OFFSET($BJ$31,0,1-MIN(60,COLUMN()-29),1,MIN(60,COLUMN()-29)),OFFSET(BJ339,0,-MIN(60,COLUMN()-29),1,MIN(60,COLUMN()-29))),0)</f>
        <v>0</v>
      </c>
      <c r="BK340" s="237" t="n">
        <f aca="true">IFERROR(SUMPRODUCT(OFFSET($BJ$31,0,1-MIN(60,COLUMN()-29),1,MIN(60,COLUMN()-29)),OFFSET(BK339,0,-MIN(60,COLUMN()-29),1,MIN(60,COLUMN()-29))),0)</f>
        <v>0</v>
      </c>
      <c r="BL340" s="237" t="n">
        <f aca="true">IFERROR(SUMPRODUCT(OFFSET($BJ$31,0,1-MIN(60,COLUMN()-29),1,MIN(60,COLUMN()-29)),OFFSET(BL339,0,-MIN(60,COLUMN()-29),1,MIN(60,COLUMN()-29))),0)</f>
        <v>0</v>
      </c>
      <c r="BM340" s="237" t="n">
        <f aca="true">IFERROR(SUMPRODUCT(OFFSET($BJ$31,0,1-MIN(60,COLUMN()-29),1,MIN(60,COLUMN()-29)),OFFSET(BM339,0,-MIN(60,COLUMN()-29),1,MIN(60,COLUMN()-29))),0)</f>
        <v>0</v>
      </c>
      <c r="BN340" s="237" t="n">
        <f aca="true">IFERROR(SUMPRODUCT(OFFSET($BJ$31,0,1-MIN(60,COLUMN()-29),1,MIN(60,COLUMN()-29)),OFFSET(BN339,0,-MIN(60,COLUMN()-29),1,MIN(60,COLUMN()-29))),0)</f>
        <v>0</v>
      </c>
      <c r="BO340" s="237" t="n">
        <f aca="true">IFERROR(SUMPRODUCT(OFFSET($BJ$31,0,1-MIN(60,COLUMN()-29),1,MIN(60,COLUMN()-29)),OFFSET(BO339,0,-MIN(60,COLUMN()-29),1,MIN(60,COLUMN()-29))),0)</f>
        <v>0</v>
      </c>
      <c r="BP340" s="237" t="n">
        <f aca="true">IFERROR(SUMPRODUCT(OFFSET($BJ$31,0,1-MIN(60,COLUMN()-29),1,MIN(60,COLUMN()-29)),OFFSET(BP339,0,-MIN(60,COLUMN()-29),1,MIN(60,COLUMN()-29))),0)</f>
        <v>0</v>
      </c>
      <c r="BQ340" s="237" t="n">
        <f aca="true">IFERROR(SUMPRODUCT(OFFSET($BJ$31,0,1-MIN(60,COLUMN()-29),1,MIN(60,COLUMN()-29)),OFFSET(BQ339,0,-MIN(60,COLUMN()-29),1,MIN(60,COLUMN()-29))),0)</f>
        <v>0</v>
      </c>
      <c r="BR340" s="237" t="n">
        <f aca="true">IFERROR(SUMPRODUCT(OFFSET($BJ$31,0,1-MIN(60,COLUMN()-29),1,MIN(60,COLUMN()-29)),OFFSET(BR339,0,-MIN(60,COLUMN()-29),1,MIN(60,COLUMN()-29))),0)</f>
        <v>0</v>
      </c>
      <c r="BS340" s="237" t="n">
        <f aca="true">IFERROR(SUMPRODUCT(OFFSET($BJ$31,0,1-MIN(60,COLUMN()-29),1,MIN(60,COLUMN()-29)),OFFSET(BS339,0,-MIN(60,COLUMN()-29),1,MIN(60,COLUMN()-29))),0)</f>
        <v>0</v>
      </c>
      <c r="BT340" s="237" t="n">
        <f aca="true">IFERROR(SUMPRODUCT(OFFSET($BJ$31,0,1-MIN(60,COLUMN()-29),1,MIN(60,COLUMN()-29)),OFFSET(BT339,0,-MIN(60,COLUMN()-29),1,MIN(60,COLUMN()-29))),0)</f>
        <v>0</v>
      </c>
      <c r="BU340" s="237" t="n">
        <f aca="true">IFERROR(SUMPRODUCT(OFFSET($BJ$31,0,1-MIN(60,COLUMN()-29),1,MIN(60,COLUMN()-29)),OFFSET(BU339,0,-MIN(60,COLUMN()-29),1,MIN(60,COLUMN()-29))),0)</f>
        <v>0</v>
      </c>
      <c r="BV340" s="237" t="n">
        <f aca="true">IFERROR(SUMPRODUCT(OFFSET($BJ$31,0,1-MIN(60,COLUMN()-29),1,MIN(60,COLUMN()-29)),OFFSET(BV339,0,-MIN(60,COLUMN()-29),1,MIN(60,COLUMN()-29))),0)</f>
        <v>0</v>
      </c>
      <c r="BW340" s="237" t="n">
        <f aca="true">IFERROR(SUMPRODUCT(OFFSET($BJ$31,0,1-MIN(60,COLUMN()-29),1,MIN(60,COLUMN()-29)),OFFSET(BW339,0,-MIN(60,COLUMN()-29),1,MIN(60,COLUMN()-29))),0)</f>
        <v>0</v>
      </c>
      <c r="BX340" s="237" t="n">
        <f aca="true">IFERROR(SUMPRODUCT(OFFSET($BJ$31,0,1-MIN(60,COLUMN()-29),1,MIN(60,COLUMN()-29)),OFFSET(BX339,0,-MIN(60,COLUMN()-29),1,MIN(60,COLUMN()-29))),0)</f>
        <v>0</v>
      </c>
      <c r="BY340" s="237" t="n">
        <f aca="true">IFERROR(SUMPRODUCT(OFFSET($BJ$31,0,1-MIN(60,COLUMN()-29),1,MIN(60,COLUMN()-29)),OFFSET(BY339,0,-MIN(60,COLUMN()-29),1,MIN(60,COLUMN()-29))),0)</f>
        <v>0</v>
      </c>
      <c r="BZ340" s="237" t="n">
        <f aca="true">IFERROR(SUMPRODUCT(OFFSET($BJ$31,0,1-MIN(60,COLUMN()-29),1,MIN(60,COLUMN()-29)),OFFSET(BZ339,0,-MIN(60,COLUMN()-29),1,MIN(60,COLUMN()-29))),0)</f>
        <v>0</v>
      </c>
      <c r="CA340" s="237" t="n">
        <f aca="true">IFERROR(SUMPRODUCT(OFFSET($BJ$31,0,1-MIN(60,COLUMN()-29),1,MIN(60,COLUMN()-29)),OFFSET(CA339,0,-MIN(60,COLUMN()-29),1,MIN(60,COLUMN()-29))),0)</f>
        <v>0</v>
      </c>
      <c r="CB340" s="237" t="n">
        <f aca="true">IFERROR(SUMPRODUCT(OFFSET($BJ$31,0,1-MIN(60,COLUMN()-29),1,MIN(60,COLUMN()-29)),OFFSET(CB339,0,-MIN(60,COLUMN()-29),1,MIN(60,COLUMN()-29))),0)</f>
        <v>0</v>
      </c>
      <c r="CC340" s="237" t="n">
        <f aca="true">IFERROR(SUMPRODUCT(OFFSET($BJ$31,0,1-MIN(60,COLUMN()-29),1,MIN(60,COLUMN()-29)),OFFSET(CC339,0,-MIN(60,COLUMN()-29),1,MIN(60,COLUMN()-29))),0)</f>
        <v>0</v>
      </c>
      <c r="CD340" s="237" t="n">
        <f aca="true">IFERROR(SUMPRODUCT(OFFSET($BJ$31,0,1-MIN(60,COLUMN()-29),1,MIN(60,COLUMN()-29)),OFFSET(CD339,0,-MIN(60,COLUMN()-29),1,MIN(60,COLUMN()-29))),0)</f>
        <v>0</v>
      </c>
      <c r="CE340" s="237" t="n">
        <f aca="true">IFERROR(SUMPRODUCT(OFFSET($BJ$31,0,1-MIN(60,COLUMN()-29),1,MIN(60,COLUMN()-29)),OFFSET(CE339,0,-MIN(60,COLUMN()-29),1,MIN(60,COLUMN()-29))),0)</f>
        <v>0</v>
      </c>
      <c r="CF340" s="237" t="n">
        <f aca="true">IFERROR(SUMPRODUCT(OFFSET($BJ$31,0,1-MIN(60,COLUMN()-29),1,MIN(60,COLUMN()-29)),OFFSET(CF339,0,-MIN(60,COLUMN()-29),1,MIN(60,COLUMN()-29))),0)</f>
        <v>0</v>
      </c>
      <c r="CG340" s="237" t="n">
        <f aca="true">IFERROR(SUMPRODUCT(OFFSET($BJ$31,0,1-MIN(60,COLUMN()-29),1,MIN(60,COLUMN()-29)),OFFSET(CG339,0,-MIN(60,COLUMN()-29),1,MIN(60,COLUMN()-29))),0)</f>
        <v>0</v>
      </c>
      <c r="CH340" s="237" t="n">
        <f aca="true">IFERROR(SUMPRODUCT(OFFSET($BJ$31,0,1-MIN(60,COLUMN()-29),1,MIN(60,COLUMN()-29)),OFFSET(CH339,0,-MIN(60,COLUMN()-29),1,MIN(60,COLUMN()-29))),0)</f>
        <v>0</v>
      </c>
      <c r="CI340" s="237" t="n">
        <f aca="true">IFERROR(SUMPRODUCT(OFFSET($BJ$31,0,1-MIN(60,COLUMN()-29),1,MIN(60,COLUMN()-29)),OFFSET(CI339,0,-MIN(60,COLUMN()-29),1,MIN(60,COLUMN()-29))),0)</f>
        <v>0</v>
      </c>
      <c r="CJ340" s="237" t="n">
        <f aca="true">IFERROR(SUMPRODUCT(OFFSET($BJ$31,0,1-MIN(60,COLUMN()-29),1,MIN(60,COLUMN()-29)),OFFSET(CJ339,0,-MIN(60,COLUMN()-29),1,MIN(60,COLUMN()-29))),0)</f>
        <v>0</v>
      </c>
      <c r="CK340" s="237" t="n">
        <f aca="true">IFERROR(SUMPRODUCT(OFFSET($BJ$31,0,1-MIN(60,COLUMN()-29),1,MIN(60,COLUMN()-29)),OFFSET(CK339,0,-MIN(60,COLUMN()-29),1,MIN(60,COLUMN()-29))),0)</f>
        <v>0</v>
      </c>
      <c r="CL340" s="237" t="n">
        <f aca="true">IFERROR(SUMPRODUCT(OFFSET($BJ$31,0,1-MIN(60,COLUMN()-29),1,MIN(60,COLUMN()-29)),OFFSET(CL339,0,-MIN(60,COLUMN()-29),1,MIN(60,COLUMN()-29))),0)</f>
        <v>0</v>
      </c>
      <c r="CM340" s="237" t="n">
        <f aca="true">IFERROR(SUMPRODUCT(OFFSET($BJ$31,0,1-MIN(60,COLUMN()-29),1,MIN(60,COLUMN()-29)),OFFSET(CM339,0,-MIN(60,COLUMN()-29),1,MIN(60,COLUMN()-29))),0)</f>
        <v>0</v>
      </c>
      <c r="CN340" s="237" t="n">
        <f aca="true">IFERROR(SUMPRODUCT(OFFSET($BJ$31,0,1-MIN(60,COLUMN()-29),1,MIN(60,COLUMN()-29)),OFFSET(CN339,0,-MIN(60,COLUMN()-29),1,MIN(60,COLUMN()-29))),0)</f>
        <v>0</v>
      </c>
      <c r="CO340" s="237" t="n">
        <f aca="true">IFERROR(SUMPRODUCT(OFFSET($BJ$31,0,1-MIN(60,COLUMN()-29),1,MIN(60,COLUMN()-29)),OFFSET(CO339,0,-MIN(60,COLUMN()-29),1,MIN(60,COLUMN()-29))),0)</f>
        <v>0</v>
      </c>
      <c r="CP340" s="237" t="n">
        <f aca="true">IFERROR(SUMPRODUCT(OFFSET($BJ$31,0,1-MIN(60,COLUMN()-29),1,MIN(60,COLUMN()-29)),OFFSET(CP339,0,-MIN(60,COLUMN()-29),1,MIN(60,COLUMN()-29))),0)</f>
        <v>0</v>
      </c>
      <c r="CQ340" s="237" t="n">
        <f aca="true">IFERROR(SUMPRODUCT(OFFSET($BJ$31,0,1-MIN(60,COLUMN()-29),1,MIN(60,COLUMN()-29)),OFFSET(CQ339,0,-MIN(60,COLUMN()-29),1,MIN(60,COLUMN()-29))),0)</f>
        <v>0</v>
      </c>
      <c r="CR340" s="237" t="n">
        <f aca="true">IFERROR(SUMPRODUCT(OFFSET($BJ$31,0,1-MIN(60,COLUMN()-29),1,MIN(60,COLUMN()-29)),OFFSET(CR339,0,-MIN(60,COLUMN()-29),1,MIN(60,COLUMN()-29))),0)</f>
        <v>0</v>
      </c>
      <c r="CS340" s="237" t="n">
        <f aca="true">IFERROR(SUMPRODUCT(OFFSET($BJ$31,0,1-MIN(60,COLUMN()-29),1,MIN(60,COLUMN()-29)),OFFSET(CS339,0,-MIN(60,COLUMN()-29),1,MIN(60,COLUMN()-29))),0)</f>
        <v>0</v>
      </c>
      <c r="CT340" s="237" t="n">
        <f aca="true">IFERROR(SUMPRODUCT(OFFSET($BJ$31,0,1-MIN(60,COLUMN()-29),1,MIN(60,COLUMN()-29)),OFFSET(CT339,0,-MIN(60,COLUMN()-29),1,MIN(60,COLUMN()-29))),0)</f>
        <v>0</v>
      </c>
      <c r="CU340" s="237" t="n">
        <f aca="true">IFERROR(SUMPRODUCT(OFFSET($BJ$31,0,1-MIN(60,COLUMN()-29),1,MIN(60,COLUMN()-29)),OFFSET(CU339,0,-MIN(60,COLUMN()-29),1,MIN(60,COLUMN()-29))),0)</f>
        <v>0</v>
      </c>
      <c r="CV340" s="237" t="n">
        <f aca="true">IFERROR(SUMPRODUCT(OFFSET($BJ$31,0,1-MIN(60,COLUMN()-29),1,MIN(60,COLUMN()-29)),OFFSET(CV339,0,-MIN(60,COLUMN()-29),1,MIN(60,COLUMN()-29))),0)</f>
        <v>0</v>
      </c>
      <c r="CW340" s="237" t="n">
        <f aca="true">IFERROR(SUMPRODUCT(OFFSET($BJ$31,0,1-MIN(60,COLUMN()-29),1,MIN(60,COLUMN()-29)),OFFSET(CW339,0,-MIN(60,COLUMN()-29),1,MIN(60,COLUMN()-29))),0)</f>
        <v>0</v>
      </c>
      <c r="CX340" s="237" t="n">
        <f aca="true">IFERROR(SUMPRODUCT(OFFSET($BJ$31,0,1-MIN(60,COLUMN()-29),1,MIN(60,COLUMN()-29)),OFFSET(CX339,0,-MIN(60,COLUMN()-29),1,MIN(60,COLUMN()-29))),0)</f>
        <v>0</v>
      </c>
      <c r="CY340" s="237" t="n">
        <f aca="true">IFERROR(SUMPRODUCT(OFFSET($BJ$31,0,1-MIN(60,COLUMN()-29),1,MIN(60,COLUMN()-29)),OFFSET(CY339,0,-MIN(60,COLUMN()-29),1,MIN(60,COLUMN()-29))),0)</f>
        <v>0</v>
      </c>
      <c r="CZ340" s="237" t="n">
        <f aca="true">IFERROR(SUMPRODUCT(OFFSET($BJ$31,0,1-MIN(60,COLUMN()-29),1,MIN(60,COLUMN()-29)),OFFSET(CZ339,0,-MIN(60,COLUMN()-29),1,MIN(60,COLUMN()-29))),0)</f>
        <v>0</v>
      </c>
      <c r="DA340" s="237" t="n">
        <f aca="true">IFERROR(SUMPRODUCT(OFFSET($BJ$31,0,1-MIN(60,COLUMN()-29),1,MIN(60,COLUMN()-29)),OFFSET(DA339,0,-MIN(60,COLUMN()-29),1,MIN(60,COLUMN()-29))),0)</f>
        <v>0</v>
      </c>
      <c r="DB340" s="237" t="n">
        <f aca="true">IFERROR(SUMPRODUCT(OFFSET($BJ$31,0,1-MIN(60,COLUMN()-29),1,MIN(60,COLUMN()-29)),OFFSET(DB339,0,-MIN(60,COLUMN()-29),1,MIN(60,COLUMN()-29))),0)</f>
        <v>0</v>
      </c>
      <c r="DC340" s="237" t="n">
        <f aca="true">IFERROR(SUMPRODUCT(OFFSET($BJ$31,0,1-MIN(60,COLUMN()-29),1,MIN(60,COLUMN()-29)),OFFSET(DC339,0,-MIN(60,COLUMN()-29),1,MIN(60,COLUMN()-29))),0)</f>
        <v>0</v>
      </c>
      <c r="DD340" s="237" t="n">
        <f aca="true">IFERROR(SUMPRODUCT(OFFSET($BJ$31,0,1-MIN(60,COLUMN()-29),1,MIN(60,COLUMN()-29)),OFFSET(DD339,0,-MIN(60,COLUMN()-29),1,MIN(60,COLUMN()-29))),0)</f>
        <v>0</v>
      </c>
      <c r="DE340" s="237" t="n">
        <f aca="true">IFERROR(SUMPRODUCT(OFFSET($BJ$31,0,1-MIN(60,COLUMN()-29),1,MIN(60,COLUMN()-29)),OFFSET(DE339,0,-MIN(60,COLUMN()-29),1,MIN(60,COLUMN()-29))),0)</f>
        <v>0</v>
      </c>
      <c r="DF340" s="237" t="n">
        <f aca="true">IFERROR(SUMPRODUCT(OFFSET($BJ$31,0,1-MIN(60,COLUMN()-29),1,MIN(60,COLUMN()-29)),OFFSET(DF339,0,-MIN(60,COLUMN()-29),1,MIN(60,COLUMN()-29))),0)</f>
        <v>0</v>
      </c>
      <c r="DG340" s="237" t="n">
        <f aca="true">IFERROR(SUMPRODUCT(OFFSET($BJ$31,0,1-MIN(60,COLUMN()-29),1,MIN(60,COLUMN()-29)),OFFSET(DG339,0,-MIN(60,COLUMN()-29),1,MIN(60,COLUMN()-29))),0)</f>
        <v>0</v>
      </c>
      <c r="DH340" s="237" t="n">
        <f aca="true">IFERROR(SUMPRODUCT(OFFSET($BJ$31,0,1-MIN(60,COLUMN()-29),1,MIN(60,COLUMN()-29)),OFFSET(DH339,0,-MIN(60,COLUMN()-29),1,MIN(60,COLUMN()-29))),0)</f>
        <v>0</v>
      </c>
      <c r="DI340" s="237" t="n">
        <f aca="true">IFERROR(SUMPRODUCT(OFFSET($BJ$31,0,1-MIN(60,COLUMN()-29),1,MIN(60,COLUMN()-29)),OFFSET(DI339,0,-MIN(60,COLUMN()-29),1,MIN(60,COLUMN()-29))),0)</f>
        <v>0</v>
      </c>
      <c r="DJ340" s="237" t="n">
        <f aca="true">IFERROR(SUMPRODUCT(OFFSET($BJ$31,0,1-MIN(60,COLUMN()-29),1,MIN(60,COLUMN()-29)),OFFSET(DJ339,0,-MIN(60,COLUMN()-29),1,MIN(60,COLUMN()-29))),0)</f>
        <v>0</v>
      </c>
      <c r="DK340" s="237" t="n">
        <f aca="true">IFERROR(SUMPRODUCT(OFFSET($BJ$31,0,1-MIN(60,COLUMN()-29),1,MIN(60,COLUMN()-29)),OFFSET(DK339,0,-MIN(60,COLUMN()-29),1,MIN(60,COLUMN()-29))),0)</f>
        <v>0</v>
      </c>
      <c r="DL340" s="237" t="n">
        <f aca="true">IFERROR(SUMPRODUCT(OFFSET($BJ$31,0,1-MIN(60,COLUMN()-29),1,MIN(60,COLUMN()-29)),OFFSET(DL339,0,-MIN(60,COLUMN()-29),1,MIN(60,COLUMN()-29))),0)</f>
        <v>0</v>
      </c>
      <c r="DM340" s="237" t="n">
        <f aca="true">IFERROR(SUMPRODUCT(OFFSET($BJ$31,0,1-MIN(60,COLUMN()-29),1,MIN(60,COLUMN()-29)),OFFSET(DM339,0,-MIN(60,COLUMN()-29),1,MIN(60,COLUMN()-29))),0)</f>
        <v>0</v>
      </c>
      <c r="DN340" s="237" t="n">
        <f aca="true">IFERROR(SUMPRODUCT(OFFSET($BJ$31,0,1-MIN(60,COLUMN()-29),1,MIN(60,COLUMN()-29)),OFFSET(DN339,0,-MIN(60,COLUMN()-29),1,MIN(60,COLUMN()-29))),0)</f>
        <v>0</v>
      </c>
      <c r="DO340" s="237" t="n">
        <f aca="true">IFERROR(SUMPRODUCT(OFFSET($BJ$31,0,1-MIN(60,COLUMN()-29),1,MIN(60,COLUMN()-29)),OFFSET(DO339,0,-MIN(60,COLUMN()-29),1,MIN(60,COLUMN()-29))),0)</f>
        <v>0</v>
      </c>
      <c r="DP340" s="237" t="n">
        <f aca="true">IFERROR(SUMPRODUCT(OFFSET($BJ$31,0,1-MIN(60,COLUMN()-29),1,MIN(60,COLUMN()-29)),OFFSET(DP339,0,-MIN(60,COLUMN()-29),1,MIN(60,COLUMN()-29))),0)</f>
        <v>0</v>
      </c>
      <c r="DQ340" s="237" t="n">
        <f aca="true">IFERROR(SUMPRODUCT(OFFSET($BJ$31,0,1-MIN(60,COLUMN()-29),1,MIN(60,COLUMN()-29)),OFFSET(DQ339,0,-MIN(60,COLUMN()-29),1,MIN(60,COLUMN()-29))),0)</f>
        <v>0</v>
      </c>
      <c r="DR340" s="237" t="n">
        <f aca="true">IFERROR(SUMPRODUCT(OFFSET($BJ$31,0,1-MIN(60,COLUMN()-29),1,MIN(60,COLUMN()-29)),OFFSET(DR339,0,-MIN(60,COLUMN()-29),1,MIN(60,COLUMN()-29))),0)</f>
        <v>0</v>
      </c>
      <c r="DS340" s="237" t="n">
        <f aca="true">IFERROR(SUMPRODUCT(OFFSET($BJ$31,0,1-MIN(60,COLUMN()-29),1,MIN(60,COLUMN()-29)),OFFSET(DS339,0,-MIN(60,COLUMN()-29),1,MIN(60,COLUMN()-29))),0)</f>
        <v>0</v>
      </c>
      <c r="DT340" s="237" t="n">
        <f aca="true">IFERROR(SUMPRODUCT(OFFSET($BJ$31,0,1-MIN(60,COLUMN()-29),1,MIN(60,COLUMN()-29)),OFFSET(DT339,0,-MIN(60,COLUMN()-29),1,MIN(60,COLUMN()-29))),0)</f>
        <v>0</v>
      </c>
      <c r="DU340" s="237" t="n">
        <f aca="true">IFERROR(SUMPRODUCT(OFFSET($BJ$31,0,1-MIN(60,COLUMN()-29),1,MIN(60,COLUMN()-29)),OFFSET(DU339,0,-MIN(60,COLUMN()-29),1,MIN(60,COLUMN()-29))),0)</f>
        <v>0</v>
      </c>
      <c r="DV340" s="237" t="n">
        <f aca="true">IFERROR(SUMPRODUCT(OFFSET($BJ$31,0,1-MIN(60,COLUMN()-29),1,MIN(60,COLUMN()-29)),OFFSET(DV339,0,-MIN(60,COLUMN()-29),1,MIN(60,COLUMN()-29))),0)</f>
        <v>0</v>
      </c>
      <c r="DW340" s="237" t="n">
        <f aca="true">IFERROR(SUMPRODUCT(OFFSET($BJ$31,0,1-MIN(60,COLUMN()-29),1,MIN(60,COLUMN()-29)),OFFSET(DW339,0,-MIN(60,COLUMN()-29),1,MIN(60,COLUMN()-29))),0)</f>
        <v>0</v>
      </c>
      <c r="DX340" s="237" t="n">
        <f aca="true">IFERROR(SUMPRODUCT(OFFSET($BJ$31,0,1-MIN(60,COLUMN()-29),1,MIN(60,COLUMN()-29)),OFFSET(DX339,0,-MIN(60,COLUMN()-29),1,MIN(60,COLUMN()-29))),0)</f>
        <v>0</v>
      </c>
      <c r="DY340" s="237" t="n">
        <f aca="true">IFERROR(SUMPRODUCT(OFFSET($BJ$31,0,1-MIN(60,COLUMN()-29),1,MIN(60,COLUMN()-29)),OFFSET(DY339,0,-MIN(60,COLUMN()-29),1,MIN(60,COLUMN()-29))),0)</f>
        <v>0</v>
      </c>
      <c r="DZ340" s="237" t="n">
        <f aca="true">IFERROR(SUMPRODUCT(OFFSET($BJ$31,0,1-MIN(60,COLUMN()-29),1,MIN(60,COLUMN()-29)),OFFSET(DZ339,0,-MIN(60,COLUMN()-29),1,MIN(60,COLUMN()-29))),0)</f>
        <v>0</v>
      </c>
      <c r="EA340" s="237" t="n">
        <f aca="true">IFERROR(SUMPRODUCT(OFFSET($BJ$31,0,1-MIN(60,COLUMN()-29),1,MIN(60,COLUMN()-29)),OFFSET(EA339,0,-MIN(60,COLUMN()-29),1,MIN(60,COLUMN()-29))),0)</f>
        <v>0</v>
      </c>
      <c r="EB340" s="237" t="n">
        <f aca="true">IFERROR(SUMPRODUCT(OFFSET($BJ$31,0,1-MIN(60,COLUMN()-29),1,MIN(60,COLUMN()-29)),OFFSET(EB339,0,-MIN(60,COLUMN()-29),1,MIN(60,COLUMN()-29))),0)</f>
        <v>0</v>
      </c>
      <c r="EC340" s="237" t="n">
        <f aca="true">IFERROR(SUMPRODUCT(OFFSET($BJ$31,0,1-MIN(60,COLUMN()-29),1,MIN(60,COLUMN()-29)),OFFSET(EC339,0,-MIN(60,COLUMN()-29),1,MIN(60,COLUMN()-29))),0)</f>
        <v>0</v>
      </c>
      <c r="ED340" s="237" t="n">
        <f aca="true">IFERROR(SUMPRODUCT(OFFSET($BJ$31,0,1-MIN(60,COLUMN()-29),1,MIN(60,COLUMN()-29)),OFFSET(ED339,0,-MIN(60,COLUMN()-29),1,MIN(60,COLUMN()-29))),0)</f>
        <v>0</v>
      </c>
      <c r="EE340" s="237" t="n">
        <f aca="true">IFERROR(SUMPRODUCT(OFFSET($BJ$31,0,1-MIN(60,COLUMN()-29),1,MIN(60,COLUMN()-29)),OFFSET(EE339,0,-MIN(60,COLUMN()-29),1,MIN(60,COLUMN()-29))),0)</f>
        <v>2.70336</v>
      </c>
      <c r="EF340" s="237" t="n">
        <f aca="true">IFERROR(SUMPRODUCT(OFFSET($BJ$31,0,1-MIN(60,COLUMN()-29),1,MIN(60,COLUMN()-29)),OFFSET(EF339,0,-MIN(60,COLUMN()-29),1,MIN(60,COLUMN()-29))),0)</f>
        <v>2.601984</v>
      </c>
      <c r="EG340" s="237" t="n">
        <f aca="true">IFERROR(SUMPRODUCT(OFFSET($BJ$31,0,1-MIN(60,COLUMN()-29),1,MIN(60,COLUMN()-29)),OFFSET(EG339,0,-MIN(60,COLUMN()-29),1,MIN(60,COLUMN()-29))),0)</f>
        <v>4.2265344</v>
      </c>
      <c r="EH340" s="237" t="n">
        <f aca="true">IFERROR(SUMPRODUCT(OFFSET($BJ$31,0,1-MIN(60,COLUMN()-29),1,MIN(60,COLUMN()-29)),OFFSET(EH339,0,-MIN(60,COLUMN()-29),1,MIN(60,COLUMN()-29))),0)</f>
        <v>5.2402944</v>
      </c>
      <c r="EI340" s="237" t="n">
        <f aca="true">IFERROR(SUMPRODUCT(OFFSET($BJ$31,0,1-MIN(60,COLUMN()-29),1,MIN(60,COLUMN()-29)),OFFSET(EI339,0,-MIN(60,COLUMN()-29),1,MIN(60,COLUMN()-29))),0)</f>
        <v>4.710816</v>
      </c>
      <c r="EJ340" s="237" t="n">
        <f aca="true">IFERROR(SUMPRODUCT(OFFSET($BJ$31,0,1-MIN(60,COLUMN()-29),1,MIN(60,COLUMN()-29)),OFFSET(EJ339,0,-MIN(60,COLUMN()-29),1,MIN(60,COLUMN()-29))),0)</f>
        <v>6.8236256</v>
      </c>
      <c r="EK340" s="237" t="n">
        <f aca="true">IFERROR(SUMPRODUCT(OFFSET($BJ$31,0,1-MIN(60,COLUMN()-29),1,MIN(60,COLUMN()-29)),OFFSET(EK339,0,-MIN(60,COLUMN()-29),1,MIN(60,COLUMN()-29))),0)</f>
        <v>7.753152</v>
      </c>
      <c r="EL340" s="237" t="n">
        <f aca="true">IFERROR(SUMPRODUCT(OFFSET($BJ$31,0,1-MIN(60,COLUMN()-29),1,MIN(60,COLUMN()-29)),OFFSET(EL339,0,-MIN(60,COLUMN()-29),1,MIN(60,COLUMN()-29))),0)</f>
        <v>7.8123936</v>
      </c>
      <c r="EM340" s="237" t="n">
        <f aca="true">IFERROR(SUMPRODUCT(OFFSET($BJ$31,0,1-MIN(60,COLUMN()-29),1,MIN(60,COLUMN()-29)),OFFSET(EM339,0,-MIN(60,COLUMN()-29),1,MIN(60,COLUMN()-29))),0)</f>
        <v>8.210752</v>
      </c>
      <c r="EN340" s="237" t="n">
        <f aca="true">IFERROR(SUMPRODUCT(OFFSET($BJ$31,0,1-MIN(60,COLUMN()-29),1,MIN(60,COLUMN()-29)),OFFSET(EN339,0,-MIN(60,COLUMN()-29),1,MIN(60,COLUMN()-29))),0)</f>
        <v>8.9896928</v>
      </c>
      <c r="EO340" s="237" t="n">
        <f aca="true">IFERROR(SUMPRODUCT(OFFSET($BJ$31,0,1-MIN(60,COLUMN()-29),1,MIN(60,COLUMN()-29)),OFFSET(EO339,0,-MIN(60,COLUMN()-29),1,MIN(60,COLUMN()-29))),0)</f>
        <v>13.4578048</v>
      </c>
      <c r="EP340" s="237" t="n">
        <f aca="true">IFERROR(SUMPRODUCT(OFFSET($BJ$31,0,1-MIN(60,COLUMN()-29),1,MIN(60,COLUMN()-29)),OFFSET(EP339,0,-MIN(60,COLUMN()-29),1,MIN(60,COLUMN()-29))),0)</f>
        <v>13.9629952</v>
      </c>
      <c r="EQ340" s="237" t="n">
        <f aca="true">IFERROR(SUMPRODUCT(OFFSET($BJ$31,0,1-MIN(60,COLUMN()-29),1,MIN(60,COLUMN()-29)),OFFSET(EQ339,0,-MIN(60,COLUMN()-29),1,MIN(60,COLUMN()-29))),0)</f>
        <v>14.467552</v>
      </c>
      <c r="ER340" s="237" t="n">
        <f aca="true">IFERROR(SUMPRODUCT(OFFSET($BJ$31,0,1-MIN(60,COLUMN()-29),1,MIN(60,COLUMN()-29)),OFFSET(ER339,0,-MIN(60,COLUMN()-29),1,MIN(60,COLUMN()-29))),0)</f>
        <v>13.4735744</v>
      </c>
      <c r="ES340" s="9" t="n">
        <f aca="true">IFERROR(SUMPRODUCT(OFFSET($BJ$31,0,1-MIN(60,COLUMN()-29),1,MIN(60,COLUMN()-29)),OFFSET(ES339,0,-MIN(60,COLUMN()-29),1,MIN(60,COLUMN()-29))),0)</f>
        <v>16.7838528</v>
      </c>
      <c r="ET340" s="9" t="n">
        <f aca="true">IFERROR(SUMPRODUCT(OFFSET($BJ$31,0,1-MIN(60,COLUMN()-29),1,MIN(60,COLUMN()-29)),OFFSET(ET339,0,-MIN(60,COLUMN()-29),1,MIN(60,COLUMN()-29))),0)</f>
        <v>20.0435136</v>
      </c>
      <c r="EU340" s="9" t="n">
        <f aca="true">IFERROR(SUMPRODUCT(OFFSET($BJ$31,0,1-MIN(60,COLUMN()-29),1,MIN(60,COLUMN()-29)),OFFSET(EU339,0,-MIN(60,COLUMN()-29),1,MIN(60,COLUMN()-29))),0)</f>
        <v>19.67822208</v>
      </c>
      <c r="EV340" s="9" t="n">
        <f aca="true">IFERROR(SUMPRODUCT(OFFSET($BJ$31,0,1-MIN(60,COLUMN()-29),1,MIN(60,COLUMN()-29)),OFFSET(EV339,0,-MIN(60,COLUMN()-29),1,MIN(60,COLUMN()-29))),0)</f>
        <v>25.53893056</v>
      </c>
      <c r="EW340" s="9" t="n">
        <f aca="true">IFERROR(SUMPRODUCT(OFFSET($BJ$31,0,1-MIN(60,COLUMN()-29),1,MIN(60,COLUMN()-29)),OFFSET(EW339,0,-MIN(60,COLUMN()-29),1,MIN(60,COLUMN()-29))),0)</f>
        <v>26.96486848</v>
      </c>
      <c r="EX340" s="9" t="n">
        <f aca="true">IFERROR(SUMPRODUCT(OFFSET($BJ$31,0,1-MIN(60,COLUMN()-29),1,MIN(60,COLUMN()-29)),OFFSET(EX339,0,-MIN(60,COLUMN()-29),1,MIN(60,COLUMN()-29))),0)</f>
        <v>26.87063632</v>
      </c>
      <c r="EY340" s="9" t="n">
        <f aca="true">IFERROR(SUMPRODUCT(OFFSET($BJ$31,0,1-MIN(60,COLUMN()-29),1,MIN(60,COLUMN()-29)),OFFSET(EY339,0,-MIN(60,COLUMN()-29),1,MIN(60,COLUMN()-29))),0)</f>
        <v>26.72946056</v>
      </c>
      <c r="EZ340" s="9" t="n">
        <f aca="true">IFERROR(SUMPRODUCT(OFFSET($BJ$31,0,1-MIN(60,COLUMN()-29),1,MIN(60,COLUMN()-29)),OFFSET(EZ339,0,-MIN(60,COLUMN()-29),1,MIN(60,COLUMN()-29))),0)</f>
        <v>29.51062136</v>
      </c>
      <c r="FA340" s="9" t="n">
        <f aca="true">IFERROR(SUMPRODUCT(OFFSET($BJ$31,0,1-MIN(60,COLUMN()-29),1,MIN(60,COLUMN()-29)),OFFSET(FA339,0,-MIN(60,COLUMN()-29),1,MIN(60,COLUMN()-29))),0)</f>
        <v>39.151552</v>
      </c>
      <c r="FB340" s="9" t="n">
        <f aca="true">IFERROR(SUMPRODUCT(OFFSET($BJ$31,0,1-MIN(60,COLUMN()-29),1,MIN(60,COLUMN()-29)),OFFSET(FB339,0,-MIN(60,COLUMN()-29),1,MIN(60,COLUMN()-29))),0)</f>
        <v>39.12945872</v>
      </c>
      <c r="FC340" s="9" t="n">
        <f aca="true">IFERROR(SUMPRODUCT(OFFSET($BJ$31,0,1-MIN(60,COLUMN()-29),1,MIN(60,COLUMN()-29)),OFFSET(FC339,0,-MIN(60,COLUMN()-29),1,MIN(60,COLUMN()-29))),0)</f>
        <v>38.60571088</v>
      </c>
      <c r="FD340" s="9" t="n">
        <f aca="true">IFERROR(SUMPRODUCT(OFFSET($BJ$31,0,1-MIN(60,COLUMN()-29),1,MIN(60,COLUMN()-29)),OFFSET(FD339,0,-MIN(60,COLUMN()-29),1,MIN(60,COLUMN()-29))),0)</f>
        <v>36.64782352</v>
      </c>
      <c r="FE340" s="9" t="n">
        <f aca="true">IFERROR(SUMPRODUCT(OFFSET($BJ$31,0,1-MIN(60,COLUMN()-29),1,MIN(60,COLUMN()-29)),OFFSET(FE339,0,-MIN(60,COLUMN()-29),1,MIN(60,COLUMN()-29))),0)</f>
        <v>43.99873808</v>
      </c>
      <c r="FF340" s="9" t="n">
        <f aca="true">IFERROR(SUMPRODUCT(OFFSET($BJ$31,0,1-MIN(60,COLUMN()-29),1,MIN(60,COLUMN()-29)),OFFSET(FF339,0,-MIN(60,COLUMN()-29),1,MIN(60,COLUMN()-29))),0)</f>
        <v>47.29539408</v>
      </c>
      <c r="FG340" s="9" t="n">
        <f aca="true">IFERROR(SUMPRODUCT(OFFSET($BJ$31,0,1-MIN(60,COLUMN()-29),1,MIN(60,COLUMN()-29)),OFFSET(FG339,0,-MIN(60,COLUMN()-29),1,MIN(60,COLUMN()-29))),0)</f>
        <v>47.07599952</v>
      </c>
      <c r="FH340" s="9" t="n">
        <f aca="true">IFERROR(SUMPRODUCT(OFFSET($BJ$31,0,1-MIN(60,COLUMN()-29),1,MIN(60,COLUMN()-29)),OFFSET(FH339,0,-MIN(60,COLUMN()-29),1,MIN(60,COLUMN()-29))),0)</f>
        <v>54.28831056</v>
      </c>
      <c r="FI340" s="9" t="n">
        <f aca="true">IFERROR(SUMPRODUCT(OFFSET($BJ$31,0,1-MIN(60,COLUMN()-29),1,MIN(60,COLUMN()-29)),OFFSET(FI339,0,-MIN(60,COLUMN()-29),1,MIN(60,COLUMN()-29))),0)</f>
        <v>56.00296944</v>
      </c>
      <c r="FJ340" s="9" t="n">
        <f aca="true">IFERROR(SUMPRODUCT(OFFSET($BJ$31,0,1-MIN(60,COLUMN()-29),1,MIN(60,COLUMN()-29)),OFFSET(FJ339,0,-MIN(60,COLUMN()-29),1,MIN(60,COLUMN()-29))),0)</f>
        <v>56.75162064</v>
      </c>
      <c r="FK340" s="9" t="n">
        <f aca="true">IFERROR(SUMPRODUCT(OFFSET($BJ$31,0,1-MIN(60,COLUMN()-29),1,MIN(60,COLUMN()-29)),OFFSET(FK339,0,-MIN(60,COLUMN()-29),1,MIN(60,COLUMN()-29))),0)</f>
        <v>56.95292592</v>
      </c>
      <c r="FL340" s="9" t="n">
        <f aca="true">IFERROR(SUMPRODUCT(OFFSET($BJ$31,0,1-MIN(60,COLUMN()-29),1,MIN(60,COLUMN()-29)),OFFSET(FL339,0,-MIN(60,COLUMN()-29),1,MIN(60,COLUMN()-29))),0)</f>
        <v>61.5452904</v>
      </c>
      <c r="FM340" s="9" t="n">
        <f aca="true">IFERROR(SUMPRODUCT(OFFSET($BJ$31,0,1-MIN(60,COLUMN()-29),1,MIN(60,COLUMN()-29)),OFFSET(FM339,0,-MIN(60,COLUMN()-29),1,MIN(60,COLUMN()-29))),0)</f>
        <v>73.90029504</v>
      </c>
      <c r="FN340" s="9" t="n">
        <f aca="true">IFERROR(SUMPRODUCT(OFFSET($BJ$31,0,1-MIN(60,COLUMN()-29),1,MIN(60,COLUMN()-29)),OFFSET(FN339,0,-MIN(60,COLUMN()-29),1,MIN(60,COLUMN()-29))),0)</f>
        <v>74.23841568</v>
      </c>
      <c r="FO340" s="9" t="n">
        <f aca="true">IFERROR(SUMPRODUCT(OFFSET($BJ$31,0,1-MIN(60,COLUMN()-29),1,MIN(60,COLUMN()-29)),OFFSET(FO339,0,-MIN(60,COLUMN()-29),1,MIN(60,COLUMN()-29))),0)</f>
        <v>73.66581024</v>
      </c>
      <c r="FP340" s="9" t="n">
        <f aca="true">IFERROR(SUMPRODUCT(OFFSET($BJ$31,0,1-MIN(60,COLUMN()-29),1,MIN(60,COLUMN()-29)),OFFSET(FP339,0,-MIN(60,COLUMN()-29),1,MIN(60,COLUMN()-29))),0)</f>
        <v>71.98449984</v>
      </c>
    </row>
    <row r="341" customFormat="false" ht="15" hidden="false" customHeight="false" outlineLevel="2" collapsed="false">
      <c r="B341" s="47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237"/>
      <c r="AD341" s="237"/>
      <c r="AE341" s="237"/>
      <c r="AF341" s="237"/>
      <c r="AG341" s="237"/>
      <c r="AH341" s="237"/>
      <c r="AI341" s="237"/>
      <c r="AJ341" s="237"/>
      <c r="AK341" s="237"/>
      <c r="AL341" s="237"/>
      <c r="AM341" s="237"/>
      <c r="AN341" s="237"/>
      <c r="AO341" s="237"/>
      <c r="AP341" s="237"/>
      <c r="AQ341" s="237"/>
      <c r="AR341" s="237"/>
      <c r="AS341" s="237"/>
      <c r="AT341" s="237"/>
      <c r="AU341" s="237"/>
      <c r="AV341" s="237"/>
      <c r="AW341" s="237"/>
      <c r="AX341" s="237"/>
      <c r="AY341" s="237"/>
      <c r="AZ341" s="237"/>
      <c r="BA341" s="237"/>
      <c r="BB341" s="237"/>
      <c r="BC341" s="237"/>
      <c r="BD341" s="237"/>
      <c r="BE341" s="237"/>
      <c r="BF341" s="237"/>
      <c r="BG341" s="237"/>
      <c r="BH341" s="237"/>
      <c r="BI341" s="237"/>
      <c r="BJ341" s="237"/>
      <c r="BK341" s="237"/>
      <c r="BL341" s="237"/>
      <c r="BM341" s="237"/>
      <c r="BN341" s="237"/>
      <c r="BO341" s="237"/>
      <c r="BP341" s="237"/>
      <c r="BQ341" s="237"/>
      <c r="BR341" s="237"/>
      <c r="BS341" s="237"/>
      <c r="BT341" s="237"/>
      <c r="BU341" s="237"/>
      <c r="BV341" s="237"/>
      <c r="BW341" s="237"/>
      <c r="BX341" s="237"/>
      <c r="BY341" s="237"/>
      <c r="BZ341" s="237"/>
      <c r="CA341" s="237"/>
      <c r="CB341" s="237"/>
      <c r="CC341" s="237"/>
      <c r="CD341" s="237"/>
      <c r="CE341" s="237"/>
      <c r="CF341" s="237"/>
      <c r="CG341" s="237"/>
      <c r="CH341" s="237"/>
      <c r="CI341" s="237"/>
      <c r="CJ341" s="237"/>
      <c r="CK341" s="237"/>
      <c r="CL341" s="237"/>
      <c r="CM341" s="237"/>
      <c r="CN341" s="237"/>
      <c r="CO341" s="237"/>
      <c r="CP341" s="237"/>
      <c r="CQ341" s="237"/>
      <c r="CR341" s="237"/>
      <c r="CS341" s="237"/>
      <c r="CT341" s="237"/>
      <c r="CU341" s="237"/>
      <c r="CV341" s="237"/>
      <c r="CW341" s="237"/>
      <c r="CX341" s="237"/>
      <c r="CY341" s="237"/>
      <c r="CZ341" s="237"/>
      <c r="DA341" s="237"/>
      <c r="DB341" s="237"/>
      <c r="DC341" s="237"/>
      <c r="DD341" s="237"/>
      <c r="DE341" s="237"/>
      <c r="DF341" s="237"/>
      <c r="DG341" s="237"/>
      <c r="DH341" s="237"/>
      <c r="DI341" s="237"/>
      <c r="DJ341" s="237"/>
      <c r="DK341" s="237"/>
      <c r="DL341" s="237"/>
      <c r="DM341" s="237"/>
      <c r="DN341" s="237"/>
      <c r="DO341" s="237"/>
      <c r="DP341" s="237"/>
      <c r="DQ341" s="237"/>
      <c r="DR341" s="237"/>
      <c r="DS341" s="237"/>
      <c r="DT341" s="237"/>
      <c r="DU341" s="237"/>
      <c r="DV341" s="237"/>
      <c r="DW341" s="237"/>
      <c r="DX341" s="237"/>
      <c r="DY341" s="237"/>
      <c r="DZ341" s="237"/>
      <c r="EA341" s="237"/>
      <c r="EB341" s="237"/>
      <c r="EC341" s="237"/>
      <c r="ED341" s="237"/>
      <c r="EE341" s="237"/>
      <c r="EF341" s="237"/>
      <c r="EG341" s="237"/>
      <c r="EH341" s="237"/>
      <c r="EI341" s="237"/>
      <c r="EJ341" s="237"/>
      <c r="EK341" s="237"/>
      <c r="EL341" s="237"/>
      <c r="EM341" s="237"/>
      <c r="EN341" s="237"/>
      <c r="EO341" s="237"/>
      <c r="EP341" s="237"/>
      <c r="EQ341" s="237"/>
      <c r="ER341" s="237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</row>
    <row r="342" customFormat="false" ht="15" hidden="false" customHeight="false" outlineLevel="2" collapsed="false">
      <c r="B342" s="47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237"/>
      <c r="AD342" s="237"/>
      <c r="AE342" s="237"/>
      <c r="AF342" s="237"/>
      <c r="AG342" s="237"/>
      <c r="AH342" s="237"/>
      <c r="AI342" s="237"/>
      <c r="AJ342" s="237"/>
      <c r="AK342" s="237"/>
      <c r="AL342" s="237"/>
      <c r="AM342" s="237"/>
      <c r="AN342" s="237"/>
      <c r="AO342" s="237"/>
      <c r="AP342" s="237"/>
      <c r="AQ342" s="237"/>
      <c r="AR342" s="237"/>
      <c r="AS342" s="237"/>
      <c r="AT342" s="237"/>
      <c r="AU342" s="237"/>
      <c r="AV342" s="237"/>
      <c r="AW342" s="237"/>
      <c r="AX342" s="237"/>
      <c r="AY342" s="237"/>
      <c r="AZ342" s="237"/>
      <c r="BA342" s="237"/>
      <c r="BB342" s="237"/>
      <c r="BC342" s="237"/>
      <c r="BD342" s="237"/>
      <c r="BE342" s="237"/>
      <c r="BF342" s="237"/>
      <c r="BG342" s="237"/>
      <c r="BH342" s="237"/>
      <c r="BI342" s="237"/>
      <c r="BJ342" s="237"/>
      <c r="BK342" s="237"/>
      <c r="BL342" s="237"/>
      <c r="BM342" s="237"/>
      <c r="BN342" s="237"/>
      <c r="BO342" s="237"/>
      <c r="BP342" s="237"/>
      <c r="BQ342" s="237"/>
      <c r="BR342" s="237"/>
      <c r="BS342" s="237"/>
      <c r="BT342" s="237"/>
      <c r="BU342" s="237"/>
      <c r="BV342" s="237"/>
      <c r="BW342" s="237"/>
      <c r="BX342" s="237"/>
      <c r="BY342" s="237"/>
      <c r="BZ342" s="237"/>
      <c r="CA342" s="237"/>
      <c r="CB342" s="237"/>
      <c r="CC342" s="237"/>
      <c r="CD342" s="237"/>
      <c r="CE342" s="237"/>
      <c r="CF342" s="237"/>
      <c r="CG342" s="237"/>
      <c r="CH342" s="237"/>
      <c r="CI342" s="237"/>
      <c r="CJ342" s="237"/>
      <c r="CK342" s="237"/>
      <c r="CL342" s="237"/>
      <c r="CM342" s="237"/>
      <c r="CN342" s="237"/>
      <c r="CO342" s="237"/>
      <c r="CP342" s="237"/>
      <c r="CQ342" s="237"/>
      <c r="CR342" s="237"/>
      <c r="CS342" s="237"/>
      <c r="CT342" s="237"/>
      <c r="CU342" s="237"/>
      <c r="CV342" s="237"/>
      <c r="CW342" s="237"/>
      <c r="CX342" s="237"/>
      <c r="CY342" s="237"/>
      <c r="CZ342" s="237"/>
      <c r="DA342" s="237"/>
      <c r="DB342" s="237"/>
      <c r="DC342" s="237"/>
      <c r="DD342" s="237"/>
      <c r="DE342" s="237"/>
      <c r="DF342" s="237"/>
      <c r="DG342" s="237"/>
      <c r="DH342" s="237"/>
      <c r="DI342" s="237"/>
      <c r="DJ342" s="237"/>
      <c r="DK342" s="237"/>
      <c r="DL342" s="237"/>
      <c r="DM342" s="237"/>
      <c r="DN342" s="237"/>
      <c r="DO342" s="237"/>
      <c r="DP342" s="237"/>
      <c r="DQ342" s="237"/>
      <c r="DR342" s="237"/>
      <c r="DS342" s="237"/>
      <c r="DT342" s="237"/>
      <c r="DU342" s="237"/>
      <c r="DV342" s="237"/>
      <c r="DW342" s="237"/>
      <c r="DX342" s="237"/>
      <c r="DY342" s="237"/>
      <c r="DZ342" s="237"/>
      <c r="EA342" s="237"/>
      <c r="EB342" s="237"/>
      <c r="EC342" s="237"/>
      <c r="ED342" s="237"/>
      <c r="EE342" s="237"/>
      <c r="EF342" s="237"/>
      <c r="EG342" s="237"/>
      <c r="EH342" s="237"/>
      <c r="EI342" s="237"/>
      <c r="EJ342" s="237"/>
      <c r="EK342" s="237"/>
      <c r="EL342" s="237"/>
      <c r="EM342" s="237"/>
      <c r="EN342" s="237"/>
      <c r="EO342" s="237"/>
      <c r="EP342" s="237"/>
      <c r="EQ342" s="237"/>
      <c r="ER342" s="237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</row>
    <row r="343" customFormat="false" ht="15" hidden="false" customHeight="false" outlineLevel="2" collapsed="false">
      <c r="B343" s="47" t="s">
        <v>907</v>
      </c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237"/>
      <c r="AD343" s="237"/>
      <c r="AE343" s="237"/>
      <c r="AF343" s="237"/>
      <c r="AG343" s="237"/>
      <c r="AH343" s="237"/>
      <c r="AI343" s="237"/>
      <c r="AJ343" s="237"/>
      <c r="AK343" s="237"/>
      <c r="AL343" s="237"/>
      <c r="AM343" s="237"/>
      <c r="AN343" s="237"/>
      <c r="AO343" s="237"/>
      <c r="AP343" s="237"/>
      <c r="AQ343" s="237"/>
      <c r="AR343" s="237"/>
      <c r="AS343" s="237"/>
      <c r="AT343" s="237"/>
      <c r="AU343" s="237"/>
      <c r="AV343" s="237"/>
      <c r="AW343" s="237"/>
      <c r="AX343" s="237"/>
      <c r="AY343" s="237"/>
      <c r="AZ343" s="237"/>
      <c r="BA343" s="237"/>
      <c r="BB343" s="237"/>
      <c r="BC343" s="237"/>
      <c r="BD343" s="237"/>
      <c r="BE343" s="237"/>
      <c r="BF343" s="237"/>
      <c r="BG343" s="237"/>
      <c r="BH343" s="237"/>
      <c r="BI343" s="237"/>
      <c r="BJ343" s="237"/>
      <c r="BK343" s="237"/>
      <c r="BL343" s="237"/>
      <c r="BM343" s="237"/>
      <c r="BN343" s="237"/>
      <c r="BO343" s="237"/>
      <c r="BP343" s="237"/>
      <c r="BQ343" s="237"/>
      <c r="BR343" s="237"/>
      <c r="BS343" s="237"/>
      <c r="BT343" s="237"/>
      <c r="BU343" s="237"/>
      <c r="BV343" s="237"/>
      <c r="BW343" s="237"/>
      <c r="BX343" s="237"/>
      <c r="BY343" s="237"/>
      <c r="BZ343" s="237"/>
      <c r="CA343" s="237"/>
      <c r="CB343" s="237"/>
      <c r="CC343" s="237"/>
      <c r="CD343" s="237"/>
      <c r="CE343" s="237"/>
      <c r="CF343" s="237"/>
      <c r="CG343" s="237"/>
      <c r="CH343" s="237"/>
      <c r="CI343" s="237"/>
      <c r="CJ343" s="237"/>
      <c r="CK343" s="237"/>
      <c r="CL343" s="237"/>
      <c r="CM343" s="237"/>
      <c r="CN343" s="237"/>
      <c r="CO343" s="237"/>
      <c r="CP343" s="237"/>
      <c r="CQ343" s="237"/>
      <c r="CR343" s="237"/>
      <c r="CS343" s="237"/>
      <c r="CT343" s="237"/>
      <c r="CU343" s="237"/>
      <c r="CV343" s="237"/>
      <c r="CW343" s="237"/>
      <c r="CX343" s="237"/>
      <c r="CY343" s="237"/>
      <c r="CZ343" s="237"/>
      <c r="DA343" s="237"/>
      <c r="DB343" s="237"/>
      <c r="DC343" s="237"/>
      <c r="DD343" s="237"/>
      <c r="DE343" s="237"/>
      <c r="DF343" s="237"/>
      <c r="DG343" s="237"/>
      <c r="DH343" s="237"/>
      <c r="DI343" s="237"/>
      <c r="DJ343" s="237"/>
      <c r="DK343" s="237"/>
      <c r="DL343" s="237"/>
      <c r="DM343" s="237"/>
      <c r="DN343" s="237"/>
      <c r="DO343" s="237"/>
      <c r="DP343" s="237"/>
      <c r="DQ343" s="237"/>
      <c r="DR343" s="237"/>
      <c r="DS343" s="237"/>
      <c r="DT343" s="237"/>
      <c r="DU343" s="237"/>
      <c r="DV343" s="237"/>
      <c r="DW343" s="237"/>
      <c r="DX343" s="237"/>
      <c r="DY343" s="237"/>
      <c r="DZ343" s="237"/>
      <c r="EA343" s="237"/>
      <c r="EB343" s="237"/>
      <c r="EC343" s="237"/>
      <c r="ED343" s="237"/>
      <c r="EE343" s="237"/>
      <c r="EF343" s="237"/>
      <c r="EG343" s="237"/>
      <c r="EH343" s="237"/>
      <c r="EI343" s="237"/>
      <c r="EJ343" s="237"/>
      <c r="EK343" s="237"/>
      <c r="EL343" s="237"/>
      <c r="EM343" s="237"/>
      <c r="EN343" s="237"/>
      <c r="EO343" s="237"/>
      <c r="EP343" s="237"/>
      <c r="EQ343" s="237"/>
      <c r="ER343" s="237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</row>
    <row r="344" customFormat="false" ht="15" hidden="false" customHeight="false" outlineLevel="2" collapsed="false">
      <c r="B344" s="47" t="s">
        <v>872</v>
      </c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237" t="n">
        <f aca="false">('⑫ Roll-out Plan'!G39-2025)*12+'⑫ Roll-out Plan'!F39</f>
        <v>107</v>
      </c>
      <c r="AD344" s="237"/>
      <c r="AE344" s="237"/>
      <c r="AF344" s="237"/>
      <c r="AG344" s="237"/>
      <c r="AH344" s="237"/>
      <c r="AI344" s="237"/>
      <c r="AJ344" s="237"/>
      <c r="AK344" s="237"/>
      <c r="AL344" s="237"/>
      <c r="AM344" s="237"/>
      <c r="AN344" s="237"/>
      <c r="AO344" s="237"/>
      <c r="AP344" s="237"/>
      <c r="AQ344" s="237"/>
      <c r="AR344" s="237"/>
      <c r="AS344" s="237"/>
      <c r="AT344" s="237"/>
      <c r="AU344" s="237"/>
      <c r="AV344" s="237"/>
      <c r="AW344" s="237"/>
      <c r="AX344" s="237"/>
      <c r="AY344" s="237"/>
      <c r="AZ344" s="237"/>
      <c r="BA344" s="237"/>
      <c r="BB344" s="237"/>
      <c r="BC344" s="237"/>
      <c r="BD344" s="237"/>
      <c r="BE344" s="237"/>
      <c r="BF344" s="237"/>
      <c r="BG344" s="237"/>
      <c r="BH344" s="237"/>
      <c r="BI344" s="237"/>
      <c r="BJ344" s="237"/>
      <c r="BK344" s="237"/>
      <c r="BL344" s="237"/>
      <c r="BM344" s="237"/>
      <c r="BN344" s="237"/>
      <c r="BO344" s="237"/>
      <c r="BP344" s="237"/>
      <c r="BQ344" s="237"/>
      <c r="BR344" s="237"/>
      <c r="BS344" s="237"/>
      <c r="BT344" s="237"/>
      <c r="BU344" s="237"/>
      <c r="BV344" s="237"/>
      <c r="BW344" s="237"/>
      <c r="BX344" s="237"/>
      <c r="BY344" s="237"/>
      <c r="BZ344" s="237"/>
      <c r="CA344" s="237"/>
      <c r="CB344" s="237"/>
      <c r="CC344" s="237"/>
      <c r="CD344" s="237"/>
      <c r="CE344" s="237"/>
      <c r="CF344" s="237"/>
      <c r="CG344" s="237"/>
      <c r="CH344" s="237"/>
      <c r="CI344" s="237"/>
      <c r="CJ344" s="237"/>
      <c r="CK344" s="237"/>
      <c r="CL344" s="237"/>
      <c r="CM344" s="237"/>
      <c r="CN344" s="237"/>
      <c r="CO344" s="237"/>
      <c r="CP344" s="237"/>
      <c r="CQ344" s="237"/>
      <c r="CR344" s="237"/>
      <c r="CS344" s="237"/>
      <c r="CT344" s="237"/>
      <c r="CU344" s="237"/>
      <c r="CV344" s="237"/>
      <c r="CW344" s="237"/>
      <c r="CX344" s="237"/>
      <c r="CY344" s="237"/>
      <c r="CZ344" s="237"/>
      <c r="DA344" s="237"/>
      <c r="DB344" s="237"/>
      <c r="DC344" s="237"/>
      <c r="DD344" s="237"/>
      <c r="DE344" s="237"/>
      <c r="DF344" s="237"/>
      <c r="DG344" s="237"/>
      <c r="DH344" s="237"/>
      <c r="DI344" s="237"/>
      <c r="DJ344" s="237"/>
      <c r="DK344" s="237"/>
      <c r="DL344" s="237"/>
      <c r="DM344" s="237"/>
      <c r="DN344" s="237"/>
      <c r="DO344" s="237"/>
      <c r="DP344" s="237"/>
      <c r="DQ344" s="237"/>
      <c r="DR344" s="237"/>
      <c r="DS344" s="237"/>
      <c r="DT344" s="237"/>
      <c r="DU344" s="237"/>
      <c r="DV344" s="237"/>
      <c r="DW344" s="237"/>
      <c r="DX344" s="237"/>
      <c r="DY344" s="237"/>
      <c r="DZ344" s="237"/>
      <c r="EA344" s="237"/>
      <c r="EB344" s="237"/>
      <c r="EC344" s="237"/>
      <c r="ED344" s="237"/>
      <c r="EE344" s="237"/>
      <c r="EF344" s="237"/>
      <c r="EG344" s="237"/>
      <c r="EH344" s="237"/>
      <c r="EI344" s="237"/>
      <c r="EJ344" s="237"/>
      <c r="EK344" s="237"/>
      <c r="EL344" s="237"/>
      <c r="EM344" s="237"/>
      <c r="EN344" s="237"/>
      <c r="EO344" s="237"/>
      <c r="EP344" s="237"/>
      <c r="EQ344" s="237"/>
      <c r="ER344" s="237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</row>
    <row r="345" customFormat="false" ht="15" hidden="false" customHeight="false" outlineLevel="2" collapsed="false">
      <c r="B345" s="47" t="s">
        <v>873</v>
      </c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237" t="n">
        <f aca="false">VLOOKUP("C",$B$14:$C$18,2,FALSE())</f>
        <v>110</v>
      </c>
      <c r="AD345" s="237"/>
      <c r="AE345" s="237"/>
      <c r="AF345" s="237"/>
      <c r="AG345" s="237"/>
      <c r="AH345" s="237"/>
      <c r="AI345" s="237"/>
      <c r="AJ345" s="237"/>
      <c r="AK345" s="237"/>
      <c r="AL345" s="237"/>
      <c r="AM345" s="237"/>
      <c r="AN345" s="237"/>
      <c r="AO345" s="237"/>
      <c r="AP345" s="237"/>
      <c r="AQ345" s="237"/>
      <c r="AR345" s="237"/>
      <c r="AS345" s="237"/>
      <c r="AT345" s="237"/>
      <c r="AU345" s="237"/>
      <c r="AV345" s="237"/>
      <c r="AW345" s="237"/>
      <c r="AX345" s="237"/>
      <c r="AY345" s="237"/>
      <c r="AZ345" s="237"/>
      <c r="BA345" s="237"/>
      <c r="BB345" s="237"/>
      <c r="BC345" s="237"/>
      <c r="BD345" s="237"/>
      <c r="BE345" s="237"/>
      <c r="BF345" s="237"/>
      <c r="BG345" s="237"/>
      <c r="BH345" s="237"/>
      <c r="BI345" s="237"/>
      <c r="BJ345" s="237"/>
      <c r="BK345" s="237"/>
      <c r="BL345" s="237"/>
      <c r="BM345" s="237"/>
      <c r="BN345" s="237"/>
      <c r="BO345" s="237"/>
      <c r="BP345" s="237"/>
      <c r="BQ345" s="237"/>
      <c r="BR345" s="237"/>
      <c r="BS345" s="237"/>
      <c r="BT345" s="237"/>
      <c r="BU345" s="237"/>
      <c r="BV345" s="237"/>
      <c r="BW345" s="237"/>
      <c r="BX345" s="237"/>
      <c r="BY345" s="237"/>
      <c r="BZ345" s="237"/>
      <c r="CA345" s="237"/>
      <c r="CB345" s="237"/>
      <c r="CC345" s="237"/>
      <c r="CD345" s="237"/>
      <c r="CE345" s="237"/>
      <c r="CF345" s="237"/>
      <c r="CG345" s="237"/>
      <c r="CH345" s="237"/>
      <c r="CI345" s="237"/>
      <c r="CJ345" s="237"/>
      <c r="CK345" s="237"/>
      <c r="CL345" s="237"/>
      <c r="CM345" s="237"/>
      <c r="CN345" s="237"/>
      <c r="CO345" s="237"/>
      <c r="CP345" s="237"/>
      <c r="CQ345" s="237"/>
      <c r="CR345" s="237"/>
      <c r="CS345" s="237"/>
      <c r="CT345" s="237"/>
      <c r="CU345" s="237"/>
      <c r="CV345" s="237"/>
      <c r="CW345" s="237"/>
      <c r="CX345" s="237"/>
      <c r="CY345" s="237"/>
      <c r="CZ345" s="237"/>
      <c r="DA345" s="237"/>
      <c r="DB345" s="237"/>
      <c r="DC345" s="237"/>
      <c r="DD345" s="237"/>
      <c r="DE345" s="237"/>
      <c r="DF345" s="237"/>
      <c r="DG345" s="237"/>
      <c r="DH345" s="237"/>
      <c r="DI345" s="237"/>
      <c r="DJ345" s="237"/>
      <c r="DK345" s="237"/>
      <c r="DL345" s="237"/>
      <c r="DM345" s="237"/>
      <c r="DN345" s="237"/>
      <c r="DO345" s="237"/>
      <c r="DP345" s="237"/>
      <c r="DQ345" s="237"/>
      <c r="DR345" s="237"/>
      <c r="DS345" s="237"/>
      <c r="DT345" s="237"/>
      <c r="DU345" s="237"/>
      <c r="DV345" s="237"/>
      <c r="DW345" s="237"/>
      <c r="DX345" s="237"/>
      <c r="DY345" s="237"/>
      <c r="DZ345" s="237"/>
      <c r="EA345" s="237"/>
      <c r="EB345" s="237"/>
      <c r="EC345" s="237"/>
      <c r="ED345" s="237"/>
      <c r="EE345" s="237"/>
      <c r="EF345" s="237"/>
      <c r="EG345" s="237"/>
      <c r="EH345" s="237"/>
      <c r="EI345" s="237"/>
      <c r="EJ345" s="237"/>
      <c r="EK345" s="237"/>
      <c r="EL345" s="237"/>
      <c r="EM345" s="237"/>
      <c r="EN345" s="237"/>
      <c r="EO345" s="237"/>
      <c r="EP345" s="237"/>
      <c r="EQ345" s="237"/>
      <c r="ER345" s="237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/>
      <c r="FO345" s="9"/>
      <c r="FP345" s="9"/>
    </row>
    <row r="346" customFormat="false" ht="15" hidden="false" customHeight="false" outlineLevel="2" collapsed="false">
      <c r="B346" s="47" t="s">
        <v>799</v>
      </c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237" t="n">
        <f aca="false">IF(AC$35&gt;=$AC$344,AC$35-$AC$344+1,0)</f>
        <v>0</v>
      </c>
      <c r="AD346" s="237" t="n">
        <f aca="false">IF(AD$35&gt;=$AC$344,AD$35-$AC$344+1,0)</f>
        <v>0</v>
      </c>
      <c r="AE346" s="237" t="n">
        <f aca="false">IF(AE$35&gt;=$AC$344,AE$35-$AC$344+1,0)</f>
        <v>0</v>
      </c>
      <c r="AF346" s="237" t="n">
        <f aca="false">IF(AF$35&gt;=$AC$344,AF$35-$AC$344+1,0)</f>
        <v>0</v>
      </c>
      <c r="AG346" s="237" t="n">
        <f aca="false">IF(AG$35&gt;=$AC$344,AG$35-$AC$344+1,0)</f>
        <v>0</v>
      </c>
      <c r="AH346" s="237" t="n">
        <f aca="false">IF(AH$35&gt;=$AC$344,AH$35-$AC$344+1,0)</f>
        <v>0</v>
      </c>
      <c r="AI346" s="237" t="n">
        <f aca="false">IF(AI$35&gt;=$AC$344,AI$35-$AC$344+1,0)</f>
        <v>0</v>
      </c>
      <c r="AJ346" s="237" t="n">
        <f aca="false">IF(AJ$35&gt;=$AC$344,AJ$35-$AC$344+1,0)</f>
        <v>0</v>
      </c>
      <c r="AK346" s="237" t="n">
        <f aca="false">IF(AK$35&gt;=$AC$344,AK$35-$AC$344+1,0)</f>
        <v>0</v>
      </c>
      <c r="AL346" s="237" t="n">
        <f aca="false">IF(AL$35&gt;=$AC$344,AL$35-$AC$344+1,0)</f>
        <v>0</v>
      </c>
      <c r="AM346" s="237" t="n">
        <f aca="false">IF(AM$35&gt;=$AC$344,AM$35-$AC$344+1,0)</f>
        <v>0</v>
      </c>
      <c r="AN346" s="237" t="n">
        <f aca="false">IF(AN$35&gt;=$AC$344,AN$35-$AC$344+1,0)</f>
        <v>0</v>
      </c>
      <c r="AO346" s="237" t="n">
        <f aca="false">IF(AO$35&gt;=$AC$344,AO$35-$AC$344+1,0)</f>
        <v>0</v>
      </c>
      <c r="AP346" s="237" t="n">
        <f aca="false">IF(AP$35&gt;=$AC$344,AP$35-$AC$344+1,0)</f>
        <v>0</v>
      </c>
      <c r="AQ346" s="237" t="n">
        <f aca="false">IF(AQ$35&gt;=$AC$344,AQ$35-$AC$344+1,0)</f>
        <v>0</v>
      </c>
      <c r="AR346" s="237" t="n">
        <f aca="false">IF(AR$35&gt;=$AC$344,AR$35-$AC$344+1,0)</f>
        <v>0</v>
      </c>
      <c r="AS346" s="237" t="n">
        <f aca="false">IF(AS$35&gt;=$AC$344,AS$35-$AC$344+1,0)</f>
        <v>0</v>
      </c>
      <c r="AT346" s="237" t="n">
        <f aca="false">IF(AT$35&gt;=$AC$344,AT$35-$AC$344+1,0)</f>
        <v>0</v>
      </c>
      <c r="AU346" s="237" t="n">
        <f aca="false">IF(AU$35&gt;=$AC$344,AU$35-$AC$344+1,0)</f>
        <v>0</v>
      </c>
      <c r="AV346" s="237" t="n">
        <f aca="false">IF(AV$35&gt;=$AC$344,AV$35-$AC$344+1,0)</f>
        <v>0</v>
      </c>
      <c r="AW346" s="237" t="n">
        <f aca="false">IF(AW$35&gt;=$AC$344,AW$35-$AC$344+1,0)</f>
        <v>0</v>
      </c>
      <c r="AX346" s="237" t="n">
        <f aca="false">IF(AX$35&gt;=$AC$344,AX$35-$AC$344+1,0)</f>
        <v>0</v>
      </c>
      <c r="AY346" s="237" t="n">
        <f aca="false">IF(AY$35&gt;=$AC$344,AY$35-$AC$344+1,0)</f>
        <v>0</v>
      </c>
      <c r="AZ346" s="237" t="n">
        <f aca="false">IF(AZ$35&gt;=$AC$344,AZ$35-$AC$344+1,0)</f>
        <v>0</v>
      </c>
      <c r="BA346" s="237" t="n">
        <f aca="false">IF(BA$35&gt;=$AC$344,BA$35-$AC$344+1,0)</f>
        <v>0</v>
      </c>
      <c r="BB346" s="237" t="n">
        <f aca="false">IF(BB$35&gt;=$AC$344,BB$35-$AC$344+1,0)</f>
        <v>0</v>
      </c>
      <c r="BC346" s="237" t="n">
        <f aca="false">IF(BC$35&gt;=$AC$344,BC$35-$AC$344+1,0)</f>
        <v>0</v>
      </c>
      <c r="BD346" s="237" t="n">
        <f aca="false">IF(BD$35&gt;=$AC$344,BD$35-$AC$344+1,0)</f>
        <v>0</v>
      </c>
      <c r="BE346" s="237" t="n">
        <f aca="false">IF(BE$35&gt;=$AC$344,BE$35-$AC$344+1,0)</f>
        <v>0</v>
      </c>
      <c r="BF346" s="237" t="n">
        <f aca="false">IF(BF$35&gt;=$AC$344,BF$35-$AC$344+1,0)</f>
        <v>0</v>
      </c>
      <c r="BG346" s="237" t="n">
        <f aca="false">IF(BG$35&gt;=$AC$344,BG$35-$AC$344+1,0)</f>
        <v>0</v>
      </c>
      <c r="BH346" s="237" t="n">
        <f aca="false">IF(BH$35&gt;=$AC$344,BH$35-$AC$344+1,0)</f>
        <v>0</v>
      </c>
      <c r="BI346" s="237" t="n">
        <f aca="false">IF(BI$35&gt;=$AC$344,BI$35-$AC$344+1,0)</f>
        <v>0</v>
      </c>
      <c r="BJ346" s="237" t="n">
        <f aca="false">IF(BJ$35&gt;=$AC$344,BJ$35-$AC$344+1,0)</f>
        <v>0</v>
      </c>
      <c r="BK346" s="237" t="n">
        <f aca="false">IF(BK$35&gt;=$AC$344,BK$35-$AC$344+1,0)</f>
        <v>0</v>
      </c>
      <c r="BL346" s="237" t="n">
        <f aca="false">IF(BL$35&gt;=$AC$344,BL$35-$AC$344+1,0)</f>
        <v>0</v>
      </c>
      <c r="BM346" s="237" t="n">
        <f aca="false">IF(BM$35&gt;=$AC$344,BM$35-$AC$344+1,0)</f>
        <v>0</v>
      </c>
      <c r="BN346" s="237" t="n">
        <f aca="false">IF(BN$35&gt;=$AC$344,BN$35-$AC$344+1,0)</f>
        <v>0</v>
      </c>
      <c r="BO346" s="237" t="n">
        <f aca="false">IF(BO$35&gt;=$AC$344,BO$35-$AC$344+1,0)</f>
        <v>0</v>
      </c>
      <c r="BP346" s="237" t="n">
        <f aca="false">IF(BP$35&gt;=$AC$344,BP$35-$AC$344+1,0)</f>
        <v>0</v>
      </c>
      <c r="BQ346" s="237" t="n">
        <f aca="false">IF(BQ$35&gt;=$AC$344,BQ$35-$AC$344+1,0)</f>
        <v>0</v>
      </c>
      <c r="BR346" s="237" t="n">
        <f aca="false">IF(BR$35&gt;=$AC$344,BR$35-$AC$344+1,0)</f>
        <v>0</v>
      </c>
      <c r="BS346" s="237" t="n">
        <f aca="false">IF(BS$35&gt;=$AC$344,BS$35-$AC$344+1,0)</f>
        <v>0</v>
      </c>
      <c r="BT346" s="237" t="n">
        <f aca="false">IF(BT$35&gt;=$AC$344,BT$35-$AC$344+1,0)</f>
        <v>0</v>
      </c>
      <c r="BU346" s="237" t="n">
        <f aca="false">IF(BU$35&gt;=$AC$344,BU$35-$AC$344+1,0)</f>
        <v>0</v>
      </c>
      <c r="BV346" s="237" t="n">
        <f aca="false">IF(BV$35&gt;=$AC$344,BV$35-$AC$344+1,0)</f>
        <v>0</v>
      </c>
      <c r="BW346" s="237" t="n">
        <f aca="false">IF(BW$35&gt;=$AC$344,BW$35-$AC$344+1,0)</f>
        <v>0</v>
      </c>
      <c r="BX346" s="237" t="n">
        <f aca="false">IF(BX$35&gt;=$AC$344,BX$35-$AC$344+1,0)</f>
        <v>0</v>
      </c>
      <c r="BY346" s="237" t="n">
        <f aca="false">IF(BY$35&gt;=$AC$344,BY$35-$AC$344+1,0)</f>
        <v>0</v>
      </c>
      <c r="BZ346" s="237" t="n">
        <f aca="false">IF(BZ$35&gt;=$AC$344,BZ$35-$AC$344+1,0)</f>
        <v>0</v>
      </c>
      <c r="CA346" s="237" t="n">
        <f aca="false">IF(CA$35&gt;=$AC$344,CA$35-$AC$344+1,0)</f>
        <v>0</v>
      </c>
      <c r="CB346" s="237" t="n">
        <f aca="false">IF(CB$35&gt;=$AC$344,CB$35-$AC$344+1,0)</f>
        <v>0</v>
      </c>
      <c r="CC346" s="237" t="n">
        <f aca="false">IF(CC$35&gt;=$AC$344,CC$35-$AC$344+1,0)</f>
        <v>0</v>
      </c>
      <c r="CD346" s="237" t="n">
        <f aca="false">IF(CD$35&gt;=$AC$344,CD$35-$AC$344+1,0)</f>
        <v>0</v>
      </c>
      <c r="CE346" s="237" t="n">
        <f aca="false">IF(CE$35&gt;=$AC$344,CE$35-$AC$344+1,0)</f>
        <v>0</v>
      </c>
      <c r="CF346" s="237" t="n">
        <f aca="false">IF(CF$35&gt;=$AC$344,CF$35-$AC$344+1,0)</f>
        <v>0</v>
      </c>
      <c r="CG346" s="237" t="n">
        <f aca="false">IF(CG$35&gt;=$AC$344,CG$35-$AC$344+1,0)</f>
        <v>0</v>
      </c>
      <c r="CH346" s="237" t="n">
        <f aca="false">IF(CH$35&gt;=$AC$344,CH$35-$AC$344+1,0)</f>
        <v>0</v>
      </c>
      <c r="CI346" s="237" t="n">
        <f aca="false">IF(CI$35&gt;=$AC$344,CI$35-$AC$344+1,0)</f>
        <v>0</v>
      </c>
      <c r="CJ346" s="237" t="n">
        <f aca="false">IF(CJ$35&gt;=$AC$344,CJ$35-$AC$344+1,0)</f>
        <v>0</v>
      </c>
      <c r="CK346" s="237" t="n">
        <f aca="false">IF(CK$35&gt;=$AC$344,CK$35-$AC$344+1,0)</f>
        <v>0</v>
      </c>
      <c r="CL346" s="237" t="n">
        <f aca="false">IF(CL$35&gt;=$AC$344,CL$35-$AC$344+1,0)</f>
        <v>0</v>
      </c>
      <c r="CM346" s="237" t="n">
        <f aca="false">IF(CM$35&gt;=$AC$344,CM$35-$AC$344+1,0)</f>
        <v>0</v>
      </c>
      <c r="CN346" s="237" t="n">
        <f aca="false">IF(CN$35&gt;=$AC$344,CN$35-$AC$344+1,0)</f>
        <v>0</v>
      </c>
      <c r="CO346" s="237" t="n">
        <f aca="false">IF(CO$35&gt;=$AC$344,CO$35-$AC$344+1,0)</f>
        <v>0</v>
      </c>
      <c r="CP346" s="237" t="n">
        <f aca="false">IF(CP$35&gt;=$AC$344,CP$35-$AC$344+1,0)</f>
        <v>0</v>
      </c>
      <c r="CQ346" s="237" t="n">
        <f aca="false">IF(CQ$35&gt;=$AC$344,CQ$35-$AC$344+1,0)</f>
        <v>0</v>
      </c>
      <c r="CR346" s="237" t="n">
        <f aca="false">IF(CR$35&gt;=$AC$344,CR$35-$AC$344+1,0)</f>
        <v>0</v>
      </c>
      <c r="CS346" s="237" t="n">
        <f aca="false">IF(CS$35&gt;=$AC$344,CS$35-$AC$344+1,0)</f>
        <v>0</v>
      </c>
      <c r="CT346" s="237" t="n">
        <f aca="false">IF(CT$35&gt;=$AC$344,CT$35-$AC$344+1,0)</f>
        <v>0</v>
      </c>
      <c r="CU346" s="237" t="n">
        <f aca="false">IF(CU$35&gt;=$AC$344,CU$35-$AC$344+1,0)</f>
        <v>0</v>
      </c>
      <c r="CV346" s="237" t="n">
        <f aca="false">IF(CV$35&gt;=$AC$344,CV$35-$AC$344+1,0)</f>
        <v>0</v>
      </c>
      <c r="CW346" s="237" t="n">
        <f aca="false">IF(CW$35&gt;=$AC$344,CW$35-$AC$344+1,0)</f>
        <v>0</v>
      </c>
      <c r="CX346" s="237" t="n">
        <f aca="false">IF(CX$35&gt;=$AC$344,CX$35-$AC$344+1,0)</f>
        <v>0</v>
      </c>
      <c r="CY346" s="237" t="n">
        <f aca="false">IF(CY$35&gt;=$AC$344,CY$35-$AC$344+1,0)</f>
        <v>0</v>
      </c>
      <c r="CZ346" s="237" t="n">
        <f aca="false">IF(CZ$35&gt;=$AC$344,CZ$35-$AC$344+1,0)</f>
        <v>0</v>
      </c>
      <c r="DA346" s="237" t="n">
        <f aca="false">IF(DA$35&gt;=$AC$344,DA$35-$AC$344+1,0)</f>
        <v>0</v>
      </c>
      <c r="DB346" s="237" t="n">
        <f aca="false">IF(DB$35&gt;=$AC$344,DB$35-$AC$344+1,0)</f>
        <v>0</v>
      </c>
      <c r="DC346" s="237" t="n">
        <f aca="false">IF(DC$35&gt;=$AC$344,DC$35-$AC$344+1,0)</f>
        <v>0</v>
      </c>
      <c r="DD346" s="237" t="n">
        <f aca="false">IF(DD$35&gt;=$AC$344,DD$35-$AC$344+1,0)</f>
        <v>0</v>
      </c>
      <c r="DE346" s="237" t="n">
        <f aca="false">IF(DE$35&gt;=$AC$344,DE$35-$AC$344+1,0)</f>
        <v>0</v>
      </c>
      <c r="DF346" s="237" t="n">
        <f aca="false">IF(DF$35&gt;=$AC$344,DF$35-$AC$344+1,0)</f>
        <v>0</v>
      </c>
      <c r="DG346" s="237" t="n">
        <f aca="false">IF(DG$35&gt;=$AC$344,DG$35-$AC$344+1,0)</f>
        <v>0</v>
      </c>
      <c r="DH346" s="237" t="n">
        <f aca="false">IF(DH$35&gt;=$AC$344,DH$35-$AC$344+1,0)</f>
        <v>0</v>
      </c>
      <c r="DI346" s="237" t="n">
        <f aca="false">IF(DI$35&gt;=$AC$344,DI$35-$AC$344+1,0)</f>
        <v>0</v>
      </c>
      <c r="DJ346" s="237" t="n">
        <f aca="false">IF(DJ$35&gt;=$AC$344,DJ$35-$AC$344+1,0)</f>
        <v>0</v>
      </c>
      <c r="DK346" s="237" t="n">
        <f aca="false">IF(DK$35&gt;=$AC$344,DK$35-$AC$344+1,0)</f>
        <v>0</v>
      </c>
      <c r="DL346" s="237" t="n">
        <f aca="false">IF(DL$35&gt;=$AC$344,DL$35-$AC$344+1,0)</f>
        <v>0</v>
      </c>
      <c r="DM346" s="237" t="n">
        <f aca="false">IF(DM$35&gt;=$AC$344,DM$35-$AC$344+1,0)</f>
        <v>0</v>
      </c>
      <c r="DN346" s="237" t="n">
        <f aca="false">IF(DN$35&gt;=$AC$344,DN$35-$AC$344+1,0)</f>
        <v>0</v>
      </c>
      <c r="DO346" s="237" t="n">
        <f aca="false">IF(DO$35&gt;=$AC$344,DO$35-$AC$344+1,0)</f>
        <v>0</v>
      </c>
      <c r="DP346" s="237" t="n">
        <f aca="false">IF(DP$35&gt;=$AC$344,DP$35-$AC$344+1,0)</f>
        <v>0</v>
      </c>
      <c r="DQ346" s="237" t="n">
        <f aca="false">IF(DQ$35&gt;=$AC$344,DQ$35-$AC$344+1,0)</f>
        <v>0</v>
      </c>
      <c r="DR346" s="237" t="n">
        <f aca="false">IF(DR$35&gt;=$AC$344,DR$35-$AC$344+1,0)</f>
        <v>0</v>
      </c>
      <c r="DS346" s="237" t="n">
        <f aca="false">IF(DS$35&gt;=$AC$344,DS$35-$AC$344+1,0)</f>
        <v>0</v>
      </c>
      <c r="DT346" s="237" t="n">
        <f aca="false">IF(DT$35&gt;=$AC$344,DT$35-$AC$344+1,0)</f>
        <v>0</v>
      </c>
      <c r="DU346" s="237" t="n">
        <f aca="false">IF(DU$35&gt;=$AC$344,DU$35-$AC$344+1,0)</f>
        <v>0</v>
      </c>
      <c r="DV346" s="237" t="n">
        <f aca="false">IF(DV$35&gt;=$AC$344,DV$35-$AC$344+1,0)</f>
        <v>0</v>
      </c>
      <c r="DW346" s="237" t="n">
        <f aca="false">IF(DW$35&gt;=$AC$344,DW$35-$AC$344+1,0)</f>
        <v>0</v>
      </c>
      <c r="DX346" s="237" t="n">
        <f aca="false">IF(DX$35&gt;=$AC$344,DX$35-$AC$344+1,0)</f>
        <v>0</v>
      </c>
      <c r="DY346" s="237" t="n">
        <f aca="false">IF(DY$35&gt;=$AC$344,DY$35-$AC$344+1,0)</f>
        <v>0</v>
      </c>
      <c r="DZ346" s="237" t="n">
        <f aca="false">IF(DZ$35&gt;=$AC$344,DZ$35-$AC$344+1,0)</f>
        <v>0</v>
      </c>
      <c r="EA346" s="237" t="n">
        <f aca="false">IF(EA$35&gt;=$AC$344,EA$35-$AC$344+1,0)</f>
        <v>0</v>
      </c>
      <c r="EB346" s="237" t="n">
        <f aca="false">IF(EB$35&gt;=$AC$344,EB$35-$AC$344+1,0)</f>
        <v>0</v>
      </c>
      <c r="EC346" s="237" t="n">
        <f aca="false">IF(EC$35&gt;=$AC$344,EC$35-$AC$344+1,0)</f>
        <v>0</v>
      </c>
      <c r="ED346" s="237" t="n">
        <f aca="false">IF(ED$35&gt;=$AC$344,ED$35-$AC$344+1,0)</f>
        <v>0</v>
      </c>
      <c r="EE346" s="237" t="n">
        <f aca="false">IF(EE$35&gt;=$AC$344,EE$35-$AC$344+1,0)</f>
        <v>1</v>
      </c>
      <c r="EF346" s="237" t="n">
        <f aca="false">IF(EF$35&gt;=$AC$344,EF$35-$AC$344+1,0)</f>
        <v>2</v>
      </c>
      <c r="EG346" s="237" t="n">
        <f aca="false">IF(EG$35&gt;=$AC$344,EG$35-$AC$344+1,0)</f>
        <v>3</v>
      </c>
      <c r="EH346" s="237" t="n">
        <f aca="false">IF(EH$35&gt;=$AC$344,EH$35-$AC$344+1,0)</f>
        <v>4</v>
      </c>
      <c r="EI346" s="237" t="n">
        <f aca="false">IF(EI$35&gt;=$AC$344,EI$35-$AC$344+1,0)</f>
        <v>5</v>
      </c>
      <c r="EJ346" s="237" t="n">
        <f aca="false">IF(EJ$35&gt;=$AC$344,EJ$35-$AC$344+1,0)</f>
        <v>6</v>
      </c>
      <c r="EK346" s="237" t="n">
        <f aca="false">IF(EK$35&gt;=$AC$344,EK$35-$AC$344+1,0)</f>
        <v>7</v>
      </c>
      <c r="EL346" s="237" t="n">
        <f aca="false">IF(EL$35&gt;=$AC$344,EL$35-$AC$344+1,0)</f>
        <v>8</v>
      </c>
      <c r="EM346" s="237" t="n">
        <f aca="false">IF(EM$35&gt;=$AC$344,EM$35-$AC$344+1,0)</f>
        <v>9</v>
      </c>
      <c r="EN346" s="237" t="n">
        <f aca="false">IF(EN$35&gt;=$AC$344,EN$35-$AC$344+1,0)</f>
        <v>10</v>
      </c>
      <c r="EO346" s="237" t="n">
        <f aca="false">IF(EO$35&gt;=$AC$344,EO$35-$AC$344+1,0)</f>
        <v>11</v>
      </c>
      <c r="EP346" s="237" t="n">
        <f aca="false">IF(EP$35&gt;=$AC$344,EP$35-$AC$344+1,0)</f>
        <v>12</v>
      </c>
      <c r="EQ346" s="237" t="n">
        <f aca="false">IF(EQ$35&gt;=$AC$344,EQ$35-$AC$344+1,0)</f>
        <v>13</v>
      </c>
      <c r="ER346" s="237" t="n">
        <f aca="false">IF(ER$35&gt;=$AC$344,ER$35-$AC$344+1,0)</f>
        <v>14</v>
      </c>
      <c r="ES346" s="9" t="n">
        <f aca="false">IF(ES$35&gt;=$AC$344,ES$35-$AC$344+1,0)</f>
        <v>15</v>
      </c>
      <c r="ET346" s="9" t="n">
        <f aca="false">IF(ET$35&gt;=$AC$344,ET$35-$AC$344+1,0)</f>
        <v>16</v>
      </c>
      <c r="EU346" s="9" t="n">
        <f aca="false">IF(EU$35&gt;=$AC$344,EU$35-$AC$344+1,0)</f>
        <v>17</v>
      </c>
      <c r="EV346" s="9" t="n">
        <f aca="false">IF(EV$35&gt;=$AC$344,EV$35-$AC$344+1,0)</f>
        <v>18</v>
      </c>
      <c r="EW346" s="9" t="n">
        <f aca="false">IF(EW$35&gt;=$AC$344,EW$35-$AC$344+1,0)</f>
        <v>19</v>
      </c>
      <c r="EX346" s="9" t="n">
        <f aca="false">IF(EX$35&gt;=$AC$344,EX$35-$AC$344+1,0)</f>
        <v>20</v>
      </c>
      <c r="EY346" s="9" t="n">
        <f aca="false">IF(EY$35&gt;=$AC$344,EY$35-$AC$344+1,0)</f>
        <v>21</v>
      </c>
      <c r="EZ346" s="9" t="n">
        <f aca="false">IF(EZ$35&gt;=$AC$344,EZ$35-$AC$344+1,0)</f>
        <v>22</v>
      </c>
      <c r="FA346" s="9" t="n">
        <f aca="false">IF(FA$35&gt;=$AC$344,FA$35-$AC$344+1,0)</f>
        <v>23</v>
      </c>
      <c r="FB346" s="9" t="n">
        <f aca="false">IF(FB$35&gt;=$AC$344,FB$35-$AC$344+1,0)</f>
        <v>24</v>
      </c>
      <c r="FC346" s="9" t="n">
        <f aca="false">IF(FC$35&gt;=$AC$344,FC$35-$AC$344+1,0)</f>
        <v>25</v>
      </c>
      <c r="FD346" s="9" t="n">
        <f aca="false">IF(FD$35&gt;=$AC$344,FD$35-$AC$344+1,0)</f>
        <v>26</v>
      </c>
      <c r="FE346" s="9" t="n">
        <f aca="false">IF(FE$35&gt;=$AC$344,FE$35-$AC$344+1,0)</f>
        <v>27</v>
      </c>
      <c r="FF346" s="9" t="n">
        <f aca="false">IF(FF$35&gt;=$AC$344,FF$35-$AC$344+1,0)</f>
        <v>28</v>
      </c>
      <c r="FG346" s="9" t="n">
        <f aca="false">IF(FG$35&gt;=$AC$344,FG$35-$AC$344+1,0)</f>
        <v>29</v>
      </c>
      <c r="FH346" s="9" t="n">
        <f aca="false">IF(FH$35&gt;=$AC$344,FH$35-$AC$344+1,0)</f>
        <v>30</v>
      </c>
      <c r="FI346" s="9" t="n">
        <f aca="false">IF(FI$35&gt;=$AC$344,FI$35-$AC$344+1,0)</f>
        <v>31</v>
      </c>
      <c r="FJ346" s="9" t="n">
        <f aca="false">IF(FJ$35&gt;=$AC$344,FJ$35-$AC$344+1,0)</f>
        <v>32</v>
      </c>
      <c r="FK346" s="9" t="n">
        <f aca="false">IF(FK$35&gt;=$AC$344,FK$35-$AC$344+1,0)</f>
        <v>33</v>
      </c>
      <c r="FL346" s="9" t="n">
        <f aca="false">IF(FL$35&gt;=$AC$344,FL$35-$AC$344+1,0)</f>
        <v>34</v>
      </c>
      <c r="FM346" s="9" t="n">
        <f aca="false">IF(FM$35&gt;=$AC$344,FM$35-$AC$344+1,0)</f>
        <v>35</v>
      </c>
      <c r="FN346" s="9" t="n">
        <f aca="false">IF(FN$35&gt;=$AC$344,FN$35-$AC$344+1,0)</f>
        <v>36</v>
      </c>
      <c r="FO346" s="9" t="n">
        <f aca="false">IF(FO$35&gt;=$AC$344,FO$35-$AC$344+1,0)</f>
        <v>37</v>
      </c>
      <c r="FP346" s="9" t="n">
        <f aca="false">IF(FP$35&gt;=$AC$344,FP$35-$AC$344+1,0)</f>
        <v>38</v>
      </c>
    </row>
    <row r="347" customFormat="false" ht="15" hidden="false" customHeight="false" outlineLevel="2" collapsed="false">
      <c r="B347" s="47" t="s">
        <v>874</v>
      </c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237" t="n">
        <f aca="false" t="array" ref="AC347:AC347">IF(AC346=0,0,IF(AC346/'🎚️ Escenario'!$C$11&gt;=36,$AL$23,INDEX($C$23:$AL$23,MAX(1,ROUNDUP(AC346/'🎚️ Escenario'!$C$11,0)))))</f>
        <v>0</v>
      </c>
      <c r="AD347" s="237" t="n">
        <f aca="false" t="array" ref="AD347:AD347">IF(AD346=0,0,IF(AD346/'🎚️ Escenario'!$C$11&gt;=36,$AL$23,INDEX($C$23:$AL$23,MAX(1,ROUNDUP(AD346/'🎚️ Escenario'!$C$11,0)))))</f>
        <v>0</v>
      </c>
      <c r="AE347" s="237" t="n">
        <f aca="false" t="array" ref="AE347:AE347">IF(AE346=0,0,IF(AE346/'🎚️ Escenario'!$C$11&gt;=36,$AL$23,INDEX($C$23:$AL$23,MAX(1,ROUNDUP(AE346/'🎚️ Escenario'!$C$11,0)))))</f>
        <v>0</v>
      </c>
      <c r="AF347" s="237" t="n">
        <f aca="false" t="array" ref="AF347:AF347">IF(AF346=0,0,IF(AF346/'🎚️ Escenario'!$C$11&gt;=36,$AL$23,INDEX($C$23:$AL$23,MAX(1,ROUNDUP(AF346/'🎚️ Escenario'!$C$11,0)))))</f>
        <v>0</v>
      </c>
      <c r="AG347" s="237" t="n">
        <f aca="false" t="array" ref="AG347:AG347">IF(AG346=0,0,IF(AG346/'🎚️ Escenario'!$C$11&gt;=36,$AL$23,INDEX($C$23:$AL$23,MAX(1,ROUNDUP(AG346/'🎚️ Escenario'!$C$11,0)))))</f>
        <v>0</v>
      </c>
      <c r="AH347" s="237" t="n">
        <f aca="false" t="array" ref="AH347:AH347">IF(AH346=0,0,IF(AH346/'🎚️ Escenario'!$C$11&gt;=36,$AL$23,INDEX($C$23:$AL$23,MAX(1,ROUNDUP(AH346/'🎚️ Escenario'!$C$11,0)))))</f>
        <v>0</v>
      </c>
      <c r="AI347" s="237" t="n">
        <f aca="false" t="array" ref="AI347:AI347">IF(AI346=0,0,IF(AI346/'🎚️ Escenario'!$C$11&gt;=36,$AL$23,INDEX($C$23:$AL$23,MAX(1,ROUNDUP(AI346/'🎚️ Escenario'!$C$11,0)))))</f>
        <v>0</v>
      </c>
      <c r="AJ347" s="237" t="n">
        <f aca="false" t="array" ref="AJ347:AJ347">IF(AJ346=0,0,IF(AJ346/'🎚️ Escenario'!$C$11&gt;=36,$AL$23,INDEX($C$23:$AL$23,MAX(1,ROUNDUP(AJ346/'🎚️ Escenario'!$C$11,0)))))</f>
        <v>0</v>
      </c>
      <c r="AK347" s="237" t="n">
        <f aca="false" t="array" ref="AK347:AK347">IF(AK346=0,0,IF(AK346/'🎚️ Escenario'!$C$11&gt;=36,$AL$23,INDEX($C$23:$AL$23,MAX(1,ROUNDUP(AK346/'🎚️ Escenario'!$C$11,0)))))</f>
        <v>0</v>
      </c>
      <c r="AL347" s="237" t="n">
        <f aca="false" t="array" ref="AL347:AL347">IF(AL346=0,0,IF(AL346/'🎚️ Escenario'!$C$11&gt;=36,$AL$23,INDEX($C$23:$AL$23,MAX(1,ROUNDUP(AL346/'🎚️ Escenario'!$C$11,0)))))</f>
        <v>0</v>
      </c>
      <c r="AM347" s="237" t="n">
        <f aca="false" t="array" ref="AM347:AM347">IF(AM346=0,0,IF(AM346/'🎚️ Escenario'!$C$11&gt;=36,$AL$23,INDEX($C$23:$AL$23,MAX(1,ROUNDUP(AM346/'🎚️ Escenario'!$C$11,0)))))</f>
        <v>0</v>
      </c>
      <c r="AN347" s="237" t="n">
        <f aca="false" t="array" ref="AN347:AN347">IF(AN346=0,0,IF(AN346/'🎚️ Escenario'!$C$11&gt;=36,$AL$23,INDEX($C$23:$AL$23,MAX(1,ROUNDUP(AN346/'🎚️ Escenario'!$C$11,0)))))</f>
        <v>0</v>
      </c>
      <c r="AO347" s="237" t="n">
        <f aca="false" t="array" ref="AO347:AO347">IF(AO346=0,0,IF(AO346/'🎚️ Escenario'!$C$11&gt;=36,$AL$23,INDEX($C$23:$AL$23,MAX(1,ROUNDUP(AO346/'🎚️ Escenario'!$C$11,0)))))</f>
        <v>0</v>
      </c>
      <c r="AP347" s="237" t="n">
        <f aca="false" t="array" ref="AP347:AP347">IF(AP346=0,0,IF(AP346/'🎚️ Escenario'!$C$11&gt;=36,$AL$23,INDEX($C$23:$AL$23,MAX(1,ROUNDUP(AP346/'🎚️ Escenario'!$C$11,0)))))</f>
        <v>0</v>
      </c>
      <c r="AQ347" s="237" t="n">
        <f aca="false" t="array" ref="AQ347:AQ347">IF(AQ346=0,0,IF(AQ346/'🎚️ Escenario'!$C$11&gt;=36,$AL$23,INDEX($C$23:$AL$23,MAX(1,ROUNDUP(AQ346/'🎚️ Escenario'!$C$11,0)))))</f>
        <v>0</v>
      </c>
      <c r="AR347" s="237" t="n">
        <f aca="false" t="array" ref="AR347:AR347">IF(AR346=0,0,IF(AR346/'🎚️ Escenario'!$C$11&gt;=36,$AL$23,INDEX($C$23:$AL$23,MAX(1,ROUNDUP(AR346/'🎚️ Escenario'!$C$11,0)))))</f>
        <v>0</v>
      </c>
      <c r="AS347" s="237" t="n">
        <f aca="false" t="array" ref="AS347:AS347">IF(AS346=0,0,IF(AS346/'🎚️ Escenario'!$C$11&gt;=36,$AL$23,INDEX($C$23:$AL$23,MAX(1,ROUNDUP(AS346/'🎚️ Escenario'!$C$11,0)))))</f>
        <v>0</v>
      </c>
      <c r="AT347" s="237" t="n">
        <f aca="false" t="array" ref="AT347:AT347">IF(AT346=0,0,IF(AT346/'🎚️ Escenario'!$C$11&gt;=36,$AL$23,INDEX($C$23:$AL$23,MAX(1,ROUNDUP(AT346/'🎚️ Escenario'!$C$11,0)))))</f>
        <v>0</v>
      </c>
      <c r="AU347" s="237" t="n">
        <f aca="false" t="array" ref="AU347:AU347">IF(AU346=0,0,IF(AU346/'🎚️ Escenario'!$C$11&gt;=36,$AL$23,INDEX($C$23:$AL$23,MAX(1,ROUNDUP(AU346/'🎚️ Escenario'!$C$11,0)))))</f>
        <v>0</v>
      </c>
      <c r="AV347" s="237" t="n">
        <f aca="false" t="array" ref="AV347:AV347">IF(AV346=0,0,IF(AV346/'🎚️ Escenario'!$C$11&gt;=36,$AL$23,INDEX($C$23:$AL$23,MAX(1,ROUNDUP(AV346/'🎚️ Escenario'!$C$11,0)))))</f>
        <v>0</v>
      </c>
      <c r="AW347" s="237" t="n">
        <f aca="false" t="array" ref="AW347:AW347">IF(AW346=0,0,IF(AW346/'🎚️ Escenario'!$C$11&gt;=36,$AL$23,INDEX($C$23:$AL$23,MAX(1,ROUNDUP(AW346/'🎚️ Escenario'!$C$11,0)))))</f>
        <v>0</v>
      </c>
      <c r="AX347" s="237" t="n">
        <f aca="false" t="array" ref="AX347:AX347">IF(AX346=0,0,IF(AX346/'🎚️ Escenario'!$C$11&gt;=36,$AL$23,INDEX($C$23:$AL$23,MAX(1,ROUNDUP(AX346/'🎚️ Escenario'!$C$11,0)))))</f>
        <v>0</v>
      </c>
      <c r="AY347" s="237" t="n">
        <f aca="false" t="array" ref="AY347:AY347">IF(AY346=0,0,IF(AY346/'🎚️ Escenario'!$C$11&gt;=36,$AL$23,INDEX($C$23:$AL$23,MAX(1,ROUNDUP(AY346/'🎚️ Escenario'!$C$11,0)))))</f>
        <v>0</v>
      </c>
      <c r="AZ347" s="237" t="n">
        <f aca="false" t="array" ref="AZ347:AZ347">IF(AZ346=0,0,IF(AZ346/'🎚️ Escenario'!$C$11&gt;=36,$AL$23,INDEX($C$23:$AL$23,MAX(1,ROUNDUP(AZ346/'🎚️ Escenario'!$C$11,0)))))</f>
        <v>0</v>
      </c>
      <c r="BA347" s="237" t="n">
        <f aca="false" t="array" ref="BA347:BA347">IF(BA346=0,0,IF(BA346/'🎚️ Escenario'!$C$11&gt;=36,$AL$23,INDEX($C$23:$AL$23,MAX(1,ROUNDUP(BA346/'🎚️ Escenario'!$C$11,0)))))</f>
        <v>0</v>
      </c>
      <c r="BB347" s="237" t="n">
        <f aca="false" t="array" ref="BB347:BB347">IF(BB346=0,0,IF(BB346/'🎚️ Escenario'!$C$11&gt;=36,$AL$23,INDEX($C$23:$AL$23,MAX(1,ROUNDUP(BB346/'🎚️ Escenario'!$C$11,0)))))</f>
        <v>0</v>
      </c>
      <c r="BC347" s="237" t="n">
        <f aca="false" t="array" ref="BC347:BC347">IF(BC346=0,0,IF(BC346/'🎚️ Escenario'!$C$11&gt;=36,$AL$23,INDEX($C$23:$AL$23,MAX(1,ROUNDUP(BC346/'🎚️ Escenario'!$C$11,0)))))</f>
        <v>0</v>
      </c>
      <c r="BD347" s="237" t="n">
        <f aca="false" t="array" ref="BD347:BD347">IF(BD346=0,0,IF(BD346/'🎚️ Escenario'!$C$11&gt;=36,$AL$23,INDEX($C$23:$AL$23,MAX(1,ROUNDUP(BD346/'🎚️ Escenario'!$C$11,0)))))</f>
        <v>0</v>
      </c>
      <c r="BE347" s="237" t="n">
        <f aca="false" t="array" ref="BE347:BE347">IF(BE346=0,0,IF(BE346/'🎚️ Escenario'!$C$11&gt;=36,$AL$23,INDEX($C$23:$AL$23,MAX(1,ROUNDUP(BE346/'🎚️ Escenario'!$C$11,0)))))</f>
        <v>0</v>
      </c>
      <c r="BF347" s="237" t="n">
        <f aca="false" t="array" ref="BF347:BF347">IF(BF346=0,0,IF(BF346/'🎚️ Escenario'!$C$11&gt;=36,$AL$23,INDEX($C$23:$AL$23,MAX(1,ROUNDUP(BF346/'🎚️ Escenario'!$C$11,0)))))</f>
        <v>0</v>
      </c>
      <c r="BG347" s="237" t="n">
        <f aca="false" t="array" ref="BG347:BG347">IF(BG346=0,0,IF(BG346/'🎚️ Escenario'!$C$11&gt;=36,$AL$23,INDEX($C$23:$AL$23,MAX(1,ROUNDUP(BG346/'🎚️ Escenario'!$C$11,0)))))</f>
        <v>0</v>
      </c>
      <c r="BH347" s="237" t="n">
        <f aca="false" t="array" ref="BH347:BH347">IF(BH346=0,0,IF(BH346/'🎚️ Escenario'!$C$11&gt;=36,$AL$23,INDEX($C$23:$AL$23,MAX(1,ROUNDUP(BH346/'🎚️ Escenario'!$C$11,0)))))</f>
        <v>0</v>
      </c>
      <c r="BI347" s="237" t="n">
        <f aca="false" t="array" ref="BI347:BI347">IF(BI346=0,0,IF(BI346/'🎚️ Escenario'!$C$11&gt;=36,$AL$23,INDEX($C$23:$AL$23,MAX(1,ROUNDUP(BI346/'🎚️ Escenario'!$C$11,0)))))</f>
        <v>0</v>
      </c>
      <c r="BJ347" s="237" t="n">
        <f aca="false" t="array" ref="BJ347:BJ347">IF(BJ346=0,0,IF(BJ346/'🎚️ Escenario'!$C$11&gt;=36,$AL$23,INDEX($C$23:$AL$23,MAX(1,ROUNDUP(BJ346/'🎚️ Escenario'!$C$11,0)))))</f>
        <v>0</v>
      </c>
      <c r="BK347" s="237" t="n">
        <f aca="false" t="array" ref="BK347:BK347">IF(BK346=0,0,IF(BK346/'🎚️ Escenario'!$C$11&gt;=36,$AL$23,INDEX($C$23:$AL$23,MAX(1,ROUNDUP(BK346/'🎚️ Escenario'!$C$11,0)))))</f>
        <v>0</v>
      </c>
      <c r="BL347" s="237" t="n">
        <f aca="false" t="array" ref="BL347:BL347">IF(BL346=0,0,IF(BL346/'🎚️ Escenario'!$C$11&gt;=36,$AL$23,INDEX($C$23:$AL$23,MAX(1,ROUNDUP(BL346/'🎚️ Escenario'!$C$11,0)))))</f>
        <v>0</v>
      </c>
      <c r="BM347" s="237" t="n">
        <f aca="false" t="array" ref="BM347:BM347">IF(BM346=0,0,IF(BM346/'🎚️ Escenario'!$C$11&gt;=36,$AL$23,INDEX($C$23:$AL$23,MAX(1,ROUNDUP(BM346/'🎚️ Escenario'!$C$11,0)))))</f>
        <v>0</v>
      </c>
      <c r="BN347" s="237" t="n">
        <f aca="false" t="array" ref="BN347:BN347">IF(BN346=0,0,IF(BN346/'🎚️ Escenario'!$C$11&gt;=36,$AL$23,INDEX($C$23:$AL$23,MAX(1,ROUNDUP(BN346/'🎚️ Escenario'!$C$11,0)))))</f>
        <v>0</v>
      </c>
      <c r="BO347" s="237" t="n">
        <f aca="false" t="array" ref="BO347:BO347">IF(BO346=0,0,IF(BO346/'🎚️ Escenario'!$C$11&gt;=36,$AL$23,INDEX($C$23:$AL$23,MAX(1,ROUNDUP(BO346/'🎚️ Escenario'!$C$11,0)))))</f>
        <v>0</v>
      </c>
      <c r="BP347" s="237" t="n">
        <f aca="false" t="array" ref="BP347:BP347">IF(BP346=0,0,IF(BP346/'🎚️ Escenario'!$C$11&gt;=36,$AL$23,INDEX($C$23:$AL$23,MAX(1,ROUNDUP(BP346/'🎚️ Escenario'!$C$11,0)))))</f>
        <v>0</v>
      </c>
      <c r="BQ347" s="237" t="n">
        <f aca="false" t="array" ref="BQ347:BQ347">IF(BQ346=0,0,IF(BQ346/'🎚️ Escenario'!$C$11&gt;=36,$AL$23,INDEX($C$23:$AL$23,MAX(1,ROUNDUP(BQ346/'🎚️ Escenario'!$C$11,0)))))</f>
        <v>0</v>
      </c>
      <c r="BR347" s="237" t="n">
        <f aca="false" t="array" ref="BR347:BR347">IF(BR346=0,0,IF(BR346/'🎚️ Escenario'!$C$11&gt;=36,$AL$23,INDEX($C$23:$AL$23,MAX(1,ROUNDUP(BR346/'🎚️ Escenario'!$C$11,0)))))</f>
        <v>0</v>
      </c>
      <c r="BS347" s="237" t="n">
        <f aca="false" t="array" ref="BS347:BS347">IF(BS346=0,0,IF(BS346/'🎚️ Escenario'!$C$11&gt;=36,$AL$23,INDEX($C$23:$AL$23,MAX(1,ROUNDUP(BS346/'🎚️ Escenario'!$C$11,0)))))</f>
        <v>0</v>
      </c>
      <c r="BT347" s="237" t="n">
        <f aca="false" t="array" ref="BT347:BT347">IF(BT346=0,0,IF(BT346/'🎚️ Escenario'!$C$11&gt;=36,$AL$23,INDEX($C$23:$AL$23,MAX(1,ROUNDUP(BT346/'🎚️ Escenario'!$C$11,0)))))</f>
        <v>0</v>
      </c>
      <c r="BU347" s="237" t="n">
        <f aca="false" t="array" ref="BU347:BU347">IF(BU346=0,0,IF(BU346/'🎚️ Escenario'!$C$11&gt;=36,$AL$23,INDEX($C$23:$AL$23,MAX(1,ROUNDUP(BU346/'🎚️ Escenario'!$C$11,0)))))</f>
        <v>0</v>
      </c>
      <c r="BV347" s="237" t="n">
        <f aca="false" t="array" ref="BV347:BV347">IF(BV346=0,0,IF(BV346/'🎚️ Escenario'!$C$11&gt;=36,$AL$23,INDEX($C$23:$AL$23,MAX(1,ROUNDUP(BV346/'🎚️ Escenario'!$C$11,0)))))</f>
        <v>0</v>
      </c>
      <c r="BW347" s="237" t="n">
        <f aca="false" t="array" ref="BW347:BW347">IF(BW346=0,0,IF(BW346/'🎚️ Escenario'!$C$11&gt;=36,$AL$23,INDEX($C$23:$AL$23,MAX(1,ROUNDUP(BW346/'🎚️ Escenario'!$C$11,0)))))</f>
        <v>0</v>
      </c>
      <c r="BX347" s="237" t="n">
        <f aca="false" t="array" ref="BX347:BX347">IF(BX346=0,0,IF(BX346/'🎚️ Escenario'!$C$11&gt;=36,$AL$23,INDEX($C$23:$AL$23,MAX(1,ROUNDUP(BX346/'🎚️ Escenario'!$C$11,0)))))</f>
        <v>0</v>
      </c>
      <c r="BY347" s="237" t="n">
        <f aca="false" t="array" ref="BY347:BY347">IF(BY346=0,0,IF(BY346/'🎚️ Escenario'!$C$11&gt;=36,$AL$23,INDEX($C$23:$AL$23,MAX(1,ROUNDUP(BY346/'🎚️ Escenario'!$C$11,0)))))</f>
        <v>0</v>
      </c>
      <c r="BZ347" s="237" t="n">
        <f aca="false" t="array" ref="BZ347:BZ347">IF(BZ346=0,0,IF(BZ346/'🎚️ Escenario'!$C$11&gt;=36,$AL$23,INDEX($C$23:$AL$23,MAX(1,ROUNDUP(BZ346/'🎚️ Escenario'!$C$11,0)))))</f>
        <v>0</v>
      </c>
      <c r="CA347" s="237" t="n">
        <f aca="false" t="array" ref="CA347:CA347">IF(CA346=0,0,IF(CA346/'🎚️ Escenario'!$C$11&gt;=36,$AL$23,INDEX($C$23:$AL$23,MAX(1,ROUNDUP(CA346/'🎚️ Escenario'!$C$11,0)))))</f>
        <v>0</v>
      </c>
      <c r="CB347" s="237" t="n">
        <f aca="false" t="array" ref="CB347:CB347">IF(CB346=0,0,IF(CB346/'🎚️ Escenario'!$C$11&gt;=36,$AL$23,INDEX($C$23:$AL$23,MAX(1,ROUNDUP(CB346/'🎚️ Escenario'!$C$11,0)))))</f>
        <v>0</v>
      </c>
      <c r="CC347" s="237" t="n">
        <f aca="false" t="array" ref="CC347:CC347">IF(CC346=0,0,IF(CC346/'🎚️ Escenario'!$C$11&gt;=36,$AL$23,INDEX($C$23:$AL$23,MAX(1,ROUNDUP(CC346/'🎚️ Escenario'!$C$11,0)))))</f>
        <v>0</v>
      </c>
      <c r="CD347" s="237" t="n">
        <f aca="false" t="array" ref="CD347:CD347">IF(CD346=0,0,IF(CD346/'🎚️ Escenario'!$C$11&gt;=36,$AL$23,INDEX($C$23:$AL$23,MAX(1,ROUNDUP(CD346/'🎚️ Escenario'!$C$11,0)))))</f>
        <v>0</v>
      </c>
      <c r="CE347" s="237" t="n">
        <f aca="false" t="array" ref="CE347:CE347">IF(CE346=0,0,IF(CE346/'🎚️ Escenario'!$C$11&gt;=36,$AL$23,INDEX($C$23:$AL$23,MAX(1,ROUNDUP(CE346/'🎚️ Escenario'!$C$11,0)))))</f>
        <v>0</v>
      </c>
      <c r="CF347" s="237" t="n">
        <f aca="false" t="array" ref="CF347:CF347">IF(CF346=0,0,IF(CF346/'🎚️ Escenario'!$C$11&gt;=36,$AL$23,INDEX($C$23:$AL$23,MAX(1,ROUNDUP(CF346/'🎚️ Escenario'!$C$11,0)))))</f>
        <v>0</v>
      </c>
      <c r="CG347" s="237" t="n">
        <f aca="false" t="array" ref="CG347:CG347">IF(CG346=0,0,IF(CG346/'🎚️ Escenario'!$C$11&gt;=36,$AL$23,INDEX($C$23:$AL$23,MAX(1,ROUNDUP(CG346/'🎚️ Escenario'!$C$11,0)))))</f>
        <v>0</v>
      </c>
      <c r="CH347" s="237" t="n">
        <f aca="false" t="array" ref="CH347:CH347">IF(CH346=0,0,IF(CH346/'🎚️ Escenario'!$C$11&gt;=36,$AL$23,INDEX($C$23:$AL$23,MAX(1,ROUNDUP(CH346/'🎚️ Escenario'!$C$11,0)))))</f>
        <v>0</v>
      </c>
      <c r="CI347" s="237" t="n">
        <f aca="false" t="array" ref="CI347:CI347">IF(CI346=0,0,IF(CI346/'🎚️ Escenario'!$C$11&gt;=36,$AL$23,INDEX($C$23:$AL$23,MAX(1,ROUNDUP(CI346/'🎚️ Escenario'!$C$11,0)))))</f>
        <v>0</v>
      </c>
      <c r="CJ347" s="237" t="n">
        <f aca="false" t="array" ref="CJ347:CJ347">IF(CJ346=0,0,IF(CJ346/'🎚️ Escenario'!$C$11&gt;=36,$AL$23,INDEX($C$23:$AL$23,MAX(1,ROUNDUP(CJ346/'🎚️ Escenario'!$C$11,0)))))</f>
        <v>0</v>
      </c>
      <c r="CK347" s="237" t="n">
        <f aca="false" t="array" ref="CK347:CK347">IF(CK346=0,0,IF(CK346/'🎚️ Escenario'!$C$11&gt;=36,$AL$23,INDEX($C$23:$AL$23,MAX(1,ROUNDUP(CK346/'🎚️ Escenario'!$C$11,0)))))</f>
        <v>0</v>
      </c>
      <c r="CL347" s="237" t="n">
        <f aca="false" t="array" ref="CL347:CL347">IF(CL346=0,0,IF(CL346/'🎚️ Escenario'!$C$11&gt;=36,$AL$23,INDEX($C$23:$AL$23,MAX(1,ROUNDUP(CL346/'🎚️ Escenario'!$C$11,0)))))</f>
        <v>0</v>
      </c>
      <c r="CM347" s="237" t="n">
        <f aca="false" t="array" ref="CM347:CM347">IF(CM346=0,0,IF(CM346/'🎚️ Escenario'!$C$11&gt;=36,$AL$23,INDEX($C$23:$AL$23,MAX(1,ROUNDUP(CM346/'🎚️ Escenario'!$C$11,0)))))</f>
        <v>0</v>
      </c>
      <c r="CN347" s="237" t="n">
        <f aca="false" t="array" ref="CN347:CN347">IF(CN346=0,0,IF(CN346/'🎚️ Escenario'!$C$11&gt;=36,$AL$23,INDEX($C$23:$AL$23,MAX(1,ROUNDUP(CN346/'🎚️ Escenario'!$C$11,0)))))</f>
        <v>0</v>
      </c>
      <c r="CO347" s="237" t="n">
        <f aca="false" t="array" ref="CO347:CO347">IF(CO346=0,0,IF(CO346/'🎚️ Escenario'!$C$11&gt;=36,$AL$23,INDEX($C$23:$AL$23,MAX(1,ROUNDUP(CO346/'🎚️ Escenario'!$C$11,0)))))</f>
        <v>0</v>
      </c>
      <c r="CP347" s="237" t="n">
        <f aca="false" t="array" ref="CP347:CP347">IF(CP346=0,0,IF(CP346/'🎚️ Escenario'!$C$11&gt;=36,$AL$23,INDEX($C$23:$AL$23,MAX(1,ROUNDUP(CP346/'🎚️ Escenario'!$C$11,0)))))</f>
        <v>0</v>
      </c>
      <c r="CQ347" s="237" t="n">
        <f aca="false" t="array" ref="CQ347:CQ347">IF(CQ346=0,0,IF(CQ346/'🎚️ Escenario'!$C$11&gt;=36,$AL$23,INDEX($C$23:$AL$23,MAX(1,ROUNDUP(CQ346/'🎚️ Escenario'!$C$11,0)))))</f>
        <v>0</v>
      </c>
      <c r="CR347" s="237" t="n">
        <f aca="false" t="array" ref="CR347:CR347">IF(CR346=0,0,IF(CR346/'🎚️ Escenario'!$C$11&gt;=36,$AL$23,INDEX($C$23:$AL$23,MAX(1,ROUNDUP(CR346/'🎚️ Escenario'!$C$11,0)))))</f>
        <v>0</v>
      </c>
      <c r="CS347" s="237" t="n">
        <f aca="false" t="array" ref="CS347:CS347">IF(CS346=0,0,IF(CS346/'🎚️ Escenario'!$C$11&gt;=36,$AL$23,INDEX($C$23:$AL$23,MAX(1,ROUNDUP(CS346/'🎚️ Escenario'!$C$11,0)))))</f>
        <v>0</v>
      </c>
      <c r="CT347" s="237" t="n">
        <f aca="false" t="array" ref="CT347:CT347">IF(CT346=0,0,IF(CT346/'🎚️ Escenario'!$C$11&gt;=36,$AL$23,INDEX($C$23:$AL$23,MAX(1,ROUNDUP(CT346/'🎚️ Escenario'!$C$11,0)))))</f>
        <v>0</v>
      </c>
      <c r="CU347" s="237" t="n">
        <f aca="false" t="array" ref="CU347:CU347">IF(CU346=0,0,IF(CU346/'🎚️ Escenario'!$C$11&gt;=36,$AL$23,INDEX($C$23:$AL$23,MAX(1,ROUNDUP(CU346/'🎚️ Escenario'!$C$11,0)))))</f>
        <v>0</v>
      </c>
      <c r="CV347" s="237" t="n">
        <f aca="false" t="array" ref="CV347:CV347">IF(CV346=0,0,IF(CV346/'🎚️ Escenario'!$C$11&gt;=36,$AL$23,INDEX($C$23:$AL$23,MAX(1,ROUNDUP(CV346/'🎚️ Escenario'!$C$11,0)))))</f>
        <v>0</v>
      </c>
      <c r="CW347" s="237" t="n">
        <f aca="false" t="array" ref="CW347:CW347">IF(CW346=0,0,IF(CW346/'🎚️ Escenario'!$C$11&gt;=36,$AL$23,INDEX($C$23:$AL$23,MAX(1,ROUNDUP(CW346/'🎚️ Escenario'!$C$11,0)))))</f>
        <v>0</v>
      </c>
      <c r="CX347" s="237" t="n">
        <f aca="false" t="array" ref="CX347:CX347">IF(CX346=0,0,IF(CX346/'🎚️ Escenario'!$C$11&gt;=36,$AL$23,INDEX($C$23:$AL$23,MAX(1,ROUNDUP(CX346/'🎚️ Escenario'!$C$11,0)))))</f>
        <v>0</v>
      </c>
      <c r="CY347" s="237" t="n">
        <f aca="false" t="array" ref="CY347:CY347">IF(CY346=0,0,IF(CY346/'🎚️ Escenario'!$C$11&gt;=36,$AL$23,INDEX($C$23:$AL$23,MAX(1,ROUNDUP(CY346/'🎚️ Escenario'!$C$11,0)))))</f>
        <v>0</v>
      </c>
      <c r="CZ347" s="237" t="n">
        <f aca="false" t="array" ref="CZ347:CZ347">IF(CZ346=0,0,IF(CZ346/'🎚️ Escenario'!$C$11&gt;=36,$AL$23,INDEX($C$23:$AL$23,MAX(1,ROUNDUP(CZ346/'🎚️ Escenario'!$C$11,0)))))</f>
        <v>0</v>
      </c>
      <c r="DA347" s="237" t="n">
        <f aca="false" t="array" ref="DA347:DA347">IF(DA346=0,0,IF(DA346/'🎚️ Escenario'!$C$11&gt;=36,$AL$23,INDEX($C$23:$AL$23,MAX(1,ROUNDUP(DA346/'🎚️ Escenario'!$C$11,0)))))</f>
        <v>0</v>
      </c>
      <c r="DB347" s="237" t="n">
        <f aca="false" t="array" ref="DB347:DB347">IF(DB346=0,0,IF(DB346/'🎚️ Escenario'!$C$11&gt;=36,$AL$23,INDEX($C$23:$AL$23,MAX(1,ROUNDUP(DB346/'🎚️ Escenario'!$C$11,0)))))</f>
        <v>0</v>
      </c>
      <c r="DC347" s="237" t="n">
        <f aca="false" t="array" ref="DC347:DC347">IF(DC346=0,0,IF(DC346/'🎚️ Escenario'!$C$11&gt;=36,$AL$23,INDEX($C$23:$AL$23,MAX(1,ROUNDUP(DC346/'🎚️ Escenario'!$C$11,0)))))</f>
        <v>0</v>
      </c>
      <c r="DD347" s="237" t="n">
        <f aca="false" t="array" ref="DD347:DD347">IF(DD346=0,0,IF(DD346/'🎚️ Escenario'!$C$11&gt;=36,$AL$23,INDEX($C$23:$AL$23,MAX(1,ROUNDUP(DD346/'🎚️ Escenario'!$C$11,0)))))</f>
        <v>0</v>
      </c>
      <c r="DE347" s="237" t="n">
        <f aca="false" t="array" ref="DE347:DE347">IF(DE346=0,0,IF(DE346/'🎚️ Escenario'!$C$11&gt;=36,$AL$23,INDEX($C$23:$AL$23,MAX(1,ROUNDUP(DE346/'🎚️ Escenario'!$C$11,0)))))</f>
        <v>0</v>
      </c>
      <c r="DF347" s="237" t="n">
        <f aca="false" t="array" ref="DF347:DF347">IF(DF346=0,0,IF(DF346/'🎚️ Escenario'!$C$11&gt;=36,$AL$23,INDEX($C$23:$AL$23,MAX(1,ROUNDUP(DF346/'🎚️ Escenario'!$C$11,0)))))</f>
        <v>0</v>
      </c>
      <c r="DG347" s="237" t="n">
        <f aca="false" t="array" ref="DG347:DG347">IF(DG346=0,0,IF(DG346/'🎚️ Escenario'!$C$11&gt;=36,$AL$23,INDEX($C$23:$AL$23,MAX(1,ROUNDUP(DG346/'🎚️ Escenario'!$C$11,0)))))</f>
        <v>0</v>
      </c>
      <c r="DH347" s="237" t="n">
        <f aca="false" t="array" ref="DH347:DH347">IF(DH346=0,0,IF(DH346/'🎚️ Escenario'!$C$11&gt;=36,$AL$23,INDEX($C$23:$AL$23,MAX(1,ROUNDUP(DH346/'🎚️ Escenario'!$C$11,0)))))</f>
        <v>0</v>
      </c>
      <c r="DI347" s="237" t="n">
        <f aca="false" t="array" ref="DI347:DI347">IF(DI346=0,0,IF(DI346/'🎚️ Escenario'!$C$11&gt;=36,$AL$23,INDEX($C$23:$AL$23,MAX(1,ROUNDUP(DI346/'🎚️ Escenario'!$C$11,0)))))</f>
        <v>0</v>
      </c>
      <c r="DJ347" s="237" t="n">
        <f aca="false" t="array" ref="DJ347:DJ347">IF(DJ346=0,0,IF(DJ346/'🎚️ Escenario'!$C$11&gt;=36,$AL$23,INDEX($C$23:$AL$23,MAX(1,ROUNDUP(DJ346/'🎚️ Escenario'!$C$11,0)))))</f>
        <v>0</v>
      </c>
      <c r="DK347" s="237" t="n">
        <f aca="false" t="array" ref="DK347:DK347">IF(DK346=0,0,IF(DK346/'🎚️ Escenario'!$C$11&gt;=36,$AL$23,INDEX($C$23:$AL$23,MAX(1,ROUNDUP(DK346/'🎚️ Escenario'!$C$11,0)))))</f>
        <v>0</v>
      </c>
      <c r="DL347" s="237" t="n">
        <f aca="false" t="array" ref="DL347:DL347">IF(DL346=0,0,IF(DL346/'🎚️ Escenario'!$C$11&gt;=36,$AL$23,INDEX($C$23:$AL$23,MAX(1,ROUNDUP(DL346/'🎚️ Escenario'!$C$11,0)))))</f>
        <v>0</v>
      </c>
      <c r="DM347" s="237" t="n">
        <f aca="false" t="array" ref="DM347:DM347">IF(DM346=0,0,IF(DM346/'🎚️ Escenario'!$C$11&gt;=36,$AL$23,INDEX($C$23:$AL$23,MAX(1,ROUNDUP(DM346/'🎚️ Escenario'!$C$11,0)))))</f>
        <v>0</v>
      </c>
      <c r="DN347" s="237" t="n">
        <f aca="false" t="array" ref="DN347:DN347">IF(DN346=0,0,IF(DN346/'🎚️ Escenario'!$C$11&gt;=36,$AL$23,INDEX($C$23:$AL$23,MAX(1,ROUNDUP(DN346/'🎚️ Escenario'!$C$11,0)))))</f>
        <v>0</v>
      </c>
      <c r="DO347" s="237" t="n">
        <f aca="false" t="array" ref="DO347:DO347">IF(DO346=0,0,IF(DO346/'🎚️ Escenario'!$C$11&gt;=36,$AL$23,INDEX($C$23:$AL$23,MAX(1,ROUNDUP(DO346/'🎚️ Escenario'!$C$11,0)))))</f>
        <v>0</v>
      </c>
      <c r="DP347" s="237" t="n">
        <f aca="false" t="array" ref="DP347:DP347">IF(DP346=0,0,IF(DP346/'🎚️ Escenario'!$C$11&gt;=36,$AL$23,INDEX($C$23:$AL$23,MAX(1,ROUNDUP(DP346/'🎚️ Escenario'!$C$11,0)))))</f>
        <v>0</v>
      </c>
      <c r="DQ347" s="237" t="n">
        <f aca="false" t="array" ref="DQ347:DQ347">IF(DQ346=0,0,IF(DQ346/'🎚️ Escenario'!$C$11&gt;=36,$AL$23,INDEX($C$23:$AL$23,MAX(1,ROUNDUP(DQ346/'🎚️ Escenario'!$C$11,0)))))</f>
        <v>0</v>
      </c>
      <c r="DR347" s="237" t="n">
        <f aca="false" t="array" ref="DR347:DR347">IF(DR346=0,0,IF(DR346/'🎚️ Escenario'!$C$11&gt;=36,$AL$23,INDEX($C$23:$AL$23,MAX(1,ROUNDUP(DR346/'🎚️ Escenario'!$C$11,0)))))</f>
        <v>0</v>
      </c>
      <c r="DS347" s="237" t="n">
        <f aca="false" t="array" ref="DS347:DS347">IF(DS346=0,0,IF(DS346/'🎚️ Escenario'!$C$11&gt;=36,$AL$23,INDEX($C$23:$AL$23,MAX(1,ROUNDUP(DS346/'🎚️ Escenario'!$C$11,0)))))</f>
        <v>0</v>
      </c>
      <c r="DT347" s="237" t="n">
        <f aca="false" t="array" ref="DT347:DT347">IF(DT346=0,0,IF(DT346/'🎚️ Escenario'!$C$11&gt;=36,$AL$23,INDEX($C$23:$AL$23,MAX(1,ROUNDUP(DT346/'🎚️ Escenario'!$C$11,0)))))</f>
        <v>0</v>
      </c>
      <c r="DU347" s="237" t="n">
        <f aca="false" t="array" ref="DU347:DU347">IF(DU346=0,0,IF(DU346/'🎚️ Escenario'!$C$11&gt;=36,$AL$23,INDEX($C$23:$AL$23,MAX(1,ROUNDUP(DU346/'🎚️ Escenario'!$C$11,0)))))</f>
        <v>0</v>
      </c>
      <c r="DV347" s="237" t="n">
        <f aca="false" t="array" ref="DV347:DV347">IF(DV346=0,0,IF(DV346/'🎚️ Escenario'!$C$11&gt;=36,$AL$23,INDEX($C$23:$AL$23,MAX(1,ROUNDUP(DV346/'🎚️ Escenario'!$C$11,0)))))</f>
        <v>0</v>
      </c>
      <c r="DW347" s="237" t="n">
        <f aca="false" t="array" ref="DW347:DW347">IF(DW346=0,0,IF(DW346/'🎚️ Escenario'!$C$11&gt;=36,$AL$23,INDEX($C$23:$AL$23,MAX(1,ROUNDUP(DW346/'🎚️ Escenario'!$C$11,0)))))</f>
        <v>0</v>
      </c>
      <c r="DX347" s="237" t="n">
        <f aca="false" t="array" ref="DX347:DX347">IF(DX346=0,0,IF(DX346/'🎚️ Escenario'!$C$11&gt;=36,$AL$23,INDEX($C$23:$AL$23,MAX(1,ROUNDUP(DX346/'🎚️ Escenario'!$C$11,0)))))</f>
        <v>0</v>
      </c>
      <c r="DY347" s="237" t="n">
        <f aca="false" t="array" ref="DY347:DY347">IF(DY346=0,0,IF(DY346/'🎚️ Escenario'!$C$11&gt;=36,$AL$23,INDEX($C$23:$AL$23,MAX(1,ROUNDUP(DY346/'🎚️ Escenario'!$C$11,0)))))</f>
        <v>0</v>
      </c>
      <c r="DZ347" s="237" t="n">
        <f aca="false" t="array" ref="DZ347:DZ347">IF(DZ346=0,0,IF(DZ346/'🎚️ Escenario'!$C$11&gt;=36,$AL$23,INDEX($C$23:$AL$23,MAX(1,ROUNDUP(DZ346/'🎚️ Escenario'!$C$11,0)))))</f>
        <v>0</v>
      </c>
      <c r="EA347" s="237" t="n">
        <f aca="false" t="array" ref="EA347:EA347">IF(EA346=0,0,IF(EA346/'🎚️ Escenario'!$C$11&gt;=36,$AL$23,INDEX($C$23:$AL$23,MAX(1,ROUNDUP(EA346/'🎚️ Escenario'!$C$11,0)))))</f>
        <v>0</v>
      </c>
      <c r="EB347" s="237" t="n">
        <f aca="false" t="array" ref="EB347:EB347">IF(EB346=0,0,IF(EB346/'🎚️ Escenario'!$C$11&gt;=36,$AL$23,INDEX($C$23:$AL$23,MAX(1,ROUNDUP(EB346/'🎚️ Escenario'!$C$11,0)))))</f>
        <v>0</v>
      </c>
      <c r="EC347" s="237" t="n">
        <f aca="false" t="array" ref="EC347:EC347">IF(EC346=0,0,IF(EC346/'🎚️ Escenario'!$C$11&gt;=36,$AL$23,INDEX($C$23:$AL$23,MAX(1,ROUNDUP(EC346/'🎚️ Escenario'!$C$11,0)))))</f>
        <v>0</v>
      </c>
      <c r="ED347" s="237" t="n">
        <f aca="false" t="array" ref="ED347:ED347">IF(ED346=0,0,IF(ED346/'🎚️ Escenario'!$C$11&gt;=36,$AL$23,INDEX($C$23:$AL$23,MAX(1,ROUNDUP(ED346/'🎚️ Escenario'!$C$11,0)))))</f>
        <v>0</v>
      </c>
      <c r="EE347" s="237" t="n">
        <f aca="false" t="array" ref="EE347:EE347">IF(EE346=0,0,IF(EE346/'🎚️ Escenario'!$C$11&gt;=36,$AL$23,INDEX($C$23:$AL$23,MAX(1,ROUNDUP(EE346/'🎚️ Escenario'!$C$11,0)))))</f>
        <v>0.2</v>
      </c>
      <c r="EF347" s="237" t="n">
        <f aca="false" t="array" ref="EF347:EF347">IF(EF346=0,0,IF(EF346/'🎚️ Escenario'!$C$11&gt;=36,$AL$23,INDEX($C$23:$AL$23,MAX(1,ROUNDUP(EF346/'🎚️ Escenario'!$C$11,0)))))</f>
        <v>0.22</v>
      </c>
      <c r="EG347" s="237" t="n">
        <f aca="false" t="array" ref="EG347:EG347">IF(EG346=0,0,IF(EG346/'🎚️ Escenario'!$C$11&gt;=36,$AL$23,INDEX($C$23:$AL$23,MAX(1,ROUNDUP(EG346/'🎚️ Escenario'!$C$11,0)))))</f>
        <v>0.24</v>
      </c>
      <c r="EH347" s="237" t="n">
        <f aca="false" t="array" ref="EH347:EH347">IF(EH346=0,0,IF(EH346/'🎚️ Escenario'!$C$11&gt;=36,$AL$23,INDEX($C$23:$AL$23,MAX(1,ROUNDUP(EH346/'🎚️ Escenario'!$C$11,0)))))</f>
        <v>0.27</v>
      </c>
      <c r="EI347" s="237" t="n">
        <f aca="false" t="array" ref="EI347:EI347">IF(EI346=0,0,IF(EI346/'🎚️ Escenario'!$C$11&gt;=36,$AL$23,INDEX($C$23:$AL$23,MAX(1,ROUNDUP(EI346/'🎚️ Escenario'!$C$11,0)))))</f>
        <v>0.27</v>
      </c>
      <c r="EJ347" s="237" t="n">
        <f aca="false" t="array" ref="EJ347:EJ347">IF(EJ346=0,0,IF(EJ346/'🎚️ Escenario'!$C$11&gt;=36,$AL$23,INDEX($C$23:$AL$23,MAX(1,ROUNDUP(EJ346/'🎚️ Escenario'!$C$11,0)))))</f>
        <v>0.31</v>
      </c>
      <c r="EK347" s="237" t="n">
        <f aca="false" t="array" ref="EK347:EK347">IF(EK346=0,0,IF(EK346/'🎚️ Escenario'!$C$11&gt;=36,$AL$23,INDEX($C$23:$AL$23,MAX(1,ROUNDUP(EK346/'🎚️ Escenario'!$C$11,0)))))</f>
        <v>0.35</v>
      </c>
      <c r="EL347" s="237" t="n">
        <f aca="false" t="array" ref="EL347:EL347">IF(EL346=0,0,IF(EL346/'🎚️ Escenario'!$C$11&gt;=36,$AL$23,INDEX($C$23:$AL$23,MAX(1,ROUNDUP(EL346/'🎚️ Escenario'!$C$11,0)))))</f>
        <v>0.39</v>
      </c>
      <c r="EM347" s="237" t="n">
        <f aca="false" t="array" ref="EM347:EM347">IF(EM346=0,0,IF(EM346/'🎚️ Escenario'!$C$11&gt;=36,$AL$23,INDEX($C$23:$AL$23,MAX(1,ROUNDUP(EM346/'🎚️ Escenario'!$C$11,0)))))</f>
        <v>0.44</v>
      </c>
      <c r="EN347" s="237" t="n">
        <f aca="false" t="array" ref="EN347:EN347">IF(EN346=0,0,IF(EN346/'🎚️ Escenario'!$C$11&gt;=36,$AL$23,INDEX($C$23:$AL$23,MAX(1,ROUNDUP(EN346/'🎚️ Escenario'!$C$11,0)))))</f>
        <v>0.44</v>
      </c>
      <c r="EO347" s="237" t="n">
        <f aca="false" t="array" ref="EO347:EO347">IF(EO346=0,0,IF(EO346/'🎚️ Escenario'!$C$11&gt;=36,$AL$23,INDEX($C$23:$AL$23,MAX(1,ROUNDUP(EO346/'🎚️ Escenario'!$C$11,0)))))</f>
        <v>0.48</v>
      </c>
      <c r="EP347" s="237" t="n">
        <f aca="false" t="array" ref="EP347:EP347">IF(EP346=0,0,IF(EP346/'🎚️ Escenario'!$C$11&gt;=36,$AL$23,INDEX($C$23:$AL$23,MAX(1,ROUNDUP(EP346/'🎚️ Escenario'!$C$11,0)))))</f>
        <v>0.52</v>
      </c>
      <c r="EQ347" s="237" t="n">
        <f aca="false" t="array" ref="EQ347:EQ347">IF(EQ346=0,0,IF(EQ346/'🎚️ Escenario'!$C$11&gt;=36,$AL$23,INDEX($C$23:$AL$23,MAX(1,ROUNDUP(EQ346/'🎚️ Escenario'!$C$11,0)))))</f>
        <v>0.56</v>
      </c>
      <c r="ER347" s="237" t="n">
        <f aca="false" t="array" ref="ER347:ER347">IF(ER346=0,0,IF(ER346/'🎚️ Escenario'!$C$11&gt;=36,$AL$23,INDEX($C$23:$AL$23,MAX(1,ROUNDUP(ER346/'🎚️ Escenario'!$C$11,0)))))</f>
        <v>0.6</v>
      </c>
      <c r="ES347" s="9" t="n">
        <f aca="false" t="array" ref="ES347:ES347">IF(ES346=0,0,IF(ES346/'🎚️ Escenario'!$C$11&gt;=36,$AL$23,INDEX($C$23:$AL$23,MAX(1,ROUNDUP(ES346/'🎚️ Escenario'!$C$11,0)))))</f>
        <v>0.6</v>
      </c>
      <c r="ET347" s="9" t="n">
        <f aca="false" t="array" ref="ET347:ET347">IF(ET346=0,0,IF(ET346/'🎚️ Escenario'!$C$11&gt;=36,$AL$23,INDEX($C$23:$AL$23,MAX(1,ROUNDUP(ET346/'🎚️ Escenario'!$C$11,0)))))</f>
        <v>0.63</v>
      </c>
      <c r="EU347" s="9" t="n">
        <f aca="false" t="array" ref="EU347:EU347">IF(EU346=0,0,IF(EU346/'🎚️ Escenario'!$C$11&gt;=36,$AL$23,INDEX($C$23:$AL$23,MAX(1,ROUNDUP(EU346/'🎚️ Escenario'!$C$11,0)))))</f>
        <v>0.66</v>
      </c>
      <c r="EV347" s="9" t="n">
        <f aca="false" t="array" ref="EV347:EV347">IF(EV346=0,0,IF(EV346/'🎚️ Escenario'!$C$11&gt;=36,$AL$23,INDEX($C$23:$AL$23,MAX(1,ROUNDUP(EV346/'🎚️ Escenario'!$C$11,0)))))</f>
        <v>0.69</v>
      </c>
      <c r="EW347" s="9" t="n">
        <f aca="false" t="array" ref="EW347:EW347">IF(EW346=0,0,IF(EW346/'🎚️ Escenario'!$C$11&gt;=36,$AL$23,INDEX($C$23:$AL$23,MAX(1,ROUNDUP(EW346/'🎚️ Escenario'!$C$11,0)))))</f>
        <v>0.71</v>
      </c>
      <c r="EX347" s="9" t="n">
        <f aca="false" t="array" ref="EX347:EX347">IF(EX346=0,0,IF(EX346/'🎚️ Escenario'!$C$11&gt;=36,$AL$23,INDEX($C$23:$AL$23,MAX(1,ROUNDUP(EX346/'🎚️ Escenario'!$C$11,0)))))</f>
        <v>0.71</v>
      </c>
      <c r="EY347" s="9" t="n">
        <f aca="false" t="array" ref="EY347:EY347">IF(EY346=0,0,IF(EY346/'🎚️ Escenario'!$C$11&gt;=36,$AL$23,INDEX($C$23:$AL$23,MAX(1,ROUNDUP(EY346/'🎚️ Escenario'!$C$11,0)))))</f>
        <v>0.73</v>
      </c>
      <c r="EZ347" s="9" t="n">
        <f aca="false" t="array" ref="EZ347:EZ347">IF(EZ346=0,0,IF(EZ346/'🎚️ Escenario'!$C$11&gt;=36,$AL$23,INDEX($C$23:$AL$23,MAX(1,ROUNDUP(EZ346/'🎚️ Escenario'!$C$11,0)))))</f>
        <v>0.75</v>
      </c>
      <c r="FA347" s="9" t="n">
        <f aca="false" t="array" ref="FA347:FA347">IF(FA346=0,0,IF(FA346/'🎚️ Escenario'!$C$11&gt;=36,$AL$23,INDEX($C$23:$AL$23,MAX(1,ROUNDUP(FA346/'🎚️ Escenario'!$C$11,0)))))</f>
        <v>0.77</v>
      </c>
      <c r="FB347" s="9" t="n">
        <f aca="false" t="array" ref="FB347:FB347">IF(FB346=0,0,IF(FB346/'🎚️ Escenario'!$C$11&gt;=36,$AL$23,INDEX($C$23:$AL$23,MAX(1,ROUNDUP(FB346/'🎚️ Escenario'!$C$11,0)))))</f>
        <v>0.79</v>
      </c>
      <c r="FC347" s="9" t="n">
        <f aca="false" t="array" ref="FC347:FC347">IF(FC346=0,0,IF(FC346/'🎚️ Escenario'!$C$11&gt;=36,$AL$23,INDEX($C$23:$AL$23,MAX(1,ROUNDUP(FC346/'🎚️ Escenario'!$C$11,0)))))</f>
        <v>0.79</v>
      </c>
      <c r="FD347" s="9" t="n">
        <f aca="false" t="array" ref="FD347:FD347">IF(FD346=0,0,IF(FD346/'🎚️ Escenario'!$C$11&gt;=36,$AL$23,INDEX($C$23:$AL$23,MAX(1,ROUNDUP(FD346/'🎚️ Escenario'!$C$11,0)))))</f>
        <v>0.8</v>
      </c>
      <c r="FE347" s="9" t="n">
        <f aca="false" t="array" ref="FE347:FE347">IF(FE346=0,0,IF(FE346/'🎚️ Escenario'!$C$11&gt;=36,$AL$23,INDEX($C$23:$AL$23,MAX(1,ROUNDUP(FE346/'🎚️ Escenario'!$C$11,0)))))</f>
        <v>0.82</v>
      </c>
      <c r="FF347" s="9" t="n">
        <f aca="false" t="array" ref="FF347:FF347">IF(FF346=0,0,IF(FF346/'🎚️ Escenario'!$C$11&gt;=36,$AL$23,INDEX($C$23:$AL$23,MAX(1,ROUNDUP(FF346/'🎚️ Escenario'!$C$11,0)))))</f>
        <v>0.84</v>
      </c>
      <c r="FG347" s="9" t="n">
        <f aca="false" t="array" ref="FG347:FG347">IF(FG346=0,0,IF(FG346/'🎚️ Escenario'!$C$11&gt;=36,$AL$23,INDEX($C$23:$AL$23,MAX(1,ROUNDUP(FG346/'🎚️ Escenario'!$C$11,0)))))</f>
        <v>0.85</v>
      </c>
      <c r="FH347" s="9" t="n">
        <f aca="false" t="array" ref="FH347:FH347">IF(FH346=0,0,IF(FH346/'🎚️ Escenario'!$C$11&gt;=36,$AL$23,INDEX($C$23:$AL$23,MAX(1,ROUNDUP(FH346/'🎚️ Escenario'!$C$11,0)))))</f>
        <v>0.85</v>
      </c>
      <c r="FI347" s="9" t="n">
        <f aca="false" t="array" ref="FI347:FI347">IF(FI346=0,0,IF(FI346/'🎚️ Escenario'!$C$11&gt;=36,$AL$23,INDEX($C$23:$AL$23,MAX(1,ROUNDUP(FI346/'🎚️ Escenario'!$C$11,0)))))</f>
        <v>0.86</v>
      </c>
      <c r="FJ347" s="9" t="n">
        <f aca="false" t="array" ref="FJ347:FJ347">IF(FJ346=0,0,IF(FJ346/'🎚️ Escenario'!$C$11&gt;=36,$AL$23,INDEX($C$23:$AL$23,MAX(1,ROUNDUP(FJ346/'🎚️ Escenario'!$C$11,0)))))</f>
        <v>0.88</v>
      </c>
      <c r="FK347" s="9" t="n">
        <f aca="false" t="array" ref="FK347:FK347">IF(FK346=0,0,IF(FK346/'🎚️ Escenario'!$C$11&gt;=36,$AL$23,INDEX($C$23:$AL$23,MAX(1,ROUNDUP(FK346/'🎚️ Escenario'!$C$11,0)))))</f>
        <v>0.89</v>
      </c>
      <c r="FL347" s="9" t="n">
        <f aca="false" t="array" ref="FL347:FL347">IF(FL346=0,0,IF(FL346/'🎚️ Escenario'!$C$11&gt;=36,$AL$23,INDEX($C$23:$AL$23,MAX(1,ROUNDUP(FL346/'🎚️ Escenario'!$C$11,0)))))</f>
        <v>0.9</v>
      </c>
      <c r="FM347" s="9" t="n">
        <f aca="false" t="array" ref="FM347:FM347">IF(FM346=0,0,IF(FM346/'🎚️ Escenario'!$C$11&gt;=36,$AL$23,INDEX($C$23:$AL$23,MAX(1,ROUNDUP(FM346/'🎚️ Escenario'!$C$11,0)))))</f>
        <v>0.9</v>
      </c>
      <c r="FN347" s="9" t="n">
        <f aca="false" t="array" ref="FN347:FN347">IF(FN346=0,0,IF(FN346/'🎚️ Escenario'!$C$11&gt;=36,$AL$23,INDEX($C$23:$AL$23,MAX(1,ROUNDUP(FN346/'🎚️ Escenario'!$C$11,0)))))</f>
        <v>0.92</v>
      </c>
      <c r="FO347" s="9" t="n">
        <f aca="false" t="array" ref="FO347:FO347">IF(FO346=0,0,IF(FO346/'🎚️ Escenario'!$C$11&gt;=36,$AL$23,INDEX($C$23:$AL$23,MAX(1,ROUNDUP(FO346/'🎚️ Escenario'!$C$11,0)))))</f>
        <v>0.93</v>
      </c>
      <c r="FP347" s="9" t="n">
        <f aca="false" t="array" ref="FP347:FP347">IF(FP346=0,0,IF(FP346/'🎚️ Escenario'!$C$11&gt;=36,$AL$23,INDEX($C$23:$AL$23,MAX(1,ROUNDUP(FP346/'🎚️ Escenario'!$C$11,0)))))</f>
        <v>0.94</v>
      </c>
    </row>
    <row r="348" customFormat="false" ht="15" hidden="false" customHeight="false" outlineLevel="2" collapsed="false">
      <c r="B348" s="47" t="s">
        <v>875</v>
      </c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237" t="n">
        <f aca="false">IF(AC346=0,0,IF(AC346&lt;=12*'🎚️ Escenario'!$C$11,1,1+$C$6))</f>
        <v>0</v>
      </c>
      <c r="AD348" s="237" t="n">
        <f aca="false">IF(AD346=0,0,IF(AD346&lt;=12*'🎚️ Escenario'!$C$11,1,1+$C$6))</f>
        <v>0</v>
      </c>
      <c r="AE348" s="237" t="n">
        <f aca="false">IF(AE346=0,0,IF(AE346&lt;=12*'🎚️ Escenario'!$C$11,1,1+$C$6))</f>
        <v>0</v>
      </c>
      <c r="AF348" s="237" t="n">
        <f aca="false">IF(AF346=0,0,IF(AF346&lt;=12*'🎚️ Escenario'!$C$11,1,1+$C$6))</f>
        <v>0</v>
      </c>
      <c r="AG348" s="237" t="n">
        <f aca="false">IF(AG346=0,0,IF(AG346&lt;=12*'🎚️ Escenario'!$C$11,1,1+$C$6))</f>
        <v>0</v>
      </c>
      <c r="AH348" s="237" t="n">
        <f aca="false">IF(AH346=0,0,IF(AH346&lt;=12*'🎚️ Escenario'!$C$11,1,1+$C$6))</f>
        <v>0</v>
      </c>
      <c r="AI348" s="237" t="n">
        <f aca="false">IF(AI346=0,0,IF(AI346&lt;=12*'🎚️ Escenario'!$C$11,1,1+$C$6))</f>
        <v>0</v>
      </c>
      <c r="AJ348" s="237" t="n">
        <f aca="false">IF(AJ346=0,0,IF(AJ346&lt;=12*'🎚️ Escenario'!$C$11,1,1+$C$6))</f>
        <v>0</v>
      </c>
      <c r="AK348" s="237" t="n">
        <f aca="false">IF(AK346=0,0,IF(AK346&lt;=12*'🎚️ Escenario'!$C$11,1,1+$C$6))</f>
        <v>0</v>
      </c>
      <c r="AL348" s="237" t="n">
        <f aca="false">IF(AL346=0,0,IF(AL346&lt;=12*'🎚️ Escenario'!$C$11,1,1+$C$6))</f>
        <v>0</v>
      </c>
      <c r="AM348" s="237" t="n">
        <f aca="false">IF(AM346=0,0,IF(AM346&lt;=12*'🎚️ Escenario'!$C$11,1,1+$C$6))</f>
        <v>0</v>
      </c>
      <c r="AN348" s="237" t="n">
        <f aca="false">IF(AN346=0,0,IF(AN346&lt;=12*'🎚️ Escenario'!$C$11,1,1+$C$6))</f>
        <v>0</v>
      </c>
      <c r="AO348" s="237" t="n">
        <f aca="false">IF(AO346=0,0,IF(AO346&lt;=12*'🎚️ Escenario'!$C$11,1,1+$C$6))</f>
        <v>0</v>
      </c>
      <c r="AP348" s="237" t="n">
        <f aca="false">IF(AP346=0,0,IF(AP346&lt;=12*'🎚️ Escenario'!$C$11,1,1+$C$6))</f>
        <v>0</v>
      </c>
      <c r="AQ348" s="237" t="n">
        <f aca="false">IF(AQ346=0,0,IF(AQ346&lt;=12*'🎚️ Escenario'!$C$11,1,1+$C$6))</f>
        <v>0</v>
      </c>
      <c r="AR348" s="237" t="n">
        <f aca="false">IF(AR346=0,0,IF(AR346&lt;=12*'🎚️ Escenario'!$C$11,1,1+$C$6))</f>
        <v>0</v>
      </c>
      <c r="AS348" s="237" t="n">
        <f aca="false">IF(AS346=0,0,IF(AS346&lt;=12*'🎚️ Escenario'!$C$11,1,1+$C$6))</f>
        <v>0</v>
      </c>
      <c r="AT348" s="237" t="n">
        <f aca="false">IF(AT346=0,0,IF(AT346&lt;=12*'🎚️ Escenario'!$C$11,1,1+$C$6))</f>
        <v>0</v>
      </c>
      <c r="AU348" s="237" t="n">
        <f aca="false">IF(AU346=0,0,IF(AU346&lt;=12*'🎚️ Escenario'!$C$11,1,1+$C$6))</f>
        <v>0</v>
      </c>
      <c r="AV348" s="237" t="n">
        <f aca="false">IF(AV346=0,0,IF(AV346&lt;=12*'🎚️ Escenario'!$C$11,1,1+$C$6))</f>
        <v>0</v>
      </c>
      <c r="AW348" s="237" t="n">
        <f aca="false">IF(AW346=0,0,IF(AW346&lt;=12*'🎚️ Escenario'!$C$11,1,1+$C$6))</f>
        <v>0</v>
      </c>
      <c r="AX348" s="237" t="n">
        <f aca="false">IF(AX346=0,0,IF(AX346&lt;=12*'🎚️ Escenario'!$C$11,1,1+$C$6))</f>
        <v>0</v>
      </c>
      <c r="AY348" s="237" t="n">
        <f aca="false">IF(AY346=0,0,IF(AY346&lt;=12*'🎚️ Escenario'!$C$11,1,1+$C$6))</f>
        <v>0</v>
      </c>
      <c r="AZ348" s="237" t="n">
        <f aca="false">IF(AZ346=0,0,IF(AZ346&lt;=12*'🎚️ Escenario'!$C$11,1,1+$C$6))</f>
        <v>0</v>
      </c>
      <c r="BA348" s="237" t="n">
        <f aca="false">IF(BA346=0,0,IF(BA346&lt;=12*'🎚️ Escenario'!$C$11,1,1+$C$6))</f>
        <v>0</v>
      </c>
      <c r="BB348" s="237" t="n">
        <f aca="false">IF(BB346=0,0,IF(BB346&lt;=12*'🎚️ Escenario'!$C$11,1,1+$C$6))</f>
        <v>0</v>
      </c>
      <c r="BC348" s="237" t="n">
        <f aca="false">IF(BC346=0,0,IF(BC346&lt;=12*'🎚️ Escenario'!$C$11,1,1+$C$6))</f>
        <v>0</v>
      </c>
      <c r="BD348" s="237" t="n">
        <f aca="false">IF(BD346=0,0,IF(BD346&lt;=12*'🎚️ Escenario'!$C$11,1,1+$C$6))</f>
        <v>0</v>
      </c>
      <c r="BE348" s="237" t="n">
        <f aca="false">IF(BE346=0,0,IF(BE346&lt;=12*'🎚️ Escenario'!$C$11,1,1+$C$6))</f>
        <v>0</v>
      </c>
      <c r="BF348" s="237" t="n">
        <f aca="false">IF(BF346=0,0,IF(BF346&lt;=12*'🎚️ Escenario'!$C$11,1,1+$C$6))</f>
        <v>0</v>
      </c>
      <c r="BG348" s="237" t="n">
        <f aca="false">IF(BG346=0,0,IF(BG346&lt;=12*'🎚️ Escenario'!$C$11,1,1+$C$6))</f>
        <v>0</v>
      </c>
      <c r="BH348" s="237" t="n">
        <f aca="false">IF(BH346=0,0,IF(BH346&lt;=12*'🎚️ Escenario'!$C$11,1,1+$C$6))</f>
        <v>0</v>
      </c>
      <c r="BI348" s="237" t="n">
        <f aca="false">IF(BI346=0,0,IF(BI346&lt;=12*'🎚️ Escenario'!$C$11,1,1+$C$6))</f>
        <v>0</v>
      </c>
      <c r="BJ348" s="237" t="n">
        <f aca="false">IF(BJ346=0,0,IF(BJ346&lt;=12*'🎚️ Escenario'!$C$11,1,1+$C$6))</f>
        <v>0</v>
      </c>
      <c r="BK348" s="237" t="n">
        <f aca="false">IF(BK346=0,0,IF(BK346&lt;=12*'🎚️ Escenario'!$C$11,1,1+$C$6))</f>
        <v>0</v>
      </c>
      <c r="BL348" s="237" t="n">
        <f aca="false">IF(BL346=0,0,IF(BL346&lt;=12*'🎚️ Escenario'!$C$11,1,1+$C$6))</f>
        <v>0</v>
      </c>
      <c r="BM348" s="237" t="n">
        <f aca="false">IF(BM346=0,0,IF(BM346&lt;=12*'🎚️ Escenario'!$C$11,1,1+$C$6))</f>
        <v>0</v>
      </c>
      <c r="BN348" s="237" t="n">
        <f aca="false">IF(BN346=0,0,IF(BN346&lt;=12*'🎚️ Escenario'!$C$11,1,1+$C$6))</f>
        <v>0</v>
      </c>
      <c r="BO348" s="237" t="n">
        <f aca="false">IF(BO346=0,0,IF(BO346&lt;=12*'🎚️ Escenario'!$C$11,1,1+$C$6))</f>
        <v>0</v>
      </c>
      <c r="BP348" s="237" t="n">
        <f aca="false">IF(BP346=0,0,IF(BP346&lt;=12*'🎚️ Escenario'!$C$11,1,1+$C$6))</f>
        <v>0</v>
      </c>
      <c r="BQ348" s="237" t="n">
        <f aca="false">IF(BQ346=0,0,IF(BQ346&lt;=12*'🎚️ Escenario'!$C$11,1,1+$C$6))</f>
        <v>0</v>
      </c>
      <c r="BR348" s="237" t="n">
        <f aca="false">IF(BR346=0,0,IF(BR346&lt;=12*'🎚️ Escenario'!$C$11,1,1+$C$6))</f>
        <v>0</v>
      </c>
      <c r="BS348" s="237" t="n">
        <f aca="false">IF(BS346=0,0,IF(BS346&lt;=12*'🎚️ Escenario'!$C$11,1,1+$C$6))</f>
        <v>0</v>
      </c>
      <c r="BT348" s="237" t="n">
        <f aca="false">IF(BT346=0,0,IF(BT346&lt;=12*'🎚️ Escenario'!$C$11,1,1+$C$6))</f>
        <v>0</v>
      </c>
      <c r="BU348" s="237" t="n">
        <f aca="false">IF(BU346=0,0,IF(BU346&lt;=12*'🎚️ Escenario'!$C$11,1,1+$C$6))</f>
        <v>0</v>
      </c>
      <c r="BV348" s="237" t="n">
        <f aca="false">IF(BV346=0,0,IF(BV346&lt;=12*'🎚️ Escenario'!$C$11,1,1+$C$6))</f>
        <v>0</v>
      </c>
      <c r="BW348" s="237" t="n">
        <f aca="false">IF(BW346=0,0,IF(BW346&lt;=12*'🎚️ Escenario'!$C$11,1,1+$C$6))</f>
        <v>0</v>
      </c>
      <c r="BX348" s="237" t="n">
        <f aca="false">IF(BX346=0,0,IF(BX346&lt;=12*'🎚️ Escenario'!$C$11,1,1+$C$6))</f>
        <v>0</v>
      </c>
      <c r="BY348" s="237" t="n">
        <f aca="false">IF(BY346=0,0,IF(BY346&lt;=12*'🎚️ Escenario'!$C$11,1,1+$C$6))</f>
        <v>0</v>
      </c>
      <c r="BZ348" s="237" t="n">
        <f aca="false">IF(BZ346=0,0,IF(BZ346&lt;=12*'🎚️ Escenario'!$C$11,1,1+$C$6))</f>
        <v>0</v>
      </c>
      <c r="CA348" s="237" t="n">
        <f aca="false">IF(CA346=0,0,IF(CA346&lt;=12*'🎚️ Escenario'!$C$11,1,1+$C$6))</f>
        <v>0</v>
      </c>
      <c r="CB348" s="237" t="n">
        <f aca="false">IF(CB346=0,0,IF(CB346&lt;=12*'🎚️ Escenario'!$C$11,1,1+$C$6))</f>
        <v>0</v>
      </c>
      <c r="CC348" s="237" t="n">
        <f aca="false">IF(CC346=0,0,IF(CC346&lt;=12*'🎚️ Escenario'!$C$11,1,1+$C$6))</f>
        <v>0</v>
      </c>
      <c r="CD348" s="237" t="n">
        <f aca="false">IF(CD346=0,0,IF(CD346&lt;=12*'🎚️ Escenario'!$C$11,1,1+$C$6))</f>
        <v>0</v>
      </c>
      <c r="CE348" s="237" t="n">
        <f aca="false">IF(CE346=0,0,IF(CE346&lt;=12*'🎚️ Escenario'!$C$11,1,1+$C$6))</f>
        <v>0</v>
      </c>
      <c r="CF348" s="237" t="n">
        <f aca="false">IF(CF346=0,0,IF(CF346&lt;=12*'🎚️ Escenario'!$C$11,1,1+$C$6))</f>
        <v>0</v>
      </c>
      <c r="CG348" s="237" t="n">
        <f aca="false">IF(CG346=0,0,IF(CG346&lt;=12*'🎚️ Escenario'!$C$11,1,1+$C$6))</f>
        <v>0</v>
      </c>
      <c r="CH348" s="237" t="n">
        <f aca="false">IF(CH346=0,0,IF(CH346&lt;=12*'🎚️ Escenario'!$C$11,1,1+$C$6))</f>
        <v>0</v>
      </c>
      <c r="CI348" s="237" t="n">
        <f aca="false">IF(CI346=0,0,IF(CI346&lt;=12*'🎚️ Escenario'!$C$11,1,1+$C$6))</f>
        <v>0</v>
      </c>
      <c r="CJ348" s="237" t="n">
        <f aca="false">IF(CJ346=0,0,IF(CJ346&lt;=12*'🎚️ Escenario'!$C$11,1,1+$C$6))</f>
        <v>0</v>
      </c>
      <c r="CK348" s="237" t="n">
        <f aca="false">IF(CK346=0,0,IF(CK346&lt;=12*'🎚️ Escenario'!$C$11,1,1+$C$6))</f>
        <v>0</v>
      </c>
      <c r="CL348" s="237" t="n">
        <f aca="false">IF(CL346=0,0,IF(CL346&lt;=12*'🎚️ Escenario'!$C$11,1,1+$C$6))</f>
        <v>0</v>
      </c>
      <c r="CM348" s="237" t="n">
        <f aca="false">IF(CM346=0,0,IF(CM346&lt;=12*'🎚️ Escenario'!$C$11,1,1+$C$6))</f>
        <v>0</v>
      </c>
      <c r="CN348" s="237" t="n">
        <f aca="false">IF(CN346=0,0,IF(CN346&lt;=12*'🎚️ Escenario'!$C$11,1,1+$C$6))</f>
        <v>0</v>
      </c>
      <c r="CO348" s="237" t="n">
        <f aca="false">IF(CO346=0,0,IF(CO346&lt;=12*'🎚️ Escenario'!$C$11,1,1+$C$6))</f>
        <v>0</v>
      </c>
      <c r="CP348" s="237" t="n">
        <f aca="false">IF(CP346=0,0,IF(CP346&lt;=12*'🎚️ Escenario'!$C$11,1,1+$C$6))</f>
        <v>0</v>
      </c>
      <c r="CQ348" s="237" t="n">
        <f aca="false">IF(CQ346=0,0,IF(CQ346&lt;=12*'🎚️ Escenario'!$C$11,1,1+$C$6))</f>
        <v>0</v>
      </c>
      <c r="CR348" s="237" t="n">
        <f aca="false">IF(CR346=0,0,IF(CR346&lt;=12*'🎚️ Escenario'!$C$11,1,1+$C$6))</f>
        <v>0</v>
      </c>
      <c r="CS348" s="237" t="n">
        <f aca="false">IF(CS346=0,0,IF(CS346&lt;=12*'🎚️ Escenario'!$C$11,1,1+$C$6))</f>
        <v>0</v>
      </c>
      <c r="CT348" s="237" t="n">
        <f aca="false">IF(CT346=0,0,IF(CT346&lt;=12*'🎚️ Escenario'!$C$11,1,1+$C$6))</f>
        <v>0</v>
      </c>
      <c r="CU348" s="237" t="n">
        <f aca="false">IF(CU346=0,0,IF(CU346&lt;=12*'🎚️ Escenario'!$C$11,1,1+$C$6))</f>
        <v>0</v>
      </c>
      <c r="CV348" s="237" t="n">
        <f aca="false">IF(CV346=0,0,IF(CV346&lt;=12*'🎚️ Escenario'!$C$11,1,1+$C$6))</f>
        <v>0</v>
      </c>
      <c r="CW348" s="237" t="n">
        <f aca="false">IF(CW346=0,0,IF(CW346&lt;=12*'🎚️ Escenario'!$C$11,1,1+$C$6))</f>
        <v>0</v>
      </c>
      <c r="CX348" s="237" t="n">
        <f aca="false">IF(CX346=0,0,IF(CX346&lt;=12*'🎚️ Escenario'!$C$11,1,1+$C$6))</f>
        <v>0</v>
      </c>
      <c r="CY348" s="237" t="n">
        <f aca="false">IF(CY346=0,0,IF(CY346&lt;=12*'🎚️ Escenario'!$C$11,1,1+$C$6))</f>
        <v>0</v>
      </c>
      <c r="CZ348" s="237" t="n">
        <f aca="false">IF(CZ346=0,0,IF(CZ346&lt;=12*'🎚️ Escenario'!$C$11,1,1+$C$6))</f>
        <v>0</v>
      </c>
      <c r="DA348" s="237" t="n">
        <f aca="false">IF(DA346=0,0,IF(DA346&lt;=12*'🎚️ Escenario'!$C$11,1,1+$C$6))</f>
        <v>0</v>
      </c>
      <c r="DB348" s="237" t="n">
        <f aca="false">IF(DB346=0,0,IF(DB346&lt;=12*'🎚️ Escenario'!$C$11,1,1+$C$6))</f>
        <v>0</v>
      </c>
      <c r="DC348" s="237" t="n">
        <f aca="false">IF(DC346=0,0,IF(DC346&lt;=12*'🎚️ Escenario'!$C$11,1,1+$C$6))</f>
        <v>0</v>
      </c>
      <c r="DD348" s="237" t="n">
        <f aca="false">IF(DD346=0,0,IF(DD346&lt;=12*'🎚️ Escenario'!$C$11,1,1+$C$6))</f>
        <v>0</v>
      </c>
      <c r="DE348" s="237" t="n">
        <f aca="false">IF(DE346=0,0,IF(DE346&lt;=12*'🎚️ Escenario'!$C$11,1,1+$C$6))</f>
        <v>0</v>
      </c>
      <c r="DF348" s="237" t="n">
        <f aca="false">IF(DF346=0,0,IF(DF346&lt;=12*'🎚️ Escenario'!$C$11,1,1+$C$6))</f>
        <v>0</v>
      </c>
      <c r="DG348" s="237" t="n">
        <f aca="false">IF(DG346=0,0,IF(DG346&lt;=12*'🎚️ Escenario'!$C$11,1,1+$C$6))</f>
        <v>0</v>
      </c>
      <c r="DH348" s="237" t="n">
        <f aca="false">IF(DH346=0,0,IF(DH346&lt;=12*'🎚️ Escenario'!$C$11,1,1+$C$6))</f>
        <v>0</v>
      </c>
      <c r="DI348" s="237" t="n">
        <f aca="false">IF(DI346=0,0,IF(DI346&lt;=12*'🎚️ Escenario'!$C$11,1,1+$C$6))</f>
        <v>0</v>
      </c>
      <c r="DJ348" s="237" t="n">
        <f aca="false">IF(DJ346=0,0,IF(DJ346&lt;=12*'🎚️ Escenario'!$C$11,1,1+$C$6))</f>
        <v>0</v>
      </c>
      <c r="DK348" s="237" t="n">
        <f aca="false">IF(DK346=0,0,IF(DK346&lt;=12*'🎚️ Escenario'!$C$11,1,1+$C$6))</f>
        <v>0</v>
      </c>
      <c r="DL348" s="237" t="n">
        <f aca="false">IF(DL346=0,0,IF(DL346&lt;=12*'🎚️ Escenario'!$C$11,1,1+$C$6))</f>
        <v>0</v>
      </c>
      <c r="DM348" s="237" t="n">
        <f aca="false">IF(DM346=0,0,IF(DM346&lt;=12*'🎚️ Escenario'!$C$11,1,1+$C$6))</f>
        <v>0</v>
      </c>
      <c r="DN348" s="237" t="n">
        <f aca="false">IF(DN346=0,0,IF(DN346&lt;=12*'🎚️ Escenario'!$C$11,1,1+$C$6))</f>
        <v>0</v>
      </c>
      <c r="DO348" s="237" t="n">
        <f aca="false">IF(DO346=0,0,IF(DO346&lt;=12*'🎚️ Escenario'!$C$11,1,1+$C$6))</f>
        <v>0</v>
      </c>
      <c r="DP348" s="237" t="n">
        <f aca="false">IF(DP346=0,0,IF(DP346&lt;=12*'🎚️ Escenario'!$C$11,1,1+$C$6))</f>
        <v>0</v>
      </c>
      <c r="DQ348" s="237" t="n">
        <f aca="false">IF(DQ346=0,0,IF(DQ346&lt;=12*'🎚️ Escenario'!$C$11,1,1+$C$6))</f>
        <v>0</v>
      </c>
      <c r="DR348" s="237" t="n">
        <f aca="false">IF(DR346=0,0,IF(DR346&lt;=12*'🎚️ Escenario'!$C$11,1,1+$C$6))</f>
        <v>0</v>
      </c>
      <c r="DS348" s="237" t="n">
        <f aca="false">IF(DS346=0,0,IF(DS346&lt;=12*'🎚️ Escenario'!$C$11,1,1+$C$6))</f>
        <v>0</v>
      </c>
      <c r="DT348" s="237" t="n">
        <f aca="false">IF(DT346=0,0,IF(DT346&lt;=12*'🎚️ Escenario'!$C$11,1,1+$C$6))</f>
        <v>0</v>
      </c>
      <c r="DU348" s="237" t="n">
        <f aca="false">IF(DU346=0,0,IF(DU346&lt;=12*'🎚️ Escenario'!$C$11,1,1+$C$6))</f>
        <v>0</v>
      </c>
      <c r="DV348" s="237" t="n">
        <f aca="false">IF(DV346=0,0,IF(DV346&lt;=12*'🎚️ Escenario'!$C$11,1,1+$C$6))</f>
        <v>0</v>
      </c>
      <c r="DW348" s="237" t="n">
        <f aca="false">IF(DW346=0,0,IF(DW346&lt;=12*'🎚️ Escenario'!$C$11,1,1+$C$6))</f>
        <v>0</v>
      </c>
      <c r="DX348" s="237" t="n">
        <f aca="false">IF(DX346=0,0,IF(DX346&lt;=12*'🎚️ Escenario'!$C$11,1,1+$C$6))</f>
        <v>0</v>
      </c>
      <c r="DY348" s="237" t="n">
        <f aca="false">IF(DY346=0,0,IF(DY346&lt;=12*'🎚️ Escenario'!$C$11,1,1+$C$6))</f>
        <v>0</v>
      </c>
      <c r="DZ348" s="237" t="n">
        <f aca="false">IF(DZ346=0,0,IF(DZ346&lt;=12*'🎚️ Escenario'!$C$11,1,1+$C$6))</f>
        <v>0</v>
      </c>
      <c r="EA348" s="237" t="n">
        <f aca="false">IF(EA346=0,0,IF(EA346&lt;=12*'🎚️ Escenario'!$C$11,1,1+$C$6))</f>
        <v>0</v>
      </c>
      <c r="EB348" s="237" t="n">
        <f aca="false">IF(EB346=0,0,IF(EB346&lt;=12*'🎚️ Escenario'!$C$11,1,1+$C$6))</f>
        <v>0</v>
      </c>
      <c r="EC348" s="237" t="n">
        <f aca="false">IF(EC346=0,0,IF(EC346&lt;=12*'🎚️ Escenario'!$C$11,1,1+$C$6))</f>
        <v>0</v>
      </c>
      <c r="ED348" s="237" t="n">
        <f aca="false">IF(ED346=0,0,IF(ED346&lt;=12*'🎚️ Escenario'!$C$11,1,1+$C$6))</f>
        <v>0</v>
      </c>
      <c r="EE348" s="237" t="n">
        <f aca="false">IF(EE346=0,0,IF(EE346&lt;=12*'🎚️ Escenario'!$C$11,1,1+$C$6))</f>
        <v>1</v>
      </c>
      <c r="EF348" s="237" t="n">
        <f aca="false">IF(EF346=0,0,IF(EF346&lt;=12*'🎚️ Escenario'!$C$11,1,1+$C$6))</f>
        <v>1</v>
      </c>
      <c r="EG348" s="237" t="n">
        <f aca="false">IF(EG346=0,0,IF(EG346&lt;=12*'🎚️ Escenario'!$C$11,1,1+$C$6))</f>
        <v>1</v>
      </c>
      <c r="EH348" s="237" t="n">
        <f aca="false">IF(EH346=0,0,IF(EH346&lt;=12*'🎚️ Escenario'!$C$11,1,1+$C$6))</f>
        <v>1</v>
      </c>
      <c r="EI348" s="237" t="n">
        <f aca="false">IF(EI346=0,0,IF(EI346&lt;=12*'🎚️ Escenario'!$C$11,1,1+$C$6))</f>
        <v>1</v>
      </c>
      <c r="EJ348" s="237" t="n">
        <f aca="false">IF(EJ346=0,0,IF(EJ346&lt;=12*'🎚️ Escenario'!$C$11,1,1+$C$6))</f>
        <v>1</v>
      </c>
      <c r="EK348" s="237" t="n">
        <f aca="false">IF(EK346=0,0,IF(EK346&lt;=12*'🎚️ Escenario'!$C$11,1,1+$C$6))</f>
        <v>1</v>
      </c>
      <c r="EL348" s="237" t="n">
        <f aca="false">IF(EL346=0,0,IF(EL346&lt;=12*'🎚️ Escenario'!$C$11,1,1+$C$6))</f>
        <v>1</v>
      </c>
      <c r="EM348" s="237" t="n">
        <f aca="false">IF(EM346=0,0,IF(EM346&lt;=12*'🎚️ Escenario'!$C$11,1,1+$C$6))</f>
        <v>1</v>
      </c>
      <c r="EN348" s="237" t="n">
        <f aca="false">IF(EN346=0,0,IF(EN346&lt;=12*'🎚️ Escenario'!$C$11,1,1+$C$6))</f>
        <v>1</v>
      </c>
      <c r="EO348" s="237" t="n">
        <f aca="false">IF(EO346=0,0,IF(EO346&lt;=12*'🎚️ Escenario'!$C$11,1,1+$C$6))</f>
        <v>1</v>
      </c>
      <c r="EP348" s="237" t="n">
        <f aca="false">IF(EP346=0,0,IF(EP346&lt;=12*'🎚️ Escenario'!$C$11,1,1+$C$6))</f>
        <v>1</v>
      </c>
      <c r="EQ348" s="237" t="n">
        <f aca="false">IF(EQ346=0,0,IF(EQ346&lt;=12*'🎚️ Escenario'!$C$11,1,1+$C$6))</f>
        <v>1</v>
      </c>
      <c r="ER348" s="237" t="n">
        <f aca="false">IF(ER346=0,0,IF(ER346&lt;=12*'🎚️ Escenario'!$C$11,1,1+$C$6))</f>
        <v>1</v>
      </c>
      <c r="ES348" s="9" t="n">
        <f aca="false">IF(ES346=0,0,IF(ES346&lt;=12*'🎚️ Escenario'!$C$11,1,1+$C$6))</f>
        <v>1</v>
      </c>
      <c r="ET348" s="238" t="n">
        <f aca="false">IF(ET346=0,0,IF(ET346&lt;=12*'🎚️ Escenario'!$C$11,1,1+$C$6))</f>
        <v>1.2</v>
      </c>
      <c r="EU348" s="238" t="n">
        <f aca="false">IF(EU346=0,0,IF(EU346&lt;=12*'🎚️ Escenario'!$C$11,1,1+$C$6))</f>
        <v>1.2</v>
      </c>
      <c r="EV348" s="238" t="n">
        <f aca="false">IF(EV346=0,0,IF(EV346&lt;=12*'🎚️ Escenario'!$C$11,1,1+$C$6))</f>
        <v>1.2</v>
      </c>
      <c r="EW348" s="238" t="n">
        <f aca="false">IF(EW346=0,0,IF(EW346&lt;=12*'🎚️ Escenario'!$C$11,1,1+$C$6))</f>
        <v>1.2</v>
      </c>
      <c r="EX348" s="238" t="n">
        <f aca="false">IF(EX346=0,0,IF(EX346&lt;=12*'🎚️ Escenario'!$C$11,1,1+$C$6))</f>
        <v>1.2</v>
      </c>
      <c r="EY348" s="238" t="n">
        <f aca="false">IF(EY346=0,0,IF(EY346&lt;=12*'🎚️ Escenario'!$C$11,1,1+$C$6))</f>
        <v>1.2</v>
      </c>
      <c r="EZ348" s="238" t="n">
        <f aca="false">IF(EZ346=0,0,IF(EZ346&lt;=12*'🎚️ Escenario'!$C$11,1,1+$C$6))</f>
        <v>1.2</v>
      </c>
      <c r="FA348" s="238" t="n">
        <f aca="false">IF(FA346=0,0,IF(FA346&lt;=12*'🎚️ Escenario'!$C$11,1,1+$C$6))</f>
        <v>1.2</v>
      </c>
      <c r="FB348" s="238" t="n">
        <f aca="false">IF(FB346=0,0,IF(FB346&lt;=12*'🎚️ Escenario'!$C$11,1,1+$C$6))</f>
        <v>1.2</v>
      </c>
      <c r="FC348" s="238" t="n">
        <f aca="false">IF(FC346=0,0,IF(FC346&lt;=12*'🎚️ Escenario'!$C$11,1,1+$C$6))</f>
        <v>1.2</v>
      </c>
      <c r="FD348" s="238" t="n">
        <f aca="false">IF(FD346=0,0,IF(FD346&lt;=12*'🎚️ Escenario'!$C$11,1,1+$C$6))</f>
        <v>1.2</v>
      </c>
      <c r="FE348" s="238" t="n">
        <f aca="false">IF(FE346=0,0,IF(FE346&lt;=12*'🎚️ Escenario'!$C$11,1,1+$C$6))</f>
        <v>1.2</v>
      </c>
      <c r="FF348" s="238" t="n">
        <f aca="false">IF(FF346=0,0,IF(FF346&lt;=12*'🎚️ Escenario'!$C$11,1,1+$C$6))</f>
        <v>1.2</v>
      </c>
      <c r="FG348" s="238" t="n">
        <f aca="false">IF(FG346=0,0,IF(FG346&lt;=12*'🎚️ Escenario'!$C$11,1,1+$C$6))</f>
        <v>1.2</v>
      </c>
      <c r="FH348" s="238" t="n">
        <f aca="false">IF(FH346=0,0,IF(FH346&lt;=12*'🎚️ Escenario'!$C$11,1,1+$C$6))</f>
        <v>1.2</v>
      </c>
      <c r="FI348" s="238" t="n">
        <f aca="false">IF(FI346=0,0,IF(FI346&lt;=12*'🎚️ Escenario'!$C$11,1,1+$C$6))</f>
        <v>1.2</v>
      </c>
      <c r="FJ348" s="238" t="n">
        <f aca="false">IF(FJ346=0,0,IF(FJ346&lt;=12*'🎚️ Escenario'!$C$11,1,1+$C$6))</f>
        <v>1.2</v>
      </c>
      <c r="FK348" s="238" t="n">
        <f aca="false">IF(FK346=0,0,IF(FK346&lt;=12*'🎚️ Escenario'!$C$11,1,1+$C$6))</f>
        <v>1.2</v>
      </c>
      <c r="FL348" s="238" t="n">
        <f aca="false">IF(FL346=0,0,IF(FL346&lt;=12*'🎚️ Escenario'!$C$11,1,1+$C$6))</f>
        <v>1.2</v>
      </c>
      <c r="FM348" s="238" t="n">
        <f aca="false">IF(FM346=0,0,IF(FM346&lt;=12*'🎚️ Escenario'!$C$11,1,1+$C$6))</f>
        <v>1.2</v>
      </c>
      <c r="FN348" s="238" t="n">
        <f aca="false">IF(FN346=0,0,IF(FN346&lt;=12*'🎚️ Escenario'!$C$11,1,1+$C$6))</f>
        <v>1.2</v>
      </c>
      <c r="FO348" s="238" t="n">
        <f aca="false">IF(FO346=0,0,IF(FO346&lt;=12*'🎚️ Escenario'!$C$11,1,1+$C$6))</f>
        <v>1.2</v>
      </c>
      <c r="FP348" s="238" t="n">
        <f aca="false">IF(FP346=0,0,IF(FP346&lt;=12*'🎚️ Escenario'!$C$11,1,1+$C$6))</f>
        <v>1.2</v>
      </c>
    </row>
    <row r="349" customFormat="false" ht="15" hidden="false" customHeight="false" outlineLevel="2" collapsed="false">
      <c r="B349" s="47" t="s">
        <v>876</v>
      </c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237" t="n">
        <f aca="false">AC347*$AC$345*AC348*AC$38*'⑫ Roll-out Plan'!$O$39</f>
        <v>0</v>
      </c>
      <c r="AD349" s="237" t="n">
        <f aca="false">AD347*$AC$345*AD348*AD$38*'⑫ Roll-out Plan'!$O$39</f>
        <v>0</v>
      </c>
      <c r="AE349" s="237" t="n">
        <f aca="false">AE347*$AC$345*AE348*AE$38*'⑫ Roll-out Plan'!$O$39</f>
        <v>0</v>
      </c>
      <c r="AF349" s="237" t="n">
        <f aca="false">AF347*$AC$345*AF348*AF$38*'⑫ Roll-out Plan'!$O$39</f>
        <v>0</v>
      </c>
      <c r="AG349" s="237" t="n">
        <f aca="false">AG347*$AC$345*AG348*AG$38*'⑫ Roll-out Plan'!$O$39</f>
        <v>0</v>
      </c>
      <c r="AH349" s="237" t="n">
        <f aca="false">AH347*$AC$345*AH348*AH$38*'⑫ Roll-out Plan'!$O$39</f>
        <v>0</v>
      </c>
      <c r="AI349" s="237" t="n">
        <f aca="false">AI347*$AC$345*AI348*AI$38*'⑫ Roll-out Plan'!$O$39</f>
        <v>0</v>
      </c>
      <c r="AJ349" s="237" t="n">
        <f aca="false">AJ347*$AC$345*AJ348*AJ$38*'⑫ Roll-out Plan'!$O$39</f>
        <v>0</v>
      </c>
      <c r="AK349" s="237" t="n">
        <f aca="false">AK347*$AC$345*AK348*AK$38*'⑫ Roll-out Plan'!$O$39</f>
        <v>0</v>
      </c>
      <c r="AL349" s="237" t="n">
        <f aca="false">AL347*$AC$345*AL348*AL$38*'⑫ Roll-out Plan'!$O$39</f>
        <v>0</v>
      </c>
      <c r="AM349" s="237" t="n">
        <f aca="false">AM347*$AC$345*AM348*AM$38*'⑫ Roll-out Plan'!$O$39</f>
        <v>0</v>
      </c>
      <c r="AN349" s="237" t="n">
        <f aca="false">AN347*$AC$345*AN348*AN$38*'⑫ Roll-out Plan'!$O$39</f>
        <v>0</v>
      </c>
      <c r="AO349" s="237" t="n">
        <f aca="false">AO347*$AC$345*AO348*AO$38*'⑫ Roll-out Plan'!$O$39</f>
        <v>0</v>
      </c>
      <c r="AP349" s="237" t="n">
        <f aca="false">AP347*$AC$345*AP348*AP$38*'⑫ Roll-out Plan'!$O$39</f>
        <v>0</v>
      </c>
      <c r="AQ349" s="237" t="n">
        <f aca="false">AQ347*$AC$345*AQ348*AQ$38*'⑫ Roll-out Plan'!$O$39</f>
        <v>0</v>
      </c>
      <c r="AR349" s="237" t="n">
        <f aca="false">AR347*$AC$345*AR348*AR$38*'⑫ Roll-out Plan'!$O$39</f>
        <v>0</v>
      </c>
      <c r="AS349" s="237" t="n">
        <f aca="false">AS347*$AC$345*AS348*AS$38*'⑫ Roll-out Plan'!$O$39</f>
        <v>0</v>
      </c>
      <c r="AT349" s="237" t="n">
        <f aca="false">AT347*$AC$345*AT348*AT$38*'⑫ Roll-out Plan'!$O$39</f>
        <v>0</v>
      </c>
      <c r="AU349" s="237" t="n">
        <f aca="false">AU347*$AC$345*AU348*AU$38*'⑫ Roll-out Plan'!$O$39</f>
        <v>0</v>
      </c>
      <c r="AV349" s="237" t="n">
        <f aca="false">AV347*$AC$345*AV348*AV$38*'⑫ Roll-out Plan'!$O$39</f>
        <v>0</v>
      </c>
      <c r="AW349" s="237" t="n">
        <f aca="false">AW347*$AC$345*AW348*AW$38*'⑫ Roll-out Plan'!$O$39</f>
        <v>0</v>
      </c>
      <c r="AX349" s="237" t="n">
        <f aca="false">AX347*$AC$345*AX348*AX$38*'⑫ Roll-out Plan'!$O$39</f>
        <v>0</v>
      </c>
      <c r="AY349" s="237" t="n">
        <f aca="false">AY347*$AC$345*AY348*AY$38*'⑫ Roll-out Plan'!$O$39</f>
        <v>0</v>
      </c>
      <c r="AZ349" s="237" t="n">
        <f aca="false">AZ347*$AC$345*AZ348*AZ$38*'⑫ Roll-out Plan'!$O$39</f>
        <v>0</v>
      </c>
      <c r="BA349" s="237" t="n">
        <f aca="false">BA347*$AC$345*BA348*BA$38*'⑫ Roll-out Plan'!$O$39</f>
        <v>0</v>
      </c>
      <c r="BB349" s="237" t="n">
        <f aca="false">BB347*$AC$345*BB348*BB$38*'⑫ Roll-out Plan'!$O$39</f>
        <v>0</v>
      </c>
      <c r="BC349" s="237" t="n">
        <f aca="false">BC347*$AC$345*BC348*BC$38*'⑫ Roll-out Plan'!$O$39</f>
        <v>0</v>
      </c>
      <c r="BD349" s="237" t="n">
        <f aca="false">BD347*$AC$345*BD348*BD$38*'⑫ Roll-out Plan'!$O$39</f>
        <v>0</v>
      </c>
      <c r="BE349" s="237" t="n">
        <f aca="false">BE347*$AC$345*BE348*BE$38*'⑫ Roll-out Plan'!$O$39</f>
        <v>0</v>
      </c>
      <c r="BF349" s="237" t="n">
        <f aca="false">BF347*$AC$345*BF348*BF$38*'⑫ Roll-out Plan'!$O$39</f>
        <v>0</v>
      </c>
      <c r="BG349" s="237" t="n">
        <f aca="false">BG347*$AC$345*BG348*BG$38*'⑫ Roll-out Plan'!$O$39</f>
        <v>0</v>
      </c>
      <c r="BH349" s="237" t="n">
        <f aca="false">BH347*$AC$345*BH348*BH$38*'⑫ Roll-out Plan'!$O$39</f>
        <v>0</v>
      </c>
      <c r="BI349" s="237" t="n">
        <f aca="false">BI347*$AC$345*BI348*BI$38*'⑫ Roll-out Plan'!$O$39</f>
        <v>0</v>
      </c>
      <c r="BJ349" s="237" t="n">
        <f aca="false">BJ347*$AC$345*BJ348*BJ$38*'⑫ Roll-out Plan'!$O$39</f>
        <v>0</v>
      </c>
      <c r="BK349" s="237" t="n">
        <f aca="false">BK347*$AC$345*BK348*BK$38*'⑫ Roll-out Plan'!$O$39</f>
        <v>0</v>
      </c>
      <c r="BL349" s="237" t="n">
        <f aca="false">BL347*$AC$345*BL348*BL$38*'⑫ Roll-out Plan'!$O$39</f>
        <v>0</v>
      </c>
      <c r="BM349" s="237" t="n">
        <f aca="false">BM347*$AC$345*BM348*BM$38*'⑫ Roll-out Plan'!$O$39</f>
        <v>0</v>
      </c>
      <c r="BN349" s="237" t="n">
        <f aca="false">BN347*$AC$345*BN348*BN$38*'⑫ Roll-out Plan'!$O$39</f>
        <v>0</v>
      </c>
      <c r="BO349" s="237" t="n">
        <f aca="false">BO347*$AC$345*BO348*BO$38*'⑫ Roll-out Plan'!$O$39</f>
        <v>0</v>
      </c>
      <c r="BP349" s="237" t="n">
        <f aca="false">BP347*$AC$345*BP348*BP$38*'⑫ Roll-out Plan'!$O$39</f>
        <v>0</v>
      </c>
      <c r="BQ349" s="237" t="n">
        <f aca="false">BQ347*$AC$345*BQ348*BQ$38*'⑫ Roll-out Plan'!$O$39</f>
        <v>0</v>
      </c>
      <c r="BR349" s="237" t="n">
        <f aca="false">BR347*$AC$345*BR348*BR$38*'⑫ Roll-out Plan'!$O$39</f>
        <v>0</v>
      </c>
      <c r="BS349" s="237" t="n">
        <f aca="false">BS347*$AC$345*BS348*BS$38*'⑫ Roll-out Plan'!$O$39</f>
        <v>0</v>
      </c>
      <c r="BT349" s="237" t="n">
        <f aca="false">BT347*$AC$345*BT348*BT$38*'⑫ Roll-out Plan'!$O$39</f>
        <v>0</v>
      </c>
      <c r="BU349" s="237" t="n">
        <f aca="false">BU347*$AC$345*BU348*BU$38*'⑫ Roll-out Plan'!$O$39</f>
        <v>0</v>
      </c>
      <c r="BV349" s="237" t="n">
        <f aca="false">BV347*$AC$345*BV348*BV$38*'⑫ Roll-out Plan'!$O$39</f>
        <v>0</v>
      </c>
      <c r="BW349" s="237" t="n">
        <f aca="false">BW347*$AC$345*BW348*BW$38*'⑫ Roll-out Plan'!$O$39</f>
        <v>0</v>
      </c>
      <c r="BX349" s="237" t="n">
        <f aca="false">BX347*$AC$345*BX348*BX$38*'⑫ Roll-out Plan'!$O$39</f>
        <v>0</v>
      </c>
      <c r="BY349" s="237" t="n">
        <f aca="false">BY347*$AC$345*BY348*BY$38*'⑫ Roll-out Plan'!$O$39</f>
        <v>0</v>
      </c>
      <c r="BZ349" s="237" t="n">
        <f aca="false">BZ347*$AC$345*BZ348*BZ$38*'⑫ Roll-out Plan'!$O$39</f>
        <v>0</v>
      </c>
      <c r="CA349" s="237" t="n">
        <f aca="false">CA347*$AC$345*CA348*CA$38*'⑫ Roll-out Plan'!$O$39</f>
        <v>0</v>
      </c>
      <c r="CB349" s="237" t="n">
        <f aca="false">CB347*$AC$345*CB348*CB$38*'⑫ Roll-out Plan'!$O$39</f>
        <v>0</v>
      </c>
      <c r="CC349" s="237" t="n">
        <f aca="false">CC347*$AC$345*CC348*CC$38*'⑫ Roll-out Plan'!$O$39</f>
        <v>0</v>
      </c>
      <c r="CD349" s="237" t="n">
        <f aca="false">CD347*$AC$345*CD348*CD$38*'⑫ Roll-out Plan'!$O$39</f>
        <v>0</v>
      </c>
      <c r="CE349" s="237" t="n">
        <f aca="false">CE347*$AC$345*CE348*CE$38*'⑫ Roll-out Plan'!$O$39</f>
        <v>0</v>
      </c>
      <c r="CF349" s="237" t="n">
        <f aca="false">CF347*$AC$345*CF348*CF$38*'⑫ Roll-out Plan'!$O$39</f>
        <v>0</v>
      </c>
      <c r="CG349" s="237" t="n">
        <f aca="false">CG347*$AC$345*CG348*CG$38*'⑫ Roll-out Plan'!$O$39</f>
        <v>0</v>
      </c>
      <c r="CH349" s="237" t="n">
        <f aca="false">CH347*$AC$345*CH348*CH$38*'⑫ Roll-out Plan'!$O$39</f>
        <v>0</v>
      </c>
      <c r="CI349" s="237" t="n">
        <f aca="false">CI347*$AC$345*CI348*CI$38*'⑫ Roll-out Plan'!$O$39</f>
        <v>0</v>
      </c>
      <c r="CJ349" s="237" t="n">
        <f aca="false">CJ347*$AC$345*CJ348*CJ$38*'⑫ Roll-out Plan'!$O$39</f>
        <v>0</v>
      </c>
      <c r="CK349" s="237" t="n">
        <f aca="false">CK347*$AC$345*CK348*CK$38*'⑫ Roll-out Plan'!$O$39</f>
        <v>0</v>
      </c>
      <c r="CL349" s="237" t="n">
        <f aca="false">CL347*$AC$345*CL348*CL$38*'⑫ Roll-out Plan'!$O$39</f>
        <v>0</v>
      </c>
      <c r="CM349" s="237" t="n">
        <f aca="false">CM347*$AC$345*CM348*CM$38*'⑫ Roll-out Plan'!$O$39</f>
        <v>0</v>
      </c>
      <c r="CN349" s="237" t="n">
        <f aca="false">CN347*$AC$345*CN348*CN$38*'⑫ Roll-out Plan'!$O$39</f>
        <v>0</v>
      </c>
      <c r="CO349" s="237" t="n">
        <f aca="false">CO347*$AC$345*CO348*CO$38*'⑫ Roll-out Plan'!$O$39</f>
        <v>0</v>
      </c>
      <c r="CP349" s="237" t="n">
        <f aca="false">CP347*$AC$345*CP348*CP$38*'⑫ Roll-out Plan'!$O$39</f>
        <v>0</v>
      </c>
      <c r="CQ349" s="237" t="n">
        <f aca="false">CQ347*$AC$345*CQ348*CQ$38*'⑫ Roll-out Plan'!$O$39</f>
        <v>0</v>
      </c>
      <c r="CR349" s="237" t="n">
        <f aca="false">CR347*$AC$345*CR348*CR$38*'⑫ Roll-out Plan'!$O$39</f>
        <v>0</v>
      </c>
      <c r="CS349" s="237" t="n">
        <f aca="false">CS347*$AC$345*CS348*CS$38*'⑫ Roll-out Plan'!$O$39</f>
        <v>0</v>
      </c>
      <c r="CT349" s="237" t="n">
        <f aca="false">CT347*$AC$345*CT348*CT$38*'⑫ Roll-out Plan'!$O$39</f>
        <v>0</v>
      </c>
      <c r="CU349" s="237" t="n">
        <f aca="false">CU347*$AC$345*CU348*CU$38*'⑫ Roll-out Plan'!$O$39</f>
        <v>0</v>
      </c>
      <c r="CV349" s="237" t="n">
        <f aca="false">CV347*$AC$345*CV348*CV$38*'⑫ Roll-out Plan'!$O$39</f>
        <v>0</v>
      </c>
      <c r="CW349" s="237" t="n">
        <f aca="false">CW347*$AC$345*CW348*CW$38*'⑫ Roll-out Plan'!$O$39</f>
        <v>0</v>
      </c>
      <c r="CX349" s="237" t="n">
        <f aca="false">CX347*$AC$345*CX348*CX$38*'⑫ Roll-out Plan'!$O$39</f>
        <v>0</v>
      </c>
      <c r="CY349" s="237" t="n">
        <f aca="false">CY347*$AC$345*CY348*CY$38*'⑫ Roll-out Plan'!$O$39</f>
        <v>0</v>
      </c>
      <c r="CZ349" s="237" t="n">
        <f aca="false">CZ347*$AC$345*CZ348*CZ$38*'⑫ Roll-out Plan'!$O$39</f>
        <v>0</v>
      </c>
      <c r="DA349" s="237" t="n">
        <f aca="false">DA347*$AC$345*DA348*DA$38*'⑫ Roll-out Plan'!$O$39</f>
        <v>0</v>
      </c>
      <c r="DB349" s="237" t="n">
        <f aca="false">DB347*$AC$345*DB348*DB$38*'⑫ Roll-out Plan'!$O$39</f>
        <v>0</v>
      </c>
      <c r="DC349" s="237" t="n">
        <f aca="false">DC347*$AC$345*DC348*DC$38*'⑫ Roll-out Plan'!$O$39</f>
        <v>0</v>
      </c>
      <c r="DD349" s="237" t="n">
        <f aca="false">DD347*$AC$345*DD348*DD$38*'⑫ Roll-out Plan'!$O$39</f>
        <v>0</v>
      </c>
      <c r="DE349" s="237" t="n">
        <f aca="false">DE347*$AC$345*DE348*DE$38*'⑫ Roll-out Plan'!$O$39</f>
        <v>0</v>
      </c>
      <c r="DF349" s="237" t="n">
        <f aca="false">DF347*$AC$345*DF348*DF$38*'⑫ Roll-out Plan'!$O$39</f>
        <v>0</v>
      </c>
      <c r="DG349" s="237" t="n">
        <f aca="false">DG347*$AC$345*DG348*DG$38*'⑫ Roll-out Plan'!$O$39</f>
        <v>0</v>
      </c>
      <c r="DH349" s="237" t="n">
        <f aca="false">DH347*$AC$345*DH348*DH$38*'⑫ Roll-out Plan'!$O$39</f>
        <v>0</v>
      </c>
      <c r="DI349" s="237" t="n">
        <f aca="false">DI347*$AC$345*DI348*DI$38*'⑫ Roll-out Plan'!$O$39</f>
        <v>0</v>
      </c>
      <c r="DJ349" s="237" t="n">
        <f aca="false">DJ347*$AC$345*DJ348*DJ$38*'⑫ Roll-out Plan'!$O$39</f>
        <v>0</v>
      </c>
      <c r="DK349" s="237" t="n">
        <f aca="false">DK347*$AC$345*DK348*DK$38*'⑫ Roll-out Plan'!$O$39</f>
        <v>0</v>
      </c>
      <c r="DL349" s="237" t="n">
        <f aca="false">DL347*$AC$345*DL348*DL$38*'⑫ Roll-out Plan'!$O$39</f>
        <v>0</v>
      </c>
      <c r="DM349" s="237" t="n">
        <f aca="false">DM347*$AC$345*DM348*DM$38*'⑫ Roll-out Plan'!$O$39</f>
        <v>0</v>
      </c>
      <c r="DN349" s="237" t="n">
        <f aca="false">DN347*$AC$345*DN348*DN$38*'⑫ Roll-out Plan'!$O$39</f>
        <v>0</v>
      </c>
      <c r="DO349" s="237" t="n">
        <f aca="false">DO347*$AC$345*DO348*DO$38*'⑫ Roll-out Plan'!$O$39</f>
        <v>0</v>
      </c>
      <c r="DP349" s="237" t="n">
        <f aca="false">DP347*$AC$345*DP348*DP$38*'⑫ Roll-out Plan'!$O$39</f>
        <v>0</v>
      </c>
      <c r="DQ349" s="237" t="n">
        <f aca="false">DQ347*$AC$345*DQ348*DQ$38*'⑫ Roll-out Plan'!$O$39</f>
        <v>0</v>
      </c>
      <c r="DR349" s="237" t="n">
        <f aca="false">DR347*$AC$345*DR348*DR$38*'⑫ Roll-out Plan'!$O$39</f>
        <v>0</v>
      </c>
      <c r="DS349" s="237" t="n">
        <f aca="false">DS347*$AC$345*DS348*DS$38*'⑫ Roll-out Plan'!$O$39</f>
        <v>0</v>
      </c>
      <c r="DT349" s="237" t="n">
        <f aca="false">DT347*$AC$345*DT348*DT$38*'⑫ Roll-out Plan'!$O$39</f>
        <v>0</v>
      </c>
      <c r="DU349" s="237" t="n">
        <f aca="false">DU347*$AC$345*DU348*DU$38*'⑫ Roll-out Plan'!$O$39</f>
        <v>0</v>
      </c>
      <c r="DV349" s="237" t="n">
        <f aca="false">DV347*$AC$345*DV348*DV$38*'⑫ Roll-out Plan'!$O$39</f>
        <v>0</v>
      </c>
      <c r="DW349" s="237" t="n">
        <f aca="false">DW347*$AC$345*DW348*DW$38*'⑫ Roll-out Plan'!$O$39</f>
        <v>0</v>
      </c>
      <c r="DX349" s="237" t="n">
        <f aca="false">DX347*$AC$345*DX348*DX$38*'⑫ Roll-out Plan'!$O$39</f>
        <v>0</v>
      </c>
      <c r="DY349" s="237" t="n">
        <f aca="false">DY347*$AC$345*DY348*DY$38*'⑫ Roll-out Plan'!$O$39</f>
        <v>0</v>
      </c>
      <c r="DZ349" s="237" t="n">
        <f aca="false">DZ347*$AC$345*DZ348*DZ$38*'⑫ Roll-out Plan'!$O$39</f>
        <v>0</v>
      </c>
      <c r="EA349" s="237" t="n">
        <f aca="false">EA347*$AC$345*EA348*EA$38*'⑫ Roll-out Plan'!$O$39</f>
        <v>0</v>
      </c>
      <c r="EB349" s="237" t="n">
        <f aca="false">EB347*$AC$345*EB348*EB$38*'⑫ Roll-out Plan'!$O$39</f>
        <v>0</v>
      </c>
      <c r="EC349" s="237" t="n">
        <f aca="false">EC347*$AC$345*EC348*EC$38*'⑫ Roll-out Plan'!$O$39</f>
        <v>0</v>
      </c>
      <c r="ED349" s="237" t="n">
        <f aca="false">ED347*$AC$345*ED348*ED$38*'⑫ Roll-out Plan'!$O$39</f>
        <v>0</v>
      </c>
      <c r="EE349" s="237" t="n">
        <f aca="false">EE347*$AC$345*EE348*EE$38*'⑫ Roll-out Plan'!$O$39</f>
        <v>15.84</v>
      </c>
      <c r="EF349" s="237" t="n">
        <f aca="false">EF347*$AC$345*EF348*EF$38*'⑫ Roll-out Plan'!$O$39</f>
        <v>24.684</v>
      </c>
      <c r="EG349" s="237" t="n">
        <f aca="false">EG347*$AC$345*EG348*EG$38*'⑫ Roll-out Plan'!$O$39</f>
        <v>28.512</v>
      </c>
      <c r="EH349" s="237" t="n">
        <f aca="false">EH347*$AC$345*EH348*EH$38*'⑫ Roll-out Plan'!$O$39</f>
        <v>24.354</v>
      </c>
      <c r="EI349" s="237" t="n">
        <f aca="false">EI347*$AC$345*EI348*EI$38*'⑫ Roll-out Plan'!$O$39</f>
        <v>34.452</v>
      </c>
      <c r="EJ349" s="237" t="n">
        <f aca="false">EJ347*$AC$345*EJ348*EJ$38*'⑫ Roll-out Plan'!$O$39</f>
        <v>37.51</v>
      </c>
      <c r="EK349" s="237" t="n">
        <f aca="false">EK347*$AC$345*EK348*EK$38*'⑫ Roll-out Plan'!$O$39</f>
        <v>35.42</v>
      </c>
      <c r="EL349" s="237" t="n">
        <f aca="false">EL347*$AC$345*EL348*EL$38*'⑫ Roll-out Plan'!$O$39</f>
        <v>34.32</v>
      </c>
      <c r="EM349" s="237" t="n">
        <f aca="false">EM347*$AC$345*EM348*EM$38*'⑫ Roll-out Plan'!$O$39</f>
        <v>40.656</v>
      </c>
      <c r="EN349" s="237" t="n">
        <f aca="false">EN347*$AC$345*EN348*EN$38*'⑫ Roll-out Plan'!$O$39</f>
        <v>68.728</v>
      </c>
      <c r="EO349" s="237" t="n">
        <f aca="false">EO347*$AC$345*EO348*EO$38*'⑫ Roll-out Plan'!$O$39</f>
        <v>61.248</v>
      </c>
      <c r="EP349" s="237" t="n">
        <f aca="false">EP347*$AC$345*EP348*EP$38*'⑫ Roll-out Plan'!$O$39</f>
        <v>54.912</v>
      </c>
      <c r="EQ349" s="237" t="n">
        <f aca="false">EQ347*$AC$345*EQ348*EQ$38*'⑫ Roll-out Plan'!$O$39</f>
        <v>44.352</v>
      </c>
      <c r="ER349" s="237" t="n">
        <f aca="false">ER347*$AC$345*ER348*ER$38*'⑫ Roll-out Plan'!$O$39</f>
        <v>67.32</v>
      </c>
      <c r="ES349" s="9" t="n">
        <f aca="false">ES347*$AC$345*ES348*ES$38*'⑫ Roll-out Plan'!$O$39</f>
        <v>71.28</v>
      </c>
      <c r="ET349" s="9" t="n">
        <f aca="false">ET347*$AC$345*ET348*ET$38*'⑫ Roll-out Plan'!$O$39</f>
        <v>68.1912</v>
      </c>
      <c r="EU349" s="9" t="n">
        <f aca="false">EU347*$AC$345*EU348*EU$38*'⑫ Roll-out Plan'!$O$39</f>
        <v>101.0592</v>
      </c>
      <c r="EV349" s="9" t="n">
        <f aca="false">EV347*$AC$345*EV348*EV$38*'⑫ Roll-out Plan'!$O$39</f>
        <v>100.188</v>
      </c>
      <c r="EW349" s="9" t="n">
        <f aca="false">EW347*$AC$345*EW348*EW$38*'⑫ Roll-out Plan'!$O$39</f>
        <v>86.2224</v>
      </c>
      <c r="EX349" s="9" t="n">
        <f aca="false">EX347*$AC$345*EX348*EX$38*'⑫ Roll-out Plan'!$O$39</f>
        <v>74.976</v>
      </c>
      <c r="EY349" s="9" t="n">
        <f aca="false">EY347*$AC$345*EY348*EY$38*'⑫ Roll-out Plan'!$O$39</f>
        <v>80.9424</v>
      </c>
      <c r="EZ349" s="9" t="n">
        <f aca="false">EZ347*$AC$345*EZ348*EZ$38*'⑫ Roll-out Plan'!$O$39</f>
        <v>140.58</v>
      </c>
      <c r="FA349" s="9" t="n">
        <f aca="false">FA347*$AC$345*FA348*FA$38*'⑫ Roll-out Plan'!$O$39</f>
        <v>117.9024</v>
      </c>
      <c r="FB349" s="9" t="n">
        <f aca="false">FB347*$AC$345*FB348*FB$38*'⑫ Roll-out Plan'!$O$39</f>
        <v>100.1088</v>
      </c>
      <c r="FC349" s="9" t="n">
        <f aca="false">FC347*$AC$345*FC348*FC$38*'⑫ Roll-out Plan'!$O$39</f>
        <v>75.0816</v>
      </c>
      <c r="FD349" s="9" t="n">
        <f aca="false">FD347*$AC$345*FD348*FD$38*'⑫ Roll-out Plan'!$O$39</f>
        <v>107.712</v>
      </c>
      <c r="FE349" s="9" t="n">
        <f aca="false">FE347*$AC$345*FE348*FE$38*'⑫ Roll-out Plan'!$O$39</f>
        <v>116.8992</v>
      </c>
      <c r="FF349" s="9" t="n">
        <f aca="false">FF347*$AC$345*FF348*FF$38*'⑫ Roll-out Plan'!$O$39</f>
        <v>90.9216</v>
      </c>
      <c r="FG349" s="9" t="n">
        <f aca="false">FG347*$AC$345*FG348*FG$38*'⑫ Roll-out Plan'!$O$39</f>
        <v>130.152</v>
      </c>
      <c r="FH349" s="9" t="n">
        <f aca="false">FH347*$AC$345*FH348*FH$38*'⑫ Roll-out Plan'!$O$39</f>
        <v>123.42</v>
      </c>
      <c r="FI349" s="9" t="n">
        <f aca="false">FI347*$AC$345*FI348*FI$38*'⑫ Roll-out Plan'!$O$39</f>
        <v>104.4384</v>
      </c>
      <c r="FJ349" s="9" t="n">
        <f aca="false">FJ347*$AC$345*FJ348*FJ$38*'⑫ Roll-out Plan'!$O$39</f>
        <v>92.928</v>
      </c>
      <c r="FK349" s="9" t="n">
        <f aca="false">FK347*$AC$345*FK348*FK$38*'⑫ Roll-out Plan'!$O$39</f>
        <v>98.6832</v>
      </c>
      <c r="FL349" s="9" t="n">
        <f aca="false">FL347*$AC$345*FL348*FL$38*'⑫ Roll-out Plan'!$O$39</f>
        <v>168.696</v>
      </c>
      <c r="FM349" s="9" t="n">
        <f aca="false">FM347*$AC$345*FM348*FM$38*'⑫ Roll-out Plan'!$O$39</f>
        <v>137.808</v>
      </c>
      <c r="FN349" s="9" t="n">
        <f aca="false">FN347*$AC$345*FN348*FN$38*'⑫ Roll-out Plan'!$O$39</f>
        <v>116.5824</v>
      </c>
      <c r="FO349" s="9" t="n">
        <f aca="false">FO347*$AC$345*FO348*FO$38*'⑫ Roll-out Plan'!$O$39</f>
        <v>88.3872</v>
      </c>
      <c r="FP349" s="9" t="n">
        <f aca="false">FP347*$AC$345*FP348*FP$38*'⑫ Roll-out Plan'!$O$39</f>
        <v>126.5616</v>
      </c>
    </row>
    <row r="350" customFormat="false" ht="15" hidden="false" customHeight="false" outlineLevel="2" collapsed="false">
      <c r="B350" s="47" t="s">
        <v>877</v>
      </c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237" t="n">
        <f aca="true">IFERROR(SUMPRODUCT(OFFSET($BJ$31,0,1-MIN(60,COLUMN()-29),1,MIN(60,COLUMN()-29)),OFFSET(AC349,0,-MIN(60,COLUMN()-29),1,MIN(60,COLUMN()-29))),0)</f>
        <v>0</v>
      </c>
      <c r="AD350" s="237" t="n">
        <f aca="true">IFERROR(SUMPRODUCT(OFFSET($BJ$31,0,1-MIN(60,COLUMN()-29),1,MIN(60,COLUMN()-29)),OFFSET(AD349,0,-MIN(60,COLUMN()-29),1,MIN(60,COLUMN()-29))),0)</f>
        <v>0</v>
      </c>
      <c r="AE350" s="237" t="n">
        <f aca="true">IFERROR(SUMPRODUCT(OFFSET($BJ$31,0,1-MIN(60,COLUMN()-29),1,MIN(60,COLUMN()-29)),OFFSET(AE349,0,-MIN(60,COLUMN()-29),1,MIN(60,COLUMN()-29))),0)</f>
        <v>0</v>
      </c>
      <c r="AF350" s="237" t="n">
        <f aca="true">IFERROR(SUMPRODUCT(OFFSET($BJ$31,0,1-MIN(60,COLUMN()-29),1,MIN(60,COLUMN()-29)),OFFSET(AF349,0,-MIN(60,COLUMN()-29),1,MIN(60,COLUMN()-29))),0)</f>
        <v>0</v>
      </c>
      <c r="AG350" s="237" t="n">
        <f aca="true">IFERROR(SUMPRODUCT(OFFSET($BJ$31,0,1-MIN(60,COLUMN()-29),1,MIN(60,COLUMN()-29)),OFFSET(AG349,0,-MIN(60,COLUMN()-29),1,MIN(60,COLUMN()-29))),0)</f>
        <v>0</v>
      </c>
      <c r="AH350" s="237" t="n">
        <f aca="true">IFERROR(SUMPRODUCT(OFFSET($BJ$31,0,1-MIN(60,COLUMN()-29),1,MIN(60,COLUMN()-29)),OFFSET(AH349,0,-MIN(60,COLUMN()-29),1,MIN(60,COLUMN()-29))),0)</f>
        <v>0</v>
      </c>
      <c r="AI350" s="237" t="n">
        <f aca="true">IFERROR(SUMPRODUCT(OFFSET($BJ$31,0,1-MIN(60,COLUMN()-29),1,MIN(60,COLUMN()-29)),OFFSET(AI349,0,-MIN(60,COLUMN()-29),1,MIN(60,COLUMN()-29))),0)</f>
        <v>0</v>
      </c>
      <c r="AJ350" s="237" t="n">
        <f aca="true">IFERROR(SUMPRODUCT(OFFSET($BJ$31,0,1-MIN(60,COLUMN()-29),1,MIN(60,COLUMN()-29)),OFFSET(AJ349,0,-MIN(60,COLUMN()-29),1,MIN(60,COLUMN()-29))),0)</f>
        <v>0</v>
      </c>
      <c r="AK350" s="237" t="n">
        <f aca="true">IFERROR(SUMPRODUCT(OFFSET($BJ$31,0,1-MIN(60,COLUMN()-29),1,MIN(60,COLUMN()-29)),OFFSET(AK349,0,-MIN(60,COLUMN()-29),1,MIN(60,COLUMN()-29))),0)</f>
        <v>0</v>
      </c>
      <c r="AL350" s="237" t="n">
        <f aca="true">IFERROR(SUMPRODUCT(OFFSET($BJ$31,0,1-MIN(60,COLUMN()-29),1,MIN(60,COLUMN()-29)),OFFSET(AL349,0,-MIN(60,COLUMN()-29),1,MIN(60,COLUMN()-29))),0)</f>
        <v>0</v>
      </c>
      <c r="AM350" s="237" t="n">
        <f aca="true">IFERROR(SUMPRODUCT(OFFSET($BJ$31,0,1-MIN(60,COLUMN()-29),1,MIN(60,COLUMN()-29)),OFFSET(AM349,0,-MIN(60,COLUMN()-29),1,MIN(60,COLUMN()-29))),0)</f>
        <v>0</v>
      </c>
      <c r="AN350" s="237" t="n">
        <f aca="true">IFERROR(SUMPRODUCT(OFFSET($BJ$31,0,1-MIN(60,COLUMN()-29),1,MIN(60,COLUMN()-29)),OFFSET(AN349,0,-MIN(60,COLUMN()-29),1,MIN(60,COLUMN()-29))),0)</f>
        <v>0</v>
      </c>
      <c r="AO350" s="237" t="n">
        <f aca="true">IFERROR(SUMPRODUCT(OFFSET($BJ$31,0,1-MIN(60,COLUMN()-29),1,MIN(60,COLUMN()-29)),OFFSET(AO349,0,-MIN(60,COLUMN()-29),1,MIN(60,COLUMN()-29))),0)</f>
        <v>0</v>
      </c>
      <c r="AP350" s="237" t="n">
        <f aca="true">IFERROR(SUMPRODUCT(OFFSET($BJ$31,0,1-MIN(60,COLUMN()-29),1,MIN(60,COLUMN()-29)),OFFSET(AP349,0,-MIN(60,COLUMN()-29),1,MIN(60,COLUMN()-29))),0)</f>
        <v>0</v>
      </c>
      <c r="AQ350" s="237" t="n">
        <f aca="true">IFERROR(SUMPRODUCT(OFFSET($BJ$31,0,1-MIN(60,COLUMN()-29),1,MIN(60,COLUMN()-29)),OFFSET(AQ349,0,-MIN(60,COLUMN()-29),1,MIN(60,COLUMN()-29))),0)</f>
        <v>0</v>
      </c>
      <c r="AR350" s="237" t="n">
        <f aca="true">IFERROR(SUMPRODUCT(OFFSET($BJ$31,0,1-MIN(60,COLUMN()-29),1,MIN(60,COLUMN()-29)),OFFSET(AR349,0,-MIN(60,COLUMN()-29),1,MIN(60,COLUMN()-29))),0)</f>
        <v>0</v>
      </c>
      <c r="AS350" s="237" t="n">
        <f aca="true">IFERROR(SUMPRODUCT(OFFSET($BJ$31,0,1-MIN(60,COLUMN()-29),1,MIN(60,COLUMN()-29)),OFFSET(AS349,0,-MIN(60,COLUMN()-29),1,MIN(60,COLUMN()-29))),0)</f>
        <v>0</v>
      </c>
      <c r="AT350" s="237" t="n">
        <f aca="true">IFERROR(SUMPRODUCT(OFFSET($BJ$31,0,1-MIN(60,COLUMN()-29),1,MIN(60,COLUMN()-29)),OFFSET(AT349,0,-MIN(60,COLUMN()-29),1,MIN(60,COLUMN()-29))),0)</f>
        <v>0</v>
      </c>
      <c r="AU350" s="237" t="n">
        <f aca="true">IFERROR(SUMPRODUCT(OFFSET($BJ$31,0,1-MIN(60,COLUMN()-29),1,MIN(60,COLUMN()-29)),OFFSET(AU349,0,-MIN(60,COLUMN()-29),1,MIN(60,COLUMN()-29))),0)</f>
        <v>0</v>
      </c>
      <c r="AV350" s="237" t="n">
        <f aca="true">IFERROR(SUMPRODUCT(OFFSET($BJ$31,0,1-MIN(60,COLUMN()-29),1,MIN(60,COLUMN()-29)),OFFSET(AV349,0,-MIN(60,COLUMN()-29),1,MIN(60,COLUMN()-29))),0)</f>
        <v>0</v>
      </c>
      <c r="AW350" s="237" t="n">
        <f aca="true">IFERROR(SUMPRODUCT(OFFSET($BJ$31,0,1-MIN(60,COLUMN()-29),1,MIN(60,COLUMN()-29)),OFFSET(AW349,0,-MIN(60,COLUMN()-29),1,MIN(60,COLUMN()-29))),0)</f>
        <v>0</v>
      </c>
      <c r="AX350" s="237" t="n">
        <f aca="true">IFERROR(SUMPRODUCT(OFFSET($BJ$31,0,1-MIN(60,COLUMN()-29),1,MIN(60,COLUMN()-29)),OFFSET(AX349,0,-MIN(60,COLUMN()-29),1,MIN(60,COLUMN()-29))),0)</f>
        <v>0</v>
      </c>
      <c r="AY350" s="237" t="n">
        <f aca="true">IFERROR(SUMPRODUCT(OFFSET($BJ$31,0,1-MIN(60,COLUMN()-29),1,MIN(60,COLUMN()-29)),OFFSET(AY349,0,-MIN(60,COLUMN()-29),1,MIN(60,COLUMN()-29))),0)</f>
        <v>0</v>
      </c>
      <c r="AZ350" s="237" t="n">
        <f aca="true">IFERROR(SUMPRODUCT(OFFSET($BJ$31,0,1-MIN(60,COLUMN()-29),1,MIN(60,COLUMN()-29)),OFFSET(AZ349,0,-MIN(60,COLUMN()-29),1,MIN(60,COLUMN()-29))),0)</f>
        <v>0</v>
      </c>
      <c r="BA350" s="237" t="n">
        <f aca="true">IFERROR(SUMPRODUCT(OFFSET($BJ$31,0,1-MIN(60,COLUMN()-29),1,MIN(60,COLUMN()-29)),OFFSET(BA349,0,-MIN(60,COLUMN()-29),1,MIN(60,COLUMN()-29))),0)</f>
        <v>0</v>
      </c>
      <c r="BB350" s="237" t="n">
        <f aca="true">IFERROR(SUMPRODUCT(OFFSET($BJ$31,0,1-MIN(60,COLUMN()-29),1,MIN(60,COLUMN()-29)),OFFSET(BB349,0,-MIN(60,COLUMN()-29),1,MIN(60,COLUMN()-29))),0)</f>
        <v>0</v>
      </c>
      <c r="BC350" s="237" t="n">
        <f aca="true">IFERROR(SUMPRODUCT(OFFSET($BJ$31,0,1-MIN(60,COLUMN()-29),1,MIN(60,COLUMN()-29)),OFFSET(BC349,0,-MIN(60,COLUMN()-29),1,MIN(60,COLUMN()-29))),0)</f>
        <v>0</v>
      </c>
      <c r="BD350" s="237" t="n">
        <f aca="true">IFERROR(SUMPRODUCT(OFFSET($BJ$31,0,1-MIN(60,COLUMN()-29),1,MIN(60,COLUMN()-29)),OFFSET(BD349,0,-MIN(60,COLUMN()-29),1,MIN(60,COLUMN()-29))),0)</f>
        <v>0</v>
      </c>
      <c r="BE350" s="237" t="n">
        <f aca="true">IFERROR(SUMPRODUCT(OFFSET($BJ$31,0,1-MIN(60,COLUMN()-29),1,MIN(60,COLUMN()-29)),OFFSET(BE349,0,-MIN(60,COLUMN()-29),1,MIN(60,COLUMN()-29))),0)</f>
        <v>0</v>
      </c>
      <c r="BF350" s="237" t="n">
        <f aca="true">IFERROR(SUMPRODUCT(OFFSET($BJ$31,0,1-MIN(60,COLUMN()-29),1,MIN(60,COLUMN()-29)),OFFSET(BF349,0,-MIN(60,COLUMN()-29),1,MIN(60,COLUMN()-29))),0)</f>
        <v>0</v>
      </c>
      <c r="BG350" s="237" t="n">
        <f aca="true">IFERROR(SUMPRODUCT(OFFSET($BJ$31,0,1-MIN(60,COLUMN()-29),1,MIN(60,COLUMN()-29)),OFFSET(BG349,0,-MIN(60,COLUMN()-29),1,MIN(60,COLUMN()-29))),0)</f>
        <v>0</v>
      </c>
      <c r="BH350" s="237" t="n">
        <f aca="true">IFERROR(SUMPRODUCT(OFFSET($BJ$31,0,1-MIN(60,COLUMN()-29),1,MIN(60,COLUMN()-29)),OFFSET(BH349,0,-MIN(60,COLUMN()-29),1,MIN(60,COLUMN()-29))),0)</f>
        <v>0</v>
      </c>
      <c r="BI350" s="237" t="n">
        <f aca="true">IFERROR(SUMPRODUCT(OFFSET($BJ$31,0,1-MIN(60,COLUMN()-29),1,MIN(60,COLUMN()-29)),OFFSET(BI349,0,-MIN(60,COLUMN()-29),1,MIN(60,COLUMN()-29))),0)</f>
        <v>0</v>
      </c>
      <c r="BJ350" s="237" t="n">
        <f aca="true">IFERROR(SUMPRODUCT(OFFSET($BJ$31,0,1-MIN(60,COLUMN()-29),1,MIN(60,COLUMN()-29)),OFFSET(BJ349,0,-MIN(60,COLUMN()-29),1,MIN(60,COLUMN()-29))),0)</f>
        <v>0</v>
      </c>
      <c r="BK350" s="237" t="n">
        <f aca="true">IFERROR(SUMPRODUCT(OFFSET($BJ$31,0,1-MIN(60,COLUMN()-29),1,MIN(60,COLUMN()-29)),OFFSET(BK349,0,-MIN(60,COLUMN()-29),1,MIN(60,COLUMN()-29))),0)</f>
        <v>0</v>
      </c>
      <c r="BL350" s="237" t="n">
        <f aca="true">IFERROR(SUMPRODUCT(OFFSET($BJ$31,0,1-MIN(60,COLUMN()-29),1,MIN(60,COLUMN()-29)),OFFSET(BL349,0,-MIN(60,COLUMN()-29),1,MIN(60,COLUMN()-29))),0)</f>
        <v>0</v>
      </c>
      <c r="BM350" s="237" t="n">
        <f aca="true">IFERROR(SUMPRODUCT(OFFSET($BJ$31,0,1-MIN(60,COLUMN()-29),1,MIN(60,COLUMN()-29)),OFFSET(BM349,0,-MIN(60,COLUMN()-29),1,MIN(60,COLUMN()-29))),0)</f>
        <v>0</v>
      </c>
      <c r="BN350" s="237" t="n">
        <f aca="true">IFERROR(SUMPRODUCT(OFFSET($BJ$31,0,1-MIN(60,COLUMN()-29),1,MIN(60,COLUMN()-29)),OFFSET(BN349,0,-MIN(60,COLUMN()-29),1,MIN(60,COLUMN()-29))),0)</f>
        <v>0</v>
      </c>
      <c r="BO350" s="237" t="n">
        <f aca="true">IFERROR(SUMPRODUCT(OFFSET($BJ$31,0,1-MIN(60,COLUMN()-29),1,MIN(60,COLUMN()-29)),OFFSET(BO349,0,-MIN(60,COLUMN()-29),1,MIN(60,COLUMN()-29))),0)</f>
        <v>0</v>
      </c>
      <c r="BP350" s="237" t="n">
        <f aca="true">IFERROR(SUMPRODUCT(OFFSET($BJ$31,0,1-MIN(60,COLUMN()-29),1,MIN(60,COLUMN()-29)),OFFSET(BP349,0,-MIN(60,COLUMN()-29),1,MIN(60,COLUMN()-29))),0)</f>
        <v>0</v>
      </c>
      <c r="BQ350" s="237" t="n">
        <f aca="true">IFERROR(SUMPRODUCT(OFFSET($BJ$31,0,1-MIN(60,COLUMN()-29),1,MIN(60,COLUMN()-29)),OFFSET(BQ349,0,-MIN(60,COLUMN()-29),1,MIN(60,COLUMN()-29))),0)</f>
        <v>0</v>
      </c>
      <c r="BR350" s="237" t="n">
        <f aca="true">IFERROR(SUMPRODUCT(OFFSET($BJ$31,0,1-MIN(60,COLUMN()-29),1,MIN(60,COLUMN()-29)),OFFSET(BR349,0,-MIN(60,COLUMN()-29),1,MIN(60,COLUMN()-29))),0)</f>
        <v>0</v>
      </c>
      <c r="BS350" s="237" t="n">
        <f aca="true">IFERROR(SUMPRODUCT(OFFSET($BJ$31,0,1-MIN(60,COLUMN()-29),1,MIN(60,COLUMN()-29)),OFFSET(BS349,0,-MIN(60,COLUMN()-29),1,MIN(60,COLUMN()-29))),0)</f>
        <v>0</v>
      </c>
      <c r="BT350" s="237" t="n">
        <f aca="true">IFERROR(SUMPRODUCT(OFFSET($BJ$31,0,1-MIN(60,COLUMN()-29),1,MIN(60,COLUMN()-29)),OFFSET(BT349,0,-MIN(60,COLUMN()-29),1,MIN(60,COLUMN()-29))),0)</f>
        <v>0</v>
      </c>
      <c r="BU350" s="237" t="n">
        <f aca="true">IFERROR(SUMPRODUCT(OFFSET($BJ$31,0,1-MIN(60,COLUMN()-29),1,MIN(60,COLUMN()-29)),OFFSET(BU349,0,-MIN(60,COLUMN()-29),1,MIN(60,COLUMN()-29))),0)</f>
        <v>0</v>
      </c>
      <c r="BV350" s="237" t="n">
        <f aca="true">IFERROR(SUMPRODUCT(OFFSET($BJ$31,0,1-MIN(60,COLUMN()-29),1,MIN(60,COLUMN()-29)),OFFSET(BV349,0,-MIN(60,COLUMN()-29),1,MIN(60,COLUMN()-29))),0)</f>
        <v>0</v>
      </c>
      <c r="BW350" s="237" t="n">
        <f aca="true">IFERROR(SUMPRODUCT(OFFSET($BJ$31,0,1-MIN(60,COLUMN()-29),1,MIN(60,COLUMN()-29)),OFFSET(BW349,0,-MIN(60,COLUMN()-29),1,MIN(60,COLUMN()-29))),0)</f>
        <v>0</v>
      </c>
      <c r="BX350" s="237" t="n">
        <f aca="true">IFERROR(SUMPRODUCT(OFFSET($BJ$31,0,1-MIN(60,COLUMN()-29),1,MIN(60,COLUMN()-29)),OFFSET(BX349,0,-MIN(60,COLUMN()-29),1,MIN(60,COLUMN()-29))),0)</f>
        <v>0</v>
      </c>
      <c r="BY350" s="237" t="n">
        <f aca="true">IFERROR(SUMPRODUCT(OFFSET($BJ$31,0,1-MIN(60,COLUMN()-29),1,MIN(60,COLUMN()-29)),OFFSET(BY349,0,-MIN(60,COLUMN()-29),1,MIN(60,COLUMN()-29))),0)</f>
        <v>0</v>
      </c>
      <c r="BZ350" s="237" t="n">
        <f aca="true">IFERROR(SUMPRODUCT(OFFSET($BJ$31,0,1-MIN(60,COLUMN()-29),1,MIN(60,COLUMN()-29)),OFFSET(BZ349,0,-MIN(60,COLUMN()-29),1,MIN(60,COLUMN()-29))),0)</f>
        <v>0</v>
      </c>
      <c r="CA350" s="237" t="n">
        <f aca="true">IFERROR(SUMPRODUCT(OFFSET($BJ$31,0,1-MIN(60,COLUMN()-29),1,MIN(60,COLUMN()-29)),OFFSET(CA349,0,-MIN(60,COLUMN()-29),1,MIN(60,COLUMN()-29))),0)</f>
        <v>0</v>
      </c>
      <c r="CB350" s="237" t="n">
        <f aca="true">IFERROR(SUMPRODUCT(OFFSET($BJ$31,0,1-MIN(60,COLUMN()-29),1,MIN(60,COLUMN()-29)),OFFSET(CB349,0,-MIN(60,COLUMN()-29),1,MIN(60,COLUMN()-29))),0)</f>
        <v>0</v>
      </c>
      <c r="CC350" s="237" t="n">
        <f aca="true">IFERROR(SUMPRODUCT(OFFSET($BJ$31,0,1-MIN(60,COLUMN()-29),1,MIN(60,COLUMN()-29)),OFFSET(CC349,0,-MIN(60,COLUMN()-29),1,MIN(60,COLUMN()-29))),0)</f>
        <v>0</v>
      </c>
      <c r="CD350" s="237" t="n">
        <f aca="true">IFERROR(SUMPRODUCT(OFFSET($BJ$31,0,1-MIN(60,COLUMN()-29),1,MIN(60,COLUMN()-29)),OFFSET(CD349,0,-MIN(60,COLUMN()-29),1,MIN(60,COLUMN()-29))),0)</f>
        <v>0</v>
      </c>
      <c r="CE350" s="237" t="n">
        <f aca="true">IFERROR(SUMPRODUCT(OFFSET($BJ$31,0,1-MIN(60,COLUMN()-29),1,MIN(60,COLUMN()-29)),OFFSET(CE349,0,-MIN(60,COLUMN()-29),1,MIN(60,COLUMN()-29))),0)</f>
        <v>0</v>
      </c>
      <c r="CF350" s="237" t="n">
        <f aca="true">IFERROR(SUMPRODUCT(OFFSET($BJ$31,0,1-MIN(60,COLUMN()-29),1,MIN(60,COLUMN()-29)),OFFSET(CF349,0,-MIN(60,COLUMN()-29),1,MIN(60,COLUMN()-29))),0)</f>
        <v>0</v>
      </c>
      <c r="CG350" s="237" t="n">
        <f aca="true">IFERROR(SUMPRODUCT(OFFSET($BJ$31,0,1-MIN(60,COLUMN()-29),1,MIN(60,COLUMN()-29)),OFFSET(CG349,0,-MIN(60,COLUMN()-29),1,MIN(60,COLUMN()-29))),0)</f>
        <v>0</v>
      </c>
      <c r="CH350" s="237" t="n">
        <f aca="true">IFERROR(SUMPRODUCT(OFFSET($BJ$31,0,1-MIN(60,COLUMN()-29),1,MIN(60,COLUMN()-29)),OFFSET(CH349,0,-MIN(60,COLUMN()-29),1,MIN(60,COLUMN()-29))),0)</f>
        <v>0</v>
      </c>
      <c r="CI350" s="237" t="n">
        <f aca="true">IFERROR(SUMPRODUCT(OFFSET($BJ$31,0,1-MIN(60,COLUMN()-29),1,MIN(60,COLUMN()-29)),OFFSET(CI349,0,-MIN(60,COLUMN()-29),1,MIN(60,COLUMN()-29))),0)</f>
        <v>0</v>
      </c>
      <c r="CJ350" s="237" t="n">
        <f aca="true">IFERROR(SUMPRODUCT(OFFSET($BJ$31,0,1-MIN(60,COLUMN()-29),1,MIN(60,COLUMN()-29)),OFFSET(CJ349,0,-MIN(60,COLUMN()-29),1,MIN(60,COLUMN()-29))),0)</f>
        <v>0</v>
      </c>
      <c r="CK350" s="237" t="n">
        <f aca="true">IFERROR(SUMPRODUCT(OFFSET($BJ$31,0,1-MIN(60,COLUMN()-29),1,MIN(60,COLUMN()-29)),OFFSET(CK349,0,-MIN(60,COLUMN()-29),1,MIN(60,COLUMN()-29))),0)</f>
        <v>0</v>
      </c>
      <c r="CL350" s="237" t="n">
        <f aca="true">IFERROR(SUMPRODUCT(OFFSET($BJ$31,0,1-MIN(60,COLUMN()-29),1,MIN(60,COLUMN()-29)),OFFSET(CL349,0,-MIN(60,COLUMN()-29),1,MIN(60,COLUMN()-29))),0)</f>
        <v>0</v>
      </c>
      <c r="CM350" s="237" t="n">
        <f aca="true">IFERROR(SUMPRODUCT(OFFSET($BJ$31,0,1-MIN(60,COLUMN()-29),1,MIN(60,COLUMN()-29)),OFFSET(CM349,0,-MIN(60,COLUMN()-29),1,MIN(60,COLUMN()-29))),0)</f>
        <v>0</v>
      </c>
      <c r="CN350" s="237" t="n">
        <f aca="true">IFERROR(SUMPRODUCT(OFFSET($BJ$31,0,1-MIN(60,COLUMN()-29),1,MIN(60,COLUMN()-29)),OFFSET(CN349,0,-MIN(60,COLUMN()-29),1,MIN(60,COLUMN()-29))),0)</f>
        <v>0</v>
      </c>
      <c r="CO350" s="237" t="n">
        <f aca="true">IFERROR(SUMPRODUCT(OFFSET($BJ$31,0,1-MIN(60,COLUMN()-29),1,MIN(60,COLUMN()-29)),OFFSET(CO349,0,-MIN(60,COLUMN()-29),1,MIN(60,COLUMN()-29))),0)</f>
        <v>0</v>
      </c>
      <c r="CP350" s="237" t="n">
        <f aca="true">IFERROR(SUMPRODUCT(OFFSET($BJ$31,0,1-MIN(60,COLUMN()-29),1,MIN(60,COLUMN()-29)),OFFSET(CP349,0,-MIN(60,COLUMN()-29),1,MIN(60,COLUMN()-29))),0)</f>
        <v>0</v>
      </c>
      <c r="CQ350" s="237" t="n">
        <f aca="true">IFERROR(SUMPRODUCT(OFFSET($BJ$31,0,1-MIN(60,COLUMN()-29),1,MIN(60,COLUMN()-29)),OFFSET(CQ349,0,-MIN(60,COLUMN()-29),1,MIN(60,COLUMN()-29))),0)</f>
        <v>0</v>
      </c>
      <c r="CR350" s="237" t="n">
        <f aca="true">IFERROR(SUMPRODUCT(OFFSET($BJ$31,0,1-MIN(60,COLUMN()-29),1,MIN(60,COLUMN()-29)),OFFSET(CR349,0,-MIN(60,COLUMN()-29),1,MIN(60,COLUMN()-29))),0)</f>
        <v>0</v>
      </c>
      <c r="CS350" s="237" t="n">
        <f aca="true">IFERROR(SUMPRODUCT(OFFSET($BJ$31,0,1-MIN(60,COLUMN()-29),1,MIN(60,COLUMN()-29)),OFFSET(CS349,0,-MIN(60,COLUMN()-29),1,MIN(60,COLUMN()-29))),0)</f>
        <v>0</v>
      </c>
      <c r="CT350" s="237" t="n">
        <f aca="true">IFERROR(SUMPRODUCT(OFFSET($BJ$31,0,1-MIN(60,COLUMN()-29),1,MIN(60,COLUMN()-29)),OFFSET(CT349,0,-MIN(60,COLUMN()-29),1,MIN(60,COLUMN()-29))),0)</f>
        <v>0</v>
      </c>
      <c r="CU350" s="237" t="n">
        <f aca="true">IFERROR(SUMPRODUCT(OFFSET($BJ$31,0,1-MIN(60,COLUMN()-29),1,MIN(60,COLUMN()-29)),OFFSET(CU349,0,-MIN(60,COLUMN()-29),1,MIN(60,COLUMN()-29))),0)</f>
        <v>0</v>
      </c>
      <c r="CV350" s="237" t="n">
        <f aca="true">IFERROR(SUMPRODUCT(OFFSET($BJ$31,0,1-MIN(60,COLUMN()-29),1,MIN(60,COLUMN()-29)),OFFSET(CV349,0,-MIN(60,COLUMN()-29),1,MIN(60,COLUMN()-29))),0)</f>
        <v>0</v>
      </c>
      <c r="CW350" s="237" t="n">
        <f aca="true">IFERROR(SUMPRODUCT(OFFSET($BJ$31,0,1-MIN(60,COLUMN()-29),1,MIN(60,COLUMN()-29)),OFFSET(CW349,0,-MIN(60,COLUMN()-29),1,MIN(60,COLUMN()-29))),0)</f>
        <v>0</v>
      </c>
      <c r="CX350" s="237" t="n">
        <f aca="true">IFERROR(SUMPRODUCT(OFFSET($BJ$31,0,1-MIN(60,COLUMN()-29),1,MIN(60,COLUMN()-29)),OFFSET(CX349,0,-MIN(60,COLUMN()-29),1,MIN(60,COLUMN()-29))),0)</f>
        <v>0</v>
      </c>
      <c r="CY350" s="237" t="n">
        <f aca="true">IFERROR(SUMPRODUCT(OFFSET($BJ$31,0,1-MIN(60,COLUMN()-29),1,MIN(60,COLUMN()-29)),OFFSET(CY349,0,-MIN(60,COLUMN()-29),1,MIN(60,COLUMN()-29))),0)</f>
        <v>0</v>
      </c>
      <c r="CZ350" s="237" t="n">
        <f aca="true">IFERROR(SUMPRODUCT(OFFSET($BJ$31,0,1-MIN(60,COLUMN()-29),1,MIN(60,COLUMN()-29)),OFFSET(CZ349,0,-MIN(60,COLUMN()-29),1,MIN(60,COLUMN()-29))),0)</f>
        <v>0</v>
      </c>
      <c r="DA350" s="237" t="n">
        <f aca="true">IFERROR(SUMPRODUCT(OFFSET($BJ$31,0,1-MIN(60,COLUMN()-29),1,MIN(60,COLUMN()-29)),OFFSET(DA349,0,-MIN(60,COLUMN()-29),1,MIN(60,COLUMN()-29))),0)</f>
        <v>0</v>
      </c>
      <c r="DB350" s="237" t="n">
        <f aca="true">IFERROR(SUMPRODUCT(OFFSET($BJ$31,0,1-MIN(60,COLUMN()-29),1,MIN(60,COLUMN()-29)),OFFSET(DB349,0,-MIN(60,COLUMN()-29),1,MIN(60,COLUMN()-29))),0)</f>
        <v>0</v>
      </c>
      <c r="DC350" s="237" t="n">
        <f aca="true">IFERROR(SUMPRODUCT(OFFSET($BJ$31,0,1-MIN(60,COLUMN()-29),1,MIN(60,COLUMN()-29)),OFFSET(DC349,0,-MIN(60,COLUMN()-29),1,MIN(60,COLUMN()-29))),0)</f>
        <v>0</v>
      </c>
      <c r="DD350" s="237" t="n">
        <f aca="true">IFERROR(SUMPRODUCT(OFFSET($BJ$31,0,1-MIN(60,COLUMN()-29),1,MIN(60,COLUMN()-29)),OFFSET(DD349,0,-MIN(60,COLUMN()-29),1,MIN(60,COLUMN()-29))),0)</f>
        <v>0</v>
      </c>
      <c r="DE350" s="237" t="n">
        <f aca="true">IFERROR(SUMPRODUCT(OFFSET($BJ$31,0,1-MIN(60,COLUMN()-29),1,MIN(60,COLUMN()-29)),OFFSET(DE349,0,-MIN(60,COLUMN()-29),1,MIN(60,COLUMN()-29))),0)</f>
        <v>0</v>
      </c>
      <c r="DF350" s="237" t="n">
        <f aca="true">IFERROR(SUMPRODUCT(OFFSET($BJ$31,0,1-MIN(60,COLUMN()-29),1,MIN(60,COLUMN()-29)),OFFSET(DF349,0,-MIN(60,COLUMN()-29),1,MIN(60,COLUMN()-29))),0)</f>
        <v>0</v>
      </c>
      <c r="DG350" s="237" t="n">
        <f aca="true">IFERROR(SUMPRODUCT(OFFSET($BJ$31,0,1-MIN(60,COLUMN()-29),1,MIN(60,COLUMN()-29)),OFFSET(DG349,0,-MIN(60,COLUMN()-29),1,MIN(60,COLUMN()-29))),0)</f>
        <v>0</v>
      </c>
      <c r="DH350" s="237" t="n">
        <f aca="true">IFERROR(SUMPRODUCT(OFFSET($BJ$31,0,1-MIN(60,COLUMN()-29),1,MIN(60,COLUMN()-29)),OFFSET(DH349,0,-MIN(60,COLUMN()-29),1,MIN(60,COLUMN()-29))),0)</f>
        <v>0</v>
      </c>
      <c r="DI350" s="237" t="n">
        <f aca="true">IFERROR(SUMPRODUCT(OFFSET($BJ$31,0,1-MIN(60,COLUMN()-29),1,MIN(60,COLUMN()-29)),OFFSET(DI349,0,-MIN(60,COLUMN()-29),1,MIN(60,COLUMN()-29))),0)</f>
        <v>0</v>
      </c>
      <c r="DJ350" s="237" t="n">
        <f aca="true">IFERROR(SUMPRODUCT(OFFSET($BJ$31,0,1-MIN(60,COLUMN()-29),1,MIN(60,COLUMN()-29)),OFFSET(DJ349,0,-MIN(60,COLUMN()-29),1,MIN(60,COLUMN()-29))),0)</f>
        <v>0</v>
      </c>
      <c r="DK350" s="237" t="n">
        <f aca="true">IFERROR(SUMPRODUCT(OFFSET($BJ$31,0,1-MIN(60,COLUMN()-29),1,MIN(60,COLUMN()-29)),OFFSET(DK349,0,-MIN(60,COLUMN()-29),1,MIN(60,COLUMN()-29))),0)</f>
        <v>0</v>
      </c>
      <c r="DL350" s="237" t="n">
        <f aca="true">IFERROR(SUMPRODUCT(OFFSET($BJ$31,0,1-MIN(60,COLUMN()-29),1,MIN(60,COLUMN()-29)),OFFSET(DL349,0,-MIN(60,COLUMN()-29),1,MIN(60,COLUMN()-29))),0)</f>
        <v>0</v>
      </c>
      <c r="DM350" s="237" t="n">
        <f aca="true">IFERROR(SUMPRODUCT(OFFSET($BJ$31,0,1-MIN(60,COLUMN()-29),1,MIN(60,COLUMN()-29)),OFFSET(DM349,0,-MIN(60,COLUMN()-29),1,MIN(60,COLUMN()-29))),0)</f>
        <v>0</v>
      </c>
      <c r="DN350" s="237" t="n">
        <f aca="true">IFERROR(SUMPRODUCT(OFFSET($BJ$31,0,1-MIN(60,COLUMN()-29),1,MIN(60,COLUMN()-29)),OFFSET(DN349,0,-MIN(60,COLUMN()-29),1,MIN(60,COLUMN()-29))),0)</f>
        <v>0</v>
      </c>
      <c r="DO350" s="237" t="n">
        <f aca="true">IFERROR(SUMPRODUCT(OFFSET($BJ$31,0,1-MIN(60,COLUMN()-29),1,MIN(60,COLUMN()-29)),OFFSET(DO349,0,-MIN(60,COLUMN()-29),1,MIN(60,COLUMN()-29))),0)</f>
        <v>0</v>
      </c>
      <c r="DP350" s="237" t="n">
        <f aca="true">IFERROR(SUMPRODUCT(OFFSET($BJ$31,0,1-MIN(60,COLUMN()-29),1,MIN(60,COLUMN()-29)),OFFSET(DP349,0,-MIN(60,COLUMN()-29),1,MIN(60,COLUMN()-29))),0)</f>
        <v>0</v>
      </c>
      <c r="DQ350" s="237" t="n">
        <f aca="true">IFERROR(SUMPRODUCT(OFFSET($BJ$31,0,1-MIN(60,COLUMN()-29),1,MIN(60,COLUMN()-29)),OFFSET(DQ349,0,-MIN(60,COLUMN()-29),1,MIN(60,COLUMN()-29))),0)</f>
        <v>0</v>
      </c>
      <c r="DR350" s="237" t="n">
        <f aca="true">IFERROR(SUMPRODUCT(OFFSET($BJ$31,0,1-MIN(60,COLUMN()-29),1,MIN(60,COLUMN()-29)),OFFSET(DR349,0,-MIN(60,COLUMN()-29),1,MIN(60,COLUMN()-29))),0)</f>
        <v>0</v>
      </c>
      <c r="DS350" s="237" t="n">
        <f aca="true">IFERROR(SUMPRODUCT(OFFSET($BJ$31,0,1-MIN(60,COLUMN()-29),1,MIN(60,COLUMN()-29)),OFFSET(DS349,0,-MIN(60,COLUMN()-29),1,MIN(60,COLUMN()-29))),0)</f>
        <v>0</v>
      </c>
      <c r="DT350" s="237" t="n">
        <f aca="true">IFERROR(SUMPRODUCT(OFFSET($BJ$31,0,1-MIN(60,COLUMN()-29),1,MIN(60,COLUMN()-29)),OFFSET(DT349,0,-MIN(60,COLUMN()-29),1,MIN(60,COLUMN()-29))),0)</f>
        <v>0</v>
      </c>
      <c r="DU350" s="237" t="n">
        <f aca="true">IFERROR(SUMPRODUCT(OFFSET($BJ$31,0,1-MIN(60,COLUMN()-29),1,MIN(60,COLUMN()-29)),OFFSET(DU349,0,-MIN(60,COLUMN()-29),1,MIN(60,COLUMN()-29))),0)</f>
        <v>0</v>
      </c>
      <c r="DV350" s="237" t="n">
        <f aca="true">IFERROR(SUMPRODUCT(OFFSET($BJ$31,0,1-MIN(60,COLUMN()-29),1,MIN(60,COLUMN()-29)),OFFSET(DV349,0,-MIN(60,COLUMN()-29),1,MIN(60,COLUMN()-29))),0)</f>
        <v>0</v>
      </c>
      <c r="DW350" s="237" t="n">
        <f aca="true">IFERROR(SUMPRODUCT(OFFSET($BJ$31,0,1-MIN(60,COLUMN()-29),1,MIN(60,COLUMN()-29)),OFFSET(DW349,0,-MIN(60,COLUMN()-29),1,MIN(60,COLUMN()-29))),0)</f>
        <v>0</v>
      </c>
      <c r="DX350" s="237" t="n">
        <f aca="true">IFERROR(SUMPRODUCT(OFFSET($BJ$31,0,1-MIN(60,COLUMN()-29),1,MIN(60,COLUMN()-29)),OFFSET(DX349,0,-MIN(60,COLUMN()-29),1,MIN(60,COLUMN()-29))),0)</f>
        <v>0</v>
      </c>
      <c r="DY350" s="237" t="n">
        <f aca="true">IFERROR(SUMPRODUCT(OFFSET($BJ$31,0,1-MIN(60,COLUMN()-29),1,MIN(60,COLUMN()-29)),OFFSET(DY349,0,-MIN(60,COLUMN()-29),1,MIN(60,COLUMN()-29))),0)</f>
        <v>0</v>
      </c>
      <c r="DZ350" s="237" t="n">
        <f aca="true">IFERROR(SUMPRODUCT(OFFSET($BJ$31,0,1-MIN(60,COLUMN()-29),1,MIN(60,COLUMN()-29)),OFFSET(DZ349,0,-MIN(60,COLUMN()-29),1,MIN(60,COLUMN()-29))),0)</f>
        <v>0</v>
      </c>
      <c r="EA350" s="237" t="n">
        <f aca="true">IFERROR(SUMPRODUCT(OFFSET($BJ$31,0,1-MIN(60,COLUMN()-29),1,MIN(60,COLUMN()-29)),OFFSET(EA349,0,-MIN(60,COLUMN()-29),1,MIN(60,COLUMN()-29))),0)</f>
        <v>0</v>
      </c>
      <c r="EB350" s="237" t="n">
        <f aca="true">IFERROR(SUMPRODUCT(OFFSET($BJ$31,0,1-MIN(60,COLUMN()-29),1,MIN(60,COLUMN()-29)),OFFSET(EB349,0,-MIN(60,COLUMN()-29),1,MIN(60,COLUMN()-29))),0)</f>
        <v>0</v>
      </c>
      <c r="EC350" s="237" t="n">
        <f aca="true">IFERROR(SUMPRODUCT(OFFSET($BJ$31,0,1-MIN(60,COLUMN()-29),1,MIN(60,COLUMN()-29)),OFFSET(EC349,0,-MIN(60,COLUMN()-29),1,MIN(60,COLUMN()-29))),0)</f>
        <v>0</v>
      </c>
      <c r="ED350" s="237" t="n">
        <f aca="true">IFERROR(SUMPRODUCT(OFFSET($BJ$31,0,1-MIN(60,COLUMN()-29),1,MIN(60,COLUMN()-29)),OFFSET(ED349,0,-MIN(60,COLUMN()-29),1,MIN(60,COLUMN()-29))),0)</f>
        <v>0</v>
      </c>
      <c r="EE350" s="237" t="n">
        <f aca="true">IFERROR(SUMPRODUCT(OFFSET($BJ$31,0,1-MIN(60,COLUMN()-29),1,MIN(60,COLUMN()-29)),OFFSET(EE349,0,-MIN(60,COLUMN()-29),1,MIN(60,COLUMN()-29))),0)</f>
        <v>0</v>
      </c>
      <c r="EF350" s="237" t="n">
        <f aca="true">IFERROR(SUMPRODUCT(OFFSET($BJ$31,0,1-MIN(60,COLUMN()-29),1,MIN(60,COLUMN()-29)),OFFSET(EF349,0,-MIN(60,COLUMN()-29),1,MIN(60,COLUMN()-29))),0)</f>
        <v>2.02752</v>
      </c>
      <c r="EG350" s="237" t="n">
        <f aca="true">IFERROR(SUMPRODUCT(OFFSET($BJ$31,0,1-MIN(60,COLUMN()-29),1,MIN(60,COLUMN()-29)),OFFSET(EG349,0,-MIN(60,COLUMN()-29),1,MIN(60,COLUMN()-29))),0)</f>
        <v>3.438336</v>
      </c>
      <c r="EH350" s="237" t="n">
        <f aca="true">IFERROR(SUMPRODUCT(OFFSET($BJ$31,0,1-MIN(60,COLUMN()-29),1,MIN(60,COLUMN()-29)),OFFSET(EH349,0,-MIN(60,COLUMN()-29),1,MIN(60,COLUMN()-29))),0)</f>
        <v>4.4387904</v>
      </c>
      <c r="EI350" s="237" t="n">
        <f aca="true">IFERROR(SUMPRODUCT(OFFSET($BJ$31,0,1-MIN(60,COLUMN()-29),1,MIN(60,COLUMN()-29)),OFFSET(EI349,0,-MIN(60,COLUMN()-29),1,MIN(60,COLUMN()-29))),0)</f>
        <v>4.3747968</v>
      </c>
      <c r="EJ350" s="237" t="n">
        <f aca="true">IFERROR(SUMPRODUCT(OFFSET($BJ$31,0,1-MIN(60,COLUMN()-29),1,MIN(60,COLUMN()-29)),OFFSET(EJ349,0,-MIN(60,COLUMN()-29),1,MIN(60,COLUMN()-29))),0)</f>
        <v>5.9451744</v>
      </c>
      <c r="EK350" s="237" t="n">
        <f aca="true">IFERROR(SUMPRODUCT(OFFSET($BJ$31,0,1-MIN(60,COLUMN()-29),1,MIN(60,COLUMN()-29)),OFFSET(EK349,0,-MIN(60,COLUMN()-29),1,MIN(60,COLUMN()-29))),0)</f>
        <v>6.6311168</v>
      </c>
      <c r="EL350" s="237" t="n">
        <f aca="true">IFERROR(SUMPRODUCT(OFFSET($BJ$31,0,1-MIN(60,COLUMN()-29),1,MIN(60,COLUMN()-29)),OFFSET(EL349,0,-MIN(60,COLUMN()-29),1,MIN(60,COLUMN()-29))),0)</f>
        <v>6.9230304</v>
      </c>
      <c r="EM350" s="237" t="n">
        <f aca="true">IFERROR(SUMPRODUCT(OFFSET($BJ$31,0,1-MIN(60,COLUMN()-29),1,MIN(60,COLUMN()-29)),OFFSET(EM349,0,-MIN(60,COLUMN()-29),1,MIN(60,COLUMN()-29))),0)</f>
        <v>7.1391936</v>
      </c>
      <c r="EN350" s="237" t="n">
        <f aca="true">IFERROR(SUMPRODUCT(OFFSET($BJ$31,0,1-MIN(60,COLUMN()-29),1,MIN(60,COLUMN()-29)),OFFSET(EN349,0,-MIN(60,COLUMN()-29),1,MIN(60,COLUMN()-29))),0)</f>
        <v>8.2559136</v>
      </c>
      <c r="EO350" s="237" t="n">
        <f aca="true">IFERROR(SUMPRODUCT(OFFSET($BJ$31,0,1-MIN(60,COLUMN()-29),1,MIN(60,COLUMN()-29)),OFFSET(EO349,0,-MIN(60,COLUMN()-29),1,MIN(60,COLUMN()-29))),0)</f>
        <v>12.3026112</v>
      </c>
      <c r="EP350" s="237" t="n">
        <f aca="true">IFERROR(SUMPRODUCT(OFFSET($BJ$31,0,1-MIN(60,COLUMN()-29),1,MIN(60,COLUMN()-29)),OFFSET(EP349,0,-MIN(60,COLUMN()-29),1,MIN(60,COLUMN()-29))),0)</f>
        <v>12.3464</v>
      </c>
      <c r="EQ350" s="237" t="n">
        <f aca="true">IFERROR(SUMPRODUCT(OFFSET($BJ$31,0,1-MIN(60,COLUMN()-29),1,MIN(60,COLUMN()-29)),OFFSET(EQ349,0,-MIN(60,COLUMN()-29),1,MIN(60,COLUMN()-29))),0)</f>
        <v>12.6770688</v>
      </c>
      <c r="ER350" s="237" t="n">
        <f aca="true">IFERROR(SUMPRODUCT(OFFSET($BJ$31,0,1-MIN(60,COLUMN()-29),1,MIN(60,COLUMN()-29)),OFFSET(ER349,0,-MIN(60,COLUMN()-29),1,MIN(60,COLUMN()-29))),0)</f>
        <v>12.2765632</v>
      </c>
      <c r="ES350" s="9" t="n">
        <f aca="true">IFERROR(SUMPRODUCT(OFFSET($BJ$31,0,1-MIN(60,COLUMN()-29),1,MIN(60,COLUMN()-29)),OFFSET(ES349,0,-MIN(60,COLUMN()-29),1,MIN(60,COLUMN()-29))),0)</f>
        <v>15.8518272</v>
      </c>
      <c r="ET350" s="9" t="n">
        <f aca="true">IFERROR(SUMPRODUCT(OFFSET($BJ$31,0,1-MIN(60,COLUMN()-29),1,MIN(60,COLUMN()-29)),OFFSET(ET349,0,-MIN(60,COLUMN()-29),1,MIN(60,COLUMN()-29))),0)</f>
        <v>16.968512</v>
      </c>
      <c r="EU350" s="9" t="n">
        <f aca="true">IFERROR(SUMPRODUCT(OFFSET($BJ$31,0,1-MIN(60,COLUMN()-29),1,MIN(60,COLUMN()-29)),OFFSET(EU349,0,-MIN(60,COLUMN()-29),1,MIN(60,COLUMN()-29))),0)</f>
        <v>17.764384</v>
      </c>
      <c r="EV350" s="9" t="n">
        <f aca="true">IFERROR(SUMPRODUCT(OFFSET($BJ$31,0,1-MIN(60,COLUMN()-29),1,MIN(60,COLUMN()-29)),OFFSET(EV349,0,-MIN(60,COLUMN()-29),1,MIN(60,COLUMN()-29))),0)</f>
        <v>23.18925312</v>
      </c>
      <c r="EW350" s="9" t="n">
        <f aca="true">IFERROR(SUMPRODUCT(OFFSET($BJ$31,0,1-MIN(60,COLUMN()-29),1,MIN(60,COLUMN()-29)),OFFSET(EW349,0,-MIN(60,COLUMN()-29),1,MIN(60,COLUMN()-29))),0)</f>
        <v>24.92138</v>
      </c>
      <c r="EX350" s="9" t="n">
        <f aca="true">IFERROR(SUMPRODUCT(OFFSET($BJ$31,0,1-MIN(60,COLUMN()-29),1,MIN(60,COLUMN()-29)),OFFSET(EX349,0,-MIN(60,COLUMN()-29),1,MIN(60,COLUMN()-29))),0)</f>
        <v>25.05542864</v>
      </c>
      <c r="EY350" s="9" t="n">
        <f aca="true">IFERROR(SUMPRODUCT(OFFSET($BJ$31,0,1-MIN(60,COLUMN()-29),1,MIN(60,COLUMN()-29)),OFFSET(EY349,0,-MIN(60,COLUMN()-29),1,MIN(60,COLUMN()-29))),0)</f>
        <v>24.91605512</v>
      </c>
      <c r="EZ350" s="9" t="n">
        <f aca="true">IFERROR(SUMPRODUCT(OFFSET($BJ$31,0,1-MIN(60,COLUMN()-29),1,MIN(60,COLUMN()-29)),OFFSET(EZ349,0,-MIN(60,COLUMN()-29),1,MIN(60,COLUMN()-29))),0)</f>
        <v>27.38353464</v>
      </c>
      <c r="FA350" s="9" t="n">
        <f aca="true">IFERROR(SUMPRODUCT(OFFSET($BJ$31,0,1-MIN(60,COLUMN()-29),1,MIN(60,COLUMN()-29)),OFFSET(FA349,0,-MIN(60,COLUMN()-29),1,MIN(60,COLUMN()-29))),0)</f>
        <v>36.75422432</v>
      </c>
      <c r="FB350" s="9" t="n">
        <f aca="true">IFERROR(SUMPRODUCT(OFFSET($BJ$31,0,1-MIN(60,COLUMN()-29),1,MIN(60,COLUMN()-29)),OFFSET(FB349,0,-MIN(60,COLUMN()-29),1,MIN(60,COLUMN()-29))),0)</f>
        <v>36.65436016</v>
      </c>
      <c r="FC350" s="9" t="n">
        <f aca="true">IFERROR(SUMPRODUCT(OFFSET($BJ$31,0,1-MIN(60,COLUMN()-29),1,MIN(60,COLUMN()-29)),OFFSET(FC349,0,-MIN(60,COLUMN()-29),1,MIN(60,COLUMN()-29))),0)</f>
        <v>36.25234096</v>
      </c>
      <c r="FD350" s="9" t="n">
        <f aca="true">IFERROR(SUMPRODUCT(OFFSET($BJ$31,0,1-MIN(60,COLUMN()-29),1,MIN(60,COLUMN()-29)),OFFSET(FD349,0,-MIN(60,COLUMN()-29),1,MIN(60,COLUMN()-29))),0)</f>
        <v>34.55872112</v>
      </c>
      <c r="FE350" s="9" t="n">
        <f aca="true">IFERROR(SUMPRODUCT(OFFSET($BJ$31,0,1-MIN(60,COLUMN()-29),1,MIN(60,COLUMN()-29)),OFFSET(FE349,0,-MIN(60,COLUMN()-29),1,MIN(60,COLUMN()-29))),0)</f>
        <v>41.2082088</v>
      </c>
      <c r="FF350" s="9" t="n">
        <f aca="true">IFERROR(SUMPRODUCT(OFFSET($BJ$31,0,1-MIN(60,COLUMN()-29),1,MIN(60,COLUMN()-29)),OFFSET(FF349,0,-MIN(60,COLUMN()-29),1,MIN(60,COLUMN()-29))),0)</f>
        <v>44.18025744</v>
      </c>
      <c r="FG350" s="9" t="n">
        <f aca="true">IFERROR(SUMPRODUCT(OFFSET($BJ$31,0,1-MIN(60,COLUMN()-29),1,MIN(60,COLUMN()-29)),OFFSET(FG349,0,-MIN(60,COLUMN()-29),1,MIN(60,COLUMN()-29))),0)</f>
        <v>44.39082384</v>
      </c>
      <c r="FH350" s="9" t="n">
        <f aca="true">IFERROR(SUMPRODUCT(OFFSET($BJ$31,0,1-MIN(60,COLUMN()-29),1,MIN(60,COLUMN()-29)),OFFSET(FH349,0,-MIN(60,COLUMN()-29),1,MIN(60,COLUMN()-29))),0)</f>
        <v>51.62167824</v>
      </c>
      <c r="FI350" s="9" t="n">
        <f aca="true">IFERROR(SUMPRODUCT(OFFSET($BJ$31,0,1-MIN(60,COLUMN()-29),1,MIN(60,COLUMN()-29)),OFFSET(FI349,0,-MIN(60,COLUMN()-29),1,MIN(60,COLUMN()-29))),0)</f>
        <v>53.361132</v>
      </c>
      <c r="FJ350" s="9" t="n">
        <f aca="true">IFERROR(SUMPRODUCT(OFFSET($BJ$31,0,1-MIN(60,COLUMN()-29),1,MIN(60,COLUMN()-29)),OFFSET(FJ349,0,-MIN(60,COLUMN()-29),1,MIN(60,COLUMN()-29))),0)</f>
        <v>53.60103408</v>
      </c>
      <c r="FK350" s="9" t="n">
        <f aca="true">IFERROR(SUMPRODUCT(OFFSET($BJ$31,0,1-MIN(60,COLUMN()-29),1,MIN(60,COLUMN()-29)),OFFSET(FK349,0,-MIN(60,COLUMN()-29),1,MIN(60,COLUMN()-29))),0)</f>
        <v>53.8305504</v>
      </c>
      <c r="FL350" s="9" t="n">
        <f aca="true">IFERROR(SUMPRODUCT(OFFSET($BJ$31,0,1-MIN(60,COLUMN()-29),1,MIN(60,COLUMN()-29)),OFFSET(FL349,0,-MIN(60,COLUMN()-29),1,MIN(60,COLUMN()-29))),0)</f>
        <v>58.29677568</v>
      </c>
      <c r="FM350" s="9" t="n">
        <f aca="true">IFERROR(SUMPRODUCT(OFFSET($BJ$31,0,1-MIN(60,COLUMN()-29),1,MIN(60,COLUMN()-29)),OFFSET(FM349,0,-MIN(60,COLUMN()-29),1,MIN(60,COLUMN()-29))),0)</f>
        <v>70.68395664</v>
      </c>
      <c r="FN350" s="9" t="n">
        <f aca="true">IFERROR(SUMPRODUCT(OFFSET($BJ$31,0,1-MIN(60,COLUMN()-29),1,MIN(60,COLUMN()-29)),OFFSET(FN349,0,-MIN(60,COLUMN()-29),1,MIN(60,COLUMN()-29))),0)</f>
        <v>70.71245808</v>
      </c>
      <c r="FO350" s="9" t="n">
        <f aca="true">IFERROR(SUMPRODUCT(OFFSET($BJ$31,0,1-MIN(60,COLUMN()-29),1,MIN(60,COLUMN()-29)),OFFSET(FO349,0,-MIN(60,COLUMN()-29),1,MIN(60,COLUMN()-29))),0)</f>
        <v>70.34851824</v>
      </c>
      <c r="FP350" s="9" t="n">
        <f aca="true">IFERROR(SUMPRODUCT(OFFSET($BJ$31,0,1-MIN(60,COLUMN()-29),1,MIN(60,COLUMN()-29)),OFFSET(FP349,0,-MIN(60,COLUMN()-29),1,MIN(60,COLUMN()-29))),0)</f>
        <v>68.59314</v>
      </c>
    </row>
    <row r="351" customFormat="false" ht="15" hidden="false" customHeight="false" outlineLevel="2" collapsed="false">
      <c r="B351" s="47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237"/>
      <c r="AD351" s="237"/>
      <c r="AE351" s="237"/>
      <c r="AF351" s="237"/>
      <c r="AG351" s="237"/>
      <c r="AH351" s="237"/>
      <c r="AI351" s="237"/>
      <c r="AJ351" s="237"/>
      <c r="AK351" s="237"/>
      <c r="AL351" s="237"/>
      <c r="AM351" s="237"/>
      <c r="AN351" s="237"/>
      <c r="AO351" s="237"/>
      <c r="AP351" s="237"/>
      <c r="AQ351" s="237"/>
      <c r="AR351" s="237"/>
      <c r="AS351" s="237"/>
      <c r="AT351" s="237"/>
      <c r="AU351" s="237"/>
      <c r="AV351" s="237"/>
      <c r="AW351" s="237"/>
      <c r="AX351" s="237"/>
      <c r="AY351" s="237"/>
      <c r="AZ351" s="237"/>
      <c r="BA351" s="237"/>
      <c r="BB351" s="237"/>
      <c r="BC351" s="237"/>
      <c r="BD351" s="237"/>
      <c r="BE351" s="237"/>
      <c r="BF351" s="237"/>
      <c r="BG351" s="237"/>
      <c r="BH351" s="237"/>
      <c r="BI351" s="237"/>
      <c r="BJ351" s="237"/>
      <c r="BK351" s="237"/>
      <c r="BL351" s="237"/>
      <c r="BM351" s="237"/>
      <c r="BN351" s="237"/>
      <c r="BO351" s="237"/>
      <c r="BP351" s="237"/>
      <c r="BQ351" s="237"/>
      <c r="BR351" s="237"/>
      <c r="BS351" s="237"/>
      <c r="BT351" s="237"/>
      <c r="BU351" s="237"/>
      <c r="BV351" s="237"/>
      <c r="BW351" s="237"/>
      <c r="BX351" s="237"/>
      <c r="BY351" s="237"/>
      <c r="BZ351" s="237"/>
      <c r="CA351" s="237"/>
      <c r="CB351" s="237"/>
      <c r="CC351" s="237"/>
      <c r="CD351" s="237"/>
      <c r="CE351" s="237"/>
      <c r="CF351" s="237"/>
      <c r="CG351" s="237"/>
      <c r="CH351" s="237"/>
      <c r="CI351" s="237"/>
      <c r="CJ351" s="237"/>
      <c r="CK351" s="237"/>
      <c r="CL351" s="237"/>
      <c r="CM351" s="237"/>
      <c r="CN351" s="237"/>
      <c r="CO351" s="237"/>
      <c r="CP351" s="237"/>
      <c r="CQ351" s="237"/>
      <c r="CR351" s="237"/>
      <c r="CS351" s="237"/>
      <c r="CT351" s="237"/>
      <c r="CU351" s="237"/>
      <c r="CV351" s="237"/>
      <c r="CW351" s="237"/>
      <c r="CX351" s="237"/>
      <c r="CY351" s="237"/>
      <c r="CZ351" s="237"/>
      <c r="DA351" s="237"/>
      <c r="DB351" s="237"/>
      <c r="DC351" s="237"/>
      <c r="DD351" s="237"/>
      <c r="DE351" s="237"/>
      <c r="DF351" s="237"/>
      <c r="DG351" s="237"/>
      <c r="DH351" s="237"/>
      <c r="DI351" s="237"/>
      <c r="DJ351" s="237"/>
      <c r="DK351" s="237"/>
      <c r="DL351" s="237"/>
      <c r="DM351" s="237"/>
      <c r="DN351" s="237"/>
      <c r="DO351" s="237"/>
      <c r="DP351" s="237"/>
      <c r="DQ351" s="237"/>
      <c r="DR351" s="237"/>
      <c r="DS351" s="237"/>
      <c r="DT351" s="237"/>
      <c r="DU351" s="237"/>
      <c r="DV351" s="237"/>
      <c r="DW351" s="237"/>
      <c r="DX351" s="237"/>
      <c r="DY351" s="237"/>
      <c r="DZ351" s="237"/>
      <c r="EA351" s="237"/>
      <c r="EB351" s="237"/>
      <c r="EC351" s="237"/>
      <c r="ED351" s="237"/>
      <c r="EE351" s="237"/>
      <c r="EF351" s="237"/>
      <c r="EG351" s="237"/>
      <c r="EH351" s="237"/>
      <c r="EI351" s="237"/>
      <c r="EJ351" s="237"/>
      <c r="EK351" s="237"/>
      <c r="EL351" s="237"/>
      <c r="EM351" s="237"/>
      <c r="EN351" s="237"/>
      <c r="EO351" s="237"/>
      <c r="EP351" s="237"/>
      <c r="EQ351" s="237"/>
      <c r="ER351" s="237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</row>
    <row r="352" customFormat="false" ht="15" hidden="false" customHeight="false" outlineLevel="2" collapsed="false">
      <c r="B352" s="47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237"/>
      <c r="AD352" s="237"/>
      <c r="AE352" s="237"/>
      <c r="AF352" s="237"/>
      <c r="AG352" s="237"/>
      <c r="AH352" s="237"/>
      <c r="AI352" s="237"/>
      <c r="AJ352" s="237"/>
      <c r="AK352" s="237"/>
      <c r="AL352" s="237"/>
      <c r="AM352" s="237"/>
      <c r="AN352" s="237"/>
      <c r="AO352" s="237"/>
      <c r="AP352" s="237"/>
      <c r="AQ352" s="237"/>
      <c r="AR352" s="237"/>
      <c r="AS352" s="237"/>
      <c r="AT352" s="237"/>
      <c r="AU352" s="237"/>
      <c r="AV352" s="237"/>
      <c r="AW352" s="237"/>
      <c r="AX352" s="237"/>
      <c r="AY352" s="237"/>
      <c r="AZ352" s="237"/>
      <c r="BA352" s="237"/>
      <c r="BB352" s="237"/>
      <c r="BC352" s="237"/>
      <c r="BD352" s="237"/>
      <c r="BE352" s="237"/>
      <c r="BF352" s="237"/>
      <c r="BG352" s="237"/>
      <c r="BH352" s="237"/>
      <c r="BI352" s="237"/>
      <c r="BJ352" s="237"/>
      <c r="BK352" s="237"/>
      <c r="BL352" s="237"/>
      <c r="BM352" s="237"/>
      <c r="BN352" s="237"/>
      <c r="BO352" s="237"/>
      <c r="BP352" s="237"/>
      <c r="BQ352" s="237"/>
      <c r="BR352" s="237"/>
      <c r="BS352" s="237"/>
      <c r="BT352" s="237"/>
      <c r="BU352" s="237"/>
      <c r="BV352" s="237"/>
      <c r="BW352" s="237"/>
      <c r="BX352" s="237"/>
      <c r="BY352" s="237"/>
      <c r="BZ352" s="237"/>
      <c r="CA352" s="237"/>
      <c r="CB352" s="237"/>
      <c r="CC352" s="237"/>
      <c r="CD352" s="237"/>
      <c r="CE352" s="237"/>
      <c r="CF352" s="237"/>
      <c r="CG352" s="237"/>
      <c r="CH352" s="237"/>
      <c r="CI352" s="237"/>
      <c r="CJ352" s="237"/>
      <c r="CK352" s="237"/>
      <c r="CL352" s="237"/>
      <c r="CM352" s="237"/>
      <c r="CN352" s="237"/>
      <c r="CO352" s="237"/>
      <c r="CP352" s="237"/>
      <c r="CQ352" s="237"/>
      <c r="CR352" s="237"/>
      <c r="CS352" s="237"/>
      <c r="CT352" s="237"/>
      <c r="CU352" s="237"/>
      <c r="CV352" s="237"/>
      <c r="CW352" s="237"/>
      <c r="CX352" s="237"/>
      <c r="CY352" s="237"/>
      <c r="CZ352" s="237"/>
      <c r="DA352" s="237"/>
      <c r="DB352" s="237"/>
      <c r="DC352" s="237"/>
      <c r="DD352" s="237"/>
      <c r="DE352" s="237"/>
      <c r="DF352" s="237"/>
      <c r="DG352" s="237"/>
      <c r="DH352" s="237"/>
      <c r="DI352" s="237"/>
      <c r="DJ352" s="237"/>
      <c r="DK352" s="237"/>
      <c r="DL352" s="237"/>
      <c r="DM352" s="237"/>
      <c r="DN352" s="237"/>
      <c r="DO352" s="237"/>
      <c r="DP352" s="237"/>
      <c r="DQ352" s="237"/>
      <c r="DR352" s="237"/>
      <c r="DS352" s="237"/>
      <c r="DT352" s="237"/>
      <c r="DU352" s="237"/>
      <c r="DV352" s="237"/>
      <c r="DW352" s="237"/>
      <c r="DX352" s="237"/>
      <c r="DY352" s="237"/>
      <c r="DZ352" s="237"/>
      <c r="EA352" s="237"/>
      <c r="EB352" s="237"/>
      <c r="EC352" s="237"/>
      <c r="ED352" s="237"/>
      <c r="EE352" s="237"/>
      <c r="EF352" s="237"/>
      <c r="EG352" s="237"/>
      <c r="EH352" s="237"/>
      <c r="EI352" s="237"/>
      <c r="EJ352" s="237"/>
      <c r="EK352" s="237"/>
      <c r="EL352" s="237"/>
      <c r="EM352" s="237"/>
      <c r="EN352" s="237"/>
      <c r="EO352" s="237"/>
      <c r="EP352" s="237"/>
      <c r="EQ352" s="237"/>
      <c r="ER352" s="237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</row>
    <row r="353" customFormat="false" ht="15" hidden="false" customHeight="false" outlineLevel="2" collapsed="false">
      <c r="B353" s="47" t="s">
        <v>908</v>
      </c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237"/>
      <c r="AD353" s="237"/>
      <c r="AE353" s="237"/>
      <c r="AF353" s="237"/>
      <c r="AG353" s="237"/>
      <c r="AH353" s="237"/>
      <c r="AI353" s="237"/>
      <c r="AJ353" s="237"/>
      <c r="AK353" s="237"/>
      <c r="AL353" s="237"/>
      <c r="AM353" s="237"/>
      <c r="AN353" s="237"/>
      <c r="AO353" s="237"/>
      <c r="AP353" s="237"/>
      <c r="AQ353" s="237"/>
      <c r="AR353" s="237"/>
      <c r="AS353" s="237"/>
      <c r="AT353" s="237"/>
      <c r="AU353" s="237"/>
      <c r="AV353" s="237"/>
      <c r="AW353" s="237"/>
      <c r="AX353" s="237"/>
      <c r="AY353" s="237"/>
      <c r="AZ353" s="237"/>
      <c r="BA353" s="237"/>
      <c r="BB353" s="237"/>
      <c r="BC353" s="237"/>
      <c r="BD353" s="237"/>
      <c r="BE353" s="237"/>
      <c r="BF353" s="237"/>
      <c r="BG353" s="237"/>
      <c r="BH353" s="237"/>
      <c r="BI353" s="237"/>
      <c r="BJ353" s="237"/>
      <c r="BK353" s="237"/>
      <c r="BL353" s="237"/>
      <c r="BM353" s="237"/>
      <c r="BN353" s="237"/>
      <c r="BO353" s="237"/>
      <c r="BP353" s="237"/>
      <c r="BQ353" s="237"/>
      <c r="BR353" s="237"/>
      <c r="BS353" s="237"/>
      <c r="BT353" s="237"/>
      <c r="BU353" s="237"/>
      <c r="BV353" s="237"/>
      <c r="BW353" s="237"/>
      <c r="BX353" s="237"/>
      <c r="BY353" s="237"/>
      <c r="BZ353" s="237"/>
      <c r="CA353" s="237"/>
      <c r="CB353" s="237"/>
      <c r="CC353" s="237"/>
      <c r="CD353" s="237"/>
      <c r="CE353" s="237"/>
      <c r="CF353" s="237"/>
      <c r="CG353" s="237"/>
      <c r="CH353" s="237"/>
      <c r="CI353" s="237"/>
      <c r="CJ353" s="237"/>
      <c r="CK353" s="237"/>
      <c r="CL353" s="237"/>
      <c r="CM353" s="237"/>
      <c r="CN353" s="237"/>
      <c r="CO353" s="237"/>
      <c r="CP353" s="237"/>
      <c r="CQ353" s="237"/>
      <c r="CR353" s="237"/>
      <c r="CS353" s="237"/>
      <c r="CT353" s="237"/>
      <c r="CU353" s="237"/>
      <c r="CV353" s="237"/>
      <c r="CW353" s="237"/>
      <c r="CX353" s="237"/>
      <c r="CY353" s="237"/>
      <c r="CZ353" s="237"/>
      <c r="DA353" s="237"/>
      <c r="DB353" s="237"/>
      <c r="DC353" s="237"/>
      <c r="DD353" s="237"/>
      <c r="DE353" s="237"/>
      <c r="DF353" s="237"/>
      <c r="DG353" s="237"/>
      <c r="DH353" s="237"/>
      <c r="DI353" s="237"/>
      <c r="DJ353" s="237"/>
      <c r="DK353" s="237"/>
      <c r="DL353" s="237"/>
      <c r="DM353" s="237"/>
      <c r="DN353" s="237"/>
      <c r="DO353" s="237"/>
      <c r="DP353" s="237"/>
      <c r="DQ353" s="237"/>
      <c r="DR353" s="237"/>
      <c r="DS353" s="237"/>
      <c r="DT353" s="237"/>
      <c r="DU353" s="237"/>
      <c r="DV353" s="237"/>
      <c r="DW353" s="237"/>
      <c r="DX353" s="237"/>
      <c r="DY353" s="237"/>
      <c r="DZ353" s="237"/>
      <c r="EA353" s="237"/>
      <c r="EB353" s="237"/>
      <c r="EC353" s="237"/>
      <c r="ED353" s="237"/>
      <c r="EE353" s="237"/>
      <c r="EF353" s="237"/>
      <c r="EG353" s="237"/>
      <c r="EH353" s="237"/>
      <c r="EI353" s="237"/>
      <c r="EJ353" s="237"/>
      <c r="EK353" s="237"/>
      <c r="EL353" s="237"/>
      <c r="EM353" s="237"/>
      <c r="EN353" s="237"/>
      <c r="EO353" s="237"/>
      <c r="EP353" s="237"/>
      <c r="EQ353" s="237"/>
      <c r="ER353" s="237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</row>
    <row r="354" customFormat="false" ht="15" hidden="false" customHeight="false" outlineLevel="2" collapsed="false">
      <c r="B354" s="47" t="s">
        <v>872</v>
      </c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237" t="n">
        <f aca="false">('⑫ Roll-out Plan'!G40-2025)*12+'⑫ Roll-out Plan'!F40</f>
        <v>97</v>
      </c>
      <c r="AD354" s="237"/>
      <c r="AE354" s="237"/>
      <c r="AF354" s="237"/>
      <c r="AG354" s="237"/>
      <c r="AH354" s="237"/>
      <c r="AI354" s="237"/>
      <c r="AJ354" s="237"/>
      <c r="AK354" s="237"/>
      <c r="AL354" s="237"/>
      <c r="AM354" s="237"/>
      <c r="AN354" s="237"/>
      <c r="AO354" s="237"/>
      <c r="AP354" s="237"/>
      <c r="AQ354" s="237"/>
      <c r="AR354" s="237"/>
      <c r="AS354" s="237"/>
      <c r="AT354" s="237"/>
      <c r="AU354" s="237"/>
      <c r="AV354" s="237"/>
      <c r="AW354" s="237"/>
      <c r="AX354" s="237"/>
      <c r="AY354" s="237"/>
      <c r="AZ354" s="237"/>
      <c r="BA354" s="237"/>
      <c r="BB354" s="237"/>
      <c r="BC354" s="237"/>
      <c r="BD354" s="237"/>
      <c r="BE354" s="237"/>
      <c r="BF354" s="237"/>
      <c r="BG354" s="237"/>
      <c r="BH354" s="237"/>
      <c r="BI354" s="237"/>
      <c r="BJ354" s="237"/>
      <c r="BK354" s="237"/>
      <c r="BL354" s="237"/>
      <c r="BM354" s="237"/>
      <c r="BN354" s="237"/>
      <c r="BO354" s="237"/>
      <c r="BP354" s="237"/>
      <c r="BQ354" s="237"/>
      <c r="BR354" s="237"/>
      <c r="BS354" s="237"/>
      <c r="BT354" s="237"/>
      <c r="BU354" s="237"/>
      <c r="BV354" s="237"/>
      <c r="BW354" s="237"/>
      <c r="BX354" s="237"/>
      <c r="BY354" s="237"/>
      <c r="BZ354" s="237"/>
      <c r="CA354" s="237"/>
      <c r="CB354" s="237"/>
      <c r="CC354" s="237"/>
      <c r="CD354" s="237"/>
      <c r="CE354" s="237"/>
      <c r="CF354" s="237"/>
      <c r="CG354" s="237"/>
      <c r="CH354" s="237"/>
      <c r="CI354" s="237"/>
      <c r="CJ354" s="237"/>
      <c r="CK354" s="237"/>
      <c r="CL354" s="237"/>
      <c r="CM354" s="237"/>
      <c r="CN354" s="237"/>
      <c r="CO354" s="237"/>
      <c r="CP354" s="237"/>
      <c r="CQ354" s="237"/>
      <c r="CR354" s="237"/>
      <c r="CS354" s="237"/>
      <c r="CT354" s="237"/>
      <c r="CU354" s="237"/>
      <c r="CV354" s="237"/>
      <c r="CW354" s="237"/>
      <c r="CX354" s="237"/>
      <c r="CY354" s="237"/>
      <c r="CZ354" s="237"/>
      <c r="DA354" s="237"/>
      <c r="DB354" s="237"/>
      <c r="DC354" s="237"/>
      <c r="DD354" s="237"/>
      <c r="DE354" s="237"/>
      <c r="DF354" s="237"/>
      <c r="DG354" s="237"/>
      <c r="DH354" s="237"/>
      <c r="DI354" s="237"/>
      <c r="DJ354" s="237"/>
      <c r="DK354" s="237"/>
      <c r="DL354" s="237"/>
      <c r="DM354" s="237"/>
      <c r="DN354" s="237"/>
      <c r="DO354" s="237"/>
      <c r="DP354" s="237"/>
      <c r="DQ354" s="237"/>
      <c r="DR354" s="237"/>
      <c r="DS354" s="237"/>
      <c r="DT354" s="237"/>
      <c r="DU354" s="237"/>
      <c r="DV354" s="237"/>
      <c r="DW354" s="237"/>
      <c r="DX354" s="237"/>
      <c r="DY354" s="237"/>
      <c r="DZ354" s="237"/>
      <c r="EA354" s="237"/>
      <c r="EB354" s="237"/>
      <c r="EC354" s="237"/>
      <c r="ED354" s="237"/>
      <c r="EE354" s="237"/>
      <c r="EF354" s="237"/>
      <c r="EG354" s="237"/>
      <c r="EH354" s="237"/>
      <c r="EI354" s="237"/>
      <c r="EJ354" s="237"/>
      <c r="EK354" s="237"/>
      <c r="EL354" s="237"/>
      <c r="EM354" s="237"/>
      <c r="EN354" s="237"/>
      <c r="EO354" s="237"/>
      <c r="EP354" s="237"/>
      <c r="EQ354" s="237"/>
      <c r="ER354" s="237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</row>
    <row r="355" customFormat="false" ht="15" hidden="false" customHeight="false" outlineLevel="2" collapsed="false">
      <c r="B355" s="47" t="s">
        <v>873</v>
      </c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237" t="n">
        <f aca="false">VLOOKUP("C",$B$14:$C$18,2,FALSE())</f>
        <v>110</v>
      </c>
      <c r="AD355" s="237"/>
      <c r="AE355" s="237"/>
      <c r="AF355" s="237"/>
      <c r="AG355" s="237"/>
      <c r="AH355" s="237"/>
      <c r="AI355" s="237"/>
      <c r="AJ355" s="237"/>
      <c r="AK355" s="237"/>
      <c r="AL355" s="237"/>
      <c r="AM355" s="237"/>
      <c r="AN355" s="237"/>
      <c r="AO355" s="237"/>
      <c r="AP355" s="237"/>
      <c r="AQ355" s="237"/>
      <c r="AR355" s="237"/>
      <c r="AS355" s="237"/>
      <c r="AT355" s="237"/>
      <c r="AU355" s="237"/>
      <c r="AV355" s="237"/>
      <c r="AW355" s="237"/>
      <c r="AX355" s="237"/>
      <c r="AY355" s="237"/>
      <c r="AZ355" s="237"/>
      <c r="BA355" s="237"/>
      <c r="BB355" s="237"/>
      <c r="BC355" s="237"/>
      <c r="BD355" s="237"/>
      <c r="BE355" s="237"/>
      <c r="BF355" s="237"/>
      <c r="BG355" s="237"/>
      <c r="BH355" s="237"/>
      <c r="BI355" s="237"/>
      <c r="BJ355" s="237"/>
      <c r="BK355" s="237"/>
      <c r="BL355" s="237"/>
      <c r="BM355" s="237"/>
      <c r="BN355" s="237"/>
      <c r="BO355" s="237"/>
      <c r="BP355" s="237"/>
      <c r="BQ355" s="237"/>
      <c r="BR355" s="237"/>
      <c r="BS355" s="237"/>
      <c r="BT355" s="237"/>
      <c r="BU355" s="237"/>
      <c r="BV355" s="237"/>
      <c r="BW355" s="237"/>
      <c r="BX355" s="237"/>
      <c r="BY355" s="237"/>
      <c r="BZ355" s="237"/>
      <c r="CA355" s="237"/>
      <c r="CB355" s="237"/>
      <c r="CC355" s="237"/>
      <c r="CD355" s="237"/>
      <c r="CE355" s="237"/>
      <c r="CF355" s="237"/>
      <c r="CG355" s="237"/>
      <c r="CH355" s="237"/>
      <c r="CI355" s="237"/>
      <c r="CJ355" s="237"/>
      <c r="CK355" s="237"/>
      <c r="CL355" s="237"/>
      <c r="CM355" s="237"/>
      <c r="CN355" s="237"/>
      <c r="CO355" s="237"/>
      <c r="CP355" s="237"/>
      <c r="CQ355" s="237"/>
      <c r="CR355" s="237"/>
      <c r="CS355" s="237"/>
      <c r="CT355" s="237"/>
      <c r="CU355" s="237"/>
      <c r="CV355" s="237"/>
      <c r="CW355" s="237"/>
      <c r="CX355" s="237"/>
      <c r="CY355" s="237"/>
      <c r="CZ355" s="237"/>
      <c r="DA355" s="237"/>
      <c r="DB355" s="237"/>
      <c r="DC355" s="237"/>
      <c r="DD355" s="237"/>
      <c r="DE355" s="237"/>
      <c r="DF355" s="237"/>
      <c r="DG355" s="237"/>
      <c r="DH355" s="237"/>
      <c r="DI355" s="237"/>
      <c r="DJ355" s="237"/>
      <c r="DK355" s="237"/>
      <c r="DL355" s="237"/>
      <c r="DM355" s="237"/>
      <c r="DN355" s="237"/>
      <c r="DO355" s="237"/>
      <c r="DP355" s="237"/>
      <c r="DQ355" s="237"/>
      <c r="DR355" s="237"/>
      <c r="DS355" s="237"/>
      <c r="DT355" s="237"/>
      <c r="DU355" s="237"/>
      <c r="DV355" s="237"/>
      <c r="DW355" s="237"/>
      <c r="DX355" s="237"/>
      <c r="DY355" s="237"/>
      <c r="DZ355" s="237"/>
      <c r="EA355" s="237"/>
      <c r="EB355" s="237"/>
      <c r="EC355" s="237"/>
      <c r="ED355" s="237"/>
      <c r="EE355" s="237"/>
      <c r="EF355" s="237"/>
      <c r="EG355" s="237"/>
      <c r="EH355" s="237"/>
      <c r="EI355" s="237"/>
      <c r="EJ355" s="237"/>
      <c r="EK355" s="237"/>
      <c r="EL355" s="237"/>
      <c r="EM355" s="237"/>
      <c r="EN355" s="237"/>
      <c r="EO355" s="237"/>
      <c r="EP355" s="237"/>
      <c r="EQ355" s="237"/>
      <c r="ER355" s="237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</row>
    <row r="356" customFormat="false" ht="15" hidden="false" customHeight="false" outlineLevel="2" collapsed="false">
      <c r="B356" s="47" t="s">
        <v>799</v>
      </c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237" t="n">
        <f aca="false">IF(AC$35&gt;=$AC$354,AC$35-$AC$354+1,0)</f>
        <v>0</v>
      </c>
      <c r="AD356" s="237" t="n">
        <f aca="false">IF(AD$35&gt;=$AC$354,AD$35-$AC$354+1,0)</f>
        <v>0</v>
      </c>
      <c r="AE356" s="237" t="n">
        <f aca="false">IF(AE$35&gt;=$AC$354,AE$35-$AC$354+1,0)</f>
        <v>0</v>
      </c>
      <c r="AF356" s="237" t="n">
        <f aca="false">IF(AF$35&gt;=$AC$354,AF$35-$AC$354+1,0)</f>
        <v>0</v>
      </c>
      <c r="AG356" s="237" t="n">
        <f aca="false">IF(AG$35&gt;=$AC$354,AG$35-$AC$354+1,0)</f>
        <v>0</v>
      </c>
      <c r="AH356" s="237" t="n">
        <f aca="false">IF(AH$35&gt;=$AC$354,AH$35-$AC$354+1,0)</f>
        <v>0</v>
      </c>
      <c r="AI356" s="237" t="n">
        <f aca="false">IF(AI$35&gt;=$AC$354,AI$35-$AC$354+1,0)</f>
        <v>0</v>
      </c>
      <c r="AJ356" s="237" t="n">
        <f aca="false">IF(AJ$35&gt;=$AC$354,AJ$35-$AC$354+1,0)</f>
        <v>0</v>
      </c>
      <c r="AK356" s="237" t="n">
        <f aca="false">IF(AK$35&gt;=$AC$354,AK$35-$AC$354+1,0)</f>
        <v>0</v>
      </c>
      <c r="AL356" s="237" t="n">
        <f aca="false">IF(AL$35&gt;=$AC$354,AL$35-$AC$354+1,0)</f>
        <v>0</v>
      </c>
      <c r="AM356" s="237" t="n">
        <f aca="false">IF(AM$35&gt;=$AC$354,AM$35-$AC$354+1,0)</f>
        <v>0</v>
      </c>
      <c r="AN356" s="237" t="n">
        <f aca="false">IF(AN$35&gt;=$AC$354,AN$35-$AC$354+1,0)</f>
        <v>0</v>
      </c>
      <c r="AO356" s="237" t="n">
        <f aca="false">IF(AO$35&gt;=$AC$354,AO$35-$AC$354+1,0)</f>
        <v>0</v>
      </c>
      <c r="AP356" s="237" t="n">
        <f aca="false">IF(AP$35&gt;=$AC$354,AP$35-$AC$354+1,0)</f>
        <v>0</v>
      </c>
      <c r="AQ356" s="237" t="n">
        <f aca="false">IF(AQ$35&gt;=$AC$354,AQ$35-$AC$354+1,0)</f>
        <v>0</v>
      </c>
      <c r="AR356" s="237" t="n">
        <f aca="false">IF(AR$35&gt;=$AC$354,AR$35-$AC$354+1,0)</f>
        <v>0</v>
      </c>
      <c r="AS356" s="237" t="n">
        <f aca="false">IF(AS$35&gt;=$AC$354,AS$35-$AC$354+1,0)</f>
        <v>0</v>
      </c>
      <c r="AT356" s="237" t="n">
        <f aca="false">IF(AT$35&gt;=$AC$354,AT$35-$AC$354+1,0)</f>
        <v>0</v>
      </c>
      <c r="AU356" s="237" t="n">
        <f aca="false">IF(AU$35&gt;=$AC$354,AU$35-$AC$354+1,0)</f>
        <v>0</v>
      </c>
      <c r="AV356" s="237" t="n">
        <f aca="false">IF(AV$35&gt;=$AC$354,AV$35-$AC$354+1,0)</f>
        <v>0</v>
      </c>
      <c r="AW356" s="237" t="n">
        <f aca="false">IF(AW$35&gt;=$AC$354,AW$35-$AC$354+1,0)</f>
        <v>0</v>
      </c>
      <c r="AX356" s="237" t="n">
        <f aca="false">IF(AX$35&gt;=$AC$354,AX$35-$AC$354+1,0)</f>
        <v>0</v>
      </c>
      <c r="AY356" s="237" t="n">
        <f aca="false">IF(AY$35&gt;=$AC$354,AY$35-$AC$354+1,0)</f>
        <v>0</v>
      </c>
      <c r="AZ356" s="237" t="n">
        <f aca="false">IF(AZ$35&gt;=$AC$354,AZ$35-$AC$354+1,0)</f>
        <v>0</v>
      </c>
      <c r="BA356" s="237" t="n">
        <f aca="false">IF(BA$35&gt;=$AC$354,BA$35-$AC$354+1,0)</f>
        <v>0</v>
      </c>
      <c r="BB356" s="237" t="n">
        <f aca="false">IF(BB$35&gt;=$AC$354,BB$35-$AC$354+1,0)</f>
        <v>0</v>
      </c>
      <c r="BC356" s="237" t="n">
        <f aca="false">IF(BC$35&gt;=$AC$354,BC$35-$AC$354+1,0)</f>
        <v>0</v>
      </c>
      <c r="BD356" s="237" t="n">
        <f aca="false">IF(BD$35&gt;=$AC$354,BD$35-$AC$354+1,0)</f>
        <v>0</v>
      </c>
      <c r="BE356" s="237" t="n">
        <f aca="false">IF(BE$35&gt;=$AC$354,BE$35-$AC$354+1,0)</f>
        <v>0</v>
      </c>
      <c r="BF356" s="237" t="n">
        <f aca="false">IF(BF$35&gt;=$AC$354,BF$35-$AC$354+1,0)</f>
        <v>0</v>
      </c>
      <c r="BG356" s="237" t="n">
        <f aca="false">IF(BG$35&gt;=$AC$354,BG$35-$AC$354+1,0)</f>
        <v>0</v>
      </c>
      <c r="BH356" s="237" t="n">
        <f aca="false">IF(BH$35&gt;=$AC$354,BH$35-$AC$354+1,0)</f>
        <v>0</v>
      </c>
      <c r="BI356" s="237" t="n">
        <f aca="false">IF(BI$35&gt;=$AC$354,BI$35-$AC$354+1,0)</f>
        <v>0</v>
      </c>
      <c r="BJ356" s="237" t="n">
        <f aca="false">IF(BJ$35&gt;=$AC$354,BJ$35-$AC$354+1,0)</f>
        <v>0</v>
      </c>
      <c r="BK356" s="237" t="n">
        <f aca="false">IF(BK$35&gt;=$AC$354,BK$35-$AC$354+1,0)</f>
        <v>0</v>
      </c>
      <c r="BL356" s="237" t="n">
        <f aca="false">IF(BL$35&gt;=$AC$354,BL$35-$AC$354+1,0)</f>
        <v>0</v>
      </c>
      <c r="BM356" s="237" t="n">
        <f aca="false">IF(BM$35&gt;=$AC$354,BM$35-$AC$354+1,0)</f>
        <v>0</v>
      </c>
      <c r="BN356" s="237" t="n">
        <f aca="false">IF(BN$35&gt;=$AC$354,BN$35-$AC$354+1,0)</f>
        <v>0</v>
      </c>
      <c r="BO356" s="237" t="n">
        <f aca="false">IF(BO$35&gt;=$AC$354,BO$35-$AC$354+1,0)</f>
        <v>0</v>
      </c>
      <c r="BP356" s="237" t="n">
        <f aca="false">IF(BP$35&gt;=$AC$354,BP$35-$AC$354+1,0)</f>
        <v>0</v>
      </c>
      <c r="BQ356" s="237" t="n">
        <f aca="false">IF(BQ$35&gt;=$AC$354,BQ$35-$AC$354+1,0)</f>
        <v>0</v>
      </c>
      <c r="BR356" s="237" t="n">
        <f aca="false">IF(BR$35&gt;=$AC$354,BR$35-$AC$354+1,0)</f>
        <v>0</v>
      </c>
      <c r="BS356" s="237" t="n">
        <f aca="false">IF(BS$35&gt;=$AC$354,BS$35-$AC$354+1,0)</f>
        <v>0</v>
      </c>
      <c r="BT356" s="237" t="n">
        <f aca="false">IF(BT$35&gt;=$AC$354,BT$35-$AC$354+1,0)</f>
        <v>0</v>
      </c>
      <c r="BU356" s="237" t="n">
        <f aca="false">IF(BU$35&gt;=$AC$354,BU$35-$AC$354+1,0)</f>
        <v>0</v>
      </c>
      <c r="BV356" s="237" t="n">
        <f aca="false">IF(BV$35&gt;=$AC$354,BV$35-$AC$354+1,0)</f>
        <v>0</v>
      </c>
      <c r="BW356" s="237" t="n">
        <f aca="false">IF(BW$35&gt;=$AC$354,BW$35-$AC$354+1,0)</f>
        <v>0</v>
      </c>
      <c r="BX356" s="237" t="n">
        <f aca="false">IF(BX$35&gt;=$AC$354,BX$35-$AC$354+1,0)</f>
        <v>0</v>
      </c>
      <c r="BY356" s="237" t="n">
        <f aca="false">IF(BY$35&gt;=$AC$354,BY$35-$AC$354+1,0)</f>
        <v>0</v>
      </c>
      <c r="BZ356" s="237" t="n">
        <f aca="false">IF(BZ$35&gt;=$AC$354,BZ$35-$AC$354+1,0)</f>
        <v>0</v>
      </c>
      <c r="CA356" s="237" t="n">
        <f aca="false">IF(CA$35&gt;=$AC$354,CA$35-$AC$354+1,0)</f>
        <v>0</v>
      </c>
      <c r="CB356" s="237" t="n">
        <f aca="false">IF(CB$35&gt;=$AC$354,CB$35-$AC$354+1,0)</f>
        <v>0</v>
      </c>
      <c r="CC356" s="237" t="n">
        <f aca="false">IF(CC$35&gt;=$AC$354,CC$35-$AC$354+1,0)</f>
        <v>0</v>
      </c>
      <c r="CD356" s="237" t="n">
        <f aca="false">IF(CD$35&gt;=$AC$354,CD$35-$AC$354+1,0)</f>
        <v>0</v>
      </c>
      <c r="CE356" s="237" t="n">
        <f aca="false">IF(CE$35&gt;=$AC$354,CE$35-$AC$354+1,0)</f>
        <v>0</v>
      </c>
      <c r="CF356" s="237" t="n">
        <f aca="false">IF(CF$35&gt;=$AC$354,CF$35-$AC$354+1,0)</f>
        <v>0</v>
      </c>
      <c r="CG356" s="237" t="n">
        <f aca="false">IF(CG$35&gt;=$AC$354,CG$35-$AC$354+1,0)</f>
        <v>0</v>
      </c>
      <c r="CH356" s="237" t="n">
        <f aca="false">IF(CH$35&gt;=$AC$354,CH$35-$AC$354+1,0)</f>
        <v>0</v>
      </c>
      <c r="CI356" s="237" t="n">
        <f aca="false">IF(CI$35&gt;=$AC$354,CI$35-$AC$354+1,0)</f>
        <v>0</v>
      </c>
      <c r="CJ356" s="237" t="n">
        <f aca="false">IF(CJ$35&gt;=$AC$354,CJ$35-$AC$354+1,0)</f>
        <v>0</v>
      </c>
      <c r="CK356" s="237" t="n">
        <f aca="false">IF(CK$35&gt;=$AC$354,CK$35-$AC$354+1,0)</f>
        <v>0</v>
      </c>
      <c r="CL356" s="237" t="n">
        <f aca="false">IF(CL$35&gt;=$AC$354,CL$35-$AC$354+1,0)</f>
        <v>0</v>
      </c>
      <c r="CM356" s="237" t="n">
        <f aca="false">IF(CM$35&gt;=$AC$354,CM$35-$AC$354+1,0)</f>
        <v>0</v>
      </c>
      <c r="CN356" s="237" t="n">
        <f aca="false">IF(CN$35&gt;=$AC$354,CN$35-$AC$354+1,0)</f>
        <v>0</v>
      </c>
      <c r="CO356" s="237" t="n">
        <f aca="false">IF(CO$35&gt;=$AC$354,CO$35-$AC$354+1,0)</f>
        <v>0</v>
      </c>
      <c r="CP356" s="237" t="n">
        <f aca="false">IF(CP$35&gt;=$AC$354,CP$35-$AC$354+1,0)</f>
        <v>0</v>
      </c>
      <c r="CQ356" s="237" t="n">
        <f aca="false">IF(CQ$35&gt;=$AC$354,CQ$35-$AC$354+1,0)</f>
        <v>0</v>
      </c>
      <c r="CR356" s="237" t="n">
        <f aca="false">IF(CR$35&gt;=$AC$354,CR$35-$AC$354+1,0)</f>
        <v>0</v>
      </c>
      <c r="CS356" s="237" t="n">
        <f aca="false">IF(CS$35&gt;=$AC$354,CS$35-$AC$354+1,0)</f>
        <v>0</v>
      </c>
      <c r="CT356" s="237" t="n">
        <f aca="false">IF(CT$35&gt;=$AC$354,CT$35-$AC$354+1,0)</f>
        <v>0</v>
      </c>
      <c r="CU356" s="237" t="n">
        <f aca="false">IF(CU$35&gt;=$AC$354,CU$35-$AC$354+1,0)</f>
        <v>0</v>
      </c>
      <c r="CV356" s="237" t="n">
        <f aca="false">IF(CV$35&gt;=$AC$354,CV$35-$AC$354+1,0)</f>
        <v>0</v>
      </c>
      <c r="CW356" s="237" t="n">
        <f aca="false">IF(CW$35&gt;=$AC$354,CW$35-$AC$354+1,0)</f>
        <v>0</v>
      </c>
      <c r="CX356" s="237" t="n">
        <f aca="false">IF(CX$35&gt;=$AC$354,CX$35-$AC$354+1,0)</f>
        <v>0</v>
      </c>
      <c r="CY356" s="237" t="n">
        <f aca="false">IF(CY$35&gt;=$AC$354,CY$35-$AC$354+1,0)</f>
        <v>0</v>
      </c>
      <c r="CZ356" s="237" t="n">
        <f aca="false">IF(CZ$35&gt;=$AC$354,CZ$35-$AC$354+1,0)</f>
        <v>0</v>
      </c>
      <c r="DA356" s="237" t="n">
        <f aca="false">IF(DA$35&gt;=$AC$354,DA$35-$AC$354+1,0)</f>
        <v>0</v>
      </c>
      <c r="DB356" s="237" t="n">
        <f aca="false">IF(DB$35&gt;=$AC$354,DB$35-$AC$354+1,0)</f>
        <v>0</v>
      </c>
      <c r="DC356" s="237" t="n">
        <f aca="false">IF(DC$35&gt;=$AC$354,DC$35-$AC$354+1,0)</f>
        <v>0</v>
      </c>
      <c r="DD356" s="237" t="n">
        <f aca="false">IF(DD$35&gt;=$AC$354,DD$35-$AC$354+1,0)</f>
        <v>0</v>
      </c>
      <c r="DE356" s="237" t="n">
        <f aca="false">IF(DE$35&gt;=$AC$354,DE$35-$AC$354+1,0)</f>
        <v>0</v>
      </c>
      <c r="DF356" s="237" t="n">
        <f aca="false">IF(DF$35&gt;=$AC$354,DF$35-$AC$354+1,0)</f>
        <v>0</v>
      </c>
      <c r="DG356" s="237" t="n">
        <f aca="false">IF(DG$35&gt;=$AC$354,DG$35-$AC$354+1,0)</f>
        <v>0</v>
      </c>
      <c r="DH356" s="237" t="n">
        <f aca="false">IF(DH$35&gt;=$AC$354,DH$35-$AC$354+1,0)</f>
        <v>0</v>
      </c>
      <c r="DI356" s="237" t="n">
        <f aca="false">IF(DI$35&gt;=$AC$354,DI$35-$AC$354+1,0)</f>
        <v>0</v>
      </c>
      <c r="DJ356" s="237" t="n">
        <f aca="false">IF(DJ$35&gt;=$AC$354,DJ$35-$AC$354+1,0)</f>
        <v>0</v>
      </c>
      <c r="DK356" s="237" t="n">
        <f aca="false">IF(DK$35&gt;=$AC$354,DK$35-$AC$354+1,0)</f>
        <v>0</v>
      </c>
      <c r="DL356" s="237" t="n">
        <f aca="false">IF(DL$35&gt;=$AC$354,DL$35-$AC$354+1,0)</f>
        <v>0</v>
      </c>
      <c r="DM356" s="237" t="n">
        <f aca="false">IF(DM$35&gt;=$AC$354,DM$35-$AC$354+1,0)</f>
        <v>0</v>
      </c>
      <c r="DN356" s="237" t="n">
        <f aca="false">IF(DN$35&gt;=$AC$354,DN$35-$AC$354+1,0)</f>
        <v>0</v>
      </c>
      <c r="DO356" s="237" t="n">
        <f aca="false">IF(DO$35&gt;=$AC$354,DO$35-$AC$354+1,0)</f>
        <v>0</v>
      </c>
      <c r="DP356" s="237" t="n">
        <f aca="false">IF(DP$35&gt;=$AC$354,DP$35-$AC$354+1,0)</f>
        <v>0</v>
      </c>
      <c r="DQ356" s="237" t="n">
        <f aca="false">IF(DQ$35&gt;=$AC$354,DQ$35-$AC$354+1,0)</f>
        <v>0</v>
      </c>
      <c r="DR356" s="237" t="n">
        <f aca="false">IF(DR$35&gt;=$AC$354,DR$35-$AC$354+1,0)</f>
        <v>0</v>
      </c>
      <c r="DS356" s="237" t="n">
        <f aca="false">IF(DS$35&gt;=$AC$354,DS$35-$AC$354+1,0)</f>
        <v>0</v>
      </c>
      <c r="DT356" s="237" t="n">
        <f aca="false">IF(DT$35&gt;=$AC$354,DT$35-$AC$354+1,0)</f>
        <v>0</v>
      </c>
      <c r="DU356" s="237" t="n">
        <f aca="false">IF(DU$35&gt;=$AC$354,DU$35-$AC$354+1,0)</f>
        <v>1</v>
      </c>
      <c r="DV356" s="237" t="n">
        <f aca="false">IF(DV$35&gt;=$AC$354,DV$35-$AC$354+1,0)</f>
        <v>2</v>
      </c>
      <c r="DW356" s="237" t="n">
        <f aca="false">IF(DW$35&gt;=$AC$354,DW$35-$AC$354+1,0)</f>
        <v>3</v>
      </c>
      <c r="DX356" s="237" t="n">
        <f aca="false">IF(DX$35&gt;=$AC$354,DX$35-$AC$354+1,0)</f>
        <v>4</v>
      </c>
      <c r="DY356" s="237" t="n">
        <f aca="false">IF(DY$35&gt;=$AC$354,DY$35-$AC$354+1,0)</f>
        <v>5</v>
      </c>
      <c r="DZ356" s="237" t="n">
        <f aca="false">IF(DZ$35&gt;=$AC$354,DZ$35-$AC$354+1,0)</f>
        <v>6</v>
      </c>
      <c r="EA356" s="237" t="n">
        <f aca="false">IF(EA$35&gt;=$AC$354,EA$35-$AC$354+1,0)</f>
        <v>7</v>
      </c>
      <c r="EB356" s="237" t="n">
        <f aca="false">IF(EB$35&gt;=$AC$354,EB$35-$AC$354+1,0)</f>
        <v>8</v>
      </c>
      <c r="EC356" s="237" t="n">
        <f aca="false">IF(EC$35&gt;=$AC$354,EC$35-$AC$354+1,0)</f>
        <v>9</v>
      </c>
      <c r="ED356" s="237" t="n">
        <f aca="false">IF(ED$35&gt;=$AC$354,ED$35-$AC$354+1,0)</f>
        <v>10</v>
      </c>
      <c r="EE356" s="237" t="n">
        <f aca="false">IF(EE$35&gt;=$AC$354,EE$35-$AC$354+1,0)</f>
        <v>11</v>
      </c>
      <c r="EF356" s="237" t="n">
        <f aca="false">IF(EF$35&gt;=$AC$354,EF$35-$AC$354+1,0)</f>
        <v>12</v>
      </c>
      <c r="EG356" s="237" t="n">
        <f aca="false">IF(EG$35&gt;=$AC$354,EG$35-$AC$354+1,0)</f>
        <v>13</v>
      </c>
      <c r="EH356" s="237" t="n">
        <f aca="false">IF(EH$35&gt;=$AC$354,EH$35-$AC$354+1,0)</f>
        <v>14</v>
      </c>
      <c r="EI356" s="237" t="n">
        <f aca="false">IF(EI$35&gt;=$AC$354,EI$35-$AC$354+1,0)</f>
        <v>15</v>
      </c>
      <c r="EJ356" s="237" t="n">
        <f aca="false">IF(EJ$35&gt;=$AC$354,EJ$35-$AC$354+1,0)</f>
        <v>16</v>
      </c>
      <c r="EK356" s="237" t="n">
        <f aca="false">IF(EK$35&gt;=$AC$354,EK$35-$AC$354+1,0)</f>
        <v>17</v>
      </c>
      <c r="EL356" s="237" t="n">
        <f aca="false">IF(EL$35&gt;=$AC$354,EL$35-$AC$354+1,0)</f>
        <v>18</v>
      </c>
      <c r="EM356" s="237" t="n">
        <f aca="false">IF(EM$35&gt;=$AC$354,EM$35-$AC$354+1,0)</f>
        <v>19</v>
      </c>
      <c r="EN356" s="237" t="n">
        <f aca="false">IF(EN$35&gt;=$AC$354,EN$35-$AC$354+1,0)</f>
        <v>20</v>
      </c>
      <c r="EO356" s="237" t="n">
        <f aca="false">IF(EO$35&gt;=$AC$354,EO$35-$AC$354+1,0)</f>
        <v>21</v>
      </c>
      <c r="EP356" s="237" t="n">
        <f aca="false">IF(EP$35&gt;=$AC$354,EP$35-$AC$354+1,0)</f>
        <v>22</v>
      </c>
      <c r="EQ356" s="237" t="n">
        <f aca="false">IF(EQ$35&gt;=$AC$354,EQ$35-$AC$354+1,0)</f>
        <v>23</v>
      </c>
      <c r="ER356" s="237" t="n">
        <f aca="false">IF(ER$35&gt;=$AC$354,ER$35-$AC$354+1,0)</f>
        <v>24</v>
      </c>
      <c r="ES356" s="9" t="n">
        <f aca="false">IF(ES$35&gt;=$AC$354,ES$35-$AC$354+1,0)</f>
        <v>25</v>
      </c>
      <c r="ET356" s="9" t="n">
        <f aca="false">IF(ET$35&gt;=$AC$354,ET$35-$AC$354+1,0)</f>
        <v>26</v>
      </c>
      <c r="EU356" s="9" t="n">
        <f aca="false">IF(EU$35&gt;=$AC$354,EU$35-$AC$354+1,0)</f>
        <v>27</v>
      </c>
      <c r="EV356" s="9" t="n">
        <f aca="false">IF(EV$35&gt;=$AC$354,EV$35-$AC$354+1,0)</f>
        <v>28</v>
      </c>
      <c r="EW356" s="9" t="n">
        <f aca="false">IF(EW$35&gt;=$AC$354,EW$35-$AC$354+1,0)</f>
        <v>29</v>
      </c>
      <c r="EX356" s="9" t="n">
        <f aca="false">IF(EX$35&gt;=$AC$354,EX$35-$AC$354+1,0)</f>
        <v>30</v>
      </c>
      <c r="EY356" s="9" t="n">
        <f aca="false">IF(EY$35&gt;=$AC$354,EY$35-$AC$354+1,0)</f>
        <v>31</v>
      </c>
      <c r="EZ356" s="9" t="n">
        <f aca="false">IF(EZ$35&gt;=$AC$354,EZ$35-$AC$354+1,0)</f>
        <v>32</v>
      </c>
      <c r="FA356" s="9" t="n">
        <f aca="false">IF(FA$35&gt;=$AC$354,FA$35-$AC$354+1,0)</f>
        <v>33</v>
      </c>
      <c r="FB356" s="9" t="n">
        <f aca="false">IF(FB$35&gt;=$AC$354,FB$35-$AC$354+1,0)</f>
        <v>34</v>
      </c>
      <c r="FC356" s="9" t="n">
        <f aca="false">IF(FC$35&gt;=$AC$354,FC$35-$AC$354+1,0)</f>
        <v>35</v>
      </c>
      <c r="FD356" s="9" t="n">
        <f aca="false">IF(FD$35&gt;=$AC$354,FD$35-$AC$354+1,0)</f>
        <v>36</v>
      </c>
      <c r="FE356" s="9" t="n">
        <f aca="false">IF(FE$35&gt;=$AC$354,FE$35-$AC$354+1,0)</f>
        <v>37</v>
      </c>
      <c r="FF356" s="9" t="n">
        <f aca="false">IF(FF$35&gt;=$AC$354,FF$35-$AC$354+1,0)</f>
        <v>38</v>
      </c>
      <c r="FG356" s="9" t="n">
        <f aca="false">IF(FG$35&gt;=$AC$354,FG$35-$AC$354+1,0)</f>
        <v>39</v>
      </c>
      <c r="FH356" s="9" t="n">
        <f aca="false">IF(FH$35&gt;=$AC$354,FH$35-$AC$354+1,0)</f>
        <v>40</v>
      </c>
      <c r="FI356" s="9" t="n">
        <f aca="false">IF(FI$35&gt;=$AC$354,FI$35-$AC$354+1,0)</f>
        <v>41</v>
      </c>
      <c r="FJ356" s="9" t="n">
        <f aca="false">IF(FJ$35&gt;=$AC$354,FJ$35-$AC$354+1,0)</f>
        <v>42</v>
      </c>
      <c r="FK356" s="9" t="n">
        <f aca="false">IF(FK$35&gt;=$AC$354,FK$35-$AC$354+1,0)</f>
        <v>43</v>
      </c>
      <c r="FL356" s="9" t="n">
        <f aca="false">IF(FL$35&gt;=$AC$354,FL$35-$AC$354+1,0)</f>
        <v>44</v>
      </c>
      <c r="FM356" s="9" t="n">
        <f aca="false">IF(FM$35&gt;=$AC$354,FM$35-$AC$354+1,0)</f>
        <v>45</v>
      </c>
      <c r="FN356" s="9" t="n">
        <f aca="false">IF(FN$35&gt;=$AC$354,FN$35-$AC$354+1,0)</f>
        <v>46</v>
      </c>
      <c r="FO356" s="9" t="n">
        <f aca="false">IF(FO$35&gt;=$AC$354,FO$35-$AC$354+1,0)</f>
        <v>47</v>
      </c>
      <c r="FP356" s="9" t="n">
        <f aca="false">IF(FP$35&gt;=$AC$354,FP$35-$AC$354+1,0)</f>
        <v>48</v>
      </c>
    </row>
    <row r="357" customFormat="false" ht="15" hidden="false" customHeight="false" outlineLevel="2" collapsed="false">
      <c r="B357" s="47" t="s">
        <v>874</v>
      </c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237" t="n">
        <f aca="false" t="array" ref="AC357:AC357">IF(AC356=0,0,IF(AC356/'🎚️ Escenario'!$C$11&gt;=36,$AL$23,INDEX($C$23:$AL$23,MAX(1,ROUNDUP(AC356/'🎚️ Escenario'!$C$11,0)))))</f>
        <v>0</v>
      </c>
      <c r="AD357" s="237" t="n">
        <f aca="false" t="array" ref="AD357:AD357">IF(AD356=0,0,IF(AD356/'🎚️ Escenario'!$C$11&gt;=36,$AL$23,INDEX($C$23:$AL$23,MAX(1,ROUNDUP(AD356/'🎚️ Escenario'!$C$11,0)))))</f>
        <v>0</v>
      </c>
      <c r="AE357" s="237" t="n">
        <f aca="false" t="array" ref="AE357:AE357">IF(AE356=0,0,IF(AE356/'🎚️ Escenario'!$C$11&gt;=36,$AL$23,INDEX($C$23:$AL$23,MAX(1,ROUNDUP(AE356/'🎚️ Escenario'!$C$11,0)))))</f>
        <v>0</v>
      </c>
      <c r="AF357" s="237" t="n">
        <f aca="false" t="array" ref="AF357:AF357">IF(AF356=0,0,IF(AF356/'🎚️ Escenario'!$C$11&gt;=36,$AL$23,INDEX($C$23:$AL$23,MAX(1,ROUNDUP(AF356/'🎚️ Escenario'!$C$11,0)))))</f>
        <v>0</v>
      </c>
      <c r="AG357" s="237" t="n">
        <f aca="false" t="array" ref="AG357:AG357">IF(AG356=0,0,IF(AG356/'🎚️ Escenario'!$C$11&gt;=36,$AL$23,INDEX($C$23:$AL$23,MAX(1,ROUNDUP(AG356/'🎚️ Escenario'!$C$11,0)))))</f>
        <v>0</v>
      </c>
      <c r="AH357" s="237" t="n">
        <f aca="false" t="array" ref="AH357:AH357">IF(AH356=0,0,IF(AH356/'🎚️ Escenario'!$C$11&gt;=36,$AL$23,INDEX($C$23:$AL$23,MAX(1,ROUNDUP(AH356/'🎚️ Escenario'!$C$11,0)))))</f>
        <v>0</v>
      </c>
      <c r="AI357" s="237" t="n">
        <f aca="false" t="array" ref="AI357:AI357">IF(AI356=0,0,IF(AI356/'🎚️ Escenario'!$C$11&gt;=36,$AL$23,INDEX($C$23:$AL$23,MAX(1,ROUNDUP(AI356/'🎚️ Escenario'!$C$11,0)))))</f>
        <v>0</v>
      </c>
      <c r="AJ357" s="237" t="n">
        <f aca="false" t="array" ref="AJ357:AJ357">IF(AJ356=0,0,IF(AJ356/'🎚️ Escenario'!$C$11&gt;=36,$AL$23,INDEX($C$23:$AL$23,MAX(1,ROUNDUP(AJ356/'🎚️ Escenario'!$C$11,0)))))</f>
        <v>0</v>
      </c>
      <c r="AK357" s="237" t="n">
        <f aca="false" t="array" ref="AK357:AK357">IF(AK356=0,0,IF(AK356/'🎚️ Escenario'!$C$11&gt;=36,$AL$23,INDEX($C$23:$AL$23,MAX(1,ROUNDUP(AK356/'🎚️ Escenario'!$C$11,0)))))</f>
        <v>0</v>
      </c>
      <c r="AL357" s="237" t="n">
        <f aca="false" t="array" ref="AL357:AL357">IF(AL356=0,0,IF(AL356/'🎚️ Escenario'!$C$11&gt;=36,$AL$23,INDEX($C$23:$AL$23,MAX(1,ROUNDUP(AL356/'🎚️ Escenario'!$C$11,0)))))</f>
        <v>0</v>
      </c>
      <c r="AM357" s="237" t="n">
        <f aca="false" t="array" ref="AM357:AM357">IF(AM356=0,0,IF(AM356/'🎚️ Escenario'!$C$11&gt;=36,$AL$23,INDEX($C$23:$AL$23,MAX(1,ROUNDUP(AM356/'🎚️ Escenario'!$C$11,0)))))</f>
        <v>0</v>
      </c>
      <c r="AN357" s="237" t="n">
        <f aca="false" t="array" ref="AN357:AN357">IF(AN356=0,0,IF(AN356/'🎚️ Escenario'!$C$11&gt;=36,$AL$23,INDEX($C$23:$AL$23,MAX(1,ROUNDUP(AN356/'🎚️ Escenario'!$C$11,0)))))</f>
        <v>0</v>
      </c>
      <c r="AO357" s="237" t="n">
        <f aca="false" t="array" ref="AO357:AO357">IF(AO356=0,0,IF(AO356/'🎚️ Escenario'!$C$11&gt;=36,$AL$23,INDEX($C$23:$AL$23,MAX(1,ROUNDUP(AO356/'🎚️ Escenario'!$C$11,0)))))</f>
        <v>0</v>
      </c>
      <c r="AP357" s="237" t="n">
        <f aca="false" t="array" ref="AP357:AP357">IF(AP356=0,0,IF(AP356/'🎚️ Escenario'!$C$11&gt;=36,$AL$23,INDEX($C$23:$AL$23,MAX(1,ROUNDUP(AP356/'🎚️ Escenario'!$C$11,0)))))</f>
        <v>0</v>
      </c>
      <c r="AQ357" s="237" t="n">
        <f aca="false" t="array" ref="AQ357:AQ357">IF(AQ356=0,0,IF(AQ356/'🎚️ Escenario'!$C$11&gt;=36,$AL$23,INDEX($C$23:$AL$23,MAX(1,ROUNDUP(AQ356/'🎚️ Escenario'!$C$11,0)))))</f>
        <v>0</v>
      </c>
      <c r="AR357" s="237" t="n">
        <f aca="false" t="array" ref="AR357:AR357">IF(AR356=0,0,IF(AR356/'🎚️ Escenario'!$C$11&gt;=36,$AL$23,INDEX($C$23:$AL$23,MAX(1,ROUNDUP(AR356/'🎚️ Escenario'!$C$11,0)))))</f>
        <v>0</v>
      </c>
      <c r="AS357" s="237" t="n">
        <f aca="false" t="array" ref="AS357:AS357">IF(AS356=0,0,IF(AS356/'🎚️ Escenario'!$C$11&gt;=36,$AL$23,INDEX($C$23:$AL$23,MAX(1,ROUNDUP(AS356/'🎚️ Escenario'!$C$11,0)))))</f>
        <v>0</v>
      </c>
      <c r="AT357" s="237" t="n">
        <f aca="false" t="array" ref="AT357:AT357">IF(AT356=0,0,IF(AT356/'🎚️ Escenario'!$C$11&gt;=36,$AL$23,INDEX($C$23:$AL$23,MAX(1,ROUNDUP(AT356/'🎚️ Escenario'!$C$11,0)))))</f>
        <v>0</v>
      </c>
      <c r="AU357" s="237" t="n">
        <f aca="false" t="array" ref="AU357:AU357">IF(AU356=0,0,IF(AU356/'🎚️ Escenario'!$C$11&gt;=36,$AL$23,INDEX($C$23:$AL$23,MAX(1,ROUNDUP(AU356/'🎚️ Escenario'!$C$11,0)))))</f>
        <v>0</v>
      </c>
      <c r="AV357" s="237" t="n">
        <f aca="false" t="array" ref="AV357:AV357">IF(AV356=0,0,IF(AV356/'🎚️ Escenario'!$C$11&gt;=36,$AL$23,INDEX($C$23:$AL$23,MAX(1,ROUNDUP(AV356/'🎚️ Escenario'!$C$11,0)))))</f>
        <v>0</v>
      </c>
      <c r="AW357" s="237" t="n">
        <f aca="false" t="array" ref="AW357:AW357">IF(AW356=0,0,IF(AW356/'🎚️ Escenario'!$C$11&gt;=36,$AL$23,INDEX($C$23:$AL$23,MAX(1,ROUNDUP(AW356/'🎚️ Escenario'!$C$11,0)))))</f>
        <v>0</v>
      </c>
      <c r="AX357" s="237" t="n">
        <f aca="false" t="array" ref="AX357:AX357">IF(AX356=0,0,IF(AX356/'🎚️ Escenario'!$C$11&gt;=36,$AL$23,INDEX($C$23:$AL$23,MAX(1,ROUNDUP(AX356/'🎚️ Escenario'!$C$11,0)))))</f>
        <v>0</v>
      </c>
      <c r="AY357" s="237" t="n">
        <f aca="false" t="array" ref="AY357:AY357">IF(AY356=0,0,IF(AY356/'🎚️ Escenario'!$C$11&gt;=36,$AL$23,INDEX($C$23:$AL$23,MAX(1,ROUNDUP(AY356/'🎚️ Escenario'!$C$11,0)))))</f>
        <v>0</v>
      </c>
      <c r="AZ357" s="237" t="n">
        <f aca="false" t="array" ref="AZ357:AZ357">IF(AZ356=0,0,IF(AZ356/'🎚️ Escenario'!$C$11&gt;=36,$AL$23,INDEX($C$23:$AL$23,MAX(1,ROUNDUP(AZ356/'🎚️ Escenario'!$C$11,0)))))</f>
        <v>0</v>
      </c>
      <c r="BA357" s="237" t="n">
        <f aca="false" t="array" ref="BA357:BA357">IF(BA356=0,0,IF(BA356/'🎚️ Escenario'!$C$11&gt;=36,$AL$23,INDEX($C$23:$AL$23,MAX(1,ROUNDUP(BA356/'🎚️ Escenario'!$C$11,0)))))</f>
        <v>0</v>
      </c>
      <c r="BB357" s="237" t="n">
        <f aca="false" t="array" ref="BB357:BB357">IF(BB356=0,0,IF(BB356/'🎚️ Escenario'!$C$11&gt;=36,$AL$23,INDEX($C$23:$AL$23,MAX(1,ROUNDUP(BB356/'🎚️ Escenario'!$C$11,0)))))</f>
        <v>0</v>
      </c>
      <c r="BC357" s="237" t="n">
        <f aca="false" t="array" ref="BC357:BC357">IF(BC356=0,0,IF(BC356/'🎚️ Escenario'!$C$11&gt;=36,$AL$23,INDEX($C$23:$AL$23,MAX(1,ROUNDUP(BC356/'🎚️ Escenario'!$C$11,0)))))</f>
        <v>0</v>
      </c>
      <c r="BD357" s="237" t="n">
        <f aca="false" t="array" ref="BD357:BD357">IF(BD356=0,0,IF(BD356/'🎚️ Escenario'!$C$11&gt;=36,$AL$23,INDEX($C$23:$AL$23,MAX(1,ROUNDUP(BD356/'🎚️ Escenario'!$C$11,0)))))</f>
        <v>0</v>
      </c>
      <c r="BE357" s="237" t="n">
        <f aca="false" t="array" ref="BE357:BE357">IF(BE356=0,0,IF(BE356/'🎚️ Escenario'!$C$11&gt;=36,$AL$23,INDEX($C$23:$AL$23,MAX(1,ROUNDUP(BE356/'🎚️ Escenario'!$C$11,0)))))</f>
        <v>0</v>
      </c>
      <c r="BF357" s="237" t="n">
        <f aca="false" t="array" ref="BF357:BF357">IF(BF356=0,0,IF(BF356/'🎚️ Escenario'!$C$11&gt;=36,$AL$23,INDEX($C$23:$AL$23,MAX(1,ROUNDUP(BF356/'🎚️ Escenario'!$C$11,0)))))</f>
        <v>0</v>
      </c>
      <c r="BG357" s="237" t="n">
        <f aca="false" t="array" ref="BG357:BG357">IF(BG356=0,0,IF(BG356/'🎚️ Escenario'!$C$11&gt;=36,$AL$23,INDEX($C$23:$AL$23,MAX(1,ROUNDUP(BG356/'🎚️ Escenario'!$C$11,0)))))</f>
        <v>0</v>
      </c>
      <c r="BH357" s="237" t="n">
        <f aca="false" t="array" ref="BH357:BH357">IF(BH356=0,0,IF(BH356/'🎚️ Escenario'!$C$11&gt;=36,$AL$23,INDEX($C$23:$AL$23,MAX(1,ROUNDUP(BH356/'🎚️ Escenario'!$C$11,0)))))</f>
        <v>0</v>
      </c>
      <c r="BI357" s="237" t="n">
        <f aca="false" t="array" ref="BI357:BI357">IF(BI356=0,0,IF(BI356/'🎚️ Escenario'!$C$11&gt;=36,$AL$23,INDEX($C$23:$AL$23,MAX(1,ROUNDUP(BI356/'🎚️ Escenario'!$C$11,0)))))</f>
        <v>0</v>
      </c>
      <c r="BJ357" s="237" t="n">
        <f aca="false" t="array" ref="BJ357:BJ357">IF(BJ356=0,0,IF(BJ356/'🎚️ Escenario'!$C$11&gt;=36,$AL$23,INDEX($C$23:$AL$23,MAX(1,ROUNDUP(BJ356/'🎚️ Escenario'!$C$11,0)))))</f>
        <v>0</v>
      </c>
      <c r="BK357" s="237" t="n">
        <f aca="false" t="array" ref="BK357:BK357">IF(BK356=0,0,IF(BK356/'🎚️ Escenario'!$C$11&gt;=36,$AL$23,INDEX($C$23:$AL$23,MAX(1,ROUNDUP(BK356/'🎚️ Escenario'!$C$11,0)))))</f>
        <v>0</v>
      </c>
      <c r="BL357" s="237" t="n">
        <f aca="false" t="array" ref="BL357:BL357">IF(BL356=0,0,IF(BL356/'🎚️ Escenario'!$C$11&gt;=36,$AL$23,INDEX($C$23:$AL$23,MAX(1,ROUNDUP(BL356/'🎚️ Escenario'!$C$11,0)))))</f>
        <v>0</v>
      </c>
      <c r="BM357" s="237" t="n">
        <f aca="false" t="array" ref="BM357:BM357">IF(BM356=0,0,IF(BM356/'🎚️ Escenario'!$C$11&gt;=36,$AL$23,INDEX($C$23:$AL$23,MAX(1,ROUNDUP(BM356/'🎚️ Escenario'!$C$11,0)))))</f>
        <v>0</v>
      </c>
      <c r="BN357" s="237" t="n">
        <f aca="false" t="array" ref="BN357:BN357">IF(BN356=0,0,IF(BN356/'🎚️ Escenario'!$C$11&gt;=36,$AL$23,INDEX($C$23:$AL$23,MAX(1,ROUNDUP(BN356/'🎚️ Escenario'!$C$11,0)))))</f>
        <v>0</v>
      </c>
      <c r="BO357" s="237" t="n">
        <f aca="false" t="array" ref="BO357:BO357">IF(BO356=0,0,IF(BO356/'🎚️ Escenario'!$C$11&gt;=36,$AL$23,INDEX($C$23:$AL$23,MAX(1,ROUNDUP(BO356/'🎚️ Escenario'!$C$11,0)))))</f>
        <v>0</v>
      </c>
      <c r="BP357" s="237" t="n">
        <f aca="false" t="array" ref="BP357:BP357">IF(BP356=0,0,IF(BP356/'🎚️ Escenario'!$C$11&gt;=36,$AL$23,INDEX($C$23:$AL$23,MAX(1,ROUNDUP(BP356/'🎚️ Escenario'!$C$11,0)))))</f>
        <v>0</v>
      </c>
      <c r="BQ357" s="237" t="n">
        <f aca="false" t="array" ref="BQ357:BQ357">IF(BQ356=0,0,IF(BQ356/'🎚️ Escenario'!$C$11&gt;=36,$AL$23,INDEX($C$23:$AL$23,MAX(1,ROUNDUP(BQ356/'🎚️ Escenario'!$C$11,0)))))</f>
        <v>0</v>
      </c>
      <c r="BR357" s="237" t="n">
        <f aca="false" t="array" ref="BR357:BR357">IF(BR356=0,0,IF(BR356/'🎚️ Escenario'!$C$11&gt;=36,$AL$23,INDEX($C$23:$AL$23,MAX(1,ROUNDUP(BR356/'🎚️ Escenario'!$C$11,0)))))</f>
        <v>0</v>
      </c>
      <c r="BS357" s="237" t="n">
        <f aca="false" t="array" ref="BS357:BS357">IF(BS356=0,0,IF(BS356/'🎚️ Escenario'!$C$11&gt;=36,$AL$23,INDEX($C$23:$AL$23,MAX(1,ROUNDUP(BS356/'🎚️ Escenario'!$C$11,0)))))</f>
        <v>0</v>
      </c>
      <c r="BT357" s="237" t="n">
        <f aca="false" t="array" ref="BT357:BT357">IF(BT356=0,0,IF(BT356/'🎚️ Escenario'!$C$11&gt;=36,$AL$23,INDEX($C$23:$AL$23,MAX(1,ROUNDUP(BT356/'🎚️ Escenario'!$C$11,0)))))</f>
        <v>0</v>
      </c>
      <c r="BU357" s="237" t="n">
        <f aca="false" t="array" ref="BU357:BU357">IF(BU356=0,0,IF(BU356/'🎚️ Escenario'!$C$11&gt;=36,$AL$23,INDEX($C$23:$AL$23,MAX(1,ROUNDUP(BU356/'🎚️ Escenario'!$C$11,0)))))</f>
        <v>0</v>
      </c>
      <c r="BV357" s="237" t="n">
        <f aca="false" t="array" ref="BV357:BV357">IF(BV356=0,0,IF(BV356/'🎚️ Escenario'!$C$11&gt;=36,$AL$23,INDEX($C$23:$AL$23,MAX(1,ROUNDUP(BV356/'🎚️ Escenario'!$C$11,0)))))</f>
        <v>0</v>
      </c>
      <c r="BW357" s="237" t="n">
        <f aca="false" t="array" ref="BW357:BW357">IF(BW356=0,0,IF(BW356/'🎚️ Escenario'!$C$11&gt;=36,$AL$23,INDEX($C$23:$AL$23,MAX(1,ROUNDUP(BW356/'🎚️ Escenario'!$C$11,0)))))</f>
        <v>0</v>
      </c>
      <c r="BX357" s="237" t="n">
        <f aca="false" t="array" ref="BX357:BX357">IF(BX356=0,0,IF(BX356/'🎚️ Escenario'!$C$11&gt;=36,$AL$23,INDEX($C$23:$AL$23,MAX(1,ROUNDUP(BX356/'🎚️ Escenario'!$C$11,0)))))</f>
        <v>0</v>
      </c>
      <c r="BY357" s="237" t="n">
        <f aca="false" t="array" ref="BY357:BY357">IF(BY356=0,0,IF(BY356/'🎚️ Escenario'!$C$11&gt;=36,$AL$23,INDEX($C$23:$AL$23,MAX(1,ROUNDUP(BY356/'🎚️ Escenario'!$C$11,0)))))</f>
        <v>0</v>
      </c>
      <c r="BZ357" s="237" t="n">
        <f aca="false" t="array" ref="BZ357:BZ357">IF(BZ356=0,0,IF(BZ356/'🎚️ Escenario'!$C$11&gt;=36,$AL$23,INDEX($C$23:$AL$23,MAX(1,ROUNDUP(BZ356/'🎚️ Escenario'!$C$11,0)))))</f>
        <v>0</v>
      </c>
      <c r="CA357" s="237" t="n">
        <f aca="false" t="array" ref="CA357:CA357">IF(CA356=0,0,IF(CA356/'🎚️ Escenario'!$C$11&gt;=36,$AL$23,INDEX($C$23:$AL$23,MAX(1,ROUNDUP(CA356/'🎚️ Escenario'!$C$11,0)))))</f>
        <v>0</v>
      </c>
      <c r="CB357" s="237" t="n">
        <f aca="false" t="array" ref="CB357:CB357">IF(CB356=0,0,IF(CB356/'🎚️ Escenario'!$C$11&gt;=36,$AL$23,INDEX($C$23:$AL$23,MAX(1,ROUNDUP(CB356/'🎚️ Escenario'!$C$11,0)))))</f>
        <v>0</v>
      </c>
      <c r="CC357" s="237" t="n">
        <f aca="false" t="array" ref="CC357:CC357">IF(CC356=0,0,IF(CC356/'🎚️ Escenario'!$C$11&gt;=36,$AL$23,INDEX($C$23:$AL$23,MAX(1,ROUNDUP(CC356/'🎚️ Escenario'!$C$11,0)))))</f>
        <v>0</v>
      </c>
      <c r="CD357" s="237" t="n">
        <f aca="false" t="array" ref="CD357:CD357">IF(CD356=0,0,IF(CD356/'🎚️ Escenario'!$C$11&gt;=36,$AL$23,INDEX($C$23:$AL$23,MAX(1,ROUNDUP(CD356/'🎚️ Escenario'!$C$11,0)))))</f>
        <v>0</v>
      </c>
      <c r="CE357" s="237" t="n">
        <f aca="false" t="array" ref="CE357:CE357">IF(CE356=0,0,IF(CE356/'🎚️ Escenario'!$C$11&gt;=36,$AL$23,INDEX($C$23:$AL$23,MAX(1,ROUNDUP(CE356/'🎚️ Escenario'!$C$11,0)))))</f>
        <v>0</v>
      </c>
      <c r="CF357" s="237" t="n">
        <f aca="false" t="array" ref="CF357:CF357">IF(CF356=0,0,IF(CF356/'🎚️ Escenario'!$C$11&gt;=36,$AL$23,INDEX($C$23:$AL$23,MAX(1,ROUNDUP(CF356/'🎚️ Escenario'!$C$11,0)))))</f>
        <v>0</v>
      </c>
      <c r="CG357" s="237" t="n">
        <f aca="false" t="array" ref="CG357:CG357">IF(CG356=0,0,IF(CG356/'🎚️ Escenario'!$C$11&gt;=36,$AL$23,INDEX($C$23:$AL$23,MAX(1,ROUNDUP(CG356/'🎚️ Escenario'!$C$11,0)))))</f>
        <v>0</v>
      </c>
      <c r="CH357" s="237" t="n">
        <f aca="false" t="array" ref="CH357:CH357">IF(CH356=0,0,IF(CH356/'🎚️ Escenario'!$C$11&gt;=36,$AL$23,INDEX($C$23:$AL$23,MAX(1,ROUNDUP(CH356/'🎚️ Escenario'!$C$11,0)))))</f>
        <v>0</v>
      </c>
      <c r="CI357" s="237" t="n">
        <f aca="false" t="array" ref="CI357:CI357">IF(CI356=0,0,IF(CI356/'🎚️ Escenario'!$C$11&gt;=36,$AL$23,INDEX($C$23:$AL$23,MAX(1,ROUNDUP(CI356/'🎚️ Escenario'!$C$11,0)))))</f>
        <v>0</v>
      </c>
      <c r="CJ357" s="237" t="n">
        <f aca="false" t="array" ref="CJ357:CJ357">IF(CJ356=0,0,IF(CJ356/'🎚️ Escenario'!$C$11&gt;=36,$AL$23,INDEX($C$23:$AL$23,MAX(1,ROUNDUP(CJ356/'🎚️ Escenario'!$C$11,0)))))</f>
        <v>0</v>
      </c>
      <c r="CK357" s="237" t="n">
        <f aca="false" t="array" ref="CK357:CK357">IF(CK356=0,0,IF(CK356/'🎚️ Escenario'!$C$11&gt;=36,$AL$23,INDEX($C$23:$AL$23,MAX(1,ROUNDUP(CK356/'🎚️ Escenario'!$C$11,0)))))</f>
        <v>0</v>
      </c>
      <c r="CL357" s="237" t="n">
        <f aca="false" t="array" ref="CL357:CL357">IF(CL356=0,0,IF(CL356/'🎚️ Escenario'!$C$11&gt;=36,$AL$23,INDEX($C$23:$AL$23,MAX(1,ROUNDUP(CL356/'🎚️ Escenario'!$C$11,0)))))</f>
        <v>0</v>
      </c>
      <c r="CM357" s="237" t="n">
        <f aca="false" t="array" ref="CM357:CM357">IF(CM356=0,0,IF(CM356/'🎚️ Escenario'!$C$11&gt;=36,$AL$23,INDEX($C$23:$AL$23,MAX(1,ROUNDUP(CM356/'🎚️ Escenario'!$C$11,0)))))</f>
        <v>0</v>
      </c>
      <c r="CN357" s="237" t="n">
        <f aca="false" t="array" ref="CN357:CN357">IF(CN356=0,0,IF(CN356/'🎚️ Escenario'!$C$11&gt;=36,$AL$23,INDEX($C$23:$AL$23,MAX(1,ROUNDUP(CN356/'🎚️ Escenario'!$C$11,0)))))</f>
        <v>0</v>
      </c>
      <c r="CO357" s="237" t="n">
        <f aca="false" t="array" ref="CO357:CO357">IF(CO356=0,0,IF(CO356/'🎚️ Escenario'!$C$11&gt;=36,$AL$23,INDEX($C$23:$AL$23,MAX(1,ROUNDUP(CO356/'🎚️ Escenario'!$C$11,0)))))</f>
        <v>0</v>
      </c>
      <c r="CP357" s="237" t="n">
        <f aca="false" t="array" ref="CP357:CP357">IF(CP356=0,0,IF(CP356/'🎚️ Escenario'!$C$11&gt;=36,$AL$23,INDEX($C$23:$AL$23,MAX(1,ROUNDUP(CP356/'🎚️ Escenario'!$C$11,0)))))</f>
        <v>0</v>
      </c>
      <c r="CQ357" s="237" t="n">
        <f aca="false" t="array" ref="CQ357:CQ357">IF(CQ356=0,0,IF(CQ356/'🎚️ Escenario'!$C$11&gt;=36,$AL$23,INDEX($C$23:$AL$23,MAX(1,ROUNDUP(CQ356/'🎚️ Escenario'!$C$11,0)))))</f>
        <v>0</v>
      </c>
      <c r="CR357" s="237" t="n">
        <f aca="false" t="array" ref="CR357:CR357">IF(CR356=0,0,IF(CR356/'🎚️ Escenario'!$C$11&gt;=36,$AL$23,INDEX($C$23:$AL$23,MAX(1,ROUNDUP(CR356/'🎚️ Escenario'!$C$11,0)))))</f>
        <v>0</v>
      </c>
      <c r="CS357" s="237" t="n">
        <f aca="false" t="array" ref="CS357:CS357">IF(CS356=0,0,IF(CS356/'🎚️ Escenario'!$C$11&gt;=36,$AL$23,INDEX($C$23:$AL$23,MAX(1,ROUNDUP(CS356/'🎚️ Escenario'!$C$11,0)))))</f>
        <v>0</v>
      </c>
      <c r="CT357" s="237" t="n">
        <f aca="false" t="array" ref="CT357:CT357">IF(CT356=0,0,IF(CT356/'🎚️ Escenario'!$C$11&gt;=36,$AL$23,INDEX($C$23:$AL$23,MAX(1,ROUNDUP(CT356/'🎚️ Escenario'!$C$11,0)))))</f>
        <v>0</v>
      </c>
      <c r="CU357" s="237" t="n">
        <f aca="false" t="array" ref="CU357:CU357">IF(CU356=0,0,IF(CU356/'🎚️ Escenario'!$C$11&gt;=36,$AL$23,INDEX($C$23:$AL$23,MAX(1,ROUNDUP(CU356/'🎚️ Escenario'!$C$11,0)))))</f>
        <v>0</v>
      </c>
      <c r="CV357" s="237" t="n">
        <f aca="false" t="array" ref="CV357:CV357">IF(CV356=0,0,IF(CV356/'🎚️ Escenario'!$C$11&gt;=36,$AL$23,INDEX($C$23:$AL$23,MAX(1,ROUNDUP(CV356/'🎚️ Escenario'!$C$11,0)))))</f>
        <v>0</v>
      </c>
      <c r="CW357" s="237" t="n">
        <f aca="false" t="array" ref="CW357:CW357">IF(CW356=0,0,IF(CW356/'🎚️ Escenario'!$C$11&gt;=36,$AL$23,INDEX($C$23:$AL$23,MAX(1,ROUNDUP(CW356/'🎚️ Escenario'!$C$11,0)))))</f>
        <v>0</v>
      </c>
      <c r="CX357" s="237" t="n">
        <f aca="false" t="array" ref="CX357:CX357">IF(CX356=0,0,IF(CX356/'🎚️ Escenario'!$C$11&gt;=36,$AL$23,INDEX($C$23:$AL$23,MAX(1,ROUNDUP(CX356/'🎚️ Escenario'!$C$11,0)))))</f>
        <v>0</v>
      </c>
      <c r="CY357" s="237" t="n">
        <f aca="false" t="array" ref="CY357:CY357">IF(CY356=0,0,IF(CY356/'🎚️ Escenario'!$C$11&gt;=36,$AL$23,INDEX($C$23:$AL$23,MAX(1,ROUNDUP(CY356/'🎚️ Escenario'!$C$11,0)))))</f>
        <v>0</v>
      </c>
      <c r="CZ357" s="237" t="n">
        <f aca="false" t="array" ref="CZ357:CZ357">IF(CZ356=0,0,IF(CZ356/'🎚️ Escenario'!$C$11&gt;=36,$AL$23,INDEX($C$23:$AL$23,MAX(1,ROUNDUP(CZ356/'🎚️ Escenario'!$C$11,0)))))</f>
        <v>0</v>
      </c>
      <c r="DA357" s="237" t="n">
        <f aca="false" t="array" ref="DA357:DA357">IF(DA356=0,0,IF(DA356/'🎚️ Escenario'!$C$11&gt;=36,$AL$23,INDEX($C$23:$AL$23,MAX(1,ROUNDUP(DA356/'🎚️ Escenario'!$C$11,0)))))</f>
        <v>0</v>
      </c>
      <c r="DB357" s="237" t="n">
        <f aca="false" t="array" ref="DB357:DB357">IF(DB356=0,0,IF(DB356/'🎚️ Escenario'!$C$11&gt;=36,$AL$23,INDEX($C$23:$AL$23,MAX(1,ROUNDUP(DB356/'🎚️ Escenario'!$C$11,0)))))</f>
        <v>0</v>
      </c>
      <c r="DC357" s="237" t="n">
        <f aca="false" t="array" ref="DC357:DC357">IF(DC356=0,0,IF(DC356/'🎚️ Escenario'!$C$11&gt;=36,$AL$23,INDEX($C$23:$AL$23,MAX(1,ROUNDUP(DC356/'🎚️ Escenario'!$C$11,0)))))</f>
        <v>0</v>
      </c>
      <c r="DD357" s="237" t="n">
        <f aca="false" t="array" ref="DD357:DD357">IF(DD356=0,0,IF(DD356/'🎚️ Escenario'!$C$11&gt;=36,$AL$23,INDEX($C$23:$AL$23,MAX(1,ROUNDUP(DD356/'🎚️ Escenario'!$C$11,0)))))</f>
        <v>0</v>
      </c>
      <c r="DE357" s="237" t="n">
        <f aca="false" t="array" ref="DE357:DE357">IF(DE356=0,0,IF(DE356/'🎚️ Escenario'!$C$11&gt;=36,$AL$23,INDEX($C$23:$AL$23,MAX(1,ROUNDUP(DE356/'🎚️ Escenario'!$C$11,0)))))</f>
        <v>0</v>
      </c>
      <c r="DF357" s="237" t="n">
        <f aca="false" t="array" ref="DF357:DF357">IF(DF356=0,0,IF(DF356/'🎚️ Escenario'!$C$11&gt;=36,$AL$23,INDEX($C$23:$AL$23,MAX(1,ROUNDUP(DF356/'🎚️ Escenario'!$C$11,0)))))</f>
        <v>0</v>
      </c>
      <c r="DG357" s="237" t="n">
        <f aca="false" t="array" ref="DG357:DG357">IF(DG356=0,0,IF(DG356/'🎚️ Escenario'!$C$11&gt;=36,$AL$23,INDEX($C$23:$AL$23,MAX(1,ROUNDUP(DG356/'🎚️ Escenario'!$C$11,0)))))</f>
        <v>0</v>
      </c>
      <c r="DH357" s="237" t="n">
        <f aca="false" t="array" ref="DH357:DH357">IF(DH356=0,0,IF(DH356/'🎚️ Escenario'!$C$11&gt;=36,$AL$23,INDEX($C$23:$AL$23,MAX(1,ROUNDUP(DH356/'🎚️ Escenario'!$C$11,0)))))</f>
        <v>0</v>
      </c>
      <c r="DI357" s="237" t="n">
        <f aca="false" t="array" ref="DI357:DI357">IF(DI356=0,0,IF(DI356/'🎚️ Escenario'!$C$11&gt;=36,$AL$23,INDEX($C$23:$AL$23,MAX(1,ROUNDUP(DI356/'🎚️ Escenario'!$C$11,0)))))</f>
        <v>0</v>
      </c>
      <c r="DJ357" s="237" t="n">
        <f aca="false" t="array" ref="DJ357:DJ357">IF(DJ356=0,0,IF(DJ356/'🎚️ Escenario'!$C$11&gt;=36,$AL$23,INDEX($C$23:$AL$23,MAX(1,ROUNDUP(DJ356/'🎚️ Escenario'!$C$11,0)))))</f>
        <v>0</v>
      </c>
      <c r="DK357" s="237" t="n">
        <f aca="false" t="array" ref="DK357:DK357">IF(DK356=0,0,IF(DK356/'🎚️ Escenario'!$C$11&gt;=36,$AL$23,INDEX($C$23:$AL$23,MAX(1,ROUNDUP(DK356/'🎚️ Escenario'!$C$11,0)))))</f>
        <v>0</v>
      </c>
      <c r="DL357" s="237" t="n">
        <f aca="false" t="array" ref="DL357:DL357">IF(DL356=0,0,IF(DL356/'🎚️ Escenario'!$C$11&gt;=36,$AL$23,INDEX($C$23:$AL$23,MAX(1,ROUNDUP(DL356/'🎚️ Escenario'!$C$11,0)))))</f>
        <v>0</v>
      </c>
      <c r="DM357" s="237" t="n">
        <f aca="false" t="array" ref="DM357:DM357">IF(DM356=0,0,IF(DM356/'🎚️ Escenario'!$C$11&gt;=36,$AL$23,INDEX($C$23:$AL$23,MAX(1,ROUNDUP(DM356/'🎚️ Escenario'!$C$11,0)))))</f>
        <v>0</v>
      </c>
      <c r="DN357" s="237" t="n">
        <f aca="false" t="array" ref="DN357:DN357">IF(DN356=0,0,IF(DN356/'🎚️ Escenario'!$C$11&gt;=36,$AL$23,INDEX($C$23:$AL$23,MAX(1,ROUNDUP(DN356/'🎚️ Escenario'!$C$11,0)))))</f>
        <v>0</v>
      </c>
      <c r="DO357" s="237" t="n">
        <f aca="false" t="array" ref="DO357:DO357">IF(DO356=0,0,IF(DO356/'🎚️ Escenario'!$C$11&gt;=36,$AL$23,INDEX($C$23:$AL$23,MAX(1,ROUNDUP(DO356/'🎚️ Escenario'!$C$11,0)))))</f>
        <v>0</v>
      </c>
      <c r="DP357" s="237" t="n">
        <f aca="false" t="array" ref="DP357:DP357">IF(DP356=0,0,IF(DP356/'🎚️ Escenario'!$C$11&gt;=36,$AL$23,INDEX($C$23:$AL$23,MAX(1,ROUNDUP(DP356/'🎚️ Escenario'!$C$11,0)))))</f>
        <v>0</v>
      </c>
      <c r="DQ357" s="237" t="n">
        <f aca="false" t="array" ref="DQ357:DQ357">IF(DQ356=0,0,IF(DQ356/'🎚️ Escenario'!$C$11&gt;=36,$AL$23,INDEX($C$23:$AL$23,MAX(1,ROUNDUP(DQ356/'🎚️ Escenario'!$C$11,0)))))</f>
        <v>0</v>
      </c>
      <c r="DR357" s="237" t="n">
        <f aca="false" t="array" ref="DR357:DR357">IF(DR356=0,0,IF(DR356/'🎚️ Escenario'!$C$11&gt;=36,$AL$23,INDEX($C$23:$AL$23,MAX(1,ROUNDUP(DR356/'🎚️ Escenario'!$C$11,0)))))</f>
        <v>0</v>
      </c>
      <c r="DS357" s="237" t="n">
        <f aca="false" t="array" ref="DS357:DS357">IF(DS356=0,0,IF(DS356/'🎚️ Escenario'!$C$11&gt;=36,$AL$23,INDEX($C$23:$AL$23,MAX(1,ROUNDUP(DS356/'🎚️ Escenario'!$C$11,0)))))</f>
        <v>0</v>
      </c>
      <c r="DT357" s="237" t="n">
        <f aca="false" t="array" ref="DT357:DT357">IF(DT356=0,0,IF(DT356/'🎚️ Escenario'!$C$11&gt;=36,$AL$23,INDEX($C$23:$AL$23,MAX(1,ROUNDUP(DT356/'🎚️ Escenario'!$C$11,0)))))</f>
        <v>0</v>
      </c>
      <c r="DU357" s="237" t="n">
        <f aca="false" t="array" ref="DU357:DU357">IF(DU356=0,0,IF(DU356/'🎚️ Escenario'!$C$11&gt;=36,$AL$23,INDEX($C$23:$AL$23,MAX(1,ROUNDUP(DU356/'🎚️ Escenario'!$C$11,0)))))</f>
        <v>0.2</v>
      </c>
      <c r="DV357" s="237" t="n">
        <f aca="false" t="array" ref="DV357:DV357">IF(DV356=0,0,IF(DV356/'🎚️ Escenario'!$C$11&gt;=36,$AL$23,INDEX($C$23:$AL$23,MAX(1,ROUNDUP(DV356/'🎚️ Escenario'!$C$11,0)))))</f>
        <v>0.22</v>
      </c>
      <c r="DW357" s="237" t="n">
        <f aca="false" t="array" ref="DW357:DW357">IF(DW356=0,0,IF(DW356/'🎚️ Escenario'!$C$11&gt;=36,$AL$23,INDEX($C$23:$AL$23,MAX(1,ROUNDUP(DW356/'🎚️ Escenario'!$C$11,0)))))</f>
        <v>0.24</v>
      </c>
      <c r="DX357" s="237" t="n">
        <f aca="false" t="array" ref="DX357:DX357">IF(DX356=0,0,IF(DX356/'🎚️ Escenario'!$C$11&gt;=36,$AL$23,INDEX($C$23:$AL$23,MAX(1,ROUNDUP(DX356/'🎚️ Escenario'!$C$11,0)))))</f>
        <v>0.27</v>
      </c>
      <c r="DY357" s="237" t="n">
        <f aca="false" t="array" ref="DY357:DY357">IF(DY356=0,0,IF(DY356/'🎚️ Escenario'!$C$11&gt;=36,$AL$23,INDEX($C$23:$AL$23,MAX(1,ROUNDUP(DY356/'🎚️ Escenario'!$C$11,0)))))</f>
        <v>0.27</v>
      </c>
      <c r="DZ357" s="237" t="n">
        <f aca="false" t="array" ref="DZ357:DZ357">IF(DZ356=0,0,IF(DZ356/'🎚️ Escenario'!$C$11&gt;=36,$AL$23,INDEX($C$23:$AL$23,MAX(1,ROUNDUP(DZ356/'🎚️ Escenario'!$C$11,0)))))</f>
        <v>0.31</v>
      </c>
      <c r="EA357" s="237" t="n">
        <f aca="false" t="array" ref="EA357:EA357">IF(EA356=0,0,IF(EA356/'🎚️ Escenario'!$C$11&gt;=36,$AL$23,INDEX($C$23:$AL$23,MAX(1,ROUNDUP(EA356/'🎚️ Escenario'!$C$11,0)))))</f>
        <v>0.35</v>
      </c>
      <c r="EB357" s="237" t="n">
        <f aca="false" t="array" ref="EB357:EB357">IF(EB356=0,0,IF(EB356/'🎚️ Escenario'!$C$11&gt;=36,$AL$23,INDEX($C$23:$AL$23,MAX(1,ROUNDUP(EB356/'🎚️ Escenario'!$C$11,0)))))</f>
        <v>0.39</v>
      </c>
      <c r="EC357" s="237" t="n">
        <f aca="false" t="array" ref="EC357:EC357">IF(EC356=0,0,IF(EC356/'🎚️ Escenario'!$C$11&gt;=36,$AL$23,INDEX($C$23:$AL$23,MAX(1,ROUNDUP(EC356/'🎚️ Escenario'!$C$11,0)))))</f>
        <v>0.44</v>
      </c>
      <c r="ED357" s="237" t="n">
        <f aca="false" t="array" ref="ED357:ED357">IF(ED356=0,0,IF(ED356/'🎚️ Escenario'!$C$11&gt;=36,$AL$23,INDEX($C$23:$AL$23,MAX(1,ROUNDUP(ED356/'🎚️ Escenario'!$C$11,0)))))</f>
        <v>0.44</v>
      </c>
      <c r="EE357" s="237" t="n">
        <f aca="false" t="array" ref="EE357:EE357">IF(EE356=0,0,IF(EE356/'🎚️ Escenario'!$C$11&gt;=36,$AL$23,INDEX($C$23:$AL$23,MAX(1,ROUNDUP(EE356/'🎚️ Escenario'!$C$11,0)))))</f>
        <v>0.48</v>
      </c>
      <c r="EF357" s="237" t="n">
        <f aca="false" t="array" ref="EF357:EF357">IF(EF356=0,0,IF(EF356/'🎚️ Escenario'!$C$11&gt;=36,$AL$23,INDEX($C$23:$AL$23,MAX(1,ROUNDUP(EF356/'🎚️ Escenario'!$C$11,0)))))</f>
        <v>0.52</v>
      </c>
      <c r="EG357" s="237" t="n">
        <f aca="false" t="array" ref="EG357:EG357">IF(EG356=0,0,IF(EG356/'🎚️ Escenario'!$C$11&gt;=36,$AL$23,INDEX($C$23:$AL$23,MAX(1,ROUNDUP(EG356/'🎚️ Escenario'!$C$11,0)))))</f>
        <v>0.56</v>
      </c>
      <c r="EH357" s="237" t="n">
        <f aca="false" t="array" ref="EH357:EH357">IF(EH356=0,0,IF(EH356/'🎚️ Escenario'!$C$11&gt;=36,$AL$23,INDEX($C$23:$AL$23,MAX(1,ROUNDUP(EH356/'🎚️ Escenario'!$C$11,0)))))</f>
        <v>0.6</v>
      </c>
      <c r="EI357" s="237" t="n">
        <f aca="false" t="array" ref="EI357:EI357">IF(EI356=0,0,IF(EI356/'🎚️ Escenario'!$C$11&gt;=36,$AL$23,INDEX($C$23:$AL$23,MAX(1,ROUNDUP(EI356/'🎚️ Escenario'!$C$11,0)))))</f>
        <v>0.6</v>
      </c>
      <c r="EJ357" s="237" t="n">
        <f aca="false" t="array" ref="EJ357:EJ357">IF(EJ356=0,0,IF(EJ356/'🎚️ Escenario'!$C$11&gt;=36,$AL$23,INDEX($C$23:$AL$23,MAX(1,ROUNDUP(EJ356/'🎚️ Escenario'!$C$11,0)))))</f>
        <v>0.63</v>
      </c>
      <c r="EK357" s="237" t="n">
        <f aca="false" t="array" ref="EK357:EK357">IF(EK356=0,0,IF(EK356/'🎚️ Escenario'!$C$11&gt;=36,$AL$23,INDEX($C$23:$AL$23,MAX(1,ROUNDUP(EK356/'🎚️ Escenario'!$C$11,0)))))</f>
        <v>0.66</v>
      </c>
      <c r="EL357" s="237" t="n">
        <f aca="false" t="array" ref="EL357:EL357">IF(EL356=0,0,IF(EL356/'🎚️ Escenario'!$C$11&gt;=36,$AL$23,INDEX($C$23:$AL$23,MAX(1,ROUNDUP(EL356/'🎚️ Escenario'!$C$11,0)))))</f>
        <v>0.69</v>
      </c>
      <c r="EM357" s="237" t="n">
        <f aca="false" t="array" ref="EM357:EM357">IF(EM356=0,0,IF(EM356/'🎚️ Escenario'!$C$11&gt;=36,$AL$23,INDEX($C$23:$AL$23,MAX(1,ROUNDUP(EM356/'🎚️ Escenario'!$C$11,0)))))</f>
        <v>0.71</v>
      </c>
      <c r="EN357" s="237" t="n">
        <f aca="false" t="array" ref="EN357:EN357">IF(EN356=0,0,IF(EN356/'🎚️ Escenario'!$C$11&gt;=36,$AL$23,INDEX($C$23:$AL$23,MAX(1,ROUNDUP(EN356/'🎚️ Escenario'!$C$11,0)))))</f>
        <v>0.71</v>
      </c>
      <c r="EO357" s="237" t="n">
        <f aca="false" t="array" ref="EO357:EO357">IF(EO356=0,0,IF(EO356/'🎚️ Escenario'!$C$11&gt;=36,$AL$23,INDEX($C$23:$AL$23,MAX(1,ROUNDUP(EO356/'🎚️ Escenario'!$C$11,0)))))</f>
        <v>0.73</v>
      </c>
      <c r="EP357" s="237" t="n">
        <f aca="false" t="array" ref="EP357:EP357">IF(EP356=0,0,IF(EP356/'🎚️ Escenario'!$C$11&gt;=36,$AL$23,INDEX($C$23:$AL$23,MAX(1,ROUNDUP(EP356/'🎚️ Escenario'!$C$11,0)))))</f>
        <v>0.75</v>
      </c>
      <c r="EQ357" s="237" t="n">
        <f aca="false" t="array" ref="EQ357:EQ357">IF(EQ356=0,0,IF(EQ356/'🎚️ Escenario'!$C$11&gt;=36,$AL$23,INDEX($C$23:$AL$23,MAX(1,ROUNDUP(EQ356/'🎚️ Escenario'!$C$11,0)))))</f>
        <v>0.77</v>
      </c>
      <c r="ER357" s="237" t="n">
        <f aca="false" t="array" ref="ER357:ER357">IF(ER356=0,0,IF(ER356/'🎚️ Escenario'!$C$11&gt;=36,$AL$23,INDEX($C$23:$AL$23,MAX(1,ROUNDUP(ER356/'🎚️ Escenario'!$C$11,0)))))</f>
        <v>0.79</v>
      </c>
      <c r="ES357" s="9" t="n">
        <f aca="false" t="array" ref="ES357:ES357">IF(ES356=0,0,IF(ES356/'🎚️ Escenario'!$C$11&gt;=36,$AL$23,INDEX($C$23:$AL$23,MAX(1,ROUNDUP(ES356/'🎚️ Escenario'!$C$11,0)))))</f>
        <v>0.79</v>
      </c>
      <c r="ET357" s="9" t="n">
        <f aca="false" t="array" ref="ET357:ET357">IF(ET356=0,0,IF(ET356/'🎚️ Escenario'!$C$11&gt;=36,$AL$23,INDEX($C$23:$AL$23,MAX(1,ROUNDUP(ET356/'🎚️ Escenario'!$C$11,0)))))</f>
        <v>0.8</v>
      </c>
      <c r="EU357" s="9" t="n">
        <f aca="false" t="array" ref="EU357:EU357">IF(EU356=0,0,IF(EU356/'🎚️ Escenario'!$C$11&gt;=36,$AL$23,INDEX($C$23:$AL$23,MAX(1,ROUNDUP(EU356/'🎚️ Escenario'!$C$11,0)))))</f>
        <v>0.82</v>
      </c>
      <c r="EV357" s="9" t="n">
        <f aca="false" t="array" ref="EV357:EV357">IF(EV356=0,0,IF(EV356/'🎚️ Escenario'!$C$11&gt;=36,$AL$23,INDEX($C$23:$AL$23,MAX(1,ROUNDUP(EV356/'🎚️ Escenario'!$C$11,0)))))</f>
        <v>0.84</v>
      </c>
      <c r="EW357" s="9" t="n">
        <f aca="false" t="array" ref="EW357:EW357">IF(EW356=0,0,IF(EW356/'🎚️ Escenario'!$C$11&gt;=36,$AL$23,INDEX($C$23:$AL$23,MAX(1,ROUNDUP(EW356/'🎚️ Escenario'!$C$11,0)))))</f>
        <v>0.85</v>
      </c>
      <c r="EX357" s="9" t="n">
        <f aca="false" t="array" ref="EX357:EX357">IF(EX356=0,0,IF(EX356/'🎚️ Escenario'!$C$11&gt;=36,$AL$23,INDEX($C$23:$AL$23,MAX(1,ROUNDUP(EX356/'🎚️ Escenario'!$C$11,0)))))</f>
        <v>0.85</v>
      </c>
      <c r="EY357" s="9" t="n">
        <f aca="false" t="array" ref="EY357:EY357">IF(EY356=0,0,IF(EY356/'🎚️ Escenario'!$C$11&gt;=36,$AL$23,INDEX($C$23:$AL$23,MAX(1,ROUNDUP(EY356/'🎚️ Escenario'!$C$11,0)))))</f>
        <v>0.86</v>
      </c>
      <c r="EZ357" s="9" t="n">
        <f aca="false" t="array" ref="EZ357:EZ357">IF(EZ356=0,0,IF(EZ356/'🎚️ Escenario'!$C$11&gt;=36,$AL$23,INDEX($C$23:$AL$23,MAX(1,ROUNDUP(EZ356/'🎚️ Escenario'!$C$11,0)))))</f>
        <v>0.88</v>
      </c>
      <c r="FA357" s="9" t="n">
        <f aca="false" t="array" ref="FA357:FA357">IF(FA356=0,0,IF(FA356/'🎚️ Escenario'!$C$11&gt;=36,$AL$23,INDEX($C$23:$AL$23,MAX(1,ROUNDUP(FA356/'🎚️ Escenario'!$C$11,0)))))</f>
        <v>0.89</v>
      </c>
      <c r="FB357" s="9" t="n">
        <f aca="false" t="array" ref="FB357:FB357">IF(FB356=0,0,IF(FB356/'🎚️ Escenario'!$C$11&gt;=36,$AL$23,INDEX($C$23:$AL$23,MAX(1,ROUNDUP(FB356/'🎚️ Escenario'!$C$11,0)))))</f>
        <v>0.9</v>
      </c>
      <c r="FC357" s="9" t="n">
        <f aca="false" t="array" ref="FC357:FC357">IF(FC356=0,0,IF(FC356/'🎚️ Escenario'!$C$11&gt;=36,$AL$23,INDEX($C$23:$AL$23,MAX(1,ROUNDUP(FC356/'🎚️ Escenario'!$C$11,0)))))</f>
        <v>0.9</v>
      </c>
      <c r="FD357" s="9" t="n">
        <f aca="false" t="array" ref="FD357:FD357">IF(FD356=0,0,IF(FD356/'🎚️ Escenario'!$C$11&gt;=36,$AL$23,INDEX($C$23:$AL$23,MAX(1,ROUNDUP(FD356/'🎚️ Escenario'!$C$11,0)))))</f>
        <v>0.92</v>
      </c>
      <c r="FE357" s="9" t="n">
        <f aca="false" t="array" ref="FE357:FE357">IF(FE356=0,0,IF(FE356/'🎚️ Escenario'!$C$11&gt;=36,$AL$23,INDEX($C$23:$AL$23,MAX(1,ROUNDUP(FE356/'🎚️ Escenario'!$C$11,0)))))</f>
        <v>0.93</v>
      </c>
      <c r="FF357" s="9" t="n">
        <f aca="false" t="array" ref="FF357:FF357">IF(FF356=0,0,IF(FF356/'🎚️ Escenario'!$C$11&gt;=36,$AL$23,INDEX($C$23:$AL$23,MAX(1,ROUNDUP(FF356/'🎚️ Escenario'!$C$11,0)))))</f>
        <v>0.94</v>
      </c>
      <c r="FG357" s="9" t="n">
        <f aca="false" t="array" ref="FG357:FG357">IF(FG356=0,0,IF(FG356/'🎚️ Escenario'!$C$11&gt;=36,$AL$23,INDEX($C$23:$AL$23,MAX(1,ROUNDUP(FG356/'🎚️ Escenario'!$C$11,0)))))</f>
        <v>0.95</v>
      </c>
      <c r="FH357" s="9" t="n">
        <f aca="false" t="array" ref="FH357:FH357">IF(FH356=0,0,IF(FH356/'🎚️ Escenario'!$C$11&gt;=36,$AL$23,INDEX($C$23:$AL$23,MAX(1,ROUNDUP(FH356/'🎚️ Escenario'!$C$11,0)))))</f>
        <v>0.95</v>
      </c>
      <c r="FI357" s="9" t="n">
        <f aca="false" t="array" ref="FI357:FI357">IF(FI356=0,0,IF(FI356/'🎚️ Escenario'!$C$11&gt;=36,$AL$23,INDEX($C$23:$AL$23,MAX(1,ROUNDUP(FI356/'🎚️ Escenario'!$C$11,0)))))</f>
        <v>0.97</v>
      </c>
      <c r="FJ357" s="9" t="n">
        <f aca="false" t="array" ref="FJ357:FJ357">IF(FJ356=0,0,IF(FJ356/'🎚️ Escenario'!$C$11&gt;=36,$AL$23,INDEX($C$23:$AL$23,MAX(1,ROUNDUP(FJ356/'🎚️ Escenario'!$C$11,0)))))</f>
        <v>0.98</v>
      </c>
      <c r="FK357" s="9" t="n">
        <f aca="false" t="array" ref="FK357:FK357">IF(FK356=0,0,IF(FK356/'🎚️ Escenario'!$C$11&gt;=36,$AL$23,INDEX($C$23:$AL$23,MAX(1,ROUNDUP(FK356/'🎚️ Escenario'!$C$11,0)))))</f>
        <v>0.99</v>
      </c>
      <c r="FL357" s="9" t="n">
        <f aca="false" t="array" ref="FL357:FL357">IF(FL356=0,0,IF(FL356/'🎚️ Escenario'!$C$11&gt;=36,$AL$23,INDEX($C$23:$AL$23,MAX(1,ROUNDUP(FL356/'🎚️ Escenario'!$C$11,0)))))</f>
        <v>1</v>
      </c>
      <c r="FM357" s="9" t="n">
        <f aca="false" t="array" ref="FM357:FM357">IF(FM356=0,0,IF(FM356/'🎚️ Escenario'!$C$11&gt;=36,$AL$23,INDEX($C$23:$AL$23,MAX(1,ROUNDUP(FM356/'🎚️ Escenario'!$C$11,0)))))</f>
        <v>1</v>
      </c>
      <c r="FN357" s="9" t="n">
        <f aca="false" t="array" ref="FN357:FN357">IF(FN356=0,0,IF(FN356/'🎚️ Escenario'!$C$11&gt;=36,$AL$23,INDEX($C$23:$AL$23,MAX(1,ROUNDUP(FN356/'🎚️ Escenario'!$C$11,0)))))</f>
        <v>1</v>
      </c>
      <c r="FO357" s="9" t="n">
        <f aca="false" t="array" ref="FO357:FO357">IF(FO356=0,0,IF(FO356/'🎚️ Escenario'!$C$11&gt;=36,$AL$23,INDEX($C$23:$AL$23,MAX(1,ROUNDUP(FO356/'🎚️ Escenario'!$C$11,0)))))</f>
        <v>1</v>
      </c>
      <c r="FP357" s="9" t="n">
        <f aca="false" t="array" ref="FP357:FP357">IF(FP356=0,0,IF(FP356/'🎚️ Escenario'!$C$11&gt;=36,$AL$23,INDEX($C$23:$AL$23,MAX(1,ROUNDUP(FP356/'🎚️ Escenario'!$C$11,0)))))</f>
        <v>1</v>
      </c>
    </row>
    <row r="358" customFormat="false" ht="15" hidden="false" customHeight="false" outlineLevel="2" collapsed="false">
      <c r="B358" s="47" t="s">
        <v>875</v>
      </c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237" t="n">
        <f aca="false">IF(AC356=0,0,IF(AC356&lt;=12*'🎚️ Escenario'!$C$11,1,1+$C$6))</f>
        <v>0</v>
      </c>
      <c r="AD358" s="237" t="n">
        <f aca="false">IF(AD356=0,0,IF(AD356&lt;=12*'🎚️ Escenario'!$C$11,1,1+$C$6))</f>
        <v>0</v>
      </c>
      <c r="AE358" s="237" t="n">
        <f aca="false">IF(AE356=0,0,IF(AE356&lt;=12*'🎚️ Escenario'!$C$11,1,1+$C$6))</f>
        <v>0</v>
      </c>
      <c r="AF358" s="237" t="n">
        <f aca="false">IF(AF356=0,0,IF(AF356&lt;=12*'🎚️ Escenario'!$C$11,1,1+$C$6))</f>
        <v>0</v>
      </c>
      <c r="AG358" s="237" t="n">
        <f aca="false">IF(AG356=0,0,IF(AG356&lt;=12*'🎚️ Escenario'!$C$11,1,1+$C$6))</f>
        <v>0</v>
      </c>
      <c r="AH358" s="237" t="n">
        <f aca="false">IF(AH356=0,0,IF(AH356&lt;=12*'🎚️ Escenario'!$C$11,1,1+$C$6))</f>
        <v>0</v>
      </c>
      <c r="AI358" s="237" t="n">
        <f aca="false">IF(AI356=0,0,IF(AI356&lt;=12*'🎚️ Escenario'!$C$11,1,1+$C$6))</f>
        <v>0</v>
      </c>
      <c r="AJ358" s="237" t="n">
        <f aca="false">IF(AJ356=0,0,IF(AJ356&lt;=12*'🎚️ Escenario'!$C$11,1,1+$C$6))</f>
        <v>0</v>
      </c>
      <c r="AK358" s="237" t="n">
        <f aca="false">IF(AK356=0,0,IF(AK356&lt;=12*'🎚️ Escenario'!$C$11,1,1+$C$6))</f>
        <v>0</v>
      </c>
      <c r="AL358" s="237" t="n">
        <f aca="false">IF(AL356=0,0,IF(AL356&lt;=12*'🎚️ Escenario'!$C$11,1,1+$C$6))</f>
        <v>0</v>
      </c>
      <c r="AM358" s="237" t="n">
        <f aca="false">IF(AM356=0,0,IF(AM356&lt;=12*'🎚️ Escenario'!$C$11,1,1+$C$6))</f>
        <v>0</v>
      </c>
      <c r="AN358" s="237" t="n">
        <f aca="false">IF(AN356=0,0,IF(AN356&lt;=12*'🎚️ Escenario'!$C$11,1,1+$C$6))</f>
        <v>0</v>
      </c>
      <c r="AO358" s="237" t="n">
        <f aca="false">IF(AO356=0,0,IF(AO356&lt;=12*'🎚️ Escenario'!$C$11,1,1+$C$6))</f>
        <v>0</v>
      </c>
      <c r="AP358" s="237" t="n">
        <f aca="false">IF(AP356=0,0,IF(AP356&lt;=12*'🎚️ Escenario'!$C$11,1,1+$C$6))</f>
        <v>0</v>
      </c>
      <c r="AQ358" s="237" t="n">
        <f aca="false">IF(AQ356=0,0,IF(AQ356&lt;=12*'🎚️ Escenario'!$C$11,1,1+$C$6))</f>
        <v>0</v>
      </c>
      <c r="AR358" s="237" t="n">
        <f aca="false">IF(AR356=0,0,IF(AR356&lt;=12*'🎚️ Escenario'!$C$11,1,1+$C$6))</f>
        <v>0</v>
      </c>
      <c r="AS358" s="237" t="n">
        <f aca="false">IF(AS356=0,0,IF(AS356&lt;=12*'🎚️ Escenario'!$C$11,1,1+$C$6))</f>
        <v>0</v>
      </c>
      <c r="AT358" s="237" t="n">
        <f aca="false">IF(AT356=0,0,IF(AT356&lt;=12*'🎚️ Escenario'!$C$11,1,1+$C$6))</f>
        <v>0</v>
      </c>
      <c r="AU358" s="237" t="n">
        <f aca="false">IF(AU356=0,0,IF(AU356&lt;=12*'🎚️ Escenario'!$C$11,1,1+$C$6))</f>
        <v>0</v>
      </c>
      <c r="AV358" s="237" t="n">
        <f aca="false">IF(AV356=0,0,IF(AV356&lt;=12*'🎚️ Escenario'!$C$11,1,1+$C$6))</f>
        <v>0</v>
      </c>
      <c r="AW358" s="237" t="n">
        <f aca="false">IF(AW356=0,0,IF(AW356&lt;=12*'🎚️ Escenario'!$C$11,1,1+$C$6))</f>
        <v>0</v>
      </c>
      <c r="AX358" s="237" t="n">
        <f aca="false">IF(AX356=0,0,IF(AX356&lt;=12*'🎚️ Escenario'!$C$11,1,1+$C$6))</f>
        <v>0</v>
      </c>
      <c r="AY358" s="237" t="n">
        <f aca="false">IF(AY356=0,0,IF(AY356&lt;=12*'🎚️ Escenario'!$C$11,1,1+$C$6))</f>
        <v>0</v>
      </c>
      <c r="AZ358" s="237" t="n">
        <f aca="false">IF(AZ356=0,0,IF(AZ356&lt;=12*'🎚️ Escenario'!$C$11,1,1+$C$6))</f>
        <v>0</v>
      </c>
      <c r="BA358" s="237" t="n">
        <f aca="false">IF(BA356=0,0,IF(BA356&lt;=12*'🎚️ Escenario'!$C$11,1,1+$C$6))</f>
        <v>0</v>
      </c>
      <c r="BB358" s="237" t="n">
        <f aca="false">IF(BB356=0,0,IF(BB356&lt;=12*'🎚️ Escenario'!$C$11,1,1+$C$6))</f>
        <v>0</v>
      </c>
      <c r="BC358" s="237" t="n">
        <f aca="false">IF(BC356=0,0,IF(BC356&lt;=12*'🎚️ Escenario'!$C$11,1,1+$C$6))</f>
        <v>0</v>
      </c>
      <c r="BD358" s="237" t="n">
        <f aca="false">IF(BD356=0,0,IF(BD356&lt;=12*'🎚️ Escenario'!$C$11,1,1+$C$6))</f>
        <v>0</v>
      </c>
      <c r="BE358" s="237" t="n">
        <f aca="false">IF(BE356=0,0,IF(BE356&lt;=12*'🎚️ Escenario'!$C$11,1,1+$C$6))</f>
        <v>0</v>
      </c>
      <c r="BF358" s="237" t="n">
        <f aca="false">IF(BF356=0,0,IF(BF356&lt;=12*'🎚️ Escenario'!$C$11,1,1+$C$6))</f>
        <v>0</v>
      </c>
      <c r="BG358" s="237" t="n">
        <f aca="false">IF(BG356=0,0,IF(BG356&lt;=12*'🎚️ Escenario'!$C$11,1,1+$C$6))</f>
        <v>0</v>
      </c>
      <c r="BH358" s="237" t="n">
        <f aca="false">IF(BH356=0,0,IF(BH356&lt;=12*'🎚️ Escenario'!$C$11,1,1+$C$6))</f>
        <v>0</v>
      </c>
      <c r="BI358" s="237" t="n">
        <f aca="false">IF(BI356=0,0,IF(BI356&lt;=12*'🎚️ Escenario'!$C$11,1,1+$C$6))</f>
        <v>0</v>
      </c>
      <c r="BJ358" s="237" t="n">
        <f aca="false">IF(BJ356=0,0,IF(BJ356&lt;=12*'🎚️ Escenario'!$C$11,1,1+$C$6))</f>
        <v>0</v>
      </c>
      <c r="BK358" s="237" t="n">
        <f aca="false">IF(BK356=0,0,IF(BK356&lt;=12*'🎚️ Escenario'!$C$11,1,1+$C$6))</f>
        <v>0</v>
      </c>
      <c r="BL358" s="237" t="n">
        <f aca="false">IF(BL356=0,0,IF(BL356&lt;=12*'🎚️ Escenario'!$C$11,1,1+$C$6))</f>
        <v>0</v>
      </c>
      <c r="BM358" s="237" t="n">
        <f aca="false">IF(BM356=0,0,IF(BM356&lt;=12*'🎚️ Escenario'!$C$11,1,1+$C$6))</f>
        <v>0</v>
      </c>
      <c r="BN358" s="237" t="n">
        <f aca="false">IF(BN356=0,0,IF(BN356&lt;=12*'🎚️ Escenario'!$C$11,1,1+$C$6))</f>
        <v>0</v>
      </c>
      <c r="BO358" s="237" t="n">
        <f aca="false">IF(BO356=0,0,IF(BO356&lt;=12*'🎚️ Escenario'!$C$11,1,1+$C$6))</f>
        <v>0</v>
      </c>
      <c r="BP358" s="237" t="n">
        <f aca="false">IF(BP356=0,0,IF(BP356&lt;=12*'🎚️ Escenario'!$C$11,1,1+$C$6))</f>
        <v>0</v>
      </c>
      <c r="BQ358" s="237" t="n">
        <f aca="false">IF(BQ356=0,0,IF(BQ356&lt;=12*'🎚️ Escenario'!$C$11,1,1+$C$6))</f>
        <v>0</v>
      </c>
      <c r="BR358" s="237" t="n">
        <f aca="false">IF(BR356=0,0,IF(BR356&lt;=12*'🎚️ Escenario'!$C$11,1,1+$C$6))</f>
        <v>0</v>
      </c>
      <c r="BS358" s="237" t="n">
        <f aca="false">IF(BS356=0,0,IF(BS356&lt;=12*'🎚️ Escenario'!$C$11,1,1+$C$6))</f>
        <v>0</v>
      </c>
      <c r="BT358" s="237" t="n">
        <f aca="false">IF(BT356=0,0,IF(BT356&lt;=12*'🎚️ Escenario'!$C$11,1,1+$C$6))</f>
        <v>0</v>
      </c>
      <c r="BU358" s="237" t="n">
        <f aca="false">IF(BU356=0,0,IF(BU356&lt;=12*'🎚️ Escenario'!$C$11,1,1+$C$6))</f>
        <v>0</v>
      </c>
      <c r="BV358" s="237" t="n">
        <f aca="false">IF(BV356=0,0,IF(BV356&lt;=12*'🎚️ Escenario'!$C$11,1,1+$C$6))</f>
        <v>0</v>
      </c>
      <c r="BW358" s="237" t="n">
        <f aca="false">IF(BW356=0,0,IF(BW356&lt;=12*'🎚️ Escenario'!$C$11,1,1+$C$6))</f>
        <v>0</v>
      </c>
      <c r="BX358" s="237" t="n">
        <f aca="false">IF(BX356=0,0,IF(BX356&lt;=12*'🎚️ Escenario'!$C$11,1,1+$C$6))</f>
        <v>0</v>
      </c>
      <c r="BY358" s="237" t="n">
        <f aca="false">IF(BY356=0,0,IF(BY356&lt;=12*'🎚️ Escenario'!$C$11,1,1+$C$6))</f>
        <v>0</v>
      </c>
      <c r="BZ358" s="237" t="n">
        <f aca="false">IF(BZ356=0,0,IF(BZ356&lt;=12*'🎚️ Escenario'!$C$11,1,1+$C$6))</f>
        <v>0</v>
      </c>
      <c r="CA358" s="237" t="n">
        <f aca="false">IF(CA356=0,0,IF(CA356&lt;=12*'🎚️ Escenario'!$C$11,1,1+$C$6))</f>
        <v>0</v>
      </c>
      <c r="CB358" s="237" t="n">
        <f aca="false">IF(CB356=0,0,IF(CB356&lt;=12*'🎚️ Escenario'!$C$11,1,1+$C$6))</f>
        <v>0</v>
      </c>
      <c r="CC358" s="237" t="n">
        <f aca="false">IF(CC356=0,0,IF(CC356&lt;=12*'🎚️ Escenario'!$C$11,1,1+$C$6))</f>
        <v>0</v>
      </c>
      <c r="CD358" s="237" t="n">
        <f aca="false">IF(CD356=0,0,IF(CD356&lt;=12*'🎚️ Escenario'!$C$11,1,1+$C$6))</f>
        <v>0</v>
      </c>
      <c r="CE358" s="237" t="n">
        <f aca="false">IF(CE356=0,0,IF(CE356&lt;=12*'🎚️ Escenario'!$C$11,1,1+$C$6))</f>
        <v>0</v>
      </c>
      <c r="CF358" s="237" t="n">
        <f aca="false">IF(CF356=0,0,IF(CF356&lt;=12*'🎚️ Escenario'!$C$11,1,1+$C$6))</f>
        <v>0</v>
      </c>
      <c r="CG358" s="237" t="n">
        <f aca="false">IF(CG356=0,0,IF(CG356&lt;=12*'🎚️ Escenario'!$C$11,1,1+$C$6))</f>
        <v>0</v>
      </c>
      <c r="CH358" s="237" t="n">
        <f aca="false">IF(CH356=0,0,IF(CH356&lt;=12*'🎚️ Escenario'!$C$11,1,1+$C$6))</f>
        <v>0</v>
      </c>
      <c r="CI358" s="237" t="n">
        <f aca="false">IF(CI356=0,0,IF(CI356&lt;=12*'🎚️ Escenario'!$C$11,1,1+$C$6))</f>
        <v>0</v>
      </c>
      <c r="CJ358" s="237" t="n">
        <f aca="false">IF(CJ356=0,0,IF(CJ356&lt;=12*'🎚️ Escenario'!$C$11,1,1+$C$6))</f>
        <v>0</v>
      </c>
      <c r="CK358" s="237" t="n">
        <f aca="false">IF(CK356=0,0,IF(CK356&lt;=12*'🎚️ Escenario'!$C$11,1,1+$C$6))</f>
        <v>0</v>
      </c>
      <c r="CL358" s="237" t="n">
        <f aca="false">IF(CL356=0,0,IF(CL356&lt;=12*'🎚️ Escenario'!$C$11,1,1+$C$6))</f>
        <v>0</v>
      </c>
      <c r="CM358" s="237" t="n">
        <f aca="false">IF(CM356=0,0,IF(CM356&lt;=12*'🎚️ Escenario'!$C$11,1,1+$C$6))</f>
        <v>0</v>
      </c>
      <c r="CN358" s="237" t="n">
        <f aca="false">IF(CN356=0,0,IF(CN356&lt;=12*'🎚️ Escenario'!$C$11,1,1+$C$6))</f>
        <v>0</v>
      </c>
      <c r="CO358" s="237" t="n">
        <f aca="false">IF(CO356=0,0,IF(CO356&lt;=12*'🎚️ Escenario'!$C$11,1,1+$C$6))</f>
        <v>0</v>
      </c>
      <c r="CP358" s="237" t="n">
        <f aca="false">IF(CP356=0,0,IF(CP356&lt;=12*'🎚️ Escenario'!$C$11,1,1+$C$6))</f>
        <v>0</v>
      </c>
      <c r="CQ358" s="237" t="n">
        <f aca="false">IF(CQ356=0,0,IF(CQ356&lt;=12*'🎚️ Escenario'!$C$11,1,1+$C$6))</f>
        <v>0</v>
      </c>
      <c r="CR358" s="237" t="n">
        <f aca="false">IF(CR356=0,0,IF(CR356&lt;=12*'🎚️ Escenario'!$C$11,1,1+$C$6))</f>
        <v>0</v>
      </c>
      <c r="CS358" s="237" t="n">
        <f aca="false">IF(CS356=0,0,IF(CS356&lt;=12*'🎚️ Escenario'!$C$11,1,1+$C$6))</f>
        <v>0</v>
      </c>
      <c r="CT358" s="237" t="n">
        <f aca="false">IF(CT356=0,0,IF(CT356&lt;=12*'🎚️ Escenario'!$C$11,1,1+$C$6))</f>
        <v>0</v>
      </c>
      <c r="CU358" s="237" t="n">
        <f aca="false">IF(CU356=0,0,IF(CU356&lt;=12*'🎚️ Escenario'!$C$11,1,1+$C$6))</f>
        <v>0</v>
      </c>
      <c r="CV358" s="237" t="n">
        <f aca="false">IF(CV356=0,0,IF(CV356&lt;=12*'🎚️ Escenario'!$C$11,1,1+$C$6))</f>
        <v>0</v>
      </c>
      <c r="CW358" s="237" t="n">
        <f aca="false">IF(CW356=0,0,IF(CW356&lt;=12*'🎚️ Escenario'!$C$11,1,1+$C$6))</f>
        <v>0</v>
      </c>
      <c r="CX358" s="237" t="n">
        <f aca="false">IF(CX356=0,0,IF(CX356&lt;=12*'🎚️ Escenario'!$C$11,1,1+$C$6))</f>
        <v>0</v>
      </c>
      <c r="CY358" s="237" t="n">
        <f aca="false">IF(CY356=0,0,IF(CY356&lt;=12*'🎚️ Escenario'!$C$11,1,1+$C$6))</f>
        <v>0</v>
      </c>
      <c r="CZ358" s="237" t="n">
        <f aca="false">IF(CZ356=0,0,IF(CZ356&lt;=12*'🎚️ Escenario'!$C$11,1,1+$C$6))</f>
        <v>0</v>
      </c>
      <c r="DA358" s="237" t="n">
        <f aca="false">IF(DA356=0,0,IF(DA356&lt;=12*'🎚️ Escenario'!$C$11,1,1+$C$6))</f>
        <v>0</v>
      </c>
      <c r="DB358" s="237" t="n">
        <f aca="false">IF(DB356=0,0,IF(DB356&lt;=12*'🎚️ Escenario'!$C$11,1,1+$C$6))</f>
        <v>0</v>
      </c>
      <c r="DC358" s="237" t="n">
        <f aca="false">IF(DC356=0,0,IF(DC356&lt;=12*'🎚️ Escenario'!$C$11,1,1+$C$6))</f>
        <v>0</v>
      </c>
      <c r="DD358" s="237" t="n">
        <f aca="false">IF(DD356=0,0,IF(DD356&lt;=12*'🎚️ Escenario'!$C$11,1,1+$C$6))</f>
        <v>0</v>
      </c>
      <c r="DE358" s="237" t="n">
        <f aca="false">IF(DE356=0,0,IF(DE356&lt;=12*'🎚️ Escenario'!$C$11,1,1+$C$6))</f>
        <v>0</v>
      </c>
      <c r="DF358" s="237" t="n">
        <f aca="false">IF(DF356=0,0,IF(DF356&lt;=12*'🎚️ Escenario'!$C$11,1,1+$C$6))</f>
        <v>0</v>
      </c>
      <c r="DG358" s="237" t="n">
        <f aca="false">IF(DG356=0,0,IF(DG356&lt;=12*'🎚️ Escenario'!$C$11,1,1+$C$6))</f>
        <v>0</v>
      </c>
      <c r="DH358" s="237" t="n">
        <f aca="false">IF(DH356=0,0,IF(DH356&lt;=12*'🎚️ Escenario'!$C$11,1,1+$C$6))</f>
        <v>0</v>
      </c>
      <c r="DI358" s="237" t="n">
        <f aca="false">IF(DI356=0,0,IF(DI356&lt;=12*'🎚️ Escenario'!$C$11,1,1+$C$6))</f>
        <v>0</v>
      </c>
      <c r="DJ358" s="237" t="n">
        <f aca="false">IF(DJ356=0,0,IF(DJ356&lt;=12*'🎚️ Escenario'!$C$11,1,1+$C$6))</f>
        <v>0</v>
      </c>
      <c r="DK358" s="237" t="n">
        <f aca="false">IF(DK356=0,0,IF(DK356&lt;=12*'🎚️ Escenario'!$C$11,1,1+$C$6))</f>
        <v>0</v>
      </c>
      <c r="DL358" s="237" t="n">
        <f aca="false">IF(DL356=0,0,IF(DL356&lt;=12*'🎚️ Escenario'!$C$11,1,1+$C$6))</f>
        <v>0</v>
      </c>
      <c r="DM358" s="237" t="n">
        <f aca="false">IF(DM356=0,0,IF(DM356&lt;=12*'🎚️ Escenario'!$C$11,1,1+$C$6))</f>
        <v>0</v>
      </c>
      <c r="DN358" s="237" t="n">
        <f aca="false">IF(DN356=0,0,IF(DN356&lt;=12*'🎚️ Escenario'!$C$11,1,1+$C$6))</f>
        <v>0</v>
      </c>
      <c r="DO358" s="237" t="n">
        <f aca="false">IF(DO356=0,0,IF(DO356&lt;=12*'🎚️ Escenario'!$C$11,1,1+$C$6))</f>
        <v>0</v>
      </c>
      <c r="DP358" s="237" t="n">
        <f aca="false">IF(DP356=0,0,IF(DP356&lt;=12*'🎚️ Escenario'!$C$11,1,1+$C$6))</f>
        <v>0</v>
      </c>
      <c r="DQ358" s="237" t="n">
        <f aca="false">IF(DQ356=0,0,IF(DQ356&lt;=12*'🎚️ Escenario'!$C$11,1,1+$C$6))</f>
        <v>0</v>
      </c>
      <c r="DR358" s="237" t="n">
        <f aca="false">IF(DR356=0,0,IF(DR356&lt;=12*'🎚️ Escenario'!$C$11,1,1+$C$6))</f>
        <v>0</v>
      </c>
      <c r="DS358" s="237" t="n">
        <f aca="false">IF(DS356=0,0,IF(DS356&lt;=12*'🎚️ Escenario'!$C$11,1,1+$C$6))</f>
        <v>0</v>
      </c>
      <c r="DT358" s="237" t="n">
        <f aca="false">IF(DT356=0,0,IF(DT356&lt;=12*'🎚️ Escenario'!$C$11,1,1+$C$6))</f>
        <v>0</v>
      </c>
      <c r="DU358" s="237" t="n">
        <f aca="false">IF(DU356=0,0,IF(DU356&lt;=12*'🎚️ Escenario'!$C$11,1,1+$C$6))</f>
        <v>1</v>
      </c>
      <c r="DV358" s="237" t="n">
        <f aca="false">IF(DV356=0,0,IF(DV356&lt;=12*'🎚️ Escenario'!$C$11,1,1+$C$6))</f>
        <v>1</v>
      </c>
      <c r="DW358" s="237" t="n">
        <f aca="false">IF(DW356=0,0,IF(DW356&lt;=12*'🎚️ Escenario'!$C$11,1,1+$C$6))</f>
        <v>1</v>
      </c>
      <c r="DX358" s="237" t="n">
        <f aca="false">IF(DX356=0,0,IF(DX356&lt;=12*'🎚️ Escenario'!$C$11,1,1+$C$6))</f>
        <v>1</v>
      </c>
      <c r="DY358" s="237" t="n">
        <f aca="false">IF(DY356=0,0,IF(DY356&lt;=12*'🎚️ Escenario'!$C$11,1,1+$C$6))</f>
        <v>1</v>
      </c>
      <c r="DZ358" s="237" t="n">
        <f aca="false">IF(DZ356=0,0,IF(DZ356&lt;=12*'🎚️ Escenario'!$C$11,1,1+$C$6))</f>
        <v>1</v>
      </c>
      <c r="EA358" s="237" t="n">
        <f aca="false">IF(EA356=0,0,IF(EA356&lt;=12*'🎚️ Escenario'!$C$11,1,1+$C$6))</f>
        <v>1</v>
      </c>
      <c r="EB358" s="237" t="n">
        <f aca="false">IF(EB356=0,0,IF(EB356&lt;=12*'🎚️ Escenario'!$C$11,1,1+$C$6))</f>
        <v>1</v>
      </c>
      <c r="EC358" s="237" t="n">
        <f aca="false">IF(EC356=0,0,IF(EC356&lt;=12*'🎚️ Escenario'!$C$11,1,1+$C$6))</f>
        <v>1</v>
      </c>
      <c r="ED358" s="237" t="n">
        <f aca="false">IF(ED356=0,0,IF(ED356&lt;=12*'🎚️ Escenario'!$C$11,1,1+$C$6))</f>
        <v>1</v>
      </c>
      <c r="EE358" s="237" t="n">
        <f aca="false">IF(EE356=0,0,IF(EE356&lt;=12*'🎚️ Escenario'!$C$11,1,1+$C$6))</f>
        <v>1</v>
      </c>
      <c r="EF358" s="237" t="n">
        <f aca="false">IF(EF356=0,0,IF(EF356&lt;=12*'🎚️ Escenario'!$C$11,1,1+$C$6))</f>
        <v>1</v>
      </c>
      <c r="EG358" s="237" t="n">
        <f aca="false">IF(EG356=0,0,IF(EG356&lt;=12*'🎚️ Escenario'!$C$11,1,1+$C$6))</f>
        <v>1</v>
      </c>
      <c r="EH358" s="237" t="n">
        <f aca="false">IF(EH356=0,0,IF(EH356&lt;=12*'🎚️ Escenario'!$C$11,1,1+$C$6))</f>
        <v>1</v>
      </c>
      <c r="EI358" s="237" t="n">
        <f aca="false">IF(EI356=0,0,IF(EI356&lt;=12*'🎚️ Escenario'!$C$11,1,1+$C$6))</f>
        <v>1</v>
      </c>
      <c r="EJ358" s="237" t="n">
        <f aca="false">IF(EJ356=0,0,IF(EJ356&lt;=12*'🎚️ Escenario'!$C$11,1,1+$C$6))</f>
        <v>1.2</v>
      </c>
      <c r="EK358" s="237" t="n">
        <f aca="false">IF(EK356=0,0,IF(EK356&lt;=12*'🎚️ Escenario'!$C$11,1,1+$C$6))</f>
        <v>1.2</v>
      </c>
      <c r="EL358" s="237" t="n">
        <f aca="false">IF(EL356=0,0,IF(EL356&lt;=12*'🎚️ Escenario'!$C$11,1,1+$C$6))</f>
        <v>1.2</v>
      </c>
      <c r="EM358" s="237" t="n">
        <f aca="false">IF(EM356=0,0,IF(EM356&lt;=12*'🎚️ Escenario'!$C$11,1,1+$C$6))</f>
        <v>1.2</v>
      </c>
      <c r="EN358" s="237" t="n">
        <f aca="false">IF(EN356=0,0,IF(EN356&lt;=12*'🎚️ Escenario'!$C$11,1,1+$C$6))</f>
        <v>1.2</v>
      </c>
      <c r="EO358" s="237" t="n">
        <f aca="false">IF(EO356=0,0,IF(EO356&lt;=12*'🎚️ Escenario'!$C$11,1,1+$C$6))</f>
        <v>1.2</v>
      </c>
      <c r="EP358" s="237" t="n">
        <f aca="false">IF(EP356=0,0,IF(EP356&lt;=12*'🎚️ Escenario'!$C$11,1,1+$C$6))</f>
        <v>1.2</v>
      </c>
      <c r="EQ358" s="237" t="n">
        <f aca="false">IF(EQ356=0,0,IF(EQ356&lt;=12*'🎚️ Escenario'!$C$11,1,1+$C$6))</f>
        <v>1.2</v>
      </c>
      <c r="ER358" s="237" t="n">
        <f aca="false">IF(ER356=0,0,IF(ER356&lt;=12*'🎚️ Escenario'!$C$11,1,1+$C$6))</f>
        <v>1.2</v>
      </c>
      <c r="ES358" s="238" t="n">
        <f aca="false">IF(ES356=0,0,IF(ES356&lt;=12*'🎚️ Escenario'!$C$11,1,1+$C$6))</f>
        <v>1.2</v>
      </c>
      <c r="ET358" s="238" t="n">
        <f aca="false">IF(ET356=0,0,IF(ET356&lt;=12*'🎚️ Escenario'!$C$11,1,1+$C$6))</f>
        <v>1.2</v>
      </c>
      <c r="EU358" s="238" t="n">
        <f aca="false">IF(EU356=0,0,IF(EU356&lt;=12*'🎚️ Escenario'!$C$11,1,1+$C$6))</f>
        <v>1.2</v>
      </c>
      <c r="EV358" s="238" t="n">
        <f aca="false">IF(EV356=0,0,IF(EV356&lt;=12*'🎚️ Escenario'!$C$11,1,1+$C$6))</f>
        <v>1.2</v>
      </c>
      <c r="EW358" s="238" t="n">
        <f aca="false">IF(EW356=0,0,IF(EW356&lt;=12*'🎚️ Escenario'!$C$11,1,1+$C$6))</f>
        <v>1.2</v>
      </c>
      <c r="EX358" s="238" t="n">
        <f aca="false">IF(EX356=0,0,IF(EX356&lt;=12*'🎚️ Escenario'!$C$11,1,1+$C$6))</f>
        <v>1.2</v>
      </c>
      <c r="EY358" s="238" t="n">
        <f aca="false">IF(EY356=0,0,IF(EY356&lt;=12*'🎚️ Escenario'!$C$11,1,1+$C$6))</f>
        <v>1.2</v>
      </c>
      <c r="EZ358" s="238" t="n">
        <f aca="false">IF(EZ356=0,0,IF(EZ356&lt;=12*'🎚️ Escenario'!$C$11,1,1+$C$6))</f>
        <v>1.2</v>
      </c>
      <c r="FA358" s="238" t="n">
        <f aca="false">IF(FA356=0,0,IF(FA356&lt;=12*'🎚️ Escenario'!$C$11,1,1+$C$6))</f>
        <v>1.2</v>
      </c>
      <c r="FB358" s="238" t="n">
        <f aca="false">IF(FB356=0,0,IF(FB356&lt;=12*'🎚️ Escenario'!$C$11,1,1+$C$6))</f>
        <v>1.2</v>
      </c>
      <c r="FC358" s="238" t="n">
        <f aca="false">IF(FC356=0,0,IF(FC356&lt;=12*'🎚️ Escenario'!$C$11,1,1+$C$6))</f>
        <v>1.2</v>
      </c>
      <c r="FD358" s="238" t="n">
        <f aca="false">IF(FD356=0,0,IF(FD356&lt;=12*'🎚️ Escenario'!$C$11,1,1+$C$6))</f>
        <v>1.2</v>
      </c>
      <c r="FE358" s="238" t="n">
        <f aca="false">IF(FE356=0,0,IF(FE356&lt;=12*'🎚️ Escenario'!$C$11,1,1+$C$6))</f>
        <v>1.2</v>
      </c>
      <c r="FF358" s="238" t="n">
        <f aca="false">IF(FF356=0,0,IF(FF356&lt;=12*'🎚️ Escenario'!$C$11,1,1+$C$6))</f>
        <v>1.2</v>
      </c>
      <c r="FG358" s="238" t="n">
        <f aca="false">IF(FG356=0,0,IF(FG356&lt;=12*'🎚️ Escenario'!$C$11,1,1+$C$6))</f>
        <v>1.2</v>
      </c>
      <c r="FH358" s="238" t="n">
        <f aca="false">IF(FH356=0,0,IF(FH356&lt;=12*'🎚️ Escenario'!$C$11,1,1+$C$6))</f>
        <v>1.2</v>
      </c>
      <c r="FI358" s="238" t="n">
        <f aca="false">IF(FI356=0,0,IF(FI356&lt;=12*'🎚️ Escenario'!$C$11,1,1+$C$6))</f>
        <v>1.2</v>
      </c>
      <c r="FJ358" s="238" t="n">
        <f aca="false">IF(FJ356=0,0,IF(FJ356&lt;=12*'🎚️ Escenario'!$C$11,1,1+$C$6))</f>
        <v>1.2</v>
      </c>
      <c r="FK358" s="238" t="n">
        <f aca="false">IF(FK356=0,0,IF(FK356&lt;=12*'🎚️ Escenario'!$C$11,1,1+$C$6))</f>
        <v>1.2</v>
      </c>
      <c r="FL358" s="238" t="n">
        <f aca="false">IF(FL356=0,0,IF(FL356&lt;=12*'🎚️ Escenario'!$C$11,1,1+$C$6))</f>
        <v>1.2</v>
      </c>
      <c r="FM358" s="238" t="n">
        <f aca="false">IF(FM356=0,0,IF(FM356&lt;=12*'🎚️ Escenario'!$C$11,1,1+$C$6))</f>
        <v>1.2</v>
      </c>
      <c r="FN358" s="238" t="n">
        <f aca="false">IF(FN356=0,0,IF(FN356&lt;=12*'🎚️ Escenario'!$C$11,1,1+$C$6))</f>
        <v>1.2</v>
      </c>
      <c r="FO358" s="238" t="n">
        <f aca="false">IF(FO356=0,0,IF(FO356&lt;=12*'🎚️ Escenario'!$C$11,1,1+$C$6))</f>
        <v>1.2</v>
      </c>
      <c r="FP358" s="238" t="n">
        <f aca="false">IF(FP356=0,0,IF(FP356&lt;=12*'🎚️ Escenario'!$C$11,1,1+$C$6))</f>
        <v>1.2</v>
      </c>
    </row>
    <row r="359" customFormat="false" ht="15" hidden="false" customHeight="false" outlineLevel="2" collapsed="false">
      <c r="B359" s="47" t="s">
        <v>876</v>
      </c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237" t="n">
        <f aca="false">AC357*$AC$355*AC358*AC$38*'⑫ Roll-out Plan'!$O$40</f>
        <v>0</v>
      </c>
      <c r="AD359" s="237" t="n">
        <f aca="false">AD357*$AC$355*AD358*AD$38*'⑫ Roll-out Plan'!$O$40</f>
        <v>0</v>
      </c>
      <c r="AE359" s="237" t="n">
        <f aca="false">AE357*$AC$355*AE358*AE$38*'⑫ Roll-out Plan'!$O$40</f>
        <v>0</v>
      </c>
      <c r="AF359" s="237" t="n">
        <f aca="false">AF357*$AC$355*AF358*AF$38*'⑫ Roll-out Plan'!$O$40</f>
        <v>0</v>
      </c>
      <c r="AG359" s="237" t="n">
        <f aca="false">AG357*$AC$355*AG358*AG$38*'⑫ Roll-out Plan'!$O$40</f>
        <v>0</v>
      </c>
      <c r="AH359" s="237" t="n">
        <f aca="false">AH357*$AC$355*AH358*AH$38*'⑫ Roll-out Plan'!$O$40</f>
        <v>0</v>
      </c>
      <c r="AI359" s="237" t="n">
        <f aca="false">AI357*$AC$355*AI358*AI$38*'⑫ Roll-out Plan'!$O$40</f>
        <v>0</v>
      </c>
      <c r="AJ359" s="237" t="n">
        <f aca="false">AJ357*$AC$355*AJ358*AJ$38*'⑫ Roll-out Plan'!$O$40</f>
        <v>0</v>
      </c>
      <c r="AK359" s="237" t="n">
        <f aca="false">AK357*$AC$355*AK358*AK$38*'⑫ Roll-out Plan'!$O$40</f>
        <v>0</v>
      </c>
      <c r="AL359" s="237" t="n">
        <f aca="false">AL357*$AC$355*AL358*AL$38*'⑫ Roll-out Plan'!$O$40</f>
        <v>0</v>
      </c>
      <c r="AM359" s="237" t="n">
        <f aca="false">AM357*$AC$355*AM358*AM$38*'⑫ Roll-out Plan'!$O$40</f>
        <v>0</v>
      </c>
      <c r="AN359" s="237" t="n">
        <f aca="false">AN357*$AC$355*AN358*AN$38*'⑫ Roll-out Plan'!$O$40</f>
        <v>0</v>
      </c>
      <c r="AO359" s="237" t="n">
        <f aca="false">AO357*$AC$355*AO358*AO$38*'⑫ Roll-out Plan'!$O$40</f>
        <v>0</v>
      </c>
      <c r="AP359" s="237" t="n">
        <f aca="false">AP357*$AC$355*AP358*AP$38*'⑫ Roll-out Plan'!$O$40</f>
        <v>0</v>
      </c>
      <c r="AQ359" s="237" t="n">
        <f aca="false">AQ357*$AC$355*AQ358*AQ$38*'⑫ Roll-out Plan'!$O$40</f>
        <v>0</v>
      </c>
      <c r="AR359" s="237" t="n">
        <f aca="false">AR357*$AC$355*AR358*AR$38*'⑫ Roll-out Plan'!$O$40</f>
        <v>0</v>
      </c>
      <c r="AS359" s="237" t="n">
        <f aca="false">AS357*$AC$355*AS358*AS$38*'⑫ Roll-out Plan'!$O$40</f>
        <v>0</v>
      </c>
      <c r="AT359" s="237" t="n">
        <f aca="false">AT357*$AC$355*AT358*AT$38*'⑫ Roll-out Plan'!$O$40</f>
        <v>0</v>
      </c>
      <c r="AU359" s="237" t="n">
        <f aca="false">AU357*$AC$355*AU358*AU$38*'⑫ Roll-out Plan'!$O$40</f>
        <v>0</v>
      </c>
      <c r="AV359" s="237" t="n">
        <f aca="false">AV357*$AC$355*AV358*AV$38*'⑫ Roll-out Plan'!$O$40</f>
        <v>0</v>
      </c>
      <c r="AW359" s="237" t="n">
        <f aca="false">AW357*$AC$355*AW358*AW$38*'⑫ Roll-out Plan'!$O$40</f>
        <v>0</v>
      </c>
      <c r="AX359" s="237" t="n">
        <f aca="false">AX357*$AC$355*AX358*AX$38*'⑫ Roll-out Plan'!$O$40</f>
        <v>0</v>
      </c>
      <c r="AY359" s="237" t="n">
        <f aca="false">AY357*$AC$355*AY358*AY$38*'⑫ Roll-out Plan'!$O$40</f>
        <v>0</v>
      </c>
      <c r="AZ359" s="237" t="n">
        <f aca="false">AZ357*$AC$355*AZ358*AZ$38*'⑫ Roll-out Plan'!$O$40</f>
        <v>0</v>
      </c>
      <c r="BA359" s="237" t="n">
        <f aca="false">BA357*$AC$355*BA358*BA$38*'⑫ Roll-out Plan'!$O$40</f>
        <v>0</v>
      </c>
      <c r="BB359" s="237" t="n">
        <f aca="false">BB357*$AC$355*BB358*BB$38*'⑫ Roll-out Plan'!$O$40</f>
        <v>0</v>
      </c>
      <c r="BC359" s="237" t="n">
        <f aca="false">BC357*$AC$355*BC358*BC$38*'⑫ Roll-out Plan'!$O$40</f>
        <v>0</v>
      </c>
      <c r="BD359" s="237" t="n">
        <f aca="false">BD357*$AC$355*BD358*BD$38*'⑫ Roll-out Plan'!$O$40</f>
        <v>0</v>
      </c>
      <c r="BE359" s="237" t="n">
        <f aca="false">BE357*$AC$355*BE358*BE$38*'⑫ Roll-out Plan'!$O$40</f>
        <v>0</v>
      </c>
      <c r="BF359" s="237" t="n">
        <f aca="false">BF357*$AC$355*BF358*BF$38*'⑫ Roll-out Plan'!$O$40</f>
        <v>0</v>
      </c>
      <c r="BG359" s="237" t="n">
        <f aca="false">BG357*$AC$355*BG358*BG$38*'⑫ Roll-out Plan'!$O$40</f>
        <v>0</v>
      </c>
      <c r="BH359" s="237" t="n">
        <f aca="false">BH357*$AC$355*BH358*BH$38*'⑫ Roll-out Plan'!$O$40</f>
        <v>0</v>
      </c>
      <c r="BI359" s="237" t="n">
        <f aca="false">BI357*$AC$355*BI358*BI$38*'⑫ Roll-out Plan'!$O$40</f>
        <v>0</v>
      </c>
      <c r="BJ359" s="237" t="n">
        <f aca="false">BJ357*$AC$355*BJ358*BJ$38*'⑫ Roll-out Plan'!$O$40</f>
        <v>0</v>
      </c>
      <c r="BK359" s="237" t="n">
        <f aca="false">BK357*$AC$355*BK358*BK$38*'⑫ Roll-out Plan'!$O$40</f>
        <v>0</v>
      </c>
      <c r="BL359" s="237" t="n">
        <f aca="false">BL357*$AC$355*BL358*BL$38*'⑫ Roll-out Plan'!$O$40</f>
        <v>0</v>
      </c>
      <c r="BM359" s="237" t="n">
        <f aca="false">BM357*$AC$355*BM358*BM$38*'⑫ Roll-out Plan'!$O$40</f>
        <v>0</v>
      </c>
      <c r="BN359" s="237" t="n">
        <f aca="false">BN357*$AC$355*BN358*BN$38*'⑫ Roll-out Plan'!$O$40</f>
        <v>0</v>
      </c>
      <c r="BO359" s="237" t="n">
        <f aca="false">BO357*$AC$355*BO358*BO$38*'⑫ Roll-out Plan'!$O$40</f>
        <v>0</v>
      </c>
      <c r="BP359" s="237" t="n">
        <f aca="false">BP357*$AC$355*BP358*BP$38*'⑫ Roll-out Plan'!$O$40</f>
        <v>0</v>
      </c>
      <c r="BQ359" s="237" t="n">
        <f aca="false">BQ357*$AC$355*BQ358*BQ$38*'⑫ Roll-out Plan'!$O$40</f>
        <v>0</v>
      </c>
      <c r="BR359" s="237" t="n">
        <f aca="false">BR357*$AC$355*BR358*BR$38*'⑫ Roll-out Plan'!$O$40</f>
        <v>0</v>
      </c>
      <c r="BS359" s="237" t="n">
        <f aca="false">BS357*$AC$355*BS358*BS$38*'⑫ Roll-out Plan'!$O$40</f>
        <v>0</v>
      </c>
      <c r="BT359" s="237" t="n">
        <f aca="false">BT357*$AC$355*BT358*BT$38*'⑫ Roll-out Plan'!$O$40</f>
        <v>0</v>
      </c>
      <c r="BU359" s="237" t="n">
        <f aca="false">BU357*$AC$355*BU358*BU$38*'⑫ Roll-out Plan'!$O$40</f>
        <v>0</v>
      </c>
      <c r="BV359" s="237" t="n">
        <f aca="false">BV357*$AC$355*BV358*BV$38*'⑫ Roll-out Plan'!$O$40</f>
        <v>0</v>
      </c>
      <c r="BW359" s="237" t="n">
        <f aca="false">BW357*$AC$355*BW358*BW$38*'⑫ Roll-out Plan'!$O$40</f>
        <v>0</v>
      </c>
      <c r="BX359" s="237" t="n">
        <f aca="false">BX357*$AC$355*BX358*BX$38*'⑫ Roll-out Plan'!$O$40</f>
        <v>0</v>
      </c>
      <c r="BY359" s="237" t="n">
        <f aca="false">BY357*$AC$355*BY358*BY$38*'⑫ Roll-out Plan'!$O$40</f>
        <v>0</v>
      </c>
      <c r="BZ359" s="237" t="n">
        <f aca="false">BZ357*$AC$355*BZ358*BZ$38*'⑫ Roll-out Plan'!$O$40</f>
        <v>0</v>
      </c>
      <c r="CA359" s="237" t="n">
        <f aca="false">CA357*$AC$355*CA358*CA$38*'⑫ Roll-out Plan'!$O$40</f>
        <v>0</v>
      </c>
      <c r="CB359" s="237" t="n">
        <f aca="false">CB357*$AC$355*CB358*CB$38*'⑫ Roll-out Plan'!$O$40</f>
        <v>0</v>
      </c>
      <c r="CC359" s="237" t="n">
        <f aca="false">CC357*$AC$355*CC358*CC$38*'⑫ Roll-out Plan'!$O$40</f>
        <v>0</v>
      </c>
      <c r="CD359" s="237" t="n">
        <f aca="false">CD357*$AC$355*CD358*CD$38*'⑫ Roll-out Plan'!$O$40</f>
        <v>0</v>
      </c>
      <c r="CE359" s="237" t="n">
        <f aca="false">CE357*$AC$355*CE358*CE$38*'⑫ Roll-out Plan'!$O$40</f>
        <v>0</v>
      </c>
      <c r="CF359" s="237" t="n">
        <f aca="false">CF357*$AC$355*CF358*CF$38*'⑫ Roll-out Plan'!$O$40</f>
        <v>0</v>
      </c>
      <c r="CG359" s="237" t="n">
        <f aca="false">CG357*$AC$355*CG358*CG$38*'⑫ Roll-out Plan'!$O$40</f>
        <v>0</v>
      </c>
      <c r="CH359" s="237" t="n">
        <f aca="false">CH357*$AC$355*CH358*CH$38*'⑫ Roll-out Plan'!$O$40</f>
        <v>0</v>
      </c>
      <c r="CI359" s="237" t="n">
        <f aca="false">CI357*$AC$355*CI358*CI$38*'⑫ Roll-out Plan'!$O$40</f>
        <v>0</v>
      </c>
      <c r="CJ359" s="237" t="n">
        <f aca="false">CJ357*$AC$355*CJ358*CJ$38*'⑫ Roll-out Plan'!$O$40</f>
        <v>0</v>
      </c>
      <c r="CK359" s="237" t="n">
        <f aca="false">CK357*$AC$355*CK358*CK$38*'⑫ Roll-out Plan'!$O$40</f>
        <v>0</v>
      </c>
      <c r="CL359" s="237" t="n">
        <f aca="false">CL357*$AC$355*CL358*CL$38*'⑫ Roll-out Plan'!$O$40</f>
        <v>0</v>
      </c>
      <c r="CM359" s="237" t="n">
        <f aca="false">CM357*$AC$355*CM358*CM$38*'⑫ Roll-out Plan'!$O$40</f>
        <v>0</v>
      </c>
      <c r="CN359" s="237" t="n">
        <f aca="false">CN357*$AC$355*CN358*CN$38*'⑫ Roll-out Plan'!$O$40</f>
        <v>0</v>
      </c>
      <c r="CO359" s="237" t="n">
        <f aca="false">CO357*$AC$355*CO358*CO$38*'⑫ Roll-out Plan'!$O$40</f>
        <v>0</v>
      </c>
      <c r="CP359" s="237" t="n">
        <f aca="false">CP357*$AC$355*CP358*CP$38*'⑫ Roll-out Plan'!$O$40</f>
        <v>0</v>
      </c>
      <c r="CQ359" s="237" t="n">
        <f aca="false">CQ357*$AC$355*CQ358*CQ$38*'⑫ Roll-out Plan'!$O$40</f>
        <v>0</v>
      </c>
      <c r="CR359" s="237" t="n">
        <f aca="false">CR357*$AC$355*CR358*CR$38*'⑫ Roll-out Plan'!$O$40</f>
        <v>0</v>
      </c>
      <c r="CS359" s="237" t="n">
        <f aca="false">CS357*$AC$355*CS358*CS$38*'⑫ Roll-out Plan'!$O$40</f>
        <v>0</v>
      </c>
      <c r="CT359" s="237" t="n">
        <f aca="false">CT357*$AC$355*CT358*CT$38*'⑫ Roll-out Plan'!$O$40</f>
        <v>0</v>
      </c>
      <c r="CU359" s="237" t="n">
        <f aca="false">CU357*$AC$355*CU358*CU$38*'⑫ Roll-out Plan'!$O$40</f>
        <v>0</v>
      </c>
      <c r="CV359" s="237" t="n">
        <f aca="false">CV357*$AC$355*CV358*CV$38*'⑫ Roll-out Plan'!$O$40</f>
        <v>0</v>
      </c>
      <c r="CW359" s="237" t="n">
        <f aca="false">CW357*$AC$355*CW358*CW$38*'⑫ Roll-out Plan'!$O$40</f>
        <v>0</v>
      </c>
      <c r="CX359" s="237" t="n">
        <f aca="false">CX357*$AC$355*CX358*CX$38*'⑫ Roll-out Plan'!$O$40</f>
        <v>0</v>
      </c>
      <c r="CY359" s="237" t="n">
        <f aca="false">CY357*$AC$355*CY358*CY$38*'⑫ Roll-out Plan'!$O$40</f>
        <v>0</v>
      </c>
      <c r="CZ359" s="237" t="n">
        <f aca="false">CZ357*$AC$355*CZ358*CZ$38*'⑫ Roll-out Plan'!$O$40</f>
        <v>0</v>
      </c>
      <c r="DA359" s="237" t="n">
        <f aca="false">DA357*$AC$355*DA358*DA$38*'⑫ Roll-out Plan'!$O$40</f>
        <v>0</v>
      </c>
      <c r="DB359" s="237" t="n">
        <f aca="false">DB357*$AC$355*DB358*DB$38*'⑫ Roll-out Plan'!$O$40</f>
        <v>0</v>
      </c>
      <c r="DC359" s="237" t="n">
        <f aca="false">DC357*$AC$355*DC358*DC$38*'⑫ Roll-out Plan'!$O$40</f>
        <v>0</v>
      </c>
      <c r="DD359" s="237" t="n">
        <f aca="false">DD357*$AC$355*DD358*DD$38*'⑫ Roll-out Plan'!$O$40</f>
        <v>0</v>
      </c>
      <c r="DE359" s="237" t="n">
        <f aca="false">DE357*$AC$355*DE358*DE$38*'⑫ Roll-out Plan'!$O$40</f>
        <v>0</v>
      </c>
      <c r="DF359" s="237" t="n">
        <f aca="false">DF357*$AC$355*DF358*DF$38*'⑫ Roll-out Plan'!$O$40</f>
        <v>0</v>
      </c>
      <c r="DG359" s="237" t="n">
        <f aca="false">DG357*$AC$355*DG358*DG$38*'⑫ Roll-out Plan'!$O$40</f>
        <v>0</v>
      </c>
      <c r="DH359" s="237" t="n">
        <f aca="false">DH357*$AC$355*DH358*DH$38*'⑫ Roll-out Plan'!$O$40</f>
        <v>0</v>
      </c>
      <c r="DI359" s="237" t="n">
        <f aca="false">DI357*$AC$355*DI358*DI$38*'⑫ Roll-out Plan'!$O$40</f>
        <v>0</v>
      </c>
      <c r="DJ359" s="237" t="n">
        <f aca="false">DJ357*$AC$355*DJ358*DJ$38*'⑫ Roll-out Plan'!$O$40</f>
        <v>0</v>
      </c>
      <c r="DK359" s="237" t="n">
        <f aca="false">DK357*$AC$355*DK358*DK$38*'⑫ Roll-out Plan'!$O$40</f>
        <v>0</v>
      </c>
      <c r="DL359" s="237" t="n">
        <f aca="false">DL357*$AC$355*DL358*DL$38*'⑫ Roll-out Plan'!$O$40</f>
        <v>0</v>
      </c>
      <c r="DM359" s="237" t="n">
        <f aca="false">DM357*$AC$355*DM358*DM$38*'⑫ Roll-out Plan'!$O$40</f>
        <v>0</v>
      </c>
      <c r="DN359" s="237" t="n">
        <f aca="false">DN357*$AC$355*DN358*DN$38*'⑫ Roll-out Plan'!$O$40</f>
        <v>0</v>
      </c>
      <c r="DO359" s="237" t="n">
        <f aca="false">DO357*$AC$355*DO358*DO$38*'⑫ Roll-out Plan'!$O$40</f>
        <v>0</v>
      </c>
      <c r="DP359" s="237" t="n">
        <f aca="false">DP357*$AC$355*DP358*DP$38*'⑫ Roll-out Plan'!$O$40</f>
        <v>0</v>
      </c>
      <c r="DQ359" s="237" t="n">
        <f aca="false">DQ357*$AC$355*DQ358*DQ$38*'⑫ Roll-out Plan'!$O$40</f>
        <v>0</v>
      </c>
      <c r="DR359" s="237" t="n">
        <f aca="false">DR357*$AC$355*DR358*DR$38*'⑫ Roll-out Plan'!$O$40</f>
        <v>0</v>
      </c>
      <c r="DS359" s="237" t="n">
        <f aca="false">DS357*$AC$355*DS358*DS$38*'⑫ Roll-out Plan'!$O$40</f>
        <v>0</v>
      </c>
      <c r="DT359" s="237" t="n">
        <f aca="false">DT357*$AC$355*DT358*DT$38*'⑫ Roll-out Plan'!$O$40</f>
        <v>0</v>
      </c>
      <c r="DU359" s="237" t="n">
        <f aca="false">DU357*$AC$355*DU358*DU$38*'⑫ Roll-out Plan'!$O$40</f>
        <v>23.76</v>
      </c>
      <c r="DV359" s="237" t="n">
        <f aca="false">DV357*$AC$355*DV358*DV$38*'⑫ Roll-out Plan'!$O$40</f>
        <v>19.844</v>
      </c>
      <c r="DW359" s="237" t="n">
        <f aca="false">DW357*$AC$355*DW358*DW$38*'⑫ Roll-out Plan'!$O$40</f>
        <v>30.624</v>
      </c>
      <c r="DX359" s="237" t="n">
        <f aca="false">DX357*$AC$355*DX358*DX$38*'⑫ Roll-out Plan'!$O$40</f>
        <v>32.67</v>
      </c>
      <c r="DY359" s="237" t="n">
        <f aca="false">DY357*$AC$355*DY358*DY$38*'⑫ Roll-out Plan'!$O$40</f>
        <v>27.324</v>
      </c>
      <c r="DZ359" s="237" t="n">
        <f aca="false">DZ357*$AC$355*DZ358*DZ$38*'⑫ Roll-out Plan'!$O$40</f>
        <v>27.28</v>
      </c>
      <c r="EA359" s="237" t="n">
        <f aca="false">EA357*$AC$355*EA358*EA$38*'⑫ Roll-out Plan'!$O$40</f>
        <v>32.34</v>
      </c>
      <c r="EB359" s="237" t="n">
        <f aca="false">EB357*$AC$355*EB358*EB$38*'⑫ Roll-out Plan'!$O$40</f>
        <v>60.918</v>
      </c>
      <c r="EC359" s="237" t="n">
        <f aca="false">EC357*$AC$355*EC358*EC$38*'⑫ Roll-out Plan'!$O$40</f>
        <v>56.144</v>
      </c>
      <c r="ED359" s="237" t="n">
        <f aca="false">ED357*$AC$355*ED358*ED$38*'⑫ Roll-out Plan'!$O$40</f>
        <v>46.464</v>
      </c>
      <c r="EE359" s="237" t="n">
        <f aca="false">EE357*$AC$355*EE358*EE$38*'⑫ Roll-out Plan'!$O$40</f>
        <v>38.016</v>
      </c>
      <c r="EF359" s="237" t="n">
        <f aca="false">EF357*$AC$355*EF358*EF$38*'⑫ Roll-out Plan'!$O$40</f>
        <v>58.344</v>
      </c>
      <c r="EG359" s="237" t="n">
        <f aca="false">EG357*$AC$355*EG358*EG$38*'⑫ Roll-out Plan'!$O$40</f>
        <v>66.528</v>
      </c>
      <c r="EH359" s="237" t="n">
        <f aca="false">EH357*$AC$355*EH358*EH$38*'⑫ Roll-out Plan'!$O$40</f>
        <v>54.12</v>
      </c>
      <c r="EI359" s="237" t="n">
        <f aca="false">EI357*$AC$355*EI358*EI$38*'⑫ Roll-out Plan'!$O$40</f>
        <v>76.56</v>
      </c>
      <c r="EJ359" s="237" t="n">
        <f aca="false">EJ357*$AC$355*EJ358*EJ$38*'⑫ Roll-out Plan'!$O$40</f>
        <v>91.476</v>
      </c>
      <c r="EK359" s="237" t="n">
        <f aca="false">EK357*$AC$355*EK358*EK$38*'⑫ Roll-out Plan'!$O$40</f>
        <v>80.1504</v>
      </c>
      <c r="EL359" s="237" t="n">
        <f aca="false">EL357*$AC$355*EL358*EL$38*'⑫ Roll-out Plan'!$O$40</f>
        <v>72.864</v>
      </c>
      <c r="EM359" s="237" t="n">
        <f aca="false">EM357*$AC$355*EM358*EM$38*'⑫ Roll-out Plan'!$O$40</f>
        <v>78.7248</v>
      </c>
      <c r="EN359" s="237" t="n">
        <f aca="false">EN357*$AC$355*EN358*EN$38*'⑫ Roll-out Plan'!$O$40</f>
        <v>133.0824</v>
      </c>
      <c r="EO359" s="237" t="n">
        <f aca="false">EO357*$AC$355*EO358*EO$38*'⑫ Roll-out Plan'!$O$40</f>
        <v>111.7776</v>
      </c>
      <c r="EP359" s="237" t="n">
        <f aca="false">EP357*$AC$355*EP358*EP$38*'⑫ Roll-out Plan'!$O$40</f>
        <v>95.04</v>
      </c>
      <c r="EQ359" s="237" t="n">
        <f aca="false">EQ357*$AC$355*EQ358*EQ$38*'⑫ Roll-out Plan'!$O$40</f>
        <v>73.1808</v>
      </c>
      <c r="ER359" s="237" t="n">
        <f aca="false">ER357*$AC$355*ER358*ER$38*'⑫ Roll-out Plan'!$O$40</f>
        <v>106.3656</v>
      </c>
      <c r="ES359" s="9" t="n">
        <f aca="false">ES357*$AC$355*ES358*ES$38*'⑫ Roll-out Plan'!$O$40</f>
        <v>112.6224</v>
      </c>
      <c r="ET359" s="9" t="n">
        <f aca="false">ET357*$AC$355*ET358*ET$38*'⑫ Roll-out Plan'!$O$40</f>
        <v>86.592</v>
      </c>
      <c r="EU359" s="9" t="n">
        <f aca="false">EU357*$AC$355*EU358*EU$38*'⑫ Roll-out Plan'!$O$40</f>
        <v>125.5584</v>
      </c>
      <c r="EV359" s="9" t="n">
        <f aca="false">EV357*$AC$355*EV358*EV$38*'⑫ Roll-out Plan'!$O$40</f>
        <v>121.968</v>
      </c>
      <c r="EW359" s="9" t="n">
        <f aca="false">EW357*$AC$355*EW358*EW$38*'⑫ Roll-out Plan'!$O$40</f>
        <v>103.224</v>
      </c>
      <c r="EX359" s="9" t="n">
        <f aca="false">EX357*$AC$355*EX358*EX$38*'⑫ Roll-out Plan'!$O$40</f>
        <v>89.76</v>
      </c>
      <c r="EY359" s="9" t="n">
        <f aca="false">EY357*$AC$355*EY358*EY$38*'⑫ Roll-out Plan'!$O$40</f>
        <v>95.3568</v>
      </c>
      <c r="EZ359" s="9" t="n">
        <f aca="false">EZ357*$AC$355*EZ358*EZ$38*'⑫ Roll-out Plan'!$O$40</f>
        <v>164.9472</v>
      </c>
      <c r="FA359" s="9" t="n">
        <f aca="false">FA357*$AC$355*FA358*FA$38*'⑫ Roll-out Plan'!$O$40</f>
        <v>136.2768</v>
      </c>
      <c r="FB359" s="9" t="n">
        <f aca="false">FB357*$AC$355*FB358*FB$38*'⑫ Roll-out Plan'!$O$40</f>
        <v>114.048</v>
      </c>
      <c r="FC359" s="9" t="n">
        <f aca="false">FC357*$AC$355*FC358*FC$38*'⑫ Roll-out Plan'!$O$40</f>
        <v>85.536</v>
      </c>
      <c r="FD359" s="9" t="n">
        <f aca="false">FD357*$AC$355*FD358*FD$38*'⑫ Roll-out Plan'!$O$40</f>
        <v>123.8688</v>
      </c>
      <c r="FE359" s="9" t="n">
        <f aca="false">FE357*$AC$355*FE358*FE$38*'⑫ Roll-out Plan'!$O$40</f>
        <v>132.5808</v>
      </c>
      <c r="FF359" s="9" t="n">
        <f aca="false">FF357*$AC$355*FF358*FF$38*'⑫ Roll-out Plan'!$O$40</f>
        <v>101.7456</v>
      </c>
      <c r="FG359" s="9" t="n">
        <f aca="false">FG357*$AC$355*FG358*FG$38*'⑫ Roll-out Plan'!$O$40</f>
        <v>145.464</v>
      </c>
      <c r="FH359" s="9" t="n">
        <f aca="false">FH357*$AC$355*FH358*FH$38*'⑫ Roll-out Plan'!$O$40</f>
        <v>137.94</v>
      </c>
      <c r="FI359" s="9" t="n">
        <f aca="false">FI357*$AC$355*FI358*FI$38*'⑫ Roll-out Plan'!$O$40</f>
        <v>117.7968</v>
      </c>
      <c r="FJ359" s="9" t="n">
        <f aca="false">FJ357*$AC$355*FJ358*FJ$38*'⑫ Roll-out Plan'!$O$40</f>
        <v>103.488</v>
      </c>
      <c r="FK359" s="9" t="n">
        <f aca="false">FK357*$AC$355*FK358*FK$38*'⑫ Roll-out Plan'!$O$40</f>
        <v>109.7712</v>
      </c>
      <c r="FL359" s="9" t="n">
        <f aca="false">FL357*$AC$355*FL358*FL$38*'⑫ Roll-out Plan'!$O$40</f>
        <v>187.44</v>
      </c>
      <c r="FM359" s="9" t="n">
        <f aca="false">FM357*$AC$355*FM358*FM$38*'⑫ Roll-out Plan'!$O$40</f>
        <v>153.12</v>
      </c>
      <c r="FN359" s="9" t="n">
        <f aca="false">FN357*$AC$355*FN358*FN$38*'⑫ Roll-out Plan'!$O$40</f>
        <v>126.72</v>
      </c>
      <c r="FO359" s="9" t="n">
        <f aca="false">FO357*$AC$355*FO358*FO$38*'⑫ Roll-out Plan'!$O$40</f>
        <v>95.04</v>
      </c>
      <c r="FP359" s="9" t="n">
        <f aca="false">FP357*$AC$355*FP358*FP$38*'⑫ Roll-out Plan'!$O$40</f>
        <v>134.64</v>
      </c>
    </row>
    <row r="360" customFormat="false" ht="15" hidden="false" customHeight="false" outlineLevel="2" collapsed="false">
      <c r="B360" s="47" t="s">
        <v>877</v>
      </c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237" t="n">
        <f aca="true">IFERROR(SUMPRODUCT(OFFSET($BJ$31,0,1-MIN(60,COLUMN()-29),1,MIN(60,COLUMN()-29)),OFFSET(AC359,0,-MIN(60,COLUMN()-29),1,MIN(60,COLUMN()-29))),0)</f>
        <v>0</v>
      </c>
      <c r="AD360" s="237" t="n">
        <f aca="true">IFERROR(SUMPRODUCT(OFFSET($BJ$31,0,1-MIN(60,COLUMN()-29),1,MIN(60,COLUMN()-29)),OFFSET(AD359,0,-MIN(60,COLUMN()-29),1,MIN(60,COLUMN()-29))),0)</f>
        <v>0</v>
      </c>
      <c r="AE360" s="237" t="n">
        <f aca="true">IFERROR(SUMPRODUCT(OFFSET($BJ$31,0,1-MIN(60,COLUMN()-29),1,MIN(60,COLUMN()-29)),OFFSET(AE359,0,-MIN(60,COLUMN()-29),1,MIN(60,COLUMN()-29))),0)</f>
        <v>0</v>
      </c>
      <c r="AF360" s="237" t="n">
        <f aca="true">IFERROR(SUMPRODUCT(OFFSET($BJ$31,0,1-MIN(60,COLUMN()-29),1,MIN(60,COLUMN()-29)),OFFSET(AF359,0,-MIN(60,COLUMN()-29),1,MIN(60,COLUMN()-29))),0)</f>
        <v>0</v>
      </c>
      <c r="AG360" s="237" t="n">
        <f aca="true">IFERROR(SUMPRODUCT(OFFSET($BJ$31,0,1-MIN(60,COLUMN()-29),1,MIN(60,COLUMN()-29)),OFFSET(AG359,0,-MIN(60,COLUMN()-29),1,MIN(60,COLUMN()-29))),0)</f>
        <v>0</v>
      </c>
      <c r="AH360" s="237" t="n">
        <f aca="true">IFERROR(SUMPRODUCT(OFFSET($BJ$31,0,1-MIN(60,COLUMN()-29),1,MIN(60,COLUMN()-29)),OFFSET(AH359,0,-MIN(60,COLUMN()-29),1,MIN(60,COLUMN()-29))),0)</f>
        <v>0</v>
      </c>
      <c r="AI360" s="237" t="n">
        <f aca="true">IFERROR(SUMPRODUCT(OFFSET($BJ$31,0,1-MIN(60,COLUMN()-29),1,MIN(60,COLUMN()-29)),OFFSET(AI359,0,-MIN(60,COLUMN()-29),1,MIN(60,COLUMN()-29))),0)</f>
        <v>0</v>
      </c>
      <c r="AJ360" s="237" t="n">
        <f aca="true">IFERROR(SUMPRODUCT(OFFSET($BJ$31,0,1-MIN(60,COLUMN()-29),1,MIN(60,COLUMN()-29)),OFFSET(AJ359,0,-MIN(60,COLUMN()-29),1,MIN(60,COLUMN()-29))),0)</f>
        <v>0</v>
      </c>
      <c r="AK360" s="237" t="n">
        <f aca="true">IFERROR(SUMPRODUCT(OFFSET($BJ$31,0,1-MIN(60,COLUMN()-29),1,MIN(60,COLUMN()-29)),OFFSET(AK359,0,-MIN(60,COLUMN()-29),1,MIN(60,COLUMN()-29))),0)</f>
        <v>0</v>
      </c>
      <c r="AL360" s="237" t="n">
        <f aca="true">IFERROR(SUMPRODUCT(OFFSET($BJ$31,0,1-MIN(60,COLUMN()-29),1,MIN(60,COLUMN()-29)),OFFSET(AL359,0,-MIN(60,COLUMN()-29),1,MIN(60,COLUMN()-29))),0)</f>
        <v>0</v>
      </c>
      <c r="AM360" s="237" t="n">
        <f aca="true">IFERROR(SUMPRODUCT(OFFSET($BJ$31,0,1-MIN(60,COLUMN()-29),1,MIN(60,COLUMN()-29)),OFFSET(AM359,0,-MIN(60,COLUMN()-29),1,MIN(60,COLUMN()-29))),0)</f>
        <v>0</v>
      </c>
      <c r="AN360" s="237" t="n">
        <f aca="true">IFERROR(SUMPRODUCT(OFFSET($BJ$31,0,1-MIN(60,COLUMN()-29),1,MIN(60,COLUMN()-29)),OFFSET(AN359,0,-MIN(60,COLUMN()-29),1,MIN(60,COLUMN()-29))),0)</f>
        <v>0</v>
      </c>
      <c r="AO360" s="237" t="n">
        <f aca="true">IFERROR(SUMPRODUCT(OFFSET($BJ$31,0,1-MIN(60,COLUMN()-29),1,MIN(60,COLUMN()-29)),OFFSET(AO359,0,-MIN(60,COLUMN()-29),1,MIN(60,COLUMN()-29))),0)</f>
        <v>0</v>
      </c>
      <c r="AP360" s="237" t="n">
        <f aca="true">IFERROR(SUMPRODUCT(OFFSET($BJ$31,0,1-MIN(60,COLUMN()-29),1,MIN(60,COLUMN()-29)),OFFSET(AP359,0,-MIN(60,COLUMN()-29),1,MIN(60,COLUMN()-29))),0)</f>
        <v>0</v>
      </c>
      <c r="AQ360" s="237" t="n">
        <f aca="true">IFERROR(SUMPRODUCT(OFFSET($BJ$31,0,1-MIN(60,COLUMN()-29),1,MIN(60,COLUMN()-29)),OFFSET(AQ359,0,-MIN(60,COLUMN()-29),1,MIN(60,COLUMN()-29))),0)</f>
        <v>0</v>
      </c>
      <c r="AR360" s="237" t="n">
        <f aca="true">IFERROR(SUMPRODUCT(OFFSET($BJ$31,0,1-MIN(60,COLUMN()-29),1,MIN(60,COLUMN()-29)),OFFSET(AR359,0,-MIN(60,COLUMN()-29),1,MIN(60,COLUMN()-29))),0)</f>
        <v>0</v>
      </c>
      <c r="AS360" s="237" t="n">
        <f aca="true">IFERROR(SUMPRODUCT(OFFSET($BJ$31,0,1-MIN(60,COLUMN()-29),1,MIN(60,COLUMN()-29)),OFFSET(AS359,0,-MIN(60,COLUMN()-29),1,MIN(60,COLUMN()-29))),0)</f>
        <v>0</v>
      </c>
      <c r="AT360" s="237" t="n">
        <f aca="true">IFERROR(SUMPRODUCT(OFFSET($BJ$31,0,1-MIN(60,COLUMN()-29),1,MIN(60,COLUMN()-29)),OFFSET(AT359,0,-MIN(60,COLUMN()-29),1,MIN(60,COLUMN()-29))),0)</f>
        <v>0</v>
      </c>
      <c r="AU360" s="237" t="n">
        <f aca="true">IFERROR(SUMPRODUCT(OFFSET($BJ$31,0,1-MIN(60,COLUMN()-29),1,MIN(60,COLUMN()-29)),OFFSET(AU359,0,-MIN(60,COLUMN()-29),1,MIN(60,COLUMN()-29))),0)</f>
        <v>0</v>
      </c>
      <c r="AV360" s="237" t="n">
        <f aca="true">IFERROR(SUMPRODUCT(OFFSET($BJ$31,0,1-MIN(60,COLUMN()-29),1,MIN(60,COLUMN()-29)),OFFSET(AV359,0,-MIN(60,COLUMN()-29),1,MIN(60,COLUMN()-29))),0)</f>
        <v>0</v>
      </c>
      <c r="AW360" s="237" t="n">
        <f aca="true">IFERROR(SUMPRODUCT(OFFSET($BJ$31,0,1-MIN(60,COLUMN()-29),1,MIN(60,COLUMN()-29)),OFFSET(AW359,0,-MIN(60,COLUMN()-29),1,MIN(60,COLUMN()-29))),0)</f>
        <v>0</v>
      </c>
      <c r="AX360" s="237" t="n">
        <f aca="true">IFERROR(SUMPRODUCT(OFFSET($BJ$31,0,1-MIN(60,COLUMN()-29),1,MIN(60,COLUMN()-29)),OFFSET(AX359,0,-MIN(60,COLUMN()-29),1,MIN(60,COLUMN()-29))),0)</f>
        <v>0</v>
      </c>
      <c r="AY360" s="237" t="n">
        <f aca="true">IFERROR(SUMPRODUCT(OFFSET($BJ$31,0,1-MIN(60,COLUMN()-29),1,MIN(60,COLUMN()-29)),OFFSET(AY359,0,-MIN(60,COLUMN()-29),1,MIN(60,COLUMN()-29))),0)</f>
        <v>0</v>
      </c>
      <c r="AZ360" s="237" t="n">
        <f aca="true">IFERROR(SUMPRODUCT(OFFSET($BJ$31,0,1-MIN(60,COLUMN()-29),1,MIN(60,COLUMN()-29)),OFFSET(AZ359,0,-MIN(60,COLUMN()-29),1,MIN(60,COLUMN()-29))),0)</f>
        <v>0</v>
      </c>
      <c r="BA360" s="237" t="n">
        <f aca="true">IFERROR(SUMPRODUCT(OFFSET($BJ$31,0,1-MIN(60,COLUMN()-29),1,MIN(60,COLUMN()-29)),OFFSET(BA359,0,-MIN(60,COLUMN()-29),1,MIN(60,COLUMN()-29))),0)</f>
        <v>0</v>
      </c>
      <c r="BB360" s="237" t="n">
        <f aca="true">IFERROR(SUMPRODUCT(OFFSET($BJ$31,0,1-MIN(60,COLUMN()-29),1,MIN(60,COLUMN()-29)),OFFSET(BB359,0,-MIN(60,COLUMN()-29),1,MIN(60,COLUMN()-29))),0)</f>
        <v>0</v>
      </c>
      <c r="BC360" s="237" t="n">
        <f aca="true">IFERROR(SUMPRODUCT(OFFSET($BJ$31,0,1-MIN(60,COLUMN()-29),1,MIN(60,COLUMN()-29)),OFFSET(BC359,0,-MIN(60,COLUMN()-29),1,MIN(60,COLUMN()-29))),0)</f>
        <v>0</v>
      </c>
      <c r="BD360" s="237" t="n">
        <f aca="true">IFERROR(SUMPRODUCT(OFFSET($BJ$31,0,1-MIN(60,COLUMN()-29),1,MIN(60,COLUMN()-29)),OFFSET(BD359,0,-MIN(60,COLUMN()-29),1,MIN(60,COLUMN()-29))),0)</f>
        <v>0</v>
      </c>
      <c r="BE360" s="237" t="n">
        <f aca="true">IFERROR(SUMPRODUCT(OFFSET($BJ$31,0,1-MIN(60,COLUMN()-29),1,MIN(60,COLUMN()-29)),OFFSET(BE359,0,-MIN(60,COLUMN()-29),1,MIN(60,COLUMN()-29))),0)</f>
        <v>0</v>
      </c>
      <c r="BF360" s="237" t="n">
        <f aca="true">IFERROR(SUMPRODUCT(OFFSET($BJ$31,0,1-MIN(60,COLUMN()-29),1,MIN(60,COLUMN()-29)),OFFSET(BF359,0,-MIN(60,COLUMN()-29),1,MIN(60,COLUMN()-29))),0)</f>
        <v>0</v>
      </c>
      <c r="BG360" s="237" t="n">
        <f aca="true">IFERROR(SUMPRODUCT(OFFSET($BJ$31,0,1-MIN(60,COLUMN()-29),1,MIN(60,COLUMN()-29)),OFFSET(BG359,0,-MIN(60,COLUMN()-29),1,MIN(60,COLUMN()-29))),0)</f>
        <v>0</v>
      </c>
      <c r="BH360" s="237" t="n">
        <f aca="true">IFERROR(SUMPRODUCT(OFFSET($BJ$31,0,1-MIN(60,COLUMN()-29),1,MIN(60,COLUMN()-29)),OFFSET(BH359,0,-MIN(60,COLUMN()-29),1,MIN(60,COLUMN()-29))),0)</f>
        <v>0</v>
      </c>
      <c r="BI360" s="237" t="n">
        <f aca="true">IFERROR(SUMPRODUCT(OFFSET($BJ$31,0,1-MIN(60,COLUMN()-29),1,MIN(60,COLUMN()-29)),OFFSET(BI359,0,-MIN(60,COLUMN()-29),1,MIN(60,COLUMN()-29))),0)</f>
        <v>0</v>
      </c>
      <c r="BJ360" s="237" t="n">
        <f aca="true">IFERROR(SUMPRODUCT(OFFSET($BJ$31,0,1-MIN(60,COLUMN()-29),1,MIN(60,COLUMN()-29)),OFFSET(BJ359,0,-MIN(60,COLUMN()-29),1,MIN(60,COLUMN()-29))),0)</f>
        <v>0</v>
      </c>
      <c r="BK360" s="237" t="n">
        <f aca="true">IFERROR(SUMPRODUCT(OFFSET($BJ$31,0,1-MIN(60,COLUMN()-29),1,MIN(60,COLUMN()-29)),OFFSET(BK359,0,-MIN(60,COLUMN()-29),1,MIN(60,COLUMN()-29))),0)</f>
        <v>0</v>
      </c>
      <c r="BL360" s="237" t="n">
        <f aca="true">IFERROR(SUMPRODUCT(OFFSET($BJ$31,0,1-MIN(60,COLUMN()-29),1,MIN(60,COLUMN()-29)),OFFSET(BL359,0,-MIN(60,COLUMN()-29),1,MIN(60,COLUMN()-29))),0)</f>
        <v>0</v>
      </c>
      <c r="BM360" s="237" t="n">
        <f aca="true">IFERROR(SUMPRODUCT(OFFSET($BJ$31,0,1-MIN(60,COLUMN()-29),1,MIN(60,COLUMN()-29)),OFFSET(BM359,0,-MIN(60,COLUMN()-29),1,MIN(60,COLUMN()-29))),0)</f>
        <v>0</v>
      </c>
      <c r="BN360" s="237" t="n">
        <f aca="true">IFERROR(SUMPRODUCT(OFFSET($BJ$31,0,1-MIN(60,COLUMN()-29),1,MIN(60,COLUMN()-29)),OFFSET(BN359,0,-MIN(60,COLUMN()-29),1,MIN(60,COLUMN()-29))),0)</f>
        <v>0</v>
      </c>
      <c r="BO360" s="237" t="n">
        <f aca="true">IFERROR(SUMPRODUCT(OFFSET($BJ$31,0,1-MIN(60,COLUMN()-29),1,MIN(60,COLUMN()-29)),OFFSET(BO359,0,-MIN(60,COLUMN()-29),1,MIN(60,COLUMN()-29))),0)</f>
        <v>0</v>
      </c>
      <c r="BP360" s="237" t="n">
        <f aca="true">IFERROR(SUMPRODUCT(OFFSET($BJ$31,0,1-MIN(60,COLUMN()-29),1,MIN(60,COLUMN()-29)),OFFSET(BP359,0,-MIN(60,COLUMN()-29),1,MIN(60,COLUMN()-29))),0)</f>
        <v>0</v>
      </c>
      <c r="BQ360" s="237" t="n">
        <f aca="true">IFERROR(SUMPRODUCT(OFFSET($BJ$31,0,1-MIN(60,COLUMN()-29),1,MIN(60,COLUMN()-29)),OFFSET(BQ359,0,-MIN(60,COLUMN()-29),1,MIN(60,COLUMN()-29))),0)</f>
        <v>0</v>
      </c>
      <c r="BR360" s="237" t="n">
        <f aca="true">IFERROR(SUMPRODUCT(OFFSET($BJ$31,0,1-MIN(60,COLUMN()-29),1,MIN(60,COLUMN()-29)),OFFSET(BR359,0,-MIN(60,COLUMN()-29),1,MIN(60,COLUMN()-29))),0)</f>
        <v>0</v>
      </c>
      <c r="BS360" s="237" t="n">
        <f aca="true">IFERROR(SUMPRODUCT(OFFSET($BJ$31,0,1-MIN(60,COLUMN()-29),1,MIN(60,COLUMN()-29)),OFFSET(BS359,0,-MIN(60,COLUMN()-29),1,MIN(60,COLUMN()-29))),0)</f>
        <v>0</v>
      </c>
      <c r="BT360" s="237" t="n">
        <f aca="true">IFERROR(SUMPRODUCT(OFFSET($BJ$31,0,1-MIN(60,COLUMN()-29),1,MIN(60,COLUMN()-29)),OFFSET(BT359,0,-MIN(60,COLUMN()-29),1,MIN(60,COLUMN()-29))),0)</f>
        <v>0</v>
      </c>
      <c r="BU360" s="237" t="n">
        <f aca="true">IFERROR(SUMPRODUCT(OFFSET($BJ$31,0,1-MIN(60,COLUMN()-29),1,MIN(60,COLUMN()-29)),OFFSET(BU359,0,-MIN(60,COLUMN()-29),1,MIN(60,COLUMN()-29))),0)</f>
        <v>0</v>
      </c>
      <c r="BV360" s="237" t="n">
        <f aca="true">IFERROR(SUMPRODUCT(OFFSET($BJ$31,0,1-MIN(60,COLUMN()-29),1,MIN(60,COLUMN()-29)),OFFSET(BV359,0,-MIN(60,COLUMN()-29),1,MIN(60,COLUMN()-29))),0)</f>
        <v>0</v>
      </c>
      <c r="BW360" s="237" t="n">
        <f aca="true">IFERROR(SUMPRODUCT(OFFSET($BJ$31,0,1-MIN(60,COLUMN()-29),1,MIN(60,COLUMN()-29)),OFFSET(BW359,0,-MIN(60,COLUMN()-29),1,MIN(60,COLUMN()-29))),0)</f>
        <v>0</v>
      </c>
      <c r="BX360" s="237" t="n">
        <f aca="true">IFERROR(SUMPRODUCT(OFFSET($BJ$31,0,1-MIN(60,COLUMN()-29),1,MIN(60,COLUMN()-29)),OFFSET(BX359,0,-MIN(60,COLUMN()-29),1,MIN(60,COLUMN()-29))),0)</f>
        <v>0</v>
      </c>
      <c r="BY360" s="237" t="n">
        <f aca="true">IFERROR(SUMPRODUCT(OFFSET($BJ$31,0,1-MIN(60,COLUMN()-29),1,MIN(60,COLUMN()-29)),OFFSET(BY359,0,-MIN(60,COLUMN()-29),1,MIN(60,COLUMN()-29))),0)</f>
        <v>0</v>
      </c>
      <c r="BZ360" s="237" t="n">
        <f aca="true">IFERROR(SUMPRODUCT(OFFSET($BJ$31,0,1-MIN(60,COLUMN()-29),1,MIN(60,COLUMN()-29)),OFFSET(BZ359,0,-MIN(60,COLUMN()-29),1,MIN(60,COLUMN()-29))),0)</f>
        <v>0</v>
      </c>
      <c r="CA360" s="237" t="n">
        <f aca="true">IFERROR(SUMPRODUCT(OFFSET($BJ$31,0,1-MIN(60,COLUMN()-29),1,MIN(60,COLUMN()-29)),OFFSET(CA359,0,-MIN(60,COLUMN()-29),1,MIN(60,COLUMN()-29))),0)</f>
        <v>0</v>
      </c>
      <c r="CB360" s="237" t="n">
        <f aca="true">IFERROR(SUMPRODUCT(OFFSET($BJ$31,0,1-MIN(60,COLUMN()-29),1,MIN(60,COLUMN()-29)),OFFSET(CB359,0,-MIN(60,COLUMN()-29),1,MIN(60,COLUMN()-29))),0)</f>
        <v>0</v>
      </c>
      <c r="CC360" s="237" t="n">
        <f aca="true">IFERROR(SUMPRODUCT(OFFSET($BJ$31,0,1-MIN(60,COLUMN()-29),1,MIN(60,COLUMN()-29)),OFFSET(CC359,0,-MIN(60,COLUMN()-29),1,MIN(60,COLUMN()-29))),0)</f>
        <v>0</v>
      </c>
      <c r="CD360" s="237" t="n">
        <f aca="true">IFERROR(SUMPRODUCT(OFFSET($BJ$31,0,1-MIN(60,COLUMN()-29),1,MIN(60,COLUMN()-29)),OFFSET(CD359,0,-MIN(60,COLUMN()-29),1,MIN(60,COLUMN()-29))),0)</f>
        <v>0</v>
      </c>
      <c r="CE360" s="237" t="n">
        <f aca="true">IFERROR(SUMPRODUCT(OFFSET($BJ$31,0,1-MIN(60,COLUMN()-29),1,MIN(60,COLUMN()-29)),OFFSET(CE359,0,-MIN(60,COLUMN()-29),1,MIN(60,COLUMN()-29))),0)</f>
        <v>0</v>
      </c>
      <c r="CF360" s="237" t="n">
        <f aca="true">IFERROR(SUMPRODUCT(OFFSET($BJ$31,0,1-MIN(60,COLUMN()-29),1,MIN(60,COLUMN()-29)),OFFSET(CF359,0,-MIN(60,COLUMN()-29),1,MIN(60,COLUMN()-29))),0)</f>
        <v>0</v>
      </c>
      <c r="CG360" s="237" t="n">
        <f aca="true">IFERROR(SUMPRODUCT(OFFSET($BJ$31,0,1-MIN(60,COLUMN()-29),1,MIN(60,COLUMN()-29)),OFFSET(CG359,0,-MIN(60,COLUMN()-29),1,MIN(60,COLUMN()-29))),0)</f>
        <v>0</v>
      </c>
      <c r="CH360" s="237" t="n">
        <f aca="true">IFERROR(SUMPRODUCT(OFFSET($BJ$31,0,1-MIN(60,COLUMN()-29),1,MIN(60,COLUMN()-29)),OFFSET(CH359,0,-MIN(60,COLUMN()-29),1,MIN(60,COLUMN()-29))),0)</f>
        <v>0</v>
      </c>
      <c r="CI360" s="237" t="n">
        <f aca="true">IFERROR(SUMPRODUCT(OFFSET($BJ$31,0,1-MIN(60,COLUMN()-29),1,MIN(60,COLUMN()-29)),OFFSET(CI359,0,-MIN(60,COLUMN()-29),1,MIN(60,COLUMN()-29))),0)</f>
        <v>0</v>
      </c>
      <c r="CJ360" s="237" t="n">
        <f aca="true">IFERROR(SUMPRODUCT(OFFSET($BJ$31,0,1-MIN(60,COLUMN()-29),1,MIN(60,COLUMN()-29)),OFFSET(CJ359,0,-MIN(60,COLUMN()-29),1,MIN(60,COLUMN()-29))),0)</f>
        <v>0</v>
      </c>
      <c r="CK360" s="237" t="n">
        <f aca="true">IFERROR(SUMPRODUCT(OFFSET($BJ$31,0,1-MIN(60,COLUMN()-29),1,MIN(60,COLUMN()-29)),OFFSET(CK359,0,-MIN(60,COLUMN()-29),1,MIN(60,COLUMN()-29))),0)</f>
        <v>0</v>
      </c>
      <c r="CL360" s="237" t="n">
        <f aca="true">IFERROR(SUMPRODUCT(OFFSET($BJ$31,0,1-MIN(60,COLUMN()-29),1,MIN(60,COLUMN()-29)),OFFSET(CL359,0,-MIN(60,COLUMN()-29),1,MIN(60,COLUMN()-29))),0)</f>
        <v>0</v>
      </c>
      <c r="CM360" s="237" t="n">
        <f aca="true">IFERROR(SUMPRODUCT(OFFSET($BJ$31,0,1-MIN(60,COLUMN()-29),1,MIN(60,COLUMN()-29)),OFFSET(CM359,0,-MIN(60,COLUMN()-29),1,MIN(60,COLUMN()-29))),0)</f>
        <v>0</v>
      </c>
      <c r="CN360" s="237" t="n">
        <f aca="true">IFERROR(SUMPRODUCT(OFFSET($BJ$31,0,1-MIN(60,COLUMN()-29),1,MIN(60,COLUMN()-29)),OFFSET(CN359,0,-MIN(60,COLUMN()-29),1,MIN(60,COLUMN()-29))),0)</f>
        <v>0</v>
      </c>
      <c r="CO360" s="237" t="n">
        <f aca="true">IFERROR(SUMPRODUCT(OFFSET($BJ$31,0,1-MIN(60,COLUMN()-29),1,MIN(60,COLUMN()-29)),OFFSET(CO359,0,-MIN(60,COLUMN()-29),1,MIN(60,COLUMN()-29))),0)</f>
        <v>0</v>
      </c>
      <c r="CP360" s="237" t="n">
        <f aca="true">IFERROR(SUMPRODUCT(OFFSET($BJ$31,0,1-MIN(60,COLUMN()-29),1,MIN(60,COLUMN()-29)),OFFSET(CP359,0,-MIN(60,COLUMN()-29),1,MIN(60,COLUMN()-29))),0)</f>
        <v>0</v>
      </c>
      <c r="CQ360" s="237" t="n">
        <f aca="true">IFERROR(SUMPRODUCT(OFFSET($BJ$31,0,1-MIN(60,COLUMN()-29),1,MIN(60,COLUMN()-29)),OFFSET(CQ359,0,-MIN(60,COLUMN()-29),1,MIN(60,COLUMN()-29))),0)</f>
        <v>0</v>
      </c>
      <c r="CR360" s="237" t="n">
        <f aca="true">IFERROR(SUMPRODUCT(OFFSET($BJ$31,0,1-MIN(60,COLUMN()-29),1,MIN(60,COLUMN()-29)),OFFSET(CR359,0,-MIN(60,COLUMN()-29),1,MIN(60,COLUMN()-29))),0)</f>
        <v>0</v>
      </c>
      <c r="CS360" s="237" t="n">
        <f aca="true">IFERROR(SUMPRODUCT(OFFSET($BJ$31,0,1-MIN(60,COLUMN()-29),1,MIN(60,COLUMN()-29)),OFFSET(CS359,0,-MIN(60,COLUMN()-29),1,MIN(60,COLUMN()-29))),0)</f>
        <v>0</v>
      </c>
      <c r="CT360" s="237" t="n">
        <f aca="true">IFERROR(SUMPRODUCT(OFFSET($BJ$31,0,1-MIN(60,COLUMN()-29),1,MIN(60,COLUMN()-29)),OFFSET(CT359,0,-MIN(60,COLUMN()-29),1,MIN(60,COLUMN()-29))),0)</f>
        <v>0</v>
      </c>
      <c r="CU360" s="237" t="n">
        <f aca="true">IFERROR(SUMPRODUCT(OFFSET($BJ$31,0,1-MIN(60,COLUMN()-29),1,MIN(60,COLUMN()-29)),OFFSET(CU359,0,-MIN(60,COLUMN()-29),1,MIN(60,COLUMN()-29))),0)</f>
        <v>0</v>
      </c>
      <c r="CV360" s="237" t="n">
        <f aca="true">IFERROR(SUMPRODUCT(OFFSET($BJ$31,0,1-MIN(60,COLUMN()-29),1,MIN(60,COLUMN()-29)),OFFSET(CV359,0,-MIN(60,COLUMN()-29),1,MIN(60,COLUMN()-29))),0)</f>
        <v>0</v>
      </c>
      <c r="CW360" s="237" t="n">
        <f aca="true">IFERROR(SUMPRODUCT(OFFSET($BJ$31,0,1-MIN(60,COLUMN()-29),1,MIN(60,COLUMN()-29)),OFFSET(CW359,0,-MIN(60,COLUMN()-29),1,MIN(60,COLUMN()-29))),0)</f>
        <v>0</v>
      </c>
      <c r="CX360" s="237" t="n">
        <f aca="true">IFERROR(SUMPRODUCT(OFFSET($BJ$31,0,1-MIN(60,COLUMN()-29),1,MIN(60,COLUMN()-29)),OFFSET(CX359,0,-MIN(60,COLUMN()-29),1,MIN(60,COLUMN()-29))),0)</f>
        <v>0</v>
      </c>
      <c r="CY360" s="237" t="n">
        <f aca="true">IFERROR(SUMPRODUCT(OFFSET($BJ$31,0,1-MIN(60,COLUMN()-29),1,MIN(60,COLUMN()-29)),OFFSET(CY359,0,-MIN(60,COLUMN()-29),1,MIN(60,COLUMN()-29))),0)</f>
        <v>0</v>
      </c>
      <c r="CZ360" s="237" t="n">
        <f aca="true">IFERROR(SUMPRODUCT(OFFSET($BJ$31,0,1-MIN(60,COLUMN()-29),1,MIN(60,COLUMN()-29)),OFFSET(CZ359,0,-MIN(60,COLUMN()-29),1,MIN(60,COLUMN()-29))),0)</f>
        <v>0</v>
      </c>
      <c r="DA360" s="237" t="n">
        <f aca="true">IFERROR(SUMPRODUCT(OFFSET($BJ$31,0,1-MIN(60,COLUMN()-29),1,MIN(60,COLUMN()-29)),OFFSET(DA359,0,-MIN(60,COLUMN()-29),1,MIN(60,COLUMN()-29))),0)</f>
        <v>0</v>
      </c>
      <c r="DB360" s="237" t="n">
        <f aca="true">IFERROR(SUMPRODUCT(OFFSET($BJ$31,0,1-MIN(60,COLUMN()-29),1,MIN(60,COLUMN()-29)),OFFSET(DB359,0,-MIN(60,COLUMN()-29),1,MIN(60,COLUMN()-29))),0)</f>
        <v>0</v>
      </c>
      <c r="DC360" s="237" t="n">
        <f aca="true">IFERROR(SUMPRODUCT(OFFSET($BJ$31,0,1-MIN(60,COLUMN()-29),1,MIN(60,COLUMN()-29)),OFFSET(DC359,0,-MIN(60,COLUMN()-29),1,MIN(60,COLUMN()-29))),0)</f>
        <v>0</v>
      </c>
      <c r="DD360" s="237" t="n">
        <f aca="true">IFERROR(SUMPRODUCT(OFFSET($BJ$31,0,1-MIN(60,COLUMN()-29),1,MIN(60,COLUMN()-29)),OFFSET(DD359,0,-MIN(60,COLUMN()-29),1,MIN(60,COLUMN()-29))),0)</f>
        <v>0</v>
      </c>
      <c r="DE360" s="237" t="n">
        <f aca="true">IFERROR(SUMPRODUCT(OFFSET($BJ$31,0,1-MIN(60,COLUMN()-29),1,MIN(60,COLUMN()-29)),OFFSET(DE359,0,-MIN(60,COLUMN()-29),1,MIN(60,COLUMN()-29))),0)</f>
        <v>0</v>
      </c>
      <c r="DF360" s="237" t="n">
        <f aca="true">IFERROR(SUMPRODUCT(OFFSET($BJ$31,0,1-MIN(60,COLUMN()-29),1,MIN(60,COLUMN()-29)),OFFSET(DF359,0,-MIN(60,COLUMN()-29),1,MIN(60,COLUMN()-29))),0)</f>
        <v>0</v>
      </c>
      <c r="DG360" s="237" t="n">
        <f aca="true">IFERROR(SUMPRODUCT(OFFSET($BJ$31,0,1-MIN(60,COLUMN()-29),1,MIN(60,COLUMN()-29)),OFFSET(DG359,0,-MIN(60,COLUMN()-29),1,MIN(60,COLUMN()-29))),0)</f>
        <v>0</v>
      </c>
      <c r="DH360" s="237" t="n">
        <f aca="true">IFERROR(SUMPRODUCT(OFFSET($BJ$31,0,1-MIN(60,COLUMN()-29),1,MIN(60,COLUMN()-29)),OFFSET(DH359,0,-MIN(60,COLUMN()-29),1,MIN(60,COLUMN()-29))),0)</f>
        <v>0</v>
      </c>
      <c r="DI360" s="237" t="n">
        <f aca="true">IFERROR(SUMPRODUCT(OFFSET($BJ$31,0,1-MIN(60,COLUMN()-29),1,MIN(60,COLUMN()-29)),OFFSET(DI359,0,-MIN(60,COLUMN()-29),1,MIN(60,COLUMN()-29))),0)</f>
        <v>0</v>
      </c>
      <c r="DJ360" s="237" t="n">
        <f aca="true">IFERROR(SUMPRODUCT(OFFSET($BJ$31,0,1-MIN(60,COLUMN()-29),1,MIN(60,COLUMN()-29)),OFFSET(DJ359,0,-MIN(60,COLUMN()-29),1,MIN(60,COLUMN()-29))),0)</f>
        <v>0</v>
      </c>
      <c r="DK360" s="237" t="n">
        <f aca="true">IFERROR(SUMPRODUCT(OFFSET($BJ$31,0,1-MIN(60,COLUMN()-29),1,MIN(60,COLUMN()-29)),OFFSET(DK359,0,-MIN(60,COLUMN()-29),1,MIN(60,COLUMN()-29))),0)</f>
        <v>0</v>
      </c>
      <c r="DL360" s="237" t="n">
        <f aca="true">IFERROR(SUMPRODUCT(OFFSET($BJ$31,0,1-MIN(60,COLUMN()-29),1,MIN(60,COLUMN()-29)),OFFSET(DL359,0,-MIN(60,COLUMN()-29),1,MIN(60,COLUMN()-29))),0)</f>
        <v>0</v>
      </c>
      <c r="DM360" s="237" t="n">
        <f aca="true">IFERROR(SUMPRODUCT(OFFSET($BJ$31,0,1-MIN(60,COLUMN()-29),1,MIN(60,COLUMN()-29)),OFFSET(DM359,0,-MIN(60,COLUMN()-29),1,MIN(60,COLUMN()-29))),0)</f>
        <v>0</v>
      </c>
      <c r="DN360" s="237" t="n">
        <f aca="true">IFERROR(SUMPRODUCT(OFFSET($BJ$31,0,1-MIN(60,COLUMN()-29),1,MIN(60,COLUMN()-29)),OFFSET(DN359,0,-MIN(60,COLUMN()-29),1,MIN(60,COLUMN()-29))),0)</f>
        <v>0</v>
      </c>
      <c r="DO360" s="237" t="n">
        <f aca="true">IFERROR(SUMPRODUCT(OFFSET($BJ$31,0,1-MIN(60,COLUMN()-29),1,MIN(60,COLUMN()-29)),OFFSET(DO359,0,-MIN(60,COLUMN()-29),1,MIN(60,COLUMN()-29))),0)</f>
        <v>0</v>
      </c>
      <c r="DP360" s="237" t="n">
        <f aca="true">IFERROR(SUMPRODUCT(OFFSET($BJ$31,0,1-MIN(60,COLUMN()-29),1,MIN(60,COLUMN()-29)),OFFSET(DP359,0,-MIN(60,COLUMN()-29),1,MIN(60,COLUMN()-29))),0)</f>
        <v>0</v>
      </c>
      <c r="DQ360" s="237" t="n">
        <f aca="true">IFERROR(SUMPRODUCT(OFFSET($BJ$31,0,1-MIN(60,COLUMN()-29),1,MIN(60,COLUMN()-29)),OFFSET(DQ359,0,-MIN(60,COLUMN()-29),1,MIN(60,COLUMN()-29))),0)</f>
        <v>0</v>
      </c>
      <c r="DR360" s="237" t="n">
        <f aca="true">IFERROR(SUMPRODUCT(OFFSET($BJ$31,0,1-MIN(60,COLUMN()-29),1,MIN(60,COLUMN()-29)),OFFSET(DR359,0,-MIN(60,COLUMN()-29),1,MIN(60,COLUMN()-29))),0)</f>
        <v>0</v>
      </c>
      <c r="DS360" s="237" t="n">
        <f aca="true">IFERROR(SUMPRODUCT(OFFSET($BJ$31,0,1-MIN(60,COLUMN()-29),1,MIN(60,COLUMN()-29)),OFFSET(DS359,0,-MIN(60,COLUMN()-29),1,MIN(60,COLUMN()-29))),0)</f>
        <v>0</v>
      </c>
      <c r="DT360" s="237" t="n">
        <f aca="true">IFERROR(SUMPRODUCT(OFFSET($BJ$31,0,1-MIN(60,COLUMN()-29),1,MIN(60,COLUMN()-29)),OFFSET(DT359,0,-MIN(60,COLUMN()-29),1,MIN(60,COLUMN()-29))),0)</f>
        <v>0</v>
      </c>
      <c r="DU360" s="237" t="n">
        <f aca="true">IFERROR(SUMPRODUCT(OFFSET($BJ$31,0,1-MIN(60,COLUMN()-29),1,MIN(60,COLUMN()-29)),OFFSET(DU359,0,-MIN(60,COLUMN()-29),1,MIN(60,COLUMN()-29))),0)</f>
        <v>0</v>
      </c>
      <c r="DV360" s="237" t="n">
        <f aca="true">IFERROR(SUMPRODUCT(OFFSET($BJ$31,0,1-MIN(60,COLUMN()-29),1,MIN(60,COLUMN()-29)),OFFSET(DV359,0,-MIN(60,COLUMN()-29),1,MIN(60,COLUMN()-29))),0)</f>
        <v>3.04128</v>
      </c>
      <c r="DW360" s="237" t="n">
        <f aca="true">IFERROR(SUMPRODUCT(OFFSET($BJ$31,0,1-MIN(60,COLUMN()-29),1,MIN(60,COLUMN()-29)),OFFSET(DW359,0,-MIN(60,COLUMN()-29),1,MIN(60,COLUMN()-29))),0)</f>
        <v>2.958208</v>
      </c>
      <c r="DX360" s="237" t="n">
        <f aca="true">IFERROR(SUMPRODUCT(OFFSET($BJ$31,0,1-MIN(60,COLUMN()-29),1,MIN(60,COLUMN()-29)),OFFSET(DX359,0,-MIN(60,COLUMN()-29),1,MIN(60,COLUMN()-29))),0)</f>
        <v>4.8013504</v>
      </c>
      <c r="DY360" s="237" t="n">
        <f aca="true">IFERROR(SUMPRODUCT(OFFSET($BJ$31,0,1-MIN(60,COLUMN()-29),1,MIN(60,COLUMN()-29)),OFFSET(DY359,0,-MIN(60,COLUMN()-29),1,MIN(60,COLUMN()-29))),0)</f>
        <v>5.469376</v>
      </c>
      <c r="DZ360" s="237" t="n">
        <f aca="true">IFERROR(SUMPRODUCT(OFFSET($BJ$31,0,1-MIN(60,COLUMN()-29),1,MIN(60,COLUMN()-29)),OFFSET(DZ359,0,-MIN(60,COLUMN()-29),1,MIN(60,COLUMN()-29))),0)</f>
        <v>5.2405408</v>
      </c>
      <c r="EA360" s="237" t="n">
        <f aca="true">IFERROR(SUMPRODUCT(OFFSET($BJ$31,0,1-MIN(60,COLUMN()-29),1,MIN(60,COLUMN()-29)),OFFSET(EA359,0,-MIN(60,COLUMN()-29),1,MIN(60,COLUMN()-29))),0)</f>
        <v>5.401088</v>
      </c>
      <c r="EB360" s="237" t="n">
        <f aca="true">IFERROR(SUMPRODUCT(OFFSET($BJ$31,0,1-MIN(60,COLUMN()-29),1,MIN(60,COLUMN()-29)),OFFSET(EB359,0,-MIN(60,COLUMN()-29),1,MIN(60,COLUMN()-29))),0)</f>
        <v>6.4192832</v>
      </c>
      <c r="EC360" s="237" t="n">
        <f aca="true">IFERROR(SUMPRODUCT(OFFSET($BJ$31,0,1-MIN(60,COLUMN()-29),1,MIN(60,COLUMN()-29)),OFFSET(EC359,0,-MIN(60,COLUMN()-29),1,MIN(60,COLUMN()-29))),0)</f>
        <v>10.2196864</v>
      </c>
      <c r="ED360" s="237" t="n">
        <f aca="true">IFERROR(SUMPRODUCT(OFFSET($BJ$31,0,1-MIN(60,COLUMN()-29),1,MIN(60,COLUMN()-29)),OFFSET(ED359,0,-MIN(60,COLUMN()-29),1,MIN(60,COLUMN()-29))),0)</f>
        <v>10.5646464</v>
      </c>
      <c r="EE360" s="237" t="n">
        <f aca="true">IFERROR(SUMPRODUCT(OFFSET($BJ$31,0,1-MIN(60,COLUMN()-29),1,MIN(60,COLUMN()-29)),OFFSET(EE359,0,-MIN(60,COLUMN()-29),1,MIN(60,COLUMN()-29))),0)</f>
        <v>10.3854784</v>
      </c>
      <c r="EF360" s="237" t="n">
        <f aca="true">IFERROR(SUMPRODUCT(OFFSET($BJ$31,0,1-MIN(60,COLUMN()-29),1,MIN(60,COLUMN()-29)),OFFSET(EF359,0,-MIN(60,COLUMN()-29),1,MIN(60,COLUMN()-29))),0)</f>
        <v>9.4758752</v>
      </c>
      <c r="EG360" s="237" t="n">
        <f aca="true">IFERROR(SUMPRODUCT(OFFSET($BJ$31,0,1-MIN(60,COLUMN()-29),1,MIN(60,COLUMN()-29)),OFFSET(EG359,0,-MIN(60,COLUMN()-29),1,MIN(60,COLUMN()-29))),0)</f>
        <v>12.7666176</v>
      </c>
      <c r="EH360" s="237" t="n">
        <f aca="true">IFERROR(SUMPRODUCT(OFFSET($BJ$31,0,1-MIN(60,COLUMN()-29),1,MIN(60,COLUMN()-29)),OFFSET(EH359,0,-MIN(60,COLUMN()-29),1,MIN(60,COLUMN()-29))),0)</f>
        <v>14.7799168</v>
      </c>
      <c r="EI360" s="237" t="n">
        <f aca="true">IFERROR(SUMPRODUCT(OFFSET($BJ$31,0,1-MIN(60,COLUMN()-29),1,MIN(60,COLUMN()-29)),OFFSET(EI359,0,-MIN(60,COLUMN()-29),1,MIN(60,COLUMN()-29))),0)</f>
        <v>14.3821568</v>
      </c>
      <c r="EJ360" s="237" t="n">
        <f aca="true">IFERROR(SUMPRODUCT(OFFSET($BJ$31,0,1-MIN(60,COLUMN()-29),1,MIN(60,COLUMN()-29)),OFFSET(EJ359,0,-MIN(60,COLUMN()-29),1,MIN(60,COLUMN()-29))),0)</f>
        <v>18.100896</v>
      </c>
      <c r="EK360" s="237" t="n">
        <f aca="true">IFERROR(SUMPRODUCT(OFFSET($BJ$31,0,1-MIN(60,COLUMN()-29),1,MIN(60,COLUMN()-29)),OFFSET(EK359,0,-MIN(60,COLUMN()-29),1,MIN(60,COLUMN()-29))),0)</f>
        <v>20.765536</v>
      </c>
      <c r="EL360" s="237" t="n">
        <f aca="true">IFERROR(SUMPRODUCT(OFFSET($BJ$31,0,1-MIN(60,COLUMN()-29),1,MIN(60,COLUMN()-29)),OFFSET(EL359,0,-MIN(60,COLUMN()-29),1,MIN(60,COLUMN()-29))),0)</f>
        <v>21.0115488</v>
      </c>
      <c r="EM360" s="237" t="n">
        <f aca="true">IFERROR(SUMPRODUCT(OFFSET($BJ$31,0,1-MIN(60,COLUMN()-29),1,MIN(60,COLUMN()-29)),OFFSET(EM359,0,-MIN(60,COLUMN()-29),1,MIN(60,COLUMN()-29))),0)</f>
        <v>21.38904944</v>
      </c>
      <c r="EN360" s="237" t="n">
        <f aca="true">IFERROR(SUMPRODUCT(OFFSET($BJ$31,0,1-MIN(60,COLUMN()-29),1,MIN(60,COLUMN()-29)),OFFSET(EN359,0,-MIN(60,COLUMN()-29),1,MIN(60,COLUMN()-29))),0)</f>
        <v>23.87764016</v>
      </c>
      <c r="EO360" s="237" t="n">
        <f aca="true">IFERROR(SUMPRODUCT(OFFSET($BJ$31,0,1-MIN(60,COLUMN()-29),1,MIN(60,COLUMN()-29)),OFFSET(EO359,0,-MIN(60,COLUMN()-29),1,MIN(60,COLUMN()-29))),0)</f>
        <v>32.5875308</v>
      </c>
      <c r="EP360" s="237" t="n">
        <f aca="true">IFERROR(SUMPRODUCT(OFFSET($BJ$31,0,1-MIN(60,COLUMN()-29),1,MIN(60,COLUMN()-29)),OFFSET(EP359,0,-MIN(60,COLUMN()-29),1,MIN(60,COLUMN()-29))),0)</f>
        <v>32.2752628</v>
      </c>
      <c r="EQ360" s="237" t="n">
        <f aca="true">IFERROR(SUMPRODUCT(OFFSET($BJ$31,0,1-MIN(60,COLUMN()-29),1,MIN(60,COLUMN()-29)),OFFSET(EQ359,0,-MIN(60,COLUMN()-29),1,MIN(60,COLUMN()-29))),0)</f>
        <v>31.90113608</v>
      </c>
      <c r="ER360" s="237" t="n">
        <f aca="true">IFERROR(SUMPRODUCT(OFFSET($BJ$31,0,1-MIN(60,COLUMN()-29),1,MIN(60,COLUMN()-29)),OFFSET(ER359,0,-MIN(60,COLUMN()-29),1,MIN(60,COLUMN()-29))),0)</f>
        <v>30.23512184</v>
      </c>
      <c r="ES360" s="9" t="n">
        <f aca="true">IFERROR(SUMPRODUCT(OFFSET($BJ$31,0,1-MIN(60,COLUMN()-29),1,MIN(60,COLUMN()-29)),OFFSET(ES359,0,-MIN(60,COLUMN()-29),1,MIN(60,COLUMN()-29))),0)</f>
        <v>36.81579616</v>
      </c>
      <c r="ET360" s="9" t="n">
        <f aca="true">IFERROR(SUMPRODUCT(OFFSET($BJ$31,0,1-MIN(60,COLUMN()-29),1,MIN(60,COLUMN()-29)),OFFSET(ET359,0,-MIN(60,COLUMN()-29),1,MIN(60,COLUMN()-29))),0)</f>
        <v>39.4944528</v>
      </c>
      <c r="EU360" s="9" t="n">
        <f aca="true">IFERROR(SUMPRODUCT(OFFSET($BJ$31,0,1-MIN(60,COLUMN()-29),1,MIN(60,COLUMN()-29)),OFFSET(EU359,0,-MIN(60,COLUMN()-29),1,MIN(60,COLUMN()-29))),0)</f>
        <v>38.94098208</v>
      </c>
      <c r="EV360" s="9" t="n">
        <f aca="true">IFERROR(SUMPRODUCT(OFFSET($BJ$31,0,1-MIN(60,COLUMN()-29),1,MIN(60,COLUMN()-29)),OFFSET(EV359,0,-MIN(60,COLUMN()-29),1,MIN(60,COLUMN()-29))),0)</f>
        <v>45.9856848</v>
      </c>
      <c r="EW360" s="9" t="n">
        <f aca="true">IFERROR(SUMPRODUCT(OFFSET($BJ$31,0,1-MIN(60,COLUMN()-29),1,MIN(60,COLUMN()-29)),OFFSET(EW359,0,-MIN(60,COLUMN()-29),1,MIN(60,COLUMN()-29))),0)</f>
        <v>48.26431104</v>
      </c>
      <c r="EX360" s="9" t="n">
        <f aca="true">IFERROR(SUMPRODUCT(OFFSET($BJ$31,0,1-MIN(60,COLUMN()-29),1,MIN(60,COLUMN()-29)),OFFSET(EX359,0,-MIN(60,COLUMN()-29),1,MIN(60,COLUMN()-29))),0)</f>
        <v>48.57992832</v>
      </c>
      <c r="EY360" s="9" t="n">
        <f aca="true">IFERROR(SUMPRODUCT(OFFSET($BJ$31,0,1-MIN(60,COLUMN()-29),1,MIN(60,COLUMN()-29)),OFFSET(EY359,0,-MIN(60,COLUMN()-29),1,MIN(60,COLUMN()-29))),0)</f>
        <v>48.50325216</v>
      </c>
      <c r="EZ360" s="9" t="n">
        <f aca="true">IFERROR(SUMPRODUCT(OFFSET($BJ$31,0,1-MIN(60,COLUMN()-29),1,MIN(60,COLUMN()-29)),OFFSET(EZ359,0,-MIN(60,COLUMN()-29),1,MIN(60,COLUMN()-29))),0)</f>
        <v>52.29933984</v>
      </c>
      <c r="FA360" s="9" t="n">
        <f aca="true">IFERROR(SUMPRODUCT(OFFSET($BJ$31,0,1-MIN(60,COLUMN()-29),1,MIN(60,COLUMN()-29)),OFFSET(FA359,0,-MIN(60,COLUMN()-29),1,MIN(60,COLUMN()-29))),0)</f>
        <v>64.32702672</v>
      </c>
      <c r="FB360" s="9" t="n">
        <f aca="true">IFERROR(SUMPRODUCT(OFFSET($BJ$31,0,1-MIN(60,COLUMN()-29),1,MIN(60,COLUMN()-29)),OFFSET(FB359,0,-MIN(60,COLUMN()-29),1,MIN(60,COLUMN()-29))),0)</f>
        <v>64.47792912</v>
      </c>
      <c r="FC360" s="9" t="n">
        <f aca="true">IFERROR(SUMPRODUCT(OFFSET($BJ$31,0,1-MIN(60,COLUMN()-29),1,MIN(60,COLUMN()-29)),OFFSET(FC359,0,-MIN(60,COLUMN()-29),1,MIN(60,COLUMN()-29))),0)</f>
        <v>64.0108392</v>
      </c>
      <c r="FD360" s="9" t="n">
        <f aca="true">IFERROR(SUMPRODUCT(OFFSET($BJ$31,0,1-MIN(60,COLUMN()-29),1,MIN(60,COLUMN()-29)),OFFSET(FD359,0,-MIN(60,COLUMN()-29),1,MIN(60,COLUMN()-29))),0)</f>
        <v>62.28302256</v>
      </c>
      <c r="FE360" s="9" t="n">
        <f aca="true">IFERROR(SUMPRODUCT(OFFSET($BJ$31,0,1-MIN(60,COLUMN()-29),1,MIN(60,COLUMN()-29)),OFFSET(FE359,0,-MIN(60,COLUMN()-29),1,MIN(60,COLUMN()-29))),0)</f>
        <v>71.42867424</v>
      </c>
      <c r="FF360" s="9" t="n">
        <f aca="true">IFERROR(SUMPRODUCT(OFFSET($BJ$31,0,1-MIN(60,COLUMN()-29),1,MIN(60,COLUMN()-29)),OFFSET(FF359,0,-MIN(60,COLUMN()-29),1,MIN(60,COLUMN()-29))),0)</f>
        <v>75.05196864</v>
      </c>
      <c r="FG360" s="9" t="n">
        <f aca="true">IFERROR(SUMPRODUCT(OFFSET($BJ$31,0,1-MIN(60,COLUMN()-29),1,MIN(60,COLUMN()-29)),OFFSET(FG359,0,-MIN(60,COLUMN()-29),1,MIN(60,COLUMN()-29))),0)</f>
        <v>75.27541824</v>
      </c>
      <c r="FH360" s="9" t="n">
        <f aca="true">IFERROR(SUMPRODUCT(OFFSET($BJ$31,0,1-MIN(60,COLUMN()-29),1,MIN(60,COLUMN()-29)),OFFSET(FH359,0,-MIN(60,COLUMN()-29),1,MIN(60,COLUMN()-29))),0)</f>
        <v>83.73564672</v>
      </c>
      <c r="FI360" s="9" t="n">
        <f aca="true">IFERROR(SUMPRODUCT(OFFSET($BJ$31,0,1-MIN(60,COLUMN()-29),1,MIN(60,COLUMN()-29)),OFFSET(FI359,0,-MIN(60,COLUMN()-29),1,MIN(60,COLUMN()-29))),0)</f>
        <v>86.11003632</v>
      </c>
      <c r="FJ360" s="9" t="n">
        <f aca="true">IFERROR(SUMPRODUCT(OFFSET($BJ$31,0,1-MIN(60,COLUMN()-29),1,MIN(60,COLUMN()-29)),OFFSET(FJ359,0,-MIN(60,COLUMN()-29),1,MIN(60,COLUMN()-29))),0)</f>
        <v>87.12915024</v>
      </c>
      <c r="FK360" s="9" t="n">
        <f aca="true">IFERROR(SUMPRODUCT(OFFSET($BJ$31,0,1-MIN(60,COLUMN()-29),1,MIN(60,COLUMN()-29)),OFFSET(FK359,0,-MIN(60,COLUMN()-29),1,MIN(60,COLUMN()-29))),0)</f>
        <v>87.34681296</v>
      </c>
      <c r="FL360" s="9" t="n">
        <f aca="true">IFERROR(SUMPRODUCT(OFFSET($BJ$31,0,1-MIN(60,COLUMN()-29),1,MIN(60,COLUMN()-29)),OFFSET(FL359,0,-MIN(60,COLUMN()-29),1,MIN(60,COLUMN()-29))),0)</f>
        <v>92.58193296</v>
      </c>
      <c r="FM360" s="9" t="n">
        <f aca="true">IFERROR(SUMPRODUCT(OFFSET($BJ$31,0,1-MIN(60,COLUMN()-29),1,MIN(60,COLUMN()-29)),OFFSET(FM359,0,-MIN(60,COLUMN()-29),1,MIN(60,COLUMN()-29))),0)</f>
        <v>106.5544392</v>
      </c>
      <c r="FN360" s="9" t="n">
        <f aca="true">IFERROR(SUMPRODUCT(OFFSET($BJ$31,0,1-MIN(60,COLUMN()-29),1,MIN(60,COLUMN()-29)),OFFSET(FN359,0,-MIN(60,COLUMN()-29),1,MIN(60,COLUMN()-29))),0)</f>
        <v>106.63043952</v>
      </c>
      <c r="FO360" s="9" t="n">
        <f aca="true">IFERROR(SUMPRODUCT(OFFSET($BJ$31,0,1-MIN(60,COLUMN()-29),1,MIN(60,COLUMN()-29)),OFFSET(FO359,0,-MIN(60,COLUMN()-29),1,MIN(60,COLUMN()-29))),0)</f>
        <v>105.88684656</v>
      </c>
      <c r="FP360" s="9" t="n">
        <f aca="true">IFERROR(SUMPRODUCT(OFFSET($BJ$31,0,1-MIN(60,COLUMN()-29),1,MIN(60,COLUMN()-29)),OFFSET(FP359,0,-MIN(60,COLUMN()-29),1,MIN(60,COLUMN()-29))),0)</f>
        <v>103.95983664</v>
      </c>
    </row>
    <row r="361" customFormat="false" ht="15" hidden="false" customHeight="false" outlineLevel="2" collapsed="false">
      <c r="B361" s="47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237"/>
      <c r="AD361" s="237"/>
      <c r="AE361" s="237"/>
      <c r="AF361" s="237"/>
      <c r="AG361" s="237"/>
      <c r="AH361" s="237"/>
      <c r="AI361" s="237"/>
      <c r="AJ361" s="237"/>
      <c r="AK361" s="237"/>
      <c r="AL361" s="237"/>
      <c r="AM361" s="237"/>
      <c r="AN361" s="237"/>
      <c r="AO361" s="237"/>
      <c r="AP361" s="237"/>
      <c r="AQ361" s="237"/>
      <c r="AR361" s="237"/>
      <c r="AS361" s="237"/>
      <c r="AT361" s="237"/>
      <c r="AU361" s="237"/>
      <c r="AV361" s="237"/>
      <c r="AW361" s="237"/>
      <c r="AX361" s="237"/>
      <c r="AY361" s="237"/>
      <c r="AZ361" s="237"/>
      <c r="BA361" s="237"/>
      <c r="BB361" s="237"/>
      <c r="BC361" s="237"/>
      <c r="BD361" s="237"/>
      <c r="BE361" s="237"/>
      <c r="BF361" s="237"/>
      <c r="BG361" s="237"/>
      <c r="BH361" s="237"/>
      <c r="BI361" s="237"/>
      <c r="BJ361" s="237"/>
      <c r="BK361" s="237"/>
      <c r="BL361" s="237"/>
      <c r="BM361" s="237"/>
      <c r="BN361" s="237"/>
      <c r="BO361" s="237"/>
      <c r="BP361" s="237"/>
      <c r="BQ361" s="237"/>
      <c r="BR361" s="237"/>
      <c r="BS361" s="237"/>
      <c r="BT361" s="237"/>
      <c r="BU361" s="237"/>
      <c r="BV361" s="237"/>
      <c r="BW361" s="237"/>
      <c r="BX361" s="237"/>
      <c r="BY361" s="237"/>
      <c r="BZ361" s="237"/>
      <c r="CA361" s="237"/>
      <c r="CB361" s="237"/>
      <c r="CC361" s="237"/>
      <c r="CD361" s="237"/>
      <c r="CE361" s="237"/>
      <c r="CF361" s="237"/>
      <c r="CG361" s="237"/>
      <c r="CH361" s="237"/>
      <c r="CI361" s="237"/>
      <c r="CJ361" s="237"/>
      <c r="CK361" s="237"/>
      <c r="CL361" s="237"/>
      <c r="CM361" s="237"/>
      <c r="CN361" s="237"/>
      <c r="CO361" s="237"/>
      <c r="CP361" s="237"/>
      <c r="CQ361" s="237"/>
      <c r="CR361" s="237"/>
      <c r="CS361" s="237"/>
      <c r="CT361" s="237"/>
      <c r="CU361" s="237"/>
      <c r="CV361" s="237"/>
      <c r="CW361" s="237"/>
      <c r="CX361" s="237"/>
      <c r="CY361" s="237"/>
      <c r="CZ361" s="237"/>
      <c r="DA361" s="237"/>
      <c r="DB361" s="237"/>
      <c r="DC361" s="237"/>
      <c r="DD361" s="237"/>
      <c r="DE361" s="237"/>
      <c r="DF361" s="237"/>
      <c r="DG361" s="237"/>
      <c r="DH361" s="237"/>
      <c r="DI361" s="237"/>
      <c r="DJ361" s="237"/>
      <c r="DK361" s="237"/>
      <c r="DL361" s="237"/>
      <c r="DM361" s="237"/>
      <c r="DN361" s="237"/>
      <c r="DO361" s="237"/>
      <c r="DP361" s="237"/>
      <c r="DQ361" s="237"/>
      <c r="DR361" s="237"/>
      <c r="DS361" s="237"/>
      <c r="DT361" s="237"/>
      <c r="DU361" s="237"/>
      <c r="DV361" s="237"/>
      <c r="DW361" s="237"/>
      <c r="DX361" s="237"/>
      <c r="DY361" s="237"/>
      <c r="DZ361" s="237"/>
      <c r="EA361" s="237"/>
      <c r="EB361" s="237"/>
      <c r="EC361" s="237"/>
      <c r="ED361" s="237"/>
      <c r="EE361" s="237"/>
      <c r="EF361" s="237"/>
      <c r="EG361" s="237"/>
      <c r="EH361" s="237"/>
      <c r="EI361" s="237"/>
      <c r="EJ361" s="237"/>
      <c r="EK361" s="237"/>
      <c r="EL361" s="237"/>
      <c r="EM361" s="237"/>
      <c r="EN361" s="237"/>
      <c r="EO361" s="237"/>
      <c r="EP361" s="237"/>
      <c r="EQ361" s="237"/>
      <c r="ER361" s="237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9"/>
      <c r="FH361" s="9"/>
      <c r="FI361" s="9"/>
      <c r="FJ361" s="9"/>
      <c r="FK361" s="9"/>
      <c r="FL361" s="9"/>
      <c r="FM361" s="9"/>
      <c r="FN361" s="9"/>
      <c r="FO361" s="9"/>
      <c r="FP361" s="9"/>
    </row>
    <row r="362" customFormat="false" ht="15" hidden="false" customHeight="false" outlineLevel="2" collapsed="false">
      <c r="B362" s="47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237"/>
      <c r="AD362" s="237"/>
      <c r="AE362" s="237"/>
      <c r="AF362" s="237"/>
      <c r="AG362" s="237"/>
      <c r="AH362" s="237"/>
      <c r="AI362" s="237"/>
      <c r="AJ362" s="237"/>
      <c r="AK362" s="237"/>
      <c r="AL362" s="237"/>
      <c r="AM362" s="237"/>
      <c r="AN362" s="237"/>
      <c r="AO362" s="237"/>
      <c r="AP362" s="237"/>
      <c r="AQ362" s="237"/>
      <c r="AR362" s="237"/>
      <c r="AS362" s="237"/>
      <c r="AT362" s="237"/>
      <c r="AU362" s="237"/>
      <c r="AV362" s="237"/>
      <c r="AW362" s="237"/>
      <c r="AX362" s="237"/>
      <c r="AY362" s="237"/>
      <c r="AZ362" s="237"/>
      <c r="BA362" s="237"/>
      <c r="BB362" s="237"/>
      <c r="BC362" s="237"/>
      <c r="BD362" s="237"/>
      <c r="BE362" s="237"/>
      <c r="BF362" s="237"/>
      <c r="BG362" s="237"/>
      <c r="BH362" s="237"/>
      <c r="BI362" s="237"/>
      <c r="BJ362" s="237"/>
      <c r="BK362" s="237"/>
      <c r="BL362" s="237"/>
      <c r="BM362" s="237"/>
      <c r="BN362" s="237"/>
      <c r="BO362" s="237"/>
      <c r="BP362" s="237"/>
      <c r="BQ362" s="237"/>
      <c r="BR362" s="237"/>
      <c r="BS362" s="237"/>
      <c r="BT362" s="237"/>
      <c r="BU362" s="237"/>
      <c r="BV362" s="237"/>
      <c r="BW362" s="237"/>
      <c r="BX362" s="237"/>
      <c r="BY362" s="237"/>
      <c r="BZ362" s="237"/>
      <c r="CA362" s="237"/>
      <c r="CB362" s="237"/>
      <c r="CC362" s="237"/>
      <c r="CD362" s="237"/>
      <c r="CE362" s="237"/>
      <c r="CF362" s="237"/>
      <c r="CG362" s="237"/>
      <c r="CH362" s="237"/>
      <c r="CI362" s="237"/>
      <c r="CJ362" s="237"/>
      <c r="CK362" s="237"/>
      <c r="CL362" s="237"/>
      <c r="CM362" s="237"/>
      <c r="CN362" s="237"/>
      <c r="CO362" s="237"/>
      <c r="CP362" s="237"/>
      <c r="CQ362" s="237"/>
      <c r="CR362" s="237"/>
      <c r="CS362" s="237"/>
      <c r="CT362" s="237"/>
      <c r="CU362" s="237"/>
      <c r="CV362" s="237"/>
      <c r="CW362" s="237"/>
      <c r="CX362" s="237"/>
      <c r="CY362" s="237"/>
      <c r="CZ362" s="237"/>
      <c r="DA362" s="237"/>
      <c r="DB362" s="237"/>
      <c r="DC362" s="237"/>
      <c r="DD362" s="237"/>
      <c r="DE362" s="237"/>
      <c r="DF362" s="237"/>
      <c r="DG362" s="237"/>
      <c r="DH362" s="237"/>
      <c r="DI362" s="237"/>
      <c r="DJ362" s="237"/>
      <c r="DK362" s="237"/>
      <c r="DL362" s="237"/>
      <c r="DM362" s="237"/>
      <c r="DN362" s="237"/>
      <c r="DO362" s="237"/>
      <c r="DP362" s="237"/>
      <c r="DQ362" s="237"/>
      <c r="DR362" s="237"/>
      <c r="DS362" s="237"/>
      <c r="DT362" s="237"/>
      <c r="DU362" s="237"/>
      <c r="DV362" s="237"/>
      <c r="DW362" s="237"/>
      <c r="DX362" s="237"/>
      <c r="DY362" s="237"/>
      <c r="DZ362" s="237"/>
      <c r="EA362" s="237"/>
      <c r="EB362" s="237"/>
      <c r="EC362" s="237"/>
      <c r="ED362" s="237"/>
      <c r="EE362" s="237"/>
      <c r="EF362" s="237"/>
      <c r="EG362" s="237"/>
      <c r="EH362" s="237"/>
      <c r="EI362" s="237"/>
      <c r="EJ362" s="237"/>
      <c r="EK362" s="237"/>
      <c r="EL362" s="237"/>
      <c r="EM362" s="237"/>
      <c r="EN362" s="237"/>
      <c r="EO362" s="237"/>
      <c r="EP362" s="237"/>
      <c r="EQ362" s="237"/>
      <c r="ER362" s="237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  <c r="FJ362" s="9"/>
      <c r="FK362" s="9"/>
      <c r="FL362" s="9"/>
      <c r="FM362" s="9"/>
      <c r="FN362" s="9"/>
      <c r="FO362" s="9"/>
      <c r="FP362" s="9"/>
    </row>
    <row r="363" customFormat="false" ht="15" hidden="false" customHeight="false" outlineLevel="2" collapsed="false">
      <c r="B363" s="47" t="s">
        <v>909</v>
      </c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237"/>
      <c r="AD363" s="237"/>
      <c r="AE363" s="237"/>
      <c r="AF363" s="237"/>
      <c r="AG363" s="237"/>
      <c r="AH363" s="237"/>
      <c r="AI363" s="237"/>
      <c r="AJ363" s="237"/>
      <c r="AK363" s="237"/>
      <c r="AL363" s="237"/>
      <c r="AM363" s="237"/>
      <c r="AN363" s="237"/>
      <c r="AO363" s="237"/>
      <c r="AP363" s="237"/>
      <c r="AQ363" s="237"/>
      <c r="AR363" s="237"/>
      <c r="AS363" s="237"/>
      <c r="AT363" s="237"/>
      <c r="AU363" s="237"/>
      <c r="AV363" s="237"/>
      <c r="AW363" s="237"/>
      <c r="AX363" s="237"/>
      <c r="AY363" s="237"/>
      <c r="AZ363" s="237"/>
      <c r="BA363" s="237"/>
      <c r="BB363" s="237"/>
      <c r="BC363" s="237"/>
      <c r="BD363" s="237"/>
      <c r="BE363" s="237"/>
      <c r="BF363" s="237"/>
      <c r="BG363" s="237"/>
      <c r="BH363" s="237"/>
      <c r="BI363" s="237"/>
      <c r="BJ363" s="237"/>
      <c r="BK363" s="237"/>
      <c r="BL363" s="237"/>
      <c r="BM363" s="237"/>
      <c r="BN363" s="237"/>
      <c r="BO363" s="237"/>
      <c r="BP363" s="237"/>
      <c r="BQ363" s="237"/>
      <c r="BR363" s="237"/>
      <c r="BS363" s="237"/>
      <c r="BT363" s="237"/>
      <c r="BU363" s="237"/>
      <c r="BV363" s="237"/>
      <c r="BW363" s="237"/>
      <c r="BX363" s="237"/>
      <c r="BY363" s="237"/>
      <c r="BZ363" s="237"/>
      <c r="CA363" s="237"/>
      <c r="CB363" s="237"/>
      <c r="CC363" s="237"/>
      <c r="CD363" s="237"/>
      <c r="CE363" s="237"/>
      <c r="CF363" s="237"/>
      <c r="CG363" s="237"/>
      <c r="CH363" s="237"/>
      <c r="CI363" s="237"/>
      <c r="CJ363" s="237"/>
      <c r="CK363" s="237"/>
      <c r="CL363" s="237"/>
      <c r="CM363" s="237"/>
      <c r="CN363" s="237"/>
      <c r="CO363" s="237"/>
      <c r="CP363" s="237"/>
      <c r="CQ363" s="237"/>
      <c r="CR363" s="237"/>
      <c r="CS363" s="237"/>
      <c r="CT363" s="237"/>
      <c r="CU363" s="237"/>
      <c r="CV363" s="237"/>
      <c r="CW363" s="237"/>
      <c r="CX363" s="237"/>
      <c r="CY363" s="237"/>
      <c r="CZ363" s="237"/>
      <c r="DA363" s="237"/>
      <c r="DB363" s="237"/>
      <c r="DC363" s="237"/>
      <c r="DD363" s="237"/>
      <c r="DE363" s="237"/>
      <c r="DF363" s="237"/>
      <c r="DG363" s="237"/>
      <c r="DH363" s="237"/>
      <c r="DI363" s="237"/>
      <c r="DJ363" s="237"/>
      <c r="DK363" s="237"/>
      <c r="DL363" s="237"/>
      <c r="DM363" s="237"/>
      <c r="DN363" s="237"/>
      <c r="DO363" s="237"/>
      <c r="DP363" s="237"/>
      <c r="DQ363" s="237"/>
      <c r="DR363" s="237"/>
      <c r="DS363" s="237"/>
      <c r="DT363" s="237"/>
      <c r="DU363" s="237"/>
      <c r="DV363" s="237"/>
      <c r="DW363" s="237"/>
      <c r="DX363" s="237"/>
      <c r="DY363" s="237"/>
      <c r="DZ363" s="237"/>
      <c r="EA363" s="237"/>
      <c r="EB363" s="237"/>
      <c r="EC363" s="237"/>
      <c r="ED363" s="237"/>
      <c r="EE363" s="237"/>
      <c r="EF363" s="237"/>
      <c r="EG363" s="237"/>
      <c r="EH363" s="237"/>
      <c r="EI363" s="237"/>
      <c r="EJ363" s="237"/>
      <c r="EK363" s="237"/>
      <c r="EL363" s="237"/>
      <c r="EM363" s="237"/>
      <c r="EN363" s="237"/>
      <c r="EO363" s="237"/>
      <c r="EP363" s="237"/>
      <c r="EQ363" s="237"/>
      <c r="ER363" s="237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  <c r="FJ363" s="9"/>
      <c r="FK363" s="9"/>
      <c r="FL363" s="9"/>
      <c r="FM363" s="9"/>
      <c r="FN363" s="9"/>
      <c r="FO363" s="9"/>
      <c r="FP363" s="9"/>
    </row>
    <row r="364" customFormat="false" ht="15" hidden="false" customHeight="false" outlineLevel="2" collapsed="false">
      <c r="B364" s="47" t="s">
        <v>872</v>
      </c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237" t="n">
        <f aca="false">('⑫ Roll-out Plan'!G41-2025)*12+'⑫ Roll-out Plan'!F41</f>
        <v>108</v>
      </c>
      <c r="AD364" s="237"/>
      <c r="AE364" s="237"/>
      <c r="AF364" s="237"/>
      <c r="AG364" s="237"/>
      <c r="AH364" s="237"/>
      <c r="AI364" s="237"/>
      <c r="AJ364" s="237"/>
      <c r="AK364" s="237"/>
      <c r="AL364" s="237"/>
      <c r="AM364" s="237"/>
      <c r="AN364" s="237"/>
      <c r="AO364" s="237"/>
      <c r="AP364" s="237"/>
      <c r="AQ364" s="237"/>
      <c r="AR364" s="237"/>
      <c r="AS364" s="237"/>
      <c r="AT364" s="237"/>
      <c r="AU364" s="237"/>
      <c r="AV364" s="237"/>
      <c r="AW364" s="237"/>
      <c r="AX364" s="237"/>
      <c r="AY364" s="237"/>
      <c r="AZ364" s="237"/>
      <c r="BA364" s="237"/>
      <c r="BB364" s="237"/>
      <c r="BC364" s="237"/>
      <c r="BD364" s="237"/>
      <c r="BE364" s="237"/>
      <c r="BF364" s="237"/>
      <c r="BG364" s="237"/>
      <c r="BH364" s="237"/>
      <c r="BI364" s="237"/>
      <c r="BJ364" s="237"/>
      <c r="BK364" s="237"/>
      <c r="BL364" s="237"/>
      <c r="BM364" s="237"/>
      <c r="BN364" s="237"/>
      <c r="BO364" s="237"/>
      <c r="BP364" s="237"/>
      <c r="BQ364" s="237"/>
      <c r="BR364" s="237"/>
      <c r="BS364" s="237"/>
      <c r="BT364" s="237"/>
      <c r="BU364" s="237"/>
      <c r="BV364" s="237"/>
      <c r="BW364" s="237"/>
      <c r="BX364" s="237"/>
      <c r="BY364" s="237"/>
      <c r="BZ364" s="237"/>
      <c r="CA364" s="237"/>
      <c r="CB364" s="237"/>
      <c r="CC364" s="237"/>
      <c r="CD364" s="237"/>
      <c r="CE364" s="237"/>
      <c r="CF364" s="237"/>
      <c r="CG364" s="237"/>
      <c r="CH364" s="237"/>
      <c r="CI364" s="237"/>
      <c r="CJ364" s="237"/>
      <c r="CK364" s="237"/>
      <c r="CL364" s="237"/>
      <c r="CM364" s="237"/>
      <c r="CN364" s="237"/>
      <c r="CO364" s="237"/>
      <c r="CP364" s="237"/>
      <c r="CQ364" s="237"/>
      <c r="CR364" s="237"/>
      <c r="CS364" s="237"/>
      <c r="CT364" s="237"/>
      <c r="CU364" s="237"/>
      <c r="CV364" s="237"/>
      <c r="CW364" s="237"/>
      <c r="CX364" s="237"/>
      <c r="CY364" s="237"/>
      <c r="CZ364" s="237"/>
      <c r="DA364" s="237"/>
      <c r="DB364" s="237"/>
      <c r="DC364" s="237"/>
      <c r="DD364" s="237"/>
      <c r="DE364" s="237"/>
      <c r="DF364" s="237"/>
      <c r="DG364" s="237"/>
      <c r="DH364" s="237"/>
      <c r="DI364" s="237"/>
      <c r="DJ364" s="237"/>
      <c r="DK364" s="237"/>
      <c r="DL364" s="237"/>
      <c r="DM364" s="237"/>
      <c r="DN364" s="237"/>
      <c r="DO364" s="237"/>
      <c r="DP364" s="237"/>
      <c r="DQ364" s="237"/>
      <c r="DR364" s="237"/>
      <c r="DS364" s="237"/>
      <c r="DT364" s="237"/>
      <c r="DU364" s="237"/>
      <c r="DV364" s="237"/>
      <c r="DW364" s="237"/>
      <c r="DX364" s="237"/>
      <c r="DY364" s="237"/>
      <c r="DZ364" s="237"/>
      <c r="EA364" s="237"/>
      <c r="EB364" s="237"/>
      <c r="EC364" s="237"/>
      <c r="ED364" s="237"/>
      <c r="EE364" s="237"/>
      <c r="EF364" s="237"/>
      <c r="EG364" s="237"/>
      <c r="EH364" s="237"/>
      <c r="EI364" s="237"/>
      <c r="EJ364" s="237"/>
      <c r="EK364" s="237"/>
      <c r="EL364" s="237"/>
      <c r="EM364" s="237"/>
      <c r="EN364" s="237"/>
      <c r="EO364" s="237"/>
      <c r="EP364" s="237"/>
      <c r="EQ364" s="237"/>
      <c r="ER364" s="237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/>
    </row>
    <row r="365" customFormat="false" ht="15" hidden="false" customHeight="false" outlineLevel="2" collapsed="false">
      <c r="B365" s="47" t="s">
        <v>873</v>
      </c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237" t="n">
        <f aca="false">VLOOKUP("A",$B$14:$C$18,2,FALSE())</f>
        <v>210</v>
      </c>
      <c r="AD365" s="237"/>
      <c r="AE365" s="237"/>
      <c r="AF365" s="237"/>
      <c r="AG365" s="237"/>
      <c r="AH365" s="237"/>
      <c r="AI365" s="237"/>
      <c r="AJ365" s="237"/>
      <c r="AK365" s="237"/>
      <c r="AL365" s="237"/>
      <c r="AM365" s="237"/>
      <c r="AN365" s="237"/>
      <c r="AO365" s="237"/>
      <c r="AP365" s="237"/>
      <c r="AQ365" s="237"/>
      <c r="AR365" s="237"/>
      <c r="AS365" s="237"/>
      <c r="AT365" s="237"/>
      <c r="AU365" s="237"/>
      <c r="AV365" s="237"/>
      <c r="AW365" s="237"/>
      <c r="AX365" s="237"/>
      <c r="AY365" s="237"/>
      <c r="AZ365" s="237"/>
      <c r="BA365" s="237"/>
      <c r="BB365" s="237"/>
      <c r="BC365" s="237"/>
      <c r="BD365" s="237"/>
      <c r="BE365" s="237"/>
      <c r="BF365" s="237"/>
      <c r="BG365" s="237"/>
      <c r="BH365" s="237"/>
      <c r="BI365" s="237"/>
      <c r="BJ365" s="237"/>
      <c r="BK365" s="237"/>
      <c r="BL365" s="237"/>
      <c r="BM365" s="237"/>
      <c r="BN365" s="237"/>
      <c r="BO365" s="237"/>
      <c r="BP365" s="237"/>
      <c r="BQ365" s="237"/>
      <c r="BR365" s="237"/>
      <c r="BS365" s="237"/>
      <c r="BT365" s="237"/>
      <c r="BU365" s="237"/>
      <c r="BV365" s="237"/>
      <c r="BW365" s="237"/>
      <c r="BX365" s="237"/>
      <c r="BY365" s="237"/>
      <c r="BZ365" s="237"/>
      <c r="CA365" s="237"/>
      <c r="CB365" s="237"/>
      <c r="CC365" s="237"/>
      <c r="CD365" s="237"/>
      <c r="CE365" s="237"/>
      <c r="CF365" s="237"/>
      <c r="CG365" s="237"/>
      <c r="CH365" s="237"/>
      <c r="CI365" s="237"/>
      <c r="CJ365" s="237"/>
      <c r="CK365" s="237"/>
      <c r="CL365" s="237"/>
      <c r="CM365" s="237"/>
      <c r="CN365" s="237"/>
      <c r="CO365" s="237"/>
      <c r="CP365" s="237"/>
      <c r="CQ365" s="237"/>
      <c r="CR365" s="237"/>
      <c r="CS365" s="237"/>
      <c r="CT365" s="237"/>
      <c r="CU365" s="237"/>
      <c r="CV365" s="237"/>
      <c r="CW365" s="237"/>
      <c r="CX365" s="237"/>
      <c r="CY365" s="237"/>
      <c r="CZ365" s="237"/>
      <c r="DA365" s="237"/>
      <c r="DB365" s="237"/>
      <c r="DC365" s="237"/>
      <c r="DD365" s="237"/>
      <c r="DE365" s="237"/>
      <c r="DF365" s="237"/>
      <c r="DG365" s="237"/>
      <c r="DH365" s="237"/>
      <c r="DI365" s="237"/>
      <c r="DJ365" s="237"/>
      <c r="DK365" s="237"/>
      <c r="DL365" s="237"/>
      <c r="DM365" s="237"/>
      <c r="DN365" s="237"/>
      <c r="DO365" s="237"/>
      <c r="DP365" s="237"/>
      <c r="DQ365" s="237"/>
      <c r="DR365" s="237"/>
      <c r="DS365" s="237"/>
      <c r="DT365" s="237"/>
      <c r="DU365" s="237"/>
      <c r="DV365" s="237"/>
      <c r="DW365" s="237"/>
      <c r="DX365" s="237"/>
      <c r="DY365" s="237"/>
      <c r="DZ365" s="237"/>
      <c r="EA365" s="237"/>
      <c r="EB365" s="237"/>
      <c r="EC365" s="237"/>
      <c r="ED365" s="237"/>
      <c r="EE365" s="237"/>
      <c r="EF365" s="237"/>
      <c r="EG365" s="237"/>
      <c r="EH365" s="237"/>
      <c r="EI365" s="237"/>
      <c r="EJ365" s="237"/>
      <c r="EK365" s="237"/>
      <c r="EL365" s="237"/>
      <c r="EM365" s="237"/>
      <c r="EN365" s="237"/>
      <c r="EO365" s="237"/>
      <c r="EP365" s="237"/>
      <c r="EQ365" s="237"/>
      <c r="ER365" s="237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</row>
    <row r="366" customFormat="false" ht="15" hidden="false" customHeight="false" outlineLevel="2" collapsed="false">
      <c r="B366" s="47" t="s">
        <v>799</v>
      </c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237" t="n">
        <f aca="false">IF(AC$35&gt;=$AC$364,AC$35-$AC$364+1,0)</f>
        <v>0</v>
      </c>
      <c r="AD366" s="237" t="n">
        <f aca="false">IF(AD$35&gt;=$AC$364,AD$35-$AC$364+1,0)</f>
        <v>0</v>
      </c>
      <c r="AE366" s="237" t="n">
        <f aca="false">IF(AE$35&gt;=$AC$364,AE$35-$AC$364+1,0)</f>
        <v>0</v>
      </c>
      <c r="AF366" s="237" t="n">
        <f aca="false">IF(AF$35&gt;=$AC$364,AF$35-$AC$364+1,0)</f>
        <v>0</v>
      </c>
      <c r="AG366" s="237" t="n">
        <f aca="false">IF(AG$35&gt;=$AC$364,AG$35-$AC$364+1,0)</f>
        <v>0</v>
      </c>
      <c r="AH366" s="237" t="n">
        <f aca="false">IF(AH$35&gt;=$AC$364,AH$35-$AC$364+1,0)</f>
        <v>0</v>
      </c>
      <c r="AI366" s="237" t="n">
        <f aca="false">IF(AI$35&gt;=$AC$364,AI$35-$AC$364+1,0)</f>
        <v>0</v>
      </c>
      <c r="AJ366" s="237" t="n">
        <f aca="false">IF(AJ$35&gt;=$AC$364,AJ$35-$AC$364+1,0)</f>
        <v>0</v>
      </c>
      <c r="AK366" s="237" t="n">
        <f aca="false">IF(AK$35&gt;=$AC$364,AK$35-$AC$364+1,0)</f>
        <v>0</v>
      </c>
      <c r="AL366" s="237" t="n">
        <f aca="false">IF(AL$35&gt;=$AC$364,AL$35-$AC$364+1,0)</f>
        <v>0</v>
      </c>
      <c r="AM366" s="237" t="n">
        <f aca="false">IF(AM$35&gt;=$AC$364,AM$35-$AC$364+1,0)</f>
        <v>0</v>
      </c>
      <c r="AN366" s="237" t="n">
        <f aca="false">IF(AN$35&gt;=$AC$364,AN$35-$AC$364+1,0)</f>
        <v>0</v>
      </c>
      <c r="AO366" s="237" t="n">
        <f aca="false">IF(AO$35&gt;=$AC$364,AO$35-$AC$364+1,0)</f>
        <v>0</v>
      </c>
      <c r="AP366" s="237" t="n">
        <f aca="false">IF(AP$35&gt;=$AC$364,AP$35-$AC$364+1,0)</f>
        <v>0</v>
      </c>
      <c r="AQ366" s="237" t="n">
        <f aca="false">IF(AQ$35&gt;=$AC$364,AQ$35-$AC$364+1,0)</f>
        <v>0</v>
      </c>
      <c r="AR366" s="237" t="n">
        <f aca="false">IF(AR$35&gt;=$AC$364,AR$35-$AC$364+1,0)</f>
        <v>0</v>
      </c>
      <c r="AS366" s="237" t="n">
        <f aca="false">IF(AS$35&gt;=$AC$364,AS$35-$AC$364+1,0)</f>
        <v>0</v>
      </c>
      <c r="AT366" s="237" t="n">
        <f aca="false">IF(AT$35&gt;=$AC$364,AT$35-$AC$364+1,0)</f>
        <v>0</v>
      </c>
      <c r="AU366" s="237" t="n">
        <f aca="false">IF(AU$35&gt;=$AC$364,AU$35-$AC$364+1,0)</f>
        <v>0</v>
      </c>
      <c r="AV366" s="237" t="n">
        <f aca="false">IF(AV$35&gt;=$AC$364,AV$35-$AC$364+1,0)</f>
        <v>0</v>
      </c>
      <c r="AW366" s="237" t="n">
        <f aca="false">IF(AW$35&gt;=$AC$364,AW$35-$AC$364+1,0)</f>
        <v>0</v>
      </c>
      <c r="AX366" s="237" t="n">
        <f aca="false">IF(AX$35&gt;=$AC$364,AX$35-$AC$364+1,0)</f>
        <v>0</v>
      </c>
      <c r="AY366" s="237" t="n">
        <f aca="false">IF(AY$35&gt;=$AC$364,AY$35-$AC$364+1,0)</f>
        <v>0</v>
      </c>
      <c r="AZ366" s="237" t="n">
        <f aca="false">IF(AZ$35&gt;=$AC$364,AZ$35-$AC$364+1,0)</f>
        <v>0</v>
      </c>
      <c r="BA366" s="237" t="n">
        <f aca="false">IF(BA$35&gt;=$AC$364,BA$35-$AC$364+1,0)</f>
        <v>0</v>
      </c>
      <c r="BB366" s="237" t="n">
        <f aca="false">IF(BB$35&gt;=$AC$364,BB$35-$AC$364+1,0)</f>
        <v>0</v>
      </c>
      <c r="BC366" s="237" t="n">
        <f aca="false">IF(BC$35&gt;=$AC$364,BC$35-$AC$364+1,0)</f>
        <v>0</v>
      </c>
      <c r="BD366" s="237" t="n">
        <f aca="false">IF(BD$35&gt;=$AC$364,BD$35-$AC$364+1,0)</f>
        <v>0</v>
      </c>
      <c r="BE366" s="237" t="n">
        <f aca="false">IF(BE$35&gt;=$AC$364,BE$35-$AC$364+1,0)</f>
        <v>0</v>
      </c>
      <c r="BF366" s="237" t="n">
        <f aca="false">IF(BF$35&gt;=$AC$364,BF$35-$AC$364+1,0)</f>
        <v>0</v>
      </c>
      <c r="BG366" s="237" t="n">
        <f aca="false">IF(BG$35&gt;=$AC$364,BG$35-$AC$364+1,0)</f>
        <v>0</v>
      </c>
      <c r="BH366" s="237" t="n">
        <f aca="false">IF(BH$35&gt;=$AC$364,BH$35-$AC$364+1,0)</f>
        <v>0</v>
      </c>
      <c r="BI366" s="237" t="n">
        <f aca="false">IF(BI$35&gt;=$AC$364,BI$35-$AC$364+1,0)</f>
        <v>0</v>
      </c>
      <c r="BJ366" s="237" t="n">
        <f aca="false">IF(BJ$35&gt;=$AC$364,BJ$35-$AC$364+1,0)</f>
        <v>0</v>
      </c>
      <c r="BK366" s="237" t="n">
        <f aca="false">IF(BK$35&gt;=$AC$364,BK$35-$AC$364+1,0)</f>
        <v>0</v>
      </c>
      <c r="BL366" s="237" t="n">
        <f aca="false">IF(BL$35&gt;=$AC$364,BL$35-$AC$364+1,0)</f>
        <v>0</v>
      </c>
      <c r="BM366" s="237" t="n">
        <f aca="false">IF(BM$35&gt;=$AC$364,BM$35-$AC$364+1,0)</f>
        <v>0</v>
      </c>
      <c r="BN366" s="237" t="n">
        <f aca="false">IF(BN$35&gt;=$AC$364,BN$35-$AC$364+1,0)</f>
        <v>0</v>
      </c>
      <c r="BO366" s="237" t="n">
        <f aca="false">IF(BO$35&gt;=$AC$364,BO$35-$AC$364+1,0)</f>
        <v>0</v>
      </c>
      <c r="BP366" s="237" t="n">
        <f aca="false">IF(BP$35&gt;=$AC$364,BP$35-$AC$364+1,0)</f>
        <v>0</v>
      </c>
      <c r="BQ366" s="237" t="n">
        <f aca="false">IF(BQ$35&gt;=$AC$364,BQ$35-$AC$364+1,0)</f>
        <v>0</v>
      </c>
      <c r="BR366" s="237" t="n">
        <f aca="false">IF(BR$35&gt;=$AC$364,BR$35-$AC$364+1,0)</f>
        <v>0</v>
      </c>
      <c r="BS366" s="237" t="n">
        <f aca="false">IF(BS$35&gt;=$AC$364,BS$35-$AC$364+1,0)</f>
        <v>0</v>
      </c>
      <c r="BT366" s="237" t="n">
        <f aca="false">IF(BT$35&gt;=$AC$364,BT$35-$AC$364+1,0)</f>
        <v>0</v>
      </c>
      <c r="BU366" s="237" t="n">
        <f aca="false">IF(BU$35&gt;=$AC$364,BU$35-$AC$364+1,0)</f>
        <v>0</v>
      </c>
      <c r="BV366" s="237" t="n">
        <f aca="false">IF(BV$35&gt;=$AC$364,BV$35-$AC$364+1,0)</f>
        <v>0</v>
      </c>
      <c r="BW366" s="237" t="n">
        <f aca="false">IF(BW$35&gt;=$AC$364,BW$35-$AC$364+1,0)</f>
        <v>0</v>
      </c>
      <c r="BX366" s="237" t="n">
        <f aca="false">IF(BX$35&gt;=$AC$364,BX$35-$AC$364+1,0)</f>
        <v>0</v>
      </c>
      <c r="BY366" s="237" t="n">
        <f aca="false">IF(BY$35&gt;=$AC$364,BY$35-$AC$364+1,0)</f>
        <v>0</v>
      </c>
      <c r="BZ366" s="237" t="n">
        <f aca="false">IF(BZ$35&gt;=$AC$364,BZ$35-$AC$364+1,0)</f>
        <v>0</v>
      </c>
      <c r="CA366" s="237" t="n">
        <f aca="false">IF(CA$35&gt;=$AC$364,CA$35-$AC$364+1,0)</f>
        <v>0</v>
      </c>
      <c r="CB366" s="237" t="n">
        <f aca="false">IF(CB$35&gt;=$AC$364,CB$35-$AC$364+1,0)</f>
        <v>0</v>
      </c>
      <c r="CC366" s="237" t="n">
        <f aca="false">IF(CC$35&gt;=$AC$364,CC$35-$AC$364+1,0)</f>
        <v>0</v>
      </c>
      <c r="CD366" s="237" t="n">
        <f aca="false">IF(CD$35&gt;=$AC$364,CD$35-$AC$364+1,0)</f>
        <v>0</v>
      </c>
      <c r="CE366" s="237" t="n">
        <f aca="false">IF(CE$35&gt;=$AC$364,CE$35-$AC$364+1,0)</f>
        <v>0</v>
      </c>
      <c r="CF366" s="237" t="n">
        <f aca="false">IF(CF$35&gt;=$AC$364,CF$35-$AC$364+1,0)</f>
        <v>0</v>
      </c>
      <c r="CG366" s="237" t="n">
        <f aca="false">IF(CG$35&gt;=$AC$364,CG$35-$AC$364+1,0)</f>
        <v>0</v>
      </c>
      <c r="CH366" s="237" t="n">
        <f aca="false">IF(CH$35&gt;=$AC$364,CH$35-$AC$364+1,0)</f>
        <v>0</v>
      </c>
      <c r="CI366" s="237" t="n">
        <f aca="false">IF(CI$35&gt;=$AC$364,CI$35-$AC$364+1,0)</f>
        <v>0</v>
      </c>
      <c r="CJ366" s="237" t="n">
        <f aca="false">IF(CJ$35&gt;=$AC$364,CJ$35-$AC$364+1,0)</f>
        <v>0</v>
      </c>
      <c r="CK366" s="237" t="n">
        <f aca="false">IF(CK$35&gt;=$AC$364,CK$35-$AC$364+1,0)</f>
        <v>0</v>
      </c>
      <c r="CL366" s="237" t="n">
        <f aca="false">IF(CL$35&gt;=$AC$364,CL$35-$AC$364+1,0)</f>
        <v>0</v>
      </c>
      <c r="CM366" s="237" t="n">
        <f aca="false">IF(CM$35&gt;=$AC$364,CM$35-$AC$364+1,0)</f>
        <v>0</v>
      </c>
      <c r="CN366" s="237" t="n">
        <f aca="false">IF(CN$35&gt;=$AC$364,CN$35-$AC$364+1,0)</f>
        <v>0</v>
      </c>
      <c r="CO366" s="237" t="n">
        <f aca="false">IF(CO$35&gt;=$AC$364,CO$35-$AC$364+1,0)</f>
        <v>0</v>
      </c>
      <c r="CP366" s="237" t="n">
        <f aca="false">IF(CP$35&gt;=$AC$364,CP$35-$AC$364+1,0)</f>
        <v>0</v>
      </c>
      <c r="CQ366" s="237" t="n">
        <f aca="false">IF(CQ$35&gt;=$AC$364,CQ$35-$AC$364+1,0)</f>
        <v>0</v>
      </c>
      <c r="CR366" s="237" t="n">
        <f aca="false">IF(CR$35&gt;=$AC$364,CR$35-$AC$364+1,0)</f>
        <v>0</v>
      </c>
      <c r="CS366" s="237" t="n">
        <f aca="false">IF(CS$35&gt;=$AC$364,CS$35-$AC$364+1,0)</f>
        <v>0</v>
      </c>
      <c r="CT366" s="237" t="n">
        <f aca="false">IF(CT$35&gt;=$AC$364,CT$35-$AC$364+1,0)</f>
        <v>0</v>
      </c>
      <c r="CU366" s="237" t="n">
        <f aca="false">IF(CU$35&gt;=$AC$364,CU$35-$AC$364+1,0)</f>
        <v>0</v>
      </c>
      <c r="CV366" s="237" t="n">
        <f aca="false">IF(CV$35&gt;=$AC$364,CV$35-$AC$364+1,0)</f>
        <v>0</v>
      </c>
      <c r="CW366" s="237" t="n">
        <f aca="false">IF(CW$35&gt;=$AC$364,CW$35-$AC$364+1,0)</f>
        <v>0</v>
      </c>
      <c r="CX366" s="237" t="n">
        <f aca="false">IF(CX$35&gt;=$AC$364,CX$35-$AC$364+1,0)</f>
        <v>0</v>
      </c>
      <c r="CY366" s="237" t="n">
        <f aca="false">IF(CY$35&gt;=$AC$364,CY$35-$AC$364+1,0)</f>
        <v>0</v>
      </c>
      <c r="CZ366" s="237" t="n">
        <f aca="false">IF(CZ$35&gt;=$AC$364,CZ$35-$AC$364+1,0)</f>
        <v>0</v>
      </c>
      <c r="DA366" s="237" t="n">
        <f aca="false">IF(DA$35&gt;=$AC$364,DA$35-$AC$364+1,0)</f>
        <v>0</v>
      </c>
      <c r="DB366" s="237" t="n">
        <f aca="false">IF(DB$35&gt;=$AC$364,DB$35-$AC$364+1,0)</f>
        <v>0</v>
      </c>
      <c r="DC366" s="237" t="n">
        <f aca="false">IF(DC$35&gt;=$AC$364,DC$35-$AC$364+1,0)</f>
        <v>0</v>
      </c>
      <c r="DD366" s="237" t="n">
        <f aca="false">IF(DD$35&gt;=$AC$364,DD$35-$AC$364+1,0)</f>
        <v>0</v>
      </c>
      <c r="DE366" s="237" t="n">
        <f aca="false">IF(DE$35&gt;=$AC$364,DE$35-$AC$364+1,0)</f>
        <v>0</v>
      </c>
      <c r="DF366" s="237" t="n">
        <f aca="false">IF(DF$35&gt;=$AC$364,DF$35-$AC$364+1,0)</f>
        <v>0</v>
      </c>
      <c r="DG366" s="237" t="n">
        <f aca="false">IF(DG$35&gt;=$AC$364,DG$35-$AC$364+1,0)</f>
        <v>0</v>
      </c>
      <c r="DH366" s="237" t="n">
        <f aca="false">IF(DH$35&gt;=$AC$364,DH$35-$AC$364+1,0)</f>
        <v>0</v>
      </c>
      <c r="DI366" s="237" t="n">
        <f aca="false">IF(DI$35&gt;=$AC$364,DI$35-$AC$364+1,0)</f>
        <v>0</v>
      </c>
      <c r="DJ366" s="237" t="n">
        <f aca="false">IF(DJ$35&gt;=$AC$364,DJ$35-$AC$364+1,0)</f>
        <v>0</v>
      </c>
      <c r="DK366" s="237" t="n">
        <f aca="false">IF(DK$35&gt;=$AC$364,DK$35-$AC$364+1,0)</f>
        <v>0</v>
      </c>
      <c r="DL366" s="237" t="n">
        <f aca="false">IF(DL$35&gt;=$AC$364,DL$35-$AC$364+1,0)</f>
        <v>0</v>
      </c>
      <c r="DM366" s="237" t="n">
        <f aca="false">IF(DM$35&gt;=$AC$364,DM$35-$AC$364+1,0)</f>
        <v>0</v>
      </c>
      <c r="DN366" s="237" t="n">
        <f aca="false">IF(DN$35&gt;=$AC$364,DN$35-$AC$364+1,0)</f>
        <v>0</v>
      </c>
      <c r="DO366" s="237" t="n">
        <f aca="false">IF(DO$35&gt;=$AC$364,DO$35-$AC$364+1,0)</f>
        <v>0</v>
      </c>
      <c r="DP366" s="237" t="n">
        <f aca="false">IF(DP$35&gt;=$AC$364,DP$35-$AC$364+1,0)</f>
        <v>0</v>
      </c>
      <c r="DQ366" s="237" t="n">
        <f aca="false">IF(DQ$35&gt;=$AC$364,DQ$35-$AC$364+1,0)</f>
        <v>0</v>
      </c>
      <c r="DR366" s="237" t="n">
        <f aca="false">IF(DR$35&gt;=$AC$364,DR$35-$AC$364+1,0)</f>
        <v>0</v>
      </c>
      <c r="DS366" s="237" t="n">
        <f aca="false">IF(DS$35&gt;=$AC$364,DS$35-$AC$364+1,0)</f>
        <v>0</v>
      </c>
      <c r="DT366" s="237" t="n">
        <f aca="false">IF(DT$35&gt;=$AC$364,DT$35-$AC$364+1,0)</f>
        <v>0</v>
      </c>
      <c r="DU366" s="237" t="n">
        <f aca="false">IF(DU$35&gt;=$AC$364,DU$35-$AC$364+1,0)</f>
        <v>0</v>
      </c>
      <c r="DV366" s="237" t="n">
        <f aca="false">IF(DV$35&gt;=$AC$364,DV$35-$AC$364+1,0)</f>
        <v>0</v>
      </c>
      <c r="DW366" s="237" t="n">
        <f aca="false">IF(DW$35&gt;=$AC$364,DW$35-$AC$364+1,0)</f>
        <v>0</v>
      </c>
      <c r="DX366" s="237" t="n">
        <f aca="false">IF(DX$35&gt;=$AC$364,DX$35-$AC$364+1,0)</f>
        <v>0</v>
      </c>
      <c r="DY366" s="237" t="n">
        <f aca="false">IF(DY$35&gt;=$AC$364,DY$35-$AC$364+1,0)</f>
        <v>0</v>
      </c>
      <c r="DZ366" s="237" t="n">
        <f aca="false">IF(DZ$35&gt;=$AC$364,DZ$35-$AC$364+1,0)</f>
        <v>0</v>
      </c>
      <c r="EA366" s="237" t="n">
        <f aca="false">IF(EA$35&gt;=$AC$364,EA$35-$AC$364+1,0)</f>
        <v>0</v>
      </c>
      <c r="EB366" s="237" t="n">
        <f aca="false">IF(EB$35&gt;=$AC$364,EB$35-$AC$364+1,0)</f>
        <v>0</v>
      </c>
      <c r="EC366" s="237" t="n">
        <f aca="false">IF(EC$35&gt;=$AC$364,EC$35-$AC$364+1,0)</f>
        <v>0</v>
      </c>
      <c r="ED366" s="237" t="n">
        <f aca="false">IF(ED$35&gt;=$AC$364,ED$35-$AC$364+1,0)</f>
        <v>0</v>
      </c>
      <c r="EE366" s="237" t="n">
        <f aca="false">IF(EE$35&gt;=$AC$364,EE$35-$AC$364+1,0)</f>
        <v>0</v>
      </c>
      <c r="EF366" s="237" t="n">
        <f aca="false">IF(EF$35&gt;=$AC$364,EF$35-$AC$364+1,0)</f>
        <v>1</v>
      </c>
      <c r="EG366" s="237" t="n">
        <f aca="false">IF(EG$35&gt;=$AC$364,EG$35-$AC$364+1,0)</f>
        <v>2</v>
      </c>
      <c r="EH366" s="237" t="n">
        <f aca="false">IF(EH$35&gt;=$AC$364,EH$35-$AC$364+1,0)</f>
        <v>3</v>
      </c>
      <c r="EI366" s="237" t="n">
        <f aca="false">IF(EI$35&gt;=$AC$364,EI$35-$AC$364+1,0)</f>
        <v>4</v>
      </c>
      <c r="EJ366" s="237" t="n">
        <f aca="false">IF(EJ$35&gt;=$AC$364,EJ$35-$AC$364+1,0)</f>
        <v>5</v>
      </c>
      <c r="EK366" s="237" t="n">
        <f aca="false">IF(EK$35&gt;=$AC$364,EK$35-$AC$364+1,0)</f>
        <v>6</v>
      </c>
      <c r="EL366" s="237" t="n">
        <f aca="false">IF(EL$35&gt;=$AC$364,EL$35-$AC$364+1,0)</f>
        <v>7</v>
      </c>
      <c r="EM366" s="237" t="n">
        <f aca="false">IF(EM$35&gt;=$AC$364,EM$35-$AC$364+1,0)</f>
        <v>8</v>
      </c>
      <c r="EN366" s="237" t="n">
        <f aca="false">IF(EN$35&gt;=$AC$364,EN$35-$AC$364+1,0)</f>
        <v>9</v>
      </c>
      <c r="EO366" s="237" t="n">
        <f aca="false">IF(EO$35&gt;=$AC$364,EO$35-$AC$364+1,0)</f>
        <v>10</v>
      </c>
      <c r="EP366" s="237" t="n">
        <f aca="false">IF(EP$35&gt;=$AC$364,EP$35-$AC$364+1,0)</f>
        <v>11</v>
      </c>
      <c r="EQ366" s="237" t="n">
        <f aca="false">IF(EQ$35&gt;=$AC$364,EQ$35-$AC$364+1,0)</f>
        <v>12</v>
      </c>
      <c r="ER366" s="237" t="n">
        <f aca="false">IF(ER$35&gt;=$AC$364,ER$35-$AC$364+1,0)</f>
        <v>13</v>
      </c>
      <c r="ES366" s="9" t="n">
        <f aca="false">IF(ES$35&gt;=$AC$364,ES$35-$AC$364+1,0)</f>
        <v>14</v>
      </c>
      <c r="ET366" s="9" t="n">
        <f aca="false">IF(ET$35&gt;=$AC$364,ET$35-$AC$364+1,0)</f>
        <v>15</v>
      </c>
      <c r="EU366" s="9" t="n">
        <f aca="false">IF(EU$35&gt;=$AC$364,EU$35-$AC$364+1,0)</f>
        <v>16</v>
      </c>
      <c r="EV366" s="9" t="n">
        <f aca="false">IF(EV$35&gt;=$AC$364,EV$35-$AC$364+1,0)</f>
        <v>17</v>
      </c>
      <c r="EW366" s="9" t="n">
        <f aca="false">IF(EW$35&gt;=$AC$364,EW$35-$AC$364+1,0)</f>
        <v>18</v>
      </c>
      <c r="EX366" s="9" t="n">
        <f aca="false">IF(EX$35&gt;=$AC$364,EX$35-$AC$364+1,0)</f>
        <v>19</v>
      </c>
      <c r="EY366" s="9" t="n">
        <f aca="false">IF(EY$35&gt;=$AC$364,EY$35-$AC$364+1,0)</f>
        <v>20</v>
      </c>
      <c r="EZ366" s="9" t="n">
        <f aca="false">IF(EZ$35&gt;=$AC$364,EZ$35-$AC$364+1,0)</f>
        <v>21</v>
      </c>
      <c r="FA366" s="9" t="n">
        <f aca="false">IF(FA$35&gt;=$AC$364,FA$35-$AC$364+1,0)</f>
        <v>22</v>
      </c>
      <c r="FB366" s="9" t="n">
        <f aca="false">IF(FB$35&gt;=$AC$364,FB$35-$AC$364+1,0)</f>
        <v>23</v>
      </c>
      <c r="FC366" s="9" t="n">
        <f aca="false">IF(FC$35&gt;=$AC$364,FC$35-$AC$364+1,0)</f>
        <v>24</v>
      </c>
      <c r="FD366" s="9" t="n">
        <f aca="false">IF(FD$35&gt;=$AC$364,FD$35-$AC$364+1,0)</f>
        <v>25</v>
      </c>
      <c r="FE366" s="9" t="n">
        <f aca="false">IF(FE$35&gt;=$AC$364,FE$35-$AC$364+1,0)</f>
        <v>26</v>
      </c>
      <c r="FF366" s="9" t="n">
        <f aca="false">IF(FF$35&gt;=$AC$364,FF$35-$AC$364+1,0)</f>
        <v>27</v>
      </c>
      <c r="FG366" s="9" t="n">
        <f aca="false">IF(FG$35&gt;=$AC$364,FG$35-$AC$364+1,0)</f>
        <v>28</v>
      </c>
      <c r="FH366" s="9" t="n">
        <f aca="false">IF(FH$35&gt;=$AC$364,FH$35-$AC$364+1,0)</f>
        <v>29</v>
      </c>
      <c r="FI366" s="9" t="n">
        <f aca="false">IF(FI$35&gt;=$AC$364,FI$35-$AC$364+1,0)</f>
        <v>30</v>
      </c>
      <c r="FJ366" s="9" t="n">
        <f aca="false">IF(FJ$35&gt;=$AC$364,FJ$35-$AC$364+1,0)</f>
        <v>31</v>
      </c>
      <c r="FK366" s="9" t="n">
        <f aca="false">IF(FK$35&gt;=$AC$364,FK$35-$AC$364+1,0)</f>
        <v>32</v>
      </c>
      <c r="FL366" s="9" t="n">
        <f aca="false">IF(FL$35&gt;=$AC$364,FL$35-$AC$364+1,0)</f>
        <v>33</v>
      </c>
      <c r="FM366" s="9" t="n">
        <f aca="false">IF(FM$35&gt;=$AC$364,FM$35-$AC$364+1,0)</f>
        <v>34</v>
      </c>
      <c r="FN366" s="9" t="n">
        <f aca="false">IF(FN$35&gt;=$AC$364,FN$35-$AC$364+1,0)</f>
        <v>35</v>
      </c>
      <c r="FO366" s="9" t="n">
        <f aca="false">IF(FO$35&gt;=$AC$364,FO$35-$AC$364+1,0)</f>
        <v>36</v>
      </c>
      <c r="FP366" s="9" t="n">
        <f aca="false">IF(FP$35&gt;=$AC$364,FP$35-$AC$364+1,0)</f>
        <v>37</v>
      </c>
    </row>
    <row r="367" customFormat="false" ht="15" hidden="false" customHeight="false" outlineLevel="2" collapsed="false">
      <c r="B367" s="47" t="s">
        <v>874</v>
      </c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237" t="n">
        <f aca="false" t="array" ref="AC367:AC367">IF(AC366=0,0,IF(AC366/'🎚️ Escenario'!$C$11&gt;=36,$AL$23,INDEX($C$23:$AL$23,MAX(1,ROUNDUP(AC366/'🎚️ Escenario'!$C$11,0)))))</f>
        <v>0</v>
      </c>
      <c r="AD367" s="237" t="n">
        <f aca="false" t="array" ref="AD367:AD367">IF(AD366=0,0,IF(AD366/'🎚️ Escenario'!$C$11&gt;=36,$AL$23,INDEX($C$23:$AL$23,MAX(1,ROUNDUP(AD366/'🎚️ Escenario'!$C$11,0)))))</f>
        <v>0</v>
      </c>
      <c r="AE367" s="237" t="n">
        <f aca="false" t="array" ref="AE367:AE367">IF(AE366=0,0,IF(AE366/'🎚️ Escenario'!$C$11&gt;=36,$AL$23,INDEX($C$23:$AL$23,MAX(1,ROUNDUP(AE366/'🎚️ Escenario'!$C$11,0)))))</f>
        <v>0</v>
      </c>
      <c r="AF367" s="237" t="n">
        <f aca="false" t="array" ref="AF367:AF367">IF(AF366=0,0,IF(AF366/'🎚️ Escenario'!$C$11&gt;=36,$AL$23,INDEX($C$23:$AL$23,MAX(1,ROUNDUP(AF366/'🎚️ Escenario'!$C$11,0)))))</f>
        <v>0</v>
      </c>
      <c r="AG367" s="237" t="n">
        <f aca="false" t="array" ref="AG367:AG367">IF(AG366=0,0,IF(AG366/'🎚️ Escenario'!$C$11&gt;=36,$AL$23,INDEX($C$23:$AL$23,MAX(1,ROUNDUP(AG366/'🎚️ Escenario'!$C$11,0)))))</f>
        <v>0</v>
      </c>
      <c r="AH367" s="237" t="n">
        <f aca="false" t="array" ref="AH367:AH367">IF(AH366=0,0,IF(AH366/'🎚️ Escenario'!$C$11&gt;=36,$AL$23,INDEX($C$23:$AL$23,MAX(1,ROUNDUP(AH366/'🎚️ Escenario'!$C$11,0)))))</f>
        <v>0</v>
      </c>
      <c r="AI367" s="237" t="n">
        <f aca="false" t="array" ref="AI367:AI367">IF(AI366=0,0,IF(AI366/'🎚️ Escenario'!$C$11&gt;=36,$AL$23,INDEX($C$23:$AL$23,MAX(1,ROUNDUP(AI366/'🎚️ Escenario'!$C$11,0)))))</f>
        <v>0</v>
      </c>
      <c r="AJ367" s="237" t="n">
        <f aca="false" t="array" ref="AJ367:AJ367">IF(AJ366=0,0,IF(AJ366/'🎚️ Escenario'!$C$11&gt;=36,$AL$23,INDEX($C$23:$AL$23,MAX(1,ROUNDUP(AJ366/'🎚️ Escenario'!$C$11,0)))))</f>
        <v>0</v>
      </c>
      <c r="AK367" s="237" t="n">
        <f aca="false" t="array" ref="AK367:AK367">IF(AK366=0,0,IF(AK366/'🎚️ Escenario'!$C$11&gt;=36,$AL$23,INDEX($C$23:$AL$23,MAX(1,ROUNDUP(AK366/'🎚️ Escenario'!$C$11,0)))))</f>
        <v>0</v>
      </c>
      <c r="AL367" s="237" t="n">
        <f aca="false" t="array" ref="AL367:AL367">IF(AL366=0,0,IF(AL366/'🎚️ Escenario'!$C$11&gt;=36,$AL$23,INDEX($C$23:$AL$23,MAX(1,ROUNDUP(AL366/'🎚️ Escenario'!$C$11,0)))))</f>
        <v>0</v>
      </c>
      <c r="AM367" s="237" t="n">
        <f aca="false" t="array" ref="AM367:AM367">IF(AM366=0,0,IF(AM366/'🎚️ Escenario'!$C$11&gt;=36,$AL$23,INDEX($C$23:$AL$23,MAX(1,ROUNDUP(AM366/'🎚️ Escenario'!$C$11,0)))))</f>
        <v>0</v>
      </c>
      <c r="AN367" s="237" t="n">
        <f aca="false" t="array" ref="AN367:AN367">IF(AN366=0,0,IF(AN366/'🎚️ Escenario'!$C$11&gt;=36,$AL$23,INDEX($C$23:$AL$23,MAX(1,ROUNDUP(AN366/'🎚️ Escenario'!$C$11,0)))))</f>
        <v>0</v>
      </c>
      <c r="AO367" s="237" t="n">
        <f aca="false" t="array" ref="AO367:AO367">IF(AO366=0,0,IF(AO366/'🎚️ Escenario'!$C$11&gt;=36,$AL$23,INDEX($C$23:$AL$23,MAX(1,ROUNDUP(AO366/'🎚️ Escenario'!$C$11,0)))))</f>
        <v>0</v>
      </c>
      <c r="AP367" s="237" t="n">
        <f aca="false" t="array" ref="AP367:AP367">IF(AP366=0,0,IF(AP366/'🎚️ Escenario'!$C$11&gt;=36,$AL$23,INDEX($C$23:$AL$23,MAX(1,ROUNDUP(AP366/'🎚️ Escenario'!$C$11,0)))))</f>
        <v>0</v>
      </c>
      <c r="AQ367" s="237" t="n">
        <f aca="false" t="array" ref="AQ367:AQ367">IF(AQ366=0,0,IF(AQ366/'🎚️ Escenario'!$C$11&gt;=36,$AL$23,INDEX($C$23:$AL$23,MAX(1,ROUNDUP(AQ366/'🎚️ Escenario'!$C$11,0)))))</f>
        <v>0</v>
      </c>
      <c r="AR367" s="237" t="n">
        <f aca="false" t="array" ref="AR367:AR367">IF(AR366=0,0,IF(AR366/'🎚️ Escenario'!$C$11&gt;=36,$AL$23,INDEX($C$23:$AL$23,MAX(1,ROUNDUP(AR366/'🎚️ Escenario'!$C$11,0)))))</f>
        <v>0</v>
      </c>
      <c r="AS367" s="237" t="n">
        <f aca="false" t="array" ref="AS367:AS367">IF(AS366=0,0,IF(AS366/'🎚️ Escenario'!$C$11&gt;=36,$AL$23,INDEX($C$23:$AL$23,MAX(1,ROUNDUP(AS366/'🎚️ Escenario'!$C$11,0)))))</f>
        <v>0</v>
      </c>
      <c r="AT367" s="237" t="n">
        <f aca="false" t="array" ref="AT367:AT367">IF(AT366=0,0,IF(AT366/'🎚️ Escenario'!$C$11&gt;=36,$AL$23,INDEX($C$23:$AL$23,MAX(1,ROUNDUP(AT366/'🎚️ Escenario'!$C$11,0)))))</f>
        <v>0</v>
      </c>
      <c r="AU367" s="237" t="n">
        <f aca="false" t="array" ref="AU367:AU367">IF(AU366=0,0,IF(AU366/'🎚️ Escenario'!$C$11&gt;=36,$AL$23,INDEX($C$23:$AL$23,MAX(1,ROUNDUP(AU366/'🎚️ Escenario'!$C$11,0)))))</f>
        <v>0</v>
      </c>
      <c r="AV367" s="237" t="n">
        <f aca="false" t="array" ref="AV367:AV367">IF(AV366=0,0,IF(AV366/'🎚️ Escenario'!$C$11&gt;=36,$AL$23,INDEX($C$23:$AL$23,MAX(1,ROUNDUP(AV366/'🎚️ Escenario'!$C$11,0)))))</f>
        <v>0</v>
      </c>
      <c r="AW367" s="237" t="n">
        <f aca="false" t="array" ref="AW367:AW367">IF(AW366=0,0,IF(AW366/'🎚️ Escenario'!$C$11&gt;=36,$AL$23,INDEX($C$23:$AL$23,MAX(1,ROUNDUP(AW366/'🎚️ Escenario'!$C$11,0)))))</f>
        <v>0</v>
      </c>
      <c r="AX367" s="237" t="n">
        <f aca="false" t="array" ref="AX367:AX367">IF(AX366=0,0,IF(AX366/'🎚️ Escenario'!$C$11&gt;=36,$AL$23,INDEX($C$23:$AL$23,MAX(1,ROUNDUP(AX366/'🎚️ Escenario'!$C$11,0)))))</f>
        <v>0</v>
      </c>
      <c r="AY367" s="237" t="n">
        <f aca="false" t="array" ref="AY367:AY367">IF(AY366=0,0,IF(AY366/'🎚️ Escenario'!$C$11&gt;=36,$AL$23,INDEX($C$23:$AL$23,MAX(1,ROUNDUP(AY366/'🎚️ Escenario'!$C$11,0)))))</f>
        <v>0</v>
      </c>
      <c r="AZ367" s="237" t="n">
        <f aca="false" t="array" ref="AZ367:AZ367">IF(AZ366=0,0,IF(AZ366/'🎚️ Escenario'!$C$11&gt;=36,$AL$23,INDEX($C$23:$AL$23,MAX(1,ROUNDUP(AZ366/'🎚️ Escenario'!$C$11,0)))))</f>
        <v>0</v>
      </c>
      <c r="BA367" s="237" t="n">
        <f aca="false" t="array" ref="BA367:BA367">IF(BA366=0,0,IF(BA366/'🎚️ Escenario'!$C$11&gt;=36,$AL$23,INDEX($C$23:$AL$23,MAX(1,ROUNDUP(BA366/'🎚️ Escenario'!$C$11,0)))))</f>
        <v>0</v>
      </c>
      <c r="BB367" s="237" t="n">
        <f aca="false" t="array" ref="BB367:BB367">IF(BB366=0,0,IF(BB366/'🎚️ Escenario'!$C$11&gt;=36,$AL$23,INDEX($C$23:$AL$23,MAX(1,ROUNDUP(BB366/'🎚️ Escenario'!$C$11,0)))))</f>
        <v>0</v>
      </c>
      <c r="BC367" s="237" t="n">
        <f aca="false" t="array" ref="BC367:BC367">IF(BC366=0,0,IF(BC366/'🎚️ Escenario'!$C$11&gt;=36,$AL$23,INDEX($C$23:$AL$23,MAX(1,ROUNDUP(BC366/'🎚️ Escenario'!$C$11,0)))))</f>
        <v>0</v>
      </c>
      <c r="BD367" s="237" t="n">
        <f aca="false" t="array" ref="BD367:BD367">IF(BD366=0,0,IF(BD366/'🎚️ Escenario'!$C$11&gt;=36,$AL$23,INDEX($C$23:$AL$23,MAX(1,ROUNDUP(BD366/'🎚️ Escenario'!$C$11,0)))))</f>
        <v>0</v>
      </c>
      <c r="BE367" s="237" t="n">
        <f aca="false" t="array" ref="BE367:BE367">IF(BE366=0,0,IF(BE366/'🎚️ Escenario'!$C$11&gt;=36,$AL$23,INDEX($C$23:$AL$23,MAX(1,ROUNDUP(BE366/'🎚️ Escenario'!$C$11,0)))))</f>
        <v>0</v>
      </c>
      <c r="BF367" s="237" t="n">
        <f aca="false" t="array" ref="BF367:BF367">IF(BF366=0,0,IF(BF366/'🎚️ Escenario'!$C$11&gt;=36,$AL$23,INDEX($C$23:$AL$23,MAX(1,ROUNDUP(BF366/'🎚️ Escenario'!$C$11,0)))))</f>
        <v>0</v>
      </c>
      <c r="BG367" s="237" t="n">
        <f aca="false" t="array" ref="BG367:BG367">IF(BG366=0,0,IF(BG366/'🎚️ Escenario'!$C$11&gt;=36,$AL$23,INDEX($C$23:$AL$23,MAX(1,ROUNDUP(BG366/'🎚️ Escenario'!$C$11,0)))))</f>
        <v>0</v>
      </c>
      <c r="BH367" s="237" t="n">
        <f aca="false" t="array" ref="BH367:BH367">IF(BH366=0,0,IF(BH366/'🎚️ Escenario'!$C$11&gt;=36,$AL$23,INDEX($C$23:$AL$23,MAX(1,ROUNDUP(BH366/'🎚️ Escenario'!$C$11,0)))))</f>
        <v>0</v>
      </c>
      <c r="BI367" s="237" t="n">
        <f aca="false" t="array" ref="BI367:BI367">IF(BI366=0,0,IF(BI366/'🎚️ Escenario'!$C$11&gt;=36,$AL$23,INDEX($C$23:$AL$23,MAX(1,ROUNDUP(BI366/'🎚️ Escenario'!$C$11,0)))))</f>
        <v>0</v>
      </c>
      <c r="BJ367" s="237" t="n">
        <f aca="false" t="array" ref="BJ367:BJ367">IF(BJ366=0,0,IF(BJ366/'🎚️ Escenario'!$C$11&gt;=36,$AL$23,INDEX($C$23:$AL$23,MAX(1,ROUNDUP(BJ366/'🎚️ Escenario'!$C$11,0)))))</f>
        <v>0</v>
      </c>
      <c r="BK367" s="237" t="n">
        <f aca="false" t="array" ref="BK367:BK367">IF(BK366=0,0,IF(BK366/'🎚️ Escenario'!$C$11&gt;=36,$AL$23,INDEX($C$23:$AL$23,MAX(1,ROUNDUP(BK366/'🎚️ Escenario'!$C$11,0)))))</f>
        <v>0</v>
      </c>
      <c r="BL367" s="237" t="n">
        <f aca="false" t="array" ref="BL367:BL367">IF(BL366=0,0,IF(BL366/'🎚️ Escenario'!$C$11&gt;=36,$AL$23,INDEX($C$23:$AL$23,MAX(1,ROUNDUP(BL366/'🎚️ Escenario'!$C$11,0)))))</f>
        <v>0</v>
      </c>
      <c r="BM367" s="237" t="n">
        <f aca="false" t="array" ref="BM367:BM367">IF(BM366=0,0,IF(BM366/'🎚️ Escenario'!$C$11&gt;=36,$AL$23,INDEX($C$23:$AL$23,MAX(1,ROUNDUP(BM366/'🎚️ Escenario'!$C$11,0)))))</f>
        <v>0</v>
      </c>
      <c r="BN367" s="237" t="n">
        <f aca="false" t="array" ref="BN367:BN367">IF(BN366=0,0,IF(BN366/'🎚️ Escenario'!$C$11&gt;=36,$AL$23,INDEX($C$23:$AL$23,MAX(1,ROUNDUP(BN366/'🎚️ Escenario'!$C$11,0)))))</f>
        <v>0</v>
      </c>
      <c r="BO367" s="237" t="n">
        <f aca="false" t="array" ref="BO367:BO367">IF(BO366=0,0,IF(BO366/'🎚️ Escenario'!$C$11&gt;=36,$AL$23,INDEX($C$23:$AL$23,MAX(1,ROUNDUP(BO366/'🎚️ Escenario'!$C$11,0)))))</f>
        <v>0</v>
      </c>
      <c r="BP367" s="237" t="n">
        <f aca="false" t="array" ref="BP367:BP367">IF(BP366=0,0,IF(BP366/'🎚️ Escenario'!$C$11&gt;=36,$AL$23,INDEX($C$23:$AL$23,MAX(1,ROUNDUP(BP366/'🎚️ Escenario'!$C$11,0)))))</f>
        <v>0</v>
      </c>
      <c r="BQ367" s="237" t="n">
        <f aca="false" t="array" ref="BQ367:BQ367">IF(BQ366=0,0,IF(BQ366/'🎚️ Escenario'!$C$11&gt;=36,$AL$23,INDEX($C$23:$AL$23,MAX(1,ROUNDUP(BQ366/'🎚️ Escenario'!$C$11,0)))))</f>
        <v>0</v>
      </c>
      <c r="BR367" s="237" t="n">
        <f aca="false" t="array" ref="BR367:BR367">IF(BR366=0,0,IF(BR366/'🎚️ Escenario'!$C$11&gt;=36,$AL$23,INDEX($C$23:$AL$23,MAX(1,ROUNDUP(BR366/'🎚️ Escenario'!$C$11,0)))))</f>
        <v>0</v>
      </c>
      <c r="BS367" s="237" t="n">
        <f aca="false" t="array" ref="BS367:BS367">IF(BS366=0,0,IF(BS366/'🎚️ Escenario'!$C$11&gt;=36,$AL$23,INDEX($C$23:$AL$23,MAX(1,ROUNDUP(BS366/'🎚️ Escenario'!$C$11,0)))))</f>
        <v>0</v>
      </c>
      <c r="BT367" s="237" t="n">
        <f aca="false" t="array" ref="BT367:BT367">IF(BT366=0,0,IF(BT366/'🎚️ Escenario'!$C$11&gt;=36,$AL$23,INDEX($C$23:$AL$23,MAX(1,ROUNDUP(BT366/'🎚️ Escenario'!$C$11,0)))))</f>
        <v>0</v>
      </c>
      <c r="BU367" s="237" t="n">
        <f aca="false" t="array" ref="BU367:BU367">IF(BU366=0,0,IF(BU366/'🎚️ Escenario'!$C$11&gt;=36,$AL$23,INDEX($C$23:$AL$23,MAX(1,ROUNDUP(BU366/'🎚️ Escenario'!$C$11,0)))))</f>
        <v>0</v>
      </c>
      <c r="BV367" s="237" t="n">
        <f aca="false" t="array" ref="BV367:BV367">IF(BV366=0,0,IF(BV366/'🎚️ Escenario'!$C$11&gt;=36,$AL$23,INDEX($C$23:$AL$23,MAX(1,ROUNDUP(BV366/'🎚️ Escenario'!$C$11,0)))))</f>
        <v>0</v>
      </c>
      <c r="BW367" s="237" t="n">
        <f aca="false" t="array" ref="BW367:BW367">IF(BW366=0,0,IF(BW366/'🎚️ Escenario'!$C$11&gt;=36,$AL$23,INDEX($C$23:$AL$23,MAX(1,ROUNDUP(BW366/'🎚️ Escenario'!$C$11,0)))))</f>
        <v>0</v>
      </c>
      <c r="BX367" s="237" t="n">
        <f aca="false" t="array" ref="BX367:BX367">IF(BX366=0,0,IF(BX366/'🎚️ Escenario'!$C$11&gt;=36,$AL$23,INDEX($C$23:$AL$23,MAX(1,ROUNDUP(BX366/'🎚️ Escenario'!$C$11,0)))))</f>
        <v>0</v>
      </c>
      <c r="BY367" s="237" t="n">
        <f aca="false" t="array" ref="BY367:BY367">IF(BY366=0,0,IF(BY366/'🎚️ Escenario'!$C$11&gt;=36,$AL$23,INDEX($C$23:$AL$23,MAX(1,ROUNDUP(BY366/'🎚️ Escenario'!$C$11,0)))))</f>
        <v>0</v>
      </c>
      <c r="BZ367" s="237" t="n">
        <f aca="false" t="array" ref="BZ367:BZ367">IF(BZ366=0,0,IF(BZ366/'🎚️ Escenario'!$C$11&gt;=36,$AL$23,INDEX($C$23:$AL$23,MAX(1,ROUNDUP(BZ366/'🎚️ Escenario'!$C$11,0)))))</f>
        <v>0</v>
      </c>
      <c r="CA367" s="237" t="n">
        <f aca="false" t="array" ref="CA367:CA367">IF(CA366=0,0,IF(CA366/'🎚️ Escenario'!$C$11&gt;=36,$AL$23,INDEX($C$23:$AL$23,MAX(1,ROUNDUP(CA366/'🎚️ Escenario'!$C$11,0)))))</f>
        <v>0</v>
      </c>
      <c r="CB367" s="237" t="n">
        <f aca="false" t="array" ref="CB367:CB367">IF(CB366=0,0,IF(CB366/'🎚️ Escenario'!$C$11&gt;=36,$AL$23,INDEX($C$23:$AL$23,MAX(1,ROUNDUP(CB366/'🎚️ Escenario'!$C$11,0)))))</f>
        <v>0</v>
      </c>
      <c r="CC367" s="237" t="n">
        <f aca="false" t="array" ref="CC367:CC367">IF(CC366=0,0,IF(CC366/'🎚️ Escenario'!$C$11&gt;=36,$AL$23,INDEX($C$23:$AL$23,MAX(1,ROUNDUP(CC366/'🎚️ Escenario'!$C$11,0)))))</f>
        <v>0</v>
      </c>
      <c r="CD367" s="237" t="n">
        <f aca="false" t="array" ref="CD367:CD367">IF(CD366=0,0,IF(CD366/'🎚️ Escenario'!$C$11&gt;=36,$AL$23,INDEX($C$23:$AL$23,MAX(1,ROUNDUP(CD366/'🎚️ Escenario'!$C$11,0)))))</f>
        <v>0</v>
      </c>
      <c r="CE367" s="237" t="n">
        <f aca="false" t="array" ref="CE367:CE367">IF(CE366=0,0,IF(CE366/'🎚️ Escenario'!$C$11&gt;=36,$AL$23,INDEX($C$23:$AL$23,MAX(1,ROUNDUP(CE366/'🎚️ Escenario'!$C$11,0)))))</f>
        <v>0</v>
      </c>
      <c r="CF367" s="237" t="n">
        <f aca="false" t="array" ref="CF367:CF367">IF(CF366=0,0,IF(CF366/'🎚️ Escenario'!$C$11&gt;=36,$AL$23,INDEX($C$23:$AL$23,MAX(1,ROUNDUP(CF366/'🎚️ Escenario'!$C$11,0)))))</f>
        <v>0</v>
      </c>
      <c r="CG367" s="237" t="n">
        <f aca="false" t="array" ref="CG367:CG367">IF(CG366=0,0,IF(CG366/'🎚️ Escenario'!$C$11&gt;=36,$AL$23,INDEX($C$23:$AL$23,MAX(1,ROUNDUP(CG366/'🎚️ Escenario'!$C$11,0)))))</f>
        <v>0</v>
      </c>
      <c r="CH367" s="237" t="n">
        <f aca="false" t="array" ref="CH367:CH367">IF(CH366=0,0,IF(CH366/'🎚️ Escenario'!$C$11&gt;=36,$AL$23,INDEX($C$23:$AL$23,MAX(1,ROUNDUP(CH366/'🎚️ Escenario'!$C$11,0)))))</f>
        <v>0</v>
      </c>
      <c r="CI367" s="237" t="n">
        <f aca="false" t="array" ref="CI367:CI367">IF(CI366=0,0,IF(CI366/'🎚️ Escenario'!$C$11&gt;=36,$AL$23,INDEX($C$23:$AL$23,MAX(1,ROUNDUP(CI366/'🎚️ Escenario'!$C$11,0)))))</f>
        <v>0</v>
      </c>
      <c r="CJ367" s="237" t="n">
        <f aca="false" t="array" ref="CJ367:CJ367">IF(CJ366=0,0,IF(CJ366/'🎚️ Escenario'!$C$11&gt;=36,$AL$23,INDEX($C$23:$AL$23,MAX(1,ROUNDUP(CJ366/'🎚️ Escenario'!$C$11,0)))))</f>
        <v>0</v>
      </c>
      <c r="CK367" s="237" t="n">
        <f aca="false" t="array" ref="CK367:CK367">IF(CK366=0,0,IF(CK366/'🎚️ Escenario'!$C$11&gt;=36,$AL$23,INDEX($C$23:$AL$23,MAX(1,ROUNDUP(CK366/'🎚️ Escenario'!$C$11,0)))))</f>
        <v>0</v>
      </c>
      <c r="CL367" s="237" t="n">
        <f aca="false" t="array" ref="CL367:CL367">IF(CL366=0,0,IF(CL366/'🎚️ Escenario'!$C$11&gt;=36,$AL$23,INDEX($C$23:$AL$23,MAX(1,ROUNDUP(CL366/'🎚️ Escenario'!$C$11,0)))))</f>
        <v>0</v>
      </c>
      <c r="CM367" s="237" t="n">
        <f aca="false" t="array" ref="CM367:CM367">IF(CM366=0,0,IF(CM366/'🎚️ Escenario'!$C$11&gt;=36,$AL$23,INDEX($C$23:$AL$23,MAX(1,ROUNDUP(CM366/'🎚️ Escenario'!$C$11,0)))))</f>
        <v>0</v>
      </c>
      <c r="CN367" s="237" t="n">
        <f aca="false" t="array" ref="CN367:CN367">IF(CN366=0,0,IF(CN366/'🎚️ Escenario'!$C$11&gt;=36,$AL$23,INDEX($C$23:$AL$23,MAX(1,ROUNDUP(CN366/'🎚️ Escenario'!$C$11,0)))))</f>
        <v>0</v>
      </c>
      <c r="CO367" s="237" t="n">
        <f aca="false" t="array" ref="CO367:CO367">IF(CO366=0,0,IF(CO366/'🎚️ Escenario'!$C$11&gt;=36,$AL$23,INDEX($C$23:$AL$23,MAX(1,ROUNDUP(CO366/'🎚️ Escenario'!$C$11,0)))))</f>
        <v>0</v>
      </c>
      <c r="CP367" s="237" t="n">
        <f aca="false" t="array" ref="CP367:CP367">IF(CP366=0,0,IF(CP366/'🎚️ Escenario'!$C$11&gt;=36,$AL$23,INDEX($C$23:$AL$23,MAX(1,ROUNDUP(CP366/'🎚️ Escenario'!$C$11,0)))))</f>
        <v>0</v>
      </c>
      <c r="CQ367" s="237" t="n">
        <f aca="false" t="array" ref="CQ367:CQ367">IF(CQ366=0,0,IF(CQ366/'🎚️ Escenario'!$C$11&gt;=36,$AL$23,INDEX($C$23:$AL$23,MAX(1,ROUNDUP(CQ366/'🎚️ Escenario'!$C$11,0)))))</f>
        <v>0</v>
      </c>
      <c r="CR367" s="237" t="n">
        <f aca="false" t="array" ref="CR367:CR367">IF(CR366=0,0,IF(CR366/'🎚️ Escenario'!$C$11&gt;=36,$AL$23,INDEX($C$23:$AL$23,MAX(1,ROUNDUP(CR366/'🎚️ Escenario'!$C$11,0)))))</f>
        <v>0</v>
      </c>
      <c r="CS367" s="237" t="n">
        <f aca="false" t="array" ref="CS367:CS367">IF(CS366=0,0,IF(CS366/'🎚️ Escenario'!$C$11&gt;=36,$AL$23,INDEX($C$23:$AL$23,MAX(1,ROUNDUP(CS366/'🎚️ Escenario'!$C$11,0)))))</f>
        <v>0</v>
      </c>
      <c r="CT367" s="237" t="n">
        <f aca="false" t="array" ref="CT367:CT367">IF(CT366=0,0,IF(CT366/'🎚️ Escenario'!$C$11&gt;=36,$AL$23,INDEX($C$23:$AL$23,MAX(1,ROUNDUP(CT366/'🎚️ Escenario'!$C$11,0)))))</f>
        <v>0</v>
      </c>
      <c r="CU367" s="237" t="n">
        <f aca="false" t="array" ref="CU367:CU367">IF(CU366=0,0,IF(CU366/'🎚️ Escenario'!$C$11&gt;=36,$AL$23,INDEX($C$23:$AL$23,MAX(1,ROUNDUP(CU366/'🎚️ Escenario'!$C$11,0)))))</f>
        <v>0</v>
      </c>
      <c r="CV367" s="237" t="n">
        <f aca="false" t="array" ref="CV367:CV367">IF(CV366=0,0,IF(CV366/'🎚️ Escenario'!$C$11&gt;=36,$AL$23,INDEX($C$23:$AL$23,MAX(1,ROUNDUP(CV366/'🎚️ Escenario'!$C$11,0)))))</f>
        <v>0</v>
      </c>
      <c r="CW367" s="237" t="n">
        <f aca="false" t="array" ref="CW367:CW367">IF(CW366=0,0,IF(CW366/'🎚️ Escenario'!$C$11&gt;=36,$AL$23,INDEX($C$23:$AL$23,MAX(1,ROUNDUP(CW366/'🎚️ Escenario'!$C$11,0)))))</f>
        <v>0</v>
      </c>
      <c r="CX367" s="237" t="n">
        <f aca="false" t="array" ref="CX367:CX367">IF(CX366=0,0,IF(CX366/'🎚️ Escenario'!$C$11&gt;=36,$AL$23,INDEX($C$23:$AL$23,MAX(1,ROUNDUP(CX366/'🎚️ Escenario'!$C$11,0)))))</f>
        <v>0</v>
      </c>
      <c r="CY367" s="237" t="n">
        <f aca="false" t="array" ref="CY367:CY367">IF(CY366=0,0,IF(CY366/'🎚️ Escenario'!$C$11&gt;=36,$AL$23,INDEX($C$23:$AL$23,MAX(1,ROUNDUP(CY366/'🎚️ Escenario'!$C$11,0)))))</f>
        <v>0</v>
      </c>
      <c r="CZ367" s="237" t="n">
        <f aca="false" t="array" ref="CZ367:CZ367">IF(CZ366=0,0,IF(CZ366/'🎚️ Escenario'!$C$11&gt;=36,$AL$23,INDEX($C$23:$AL$23,MAX(1,ROUNDUP(CZ366/'🎚️ Escenario'!$C$11,0)))))</f>
        <v>0</v>
      </c>
      <c r="DA367" s="237" t="n">
        <f aca="false" t="array" ref="DA367:DA367">IF(DA366=0,0,IF(DA366/'🎚️ Escenario'!$C$11&gt;=36,$AL$23,INDEX($C$23:$AL$23,MAX(1,ROUNDUP(DA366/'🎚️ Escenario'!$C$11,0)))))</f>
        <v>0</v>
      </c>
      <c r="DB367" s="237" t="n">
        <f aca="false" t="array" ref="DB367:DB367">IF(DB366=0,0,IF(DB366/'🎚️ Escenario'!$C$11&gt;=36,$AL$23,INDEX($C$23:$AL$23,MAX(1,ROUNDUP(DB366/'🎚️ Escenario'!$C$11,0)))))</f>
        <v>0</v>
      </c>
      <c r="DC367" s="237" t="n">
        <f aca="false" t="array" ref="DC367:DC367">IF(DC366=0,0,IF(DC366/'🎚️ Escenario'!$C$11&gt;=36,$AL$23,INDEX($C$23:$AL$23,MAX(1,ROUNDUP(DC366/'🎚️ Escenario'!$C$11,0)))))</f>
        <v>0</v>
      </c>
      <c r="DD367" s="237" t="n">
        <f aca="false" t="array" ref="DD367:DD367">IF(DD366=0,0,IF(DD366/'🎚️ Escenario'!$C$11&gt;=36,$AL$23,INDEX($C$23:$AL$23,MAX(1,ROUNDUP(DD366/'🎚️ Escenario'!$C$11,0)))))</f>
        <v>0</v>
      </c>
      <c r="DE367" s="237" t="n">
        <f aca="false" t="array" ref="DE367:DE367">IF(DE366=0,0,IF(DE366/'🎚️ Escenario'!$C$11&gt;=36,$AL$23,INDEX($C$23:$AL$23,MAX(1,ROUNDUP(DE366/'🎚️ Escenario'!$C$11,0)))))</f>
        <v>0</v>
      </c>
      <c r="DF367" s="237" t="n">
        <f aca="false" t="array" ref="DF367:DF367">IF(DF366=0,0,IF(DF366/'🎚️ Escenario'!$C$11&gt;=36,$AL$23,INDEX($C$23:$AL$23,MAX(1,ROUNDUP(DF366/'🎚️ Escenario'!$C$11,0)))))</f>
        <v>0</v>
      </c>
      <c r="DG367" s="237" t="n">
        <f aca="false" t="array" ref="DG367:DG367">IF(DG366=0,0,IF(DG366/'🎚️ Escenario'!$C$11&gt;=36,$AL$23,INDEX($C$23:$AL$23,MAX(1,ROUNDUP(DG366/'🎚️ Escenario'!$C$11,0)))))</f>
        <v>0</v>
      </c>
      <c r="DH367" s="237" t="n">
        <f aca="false" t="array" ref="DH367:DH367">IF(DH366=0,0,IF(DH366/'🎚️ Escenario'!$C$11&gt;=36,$AL$23,INDEX($C$23:$AL$23,MAX(1,ROUNDUP(DH366/'🎚️ Escenario'!$C$11,0)))))</f>
        <v>0</v>
      </c>
      <c r="DI367" s="237" t="n">
        <f aca="false" t="array" ref="DI367:DI367">IF(DI366=0,0,IF(DI366/'🎚️ Escenario'!$C$11&gt;=36,$AL$23,INDEX($C$23:$AL$23,MAX(1,ROUNDUP(DI366/'🎚️ Escenario'!$C$11,0)))))</f>
        <v>0</v>
      </c>
      <c r="DJ367" s="237" t="n">
        <f aca="false" t="array" ref="DJ367:DJ367">IF(DJ366=0,0,IF(DJ366/'🎚️ Escenario'!$C$11&gt;=36,$AL$23,INDEX($C$23:$AL$23,MAX(1,ROUNDUP(DJ366/'🎚️ Escenario'!$C$11,0)))))</f>
        <v>0</v>
      </c>
      <c r="DK367" s="237" t="n">
        <f aca="false" t="array" ref="DK367:DK367">IF(DK366=0,0,IF(DK366/'🎚️ Escenario'!$C$11&gt;=36,$AL$23,INDEX($C$23:$AL$23,MAX(1,ROUNDUP(DK366/'🎚️ Escenario'!$C$11,0)))))</f>
        <v>0</v>
      </c>
      <c r="DL367" s="237" t="n">
        <f aca="false" t="array" ref="DL367:DL367">IF(DL366=0,0,IF(DL366/'🎚️ Escenario'!$C$11&gt;=36,$AL$23,INDEX($C$23:$AL$23,MAX(1,ROUNDUP(DL366/'🎚️ Escenario'!$C$11,0)))))</f>
        <v>0</v>
      </c>
      <c r="DM367" s="237" t="n">
        <f aca="false" t="array" ref="DM367:DM367">IF(DM366=0,0,IF(DM366/'🎚️ Escenario'!$C$11&gt;=36,$AL$23,INDEX($C$23:$AL$23,MAX(1,ROUNDUP(DM366/'🎚️ Escenario'!$C$11,0)))))</f>
        <v>0</v>
      </c>
      <c r="DN367" s="237" t="n">
        <f aca="false" t="array" ref="DN367:DN367">IF(DN366=0,0,IF(DN366/'🎚️ Escenario'!$C$11&gt;=36,$AL$23,INDEX($C$23:$AL$23,MAX(1,ROUNDUP(DN366/'🎚️ Escenario'!$C$11,0)))))</f>
        <v>0</v>
      </c>
      <c r="DO367" s="237" t="n">
        <f aca="false" t="array" ref="DO367:DO367">IF(DO366=0,0,IF(DO366/'🎚️ Escenario'!$C$11&gt;=36,$AL$23,INDEX($C$23:$AL$23,MAX(1,ROUNDUP(DO366/'🎚️ Escenario'!$C$11,0)))))</f>
        <v>0</v>
      </c>
      <c r="DP367" s="237" t="n">
        <f aca="false" t="array" ref="DP367:DP367">IF(DP366=0,0,IF(DP366/'🎚️ Escenario'!$C$11&gt;=36,$AL$23,INDEX($C$23:$AL$23,MAX(1,ROUNDUP(DP366/'🎚️ Escenario'!$C$11,0)))))</f>
        <v>0</v>
      </c>
      <c r="DQ367" s="237" t="n">
        <f aca="false" t="array" ref="DQ367:DQ367">IF(DQ366=0,0,IF(DQ366/'🎚️ Escenario'!$C$11&gt;=36,$AL$23,INDEX($C$23:$AL$23,MAX(1,ROUNDUP(DQ366/'🎚️ Escenario'!$C$11,0)))))</f>
        <v>0</v>
      </c>
      <c r="DR367" s="237" t="n">
        <f aca="false" t="array" ref="DR367:DR367">IF(DR366=0,0,IF(DR366/'🎚️ Escenario'!$C$11&gt;=36,$AL$23,INDEX($C$23:$AL$23,MAX(1,ROUNDUP(DR366/'🎚️ Escenario'!$C$11,0)))))</f>
        <v>0</v>
      </c>
      <c r="DS367" s="237" t="n">
        <f aca="false" t="array" ref="DS367:DS367">IF(DS366=0,0,IF(DS366/'🎚️ Escenario'!$C$11&gt;=36,$AL$23,INDEX($C$23:$AL$23,MAX(1,ROUNDUP(DS366/'🎚️ Escenario'!$C$11,0)))))</f>
        <v>0</v>
      </c>
      <c r="DT367" s="237" t="n">
        <f aca="false" t="array" ref="DT367:DT367">IF(DT366=0,0,IF(DT366/'🎚️ Escenario'!$C$11&gt;=36,$AL$23,INDEX($C$23:$AL$23,MAX(1,ROUNDUP(DT366/'🎚️ Escenario'!$C$11,0)))))</f>
        <v>0</v>
      </c>
      <c r="DU367" s="237" t="n">
        <f aca="false" t="array" ref="DU367:DU367">IF(DU366=0,0,IF(DU366/'🎚️ Escenario'!$C$11&gt;=36,$AL$23,INDEX($C$23:$AL$23,MAX(1,ROUNDUP(DU366/'🎚️ Escenario'!$C$11,0)))))</f>
        <v>0</v>
      </c>
      <c r="DV367" s="237" t="n">
        <f aca="false" t="array" ref="DV367:DV367">IF(DV366=0,0,IF(DV366/'🎚️ Escenario'!$C$11&gt;=36,$AL$23,INDEX($C$23:$AL$23,MAX(1,ROUNDUP(DV366/'🎚️ Escenario'!$C$11,0)))))</f>
        <v>0</v>
      </c>
      <c r="DW367" s="237" t="n">
        <f aca="false" t="array" ref="DW367:DW367">IF(DW366=0,0,IF(DW366/'🎚️ Escenario'!$C$11&gt;=36,$AL$23,INDEX($C$23:$AL$23,MAX(1,ROUNDUP(DW366/'🎚️ Escenario'!$C$11,0)))))</f>
        <v>0</v>
      </c>
      <c r="DX367" s="237" t="n">
        <f aca="false" t="array" ref="DX367:DX367">IF(DX366=0,0,IF(DX366/'🎚️ Escenario'!$C$11&gt;=36,$AL$23,INDEX($C$23:$AL$23,MAX(1,ROUNDUP(DX366/'🎚️ Escenario'!$C$11,0)))))</f>
        <v>0</v>
      </c>
      <c r="DY367" s="237" t="n">
        <f aca="false" t="array" ref="DY367:DY367">IF(DY366=0,0,IF(DY366/'🎚️ Escenario'!$C$11&gt;=36,$AL$23,INDEX($C$23:$AL$23,MAX(1,ROUNDUP(DY366/'🎚️ Escenario'!$C$11,0)))))</f>
        <v>0</v>
      </c>
      <c r="DZ367" s="237" t="n">
        <f aca="false" t="array" ref="DZ367:DZ367">IF(DZ366=0,0,IF(DZ366/'🎚️ Escenario'!$C$11&gt;=36,$AL$23,INDEX($C$23:$AL$23,MAX(1,ROUNDUP(DZ366/'🎚️ Escenario'!$C$11,0)))))</f>
        <v>0</v>
      </c>
      <c r="EA367" s="237" t="n">
        <f aca="false" t="array" ref="EA367:EA367">IF(EA366=0,0,IF(EA366/'🎚️ Escenario'!$C$11&gt;=36,$AL$23,INDEX($C$23:$AL$23,MAX(1,ROUNDUP(EA366/'🎚️ Escenario'!$C$11,0)))))</f>
        <v>0</v>
      </c>
      <c r="EB367" s="237" t="n">
        <f aca="false" t="array" ref="EB367:EB367">IF(EB366=0,0,IF(EB366/'🎚️ Escenario'!$C$11&gt;=36,$AL$23,INDEX($C$23:$AL$23,MAX(1,ROUNDUP(EB366/'🎚️ Escenario'!$C$11,0)))))</f>
        <v>0</v>
      </c>
      <c r="EC367" s="237" t="n">
        <f aca="false" t="array" ref="EC367:EC367">IF(EC366=0,0,IF(EC366/'🎚️ Escenario'!$C$11&gt;=36,$AL$23,INDEX($C$23:$AL$23,MAX(1,ROUNDUP(EC366/'🎚️ Escenario'!$C$11,0)))))</f>
        <v>0</v>
      </c>
      <c r="ED367" s="237" t="n">
        <f aca="false" t="array" ref="ED367:ED367">IF(ED366=0,0,IF(ED366/'🎚️ Escenario'!$C$11&gt;=36,$AL$23,INDEX($C$23:$AL$23,MAX(1,ROUNDUP(ED366/'🎚️ Escenario'!$C$11,0)))))</f>
        <v>0</v>
      </c>
      <c r="EE367" s="237" t="n">
        <f aca="false" t="array" ref="EE367:EE367">IF(EE366=0,0,IF(EE366/'🎚️ Escenario'!$C$11&gt;=36,$AL$23,INDEX($C$23:$AL$23,MAX(1,ROUNDUP(EE366/'🎚️ Escenario'!$C$11,0)))))</f>
        <v>0</v>
      </c>
      <c r="EF367" s="237" t="n">
        <f aca="false" t="array" ref="EF367:EF367">IF(EF366=0,0,IF(EF366/'🎚️ Escenario'!$C$11&gt;=36,$AL$23,INDEX($C$23:$AL$23,MAX(1,ROUNDUP(EF366/'🎚️ Escenario'!$C$11,0)))))</f>
        <v>0.2</v>
      </c>
      <c r="EG367" s="237" t="n">
        <f aca="false" t="array" ref="EG367:EG367">IF(EG366=0,0,IF(EG366/'🎚️ Escenario'!$C$11&gt;=36,$AL$23,INDEX($C$23:$AL$23,MAX(1,ROUNDUP(EG366/'🎚️ Escenario'!$C$11,0)))))</f>
        <v>0.22</v>
      </c>
      <c r="EH367" s="237" t="n">
        <f aca="false" t="array" ref="EH367:EH367">IF(EH366=0,0,IF(EH366/'🎚️ Escenario'!$C$11&gt;=36,$AL$23,INDEX($C$23:$AL$23,MAX(1,ROUNDUP(EH366/'🎚️ Escenario'!$C$11,0)))))</f>
        <v>0.24</v>
      </c>
      <c r="EI367" s="237" t="n">
        <f aca="false" t="array" ref="EI367:EI367">IF(EI366=0,0,IF(EI366/'🎚️ Escenario'!$C$11&gt;=36,$AL$23,INDEX($C$23:$AL$23,MAX(1,ROUNDUP(EI366/'🎚️ Escenario'!$C$11,0)))))</f>
        <v>0.27</v>
      </c>
      <c r="EJ367" s="237" t="n">
        <f aca="false" t="array" ref="EJ367:EJ367">IF(EJ366=0,0,IF(EJ366/'🎚️ Escenario'!$C$11&gt;=36,$AL$23,INDEX($C$23:$AL$23,MAX(1,ROUNDUP(EJ366/'🎚️ Escenario'!$C$11,0)))))</f>
        <v>0.27</v>
      </c>
      <c r="EK367" s="237" t="n">
        <f aca="false" t="array" ref="EK367:EK367">IF(EK366=0,0,IF(EK366/'🎚️ Escenario'!$C$11&gt;=36,$AL$23,INDEX($C$23:$AL$23,MAX(1,ROUNDUP(EK366/'🎚️ Escenario'!$C$11,0)))))</f>
        <v>0.31</v>
      </c>
      <c r="EL367" s="237" t="n">
        <f aca="false" t="array" ref="EL367:EL367">IF(EL366=0,0,IF(EL366/'🎚️ Escenario'!$C$11&gt;=36,$AL$23,INDEX($C$23:$AL$23,MAX(1,ROUNDUP(EL366/'🎚️ Escenario'!$C$11,0)))))</f>
        <v>0.35</v>
      </c>
      <c r="EM367" s="237" t="n">
        <f aca="false" t="array" ref="EM367:EM367">IF(EM366=0,0,IF(EM366/'🎚️ Escenario'!$C$11&gt;=36,$AL$23,INDEX($C$23:$AL$23,MAX(1,ROUNDUP(EM366/'🎚️ Escenario'!$C$11,0)))))</f>
        <v>0.39</v>
      </c>
      <c r="EN367" s="237" t="n">
        <f aca="false" t="array" ref="EN367:EN367">IF(EN366=0,0,IF(EN366/'🎚️ Escenario'!$C$11&gt;=36,$AL$23,INDEX($C$23:$AL$23,MAX(1,ROUNDUP(EN366/'🎚️ Escenario'!$C$11,0)))))</f>
        <v>0.44</v>
      </c>
      <c r="EO367" s="237" t="n">
        <f aca="false" t="array" ref="EO367:EO367">IF(EO366=0,0,IF(EO366/'🎚️ Escenario'!$C$11&gt;=36,$AL$23,INDEX($C$23:$AL$23,MAX(1,ROUNDUP(EO366/'🎚️ Escenario'!$C$11,0)))))</f>
        <v>0.44</v>
      </c>
      <c r="EP367" s="237" t="n">
        <f aca="false" t="array" ref="EP367:EP367">IF(EP366=0,0,IF(EP366/'🎚️ Escenario'!$C$11&gt;=36,$AL$23,INDEX($C$23:$AL$23,MAX(1,ROUNDUP(EP366/'🎚️ Escenario'!$C$11,0)))))</f>
        <v>0.48</v>
      </c>
      <c r="EQ367" s="237" t="n">
        <f aca="false" t="array" ref="EQ367:EQ367">IF(EQ366=0,0,IF(EQ366/'🎚️ Escenario'!$C$11&gt;=36,$AL$23,INDEX($C$23:$AL$23,MAX(1,ROUNDUP(EQ366/'🎚️ Escenario'!$C$11,0)))))</f>
        <v>0.52</v>
      </c>
      <c r="ER367" s="237" t="n">
        <f aca="false" t="array" ref="ER367:ER367">IF(ER366=0,0,IF(ER366/'🎚️ Escenario'!$C$11&gt;=36,$AL$23,INDEX($C$23:$AL$23,MAX(1,ROUNDUP(ER366/'🎚️ Escenario'!$C$11,0)))))</f>
        <v>0.56</v>
      </c>
      <c r="ES367" s="9" t="n">
        <f aca="false" t="array" ref="ES367:ES367">IF(ES366=0,0,IF(ES366/'🎚️ Escenario'!$C$11&gt;=36,$AL$23,INDEX($C$23:$AL$23,MAX(1,ROUNDUP(ES366/'🎚️ Escenario'!$C$11,0)))))</f>
        <v>0.6</v>
      </c>
      <c r="ET367" s="9" t="n">
        <f aca="false" t="array" ref="ET367:ET367">IF(ET366=0,0,IF(ET366/'🎚️ Escenario'!$C$11&gt;=36,$AL$23,INDEX($C$23:$AL$23,MAX(1,ROUNDUP(ET366/'🎚️ Escenario'!$C$11,0)))))</f>
        <v>0.6</v>
      </c>
      <c r="EU367" s="9" t="n">
        <f aca="false" t="array" ref="EU367:EU367">IF(EU366=0,0,IF(EU366/'🎚️ Escenario'!$C$11&gt;=36,$AL$23,INDEX($C$23:$AL$23,MAX(1,ROUNDUP(EU366/'🎚️ Escenario'!$C$11,0)))))</f>
        <v>0.63</v>
      </c>
      <c r="EV367" s="9" t="n">
        <f aca="false" t="array" ref="EV367:EV367">IF(EV366=0,0,IF(EV366/'🎚️ Escenario'!$C$11&gt;=36,$AL$23,INDEX($C$23:$AL$23,MAX(1,ROUNDUP(EV366/'🎚️ Escenario'!$C$11,0)))))</f>
        <v>0.66</v>
      </c>
      <c r="EW367" s="9" t="n">
        <f aca="false" t="array" ref="EW367:EW367">IF(EW366=0,0,IF(EW366/'🎚️ Escenario'!$C$11&gt;=36,$AL$23,INDEX($C$23:$AL$23,MAX(1,ROUNDUP(EW366/'🎚️ Escenario'!$C$11,0)))))</f>
        <v>0.69</v>
      </c>
      <c r="EX367" s="9" t="n">
        <f aca="false" t="array" ref="EX367:EX367">IF(EX366=0,0,IF(EX366/'🎚️ Escenario'!$C$11&gt;=36,$AL$23,INDEX($C$23:$AL$23,MAX(1,ROUNDUP(EX366/'🎚️ Escenario'!$C$11,0)))))</f>
        <v>0.71</v>
      </c>
      <c r="EY367" s="9" t="n">
        <f aca="false" t="array" ref="EY367:EY367">IF(EY366=0,0,IF(EY366/'🎚️ Escenario'!$C$11&gt;=36,$AL$23,INDEX($C$23:$AL$23,MAX(1,ROUNDUP(EY366/'🎚️ Escenario'!$C$11,0)))))</f>
        <v>0.71</v>
      </c>
      <c r="EZ367" s="9" t="n">
        <f aca="false" t="array" ref="EZ367:EZ367">IF(EZ366=0,0,IF(EZ366/'🎚️ Escenario'!$C$11&gt;=36,$AL$23,INDEX($C$23:$AL$23,MAX(1,ROUNDUP(EZ366/'🎚️ Escenario'!$C$11,0)))))</f>
        <v>0.73</v>
      </c>
      <c r="FA367" s="9" t="n">
        <f aca="false" t="array" ref="FA367:FA367">IF(FA366=0,0,IF(FA366/'🎚️ Escenario'!$C$11&gt;=36,$AL$23,INDEX($C$23:$AL$23,MAX(1,ROUNDUP(FA366/'🎚️ Escenario'!$C$11,0)))))</f>
        <v>0.75</v>
      </c>
      <c r="FB367" s="9" t="n">
        <f aca="false" t="array" ref="FB367:FB367">IF(FB366=0,0,IF(FB366/'🎚️ Escenario'!$C$11&gt;=36,$AL$23,INDEX($C$23:$AL$23,MAX(1,ROUNDUP(FB366/'🎚️ Escenario'!$C$11,0)))))</f>
        <v>0.77</v>
      </c>
      <c r="FC367" s="9" t="n">
        <f aca="false" t="array" ref="FC367:FC367">IF(FC366=0,0,IF(FC366/'🎚️ Escenario'!$C$11&gt;=36,$AL$23,INDEX($C$23:$AL$23,MAX(1,ROUNDUP(FC366/'🎚️ Escenario'!$C$11,0)))))</f>
        <v>0.79</v>
      </c>
      <c r="FD367" s="9" t="n">
        <f aca="false" t="array" ref="FD367:FD367">IF(FD366=0,0,IF(FD366/'🎚️ Escenario'!$C$11&gt;=36,$AL$23,INDEX($C$23:$AL$23,MAX(1,ROUNDUP(FD366/'🎚️ Escenario'!$C$11,0)))))</f>
        <v>0.79</v>
      </c>
      <c r="FE367" s="9" t="n">
        <f aca="false" t="array" ref="FE367:FE367">IF(FE366=0,0,IF(FE366/'🎚️ Escenario'!$C$11&gt;=36,$AL$23,INDEX($C$23:$AL$23,MAX(1,ROUNDUP(FE366/'🎚️ Escenario'!$C$11,0)))))</f>
        <v>0.8</v>
      </c>
      <c r="FF367" s="9" t="n">
        <f aca="false" t="array" ref="FF367:FF367">IF(FF366=0,0,IF(FF366/'🎚️ Escenario'!$C$11&gt;=36,$AL$23,INDEX($C$23:$AL$23,MAX(1,ROUNDUP(FF366/'🎚️ Escenario'!$C$11,0)))))</f>
        <v>0.82</v>
      </c>
      <c r="FG367" s="9" t="n">
        <f aca="false" t="array" ref="FG367:FG367">IF(FG366=0,0,IF(FG366/'🎚️ Escenario'!$C$11&gt;=36,$AL$23,INDEX($C$23:$AL$23,MAX(1,ROUNDUP(FG366/'🎚️ Escenario'!$C$11,0)))))</f>
        <v>0.84</v>
      </c>
      <c r="FH367" s="9" t="n">
        <f aca="false" t="array" ref="FH367:FH367">IF(FH366=0,0,IF(FH366/'🎚️ Escenario'!$C$11&gt;=36,$AL$23,INDEX($C$23:$AL$23,MAX(1,ROUNDUP(FH366/'🎚️ Escenario'!$C$11,0)))))</f>
        <v>0.85</v>
      </c>
      <c r="FI367" s="9" t="n">
        <f aca="false" t="array" ref="FI367:FI367">IF(FI366=0,0,IF(FI366/'🎚️ Escenario'!$C$11&gt;=36,$AL$23,INDEX($C$23:$AL$23,MAX(1,ROUNDUP(FI366/'🎚️ Escenario'!$C$11,0)))))</f>
        <v>0.85</v>
      </c>
      <c r="FJ367" s="9" t="n">
        <f aca="false" t="array" ref="FJ367:FJ367">IF(FJ366=0,0,IF(FJ366/'🎚️ Escenario'!$C$11&gt;=36,$AL$23,INDEX($C$23:$AL$23,MAX(1,ROUNDUP(FJ366/'🎚️ Escenario'!$C$11,0)))))</f>
        <v>0.86</v>
      </c>
      <c r="FK367" s="9" t="n">
        <f aca="false" t="array" ref="FK367:FK367">IF(FK366=0,0,IF(FK366/'🎚️ Escenario'!$C$11&gt;=36,$AL$23,INDEX($C$23:$AL$23,MAX(1,ROUNDUP(FK366/'🎚️ Escenario'!$C$11,0)))))</f>
        <v>0.88</v>
      </c>
      <c r="FL367" s="9" t="n">
        <f aca="false" t="array" ref="FL367:FL367">IF(FL366=0,0,IF(FL366/'🎚️ Escenario'!$C$11&gt;=36,$AL$23,INDEX($C$23:$AL$23,MAX(1,ROUNDUP(FL366/'🎚️ Escenario'!$C$11,0)))))</f>
        <v>0.89</v>
      </c>
      <c r="FM367" s="9" t="n">
        <f aca="false" t="array" ref="FM367:FM367">IF(FM366=0,0,IF(FM366/'🎚️ Escenario'!$C$11&gt;=36,$AL$23,INDEX($C$23:$AL$23,MAX(1,ROUNDUP(FM366/'🎚️ Escenario'!$C$11,0)))))</f>
        <v>0.9</v>
      </c>
      <c r="FN367" s="9" t="n">
        <f aca="false" t="array" ref="FN367:FN367">IF(FN366=0,0,IF(FN366/'🎚️ Escenario'!$C$11&gt;=36,$AL$23,INDEX($C$23:$AL$23,MAX(1,ROUNDUP(FN366/'🎚️ Escenario'!$C$11,0)))))</f>
        <v>0.9</v>
      </c>
      <c r="FO367" s="9" t="n">
        <f aca="false" t="array" ref="FO367:FO367">IF(FO366=0,0,IF(FO366/'🎚️ Escenario'!$C$11&gt;=36,$AL$23,INDEX($C$23:$AL$23,MAX(1,ROUNDUP(FO366/'🎚️ Escenario'!$C$11,0)))))</f>
        <v>0.92</v>
      </c>
      <c r="FP367" s="9" t="n">
        <f aca="false" t="array" ref="FP367:FP367">IF(FP366=0,0,IF(FP366/'🎚️ Escenario'!$C$11&gt;=36,$AL$23,INDEX($C$23:$AL$23,MAX(1,ROUNDUP(FP366/'🎚️ Escenario'!$C$11,0)))))</f>
        <v>0.93</v>
      </c>
    </row>
    <row r="368" customFormat="false" ht="15" hidden="false" customHeight="false" outlineLevel="2" collapsed="false">
      <c r="B368" s="47" t="s">
        <v>875</v>
      </c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237" t="n">
        <f aca="false">IF(AC366=0,0,IF(AC366&lt;=12*'🎚️ Escenario'!$C$11,1,1+$C$6))</f>
        <v>0</v>
      </c>
      <c r="AD368" s="237" t="n">
        <f aca="false">IF(AD366=0,0,IF(AD366&lt;=12*'🎚️ Escenario'!$C$11,1,1+$C$6))</f>
        <v>0</v>
      </c>
      <c r="AE368" s="237" t="n">
        <f aca="false">IF(AE366=0,0,IF(AE366&lt;=12*'🎚️ Escenario'!$C$11,1,1+$C$6))</f>
        <v>0</v>
      </c>
      <c r="AF368" s="237" t="n">
        <f aca="false">IF(AF366=0,0,IF(AF366&lt;=12*'🎚️ Escenario'!$C$11,1,1+$C$6))</f>
        <v>0</v>
      </c>
      <c r="AG368" s="237" t="n">
        <f aca="false">IF(AG366=0,0,IF(AG366&lt;=12*'🎚️ Escenario'!$C$11,1,1+$C$6))</f>
        <v>0</v>
      </c>
      <c r="AH368" s="237" t="n">
        <f aca="false">IF(AH366=0,0,IF(AH366&lt;=12*'🎚️ Escenario'!$C$11,1,1+$C$6))</f>
        <v>0</v>
      </c>
      <c r="AI368" s="237" t="n">
        <f aca="false">IF(AI366=0,0,IF(AI366&lt;=12*'🎚️ Escenario'!$C$11,1,1+$C$6))</f>
        <v>0</v>
      </c>
      <c r="AJ368" s="237" t="n">
        <f aca="false">IF(AJ366=0,0,IF(AJ366&lt;=12*'🎚️ Escenario'!$C$11,1,1+$C$6))</f>
        <v>0</v>
      </c>
      <c r="AK368" s="237" t="n">
        <f aca="false">IF(AK366=0,0,IF(AK366&lt;=12*'🎚️ Escenario'!$C$11,1,1+$C$6))</f>
        <v>0</v>
      </c>
      <c r="AL368" s="237" t="n">
        <f aca="false">IF(AL366=0,0,IF(AL366&lt;=12*'🎚️ Escenario'!$C$11,1,1+$C$6))</f>
        <v>0</v>
      </c>
      <c r="AM368" s="237" t="n">
        <f aca="false">IF(AM366=0,0,IF(AM366&lt;=12*'🎚️ Escenario'!$C$11,1,1+$C$6))</f>
        <v>0</v>
      </c>
      <c r="AN368" s="237" t="n">
        <f aca="false">IF(AN366=0,0,IF(AN366&lt;=12*'🎚️ Escenario'!$C$11,1,1+$C$6))</f>
        <v>0</v>
      </c>
      <c r="AO368" s="237" t="n">
        <f aca="false">IF(AO366=0,0,IF(AO366&lt;=12*'🎚️ Escenario'!$C$11,1,1+$C$6))</f>
        <v>0</v>
      </c>
      <c r="AP368" s="237" t="n">
        <f aca="false">IF(AP366=0,0,IF(AP366&lt;=12*'🎚️ Escenario'!$C$11,1,1+$C$6))</f>
        <v>0</v>
      </c>
      <c r="AQ368" s="237" t="n">
        <f aca="false">IF(AQ366=0,0,IF(AQ366&lt;=12*'🎚️ Escenario'!$C$11,1,1+$C$6))</f>
        <v>0</v>
      </c>
      <c r="AR368" s="237" t="n">
        <f aca="false">IF(AR366=0,0,IF(AR366&lt;=12*'🎚️ Escenario'!$C$11,1,1+$C$6))</f>
        <v>0</v>
      </c>
      <c r="AS368" s="237" t="n">
        <f aca="false">IF(AS366=0,0,IF(AS366&lt;=12*'🎚️ Escenario'!$C$11,1,1+$C$6))</f>
        <v>0</v>
      </c>
      <c r="AT368" s="237" t="n">
        <f aca="false">IF(AT366=0,0,IF(AT366&lt;=12*'🎚️ Escenario'!$C$11,1,1+$C$6))</f>
        <v>0</v>
      </c>
      <c r="AU368" s="237" t="n">
        <f aca="false">IF(AU366=0,0,IF(AU366&lt;=12*'🎚️ Escenario'!$C$11,1,1+$C$6))</f>
        <v>0</v>
      </c>
      <c r="AV368" s="237" t="n">
        <f aca="false">IF(AV366=0,0,IF(AV366&lt;=12*'🎚️ Escenario'!$C$11,1,1+$C$6))</f>
        <v>0</v>
      </c>
      <c r="AW368" s="237" t="n">
        <f aca="false">IF(AW366=0,0,IF(AW366&lt;=12*'🎚️ Escenario'!$C$11,1,1+$C$6))</f>
        <v>0</v>
      </c>
      <c r="AX368" s="237" t="n">
        <f aca="false">IF(AX366=0,0,IF(AX366&lt;=12*'🎚️ Escenario'!$C$11,1,1+$C$6))</f>
        <v>0</v>
      </c>
      <c r="AY368" s="237" t="n">
        <f aca="false">IF(AY366=0,0,IF(AY366&lt;=12*'🎚️ Escenario'!$C$11,1,1+$C$6))</f>
        <v>0</v>
      </c>
      <c r="AZ368" s="237" t="n">
        <f aca="false">IF(AZ366=0,0,IF(AZ366&lt;=12*'🎚️ Escenario'!$C$11,1,1+$C$6))</f>
        <v>0</v>
      </c>
      <c r="BA368" s="237" t="n">
        <f aca="false">IF(BA366=0,0,IF(BA366&lt;=12*'🎚️ Escenario'!$C$11,1,1+$C$6))</f>
        <v>0</v>
      </c>
      <c r="BB368" s="237" t="n">
        <f aca="false">IF(BB366=0,0,IF(BB366&lt;=12*'🎚️ Escenario'!$C$11,1,1+$C$6))</f>
        <v>0</v>
      </c>
      <c r="BC368" s="237" t="n">
        <f aca="false">IF(BC366=0,0,IF(BC366&lt;=12*'🎚️ Escenario'!$C$11,1,1+$C$6))</f>
        <v>0</v>
      </c>
      <c r="BD368" s="237" t="n">
        <f aca="false">IF(BD366=0,0,IF(BD366&lt;=12*'🎚️ Escenario'!$C$11,1,1+$C$6))</f>
        <v>0</v>
      </c>
      <c r="BE368" s="237" t="n">
        <f aca="false">IF(BE366=0,0,IF(BE366&lt;=12*'🎚️ Escenario'!$C$11,1,1+$C$6))</f>
        <v>0</v>
      </c>
      <c r="BF368" s="237" t="n">
        <f aca="false">IF(BF366=0,0,IF(BF366&lt;=12*'🎚️ Escenario'!$C$11,1,1+$C$6))</f>
        <v>0</v>
      </c>
      <c r="BG368" s="237" t="n">
        <f aca="false">IF(BG366=0,0,IF(BG366&lt;=12*'🎚️ Escenario'!$C$11,1,1+$C$6))</f>
        <v>0</v>
      </c>
      <c r="BH368" s="237" t="n">
        <f aca="false">IF(BH366=0,0,IF(BH366&lt;=12*'🎚️ Escenario'!$C$11,1,1+$C$6))</f>
        <v>0</v>
      </c>
      <c r="BI368" s="237" t="n">
        <f aca="false">IF(BI366=0,0,IF(BI366&lt;=12*'🎚️ Escenario'!$C$11,1,1+$C$6))</f>
        <v>0</v>
      </c>
      <c r="BJ368" s="237" t="n">
        <f aca="false">IF(BJ366=0,0,IF(BJ366&lt;=12*'🎚️ Escenario'!$C$11,1,1+$C$6))</f>
        <v>0</v>
      </c>
      <c r="BK368" s="237" t="n">
        <f aca="false">IF(BK366=0,0,IF(BK366&lt;=12*'🎚️ Escenario'!$C$11,1,1+$C$6))</f>
        <v>0</v>
      </c>
      <c r="BL368" s="237" t="n">
        <f aca="false">IF(BL366=0,0,IF(BL366&lt;=12*'🎚️ Escenario'!$C$11,1,1+$C$6))</f>
        <v>0</v>
      </c>
      <c r="BM368" s="237" t="n">
        <f aca="false">IF(BM366=0,0,IF(BM366&lt;=12*'🎚️ Escenario'!$C$11,1,1+$C$6))</f>
        <v>0</v>
      </c>
      <c r="BN368" s="237" t="n">
        <f aca="false">IF(BN366=0,0,IF(BN366&lt;=12*'🎚️ Escenario'!$C$11,1,1+$C$6))</f>
        <v>0</v>
      </c>
      <c r="BO368" s="237" t="n">
        <f aca="false">IF(BO366=0,0,IF(BO366&lt;=12*'🎚️ Escenario'!$C$11,1,1+$C$6))</f>
        <v>0</v>
      </c>
      <c r="BP368" s="237" t="n">
        <f aca="false">IF(BP366=0,0,IF(BP366&lt;=12*'🎚️ Escenario'!$C$11,1,1+$C$6))</f>
        <v>0</v>
      </c>
      <c r="BQ368" s="237" t="n">
        <f aca="false">IF(BQ366=0,0,IF(BQ366&lt;=12*'🎚️ Escenario'!$C$11,1,1+$C$6))</f>
        <v>0</v>
      </c>
      <c r="BR368" s="237" t="n">
        <f aca="false">IF(BR366=0,0,IF(BR366&lt;=12*'🎚️ Escenario'!$C$11,1,1+$C$6))</f>
        <v>0</v>
      </c>
      <c r="BS368" s="237" t="n">
        <f aca="false">IF(BS366=0,0,IF(BS366&lt;=12*'🎚️ Escenario'!$C$11,1,1+$C$6))</f>
        <v>0</v>
      </c>
      <c r="BT368" s="237" t="n">
        <f aca="false">IF(BT366=0,0,IF(BT366&lt;=12*'🎚️ Escenario'!$C$11,1,1+$C$6))</f>
        <v>0</v>
      </c>
      <c r="BU368" s="237" t="n">
        <f aca="false">IF(BU366=0,0,IF(BU366&lt;=12*'🎚️ Escenario'!$C$11,1,1+$C$6))</f>
        <v>0</v>
      </c>
      <c r="BV368" s="237" t="n">
        <f aca="false">IF(BV366=0,0,IF(BV366&lt;=12*'🎚️ Escenario'!$C$11,1,1+$C$6))</f>
        <v>0</v>
      </c>
      <c r="BW368" s="237" t="n">
        <f aca="false">IF(BW366=0,0,IF(BW366&lt;=12*'🎚️ Escenario'!$C$11,1,1+$C$6))</f>
        <v>0</v>
      </c>
      <c r="BX368" s="237" t="n">
        <f aca="false">IF(BX366=0,0,IF(BX366&lt;=12*'🎚️ Escenario'!$C$11,1,1+$C$6))</f>
        <v>0</v>
      </c>
      <c r="BY368" s="237" t="n">
        <f aca="false">IF(BY366=0,0,IF(BY366&lt;=12*'🎚️ Escenario'!$C$11,1,1+$C$6))</f>
        <v>0</v>
      </c>
      <c r="BZ368" s="237" t="n">
        <f aca="false">IF(BZ366=0,0,IF(BZ366&lt;=12*'🎚️ Escenario'!$C$11,1,1+$C$6))</f>
        <v>0</v>
      </c>
      <c r="CA368" s="237" t="n">
        <f aca="false">IF(CA366=0,0,IF(CA366&lt;=12*'🎚️ Escenario'!$C$11,1,1+$C$6))</f>
        <v>0</v>
      </c>
      <c r="CB368" s="237" t="n">
        <f aca="false">IF(CB366=0,0,IF(CB366&lt;=12*'🎚️ Escenario'!$C$11,1,1+$C$6))</f>
        <v>0</v>
      </c>
      <c r="CC368" s="237" t="n">
        <f aca="false">IF(CC366=0,0,IF(CC366&lt;=12*'🎚️ Escenario'!$C$11,1,1+$C$6))</f>
        <v>0</v>
      </c>
      <c r="CD368" s="237" t="n">
        <f aca="false">IF(CD366=0,0,IF(CD366&lt;=12*'🎚️ Escenario'!$C$11,1,1+$C$6))</f>
        <v>0</v>
      </c>
      <c r="CE368" s="237" t="n">
        <f aca="false">IF(CE366=0,0,IF(CE366&lt;=12*'🎚️ Escenario'!$C$11,1,1+$C$6))</f>
        <v>0</v>
      </c>
      <c r="CF368" s="237" t="n">
        <f aca="false">IF(CF366=0,0,IF(CF366&lt;=12*'🎚️ Escenario'!$C$11,1,1+$C$6))</f>
        <v>0</v>
      </c>
      <c r="CG368" s="237" t="n">
        <f aca="false">IF(CG366=0,0,IF(CG366&lt;=12*'🎚️ Escenario'!$C$11,1,1+$C$6))</f>
        <v>0</v>
      </c>
      <c r="CH368" s="237" t="n">
        <f aca="false">IF(CH366=0,0,IF(CH366&lt;=12*'🎚️ Escenario'!$C$11,1,1+$C$6))</f>
        <v>0</v>
      </c>
      <c r="CI368" s="237" t="n">
        <f aca="false">IF(CI366=0,0,IF(CI366&lt;=12*'🎚️ Escenario'!$C$11,1,1+$C$6))</f>
        <v>0</v>
      </c>
      <c r="CJ368" s="237" t="n">
        <f aca="false">IF(CJ366=0,0,IF(CJ366&lt;=12*'🎚️ Escenario'!$C$11,1,1+$C$6))</f>
        <v>0</v>
      </c>
      <c r="CK368" s="237" t="n">
        <f aca="false">IF(CK366=0,0,IF(CK366&lt;=12*'🎚️ Escenario'!$C$11,1,1+$C$6))</f>
        <v>0</v>
      </c>
      <c r="CL368" s="237" t="n">
        <f aca="false">IF(CL366=0,0,IF(CL366&lt;=12*'🎚️ Escenario'!$C$11,1,1+$C$6))</f>
        <v>0</v>
      </c>
      <c r="CM368" s="237" t="n">
        <f aca="false">IF(CM366=0,0,IF(CM366&lt;=12*'🎚️ Escenario'!$C$11,1,1+$C$6))</f>
        <v>0</v>
      </c>
      <c r="CN368" s="237" t="n">
        <f aca="false">IF(CN366=0,0,IF(CN366&lt;=12*'🎚️ Escenario'!$C$11,1,1+$C$6))</f>
        <v>0</v>
      </c>
      <c r="CO368" s="237" t="n">
        <f aca="false">IF(CO366=0,0,IF(CO366&lt;=12*'🎚️ Escenario'!$C$11,1,1+$C$6))</f>
        <v>0</v>
      </c>
      <c r="CP368" s="237" t="n">
        <f aca="false">IF(CP366=0,0,IF(CP366&lt;=12*'🎚️ Escenario'!$C$11,1,1+$C$6))</f>
        <v>0</v>
      </c>
      <c r="CQ368" s="237" t="n">
        <f aca="false">IF(CQ366=0,0,IF(CQ366&lt;=12*'🎚️ Escenario'!$C$11,1,1+$C$6))</f>
        <v>0</v>
      </c>
      <c r="CR368" s="237" t="n">
        <f aca="false">IF(CR366=0,0,IF(CR366&lt;=12*'🎚️ Escenario'!$C$11,1,1+$C$6))</f>
        <v>0</v>
      </c>
      <c r="CS368" s="237" t="n">
        <f aca="false">IF(CS366=0,0,IF(CS366&lt;=12*'🎚️ Escenario'!$C$11,1,1+$C$6))</f>
        <v>0</v>
      </c>
      <c r="CT368" s="237" t="n">
        <f aca="false">IF(CT366=0,0,IF(CT366&lt;=12*'🎚️ Escenario'!$C$11,1,1+$C$6))</f>
        <v>0</v>
      </c>
      <c r="CU368" s="237" t="n">
        <f aca="false">IF(CU366=0,0,IF(CU366&lt;=12*'🎚️ Escenario'!$C$11,1,1+$C$6))</f>
        <v>0</v>
      </c>
      <c r="CV368" s="237" t="n">
        <f aca="false">IF(CV366=0,0,IF(CV366&lt;=12*'🎚️ Escenario'!$C$11,1,1+$C$6))</f>
        <v>0</v>
      </c>
      <c r="CW368" s="237" t="n">
        <f aca="false">IF(CW366=0,0,IF(CW366&lt;=12*'🎚️ Escenario'!$C$11,1,1+$C$6))</f>
        <v>0</v>
      </c>
      <c r="CX368" s="237" t="n">
        <f aca="false">IF(CX366=0,0,IF(CX366&lt;=12*'🎚️ Escenario'!$C$11,1,1+$C$6))</f>
        <v>0</v>
      </c>
      <c r="CY368" s="237" t="n">
        <f aca="false">IF(CY366=0,0,IF(CY366&lt;=12*'🎚️ Escenario'!$C$11,1,1+$C$6))</f>
        <v>0</v>
      </c>
      <c r="CZ368" s="237" t="n">
        <f aca="false">IF(CZ366=0,0,IF(CZ366&lt;=12*'🎚️ Escenario'!$C$11,1,1+$C$6))</f>
        <v>0</v>
      </c>
      <c r="DA368" s="237" t="n">
        <f aca="false">IF(DA366=0,0,IF(DA366&lt;=12*'🎚️ Escenario'!$C$11,1,1+$C$6))</f>
        <v>0</v>
      </c>
      <c r="DB368" s="237" t="n">
        <f aca="false">IF(DB366=0,0,IF(DB366&lt;=12*'🎚️ Escenario'!$C$11,1,1+$C$6))</f>
        <v>0</v>
      </c>
      <c r="DC368" s="237" t="n">
        <f aca="false">IF(DC366=0,0,IF(DC366&lt;=12*'🎚️ Escenario'!$C$11,1,1+$C$6))</f>
        <v>0</v>
      </c>
      <c r="DD368" s="237" t="n">
        <f aca="false">IF(DD366=0,0,IF(DD366&lt;=12*'🎚️ Escenario'!$C$11,1,1+$C$6))</f>
        <v>0</v>
      </c>
      <c r="DE368" s="237" t="n">
        <f aca="false">IF(DE366=0,0,IF(DE366&lt;=12*'🎚️ Escenario'!$C$11,1,1+$C$6))</f>
        <v>0</v>
      </c>
      <c r="DF368" s="237" t="n">
        <f aca="false">IF(DF366=0,0,IF(DF366&lt;=12*'🎚️ Escenario'!$C$11,1,1+$C$6))</f>
        <v>0</v>
      </c>
      <c r="DG368" s="237" t="n">
        <f aca="false">IF(DG366=0,0,IF(DG366&lt;=12*'🎚️ Escenario'!$C$11,1,1+$C$6))</f>
        <v>0</v>
      </c>
      <c r="DH368" s="237" t="n">
        <f aca="false">IF(DH366=0,0,IF(DH366&lt;=12*'🎚️ Escenario'!$C$11,1,1+$C$6))</f>
        <v>0</v>
      </c>
      <c r="DI368" s="237" t="n">
        <f aca="false">IF(DI366=0,0,IF(DI366&lt;=12*'🎚️ Escenario'!$C$11,1,1+$C$6))</f>
        <v>0</v>
      </c>
      <c r="DJ368" s="237" t="n">
        <f aca="false">IF(DJ366=0,0,IF(DJ366&lt;=12*'🎚️ Escenario'!$C$11,1,1+$C$6))</f>
        <v>0</v>
      </c>
      <c r="DK368" s="237" t="n">
        <f aca="false">IF(DK366=0,0,IF(DK366&lt;=12*'🎚️ Escenario'!$C$11,1,1+$C$6))</f>
        <v>0</v>
      </c>
      <c r="DL368" s="237" t="n">
        <f aca="false">IF(DL366=0,0,IF(DL366&lt;=12*'🎚️ Escenario'!$C$11,1,1+$C$6))</f>
        <v>0</v>
      </c>
      <c r="DM368" s="237" t="n">
        <f aca="false">IF(DM366=0,0,IF(DM366&lt;=12*'🎚️ Escenario'!$C$11,1,1+$C$6))</f>
        <v>0</v>
      </c>
      <c r="DN368" s="237" t="n">
        <f aca="false">IF(DN366=0,0,IF(DN366&lt;=12*'🎚️ Escenario'!$C$11,1,1+$C$6))</f>
        <v>0</v>
      </c>
      <c r="DO368" s="237" t="n">
        <f aca="false">IF(DO366=0,0,IF(DO366&lt;=12*'🎚️ Escenario'!$C$11,1,1+$C$6))</f>
        <v>0</v>
      </c>
      <c r="DP368" s="237" t="n">
        <f aca="false">IF(DP366=0,0,IF(DP366&lt;=12*'🎚️ Escenario'!$C$11,1,1+$C$6))</f>
        <v>0</v>
      </c>
      <c r="DQ368" s="237" t="n">
        <f aca="false">IF(DQ366=0,0,IF(DQ366&lt;=12*'🎚️ Escenario'!$C$11,1,1+$C$6))</f>
        <v>0</v>
      </c>
      <c r="DR368" s="237" t="n">
        <f aca="false">IF(DR366=0,0,IF(DR366&lt;=12*'🎚️ Escenario'!$C$11,1,1+$C$6))</f>
        <v>0</v>
      </c>
      <c r="DS368" s="237" t="n">
        <f aca="false">IF(DS366=0,0,IF(DS366&lt;=12*'🎚️ Escenario'!$C$11,1,1+$C$6))</f>
        <v>0</v>
      </c>
      <c r="DT368" s="237" t="n">
        <f aca="false">IF(DT366=0,0,IF(DT366&lt;=12*'🎚️ Escenario'!$C$11,1,1+$C$6))</f>
        <v>0</v>
      </c>
      <c r="DU368" s="237" t="n">
        <f aca="false">IF(DU366=0,0,IF(DU366&lt;=12*'🎚️ Escenario'!$C$11,1,1+$C$6))</f>
        <v>0</v>
      </c>
      <c r="DV368" s="237" t="n">
        <f aca="false">IF(DV366=0,0,IF(DV366&lt;=12*'🎚️ Escenario'!$C$11,1,1+$C$6))</f>
        <v>0</v>
      </c>
      <c r="DW368" s="237" t="n">
        <f aca="false">IF(DW366=0,0,IF(DW366&lt;=12*'🎚️ Escenario'!$C$11,1,1+$C$6))</f>
        <v>0</v>
      </c>
      <c r="DX368" s="237" t="n">
        <f aca="false">IF(DX366=0,0,IF(DX366&lt;=12*'🎚️ Escenario'!$C$11,1,1+$C$6))</f>
        <v>0</v>
      </c>
      <c r="DY368" s="237" t="n">
        <f aca="false">IF(DY366=0,0,IF(DY366&lt;=12*'🎚️ Escenario'!$C$11,1,1+$C$6))</f>
        <v>0</v>
      </c>
      <c r="DZ368" s="237" t="n">
        <f aca="false">IF(DZ366=0,0,IF(DZ366&lt;=12*'🎚️ Escenario'!$C$11,1,1+$C$6))</f>
        <v>0</v>
      </c>
      <c r="EA368" s="237" t="n">
        <f aca="false">IF(EA366=0,0,IF(EA366&lt;=12*'🎚️ Escenario'!$C$11,1,1+$C$6))</f>
        <v>0</v>
      </c>
      <c r="EB368" s="237" t="n">
        <f aca="false">IF(EB366=0,0,IF(EB366&lt;=12*'🎚️ Escenario'!$C$11,1,1+$C$6))</f>
        <v>0</v>
      </c>
      <c r="EC368" s="237" t="n">
        <f aca="false">IF(EC366=0,0,IF(EC366&lt;=12*'🎚️ Escenario'!$C$11,1,1+$C$6))</f>
        <v>0</v>
      </c>
      <c r="ED368" s="237" t="n">
        <f aca="false">IF(ED366=0,0,IF(ED366&lt;=12*'🎚️ Escenario'!$C$11,1,1+$C$6))</f>
        <v>0</v>
      </c>
      <c r="EE368" s="237" t="n">
        <f aca="false">IF(EE366=0,0,IF(EE366&lt;=12*'🎚️ Escenario'!$C$11,1,1+$C$6))</f>
        <v>0</v>
      </c>
      <c r="EF368" s="237" t="n">
        <f aca="false">IF(EF366=0,0,IF(EF366&lt;=12*'🎚️ Escenario'!$C$11,1,1+$C$6))</f>
        <v>1</v>
      </c>
      <c r="EG368" s="237" t="n">
        <f aca="false">IF(EG366=0,0,IF(EG366&lt;=12*'🎚️ Escenario'!$C$11,1,1+$C$6))</f>
        <v>1</v>
      </c>
      <c r="EH368" s="237" t="n">
        <f aca="false">IF(EH366=0,0,IF(EH366&lt;=12*'🎚️ Escenario'!$C$11,1,1+$C$6))</f>
        <v>1</v>
      </c>
      <c r="EI368" s="237" t="n">
        <f aca="false">IF(EI366=0,0,IF(EI366&lt;=12*'🎚️ Escenario'!$C$11,1,1+$C$6))</f>
        <v>1</v>
      </c>
      <c r="EJ368" s="237" t="n">
        <f aca="false">IF(EJ366=0,0,IF(EJ366&lt;=12*'🎚️ Escenario'!$C$11,1,1+$C$6))</f>
        <v>1</v>
      </c>
      <c r="EK368" s="237" t="n">
        <f aca="false">IF(EK366=0,0,IF(EK366&lt;=12*'🎚️ Escenario'!$C$11,1,1+$C$6))</f>
        <v>1</v>
      </c>
      <c r="EL368" s="237" t="n">
        <f aca="false">IF(EL366=0,0,IF(EL366&lt;=12*'🎚️ Escenario'!$C$11,1,1+$C$6))</f>
        <v>1</v>
      </c>
      <c r="EM368" s="237" t="n">
        <f aca="false">IF(EM366=0,0,IF(EM366&lt;=12*'🎚️ Escenario'!$C$11,1,1+$C$6))</f>
        <v>1</v>
      </c>
      <c r="EN368" s="237" t="n">
        <f aca="false">IF(EN366=0,0,IF(EN366&lt;=12*'🎚️ Escenario'!$C$11,1,1+$C$6))</f>
        <v>1</v>
      </c>
      <c r="EO368" s="237" t="n">
        <f aca="false">IF(EO366=0,0,IF(EO366&lt;=12*'🎚️ Escenario'!$C$11,1,1+$C$6))</f>
        <v>1</v>
      </c>
      <c r="EP368" s="237" t="n">
        <f aca="false">IF(EP366=0,0,IF(EP366&lt;=12*'🎚️ Escenario'!$C$11,1,1+$C$6))</f>
        <v>1</v>
      </c>
      <c r="EQ368" s="237" t="n">
        <f aca="false">IF(EQ366=0,0,IF(EQ366&lt;=12*'🎚️ Escenario'!$C$11,1,1+$C$6))</f>
        <v>1</v>
      </c>
      <c r="ER368" s="237" t="n">
        <f aca="false">IF(ER366=0,0,IF(ER366&lt;=12*'🎚️ Escenario'!$C$11,1,1+$C$6))</f>
        <v>1</v>
      </c>
      <c r="ES368" s="9" t="n">
        <f aca="false">IF(ES366=0,0,IF(ES366&lt;=12*'🎚️ Escenario'!$C$11,1,1+$C$6))</f>
        <v>1</v>
      </c>
      <c r="ET368" s="9" t="n">
        <f aca="false">IF(ET366=0,0,IF(ET366&lt;=12*'🎚️ Escenario'!$C$11,1,1+$C$6))</f>
        <v>1</v>
      </c>
      <c r="EU368" s="238" t="n">
        <f aca="false">IF(EU366=0,0,IF(EU366&lt;=12*'🎚️ Escenario'!$C$11,1,1+$C$6))</f>
        <v>1.2</v>
      </c>
      <c r="EV368" s="238" t="n">
        <f aca="false">IF(EV366=0,0,IF(EV366&lt;=12*'🎚️ Escenario'!$C$11,1,1+$C$6))</f>
        <v>1.2</v>
      </c>
      <c r="EW368" s="238" t="n">
        <f aca="false">IF(EW366=0,0,IF(EW366&lt;=12*'🎚️ Escenario'!$C$11,1,1+$C$6))</f>
        <v>1.2</v>
      </c>
      <c r="EX368" s="238" t="n">
        <f aca="false">IF(EX366=0,0,IF(EX366&lt;=12*'🎚️ Escenario'!$C$11,1,1+$C$6))</f>
        <v>1.2</v>
      </c>
      <c r="EY368" s="238" t="n">
        <f aca="false">IF(EY366=0,0,IF(EY366&lt;=12*'🎚️ Escenario'!$C$11,1,1+$C$6))</f>
        <v>1.2</v>
      </c>
      <c r="EZ368" s="238" t="n">
        <f aca="false">IF(EZ366=0,0,IF(EZ366&lt;=12*'🎚️ Escenario'!$C$11,1,1+$C$6))</f>
        <v>1.2</v>
      </c>
      <c r="FA368" s="238" t="n">
        <f aca="false">IF(FA366=0,0,IF(FA366&lt;=12*'🎚️ Escenario'!$C$11,1,1+$C$6))</f>
        <v>1.2</v>
      </c>
      <c r="FB368" s="238" t="n">
        <f aca="false">IF(FB366=0,0,IF(FB366&lt;=12*'🎚️ Escenario'!$C$11,1,1+$C$6))</f>
        <v>1.2</v>
      </c>
      <c r="FC368" s="238" t="n">
        <f aca="false">IF(FC366=0,0,IF(FC366&lt;=12*'🎚️ Escenario'!$C$11,1,1+$C$6))</f>
        <v>1.2</v>
      </c>
      <c r="FD368" s="238" t="n">
        <f aca="false">IF(FD366=0,0,IF(FD366&lt;=12*'🎚️ Escenario'!$C$11,1,1+$C$6))</f>
        <v>1.2</v>
      </c>
      <c r="FE368" s="238" t="n">
        <f aca="false">IF(FE366=0,0,IF(FE366&lt;=12*'🎚️ Escenario'!$C$11,1,1+$C$6))</f>
        <v>1.2</v>
      </c>
      <c r="FF368" s="238" t="n">
        <f aca="false">IF(FF366=0,0,IF(FF366&lt;=12*'🎚️ Escenario'!$C$11,1,1+$C$6))</f>
        <v>1.2</v>
      </c>
      <c r="FG368" s="238" t="n">
        <f aca="false">IF(FG366=0,0,IF(FG366&lt;=12*'🎚️ Escenario'!$C$11,1,1+$C$6))</f>
        <v>1.2</v>
      </c>
      <c r="FH368" s="238" t="n">
        <f aca="false">IF(FH366=0,0,IF(FH366&lt;=12*'🎚️ Escenario'!$C$11,1,1+$C$6))</f>
        <v>1.2</v>
      </c>
      <c r="FI368" s="238" t="n">
        <f aca="false">IF(FI366=0,0,IF(FI366&lt;=12*'🎚️ Escenario'!$C$11,1,1+$C$6))</f>
        <v>1.2</v>
      </c>
      <c r="FJ368" s="238" t="n">
        <f aca="false">IF(FJ366=0,0,IF(FJ366&lt;=12*'🎚️ Escenario'!$C$11,1,1+$C$6))</f>
        <v>1.2</v>
      </c>
      <c r="FK368" s="238" t="n">
        <f aca="false">IF(FK366=0,0,IF(FK366&lt;=12*'🎚️ Escenario'!$C$11,1,1+$C$6))</f>
        <v>1.2</v>
      </c>
      <c r="FL368" s="238" t="n">
        <f aca="false">IF(FL366=0,0,IF(FL366&lt;=12*'🎚️ Escenario'!$C$11,1,1+$C$6))</f>
        <v>1.2</v>
      </c>
      <c r="FM368" s="238" t="n">
        <f aca="false">IF(FM366=0,0,IF(FM366&lt;=12*'🎚️ Escenario'!$C$11,1,1+$C$6))</f>
        <v>1.2</v>
      </c>
      <c r="FN368" s="238" t="n">
        <f aca="false">IF(FN366=0,0,IF(FN366&lt;=12*'🎚️ Escenario'!$C$11,1,1+$C$6))</f>
        <v>1.2</v>
      </c>
      <c r="FO368" s="238" t="n">
        <f aca="false">IF(FO366=0,0,IF(FO366&lt;=12*'🎚️ Escenario'!$C$11,1,1+$C$6))</f>
        <v>1.2</v>
      </c>
      <c r="FP368" s="238" t="n">
        <f aca="false">IF(FP366=0,0,IF(FP366&lt;=12*'🎚️ Escenario'!$C$11,1,1+$C$6))</f>
        <v>1.2</v>
      </c>
    </row>
    <row r="369" customFormat="false" ht="15" hidden="false" customHeight="false" outlineLevel="2" collapsed="false">
      <c r="B369" s="47" t="s">
        <v>876</v>
      </c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237" t="n">
        <f aca="false">AC367*$AC$365*AC368*AC$38*'⑫ Roll-out Plan'!$O$41</f>
        <v>0</v>
      </c>
      <c r="AD369" s="237" t="n">
        <f aca="false">AD367*$AC$365*AD368*AD$38*'⑫ Roll-out Plan'!$O$41</f>
        <v>0</v>
      </c>
      <c r="AE369" s="237" t="n">
        <f aca="false">AE367*$AC$365*AE368*AE$38*'⑫ Roll-out Plan'!$O$41</f>
        <v>0</v>
      </c>
      <c r="AF369" s="237" t="n">
        <f aca="false">AF367*$AC$365*AF368*AF$38*'⑫ Roll-out Plan'!$O$41</f>
        <v>0</v>
      </c>
      <c r="AG369" s="237" t="n">
        <f aca="false">AG367*$AC$365*AG368*AG$38*'⑫ Roll-out Plan'!$O$41</f>
        <v>0</v>
      </c>
      <c r="AH369" s="237" t="n">
        <f aca="false">AH367*$AC$365*AH368*AH$38*'⑫ Roll-out Plan'!$O$41</f>
        <v>0</v>
      </c>
      <c r="AI369" s="237" t="n">
        <f aca="false">AI367*$AC$365*AI368*AI$38*'⑫ Roll-out Plan'!$O$41</f>
        <v>0</v>
      </c>
      <c r="AJ369" s="237" t="n">
        <f aca="false">AJ367*$AC$365*AJ368*AJ$38*'⑫ Roll-out Plan'!$O$41</f>
        <v>0</v>
      </c>
      <c r="AK369" s="237" t="n">
        <f aca="false">AK367*$AC$365*AK368*AK$38*'⑫ Roll-out Plan'!$O$41</f>
        <v>0</v>
      </c>
      <c r="AL369" s="237" t="n">
        <f aca="false">AL367*$AC$365*AL368*AL$38*'⑫ Roll-out Plan'!$O$41</f>
        <v>0</v>
      </c>
      <c r="AM369" s="237" t="n">
        <f aca="false">AM367*$AC$365*AM368*AM$38*'⑫ Roll-out Plan'!$O$41</f>
        <v>0</v>
      </c>
      <c r="AN369" s="237" t="n">
        <f aca="false">AN367*$AC$365*AN368*AN$38*'⑫ Roll-out Plan'!$O$41</f>
        <v>0</v>
      </c>
      <c r="AO369" s="237" t="n">
        <f aca="false">AO367*$AC$365*AO368*AO$38*'⑫ Roll-out Plan'!$O$41</f>
        <v>0</v>
      </c>
      <c r="AP369" s="237" t="n">
        <f aca="false">AP367*$AC$365*AP368*AP$38*'⑫ Roll-out Plan'!$O$41</f>
        <v>0</v>
      </c>
      <c r="AQ369" s="237" t="n">
        <f aca="false">AQ367*$AC$365*AQ368*AQ$38*'⑫ Roll-out Plan'!$O$41</f>
        <v>0</v>
      </c>
      <c r="AR369" s="237" t="n">
        <f aca="false">AR367*$AC$365*AR368*AR$38*'⑫ Roll-out Plan'!$O$41</f>
        <v>0</v>
      </c>
      <c r="AS369" s="237" t="n">
        <f aca="false">AS367*$AC$365*AS368*AS$38*'⑫ Roll-out Plan'!$O$41</f>
        <v>0</v>
      </c>
      <c r="AT369" s="237" t="n">
        <f aca="false">AT367*$AC$365*AT368*AT$38*'⑫ Roll-out Plan'!$O$41</f>
        <v>0</v>
      </c>
      <c r="AU369" s="237" t="n">
        <f aca="false">AU367*$AC$365*AU368*AU$38*'⑫ Roll-out Plan'!$O$41</f>
        <v>0</v>
      </c>
      <c r="AV369" s="237" t="n">
        <f aca="false">AV367*$AC$365*AV368*AV$38*'⑫ Roll-out Plan'!$O$41</f>
        <v>0</v>
      </c>
      <c r="AW369" s="237" t="n">
        <f aca="false">AW367*$AC$365*AW368*AW$38*'⑫ Roll-out Plan'!$O$41</f>
        <v>0</v>
      </c>
      <c r="AX369" s="237" t="n">
        <f aca="false">AX367*$AC$365*AX368*AX$38*'⑫ Roll-out Plan'!$O$41</f>
        <v>0</v>
      </c>
      <c r="AY369" s="237" t="n">
        <f aca="false">AY367*$AC$365*AY368*AY$38*'⑫ Roll-out Plan'!$O$41</f>
        <v>0</v>
      </c>
      <c r="AZ369" s="237" t="n">
        <f aca="false">AZ367*$AC$365*AZ368*AZ$38*'⑫ Roll-out Plan'!$O$41</f>
        <v>0</v>
      </c>
      <c r="BA369" s="237" t="n">
        <f aca="false">BA367*$AC$365*BA368*BA$38*'⑫ Roll-out Plan'!$O$41</f>
        <v>0</v>
      </c>
      <c r="BB369" s="237" t="n">
        <f aca="false">BB367*$AC$365*BB368*BB$38*'⑫ Roll-out Plan'!$O$41</f>
        <v>0</v>
      </c>
      <c r="BC369" s="237" t="n">
        <f aca="false">BC367*$AC$365*BC368*BC$38*'⑫ Roll-out Plan'!$O$41</f>
        <v>0</v>
      </c>
      <c r="BD369" s="237" t="n">
        <f aca="false">BD367*$AC$365*BD368*BD$38*'⑫ Roll-out Plan'!$O$41</f>
        <v>0</v>
      </c>
      <c r="BE369" s="237" t="n">
        <f aca="false">BE367*$AC$365*BE368*BE$38*'⑫ Roll-out Plan'!$O$41</f>
        <v>0</v>
      </c>
      <c r="BF369" s="237" t="n">
        <f aca="false">BF367*$AC$365*BF368*BF$38*'⑫ Roll-out Plan'!$O$41</f>
        <v>0</v>
      </c>
      <c r="BG369" s="237" t="n">
        <f aca="false">BG367*$AC$365*BG368*BG$38*'⑫ Roll-out Plan'!$O$41</f>
        <v>0</v>
      </c>
      <c r="BH369" s="237" t="n">
        <f aca="false">BH367*$AC$365*BH368*BH$38*'⑫ Roll-out Plan'!$O$41</f>
        <v>0</v>
      </c>
      <c r="BI369" s="237" t="n">
        <f aca="false">BI367*$AC$365*BI368*BI$38*'⑫ Roll-out Plan'!$O$41</f>
        <v>0</v>
      </c>
      <c r="BJ369" s="237" t="n">
        <f aca="false">BJ367*$AC$365*BJ368*BJ$38*'⑫ Roll-out Plan'!$O$41</f>
        <v>0</v>
      </c>
      <c r="BK369" s="237" t="n">
        <f aca="false">BK367*$AC$365*BK368*BK$38*'⑫ Roll-out Plan'!$O$41</f>
        <v>0</v>
      </c>
      <c r="BL369" s="237" t="n">
        <f aca="false">BL367*$AC$365*BL368*BL$38*'⑫ Roll-out Plan'!$O$41</f>
        <v>0</v>
      </c>
      <c r="BM369" s="237" t="n">
        <f aca="false">BM367*$AC$365*BM368*BM$38*'⑫ Roll-out Plan'!$O$41</f>
        <v>0</v>
      </c>
      <c r="BN369" s="237" t="n">
        <f aca="false">BN367*$AC$365*BN368*BN$38*'⑫ Roll-out Plan'!$O$41</f>
        <v>0</v>
      </c>
      <c r="BO369" s="237" t="n">
        <f aca="false">BO367*$AC$365*BO368*BO$38*'⑫ Roll-out Plan'!$O$41</f>
        <v>0</v>
      </c>
      <c r="BP369" s="237" t="n">
        <f aca="false">BP367*$AC$365*BP368*BP$38*'⑫ Roll-out Plan'!$O$41</f>
        <v>0</v>
      </c>
      <c r="BQ369" s="237" t="n">
        <f aca="false">BQ367*$AC$365*BQ368*BQ$38*'⑫ Roll-out Plan'!$O$41</f>
        <v>0</v>
      </c>
      <c r="BR369" s="237" t="n">
        <f aca="false">BR367*$AC$365*BR368*BR$38*'⑫ Roll-out Plan'!$O$41</f>
        <v>0</v>
      </c>
      <c r="BS369" s="237" t="n">
        <f aca="false">BS367*$AC$365*BS368*BS$38*'⑫ Roll-out Plan'!$O$41</f>
        <v>0</v>
      </c>
      <c r="BT369" s="237" t="n">
        <f aca="false">BT367*$AC$365*BT368*BT$38*'⑫ Roll-out Plan'!$O$41</f>
        <v>0</v>
      </c>
      <c r="BU369" s="237" t="n">
        <f aca="false">BU367*$AC$365*BU368*BU$38*'⑫ Roll-out Plan'!$O$41</f>
        <v>0</v>
      </c>
      <c r="BV369" s="237" t="n">
        <f aca="false">BV367*$AC$365*BV368*BV$38*'⑫ Roll-out Plan'!$O$41</f>
        <v>0</v>
      </c>
      <c r="BW369" s="237" t="n">
        <f aca="false">BW367*$AC$365*BW368*BW$38*'⑫ Roll-out Plan'!$O$41</f>
        <v>0</v>
      </c>
      <c r="BX369" s="237" t="n">
        <f aca="false">BX367*$AC$365*BX368*BX$38*'⑫ Roll-out Plan'!$O$41</f>
        <v>0</v>
      </c>
      <c r="BY369" s="237" t="n">
        <f aca="false">BY367*$AC$365*BY368*BY$38*'⑫ Roll-out Plan'!$O$41</f>
        <v>0</v>
      </c>
      <c r="BZ369" s="237" t="n">
        <f aca="false">BZ367*$AC$365*BZ368*BZ$38*'⑫ Roll-out Plan'!$O$41</f>
        <v>0</v>
      </c>
      <c r="CA369" s="237" t="n">
        <f aca="false">CA367*$AC$365*CA368*CA$38*'⑫ Roll-out Plan'!$O$41</f>
        <v>0</v>
      </c>
      <c r="CB369" s="237" t="n">
        <f aca="false">CB367*$AC$365*CB368*CB$38*'⑫ Roll-out Plan'!$O$41</f>
        <v>0</v>
      </c>
      <c r="CC369" s="237" t="n">
        <f aca="false">CC367*$AC$365*CC368*CC$38*'⑫ Roll-out Plan'!$O$41</f>
        <v>0</v>
      </c>
      <c r="CD369" s="237" t="n">
        <f aca="false">CD367*$AC$365*CD368*CD$38*'⑫ Roll-out Plan'!$O$41</f>
        <v>0</v>
      </c>
      <c r="CE369" s="237" t="n">
        <f aca="false">CE367*$AC$365*CE368*CE$38*'⑫ Roll-out Plan'!$O$41</f>
        <v>0</v>
      </c>
      <c r="CF369" s="237" t="n">
        <f aca="false">CF367*$AC$365*CF368*CF$38*'⑫ Roll-out Plan'!$O$41</f>
        <v>0</v>
      </c>
      <c r="CG369" s="237" t="n">
        <f aca="false">CG367*$AC$365*CG368*CG$38*'⑫ Roll-out Plan'!$O$41</f>
        <v>0</v>
      </c>
      <c r="CH369" s="237" t="n">
        <f aca="false">CH367*$AC$365*CH368*CH$38*'⑫ Roll-out Plan'!$O$41</f>
        <v>0</v>
      </c>
      <c r="CI369" s="237" t="n">
        <f aca="false">CI367*$AC$365*CI368*CI$38*'⑫ Roll-out Plan'!$O$41</f>
        <v>0</v>
      </c>
      <c r="CJ369" s="237" t="n">
        <f aca="false">CJ367*$AC$365*CJ368*CJ$38*'⑫ Roll-out Plan'!$O$41</f>
        <v>0</v>
      </c>
      <c r="CK369" s="237" t="n">
        <f aca="false">CK367*$AC$365*CK368*CK$38*'⑫ Roll-out Plan'!$O$41</f>
        <v>0</v>
      </c>
      <c r="CL369" s="237" t="n">
        <f aca="false">CL367*$AC$365*CL368*CL$38*'⑫ Roll-out Plan'!$O$41</f>
        <v>0</v>
      </c>
      <c r="CM369" s="237" t="n">
        <f aca="false">CM367*$AC$365*CM368*CM$38*'⑫ Roll-out Plan'!$O$41</f>
        <v>0</v>
      </c>
      <c r="CN369" s="237" t="n">
        <f aca="false">CN367*$AC$365*CN368*CN$38*'⑫ Roll-out Plan'!$O$41</f>
        <v>0</v>
      </c>
      <c r="CO369" s="237" t="n">
        <f aca="false">CO367*$AC$365*CO368*CO$38*'⑫ Roll-out Plan'!$O$41</f>
        <v>0</v>
      </c>
      <c r="CP369" s="237" t="n">
        <f aca="false">CP367*$AC$365*CP368*CP$38*'⑫ Roll-out Plan'!$O$41</f>
        <v>0</v>
      </c>
      <c r="CQ369" s="237" t="n">
        <f aca="false">CQ367*$AC$365*CQ368*CQ$38*'⑫ Roll-out Plan'!$O$41</f>
        <v>0</v>
      </c>
      <c r="CR369" s="237" t="n">
        <f aca="false">CR367*$AC$365*CR368*CR$38*'⑫ Roll-out Plan'!$O$41</f>
        <v>0</v>
      </c>
      <c r="CS369" s="237" t="n">
        <f aca="false">CS367*$AC$365*CS368*CS$38*'⑫ Roll-out Plan'!$O$41</f>
        <v>0</v>
      </c>
      <c r="CT369" s="237" t="n">
        <f aca="false">CT367*$AC$365*CT368*CT$38*'⑫ Roll-out Plan'!$O$41</f>
        <v>0</v>
      </c>
      <c r="CU369" s="237" t="n">
        <f aca="false">CU367*$AC$365*CU368*CU$38*'⑫ Roll-out Plan'!$O$41</f>
        <v>0</v>
      </c>
      <c r="CV369" s="237" t="n">
        <f aca="false">CV367*$AC$365*CV368*CV$38*'⑫ Roll-out Plan'!$O$41</f>
        <v>0</v>
      </c>
      <c r="CW369" s="237" t="n">
        <f aca="false">CW367*$AC$365*CW368*CW$38*'⑫ Roll-out Plan'!$O$41</f>
        <v>0</v>
      </c>
      <c r="CX369" s="237" t="n">
        <f aca="false">CX367*$AC$365*CX368*CX$38*'⑫ Roll-out Plan'!$O$41</f>
        <v>0</v>
      </c>
      <c r="CY369" s="237" t="n">
        <f aca="false">CY367*$AC$365*CY368*CY$38*'⑫ Roll-out Plan'!$O$41</f>
        <v>0</v>
      </c>
      <c r="CZ369" s="237" t="n">
        <f aca="false">CZ367*$AC$365*CZ368*CZ$38*'⑫ Roll-out Plan'!$O$41</f>
        <v>0</v>
      </c>
      <c r="DA369" s="237" t="n">
        <f aca="false">DA367*$AC$365*DA368*DA$38*'⑫ Roll-out Plan'!$O$41</f>
        <v>0</v>
      </c>
      <c r="DB369" s="237" t="n">
        <f aca="false">DB367*$AC$365*DB368*DB$38*'⑫ Roll-out Plan'!$O$41</f>
        <v>0</v>
      </c>
      <c r="DC369" s="237" t="n">
        <f aca="false">DC367*$AC$365*DC368*DC$38*'⑫ Roll-out Plan'!$O$41</f>
        <v>0</v>
      </c>
      <c r="DD369" s="237" t="n">
        <f aca="false">DD367*$AC$365*DD368*DD$38*'⑫ Roll-out Plan'!$O$41</f>
        <v>0</v>
      </c>
      <c r="DE369" s="237" t="n">
        <f aca="false">DE367*$AC$365*DE368*DE$38*'⑫ Roll-out Plan'!$O$41</f>
        <v>0</v>
      </c>
      <c r="DF369" s="237" t="n">
        <f aca="false">DF367*$AC$365*DF368*DF$38*'⑫ Roll-out Plan'!$O$41</f>
        <v>0</v>
      </c>
      <c r="DG369" s="237" t="n">
        <f aca="false">DG367*$AC$365*DG368*DG$38*'⑫ Roll-out Plan'!$O$41</f>
        <v>0</v>
      </c>
      <c r="DH369" s="237" t="n">
        <f aca="false">DH367*$AC$365*DH368*DH$38*'⑫ Roll-out Plan'!$O$41</f>
        <v>0</v>
      </c>
      <c r="DI369" s="237" t="n">
        <f aca="false">DI367*$AC$365*DI368*DI$38*'⑫ Roll-out Plan'!$O$41</f>
        <v>0</v>
      </c>
      <c r="DJ369" s="237" t="n">
        <f aca="false">DJ367*$AC$365*DJ368*DJ$38*'⑫ Roll-out Plan'!$O$41</f>
        <v>0</v>
      </c>
      <c r="DK369" s="237" t="n">
        <f aca="false">DK367*$AC$365*DK368*DK$38*'⑫ Roll-out Plan'!$O$41</f>
        <v>0</v>
      </c>
      <c r="DL369" s="237" t="n">
        <f aca="false">DL367*$AC$365*DL368*DL$38*'⑫ Roll-out Plan'!$O$41</f>
        <v>0</v>
      </c>
      <c r="DM369" s="237" t="n">
        <f aca="false">DM367*$AC$365*DM368*DM$38*'⑫ Roll-out Plan'!$O$41</f>
        <v>0</v>
      </c>
      <c r="DN369" s="237" t="n">
        <f aca="false">DN367*$AC$365*DN368*DN$38*'⑫ Roll-out Plan'!$O$41</f>
        <v>0</v>
      </c>
      <c r="DO369" s="237" t="n">
        <f aca="false">DO367*$AC$365*DO368*DO$38*'⑫ Roll-out Plan'!$O$41</f>
        <v>0</v>
      </c>
      <c r="DP369" s="237" t="n">
        <f aca="false">DP367*$AC$365*DP368*DP$38*'⑫ Roll-out Plan'!$O$41</f>
        <v>0</v>
      </c>
      <c r="DQ369" s="237" t="n">
        <f aca="false">DQ367*$AC$365*DQ368*DQ$38*'⑫ Roll-out Plan'!$O$41</f>
        <v>0</v>
      </c>
      <c r="DR369" s="237" t="n">
        <f aca="false">DR367*$AC$365*DR368*DR$38*'⑫ Roll-out Plan'!$O$41</f>
        <v>0</v>
      </c>
      <c r="DS369" s="237" t="n">
        <f aca="false">DS367*$AC$365*DS368*DS$38*'⑫ Roll-out Plan'!$O$41</f>
        <v>0</v>
      </c>
      <c r="DT369" s="237" t="n">
        <f aca="false">DT367*$AC$365*DT368*DT$38*'⑫ Roll-out Plan'!$O$41</f>
        <v>0</v>
      </c>
      <c r="DU369" s="237" t="n">
        <f aca="false">DU367*$AC$365*DU368*DU$38*'⑫ Roll-out Plan'!$O$41</f>
        <v>0</v>
      </c>
      <c r="DV369" s="237" t="n">
        <f aca="false">DV367*$AC$365*DV368*DV$38*'⑫ Roll-out Plan'!$O$41</f>
        <v>0</v>
      </c>
      <c r="DW369" s="237" t="n">
        <f aca="false">DW367*$AC$365*DW368*DW$38*'⑫ Roll-out Plan'!$O$41</f>
        <v>0</v>
      </c>
      <c r="DX369" s="237" t="n">
        <f aca="false">DX367*$AC$365*DX368*DX$38*'⑫ Roll-out Plan'!$O$41</f>
        <v>0</v>
      </c>
      <c r="DY369" s="237" t="n">
        <f aca="false">DY367*$AC$365*DY368*DY$38*'⑫ Roll-out Plan'!$O$41</f>
        <v>0</v>
      </c>
      <c r="DZ369" s="237" t="n">
        <f aca="false">DZ367*$AC$365*DZ368*DZ$38*'⑫ Roll-out Plan'!$O$41</f>
        <v>0</v>
      </c>
      <c r="EA369" s="237" t="n">
        <f aca="false">EA367*$AC$365*EA368*EA$38*'⑫ Roll-out Plan'!$O$41</f>
        <v>0</v>
      </c>
      <c r="EB369" s="237" t="n">
        <f aca="false">EB367*$AC$365*EB368*EB$38*'⑫ Roll-out Plan'!$O$41</f>
        <v>0</v>
      </c>
      <c r="EC369" s="237" t="n">
        <f aca="false">EC367*$AC$365*EC368*EC$38*'⑫ Roll-out Plan'!$O$41</f>
        <v>0</v>
      </c>
      <c r="ED369" s="237" t="n">
        <f aca="false">ED367*$AC$365*ED368*ED$38*'⑫ Roll-out Plan'!$O$41</f>
        <v>0</v>
      </c>
      <c r="EE369" s="237" t="n">
        <f aca="false">EE367*$AC$365*EE368*EE$38*'⑫ Roll-out Plan'!$O$41</f>
        <v>0</v>
      </c>
      <c r="EF369" s="237" t="n">
        <f aca="false">EF367*$AC$365*EF368*EF$38*'⑫ Roll-out Plan'!$O$41</f>
        <v>42.84</v>
      </c>
      <c r="EG369" s="237" t="n">
        <f aca="false">EG367*$AC$365*EG368*EG$38*'⑫ Roll-out Plan'!$O$41</f>
        <v>49.896</v>
      </c>
      <c r="EH369" s="237" t="n">
        <f aca="false">EH367*$AC$365*EH368*EH$38*'⑫ Roll-out Plan'!$O$41</f>
        <v>41.328</v>
      </c>
      <c r="EI369" s="237" t="n">
        <f aca="false">EI367*$AC$365*EI368*EI$38*'⑫ Roll-out Plan'!$O$41</f>
        <v>65.772</v>
      </c>
      <c r="EJ369" s="237" t="n">
        <f aca="false">EJ367*$AC$365*EJ368*EJ$38*'⑫ Roll-out Plan'!$O$41</f>
        <v>62.37</v>
      </c>
      <c r="EK369" s="237" t="n">
        <f aca="false">EK367*$AC$365*EK368*EK$38*'⑫ Roll-out Plan'!$O$41</f>
        <v>59.892</v>
      </c>
      <c r="EL369" s="237" t="n">
        <f aca="false">EL367*$AC$365*EL368*EL$38*'⑫ Roll-out Plan'!$O$41</f>
        <v>58.8</v>
      </c>
      <c r="EM369" s="237" t="n">
        <f aca="false">EM367*$AC$365*EM368*EM$38*'⑫ Roll-out Plan'!$O$41</f>
        <v>68.796</v>
      </c>
      <c r="EN369" s="237" t="n">
        <f aca="false">EN367*$AC$365*EN368*EN$38*'⑫ Roll-out Plan'!$O$41</f>
        <v>131.208</v>
      </c>
      <c r="EO369" s="237" t="n">
        <f aca="false">EO367*$AC$365*EO368*EO$38*'⑫ Roll-out Plan'!$O$41</f>
        <v>107.184</v>
      </c>
      <c r="EP369" s="237" t="n">
        <f aca="false">EP367*$AC$365*EP368*EP$38*'⑫ Roll-out Plan'!$O$41</f>
        <v>96.768</v>
      </c>
      <c r="EQ369" s="237" t="n">
        <f aca="false">EQ367*$AC$365*EQ368*EQ$38*'⑫ Roll-out Plan'!$O$41</f>
        <v>78.624</v>
      </c>
      <c r="ER369" s="237" t="n">
        <f aca="false">ER367*$AC$365*ER368*ER$38*'⑫ Roll-out Plan'!$O$41</f>
        <v>119.952</v>
      </c>
      <c r="ES369" s="9" t="n">
        <f aca="false">ES367*$AC$365*ES368*ES$38*'⑫ Roll-out Plan'!$O$41</f>
        <v>136.08</v>
      </c>
      <c r="ET369" s="9" t="n">
        <f aca="false">ET367*$AC$365*ET368*ET$38*'⑫ Roll-out Plan'!$O$41</f>
        <v>103.32</v>
      </c>
      <c r="EU369" s="9" t="n">
        <f aca="false">EU367*$AC$365*EU368*EU$38*'⑫ Roll-out Plan'!$O$41</f>
        <v>184.1616</v>
      </c>
      <c r="EV369" s="9" t="n">
        <f aca="false">EV367*$AC$365*EV368*EV$38*'⑫ Roll-out Plan'!$O$41</f>
        <v>182.952</v>
      </c>
      <c r="EW369" s="9" t="n">
        <f aca="false">EW367*$AC$365*EW368*EW$38*'⑫ Roll-out Plan'!$O$41</f>
        <v>159.9696</v>
      </c>
      <c r="EX369" s="9" t="n">
        <f aca="false">EX367*$AC$365*EX368*EX$38*'⑫ Roll-out Plan'!$O$41</f>
        <v>143.136</v>
      </c>
      <c r="EY369" s="9" t="n">
        <f aca="false">EY367*$AC$365*EY368*EY$38*'⑫ Roll-out Plan'!$O$41</f>
        <v>150.2928</v>
      </c>
      <c r="EZ369" s="9" t="n">
        <f aca="false">EZ367*$AC$365*EZ368*EZ$38*'⑫ Roll-out Plan'!$O$41</f>
        <v>261.2232</v>
      </c>
      <c r="FA369" s="9" t="n">
        <f aca="false">FA367*$AC$365*FA368*FA$38*'⑫ Roll-out Plan'!$O$41</f>
        <v>219.24</v>
      </c>
      <c r="FB369" s="9" t="n">
        <f aca="false">FB367*$AC$365*FB368*FB$38*'⑫ Roll-out Plan'!$O$41</f>
        <v>186.2784</v>
      </c>
      <c r="FC369" s="9" t="n">
        <f aca="false">FC367*$AC$365*FC368*FC$38*'⑫ Roll-out Plan'!$O$41</f>
        <v>143.3376</v>
      </c>
      <c r="FD369" s="9" t="n">
        <f aca="false">FD367*$AC$365*FD368*FD$38*'⑫ Roll-out Plan'!$O$41</f>
        <v>203.0616</v>
      </c>
      <c r="FE369" s="9" t="n">
        <f aca="false">FE367*$AC$365*FE368*FE$38*'⑫ Roll-out Plan'!$O$41</f>
        <v>217.728</v>
      </c>
      <c r="FF369" s="9" t="n">
        <f aca="false">FF367*$AC$365*FF368*FF$38*'⑫ Roll-out Plan'!$O$41</f>
        <v>169.4448</v>
      </c>
      <c r="FG369" s="9" t="n">
        <f aca="false">FG367*$AC$365*FG368*FG$38*'⑫ Roll-out Plan'!$O$41</f>
        <v>245.5488</v>
      </c>
      <c r="FH369" s="9" t="n">
        <f aca="false">FH367*$AC$365*FH368*FH$38*'⑫ Roll-out Plan'!$O$41</f>
        <v>235.62</v>
      </c>
      <c r="FI369" s="9" t="n">
        <f aca="false">FI367*$AC$365*FI368*FI$38*'⑫ Roll-out Plan'!$O$41</f>
        <v>197.064</v>
      </c>
      <c r="FJ369" s="9" t="n">
        <f aca="false">FJ367*$AC$365*FJ368*FJ$38*'⑫ Roll-out Plan'!$O$41</f>
        <v>173.376</v>
      </c>
      <c r="FK369" s="9" t="n">
        <f aca="false">FK367*$AC$365*FK368*FK$38*'⑫ Roll-out Plan'!$O$41</f>
        <v>186.2784</v>
      </c>
      <c r="FL369" s="9" t="n">
        <f aca="false">FL367*$AC$365*FL368*FL$38*'⑫ Roll-out Plan'!$O$41</f>
        <v>318.4776</v>
      </c>
      <c r="FM369" s="9" t="n">
        <f aca="false">FM367*$AC$365*FM368*FM$38*'⑫ Roll-out Plan'!$O$41</f>
        <v>263.088</v>
      </c>
      <c r="FN369" s="9" t="n">
        <f aca="false">FN367*$AC$365*FN368*FN$38*'⑫ Roll-out Plan'!$O$41</f>
        <v>217.728</v>
      </c>
      <c r="FO369" s="9" t="n">
        <f aca="false">FO367*$AC$365*FO368*FO$38*'⑫ Roll-out Plan'!$O$41</f>
        <v>166.9248</v>
      </c>
      <c r="FP369" s="9" t="n">
        <f aca="false">FP367*$AC$365*FP368*FP$38*'⑫ Roll-out Plan'!$O$41</f>
        <v>239.0472</v>
      </c>
    </row>
    <row r="370" customFormat="false" ht="15" hidden="false" customHeight="false" outlineLevel="2" collapsed="false">
      <c r="B370" s="47" t="s">
        <v>877</v>
      </c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237" t="n">
        <f aca="true">IFERROR(SUMPRODUCT(OFFSET($BJ$31,0,1-MIN(60,COLUMN()-29),1,MIN(60,COLUMN()-29)),OFFSET(AC369,0,-MIN(60,COLUMN()-29),1,MIN(60,COLUMN()-29))),0)</f>
        <v>0</v>
      </c>
      <c r="AD370" s="237" t="n">
        <f aca="true">IFERROR(SUMPRODUCT(OFFSET($BJ$31,0,1-MIN(60,COLUMN()-29),1,MIN(60,COLUMN()-29)),OFFSET(AD369,0,-MIN(60,COLUMN()-29),1,MIN(60,COLUMN()-29))),0)</f>
        <v>0</v>
      </c>
      <c r="AE370" s="237" t="n">
        <f aca="true">IFERROR(SUMPRODUCT(OFFSET($BJ$31,0,1-MIN(60,COLUMN()-29),1,MIN(60,COLUMN()-29)),OFFSET(AE369,0,-MIN(60,COLUMN()-29),1,MIN(60,COLUMN()-29))),0)</f>
        <v>0</v>
      </c>
      <c r="AF370" s="237" t="n">
        <f aca="true">IFERROR(SUMPRODUCT(OFFSET($BJ$31,0,1-MIN(60,COLUMN()-29),1,MIN(60,COLUMN()-29)),OFFSET(AF369,0,-MIN(60,COLUMN()-29),1,MIN(60,COLUMN()-29))),0)</f>
        <v>0</v>
      </c>
      <c r="AG370" s="237" t="n">
        <f aca="true">IFERROR(SUMPRODUCT(OFFSET($BJ$31,0,1-MIN(60,COLUMN()-29),1,MIN(60,COLUMN()-29)),OFFSET(AG369,0,-MIN(60,COLUMN()-29),1,MIN(60,COLUMN()-29))),0)</f>
        <v>0</v>
      </c>
      <c r="AH370" s="237" t="n">
        <f aca="true">IFERROR(SUMPRODUCT(OFFSET($BJ$31,0,1-MIN(60,COLUMN()-29),1,MIN(60,COLUMN()-29)),OFFSET(AH369,0,-MIN(60,COLUMN()-29),1,MIN(60,COLUMN()-29))),0)</f>
        <v>0</v>
      </c>
      <c r="AI370" s="237" t="n">
        <f aca="true">IFERROR(SUMPRODUCT(OFFSET($BJ$31,0,1-MIN(60,COLUMN()-29),1,MIN(60,COLUMN()-29)),OFFSET(AI369,0,-MIN(60,COLUMN()-29),1,MIN(60,COLUMN()-29))),0)</f>
        <v>0</v>
      </c>
      <c r="AJ370" s="237" t="n">
        <f aca="true">IFERROR(SUMPRODUCT(OFFSET($BJ$31,0,1-MIN(60,COLUMN()-29),1,MIN(60,COLUMN()-29)),OFFSET(AJ369,0,-MIN(60,COLUMN()-29),1,MIN(60,COLUMN()-29))),0)</f>
        <v>0</v>
      </c>
      <c r="AK370" s="237" t="n">
        <f aca="true">IFERROR(SUMPRODUCT(OFFSET($BJ$31,0,1-MIN(60,COLUMN()-29),1,MIN(60,COLUMN()-29)),OFFSET(AK369,0,-MIN(60,COLUMN()-29),1,MIN(60,COLUMN()-29))),0)</f>
        <v>0</v>
      </c>
      <c r="AL370" s="237" t="n">
        <f aca="true">IFERROR(SUMPRODUCT(OFFSET($BJ$31,0,1-MIN(60,COLUMN()-29),1,MIN(60,COLUMN()-29)),OFFSET(AL369,0,-MIN(60,COLUMN()-29),1,MIN(60,COLUMN()-29))),0)</f>
        <v>0</v>
      </c>
      <c r="AM370" s="237" t="n">
        <f aca="true">IFERROR(SUMPRODUCT(OFFSET($BJ$31,0,1-MIN(60,COLUMN()-29),1,MIN(60,COLUMN()-29)),OFFSET(AM369,0,-MIN(60,COLUMN()-29),1,MIN(60,COLUMN()-29))),0)</f>
        <v>0</v>
      </c>
      <c r="AN370" s="237" t="n">
        <f aca="true">IFERROR(SUMPRODUCT(OFFSET($BJ$31,0,1-MIN(60,COLUMN()-29),1,MIN(60,COLUMN()-29)),OFFSET(AN369,0,-MIN(60,COLUMN()-29),1,MIN(60,COLUMN()-29))),0)</f>
        <v>0</v>
      </c>
      <c r="AO370" s="237" t="n">
        <f aca="true">IFERROR(SUMPRODUCT(OFFSET($BJ$31,0,1-MIN(60,COLUMN()-29),1,MIN(60,COLUMN()-29)),OFFSET(AO369,0,-MIN(60,COLUMN()-29),1,MIN(60,COLUMN()-29))),0)</f>
        <v>0</v>
      </c>
      <c r="AP370" s="237" t="n">
        <f aca="true">IFERROR(SUMPRODUCT(OFFSET($BJ$31,0,1-MIN(60,COLUMN()-29),1,MIN(60,COLUMN()-29)),OFFSET(AP369,0,-MIN(60,COLUMN()-29),1,MIN(60,COLUMN()-29))),0)</f>
        <v>0</v>
      </c>
      <c r="AQ370" s="237" t="n">
        <f aca="true">IFERROR(SUMPRODUCT(OFFSET($BJ$31,0,1-MIN(60,COLUMN()-29),1,MIN(60,COLUMN()-29)),OFFSET(AQ369,0,-MIN(60,COLUMN()-29),1,MIN(60,COLUMN()-29))),0)</f>
        <v>0</v>
      </c>
      <c r="AR370" s="237" t="n">
        <f aca="true">IFERROR(SUMPRODUCT(OFFSET($BJ$31,0,1-MIN(60,COLUMN()-29),1,MIN(60,COLUMN()-29)),OFFSET(AR369,0,-MIN(60,COLUMN()-29),1,MIN(60,COLUMN()-29))),0)</f>
        <v>0</v>
      </c>
      <c r="AS370" s="237" t="n">
        <f aca="true">IFERROR(SUMPRODUCT(OFFSET($BJ$31,0,1-MIN(60,COLUMN()-29),1,MIN(60,COLUMN()-29)),OFFSET(AS369,0,-MIN(60,COLUMN()-29),1,MIN(60,COLUMN()-29))),0)</f>
        <v>0</v>
      </c>
      <c r="AT370" s="237" t="n">
        <f aca="true">IFERROR(SUMPRODUCT(OFFSET($BJ$31,0,1-MIN(60,COLUMN()-29),1,MIN(60,COLUMN()-29)),OFFSET(AT369,0,-MIN(60,COLUMN()-29),1,MIN(60,COLUMN()-29))),0)</f>
        <v>0</v>
      </c>
      <c r="AU370" s="237" t="n">
        <f aca="true">IFERROR(SUMPRODUCT(OFFSET($BJ$31,0,1-MIN(60,COLUMN()-29),1,MIN(60,COLUMN()-29)),OFFSET(AU369,0,-MIN(60,COLUMN()-29),1,MIN(60,COLUMN()-29))),0)</f>
        <v>0</v>
      </c>
      <c r="AV370" s="237" t="n">
        <f aca="true">IFERROR(SUMPRODUCT(OFFSET($BJ$31,0,1-MIN(60,COLUMN()-29),1,MIN(60,COLUMN()-29)),OFFSET(AV369,0,-MIN(60,COLUMN()-29),1,MIN(60,COLUMN()-29))),0)</f>
        <v>0</v>
      </c>
      <c r="AW370" s="237" t="n">
        <f aca="true">IFERROR(SUMPRODUCT(OFFSET($BJ$31,0,1-MIN(60,COLUMN()-29),1,MIN(60,COLUMN()-29)),OFFSET(AW369,0,-MIN(60,COLUMN()-29),1,MIN(60,COLUMN()-29))),0)</f>
        <v>0</v>
      </c>
      <c r="AX370" s="237" t="n">
        <f aca="true">IFERROR(SUMPRODUCT(OFFSET($BJ$31,0,1-MIN(60,COLUMN()-29),1,MIN(60,COLUMN()-29)),OFFSET(AX369,0,-MIN(60,COLUMN()-29),1,MIN(60,COLUMN()-29))),0)</f>
        <v>0</v>
      </c>
      <c r="AY370" s="237" t="n">
        <f aca="true">IFERROR(SUMPRODUCT(OFFSET($BJ$31,0,1-MIN(60,COLUMN()-29),1,MIN(60,COLUMN()-29)),OFFSET(AY369,0,-MIN(60,COLUMN()-29),1,MIN(60,COLUMN()-29))),0)</f>
        <v>0</v>
      </c>
      <c r="AZ370" s="237" t="n">
        <f aca="true">IFERROR(SUMPRODUCT(OFFSET($BJ$31,0,1-MIN(60,COLUMN()-29),1,MIN(60,COLUMN()-29)),OFFSET(AZ369,0,-MIN(60,COLUMN()-29),1,MIN(60,COLUMN()-29))),0)</f>
        <v>0</v>
      </c>
      <c r="BA370" s="237" t="n">
        <f aca="true">IFERROR(SUMPRODUCT(OFFSET($BJ$31,0,1-MIN(60,COLUMN()-29),1,MIN(60,COLUMN()-29)),OFFSET(BA369,0,-MIN(60,COLUMN()-29),1,MIN(60,COLUMN()-29))),0)</f>
        <v>0</v>
      </c>
      <c r="BB370" s="237" t="n">
        <f aca="true">IFERROR(SUMPRODUCT(OFFSET($BJ$31,0,1-MIN(60,COLUMN()-29),1,MIN(60,COLUMN()-29)),OFFSET(BB369,0,-MIN(60,COLUMN()-29),1,MIN(60,COLUMN()-29))),0)</f>
        <v>0</v>
      </c>
      <c r="BC370" s="237" t="n">
        <f aca="true">IFERROR(SUMPRODUCT(OFFSET($BJ$31,0,1-MIN(60,COLUMN()-29),1,MIN(60,COLUMN()-29)),OFFSET(BC369,0,-MIN(60,COLUMN()-29),1,MIN(60,COLUMN()-29))),0)</f>
        <v>0</v>
      </c>
      <c r="BD370" s="237" t="n">
        <f aca="true">IFERROR(SUMPRODUCT(OFFSET($BJ$31,0,1-MIN(60,COLUMN()-29),1,MIN(60,COLUMN()-29)),OFFSET(BD369,0,-MIN(60,COLUMN()-29),1,MIN(60,COLUMN()-29))),0)</f>
        <v>0</v>
      </c>
      <c r="BE370" s="237" t="n">
        <f aca="true">IFERROR(SUMPRODUCT(OFFSET($BJ$31,0,1-MIN(60,COLUMN()-29),1,MIN(60,COLUMN()-29)),OFFSET(BE369,0,-MIN(60,COLUMN()-29),1,MIN(60,COLUMN()-29))),0)</f>
        <v>0</v>
      </c>
      <c r="BF370" s="237" t="n">
        <f aca="true">IFERROR(SUMPRODUCT(OFFSET($BJ$31,0,1-MIN(60,COLUMN()-29),1,MIN(60,COLUMN()-29)),OFFSET(BF369,0,-MIN(60,COLUMN()-29),1,MIN(60,COLUMN()-29))),0)</f>
        <v>0</v>
      </c>
      <c r="BG370" s="237" t="n">
        <f aca="true">IFERROR(SUMPRODUCT(OFFSET($BJ$31,0,1-MIN(60,COLUMN()-29),1,MIN(60,COLUMN()-29)),OFFSET(BG369,0,-MIN(60,COLUMN()-29),1,MIN(60,COLUMN()-29))),0)</f>
        <v>0</v>
      </c>
      <c r="BH370" s="237" t="n">
        <f aca="true">IFERROR(SUMPRODUCT(OFFSET($BJ$31,0,1-MIN(60,COLUMN()-29),1,MIN(60,COLUMN()-29)),OFFSET(BH369,0,-MIN(60,COLUMN()-29),1,MIN(60,COLUMN()-29))),0)</f>
        <v>0</v>
      </c>
      <c r="BI370" s="237" t="n">
        <f aca="true">IFERROR(SUMPRODUCT(OFFSET($BJ$31,0,1-MIN(60,COLUMN()-29),1,MIN(60,COLUMN()-29)),OFFSET(BI369,0,-MIN(60,COLUMN()-29),1,MIN(60,COLUMN()-29))),0)</f>
        <v>0</v>
      </c>
      <c r="BJ370" s="237" t="n">
        <f aca="true">IFERROR(SUMPRODUCT(OFFSET($BJ$31,0,1-MIN(60,COLUMN()-29),1,MIN(60,COLUMN()-29)),OFFSET(BJ369,0,-MIN(60,COLUMN()-29),1,MIN(60,COLUMN()-29))),0)</f>
        <v>0</v>
      </c>
      <c r="BK370" s="237" t="n">
        <f aca="true">IFERROR(SUMPRODUCT(OFFSET($BJ$31,0,1-MIN(60,COLUMN()-29),1,MIN(60,COLUMN()-29)),OFFSET(BK369,0,-MIN(60,COLUMN()-29),1,MIN(60,COLUMN()-29))),0)</f>
        <v>0</v>
      </c>
      <c r="BL370" s="237" t="n">
        <f aca="true">IFERROR(SUMPRODUCT(OFFSET($BJ$31,0,1-MIN(60,COLUMN()-29),1,MIN(60,COLUMN()-29)),OFFSET(BL369,0,-MIN(60,COLUMN()-29),1,MIN(60,COLUMN()-29))),0)</f>
        <v>0</v>
      </c>
      <c r="BM370" s="237" t="n">
        <f aca="true">IFERROR(SUMPRODUCT(OFFSET($BJ$31,0,1-MIN(60,COLUMN()-29),1,MIN(60,COLUMN()-29)),OFFSET(BM369,0,-MIN(60,COLUMN()-29),1,MIN(60,COLUMN()-29))),0)</f>
        <v>0</v>
      </c>
      <c r="BN370" s="237" t="n">
        <f aca="true">IFERROR(SUMPRODUCT(OFFSET($BJ$31,0,1-MIN(60,COLUMN()-29),1,MIN(60,COLUMN()-29)),OFFSET(BN369,0,-MIN(60,COLUMN()-29),1,MIN(60,COLUMN()-29))),0)</f>
        <v>0</v>
      </c>
      <c r="BO370" s="237" t="n">
        <f aca="true">IFERROR(SUMPRODUCT(OFFSET($BJ$31,0,1-MIN(60,COLUMN()-29),1,MIN(60,COLUMN()-29)),OFFSET(BO369,0,-MIN(60,COLUMN()-29),1,MIN(60,COLUMN()-29))),0)</f>
        <v>0</v>
      </c>
      <c r="BP370" s="237" t="n">
        <f aca="true">IFERROR(SUMPRODUCT(OFFSET($BJ$31,0,1-MIN(60,COLUMN()-29),1,MIN(60,COLUMN()-29)),OFFSET(BP369,0,-MIN(60,COLUMN()-29),1,MIN(60,COLUMN()-29))),0)</f>
        <v>0</v>
      </c>
      <c r="BQ370" s="237" t="n">
        <f aca="true">IFERROR(SUMPRODUCT(OFFSET($BJ$31,0,1-MIN(60,COLUMN()-29),1,MIN(60,COLUMN()-29)),OFFSET(BQ369,0,-MIN(60,COLUMN()-29),1,MIN(60,COLUMN()-29))),0)</f>
        <v>0</v>
      </c>
      <c r="BR370" s="237" t="n">
        <f aca="true">IFERROR(SUMPRODUCT(OFFSET($BJ$31,0,1-MIN(60,COLUMN()-29),1,MIN(60,COLUMN()-29)),OFFSET(BR369,0,-MIN(60,COLUMN()-29),1,MIN(60,COLUMN()-29))),0)</f>
        <v>0</v>
      </c>
      <c r="BS370" s="237" t="n">
        <f aca="true">IFERROR(SUMPRODUCT(OFFSET($BJ$31,0,1-MIN(60,COLUMN()-29),1,MIN(60,COLUMN()-29)),OFFSET(BS369,0,-MIN(60,COLUMN()-29),1,MIN(60,COLUMN()-29))),0)</f>
        <v>0</v>
      </c>
      <c r="BT370" s="237" t="n">
        <f aca="true">IFERROR(SUMPRODUCT(OFFSET($BJ$31,0,1-MIN(60,COLUMN()-29),1,MIN(60,COLUMN()-29)),OFFSET(BT369,0,-MIN(60,COLUMN()-29),1,MIN(60,COLUMN()-29))),0)</f>
        <v>0</v>
      </c>
      <c r="BU370" s="237" t="n">
        <f aca="true">IFERROR(SUMPRODUCT(OFFSET($BJ$31,0,1-MIN(60,COLUMN()-29),1,MIN(60,COLUMN()-29)),OFFSET(BU369,0,-MIN(60,COLUMN()-29),1,MIN(60,COLUMN()-29))),0)</f>
        <v>0</v>
      </c>
      <c r="BV370" s="237" t="n">
        <f aca="true">IFERROR(SUMPRODUCT(OFFSET($BJ$31,0,1-MIN(60,COLUMN()-29),1,MIN(60,COLUMN()-29)),OFFSET(BV369,0,-MIN(60,COLUMN()-29),1,MIN(60,COLUMN()-29))),0)</f>
        <v>0</v>
      </c>
      <c r="BW370" s="237" t="n">
        <f aca="true">IFERROR(SUMPRODUCT(OFFSET($BJ$31,0,1-MIN(60,COLUMN()-29),1,MIN(60,COLUMN()-29)),OFFSET(BW369,0,-MIN(60,COLUMN()-29),1,MIN(60,COLUMN()-29))),0)</f>
        <v>0</v>
      </c>
      <c r="BX370" s="237" t="n">
        <f aca="true">IFERROR(SUMPRODUCT(OFFSET($BJ$31,0,1-MIN(60,COLUMN()-29),1,MIN(60,COLUMN()-29)),OFFSET(BX369,0,-MIN(60,COLUMN()-29),1,MIN(60,COLUMN()-29))),0)</f>
        <v>0</v>
      </c>
      <c r="BY370" s="237" t="n">
        <f aca="true">IFERROR(SUMPRODUCT(OFFSET($BJ$31,0,1-MIN(60,COLUMN()-29),1,MIN(60,COLUMN()-29)),OFFSET(BY369,0,-MIN(60,COLUMN()-29),1,MIN(60,COLUMN()-29))),0)</f>
        <v>0</v>
      </c>
      <c r="BZ370" s="237" t="n">
        <f aca="true">IFERROR(SUMPRODUCT(OFFSET($BJ$31,0,1-MIN(60,COLUMN()-29),1,MIN(60,COLUMN()-29)),OFFSET(BZ369,0,-MIN(60,COLUMN()-29),1,MIN(60,COLUMN()-29))),0)</f>
        <v>0</v>
      </c>
      <c r="CA370" s="237" t="n">
        <f aca="true">IFERROR(SUMPRODUCT(OFFSET($BJ$31,0,1-MIN(60,COLUMN()-29),1,MIN(60,COLUMN()-29)),OFFSET(CA369,0,-MIN(60,COLUMN()-29),1,MIN(60,COLUMN()-29))),0)</f>
        <v>0</v>
      </c>
      <c r="CB370" s="237" t="n">
        <f aca="true">IFERROR(SUMPRODUCT(OFFSET($BJ$31,0,1-MIN(60,COLUMN()-29),1,MIN(60,COLUMN()-29)),OFFSET(CB369,0,-MIN(60,COLUMN()-29),1,MIN(60,COLUMN()-29))),0)</f>
        <v>0</v>
      </c>
      <c r="CC370" s="237" t="n">
        <f aca="true">IFERROR(SUMPRODUCT(OFFSET($BJ$31,0,1-MIN(60,COLUMN()-29),1,MIN(60,COLUMN()-29)),OFFSET(CC369,0,-MIN(60,COLUMN()-29),1,MIN(60,COLUMN()-29))),0)</f>
        <v>0</v>
      </c>
      <c r="CD370" s="237" t="n">
        <f aca="true">IFERROR(SUMPRODUCT(OFFSET($BJ$31,0,1-MIN(60,COLUMN()-29),1,MIN(60,COLUMN()-29)),OFFSET(CD369,0,-MIN(60,COLUMN()-29),1,MIN(60,COLUMN()-29))),0)</f>
        <v>0</v>
      </c>
      <c r="CE370" s="237" t="n">
        <f aca="true">IFERROR(SUMPRODUCT(OFFSET($BJ$31,0,1-MIN(60,COLUMN()-29),1,MIN(60,COLUMN()-29)),OFFSET(CE369,0,-MIN(60,COLUMN()-29),1,MIN(60,COLUMN()-29))),0)</f>
        <v>0</v>
      </c>
      <c r="CF370" s="237" t="n">
        <f aca="true">IFERROR(SUMPRODUCT(OFFSET($BJ$31,0,1-MIN(60,COLUMN()-29),1,MIN(60,COLUMN()-29)),OFFSET(CF369,0,-MIN(60,COLUMN()-29),1,MIN(60,COLUMN()-29))),0)</f>
        <v>0</v>
      </c>
      <c r="CG370" s="237" t="n">
        <f aca="true">IFERROR(SUMPRODUCT(OFFSET($BJ$31,0,1-MIN(60,COLUMN()-29),1,MIN(60,COLUMN()-29)),OFFSET(CG369,0,-MIN(60,COLUMN()-29),1,MIN(60,COLUMN()-29))),0)</f>
        <v>0</v>
      </c>
      <c r="CH370" s="237" t="n">
        <f aca="true">IFERROR(SUMPRODUCT(OFFSET($BJ$31,0,1-MIN(60,COLUMN()-29),1,MIN(60,COLUMN()-29)),OFFSET(CH369,0,-MIN(60,COLUMN()-29),1,MIN(60,COLUMN()-29))),0)</f>
        <v>0</v>
      </c>
      <c r="CI370" s="237" t="n">
        <f aca="true">IFERROR(SUMPRODUCT(OFFSET($BJ$31,0,1-MIN(60,COLUMN()-29),1,MIN(60,COLUMN()-29)),OFFSET(CI369,0,-MIN(60,COLUMN()-29),1,MIN(60,COLUMN()-29))),0)</f>
        <v>0</v>
      </c>
      <c r="CJ370" s="237" t="n">
        <f aca="true">IFERROR(SUMPRODUCT(OFFSET($BJ$31,0,1-MIN(60,COLUMN()-29),1,MIN(60,COLUMN()-29)),OFFSET(CJ369,0,-MIN(60,COLUMN()-29),1,MIN(60,COLUMN()-29))),0)</f>
        <v>0</v>
      </c>
      <c r="CK370" s="237" t="n">
        <f aca="true">IFERROR(SUMPRODUCT(OFFSET($BJ$31,0,1-MIN(60,COLUMN()-29),1,MIN(60,COLUMN()-29)),OFFSET(CK369,0,-MIN(60,COLUMN()-29),1,MIN(60,COLUMN()-29))),0)</f>
        <v>0</v>
      </c>
      <c r="CL370" s="237" t="n">
        <f aca="true">IFERROR(SUMPRODUCT(OFFSET($BJ$31,0,1-MIN(60,COLUMN()-29),1,MIN(60,COLUMN()-29)),OFFSET(CL369,0,-MIN(60,COLUMN()-29),1,MIN(60,COLUMN()-29))),0)</f>
        <v>0</v>
      </c>
      <c r="CM370" s="237" t="n">
        <f aca="true">IFERROR(SUMPRODUCT(OFFSET($BJ$31,0,1-MIN(60,COLUMN()-29),1,MIN(60,COLUMN()-29)),OFFSET(CM369,0,-MIN(60,COLUMN()-29),1,MIN(60,COLUMN()-29))),0)</f>
        <v>0</v>
      </c>
      <c r="CN370" s="237" t="n">
        <f aca="true">IFERROR(SUMPRODUCT(OFFSET($BJ$31,0,1-MIN(60,COLUMN()-29),1,MIN(60,COLUMN()-29)),OFFSET(CN369,0,-MIN(60,COLUMN()-29),1,MIN(60,COLUMN()-29))),0)</f>
        <v>0</v>
      </c>
      <c r="CO370" s="237" t="n">
        <f aca="true">IFERROR(SUMPRODUCT(OFFSET($BJ$31,0,1-MIN(60,COLUMN()-29),1,MIN(60,COLUMN()-29)),OFFSET(CO369,0,-MIN(60,COLUMN()-29),1,MIN(60,COLUMN()-29))),0)</f>
        <v>0</v>
      </c>
      <c r="CP370" s="237" t="n">
        <f aca="true">IFERROR(SUMPRODUCT(OFFSET($BJ$31,0,1-MIN(60,COLUMN()-29),1,MIN(60,COLUMN()-29)),OFFSET(CP369,0,-MIN(60,COLUMN()-29),1,MIN(60,COLUMN()-29))),0)</f>
        <v>0</v>
      </c>
      <c r="CQ370" s="237" t="n">
        <f aca="true">IFERROR(SUMPRODUCT(OFFSET($BJ$31,0,1-MIN(60,COLUMN()-29),1,MIN(60,COLUMN()-29)),OFFSET(CQ369,0,-MIN(60,COLUMN()-29),1,MIN(60,COLUMN()-29))),0)</f>
        <v>0</v>
      </c>
      <c r="CR370" s="237" t="n">
        <f aca="true">IFERROR(SUMPRODUCT(OFFSET($BJ$31,0,1-MIN(60,COLUMN()-29),1,MIN(60,COLUMN()-29)),OFFSET(CR369,0,-MIN(60,COLUMN()-29),1,MIN(60,COLUMN()-29))),0)</f>
        <v>0</v>
      </c>
      <c r="CS370" s="237" t="n">
        <f aca="true">IFERROR(SUMPRODUCT(OFFSET($BJ$31,0,1-MIN(60,COLUMN()-29),1,MIN(60,COLUMN()-29)),OFFSET(CS369,0,-MIN(60,COLUMN()-29),1,MIN(60,COLUMN()-29))),0)</f>
        <v>0</v>
      </c>
      <c r="CT370" s="237" t="n">
        <f aca="true">IFERROR(SUMPRODUCT(OFFSET($BJ$31,0,1-MIN(60,COLUMN()-29),1,MIN(60,COLUMN()-29)),OFFSET(CT369,0,-MIN(60,COLUMN()-29),1,MIN(60,COLUMN()-29))),0)</f>
        <v>0</v>
      </c>
      <c r="CU370" s="237" t="n">
        <f aca="true">IFERROR(SUMPRODUCT(OFFSET($BJ$31,0,1-MIN(60,COLUMN()-29),1,MIN(60,COLUMN()-29)),OFFSET(CU369,0,-MIN(60,COLUMN()-29),1,MIN(60,COLUMN()-29))),0)</f>
        <v>0</v>
      </c>
      <c r="CV370" s="237" t="n">
        <f aca="true">IFERROR(SUMPRODUCT(OFFSET($BJ$31,0,1-MIN(60,COLUMN()-29),1,MIN(60,COLUMN()-29)),OFFSET(CV369,0,-MIN(60,COLUMN()-29),1,MIN(60,COLUMN()-29))),0)</f>
        <v>0</v>
      </c>
      <c r="CW370" s="237" t="n">
        <f aca="true">IFERROR(SUMPRODUCT(OFFSET($BJ$31,0,1-MIN(60,COLUMN()-29),1,MIN(60,COLUMN()-29)),OFFSET(CW369,0,-MIN(60,COLUMN()-29),1,MIN(60,COLUMN()-29))),0)</f>
        <v>0</v>
      </c>
      <c r="CX370" s="237" t="n">
        <f aca="true">IFERROR(SUMPRODUCT(OFFSET($BJ$31,0,1-MIN(60,COLUMN()-29),1,MIN(60,COLUMN()-29)),OFFSET(CX369,0,-MIN(60,COLUMN()-29),1,MIN(60,COLUMN()-29))),0)</f>
        <v>0</v>
      </c>
      <c r="CY370" s="237" t="n">
        <f aca="true">IFERROR(SUMPRODUCT(OFFSET($BJ$31,0,1-MIN(60,COLUMN()-29),1,MIN(60,COLUMN()-29)),OFFSET(CY369,0,-MIN(60,COLUMN()-29),1,MIN(60,COLUMN()-29))),0)</f>
        <v>0</v>
      </c>
      <c r="CZ370" s="237" t="n">
        <f aca="true">IFERROR(SUMPRODUCT(OFFSET($BJ$31,0,1-MIN(60,COLUMN()-29),1,MIN(60,COLUMN()-29)),OFFSET(CZ369,0,-MIN(60,COLUMN()-29),1,MIN(60,COLUMN()-29))),0)</f>
        <v>0</v>
      </c>
      <c r="DA370" s="237" t="n">
        <f aca="true">IFERROR(SUMPRODUCT(OFFSET($BJ$31,0,1-MIN(60,COLUMN()-29),1,MIN(60,COLUMN()-29)),OFFSET(DA369,0,-MIN(60,COLUMN()-29),1,MIN(60,COLUMN()-29))),0)</f>
        <v>0</v>
      </c>
      <c r="DB370" s="237" t="n">
        <f aca="true">IFERROR(SUMPRODUCT(OFFSET($BJ$31,0,1-MIN(60,COLUMN()-29),1,MIN(60,COLUMN()-29)),OFFSET(DB369,0,-MIN(60,COLUMN()-29),1,MIN(60,COLUMN()-29))),0)</f>
        <v>0</v>
      </c>
      <c r="DC370" s="237" t="n">
        <f aca="true">IFERROR(SUMPRODUCT(OFFSET($BJ$31,0,1-MIN(60,COLUMN()-29),1,MIN(60,COLUMN()-29)),OFFSET(DC369,0,-MIN(60,COLUMN()-29),1,MIN(60,COLUMN()-29))),0)</f>
        <v>0</v>
      </c>
      <c r="DD370" s="237" t="n">
        <f aca="true">IFERROR(SUMPRODUCT(OFFSET($BJ$31,0,1-MIN(60,COLUMN()-29),1,MIN(60,COLUMN()-29)),OFFSET(DD369,0,-MIN(60,COLUMN()-29),1,MIN(60,COLUMN()-29))),0)</f>
        <v>0</v>
      </c>
      <c r="DE370" s="237" t="n">
        <f aca="true">IFERROR(SUMPRODUCT(OFFSET($BJ$31,0,1-MIN(60,COLUMN()-29),1,MIN(60,COLUMN()-29)),OFFSET(DE369,0,-MIN(60,COLUMN()-29),1,MIN(60,COLUMN()-29))),0)</f>
        <v>0</v>
      </c>
      <c r="DF370" s="237" t="n">
        <f aca="true">IFERROR(SUMPRODUCT(OFFSET($BJ$31,0,1-MIN(60,COLUMN()-29),1,MIN(60,COLUMN()-29)),OFFSET(DF369,0,-MIN(60,COLUMN()-29),1,MIN(60,COLUMN()-29))),0)</f>
        <v>0</v>
      </c>
      <c r="DG370" s="237" t="n">
        <f aca="true">IFERROR(SUMPRODUCT(OFFSET($BJ$31,0,1-MIN(60,COLUMN()-29),1,MIN(60,COLUMN()-29)),OFFSET(DG369,0,-MIN(60,COLUMN()-29),1,MIN(60,COLUMN()-29))),0)</f>
        <v>0</v>
      </c>
      <c r="DH370" s="237" t="n">
        <f aca="true">IFERROR(SUMPRODUCT(OFFSET($BJ$31,0,1-MIN(60,COLUMN()-29),1,MIN(60,COLUMN()-29)),OFFSET(DH369,0,-MIN(60,COLUMN()-29),1,MIN(60,COLUMN()-29))),0)</f>
        <v>0</v>
      </c>
      <c r="DI370" s="237" t="n">
        <f aca="true">IFERROR(SUMPRODUCT(OFFSET($BJ$31,0,1-MIN(60,COLUMN()-29),1,MIN(60,COLUMN()-29)),OFFSET(DI369,0,-MIN(60,COLUMN()-29),1,MIN(60,COLUMN()-29))),0)</f>
        <v>0</v>
      </c>
      <c r="DJ370" s="237" t="n">
        <f aca="true">IFERROR(SUMPRODUCT(OFFSET($BJ$31,0,1-MIN(60,COLUMN()-29),1,MIN(60,COLUMN()-29)),OFFSET(DJ369,0,-MIN(60,COLUMN()-29),1,MIN(60,COLUMN()-29))),0)</f>
        <v>0</v>
      </c>
      <c r="DK370" s="237" t="n">
        <f aca="true">IFERROR(SUMPRODUCT(OFFSET($BJ$31,0,1-MIN(60,COLUMN()-29),1,MIN(60,COLUMN()-29)),OFFSET(DK369,0,-MIN(60,COLUMN()-29),1,MIN(60,COLUMN()-29))),0)</f>
        <v>0</v>
      </c>
      <c r="DL370" s="237" t="n">
        <f aca="true">IFERROR(SUMPRODUCT(OFFSET($BJ$31,0,1-MIN(60,COLUMN()-29),1,MIN(60,COLUMN()-29)),OFFSET(DL369,0,-MIN(60,COLUMN()-29),1,MIN(60,COLUMN()-29))),0)</f>
        <v>0</v>
      </c>
      <c r="DM370" s="237" t="n">
        <f aca="true">IFERROR(SUMPRODUCT(OFFSET($BJ$31,0,1-MIN(60,COLUMN()-29),1,MIN(60,COLUMN()-29)),OFFSET(DM369,0,-MIN(60,COLUMN()-29),1,MIN(60,COLUMN()-29))),0)</f>
        <v>0</v>
      </c>
      <c r="DN370" s="237" t="n">
        <f aca="true">IFERROR(SUMPRODUCT(OFFSET($BJ$31,0,1-MIN(60,COLUMN()-29),1,MIN(60,COLUMN()-29)),OFFSET(DN369,0,-MIN(60,COLUMN()-29),1,MIN(60,COLUMN()-29))),0)</f>
        <v>0</v>
      </c>
      <c r="DO370" s="237" t="n">
        <f aca="true">IFERROR(SUMPRODUCT(OFFSET($BJ$31,0,1-MIN(60,COLUMN()-29),1,MIN(60,COLUMN()-29)),OFFSET(DO369,0,-MIN(60,COLUMN()-29),1,MIN(60,COLUMN()-29))),0)</f>
        <v>0</v>
      </c>
      <c r="DP370" s="237" t="n">
        <f aca="true">IFERROR(SUMPRODUCT(OFFSET($BJ$31,0,1-MIN(60,COLUMN()-29),1,MIN(60,COLUMN()-29)),OFFSET(DP369,0,-MIN(60,COLUMN()-29),1,MIN(60,COLUMN()-29))),0)</f>
        <v>0</v>
      </c>
      <c r="DQ370" s="237" t="n">
        <f aca="true">IFERROR(SUMPRODUCT(OFFSET($BJ$31,0,1-MIN(60,COLUMN()-29),1,MIN(60,COLUMN()-29)),OFFSET(DQ369,0,-MIN(60,COLUMN()-29),1,MIN(60,COLUMN()-29))),0)</f>
        <v>0</v>
      </c>
      <c r="DR370" s="237" t="n">
        <f aca="true">IFERROR(SUMPRODUCT(OFFSET($BJ$31,0,1-MIN(60,COLUMN()-29),1,MIN(60,COLUMN()-29)),OFFSET(DR369,0,-MIN(60,COLUMN()-29),1,MIN(60,COLUMN()-29))),0)</f>
        <v>0</v>
      </c>
      <c r="DS370" s="237" t="n">
        <f aca="true">IFERROR(SUMPRODUCT(OFFSET($BJ$31,0,1-MIN(60,COLUMN()-29),1,MIN(60,COLUMN()-29)),OFFSET(DS369,0,-MIN(60,COLUMN()-29),1,MIN(60,COLUMN()-29))),0)</f>
        <v>0</v>
      </c>
      <c r="DT370" s="237" t="n">
        <f aca="true">IFERROR(SUMPRODUCT(OFFSET($BJ$31,0,1-MIN(60,COLUMN()-29),1,MIN(60,COLUMN()-29)),OFFSET(DT369,0,-MIN(60,COLUMN()-29),1,MIN(60,COLUMN()-29))),0)</f>
        <v>0</v>
      </c>
      <c r="DU370" s="237" t="n">
        <f aca="true">IFERROR(SUMPRODUCT(OFFSET($BJ$31,0,1-MIN(60,COLUMN()-29),1,MIN(60,COLUMN()-29)),OFFSET(DU369,0,-MIN(60,COLUMN()-29),1,MIN(60,COLUMN()-29))),0)</f>
        <v>0</v>
      </c>
      <c r="DV370" s="237" t="n">
        <f aca="true">IFERROR(SUMPRODUCT(OFFSET($BJ$31,0,1-MIN(60,COLUMN()-29),1,MIN(60,COLUMN()-29)),OFFSET(DV369,0,-MIN(60,COLUMN()-29),1,MIN(60,COLUMN()-29))),0)</f>
        <v>0</v>
      </c>
      <c r="DW370" s="237" t="n">
        <f aca="true">IFERROR(SUMPRODUCT(OFFSET($BJ$31,0,1-MIN(60,COLUMN()-29),1,MIN(60,COLUMN()-29)),OFFSET(DW369,0,-MIN(60,COLUMN()-29),1,MIN(60,COLUMN()-29))),0)</f>
        <v>0</v>
      </c>
      <c r="DX370" s="237" t="n">
        <f aca="true">IFERROR(SUMPRODUCT(OFFSET($BJ$31,0,1-MIN(60,COLUMN()-29),1,MIN(60,COLUMN()-29)),OFFSET(DX369,0,-MIN(60,COLUMN()-29),1,MIN(60,COLUMN()-29))),0)</f>
        <v>0</v>
      </c>
      <c r="DY370" s="237" t="n">
        <f aca="true">IFERROR(SUMPRODUCT(OFFSET($BJ$31,0,1-MIN(60,COLUMN()-29),1,MIN(60,COLUMN()-29)),OFFSET(DY369,0,-MIN(60,COLUMN()-29),1,MIN(60,COLUMN()-29))),0)</f>
        <v>0</v>
      </c>
      <c r="DZ370" s="237" t="n">
        <f aca="true">IFERROR(SUMPRODUCT(OFFSET($BJ$31,0,1-MIN(60,COLUMN()-29),1,MIN(60,COLUMN()-29)),OFFSET(DZ369,0,-MIN(60,COLUMN()-29),1,MIN(60,COLUMN()-29))),0)</f>
        <v>0</v>
      </c>
      <c r="EA370" s="237" t="n">
        <f aca="true">IFERROR(SUMPRODUCT(OFFSET($BJ$31,0,1-MIN(60,COLUMN()-29),1,MIN(60,COLUMN()-29)),OFFSET(EA369,0,-MIN(60,COLUMN()-29),1,MIN(60,COLUMN()-29))),0)</f>
        <v>0</v>
      </c>
      <c r="EB370" s="237" t="n">
        <f aca="true">IFERROR(SUMPRODUCT(OFFSET($BJ$31,0,1-MIN(60,COLUMN()-29),1,MIN(60,COLUMN()-29)),OFFSET(EB369,0,-MIN(60,COLUMN()-29),1,MIN(60,COLUMN()-29))),0)</f>
        <v>0</v>
      </c>
      <c r="EC370" s="237" t="n">
        <f aca="true">IFERROR(SUMPRODUCT(OFFSET($BJ$31,0,1-MIN(60,COLUMN()-29),1,MIN(60,COLUMN()-29)),OFFSET(EC369,0,-MIN(60,COLUMN()-29),1,MIN(60,COLUMN()-29))),0)</f>
        <v>0</v>
      </c>
      <c r="ED370" s="237" t="n">
        <f aca="true">IFERROR(SUMPRODUCT(OFFSET($BJ$31,0,1-MIN(60,COLUMN()-29),1,MIN(60,COLUMN()-29)),OFFSET(ED369,0,-MIN(60,COLUMN()-29),1,MIN(60,COLUMN()-29))),0)</f>
        <v>0</v>
      </c>
      <c r="EE370" s="237" t="n">
        <f aca="true">IFERROR(SUMPRODUCT(OFFSET($BJ$31,0,1-MIN(60,COLUMN()-29),1,MIN(60,COLUMN()-29)),OFFSET(EE369,0,-MIN(60,COLUMN()-29),1,MIN(60,COLUMN()-29))),0)</f>
        <v>0</v>
      </c>
      <c r="EF370" s="237" t="n">
        <f aca="true">IFERROR(SUMPRODUCT(OFFSET($BJ$31,0,1-MIN(60,COLUMN()-29),1,MIN(60,COLUMN()-29)),OFFSET(EF369,0,-MIN(60,COLUMN()-29),1,MIN(60,COLUMN()-29))),0)</f>
        <v>0</v>
      </c>
      <c r="EG370" s="237" t="n">
        <f aca="true">IFERROR(SUMPRODUCT(OFFSET($BJ$31,0,1-MIN(60,COLUMN()-29),1,MIN(60,COLUMN()-29)),OFFSET(EG369,0,-MIN(60,COLUMN()-29),1,MIN(60,COLUMN()-29))),0)</f>
        <v>5.48352</v>
      </c>
      <c r="EH370" s="237" t="n">
        <f aca="true">IFERROR(SUMPRODUCT(OFFSET($BJ$31,0,1-MIN(60,COLUMN()-29),1,MIN(60,COLUMN()-29)),OFFSET(EH369,0,-MIN(60,COLUMN()-29),1,MIN(60,COLUMN()-29))),0)</f>
        <v>7.140672</v>
      </c>
      <c r="EI370" s="237" t="n">
        <f aca="true">IFERROR(SUMPRODUCT(OFFSET($BJ$31,0,1-MIN(60,COLUMN()-29),1,MIN(60,COLUMN()-29)),OFFSET(EI369,0,-MIN(60,COLUMN()-29),1,MIN(60,COLUMN()-29))),0)</f>
        <v>7.1277696</v>
      </c>
      <c r="EJ370" s="237" t="n">
        <f aca="true">IFERROR(SUMPRODUCT(OFFSET($BJ$31,0,1-MIN(60,COLUMN()-29),1,MIN(60,COLUMN()-29)),OFFSET(EJ369,0,-MIN(60,COLUMN()-29),1,MIN(60,COLUMN()-29))),0)</f>
        <v>10.8122112</v>
      </c>
      <c r="EK370" s="237" t="n">
        <f aca="true">IFERROR(SUMPRODUCT(OFFSET($BJ$31,0,1-MIN(60,COLUMN()-29),1,MIN(60,COLUMN()-29)),OFFSET(EK369,0,-MIN(60,COLUMN()-29),1,MIN(60,COLUMN()-29))),0)</f>
        <v>11.1166272</v>
      </c>
      <c r="EL370" s="237" t="n">
        <f aca="true">IFERROR(SUMPRODUCT(OFFSET($BJ$31,0,1-MIN(60,COLUMN()-29),1,MIN(60,COLUMN()-29)),OFFSET(EL369,0,-MIN(60,COLUMN()-29),1,MIN(60,COLUMN()-29))),0)</f>
        <v>11.4508128</v>
      </c>
      <c r="EM370" s="237" t="n">
        <f aca="true">IFERROR(SUMPRODUCT(OFFSET($BJ$31,0,1-MIN(60,COLUMN()-29),1,MIN(60,COLUMN()-29)),OFFSET(EM369,0,-MIN(60,COLUMN()-29),1,MIN(60,COLUMN()-29))),0)</f>
        <v>12.1411584</v>
      </c>
      <c r="EN370" s="237" t="n">
        <f aca="true">IFERROR(SUMPRODUCT(OFFSET($BJ$31,0,1-MIN(60,COLUMN()-29),1,MIN(60,COLUMN()-29)),OFFSET(EN369,0,-MIN(60,COLUMN()-29),1,MIN(60,COLUMN()-29))),0)</f>
        <v>13.8144384</v>
      </c>
      <c r="EO370" s="237" t="n">
        <f aca="true">IFERROR(SUMPRODUCT(OFFSET($BJ$31,0,1-MIN(60,COLUMN()-29),1,MIN(60,COLUMN()-29)),OFFSET(EO369,0,-MIN(60,COLUMN()-29),1,MIN(60,COLUMN()-29))),0)</f>
        <v>22.3156416</v>
      </c>
      <c r="EP370" s="237" t="n">
        <f aca="true">IFERROR(SUMPRODUCT(OFFSET($BJ$31,0,1-MIN(60,COLUMN()-29),1,MIN(60,COLUMN()-29)),OFFSET(EP369,0,-MIN(60,COLUMN()-29),1,MIN(60,COLUMN()-29))),0)</f>
        <v>21.6805344</v>
      </c>
      <c r="EQ370" s="237" t="n">
        <f aca="true">IFERROR(SUMPRODUCT(OFFSET($BJ$31,0,1-MIN(60,COLUMN()-29),1,MIN(60,COLUMN()-29)),OFFSET(EQ369,0,-MIN(60,COLUMN()-29),1,MIN(60,COLUMN()-29))),0)</f>
        <v>21.669984</v>
      </c>
      <c r="ER370" s="237" t="n">
        <f aca="true">IFERROR(SUMPRODUCT(OFFSET($BJ$31,0,1-MIN(60,COLUMN()-29),1,MIN(60,COLUMN()-29)),OFFSET(ER369,0,-MIN(60,COLUMN()-29),1,MIN(60,COLUMN()-29))),0)</f>
        <v>20.7314016</v>
      </c>
      <c r="ES370" s="9" t="n">
        <f aca="true">IFERROR(SUMPRODUCT(OFFSET($BJ$31,0,1-MIN(60,COLUMN()-29),1,MIN(60,COLUMN()-29)),OFFSET(ES369,0,-MIN(60,COLUMN()-29),1,MIN(60,COLUMN()-29))),0)</f>
        <v>27.849024</v>
      </c>
      <c r="ET370" s="9" t="n">
        <f aca="true">IFERROR(SUMPRODUCT(OFFSET($BJ$31,0,1-MIN(60,COLUMN()-29),1,MIN(60,COLUMN()-29)),OFFSET(ET369,0,-MIN(60,COLUMN()-29),1,MIN(60,COLUMN()-29))),0)</f>
        <v>30.8143584</v>
      </c>
      <c r="EU370" s="9" t="n">
        <f aca="true">IFERROR(SUMPRODUCT(OFFSET($BJ$31,0,1-MIN(60,COLUMN()-29),1,MIN(60,COLUMN()-29)),OFFSET(EU369,0,-MIN(60,COLUMN()-29),1,MIN(60,COLUMN()-29))),0)</f>
        <v>29.2868352</v>
      </c>
      <c r="EV370" s="9" t="n">
        <f aca="true">IFERROR(SUMPRODUCT(OFFSET($BJ$31,0,1-MIN(60,COLUMN()-29),1,MIN(60,COLUMN()-29)),OFFSET(EV369,0,-MIN(60,COLUMN()-29),1,MIN(60,COLUMN()-29))),0)</f>
        <v>40.8017568</v>
      </c>
      <c r="EW370" s="9" t="n">
        <f aca="true">IFERROR(SUMPRODUCT(OFFSET($BJ$31,0,1-MIN(60,COLUMN()-29),1,MIN(60,COLUMN()-29)),OFFSET(EW369,0,-MIN(60,COLUMN()-29),1,MIN(60,COLUMN()-29))),0)</f>
        <v>43.64823456</v>
      </c>
      <c r="EX370" s="9" t="n">
        <f aca="true">IFERROR(SUMPRODUCT(OFFSET($BJ$31,0,1-MIN(60,COLUMN()-29),1,MIN(60,COLUMN()-29)),OFFSET(EX369,0,-MIN(60,COLUMN()-29),1,MIN(60,COLUMN()-29))),0)</f>
        <v>44.50657344</v>
      </c>
      <c r="EY370" s="9" t="n">
        <f aca="true">IFERROR(SUMPRODUCT(OFFSET($BJ$31,0,1-MIN(60,COLUMN()-29),1,MIN(60,COLUMN()-29)),OFFSET(EY369,0,-MIN(60,COLUMN()-29),1,MIN(60,COLUMN()-29))),0)</f>
        <v>44.54722944</v>
      </c>
      <c r="EZ370" s="9" t="n">
        <f aca="true">IFERROR(SUMPRODUCT(OFFSET($BJ$31,0,1-MIN(60,COLUMN()-29),1,MIN(60,COLUMN()-29)),OFFSET(EZ369,0,-MIN(60,COLUMN()-29),1,MIN(60,COLUMN()-29))),0)</f>
        <v>49.1935752</v>
      </c>
      <c r="FA370" s="9" t="n">
        <f aca="true">IFERROR(SUMPRODUCT(OFFSET($BJ$31,0,1-MIN(60,COLUMN()-29),1,MIN(60,COLUMN()-29)),OFFSET(FA369,0,-MIN(60,COLUMN()-29),1,MIN(60,COLUMN()-29))),0)</f>
        <v>66.27817224</v>
      </c>
      <c r="FB370" s="9" t="n">
        <f aca="true">IFERROR(SUMPRODUCT(OFFSET($BJ$31,0,1-MIN(60,COLUMN()-29),1,MIN(60,COLUMN()-29)),OFFSET(FB369,0,-MIN(60,COLUMN()-29),1,MIN(60,COLUMN()-29))),0)</f>
        <v>65.9695596</v>
      </c>
      <c r="FC370" s="9" t="n">
        <f aca="true">IFERROR(SUMPRODUCT(OFFSET($BJ$31,0,1-MIN(60,COLUMN()-29),1,MIN(60,COLUMN()-29)),OFFSET(FC369,0,-MIN(60,COLUMN()-29),1,MIN(60,COLUMN()-29))),0)</f>
        <v>65.16486648</v>
      </c>
      <c r="FD370" s="9" t="n">
        <f aca="true">IFERROR(SUMPRODUCT(OFFSET($BJ$31,0,1-MIN(60,COLUMN()-29),1,MIN(60,COLUMN()-29)),OFFSET(FD369,0,-MIN(60,COLUMN()-29),1,MIN(60,COLUMN()-29))),0)</f>
        <v>62.05492104</v>
      </c>
      <c r="FE370" s="9" t="n">
        <f aca="true">IFERROR(SUMPRODUCT(OFFSET($BJ$31,0,1-MIN(60,COLUMN()-29),1,MIN(60,COLUMN()-29)),OFFSET(FE369,0,-MIN(60,COLUMN()-29),1,MIN(60,COLUMN()-29))),0)</f>
        <v>74.93298792</v>
      </c>
      <c r="FF370" s="9" t="n">
        <f aca="true">IFERROR(SUMPRODUCT(OFFSET($BJ$31,0,1-MIN(60,COLUMN()-29),1,MIN(60,COLUMN()-29)),OFFSET(FF369,0,-MIN(60,COLUMN()-29),1,MIN(60,COLUMN()-29))),0)</f>
        <v>79.66173096</v>
      </c>
      <c r="FG370" s="9" t="n">
        <f aca="true">IFERROR(SUMPRODUCT(OFFSET($BJ$31,0,1-MIN(60,COLUMN()-29),1,MIN(60,COLUMN()-29)),OFFSET(FG369,0,-MIN(60,COLUMN()-29),1,MIN(60,COLUMN()-29))),0)</f>
        <v>79.63818408</v>
      </c>
      <c r="FH370" s="9" t="n">
        <f aca="true">IFERROR(SUMPRODUCT(OFFSET($BJ$31,0,1-MIN(60,COLUMN()-29),1,MIN(60,COLUMN()-29)),OFFSET(FH369,0,-MIN(60,COLUMN()-29),1,MIN(60,COLUMN()-29))),0)</f>
        <v>93.88049832</v>
      </c>
      <c r="FI370" s="9" t="n">
        <f aca="true">IFERROR(SUMPRODUCT(OFFSET($BJ$31,0,1-MIN(60,COLUMN()-29),1,MIN(60,COLUMN()-29)),OFFSET(FI369,0,-MIN(60,COLUMN()-29),1,MIN(60,COLUMN()-29))),0)</f>
        <v>97.35700968</v>
      </c>
      <c r="FJ370" s="9" t="n">
        <f aca="true">IFERROR(SUMPRODUCT(OFFSET($BJ$31,0,1-MIN(60,COLUMN()-29),1,MIN(60,COLUMN()-29)),OFFSET(FJ369,0,-MIN(60,COLUMN()-29),1,MIN(60,COLUMN()-29))),0)</f>
        <v>97.85193768</v>
      </c>
      <c r="FK370" s="9" t="n">
        <f aca="true">IFERROR(SUMPRODUCT(OFFSET($BJ$31,0,1-MIN(60,COLUMN()-29),1,MIN(60,COLUMN()-29)),OFFSET(FK369,0,-MIN(60,COLUMN()-29),1,MIN(60,COLUMN()-29))),0)</f>
        <v>97.56451656</v>
      </c>
      <c r="FL370" s="9" t="n">
        <f aca="true">IFERROR(SUMPRODUCT(OFFSET($BJ$31,0,1-MIN(60,COLUMN()-29),1,MIN(60,COLUMN()-29)),OFFSET(FL369,0,-MIN(60,COLUMN()-29),1,MIN(60,COLUMN()-29))),0)</f>
        <v>105.92980776</v>
      </c>
      <c r="FM370" s="9" t="n">
        <f aca="true">IFERROR(SUMPRODUCT(OFFSET($BJ$31,0,1-MIN(60,COLUMN()-29),1,MIN(60,COLUMN()-29)),OFFSET(FM369,0,-MIN(60,COLUMN()-29),1,MIN(60,COLUMN()-29))),0)</f>
        <v>129.18358152</v>
      </c>
      <c r="FN370" s="9" t="n">
        <f aca="true">IFERROR(SUMPRODUCT(OFFSET($BJ$31,0,1-MIN(60,COLUMN()-29),1,MIN(60,COLUMN()-29)),OFFSET(FN369,0,-MIN(60,COLUMN()-29),1,MIN(60,COLUMN()-29))),0)</f>
        <v>129.545514</v>
      </c>
      <c r="FO370" s="9" t="n">
        <f aca="true">IFERROR(SUMPRODUCT(OFFSET($BJ$31,0,1-MIN(60,COLUMN()-29),1,MIN(60,COLUMN()-29)),OFFSET(FO369,0,-MIN(60,COLUMN()-29),1,MIN(60,COLUMN()-29))),0)</f>
        <v>128.38010472</v>
      </c>
      <c r="FP370" s="9" t="n">
        <f aca="true">IFERROR(SUMPRODUCT(OFFSET($BJ$31,0,1-MIN(60,COLUMN()-29),1,MIN(60,COLUMN()-29)),OFFSET(FP369,0,-MIN(60,COLUMN()-29),1,MIN(60,COLUMN()-29))),0)</f>
        <v>125.3833812</v>
      </c>
    </row>
    <row r="371" customFormat="false" ht="15" hidden="false" customHeight="false" outlineLevel="2" collapsed="false">
      <c r="B371" s="47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237"/>
      <c r="AD371" s="237"/>
      <c r="AE371" s="237"/>
      <c r="AF371" s="237"/>
      <c r="AG371" s="237"/>
      <c r="AH371" s="237"/>
      <c r="AI371" s="237"/>
      <c r="AJ371" s="237"/>
      <c r="AK371" s="237"/>
      <c r="AL371" s="237"/>
      <c r="AM371" s="237"/>
      <c r="AN371" s="237"/>
      <c r="AO371" s="237"/>
      <c r="AP371" s="237"/>
      <c r="AQ371" s="237"/>
      <c r="AR371" s="237"/>
      <c r="AS371" s="237"/>
      <c r="AT371" s="237"/>
      <c r="AU371" s="237"/>
      <c r="AV371" s="237"/>
      <c r="AW371" s="237"/>
      <c r="AX371" s="237"/>
      <c r="AY371" s="237"/>
      <c r="AZ371" s="237"/>
      <c r="BA371" s="237"/>
      <c r="BB371" s="237"/>
      <c r="BC371" s="237"/>
      <c r="BD371" s="237"/>
      <c r="BE371" s="237"/>
      <c r="BF371" s="237"/>
      <c r="BG371" s="237"/>
      <c r="BH371" s="237"/>
      <c r="BI371" s="237"/>
      <c r="BJ371" s="237"/>
      <c r="BK371" s="237"/>
      <c r="BL371" s="237"/>
      <c r="BM371" s="237"/>
      <c r="BN371" s="237"/>
      <c r="BO371" s="237"/>
      <c r="BP371" s="237"/>
      <c r="BQ371" s="237"/>
      <c r="BR371" s="237"/>
      <c r="BS371" s="237"/>
      <c r="BT371" s="237"/>
      <c r="BU371" s="237"/>
      <c r="BV371" s="237"/>
      <c r="BW371" s="237"/>
      <c r="BX371" s="237"/>
      <c r="BY371" s="237"/>
      <c r="BZ371" s="237"/>
      <c r="CA371" s="237"/>
      <c r="CB371" s="237"/>
      <c r="CC371" s="237"/>
      <c r="CD371" s="237"/>
      <c r="CE371" s="237"/>
      <c r="CF371" s="237"/>
      <c r="CG371" s="237"/>
      <c r="CH371" s="237"/>
      <c r="CI371" s="237"/>
      <c r="CJ371" s="237"/>
      <c r="CK371" s="237"/>
      <c r="CL371" s="237"/>
      <c r="CM371" s="237"/>
      <c r="CN371" s="237"/>
      <c r="CO371" s="237"/>
      <c r="CP371" s="237"/>
      <c r="CQ371" s="237"/>
      <c r="CR371" s="237"/>
      <c r="CS371" s="237"/>
      <c r="CT371" s="237"/>
      <c r="CU371" s="237"/>
      <c r="CV371" s="237"/>
      <c r="CW371" s="237"/>
      <c r="CX371" s="237"/>
      <c r="CY371" s="237"/>
      <c r="CZ371" s="237"/>
      <c r="DA371" s="237"/>
      <c r="DB371" s="237"/>
      <c r="DC371" s="237"/>
      <c r="DD371" s="237"/>
      <c r="DE371" s="237"/>
      <c r="DF371" s="237"/>
      <c r="DG371" s="237"/>
      <c r="DH371" s="237"/>
      <c r="DI371" s="237"/>
      <c r="DJ371" s="237"/>
      <c r="DK371" s="237"/>
      <c r="DL371" s="237"/>
      <c r="DM371" s="237"/>
      <c r="DN371" s="237"/>
      <c r="DO371" s="237"/>
      <c r="DP371" s="237"/>
      <c r="DQ371" s="237"/>
      <c r="DR371" s="237"/>
      <c r="DS371" s="237"/>
      <c r="DT371" s="237"/>
      <c r="DU371" s="237"/>
      <c r="DV371" s="237"/>
      <c r="DW371" s="237"/>
      <c r="DX371" s="237"/>
      <c r="DY371" s="237"/>
      <c r="DZ371" s="237"/>
      <c r="EA371" s="237"/>
      <c r="EB371" s="237"/>
      <c r="EC371" s="237"/>
      <c r="ED371" s="237"/>
      <c r="EE371" s="237"/>
      <c r="EF371" s="237"/>
      <c r="EG371" s="237"/>
      <c r="EH371" s="237"/>
      <c r="EI371" s="237"/>
      <c r="EJ371" s="237"/>
      <c r="EK371" s="237"/>
      <c r="EL371" s="237"/>
      <c r="EM371" s="237"/>
      <c r="EN371" s="237"/>
      <c r="EO371" s="237"/>
      <c r="EP371" s="237"/>
      <c r="EQ371" s="237"/>
      <c r="ER371" s="237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</row>
    <row r="372" customFormat="false" ht="15" hidden="false" customHeight="false" outlineLevel="2" collapsed="false">
      <c r="B372" s="47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237"/>
      <c r="AD372" s="237"/>
      <c r="AE372" s="237"/>
      <c r="AF372" s="237"/>
      <c r="AG372" s="237"/>
      <c r="AH372" s="237"/>
      <c r="AI372" s="237"/>
      <c r="AJ372" s="237"/>
      <c r="AK372" s="237"/>
      <c r="AL372" s="237"/>
      <c r="AM372" s="237"/>
      <c r="AN372" s="237"/>
      <c r="AO372" s="237"/>
      <c r="AP372" s="237"/>
      <c r="AQ372" s="237"/>
      <c r="AR372" s="237"/>
      <c r="AS372" s="237"/>
      <c r="AT372" s="237"/>
      <c r="AU372" s="237"/>
      <c r="AV372" s="237"/>
      <c r="AW372" s="237"/>
      <c r="AX372" s="237"/>
      <c r="AY372" s="237"/>
      <c r="AZ372" s="237"/>
      <c r="BA372" s="237"/>
      <c r="BB372" s="237"/>
      <c r="BC372" s="237"/>
      <c r="BD372" s="237"/>
      <c r="BE372" s="237"/>
      <c r="BF372" s="237"/>
      <c r="BG372" s="237"/>
      <c r="BH372" s="237"/>
      <c r="BI372" s="237"/>
      <c r="BJ372" s="237"/>
      <c r="BK372" s="237"/>
      <c r="BL372" s="237"/>
      <c r="BM372" s="237"/>
      <c r="BN372" s="237"/>
      <c r="BO372" s="237"/>
      <c r="BP372" s="237"/>
      <c r="BQ372" s="237"/>
      <c r="BR372" s="237"/>
      <c r="BS372" s="237"/>
      <c r="BT372" s="237"/>
      <c r="BU372" s="237"/>
      <c r="BV372" s="237"/>
      <c r="BW372" s="237"/>
      <c r="BX372" s="237"/>
      <c r="BY372" s="237"/>
      <c r="BZ372" s="237"/>
      <c r="CA372" s="237"/>
      <c r="CB372" s="237"/>
      <c r="CC372" s="237"/>
      <c r="CD372" s="237"/>
      <c r="CE372" s="237"/>
      <c r="CF372" s="237"/>
      <c r="CG372" s="237"/>
      <c r="CH372" s="237"/>
      <c r="CI372" s="237"/>
      <c r="CJ372" s="237"/>
      <c r="CK372" s="237"/>
      <c r="CL372" s="237"/>
      <c r="CM372" s="237"/>
      <c r="CN372" s="237"/>
      <c r="CO372" s="237"/>
      <c r="CP372" s="237"/>
      <c r="CQ372" s="237"/>
      <c r="CR372" s="237"/>
      <c r="CS372" s="237"/>
      <c r="CT372" s="237"/>
      <c r="CU372" s="237"/>
      <c r="CV372" s="237"/>
      <c r="CW372" s="237"/>
      <c r="CX372" s="237"/>
      <c r="CY372" s="237"/>
      <c r="CZ372" s="237"/>
      <c r="DA372" s="237"/>
      <c r="DB372" s="237"/>
      <c r="DC372" s="237"/>
      <c r="DD372" s="237"/>
      <c r="DE372" s="237"/>
      <c r="DF372" s="237"/>
      <c r="DG372" s="237"/>
      <c r="DH372" s="237"/>
      <c r="DI372" s="237"/>
      <c r="DJ372" s="237"/>
      <c r="DK372" s="237"/>
      <c r="DL372" s="237"/>
      <c r="DM372" s="237"/>
      <c r="DN372" s="237"/>
      <c r="DO372" s="237"/>
      <c r="DP372" s="237"/>
      <c r="DQ372" s="237"/>
      <c r="DR372" s="237"/>
      <c r="DS372" s="237"/>
      <c r="DT372" s="237"/>
      <c r="DU372" s="237"/>
      <c r="DV372" s="237"/>
      <c r="DW372" s="237"/>
      <c r="DX372" s="237"/>
      <c r="DY372" s="237"/>
      <c r="DZ372" s="237"/>
      <c r="EA372" s="237"/>
      <c r="EB372" s="237"/>
      <c r="EC372" s="237"/>
      <c r="ED372" s="237"/>
      <c r="EE372" s="237"/>
      <c r="EF372" s="237"/>
      <c r="EG372" s="237"/>
      <c r="EH372" s="237"/>
      <c r="EI372" s="237"/>
      <c r="EJ372" s="237"/>
      <c r="EK372" s="237"/>
      <c r="EL372" s="237"/>
      <c r="EM372" s="237"/>
      <c r="EN372" s="237"/>
      <c r="EO372" s="237"/>
      <c r="EP372" s="237"/>
      <c r="EQ372" s="237"/>
      <c r="ER372" s="237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</row>
    <row r="373" customFormat="false" ht="15" hidden="false" customHeight="false" outlineLevel="2" collapsed="false">
      <c r="B373" s="47" t="s">
        <v>910</v>
      </c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237"/>
      <c r="AD373" s="237"/>
      <c r="AE373" s="237"/>
      <c r="AF373" s="237"/>
      <c r="AG373" s="237"/>
      <c r="AH373" s="237"/>
      <c r="AI373" s="237"/>
      <c r="AJ373" s="237"/>
      <c r="AK373" s="237"/>
      <c r="AL373" s="237"/>
      <c r="AM373" s="237"/>
      <c r="AN373" s="237"/>
      <c r="AO373" s="237"/>
      <c r="AP373" s="237"/>
      <c r="AQ373" s="237"/>
      <c r="AR373" s="237"/>
      <c r="AS373" s="237"/>
      <c r="AT373" s="237"/>
      <c r="AU373" s="237"/>
      <c r="AV373" s="237"/>
      <c r="AW373" s="237"/>
      <c r="AX373" s="237"/>
      <c r="AY373" s="237"/>
      <c r="AZ373" s="237"/>
      <c r="BA373" s="237"/>
      <c r="BB373" s="237"/>
      <c r="BC373" s="237"/>
      <c r="BD373" s="237"/>
      <c r="BE373" s="237"/>
      <c r="BF373" s="237"/>
      <c r="BG373" s="237"/>
      <c r="BH373" s="237"/>
      <c r="BI373" s="237"/>
      <c r="BJ373" s="237"/>
      <c r="BK373" s="237"/>
      <c r="BL373" s="237"/>
      <c r="BM373" s="237"/>
      <c r="BN373" s="237"/>
      <c r="BO373" s="237"/>
      <c r="BP373" s="237"/>
      <c r="BQ373" s="237"/>
      <c r="BR373" s="237"/>
      <c r="BS373" s="237"/>
      <c r="BT373" s="237"/>
      <c r="BU373" s="237"/>
      <c r="BV373" s="237"/>
      <c r="BW373" s="237"/>
      <c r="BX373" s="237"/>
      <c r="BY373" s="237"/>
      <c r="BZ373" s="237"/>
      <c r="CA373" s="237"/>
      <c r="CB373" s="237"/>
      <c r="CC373" s="237"/>
      <c r="CD373" s="237"/>
      <c r="CE373" s="237"/>
      <c r="CF373" s="237"/>
      <c r="CG373" s="237"/>
      <c r="CH373" s="237"/>
      <c r="CI373" s="237"/>
      <c r="CJ373" s="237"/>
      <c r="CK373" s="237"/>
      <c r="CL373" s="237"/>
      <c r="CM373" s="237"/>
      <c r="CN373" s="237"/>
      <c r="CO373" s="237"/>
      <c r="CP373" s="237"/>
      <c r="CQ373" s="237"/>
      <c r="CR373" s="237"/>
      <c r="CS373" s="237"/>
      <c r="CT373" s="237"/>
      <c r="CU373" s="237"/>
      <c r="CV373" s="237"/>
      <c r="CW373" s="237"/>
      <c r="CX373" s="237"/>
      <c r="CY373" s="237"/>
      <c r="CZ373" s="237"/>
      <c r="DA373" s="237"/>
      <c r="DB373" s="237"/>
      <c r="DC373" s="237"/>
      <c r="DD373" s="237"/>
      <c r="DE373" s="237"/>
      <c r="DF373" s="237"/>
      <c r="DG373" s="237"/>
      <c r="DH373" s="237"/>
      <c r="DI373" s="237"/>
      <c r="DJ373" s="237"/>
      <c r="DK373" s="237"/>
      <c r="DL373" s="237"/>
      <c r="DM373" s="237"/>
      <c r="DN373" s="237"/>
      <c r="DO373" s="237"/>
      <c r="DP373" s="237"/>
      <c r="DQ373" s="237"/>
      <c r="DR373" s="237"/>
      <c r="DS373" s="237"/>
      <c r="DT373" s="237"/>
      <c r="DU373" s="237"/>
      <c r="DV373" s="237"/>
      <c r="DW373" s="237"/>
      <c r="DX373" s="237"/>
      <c r="DY373" s="237"/>
      <c r="DZ373" s="237"/>
      <c r="EA373" s="237"/>
      <c r="EB373" s="237"/>
      <c r="EC373" s="237"/>
      <c r="ED373" s="237"/>
      <c r="EE373" s="237"/>
      <c r="EF373" s="237"/>
      <c r="EG373" s="237"/>
      <c r="EH373" s="237"/>
      <c r="EI373" s="237"/>
      <c r="EJ373" s="237"/>
      <c r="EK373" s="237"/>
      <c r="EL373" s="237"/>
      <c r="EM373" s="237"/>
      <c r="EN373" s="237"/>
      <c r="EO373" s="237"/>
      <c r="EP373" s="237"/>
      <c r="EQ373" s="237"/>
      <c r="ER373" s="237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</row>
    <row r="374" customFormat="false" ht="15" hidden="false" customHeight="false" outlineLevel="2" collapsed="false">
      <c r="B374" s="47" t="s">
        <v>872</v>
      </c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237" t="n">
        <f aca="false">('⑫ Roll-out Plan'!G42-2025)*12+'⑫ Roll-out Plan'!F42</f>
        <v>98</v>
      </c>
      <c r="AD374" s="237"/>
      <c r="AE374" s="237"/>
      <c r="AF374" s="237"/>
      <c r="AG374" s="237"/>
      <c r="AH374" s="237"/>
      <c r="AI374" s="237"/>
      <c r="AJ374" s="237"/>
      <c r="AK374" s="237"/>
      <c r="AL374" s="237"/>
      <c r="AM374" s="237"/>
      <c r="AN374" s="237"/>
      <c r="AO374" s="237"/>
      <c r="AP374" s="237"/>
      <c r="AQ374" s="237"/>
      <c r="AR374" s="237"/>
      <c r="AS374" s="237"/>
      <c r="AT374" s="237"/>
      <c r="AU374" s="237"/>
      <c r="AV374" s="237"/>
      <c r="AW374" s="237"/>
      <c r="AX374" s="237"/>
      <c r="AY374" s="237"/>
      <c r="AZ374" s="237"/>
      <c r="BA374" s="237"/>
      <c r="BB374" s="237"/>
      <c r="BC374" s="237"/>
      <c r="BD374" s="237"/>
      <c r="BE374" s="237"/>
      <c r="BF374" s="237"/>
      <c r="BG374" s="237"/>
      <c r="BH374" s="237"/>
      <c r="BI374" s="237"/>
      <c r="BJ374" s="237"/>
      <c r="BK374" s="237"/>
      <c r="BL374" s="237"/>
      <c r="BM374" s="237"/>
      <c r="BN374" s="237"/>
      <c r="BO374" s="237"/>
      <c r="BP374" s="237"/>
      <c r="BQ374" s="237"/>
      <c r="BR374" s="237"/>
      <c r="BS374" s="237"/>
      <c r="BT374" s="237"/>
      <c r="BU374" s="237"/>
      <c r="BV374" s="237"/>
      <c r="BW374" s="237"/>
      <c r="BX374" s="237"/>
      <c r="BY374" s="237"/>
      <c r="BZ374" s="237"/>
      <c r="CA374" s="237"/>
      <c r="CB374" s="237"/>
      <c r="CC374" s="237"/>
      <c r="CD374" s="237"/>
      <c r="CE374" s="237"/>
      <c r="CF374" s="237"/>
      <c r="CG374" s="237"/>
      <c r="CH374" s="237"/>
      <c r="CI374" s="237"/>
      <c r="CJ374" s="237"/>
      <c r="CK374" s="237"/>
      <c r="CL374" s="237"/>
      <c r="CM374" s="237"/>
      <c r="CN374" s="237"/>
      <c r="CO374" s="237"/>
      <c r="CP374" s="237"/>
      <c r="CQ374" s="237"/>
      <c r="CR374" s="237"/>
      <c r="CS374" s="237"/>
      <c r="CT374" s="237"/>
      <c r="CU374" s="237"/>
      <c r="CV374" s="237"/>
      <c r="CW374" s="237"/>
      <c r="CX374" s="237"/>
      <c r="CY374" s="237"/>
      <c r="CZ374" s="237"/>
      <c r="DA374" s="237"/>
      <c r="DB374" s="237"/>
      <c r="DC374" s="237"/>
      <c r="DD374" s="237"/>
      <c r="DE374" s="237"/>
      <c r="DF374" s="237"/>
      <c r="DG374" s="237"/>
      <c r="DH374" s="237"/>
      <c r="DI374" s="237"/>
      <c r="DJ374" s="237"/>
      <c r="DK374" s="237"/>
      <c r="DL374" s="237"/>
      <c r="DM374" s="237"/>
      <c r="DN374" s="237"/>
      <c r="DO374" s="237"/>
      <c r="DP374" s="237"/>
      <c r="DQ374" s="237"/>
      <c r="DR374" s="237"/>
      <c r="DS374" s="237"/>
      <c r="DT374" s="237"/>
      <c r="DU374" s="237"/>
      <c r="DV374" s="237"/>
      <c r="DW374" s="237"/>
      <c r="DX374" s="237"/>
      <c r="DY374" s="237"/>
      <c r="DZ374" s="237"/>
      <c r="EA374" s="237"/>
      <c r="EB374" s="237"/>
      <c r="EC374" s="237"/>
      <c r="ED374" s="237"/>
      <c r="EE374" s="237"/>
      <c r="EF374" s="237"/>
      <c r="EG374" s="237"/>
      <c r="EH374" s="237"/>
      <c r="EI374" s="237"/>
      <c r="EJ374" s="237"/>
      <c r="EK374" s="237"/>
      <c r="EL374" s="237"/>
      <c r="EM374" s="237"/>
      <c r="EN374" s="237"/>
      <c r="EO374" s="237"/>
      <c r="EP374" s="237"/>
      <c r="EQ374" s="237"/>
      <c r="ER374" s="237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</row>
    <row r="375" customFormat="false" ht="15" hidden="false" customHeight="false" outlineLevel="2" collapsed="false">
      <c r="B375" s="47" t="s">
        <v>873</v>
      </c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237" t="n">
        <f aca="false">VLOOKUP("B",$B$14:$C$18,2,FALSE())</f>
        <v>185</v>
      </c>
      <c r="AD375" s="237"/>
      <c r="AE375" s="237"/>
      <c r="AF375" s="237"/>
      <c r="AG375" s="237"/>
      <c r="AH375" s="237"/>
      <c r="AI375" s="237"/>
      <c r="AJ375" s="237"/>
      <c r="AK375" s="237"/>
      <c r="AL375" s="237"/>
      <c r="AM375" s="237"/>
      <c r="AN375" s="237"/>
      <c r="AO375" s="237"/>
      <c r="AP375" s="237"/>
      <c r="AQ375" s="237"/>
      <c r="AR375" s="237"/>
      <c r="AS375" s="237"/>
      <c r="AT375" s="237"/>
      <c r="AU375" s="237"/>
      <c r="AV375" s="237"/>
      <c r="AW375" s="237"/>
      <c r="AX375" s="237"/>
      <c r="AY375" s="237"/>
      <c r="AZ375" s="237"/>
      <c r="BA375" s="237"/>
      <c r="BB375" s="237"/>
      <c r="BC375" s="237"/>
      <c r="BD375" s="237"/>
      <c r="BE375" s="237"/>
      <c r="BF375" s="237"/>
      <c r="BG375" s="237"/>
      <c r="BH375" s="237"/>
      <c r="BI375" s="237"/>
      <c r="BJ375" s="237"/>
      <c r="BK375" s="237"/>
      <c r="BL375" s="237"/>
      <c r="BM375" s="237"/>
      <c r="BN375" s="237"/>
      <c r="BO375" s="237"/>
      <c r="BP375" s="237"/>
      <c r="BQ375" s="237"/>
      <c r="BR375" s="237"/>
      <c r="BS375" s="237"/>
      <c r="BT375" s="237"/>
      <c r="BU375" s="237"/>
      <c r="BV375" s="237"/>
      <c r="BW375" s="237"/>
      <c r="BX375" s="237"/>
      <c r="BY375" s="237"/>
      <c r="BZ375" s="237"/>
      <c r="CA375" s="237"/>
      <c r="CB375" s="237"/>
      <c r="CC375" s="237"/>
      <c r="CD375" s="237"/>
      <c r="CE375" s="237"/>
      <c r="CF375" s="237"/>
      <c r="CG375" s="237"/>
      <c r="CH375" s="237"/>
      <c r="CI375" s="237"/>
      <c r="CJ375" s="237"/>
      <c r="CK375" s="237"/>
      <c r="CL375" s="237"/>
      <c r="CM375" s="237"/>
      <c r="CN375" s="237"/>
      <c r="CO375" s="237"/>
      <c r="CP375" s="237"/>
      <c r="CQ375" s="237"/>
      <c r="CR375" s="237"/>
      <c r="CS375" s="237"/>
      <c r="CT375" s="237"/>
      <c r="CU375" s="237"/>
      <c r="CV375" s="237"/>
      <c r="CW375" s="237"/>
      <c r="CX375" s="237"/>
      <c r="CY375" s="237"/>
      <c r="CZ375" s="237"/>
      <c r="DA375" s="237"/>
      <c r="DB375" s="237"/>
      <c r="DC375" s="237"/>
      <c r="DD375" s="237"/>
      <c r="DE375" s="237"/>
      <c r="DF375" s="237"/>
      <c r="DG375" s="237"/>
      <c r="DH375" s="237"/>
      <c r="DI375" s="237"/>
      <c r="DJ375" s="237"/>
      <c r="DK375" s="237"/>
      <c r="DL375" s="237"/>
      <c r="DM375" s="237"/>
      <c r="DN375" s="237"/>
      <c r="DO375" s="237"/>
      <c r="DP375" s="237"/>
      <c r="DQ375" s="237"/>
      <c r="DR375" s="237"/>
      <c r="DS375" s="237"/>
      <c r="DT375" s="237"/>
      <c r="DU375" s="237"/>
      <c r="DV375" s="237"/>
      <c r="DW375" s="237"/>
      <c r="DX375" s="237"/>
      <c r="DY375" s="237"/>
      <c r="DZ375" s="237"/>
      <c r="EA375" s="237"/>
      <c r="EB375" s="237"/>
      <c r="EC375" s="237"/>
      <c r="ED375" s="237"/>
      <c r="EE375" s="237"/>
      <c r="EF375" s="237"/>
      <c r="EG375" s="237"/>
      <c r="EH375" s="237"/>
      <c r="EI375" s="237"/>
      <c r="EJ375" s="237"/>
      <c r="EK375" s="237"/>
      <c r="EL375" s="237"/>
      <c r="EM375" s="237"/>
      <c r="EN375" s="237"/>
      <c r="EO375" s="237"/>
      <c r="EP375" s="237"/>
      <c r="EQ375" s="237"/>
      <c r="ER375" s="237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</row>
    <row r="376" customFormat="false" ht="15" hidden="false" customHeight="false" outlineLevel="2" collapsed="false">
      <c r="B376" s="47" t="s">
        <v>799</v>
      </c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237" t="n">
        <f aca="false">IF(AC$35&gt;=$AC$374,AC$35-$AC$374+1,0)</f>
        <v>0</v>
      </c>
      <c r="AD376" s="237" t="n">
        <f aca="false">IF(AD$35&gt;=$AC$374,AD$35-$AC$374+1,0)</f>
        <v>0</v>
      </c>
      <c r="AE376" s="237" t="n">
        <f aca="false">IF(AE$35&gt;=$AC$374,AE$35-$AC$374+1,0)</f>
        <v>0</v>
      </c>
      <c r="AF376" s="237" t="n">
        <f aca="false">IF(AF$35&gt;=$AC$374,AF$35-$AC$374+1,0)</f>
        <v>0</v>
      </c>
      <c r="AG376" s="237" t="n">
        <f aca="false">IF(AG$35&gt;=$AC$374,AG$35-$AC$374+1,0)</f>
        <v>0</v>
      </c>
      <c r="AH376" s="237" t="n">
        <f aca="false">IF(AH$35&gt;=$AC$374,AH$35-$AC$374+1,0)</f>
        <v>0</v>
      </c>
      <c r="AI376" s="237" t="n">
        <f aca="false">IF(AI$35&gt;=$AC$374,AI$35-$AC$374+1,0)</f>
        <v>0</v>
      </c>
      <c r="AJ376" s="237" t="n">
        <f aca="false">IF(AJ$35&gt;=$AC$374,AJ$35-$AC$374+1,0)</f>
        <v>0</v>
      </c>
      <c r="AK376" s="237" t="n">
        <f aca="false">IF(AK$35&gt;=$AC$374,AK$35-$AC$374+1,0)</f>
        <v>0</v>
      </c>
      <c r="AL376" s="237" t="n">
        <f aca="false">IF(AL$35&gt;=$AC$374,AL$35-$AC$374+1,0)</f>
        <v>0</v>
      </c>
      <c r="AM376" s="237" t="n">
        <f aca="false">IF(AM$35&gt;=$AC$374,AM$35-$AC$374+1,0)</f>
        <v>0</v>
      </c>
      <c r="AN376" s="237" t="n">
        <f aca="false">IF(AN$35&gt;=$AC$374,AN$35-$AC$374+1,0)</f>
        <v>0</v>
      </c>
      <c r="AO376" s="237" t="n">
        <f aca="false">IF(AO$35&gt;=$AC$374,AO$35-$AC$374+1,0)</f>
        <v>0</v>
      </c>
      <c r="AP376" s="237" t="n">
        <f aca="false">IF(AP$35&gt;=$AC$374,AP$35-$AC$374+1,0)</f>
        <v>0</v>
      </c>
      <c r="AQ376" s="237" t="n">
        <f aca="false">IF(AQ$35&gt;=$AC$374,AQ$35-$AC$374+1,0)</f>
        <v>0</v>
      </c>
      <c r="AR376" s="237" t="n">
        <f aca="false">IF(AR$35&gt;=$AC$374,AR$35-$AC$374+1,0)</f>
        <v>0</v>
      </c>
      <c r="AS376" s="237" t="n">
        <f aca="false">IF(AS$35&gt;=$AC$374,AS$35-$AC$374+1,0)</f>
        <v>0</v>
      </c>
      <c r="AT376" s="237" t="n">
        <f aca="false">IF(AT$35&gt;=$AC$374,AT$35-$AC$374+1,0)</f>
        <v>0</v>
      </c>
      <c r="AU376" s="237" t="n">
        <f aca="false">IF(AU$35&gt;=$AC$374,AU$35-$AC$374+1,0)</f>
        <v>0</v>
      </c>
      <c r="AV376" s="237" t="n">
        <f aca="false">IF(AV$35&gt;=$AC$374,AV$35-$AC$374+1,0)</f>
        <v>0</v>
      </c>
      <c r="AW376" s="237" t="n">
        <f aca="false">IF(AW$35&gt;=$AC$374,AW$35-$AC$374+1,0)</f>
        <v>0</v>
      </c>
      <c r="AX376" s="237" t="n">
        <f aca="false">IF(AX$35&gt;=$AC$374,AX$35-$AC$374+1,0)</f>
        <v>0</v>
      </c>
      <c r="AY376" s="237" t="n">
        <f aca="false">IF(AY$35&gt;=$AC$374,AY$35-$AC$374+1,0)</f>
        <v>0</v>
      </c>
      <c r="AZ376" s="237" t="n">
        <f aca="false">IF(AZ$35&gt;=$AC$374,AZ$35-$AC$374+1,0)</f>
        <v>0</v>
      </c>
      <c r="BA376" s="237" t="n">
        <f aca="false">IF(BA$35&gt;=$AC$374,BA$35-$AC$374+1,0)</f>
        <v>0</v>
      </c>
      <c r="BB376" s="237" t="n">
        <f aca="false">IF(BB$35&gt;=$AC$374,BB$35-$AC$374+1,0)</f>
        <v>0</v>
      </c>
      <c r="BC376" s="237" t="n">
        <f aca="false">IF(BC$35&gt;=$AC$374,BC$35-$AC$374+1,0)</f>
        <v>0</v>
      </c>
      <c r="BD376" s="237" t="n">
        <f aca="false">IF(BD$35&gt;=$AC$374,BD$35-$AC$374+1,0)</f>
        <v>0</v>
      </c>
      <c r="BE376" s="237" t="n">
        <f aca="false">IF(BE$35&gt;=$AC$374,BE$35-$AC$374+1,0)</f>
        <v>0</v>
      </c>
      <c r="BF376" s="237" t="n">
        <f aca="false">IF(BF$35&gt;=$AC$374,BF$35-$AC$374+1,0)</f>
        <v>0</v>
      </c>
      <c r="BG376" s="237" t="n">
        <f aca="false">IF(BG$35&gt;=$AC$374,BG$35-$AC$374+1,0)</f>
        <v>0</v>
      </c>
      <c r="BH376" s="237" t="n">
        <f aca="false">IF(BH$35&gt;=$AC$374,BH$35-$AC$374+1,0)</f>
        <v>0</v>
      </c>
      <c r="BI376" s="237" t="n">
        <f aca="false">IF(BI$35&gt;=$AC$374,BI$35-$AC$374+1,0)</f>
        <v>0</v>
      </c>
      <c r="BJ376" s="237" t="n">
        <f aca="false">IF(BJ$35&gt;=$AC$374,BJ$35-$AC$374+1,0)</f>
        <v>0</v>
      </c>
      <c r="BK376" s="237" t="n">
        <f aca="false">IF(BK$35&gt;=$AC$374,BK$35-$AC$374+1,0)</f>
        <v>0</v>
      </c>
      <c r="BL376" s="237" t="n">
        <f aca="false">IF(BL$35&gt;=$AC$374,BL$35-$AC$374+1,0)</f>
        <v>0</v>
      </c>
      <c r="BM376" s="237" t="n">
        <f aca="false">IF(BM$35&gt;=$AC$374,BM$35-$AC$374+1,0)</f>
        <v>0</v>
      </c>
      <c r="BN376" s="237" t="n">
        <f aca="false">IF(BN$35&gt;=$AC$374,BN$35-$AC$374+1,0)</f>
        <v>0</v>
      </c>
      <c r="BO376" s="237" t="n">
        <f aca="false">IF(BO$35&gt;=$AC$374,BO$35-$AC$374+1,0)</f>
        <v>0</v>
      </c>
      <c r="BP376" s="237" t="n">
        <f aca="false">IF(BP$35&gt;=$AC$374,BP$35-$AC$374+1,0)</f>
        <v>0</v>
      </c>
      <c r="BQ376" s="237" t="n">
        <f aca="false">IF(BQ$35&gt;=$AC$374,BQ$35-$AC$374+1,0)</f>
        <v>0</v>
      </c>
      <c r="BR376" s="237" t="n">
        <f aca="false">IF(BR$35&gt;=$AC$374,BR$35-$AC$374+1,0)</f>
        <v>0</v>
      </c>
      <c r="BS376" s="237" t="n">
        <f aca="false">IF(BS$35&gt;=$AC$374,BS$35-$AC$374+1,0)</f>
        <v>0</v>
      </c>
      <c r="BT376" s="237" t="n">
        <f aca="false">IF(BT$35&gt;=$AC$374,BT$35-$AC$374+1,0)</f>
        <v>0</v>
      </c>
      <c r="BU376" s="237" t="n">
        <f aca="false">IF(BU$35&gt;=$AC$374,BU$35-$AC$374+1,0)</f>
        <v>0</v>
      </c>
      <c r="BV376" s="237" t="n">
        <f aca="false">IF(BV$35&gt;=$AC$374,BV$35-$AC$374+1,0)</f>
        <v>0</v>
      </c>
      <c r="BW376" s="237" t="n">
        <f aca="false">IF(BW$35&gt;=$AC$374,BW$35-$AC$374+1,0)</f>
        <v>0</v>
      </c>
      <c r="BX376" s="237" t="n">
        <f aca="false">IF(BX$35&gt;=$AC$374,BX$35-$AC$374+1,0)</f>
        <v>0</v>
      </c>
      <c r="BY376" s="237" t="n">
        <f aca="false">IF(BY$35&gt;=$AC$374,BY$35-$AC$374+1,0)</f>
        <v>0</v>
      </c>
      <c r="BZ376" s="237" t="n">
        <f aca="false">IF(BZ$35&gt;=$AC$374,BZ$35-$AC$374+1,0)</f>
        <v>0</v>
      </c>
      <c r="CA376" s="237" t="n">
        <f aca="false">IF(CA$35&gt;=$AC$374,CA$35-$AC$374+1,0)</f>
        <v>0</v>
      </c>
      <c r="CB376" s="237" t="n">
        <f aca="false">IF(CB$35&gt;=$AC$374,CB$35-$AC$374+1,0)</f>
        <v>0</v>
      </c>
      <c r="CC376" s="237" t="n">
        <f aca="false">IF(CC$35&gt;=$AC$374,CC$35-$AC$374+1,0)</f>
        <v>0</v>
      </c>
      <c r="CD376" s="237" t="n">
        <f aca="false">IF(CD$35&gt;=$AC$374,CD$35-$AC$374+1,0)</f>
        <v>0</v>
      </c>
      <c r="CE376" s="237" t="n">
        <f aca="false">IF(CE$35&gt;=$AC$374,CE$35-$AC$374+1,0)</f>
        <v>0</v>
      </c>
      <c r="CF376" s="237" t="n">
        <f aca="false">IF(CF$35&gt;=$AC$374,CF$35-$AC$374+1,0)</f>
        <v>0</v>
      </c>
      <c r="CG376" s="237" t="n">
        <f aca="false">IF(CG$35&gt;=$AC$374,CG$35-$AC$374+1,0)</f>
        <v>0</v>
      </c>
      <c r="CH376" s="237" t="n">
        <f aca="false">IF(CH$35&gt;=$AC$374,CH$35-$AC$374+1,0)</f>
        <v>0</v>
      </c>
      <c r="CI376" s="237" t="n">
        <f aca="false">IF(CI$35&gt;=$AC$374,CI$35-$AC$374+1,0)</f>
        <v>0</v>
      </c>
      <c r="CJ376" s="237" t="n">
        <f aca="false">IF(CJ$35&gt;=$AC$374,CJ$35-$AC$374+1,0)</f>
        <v>0</v>
      </c>
      <c r="CK376" s="237" t="n">
        <f aca="false">IF(CK$35&gt;=$AC$374,CK$35-$AC$374+1,0)</f>
        <v>0</v>
      </c>
      <c r="CL376" s="237" t="n">
        <f aca="false">IF(CL$35&gt;=$AC$374,CL$35-$AC$374+1,0)</f>
        <v>0</v>
      </c>
      <c r="CM376" s="237" t="n">
        <f aca="false">IF(CM$35&gt;=$AC$374,CM$35-$AC$374+1,0)</f>
        <v>0</v>
      </c>
      <c r="CN376" s="237" t="n">
        <f aca="false">IF(CN$35&gt;=$AC$374,CN$35-$AC$374+1,0)</f>
        <v>0</v>
      </c>
      <c r="CO376" s="237" t="n">
        <f aca="false">IF(CO$35&gt;=$AC$374,CO$35-$AC$374+1,0)</f>
        <v>0</v>
      </c>
      <c r="CP376" s="237" t="n">
        <f aca="false">IF(CP$35&gt;=$AC$374,CP$35-$AC$374+1,0)</f>
        <v>0</v>
      </c>
      <c r="CQ376" s="237" t="n">
        <f aca="false">IF(CQ$35&gt;=$AC$374,CQ$35-$AC$374+1,0)</f>
        <v>0</v>
      </c>
      <c r="CR376" s="237" t="n">
        <f aca="false">IF(CR$35&gt;=$AC$374,CR$35-$AC$374+1,0)</f>
        <v>0</v>
      </c>
      <c r="CS376" s="237" t="n">
        <f aca="false">IF(CS$35&gt;=$AC$374,CS$35-$AC$374+1,0)</f>
        <v>0</v>
      </c>
      <c r="CT376" s="237" t="n">
        <f aca="false">IF(CT$35&gt;=$AC$374,CT$35-$AC$374+1,0)</f>
        <v>0</v>
      </c>
      <c r="CU376" s="237" t="n">
        <f aca="false">IF(CU$35&gt;=$AC$374,CU$35-$AC$374+1,0)</f>
        <v>0</v>
      </c>
      <c r="CV376" s="237" t="n">
        <f aca="false">IF(CV$35&gt;=$AC$374,CV$35-$AC$374+1,0)</f>
        <v>0</v>
      </c>
      <c r="CW376" s="237" t="n">
        <f aca="false">IF(CW$35&gt;=$AC$374,CW$35-$AC$374+1,0)</f>
        <v>0</v>
      </c>
      <c r="CX376" s="237" t="n">
        <f aca="false">IF(CX$35&gt;=$AC$374,CX$35-$AC$374+1,0)</f>
        <v>0</v>
      </c>
      <c r="CY376" s="237" t="n">
        <f aca="false">IF(CY$35&gt;=$AC$374,CY$35-$AC$374+1,0)</f>
        <v>0</v>
      </c>
      <c r="CZ376" s="237" t="n">
        <f aca="false">IF(CZ$35&gt;=$AC$374,CZ$35-$AC$374+1,0)</f>
        <v>0</v>
      </c>
      <c r="DA376" s="237" t="n">
        <f aca="false">IF(DA$35&gt;=$AC$374,DA$35-$AC$374+1,0)</f>
        <v>0</v>
      </c>
      <c r="DB376" s="237" t="n">
        <f aca="false">IF(DB$35&gt;=$AC$374,DB$35-$AC$374+1,0)</f>
        <v>0</v>
      </c>
      <c r="DC376" s="237" t="n">
        <f aca="false">IF(DC$35&gt;=$AC$374,DC$35-$AC$374+1,0)</f>
        <v>0</v>
      </c>
      <c r="DD376" s="237" t="n">
        <f aca="false">IF(DD$35&gt;=$AC$374,DD$35-$AC$374+1,0)</f>
        <v>0</v>
      </c>
      <c r="DE376" s="237" t="n">
        <f aca="false">IF(DE$35&gt;=$AC$374,DE$35-$AC$374+1,0)</f>
        <v>0</v>
      </c>
      <c r="DF376" s="237" t="n">
        <f aca="false">IF(DF$35&gt;=$AC$374,DF$35-$AC$374+1,0)</f>
        <v>0</v>
      </c>
      <c r="DG376" s="237" t="n">
        <f aca="false">IF(DG$35&gt;=$AC$374,DG$35-$AC$374+1,0)</f>
        <v>0</v>
      </c>
      <c r="DH376" s="237" t="n">
        <f aca="false">IF(DH$35&gt;=$AC$374,DH$35-$AC$374+1,0)</f>
        <v>0</v>
      </c>
      <c r="DI376" s="237" t="n">
        <f aca="false">IF(DI$35&gt;=$AC$374,DI$35-$AC$374+1,0)</f>
        <v>0</v>
      </c>
      <c r="DJ376" s="237" t="n">
        <f aca="false">IF(DJ$35&gt;=$AC$374,DJ$35-$AC$374+1,0)</f>
        <v>0</v>
      </c>
      <c r="DK376" s="237" t="n">
        <f aca="false">IF(DK$35&gt;=$AC$374,DK$35-$AC$374+1,0)</f>
        <v>0</v>
      </c>
      <c r="DL376" s="237" t="n">
        <f aca="false">IF(DL$35&gt;=$AC$374,DL$35-$AC$374+1,0)</f>
        <v>0</v>
      </c>
      <c r="DM376" s="237" t="n">
        <f aca="false">IF(DM$35&gt;=$AC$374,DM$35-$AC$374+1,0)</f>
        <v>0</v>
      </c>
      <c r="DN376" s="237" t="n">
        <f aca="false">IF(DN$35&gt;=$AC$374,DN$35-$AC$374+1,0)</f>
        <v>0</v>
      </c>
      <c r="DO376" s="237" t="n">
        <f aca="false">IF(DO$35&gt;=$AC$374,DO$35-$AC$374+1,0)</f>
        <v>0</v>
      </c>
      <c r="DP376" s="237" t="n">
        <f aca="false">IF(DP$35&gt;=$AC$374,DP$35-$AC$374+1,0)</f>
        <v>0</v>
      </c>
      <c r="DQ376" s="237" t="n">
        <f aca="false">IF(DQ$35&gt;=$AC$374,DQ$35-$AC$374+1,0)</f>
        <v>0</v>
      </c>
      <c r="DR376" s="237" t="n">
        <f aca="false">IF(DR$35&gt;=$AC$374,DR$35-$AC$374+1,0)</f>
        <v>0</v>
      </c>
      <c r="DS376" s="237" t="n">
        <f aca="false">IF(DS$35&gt;=$AC$374,DS$35-$AC$374+1,0)</f>
        <v>0</v>
      </c>
      <c r="DT376" s="237" t="n">
        <f aca="false">IF(DT$35&gt;=$AC$374,DT$35-$AC$374+1,0)</f>
        <v>0</v>
      </c>
      <c r="DU376" s="237" t="n">
        <f aca="false">IF(DU$35&gt;=$AC$374,DU$35-$AC$374+1,0)</f>
        <v>0</v>
      </c>
      <c r="DV376" s="237" t="n">
        <f aca="false">IF(DV$35&gt;=$AC$374,DV$35-$AC$374+1,0)</f>
        <v>1</v>
      </c>
      <c r="DW376" s="237" t="n">
        <f aca="false">IF(DW$35&gt;=$AC$374,DW$35-$AC$374+1,0)</f>
        <v>2</v>
      </c>
      <c r="DX376" s="237" t="n">
        <f aca="false">IF(DX$35&gt;=$AC$374,DX$35-$AC$374+1,0)</f>
        <v>3</v>
      </c>
      <c r="DY376" s="237" t="n">
        <f aca="false">IF(DY$35&gt;=$AC$374,DY$35-$AC$374+1,0)</f>
        <v>4</v>
      </c>
      <c r="DZ376" s="237" t="n">
        <f aca="false">IF(DZ$35&gt;=$AC$374,DZ$35-$AC$374+1,0)</f>
        <v>5</v>
      </c>
      <c r="EA376" s="237" t="n">
        <f aca="false">IF(EA$35&gt;=$AC$374,EA$35-$AC$374+1,0)</f>
        <v>6</v>
      </c>
      <c r="EB376" s="237" t="n">
        <f aca="false">IF(EB$35&gt;=$AC$374,EB$35-$AC$374+1,0)</f>
        <v>7</v>
      </c>
      <c r="EC376" s="237" t="n">
        <f aca="false">IF(EC$35&gt;=$AC$374,EC$35-$AC$374+1,0)</f>
        <v>8</v>
      </c>
      <c r="ED376" s="237" t="n">
        <f aca="false">IF(ED$35&gt;=$AC$374,ED$35-$AC$374+1,0)</f>
        <v>9</v>
      </c>
      <c r="EE376" s="237" t="n">
        <f aca="false">IF(EE$35&gt;=$AC$374,EE$35-$AC$374+1,0)</f>
        <v>10</v>
      </c>
      <c r="EF376" s="237" t="n">
        <f aca="false">IF(EF$35&gt;=$AC$374,EF$35-$AC$374+1,0)</f>
        <v>11</v>
      </c>
      <c r="EG376" s="237" t="n">
        <f aca="false">IF(EG$35&gt;=$AC$374,EG$35-$AC$374+1,0)</f>
        <v>12</v>
      </c>
      <c r="EH376" s="237" t="n">
        <f aca="false">IF(EH$35&gt;=$AC$374,EH$35-$AC$374+1,0)</f>
        <v>13</v>
      </c>
      <c r="EI376" s="237" t="n">
        <f aca="false">IF(EI$35&gt;=$AC$374,EI$35-$AC$374+1,0)</f>
        <v>14</v>
      </c>
      <c r="EJ376" s="237" t="n">
        <f aca="false">IF(EJ$35&gt;=$AC$374,EJ$35-$AC$374+1,0)</f>
        <v>15</v>
      </c>
      <c r="EK376" s="237" t="n">
        <f aca="false">IF(EK$35&gt;=$AC$374,EK$35-$AC$374+1,0)</f>
        <v>16</v>
      </c>
      <c r="EL376" s="237" t="n">
        <f aca="false">IF(EL$35&gt;=$AC$374,EL$35-$AC$374+1,0)</f>
        <v>17</v>
      </c>
      <c r="EM376" s="237" t="n">
        <f aca="false">IF(EM$35&gt;=$AC$374,EM$35-$AC$374+1,0)</f>
        <v>18</v>
      </c>
      <c r="EN376" s="237" t="n">
        <f aca="false">IF(EN$35&gt;=$AC$374,EN$35-$AC$374+1,0)</f>
        <v>19</v>
      </c>
      <c r="EO376" s="237" t="n">
        <f aca="false">IF(EO$35&gt;=$AC$374,EO$35-$AC$374+1,0)</f>
        <v>20</v>
      </c>
      <c r="EP376" s="237" t="n">
        <f aca="false">IF(EP$35&gt;=$AC$374,EP$35-$AC$374+1,0)</f>
        <v>21</v>
      </c>
      <c r="EQ376" s="237" t="n">
        <f aca="false">IF(EQ$35&gt;=$AC$374,EQ$35-$AC$374+1,0)</f>
        <v>22</v>
      </c>
      <c r="ER376" s="237" t="n">
        <f aca="false">IF(ER$35&gt;=$AC$374,ER$35-$AC$374+1,0)</f>
        <v>23</v>
      </c>
      <c r="ES376" s="9" t="n">
        <f aca="false">IF(ES$35&gt;=$AC$374,ES$35-$AC$374+1,0)</f>
        <v>24</v>
      </c>
      <c r="ET376" s="9" t="n">
        <f aca="false">IF(ET$35&gt;=$AC$374,ET$35-$AC$374+1,0)</f>
        <v>25</v>
      </c>
      <c r="EU376" s="9" t="n">
        <f aca="false">IF(EU$35&gt;=$AC$374,EU$35-$AC$374+1,0)</f>
        <v>26</v>
      </c>
      <c r="EV376" s="9" t="n">
        <f aca="false">IF(EV$35&gt;=$AC$374,EV$35-$AC$374+1,0)</f>
        <v>27</v>
      </c>
      <c r="EW376" s="9" t="n">
        <f aca="false">IF(EW$35&gt;=$AC$374,EW$35-$AC$374+1,0)</f>
        <v>28</v>
      </c>
      <c r="EX376" s="9" t="n">
        <f aca="false">IF(EX$35&gt;=$AC$374,EX$35-$AC$374+1,0)</f>
        <v>29</v>
      </c>
      <c r="EY376" s="9" t="n">
        <f aca="false">IF(EY$35&gt;=$AC$374,EY$35-$AC$374+1,0)</f>
        <v>30</v>
      </c>
      <c r="EZ376" s="9" t="n">
        <f aca="false">IF(EZ$35&gt;=$AC$374,EZ$35-$AC$374+1,0)</f>
        <v>31</v>
      </c>
      <c r="FA376" s="9" t="n">
        <f aca="false">IF(FA$35&gt;=$AC$374,FA$35-$AC$374+1,0)</f>
        <v>32</v>
      </c>
      <c r="FB376" s="9" t="n">
        <f aca="false">IF(FB$35&gt;=$AC$374,FB$35-$AC$374+1,0)</f>
        <v>33</v>
      </c>
      <c r="FC376" s="9" t="n">
        <f aca="false">IF(FC$35&gt;=$AC$374,FC$35-$AC$374+1,0)</f>
        <v>34</v>
      </c>
      <c r="FD376" s="9" t="n">
        <f aca="false">IF(FD$35&gt;=$AC$374,FD$35-$AC$374+1,0)</f>
        <v>35</v>
      </c>
      <c r="FE376" s="9" t="n">
        <f aca="false">IF(FE$35&gt;=$AC$374,FE$35-$AC$374+1,0)</f>
        <v>36</v>
      </c>
      <c r="FF376" s="9" t="n">
        <f aca="false">IF(FF$35&gt;=$AC$374,FF$35-$AC$374+1,0)</f>
        <v>37</v>
      </c>
      <c r="FG376" s="9" t="n">
        <f aca="false">IF(FG$35&gt;=$AC$374,FG$35-$AC$374+1,0)</f>
        <v>38</v>
      </c>
      <c r="FH376" s="9" t="n">
        <f aca="false">IF(FH$35&gt;=$AC$374,FH$35-$AC$374+1,0)</f>
        <v>39</v>
      </c>
      <c r="FI376" s="9" t="n">
        <f aca="false">IF(FI$35&gt;=$AC$374,FI$35-$AC$374+1,0)</f>
        <v>40</v>
      </c>
      <c r="FJ376" s="9" t="n">
        <f aca="false">IF(FJ$35&gt;=$AC$374,FJ$35-$AC$374+1,0)</f>
        <v>41</v>
      </c>
      <c r="FK376" s="9" t="n">
        <f aca="false">IF(FK$35&gt;=$AC$374,FK$35-$AC$374+1,0)</f>
        <v>42</v>
      </c>
      <c r="FL376" s="9" t="n">
        <f aca="false">IF(FL$35&gt;=$AC$374,FL$35-$AC$374+1,0)</f>
        <v>43</v>
      </c>
      <c r="FM376" s="9" t="n">
        <f aca="false">IF(FM$35&gt;=$AC$374,FM$35-$AC$374+1,0)</f>
        <v>44</v>
      </c>
      <c r="FN376" s="9" t="n">
        <f aca="false">IF(FN$35&gt;=$AC$374,FN$35-$AC$374+1,0)</f>
        <v>45</v>
      </c>
      <c r="FO376" s="9" t="n">
        <f aca="false">IF(FO$35&gt;=$AC$374,FO$35-$AC$374+1,0)</f>
        <v>46</v>
      </c>
      <c r="FP376" s="9" t="n">
        <f aca="false">IF(FP$35&gt;=$AC$374,FP$35-$AC$374+1,0)</f>
        <v>47</v>
      </c>
    </row>
    <row r="377" customFormat="false" ht="15" hidden="false" customHeight="false" outlineLevel="2" collapsed="false">
      <c r="B377" s="47" t="s">
        <v>874</v>
      </c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237" t="n">
        <f aca="false" t="array" ref="AC377:AC377">IF(AC376=0,0,IF(AC376/'🎚️ Escenario'!$C$11&gt;=36,$AL$23,INDEX($C$23:$AL$23,MAX(1,ROUNDUP(AC376/'🎚️ Escenario'!$C$11,0)))))</f>
        <v>0</v>
      </c>
      <c r="AD377" s="237" t="n">
        <f aca="false" t="array" ref="AD377:AD377">IF(AD376=0,0,IF(AD376/'🎚️ Escenario'!$C$11&gt;=36,$AL$23,INDEX($C$23:$AL$23,MAX(1,ROUNDUP(AD376/'🎚️ Escenario'!$C$11,0)))))</f>
        <v>0</v>
      </c>
      <c r="AE377" s="237" t="n">
        <f aca="false" t="array" ref="AE377:AE377">IF(AE376=0,0,IF(AE376/'🎚️ Escenario'!$C$11&gt;=36,$AL$23,INDEX($C$23:$AL$23,MAX(1,ROUNDUP(AE376/'🎚️ Escenario'!$C$11,0)))))</f>
        <v>0</v>
      </c>
      <c r="AF377" s="237" t="n">
        <f aca="false" t="array" ref="AF377:AF377">IF(AF376=0,0,IF(AF376/'🎚️ Escenario'!$C$11&gt;=36,$AL$23,INDEX($C$23:$AL$23,MAX(1,ROUNDUP(AF376/'🎚️ Escenario'!$C$11,0)))))</f>
        <v>0</v>
      </c>
      <c r="AG377" s="237" t="n">
        <f aca="false" t="array" ref="AG377:AG377">IF(AG376=0,0,IF(AG376/'🎚️ Escenario'!$C$11&gt;=36,$AL$23,INDEX($C$23:$AL$23,MAX(1,ROUNDUP(AG376/'🎚️ Escenario'!$C$11,0)))))</f>
        <v>0</v>
      </c>
      <c r="AH377" s="237" t="n">
        <f aca="false" t="array" ref="AH377:AH377">IF(AH376=0,0,IF(AH376/'🎚️ Escenario'!$C$11&gt;=36,$AL$23,INDEX($C$23:$AL$23,MAX(1,ROUNDUP(AH376/'🎚️ Escenario'!$C$11,0)))))</f>
        <v>0</v>
      </c>
      <c r="AI377" s="237" t="n">
        <f aca="false" t="array" ref="AI377:AI377">IF(AI376=0,0,IF(AI376/'🎚️ Escenario'!$C$11&gt;=36,$AL$23,INDEX($C$23:$AL$23,MAX(1,ROUNDUP(AI376/'🎚️ Escenario'!$C$11,0)))))</f>
        <v>0</v>
      </c>
      <c r="AJ377" s="237" t="n">
        <f aca="false" t="array" ref="AJ377:AJ377">IF(AJ376=0,0,IF(AJ376/'🎚️ Escenario'!$C$11&gt;=36,$AL$23,INDEX($C$23:$AL$23,MAX(1,ROUNDUP(AJ376/'🎚️ Escenario'!$C$11,0)))))</f>
        <v>0</v>
      </c>
      <c r="AK377" s="237" t="n">
        <f aca="false" t="array" ref="AK377:AK377">IF(AK376=0,0,IF(AK376/'🎚️ Escenario'!$C$11&gt;=36,$AL$23,INDEX($C$23:$AL$23,MAX(1,ROUNDUP(AK376/'🎚️ Escenario'!$C$11,0)))))</f>
        <v>0</v>
      </c>
      <c r="AL377" s="237" t="n">
        <f aca="false" t="array" ref="AL377:AL377">IF(AL376=0,0,IF(AL376/'🎚️ Escenario'!$C$11&gt;=36,$AL$23,INDEX($C$23:$AL$23,MAX(1,ROUNDUP(AL376/'🎚️ Escenario'!$C$11,0)))))</f>
        <v>0</v>
      </c>
      <c r="AM377" s="237" t="n">
        <f aca="false" t="array" ref="AM377:AM377">IF(AM376=0,0,IF(AM376/'🎚️ Escenario'!$C$11&gt;=36,$AL$23,INDEX($C$23:$AL$23,MAX(1,ROUNDUP(AM376/'🎚️ Escenario'!$C$11,0)))))</f>
        <v>0</v>
      </c>
      <c r="AN377" s="237" t="n">
        <f aca="false" t="array" ref="AN377:AN377">IF(AN376=0,0,IF(AN376/'🎚️ Escenario'!$C$11&gt;=36,$AL$23,INDEX($C$23:$AL$23,MAX(1,ROUNDUP(AN376/'🎚️ Escenario'!$C$11,0)))))</f>
        <v>0</v>
      </c>
      <c r="AO377" s="237" t="n">
        <f aca="false" t="array" ref="AO377:AO377">IF(AO376=0,0,IF(AO376/'🎚️ Escenario'!$C$11&gt;=36,$AL$23,INDEX($C$23:$AL$23,MAX(1,ROUNDUP(AO376/'🎚️ Escenario'!$C$11,0)))))</f>
        <v>0</v>
      </c>
      <c r="AP377" s="237" t="n">
        <f aca="false" t="array" ref="AP377:AP377">IF(AP376=0,0,IF(AP376/'🎚️ Escenario'!$C$11&gt;=36,$AL$23,INDEX($C$23:$AL$23,MAX(1,ROUNDUP(AP376/'🎚️ Escenario'!$C$11,0)))))</f>
        <v>0</v>
      </c>
      <c r="AQ377" s="237" t="n">
        <f aca="false" t="array" ref="AQ377:AQ377">IF(AQ376=0,0,IF(AQ376/'🎚️ Escenario'!$C$11&gt;=36,$AL$23,INDEX($C$23:$AL$23,MAX(1,ROUNDUP(AQ376/'🎚️ Escenario'!$C$11,0)))))</f>
        <v>0</v>
      </c>
      <c r="AR377" s="237" t="n">
        <f aca="false" t="array" ref="AR377:AR377">IF(AR376=0,0,IF(AR376/'🎚️ Escenario'!$C$11&gt;=36,$AL$23,INDEX($C$23:$AL$23,MAX(1,ROUNDUP(AR376/'🎚️ Escenario'!$C$11,0)))))</f>
        <v>0</v>
      </c>
      <c r="AS377" s="237" t="n">
        <f aca="false" t="array" ref="AS377:AS377">IF(AS376=0,0,IF(AS376/'🎚️ Escenario'!$C$11&gt;=36,$AL$23,INDEX($C$23:$AL$23,MAX(1,ROUNDUP(AS376/'🎚️ Escenario'!$C$11,0)))))</f>
        <v>0</v>
      </c>
      <c r="AT377" s="237" t="n">
        <f aca="false" t="array" ref="AT377:AT377">IF(AT376=0,0,IF(AT376/'🎚️ Escenario'!$C$11&gt;=36,$AL$23,INDEX($C$23:$AL$23,MAX(1,ROUNDUP(AT376/'🎚️ Escenario'!$C$11,0)))))</f>
        <v>0</v>
      </c>
      <c r="AU377" s="237" t="n">
        <f aca="false" t="array" ref="AU377:AU377">IF(AU376=0,0,IF(AU376/'🎚️ Escenario'!$C$11&gt;=36,$AL$23,INDEX($C$23:$AL$23,MAX(1,ROUNDUP(AU376/'🎚️ Escenario'!$C$11,0)))))</f>
        <v>0</v>
      </c>
      <c r="AV377" s="237" t="n">
        <f aca="false" t="array" ref="AV377:AV377">IF(AV376=0,0,IF(AV376/'🎚️ Escenario'!$C$11&gt;=36,$AL$23,INDEX($C$23:$AL$23,MAX(1,ROUNDUP(AV376/'🎚️ Escenario'!$C$11,0)))))</f>
        <v>0</v>
      </c>
      <c r="AW377" s="237" t="n">
        <f aca="false" t="array" ref="AW377:AW377">IF(AW376=0,0,IF(AW376/'🎚️ Escenario'!$C$11&gt;=36,$AL$23,INDEX($C$23:$AL$23,MAX(1,ROUNDUP(AW376/'🎚️ Escenario'!$C$11,0)))))</f>
        <v>0</v>
      </c>
      <c r="AX377" s="237" t="n">
        <f aca="false" t="array" ref="AX377:AX377">IF(AX376=0,0,IF(AX376/'🎚️ Escenario'!$C$11&gt;=36,$AL$23,INDEX($C$23:$AL$23,MAX(1,ROUNDUP(AX376/'🎚️ Escenario'!$C$11,0)))))</f>
        <v>0</v>
      </c>
      <c r="AY377" s="237" t="n">
        <f aca="false" t="array" ref="AY377:AY377">IF(AY376=0,0,IF(AY376/'🎚️ Escenario'!$C$11&gt;=36,$AL$23,INDEX($C$23:$AL$23,MAX(1,ROUNDUP(AY376/'🎚️ Escenario'!$C$11,0)))))</f>
        <v>0</v>
      </c>
      <c r="AZ377" s="237" t="n">
        <f aca="false" t="array" ref="AZ377:AZ377">IF(AZ376=0,0,IF(AZ376/'🎚️ Escenario'!$C$11&gt;=36,$AL$23,INDEX($C$23:$AL$23,MAX(1,ROUNDUP(AZ376/'🎚️ Escenario'!$C$11,0)))))</f>
        <v>0</v>
      </c>
      <c r="BA377" s="237" t="n">
        <f aca="false" t="array" ref="BA377:BA377">IF(BA376=0,0,IF(BA376/'🎚️ Escenario'!$C$11&gt;=36,$AL$23,INDEX($C$23:$AL$23,MAX(1,ROUNDUP(BA376/'🎚️ Escenario'!$C$11,0)))))</f>
        <v>0</v>
      </c>
      <c r="BB377" s="237" t="n">
        <f aca="false" t="array" ref="BB377:BB377">IF(BB376=0,0,IF(BB376/'🎚️ Escenario'!$C$11&gt;=36,$AL$23,INDEX($C$23:$AL$23,MAX(1,ROUNDUP(BB376/'🎚️ Escenario'!$C$11,0)))))</f>
        <v>0</v>
      </c>
      <c r="BC377" s="237" t="n">
        <f aca="false" t="array" ref="BC377:BC377">IF(BC376=0,0,IF(BC376/'🎚️ Escenario'!$C$11&gt;=36,$AL$23,INDEX($C$23:$AL$23,MAX(1,ROUNDUP(BC376/'🎚️ Escenario'!$C$11,0)))))</f>
        <v>0</v>
      </c>
      <c r="BD377" s="237" t="n">
        <f aca="false" t="array" ref="BD377:BD377">IF(BD376=0,0,IF(BD376/'🎚️ Escenario'!$C$11&gt;=36,$AL$23,INDEX($C$23:$AL$23,MAX(1,ROUNDUP(BD376/'🎚️ Escenario'!$C$11,0)))))</f>
        <v>0</v>
      </c>
      <c r="BE377" s="237" t="n">
        <f aca="false" t="array" ref="BE377:BE377">IF(BE376=0,0,IF(BE376/'🎚️ Escenario'!$C$11&gt;=36,$AL$23,INDEX($C$23:$AL$23,MAX(1,ROUNDUP(BE376/'🎚️ Escenario'!$C$11,0)))))</f>
        <v>0</v>
      </c>
      <c r="BF377" s="237" t="n">
        <f aca="false" t="array" ref="BF377:BF377">IF(BF376=0,0,IF(BF376/'🎚️ Escenario'!$C$11&gt;=36,$AL$23,INDEX($C$23:$AL$23,MAX(1,ROUNDUP(BF376/'🎚️ Escenario'!$C$11,0)))))</f>
        <v>0</v>
      </c>
      <c r="BG377" s="237" t="n">
        <f aca="false" t="array" ref="BG377:BG377">IF(BG376=0,0,IF(BG376/'🎚️ Escenario'!$C$11&gt;=36,$AL$23,INDEX($C$23:$AL$23,MAX(1,ROUNDUP(BG376/'🎚️ Escenario'!$C$11,0)))))</f>
        <v>0</v>
      </c>
      <c r="BH377" s="237" t="n">
        <f aca="false" t="array" ref="BH377:BH377">IF(BH376=0,0,IF(BH376/'🎚️ Escenario'!$C$11&gt;=36,$AL$23,INDEX($C$23:$AL$23,MAX(1,ROUNDUP(BH376/'🎚️ Escenario'!$C$11,0)))))</f>
        <v>0</v>
      </c>
      <c r="BI377" s="237" t="n">
        <f aca="false" t="array" ref="BI377:BI377">IF(BI376=0,0,IF(BI376/'🎚️ Escenario'!$C$11&gt;=36,$AL$23,INDEX($C$23:$AL$23,MAX(1,ROUNDUP(BI376/'🎚️ Escenario'!$C$11,0)))))</f>
        <v>0</v>
      </c>
      <c r="BJ377" s="237" t="n">
        <f aca="false" t="array" ref="BJ377:BJ377">IF(BJ376=0,0,IF(BJ376/'🎚️ Escenario'!$C$11&gt;=36,$AL$23,INDEX($C$23:$AL$23,MAX(1,ROUNDUP(BJ376/'🎚️ Escenario'!$C$11,0)))))</f>
        <v>0</v>
      </c>
      <c r="BK377" s="237" t="n">
        <f aca="false" t="array" ref="BK377:BK377">IF(BK376=0,0,IF(BK376/'🎚️ Escenario'!$C$11&gt;=36,$AL$23,INDEX($C$23:$AL$23,MAX(1,ROUNDUP(BK376/'🎚️ Escenario'!$C$11,0)))))</f>
        <v>0</v>
      </c>
      <c r="BL377" s="237" t="n">
        <f aca="false" t="array" ref="BL377:BL377">IF(BL376=0,0,IF(BL376/'🎚️ Escenario'!$C$11&gt;=36,$AL$23,INDEX($C$23:$AL$23,MAX(1,ROUNDUP(BL376/'🎚️ Escenario'!$C$11,0)))))</f>
        <v>0</v>
      </c>
      <c r="BM377" s="237" t="n">
        <f aca="false" t="array" ref="BM377:BM377">IF(BM376=0,0,IF(BM376/'🎚️ Escenario'!$C$11&gt;=36,$AL$23,INDEX($C$23:$AL$23,MAX(1,ROUNDUP(BM376/'🎚️ Escenario'!$C$11,0)))))</f>
        <v>0</v>
      </c>
      <c r="BN377" s="237" t="n">
        <f aca="false" t="array" ref="BN377:BN377">IF(BN376=0,0,IF(BN376/'🎚️ Escenario'!$C$11&gt;=36,$AL$23,INDEX($C$23:$AL$23,MAX(1,ROUNDUP(BN376/'🎚️ Escenario'!$C$11,0)))))</f>
        <v>0</v>
      </c>
      <c r="BO377" s="237" t="n">
        <f aca="false" t="array" ref="BO377:BO377">IF(BO376=0,0,IF(BO376/'🎚️ Escenario'!$C$11&gt;=36,$AL$23,INDEX($C$23:$AL$23,MAX(1,ROUNDUP(BO376/'🎚️ Escenario'!$C$11,0)))))</f>
        <v>0</v>
      </c>
      <c r="BP377" s="237" t="n">
        <f aca="false" t="array" ref="BP377:BP377">IF(BP376=0,0,IF(BP376/'🎚️ Escenario'!$C$11&gt;=36,$AL$23,INDEX($C$23:$AL$23,MAX(1,ROUNDUP(BP376/'🎚️ Escenario'!$C$11,0)))))</f>
        <v>0</v>
      </c>
      <c r="BQ377" s="237" t="n">
        <f aca="false" t="array" ref="BQ377:BQ377">IF(BQ376=0,0,IF(BQ376/'🎚️ Escenario'!$C$11&gt;=36,$AL$23,INDEX($C$23:$AL$23,MAX(1,ROUNDUP(BQ376/'🎚️ Escenario'!$C$11,0)))))</f>
        <v>0</v>
      </c>
      <c r="BR377" s="237" t="n">
        <f aca="false" t="array" ref="BR377:BR377">IF(BR376=0,0,IF(BR376/'🎚️ Escenario'!$C$11&gt;=36,$AL$23,INDEX($C$23:$AL$23,MAX(1,ROUNDUP(BR376/'🎚️ Escenario'!$C$11,0)))))</f>
        <v>0</v>
      </c>
      <c r="BS377" s="237" t="n">
        <f aca="false" t="array" ref="BS377:BS377">IF(BS376=0,0,IF(BS376/'🎚️ Escenario'!$C$11&gt;=36,$AL$23,INDEX($C$23:$AL$23,MAX(1,ROUNDUP(BS376/'🎚️ Escenario'!$C$11,0)))))</f>
        <v>0</v>
      </c>
      <c r="BT377" s="237" t="n">
        <f aca="false" t="array" ref="BT377:BT377">IF(BT376=0,0,IF(BT376/'🎚️ Escenario'!$C$11&gt;=36,$AL$23,INDEX($C$23:$AL$23,MAX(1,ROUNDUP(BT376/'🎚️ Escenario'!$C$11,0)))))</f>
        <v>0</v>
      </c>
      <c r="BU377" s="237" t="n">
        <f aca="false" t="array" ref="BU377:BU377">IF(BU376=0,0,IF(BU376/'🎚️ Escenario'!$C$11&gt;=36,$AL$23,INDEX($C$23:$AL$23,MAX(1,ROUNDUP(BU376/'🎚️ Escenario'!$C$11,0)))))</f>
        <v>0</v>
      </c>
      <c r="BV377" s="237" t="n">
        <f aca="false" t="array" ref="BV377:BV377">IF(BV376=0,0,IF(BV376/'🎚️ Escenario'!$C$11&gt;=36,$AL$23,INDEX($C$23:$AL$23,MAX(1,ROUNDUP(BV376/'🎚️ Escenario'!$C$11,0)))))</f>
        <v>0</v>
      </c>
      <c r="BW377" s="237" t="n">
        <f aca="false" t="array" ref="BW377:BW377">IF(BW376=0,0,IF(BW376/'🎚️ Escenario'!$C$11&gt;=36,$AL$23,INDEX($C$23:$AL$23,MAX(1,ROUNDUP(BW376/'🎚️ Escenario'!$C$11,0)))))</f>
        <v>0</v>
      </c>
      <c r="BX377" s="237" t="n">
        <f aca="false" t="array" ref="BX377:BX377">IF(BX376=0,0,IF(BX376/'🎚️ Escenario'!$C$11&gt;=36,$AL$23,INDEX($C$23:$AL$23,MAX(1,ROUNDUP(BX376/'🎚️ Escenario'!$C$11,0)))))</f>
        <v>0</v>
      </c>
      <c r="BY377" s="237" t="n">
        <f aca="false" t="array" ref="BY377:BY377">IF(BY376=0,0,IF(BY376/'🎚️ Escenario'!$C$11&gt;=36,$AL$23,INDEX($C$23:$AL$23,MAX(1,ROUNDUP(BY376/'🎚️ Escenario'!$C$11,0)))))</f>
        <v>0</v>
      </c>
      <c r="BZ377" s="237" t="n">
        <f aca="false" t="array" ref="BZ377:BZ377">IF(BZ376=0,0,IF(BZ376/'🎚️ Escenario'!$C$11&gt;=36,$AL$23,INDEX($C$23:$AL$23,MAX(1,ROUNDUP(BZ376/'🎚️ Escenario'!$C$11,0)))))</f>
        <v>0</v>
      </c>
      <c r="CA377" s="237" t="n">
        <f aca="false" t="array" ref="CA377:CA377">IF(CA376=0,0,IF(CA376/'🎚️ Escenario'!$C$11&gt;=36,$AL$23,INDEX($C$23:$AL$23,MAX(1,ROUNDUP(CA376/'🎚️ Escenario'!$C$11,0)))))</f>
        <v>0</v>
      </c>
      <c r="CB377" s="237" t="n">
        <f aca="false" t="array" ref="CB377:CB377">IF(CB376=0,0,IF(CB376/'🎚️ Escenario'!$C$11&gt;=36,$AL$23,INDEX($C$23:$AL$23,MAX(1,ROUNDUP(CB376/'🎚️ Escenario'!$C$11,0)))))</f>
        <v>0</v>
      </c>
      <c r="CC377" s="237" t="n">
        <f aca="false" t="array" ref="CC377:CC377">IF(CC376=0,0,IF(CC376/'🎚️ Escenario'!$C$11&gt;=36,$AL$23,INDEX($C$23:$AL$23,MAX(1,ROUNDUP(CC376/'🎚️ Escenario'!$C$11,0)))))</f>
        <v>0</v>
      </c>
      <c r="CD377" s="237" t="n">
        <f aca="false" t="array" ref="CD377:CD377">IF(CD376=0,0,IF(CD376/'🎚️ Escenario'!$C$11&gt;=36,$AL$23,INDEX($C$23:$AL$23,MAX(1,ROUNDUP(CD376/'🎚️ Escenario'!$C$11,0)))))</f>
        <v>0</v>
      </c>
      <c r="CE377" s="237" t="n">
        <f aca="false" t="array" ref="CE377:CE377">IF(CE376=0,0,IF(CE376/'🎚️ Escenario'!$C$11&gt;=36,$AL$23,INDEX($C$23:$AL$23,MAX(1,ROUNDUP(CE376/'🎚️ Escenario'!$C$11,0)))))</f>
        <v>0</v>
      </c>
      <c r="CF377" s="237" t="n">
        <f aca="false" t="array" ref="CF377:CF377">IF(CF376=0,0,IF(CF376/'🎚️ Escenario'!$C$11&gt;=36,$AL$23,INDEX($C$23:$AL$23,MAX(1,ROUNDUP(CF376/'🎚️ Escenario'!$C$11,0)))))</f>
        <v>0</v>
      </c>
      <c r="CG377" s="237" t="n">
        <f aca="false" t="array" ref="CG377:CG377">IF(CG376=0,0,IF(CG376/'🎚️ Escenario'!$C$11&gt;=36,$AL$23,INDEX($C$23:$AL$23,MAX(1,ROUNDUP(CG376/'🎚️ Escenario'!$C$11,0)))))</f>
        <v>0</v>
      </c>
      <c r="CH377" s="237" t="n">
        <f aca="false" t="array" ref="CH377:CH377">IF(CH376=0,0,IF(CH376/'🎚️ Escenario'!$C$11&gt;=36,$AL$23,INDEX($C$23:$AL$23,MAX(1,ROUNDUP(CH376/'🎚️ Escenario'!$C$11,0)))))</f>
        <v>0</v>
      </c>
      <c r="CI377" s="237" t="n">
        <f aca="false" t="array" ref="CI377:CI377">IF(CI376=0,0,IF(CI376/'🎚️ Escenario'!$C$11&gt;=36,$AL$23,INDEX($C$23:$AL$23,MAX(1,ROUNDUP(CI376/'🎚️ Escenario'!$C$11,0)))))</f>
        <v>0</v>
      </c>
      <c r="CJ377" s="237" t="n">
        <f aca="false" t="array" ref="CJ377:CJ377">IF(CJ376=0,0,IF(CJ376/'🎚️ Escenario'!$C$11&gt;=36,$AL$23,INDEX($C$23:$AL$23,MAX(1,ROUNDUP(CJ376/'🎚️ Escenario'!$C$11,0)))))</f>
        <v>0</v>
      </c>
      <c r="CK377" s="237" t="n">
        <f aca="false" t="array" ref="CK377:CK377">IF(CK376=0,0,IF(CK376/'🎚️ Escenario'!$C$11&gt;=36,$AL$23,INDEX($C$23:$AL$23,MAX(1,ROUNDUP(CK376/'🎚️ Escenario'!$C$11,0)))))</f>
        <v>0</v>
      </c>
      <c r="CL377" s="237" t="n">
        <f aca="false" t="array" ref="CL377:CL377">IF(CL376=0,0,IF(CL376/'🎚️ Escenario'!$C$11&gt;=36,$AL$23,INDEX($C$23:$AL$23,MAX(1,ROUNDUP(CL376/'🎚️ Escenario'!$C$11,0)))))</f>
        <v>0</v>
      </c>
      <c r="CM377" s="237" t="n">
        <f aca="false" t="array" ref="CM377:CM377">IF(CM376=0,0,IF(CM376/'🎚️ Escenario'!$C$11&gt;=36,$AL$23,INDEX($C$23:$AL$23,MAX(1,ROUNDUP(CM376/'🎚️ Escenario'!$C$11,0)))))</f>
        <v>0</v>
      </c>
      <c r="CN377" s="237" t="n">
        <f aca="false" t="array" ref="CN377:CN377">IF(CN376=0,0,IF(CN376/'🎚️ Escenario'!$C$11&gt;=36,$AL$23,INDEX($C$23:$AL$23,MAX(1,ROUNDUP(CN376/'🎚️ Escenario'!$C$11,0)))))</f>
        <v>0</v>
      </c>
      <c r="CO377" s="237" t="n">
        <f aca="false" t="array" ref="CO377:CO377">IF(CO376=0,0,IF(CO376/'🎚️ Escenario'!$C$11&gt;=36,$AL$23,INDEX($C$23:$AL$23,MAX(1,ROUNDUP(CO376/'🎚️ Escenario'!$C$11,0)))))</f>
        <v>0</v>
      </c>
      <c r="CP377" s="237" t="n">
        <f aca="false" t="array" ref="CP377:CP377">IF(CP376=0,0,IF(CP376/'🎚️ Escenario'!$C$11&gt;=36,$AL$23,INDEX($C$23:$AL$23,MAX(1,ROUNDUP(CP376/'🎚️ Escenario'!$C$11,0)))))</f>
        <v>0</v>
      </c>
      <c r="CQ377" s="237" t="n">
        <f aca="false" t="array" ref="CQ377:CQ377">IF(CQ376=0,0,IF(CQ376/'🎚️ Escenario'!$C$11&gt;=36,$AL$23,INDEX($C$23:$AL$23,MAX(1,ROUNDUP(CQ376/'🎚️ Escenario'!$C$11,0)))))</f>
        <v>0</v>
      </c>
      <c r="CR377" s="237" t="n">
        <f aca="false" t="array" ref="CR377:CR377">IF(CR376=0,0,IF(CR376/'🎚️ Escenario'!$C$11&gt;=36,$AL$23,INDEX($C$23:$AL$23,MAX(1,ROUNDUP(CR376/'🎚️ Escenario'!$C$11,0)))))</f>
        <v>0</v>
      </c>
      <c r="CS377" s="237" t="n">
        <f aca="false" t="array" ref="CS377:CS377">IF(CS376=0,0,IF(CS376/'🎚️ Escenario'!$C$11&gt;=36,$AL$23,INDEX($C$23:$AL$23,MAX(1,ROUNDUP(CS376/'🎚️ Escenario'!$C$11,0)))))</f>
        <v>0</v>
      </c>
      <c r="CT377" s="237" t="n">
        <f aca="false" t="array" ref="CT377:CT377">IF(CT376=0,0,IF(CT376/'🎚️ Escenario'!$C$11&gt;=36,$AL$23,INDEX($C$23:$AL$23,MAX(1,ROUNDUP(CT376/'🎚️ Escenario'!$C$11,0)))))</f>
        <v>0</v>
      </c>
      <c r="CU377" s="237" t="n">
        <f aca="false" t="array" ref="CU377:CU377">IF(CU376=0,0,IF(CU376/'🎚️ Escenario'!$C$11&gt;=36,$AL$23,INDEX($C$23:$AL$23,MAX(1,ROUNDUP(CU376/'🎚️ Escenario'!$C$11,0)))))</f>
        <v>0</v>
      </c>
      <c r="CV377" s="237" t="n">
        <f aca="false" t="array" ref="CV377:CV377">IF(CV376=0,0,IF(CV376/'🎚️ Escenario'!$C$11&gt;=36,$AL$23,INDEX($C$23:$AL$23,MAX(1,ROUNDUP(CV376/'🎚️ Escenario'!$C$11,0)))))</f>
        <v>0</v>
      </c>
      <c r="CW377" s="237" t="n">
        <f aca="false" t="array" ref="CW377:CW377">IF(CW376=0,0,IF(CW376/'🎚️ Escenario'!$C$11&gt;=36,$AL$23,INDEX($C$23:$AL$23,MAX(1,ROUNDUP(CW376/'🎚️ Escenario'!$C$11,0)))))</f>
        <v>0</v>
      </c>
      <c r="CX377" s="237" t="n">
        <f aca="false" t="array" ref="CX377:CX377">IF(CX376=0,0,IF(CX376/'🎚️ Escenario'!$C$11&gt;=36,$AL$23,INDEX($C$23:$AL$23,MAX(1,ROUNDUP(CX376/'🎚️ Escenario'!$C$11,0)))))</f>
        <v>0</v>
      </c>
      <c r="CY377" s="237" t="n">
        <f aca="false" t="array" ref="CY377:CY377">IF(CY376=0,0,IF(CY376/'🎚️ Escenario'!$C$11&gt;=36,$AL$23,INDEX($C$23:$AL$23,MAX(1,ROUNDUP(CY376/'🎚️ Escenario'!$C$11,0)))))</f>
        <v>0</v>
      </c>
      <c r="CZ377" s="237" t="n">
        <f aca="false" t="array" ref="CZ377:CZ377">IF(CZ376=0,0,IF(CZ376/'🎚️ Escenario'!$C$11&gt;=36,$AL$23,INDEX($C$23:$AL$23,MAX(1,ROUNDUP(CZ376/'🎚️ Escenario'!$C$11,0)))))</f>
        <v>0</v>
      </c>
      <c r="DA377" s="237" t="n">
        <f aca="false" t="array" ref="DA377:DA377">IF(DA376=0,0,IF(DA376/'🎚️ Escenario'!$C$11&gt;=36,$AL$23,INDEX($C$23:$AL$23,MAX(1,ROUNDUP(DA376/'🎚️ Escenario'!$C$11,0)))))</f>
        <v>0</v>
      </c>
      <c r="DB377" s="237" t="n">
        <f aca="false" t="array" ref="DB377:DB377">IF(DB376=0,0,IF(DB376/'🎚️ Escenario'!$C$11&gt;=36,$AL$23,INDEX($C$23:$AL$23,MAX(1,ROUNDUP(DB376/'🎚️ Escenario'!$C$11,0)))))</f>
        <v>0</v>
      </c>
      <c r="DC377" s="237" t="n">
        <f aca="false" t="array" ref="DC377:DC377">IF(DC376=0,0,IF(DC376/'🎚️ Escenario'!$C$11&gt;=36,$AL$23,INDEX($C$23:$AL$23,MAX(1,ROUNDUP(DC376/'🎚️ Escenario'!$C$11,0)))))</f>
        <v>0</v>
      </c>
      <c r="DD377" s="237" t="n">
        <f aca="false" t="array" ref="DD377:DD377">IF(DD376=0,0,IF(DD376/'🎚️ Escenario'!$C$11&gt;=36,$AL$23,INDEX($C$23:$AL$23,MAX(1,ROUNDUP(DD376/'🎚️ Escenario'!$C$11,0)))))</f>
        <v>0</v>
      </c>
      <c r="DE377" s="237" t="n">
        <f aca="false" t="array" ref="DE377:DE377">IF(DE376=0,0,IF(DE376/'🎚️ Escenario'!$C$11&gt;=36,$AL$23,INDEX($C$23:$AL$23,MAX(1,ROUNDUP(DE376/'🎚️ Escenario'!$C$11,0)))))</f>
        <v>0</v>
      </c>
      <c r="DF377" s="237" t="n">
        <f aca="false" t="array" ref="DF377:DF377">IF(DF376=0,0,IF(DF376/'🎚️ Escenario'!$C$11&gt;=36,$AL$23,INDEX($C$23:$AL$23,MAX(1,ROUNDUP(DF376/'🎚️ Escenario'!$C$11,0)))))</f>
        <v>0</v>
      </c>
      <c r="DG377" s="237" t="n">
        <f aca="false" t="array" ref="DG377:DG377">IF(DG376=0,0,IF(DG376/'🎚️ Escenario'!$C$11&gt;=36,$AL$23,INDEX($C$23:$AL$23,MAX(1,ROUNDUP(DG376/'🎚️ Escenario'!$C$11,0)))))</f>
        <v>0</v>
      </c>
      <c r="DH377" s="237" t="n">
        <f aca="false" t="array" ref="DH377:DH377">IF(DH376=0,0,IF(DH376/'🎚️ Escenario'!$C$11&gt;=36,$AL$23,INDEX($C$23:$AL$23,MAX(1,ROUNDUP(DH376/'🎚️ Escenario'!$C$11,0)))))</f>
        <v>0</v>
      </c>
      <c r="DI377" s="237" t="n">
        <f aca="false" t="array" ref="DI377:DI377">IF(DI376=0,0,IF(DI376/'🎚️ Escenario'!$C$11&gt;=36,$AL$23,INDEX($C$23:$AL$23,MAX(1,ROUNDUP(DI376/'🎚️ Escenario'!$C$11,0)))))</f>
        <v>0</v>
      </c>
      <c r="DJ377" s="237" t="n">
        <f aca="false" t="array" ref="DJ377:DJ377">IF(DJ376=0,0,IF(DJ376/'🎚️ Escenario'!$C$11&gt;=36,$AL$23,INDEX($C$23:$AL$23,MAX(1,ROUNDUP(DJ376/'🎚️ Escenario'!$C$11,0)))))</f>
        <v>0</v>
      </c>
      <c r="DK377" s="237" t="n">
        <f aca="false" t="array" ref="DK377:DK377">IF(DK376=0,0,IF(DK376/'🎚️ Escenario'!$C$11&gt;=36,$AL$23,INDEX($C$23:$AL$23,MAX(1,ROUNDUP(DK376/'🎚️ Escenario'!$C$11,0)))))</f>
        <v>0</v>
      </c>
      <c r="DL377" s="237" t="n">
        <f aca="false" t="array" ref="DL377:DL377">IF(DL376=0,0,IF(DL376/'🎚️ Escenario'!$C$11&gt;=36,$AL$23,INDEX($C$23:$AL$23,MAX(1,ROUNDUP(DL376/'🎚️ Escenario'!$C$11,0)))))</f>
        <v>0</v>
      </c>
      <c r="DM377" s="237" t="n">
        <f aca="false" t="array" ref="DM377:DM377">IF(DM376=0,0,IF(DM376/'🎚️ Escenario'!$C$11&gt;=36,$AL$23,INDEX($C$23:$AL$23,MAX(1,ROUNDUP(DM376/'🎚️ Escenario'!$C$11,0)))))</f>
        <v>0</v>
      </c>
      <c r="DN377" s="237" t="n">
        <f aca="false" t="array" ref="DN377:DN377">IF(DN376=0,0,IF(DN376/'🎚️ Escenario'!$C$11&gt;=36,$AL$23,INDEX($C$23:$AL$23,MAX(1,ROUNDUP(DN376/'🎚️ Escenario'!$C$11,0)))))</f>
        <v>0</v>
      </c>
      <c r="DO377" s="237" t="n">
        <f aca="false" t="array" ref="DO377:DO377">IF(DO376=0,0,IF(DO376/'🎚️ Escenario'!$C$11&gt;=36,$AL$23,INDEX($C$23:$AL$23,MAX(1,ROUNDUP(DO376/'🎚️ Escenario'!$C$11,0)))))</f>
        <v>0</v>
      </c>
      <c r="DP377" s="237" t="n">
        <f aca="false" t="array" ref="DP377:DP377">IF(DP376=0,0,IF(DP376/'🎚️ Escenario'!$C$11&gt;=36,$AL$23,INDEX($C$23:$AL$23,MAX(1,ROUNDUP(DP376/'🎚️ Escenario'!$C$11,0)))))</f>
        <v>0</v>
      </c>
      <c r="DQ377" s="237" t="n">
        <f aca="false" t="array" ref="DQ377:DQ377">IF(DQ376=0,0,IF(DQ376/'🎚️ Escenario'!$C$11&gt;=36,$AL$23,INDEX($C$23:$AL$23,MAX(1,ROUNDUP(DQ376/'🎚️ Escenario'!$C$11,0)))))</f>
        <v>0</v>
      </c>
      <c r="DR377" s="237" t="n">
        <f aca="false" t="array" ref="DR377:DR377">IF(DR376=0,0,IF(DR376/'🎚️ Escenario'!$C$11&gt;=36,$AL$23,INDEX($C$23:$AL$23,MAX(1,ROUNDUP(DR376/'🎚️ Escenario'!$C$11,0)))))</f>
        <v>0</v>
      </c>
      <c r="DS377" s="237" t="n">
        <f aca="false" t="array" ref="DS377:DS377">IF(DS376=0,0,IF(DS376/'🎚️ Escenario'!$C$11&gt;=36,$AL$23,INDEX($C$23:$AL$23,MAX(1,ROUNDUP(DS376/'🎚️ Escenario'!$C$11,0)))))</f>
        <v>0</v>
      </c>
      <c r="DT377" s="237" t="n">
        <f aca="false" t="array" ref="DT377:DT377">IF(DT376=0,0,IF(DT376/'🎚️ Escenario'!$C$11&gt;=36,$AL$23,INDEX($C$23:$AL$23,MAX(1,ROUNDUP(DT376/'🎚️ Escenario'!$C$11,0)))))</f>
        <v>0</v>
      </c>
      <c r="DU377" s="237" t="n">
        <f aca="false" t="array" ref="DU377:DU377">IF(DU376=0,0,IF(DU376/'🎚️ Escenario'!$C$11&gt;=36,$AL$23,INDEX($C$23:$AL$23,MAX(1,ROUNDUP(DU376/'🎚️ Escenario'!$C$11,0)))))</f>
        <v>0</v>
      </c>
      <c r="DV377" s="237" t="n">
        <f aca="false" t="array" ref="DV377:DV377">IF(DV376=0,0,IF(DV376/'🎚️ Escenario'!$C$11&gt;=36,$AL$23,INDEX($C$23:$AL$23,MAX(1,ROUNDUP(DV376/'🎚️ Escenario'!$C$11,0)))))</f>
        <v>0.2</v>
      </c>
      <c r="DW377" s="237" t="n">
        <f aca="false" t="array" ref="DW377:DW377">IF(DW376=0,0,IF(DW376/'🎚️ Escenario'!$C$11&gt;=36,$AL$23,INDEX($C$23:$AL$23,MAX(1,ROUNDUP(DW376/'🎚️ Escenario'!$C$11,0)))))</f>
        <v>0.22</v>
      </c>
      <c r="DX377" s="237" t="n">
        <f aca="false" t="array" ref="DX377:DX377">IF(DX376=0,0,IF(DX376/'🎚️ Escenario'!$C$11&gt;=36,$AL$23,INDEX($C$23:$AL$23,MAX(1,ROUNDUP(DX376/'🎚️ Escenario'!$C$11,0)))))</f>
        <v>0.24</v>
      </c>
      <c r="DY377" s="237" t="n">
        <f aca="false" t="array" ref="DY377:DY377">IF(DY376=0,0,IF(DY376/'🎚️ Escenario'!$C$11&gt;=36,$AL$23,INDEX($C$23:$AL$23,MAX(1,ROUNDUP(DY376/'🎚️ Escenario'!$C$11,0)))))</f>
        <v>0.27</v>
      </c>
      <c r="DZ377" s="237" t="n">
        <f aca="false" t="array" ref="DZ377:DZ377">IF(DZ376=0,0,IF(DZ376/'🎚️ Escenario'!$C$11&gt;=36,$AL$23,INDEX($C$23:$AL$23,MAX(1,ROUNDUP(DZ376/'🎚️ Escenario'!$C$11,0)))))</f>
        <v>0.27</v>
      </c>
      <c r="EA377" s="237" t="n">
        <f aca="false" t="array" ref="EA377:EA377">IF(EA376=0,0,IF(EA376/'🎚️ Escenario'!$C$11&gt;=36,$AL$23,INDEX($C$23:$AL$23,MAX(1,ROUNDUP(EA376/'🎚️ Escenario'!$C$11,0)))))</f>
        <v>0.31</v>
      </c>
      <c r="EB377" s="237" t="n">
        <f aca="false" t="array" ref="EB377:EB377">IF(EB376=0,0,IF(EB376/'🎚️ Escenario'!$C$11&gt;=36,$AL$23,INDEX($C$23:$AL$23,MAX(1,ROUNDUP(EB376/'🎚️ Escenario'!$C$11,0)))))</f>
        <v>0.35</v>
      </c>
      <c r="EC377" s="237" t="n">
        <f aca="false" t="array" ref="EC377:EC377">IF(EC376=0,0,IF(EC376/'🎚️ Escenario'!$C$11&gt;=36,$AL$23,INDEX($C$23:$AL$23,MAX(1,ROUNDUP(EC376/'🎚️ Escenario'!$C$11,0)))))</f>
        <v>0.39</v>
      </c>
      <c r="ED377" s="237" t="n">
        <f aca="false" t="array" ref="ED377:ED377">IF(ED376=0,0,IF(ED376/'🎚️ Escenario'!$C$11&gt;=36,$AL$23,INDEX($C$23:$AL$23,MAX(1,ROUNDUP(ED376/'🎚️ Escenario'!$C$11,0)))))</f>
        <v>0.44</v>
      </c>
      <c r="EE377" s="237" t="n">
        <f aca="false" t="array" ref="EE377:EE377">IF(EE376=0,0,IF(EE376/'🎚️ Escenario'!$C$11&gt;=36,$AL$23,INDEX($C$23:$AL$23,MAX(1,ROUNDUP(EE376/'🎚️ Escenario'!$C$11,0)))))</f>
        <v>0.44</v>
      </c>
      <c r="EF377" s="237" t="n">
        <f aca="false" t="array" ref="EF377:EF377">IF(EF376=0,0,IF(EF376/'🎚️ Escenario'!$C$11&gt;=36,$AL$23,INDEX($C$23:$AL$23,MAX(1,ROUNDUP(EF376/'🎚️ Escenario'!$C$11,0)))))</f>
        <v>0.48</v>
      </c>
      <c r="EG377" s="237" t="n">
        <f aca="false" t="array" ref="EG377:EG377">IF(EG376=0,0,IF(EG376/'🎚️ Escenario'!$C$11&gt;=36,$AL$23,INDEX($C$23:$AL$23,MAX(1,ROUNDUP(EG376/'🎚️ Escenario'!$C$11,0)))))</f>
        <v>0.52</v>
      </c>
      <c r="EH377" s="237" t="n">
        <f aca="false" t="array" ref="EH377:EH377">IF(EH376=0,0,IF(EH376/'🎚️ Escenario'!$C$11&gt;=36,$AL$23,INDEX($C$23:$AL$23,MAX(1,ROUNDUP(EH376/'🎚️ Escenario'!$C$11,0)))))</f>
        <v>0.56</v>
      </c>
      <c r="EI377" s="237" t="n">
        <f aca="false" t="array" ref="EI377:EI377">IF(EI376=0,0,IF(EI376/'🎚️ Escenario'!$C$11&gt;=36,$AL$23,INDEX($C$23:$AL$23,MAX(1,ROUNDUP(EI376/'🎚️ Escenario'!$C$11,0)))))</f>
        <v>0.6</v>
      </c>
      <c r="EJ377" s="237" t="n">
        <f aca="false" t="array" ref="EJ377:EJ377">IF(EJ376=0,0,IF(EJ376/'🎚️ Escenario'!$C$11&gt;=36,$AL$23,INDEX($C$23:$AL$23,MAX(1,ROUNDUP(EJ376/'🎚️ Escenario'!$C$11,0)))))</f>
        <v>0.6</v>
      </c>
      <c r="EK377" s="237" t="n">
        <f aca="false" t="array" ref="EK377:EK377">IF(EK376=0,0,IF(EK376/'🎚️ Escenario'!$C$11&gt;=36,$AL$23,INDEX($C$23:$AL$23,MAX(1,ROUNDUP(EK376/'🎚️ Escenario'!$C$11,0)))))</f>
        <v>0.63</v>
      </c>
      <c r="EL377" s="237" t="n">
        <f aca="false" t="array" ref="EL377:EL377">IF(EL376=0,0,IF(EL376/'🎚️ Escenario'!$C$11&gt;=36,$AL$23,INDEX($C$23:$AL$23,MAX(1,ROUNDUP(EL376/'🎚️ Escenario'!$C$11,0)))))</f>
        <v>0.66</v>
      </c>
      <c r="EM377" s="237" t="n">
        <f aca="false" t="array" ref="EM377:EM377">IF(EM376=0,0,IF(EM376/'🎚️ Escenario'!$C$11&gt;=36,$AL$23,INDEX($C$23:$AL$23,MAX(1,ROUNDUP(EM376/'🎚️ Escenario'!$C$11,0)))))</f>
        <v>0.69</v>
      </c>
      <c r="EN377" s="237" t="n">
        <f aca="false" t="array" ref="EN377:EN377">IF(EN376=0,0,IF(EN376/'🎚️ Escenario'!$C$11&gt;=36,$AL$23,INDEX($C$23:$AL$23,MAX(1,ROUNDUP(EN376/'🎚️ Escenario'!$C$11,0)))))</f>
        <v>0.71</v>
      </c>
      <c r="EO377" s="237" t="n">
        <f aca="false" t="array" ref="EO377:EO377">IF(EO376=0,0,IF(EO376/'🎚️ Escenario'!$C$11&gt;=36,$AL$23,INDEX($C$23:$AL$23,MAX(1,ROUNDUP(EO376/'🎚️ Escenario'!$C$11,0)))))</f>
        <v>0.71</v>
      </c>
      <c r="EP377" s="237" t="n">
        <f aca="false" t="array" ref="EP377:EP377">IF(EP376=0,0,IF(EP376/'🎚️ Escenario'!$C$11&gt;=36,$AL$23,INDEX($C$23:$AL$23,MAX(1,ROUNDUP(EP376/'🎚️ Escenario'!$C$11,0)))))</f>
        <v>0.73</v>
      </c>
      <c r="EQ377" s="237" t="n">
        <f aca="false" t="array" ref="EQ377:EQ377">IF(EQ376=0,0,IF(EQ376/'🎚️ Escenario'!$C$11&gt;=36,$AL$23,INDEX($C$23:$AL$23,MAX(1,ROUNDUP(EQ376/'🎚️ Escenario'!$C$11,0)))))</f>
        <v>0.75</v>
      </c>
      <c r="ER377" s="237" t="n">
        <f aca="false" t="array" ref="ER377:ER377">IF(ER376=0,0,IF(ER376/'🎚️ Escenario'!$C$11&gt;=36,$AL$23,INDEX($C$23:$AL$23,MAX(1,ROUNDUP(ER376/'🎚️ Escenario'!$C$11,0)))))</f>
        <v>0.77</v>
      </c>
      <c r="ES377" s="9" t="n">
        <f aca="false" t="array" ref="ES377:ES377">IF(ES376=0,0,IF(ES376/'🎚️ Escenario'!$C$11&gt;=36,$AL$23,INDEX($C$23:$AL$23,MAX(1,ROUNDUP(ES376/'🎚️ Escenario'!$C$11,0)))))</f>
        <v>0.79</v>
      </c>
      <c r="ET377" s="9" t="n">
        <f aca="false" t="array" ref="ET377:ET377">IF(ET376=0,0,IF(ET376/'🎚️ Escenario'!$C$11&gt;=36,$AL$23,INDEX($C$23:$AL$23,MAX(1,ROUNDUP(ET376/'🎚️ Escenario'!$C$11,0)))))</f>
        <v>0.79</v>
      </c>
      <c r="EU377" s="9" t="n">
        <f aca="false" t="array" ref="EU377:EU377">IF(EU376=0,0,IF(EU376/'🎚️ Escenario'!$C$11&gt;=36,$AL$23,INDEX($C$23:$AL$23,MAX(1,ROUNDUP(EU376/'🎚️ Escenario'!$C$11,0)))))</f>
        <v>0.8</v>
      </c>
      <c r="EV377" s="9" t="n">
        <f aca="false" t="array" ref="EV377:EV377">IF(EV376=0,0,IF(EV376/'🎚️ Escenario'!$C$11&gt;=36,$AL$23,INDEX($C$23:$AL$23,MAX(1,ROUNDUP(EV376/'🎚️ Escenario'!$C$11,0)))))</f>
        <v>0.82</v>
      </c>
      <c r="EW377" s="9" t="n">
        <f aca="false" t="array" ref="EW377:EW377">IF(EW376=0,0,IF(EW376/'🎚️ Escenario'!$C$11&gt;=36,$AL$23,INDEX($C$23:$AL$23,MAX(1,ROUNDUP(EW376/'🎚️ Escenario'!$C$11,0)))))</f>
        <v>0.84</v>
      </c>
      <c r="EX377" s="9" t="n">
        <f aca="false" t="array" ref="EX377:EX377">IF(EX376=0,0,IF(EX376/'🎚️ Escenario'!$C$11&gt;=36,$AL$23,INDEX($C$23:$AL$23,MAX(1,ROUNDUP(EX376/'🎚️ Escenario'!$C$11,0)))))</f>
        <v>0.85</v>
      </c>
      <c r="EY377" s="9" t="n">
        <f aca="false" t="array" ref="EY377:EY377">IF(EY376=0,0,IF(EY376/'🎚️ Escenario'!$C$11&gt;=36,$AL$23,INDEX($C$23:$AL$23,MAX(1,ROUNDUP(EY376/'🎚️ Escenario'!$C$11,0)))))</f>
        <v>0.85</v>
      </c>
      <c r="EZ377" s="9" t="n">
        <f aca="false" t="array" ref="EZ377:EZ377">IF(EZ376=0,0,IF(EZ376/'🎚️ Escenario'!$C$11&gt;=36,$AL$23,INDEX($C$23:$AL$23,MAX(1,ROUNDUP(EZ376/'🎚️ Escenario'!$C$11,0)))))</f>
        <v>0.86</v>
      </c>
      <c r="FA377" s="9" t="n">
        <f aca="false" t="array" ref="FA377:FA377">IF(FA376=0,0,IF(FA376/'🎚️ Escenario'!$C$11&gt;=36,$AL$23,INDEX($C$23:$AL$23,MAX(1,ROUNDUP(FA376/'🎚️ Escenario'!$C$11,0)))))</f>
        <v>0.88</v>
      </c>
      <c r="FB377" s="9" t="n">
        <f aca="false" t="array" ref="FB377:FB377">IF(FB376=0,0,IF(FB376/'🎚️ Escenario'!$C$11&gt;=36,$AL$23,INDEX($C$23:$AL$23,MAX(1,ROUNDUP(FB376/'🎚️ Escenario'!$C$11,0)))))</f>
        <v>0.89</v>
      </c>
      <c r="FC377" s="9" t="n">
        <f aca="false" t="array" ref="FC377:FC377">IF(FC376=0,0,IF(FC376/'🎚️ Escenario'!$C$11&gt;=36,$AL$23,INDEX($C$23:$AL$23,MAX(1,ROUNDUP(FC376/'🎚️ Escenario'!$C$11,0)))))</f>
        <v>0.9</v>
      </c>
      <c r="FD377" s="9" t="n">
        <f aca="false" t="array" ref="FD377:FD377">IF(FD376=0,0,IF(FD376/'🎚️ Escenario'!$C$11&gt;=36,$AL$23,INDEX($C$23:$AL$23,MAX(1,ROUNDUP(FD376/'🎚️ Escenario'!$C$11,0)))))</f>
        <v>0.9</v>
      </c>
      <c r="FE377" s="9" t="n">
        <f aca="false" t="array" ref="FE377:FE377">IF(FE376=0,0,IF(FE376/'🎚️ Escenario'!$C$11&gt;=36,$AL$23,INDEX($C$23:$AL$23,MAX(1,ROUNDUP(FE376/'🎚️ Escenario'!$C$11,0)))))</f>
        <v>0.92</v>
      </c>
      <c r="FF377" s="9" t="n">
        <f aca="false" t="array" ref="FF377:FF377">IF(FF376=0,0,IF(FF376/'🎚️ Escenario'!$C$11&gt;=36,$AL$23,INDEX($C$23:$AL$23,MAX(1,ROUNDUP(FF376/'🎚️ Escenario'!$C$11,0)))))</f>
        <v>0.93</v>
      </c>
      <c r="FG377" s="9" t="n">
        <f aca="false" t="array" ref="FG377:FG377">IF(FG376=0,0,IF(FG376/'🎚️ Escenario'!$C$11&gt;=36,$AL$23,INDEX($C$23:$AL$23,MAX(1,ROUNDUP(FG376/'🎚️ Escenario'!$C$11,0)))))</f>
        <v>0.94</v>
      </c>
      <c r="FH377" s="9" t="n">
        <f aca="false" t="array" ref="FH377:FH377">IF(FH376=0,0,IF(FH376/'🎚️ Escenario'!$C$11&gt;=36,$AL$23,INDEX($C$23:$AL$23,MAX(1,ROUNDUP(FH376/'🎚️ Escenario'!$C$11,0)))))</f>
        <v>0.95</v>
      </c>
      <c r="FI377" s="9" t="n">
        <f aca="false" t="array" ref="FI377:FI377">IF(FI376=0,0,IF(FI376/'🎚️ Escenario'!$C$11&gt;=36,$AL$23,INDEX($C$23:$AL$23,MAX(1,ROUNDUP(FI376/'🎚️ Escenario'!$C$11,0)))))</f>
        <v>0.95</v>
      </c>
      <c r="FJ377" s="9" t="n">
        <f aca="false" t="array" ref="FJ377:FJ377">IF(FJ376=0,0,IF(FJ376/'🎚️ Escenario'!$C$11&gt;=36,$AL$23,INDEX($C$23:$AL$23,MAX(1,ROUNDUP(FJ376/'🎚️ Escenario'!$C$11,0)))))</f>
        <v>0.97</v>
      </c>
      <c r="FK377" s="9" t="n">
        <f aca="false" t="array" ref="FK377:FK377">IF(FK376=0,0,IF(FK376/'🎚️ Escenario'!$C$11&gt;=36,$AL$23,INDEX($C$23:$AL$23,MAX(1,ROUNDUP(FK376/'🎚️ Escenario'!$C$11,0)))))</f>
        <v>0.98</v>
      </c>
      <c r="FL377" s="9" t="n">
        <f aca="false" t="array" ref="FL377:FL377">IF(FL376=0,0,IF(FL376/'🎚️ Escenario'!$C$11&gt;=36,$AL$23,INDEX($C$23:$AL$23,MAX(1,ROUNDUP(FL376/'🎚️ Escenario'!$C$11,0)))))</f>
        <v>0.99</v>
      </c>
      <c r="FM377" s="9" t="n">
        <f aca="false" t="array" ref="FM377:FM377">IF(FM376=0,0,IF(FM376/'🎚️ Escenario'!$C$11&gt;=36,$AL$23,INDEX($C$23:$AL$23,MAX(1,ROUNDUP(FM376/'🎚️ Escenario'!$C$11,0)))))</f>
        <v>1</v>
      </c>
      <c r="FN377" s="9" t="n">
        <f aca="false" t="array" ref="FN377:FN377">IF(FN376=0,0,IF(FN376/'🎚️ Escenario'!$C$11&gt;=36,$AL$23,INDEX($C$23:$AL$23,MAX(1,ROUNDUP(FN376/'🎚️ Escenario'!$C$11,0)))))</f>
        <v>1</v>
      </c>
      <c r="FO377" s="9" t="n">
        <f aca="false" t="array" ref="FO377:FO377">IF(FO376=0,0,IF(FO376/'🎚️ Escenario'!$C$11&gt;=36,$AL$23,INDEX($C$23:$AL$23,MAX(1,ROUNDUP(FO376/'🎚️ Escenario'!$C$11,0)))))</f>
        <v>1</v>
      </c>
      <c r="FP377" s="9" t="n">
        <f aca="false" t="array" ref="FP377:FP377">IF(FP376=0,0,IF(FP376/'🎚️ Escenario'!$C$11&gt;=36,$AL$23,INDEX($C$23:$AL$23,MAX(1,ROUNDUP(FP376/'🎚️ Escenario'!$C$11,0)))))</f>
        <v>1</v>
      </c>
    </row>
    <row r="378" customFormat="false" ht="15" hidden="false" customHeight="false" outlineLevel="2" collapsed="false">
      <c r="B378" s="47" t="s">
        <v>875</v>
      </c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237" t="n">
        <f aca="false">IF(AC376=0,0,IF(AC376&lt;=12*'🎚️ Escenario'!$C$11,1,1+$C$6))</f>
        <v>0</v>
      </c>
      <c r="AD378" s="237" t="n">
        <f aca="false">IF(AD376=0,0,IF(AD376&lt;=12*'🎚️ Escenario'!$C$11,1,1+$C$6))</f>
        <v>0</v>
      </c>
      <c r="AE378" s="237" t="n">
        <f aca="false">IF(AE376=0,0,IF(AE376&lt;=12*'🎚️ Escenario'!$C$11,1,1+$C$6))</f>
        <v>0</v>
      </c>
      <c r="AF378" s="237" t="n">
        <f aca="false">IF(AF376=0,0,IF(AF376&lt;=12*'🎚️ Escenario'!$C$11,1,1+$C$6))</f>
        <v>0</v>
      </c>
      <c r="AG378" s="237" t="n">
        <f aca="false">IF(AG376=0,0,IF(AG376&lt;=12*'🎚️ Escenario'!$C$11,1,1+$C$6))</f>
        <v>0</v>
      </c>
      <c r="AH378" s="237" t="n">
        <f aca="false">IF(AH376=0,0,IF(AH376&lt;=12*'🎚️ Escenario'!$C$11,1,1+$C$6))</f>
        <v>0</v>
      </c>
      <c r="AI378" s="237" t="n">
        <f aca="false">IF(AI376=0,0,IF(AI376&lt;=12*'🎚️ Escenario'!$C$11,1,1+$C$6))</f>
        <v>0</v>
      </c>
      <c r="AJ378" s="237" t="n">
        <f aca="false">IF(AJ376=0,0,IF(AJ376&lt;=12*'🎚️ Escenario'!$C$11,1,1+$C$6))</f>
        <v>0</v>
      </c>
      <c r="AK378" s="237" t="n">
        <f aca="false">IF(AK376=0,0,IF(AK376&lt;=12*'🎚️ Escenario'!$C$11,1,1+$C$6))</f>
        <v>0</v>
      </c>
      <c r="AL378" s="237" t="n">
        <f aca="false">IF(AL376=0,0,IF(AL376&lt;=12*'🎚️ Escenario'!$C$11,1,1+$C$6))</f>
        <v>0</v>
      </c>
      <c r="AM378" s="237" t="n">
        <f aca="false">IF(AM376=0,0,IF(AM376&lt;=12*'🎚️ Escenario'!$C$11,1,1+$C$6))</f>
        <v>0</v>
      </c>
      <c r="AN378" s="237" t="n">
        <f aca="false">IF(AN376=0,0,IF(AN376&lt;=12*'🎚️ Escenario'!$C$11,1,1+$C$6))</f>
        <v>0</v>
      </c>
      <c r="AO378" s="237" t="n">
        <f aca="false">IF(AO376=0,0,IF(AO376&lt;=12*'🎚️ Escenario'!$C$11,1,1+$C$6))</f>
        <v>0</v>
      </c>
      <c r="AP378" s="237" t="n">
        <f aca="false">IF(AP376=0,0,IF(AP376&lt;=12*'🎚️ Escenario'!$C$11,1,1+$C$6))</f>
        <v>0</v>
      </c>
      <c r="AQ378" s="237" t="n">
        <f aca="false">IF(AQ376=0,0,IF(AQ376&lt;=12*'🎚️ Escenario'!$C$11,1,1+$C$6))</f>
        <v>0</v>
      </c>
      <c r="AR378" s="237" t="n">
        <f aca="false">IF(AR376=0,0,IF(AR376&lt;=12*'🎚️ Escenario'!$C$11,1,1+$C$6))</f>
        <v>0</v>
      </c>
      <c r="AS378" s="237" t="n">
        <f aca="false">IF(AS376=0,0,IF(AS376&lt;=12*'🎚️ Escenario'!$C$11,1,1+$C$6))</f>
        <v>0</v>
      </c>
      <c r="AT378" s="237" t="n">
        <f aca="false">IF(AT376=0,0,IF(AT376&lt;=12*'🎚️ Escenario'!$C$11,1,1+$C$6))</f>
        <v>0</v>
      </c>
      <c r="AU378" s="237" t="n">
        <f aca="false">IF(AU376=0,0,IF(AU376&lt;=12*'🎚️ Escenario'!$C$11,1,1+$C$6))</f>
        <v>0</v>
      </c>
      <c r="AV378" s="237" t="n">
        <f aca="false">IF(AV376=0,0,IF(AV376&lt;=12*'🎚️ Escenario'!$C$11,1,1+$C$6))</f>
        <v>0</v>
      </c>
      <c r="AW378" s="237" t="n">
        <f aca="false">IF(AW376=0,0,IF(AW376&lt;=12*'🎚️ Escenario'!$C$11,1,1+$C$6))</f>
        <v>0</v>
      </c>
      <c r="AX378" s="237" t="n">
        <f aca="false">IF(AX376=0,0,IF(AX376&lt;=12*'🎚️ Escenario'!$C$11,1,1+$C$6))</f>
        <v>0</v>
      </c>
      <c r="AY378" s="237" t="n">
        <f aca="false">IF(AY376=0,0,IF(AY376&lt;=12*'🎚️ Escenario'!$C$11,1,1+$C$6))</f>
        <v>0</v>
      </c>
      <c r="AZ378" s="237" t="n">
        <f aca="false">IF(AZ376=0,0,IF(AZ376&lt;=12*'🎚️ Escenario'!$C$11,1,1+$C$6))</f>
        <v>0</v>
      </c>
      <c r="BA378" s="237" t="n">
        <f aca="false">IF(BA376=0,0,IF(BA376&lt;=12*'🎚️ Escenario'!$C$11,1,1+$C$6))</f>
        <v>0</v>
      </c>
      <c r="BB378" s="237" t="n">
        <f aca="false">IF(BB376=0,0,IF(BB376&lt;=12*'🎚️ Escenario'!$C$11,1,1+$C$6))</f>
        <v>0</v>
      </c>
      <c r="BC378" s="237" t="n">
        <f aca="false">IF(BC376=0,0,IF(BC376&lt;=12*'🎚️ Escenario'!$C$11,1,1+$C$6))</f>
        <v>0</v>
      </c>
      <c r="BD378" s="237" t="n">
        <f aca="false">IF(BD376=0,0,IF(BD376&lt;=12*'🎚️ Escenario'!$C$11,1,1+$C$6))</f>
        <v>0</v>
      </c>
      <c r="BE378" s="237" t="n">
        <f aca="false">IF(BE376=0,0,IF(BE376&lt;=12*'🎚️ Escenario'!$C$11,1,1+$C$6))</f>
        <v>0</v>
      </c>
      <c r="BF378" s="237" t="n">
        <f aca="false">IF(BF376=0,0,IF(BF376&lt;=12*'🎚️ Escenario'!$C$11,1,1+$C$6))</f>
        <v>0</v>
      </c>
      <c r="BG378" s="237" t="n">
        <f aca="false">IF(BG376=0,0,IF(BG376&lt;=12*'🎚️ Escenario'!$C$11,1,1+$C$6))</f>
        <v>0</v>
      </c>
      <c r="BH378" s="237" t="n">
        <f aca="false">IF(BH376=0,0,IF(BH376&lt;=12*'🎚️ Escenario'!$C$11,1,1+$C$6))</f>
        <v>0</v>
      </c>
      <c r="BI378" s="237" t="n">
        <f aca="false">IF(BI376=0,0,IF(BI376&lt;=12*'🎚️ Escenario'!$C$11,1,1+$C$6))</f>
        <v>0</v>
      </c>
      <c r="BJ378" s="237" t="n">
        <f aca="false">IF(BJ376=0,0,IF(BJ376&lt;=12*'🎚️ Escenario'!$C$11,1,1+$C$6))</f>
        <v>0</v>
      </c>
      <c r="BK378" s="237" t="n">
        <f aca="false">IF(BK376=0,0,IF(BK376&lt;=12*'🎚️ Escenario'!$C$11,1,1+$C$6))</f>
        <v>0</v>
      </c>
      <c r="BL378" s="237" t="n">
        <f aca="false">IF(BL376=0,0,IF(BL376&lt;=12*'🎚️ Escenario'!$C$11,1,1+$C$6))</f>
        <v>0</v>
      </c>
      <c r="BM378" s="237" t="n">
        <f aca="false">IF(BM376=0,0,IF(BM376&lt;=12*'🎚️ Escenario'!$C$11,1,1+$C$6))</f>
        <v>0</v>
      </c>
      <c r="BN378" s="237" t="n">
        <f aca="false">IF(BN376=0,0,IF(BN376&lt;=12*'🎚️ Escenario'!$C$11,1,1+$C$6))</f>
        <v>0</v>
      </c>
      <c r="BO378" s="237" t="n">
        <f aca="false">IF(BO376=0,0,IF(BO376&lt;=12*'🎚️ Escenario'!$C$11,1,1+$C$6))</f>
        <v>0</v>
      </c>
      <c r="BP378" s="237" t="n">
        <f aca="false">IF(BP376=0,0,IF(BP376&lt;=12*'🎚️ Escenario'!$C$11,1,1+$C$6))</f>
        <v>0</v>
      </c>
      <c r="BQ378" s="237" t="n">
        <f aca="false">IF(BQ376=0,0,IF(BQ376&lt;=12*'🎚️ Escenario'!$C$11,1,1+$C$6))</f>
        <v>0</v>
      </c>
      <c r="BR378" s="237" t="n">
        <f aca="false">IF(BR376=0,0,IF(BR376&lt;=12*'🎚️ Escenario'!$C$11,1,1+$C$6))</f>
        <v>0</v>
      </c>
      <c r="BS378" s="237" t="n">
        <f aca="false">IF(BS376=0,0,IF(BS376&lt;=12*'🎚️ Escenario'!$C$11,1,1+$C$6))</f>
        <v>0</v>
      </c>
      <c r="BT378" s="237" t="n">
        <f aca="false">IF(BT376=0,0,IF(BT376&lt;=12*'🎚️ Escenario'!$C$11,1,1+$C$6))</f>
        <v>0</v>
      </c>
      <c r="BU378" s="237" t="n">
        <f aca="false">IF(BU376=0,0,IF(BU376&lt;=12*'🎚️ Escenario'!$C$11,1,1+$C$6))</f>
        <v>0</v>
      </c>
      <c r="BV378" s="237" t="n">
        <f aca="false">IF(BV376=0,0,IF(BV376&lt;=12*'🎚️ Escenario'!$C$11,1,1+$C$6))</f>
        <v>0</v>
      </c>
      <c r="BW378" s="237" t="n">
        <f aca="false">IF(BW376=0,0,IF(BW376&lt;=12*'🎚️ Escenario'!$C$11,1,1+$C$6))</f>
        <v>0</v>
      </c>
      <c r="BX378" s="237" t="n">
        <f aca="false">IF(BX376=0,0,IF(BX376&lt;=12*'🎚️ Escenario'!$C$11,1,1+$C$6))</f>
        <v>0</v>
      </c>
      <c r="BY378" s="237" t="n">
        <f aca="false">IF(BY376=0,0,IF(BY376&lt;=12*'🎚️ Escenario'!$C$11,1,1+$C$6))</f>
        <v>0</v>
      </c>
      <c r="BZ378" s="237" t="n">
        <f aca="false">IF(BZ376=0,0,IF(BZ376&lt;=12*'🎚️ Escenario'!$C$11,1,1+$C$6))</f>
        <v>0</v>
      </c>
      <c r="CA378" s="237" t="n">
        <f aca="false">IF(CA376=0,0,IF(CA376&lt;=12*'🎚️ Escenario'!$C$11,1,1+$C$6))</f>
        <v>0</v>
      </c>
      <c r="CB378" s="237" t="n">
        <f aca="false">IF(CB376=0,0,IF(CB376&lt;=12*'🎚️ Escenario'!$C$11,1,1+$C$6))</f>
        <v>0</v>
      </c>
      <c r="CC378" s="237" t="n">
        <f aca="false">IF(CC376=0,0,IF(CC376&lt;=12*'🎚️ Escenario'!$C$11,1,1+$C$6))</f>
        <v>0</v>
      </c>
      <c r="CD378" s="237" t="n">
        <f aca="false">IF(CD376=0,0,IF(CD376&lt;=12*'🎚️ Escenario'!$C$11,1,1+$C$6))</f>
        <v>0</v>
      </c>
      <c r="CE378" s="237" t="n">
        <f aca="false">IF(CE376=0,0,IF(CE376&lt;=12*'🎚️ Escenario'!$C$11,1,1+$C$6))</f>
        <v>0</v>
      </c>
      <c r="CF378" s="237" t="n">
        <f aca="false">IF(CF376=0,0,IF(CF376&lt;=12*'🎚️ Escenario'!$C$11,1,1+$C$6))</f>
        <v>0</v>
      </c>
      <c r="CG378" s="237" t="n">
        <f aca="false">IF(CG376=0,0,IF(CG376&lt;=12*'🎚️ Escenario'!$C$11,1,1+$C$6))</f>
        <v>0</v>
      </c>
      <c r="CH378" s="237" t="n">
        <f aca="false">IF(CH376=0,0,IF(CH376&lt;=12*'🎚️ Escenario'!$C$11,1,1+$C$6))</f>
        <v>0</v>
      </c>
      <c r="CI378" s="237" t="n">
        <f aca="false">IF(CI376=0,0,IF(CI376&lt;=12*'🎚️ Escenario'!$C$11,1,1+$C$6))</f>
        <v>0</v>
      </c>
      <c r="CJ378" s="237" t="n">
        <f aca="false">IF(CJ376=0,0,IF(CJ376&lt;=12*'🎚️ Escenario'!$C$11,1,1+$C$6))</f>
        <v>0</v>
      </c>
      <c r="CK378" s="237" t="n">
        <f aca="false">IF(CK376=0,0,IF(CK376&lt;=12*'🎚️ Escenario'!$C$11,1,1+$C$6))</f>
        <v>0</v>
      </c>
      <c r="CL378" s="237" t="n">
        <f aca="false">IF(CL376=0,0,IF(CL376&lt;=12*'🎚️ Escenario'!$C$11,1,1+$C$6))</f>
        <v>0</v>
      </c>
      <c r="CM378" s="237" t="n">
        <f aca="false">IF(CM376=0,0,IF(CM376&lt;=12*'🎚️ Escenario'!$C$11,1,1+$C$6))</f>
        <v>0</v>
      </c>
      <c r="CN378" s="237" t="n">
        <f aca="false">IF(CN376=0,0,IF(CN376&lt;=12*'🎚️ Escenario'!$C$11,1,1+$C$6))</f>
        <v>0</v>
      </c>
      <c r="CO378" s="237" t="n">
        <f aca="false">IF(CO376=0,0,IF(CO376&lt;=12*'🎚️ Escenario'!$C$11,1,1+$C$6))</f>
        <v>0</v>
      </c>
      <c r="CP378" s="237" t="n">
        <f aca="false">IF(CP376=0,0,IF(CP376&lt;=12*'🎚️ Escenario'!$C$11,1,1+$C$6))</f>
        <v>0</v>
      </c>
      <c r="CQ378" s="237" t="n">
        <f aca="false">IF(CQ376=0,0,IF(CQ376&lt;=12*'🎚️ Escenario'!$C$11,1,1+$C$6))</f>
        <v>0</v>
      </c>
      <c r="CR378" s="237" t="n">
        <f aca="false">IF(CR376=0,0,IF(CR376&lt;=12*'🎚️ Escenario'!$C$11,1,1+$C$6))</f>
        <v>0</v>
      </c>
      <c r="CS378" s="237" t="n">
        <f aca="false">IF(CS376=0,0,IF(CS376&lt;=12*'🎚️ Escenario'!$C$11,1,1+$C$6))</f>
        <v>0</v>
      </c>
      <c r="CT378" s="237" t="n">
        <f aca="false">IF(CT376=0,0,IF(CT376&lt;=12*'🎚️ Escenario'!$C$11,1,1+$C$6))</f>
        <v>0</v>
      </c>
      <c r="CU378" s="237" t="n">
        <f aca="false">IF(CU376=0,0,IF(CU376&lt;=12*'🎚️ Escenario'!$C$11,1,1+$C$6))</f>
        <v>0</v>
      </c>
      <c r="CV378" s="237" t="n">
        <f aca="false">IF(CV376=0,0,IF(CV376&lt;=12*'🎚️ Escenario'!$C$11,1,1+$C$6))</f>
        <v>0</v>
      </c>
      <c r="CW378" s="237" t="n">
        <f aca="false">IF(CW376=0,0,IF(CW376&lt;=12*'🎚️ Escenario'!$C$11,1,1+$C$6))</f>
        <v>0</v>
      </c>
      <c r="CX378" s="237" t="n">
        <f aca="false">IF(CX376=0,0,IF(CX376&lt;=12*'🎚️ Escenario'!$C$11,1,1+$C$6))</f>
        <v>0</v>
      </c>
      <c r="CY378" s="237" t="n">
        <f aca="false">IF(CY376=0,0,IF(CY376&lt;=12*'🎚️ Escenario'!$C$11,1,1+$C$6))</f>
        <v>0</v>
      </c>
      <c r="CZ378" s="237" t="n">
        <f aca="false">IF(CZ376=0,0,IF(CZ376&lt;=12*'🎚️ Escenario'!$C$11,1,1+$C$6))</f>
        <v>0</v>
      </c>
      <c r="DA378" s="237" t="n">
        <f aca="false">IF(DA376=0,0,IF(DA376&lt;=12*'🎚️ Escenario'!$C$11,1,1+$C$6))</f>
        <v>0</v>
      </c>
      <c r="DB378" s="237" t="n">
        <f aca="false">IF(DB376=0,0,IF(DB376&lt;=12*'🎚️ Escenario'!$C$11,1,1+$C$6))</f>
        <v>0</v>
      </c>
      <c r="DC378" s="237" t="n">
        <f aca="false">IF(DC376=0,0,IF(DC376&lt;=12*'🎚️ Escenario'!$C$11,1,1+$C$6))</f>
        <v>0</v>
      </c>
      <c r="DD378" s="237" t="n">
        <f aca="false">IF(DD376=0,0,IF(DD376&lt;=12*'🎚️ Escenario'!$C$11,1,1+$C$6))</f>
        <v>0</v>
      </c>
      <c r="DE378" s="237" t="n">
        <f aca="false">IF(DE376=0,0,IF(DE376&lt;=12*'🎚️ Escenario'!$C$11,1,1+$C$6))</f>
        <v>0</v>
      </c>
      <c r="DF378" s="237" t="n">
        <f aca="false">IF(DF376=0,0,IF(DF376&lt;=12*'🎚️ Escenario'!$C$11,1,1+$C$6))</f>
        <v>0</v>
      </c>
      <c r="DG378" s="237" t="n">
        <f aca="false">IF(DG376=0,0,IF(DG376&lt;=12*'🎚️ Escenario'!$C$11,1,1+$C$6))</f>
        <v>0</v>
      </c>
      <c r="DH378" s="237" t="n">
        <f aca="false">IF(DH376=0,0,IF(DH376&lt;=12*'🎚️ Escenario'!$C$11,1,1+$C$6))</f>
        <v>0</v>
      </c>
      <c r="DI378" s="237" t="n">
        <f aca="false">IF(DI376=0,0,IF(DI376&lt;=12*'🎚️ Escenario'!$C$11,1,1+$C$6))</f>
        <v>0</v>
      </c>
      <c r="DJ378" s="237" t="n">
        <f aca="false">IF(DJ376=0,0,IF(DJ376&lt;=12*'🎚️ Escenario'!$C$11,1,1+$C$6))</f>
        <v>0</v>
      </c>
      <c r="DK378" s="237" t="n">
        <f aca="false">IF(DK376=0,0,IF(DK376&lt;=12*'🎚️ Escenario'!$C$11,1,1+$C$6))</f>
        <v>0</v>
      </c>
      <c r="DL378" s="237" t="n">
        <f aca="false">IF(DL376=0,0,IF(DL376&lt;=12*'🎚️ Escenario'!$C$11,1,1+$C$6))</f>
        <v>0</v>
      </c>
      <c r="DM378" s="237" t="n">
        <f aca="false">IF(DM376=0,0,IF(DM376&lt;=12*'🎚️ Escenario'!$C$11,1,1+$C$6))</f>
        <v>0</v>
      </c>
      <c r="DN378" s="237" t="n">
        <f aca="false">IF(DN376=0,0,IF(DN376&lt;=12*'🎚️ Escenario'!$C$11,1,1+$C$6))</f>
        <v>0</v>
      </c>
      <c r="DO378" s="237" t="n">
        <f aca="false">IF(DO376=0,0,IF(DO376&lt;=12*'🎚️ Escenario'!$C$11,1,1+$C$6))</f>
        <v>0</v>
      </c>
      <c r="DP378" s="237" t="n">
        <f aca="false">IF(DP376=0,0,IF(DP376&lt;=12*'🎚️ Escenario'!$C$11,1,1+$C$6))</f>
        <v>0</v>
      </c>
      <c r="DQ378" s="237" t="n">
        <f aca="false">IF(DQ376=0,0,IF(DQ376&lt;=12*'🎚️ Escenario'!$C$11,1,1+$C$6))</f>
        <v>0</v>
      </c>
      <c r="DR378" s="237" t="n">
        <f aca="false">IF(DR376=0,0,IF(DR376&lt;=12*'🎚️ Escenario'!$C$11,1,1+$C$6))</f>
        <v>0</v>
      </c>
      <c r="DS378" s="237" t="n">
        <f aca="false">IF(DS376=0,0,IF(DS376&lt;=12*'🎚️ Escenario'!$C$11,1,1+$C$6))</f>
        <v>0</v>
      </c>
      <c r="DT378" s="237" t="n">
        <f aca="false">IF(DT376=0,0,IF(DT376&lt;=12*'🎚️ Escenario'!$C$11,1,1+$C$6))</f>
        <v>0</v>
      </c>
      <c r="DU378" s="237" t="n">
        <f aca="false">IF(DU376=0,0,IF(DU376&lt;=12*'🎚️ Escenario'!$C$11,1,1+$C$6))</f>
        <v>0</v>
      </c>
      <c r="DV378" s="237" t="n">
        <f aca="false">IF(DV376=0,0,IF(DV376&lt;=12*'🎚️ Escenario'!$C$11,1,1+$C$6))</f>
        <v>1</v>
      </c>
      <c r="DW378" s="237" t="n">
        <f aca="false">IF(DW376=0,0,IF(DW376&lt;=12*'🎚️ Escenario'!$C$11,1,1+$C$6))</f>
        <v>1</v>
      </c>
      <c r="DX378" s="237" t="n">
        <f aca="false">IF(DX376=0,0,IF(DX376&lt;=12*'🎚️ Escenario'!$C$11,1,1+$C$6))</f>
        <v>1</v>
      </c>
      <c r="DY378" s="237" t="n">
        <f aca="false">IF(DY376=0,0,IF(DY376&lt;=12*'🎚️ Escenario'!$C$11,1,1+$C$6))</f>
        <v>1</v>
      </c>
      <c r="DZ378" s="237" t="n">
        <f aca="false">IF(DZ376=0,0,IF(DZ376&lt;=12*'🎚️ Escenario'!$C$11,1,1+$C$6))</f>
        <v>1</v>
      </c>
      <c r="EA378" s="237" t="n">
        <f aca="false">IF(EA376=0,0,IF(EA376&lt;=12*'🎚️ Escenario'!$C$11,1,1+$C$6))</f>
        <v>1</v>
      </c>
      <c r="EB378" s="237" t="n">
        <f aca="false">IF(EB376=0,0,IF(EB376&lt;=12*'🎚️ Escenario'!$C$11,1,1+$C$6))</f>
        <v>1</v>
      </c>
      <c r="EC378" s="237" t="n">
        <f aca="false">IF(EC376=0,0,IF(EC376&lt;=12*'🎚️ Escenario'!$C$11,1,1+$C$6))</f>
        <v>1</v>
      </c>
      <c r="ED378" s="237" t="n">
        <f aca="false">IF(ED376=0,0,IF(ED376&lt;=12*'🎚️ Escenario'!$C$11,1,1+$C$6))</f>
        <v>1</v>
      </c>
      <c r="EE378" s="237" t="n">
        <f aca="false">IF(EE376=0,0,IF(EE376&lt;=12*'🎚️ Escenario'!$C$11,1,1+$C$6))</f>
        <v>1</v>
      </c>
      <c r="EF378" s="237" t="n">
        <f aca="false">IF(EF376=0,0,IF(EF376&lt;=12*'🎚️ Escenario'!$C$11,1,1+$C$6))</f>
        <v>1</v>
      </c>
      <c r="EG378" s="237" t="n">
        <f aca="false">IF(EG376=0,0,IF(EG376&lt;=12*'🎚️ Escenario'!$C$11,1,1+$C$6))</f>
        <v>1</v>
      </c>
      <c r="EH378" s="237" t="n">
        <f aca="false">IF(EH376=0,0,IF(EH376&lt;=12*'🎚️ Escenario'!$C$11,1,1+$C$6))</f>
        <v>1</v>
      </c>
      <c r="EI378" s="237" t="n">
        <f aca="false">IF(EI376=0,0,IF(EI376&lt;=12*'🎚️ Escenario'!$C$11,1,1+$C$6))</f>
        <v>1</v>
      </c>
      <c r="EJ378" s="237" t="n">
        <f aca="false">IF(EJ376=0,0,IF(EJ376&lt;=12*'🎚️ Escenario'!$C$11,1,1+$C$6))</f>
        <v>1</v>
      </c>
      <c r="EK378" s="237" t="n">
        <f aca="false">IF(EK376=0,0,IF(EK376&lt;=12*'🎚️ Escenario'!$C$11,1,1+$C$6))</f>
        <v>1.2</v>
      </c>
      <c r="EL378" s="237" t="n">
        <f aca="false">IF(EL376=0,0,IF(EL376&lt;=12*'🎚️ Escenario'!$C$11,1,1+$C$6))</f>
        <v>1.2</v>
      </c>
      <c r="EM378" s="237" t="n">
        <f aca="false">IF(EM376=0,0,IF(EM376&lt;=12*'🎚️ Escenario'!$C$11,1,1+$C$6))</f>
        <v>1.2</v>
      </c>
      <c r="EN378" s="237" t="n">
        <f aca="false">IF(EN376=0,0,IF(EN376&lt;=12*'🎚️ Escenario'!$C$11,1,1+$C$6))</f>
        <v>1.2</v>
      </c>
      <c r="EO378" s="237" t="n">
        <f aca="false">IF(EO376=0,0,IF(EO376&lt;=12*'🎚️ Escenario'!$C$11,1,1+$C$6))</f>
        <v>1.2</v>
      </c>
      <c r="EP378" s="237" t="n">
        <f aca="false">IF(EP376=0,0,IF(EP376&lt;=12*'🎚️ Escenario'!$C$11,1,1+$C$6))</f>
        <v>1.2</v>
      </c>
      <c r="EQ378" s="237" t="n">
        <f aca="false">IF(EQ376=0,0,IF(EQ376&lt;=12*'🎚️ Escenario'!$C$11,1,1+$C$6))</f>
        <v>1.2</v>
      </c>
      <c r="ER378" s="237" t="n">
        <f aca="false">IF(ER376=0,0,IF(ER376&lt;=12*'🎚️ Escenario'!$C$11,1,1+$C$6))</f>
        <v>1.2</v>
      </c>
      <c r="ES378" s="238" t="n">
        <f aca="false">IF(ES376=0,0,IF(ES376&lt;=12*'🎚️ Escenario'!$C$11,1,1+$C$6))</f>
        <v>1.2</v>
      </c>
      <c r="ET378" s="238" t="n">
        <f aca="false">IF(ET376=0,0,IF(ET376&lt;=12*'🎚️ Escenario'!$C$11,1,1+$C$6))</f>
        <v>1.2</v>
      </c>
      <c r="EU378" s="238" t="n">
        <f aca="false">IF(EU376=0,0,IF(EU376&lt;=12*'🎚️ Escenario'!$C$11,1,1+$C$6))</f>
        <v>1.2</v>
      </c>
      <c r="EV378" s="238" t="n">
        <f aca="false">IF(EV376=0,0,IF(EV376&lt;=12*'🎚️ Escenario'!$C$11,1,1+$C$6))</f>
        <v>1.2</v>
      </c>
      <c r="EW378" s="238" t="n">
        <f aca="false">IF(EW376=0,0,IF(EW376&lt;=12*'🎚️ Escenario'!$C$11,1,1+$C$6))</f>
        <v>1.2</v>
      </c>
      <c r="EX378" s="238" t="n">
        <f aca="false">IF(EX376=0,0,IF(EX376&lt;=12*'🎚️ Escenario'!$C$11,1,1+$C$6))</f>
        <v>1.2</v>
      </c>
      <c r="EY378" s="238" t="n">
        <f aca="false">IF(EY376=0,0,IF(EY376&lt;=12*'🎚️ Escenario'!$C$11,1,1+$C$6))</f>
        <v>1.2</v>
      </c>
      <c r="EZ378" s="238" t="n">
        <f aca="false">IF(EZ376=0,0,IF(EZ376&lt;=12*'🎚️ Escenario'!$C$11,1,1+$C$6))</f>
        <v>1.2</v>
      </c>
      <c r="FA378" s="238" t="n">
        <f aca="false">IF(FA376=0,0,IF(FA376&lt;=12*'🎚️ Escenario'!$C$11,1,1+$C$6))</f>
        <v>1.2</v>
      </c>
      <c r="FB378" s="238" t="n">
        <f aca="false">IF(FB376=0,0,IF(FB376&lt;=12*'🎚️ Escenario'!$C$11,1,1+$C$6))</f>
        <v>1.2</v>
      </c>
      <c r="FC378" s="238" t="n">
        <f aca="false">IF(FC376=0,0,IF(FC376&lt;=12*'🎚️ Escenario'!$C$11,1,1+$C$6))</f>
        <v>1.2</v>
      </c>
      <c r="FD378" s="238" t="n">
        <f aca="false">IF(FD376=0,0,IF(FD376&lt;=12*'🎚️ Escenario'!$C$11,1,1+$C$6))</f>
        <v>1.2</v>
      </c>
      <c r="FE378" s="238" t="n">
        <f aca="false">IF(FE376=0,0,IF(FE376&lt;=12*'🎚️ Escenario'!$C$11,1,1+$C$6))</f>
        <v>1.2</v>
      </c>
      <c r="FF378" s="238" t="n">
        <f aca="false">IF(FF376=0,0,IF(FF376&lt;=12*'🎚️ Escenario'!$C$11,1,1+$C$6))</f>
        <v>1.2</v>
      </c>
      <c r="FG378" s="238" t="n">
        <f aca="false">IF(FG376=0,0,IF(FG376&lt;=12*'🎚️ Escenario'!$C$11,1,1+$C$6))</f>
        <v>1.2</v>
      </c>
      <c r="FH378" s="238" t="n">
        <f aca="false">IF(FH376=0,0,IF(FH376&lt;=12*'🎚️ Escenario'!$C$11,1,1+$C$6))</f>
        <v>1.2</v>
      </c>
      <c r="FI378" s="238" t="n">
        <f aca="false">IF(FI376=0,0,IF(FI376&lt;=12*'🎚️ Escenario'!$C$11,1,1+$C$6))</f>
        <v>1.2</v>
      </c>
      <c r="FJ378" s="238" t="n">
        <f aca="false">IF(FJ376=0,0,IF(FJ376&lt;=12*'🎚️ Escenario'!$C$11,1,1+$C$6))</f>
        <v>1.2</v>
      </c>
      <c r="FK378" s="238" t="n">
        <f aca="false">IF(FK376=0,0,IF(FK376&lt;=12*'🎚️ Escenario'!$C$11,1,1+$C$6))</f>
        <v>1.2</v>
      </c>
      <c r="FL378" s="238" t="n">
        <f aca="false">IF(FL376=0,0,IF(FL376&lt;=12*'🎚️ Escenario'!$C$11,1,1+$C$6))</f>
        <v>1.2</v>
      </c>
      <c r="FM378" s="238" t="n">
        <f aca="false">IF(FM376=0,0,IF(FM376&lt;=12*'🎚️ Escenario'!$C$11,1,1+$C$6))</f>
        <v>1.2</v>
      </c>
      <c r="FN378" s="238" t="n">
        <f aca="false">IF(FN376=0,0,IF(FN376&lt;=12*'🎚️ Escenario'!$C$11,1,1+$C$6))</f>
        <v>1.2</v>
      </c>
      <c r="FO378" s="238" t="n">
        <f aca="false">IF(FO376=0,0,IF(FO376&lt;=12*'🎚️ Escenario'!$C$11,1,1+$C$6))</f>
        <v>1.2</v>
      </c>
      <c r="FP378" s="238" t="n">
        <f aca="false">IF(FP376=0,0,IF(FP376&lt;=12*'🎚️ Escenario'!$C$11,1,1+$C$6))</f>
        <v>1.2</v>
      </c>
    </row>
    <row r="379" customFormat="false" ht="15" hidden="false" customHeight="false" outlineLevel="2" collapsed="false">
      <c r="B379" s="47" t="s">
        <v>876</v>
      </c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237" t="n">
        <f aca="false">AC377*$AC$375*AC378*AC$38*'⑫ Roll-out Plan'!$O$42</f>
        <v>0</v>
      </c>
      <c r="AD379" s="237" t="n">
        <f aca="false">AD377*$AC$375*AD378*AD$38*'⑫ Roll-out Plan'!$O$42</f>
        <v>0</v>
      </c>
      <c r="AE379" s="237" t="n">
        <f aca="false">AE377*$AC$375*AE378*AE$38*'⑫ Roll-out Plan'!$O$42</f>
        <v>0</v>
      </c>
      <c r="AF379" s="237" t="n">
        <f aca="false">AF377*$AC$375*AF378*AF$38*'⑫ Roll-out Plan'!$O$42</f>
        <v>0</v>
      </c>
      <c r="AG379" s="237" t="n">
        <f aca="false">AG377*$AC$375*AG378*AG$38*'⑫ Roll-out Plan'!$O$42</f>
        <v>0</v>
      </c>
      <c r="AH379" s="237" t="n">
        <f aca="false">AH377*$AC$375*AH378*AH$38*'⑫ Roll-out Plan'!$O$42</f>
        <v>0</v>
      </c>
      <c r="AI379" s="237" t="n">
        <f aca="false">AI377*$AC$375*AI378*AI$38*'⑫ Roll-out Plan'!$O$42</f>
        <v>0</v>
      </c>
      <c r="AJ379" s="237" t="n">
        <f aca="false">AJ377*$AC$375*AJ378*AJ$38*'⑫ Roll-out Plan'!$O$42</f>
        <v>0</v>
      </c>
      <c r="AK379" s="237" t="n">
        <f aca="false">AK377*$AC$375*AK378*AK$38*'⑫ Roll-out Plan'!$O$42</f>
        <v>0</v>
      </c>
      <c r="AL379" s="237" t="n">
        <f aca="false">AL377*$AC$375*AL378*AL$38*'⑫ Roll-out Plan'!$O$42</f>
        <v>0</v>
      </c>
      <c r="AM379" s="237" t="n">
        <f aca="false">AM377*$AC$375*AM378*AM$38*'⑫ Roll-out Plan'!$O$42</f>
        <v>0</v>
      </c>
      <c r="AN379" s="237" t="n">
        <f aca="false">AN377*$AC$375*AN378*AN$38*'⑫ Roll-out Plan'!$O$42</f>
        <v>0</v>
      </c>
      <c r="AO379" s="237" t="n">
        <f aca="false">AO377*$AC$375*AO378*AO$38*'⑫ Roll-out Plan'!$O$42</f>
        <v>0</v>
      </c>
      <c r="AP379" s="237" t="n">
        <f aca="false">AP377*$AC$375*AP378*AP$38*'⑫ Roll-out Plan'!$O$42</f>
        <v>0</v>
      </c>
      <c r="AQ379" s="237" t="n">
        <f aca="false">AQ377*$AC$375*AQ378*AQ$38*'⑫ Roll-out Plan'!$O$42</f>
        <v>0</v>
      </c>
      <c r="AR379" s="237" t="n">
        <f aca="false">AR377*$AC$375*AR378*AR$38*'⑫ Roll-out Plan'!$O$42</f>
        <v>0</v>
      </c>
      <c r="AS379" s="237" t="n">
        <f aca="false">AS377*$AC$375*AS378*AS$38*'⑫ Roll-out Plan'!$O$42</f>
        <v>0</v>
      </c>
      <c r="AT379" s="237" t="n">
        <f aca="false">AT377*$AC$375*AT378*AT$38*'⑫ Roll-out Plan'!$O$42</f>
        <v>0</v>
      </c>
      <c r="AU379" s="237" t="n">
        <f aca="false">AU377*$AC$375*AU378*AU$38*'⑫ Roll-out Plan'!$O$42</f>
        <v>0</v>
      </c>
      <c r="AV379" s="237" t="n">
        <f aca="false">AV377*$AC$375*AV378*AV$38*'⑫ Roll-out Plan'!$O$42</f>
        <v>0</v>
      </c>
      <c r="AW379" s="237" t="n">
        <f aca="false">AW377*$AC$375*AW378*AW$38*'⑫ Roll-out Plan'!$O$42</f>
        <v>0</v>
      </c>
      <c r="AX379" s="237" t="n">
        <f aca="false">AX377*$AC$375*AX378*AX$38*'⑫ Roll-out Plan'!$O$42</f>
        <v>0</v>
      </c>
      <c r="AY379" s="237" t="n">
        <f aca="false">AY377*$AC$375*AY378*AY$38*'⑫ Roll-out Plan'!$O$42</f>
        <v>0</v>
      </c>
      <c r="AZ379" s="237" t="n">
        <f aca="false">AZ377*$AC$375*AZ378*AZ$38*'⑫ Roll-out Plan'!$O$42</f>
        <v>0</v>
      </c>
      <c r="BA379" s="237" t="n">
        <f aca="false">BA377*$AC$375*BA378*BA$38*'⑫ Roll-out Plan'!$O$42</f>
        <v>0</v>
      </c>
      <c r="BB379" s="237" t="n">
        <f aca="false">BB377*$AC$375*BB378*BB$38*'⑫ Roll-out Plan'!$O$42</f>
        <v>0</v>
      </c>
      <c r="BC379" s="237" t="n">
        <f aca="false">BC377*$AC$375*BC378*BC$38*'⑫ Roll-out Plan'!$O$42</f>
        <v>0</v>
      </c>
      <c r="BD379" s="237" t="n">
        <f aca="false">BD377*$AC$375*BD378*BD$38*'⑫ Roll-out Plan'!$O$42</f>
        <v>0</v>
      </c>
      <c r="BE379" s="237" t="n">
        <f aca="false">BE377*$AC$375*BE378*BE$38*'⑫ Roll-out Plan'!$O$42</f>
        <v>0</v>
      </c>
      <c r="BF379" s="237" t="n">
        <f aca="false">BF377*$AC$375*BF378*BF$38*'⑫ Roll-out Plan'!$O$42</f>
        <v>0</v>
      </c>
      <c r="BG379" s="237" t="n">
        <f aca="false">BG377*$AC$375*BG378*BG$38*'⑫ Roll-out Plan'!$O$42</f>
        <v>0</v>
      </c>
      <c r="BH379" s="237" t="n">
        <f aca="false">BH377*$AC$375*BH378*BH$38*'⑫ Roll-out Plan'!$O$42</f>
        <v>0</v>
      </c>
      <c r="BI379" s="237" t="n">
        <f aca="false">BI377*$AC$375*BI378*BI$38*'⑫ Roll-out Plan'!$O$42</f>
        <v>0</v>
      </c>
      <c r="BJ379" s="237" t="n">
        <f aca="false">BJ377*$AC$375*BJ378*BJ$38*'⑫ Roll-out Plan'!$O$42</f>
        <v>0</v>
      </c>
      <c r="BK379" s="237" t="n">
        <f aca="false">BK377*$AC$375*BK378*BK$38*'⑫ Roll-out Plan'!$O$42</f>
        <v>0</v>
      </c>
      <c r="BL379" s="237" t="n">
        <f aca="false">BL377*$AC$375*BL378*BL$38*'⑫ Roll-out Plan'!$O$42</f>
        <v>0</v>
      </c>
      <c r="BM379" s="237" t="n">
        <f aca="false">BM377*$AC$375*BM378*BM$38*'⑫ Roll-out Plan'!$O$42</f>
        <v>0</v>
      </c>
      <c r="BN379" s="237" t="n">
        <f aca="false">BN377*$AC$375*BN378*BN$38*'⑫ Roll-out Plan'!$O$42</f>
        <v>0</v>
      </c>
      <c r="BO379" s="237" t="n">
        <f aca="false">BO377*$AC$375*BO378*BO$38*'⑫ Roll-out Plan'!$O$42</f>
        <v>0</v>
      </c>
      <c r="BP379" s="237" t="n">
        <f aca="false">BP377*$AC$375*BP378*BP$38*'⑫ Roll-out Plan'!$O$42</f>
        <v>0</v>
      </c>
      <c r="BQ379" s="237" t="n">
        <f aca="false">BQ377*$AC$375*BQ378*BQ$38*'⑫ Roll-out Plan'!$O$42</f>
        <v>0</v>
      </c>
      <c r="BR379" s="237" t="n">
        <f aca="false">BR377*$AC$375*BR378*BR$38*'⑫ Roll-out Plan'!$O$42</f>
        <v>0</v>
      </c>
      <c r="BS379" s="237" t="n">
        <f aca="false">BS377*$AC$375*BS378*BS$38*'⑫ Roll-out Plan'!$O$42</f>
        <v>0</v>
      </c>
      <c r="BT379" s="237" t="n">
        <f aca="false">BT377*$AC$375*BT378*BT$38*'⑫ Roll-out Plan'!$O$42</f>
        <v>0</v>
      </c>
      <c r="BU379" s="237" t="n">
        <f aca="false">BU377*$AC$375*BU378*BU$38*'⑫ Roll-out Plan'!$O$42</f>
        <v>0</v>
      </c>
      <c r="BV379" s="237" t="n">
        <f aca="false">BV377*$AC$375*BV378*BV$38*'⑫ Roll-out Plan'!$O$42</f>
        <v>0</v>
      </c>
      <c r="BW379" s="237" t="n">
        <f aca="false">BW377*$AC$375*BW378*BW$38*'⑫ Roll-out Plan'!$O$42</f>
        <v>0</v>
      </c>
      <c r="BX379" s="237" t="n">
        <f aca="false">BX377*$AC$375*BX378*BX$38*'⑫ Roll-out Plan'!$O$42</f>
        <v>0</v>
      </c>
      <c r="BY379" s="237" t="n">
        <f aca="false">BY377*$AC$375*BY378*BY$38*'⑫ Roll-out Plan'!$O$42</f>
        <v>0</v>
      </c>
      <c r="BZ379" s="237" t="n">
        <f aca="false">BZ377*$AC$375*BZ378*BZ$38*'⑫ Roll-out Plan'!$O$42</f>
        <v>0</v>
      </c>
      <c r="CA379" s="237" t="n">
        <f aca="false">CA377*$AC$375*CA378*CA$38*'⑫ Roll-out Plan'!$O$42</f>
        <v>0</v>
      </c>
      <c r="CB379" s="237" t="n">
        <f aca="false">CB377*$AC$375*CB378*CB$38*'⑫ Roll-out Plan'!$O$42</f>
        <v>0</v>
      </c>
      <c r="CC379" s="237" t="n">
        <f aca="false">CC377*$AC$375*CC378*CC$38*'⑫ Roll-out Plan'!$O$42</f>
        <v>0</v>
      </c>
      <c r="CD379" s="237" t="n">
        <f aca="false">CD377*$AC$375*CD378*CD$38*'⑫ Roll-out Plan'!$O$42</f>
        <v>0</v>
      </c>
      <c r="CE379" s="237" t="n">
        <f aca="false">CE377*$AC$375*CE378*CE$38*'⑫ Roll-out Plan'!$O$42</f>
        <v>0</v>
      </c>
      <c r="CF379" s="237" t="n">
        <f aca="false">CF377*$AC$375*CF378*CF$38*'⑫ Roll-out Plan'!$O$42</f>
        <v>0</v>
      </c>
      <c r="CG379" s="237" t="n">
        <f aca="false">CG377*$AC$375*CG378*CG$38*'⑫ Roll-out Plan'!$O$42</f>
        <v>0</v>
      </c>
      <c r="CH379" s="237" t="n">
        <f aca="false">CH377*$AC$375*CH378*CH$38*'⑫ Roll-out Plan'!$O$42</f>
        <v>0</v>
      </c>
      <c r="CI379" s="237" t="n">
        <f aca="false">CI377*$AC$375*CI378*CI$38*'⑫ Roll-out Plan'!$O$42</f>
        <v>0</v>
      </c>
      <c r="CJ379" s="237" t="n">
        <f aca="false">CJ377*$AC$375*CJ378*CJ$38*'⑫ Roll-out Plan'!$O$42</f>
        <v>0</v>
      </c>
      <c r="CK379" s="237" t="n">
        <f aca="false">CK377*$AC$375*CK378*CK$38*'⑫ Roll-out Plan'!$O$42</f>
        <v>0</v>
      </c>
      <c r="CL379" s="237" t="n">
        <f aca="false">CL377*$AC$375*CL378*CL$38*'⑫ Roll-out Plan'!$O$42</f>
        <v>0</v>
      </c>
      <c r="CM379" s="237" t="n">
        <f aca="false">CM377*$AC$375*CM378*CM$38*'⑫ Roll-out Plan'!$O$42</f>
        <v>0</v>
      </c>
      <c r="CN379" s="237" t="n">
        <f aca="false">CN377*$AC$375*CN378*CN$38*'⑫ Roll-out Plan'!$O$42</f>
        <v>0</v>
      </c>
      <c r="CO379" s="237" t="n">
        <f aca="false">CO377*$AC$375*CO378*CO$38*'⑫ Roll-out Plan'!$O$42</f>
        <v>0</v>
      </c>
      <c r="CP379" s="237" t="n">
        <f aca="false">CP377*$AC$375*CP378*CP$38*'⑫ Roll-out Plan'!$O$42</f>
        <v>0</v>
      </c>
      <c r="CQ379" s="237" t="n">
        <f aca="false">CQ377*$AC$375*CQ378*CQ$38*'⑫ Roll-out Plan'!$O$42</f>
        <v>0</v>
      </c>
      <c r="CR379" s="237" t="n">
        <f aca="false">CR377*$AC$375*CR378*CR$38*'⑫ Roll-out Plan'!$O$42</f>
        <v>0</v>
      </c>
      <c r="CS379" s="237" t="n">
        <f aca="false">CS377*$AC$375*CS378*CS$38*'⑫ Roll-out Plan'!$O$42</f>
        <v>0</v>
      </c>
      <c r="CT379" s="237" t="n">
        <f aca="false">CT377*$AC$375*CT378*CT$38*'⑫ Roll-out Plan'!$O$42</f>
        <v>0</v>
      </c>
      <c r="CU379" s="237" t="n">
        <f aca="false">CU377*$AC$375*CU378*CU$38*'⑫ Roll-out Plan'!$O$42</f>
        <v>0</v>
      </c>
      <c r="CV379" s="237" t="n">
        <f aca="false">CV377*$AC$375*CV378*CV$38*'⑫ Roll-out Plan'!$O$42</f>
        <v>0</v>
      </c>
      <c r="CW379" s="237" t="n">
        <f aca="false">CW377*$AC$375*CW378*CW$38*'⑫ Roll-out Plan'!$O$42</f>
        <v>0</v>
      </c>
      <c r="CX379" s="237" t="n">
        <f aca="false">CX377*$AC$375*CX378*CX$38*'⑫ Roll-out Plan'!$O$42</f>
        <v>0</v>
      </c>
      <c r="CY379" s="237" t="n">
        <f aca="false">CY377*$AC$375*CY378*CY$38*'⑫ Roll-out Plan'!$O$42</f>
        <v>0</v>
      </c>
      <c r="CZ379" s="237" t="n">
        <f aca="false">CZ377*$AC$375*CZ378*CZ$38*'⑫ Roll-out Plan'!$O$42</f>
        <v>0</v>
      </c>
      <c r="DA379" s="237" t="n">
        <f aca="false">DA377*$AC$375*DA378*DA$38*'⑫ Roll-out Plan'!$O$42</f>
        <v>0</v>
      </c>
      <c r="DB379" s="237" t="n">
        <f aca="false">DB377*$AC$375*DB378*DB$38*'⑫ Roll-out Plan'!$O$42</f>
        <v>0</v>
      </c>
      <c r="DC379" s="237" t="n">
        <f aca="false">DC377*$AC$375*DC378*DC$38*'⑫ Roll-out Plan'!$O$42</f>
        <v>0</v>
      </c>
      <c r="DD379" s="237" t="n">
        <f aca="false">DD377*$AC$375*DD378*DD$38*'⑫ Roll-out Plan'!$O$42</f>
        <v>0</v>
      </c>
      <c r="DE379" s="237" t="n">
        <f aca="false">DE377*$AC$375*DE378*DE$38*'⑫ Roll-out Plan'!$O$42</f>
        <v>0</v>
      </c>
      <c r="DF379" s="237" t="n">
        <f aca="false">DF377*$AC$375*DF378*DF$38*'⑫ Roll-out Plan'!$O$42</f>
        <v>0</v>
      </c>
      <c r="DG379" s="237" t="n">
        <f aca="false">DG377*$AC$375*DG378*DG$38*'⑫ Roll-out Plan'!$O$42</f>
        <v>0</v>
      </c>
      <c r="DH379" s="237" t="n">
        <f aca="false">DH377*$AC$375*DH378*DH$38*'⑫ Roll-out Plan'!$O$42</f>
        <v>0</v>
      </c>
      <c r="DI379" s="237" t="n">
        <f aca="false">DI377*$AC$375*DI378*DI$38*'⑫ Roll-out Plan'!$O$42</f>
        <v>0</v>
      </c>
      <c r="DJ379" s="237" t="n">
        <f aca="false">DJ377*$AC$375*DJ378*DJ$38*'⑫ Roll-out Plan'!$O$42</f>
        <v>0</v>
      </c>
      <c r="DK379" s="237" t="n">
        <f aca="false">DK377*$AC$375*DK378*DK$38*'⑫ Roll-out Plan'!$O$42</f>
        <v>0</v>
      </c>
      <c r="DL379" s="237" t="n">
        <f aca="false">DL377*$AC$375*DL378*DL$38*'⑫ Roll-out Plan'!$O$42</f>
        <v>0</v>
      </c>
      <c r="DM379" s="237" t="n">
        <f aca="false">DM377*$AC$375*DM378*DM$38*'⑫ Roll-out Plan'!$O$42</f>
        <v>0</v>
      </c>
      <c r="DN379" s="237" t="n">
        <f aca="false">DN377*$AC$375*DN378*DN$38*'⑫ Roll-out Plan'!$O$42</f>
        <v>0</v>
      </c>
      <c r="DO379" s="237" t="n">
        <f aca="false">DO377*$AC$375*DO378*DO$38*'⑫ Roll-out Plan'!$O$42</f>
        <v>0</v>
      </c>
      <c r="DP379" s="237" t="n">
        <f aca="false">DP377*$AC$375*DP378*DP$38*'⑫ Roll-out Plan'!$O$42</f>
        <v>0</v>
      </c>
      <c r="DQ379" s="237" t="n">
        <f aca="false">DQ377*$AC$375*DQ378*DQ$38*'⑫ Roll-out Plan'!$O$42</f>
        <v>0</v>
      </c>
      <c r="DR379" s="237" t="n">
        <f aca="false">DR377*$AC$375*DR378*DR$38*'⑫ Roll-out Plan'!$O$42</f>
        <v>0</v>
      </c>
      <c r="DS379" s="237" t="n">
        <f aca="false">DS377*$AC$375*DS378*DS$38*'⑫ Roll-out Plan'!$O$42</f>
        <v>0</v>
      </c>
      <c r="DT379" s="237" t="n">
        <f aca="false">DT377*$AC$375*DT378*DT$38*'⑫ Roll-out Plan'!$O$42</f>
        <v>0</v>
      </c>
      <c r="DU379" s="237" t="n">
        <f aca="false">DU377*$AC$375*DU378*DU$38*'⑫ Roll-out Plan'!$O$42</f>
        <v>0</v>
      </c>
      <c r="DV379" s="237" t="n">
        <f aca="false">DV377*$AC$375*DV378*DV$38*'⑫ Roll-out Plan'!$O$42</f>
        <v>30.34</v>
      </c>
      <c r="DW379" s="237" t="n">
        <f aca="false">DW377*$AC$375*DW378*DW$38*'⑫ Roll-out Plan'!$O$42</f>
        <v>47.212</v>
      </c>
      <c r="DX379" s="237" t="n">
        <f aca="false">DX377*$AC$375*DX378*DX$38*'⑫ Roll-out Plan'!$O$42</f>
        <v>48.84</v>
      </c>
      <c r="DY379" s="237" t="n">
        <f aca="false">DY377*$AC$375*DY378*DY$38*'⑫ Roll-out Plan'!$O$42</f>
        <v>45.954</v>
      </c>
      <c r="DZ379" s="237" t="n">
        <f aca="false">DZ377*$AC$375*DZ378*DZ$38*'⑫ Roll-out Plan'!$O$42</f>
        <v>39.96</v>
      </c>
      <c r="EA379" s="237" t="n">
        <f aca="false">EA377*$AC$375*EA378*EA$38*'⑫ Roll-out Plan'!$O$42</f>
        <v>48.174</v>
      </c>
      <c r="EB379" s="237" t="n">
        <f aca="false">EB377*$AC$375*EB378*EB$38*'⑫ Roll-out Plan'!$O$42</f>
        <v>91.945</v>
      </c>
      <c r="EC379" s="237" t="n">
        <f aca="false">EC377*$AC$375*EC378*EC$38*'⑫ Roll-out Plan'!$O$42</f>
        <v>83.694</v>
      </c>
      <c r="ED379" s="237" t="n">
        <f aca="false">ED377*$AC$375*ED378*ED$38*'⑫ Roll-out Plan'!$O$42</f>
        <v>78.144</v>
      </c>
      <c r="EE379" s="237" t="n">
        <f aca="false">EE377*$AC$375*EE378*EE$38*'⑫ Roll-out Plan'!$O$42</f>
        <v>58.608</v>
      </c>
      <c r="EF379" s="237" t="n">
        <f aca="false">EF377*$AC$375*EF378*EF$38*'⑫ Roll-out Plan'!$O$42</f>
        <v>90.576</v>
      </c>
      <c r="EG379" s="237" t="n">
        <f aca="false">EG377*$AC$375*EG378*EG$38*'⑫ Roll-out Plan'!$O$42</f>
        <v>103.896</v>
      </c>
      <c r="EH379" s="237" t="n">
        <f aca="false">EH377*$AC$375*EH378*EH$38*'⑫ Roll-out Plan'!$O$42</f>
        <v>84.952</v>
      </c>
      <c r="EI379" s="237" t="n">
        <f aca="false">EI377*$AC$375*EI378*EI$38*'⑫ Roll-out Plan'!$O$42</f>
        <v>128.76</v>
      </c>
      <c r="EJ379" s="237" t="n">
        <f aca="false">EJ377*$AC$375*EJ378*EJ$38*'⑫ Roll-out Plan'!$O$42</f>
        <v>122.1</v>
      </c>
      <c r="EK379" s="237" t="n">
        <f aca="false">EK377*$AC$375*EK378*EK$38*'⑫ Roll-out Plan'!$O$42</f>
        <v>128.6712</v>
      </c>
      <c r="EL379" s="237" t="n">
        <f aca="false">EL377*$AC$375*EL378*EL$38*'⑫ Roll-out Plan'!$O$42</f>
        <v>117.216</v>
      </c>
      <c r="EM379" s="237" t="n">
        <f aca="false">EM377*$AC$375*EM378*EM$38*'⑫ Roll-out Plan'!$O$42</f>
        <v>128.6712</v>
      </c>
      <c r="EN379" s="237" t="n">
        <f aca="false">EN377*$AC$375*EN378*EN$38*'⑫ Roll-out Plan'!$O$42</f>
        <v>223.8204</v>
      </c>
      <c r="EO379" s="237" t="n">
        <f aca="false">EO377*$AC$375*EO378*EO$38*'⑫ Roll-out Plan'!$O$42</f>
        <v>182.8392</v>
      </c>
      <c r="EP379" s="237" t="n">
        <f aca="false">EP377*$AC$375*EP378*EP$38*'⑫ Roll-out Plan'!$O$42</f>
        <v>155.5776</v>
      </c>
      <c r="EQ379" s="237" t="n">
        <f aca="false">EQ377*$AC$375*EQ378*EQ$38*'⑫ Roll-out Plan'!$O$42</f>
        <v>119.88</v>
      </c>
      <c r="ER379" s="237" t="n">
        <f aca="false">ER377*$AC$375*ER378*ER$38*'⑫ Roll-out Plan'!$O$42</f>
        <v>174.3588</v>
      </c>
      <c r="ES379" s="9" t="n">
        <f aca="false">ES377*$AC$375*ES378*ES$38*'⑫ Roll-out Plan'!$O$42</f>
        <v>189.4104</v>
      </c>
      <c r="ET379" s="9" t="n">
        <f aca="false">ET377*$AC$375*ET378*ET$38*'⑫ Roll-out Plan'!$O$42</f>
        <v>143.8116</v>
      </c>
      <c r="EU379" s="9" t="n">
        <f aca="false">EU377*$AC$375*EU378*EU$38*'⑫ Roll-out Plan'!$O$42</f>
        <v>206.016</v>
      </c>
      <c r="EV379" s="9" t="n">
        <f aca="false">EV377*$AC$375*EV378*EV$38*'⑫ Roll-out Plan'!$O$42</f>
        <v>200.244</v>
      </c>
      <c r="EW379" s="9" t="n">
        <f aca="false">EW377*$AC$375*EW378*EW$38*'⑫ Roll-out Plan'!$O$42</f>
        <v>171.5616</v>
      </c>
      <c r="EX379" s="9" t="n">
        <f aca="false">EX377*$AC$375*EX378*EX$38*'⑫ Roll-out Plan'!$O$42</f>
        <v>150.96</v>
      </c>
      <c r="EY379" s="9" t="n">
        <f aca="false">EY377*$AC$375*EY378*EY$38*'⑫ Roll-out Plan'!$O$42</f>
        <v>158.508</v>
      </c>
      <c r="EZ379" s="9" t="n">
        <f aca="false">EZ377*$AC$375*EZ378*EZ$38*'⑫ Roll-out Plan'!$O$42</f>
        <v>271.1064</v>
      </c>
      <c r="FA379" s="9" t="n">
        <f aca="false">FA377*$AC$375*FA378*FA$38*'⑫ Roll-out Plan'!$O$42</f>
        <v>226.6176</v>
      </c>
      <c r="FB379" s="9" t="n">
        <f aca="false">FB377*$AC$375*FB378*FB$38*'⑫ Roll-out Plan'!$O$42</f>
        <v>189.6768</v>
      </c>
      <c r="FC379" s="9" t="n">
        <f aca="false">FC377*$AC$375*FC378*FC$38*'⑫ Roll-out Plan'!$O$42</f>
        <v>143.856</v>
      </c>
      <c r="FD379" s="9" t="n">
        <f aca="false">FD377*$AC$375*FD378*FD$38*'⑫ Roll-out Plan'!$O$42</f>
        <v>203.796</v>
      </c>
      <c r="FE379" s="9" t="n">
        <f aca="false">FE377*$AC$375*FE378*FE$38*'⑫ Roll-out Plan'!$O$42</f>
        <v>220.5792</v>
      </c>
      <c r="FF379" s="9" t="n">
        <f aca="false">FF377*$AC$375*FF378*FF$38*'⑫ Roll-out Plan'!$O$42</f>
        <v>169.2972</v>
      </c>
      <c r="FG379" s="9" t="n">
        <f aca="false">FG377*$AC$375*FG378*FG$38*'⑫ Roll-out Plan'!$O$42</f>
        <v>242.0688</v>
      </c>
      <c r="FH379" s="9" t="n">
        <f aca="false">FH377*$AC$375*FH378*FH$38*'⑫ Roll-out Plan'!$O$42</f>
        <v>231.99</v>
      </c>
      <c r="FI379" s="9" t="n">
        <f aca="false">FI377*$AC$375*FI378*FI$38*'⑫ Roll-out Plan'!$O$42</f>
        <v>194.028</v>
      </c>
      <c r="FJ379" s="9" t="n">
        <f aca="false">FJ377*$AC$375*FJ378*FJ$38*'⑫ Roll-out Plan'!$O$42</f>
        <v>172.272</v>
      </c>
      <c r="FK379" s="9" t="n">
        <f aca="false">FK377*$AC$375*FK378*FK$38*'⑫ Roll-out Plan'!$O$42</f>
        <v>182.7504</v>
      </c>
      <c r="FL379" s="9" t="n">
        <f aca="false">FL377*$AC$375*FL378*FL$38*'⑫ Roll-out Plan'!$O$42</f>
        <v>312.0876</v>
      </c>
      <c r="FM379" s="9" t="n">
        <f aca="false">FM377*$AC$375*FM378*FM$38*'⑫ Roll-out Plan'!$O$42</f>
        <v>257.52</v>
      </c>
      <c r="FN379" s="9" t="n">
        <f aca="false">FN377*$AC$375*FN378*FN$38*'⑫ Roll-out Plan'!$O$42</f>
        <v>213.12</v>
      </c>
      <c r="FO379" s="9" t="n">
        <f aca="false">FO377*$AC$375*FO378*FO$38*'⑫ Roll-out Plan'!$O$42</f>
        <v>159.84</v>
      </c>
      <c r="FP379" s="9" t="n">
        <f aca="false">FP377*$AC$375*FP378*FP$38*'⑫ Roll-out Plan'!$O$42</f>
        <v>226.44</v>
      </c>
    </row>
    <row r="380" customFormat="false" ht="15" hidden="false" customHeight="false" outlineLevel="2" collapsed="false">
      <c r="B380" s="47" t="s">
        <v>877</v>
      </c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237" t="n">
        <f aca="true">IFERROR(SUMPRODUCT(OFFSET($BJ$31,0,1-MIN(60,COLUMN()-29),1,MIN(60,COLUMN()-29)),OFFSET(AC379,0,-MIN(60,COLUMN()-29),1,MIN(60,COLUMN()-29))),0)</f>
        <v>0</v>
      </c>
      <c r="AD380" s="237" t="n">
        <f aca="true">IFERROR(SUMPRODUCT(OFFSET($BJ$31,0,1-MIN(60,COLUMN()-29),1,MIN(60,COLUMN()-29)),OFFSET(AD379,0,-MIN(60,COLUMN()-29),1,MIN(60,COLUMN()-29))),0)</f>
        <v>0</v>
      </c>
      <c r="AE380" s="237" t="n">
        <f aca="true">IFERROR(SUMPRODUCT(OFFSET($BJ$31,0,1-MIN(60,COLUMN()-29),1,MIN(60,COLUMN()-29)),OFFSET(AE379,0,-MIN(60,COLUMN()-29),1,MIN(60,COLUMN()-29))),0)</f>
        <v>0</v>
      </c>
      <c r="AF380" s="237" t="n">
        <f aca="true">IFERROR(SUMPRODUCT(OFFSET($BJ$31,0,1-MIN(60,COLUMN()-29),1,MIN(60,COLUMN()-29)),OFFSET(AF379,0,-MIN(60,COLUMN()-29),1,MIN(60,COLUMN()-29))),0)</f>
        <v>0</v>
      </c>
      <c r="AG380" s="237" t="n">
        <f aca="true">IFERROR(SUMPRODUCT(OFFSET($BJ$31,0,1-MIN(60,COLUMN()-29),1,MIN(60,COLUMN()-29)),OFFSET(AG379,0,-MIN(60,COLUMN()-29),1,MIN(60,COLUMN()-29))),0)</f>
        <v>0</v>
      </c>
      <c r="AH380" s="237" t="n">
        <f aca="true">IFERROR(SUMPRODUCT(OFFSET($BJ$31,0,1-MIN(60,COLUMN()-29),1,MIN(60,COLUMN()-29)),OFFSET(AH379,0,-MIN(60,COLUMN()-29),1,MIN(60,COLUMN()-29))),0)</f>
        <v>0</v>
      </c>
      <c r="AI380" s="237" t="n">
        <f aca="true">IFERROR(SUMPRODUCT(OFFSET($BJ$31,0,1-MIN(60,COLUMN()-29),1,MIN(60,COLUMN()-29)),OFFSET(AI379,0,-MIN(60,COLUMN()-29),1,MIN(60,COLUMN()-29))),0)</f>
        <v>0</v>
      </c>
      <c r="AJ380" s="237" t="n">
        <f aca="true">IFERROR(SUMPRODUCT(OFFSET($BJ$31,0,1-MIN(60,COLUMN()-29),1,MIN(60,COLUMN()-29)),OFFSET(AJ379,0,-MIN(60,COLUMN()-29),1,MIN(60,COLUMN()-29))),0)</f>
        <v>0</v>
      </c>
      <c r="AK380" s="237" t="n">
        <f aca="true">IFERROR(SUMPRODUCT(OFFSET($BJ$31,0,1-MIN(60,COLUMN()-29),1,MIN(60,COLUMN()-29)),OFFSET(AK379,0,-MIN(60,COLUMN()-29),1,MIN(60,COLUMN()-29))),0)</f>
        <v>0</v>
      </c>
      <c r="AL380" s="237" t="n">
        <f aca="true">IFERROR(SUMPRODUCT(OFFSET($BJ$31,0,1-MIN(60,COLUMN()-29),1,MIN(60,COLUMN()-29)),OFFSET(AL379,0,-MIN(60,COLUMN()-29),1,MIN(60,COLUMN()-29))),0)</f>
        <v>0</v>
      </c>
      <c r="AM380" s="237" t="n">
        <f aca="true">IFERROR(SUMPRODUCT(OFFSET($BJ$31,0,1-MIN(60,COLUMN()-29),1,MIN(60,COLUMN()-29)),OFFSET(AM379,0,-MIN(60,COLUMN()-29),1,MIN(60,COLUMN()-29))),0)</f>
        <v>0</v>
      </c>
      <c r="AN380" s="237" t="n">
        <f aca="true">IFERROR(SUMPRODUCT(OFFSET($BJ$31,0,1-MIN(60,COLUMN()-29),1,MIN(60,COLUMN()-29)),OFFSET(AN379,0,-MIN(60,COLUMN()-29),1,MIN(60,COLUMN()-29))),0)</f>
        <v>0</v>
      </c>
      <c r="AO380" s="237" t="n">
        <f aca="true">IFERROR(SUMPRODUCT(OFFSET($BJ$31,0,1-MIN(60,COLUMN()-29),1,MIN(60,COLUMN()-29)),OFFSET(AO379,0,-MIN(60,COLUMN()-29),1,MIN(60,COLUMN()-29))),0)</f>
        <v>0</v>
      </c>
      <c r="AP380" s="237" t="n">
        <f aca="true">IFERROR(SUMPRODUCT(OFFSET($BJ$31,0,1-MIN(60,COLUMN()-29),1,MIN(60,COLUMN()-29)),OFFSET(AP379,0,-MIN(60,COLUMN()-29),1,MIN(60,COLUMN()-29))),0)</f>
        <v>0</v>
      </c>
      <c r="AQ380" s="237" t="n">
        <f aca="true">IFERROR(SUMPRODUCT(OFFSET($BJ$31,0,1-MIN(60,COLUMN()-29),1,MIN(60,COLUMN()-29)),OFFSET(AQ379,0,-MIN(60,COLUMN()-29),1,MIN(60,COLUMN()-29))),0)</f>
        <v>0</v>
      </c>
      <c r="AR380" s="237" t="n">
        <f aca="true">IFERROR(SUMPRODUCT(OFFSET($BJ$31,0,1-MIN(60,COLUMN()-29),1,MIN(60,COLUMN()-29)),OFFSET(AR379,0,-MIN(60,COLUMN()-29),1,MIN(60,COLUMN()-29))),0)</f>
        <v>0</v>
      </c>
      <c r="AS380" s="237" t="n">
        <f aca="true">IFERROR(SUMPRODUCT(OFFSET($BJ$31,0,1-MIN(60,COLUMN()-29),1,MIN(60,COLUMN()-29)),OFFSET(AS379,0,-MIN(60,COLUMN()-29),1,MIN(60,COLUMN()-29))),0)</f>
        <v>0</v>
      </c>
      <c r="AT380" s="237" t="n">
        <f aca="true">IFERROR(SUMPRODUCT(OFFSET($BJ$31,0,1-MIN(60,COLUMN()-29),1,MIN(60,COLUMN()-29)),OFFSET(AT379,0,-MIN(60,COLUMN()-29),1,MIN(60,COLUMN()-29))),0)</f>
        <v>0</v>
      </c>
      <c r="AU380" s="237" t="n">
        <f aca="true">IFERROR(SUMPRODUCT(OFFSET($BJ$31,0,1-MIN(60,COLUMN()-29),1,MIN(60,COLUMN()-29)),OFFSET(AU379,0,-MIN(60,COLUMN()-29),1,MIN(60,COLUMN()-29))),0)</f>
        <v>0</v>
      </c>
      <c r="AV380" s="237" t="n">
        <f aca="true">IFERROR(SUMPRODUCT(OFFSET($BJ$31,0,1-MIN(60,COLUMN()-29),1,MIN(60,COLUMN()-29)),OFFSET(AV379,0,-MIN(60,COLUMN()-29),1,MIN(60,COLUMN()-29))),0)</f>
        <v>0</v>
      </c>
      <c r="AW380" s="237" t="n">
        <f aca="true">IFERROR(SUMPRODUCT(OFFSET($BJ$31,0,1-MIN(60,COLUMN()-29),1,MIN(60,COLUMN()-29)),OFFSET(AW379,0,-MIN(60,COLUMN()-29),1,MIN(60,COLUMN()-29))),0)</f>
        <v>0</v>
      </c>
      <c r="AX380" s="237" t="n">
        <f aca="true">IFERROR(SUMPRODUCT(OFFSET($BJ$31,0,1-MIN(60,COLUMN()-29),1,MIN(60,COLUMN()-29)),OFFSET(AX379,0,-MIN(60,COLUMN()-29),1,MIN(60,COLUMN()-29))),0)</f>
        <v>0</v>
      </c>
      <c r="AY380" s="237" t="n">
        <f aca="true">IFERROR(SUMPRODUCT(OFFSET($BJ$31,0,1-MIN(60,COLUMN()-29),1,MIN(60,COLUMN()-29)),OFFSET(AY379,0,-MIN(60,COLUMN()-29),1,MIN(60,COLUMN()-29))),0)</f>
        <v>0</v>
      </c>
      <c r="AZ380" s="237" t="n">
        <f aca="true">IFERROR(SUMPRODUCT(OFFSET($BJ$31,0,1-MIN(60,COLUMN()-29),1,MIN(60,COLUMN()-29)),OFFSET(AZ379,0,-MIN(60,COLUMN()-29),1,MIN(60,COLUMN()-29))),0)</f>
        <v>0</v>
      </c>
      <c r="BA380" s="237" t="n">
        <f aca="true">IFERROR(SUMPRODUCT(OFFSET($BJ$31,0,1-MIN(60,COLUMN()-29),1,MIN(60,COLUMN()-29)),OFFSET(BA379,0,-MIN(60,COLUMN()-29),1,MIN(60,COLUMN()-29))),0)</f>
        <v>0</v>
      </c>
      <c r="BB380" s="237" t="n">
        <f aca="true">IFERROR(SUMPRODUCT(OFFSET($BJ$31,0,1-MIN(60,COLUMN()-29),1,MIN(60,COLUMN()-29)),OFFSET(BB379,0,-MIN(60,COLUMN()-29),1,MIN(60,COLUMN()-29))),0)</f>
        <v>0</v>
      </c>
      <c r="BC380" s="237" t="n">
        <f aca="true">IFERROR(SUMPRODUCT(OFFSET($BJ$31,0,1-MIN(60,COLUMN()-29),1,MIN(60,COLUMN()-29)),OFFSET(BC379,0,-MIN(60,COLUMN()-29),1,MIN(60,COLUMN()-29))),0)</f>
        <v>0</v>
      </c>
      <c r="BD380" s="237" t="n">
        <f aca="true">IFERROR(SUMPRODUCT(OFFSET($BJ$31,0,1-MIN(60,COLUMN()-29),1,MIN(60,COLUMN()-29)),OFFSET(BD379,0,-MIN(60,COLUMN()-29),1,MIN(60,COLUMN()-29))),0)</f>
        <v>0</v>
      </c>
      <c r="BE380" s="237" t="n">
        <f aca="true">IFERROR(SUMPRODUCT(OFFSET($BJ$31,0,1-MIN(60,COLUMN()-29),1,MIN(60,COLUMN()-29)),OFFSET(BE379,0,-MIN(60,COLUMN()-29),1,MIN(60,COLUMN()-29))),0)</f>
        <v>0</v>
      </c>
      <c r="BF380" s="237" t="n">
        <f aca="true">IFERROR(SUMPRODUCT(OFFSET($BJ$31,0,1-MIN(60,COLUMN()-29),1,MIN(60,COLUMN()-29)),OFFSET(BF379,0,-MIN(60,COLUMN()-29),1,MIN(60,COLUMN()-29))),0)</f>
        <v>0</v>
      </c>
      <c r="BG380" s="237" t="n">
        <f aca="true">IFERROR(SUMPRODUCT(OFFSET($BJ$31,0,1-MIN(60,COLUMN()-29),1,MIN(60,COLUMN()-29)),OFFSET(BG379,0,-MIN(60,COLUMN()-29),1,MIN(60,COLUMN()-29))),0)</f>
        <v>0</v>
      </c>
      <c r="BH380" s="237" t="n">
        <f aca="true">IFERROR(SUMPRODUCT(OFFSET($BJ$31,0,1-MIN(60,COLUMN()-29),1,MIN(60,COLUMN()-29)),OFFSET(BH379,0,-MIN(60,COLUMN()-29),1,MIN(60,COLUMN()-29))),0)</f>
        <v>0</v>
      </c>
      <c r="BI380" s="237" t="n">
        <f aca="true">IFERROR(SUMPRODUCT(OFFSET($BJ$31,0,1-MIN(60,COLUMN()-29),1,MIN(60,COLUMN()-29)),OFFSET(BI379,0,-MIN(60,COLUMN()-29),1,MIN(60,COLUMN()-29))),0)</f>
        <v>0</v>
      </c>
      <c r="BJ380" s="237" t="n">
        <f aca="true">IFERROR(SUMPRODUCT(OFFSET($BJ$31,0,1-MIN(60,COLUMN()-29),1,MIN(60,COLUMN()-29)),OFFSET(BJ379,0,-MIN(60,COLUMN()-29),1,MIN(60,COLUMN()-29))),0)</f>
        <v>0</v>
      </c>
      <c r="BK380" s="237" t="n">
        <f aca="true">IFERROR(SUMPRODUCT(OFFSET($BJ$31,0,1-MIN(60,COLUMN()-29),1,MIN(60,COLUMN()-29)),OFFSET(BK379,0,-MIN(60,COLUMN()-29),1,MIN(60,COLUMN()-29))),0)</f>
        <v>0</v>
      </c>
      <c r="BL380" s="237" t="n">
        <f aca="true">IFERROR(SUMPRODUCT(OFFSET($BJ$31,0,1-MIN(60,COLUMN()-29),1,MIN(60,COLUMN()-29)),OFFSET(BL379,0,-MIN(60,COLUMN()-29),1,MIN(60,COLUMN()-29))),0)</f>
        <v>0</v>
      </c>
      <c r="BM380" s="237" t="n">
        <f aca="true">IFERROR(SUMPRODUCT(OFFSET($BJ$31,0,1-MIN(60,COLUMN()-29),1,MIN(60,COLUMN()-29)),OFFSET(BM379,0,-MIN(60,COLUMN()-29),1,MIN(60,COLUMN()-29))),0)</f>
        <v>0</v>
      </c>
      <c r="BN380" s="237" t="n">
        <f aca="true">IFERROR(SUMPRODUCT(OFFSET($BJ$31,0,1-MIN(60,COLUMN()-29),1,MIN(60,COLUMN()-29)),OFFSET(BN379,0,-MIN(60,COLUMN()-29),1,MIN(60,COLUMN()-29))),0)</f>
        <v>0</v>
      </c>
      <c r="BO380" s="237" t="n">
        <f aca="true">IFERROR(SUMPRODUCT(OFFSET($BJ$31,0,1-MIN(60,COLUMN()-29),1,MIN(60,COLUMN()-29)),OFFSET(BO379,0,-MIN(60,COLUMN()-29),1,MIN(60,COLUMN()-29))),0)</f>
        <v>0</v>
      </c>
      <c r="BP380" s="237" t="n">
        <f aca="true">IFERROR(SUMPRODUCT(OFFSET($BJ$31,0,1-MIN(60,COLUMN()-29),1,MIN(60,COLUMN()-29)),OFFSET(BP379,0,-MIN(60,COLUMN()-29),1,MIN(60,COLUMN()-29))),0)</f>
        <v>0</v>
      </c>
      <c r="BQ380" s="237" t="n">
        <f aca="true">IFERROR(SUMPRODUCT(OFFSET($BJ$31,0,1-MIN(60,COLUMN()-29),1,MIN(60,COLUMN()-29)),OFFSET(BQ379,0,-MIN(60,COLUMN()-29),1,MIN(60,COLUMN()-29))),0)</f>
        <v>0</v>
      </c>
      <c r="BR380" s="237" t="n">
        <f aca="true">IFERROR(SUMPRODUCT(OFFSET($BJ$31,0,1-MIN(60,COLUMN()-29),1,MIN(60,COLUMN()-29)),OFFSET(BR379,0,-MIN(60,COLUMN()-29),1,MIN(60,COLUMN()-29))),0)</f>
        <v>0</v>
      </c>
      <c r="BS380" s="237" t="n">
        <f aca="true">IFERROR(SUMPRODUCT(OFFSET($BJ$31,0,1-MIN(60,COLUMN()-29),1,MIN(60,COLUMN()-29)),OFFSET(BS379,0,-MIN(60,COLUMN()-29),1,MIN(60,COLUMN()-29))),0)</f>
        <v>0</v>
      </c>
      <c r="BT380" s="237" t="n">
        <f aca="true">IFERROR(SUMPRODUCT(OFFSET($BJ$31,0,1-MIN(60,COLUMN()-29),1,MIN(60,COLUMN()-29)),OFFSET(BT379,0,-MIN(60,COLUMN()-29),1,MIN(60,COLUMN()-29))),0)</f>
        <v>0</v>
      </c>
      <c r="BU380" s="237" t="n">
        <f aca="true">IFERROR(SUMPRODUCT(OFFSET($BJ$31,0,1-MIN(60,COLUMN()-29),1,MIN(60,COLUMN()-29)),OFFSET(BU379,0,-MIN(60,COLUMN()-29),1,MIN(60,COLUMN()-29))),0)</f>
        <v>0</v>
      </c>
      <c r="BV380" s="237" t="n">
        <f aca="true">IFERROR(SUMPRODUCT(OFFSET($BJ$31,0,1-MIN(60,COLUMN()-29),1,MIN(60,COLUMN()-29)),OFFSET(BV379,0,-MIN(60,COLUMN()-29),1,MIN(60,COLUMN()-29))),0)</f>
        <v>0</v>
      </c>
      <c r="BW380" s="237" t="n">
        <f aca="true">IFERROR(SUMPRODUCT(OFFSET($BJ$31,0,1-MIN(60,COLUMN()-29),1,MIN(60,COLUMN()-29)),OFFSET(BW379,0,-MIN(60,COLUMN()-29),1,MIN(60,COLUMN()-29))),0)</f>
        <v>0</v>
      </c>
      <c r="BX380" s="237" t="n">
        <f aca="true">IFERROR(SUMPRODUCT(OFFSET($BJ$31,0,1-MIN(60,COLUMN()-29),1,MIN(60,COLUMN()-29)),OFFSET(BX379,0,-MIN(60,COLUMN()-29),1,MIN(60,COLUMN()-29))),0)</f>
        <v>0</v>
      </c>
      <c r="BY380" s="237" t="n">
        <f aca="true">IFERROR(SUMPRODUCT(OFFSET($BJ$31,0,1-MIN(60,COLUMN()-29),1,MIN(60,COLUMN()-29)),OFFSET(BY379,0,-MIN(60,COLUMN()-29),1,MIN(60,COLUMN()-29))),0)</f>
        <v>0</v>
      </c>
      <c r="BZ380" s="237" t="n">
        <f aca="true">IFERROR(SUMPRODUCT(OFFSET($BJ$31,0,1-MIN(60,COLUMN()-29),1,MIN(60,COLUMN()-29)),OFFSET(BZ379,0,-MIN(60,COLUMN()-29),1,MIN(60,COLUMN()-29))),0)</f>
        <v>0</v>
      </c>
      <c r="CA380" s="237" t="n">
        <f aca="true">IFERROR(SUMPRODUCT(OFFSET($BJ$31,0,1-MIN(60,COLUMN()-29),1,MIN(60,COLUMN()-29)),OFFSET(CA379,0,-MIN(60,COLUMN()-29),1,MIN(60,COLUMN()-29))),0)</f>
        <v>0</v>
      </c>
      <c r="CB380" s="237" t="n">
        <f aca="true">IFERROR(SUMPRODUCT(OFFSET($BJ$31,0,1-MIN(60,COLUMN()-29),1,MIN(60,COLUMN()-29)),OFFSET(CB379,0,-MIN(60,COLUMN()-29),1,MIN(60,COLUMN()-29))),0)</f>
        <v>0</v>
      </c>
      <c r="CC380" s="237" t="n">
        <f aca="true">IFERROR(SUMPRODUCT(OFFSET($BJ$31,0,1-MIN(60,COLUMN()-29),1,MIN(60,COLUMN()-29)),OFFSET(CC379,0,-MIN(60,COLUMN()-29),1,MIN(60,COLUMN()-29))),0)</f>
        <v>0</v>
      </c>
      <c r="CD380" s="237" t="n">
        <f aca="true">IFERROR(SUMPRODUCT(OFFSET($BJ$31,0,1-MIN(60,COLUMN()-29),1,MIN(60,COLUMN()-29)),OFFSET(CD379,0,-MIN(60,COLUMN()-29),1,MIN(60,COLUMN()-29))),0)</f>
        <v>0</v>
      </c>
      <c r="CE380" s="237" t="n">
        <f aca="true">IFERROR(SUMPRODUCT(OFFSET($BJ$31,0,1-MIN(60,COLUMN()-29),1,MIN(60,COLUMN()-29)),OFFSET(CE379,0,-MIN(60,COLUMN()-29),1,MIN(60,COLUMN()-29))),0)</f>
        <v>0</v>
      </c>
      <c r="CF380" s="237" t="n">
        <f aca="true">IFERROR(SUMPRODUCT(OFFSET($BJ$31,0,1-MIN(60,COLUMN()-29),1,MIN(60,COLUMN()-29)),OFFSET(CF379,0,-MIN(60,COLUMN()-29),1,MIN(60,COLUMN()-29))),0)</f>
        <v>0</v>
      </c>
      <c r="CG380" s="237" t="n">
        <f aca="true">IFERROR(SUMPRODUCT(OFFSET($BJ$31,0,1-MIN(60,COLUMN()-29),1,MIN(60,COLUMN()-29)),OFFSET(CG379,0,-MIN(60,COLUMN()-29),1,MIN(60,COLUMN()-29))),0)</f>
        <v>0</v>
      </c>
      <c r="CH380" s="237" t="n">
        <f aca="true">IFERROR(SUMPRODUCT(OFFSET($BJ$31,0,1-MIN(60,COLUMN()-29),1,MIN(60,COLUMN()-29)),OFFSET(CH379,0,-MIN(60,COLUMN()-29),1,MIN(60,COLUMN()-29))),0)</f>
        <v>0</v>
      </c>
      <c r="CI380" s="237" t="n">
        <f aca="true">IFERROR(SUMPRODUCT(OFFSET($BJ$31,0,1-MIN(60,COLUMN()-29),1,MIN(60,COLUMN()-29)),OFFSET(CI379,0,-MIN(60,COLUMN()-29),1,MIN(60,COLUMN()-29))),0)</f>
        <v>0</v>
      </c>
      <c r="CJ380" s="237" t="n">
        <f aca="true">IFERROR(SUMPRODUCT(OFFSET($BJ$31,0,1-MIN(60,COLUMN()-29),1,MIN(60,COLUMN()-29)),OFFSET(CJ379,0,-MIN(60,COLUMN()-29),1,MIN(60,COLUMN()-29))),0)</f>
        <v>0</v>
      </c>
      <c r="CK380" s="237" t="n">
        <f aca="true">IFERROR(SUMPRODUCT(OFFSET($BJ$31,0,1-MIN(60,COLUMN()-29),1,MIN(60,COLUMN()-29)),OFFSET(CK379,0,-MIN(60,COLUMN()-29),1,MIN(60,COLUMN()-29))),0)</f>
        <v>0</v>
      </c>
      <c r="CL380" s="237" t="n">
        <f aca="true">IFERROR(SUMPRODUCT(OFFSET($BJ$31,0,1-MIN(60,COLUMN()-29),1,MIN(60,COLUMN()-29)),OFFSET(CL379,0,-MIN(60,COLUMN()-29),1,MIN(60,COLUMN()-29))),0)</f>
        <v>0</v>
      </c>
      <c r="CM380" s="237" t="n">
        <f aca="true">IFERROR(SUMPRODUCT(OFFSET($BJ$31,0,1-MIN(60,COLUMN()-29),1,MIN(60,COLUMN()-29)),OFFSET(CM379,0,-MIN(60,COLUMN()-29),1,MIN(60,COLUMN()-29))),0)</f>
        <v>0</v>
      </c>
      <c r="CN380" s="237" t="n">
        <f aca="true">IFERROR(SUMPRODUCT(OFFSET($BJ$31,0,1-MIN(60,COLUMN()-29),1,MIN(60,COLUMN()-29)),OFFSET(CN379,0,-MIN(60,COLUMN()-29),1,MIN(60,COLUMN()-29))),0)</f>
        <v>0</v>
      </c>
      <c r="CO380" s="237" t="n">
        <f aca="true">IFERROR(SUMPRODUCT(OFFSET($BJ$31,0,1-MIN(60,COLUMN()-29),1,MIN(60,COLUMN()-29)),OFFSET(CO379,0,-MIN(60,COLUMN()-29),1,MIN(60,COLUMN()-29))),0)</f>
        <v>0</v>
      </c>
      <c r="CP380" s="237" t="n">
        <f aca="true">IFERROR(SUMPRODUCT(OFFSET($BJ$31,0,1-MIN(60,COLUMN()-29),1,MIN(60,COLUMN()-29)),OFFSET(CP379,0,-MIN(60,COLUMN()-29),1,MIN(60,COLUMN()-29))),0)</f>
        <v>0</v>
      </c>
      <c r="CQ380" s="237" t="n">
        <f aca="true">IFERROR(SUMPRODUCT(OFFSET($BJ$31,0,1-MIN(60,COLUMN()-29),1,MIN(60,COLUMN()-29)),OFFSET(CQ379,0,-MIN(60,COLUMN()-29),1,MIN(60,COLUMN()-29))),0)</f>
        <v>0</v>
      </c>
      <c r="CR380" s="237" t="n">
        <f aca="true">IFERROR(SUMPRODUCT(OFFSET($BJ$31,0,1-MIN(60,COLUMN()-29),1,MIN(60,COLUMN()-29)),OFFSET(CR379,0,-MIN(60,COLUMN()-29),1,MIN(60,COLUMN()-29))),0)</f>
        <v>0</v>
      </c>
      <c r="CS380" s="237" t="n">
        <f aca="true">IFERROR(SUMPRODUCT(OFFSET($BJ$31,0,1-MIN(60,COLUMN()-29),1,MIN(60,COLUMN()-29)),OFFSET(CS379,0,-MIN(60,COLUMN()-29),1,MIN(60,COLUMN()-29))),0)</f>
        <v>0</v>
      </c>
      <c r="CT380" s="237" t="n">
        <f aca="true">IFERROR(SUMPRODUCT(OFFSET($BJ$31,0,1-MIN(60,COLUMN()-29),1,MIN(60,COLUMN()-29)),OFFSET(CT379,0,-MIN(60,COLUMN()-29),1,MIN(60,COLUMN()-29))),0)</f>
        <v>0</v>
      </c>
      <c r="CU380" s="237" t="n">
        <f aca="true">IFERROR(SUMPRODUCT(OFFSET($BJ$31,0,1-MIN(60,COLUMN()-29),1,MIN(60,COLUMN()-29)),OFFSET(CU379,0,-MIN(60,COLUMN()-29),1,MIN(60,COLUMN()-29))),0)</f>
        <v>0</v>
      </c>
      <c r="CV380" s="237" t="n">
        <f aca="true">IFERROR(SUMPRODUCT(OFFSET($BJ$31,0,1-MIN(60,COLUMN()-29),1,MIN(60,COLUMN()-29)),OFFSET(CV379,0,-MIN(60,COLUMN()-29),1,MIN(60,COLUMN()-29))),0)</f>
        <v>0</v>
      </c>
      <c r="CW380" s="237" t="n">
        <f aca="true">IFERROR(SUMPRODUCT(OFFSET($BJ$31,0,1-MIN(60,COLUMN()-29),1,MIN(60,COLUMN()-29)),OFFSET(CW379,0,-MIN(60,COLUMN()-29),1,MIN(60,COLUMN()-29))),0)</f>
        <v>0</v>
      </c>
      <c r="CX380" s="237" t="n">
        <f aca="true">IFERROR(SUMPRODUCT(OFFSET($BJ$31,0,1-MIN(60,COLUMN()-29),1,MIN(60,COLUMN()-29)),OFFSET(CX379,0,-MIN(60,COLUMN()-29),1,MIN(60,COLUMN()-29))),0)</f>
        <v>0</v>
      </c>
      <c r="CY380" s="237" t="n">
        <f aca="true">IFERROR(SUMPRODUCT(OFFSET($BJ$31,0,1-MIN(60,COLUMN()-29),1,MIN(60,COLUMN()-29)),OFFSET(CY379,0,-MIN(60,COLUMN()-29),1,MIN(60,COLUMN()-29))),0)</f>
        <v>0</v>
      </c>
      <c r="CZ380" s="237" t="n">
        <f aca="true">IFERROR(SUMPRODUCT(OFFSET($BJ$31,0,1-MIN(60,COLUMN()-29),1,MIN(60,COLUMN()-29)),OFFSET(CZ379,0,-MIN(60,COLUMN()-29),1,MIN(60,COLUMN()-29))),0)</f>
        <v>0</v>
      </c>
      <c r="DA380" s="237" t="n">
        <f aca="true">IFERROR(SUMPRODUCT(OFFSET($BJ$31,0,1-MIN(60,COLUMN()-29),1,MIN(60,COLUMN()-29)),OFFSET(DA379,0,-MIN(60,COLUMN()-29),1,MIN(60,COLUMN()-29))),0)</f>
        <v>0</v>
      </c>
      <c r="DB380" s="237" t="n">
        <f aca="true">IFERROR(SUMPRODUCT(OFFSET($BJ$31,0,1-MIN(60,COLUMN()-29),1,MIN(60,COLUMN()-29)),OFFSET(DB379,0,-MIN(60,COLUMN()-29),1,MIN(60,COLUMN()-29))),0)</f>
        <v>0</v>
      </c>
      <c r="DC380" s="237" t="n">
        <f aca="true">IFERROR(SUMPRODUCT(OFFSET($BJ$31,0,1-MIN(60,COLUMN()-29),1,MIN(60,COLUMN()-29)),OFFSET(DC379,0,-MIN(60,COLUMN()-29),1,MIN(60,COLUMN()-29))),0)</f>
        <v>0</v>
      </c>
      <c r="DD380" s="237" t="n">
        <f aca="true">IFERROR(SUMPRODUCT(OFFSET($BJ$31,0,1-MIN(60,COLUMN()-29),1,MIN(60,COLUMN()-29)),OFFSET(DD379,0,-MIN(60,COLUMN()-29),1,MIN(60,COLUMN()-29))),0)</f>
        <v>0</v>
      </c>
      <c r="DE380" s="237" t="n">
        <f aca="true">IFERROR(SUMPRODUCT(OFFSET($BJ$31,0,1-MIN(60,COLUMN()-29),1,MIN(60,COLUMN()-29)),OFFSET(DE379,0,-MIN(60,COLUMN()-29),1,MIN(60,COLUMN()-29))),0)</f>
        <v>0</v>
      </c>
      <c r="DF380" s="237" t="n">
        <f aca="true">IFERROR(SUMPRODUCT(OFFSET($BJ$31,0,1-MIN(60,COLUMN()-29),1,MIN(60,COLUMN()-29)),OFFSET(DF379,0,-MIN(60,COLUMN()-29),1,MIN(60,COLUMN()-29))),0)</f>
        <v>0</v>
      </c>
      <c r="DG380" s="237" t="n">
        <f aca="true">IFERROR(SUMPRODUCT(OFFSET($BJ$31,0,1-MIN(60,COLUMN()-29),1,MIN(60,COLUMN()-29)),OFFSET(DG379,0,-MIN(60,COLUMN()-29),1,MIN(60,COLUMN()-29))),0)</f>
        <v>0</v>
      </c>
      <c r="DH380" s="237" t="n">
        <f aca="true">IFERROR(SUMPRODUCT(OFFSET($BJ$31,0,1-MIN(60,COLUMN()-29),1,MIN(60,COLUMN()-29)),OFFSET(DH379,0,-MIN(60,COLUMN()-29),1,MIN(60,COLUMN()-29))),0)</f>
        <v>0</v>
      </c>
      <c r="DI380" s="237" t="n">
        <f aca="true">IFERROR(SUMPRODUCT(OFFSET($BJ$31,0,1-MIN(60,COLUMN()-29),1,MIN(60,COLUMN()-29)),OFFSET(DI379,0,-MIN(60,COLUMN()-29),1,MIN(60,COLUMN()-29))),0)</f>
        <v>0</v>
      </c>
      <c r="DJ380" s="237" t="n">
        <f aca="true">IFERROR(SUMPRODUCT(OFFSET($BJ$31,0,1-MIN(60,COLUMN()-29),1,MIN(60,COLUMN()-29)),OFFSET(DJ379,0,-MIN(60,COLUMN()-29),1,MIN(60,COLUMN()-29))),0)</f>
        <v>0</v>
      </c>
      <c r="DK380" s="237" t="n">
        <f aca="true">IFERROR(SUMPRODUCT(OFFSET($BJ$31,0,1-MIN(60,COLUMN()-29),1,MIN(60,COLUMN()-29)),OFFSET(DK379,0,-MIN(60,COLUMN()-29),1,MIN(60,COLUMN()-29))),0)</f>
        <v>0</v>
      </c>
      <c r="DL380" s="237" t="n">
        <f aca="true">IFERROR(SUMPRODUCT(OFFSET($BJ$31,0,1-MIN(60,COLUMN()-29),1,MIN(60,COLUMN()-29)),OFFSET(DL379,0,-MIN(60,COLUMN()-29),1,MIN(60,COLUMN()-29))),0)</f>
        <v>0</v>
      </c>
      <c r="DM380" s="237" t="n">
        <f aca="true">IFERROR(SUMPRODUCT(OFFSET($BJ$31,0,1-MIN(60,COLUMN()-29),1,MIN(60,COLUMN()-29)),OFFSET(DM379,0,-MIN(60,COLUMN()-29),1,MIN(60,COLUMN()-29))),0)</f>
        <v>0</v>
      </c>
      <c r="DN380" s="237" t="n">
        <f aca="true">IFERROR(SUMPRODUCT(OFFSET($BJ$31,0,1-MIN(60,COLUMN()-29),1,MIN(60,COLUMN()-29)),OFFSET(DN379,0,-MIN(60,COLUMN()-29),1,MIN(60,COLUMN()-29))),0)</f>
        <v>0</v>
      </c>
      <c r="DO380" s="237" t="n">
        <f aca="true">IFERROR(SUMPRODUCT(OFFSET($BJ$31,0,1-MIN(60,COLUMN()-29),1,MIN(60,COLUMN()-29)),OFFSET(DO379,0,-MIN(60,COLUMN()-29),1,MIN(60,COLUMN()-29))),0)</f>
        <v>0</v>
      </c>
      <c r="DP380" s="237" t="n">
        <f aca="true">IFERROR(SUMPRODUCT(OFFSET($BJ$31,0,1-MIN(60,COLUMN()-29),1,MIN(60,COLUMN()-29)),OFFSET(DP379,0,-MIN(60,COLUMN()-29),1,MIN(60,COLUMN()-29))),0)</f>
        <v>0</v>
      </c>
      <c r="DQ380" s="237" t="n">
        <f aca="true">IFERROR(SUMPRODUCT(OFFSET($BJ$31,0,1-MIN(60,COLUMN()-29),1,MIN(60,COLUMN()-29)),OFFSET(DQ379,0,-MIN(60,COLUMN()-29),1,MIN(60,COLUMN()-29))),0)</f>
        <v>0</v>
      </c>
      <c r="DR380" s="237" t="n">
        <f aca="true">IFERROR(SUMPRODUCT(OFFSET($BJ$31,0,1-MIN(60,COLUMN()-29),1,MIN(60,COLUMN()-29)),OFFSET(DR379,0,-MIN(60,COLUMN()-29),1,MIN(60,COLUMN()-29))),0)</f>
        <v>0</v>
      </c>
      <c r="DS380" s="237" t="n">
        <f aca="true">IFERROR(SUMPRODUCT(OFFSET($BJ$31,0,1-MIN(60,COLUMN()-29),1,MIN(60,COLUMN()-29)),OFFSET(DS379,0,-MIN(60,COLUMN()-29),1,MIN(60,COLUMN()-29))),0)</f>
        <v>0</v>
      </c>
      <c r="DT380" s="237" t="n">
        <f aca="true">IFERROR(SUMPRODUCT(OFFSET($BJ$31,0,1-MIN(60,COLUMN()-29),1,MIN(60,COLUMN()-29)),OFFSET(DT379,0,-MIN(60,COLUMN()-29),1,MIN(60,COLUMN()-29))),0)</f>
        <v>0</v>
      </c>
      <c r="DU380" s="237" t="n">
        <f aca="true">IFERROR(SUMPRODUCT(OFFSET($BJ$31,0,1-MIN(60,COLUMN()-29),1,MIN(60,COLUMN()-29)),OFFSET(DU379,0,-MIN(60,COLUMN()-29),1,MIN(60,COLUMN()-29))),0)</f>
        <v>0</v>
      </c>
      <c r="DV380" s="237" t="n">
        <f aca="true">IFERROR(SUMPRODUCT(OFFSET($BJ$31,0,1-MIN(60,COLUMN()-29),1,MIN(60,COLUMN()-29)),OFFSET(DV379,0,-MIN(60,COLUMN()-29),1,MIN(60,COLUMN()-29))),0)</f>
        <v>0</v>
      </c>
      <c r="DW380" s="237" t="n">
        <f aca="true">IFERROR(SUMPRODUCT(OFFSET($BJ$31,0,1-MIN(60,COLUMN()-29),1,MIN(60,COLUMN()-29)),OFFSET(DW379,0,-MIN(60,COLUMN()-29),1,MIN(60,COLUMN()-29))),0)</f>
        <v>3.88352</v>
      </c>
      <c r="DX380" s="237" t="n">
        <f aca="true">IFERROR(SUMPRODUCT(OFFSET($BJ$31,0,1-MIN(60,COLUMN()-29),1,MIN(60,COLUMN()-29)),OFFSET(DX379,0,-MIN(60,COLUMN()-29),1,MIN(60,COLUMN()-29))),0)</f>
        <v>6.57712</v>
      </c>
      <c r="DY380" s="237" t="n">
        <f aca="true">IFERROR(SUMPRODUCT(OFFSET($BJ$31,0,1-MIN(60,COLUMN()-29),1,MIN(60,COLUMN()-29)),OFFSET(DY379,0,-MIN(60,COLUMN()-29),1,MIN(60,COLUMN()-29))),0)</f>
        <v>7.7620672</v>
      </c>
      <c r="DZ380" s="237" t="n">
        <f aca="true">IFERROR(SUMPRODUCT(OFFSET($BJ$31,0,1-MIN(60,COLUMN()-29),1,MIN(60,COLUMN()-29)),OFFSET(DZ379,0,-MIN(60,COLUMN()-29),1,MIN(60,COLUMN()-29))),0)</f>
        <v>8.1875968</v>
      </c>
      <c r="EA380" s="237" t="n">
        <f aca="true">IFERROR(SUMPRODUCT(OFFSET($BJ$31,0,1-MIN(60,COLUMN()-29),1,MIN(60,COLUMN()-29)),OFFSET(EA379,0,-MIN(60,COLUMN()-29),1,MIN(60,COLUMN()-29))),0)</f>
        <v>7.913264</v>
      </c>
      <c r="EB380" s="237" t="n">
        <f aca="true">IFERROR(SUMPRODUCT(OFFSET($BJ$31,0,1-MIN(60,COLUMN()-29),1,MIN(60,COLUMN()-29)),OFFSET(EB379,0,-MIN(60,COLUMN()-29),1,MIN(60,COLUMN()-29))),0)</f>
        <v>9.1229568</v>
      </c>
      <c r="EC380" s="237" t="n">
        <f aca="true">IFERROR(SUMPRODUCT(OFFSET($BJ$31,0,1-MIN(60,COLUMN()-29),1,MIN(60,COLUMN()-29)),OFFSET(EC379,0,-MIN(60,COLUMN()-29),1,MIN(60,COLUMN()-29))),0)</f>
        <v>15.2810592</v>
      </c>
      <c r="ED380" s="237" t="n">
        <f aca="true">IFERROR(SUMPRODUCT(OFFSET($BJ$31,0,1-MIN(60,COLUMN()-29),1,MIN(60,COLUMN()-29)),OFFSET(ED379,0,-MIN(60,COLUMN()-29),1,MIN(60,COLUMN()-29))),0)</f>
        <v>15.498264</v>
      </c>
      <c r="EE380" s="237" t="n">
        <f aca="true">IFERROR(SUMPRODUCT(OFFSET($BJ$31,0,1-MIN(60,COLUMN()-29),1,MIN(60,COLUMN()-29)),OFFSET(EE379,0,-MIN(60,COLUMN()-29),1,MIN(60,COLUMN()-29))),0)</f>
        <v>16.0551584</v>
      </c>
      <c r="EF380" s="237" t="n">
        <f aca="true">IFERROR(SUMPRODUCT(OFFSET($BJ$31,0,1-MIN(60,COLUMN()-29),1,MIN(60,COLUMN()-29)),OFFSET(EF379,0,-MIN(60,COLUMN()-29),1,MIN(60,COLUMN()-29))),0)</f>
        <v>14.5399936</v>
      </c>
      <c r="EG380" s="237" t="n">
        <f aca="true">IFERROR(SUMPRODUCT(OFFSET($BJ$31,0,1-MIN(60,COLUMN()-29),1,MIN(60,COLUMN()-29)),OFFSET(EG379,0,-MIN(60,COLUMN()-29),1,MIN(60,COLUMN()-29))),0)</f>
        <v>18.8176672</v>
      </c>
      <c r="EH380" s="237" t="n">
        <f aca="true">IFERROR(SUMPRODUCT(OFFSET($BJ$31,0,1-MIN(60,COLUMN()-29),1,MIN(60,COLUMN()-29)),OFFSET(EH379,0,-MIN(60,COLUMN()-29),1,MIN(60,COLUMN()-29))),0)</f>
        <v>21.6903472</v>
      </c>
      <c r="EI380" s="237" t="n">
        <f aca="true">IFERROR(SUMPRODUCT(OFFSET($BJ$31,0,1-MIN(60,COLUMN()-29),1,MIN(60,COLUMN()-29)),OFFSET(EI379,0,-MIN(60,COLUMN()-29),1,MIN(60,COLUMN()-29))),0)</f>
        <v>22.036608</v>
      </c>
      <c r="EJ380" s="237" t="n">
        <f aca="true">IFERROR(SUMPRODUCT(OFFSET($BJ$31,0,1-MIN(60,COLUMN()-29),1,MIN(60,COLUMN()-29)),OFFSET(EJ379,0,-MIN(60,COLUMN()-29),1,MIN(60,COLUMN()-29))),0)</f>
        <v>28.824184</v>
      </c>
      <c r="EK380" s="237" t="n">
        <f aca="true">IFERROR(SUMPRODUCT(OFFSET($BJ$31,0,1-MIN(60,COLUMN()-29),1,MIN(60,COLUMN()-29)),OFFSET(EK379,0,-MIN(60,COLUMN()-29),1,MIN(60,COLUMN()-29))),0)</f>
        <v>29.6267584</v>
      </c>
      <c r="EL380" s="237" t="n">
        <f aca="true">IFERROR(SUMPRODUCT(OFFSET($BJ$31,0,1-MIN(60,COLUMN()-29),1,MIN(60,COLUMN()-29)),OFFSET(EL379,0,-MIN(60,COLUMN()-29),1,MIN(60,COLUMN()-29))),0)</f>
        <v>31.9343152</v>
      </c>
      <c r="EM380" s="237" t="n">
        <f aca="true">IFERROR(SUMPRODUCT(OFFSET($BJ$31,0,1-MIN(60,COLUMN()-29),1,MIN(60,COLUMN()-29)),OFFSET(EM379,0,-MIN(60,COLUMN()-29),1,MIN(60,COLUMN()-29))),0)</f>
        <v>32.26193392</v>
      </c>
      <c r="EN380" s="237" t="n">
        <f aca="true">IFERROR(SUMPRODUCT(OFFSET($BJ$31,0,1-MIN(60,COLUMN()-29),1,MIN(60,COLUMN()-29)),OFFSET(EN379,0,-MIN(60,COLUMN()-29),1,MIN(60,COLUMN()-29))),0)</f>
        <v>36.75440288</v>
      </c>
      <c r="EO380" s="237" t="n">
        <f aca="true">IFERROR(SUMPRODUCT(OFFSET($BJ$31,0,1-MIN(60,COLUMN()-29),1,MIN(60,COLUMN()-29)),OFFSET(EO379,0,-MIN(60,COLUMN()-29),1,MIN(60,COLUMN()-29))),0)</f>
        <v>51.56908448</v>
      </c>
      <c r="EP380" s="237" t="n">
        <f aca="true">IFERROR(SUMPRODUCT(OFFSET($BJ$31,0,1-MIN(60,COLUMN()-29),1,MIN(60,COLUMN()-29)),OFFSET(EP379,0,-MIN(60,COLUMN()-29),1,MIN(60,COLUMN()-29))),0)</f>
        <v>50.82112504</v>
      </c>
      <c r="EQ380" s="237" t="n">
        <f aca="true">IFERROR(SUMPRODUCT(OFFSET($BJ$31,0,1-MIN(60,COLUMN()-29),1,MIN(60,COLUMN()-29)),OFFSET(EQ379,0,-MIN(60,COLUMN()-29),1,MIN(60,COLUMN()-29))),0)</f>
        <v>49.980118</v>
      </c>
      <c r="ER380" s="237" t="n">
        <f aca="true">IFERROR(SUMPRODUCT(OFFSET($BJ$31,0,1-MIN(60,COLUMN()-29),1,MIN(60,COLUMN()-29)),OFFSET(ER379,0,-MIN(60,COLUMN()-29),1,MIN(60,COLUMN()-29))),0)</f>
        <v>47.28264928</v>
      </c>
      <c r="ES380" s="9" t="n">
        <f aca="true">IFERROR(SUMPRODUCT(OFFSET($BJ$31,0,1-MIN(60,COLUMN()-29),1,MIN(60,COLUMN()-29)),OFFSET(ES379,0,-MIN(60,COLUMN()-29),1,MIN(60,COLUMN()-29))),0)</f>
        <v>57.79936796</v>
      </c>
      <c r="ET380" s="9" t="n">
        <f aca="true">IFERROR(SUMPRODUCT(OFFSET($BJ$31,0,1-MIN(60,COLUMN()-29),1,MIN(60,COLUMN()-29)),OFFSET(ET379,0,-MIN(60,COLUMN()-29),1,MIN(60,COLUMN()-29))),0)</f>
        <v>62.32290212</v>
      </c>
      <c r="EU380" s="9" t="n">
        <f aca="true">IFERROR(SUMPRODUCT(OFFSET($BJ$31,0,1-MIN(60,COLUMN()-29),1,MIN(60,COLUMN()-29)),OFFSET(EU379,0,-MIN(60,COLUMN()-29),1,MIN(60,COLUMN()-29))),0)</f>
        <v>61.79100196</v>
      </c>
      <c r="EV380" s="9" t="n">
        <f aca="true">IFERROR(SUMPRODUCT(OFFSET($BJ$31,0,1-MIN(60,COLUMN()-29),1,MIN(60,COLUMN()-29)),OFFSET(EV379,0,-MIN(60,COLUMN()-29),1,MIN(60,COLUMN()-29))),0)</f>
        <v>72.51868132</v>
      </c>
      <c r="EW380" s="9" t="n">
        <f aca="true">IFERROR(SUMPRODUCT(OFFSET($BJ$31,0,1-MIN(60,COLUMN()-29),1,MIN(60,COLUMN()-29)),OFFSET(EW379,0,-MIN(60,COLUMN()-29),1,MIN(60,COLUMN()-29))),0)</f>
        <v>75.8353258</v>
      </c>
      <c r="EX380" s="9" t="n">
        <f aca="true">IFERROR(SUMPRODUCT(OFFSET($BJ$31,0,1-MIN(60,COLUMN()-29),1,MIN(60,COLUMN()-29)),OFFSET(EX379,0,-MIN(60,COLUMN()-29),1,MIN(60,COLUMN()-29))),0)</f>
        <v>77.13271748</v>
      </c>
      <c r="EY380" s="9" t="n">
        <f aca="true">IFERROR(SUMPRODUCT(OFFSET($BJ$31,0,1-MIN(60,COLUMN()-29),1,MIN(60,COLUMN()-29)),OFFSET(EY379,0,-MIN(60,COLUMN()-29),1,MIN(60,COLUMN()-29))),0)</f>
        <v>77.06955108</v>
      </c>
      <c r="EZ380" s="9" t="n">
        <f aca="true">IFERROR(SUMPRODUCT(OFFSET($BJ$31,0,1-MIN(60,COLUMN()-29),1,MIN(60,COLUMN()-29)),OFFSET(EZ379,0,-MIN(60,COLUMN()-29),1,MIN(60,COLUMN()-29))),0)</f>
        <v>83.55255492</v>
      </c>
      <c r="FA380" s="9" t="n">
        <f aca="true">IFERROR(SUMPRODUCT(OFFSET($BJ$31,0,1-MIN(60,COLUMN()-29),1,MIN(60,COLUMN()-29)),OFFSET(FA379,0,-MIN(60,COLUMN()-29),1,MIN(60,COLUMN()-29))),0)</f>
        <v>102.53957556</v>
      </c>
      <c r="FB380" s="9" t="n">
        <f aca="true">IFERROR(SUMPRODUCT(OFFSET($BJ$31,0,1-MIN(60,COLUMN()-29),1,MIN(60,COLUMN()-29)),OFFSET(FB379,0,-MIN(60,COLUMN()-29),1,MIN(60,COLUMN()-29))),0)</f>
        <v>102.89575236</v>
      </c>
      <c r="FC380" s="9" t="n">
        <f aca="true">IFERROR(SUMPRODUCT(OFFSET($BJ$31,0,1-MIN(60,COLUMN()-29),1,MIN(60,COLUMN()-29)),OFFSET(FC379,0,-MIN(60,COLUMN()-29),1,MIN(60,COLUMN()-29))),0)</f>
        <v>102.08930628</v>
      </c>
      <c r="FD380" s="9" t="n">
        <f aca="true">IFERROR(SUMPRODUCT(OFFSET($BJ$31,0,1-MIN(60,COLUMN()-29),1,MIN(60,COLUMN()-29)),OFFSET(FD379,0,-MIN(60,COLUMN()-29),1,MIN(60,COLUMN()-29))),0)</f>
        <v>99.35360916</v>
      </c>
      <c r="FE380" s="9" t="n">
        <f aca="true">IFERROR(SUMPRODUCT(OFFSET($BJ$31,0,1-MIN(60,COLUMN()-29),1,MIN(60,COLUMN()-29)),OFFSET(FE379,0,-MIN(60,COLUMN()-29),1,MIN(60,COLUMN()-29))),0)</f>
        <v>114.24028092</v>
      </c>
      <c r="FF380" s="9" t="n">
        <f aca="true">IFERROR(SUMPRODUCT(OFFSET($BJ$31,0,1-MIN(60,COLUMN()-29),1,MIN(60,COLUMN()-29)),OFFSET(FF379,0,-MIN(60,COLUMN()-29),1,MIN(60,COLUMN()-29))),0)</f>
        <v>120.55888044</v>
      </c>
      <c r="FG380" s="9" t="n">
        <f aca="true">IFERROR(SUMPRODUCT(OFFSET($BJ$31,0,1-MIN(60,COLUMN()-29),1,MIN(60,COLUMN()-29)),OFFSET(FG379,0,-MIN(60,COLUMN()-29),1,MIN(60,COLUMN()-29))),0)</f>
        <v>120.74891244</v>
      </c>
      <c r="FH380" s="9" t="n">
        <f aca="true">IFERROR(SUMPRODUCT(OFFSET($BJ$31,0,1-MIN(60,COLUMN()-29),1,MIN(60,COLUMN()-29)),OFFSET(FH379,0,-MIN(60,COLUMN()-29),1,MIN(60,COLUMN()-29))),0)</f>
        <v>134.78460492</v>
      </c>
      <c r="FI380" s="9" t="n">
        <f aca="true">IFERROR(SUMPRODUCT(OFFSET($BJ$31,0,1-MIN(60,COLUMN()-29),1,MIN(60,COLUMN()-29)),OFFSET(FI379,0,-MIN(60,COLUMN()-29),1,MIN(60,COLUMN()-29))),0)</f>
        <v>138.98936484</v>
      </c>
      <c r="FJ380" s="9" t="n">
        <f aca="true">IFERROR(SUMPRODUCT(OFFSET($BJ$31,0,1-MIN(60,COLUMN()-29),1,MIN(60,COLUMN()-29)),OFFSET(FJ379,0,-MIN(60,COLUMN()-29),1,MIN(60,COLUMN()-29))),0)</f>
        <v>140.30962548</v>
      </c>
      <c r="FK380" s="9" t="n">
        <f aca="true">IFERROR(SUMPRODUCT(OFFSET($BJ$31,0,1-MIN(60,COLUMN()-29),1,MIN(60,COLUMN()-29)),OFFSET(FK379,0,-MIN(60,COLUMN()-29),1,MIN(60,COLUMN()-29))),0)</f>
        <v>140.93240652</v>
      </c>
      <c r="FL380" s="9" t="n">
        <f aca="true">IFERROR(SUMPRODUCT(OFFSET($BJ$31,0,1-MIN(60,COLUMN()-29),1,MIN(60,COLUMN()-29)),OFFSET(FL379,0,-MIN(60,COLUMN()-29),1,MIN(60,COLUMN()-29))),0)</f>
        <v>149.4747534</v>
      </c>
      <c r="FM380" s="9" t="n">
        <f aca="true">IFERROR(SUMPRODUCT(OFFSET($BJ$31,0,1-MIN(60,COLUMN()-29),1,MIN(60,COLUMN()-29)),OFFSET(FM379,0,-MIN(60,COLUMN()-29),1,MIN(60,COLUMN()-29))),0)</f>
        <v>172.66933116</v>
      </c>
      <c r="FN380" s="9" t="n">
        <f aca="true">IFERROR(SUMPRODUCT(OFFSET($BJ$31,0,1-MIN(60,COLUMN()-29),1,MIN(60,COLUMN()-29)),OFFSET(FN379,0,-MIN(60,COLUMN()-29),1,MIN(60,COLUMN()-29))),0)</f>
        <v>173.14600956</v>
      </c>
      <c r="FO380" s="9" t="n">
        <f aca="true">IFERROR(SUMPRODUCT(OFFSET($BJ$31,0,1-MIN(60,COLUMN()-29),1,MIN(60,COLUMN()-29)),OFFSET(FO379,0,-MIN(60,COLUMN()-29),1,MIN(60,COLUMN()-29))),0)</f>
        <v>172.040343</v>
      </c>
      <c r="FP380" s="9" t="n">
        <f aca="true">IFERROR(SUMPRODUCT(OFFSET($BJ$31,0,1-MIN(60,COLUMN()-29),1,MIN(60,COLUMN()-29)),OFFSET(FP379,0,-MIN(60,COLUMN()-29),1,MIN(60,COLUMN()-29))),0)</f>
        <v>168.72879564</v>
      </c>
    </row>
    <row r="381" customFormat="false" ht="15" hidden="false" customHeight="false" outlineLevel="2" collapsed="false">
      <c r="B381" s="47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237"/>
      <c r="AD381" s="237"/>
      <c r="AE381" s="237"/>
      <c r="AF381" s="237"/>
      <c r="AG381" s="237"/>
      <c r="AH381" s="237"/>
      <c r="AI381" s="237"/>
      <c r="AJ381" s="237"/>
      <c r="AK381" s="237"/>
      <c r="AL381" s="237"/>
      <c r="AM381" s="237"/>
      <c r="AN381" s="237"/>
      <c r="AO381" s="237"/>
      <c r="AP381" s="237"/>
      <c r="AQ381" s="237"/>
      <c r="AR381" s="237"/>
      <c r="AS381" s="237"/>
      <c r="AT381" s="237"/>
      <c r="AU381" s="237"/>
      <c r="AV381" s="237"/>
      <c r="AW381" s="237"/>
      <c r="AX381" s="237"/>
      <c r="AY381" s="237"/>
      <c r="AZ381" s="237"/>
      <c r="BA381" s="237"/>
      <c r="BB381" s="237"/>
      <c r="BC381" s="237"/>
      <c r="BD381" s="237"/>
      <c r="BE381" s="237"/>
      <c r="BF381" s="237"/>
      <c r="BG381" s="237"/>
      <c r="BH381" s="237"/>
      <c r="BI381" s="237"/>
      <c r="BJ381" s="237"/>
      <c r="BK381" s="237"/>
      <c r="BL381" s="237"/>
      <c r="BM381" s="237"/>
      <c r="BN381" s="237"/>
      <c r="BO381" s="237"/>
      <c r="BP381" s="237"/>
      <c r="BQ381" s="237"/>
      <c r="BR381" s="237"/>
      <c r="BS381" s="237"/>
      <c r="BT381" s="237"/>
      <c r="BU381" s="237"/>
      <c r="BV381" s="237"/>
      <c r="BW381" s="237"/>
      <c r="BX381" s="237"/>
      <c r="BY381" s="237"/>
      <c r="BZ381" s="237"/>
      <c r="CA381" s="237"/>
      <c r="CB381" s="237"/>
      <c r="CC381" s="237"/>
      <c r="CD381" s="237"/>
      <c r="CE381" s="237"/>
      <c r="CF381" s="237"/>
      <c r="CG381" s="237"/>
      <c r="CH381" s="237"/>
      <c r="CI381" s="237"/>
      <c r="CJ381" s="237"/>
      <c r="CK381" s="237"/>
      <c r="CL381" s="237"/>
      <c r="CM381" s="237"/>
      <c r="CN381" s="237"/>
      <c r="CO381" s="237"/>
      <c r="CP381" s="237"/>
      <c r="CQ381" s="237"/>
      <c r="CR381" s="237"/>
      <c r="CS381" s="237"/>
      <c r="CT381" s="237"/>
      <c r="CU381" s="237"/>
      <c r="CV381" s="237"/>
      <c r="CW381" s="237"/>
      <c r="CX381" s="237"/>
      <c r="CY381" s="237"/>
      <c r="CZ381" s="237"/>
      <c r="DA381" s="237"/>
      <c r="DB381" s="237"/>
      <c r="DC381" s="237"/>
      <c r="DD381" s="237"/>
      <c r="DE381" s="237"/>
      <c r="DF381" s="237"/>
      <c r="DG381" s="237"/>
      <c r="DH381" s="237"/>
      <c r="DI381" s="237"/>
      <c r="DJ381" s="237"/>
      <c r="DK381" s="237"/>
      <c r="DL381" s="237"/>
      <c r="DM381" s="237"/>
      <c r="DN381" s="237"/>
      <c r="DO381" s="237"/>
      <c r="DP381" s="237"/>
      <c r="DQ381" s="237"/>
      <c r="DR381" s="237"/>
      <c r="DS381" s="237"/>
      <c r="DT381" s="237"/>
      <c r="DU381" s="237"/>
      <c r="DV381" s="237"/>
      <c r="DW381" s="237"/>
      <c r="DX381" s="237"/>
      <c r="DY381" s="237"/>
      <c r="DZ381" s="237"/>
      <c r="EA381" s="237"/>
      <c r="EB381" s="237"/>
      <c r="EC381" s="237"/>
      <c r="ED381" s="237"/>
      <c r="EE381" s="237"/>
      <c r="EF381" s="237"/>
      <c r="EG381" s="237"/>
      <c r="EH381" s="237"/>
      <c r="EI381" s="237"/>
      <c r="EJ381" s="237"/>
      <c r="EK381" s="237"/>
      <c r="EL381" s="237"/>
      <c r="EM381" s="237"/>
      <c r="EN381" s="237"/>
      <c r="EO381" s="237"/>
      <c r="EP381" s="237"/>
      <c r="EQ381" s="237"/>
      <c r="ER381" s="237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</row>
    <row r="382" customFormat="false" ht="15" hidden="false" customHeight="false" outlineLevel="2" collapsed="false">
      <c r="B382" s="47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237"/>
      <c r="AD382" s="237"/>
      <c r="AE382" s="237"/>
      <c r="AF382" s="237"/>
      <c r="AG382" s="237"/>
      <c r="AH382" s="237"/>
      <c r="AI382" s="237"/>
      <c r="AJ382" s="237"/>
      <c r="AK382" s="237"/>
      <c r="AL382" s="237"/>
      <c r="AM382" s="237"/>
      <c r="AN382" s="237"/>
      <c r="AO382" s="237"/>
      <c r="AP382" s="237"/>
      <c r="AQ382" s="237"/>
      <c r="AR382" s="237"/>
      <c r="AS382" s="237"/>
      <c r="AT382" s="237"/>
      <c r="AU382" s="237"/>
      <c r="AV382" s="237"/>
      <c r="AW382" s="237"/>
      <c r="AX382" s="237"/>
      <c r="AY382" s="237"/>
      <c r="AZ382" s="237"/>
      <c r="BA382" s="237"/>
      <c r="BB382" s="237"/>
      <c r="BC382" s="237"/>
      <c r="BD382" s="237"/>
      <c r="BE382" s="237"/>
      <c r="BF382" s="237"/>
      <c r="BG382" s="237"/>
      <c r="BH382" s="237"/>
      <c r="BI382" s="237"/>
      <c r="BJ382" s="237"/>
      <c r="BK382" s="237"/>
      <c r="BL382" s="237"/>
      <c r="BM382" s="237"/>
      <c r="BN382" s="237"/>
      <c r="BO382" s="237"/>
      <c r="BP382" s="237"/>
      <c r="BQ382" s="237"/>
      <c r="BR382" s="237"/>
      <c r="BS382" s="237"/>
      <c r="BT382" s="237"/>
      <c r="BU382" s="237"/>
      <c r="BV382" s="237"/>
      <c r="BW382" s="237"/>
      <c r="BX382" s="237"/>
      <c r="BY382" s="237"/>
      <c r="BZ382" s="237"/>
      <c r="CA382" s="237"/>
      <c r="CB382" s="237"/>
      <c r="CC382" s="237"/>
      <c r="CD382" s="237"/>
      <c r="CE382" s="237"/>
      <c r="CF382" s="237"/>
      <c r="CG382" s="237"/>
      <c r="CH382" s="237"/>
      <c r="CI382" s="237"/>
      <c r="CJ382" s="237"/>
      <c r="CK382" s="237"/>
      <c r="CL382" s="237"/>
      <c r="CM382" s="237"/>
      <c r="CN382" s="237"/>
      <c r="CO382" s="237"/>
      <c r="CP382" s="237"/>
      <c r="CQ382" s="237"/>
      <c r="CR382" s="237"/>
      <c r="CS382" s="237"/>
      <c r="CT382" s="237"/>
      <c r="CU382" s="237"/>
      <c r="CV382" s="237"/>
      <c r="CW382" s="237"/>
      <c r="CX382" s="237"/>
      <c r="CY382" s="237"/>
      <c r="CZ382" s="237"/>
      <c r="DA382" s="237"/>
      <c r="DB382" s="237"/>
      <c r="DC382" s="237"/>
      <c r="DD382" s="237"/>
      <c r="DE382" s="237"/>
      <c r="DF382" s="237"/>
      <c r="DG382" s="237"/>
      <c r="DH382" s="237"/>
      <c r="DI382" s="237"/>
      <c r="DJ382" s="237"/>
      <c r="DK382" s="237"/>
      <c r="DL382" s="237"/>
      <c r="DM382" s="237"/>
      <c r="DN382" s="237"/>
      <c r="DO382" s="237"/>
      <c r="DP382" s="237"/>
      <c r="DQ382" s="237"/>
      <c r="DR382" s="237"/>
      <c r="DS382" s="237"/>
      <c r="DT382" s="237"/>
      <c r="DU382" s="237"/>
      <c r="DV382" s="237"/>
      <c r="DW382" s="237"/>
      <c r="DX382" s="237"/>
      <c r="DY382" s="237"/>
      <c r="DZ382" s="237"/>
      <c r="EA382" s="237"/>
      <c r="EB382" s="237"/>
      <c r="EC382" s="237"/>
      <c r="ED382" s="237"/>
      <c r="EE382" s="237"/>
      <c r="EF382" s="237"/>
      <c r="EG382" s="237"/>
      <c r="EH382" s="237"/>
      <c r="EI382" s="237"/>
      <c r="EJ382" s="237"/>
      <c r="EK382" s="237"/>
      <c r="EL382" s="237"/>
      <c r="EM382" s="237"/>
      <c r="EN382" s="237"/>
      <c r="EO382" s="237"/>
      <c r="EP382" s="237"/>
      <c r="EQ382" s="237"/>
      <c r="ER382" s="237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</row>
    <row r="383" customFormat="false" ht="15" hidden="false" customHeight="false" outlineLevel="2" collapsed="false">
      <c r="B383" s="47" t="s">
        <v>911</v>
      </c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237"/>
      <c r="AD383" s="237"/>
      <c r="AE383" s="237"/>
      <c r="AF383" s="237"/>
      <c r="AG383" s="237"/>
      <c r="AH383" s="237"/>
      <c r="AI383" s="237"/>
      <c r="AJ383" s="237"/>
      <c r="AK383" s="237"/>
      <c r="AL383" s="237"/>
      <c r="AM383" s="237"/>
      <c r="AN383" s="237"/>
      <c r="AO383" s="237"/>
      <c r="AP383" s="237"/>
      <c r="AQ383" s="237"/>
      <c r="AR383" s="237"/>
      <c r="AS383" s="237"/>
      <c r="AT383" s="237"/>
      <c r="AU383" s="237"/>
      <c r="AV383" s="237"/>
      <c r="AW383" s="237"/>
      <c r="AX383" s="237"/>
      <c r="AY383" s="237"/>
      <c r="AZ383" s="237"/>
      <c r="BA383" s="237"/>
      <c r="BB383" s="237"/>
      <c r="BC383" s="237"/>
      <c r="BD383" s="237"/>
      <c r="BE383" s="237"/>
      <c r="BF383" s="237"/>
      <c r="BG383" s="237"/>
      <c r="BH383" s="237"/>
      <c r="BI383" s="237"/>
      <c r="BJ383" s="237"/>
      <c r="BK383" s="237"/>
      <c r="BL383" s="237"/>
      <c r="BM383" s="237"/>
      <c r="BN383" s="237"/>
      <c r="BO383" s="237"/>
      <c r="BP383" s="237"/>
      <c r="BQ383" s="237"/>
      <c r="BR383" s="237"/>
      <c r="BS383" s="237"/>
      <c r="BT383" s="237"/>
      <c r="BU383" s="237"/>
      <c r="BV383" s="237"/>
      <c r="BW383" s="237"/>
      <c r="BX383" s="237"/>
      <c r="BY383" s="237"/>
      <c r="BZ383" s="237"/>
      <c r="CA383" s="237"/>
      <c r="CB383" s="237"/>
      <c r="CC383" s="237"/>
      <c r="CD383" s="237"/>
      <c r="CE383" s="237"/>
      <c r="CF383" s="237"/>
      <c r="CG383" s="237"/>
      <c r="CH383" s="237"/>
      <c r="CI383" s="237"/>
      <c r="CJ383" s="237"/>
      <c r="CK383" s="237"/>
      <c r="CL383" s="237"/>
      <c r="CM383" s="237"/>
      <c r="CN383" s="237"/>
      <c r="CO383" s="237"/>
      <c r="CP383" s="237"/>
      <c r="CQ383" s="237"/>
      <c r="CR383" s="237"/>
      <c r="CS383" s="237"/>
      <c r="CT383" s="237"/>
      <c r="CU383" s="237"/>
      <c r="CV383" s="237"/>
      <c r="CW383" s="237"/>
      <c r="CX383" s="237"/>
      <c r="CY383" s="237"/>
      <c r="CZ383" s="237"/>
      <c r="DA383" s="237"/>
      <c r="DB383" s="237"/>
      <c r="DC383" s="237"/>
      <c r="DD383" s="237"/>
      <c r="DE383" s="237"/>
      <c r="DF383" s="237"/>
      <c r="DG383" s="237"/>
      <c r="DH383" s="237"/>
      <c r="DI383" s="237"/>
      <c r="DJ383" s="237"/>
      <c r="DK383" s="237"/>
      <c r="DL383" s="237"/>
      <c r="DM383" s="237"/>
      <c r="DN383" s="237"/>
      <c r="DO383" s="237"/>
      <c r="DP383" s="237"/>
      <c r="DQ383" s="237"/>
      <c r="DR383" s="237"/>
      <c r="DS383" s="237"/>
      <c r="DT383" s="237"/>
      <c r="DU383" s="237"/>
      <c r="DV383" s="237"/>
      <c r="DW383" s="237"/>
      <c r="DX383" s="237"/>
      <c r="DY383" s="237"/>
      <c r="DZ383" s="237"/>
      <c r="EA383" s="237"/>
      <c r="EB383" s="237"/>
      <c r="EC383" s="237"/>
      <c r="ED383" s="237"/>
      <c r="EE383" s="237"/>
      <c r="EF383" s="237"/>
      <c r="EG383" s="237"/>
      <c r="EH383" s="237"/>
      <c r="EI383" s="237"/>
      <c r="EJ383" s="237"/>
      <c r="EK383" s="237"/>
      <c r="EL383" s="237"/>
      <c r="EM383" s="237"/>
      <c r="EN383" s="237"/>
      <c r="EO383" s="237"/>
      <c r="EP383" s="237"/>
      <c r="EQ383" s="237"/>
      <c r="ER383" s="237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</row>
    <row r="384" customFormat="false" ht="15" hidden="false" customHeight="false" outlineLevel="2" collapsed="false">
      <c r="B384" s="47" t="s">
        <v>872</v>
      </c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237" t="n">
        <f aca="false">('⑫ Roll-out Plan'!G43-2025)*12+'⑫ Roll-out Plan'!F43</f>
        <v>101</v>
      </c>
      <c r="AD384" s="237"/>
      <c r="AE384" s="237"/>
      <c r="AF384" s="237"/>
      <c r="AG384" s="237"/>
      <c r="AH384" s="237"/>
      <c r="AI384" s="237"/>
      <c r="AJ384" s="237"/>
      <c r="AK384" s="237"/>
      <c r="AL384" s="237"/>
      <c r="AM384" s="237"/>
      <c r="AN384" s="237"/>
      <c r="AO384" s="237"/>
      <c r="AP384" s="237"/>
      <c r="AQ384" s="237"/>
      <c r="AR384" s="237"/>
      <c r="AS384" s="237"/>
      <c r="AT384" s="237"/>
      <c r="AU384" s="237"/>
      <c r="AV384" s="237"/>
      <c r="AW384" s="237"/>
      <c r="AX384" s="237"/>
      <c r="AY384" s="237"/>
      <c r="AZ384" s="237"/>
      <c r="BA384" s="237"/>
      <c r="BB384" s="237"/>
      <c r="BC384" s="237"/>
      <c r="BD384" s="237"/>
      <c r="BE384" s="237"/>
      <c r="BF384" s="237"/>
      <c r="BG384" s="237"/>
      <c r="BH384" s="237"/>
      <c r="BI384" s="237"/>
      <c r="BJ384" s="237"/>
      <c r="BK384" s="237"/>
      <c r="BL384" s="237"/>
      <c r="BM384" s="237"/>
      <c r="BN384" s="237"/>
      <c r="BO384" s="237"/>
      <c r="BP384" s="237"/>
      <c r="BQ384" s="237"/>
      <c r="BR384" s="237"/>
      <c r="BS384" s="237"/>
      <c r="BT384" s="237"/>
      <c r="BU384" s="237"/>
      <c r="BV384" s="237"/>
      <c r="BW384" s="237"/>
      <c r="BX384" s="237"/>
      <c r="BY384" s="237"/>
      <c r="BZ384" s="237"/>
      <c r="CA384" s="237"/>
      <c r="CB384" s="237"/>
      <c r="CC384" s="237"/>
      <c r="CD384" s="237"/>
      <c r="CE384" s="237"/>
      <c r="CF384" s="237"/>
      <c r="CG384" s="237"/>
      <c r="CH384" s="237"/>
      <c r="CI384" s="237"/>
      <c r="CJ384" s="237"/>
      <c r="CK384" s="237"/>
      <c r="CL384" s="237"/>
      <c r="CM384" s="237"/>
      <c r="CN384" s="237"/>
      <c r="CO384" s="237"/>
      <c r="CP384" s="237"/>
      <c r="CQ384" s="237"/>
      <c r="CR384" s="237"/>
      <c r="CS384" s="237"/>
      <c r="CT384" s="237"/>
      <c r="CU384" s="237"/>
      <c r="CV384" s="237"/>
      <c r="CW384" s="237"/>
      <c r="CX384" s="237"/>
      <c r="CY384" s="237"/>
      <c r="CZ384" s="237"/>
      <c r="DA384" s="237"/>
      <c r="DB384" s="237"/>
      <c r="DC384" s="237"/>
      <c r="DD384" s="237"/>
      <c r="DE384" s="237"/>
      <c r="DF384" s="237"/>
      <c r="DG384" s="237"/>
      <c r="DH384" s="237"/>
      <c r="DI384" s="237"/>
      <c r="DJ384" s="237"/>
      <c r="DK384" s="237"/>
      <c r="DL384" s="237"/>
      <c r="DM384" s="237"/>
      <c r="DN384" s="237"/>
      <c r="DO384" s="237"/>
      <c r="DP384" s="237"/>
      <c r="DQ384" s="237"/>
      <c r="DR384" s="237"/>
      <c r="DS384" s="237"/>
      <c r="DT384" s="237"/>
      <c r="DU384" s="237"/>
      <c r="DV384" s="237"/>
      <c r="DW384" s="237"/>
      <c r="DX384" s="237"/>
      <c r="DY384" s="237"/>
      <c r="DZ384" s="237"/>
      <c r="EA384" s="237"/>
      <c r="EB384" s="237"/>
      <c r="EC384" s="237"/>
      <c r="ED384" s="237"/>
      <c r="EE384" s="237"/>
      <c r="EF384" s="237"/>
      <c r="EG384" s="237"/>
      <c r="EH384" s="237"/>
      <c r="EI384" s="237"/>
      <c r="EJ384" s="237"/>
      <c r="EK384" s="237"/>
      <c r="EL384" s="237"/>
      <c r="EM384" s="237"/>
      <c r="EN384" s="237"/>
      <c r="EO384" s="237"/>
      <c r="EP384" s="237"/>
      <c r="EQ384" s="237"/>
      <c r="ER384" s="237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</row>
    <row r="385" customFormat="false" ht="15" hidden="false" customHeight="false" outlineLevel="2" collapsed="false">
      <c r="B385" s="47" t="s">
        <v>873</v>
      </c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237" t="n">
        <f aca="false">VLOOKUP("C",$B$14:$C$18,2,FALSE())</f>
        <v>110</v>
      </c>
      <c r="AD385" s="237"/>
      <c r="AE385" s="237"/>
      <c r="AF385" s="237"/>
      <c r="AG385" s="237"/>
      <c r="AH385" s="237"/>
      <c r="AI385" s="237"/>
      <c r="AJ385" s="237"/>
      <c r="AK385" s="237"/>
      <c r="AL385" s="237"/>
      <c r="AM385" s="237"/>
      <c r="AN385" s="237"/>
      <c r="AO385" s="237"/>
      <c r="AP385" s="237"/>
      <c r="AQ385" s="237"/>
      <c r="AR385" s="237"/>
      <c r="AS385" s="237"/>
      <c r="AT385" s="237"/>
      <c r="AU385" s="237"/>
      <c r="AV385" s="237"/>
      <c r="AW385" s="237"/>
      <c r="AX385" s="237"/>
      <c r="AY385" s="237"/>
      <c r="AZ385" s="237"/>
      <c r="BA385" s="237"/>
      <c r="BB385" s="237"/>
      <c r="BC385" s="237"/>
      <c r="BD385" s="237"/>
      <c r="BE385" s="237"/>
      <c r="BF385" s="237"/>
      <c r="BG385" s="237"/>
      <c r="BH385" s="237"/>
      <c r="BI385" s="237"/>
      <c r="BJ385" s="237"/>
      <c r="BK385" s="237"/>
      <c r="BL385" s="237"/>
      <c r="BM385" s="237"/>
      <c r="BN385" s="237"/>
      <c r="BO385" s="237"/>
      <c r="BP385" s="237"/>
      <c r="BQ385" s="237"/>
      <c r="BR385" s="237"/>
      <c r="BS385" s="237"/>
      <c r="BT385" s="237"/>
      <c r="BU385" s="237"/>
      <c r="BV385" s="237"/>
      <c r="BW385" s="237"/>
      <c r="BX385" s="237"/>
      <c r="BY385" s="237"/>
      <c r="BZ385" s="237"/>
      <c r="CA385" s="237"/>
      <c r="CB385" s="237"/>
      <c r="CC385" s="237"/>
      <c r="CD385" s="237"/>
      <c r="CE385" s="237"/>
      <c r="CF385" s="237"/>
      <c r="CG385" s="237"/>
      <c r="CH385" s="237"/>
      <c r="CI385" s="237"/>
      <c r="CJ385" s="237"/>
      <c r="CK385" s="237"/>
      <c r="CL385" s="237"/>
      <c r="CM385" s="237"/>
      <c r="CN385" s="237"/>
      <c r="CO385" s="237"/>
      <c r="CP385" s="237"/>
      <c r="CQ385" s="237"/>
      <c r="CR385" s="237"/>
      <c r="CS385" s="237"/>
      <c r="CT385" s="237"/>
      <c r="CU385" s="237"/>
      <c r="CV385" s="237"/>
      <c r="CW385" s="237"/>
      <c r="CX385" s="237"/>
      <c r="CY385" s="237"/>
      <c r="CZ385" s="237"/>
      <c r="DA385" s="237"/>
      <c r="DB385" s="237"/>
      <c r="DC385" s="237"/>
      <c r="DD385" s="237"/>
      <c r="DE385" s="237"/>
      <c r="DF385" s="237"/>
      <c r="DG385" s="237"/>
      <c r="DH385" s="237"/>
      <c r="DI385" s="237"/>
      <c r="DJ385" s="237"/>
      <c r="DK385" s="237"/>
      <c r="DL385" s="237"/>
      <c r="DM385" s="237"/>
      <c r="DN385" s="237"/>
      <c r="DO385" s="237"/>
      <c r="DP385" s="237"/>
      <c r="DQ385" s="237"/>
      <c r="DR385" s="237"/>
      <c r="DS385" s="237"/>
      <c r="DT385" s="237"/>
      <c r="DU385" s="237"/>
      <c r="DV385" s="237"/>
      <c r="DW385" s="237"/>
      <c r="DX385" s="237"/>
      <c r="DY385" s="237"/>
      <c r="DZ385" s="237"/>
      <c r="EA385" s="237"/>
      <c r="EB385" s="237"/>
      <c r="EC385" s="237"/>
      <c r="ED385" s="237"/>
      <c r="EE385" s="237"/>
      <c r="EF385" s="237"/>
      <c r="EG385" s="237"/>
      <c r="EH385" s="237"/>
      <c r="EI385" s="237"/>
      <c r="EJ385" s="237"/>
      <c r="EK385" s="237"/>
      <c r="EL385" s="237"/>
      <c r="EM385" s="237"/>
      <c r="EN385" s="237"/>
      <c r="EO385" s="237"/>
      <c r="EP385" s="237"/>
      <c r="EQ385" s="237"/>
      <c r="ER385" s="237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9"/>
      <c r="FH385" s="9"/>
      <c r="FI385" s="9"/>
      <c r="FJ385" s="9"/>
      <c r="FK385" s="9"/>
      <c r="FL385" s="9"/>
      <c r="FM385" s="9"/>
      <c r="FN385" s="9"/>
      <c r="FO385" s="9"/>
      <c r="FP385" s="9"/>
    </row>
    <row r="386" customFormat="false" ht="15" hidden="false" customHeight="false" outlineLevel="2" collapsed="false">
      <c r="B386" s="47" t="s">
        <v>799</v>
      </c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237" t="n">
        <f aca="false">IF(AC$35&gt;=$AC$384,AC$35-$AC$384+1,0)</f>
        <v>0</v>
      </c>
      <c r="AD386" s="237" t="n">
        <f aca="false">IF(AD$35&gt;=$AC$384,AD$35-$AC$384+1,0)</f>
        <v>0</v>
      </c>
      <c r="AE386" s="237" t="n">
        <f aca="false">IF(AE$35&gt;=$AC$384,AE$35-$AC$384+1,0)</f>
        <v>0</v>
      </c>
      <c r="AF386" s="237" t="n">
        <f aca="false">IF(AF$35&gt;=$AC$384,AF$35-$AC$384+1,0)</f>
        <v>0</v>
      </c>
      <c r="AG386" s="237" t="n">
        <f aca="false">IF(AG$35&gt;=$AC$384,AG$35-$AC$384+1,0)</f>
        <v>0</v>
      </c>
      <c r="AH386" s="237" t="n">
        <f aca="false">IF(AH$35&gt;=$AC$384,AH$35-$AC$384+1,0)</f>
        <v>0</v>
      </c>
      <c r="AI386" s="237" t="n">
        <f aca="false">IF(AI$35&gt;=$AC$384,AI$35-$AC$384+1,0)</f>
        <v>0</v>
      </c>
      <c r="AJ386" s="237" t="n">
        <f aca="false">IF(AJ$35&gt;=$AC$384,AJ$35-$AC$384+1,0)</f>
        <v>0</v>
      </c>
      <c r="AK386" s="237" t="n">
        <f aca="false">IF(AK$35&gt;=$AC$384,AK$35-$AC$384+1,0)</f>
        <v>0</v>
      </c>
      <c r="AL386" s="237" t="n">
        <f aca="false">IF(AL$35&gt;=$AC$384,AL$35-$AC$384+1,0)</f>
        <v>0</v>
      </c>
      <c r="AM386" s="237" t="n">
        <f aca="false">IF(AM$35&gt;=$AC$384,AM$35-$AC$384+1,0)</f>
        <v>0</v>
      </c>
      <c r="AN386" s="237" t="n">
        <f aca="false">IF(AN$35&gt;=$AC$384,AN$35-$AC$384+1,0)</f>
        <v>0</v>
      </c>
      <c r="AO386" s="237" t="n">
        <f aca="false">IF(AO$35&gt;=$AC$384,AO$35-$AC$384+1,0)</f>
        <v>0</v>
      </c>
      <c r="AP386" s="237" t="n">
        <f aca="false">IF(AP$35&gt;=$AC$384,AP$35-$AC$384+1,0)</f>
        <v>0</v>
      </c>
      <c r="AQ386" s="237" t="n">
        <f aca="false">IF(AQ$35&gt;=$AC$384,AQ$35-$AC$384+1,0)</f>
        <v>0</v>
      </c>
      <c r="AR386" s="237" t="n">
        <f aca="false">IF(AR$35&gt;=$AC$384,AR$35-$AC$384+1,0)</f>
        <v>0</v>
      </c>
      <c r="AS386" s="237" t="n">
        <f aca="false">IF(AS$35&gt;=$AC$384,AS$35-$AC$384+1,0)</f>
        <v>0</v>
      </c>
      <c r="AT386" s="237" t="n">
        <f aca="false">IF(AT$35&gt;=$AC$384,AT$35-$AC$384+1,0)</f>
        <v>0</v>
      </c>
      <c r="AU386" s="237" t="n">
        <f aca="false">IF(AU$35&gt;=$AC$384,AU$35-$AC$384+1,0)</f>
        <v>0</v>
      </c>
      <c r="AV386" s="237" t="n">
        <f aca="false">IF(AV$35&gt;=$AC$384,AV$35-$AC$384+1,0)</f>
        <v>0</v>
      </c>
      <c r="AW386" s="237" t="n">
        <f aca="false">IF(AW$35&gt;=$AC$384,AW$35-$AC$384+1,0)</f>
        <v>0</v>
      </c>
      <c r="AX386" s="237" t="n">
        <f aca="false">IF(AX$35&gt;=$AC$384,AX$35-$AC$384+1,0)</f>
        <v>0</v>
      </c>
      <c r="AY386" s="237" t="n">
        <f aca="false">IF(AY$35&gt;=$AC$384,AY$35-$AC$384+1,0)</f>
        <v>0</v>
      </c>
      <c r="AZ386" s="237" t="n">
        <f aca="false">IF(AZ$35&gt;=$AC$384,AZ$35-$AC$384+1,0)</f>
        <v>0</v>
      </c>
      <c r="BA386" s="237" t="n">
        <f aca="false">IF(BA$35&gt;=$AC$384,BA$35-$AC$384+1,0)</f>
        <v>0</v>
      </c>
      <c r="BB386" s="237" t="n">
        <f aca="false">IF(BB$35&gt;=$AC$384,BB$35-$AC$384+1,0)</f>
        <v>0</v>
      </c>
      <c r="BC386" s="237" t="n">
        <f aca="false">IF(BC$35&gt;=$AC$384,BC$35-$AC$384+1,0)</f>
        <v>0</v>
      </c>
      <c r="BD386" s="237" t="n">
        <f aca="false">IF(BD$35&gt;=$AC$384,BD$35-$AC$384+1,0)</f>
        <v>0</v>
      </c>
      <c r="BE386" s="237" t="n">
        <f aca="false">IF(BE$35&gt;=$AC$384,BE$35-$AC$384+1,0)</f>
        <v>0</v>
      </c>
      <c r="BF386" s="237" t="n">
        <f aca="false">IF(BF$35&gt;=$AC$384,BF$35-$AC$384+1,0)</f>
        <v>0</v>
      </c>
      <c r="BG386" s="237" t="n">
        <f aca="false">IF(BG$35&gt;=$AC$384,BG$35-$AC$384+1,0)</f>
        <v>0</v>
      </c>
      <c r="BH386" s="237" t="n">
        <f aca="false">IF(BH$35&gt;=$AC$384,BH$35-$AC$384+1,0)</f>
        <v>0</v>
      </c>
      <c r="BI386" s="237" t="n">
        <f aca="false">IF(BI$35&gt;=$AC$384,BI$35-$AC$384+1,0)</f>
        <v>0</v>
      </c>
      <c r="BJ386" s="237" t="n">
        <f aca="false">IF(BJ$35&gt;=$AC$384,BJ$35-$AC$384+1,0)</f>
        <v>0</v>
      </c>
      <c r="BK386" s="237" t="n">
        <f aca="false">IF(BK$35&gt;=$AC$384,BK$35-$AC$384+1,0)</f>
        <v>0</v>
      </c>
      <c r="BL386" s="237" t="n">
        <f aca="false">IF(BL$35&gt;=$AC$384,BL$35-$AC$384+1,0)</f>
        <v>0</v>
      </c>
      <c r="BM386" s="237" t="n">
        <f aca="false">IF(BM$35&gt;=$AC$384,BM$35-$AC$384+1,0)</f>
        <v>0</v>
      </c>
      <c r="BN386" s="237" t="n">
        <f aca="false">IF(BN$35&gt;=$AC$384,BN$35-$AC$384+1,0)</f>
        <v>0</v>
      </c>
      <c r="BO386" s="237" t="n">
        <f aca="false">IF(BO$35&gt;=$AC$384,BO$35-$AC$384+1,0)</f>
        <v>0</v>
      </c>
      <c r="BP386" s="237" t="n">
        <f aca="false">IF(BP$35&gt;=$AC$384,BP$35-$AC$384+1,0)</f>
        <v>0</v>
      </c>
      <c r="BQ386" s="237" t="n">
        <f aca="false">IF(BQ$35&gt;=$AC$384,BQ$35-$AC$384+1,0)</f>
        <v>0</v>
      </c>
      <c r="BR386" s="237" t="n">
        <f aca="false">IF(BR$35&gt;=$AC$384,BR$35-$AC$384+1,0)</f>
        <v>0</v>
      </c>
      <c r="BS386" s="237" t="n">
        <f aca="false">IF(BS$35&gt;=$AC$384,BS$35-$AC$384+1,0)</f>
        <v>0</v>
      </c>
      <c r="BT386" s="237" t="n">
        <f aca="false">IF(BT$35&gt;=$AC$384,BT$35-$AC$384+1,0)</f>
        <v>0</v>
      </c>
      <c r="BU386" s="237" t="n">
        <f aca="false">IF(BU$35&gt;=$AC$384,BU$35-$AC$384+1,0)</f>
        <v>0</v>
      </c>
      <c r="BV386" s="237" t="n">
        <f aca="false">IF(BV$35&gt;=$AC$384,BV$35-$AC$384+1,0)</f>
        <v>0</v>
      </c>
      <c r="BW386" s="237" t="n">
        <f aca="false">IF(BW$35&gt;=$AC$384,BW$35-$AC$384+1,0)</f>
        <v>0</v>
      </c>
      <c r="BX386" s="237" t="n">
        <f aca="false">IF(BX$35&gt;=$AC$384,BX$35-$AC$384+1,0)</f>
        <v>0</v>
      </c>
      <c r="BY386" s="237" t="n">
        <f aca="false">IF(BY$35&gt;=$AC$384,BY$35-$AC$384+1,0)</f>
        <v>0</v>
      </c>
      <c r="BZ386" s="237" t="n">
        <f aca="false">IF(BZ$35&gt;=$AC$384,BZ$35-$AC$384+1,0)</f>
        <v>0</v>
      </c>
      <c r="CA386" s="237" t="n">
        <f aca="false">IF(CA$35&gt;=$AC$384,CA$35-$AC$384+1,0)</f>
        <v>0</v>
      </c>
      <c r="CB386" s="237" t="n">
        <f aca="false">IF(CB$35&gt;=$AC$384,CB$35-$AC$384+1,0)</f>
        <v>0</v>
      </c>
      <c r="CC386" s="237" t="n">
        <f aca="false">IF(CC$35&gt;=$AC$384,CC$35-$AC$384+1,0)</f>
        <v>0</v>
      </c>
      <c r="CD386" s="237" t="n">
        <f aca="false">IF(CD$35&gt;=$AC$384,CD$35-$AC$384+1,0)</f>
        <v>0</v>
      </c>
      <c r="CE386" s="237" t="n">
        <f aca="false">IF(CE$35&gt;=$AC$384,CE$35-$AC$384+1,0)</f>
        <v>0</v>
      </c>
      <c r="CF386" s="237" t="n">
        <f aca="false">IF(CF$35&gt;=$AC$384,CF$35-$AC$384+1,0)</f>
        <v>0</v>
      </c>
      <c r="CG386" s="237" t="n">
        <f aca="false">IF(CG$35&gt;=$AC$384,CG$35-$AC$384+1,0)</f>
        <v>0</v>
      </c>
      <c r="CH386" s="237" t="n">
        <f aca="false">IF(CH$35&gt;=$AC$384,CH$35-$AC$384+1,0)</f>
        <v>0</v>
      </c>
      <c r="CI386" s="237" t="n">
        <f aca="false">IF(CI$35&gt;=$AC$384,CI$35-$AC$384+1,0)</f>
        <v>0</v>
      </c>
      <c r="CJ386" s="237" t="n">
        <f aca="false">IF(CJ$35&gt;=$AC$384,CJ$35-$AC$384+1,0)</f>
        <v>0</v>
      </c>
      <c r="CK386" s="237" t="n">
        <f aca="false">IF(CK$35&gt;=$AC$384,CK$35-$AC$384+1,0)</f>
        <v>0</v>
      </c>
      <c r="CL386" s="237" t="n">
        <f aca="false">IF(CL$35&gt;=$AC$384,CL$35-$AC$384+1,0)</f>
        <v>0</v>
      </c>
      <c r="CM386" s="237" t="n">
        <f aca="false">IF(CM$35&gt;=$AC$384,CM$35-$AC$384+1,0)</f>
        <v>0</v>
      </c>
      <c r="CN386" s="237" t="n">
        <f aca="false">IF(CN$35&gt;=$AC$384,CN$35-$AC$384+1,0)</f>
        <v>0</v>
      </c>
      <c r="CO386" s="237" t="n">
        <f aca="false">IF(CO$35&gt;=$AC$384,CO$35-$AC$384+1,0)</f>
        <v>0</v>
      </c>
      <c r="CP386" s="237" t="n">
        <f aca="false">IF(CP$35&gt;=$AC$384,CP$35-$AC$384+1,0)</f>
        <v>0</v>
      </c>
      <c r="CQ386" s="237" t="n">
        <f aca="false">IF(CQ$35&gt;=$AC$384,CQ$35-$AC$384+1,0)</f>
        <v>0</v>
      </c>
      <c r="CR386" s="237" t="n">
        <f aca="false">IF(CR$35&gt;=$AC$384,CR$35-$AC$384+1,0)</f>
        <v>0</v>
      </c>
      <c r="CS386" s="237" t="n">
        <f aca="false">IF(CS$35&gt;=$AC$384,CS$35-$AC$384+1,0)</f>
        <v>0</v>
      </c>
      <c r="CT386" s="237" t="n">
        <f aca="false">IF(CT$35&gt;=$AC$384,CT$35-$AC$384+1,0)</f>
        <v>0</v>
      </c>
      <c r="CU386" s="237" t="n">
        <f aca="false">IF(CU$35&gt;=$AC$384,CU$35-$AC$384+1,0)</f>
        <v>0</v>
      </c>
      <c r="CV386" s="237" t="n">
        <f aca="false">IF(CV$35&gt;=$AC$384,CV$35-$AC$384+1,0)</f>
        <v>0</v>
      </c>
      <c r="CW386" s="237" t="n">
        <f aca="false">IF(CW$35&gt;=$AC$384,CW$35-$AC$384+1,0)</f>
        <v>0</v>
      </c>
      <c r="CX386" s="237" t="n">
        <f aca="false">IF(CX$35&gt;=$AC$384,CX$35-$AC$384+1,0)</f>
        <v>0</v>
      </c>
      <c r="CY386" s="237" t="n">
        <f aca="false">IF(CY$35&gt;=$AC$384,CY$35-$AC$384+1,0)</f>
        <v>0</v>
      </c>
      <c r="CZ386" s="237" t="n">
        <f aca="false">IF(CZ$35&gt;=$AC$384,CZ$35-$AC$384+1,0)</f>
        <v>0</v>
      </c>
      <c r="DA386" s="237" t="n">
        <f aca="false">IF(DA$35&gt;=$AC$384,DA$35-$AC$384+1,0)</f>
        <v>0</v>
      </c>
      <c r="DB386" s="237" t="n">
        <f aca="false">IF(DB$35&gt;=$AC$384,DB$35-$AC$384+1,0)</f>
        <v>0</v>
      </c>
      <c r="DC386" s="237" t="n">
        <f aca="false">IF(DC$35&gt;=$AC$384,DC$35-$AC$384+1,0)</f>
        <v>0</v>
      </c>
      <c r="DD386" s="237" t="n">
        <f aca="false">IF(DD$35&gt;=$AC$384,DD$35-$AC$384+1,0)</f>
        <v>0</v>
      </c>
      <c r="DE386" s="237" t="n">
        <f aca="false">IF(DE$35&gt;=$AC$384,DE$35-$AC$384+1,0)</f>
        <v>0</v>
      </c>
      <c r="DF386" s="237" t="n">
        <f aca="false">IF(DF$35&gt;=$AC$384,DF$35-$AC$384+1,0)</f>
        <v>0</v>
      </c>
      <c r="DG386" s="237" t="n">
        <f aca="false">IF(DG$35&gt;=$AC$384,DG$35-$AC$384+1,0)</f>
        <v>0</v>
      </c>
      <c r="DH386" s="237" t="n">
        <f aca="false">IF(DH$35&gt;=$AC$384,DH$35-$AC$384+1,0)</f>
        <v>0</v>
      </c>
      <c r="DI386" s="237" t="n">
        <f aca="false">IF(DI$35&gt;=$AC$384,DI$35-$AC$384+1,0)</f>
        <v>0</v>
      </c>
      <c r="DJ386" s="237" t="n">
        <f aca="false">IF(DJ$35&gt;=$AC$384,DJ$35-$AC$384+1,0)</f>
        <v>0</v>
      </c>
      <c r="DK386" s="237" t="n">
        <f aca="false">IF(DK$35&gt;=$AC$384,DK$35-$AC$384+1,0)</f>
        <v>0</v>
      </c>
      <c r="DL386" s="237" t="n">
        <f aca="false">IF(DL$35&gt;=$AC$384,DL$35-$AC$384+1,0)</f>
        <v>0</v>
      </c>
      <c r="DM386" s="237" t="n">
        <f aca="false">IF(DM$35&gt;=$AC$384,DM$35-$AC$384+1,0)</f>
        <v>0</v>
      </c>
      <c r="DN386" s="237" t="n">
        <f aca="false">IF(DN$35&gt;=$AC$384,DN$35-$AC$384+1,0)</f>
        <v>0</v>
      </c>
      <c r="DO386" s="237" t="n">
        <f aca="false">IF(DO$35&gt;=$AC$384,DO$35-$AC$384+1,0)</f>
        <v>0</v>
      </c>
      <c r="DP386" s="237" t="n">
        <f aca="false">IF(DP$35&gt;=$AC$384,DP$35-$AC$384+1,0)</f>
        <v>0</v>
      </c>
      <c r="DQ386" s="237" t="n">
        <f aca="false">IF(DQ$35&gt;=$AC$384,DQ$35-$AC$384+1,0)</f>
        <v>0</v>
      </c>
      <c r="DR386" s="237" t="n">
        <f aca="false">IF(DR$35&gt;=$AC$384,DR$35-$AC$384+1,0)</f>
        <v>0</v>
      </c>
      <c r="DS386" s="237" t="n">
        <f aca="false">IF(DS$35&gt;=$AC$384,DS$35-$AC$384+1,0)</f>
        <v>0</v>
      </c>
      <c r="DT386" s="237" t="n">
        <f aca="false">IF(DT$35&gt;=$AC$384,DT$35-$AC$384+1,0)</f>
        <v>0</v>
      </c>
      <c r="DU386" s="237" t="n">
        <f aca="false">IF(DU$35&gt;=$AC$384,DU$35-$AC$384+1,0)</f>
        <v>0</v>
      </c>
      <c r="DV386" s="237" t="n">
        <f aca="false">IF(DV$35&gt;=$AC$384,DV$35-$AC$384+1,0)</f>
        <v>0</v>
      </c>
      <c r="DW386" s="237" t="n">
        <f aca="false">IF(DW$35&gt;=$AC$384,DW$35-$AC$384+1,0)</f>
        <v>0</v>
      </c>
      <c r="DX386" s="237" t="n">
        <f aca="false">IF(DX$35&gt;=$AC$384,DX$35-$AC$384+1,0)</f>
        <v>0</v>
      </c>
      <c r="DY386" s="237" t="n">
        <f aca="false">IF(DY$35&gt;=$AC$384,DY$35-$AC$384+1,0)</f>
        <v>1</v>
      </c>
      <c r="DZ386" s="237" t="n">
        <f aca="false">IF(DZ$35&gt;=$AC$384,DZ$35-$AC$384+1,0)</f>
        <v>2</v>
      </c>
      <c r="EA386" s="237" t="n">
        <f aca="false">IF(EA$35&gt;=$AC$384,EA$35-$AC$384+1,0)</f>
        <v>3</v>
      </c>
      <c r="EB386" s="237" t="n">
        <f aca="false">IF(EB$35&gt;=$AC$384,EB$35-$AC$384+1,0)</f>
        <v>4</v>
      </c>
      <c r="EC386" s="237" t="n">
        <f aca="false">IF(EC$35&gt;=$AC$384,EC$35-$AC$384+1,0)</f>
        <v>5</v>
      </c>
      <c r="ED386" s="237" t="n">
        <f aca="false">IF(ED$35&gt;=$AC$384,ED$35-$AC$384+1,0)</f>
        <v>6</v>
      </c>
      <c r="EE386" s="237" t="n">
        <f aca="false">IF(EE$35&gt;=$AC$384,EE$35-$AC$384+1,0)</f>
        <v>7</v>
      </c>
      <c r="EF386" s="237" t="n">
        <f aca="false">IF(EF$35&gt;=$AC$384,EF$35-$AC$384+1,0)</f>
        <v>8</v>
      </c>
      <c r="EG386" s="237" t="n">
        <f aca="false">IF(EG$35&gt;=$AC$384,EG$35-$AC$384+1,0)</f>
        <v>9</v>
      </c>
      <c r="EH386" s="237" t="n">
        <f aca="false">IF(EH$35&gt;=$AC$384,EH$35-$AC$384+1,0)</f>
        <v>10</v>
      </c>
      <c r="EI386" s="237" t="n">
        <f aca="false">IF(EI$35&gt;=$AC$384,EI$35-$AC$384+1,0)</f>
        <v>11</v>
      </c>
      <c r="EJ386" s="237" t="n">
        <f aca="false">IF(EJ$35&gt;=$AC$384,EJ$35-$AC$384+1,0)</f>
        <v>12</v>
      </c>
      <c r="EK386" s="237" t="n">
        <f aca="false">IF(EK$35&gt;=$AC$384,EK$35-$AC$384+1,0)</f>
        <v>13</v>
      </c>
      <c r="EL386" s="237" t="n">
        <f aca="false">IF(EL$35&gt;=$AC$384,EL$35-$AC$384+1,0)</f>
        <v>14</v>
      </c>
      <c r="EM386" s="237" t="n">
        <f aca="false">IF(EM$35&gt;=$AC$384,EM$35-$AC$384+1,0)</f>
        <v>15</v>
      </c>
      <c r="EN386" s="237" t="n">
        <f aca="false">IF(EN$35&gt;=$AC$384,EN$35-$AC$384+1,0)</f>
        <v>16</v>
      </c>
      <c r="EO386" s="237" t="n">
        <f aca="false">IF(EO$35&gt;=$AC$384,EO$35-$AC$384+1,0)</f>
        <v>17</v>
      </c>
      <c r="EP386" s="237" t="n">
        <f aca="false">IF(EP$35&gt;=$AC$384,EP$35-$AC$384+1,0)</f>
        <v>18</v>
      </c>
      <c r="EQ386" s="237" t="n">
        <f aca="false">IF(EQ$35&gt;=$AC$384,EQ$35-$AC$384+1,0)</f>
        <v>19</v>
      </c>
      <c r="ER386" s="237" t="n">
        <f aca="false">IF(ER$35&gt;=$AC$384,ER$35-$AC$384+1,0)</f>
        <v>20</v>
      </c>
      <c r="ES386" s="9" t="n">
        <f aca="false">IF(ES$35&gt;=$AC$384,ES$35-$AC$384+1,0)</f>
        <v>21</v>
      </c>
      <c r="ET386" s="9" t="n">
        <f aca="false">IF(ET$35&gt;=$AC$384,ET$35-$AC$384+1,0)</f>
        <v>22</v>
      </c>
      <c r="EU386" s="9" t="n">
        <f aca="false">IF(EU$35&gt;=$AC$384,EU$35-$AC$384+1,0)</f>
        <v>23</v>
      </c>
      <c r="EV386" s="9" t="n">
        <f aca="false">IF(EV$35&gt;=$AC$384,EV$35-$AC$384+1,0)</f>
        <v>24</v>
      </c>
      <c r="EW386" s="9" t="n">
        <f aca="false">IF(EW$35&gt;=$AC$384,EW$35-$AC$384+1,0)</f>
        <v>25</v>
      </c>
      <c r="EX386" s="9" t="n">
        <f aca="false">IF(EX$35&gt;=$AC$384,EX$35-$AC$384+1,0)</f>
        <v>26</v>
      </c>
      <c r="EY386" s="9" t="n">
        <f aca="false">IF(EY$35&gt;=$AC$384,EY$35-$AC$384+1,0)</f>
        <v>27</v>
      </c>
      <c r="EZ386" s="9" t="n">
        <f aca="false">IF(EZ$35&gt;=$AC$384,EZ$35-$AC$384+1,0)</f>
        <v>28</v>
      </c>
      <c r="FA386" s="9" t="n">
        <f aca="false">IF(FA$35&gt;=$AC$384,FA$35-$AC$384+1,0)</f>
        <v>29</v>
      </c>
      <c r="FB386" s="9" t="n">
        <f aca="false">IF(FB$35&gt;=$AC$384,FB$35-$AC$384+1,0)</f>
        <v>30</v>
      </c>
      <c r="FC386" s="9" t="n">
        <f aca="false">IF(FC$35&gt;=$AC$384,FC$35-$AC$384+1,0)</f>
        <v>31</v>
      </c>
      <c r="FD386" s="9" t="n">
        <f aca="false">IF(FD$35&gt;=$AC$384,FD$35-$AC$384+1,0)</f>
        <v>32</v>
      </c>
      <c r="FE386" s="9" t="n">
        <f aca="false">IF(FE$35&gt;=$AC$384,FE$35-$AC$384+1,0)</f>
        <v>33</v>
      </c>
      <c r="FF386" s="9" t="n">
        <f aca="false">IF(FF$35&gt;=$AC$384,FF$35-$AC$384+1,0)</f>
        <v>34</v>
      </c>
      <c r="FG386" s="9" t="n">
        <f aca="false">IF(FG$35&gt;=$AC$384,FG$35-$AC$384+1,0)</f>
        <v>35</v>
      </c>
      <c r="FH386" s="9" t="n">
        <f aca="false">IF(FH$35&gt;=$AC$384,FH$35-$AC$384+1,0)</f>
        <v>36</v>
      </c>
      <c r="FI386" s="9" t="n">
        <f aca="false">IF(FI$35&gt;=$AC$384,FI$35-$AC$384+1,0)</f>
        <v>37</v>
      </c>
      <c r="FJ386" s="9" t="n">
        <f aca="false">IF(FJ$35&gt;=$AC$384,FJ$35-$AC$384+1,0)</f>
        <v>38</v>
      </c>
      <c r="FK386" s="9" t="n">
        <f aca="false">IF(FK$35&gt;=$AC$384,FK$35-$AC$384+1,0)</f>
        <v>39</v>
      </c>
      <c r="FL386" s="9" t="n">
        <f aca="false">IF(FL$35&gt;=$AC$384,FL$35-$AC$384+1,0)</f>
        <v>40</v>
      </c>
      <c r="FM386" s="9" t="n">
        <f aca="false">IF(FM$35&gt;=$AC$384,FM$35-$AC$384+1,0)</f>
        <v>41</v>
      </c>
      <c r="FN386" s="9" t="n">
        <f aca="false">IF(FN$35&gt;=$AC$384,FN$35-$AC$384+1,0)</f>
        <v>42</v>
      </c>
      <c r="FO386" s="9" t="n">
        <f aca="false">IF(FO$35&gt;=$AC$384,FO$35-$AC$384+1,0)</f>
        <v>43</v>
      </c>
      <c r="FP386" s="9" t="n">
        <f aca="false">IF(FP$35&gt;=$AC$384,FP$35-$AC$384+1,0)</f>
        <v>44</v>
      </c>
    </row>
    <row r="387" customFormat="false" ht="15" hidden="false" customHeight="false" outlineLevel="2" collapsed="false">
      <c r="B387" s="47" t="s">
        <v>874</v>
      </c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237" t="n">
        <f aca="false" t="array" ref="AC387:AC387">IF(AC386=0,0,IF(AC386/'🎚️ Escenario'!$C$11&gt;=36,$AL$23,INDEX($C$23:$AL$23,MAX(1,ROUNDUP(AC386/'🎚️ Escenario'!$C$11,0)))))</f>
        <v>0</v>
      </c>
      <c r="AD387" s="237" t="n">
        <f aca="false" t="array" ref="AD387:AD387">IF(AD386=0,0,IF(AD386/'🎚️ Escenario'!$C$11&gt;=36,$AL$23,INDEX($C$23:$AL$23,MAX(1,ROUNDUP(AD386/'🎚️ Escenario'!$C$11,0)))))</f>
        <v>0</v>
      </c>
      <c r="AE387" s="237" t="n">
        <f aca="false" t="array" ref="AE387:AE387">IF(AE386=0,0,IF(AE386/'🎚️ Escenario'!$C$11&gt;=36,$AL$23,INDEX($C$23:$AL$23,MAX(1,ROUNDUP(AE386/'🎚️ Escenario'!$C$11,0)))))</f>
        <v>0</v>
      </c>
      <c r="AF387" s="237" t="n">
        <f aca="false" t="array" ref="AF387:AF387">IF(AF386=0,0,IF(AF386/'🎚️ Escenario'!$C$11&gt;=36,$AL$23,INDEX($C$23:$AL$23,MAX(1,ROUNDUP(AF386/'🎚️ Escenario'!$C$11,0)))))</f>
        <v>0</v>
      </c>
      <c r="AG387" s="237" t="n">
        <f aca="false" t="array" ref="AG387:AG387">IF(AG386=0,0,IF(AG386/'🎚️ Escenario'!$C$11&gt;=36,$AL$23,INDEX($C$23:$AL$23,MAX(1,ROUNDUP(AG386/'🎚️ Escenario'!$C$11,0)))))</f>
        <v>0</v>
      </c>
      <c r="AH387" s="237" t="n">
        <f aca="false" t="array" ref="AH387:AH387">IF(AH386=0,0,IF(AH386/'🎚️ Escenario'!$C$11&gt;=36,$AL$23,INDEX($C$23:$AL$23,MAX(1,ROUNDUP(AH386/'🎚️ Escenario'!$C$11,0)))))</f>
        <v>0</v>
      </c>
      <c r="AI387" s="237" t="n">
        <f aca="false" t="array" ref="AI387:AI387">IF(AI386=0,0,IF(AI386/'🎚️ Escenario'!$C$11&gt;=36,$AL$23,INDEX($C$23:$AL$23,MAX(1,ROUNDUP(AI386/'🎚️ Escenario'!$C$11,0)))))</f>
        <v>0</v>
      </c>
      <c r="AJ387" s="237" t="n">
        <f aca="false" t="array" ref="AJ387:AJ387">IF(AJ386=0,0,IF(AJ386/'🎚️ Escenario'!$C$11&gt;=36,$AL$23,INDEX($C$23:$AL$23,MAX(1,ROUNDUP(AJ386/'🎚️ Escenario'!$C$11,0)))))</f>
        <v>0</v>
      </c>
      <c r="AK387" s="237" t="n">
        <f aca="false" t="array" ref="AK387:AK387">IF(AK386=0,0,IF(AK386/'🎚️ Escenario'!$C$11&gt;=36,$AL$23,INDEX($C$23:$AL$23,MAX(1,ROUNDUP(AK386/'🎚️ Escenario'!$C$11,0)))))</f>
        <v>0</v>
      </c>
      <c r="AL387" s="237" t="n">
        <f aca="false" t="array" ref="AL387:AL387">IF(AL386=0,0,IF(AL386/'🎚️ Escenario'!$C$11&gt;=36,$AL$23,INDEX($C$23:$AL$23,MAX(1,ROUNDUP(AL386/'🎚️ Escenario'!$C$11,0)))))</f>
        <v>0</v>
      </c>
      <c r="AM387" s="237" t="n">
        <f aca="false" t="array" ref="AM387:AM387">IF(AM386=0,0,IF(AM386/'🎚️ Escenario'!$C$11&gt;=36,$AL$23,INDEX($C$23:$AL$23,MAX(1,ROUNDUP(AM386/'🎚️ Escenario'!$C$11,0)))))</f>
        <v>0</v>
      </c>
      <c r="AN387" s="237" t="n">
        <f aca="false" t="array" ref="AN387:AN387">IF(AN386=0,0,IF(AN386/'🎚️ Escenario'!$C$11&gt;=36,$AL$23,INDEX($C$23:$AL$23,MAX(1,ROUNDUP(AN386/'🎚️ Escenario'!$C$11,0)))))</f>
        <v>0</v>
      </c>
      <c r="AO387" s="237" t="n">
        <f aca="false" t="array" ref="AO387:AO387">IF(AO386=0,0,IF(AO386/'🎚️ Escenario'!$C$11&gt;=36,$AL$23,INDEX($C$23:$AL$23,MAX(1,ROUNDUP(AO386/'🎚️ Escenario'!$C$11,0)))))</f>
        <v>0</v>
      </c>
      <c r="AP387" s="237" t="n">
        <f aca="false" t="array" ref="AP387:AP387">IF(AP386=0,0,IF(AP386/'🎚️ Escenario'!$C$11&gt;=36,$AL$23,INDEX($C$23:$AL$23,MAX(1,ROUNDUP(AP386/'🎚️ Escenario'!$C$11,0)))))</f>
        <v>0</v>
      </c>
      <c r="AQ387" s="237" t="n">
        <f aca="false" t="array" ref="AQ387:AQ387">IF(AQ386=0,0,IF(AQ386/'🎚️ Escenario'!$C$11&gt;=36,$AL$23,INDEX($C$23:$AL$23,MAX(1,ROUNDUP(AQ386/'🎚️ Escenario'!$C$11,0)))))</f>
        <v>0</v>
      </c>
      <c r="AR387" s="237" t="n">
        <f aca="false" t="array" ref="AR387:AR387">IF(AR386=0,0,IF(AR386/'🎚️ Escenario'!$C$11&gt;=36,$AL$23,INDEX($C$23:$AL$23,MAX(1,ROUNDUP(AR386/'🎚️ Escenario'!$C$11,0)))))</f>
        <v>0</v>
      </c>
      <c r="AS387" s="237" t="n">
        <f aca="false" t="array" ref="AS387:AS387">IF(AS386=0,0,IF(AS386/'🎚️ Escenario'!$C$11&gt;=36,$AL$23,INDEX($C$23:$AL$23,MAX(1,ROUNDUP(AS386/'🎚️ Escenario'!$C$11,0)))))</f>
        <v>0</v>
      </c>
      <c r="AT387" s="237" t="n">
        <f aca="false" t="array" ref="AT387:AT387">IF(AT386=0,0,IF(AT386/'🎚️ Escenario'!$C$11&gt;=36,$AL$23,INDEX($C$23:$AL$23,MAX(1,ROUNDUP(AT386/'🎚️ Escenario'!$C$11,0)))))</f>
        <v>0</v>
      </c>
      <c r="AU387" s="237" t="n">
        <f aca="false" t="array" ref="AU387:AU387">IF(AU386=0,0,IF(AU386/'🎚️ Escenario'!$C$11&gt;=36,$AL$23,INDEX($C$23:$AL$23,MAX(1,ROUNDUP(AU386/'🎚️ Escenario'!$C$11,0)))))</f>
        <v>0</v>
      </c>
      <c r="AV387" s="237" t="n">
        <f aca="false" t="array" ref="AV387:AV387">IF(AV386=0,0,IF(AV386/'🎚️ Escenario'!$C$11&gt;=36,$AL$23,INDEX($C$23:$AL$23,MAX(1,ROUNDUP(AV386/'🎚️ Escenario'!$C$11,0)))))</f>
        <v>0</v>
      </c>
      <c r="AW387" s="237" t="n">
        <f aca="false" t="array" ref="AW387:AW387">IF(AW386=0,0,IF(AW386/'🎚️ Escenario'!$C$11&gt;=36,$AL$23,INDEX($C$23:$AL$23,MAX(1,ROUNDUP(AW386/'🎚️ Escenario'!$C$11,0)))))</f>
        <v>0</v>
      </c>
      <c r="AX387" s="237" t="n">
        <f aca="false" t="array" ref="AX387:AX387">IF(AX386=0,0,IF(AX386/'🎚️ Escenario'!$C$11&gt;=36,$AL$23,INDEX($C$23:$AL$23,MAX(1,ROUNDUP(AX386/'🎚️ Escenario'!$C$11,0)))))</f>
        <v>0</v>
      </c>
      <c r="AY387" s="237" t="n">
        <f aca="false" t="array" ref="AY387:AY387">IF(AY386=0,0,IF(AY386/'🎚️ Escenario'!$C$11&gt;=36,$AL$23,INDEX($C$23:$AL$23,MAX(1,ROUNDUP(AY386/'🎚️ Escenario'!$C$11,0)))))</f>
        <v>0</v>
      </c>
      <c r="AZ387" s="237" t="n">
        <f aca="false" t="array" ref="AZ387:AZ387">IF(AZ386=0,0,IF(AZ386/'🎚️ Escenario'!$C$11&gt;=36,$AL$23,INDEX($C$23:$AL$23,MAX(1,ROUNDUP(AZ386/'🎚️ Escenario'!$C$11,0)))))</f>
        <v>0</v>
      </c>
      <c r="BA387" s="237" t="n">
        <f aca="false" t="array" ref="BA387:BA387">IF(BA386=0,0,IF(BA386/'🎚️ Escenario'!$C$11&gt;=36,$AL$23,INDEX($C$23:$AL$23,MAX(1,ROUNDUP(BA386/'🎚️ Escenario'!$C$11,0)))))</f>
        <v>0</v>
      </c>
      <c r="BB387" s="237" t="n">
        <f aca="false" t="array" ref="BB387:BB387">IF(BB386=0,0,IF(BB386/'🎚️ Escenario'!$C$11&gt;=36,$AL$23,INDEX($C$23:$AL$23,MAX(1,ROUNDUP(BB386/'🎚️ Escenario'!$C$11,0)))))</f>
        <v>0</v>
      </c>
      <c r="BC387" s="237" t="n">
        <f aca="false" t="array" ref="BC387:BC387">IF(BC386=0,0,IF(BC386/'🎚️ Escenario'!$C$11&gt;=36,$AL$23,INDEX($C$23:$AL$23,MAX(1,ROUNDUP(BC386/'🎚️ Escenario'!$C$11,0)))))</f>
        <v>0</v>
      </c>
      <c r="BD387" s="237" t="n">
        <f aca="false" t="array" ref="BD387:BD387">IF(BD386=0,0,IF(BD386/'🎚️ Escenario'!$C$11&gt;=36,$AL$23,INDEX($C$23:$AL$23,MAX(1,ROUNDUP(BD386/'🎚️ Escenario'!$C$11,0)))))</f>
        <v>0</v>
      </c>
      <c r="BE387" s="237" t="n">
        <f aca="false" t="array" ref="BE387:BE387">IF(BE386=0,0,IF(BE386/'🎚️ Escenario'!$C$11&gt;=36,$AL$23,INDEX($C$23:$AL$23,MAX(1,ROUNDUP(BE386/'🎚️ Escenario'!$C$11,0)))))</f>
        <v>0</v>
      </c>
      <c r="BF387" s="237" t="n">
        <f aca="false" t="array" ref="BF387:BF387">IF(BF386=0,0,IF(BF386/'🎚️ Escenario'!$C$11&gt;=36,$AL$23,INDEX($C$23:$AL$23,MAX(1,ROUNDUP(BF386/'🎚️ Escenario'!$C$11,0)))))</f>
        <v>0</v>
      </c>
      <c r="BG387" s="237" t="n">
        <f aca="false" t="array" ref="BG387:BG387">IF(BG386=0,0,IF(BG386/'🎚️ Escenario'!$C$11&gt;=36,$AL$23,INDEX($C$23:$AL$23,MAX(1,ROUNDUP(BG386/'🎚️ Escenario'!$C$11,0)))))</f>
        <v>0</v>
      </c>
      <c r="BH387" s="237" t="n">
        <f aca="false" t="array" ref="BH387:BH387">IF(BH386=0,0,IF(BH386/'🎚️ Escenario'!$C$11&gt;=36,$AL$23,INDEX($C$23:$AL$23,MAX(1,ROUNDUP(BH386/'🎚️ Escenario'!$C$11,0)))))</f>
        <v>0</v>
      </c>
      <c r="BI387" s="237" t="n">
        <f aca="false" t="array" ref="BI387:BI387">IF(BI386=0,0,IF(BI386/'🎚️ Escenario'!$C$11&gt;=36,$AL$23,INDEX($C$23:$AL$23,MAX(1,ROUNDUP(BI386/'🎚️ Escenario'!$C$11,0)))))</f>
        <v>0</v>
      </c>
      <c r="BJ387" s="237" t="n">
        <f aca="false" t="array" ref="BJ387:BJ387">IF(BJ386=0,0,IF(BJ386/'🎚️ Escenario'!$C$11&gt;=36,$AL$23,INDEX($C$23:$AL$23,MAX(1,ROUNDUP(BJ386/'🎚️ Escenario'!$C$11,0)))))</f>
        <v>0</v>
      </c>
      <c r="BK387" s="237" t="n">
        <f aca="false" t="array" ref="BK387:BK387">IF(BK386=0,0,IF(BK386/'🎚️ Escenario'!$C$11&gt;=36,$AL$23,INDEX($C$23:$AL$23,MAX(1,ROUNDUP(BK386/'🎚️ Escenario'!$C$11,0)))))</f>
        <v>0</v>
      </c>
      <c r="BL387" s="237" t="n">
        <f aca="false" t="array" ref="BL387:BL387">IF(BL386=0,0,IF(BL386/'🎚️ Escenario'!$C$11&gt;=36,$AL$23,INDEX($C$23:$AL$23,MAX(1,ROUNDUP(BL386/'🎚️ Escenario'!$C$11,0)))))</f>
        <v>0</v>
      </c>
      <c r="BM387" s="237" t="n">
        <f aca="false" t="array" ref="BM387:BM387">IF(BM386=0,0,IF(BM386/'🎚️ Escenario'!$C$11&gt;=36,$AL$23,INDEX($C$23:$AL$23,MAX(1,ROUNDUP(BM386/'🎚️ Escenario'!$C$11,0)))))</f>
        <v>0</v>
      </c>
      <c r="BN387" s="237" t="n">
        <f aca="false" t="array" ref="BN387:BN387">IF(BN386=0,0,IF(BN386/'🎚️ Escenario'!$C$11&gt;=36,$AL$23,INDEX($C$23:$AL$23,MAX(1,ROUNDUP(BN386/'🎚️ Escenario'!$C$11,0)))))</f>
        <v>0</v>
      </c>
      <c r="BO387" s="237" t="n">
        <f aca="false" t="array" ref="BO387:BO387">IF(BO386=0,0,IF(BO386/'🎚️ Escenario'!$C$11&gt;=36,$AL$23,INDEX($C$23:$AL$23,MAX(1,ROUNDUP(BO386/'🎚️ Escenario'!$C$11,0)))))</f>
        <v>0</v>
      </c>
      <c r="BP387" s="237" t="n">
        <f aca="false" t="array" ref="BP387:BP387">IF(BP386=0,0,IF(BP386/'🎚️ Escenario'!$C$11&gt;=36,$AL$23,INDEX($C$23:$AL$23,MAX(1,ROUNDUP(BP386/'🎚️ Escenario'!$C$11,0)))))</f>
        <v>0</v>
      </c>
      <c r="BQ387" s="237" t="n">
        <f aca="false" t="array" ref="BQ387:BQ387">IF(BQ386=0,0,IF(BQ386/'🎚️ Escenario'!$C$11&gt;=36,$AL$23,INDEX($C$23:$AL$23,MAX(1,ROUNDUP(BQ386/'🎚️ Escenario'!$C$11,0)))))</f>
        <v>0</v>
      </c>
      <c r="BR387" s="237" t="n">
        <f aca="false" t="array" ref="BR387:BR387">IF(BR386=0,0,IF(BR386/'🎚️ Escenario'!$C$11&gt;=36,$AL$23,INDEX($C$23:$AL$23,MAX(1,ROUNDUP(BR386/'🎚️ Escenario'!$C$11,0)))))</f>
        <v>0</v>
      </c>
      <c r="BS387" s="237" t="n">
        <f aca="false" t="array" ref="BS387:BS387">IF(BS386=0,0,IF(BS386/'🎚️ Escenario'!$C$11&gt;=36,$AL$23,INDEX($C$23:$AL$23,MAX(1,ROUNDUP(BS386/'🎚️ Escenario'!$C$11,0)))))</f>
        <v>0</v>
      </c>
      <c r="BT387" s="237" t="n">
        <f aca="false" t="array" ref="BT387:BT387">IF(BT386=0,0,IF(BT386/'🎚️ Escenario'!$C$11&gt;=36,$AL$23,INDEX($C$23:$AL$23,MAX(1,ROUNDUP(BT386/'🎚️ Escenario'!$C$11,0)))))</f>
        <v>0</v>
      </c>
      <c r="BU387" s="237" t="n">
        <f aca="false" t="array" ref="BU387:BU387">IF(BU386=0,0,IF(BU386/'🎚️ Escenario'!$C$11&gt;=36,$AL$23,INDEX($C$23:$AL$23,MAX(1,ROUNDUP(BU386/'🎚️ Escenario'!$C$11,0)))))</f>
        <v>0</v>
      </c>
      <c r="BV387" s="237" t="n">
        <f aca="false" t="array" ref="BV387:BV387">IF(BV386=0,0,IF(BV386/'🎚️ Escenario'!$C$11&gt;=36,$AL$23,INDEX($C$23:$AL$23,MAX(1,ROUNDUP(BV386/'🎚️ Escenario'!$C$11,0)))))</f>
        <v>0</v>
      </c>
      <c r="BW387" s="237" t="n">
        <f aca="false" t="array" ref="BW387:BW387">IF(BW386=0,0,IF(BW386/'🎚️ Escenario'!$C$11&gt;=36,$AL$23,INDEX($C$23:$AL$23,MAX(1,ROUNDUP(BW386/'🎚️ Escenario'!$C$11,0)))))</f>
        <v>0</v>
      </c>
      <c r="BX387" s="237" t="n">
        <f aca="false" t="array" ref="BX387:BX387">IF(BX386=0,0,IF(BX386/'🎚️ Escenario'!$C$11&gt;=36,$AL$23,INDEX($C$23:$AL$23,MAX(1,ROUNDUP(BX386/'🎚️ Escenario'!$C$11,0)))))</f>
        <v>0</v>
      </c>
      <c r="BY387" s="237" t="n">
        <f aca="false" t="array" ref="BY387:BY387">IF(BY386=0,0,IF(BY386/'🎚️ Escenario'!$C$11&gt;=36,$AL$23,INDEX($C$23:$AL$23,MAX(1,ROUNDUP(BY386/'🎚️ Escenario'!$C$11,0)))))</f>
        <v>0</v>
      </c>
      <c r="BZ387" s="237" t="n">
        <f aca="false" t="array" ref="BZ387:BZ387">IF(BZ386=0,0,IF(BZ386/'🎚️ Escenario'!$C$11&gt;=36,$AL$23,INDEX($C$23:$AL$23,MAX(1,ROUNDUP(BZ386/'🎚️ Escenario'!$C$11,0)))))</f>
        <v>0</v>
      </c>
      <c r="CA387" s="237" t="n">
        <f aca="false" t="array" ref="CA387:CA387">IF(CA386=0,0,IF(CA386/'🎚️ Escenario'!$C$11&gt;=36,$AL$23,INDEX($C$23:$AL$23,MAX(1,ROUNDUP(CA386/'🎚️ Escenario'!$C$11,0)))))</f>
        <v>0</v>
      </c>
      <c r="CB387" s="237" t="n">
        <f aca="false" t="array" ref="CB387:CB387">IF(CB386=0,0,IF(CB386/'🎚️ Escenario'!$C$11&gt;=36,$AL$23,INDEX($C$23:$AL$23,MAX(1,ROUNDUP(CB386/'🎚️ Escenario'!$C$11,0)))))</f>
        <v>0</v>
      </c>
      <c r="CC387" s="237" t="n">
        <f aca="false" t="array" ref="CC387:CC387">IF(CC386=0,0,IF(CC386/'🎚️ Escenario'!$C$11&gt;=36,$AL$23,INDEX($C$23:$AL$23,MAX(1,ROUNDUP(CC386/'🎚️ Escenario'!$C$11,0)))))</f>
        <v>0</v>
      </c>
      <c r="CD387" s="237" t="n">
        <f aca="false" t="array" ref="CD387:CD387">IF(CD386=0,0,IF(CD386/'🎚️ Escenario'!$C$11&gt;=36,$AL$23,INDEX($C$23:$AL$23,MAX(1,ROUNDUP(CD386/'🎚️ Escenario'!$C$11,0)))))</f>
        <v>0</v>
      </c>
      <c r="CE387" s="237" t="n">
        <f aca="false" t="array" ref="CE387:CE387">IF(CE386=0,0,IF(CE386/'🎚️ Escenario'!$C$11&gt;=36,$AL$23,INDEX($C$23:$AL$23,MAX(1,ROUNDUP(CE386/'🎚️ Escenario'!$C$11,0)))))</f>
        <v>0</v>
      </c>
      <c r="CF387" s="237" t="n">
        <f aca="false" t="array" ref="CF387:CF387">IF(CF386=0,0,IF(CF386/'🎚️ Escenario'!$C$11&gt;=36,$AL$23,INDEX($C$23:$AL$23,MAX(1,ROUNDUP(CF386/'🎚️ Escenario'!$C$11,0)))))</f>
        <v>0</v>
      </c>
      <c r="CG387" s="237" t="n">
        <f aca="false" t="array" ref="CG387:CG387">IF(CG386=0,0,IF(CG386/'🎚️ Escenario'!$C$11&gt;=36,$AL$23,INDEX($C$23:$AL$23,MAX(1,ROUNDUP(CG386/'🎚️ Escenario'!$C$11,0)))))</f>
        <v>0</v>
      </c>
      <c r="CH387" s="237" t="n">
        <f aca="false" t="array" ref="CH387:CH387">IF(CH386=0,0,IF(CH386/'🎚️ Escenario'!$C$11&gt;=36,$AL$23,INDEX($C$23:$AL$23,MAX(1,ROUNDUP(CH386/'🎚️ Escenario'!$C$11,0)))))</f>
        <v>0</v>
      </c>
      <c r="CI387" s="237" t="n">
        <f aca="false" t="array" ref="CI387:CI387">IF(CI386=0,0,IF(CI386/'🎚️ Escenario'!$C$11&gt;=36,$AL$23,INDEX($C$23:$AL$23,MAX(1,ROUNDUP(CI386/'🎚️ Escenario'!$C$11,0)))))</f>
        <v>0</v>
      </c>
      <c r="CJ387" s="237" t="n">
        <f aca="false" t="array" ref="CJ387:CJ387">IF(CJ386=0,0,IF(CJ386/'🎚️ Escenario'!$C$11&gt;=36,$AL$23,INDEX($C$23:$AL$23,MAX(1,ROUNDUP(CJ386/'🎚️ Escenario'!$C$11,0)))))</f>
        <v>0</v>
      </c>
      <c r="CK387" s="237" t="n">
        <f aca="false" t="array" ref="CK387:CK387">IF(CK386=0,0,IF(CK386/'🎚️ Escenario'!$C$11&gt;=36,$AL$23,INDEX($C$23:$AL$23,MAX(1,ROUNDUP(CK386/'🎚️ Escenario'!$C$11,0)))))</f>
        <v>0</v>
      </c>
      <c r="CL387" s="237" t="n">
        <f aca="false" t="array" ref="CL387:CL387">IF(CL386=0,0,IF(CL386/'🎚️ Escenario'!$C$11&gt;=36,$AL$23,INDEX($C$23:$AL$23,MAX(1,ROUNDUP(CL386/'🎚️ Escenario'!$C$11,0)))))</f>
        <v>0</v>
      </c>
      <c r="CM387" s="237" t="n">
        <f aca="false" t="array" ref="CM387:CM387">IF(CM386=0,0,IF(CM386/'🎚️ Escenario'!$C$11&gt;=36,$AL$23,INDEX($C$23:$AL$23,MAX(1,ROUNDUP(CM386/'🎚️ Escenario'!$C$11,0)))))</f>
        <v>0</v>
      </c>
      <c r="CN387" s="237" t="n">
        <f aca="false" t="array" ref="CN387:CN387">IF(CN386=0,0,IF(CN386/'🎚️ Escenario'!$C$11&gt;=36,$AL$23,INDEX($C$23:$AL$23,MAX(1,ROUNDUP(CN386/'🎚️ Escenario'!$C$11,0)))))</f>
        <v>0</v>
      </c>
      <c r="CO387" s="237" t="n">
        <f aca="false" t="array" ref="CO387:CO387">IF(CO386=0,0,IF(CO386/'🎚️ Escenario'!$C$11&gt;=36,$AL$23,INDEX($C$23:$AL$23,MAX(1,ROUNDUP(CO386/'🎚️ Escenario'!$C$11,0)))))</f>
        <v>0</v>
      </c>
      <c r="CP387" s="237" t="n">
        <f aca="false" t="array" ref="CP387:CP387">IF(CP386=0,0,IF(CP386/'🎚️ Escenario'!$C$11&gt;=36,$AL$23,INDEX($C$23:$AL$23,MAX(1,ROUNDUP(CP386/'🎚️ Escenario'!$C$11,0)))))</f>
        <v>0</v>
      </c>
      <c r="CQ387" s="237" t="n">
        <f aca="false" t="array" ref="CQ387:CQ387">IF(CQ386=0,0,IF(CQ386/'🎚️ Escenario'!$C$11&gt;=36,$AL$23,INDEX($C$23:$AL$23,MAX(1,ROUNDUP(CQ386/'🎚️ Escenario'!$C$11,0)))))</f>
        <v>0</v>
      </c>
      <c r="CR387" s="237" t="n">
        <f aca="false" t="array" ref="CR387:CR387">IF(CR386=0,0,IF(CR386/'🎚️ Escenario'!$C$11&gt;=36,$AL$23,INDEX($C$23:$AL$23,MAX(1,ROUNDUP(CR386/'🎚️ Escenario'!$C$11,0)))))</f>
        <v>0</v>
      </c>
      <c r="CS387" s="237" t="n">
        <f aca="false" t="array" ref="CS387:CS387">IF(CS386=0,0,IF(CS386/'🎚️ Escenario'!$C$11&gt;=36,$AL$23,INDEX($C$23:$AL$23,MAX(1,ROUNDUP(CS386/'🎚️ Escenario'!$C$11,0)))))</f>
        <v>0</v>
      </c>
      <c r="CT387" s="237" t="n">
        <f aca="false" t="array" ref="CT387:CT387">IF(CT386=0,0,IF(CT386/'🎚️ Escenario'!$C$11&gt;=36,$AL$23,INDEX($C$23:$AL$23,MAX(1,ROUNDUP(CT386/'🎚️ Escenario'!$C$11,0)))))</f>
        <v>0</v>
      </c>
      <c r="CU387" s="237" t="n">
        <f aca="false" t="array" ref="CU387:CU387">IF(CU386=0,0,IF(CU386/'🎚️ Escenario'!$C$11&gt;=36,$AL$23,INDEX($C$23:$AL$23,MAX(1,ROUNDUP(CU386/'🎚️ Escenario'!$C$11,0)))))</f>
        <v>0</v>
      </c>
      <c r="CV387" s="237" t="n">
        <f aca="false" t="array" ref="CV387:CV387">IF(CV386=0,0,IF(CV386/'🎚️ Escenario'!$C$11&gt;=36,$AL$23,INDEX($C$23:$AL$23,MAX(1,ROUNDUP(CV386/'🎚️ Escenario'!$C$11,0)))))</f>
        <v>0</v>
      </c>
      <c r="CW387" s="237" t="n">
        <f aca="false" t="array" ref="CW387:CW387">IF(CW386=0,0,IF(CW386/'🎚️ Escenario'!$C$11&gt;=36,$AL$23,INDEX($C$23:$AL$23,MAX(1,ROUNDUP(CW386/'🎚️ Escenario'!$C$11,0)))))</f>
        <v>0</v>
      </c>
      <c r="CX387" s="237" t="n">
        <f aca="false" t="array" ref="CX387:CX387">IF(CX386=0,0,IF(CX386/'🎚️ Escenario'!$C$11&gt;=36,$AL$23,INDEX($C$23:$AL$23,MAX(1,ROUNDUP(CX386/'🎚️ Escenario'!$C$11,0)))))</f>
        <v>0</v>
      </c>
      <c r="CY387" s="237" t="n">
        <f aca="false" t="array" ref="CY387:CY387">IF(CY386=0,0,IF(CY386/'🎚️ Escenario'!$C$11&gt;=36,$AL$23,INDEX($C$23:$AL$23,MAX(1,ROUNDUP(CY386/'🎚️ Escenario'!$C$11,0)))))</f>
        <v>0</v>
      </c>
      <c r="CZ387" s="237" t="n">
        <f aca="false" t="array" ref="CZ387:CZ387">IF(CZ386=0,0,IF(CZ386/'🎚️ Escenario'!$C$11&gt;=36,$AL$23,INDEX($C$23:$AL$23,MAX(1,ROUNDUP(CZ386/'🎚️ Escenario'!$C$11,0)))))</f>
        <v>0</v>
      </c>
      <c r="DA387" s="237" t="n">
        <f aca="false" t="array" ref="DA387:DA387">IF(DA386=0,0,IF(DA386/'🎚️ Escenario'!$C$11&gt;=36,$AL$23,INDEX($C$23:$AL$23,MAX(1,ROUNDUP(DA386/'🎚️ Escenario'!$C$11,0)))))</f>
        <v>0</v>
      </c>
      <c r="DB387" s="237" t="n">
        <f aca="false" t="array" ref="DB387:DB387">IF(DB386=0,0,IF(DB386/'🎚️ Escenario'!$C$11&gt;=36,$AL$23,INDEX($C$23:$AL$23,MAX(1,ROUNDUP(DB386/'🎚️ Escenario'!$C$11,0)))))</f>
        <v>0</v>
      </c>
      <c r="DC387" s="237" t="n">
        <f aca="false" t="array" ref="DC387:DC387">IF(DC386=0,0,IF(DC386/'🎚️ Escenario'!$C$11&gt;=36,$AL$23,INDEX($C$23:$AL$23,MAX(1,ROUNDUP(DC386/'🎚️ Escenario'!$C$11,0)))))</f>
        <v>0</v>
      </c>
      <c r="DD387" s="237" t="n">
        <f aca="false" t="array" ref="DD387:DD387">IF(DD386=0,0,IF(DD386/'🎚️ Escenario'!$C$11&gt;=36,$AL$23,INDEX($C$23:$AL$23,MAX(1,ROUNDUP(DD386/'🎚️ Escenario'!$C$11,0)))))</f>
        <v>0</v>
      </c>
      <c r="DE387" s="237" t="n">
        <f aca="false" t="array" ref="DE387:DE387">IF(DE386=0,0,IF(DE386/'🎚️ Escenario'!$C$11&gt;=36,$AL$23,INDEX($C$23:$AL$23,MAX(1,ROUNDUP(DE386/'🎚️ Escenario'!$C$11,0)))))</f>
        <v>0</v>
      </c>
      <c r="DF387" s="237" t="n">
        <f aca="false" t="array" ref="DF387:DF387">IF(DF386=0,0,IF(DF386/'🎚️ Escenario'!$C$11&gt;=36,$AL$23,INDEX($C$23:$AL$23,MAX(1,ROUNDUP(DF386/'🎚️ Escenario'!$C$11,0)))))</f>
        <v>0</v>
      </c>
      <c r="DG387" s="237" t="n">
        <f aca="false" t="array" ref="DG387:DG387">IF(DG386=0,0,IF(DG386/'🎚️ Escenario'!$C$11&gt;=36,$AL$23,INDEX($C$23:$AL$23,MAX(1,ROUNDUP(DG386/'🎚️ Escenario'!$C$11,0)))))</f>
        <v>0</v>
      </c>
      <c r="DH387" s="237" t="n">
        <f aca="false" t="array" ref="DH387:DH387">IF(DH386=0,0,IF(DH386/'🎚️ Escenario'!$C$11&gt;=36,$AL$23,INDEX($C$23:$AL$23,MAX(1,ROUNDUP(DH386/'🎚️ Escenario'!$C$11,0)))))</f>
        <v>0</v>
      </c>
      <c r="DI387" s="237" t="n">
        <f aca="false" t="array" ref="DI387:DI387">IF(DI386=0,0,IF(DI386/'🎚️ Escenario'!$C$11&gt;=36,$AL$23,INDEX($C$23:$AL$23,MAX(1,ROUNDUP(DI386/'🎚️ Escenario'!$C$11,0)))))</f>
        <v>0</v>
      </c>
      <c r="DJ387" s="237" t="n">
        <f aca="false" t="array" ref="DJ387:DJ387">IF(DJ386=0,0,IF(DJ386/'🎚️ Escenario'!$C$11&gt;=36,$AL$23,INDEX($C$23:$AL$23,MAX(1,ROUNDUP(DJ386/'🎚️ Escenario'!$C$11,0)))))</f>
        <v>0</v>
      </c>
      <c r="DK387" s="237" t="n">
        <f aca="false" t="array" ref="DK387:DK387">IF(DK386=0,0,IF(DK386/'🎚️ Escenario'!$C$11&gt;=36,$AL$23,INDEX($C$23:$AL$23,MAX(1,ROUNDUP(DK386/'🎚️ Escenario'!$C$11,0)))))</f>
        <v>0</v>
      </c>
      <c r="DL387" s="237" t="n">
        <f aca="false" t="array" ref="DL387:DL387">IF(DL386=0,0,IF(DL386/'🎚️ Escenario'!$C$11&gt;=36,$AL$23,INDEX($C$23:$AL$23,MAX(1,ROUNDUP(DL386/'🎚️ Escenario'!$C$11,0)))))</f>
        <v>0</v>
      </c>
      <c r="DM387" s="237" t="n">
        <f aca="false" t="array" ref="DM387:DM387">IF(DM386=0,0,IF(DM386/'🎚️ Escenario'!$C$11&gt;=36,$AL$23,INDEX($C$23:$AL$23,MAX(1,ROUNDUP(DM386/'🎚️ Escenario'!$C$11,0)))))</f>
        <v>0</v>
      </c>
      <c r="DN387" s="237" t="n">
        <f aca="false" t="array" ref="DN387:DN387">IF(DN386=0,0,IF(DN386/'🎚️ Escenario'!$C$11&gt;=36,$AL$23,INDEX($C$23:$AL$23,MAX(1,ROUNDUP(DN386/'🎚️ Escenario'!$C$11,0)))))</f>
        <v>0</v>
      </c>
      <c r="DO387" s="237" t="n">
        <f aca="false" t="array" ref="DO387:DO387">IF(DO386=0,0,IF(DO386/'🎚️ Escenario'!$C$11&gt;=36,$AL$23,INDEX($C$23:$AL$23,MAX(1,ROUNDUP(DO386/'🎚️ Escenario'!$C$11,0)))))</f>
        <v>0</v>
      </c>
      <c r="DP387" s="237" t="n">
        <f aca="false" t="array" ref="DP387:DP387">IF(DP386=0,0,IF(DP386/'🎚️ Escenario'!$C$11&gt;=36,$AL$23,INDEX($C$23:$AL$23,MAX(1,ROUNDUP(DP386/'🎚️ Escenario'!$C$11,0)))))</f>
        <v>0</v>
      </c>
      <c r="DQ387" s="237" t="n">
        <f aca="false" t="array" ref="DQ387:DQ387">IF(DQ386=0,0,IF(DQ386/'🎚️ Escenario'!$C$11&gt;=36,$AL$23,INDEX($C$23:$AL$23,MAX(1,ROUNDUP(DQ386/'🎚️ Escenario'!$C$11,0)))))</f>
        <v>0</v>
      </c>
      <c r="DR387" s="237" t="n">
        <f aca="false" t="array" ref="DR387:DR387">IF(DR386=0,0,IF(DR386/'🎚️ Escenario'!$C$11&gt;=36,$AL$23,INDEX($C$23:$AL$23,MAX(1,ROUNDUP(DR386/'🎚️ Escenario'!$C$11,0)))))</f>
        <v>0</v>
      </c>
      <c r="DS387" s="237" t="n">
        <f aca="false" t="array" ref="DS387:DS387">IF(DS386=0,0,IF(DS386/'🎚️ Escenario'!$C$11&gt;=36,$AL$23,INDEX($C$23:$AL$23,MAX(1,ROUNDUP(DS386/'🎚️ Escenario'!$C$11,0)))))</f>
        <v>0</v>
      </c>
      <c r="DT387" s="237" t="n">
        <f aca="false" t="array" ref="DT387:DT387">IF(DT386=0,0,IF(DT386/'🎚️ Escenario'!$C$11&gt;=36,$AL$23,INDEX($C$23:$AL$23,MAX(1,ROUNDUP(DT386/'🎚️ Escenario'!$C$11,0)))))</f>
        <v>0</v>
      </c>
      <c r="DU387" s="237" t="n">
        <f aca="false" t="array" ref="DU387:DU387">IF(DU386=0,0,IF(DU386/'🎚️ Escenario'!$C$11&gt;=36,$AL$23,INDEX($C$23:$AL$23,MAX(1,ROUNDUP(DU386/'🎚️ Escenario'!$C$11,0)))))</f>
        <v>0</v>
      </c>
      <c r="DV387" s="237" t="n">
        <f aca="false" t="array" ref="DV387:DV387">IF(DV386=0,0,IF(DV386/'🎚️ Escenario'!$C$11&gt;=36,$AL$23,INDEX($C$23:$AL$23,MAX(1,ROUNDUP(DV386/'🎚️ Escenario'!$C$11,0)))))</f>
        <v>0</v>
      </c>
      <c r="DW387" s="237" t="n">
        <f aca="false" t="array" ref="DW387:DW387">IF(DW386=0,0,IF(DW386/'🎚️ Escenario'!$C$11&gt;=36,$AL$23,INDEX($C$23:$AL$23,MAX(1,ROUNDUP(DW386/'🎚️ Escenario'!$C$11,0)))))</f>
        <v>0</v>
      </c>
      <c r="DX387" s="237" t="n">
        <f aca="false" t="array" ref="DX387:DX387">IF(DX386=0,0,IF(DX386/'🎚️ Escenario'!$C$11&gt;=36,$AL$23,INDEX($C$23:$AL$23,MAX(1,ROUNDUP(DX386/'🎚️ Escenario'!$C$11,0)))))</f>
        <v>0</v>
      </c>
      <c r="DY387" s="237" t="n">
        <f aca="false" t="array" ref="DY387:DY387">IF(DY386=0,0,IF(DY386/'🎚️ Escenario'!$C$11&gt;=36,$AL$23,INDEX($C$23:$AL$23,MAX(1,ROUNDUP(DY386/'🎚️ Escenario'!$C$11,0)))))</f>
        <v>0.2</v>
      </c>
      <c r="DZ387" s="237" t="n">
        <f aca="false" t="array" ref="DZ387:DZ387">IF(DZ386=0,0,IF(DZ386/'🎚️ Escenario'!$C$11&gt;=36,$AL$23,INDEX($C$23:$AL$23,MAX(1,ROUNDUP(DZ386/'🎚️ Escenario'!$C$11,0)))))</f>
        <v>0.22</v>
      </c>
      <c r="EA387" s="237" t="n">
        <f aca="false" t="array" ref="EA387:EA387">IF(EA386=0,0,IF(EA386/'🎚️ Escenario'!$C$11&gt;=36,$AL$23,INDEX($C$23:$AL$23,MAX(1,ROUNDUP(EA386/'🎚️ Escenario'!$C$11,0)))))</f>
        <v>0.24</v>
      </c>
      <c r="EB387" s="237" t="n">
        <f aca="false" t="array" ref="EB387:EB387">IF(EB386=0,0,IF(EB386/'🎚️ Escenario'!$C$11&gt;=36,$AL$23,INDEX($C$23:$AL$23,MAX(1,ROUNDUP(EB386/'🎚️ Escenario'!$C$11,0)))))</f>
        <v>0.27</v>
      </c>
      <c r="EC387" s="237" t="n">
        <f aca="false" t="array" ref="EC387:EC387">IF(EC386=0,0,IF(EC386/'🎚️ Escenario'!$C$11&gt;=36,$AL$23,INDEX($C$23:$AL$23,MAX(1,ROUNDUP(EC386/'🎚️ Escenario'!$C$11,0)))))</f>
        <v>0.27</v>
      </c>
      <c r="ED387" s="237" t="n">
        <f aca="false" t="array" ref="ED387:ED387">IF(ED386=0,0,IF(ED386/'🎚️ Escenario'!$C$11&gt;=36,$AL$23,INDEX($C$23:$AL$23,MAX(1,ROUNDUP(ED386/'🎚️ Escenario'!$C$11,0)))))</f>
        <v>0.31</v>
      </c>
      <c r="EE387" s="237" t="n">
        <f aca="false" t="array" ref="EE387:EE387">IF(EE386=0,0,IF(EE386/'🎚️ Escenario'!$C$11&gt;=36,$AL$23,INDEX($C$23:$AL$23,MAX(1,ROUNDUP(EE386/'🎚️ Escenario'!$C$11,0)))))</f>
        <v>0.35</v>
      </c>
      <c r="EF387" s="237" t="n">
        <f aca="false" t="array" ref="EF387:EF387">IF(EF386=0,0,IF(EF386/'🎚️ Escenario'!$C$11&gt;=36,$AL$23,INDEX($C$23:$AL$23,MAX(1,ROUNDUP(EF386/'🎚️ Escenario'!$C$11,0)))))</f>
        <v>0.39</v>
      </c>
      <c r="EG387" s="237" t="n">
        <f aca="false" t="array" ref="EG387:EG387">IF(EG386=0,0,IF(EG386/'🎚️ Escenario'!$C$11&gt;=36,$AL$23,INDEX($C$23:$AL$23,MAX(1,ROUNDUP(EG386/'🎚️ Escenario'!$C$11,0)))))</f>
        <v>0.44</v>
      </c>
      <c r="EH387" s="237" t="n">
        <f aca="false" t="array" ref="EH387:EH387">IF(EH386=0,0,IF(EH386/'🎚️ Escenario'!$C$11&gt;=36,$AL$23,INDEX($C$23:$AL$23,MAX(1,ROUNDUP(EH386/'🎚️ Escenario'!$C$11,0)))))</f>
        <v>0.44</v>
      </c>
      <c r="EI387" s="237" t="n">
        <f aca="false" t="array" ref="EI387:EI387">IF(EI386=0,0,IF(EI386/'🎚️ Escenario'!$C$11&gt;=36,$AL$23,INDEX($C$23:$AL$23,MAX(1,ROUNDUP(EI386/'🎚️ Escenario'!$C$11,0)))))</f>
        <v>0.48</v>
      </c>
      <c r="EJ387" s="237" t="n">
        <f aca="false" t="array" ref="EJ387:EJ387">IF(EJ386=0,0,IF(EJ386/'🎚️ Escenario'!$C$11&gt;=36,$AL$23,INDEX($C$23:$AL$23,MAX(1,ROUNDUP(EJ386/'🎚️ Escenario'!$C$11,0)))))</f>
        <v>0.52</v>
      </c>
      <c r="EK387" s="237" t="n">
        <f aca="false" t="array" ref="EK387:EK387">IF(EK386=0,0,IF(EK386/'🎚️ Escenario'!$C$11&gt;=36,$AL$23,INDEX($C$23:$AL$23,MAX(1,ROUNDUP(EK386/'🎚️ Escenario'!$C$11,0)))))</f>
        <v>0.56</v>
      </c>
      <c r="EL387" s="237" t="n">
        <f aca="false" t="array" ref="EL387:EL387">IF(EL386=0,0,IF(EL386/'🎚️ Escenario'!$C$11&gt;=36,$AL$23,INDEX($C$23:$AL$23,MAX(1,ROUNDUP(EL386/'🎚️ Escenario'!$C$11,0)))))</f>
        <v>0.6</v>
      </c>
      <c r="EM387" s="237" t="n">
        <f aca="false" t="array" ref="EM387:EM387">IF(EM386=0,0,IF(EM386/'🎚️ Escenario'!$C$11&gt;=36,$AL$23,INDEX($C$23:$AL$23,MAX(1,ROUNDUP(EM386/'🎚️ Escenario'!$C$11,0)))))</f>
        <v>0.6</v>
      </c>
      <c r="EN387" s="237" t="n">
        <f aca="false" t="array" ref="EN387:EN387">IF(EN386=0,0,IF(EN386/'🎚️ Escenario'!$C$11&gt;=36,$AL$23,INDEX($C$23:$AL$23,MAX(1,ROUNDUP(EN386/'🎚️ Escenario'!$C$11,0)))))</f>
        <v>0.63</v>
      </c>
      <c r="EO387" s="237" t="n">
        <f aca="false" t="array" ref="EO387:EO387">IF(EO386=0,0,IF(EO386/'🎚️ Escenario'!$C$11&gt;=36,$AL$23,INDEX($C$23:$AL$23,MAX(1,ROUNDUP(EO386/'🎚️ Escenario'!$C$11,0)))))</f>
        <v>0.66</v>
      </c>
      <c r="EP387" s="237" t="n">
        <f aca="false" t="array" ref="EP387:EP387">IF(EP386=0,0,IF(EP386/'🎚️ Escenario'!$C$11&gt;=36,$AL$23,INDEX($C$23:$AL$23,MAX(1,ROUNDUP(EP386/'🎚️ Escenario'!$C$11,0)))))</f>
        <v>0.69</v>
      </c>
      <c r="EQ387" s="237" t="n">
        <f aca="false" t="array" ref="EQ387:EQ387">IF(EQ386=0,0,IF(EQ386/'🎚️ Escenario'!$C$11&gt;=36,$AL$23,INDEX($C$23:$AL$23,MAX(1,ROUNDUP(EQ386/'🎚️ Escenario'!$C$11,0)))))</f>
        <v>0.71</v>
      </c>
      <c r="ER387" s="237" t="n">
        <f aca="false" t="array" ref="ER387:ER387">IF(ER386=0,0,IF(ER386/'🎚️ Escenario'!$C$11&gt;=36,$AL$23,INDEX($C$23:$AL$23,MAX(1,ROUNDUP(ER386/'🎚️ Escenario'!$C$11,0)))))</f>
        <v>0.71</v>
      </c>
      <c r="ES387" s="9" t="n">
        <f aca="false" t="array" ref="ES387:ES387">IF(ES386=0,0,IF(ES386/'🎚️ Escenario'!$C$11&gt;=36,$AL$23,INDEX($C$23:$AL$23,MAX(1,ROUNDUP(ES386/'🎚️ Escenario'!$C$11,0)))))</f>
        <v>0.73</v>
      </c>
      <c r="ET387" s="9" t="n">
        <f aca="false" t="array" ref="ET387:ET387">IF(ET386=0,0,IF(ET386/'🎚️ Escenario'!$C$11&gt;=36,$AL$23,INDEX($C$23:$AL$23,MAX(1,ROUNDUP(ET386/'🎚️ Escenario'!$C$11,0)))))</f>
        <v>0.75</v>
      </c>
      <c r="EU387" s="9" t="n">
        <f aca="false" t="array" ref="EU387:EU387">IF(EU386=0,0,IF(EU386/'🎚️ Escenario'!$C$11&gt;=36,$AL$23,INDEX($C$23:$AL$23,MAX(1,ROUNDUP(EU386/'🎚️ Escenario'!$C$11,0)))))</f>
        <v>0.77</v>
      </c>
      <c r="EV387" s="9" t="n">
        <f aca="false" t="array" ref="EV387:EV387">IF(EV386=0,0,IF(EV386/'🎚️ Escenario'!$C$11&gt;=36,$AL$23,INDEX($C$23:$AL$23,MAX(1,ROUNDUP(EV386/'🎚️ Escenario'!$C$11,0)))))</f>
        <v>0.79</v>
      </c>
      <c r="EW387" s="9" t="n">
        <f aca="false" t="array" ref="EW387:EW387">IF(EW386=0,0,IF(EW386/'🎚️ Escenario'!$C$11&gt;=36,$AL$23,INDEX($C$23:$AL$23,MAX(1,ROUNDUP(EW386/'🎚️ Escenario'!$C$11,0)))))</f>
        <v>0.79</v>
      </c>
      <c r="EX387" s="9" t="n">
        <f aca="false" t="array" ref="EX387:EX387">IF(EX386=0,0,IF(EX386/'🎚️ Escenario'!$C$11&gt;=36,$AL$23,INDEX($C$23:$AL$23,MAX(1,ROUNDUP(EX386/'🎚️ Escenario'!$C$11,0)))))</f>
        <v>0.8</v>
      </c>
      <c r="EY387" s="9" t="n">
        <f aca="false" t="array" ref="EY387:EY387">IF(EY386=0,0,IF(EY386/'🎚️ Escenario'!$C$11&gt;=36,$AL$23,INDEX($C$23:$AL$23,MAX(1,ROUNDUP(EY386/'🎚️ Escenario'!$C$11,0)))))</f>
        <v>0.82</v>
      </c>
      <c r="EZ387" s="9" t="n">
        <f aca="false" t="array" ref="EZ387:EZ387">IF(EZ386=0,0,IF(EZ386/'🎚️ Escenario'!$C$11&gt;=36,$AL$23,INDEX($C$23:$AL$23,MAX(1,ROUNDUP(EZ386/'🎚️ Escenario'!$C$11,0)))))</f>
        <v>0.84</v>
      </c>
      <c r="FA387" s="9" t="n">
        <f aca="false" t="array" ref="FA387:FA387">IF(FA386=0,0,IF(FA386/'🎚️ Escenario'!$C$11&gt;=36,$AL$23,INDEX($C$23:$AL$23,MAX(1,ROUNDUP(FA386/'🎚️ Escenario'!$C$11,0)))))</f>
        <v>0.85</v>
      </c>
      <c r="FB387" s="9" t="n">
        <f aca="false" t="array" ref="FB387:FB387">IF(FB386=0,0,IF(FB386/'🎚️ Escenario'!$C$11&gt;=36,$AL$23,INDEX($C$23:$AL$23,MAX(1,ROUNDUP(FB386/'🎚️ Escenario'!$C$11,0)))))</f>
        <v>0.85</v>
      </c>
      <c r="FC387" s="9" t="n">
        <f aca="false" t="array" ref="FC387:FC387">IF(FC386=0,0,IF(FC386/'🎚️ Escenario'!$C$11&gt;=36,$AL$23,INDEX($C$23:$AL$23,MAX(1,ROUNDUP(FC386/'🎚️ Escenario'!$C$11,0)))))</f>
        <v>0.86</v>
      </c>
      <c r="FD387" s="9" t="n">
        <f aca="false" t="array" ref="FD387:FD387">IF(FD386=0,0,IF(FD386/'🎚️ Escenario'!$C$11&gt;=36,$AL$23,INDEX($C$23:$AL$23,MAX(1,ROUNDUP(FD386/'🎚️ Escenario'!$C$11,0)))))</f>
        <v>0.88</v>
      </c>
      <c r="FE387" s="9" t="n">
        <f aca="false" t="array" ref="FE387:FE387">IF(FE386=0,0,IF(FE386/'🎚️ Escenario'!$C$11&gt;=36,$AL$23,INDEX($C$23:$AL$23,MAX(1,ROUNDUP(FE386/'🎚️ Escenario'!$C$11,0)))))</f>
        <v>0.89</v>
      </c>
      <c r="FF387" s="9" t="n">
        <f aca="false" t="array" ref="FF387:FF387">IF(FF386=0,0,IF(FF386/'🎚️ Escenario'!$C$11&gt;=36,$AL$23,INDEX($C$23:$AL$23,MAX(1,ROUNDUP(FF386/'🎚️ Escenario'!$C$11,0)))))</f>
        <v>0.9</v>
      </c>
      <c r="FG387" s="9" t="n">
        <f aca="false" t="array" ref="FG387:FG387">IF(FG386=0,0,IF(FG386/'🎚️ Escenario'!$C$11&gt;=36,$AL$23,INDEX($C$23:$AL$23,MAX(1,ROUNDUP(FG386/'🎚️ Escenario'!$C$11,0)))))</f>
        <v>0.9</v>
      </c>
      <c r="FH387" s="9" t="n">
        <f aca="false" t="array" ref="FH387:FH387">IF(FH386=0,0,IF(FH386/'🎚️ Escenario'!$C$11&gt;=36,$AL$23,INDEX($C$23:$AL$23,MAX(1,ROUNDUP(FH386/'🎚️ Escenario'!$C$11,0)))))</f>
        <v>0.92</v>
      </c>
      <c r="FI387" s="9" t="n">
        <f aca="false" t="array" ref="FI387:FI387">IF(FI386=0,0,IF(FI386/'🎚️ Escenario'!$C$11&gt;=36,$AL$23,INDEX($C$23:$AL$23,MAX(1,ROUNDUP(FI386/'🎚️ Escenario'!$C$11,0)))))</f>
        <v>0.93</v>
      </c>
      <c r="FJ387" s="9" t="n">
        <f aca="false" t="array" ref="FJ387:FJ387">IF(FJ386=0,0,IF(FJ386/'🎚️ Escenario'!$C$11&gt;=36,$AL$23,INDEX($C$23:$AL$23,MAX(1,ROUNDUP(FJ386/'🎚️ Escenario'!$C$11,0)))))</f>
        <v>0.94</v>
      </c>
      <c r="FK387" s="9" t="n">
        <f aca="false" t="array" ref="FK387:FK387">IF(FK386=0,0,IF(FK386/'🎚️ Escenario'!$C$11&gt;=36,$AL$23,INDEX($C$23:$AL$23,MAX(1,ROUNDUP(FK386/'🎚️ Escenario'!$C$11,0)))))</f>
        <v>0.95</v>
      </c>
      <c r="FL387" s="9" t="n">
        <f aca="false" t="array" ref="FL387:FL387">IF(FL386=0,0,IF(FL386/'🎚️ Escenario'!$C$11&gt;=36,$AL$23,INDEX($C$23:$AL$23,MAX(1,ROUNDUP(FL386/'🎚️ Escenario'!$C$11,0)))))</f>
        <v>0.95</v>
      </c>
      <c r="FM387" s="9" t="n">
        <f aca="false" t="array" ref="FM387:FM387">IF(FM386=0,0,IF(FM386/'🎚️ Escenario'!$C$11&gt;=36,$AL$23,INDEX($C$23:$AL$23,MAX(1,ROUNDUP(FM386/'🎚️ Escenario'!$C$11,0)))))</f>
        <v>0.97</v>
      </c>
      <c r="FN387" s="9" t="n">
        <f aca="false" t="array" ref="FN387:FN387">IF(FN386=0,0,IF(FN386/'🎚️ Escenario'!$C$11&gt;=36,$AL$23,INDEX($C$23:$AL$23,MAX(1,ROUNDUP(FN386/'🎚️ Escenario'!$C$11,0)))))</f>
        <v>0.98</v>
      </c>
      <c r="FO387" s="9" t="n">
        <f aca="false" t="array" ref="FO387:FO387">IF(FO386=0,0,IF(FO386/'🎚️ Escenario'!$C$11&gt;=36,$AL$23,INDEX($C$23:$AL$23,MAX(1,ROUNDUP(FO386/'🎚️ Escenario'!$C$11,0)))))</f>
        <v>0.99</v>
      </c>
      <c r="FP387" s="9" t="n">
        <f aca="false" t="array" ref="FP387:FP387">IF(FP386=0,0,IF(FP386/'🎚️ Escenario'!$C$11&gt;=36,$AL$23,INDEX($C$23:$AL$23,MAX(1,ROUNDUP(FP386/'🎚️ Escenario'!$C$11,0)))))</f>
        <v>1</v>
      </c>
    </row>
    <row r="388" customFormat="false" ht="15" hidden="false" customHeight="false" outlineLevel="2" collapsed="false">
      <c r="B388" s="47" t="s">
        <v>875</v>
      </c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237" t="n">
        <f aca="false">IF(AC386=0,0,IF(AC386&lt;=12*'🎚️ Escenario'!$C$11,1,1+$C$6))</f>
        <v>0</v>
      </c>
      <c r="AD388" s="237" t="n">
        <f aca="false">IF(AD386=0,0,IF(AD386&lt;=12*'🎚️ Escenario'!$C$11,1,1+$C$6))</f>
        <v>0</v>
      </c>
      <c r="AE388" s="237" t="n">
        <f aca="false">IF(AE386=0,0,IF(AE386&lt;=12*'🎚️ Escenario'!$C$11,1,1+$C$6))</f>
        <v>0</v>
      </c>
      <c r="AF388" s="237" t="n">
        <f aca="false">IF(AF386=0,0,IF(AF386&lt;=12*'🎚️ Escenario'!$C$11,1,1+$C$6))</f>
        <v>0</v>
      </c>
      <c r="AG388" s="237" t="n">
        <f aca="false">IF(AG386=0,0,IF(AG386&lt;=12*'🎚️ Escenario'!$C$11,1,1+$C$6))</f>
        <v>0</v>
      </c>
      <c r="AH388" s="237" t="n">
        <f aca="false">IF(AH386=0,0,IF(AH386&lt;=12*'🎚️ Escenario'!$C$11,1,1+$C$6))</f>
        <v>0</v>
      </c>
      <c r="AI388" s="237" t="n">
        <f aca="false">IF(AI386=0,0,IF(AI386&lt;=12*'🎚️ Escenario'!$C$11,1,1+$C$6))</f>
        <v>0</v>
      </c>
      <c r="AJ388" s="237" t="n">
        <f aca="false">IF(AJ386=0,0,IF(AJ386&lt;=12*'🎚️ Escenario'!$C$11,1,1+$C$6))</f>
        <v>0</v>
      </c>
      <c r="AK388" s="237" t="n">
        <f aca="false">IF(AK386=0,0,IF(AK386&lt;=12*'🎚️ Escenario'!$C$11,1,1+$C$6))</f>
        <v>0</v>
      </c>
      <c r="AL388" s="237" t="n">
        <f aca="false">IF(AL386=0,0,IF(AL386&lt;=12*'🎚️ Escenario'!$C$11,1,1+$C$6))</f>
        <v>0</v>
      </c>
      <c r="AM388" s="237" t="n">
        <f aca="false">IF(AM386=0,0,IF(AM386&lt;=12*'🎚️ Escenario'!$C$11,1,1+$C$6))</f>
        <v>0</v>
      </c>
      <c r="AN388" s="237" t="n">
        <f aca="false">IF(AN386=0,0,IF(AN386&lt;=12*'🎚️ Escenario'!$C$11,1,1+$C$6))</f>
        <v>0</v>
      </c>
      <c r="AO388" s="237" t="n">
        <f aca="false">IF(AO386=0,0,IF(AO386&lt;=12*'🎚️ Escenario'!$C$11,1,1+$C$6))</f>
        <v>0</v>
      </c>
      <c r="AP388" s="237" t="n">
        <f aca="false">IF(AP386=0,0,IF(AP386&lt;=12*'🎚️ Escenario'!$C$11,1,1+$C$6))</f>
        <v>0</v>
      </c>
      <c r="AQ388" s="237" t="n">
        <f aca="false">IF(AQ386=0,0,IF(AQ386&lt;=12*'🎚️ Escenario'!$C$11,1,1+$C$6))</f>
        <v>0</v>
      </c>
      <c r="AR388" s="237" t="n">
        <f aca="false">IF(AR386=0,0,IF(AR386&lt;=12*'🎚️ Escenario'!$C$11,1,1+$C$6))</f>
        <v>0</v>
      </c>
      <c r="AS388" s="237" t="n">
        <f aca="false">IF(AS386=0,0,IF(AS386&lt;=12*'🎚️ Escenario'!$C$11,1,1+$C$6))</f>
        <v>0</v>
      </c>
      <c r="AT388" s="237" t="n">
        <f aca="false">IF(AT386=0,0,IF(AT386&lt;=12*'🎚️ Escenario'!$C$11,1,1+$C$6))</f>
        <v>0</v>
      </c>
      <c r="AU388" s="237" t="n">
        <f aca="false">IF(AU386=0,0,IF(AU386&lt;=12*'🎚️ Escenario'!$C$11,1,1+$C$6))</f>
        <v>0</v>
      </c>
      <c r="AV388" s="237" t="n">
        <f aca="false">IF(AV386=0,0,IF(AV386&lt;=12*'🎚️ Escenario'!$C$11,1,1+$C$6))</f>
        <v>0</v>
      </c>
      <c r="AW388" s="237" t="n">
        <f aca="false">IF(AW386=0,0,IF(AW386&lt;=12*'🎚️ Escenario'!$C$11,1,1+$C$6))</f>
        <v>0</v>
      </c>
      <c r="AX388" s="237" t="n">
        <f aca="false">IF(AX386=0,0,IF(AX386&lt;=12*'🎚️ Escenario'!$C$11,1,1+$C$6))</f>
        <v>0</v>
      </c>
      <c r="AY388" s="237" t="n">
        <f aca="false">IF(AY386=0,0,IF(AY386&lt;=12*'🎚️ Escenario'!$C$11,1,1+$C$6))</f>
        <v>0</v>
      </c>
      <c r="AZ388" s="237" t="n">
        <f aca="false">IF(AZ386=0,0,IF(AZ386&lt;=12*'🎚️ Escenario'!$C$11,1,1+$C$6))</f>
        <v>0</v>
      </c>
      <c r="BA388" s="237" t="n">
        <f aca="false">IF(BA386=0,0,IF(BA386&lt;=12*'🎚️ Escenario'!$C$11,1,1+$C$6))</f>
        <v>0</v>
      </c>
      <c r="BB388" s="237" t="n">
        <f aca="false">IF(BB386=0,0,IF(BB386&lt;=12*'🎚️ Escenario'!$C$11,1,1+$C$6))</f>
        <v>0</v>
      </c>
      <c r="BC388" s="237" t="n">
        <f aca="false">IF(BC386=0,0,IF(BC386&lt;=12*'🎚️ Escenario'!$C$11,1,1+$C$6))</f>
        <v>0</v>
      </c>
      <c r="BD388" s="237" t="n">
        <f aca="false">IF(BD386=0,0,IF(BD386&lt;=12*'🎚️ Escenario'!$C$11,1,1+$C$6))</f>
        <v>0</v>
      </c>
      <c r="BE388" s="237" t="n">
        <f aca="false">IF(BE386=0,0,IF(BE386&lt;=12*'🎚️ Escenario'!$C$11,1,1+$C$6))</f>
        <v>0</v>
      </c>
      <c r="BF388" s="237" t="n">
        <f aca="false">IF(BF386=0,0,IF(BF386&lt;=12*'🎚️ Escenario'!$C$11,1,1+$C$6))</f>
        <v>0</v>
      </c>
      <c r="BG388" s="237" t="n">
        <f aca="false">IF(BG386=0,0,IF(BG386&lt;=12*'🎚️ Escenario'!$C$11,1,1+$C$6))</f>
        <v>0</v>
      </c>
      <c r="BH388" s="237" t="n">
        <f aca="false">IF(BH386=0,0,IF(BH386&lt;=12*'🎚️ Escenario'!$C$11,1,1+$C$6))</f>
        <v>0</v>
      </c>
      <c r="BI388" s="237" t="n">
        <f aca="false">IF(BI386=0,0,IF(BI386&lt;=12*'🎚️ Escenario'!$C$11,1,1+$C$6))</f>
        <v>0</v>
      </c>
      <c r="BJ388" s="237" t="n">
        <f aca="false">IF(BJ386=0,0,IF(BJ386&lt;=12*'🎚️ Escenario'!$C$11,1,1+$C$6))</f>
        <v>0</v>
      </c>
      <c r="BK388" s="237" t="n">
        <f aca="false">IF(BK386=0,0,IF(BK386&lt;=12*'🎚️ Escenario'!$C$11,1,1+$C$6))</f>
        <v>0</v>
      </c>
      <c r="BL388" s="237" t="n">
        <f aca="false">IF(BL386=0,0,IF(BL386&lt;=12*'🎚️ Escenario'!$C$11,1,1+$C$6))</f>
        <v>0</v>
      </c>
      <c r="BM388" s="237" t="n">
        <f aca="false">IF(BM386=0,0,IF(BM386&lt;=12*'🎚️ Escenario'!$C$11,1,1+$C$6))</f>
        <v>0</v>
      </c>
      <c r="BN388" s="237" t="n">
        <f aca="false">IF(BN386=0,0,IF(BN386&lt;=12*'🎚️ Escenario'!$C$11,1,1+$C$6))</f>
        <v>0</v>
      </c>
      <c r="BO388" s="237" t="n">
        <f aca="false">IF(BO386=0,0,IF(BO386&lt;=12*'🎚️ Escenario'!$C$11,1,1+$C$6))</f>
        <v>0</v>
      </c>
      <c r="BP388" s="237" t="n">
        <f aca="false">IF(BP386=0,0,IF(BP386&lt;=12*'🎚️ Escenario'!$C$11,1,1+$C$6))</f>
        <v>0</v>
      </c>
      <c r="BQ388" s="237" t="n">
        <f aca="false">IF(BQ386=0,0,IF(BQ386&lt;=12*'🎚️ Escenario'!$C$11,1,1+$C$6))</f>
        <v>0</v>
      </c>
      <c r="BR388" s="237" t="n">
        <f aca="false">IF(BR386=0,0,IF(BR386&lt;=12*'🎚️ Escenario'!$C$11,1,1+$C$6))</f>
        <v>0</v>
      </c>
      <c r="BS388" s="237" t="n">
        <f aca="false">IF(BS386=0,0,IF(BS386&lt;=12*'🎚️ Escenario'!$C$11,1,1+$C$6))</f>
        <v>0</v>
      </c>
      <c r="BT388" s="237" t="n">
        <f aca="false">IF(BT386=0,0,IF(BT386&lt;=12*'🎚️ Escenario'!$C$11,1,1+$C$6))</f>
        <v>0</v>
      </c>
      <c r="BU388" s="237" t="n">
        <f aca="false">IF(BU386=0,0,IF(BU386&lt;=12*'🎚️ Escenario'!$C$11,1,1+$C$6))</f>
        <v>0</v>
      </c>
      <c r="BV388" s="237" t="n">
        <f aca="false">IF(BV386=0,0,IF(BV386&lt;=12*'🎚️ Escenario'!$C$11,1,1+$C$6))</f>
        <v>0</v>
      </c>
      <c r="BW388" s="237" t="n">
        <f aca="false">IF(BW386=0,0,IF(BW386&lt;=12*'🎚️ Escenario'!$C$11,1,1+$C$6))</f>
        <v>0</v>
      </c>
      <c r="BX388" s="237" t="n">
        <f aca="false">IF(BX386=0,0,IF(BX386&lt;=12*'🎚️ Escenario'!$C$11,1,1+$C$6))</f>
        <v>0</v>
      </c>
      <c r="BY388" s="237" t="n">
        <f aca="false">IF(BY386=0,0,IF(BY386&lt;=12*'🎚️ Escenario'!$C$11,1,1+$C$6))</f>
        <v>0</v>
      </c>
      <c r="BZ388" s="237" t="n">
        <f aca="false">IF(BZ386=0,0,IF(BZ386&lt;=12*'🎚️ Escenario'!$C$11,1,1+$C$6))</f>
        <v>0</v>
      </c>
      <c r="CA388" s="237" t="n">
        <f aca="false">IF(CA386=0,0,IF(CA386&lt;=12*'🎚️ Escenario'!$C$11,1,1+$C$6))</f>
        <v>0</v>
      </c>
      <c r="CB388" s="237" t="n">
        <f aca="false">IF(CB386=0,0,IF(CB386&lt;=12*'🎚️ Escenario'!$C$11,1,1+$C$6))</f>
        <v>0</v>
      </c>
      <c r="CC388" s="237" t="n">
        <f aca="false">IF(CC386=0,0,IF(CC386&lt;=12*'🎚️ Escenario'!$C$11,1,1+$C$6))</f>
        <v>0</v>
      </c>
      <c r="CD388" s="237" t="n">
        <f aca="false">IF(CD386=0,0,IF(CD386&lt;=12*'🎚️ Escenario'!$C$11,1,1+$C$6))</f>
        <v>0</v>
      </c>
      <c r="CE388" s="237" t="n">
        <f aca="false">IF(CE386=0,0,IF(CE386&lt;=12*'🎚️ Escenario'!$C$11,1,1+$C$6))</f>
        <v>0</v>
      </c>
      <c r="CF388" s="237" t="n">
        <f aca="false">IF(CF386=0,0,IF(CF386&lt;=12*'🎚️ Escenario'!$C$11,1,1+$C$6))</f>
        <v>0</v>
      </c>
      <c r="CG388" s="237" t="n">
        <f aca="false">IF(CG386=0,0,IF(CG386&lt;=12*'🎚️ Escenario'!$C$11,1,1+$C$6))</f>
        <v>0</v>
      </c>
      <c r="CH388" s="237" t="n">
        <f aca="false">IF(CH386=0,0,IF(CH386&lt;=12*'🎚️ Escenario'!$C$11,1,1+$C$6))</f>
        <v>0</v>
      </c>
      <c r="CI388" s="237" t="n">
        <f aca="false">IF(CI386=0,0,IF(CI386&lt;=12*'🎚️ Escenario'!$C$11,1,1+$C$6))</f>
        <v>0</v>
      </c>
      <c r="CJ388" s="237" t="n">
        <f aca="false">IF(CJ386=0,0,IF(CJ386&lt;=12*'🎚️ Escenario'!$C$11,1,1+$C$6))</f>
        <v>0</v>
      </c>
      <c r="CK388" s="237" t="n">
        <f aca="false">IF(CK386=0,0,IF(CK386&lt;=12*'🎚️ Escenario'!$C$11,1,1+$C$6))</f>
        <v>0</v>
      </c>
      <c r="CL388" s="237" t="n">
        <f aca="false">IF(CL386=0,0,IF(CL386&lt;=12*'🎚️ Escenario'!$C$11,1,1+$C$6))</f>
        <v>0</v>
      </c>
      <c r="CM388" s="237" t="n">
        <f aca="false">IF(CM386=0,0,IF(CM386&lt;=12*'🎚️ Escenario'!$C$11,1,1+$C$6))</f>
        <v>0</v>
      </c>
      <c r="CN388" s="237" t="n">
        <f aca="false">IF(CN386=0,0,IF(CN386&lt;=12*'🎚️ Escenario'!$C$11,1,1+$C$6))</f>
        <v>0</v>
      </c>
      <c r="CO388" s="237" t="n">
        <f aca="false">IF(CO386=0,0,IF(CO386&lt;=12*'🎚️ Escenario'!$C$11,1,1+$C$6))</f>
        <v>0</v>
      </c>
      <c r="CP388" s="237" t="n">
        <f aca="false">IF(CP386=0,0,IF(CP386&lt;=12*'🎚️ Escenario'!$C$11,1,1+$C$6))</f>
        <v>0</v>
      </c>
      <c r="CQ388" s="237" t="n">
        <f aca="false">IF(CQ386=0,0,IF(CQ386&lt;=12*'🎚️ Escenario'!$C$11,1,1+$C$6))</f>
        <v>0</v>
      </c>
      <c r="CR388" s="237" t="n">
        <f aca="false">IF(CR386=0,0,IF(CR386&lt;=12*'🎚️ Escenario'!$C$11,1,1+$C$6))</f>
        <v>0</v>
      </c>
      <c r="CS388" s="237" t="n">
        <f aca="false">IF(CS386=0,0,IF(CS386&lt;=12*'🎚️ Escenario'!$C$11,1,1+$C$6))</f>
        <v>0</v>
      </c>
      <c r="CT388" s="237" t="n">
        <f aca="false">IF(CT386=0,0,IF(CT386&lt;=12*'🎚️ Escenario'!$C$11,1,1+$C$6))</f>
        <v>0</v>
      </c>
      <c r="CU388" s="237" t="n">
        <f aca="false">IF(CU386=0,0,IF(CU386&lt;=12*'🎚️ Escenario'!$C$11,1,1+$C$6))</f>
        <v>0</v>
      </c>
      <c r="CV388" s="237" t="n">
        <f aca="false">IF(CV386=0,0,IF(CV386&lt;=12*'🎚️ Escenario'!$C$11,1,1+$C$6))</f>
        <v>0</v>
      </c>
      <c r="CW388" s="237" t="n">
        <f aca="false">IF(CW386=0,0,IF(CW386&lt;=12*'🎚️ Escenario'!$C$11,1,1+$C$6))</f>
        <v>0</v>
      </c>
      <c r="CX388" s="237" t="n">
        <f aca="false">IF(CX386=0,0,IF(CX386&lt;=12*'🎚️ Escenario'!$C$11,1,1+$C$6))</f>
        <v>0</v>
      </c>
      <c r="CY388" s="237" t="n">
        <f aca="false">IF(CY386=0,0,IF(CY386&lt;=12*'🎚️ Escenario'!$C$11,1,1+$C$6))</f>
        <v>0</v>
      </c>
      <c r="CZ388" s="237" t="n">
        <f aca="false">IF(CZ386=0,0,IF(CZ386&lt;=12*'🎚️ Escenario'!$C$11,1,1+$C$6))</f>
        <v>0</v>
      </c>
      <c r="DA388" s="237" t="n">
        <f aca="false">IF(DA386=0,0,IF(DA386&lt;=12*'🎚️ Escenario'!$C$11,1,1+$C$6))</f>
        <v>0</v>
      </c>
      <c r="DB388" s="237" t="n">
        <f aca="false">IF(DB386=0,0,IF(DB386&lt;=12*'🎚️ Escenario'!$C$11,1,1+$C$6))</f>
        <v>0</v>
      </c>
      <c r="DC388" s="237" t="n">
        <f aca="false">IF(DC386=0,0,IF(DC386&lt;=12*'🎚️ Escenario'!$C$11,1,1+$C$6))</f>
        <v>0</v>
      </c>
      <c r="DD388" s="237" t="n">
        <f aca="false">IF(DD386=0,0,IF(DD386&lt;=12*'🎚️ Escenario'!$C$11,1,1+$C$6))</f>
        <v>0</v>
      </c>
      <c r="DE388" s="237" t="n">
        <f aca="false">IF(DE386=0,0,IF(DE386&lt;=12*'🎚️ Escenario'!$C$11,1,1+$C$6))</f>
        <v>0</v>
      </c>
      <c r="DF388" s="237" t="n">
        <f aca="false">IF(DF386=0,0,IF(DF386&lt;=12*'🎚️ Escenario'!$C$11,1,1+$C$6))</f>
        <v>0</v>
      </c>
      <c r="DG388" s="237" t="n">
        <f aca="false">IF(DG386=0,0,IF(DG386&lt;=12*'🎚️ Escenario'!$C$11,1,1+$C$6))</f>
        <v>0</v>
      </c>
      <c r="DH388" s="237" t="n">
        <f aca="false">IF(DH386=0,0,IF(DH386&lt;=12*'🎚️ Escenario'!$C$11,1,1+$C$6))</f>
        <v>0</v>
      </c>
      <c r="DI388" s="237" t="n">
        <f aca="false">IF(DI386=0,0,IF(DI386&lt;=12*'🎚️ Escenario'!$C$11,1,1+$C$6))</f>
        <v>0</v>
      </c>
      <c r="DJ388" s="237" t="n">
        <f aca="false">IF(DJ386=0,0,IF(DJ386&lt;=12*'🎚️ Escenario'!$C$11,1,1+$C$6))</f>
        <v>0</v>
      </c>
      <c r="DK388" s="237" t="n">
        <f aca="false">IF(DK386=0,0,IF(DK386&lt;=12*'🎚️ Escenario'!$C$11,1,1+$C$6))</f>
        <v>0</v>
      </c>
      <c r="DL388" s="237" t="n">
        <f aca="false">IF(DL386=0,0,IF(DL386&lt;=12*'🎚️ Escenario'!$C$11,1,1+$C$6))</f>
        <v>0</v>
      </c>
      <c r="DM388" s="237" t="n">
        <f aca="false">IF(DM386=0,0,IF(DM386&lt;=12*'🎚️ Escenario'!$C$11,1,1+$C$6))</f>
        <v>0</v>
      </c>
      <c r="DN388" s="237" t="n">
        <f aca="false">IF(DN386=0,0,IF(DN386&lt;=12*'🎚️ Escenario'!$C$11,1,1+$C$6))</f>
        <v>0</v>
      </c>
      <c r="DO388" s="237" t="n">
        <f aca="false">IF(DO386=0,0,IF(DO386&lt;=12*'🎚️ Escenario'!$C$11,1,1+$C$6))</f>
        <v>0</v>
      </c>
      <c r="DP388" s="237" t="n">
        <f aca="false">IF(DP386=0,0,IF(DP386&lt;=12*'🎚️ Escenario'!$C$11,1,1+$C$6))</f>
        <v>0</v>
      </c>
      <c r="DQ388" s="237" t="n">
        <f aca="false">IF(DQ386=0,0,IF(DQ386&lt;=12*'🎚️ Escenario'!$C$11,1,1+$C$6))</f>
        <v>0</v>
      </c>
      <c r="DR388" s="237" t="n">
        <f aca="false">IF(DR386=0,0,IF(DR386&lt;=12*'🎚️ Escenario'!$C$11,1,1+$C$6))</f>
        <v>0</v>
      </c>
      <c r="DS388" s="237" t="n">
        <f aca="false">IF(DS386=0,0,IF(DS386&lt;=12*'🎚️ Escenario'!$C$11,1,1+$C$6))</f>
        <v>0</v>
      </c>
      <c r="DT388" s="237" t="n">
        <f aca="false">IF(DT386=0,0,IF(DT386&lt;=12*'🎚️ Escenario'!$C$11,1,1+$C$6))</f>
        <v>0</v>
      </c>
      <c r="DU388" s="237" t="n">
        <f aca="false">IF(DU386=0,0,IF(DU386&lt;=12*'🎚️ Escenario'!$C$11,1,1+$C$6))</f>
        <v>0</v>
      </c>
      <c r="DV388" s="237" t="n">
        <f aca="false">IF(DV386=0,0,IF(DV386&lt;=12*'🎚️ Escenario'!$C$11,1,1+$C$6))</f>
        <v>0</v>
      </c>
      <c r="DW388" s="237" t="n">
        <f aca="false">IF(DW386=0,0,IF(DW386&lt;=12*'🎚️ Escenario'!$C$11,1,1+$C$6))</f>
        <v>0</v>
      </c>
      <c r="DX388" s="237" t="n">
        <f aca="false">IF(DX386=0,0,IF(DX386&lt;=12*'🎚️ Escenario'!$C$11,1,1+$C$6))</f>
        <v>0</v>
      </c>
      <c r="DY388" s="237" t="n">
        <f aca="false">IF(DY386=0,0,IF(DY386&lt;=12*'🎚️ Escenario'!$C$11,1,1+$C$6))</f>
        <v>1</v>
      </c>
      <c r="DZ388" s="237" t="n">
        <f aca="false">IF(DZ386=0,0,IF(DZ386&lt;=12*'🎚️ Escenario'!$C$11,1,1+$C$6))</f>
        <v>1</v>
      </c>
      <c r="EA388" s="237" t="n">
        <f aca="false">IF(EA386=0,0,IF(EA386&lt;=12*'🎚️ Escenario'!$C$11,1,1+$C$6))</f>
        <v>1</v>
      </c>
      <c r="EB388" s="237" t="n">
        <f aca="false">IF(EB386=0,0,IF(EB386&lt;=12*'🎚️ Escenario'!$C$11,1,1+$C$6))</f>
        <v>1</v>
      </c>
      <c r="EC388" s="237" t="n">
        <f aca="false">IF(EC386=0,0,IF(EC386&lt;=12*'🎚️ Escenario'!$C$11,1,1+$C$6))</f>
        <v>1</v>
      </c>
      <c r="ED388" s="237" t="n">
        <f aca="false">IF(ED386=0,0,IF(ED386&lt;=12*'🎚️ Escenario'!$C$11,1,1+$C$6))</f>
        <v>1</v>
      </c>
      <c r="EE388" s="237" t="n">
        <f aca="false">IF(EE386=0,0,IF(EE386&lt;=12*'🎚️ Escenario'!$C$11,1,1+$C$6))</f>
        <v>1</v>
      </c>
      <c r="EF388" s="237" t="n">
        <f aca="false">IF(EF386=0,0,IF(EF386&lt;=12*'🎚️ Escenario'!$C$11,1,1+$C$6))</f>
        <v>1</v>
      </c>
      <c r="EG388" s="237" t="n">
        <f aca="false">IF(EG386=0,0,IF(EG386&lt;=12*'🎚️ Escenario'!$C$11,1,1+$C$6))</f>
        <v>1</v>
      </c>
      <c r="EH388" s="237" t="n">
        <f aca="false">IF(EH386=0,0,IF(EH386&lt;=12*'🎚️ Escenario'!$C$11,1,1+$C$6))</f>
        <v>1</v>
      </c>
      <c r="EI388" s="237" t="n">
        <f aca="false">IF(EI386=0,0,IF(EI386&lt;=12*'🎚️ Escenario'!$C$11,1,1+$C$6))</f>
        <v>1</v>
      </c>
      <c r="EJ388" s="237" t="n">
        <f aca="false">IF(EJ386=0,0,IF(EJ386&lt;=12*'🎚️ Escenario'!$C$11,1,1+$C$6))</f>
        <v>1</v>
      </c>
      <c r="EK388" s="237" t="n">
        <f aca="false">IF(EK386=0,0,IF(EK386&lt;=12*'🎚️ Escenario'!$C$11,1,1+$C$6))</f>
        <v>1</v>
      </c>
      <c r="EL388" s="237" t="n">
        <f aca="false">IF(EL386=0,0,IF(EL386&lt;=12*'🎚️ Escenario'!$C$11,1,1+$C$6))</f>
        <v>1</v>
      </c>
      <c r="EM388" s="237" t="n">
        <f aca="false">IF(EM386=0,0,IF(EM386&lt;=12*'🎚️ Escenario'!$C$11,1,1+$C$6))</f>
        <v>1</v>
      </c>
      <c r="EN388" s="237" t="n">
        <f aca="false">IF(EN386=0,0,IF(EN386&lt;=12*'🎚️ Escenario'!$C$11,1,1+$C$6))</f>
        <v>1.2</v>
      </c>
      <c r="EO388" s="237" t="n">
        <f aca="false">IF(EO386=0,0,IF(EO386&lt;=12*'🎚️ Escenario'!$C$11,1,1+$C$6))</f>
        <v>1.2</v>
      </c>
      <c r="EP388" s="237" t="n">
        <f aca="false">IF(EP386=0,0,IF(EP386&lt;=12*'🎚️ Escenario'!$C$11,1,1+$C$6))</f>
        <v>1.2</v>
      </c>
      <c r="EQ388" s="237" t="n">
        <f aca="false">IF(EQ386=0,0,IF(EQ386&lt;=12*'🎚️ Escenario'!$C$11,1,1+$C$6))</f>
        <v>1.2</v>
      </c>
      <c r="ER388" s="237" t="n">
        <f aca="false">IF(ER386=0,0,IF(ER386&lt;=12*'🎚️ Escenario'!$C$11,1,1+$C$6))</f>
        <v>1.2</v>
      </c>
      <c r="ES388" s="238" t="n">
        <f aca="false">IF(ES386=0,0,IF(ES386&lt;=12*'🎚️ Escenario'!$C$11,1,1+$C$6))</f>
        <v>1.2</v>
      </c>
      <c r="ET388" s="238" t="n">
        <f aca="false">IF(ET386=0,0,IF(ET386&lt;=12*'🎚️ Escenario'!$C$11,1,1+$C$6))</f>
        <v>1.2</v>
      </c>
      <c r="EU388" s="238" t="n">
        <f aca="false">IF(EU386=0,0,IF(EU386&lt;=12*'🎚️ Escenario'!$C$11,1,1+$C$6))</f>
        <v>1.2</v>
      </c>
      <c r="EV388" s="238" t="n">
        <f aca="false">IF(EV386=0,0,IF(EV386&lt;=12*'🎚️ Escenario'!$C$11,1,1+$C$6))</f>
        <v>1.2</v>
      </c>
      <c r="EW388" s="238" t="n">
        <f aca="false">IF(EW386=0,0,IF(EW386&lt;=12*'🎚️ Escenario'!$C$11,1,1+$C$6))</f>
        <v>1.2</v>
      </c>
      <c r="EX388" s="238" t="n">
        <f aca="false">IF(EX386=0,0,IF(EX386&lt;=12*'🎚️ Escenario'!$C$11,1,1+$C$6))</f>
        <v>1.2</v>
      </c>
      <c r="EY388" s="238" t="n">
        <f aca="false">IF(EY386=0,0,IF(EY386&lt;=12*'🎚️ Escenario'!$C$11,1,1+$C$6))</f>
        <v>1.2</v>
      </c>
      <c r="EZ388" s="238" t="n">
        <f aca="false">IF(EZ386=0,0,IF(EZ386&lt;=12*'🎚️ Escenario'!$C$11,1,1+$C$6))</f>
        <v>1.2</v>
      </c>
      <c r="FA388" s="238" t="n">
        <f aca="false">IF(FA386=0,0,IF(FA386&lt;=12*'🎚️ Escenario'!$C$11,1,1+$C$6))</f>
        <v>1.2</v>
      </c>
      <c r="FB388" s="238" t="n">
        <f aca="false">IF(FB386=0,0,IF(FB386&lt;=12*'🎚️ Escenario'!$C$11,1,1+$C$6))</f>
        <v>1.2</v>
      </c>
      <c r="FC388" s="238" t="n">
        <f aca="false">IF(FC386=0,0,IF(FC386&lt;=12*'🎚️ Escenario'!$C$11,1,1+$C$6))</f>
        <v>1.2</v>
      </c>
      <c r="FD388" s="238" t="n">
        <f aca="false">IF(FD386=0,0,IF(FD386&lt;=12*'🎚️ Escenario'!$C$11,1,1+$C$6))</f>
        <v>1.2</v>
      </c>
      <c r="FE388" s="238" t="n">
        <f aca="false">IF(FE386=0,0,IF(FE386&lt;=12*'🎚️ Escenario'!$C$11,1,1+$C$6))</f>
        <v>1.2</v>
      </c>
      <c r="FF388" s="238" t="n">
        <f aca="false">IF(FF386=0,0,IF(FF386&lt;=12*'🎚️ Escenario'!$C$11,1,1+$C$6))</f>
        <v>1.2</v>
      </c>
      <c r="FG388" s="238" t="n">
        <f aca="false">IF(FG386=0,0,IF(FG386&lt;=12*'🎚️ Escenario'!$C$11,1,1+$C$6))</f>
        <v>1.2</v>
      </c>
      <c r="FH388" s="238" t="n">
        <f aca="false">IF(FH386=0,0,IF(FH386&lt;=12*'🎚️ Escenario'!$C$11,1,1+$C$6))</f>
        <v>1.2</v>
      </c>
      <c r="FI388" s="238" t="n">
        <f aca="false">IF(FI386=0,0,IF(FI386&lt;=12*'🎚️ Escenario'!$C$11,1,1+$C$6))</f>
        <v>1.2</v>
      </c>
      <c r="FJ388" s="238" t="n">
        <f aca="false">IF(FJ386=0,0,IF(FJ386&lt;=12*'🎚️ Escenario'!$C$11,1,1+$C$6))</f>
        <v>1.2</v>
      </c>
      <c r="FK388" s="238" t="n">
        <f aca="false">IF(FK386=0,0,IF(FK386&lt;=12*'🎚️ Escenario'!$C$11,1,1+$C$6))</f>
        <v>1.2</v>
      </c>
      <c r="FL388" s="238" t="n">
        <f aca="false">IF(FL386=0,0,IF(FL386&lt;=12*'🎚️ Escenario'!$C$11,1,1+$C$6))</f>
        <v>1.2</v>
      </c>
      <c r="FM388" s="238" t="n">
        <f aca="false">IF(FM386=0,0,IF(FM386&lt;=12*'🎚️ Escenario'!$C$11,1,1+$C$6))</f>
        <v>1.2</v>
      </c>
      <c r="FN388" s="238" t="n">
        <f aca="false">IF(FN386=0,0,IF(FN386&lt;=12*'🎚️ Escenario'!$C$11,1,1+$C$6))</f>
        <v>1.2</v>
      </c>
      <c r="FO388" s="238" t="n">
        <f aca="false">IF(FO386=0,0,IF(FO386&lt;=12*'🎚️ Escenario'!$C$11,1,1+$C$6))</f>
        <v>1.2</v>
      </c>
      <c r="FP388" s="238" t="n">
        <f aca="false">IF(FP386=0,0,IF(FP386&lt;=12*'🎚️ Escenario'!$C$11,1,1+$C$6))</f>
        <v>1.2</v>
      </c>
    </row>
    <row r="389" customFormat="false" ht="15" hidden="false" customHeight="false" outlineLevel="2" collapsed="false">
      <c r="B389" s="47" t="s">
        <v>876</v>
      </c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237" t="n">
        <f aca="false">AC387*$AC$385*AC388*'⑫ Roll-out Plan'!$O$43</f>
        <v>0</v>
      </c>
      <c r="AD389" s="237" t="n">
        <f aca="false">AD387*$AC$385*AD388*AD$38*'⑫ Roll-out Plan'!$O$43</f>
        <v>0</v>
      </c>
      <c r="AE389" s="237" t="n">
        <f aca="false">AE387*$AC$385*AE388*AE$38*'⑫ Roll-out Plan'!$O$43</f>
        <v>0</v>
      </c>
      <c r="AF389" s="237" t="n">
        <f aca="false">AF387*$AC$385*AF388*AF$38*'⑫ Roll-out Plan'!$O$43</f>
        <v>0</v>
      </c>
      <c r="AG389" s="237" t="n">
        <f aca="false">AG387*$AC$385*AG388*AG$38*'⑫ Roll-out Plan'!$O$43</f>
        <v>0</v>
      </c>
      <c r="AH389" s="237" t="n">
        <f aca="false">AH387*$AC$385*AH388*AH$38*'⑫ Roll-out Plan'!$O$43</f>
        <v>0</v>
      </c>
      <c r="AI389" s="237" t="n">
        <f aca="false">AI387*$AC$385*AI388*AI$38*'⑫ Roll-out Plan'!$O$43</f>
        <v>0</v>
      </c>
      <c r="AJ389" s="237" t="n">
        <f aca="false">AJ387*$AC$385*AJ388*AJ$38*'⑫ Roll-out Plan'!$O$43</f>
        <v>0</v>
      </c>
      <c r="AK389" s="237" t="n">
        <f aca="false">AK387*$AC$385*AK388*AK$38*'⑫ Roll-out Plan'!$O$43</f>
        <v>0</v>
      </c>
      <c r="AL389" s="237" t="n">
        <f aca="false">AL387*$AC$385*AL388*AL$38*'⑫ Roll-out Plan'!$O$43</f>
        <v>0</v>
      </c>
      <c r="AM389" s="237" t="n">
        <f aca="false">AM387*$AC$385*AM388*AM$38*'⑫ Roll-out Plan'!$O$43</f>
        <v>0</v>
      </c>
      <c r="AN389" s="237" t="n">
        <f aca="false">AN387*$AC$385*AN388*AN$38*'⑫ Roll-out Plan'!$O$43</f>
        <v>0</v>
      </c>
      <c r="AO389" s="237" t="n">
        <f aca="false">AO387*$AC$385*AO388*AO$38*'⑫ Roll-out Plan'!$O$43</f>
        <v>0</v>
      </c>
      <c r="AP389" s="237" t="n">
        <f aca="false">AP387*$AC$385*AP388*AP$38*'⑫ Roll-out Plan'!$O$43</f>
        <v>0</v>
      </c>
      <c r="AQ389" s="237" t="n">
        <f aca="false">AQ387*$AC$385*AQ388*AQ$38*'⑫ Roll-out Plan'!$O$43</f>
        <v>0</v>
      </c>
      <c r="AR389" s="237" t="n">
        <f aca="false">AR387*$AC$385*AR388*AR$38*'⑫ Roll-out Plan'!$O$43</f>
        <v>0</v>
      </c>
      <c r="AS389" s="237" t="n">
        <f aca="false">AS387*$AC$385*AS388*AS$38*'⑫ Roll-out Plan'!$O$43</f>
        <v>0</v>
      </c>
      <c r="AT389" s="237" t="n">
        <f aca="false">AT387*$AC$385*AT388*AT$38*'⑫ Roll-out Plan'!$O$43</f>
        <v>0</v>
      </c>
      <c r="AU389" s="237" t="n">
        <f aca="false">AU387*$AC$385*AU388*AU$38*'⑫ Roll-out Plan'!$O$43</f>
        <v>0</v>
      </c>
      <c r="AV389" s="237" t="n">
        <f aca="false">AV387*$AC$385*AV388*AV$38*'⑫ Roll-out Plan'!$O$43</f>
        <v>0</v>
      </c>
      <c r="AW389" s="237" t="n">
        <f aca="false">AW387*$AC$385*AW388*AW$38*'⑫ Roll-out Plan'!$O$43</f>
        <v>0</v>
      </c>
      <c r="AX389" s="237" t="n">
        <f aca="false">AX387*$AC$385*AX388*AX$38*'⑫ Roll-out Plan'!$O$43</f>
        <v>0</v>
      </c>
      <c r="AY389" s="237" t="n">
        <f aca="false">AY387*$AC$385*AY388*AY$38*'⑫ Roll-out Plan'!$O$43</f>
        <v>0</v>
      </c>
      <c r="AZ389" s="237" t="n">
        <f aca="false">AZ387*$AC$385*AZ388*AZ$38*'⑫ Roll-out Plan'!$O$43</f>
        <v>0</v>
      </c>
      <c r="BA389" s="237" t="n">
        <f aca="false">BA387*$AC$385*BA388*BA$38*'⑫ Roll-out Plan'!$O$43</f>
        <v>0</v>
      </c>
      <c r="BB389" s="237" t="n">
        <f aca="false">BB387*$AC$385*BB388*BB$38*'⑫ Roll-out Plan'!$O$43</f>
        <v>0</v>
      </c>
      <c r="BC389" s="237" t="n">
        <f aca="false">BC387*$AC$385*BC388*BC$38*'⑫ Roll-out Plan'!$O$43</f>
        <v>0</v>
      </c>
      <c r="BD389" s="237" t="n">
        <f aca="false">BD387*$AC$385*BD388*BD$38*'⑫ Roll-out Plan'!$O$43</f>
        <v>0</v>
      </c>
      <c r="BE389" s="237" t="n">
        <f aca="false">BE387*$AC$385*BE388*BE$38*'⑫ Roll-out Plan'!$O$43</f>
        <v>0</v>
      </c>
      <c r="BF389" s="237" t="n">
        <f aca="false">BF387*$AC$385*BF388*BF$38*'⑫ Roll-out Plan'!$O$43</f>
        <v>0</v>
      </c>
      <c r="BG389" s="237" t="n">
        <f aca="false">BG387*$AC$385*BG388*BG$38*'⑫ Roll-out Plan'!$O$43</f>
        <v>0</v>
      </c>
      <c r="BH389" s="237" t="n">
        <f aca="false">BH387*$AC$385*BH388*BH$38*'⑫ Roll-out Plan'!$O$43</f>
        <v>0</v>
      </c>
      <c r="BI389" s="237" t="n">
        <f aca="false">BI387*$AC$385*BI388*BI$38*'⑫ Roll-out Plan'!$O$43</f>
        <v>0</v>
      </c>
      <c r="BJ389" s="237" t="n">
        <f aca="false">BJ387*$AC$385*BJ388*BJ$38*'⑫ Roll-out Plan'!$O$43</f>
        <v>0</v>
      </c>
      <c r="BK389" s="237" t="n">
        <f aca="false">BK387*$AC$385*BK388*BK$38*'⑫ Roll-out Plan'!$O$43</f>
        <v>0</v>
      </c>
      <c r="BL389" s="237" t="n">
        <f aca="false">BL387*$AC$385*BL388*BL$38*'⑫ Roll-out Plan'!$O$43</f>
        <v>0</v>
      </c>
      <c r="BM389" s="237" t="n">
        <f aca="false">BM387*$AC$385*BM388*BM$38*'⑫ Roll-out Plan'!$O$43</f>
        <v>0</v>
      </c>
      <c r="BN389" s="237" t="n">
        <f aca="false">BN387*$AC$385*BN388*BN$38*'⑫ Roll-out Plan'!$O$43</f>
        <v>0</v>
      </c>
      <c r="BO389" s="237" t="n">
        <f aca="false">BO387*$AC$385*BO388*BO$38*'⑫ Roll-out Plan'!$O$43</f>
        <v>0</v>
      </c>
      <c r="BP389" s="237" t="n">
        <f aca="false">BP387*$AC$385*BP388*BP$38*'⑫ Roll-out Plan'!$O$43</f>
        <v>0</v>
      </c>
      <c r="BQ389" s="237" t="n">
        <f aca="false">BQ387*$AC$385*BQ388*BQ$38*'⑫ Roll-out Plan'!$O$43</f>
        <v>0</v>
      </c>
      <c r="BR389" s="237" t="n">
        <f aca="false">BR387*$AC$385*BR388*BR$38*'⑫ Roll-out Plan'!$O$43</f>
        <v>0</v>
      </c>
      <c r="BS389" s="237" t="n">
        <f aca="false">BS387*$AC$385*BS388*BS$38*'⑫ Roll-out Plan'!$O$43</f>
        <v>0</v>
      </c>
      <c r="BT389" s="237" t="n">
        <f aca="false">BT387*$AC$385*BT388*BT$38*'⑫ Roll-out Plan'!$O$43</f>
        <v>0</v>
      </c>
      <c r="BU389" s="237" t="n">
        <f aca="false">BU387*$AC$385*BU388*BU$38*'⑫ Roll-out Plan'!$O$43</f>
        <v>0</v>
      </c>
      <c r="BV389" s="237" t="n">
        <f aca="false">BV387*$AC$385*BV388*BV$38*'⑫ Roll-out Plan'!$O$43</f>
        <v>0</v>
      </c>
      <c r="BW389" s="237" t="n">
        <f aca="false">BW387*$AC$385*BW388*BW$38*'⑫ Roll-out Plan'!$O$43</f>
        <v>0</v>
      </c>
      <c r="BX389" s="237" t="n">
        <f aca="false">BX387*$AC$385*BX388*BX$38*'⑫ Roll-out Plan'!$O$43</f>
        <v>0</v>
      </c>
      <c r="BY389" s="237" t="n">
        <f aca="false">BY387*$AC$385*BY388*BY$38*'⑫ Roll-out Plan'!$O$43</f>
        <v>0</v>
      </c>
      <c r="BZ389" s="237" t="n">
        <f aca="false">BZ387*$AC$385*BZ388*BZ$38*'⑫ Roll-out Plan'!$O$43</f>
        <v>0</v>
      </c>
      <c r="CA389" s="237" t="n">
        <f aca="false">CA387*$AC$385*CA388*CA$38*'⑫ Roll-out Plan'!$O$43</f>
        <v>0</v>
      </c>
      <c r="CB389" s="237" t="n">
        <f aca="false">CB387*$AC$385*CB388*CB$38*'⑫ Roll-out Plan'!$O$43</f>
        <v>0</v>
      </c>
      <c r="CC389" s="237" t="n">
        <f aca="false">CC387*$AC$385*CC388*CC$38*'⑫ Roll-out Plan'!$O$43</f>
        <v>0</v>
      </c>
      <c r="CD389" s="237" t="n">
        <f aca="false">CD387*$AC$385*CD388*CD$38*'⑫ Roll-out Plan'!$O$43</f>
        <v>0</v>
      </c>
      <c r="CE389" s="237" t="n">
        <f aca="false">CE387*$AC$385*CE388*CE$38*'⑫ Roll-out Plan'!$O$43</f>
        <v>0</v>
      </c>
      <c r="CF389" s="237" t="n">
        <f aca="false">CF387*$AC$385*CF388*CF$38*'⑫ Roll-out Plan'!$O$43</f>
        <v>0</v>
      </c>
      <c r="CG389" s="237" t="n">
        <f aca="false">CG387*$AC$385*CG388*CG$38*'⑫ Roll-out Plan'!$O$43</f>
        <v>0</v>
      </c>
      <c r="CH389" s="237" t="n">
        <f aca="false">CH387*$AC$385*CH388*CH$38*'⑫ Roll-out Plan'!$O$43</f>
        <v>0</v>
      </c>
      <c r="CI389" s="237" t="n">
        <f aca="false">CI387*$AC$385*CI388*CI$38*'⑫ Roll-out Plan'!$O$43</f>
        <v>0</v>
      </c>
      <c r="CJ389" s="237" t="n">
        <f aca="false">CJ387*$AC$385*CJ388*CJ$38*'⑫ Roll-out Plan'!$O$43</f>
        <v>0</v>
      </c>
      <c r="CK389" s="237" t="n">
        <f aca="false">CK387*$AC$385*CK388*CK$38*'⑫ Roll-out Plan'!$O$43</f>
        <v>0</v>
      </c>
      <c r="CL389" s="237" t="n">
        <f aca="false">CL387*$AC$385*CL388*CL$38*'⑫ Roll-out Plan'!$O$43</f>
        <v>0</v>
      </c>
      <c r="CM389" s="237" t="n">
        <f aca="false">CM387*$AC$385*CM388*CM$38*'⑫ Roll-out Plan'!$O$43</f>
        <v>0</v>
      </c>
      <c r="CN389" s="237" t="n">
        <f aca="false">CN387*$AC$385*CN388*CN$38*'⑫ Roll-out Plan'!$O$43</f>
        <v>0</v>
      </c>
      <c r="CO389" s="237" t="n">
        <f aca="false">CO387*$AC$385*CO388*CO$38*'⑫ Roll-out Plan'!$O$43</f>
        <v>0</v>
      </c>
      <c r="CP389" s="237" t="n">
        <f aca="false">CP387*$AC$385*CP388*CP$38*'⑫ Roll-out Plan'!$O$43</f>
        <v>0</v>
      </c>
      <c r="CQ389" s="237" t="n">
        <f aca="false">CQ387*$AC$385*CQ388*CQ$38*'⑫ Roll-out Plan'!$O$43</f>
        <v>0</v>
      </c>
      <c r="CR389" s="237" t="n">
        <f aca="false">CR387*$AC$385*CR388*CR$38*'⑫ Roll-out Plan'!$O$43</f>
        <v>0</v>
      </c>
      <c r="CS389" s="237" t="n">
        <f aca="false">CS387*$AC$385*CS388*CS$38*'⑫ Roll-out Plan'!$O$43</f>
        <v>0</v>
      </c>
      <c r="CT389" s="237" t="n">
        <f aca="false">CT387*$AC$385*CT388*CT$38*'⑫ Roll-out Plan'!$O$43</f>
        <v>0</v>
      </c>
      <c r="CU389" s="237" t="n">
        <f aca="false">CU387*$AC$385*CU388*CU$38*'⑫ Roll-out Plan'!$O$43</f>
        <v>0</v>
      </c>
      <c r="CV389" s="237" t="n">
        <f aca="false">CV387*$AC$385*CV388*CV$38*'⑫ Roll-out Plan'!$O$43</f>
        <v>0</v>
      </c>
      <c r="CW389" s="237" t="n">
        <f aca="false">CW387*$AC$385*CW388*CW$38*'⑫ Roll-out Plan'!$O$43</f>
        <v>0</v>
      </c>
      <c r="CX389" s="237" t="n">
        <f aca="false">CX387*$AC$385*CX388*CX$38*'⑫ Roll-out Plan'!$O$43</f>
        <v>0</v>
      </c>
      <c r="CY389" s="237" t="n">
        <f aca="false">CY387*$AC$385*CY388*CY$38*'⑫ Roll-out Plan'!$O$43</f>
        <v>0</v>
      </c>
      <c r="CZ389" s="237" t="n">
        <f aca="false">CZ387*$AC$385*CZ388*CZ$38*'⑫ Roll-out Plan'!$O$43</f>
        <v>0</v>
      </c>
      <c r="DA389" s="237" t="n">
        <f aca="false">DA387*$AC$385*DA388*DA$38*'⑫ Roll-out Plan'!$O$43</f>
        <v>0</v>
      </c>
      <c r="DB389" s="237" t="n">
        <f aca="false">DB387*$AC$385*DB388*DB$38*'⑫ Roll-out Plan'!$O$43</f>
        <v>0</v>
      </c>
      <c r="DC389" s="237" t="n">
        <f aca="false">DC387*$AC$385*DC388*DC$38*'⑫ Roll-out Plan'!$O$43</f>
        <v>0</v>
      </c>
      <c r="DD389" s="237" t="n">
        <f aca="false">DD387*$AC$385*DD388*DD$38*'⑫ Roll-out Plan'!$O$43</f>
        <v>0</v>
      </c>
      <c r="DE389" s="237" t="n">
        <f aca="false">DE387*$AC$385*DE388*DE$38*'⑫ Roll-out Plan'!$O$43</f>
        <v>0</v>
      </c>
      <c r="DF389" s="237" t="n">
        <f aca="false">DF387*$AC$385*DF388*DF$38*'⑫ Roll-out Plan'!$O$43</f>
        <v>0</v>
      </c>
      <c r="DG389" s="237" t="n">
        <f aca="false">DG387*$AC$385*DG388*DG$38*'⑫ Roll-out Plan'!$O$43</f>
        <v>0</v>
      </c>
      <c r="DH389" s="237" t="n">
        <f aca="false">DH387*$AC$385*DH388*DH$38*'⑫ Roll-out Plan'!$O$43</f>
        <v>0</v>
      </c>
      <c r="DI389" s="237" t="n">
        <f aca="false">DI387*$AC$385*DI388*DI$38*'⑫ Roll-out Plan'!$O$43</f>
        <v>0</v>
      </c>
      <c r="DJ389" s="237" t="n">
        <f aca="false">DJ387*$AC$385*DJ388*DJ$38*'⑫ Roll-out Plan'!$O$43</f>
        <v>0</v>
      </c>
      <c r="DK389" s="237" t="n">
        <f aca="false">DK387*$AC$385*DK388*DK$38*'⑫ Roll-out Plan'!$O$43</f>
        <v>0</v>
      </c>
      <c r="DL389" s="237" t="n">
        <f aca="false">DL387*$AC$385*DL388*DL$38*'⑫ Roll-out Plan'!$O$43</f>
        <v>0</v>
      </c>
      <c r="DM389" s="237" t="n">
        <f aca="false">DM387*$AC$385*DM388*DM$38*'⑫ Roll-out Plan'!$O$43</f>
        <v>0</v>
      </c>
      <c r="DN389" s="237" t="n">
        <f aca="false">DN387*$AC$385*DN388*DN$38*'⑫ Roll-out Plan'!$O$43</f>
        <v>0</v>
      </c>
      <c r="DO389" s="237" t="n">
        <f aca="false">DO387*$AC$385*DO388*DO$38*'⑫ Roll-out Plan'!$O$43</f>
        <v>0</v>
      </c>
      <c r="DP389" s="237" t="n">
        <f aca="false">DP387*$AC$385*DP388*DP$38*'⑫ Roll-out Plan'!$O$43</f>
        <v>0</v>
      </c>
      <c r="DQ389" s="237" t="n">
        <f aca="false">DQ387*$AC$385*DQ388*DQ$38*'⑫ Roll-out Plan'!$O$43</f>
        <v>0</v>
      </c>
      <c r="DR389" s="237" t="n">
        <f aca="false">DR387*$AC$385*DR388*DR$38*'⑫ Roll-out Plan'!$O$43</f>
        <v>0</v>
      </c>
      <c r="DS389" s="237" t="n">
        <f aca="false">DS387*$AC$385*DS388*DS$38*'⑫ Roll-out Plan'!$O$43</f>
        <v>0</v>
      </c>
      <c r="DT389" s="237" t="n">
        <f aca="false">DT387*$AC$385*DT388*DT$38*'⑫ Roll-out Plan'!$O$43</f>
        <v>0</v>
      </c>
      <c r="DU389" s="237" t="n">
        <f aca="false">DU387*$AC$385*DU388*DU$38*'⑫ Roll-out Plan'!$O$43</f>
        <v>0</v>
      </c>
      <c r="DV389" s="237" t="n">
        <f aca="false">DV387*$AC$385*DV388*DV$38*'⑫ Roll-out Plan'!$O$43</f>
        <v>0</v>
      </c>
      <c r="DW389" s="237" t="n">
        <f aca="false">DW387*$AC$385*DW388*DW$38*'⑫ Roll-out Plan'!$O$43</f>
        <v>0</v>
      </c>
      <c r="DX389" s="237" t="n">
        <f aca="false">DX387*$AC$385*DX388*DX$38*'⑫ Roll-out Plan'!$O$43</f>
        <v>0</v>
      </c>
      <c r="DY389" s="237" t="n">
        <f aca="false">DY387*$AC$385*DY388*DY$38*'⑫ Roll-out Plan'!$O$43</f>
        <v>20.24</v>
      </c>
      <c r="DZ389" s="237" t="n">
        <f aca="false">DZ387*$AC$385*DZ388*DZ$38*'⑫ Roll-out Plan'!$O$43</f>
        <v>19.36</v>
      </c>
      <c r="EA389" s="237" t="n">
        <f aca="false">EA387*$AC$385*EA388*EA$38*'⑫ Roll-out Plan'!$O$43</f>
        <v>22.176</v>
      </c>
      <c r="EB389" s="237" t="n">
        <f aca="false">EB387*$AC$385*EB388*EB$38*'⑫ Roll-out Plan'!$O$43</f>
        <v>42.174</v>
      </c>
      <c r="EC389" s="237" t="n">
        <f aca="false">EC387*$AC$385*EC388*EC$38*'⑫ Roll-out Plan'!$O$43</f>
        <v>34.452</v>
      </c>
      <c r="ED389" s="237" t="n">
        <f aca="false">ED387*$AC$385*ED388*ED$38*'⑫ Roll-out Plan'!$O$43</f>
        <v>32.736</v>
      </c>
      <c r="EE389" s="237" t="n">
        <f aca="false">EE387*$AC$385*EE388*EE$38*'⑫ Roll-out Plan'!$O$43</f>
        <v>27.72</v>
      </c>
      <c r="EF389" s="237" t="n">
        <f aca="false">EF387*$AC$385*EF388*EF$38*'⑫ Roll-out Plan'!$O$43</f>
        <v>43.758</v>
      </c>
      <c r="EG389" s="237" t="n">
        <f aca="false">EG387*$AC$385*EG388*EG$38*'⑫ Roll-out Plan'!$O$43</f>
        <v>52.272</v>
      </c>
      <c r="EH389" s="237" t="n">
        <f aca="false">EH387*$AC$385*EH388*EH$38*'⑫ Roll-out Plan'!$O$43</f>
        <v>39.688</v>
      </c>
      <c r="EI389" s="237" t="n">
        <f aca="false">EI387*$AC$385*EI388*EI$38*'⑫ Roll-out Plan'!$O$43</f>
        <v>61.248</v>
      </c>
      <c r="EJ389" s="237" t="n">
        <f aca="false">EJ387*$AC$385*EJ388*EJ$38*'⑫ Roll-out Plan'!$O$43</f>
        <v>62.92</v>
      </c>
      <c r="EK389" s="237" t="n">
        <f aca="false">EK387*$AC$385*EK388*EK$38*'⑫ Roll-out Plan'!$O$43</f>
        <v>56.672</v>
      </c>
      <c r="EL389" s="237" t="n">
        <f aca="false">EL387*$AC$385*EL388*EL$38*'⑫ Roll-out Plan'!$O$43</f>
        <v>52.8</v>
      </c>
      <c r="EM389" s="237" t="n">
        <f aca="false">EM387*$AC$385*EM388*EM$38*'⑫ Roll-out Plan'!$O$43</f>
        <v>55.44</v>
      </c>
      <c r="EN389" s="237" t="n">
        <f aca="false">EN387*$AC$385*EN388*EN$38*'⑫ Roll-out Plan'!$O$43</f>
        <v>118.0872</v>
      </c>
      <c r="EO389" s="237" t="n">
        <f aca="false">EO387*$AC$385*EO388*EO$38*'⑫ Roll-out Plan'!$O$43</f>
        <v>101.0592</v>
      </c>
      <c r="EP389" s="237" t="n">
        <f aca="false">EP387*$AC$385*EP388*EP$38*'⑫ Roll-out Plan'!$O$43</f>
        <v>87.4368</v>
      </c>
      <c r="EQ389" s="237" t="n">
        <f aca="false">EQ387*$AC$385*EQ388*EQ$38*'⑫ Roll-out Plan'!$O$43</f>
        <v>67.4784</v>
      </c>
      <c r="ER389" s="237" t="n">
        <f aca="false">ER387*$AC$385*ER388*ER$38*'⑫ Roll-out Plan'!$O$43</f>
        <v>95.5944</v>
      </c>
      <c r="ES389" s="9" t="n">
        <f aca="false">ES387*$AC$385*ES388*ES$38*'⑫ Roll-out Plan'!$O$43</f>
        <v>104.0688</v>
      </c>
      <c r="ET389" s="9" t="n">
        <f aca="false">ET387*$AC$385*ET388*ET$38*'⑫ Roll-out Plan'!$O$43</f>
        <v>81.18</v>
      </c>
      <c r="EU389" s="9" t="n">
        <f aca="false">EU387*$AC$385*EU388*EU$38*'⑫ Roll-out Plan'!$O$43</f>
        <v>117.9024</v>
      </c>
      <c r="EV389" s="9" t="n">
        <f aca="false">EV387*$AC$385*EV388*EV$38*'⑫ Roll-out Plan'!$O$43</f>
        <v>114.708</v>
      </c>
      <c r="EW389" s="9" t="n">
        <f aca="false">EW387*$AC$385*EW388*EW$38*'⑫ Roll-out Plan'!$O$43</f>
        <v>95.9376</v>
      </c>
      <c r="EX389" s="9" t="n">
        <f aca="false">EX387*$AC$385*EX388*EX$38*'⑫ Roll-out Plan'!$O$43</f>
        <v>84.48</v>
      </c>
      <c r="EY389" s="9" t="n">
        <f aca="false">EY387*$AC$385*EY388*EY$38*'⑫ Roll-out Plan'!$O$43</f>
        <v>90.9216</v>
      </c>
      <c r="EZ389" s="9" t="n">
        <f aca="false">EZ387*$AC$385*EZ388*EZ$38*'⑫ Roll-out Plan'!$O$43</f>
        <v>157.4496</v>
      </c>
      <c r="FA389" s="9" t="n">
        <f aca="false">FA387*$AC$385*FA388*FA$38*'⑫ Roll-out Plan'!$O$43</f>
        <v>130.152</v>
      </c>
      <c r="FB389" s="9" t="n">
        <f aca="false">FB387*$AC$385*FB388*FB$38*'⑫ Roll-out Plan'!$O$43</f>
        <v>107.712</v>
      </c>
      <c r="FC389" s="9" t="n">
        <f aca="false">FC387*$AC$385*FC388*FC$38*'⑫ Roll-out Plan'!$O$43</f>
        <v>81.7344</v>
      </c>
      <c r="FD389" s="9" t="n">
        <f aca="false">FD387*$AC$385*FD388*FD$38*'⑫ Roll-out Plan'!$O$43</f>
        <v>118.4832</v>
      </c>
      <c r="FE389" s="9" t="n">
        <f aca="false">FE387*$AC$385*FE388*FE$38*'⑫ Roll-out Plan'!$O$43</f>
        <v>126.8784</v>
      </c>
      <c r="FF389" s="9" t="n">
        <f aca="false">FF387*$AC$385*FF388*FF$38*'⑫ Roll-out Plan'!$O$43</f>
        <v>97.416</v>
      </c>
      <c r="FG389" s="9" t="n">
        <f aca="false">FG387*$AC$385*FG388*FG$38*'⑫ Roll-out Plan'!$O$43</f>
        <v>137.808</v>
      </c>
      <c r="FH389" s="9" t="n">
        <f aca="false">FH387*$AC$385*FH388*FH$38*'⑫ Roll-out Plan'!$O$43</f>
        <v>133.584</v>
      </c>
      <c r="FI389" s="9" t="n">
        <f aca="false">FI387*$AC$385*FI388*FI$38*'⑫ Roll-out Plan'!$O$43</f>
        <v>112.9392</v>
      </c>
      <c r="FJ389" s="9" t="n">
        <f aca="false">FJ387*$AC$385*FJ388*FJ$38*'⑫ Roll-out Plan'!$O$43</f>
        <v>99.264</v>
      </c>
      <c r="FK389" s="9" t="n">
        <f aca="false">FK387*$AC$385*FK388*FK$38*'⑫ Roll-out Plan'!$O$43</f>
        <v>105.336</v>
      </c>
      <c r="FL389" s="9" t="n">
        <f aca="false">FL387*$AC$385*FL388*FL$38*'⑫ Roll-out Plan'!$O$43</f>
        <v>178.068</v>
      </c>
      <c r="FM389" s="9" t="n">
        <f aca="false">FM387*$AC$385*FM388*FM$38*'⑫ Roll-out Plan'!$O$43</f>
        <v>148.5264</v>
      </c>
      <c r="FN389" s="9" t="n">
        <f aca="false">FN387*$AC$385*FN388*FN$38*'⑫ Roll-out Plan'!$O$43</f>
        <v>124.1856</v>
      </c>
      <c r="FO389" s="9" t="n">
        <f aca="false">FO387*$AC$385*FO388*FO$38*'⑫ Roll-out Plan'!$O$43</f>
        <v>94.0896</v>
      </c>
      <c r="FP389" s="9" t="n">
        <f aca="false">FP387*$AC$385*FP388*FP$38*'⑫ Roll-out Plan'!$O$43</f>
        <v>134.64</v>
      </c>
    </row>
    <row r="390" customFormat="false" ht="15" hidden="false" customHeight="false" outlineLevel="2" collapsed="false">
      <c r="B390" s="47" t="s">
        <v>877</v>
      </c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237" t="n">
        <f aca="true">IFERROR(SUMPRODUCT(OFFSET($BJ$31,0,1-MIN(60,COLUMN()-29),1,MIN(60,COLUMN()-29)),OFFSET(AC389,0,-MIN(60,COLUMN()-29),1,MIN(60,COLUMN()-29))),0)</f>
        <v>0</v>
      </c>
      <c r="AD390" s="237" t="n">
        <f aca="true">IFERROR(SUMPRODUCT(OFFSET($BJ$31,0,1-MIN(60,COLUMN()-29),1,MIN(60,COLUMN()-29)),OFFSET(AD389,0,-MIN(60,COLUMN()-29),1,MIN(60,COLUMN()-29))),0)</f>
        <v>0</v>
      </c>
      <c r="AE390" s="237" t="n">
        <f aca="true">IFERROR(SUMPRODUCT(OFFSET($BJ$31,0,1-MIN(60,COLUMN()-29),1,MIN(60,COLUMN()-29)),OFFSET(AE389,0,-MIN(60,COLUMN()-29),1,MIN(60,COLUMN()-29))),0)</f>
        <v>0</v>
      </c>
      <c r="AF390" s="237" t="n">
        <f aca="true">IFERROR(SUMPRODUCT(OFFSET($BJ$31,0,1-MIN(60,COLUMN()-29),1,MIN(60,COLUMN()-29)),OFFSET(AF389,0,-MIN(60,COLUMN()-29),1,MIN(60,COLUMN()-29))),0)</f>
        <v>0</v>
      </c>
      <c r="AG390" s="237" t="n">
        <f aca="true">IFERROR(SUMPRODUCT(OFFSET($BJ$31,0,1-MIN(60,COLUMN()-29),1,MIN(60,COLUMN()-29)),OFFSET(AG389,0,-MIN(60,COLUMN()-29),1,MIN(60,COLUMN()-29))),0)</f>
        <v>0</v>
      </c>
      <c r="AH390" s="237" t="n">
        <f aca="true">IFERROR(SUMPRODUCT(OFFSET($BJ$31,0,1-MIN(60,COLUMN()-29),1,MIN(60,COLUMN()-29)),OFFSET(AH389,0,-MIN(60,COLUMN()-29),1,MIN(60,COLUMN()-29))),0)</f>
        <v>0</v>
      </c>
      <c r="AI390" s="237" t="n">
        <f aca="true">IFERROR(SUMPRODUCT(OFFSET($BJ$31,0,1-MIN(60,COLUMN()-29),1,MIN(60,COLUMN()-29)),OFFSET(AI389,0,-MIN(60,COLUMN()-29),1,MIN(60,COLUMN()-29))),0)</f>
        <v>0</v>
      </c>
      <c r="AJ390" s="237" t="n">
        <f aca="true">IFERROR(SUMPRODUCT(OFFSET($BJ$31,0,1-MIN(60,COLUMN()-29),1,MIN(60,COLUMN()-29)),OFFSET(AJ389,0,-MIN(60,COLUMN()-29),1,MIN(60,COLUMN()-29))),0)</f>
        <v>0</v>
      </c>
      <c r="AK390" s="237" t="n">
        <f aca="true">IFERROR(SUMPRODUCT(OFFSET($BJ$31,0,1-MIN(60,COLUMN()-29),1,MIN(60,COLUMN()-29)),OFFSET(AK389,0,-MIN(60,COLUMN()-29),1,MIN(60,COLUMN()-29))),0)</f>
        <v>0</v>
      </c>
      <c r="AL390" s="237" t="n">
        <f aca="true">IFERROR(SUMPRODUCT(OFFSET($BJ$31,0,1-MIN(60,COLUMN()-29),1,MIN(60,COLUMN()-29)),OFFSET(AL389,0,-MIN(60,COLUMN()-29),1,MIN(60,COLUMN()-29))),0)</f>
        <v>0</v>
      </c>
      <c r="AM390" s="237" t="n">
        <f aca="true">IFERROR(SUMPRODUCT(OFFSET($BJ$31,0,1-MIN(60,COLUMN()-29),1,MIN(60,COLUMN()-29)),OFFSET(AM389,0,-MIN(60,COLUMN()-29),1,MIN(60,COLUMN()-29))),0)</f>
        <v>0</v>
      </c>
      <c r="AN390" s="237" t="n">
        <f aca="true">IFERROR(SUMPRODUCT(OFFSET($BJ$31,0,1-MIN(60,COLUMN()-29),1,MIN(60,COLUMN()-29)),OFFSET(AN389,0,-MIN(60,COLUMN()-29),1,MIN(60,COLUMN()-29))),0)</f>
        <v>0</v>
      </c>
      <c r="AO390" s="237" t="n">
        <f aca="true">IFERROR(SUMPRODUCT(OFFSET($BJ$31,0,1-MIN(60,COLUMN()-29),1,MIN(60,COLUMN()-29)),OFFSET(AO389,0,-MIN(60,COLUMN()-29),1,MIN(60,COLUMN()-29))),0)</f>
        <v>0</v>
      </c>
      <c r="AP390" s="237" t="n">
        <f aca="true">IFERROR(SUMPRODUCT(OFFSET($BJ$31,0,1-MIN(60,COLUMN()-29),1,MIN(60,COLUMN()-29)),OFFSET(AP389,0,-MIN(60,COLUMN()-29),1,MIN(60,COLUMN()-29))),0)</f>
        <v>0</v>
      </c>
      <c r="AQ390" s="237" t="n">
        <f aca="true">IFERROR(SUMPRODUCT(OFFSET($BJ$31,0,1-MIN(60,COLUMN()-29),1,MIN(60,COLUMN()-29)),OFFSET(AQ389,0,-MIN(60,COLUMN()-29),1,MIN(60,COLUMN()-29))),0)</f>
        <v>0</v>
      </c>
      <c r="AR390" s="237" t="n">
        <f aca="true">IFERROR(SUMPRODUCT(OFFSET($BJ$31,0,1-MIN(60,COLUMN()-29),1,MIN(60,COLUMN()-29)),OFFSET(AR389,0,-MIN(60,COLUMN()-29),1,MIN(60,COLUMN()-29))),0)</f>
        <v>0</v>
      </c>
      <c r="AS390" s="237" t="n">
        <f aca="true">IFERROR(SUMPRODUCT(OFFSET($BJ$31,0,1-MIN(60,COLUMN()-29),1,MIN(60,COLUMN()-29)),OFFSET(AS389,0,-MIN(60,COLUMN()-29),1,MIN(60,COLUMN()-29))),0)</f>
        <v>0</v>
      </c>
      <c r="AT390" s="237" t="n">
        <f aca="true">IFERROR(SUMPRODUCT(OFFSET($BJ$31,0,1-MIN(60,COLUMN()-29),1,MIN(60,COLUMN()-29)),OFFSET(AT389,0,-MIN(60,COLUMN()-29),1,MIN(60,COLUMN()-29))),0)</f>
        <v>0</v>
      </c>
      <c r="AU390" s="237" t="n">
        <f aca="true">IFERROR(SUMPRODUCT(OFFSET($BJ$31,0,1-MIN(60,COLUMN()-29),1,MIN(60,COLUMN()-29)),OFFSET(AU389,0,-MIN(60,COLUMN()-29),1,MIN(60,COLUMN()-29))),0)</f>
        <v>0</v>
      </c>
      <c r="AV390" s="237" t="n">
        <f aca="true">IFERROR(SUMPRODUCT(OFFSET($BJ$31,0,1-MIN(60,COLUMN()-29),1,MIN(60,COLUMN()-29)),OFFSET(AV389,0,-MIN(60,COLUMN()-29),1,MIN(60,COLUMN()-29))),0)</f>
        <v>0</v>
      </c>
      <c r="AW390" s="237" t="n">
        <f aca="true">IFERROR(SUMPRODUCT(OFFSET($BJ$31,0,1-MIN(60,COLUMN()-29),1,MIN(60,COLUMN()-29)),OFFSET(AW389,0,-MIN(60,COLUMN()-29),1,MIN(60,COLUMN()-29))),0)</f>
        <v>0</v>
      </c>
      <c r="AX390" s="237" t="n">
        <f aca="true">IFERROR(SUMPRODUCT(OFFSET($BJ$31,0,1-MIN(60,COLUMN()-29),1,MIN(60,COLUMN()-29)),OFFSET(AX389,0,-MIN(60,COLUMN()-29),1,MIN(60,COLUMN()-29))),0)</f>
        <v>0</v>
      </c>
      <c r="AY390" s="237" t="n">
        <f aca="true">IFERROR(SUMPRODUCT(OFFSET($BJ$31,0,1-MIN(60,COLUMN()-29),1,MIN(60,COLUMN()-29)),OFFSET(AY389,0,-MIN(60,COLUMN()-29),1,MIN(60,COLUMN()-29))),0)</f>
        <v>0</v>
      </c>
      <c r="AZ390" s="237" t="n">
        <f aca="true">IFERROR(SUMPRODUCT(OFFSET($BJ$31,0,1-MIN(60,COLUMN()-29),1,MIN(60,COLUMN()-29)),OFFSET(AZ389,0,-MIN(60,COLUMN()-29),1,MIN(60,COLUMN()-29))),0)</f>
        <v>0</v>
      </c>
      <c r="BA390" s="237" t="n">
        <f aca="true">IFERROR(SUMPRODUCT(OFFSET($BJ$31,0,1-MIN(60,COLUMN()-29),1,MIN(60,COLUMN()-29)),OFFSET(BA389,0,-MIN(60,COLUMN()-29),1,MIN(60,COLUMN()-29))),0)</f>
        <v>0</v>
      </c>
      <c r="BB390" s="237" t="n">
        <f aca="true">IFERROR(SUMPRODUCT(OFFSET($BJ$31,0,1-MIN(60,COLUMN()-29),1,MIN(60,COLUMN()-29)),OFFSET(BB389,0,-MIN(60,COLUMN()-29),1,MIN(60,COLUMN()-29))),0)</f>
        <v>0</v>
      </c>
      <c r="BC390" s="237" t="n">
        <f aca="true">IFERROR(SUMPRODUCT(OFFSET($BJ$31,0,1-MIN(60,COLUMN()-29),1,MIN(60,COLUMN()-29)),OFFSET(BC389,0,-MIN(60,COLUMN()-29),1,MIN(60,COLUMN()-29))),0)</f>
        <v>0</v>
      </c>
      <c r="BD390" s="237" t="n">
        <f aca="true">IFERROR(SUMPRODUCT(OFFSET($BJ$31,0,1-MIN(60,COLUMN()-29),1,MIN(60,COLUMN()-29)),OFFSET(BD389,0,-MIN(60,COLUMN()-29),1,MIN(60,COLUMN()-29))),0)</f>
        <v>0</v>
      </c>
      <c r="BE390" s="237" t="n">
        <f aca="true">IFERROR(SUMPRODUCT(OFFSET($BJ$31,0,1-MIN(60,COLUMN()-29),1,MIN(60,COLUMN()-29)),OFFSET(BE389,0,-MIN(60,COLUMN()-29),1,MIN(60,COLUMN()-29))),0)</f>
        <v>0</v>
      </c>
      <c r="BF390" s="237" t="n">
        <f aca="true">IFERROR(SUMPRODUCT(OFFSET($BJ$31,0,1-MIN(60,COLUMN()-29),1,MIN(60,COLUMN()-29)),OFFSET(BF389,0,-MIN(60,COLUMN()-29),1,MIN(60,COLUMN()-29))),0)</f>
        <v>0</v>
      </c>
      <c r="BG390" s="237" t="n">
        <f aca="true">IFERROR(SUMPRODUCT(OFFSET($BJ$31,0,1-MIN(60,COLUMN()-29),1,MIN(60,COLUMN()-29)),OFFSET(BG389,0,-MIN(60,COLUMN()-29),1,MIN(60,COLUMN()-29))),0)</f>
        <v>0</v>
      </c>
      <c r="BH390" s="237" t="n">
        <f aca="true">IFERROR(SUMPRODUCT(OFFSET($BJ$31,0,1-MIN(60,COLUMN()-29),1,MIN(60,COLUMN()-29)),OFFSET(BH389,0,-MIN(60,COLUMN()-29),1,MIN(60,COLUMN()-29))),0)</f>
        <v>0</v>
      </c>
      <c r="BI390" s="237" t="n">
        <f aca="true">IFERROR(SUMPRODUCT(OFFSET($BJ$31,0,1-MIN(60,COLUMN()-29),1,MIN(60,COLUMN()-29)),OFFSET(BI389,0,-MIN(60,COLUMN()-29),1,MIN(60,COLUMN()-29))),0)</f>
        <v>0</v>
      </c>
      <c r="BJ390" s="237" t="n">
        <f aca="true">IFERROR(SUMPRODUCT(OFFSET($BJ$31,0,1-MIN(60,COLUMN()-29),1,MIN(60,COLUMN()-29)),OFFSET(BJ389,0,-MIN(60,COLUMN()-29),1,MIN(60,COLUMN()-29))),0)</f>
        <v>0</v>
      </c>
      <c r="BK390" s="237" t="n">
        <f aca="true">IFERROR(SUMPRODUCT(OFFSET($BJ$31,0,1-MIN(60,COLUMN()-29),1,MIN(60,COLUMN()-29)),OFFSET(BK389,0,-MIN(60,COLUMN()-29),1,MIN(60,COLUMN()-29))),0)</f>
        <v>0</v>
      </c>
      <c r="BL390" s="237" t="n">
        <f aca="true">IFERROR(SUMPRODUCT(OFFSET($BJ$31,0,1-MIN(60,COLUMN()-29),1,MIN(60,COLUMN()-29)),OFFSET(BL389,0,-MIN(60,COLUMN()-29),1,MIN(60,COLUMN()-29))),0)</f>
        <v>0</v>
      </c>
      <c r="BM390" s="237" t="n">
        <f aca="true">IFERROR(SUMPRODUCT(OFFSET($BJ$31,0,1-MIN(60,COLUMN()-29),1,MIN(60,COLUMN()-29)),OFFSET(BM389,0,-MIN(60,COLUMN()-29),1,MIN(60,COLUMN()-29))),0)</f>
        <v>0</v>
      </c>
      <c r="BN390" s="237" t="n">
        <f aca="true">IFERROR(SUMPRODUCT(OFFSET($BJ$31,0,1-MIN(60,COLUMN()-29),1,MIN(60,COLUMN()-29)),OFFSET(BN389,0,-MIN(60,COLUMN()-29),1,MIN(60,COLUMN()-29))),0)</f>
        <v>0</v>
      </c>
      <c r="BO390" s="237" t="n">
        <f aca="true">IFERROR(SUMPRODUCT(OFFSET($BJ$31,0,1-MIN(60,COLUMN()-29),1,MIN(60,COLUMN()-29)),OFFSET(BO389,0,-MIN(60,COLUMN()-29),1,MIN(60,COLUMN()-29))),0)</f>
        <v>0</v>
      </c>
      <c r="BP390" s="237" t="n">
        <f aca="true">IFERROR(SUMPRODUCT(OFFSET($BJ$31,0,1-MIN(60,COLUMN()-29),1,MIN(60,COLUMN()-29)),OFFSET(BP389,0,-MIN(60,COLUMN()-29),1,MIN(60,COLUMN()-29))),0)</f>
        <v>0</v>
      </c>
      <c r="BQ390" s="237" t="n">
        <f aca="true">IFERROR(SUMPRODUCT(OFFSET($BJ$31,0,1-MIN(60,COLUMN()-29),1,MIN(60,COLUMN()-29)),OFFSET(BQ389,0,-MIN(60,COLUMN()-29),1,MIN(60,COLUMN()-29))),0)</f>
        <v>0</v>
      </c>
      <c r="BR390" s="237" t="n">
        <f aca="true">IFERROR(SUMPRODUCT(OFFSET($BJ$31,0,1-MIN(60,COLUMN()-29),1,MIN(60,COLUMN()-29)),OFFSET(BR389,0,-MIN(60,COLUMN()-29),1,MIN(60,COLUMN()-29))),0)</f>
        <v>0</v>
      </c>
      <c r="BS390" s="237" t="n">
        <f aca="true">IFERROR(SUMPRODUCT(OFFSET($BJ$31,0,1-MIN(60,COLUMN()-29),1,MIN(60,COLUMN()-29)),OFFSET(BS389,0,-MIN(60,COLUMN()-29),1,MIN(60,COLUMN()-29))),0)</f>
        <v>0</v>
      </c>
      <c r="BT390" s="237" t="n">
        <f aca="true">IFERROR(SUMPRODUCT(OFFSET($BJ$31,0,1-MIN(60,COLUMN()-29),1,MIN(60,COLUMN()-29)),OFFSET(BT389,0,-MIN(60,COLUMN()-29),1,MIN(60,COLUMN()-29))),0)</f>
        <v>0</v>
      </c>
      <c r="BU390" s="237" t="n">
        <f aca="true">IFERROR(SUMPRODUCT(OFFSET($BJ$31,0,1-MIN(60,COLUMN()-29),1,MIN(60,COLUMN()-29)),OFFSET(BU389,0,-MIN(60,COLUMN()-29),1,MIN(60,COLUMN()-29))),0)</f>
        <v>0</v>
      </c>
      <c r="BV390" s="237" t="n">
        <f aca="true">IFERROR(SUMPRODUCT(OFFSET($BJ$31,0,1-MIN(60,COLUMN()-29),1,MIN(60,COLUMN()-29)),OFFSET(BV389,0,-MIN(60,COLUMN()-29),1,MIN(60,COLUMN()-29))),0)</f>
        <v>0</v>
      </c>
      <c r="BW390" s="237" t="n">
        <f aca="true">IFERROR(SUMPRODUCT(OFFSET($BJ$31,0,1-MIN(60,COLUMN()-29),1,MIN(60,COLUMN()-29)),OFFSET(BW389,0,-MIN(60,COLUMN()-29),1,MIN(60,COLUMN()-29))),0)</f>
        <v>0</v>
      </c>
      <c r="BX390" s="237" t="n">
        <f aca="true">IFERROR(SUMPRODUCT(OFFSET($BJ$31,0,1-MIN(60,COLUMN()-29),1,MIN(60,COLUMN()-29)),OFFSET(BX389,0,-MIN(60,COLUMN()-29),1,MIN(60,COLUMN()-29))),0)</f>
        <v>0</v>
      </c>
      <c r="BY390" s="237" t="n">
        <f aca="true">IFERROR(SUMPRODUCT(OFFSET($BJ$31,0,1-MIN(60,COLUMN()-29),1,MIN(60,COLUMN()-29)),OFFSET(BY389,0,-MIN(60,COLUMN()-29),1,MIN(60,COLUMN()-29))),0)</f>
        <v>0</v>
      </c>
      <c r="BZ390" s="237" t="n">
        <f aca="true">IFERROR(SUMPRODUCT(OFFSET($BJ$31,0,1-MIN(60,COLUMN()-29),1,MIN(60,COLUMN()-29)),OFFSET(BZ389,0,-MIN(60,COLUMN()-29),1,MIN(60,COLUMN()-29))),0)</f>
        <v>0</v>
      </c>
      <c r="CA390" s="237" t="n">
        <f aca="true">IFERROR(SUMPRODUCT(OFFSET($BJ$31,0,1-MIN(60,COLUMN()-29),1,MIN(60,COLUMN()-29)),OFFSET(CA389,0,-MIN(60,COLUMN()-29),1,MIN(60,COLUMN()-29))),0)</f>
        <v>0</v>
      </c>
      <c r="CB390" s="237" t="n">
        <f aca="true">IFERROR(SUMPRODUCT(OFFSET($BJ$31,0,1-MIN(60,COLUMN()-29),1,MIN(60,COLUMN()-29)),OFFSET(CB389,0,-MIN(60,COLUMN()-29),1,MIN(60,COLUMN()-29))),0)</f>
        <v>0</v>
      </c>
      <c r="CC390" s="237" t="n">
        <f aca="true">IFERROR(SUMPRODUCT(OFFSET($BJ$31,0,1-MIN(60,COLUMN()-29),1,MIN(60,COLUMN()-29)),OFFSET(CC389,0,-MIN(60,COLUMN()-29),1,MIN(60,COLUMN()-29))),0)</f>
        <v>0</v>
      </c>
      <c r="CD390" s="237" t="n">
        <f aca="true">IFERROR(SUMPRODUCT(OFFSET($BJ$31,0,1-MIN(60,COLUMN()-29),1,MIN(60,COLUMN()-29)),OFFSET(CD389,0,-MIN(60,COLUMN()-29),1,MIN(60,COLUMN()-29))),0)</f>
        <v>0</v>
      </c>
      <c r="CE390" s="237" t="n">
        <f aca="true">IFERROR(SUMPRODUCT(OFFSET($BJ$31,0,1-MIN(60,COLUMN()-29),1,MIN(60,COLUMN()-29)),OFFSET(CE389,0,-MIN(60,COLUMN()-29),1,MIN(60,COLUMN()-29))),0)</f>
        <v>0</v>
      </c>
      <c r="CF390" s="237" t="n">
        <f aca="true">IFERROR(SUMPRODUCT(OFFSET($BJ$31,0,1-MIN(60,COLUMN()-29),1,MIN(60,COLUMN()-29)),OFFSET(CF389,0,-MIN(60,COLUMN()-29),1,MIN(60,COLUMN()-29))),0)</f>
        <v>0</v>
      </c>
      <c r="CG390" s="237" t="n">
        <f aca="true">IFERROR(SUMPRODUCT(OFFSET($BJ$31,0,1-MIN(60,COLUMN()-29),1,MIN(60,COLUMN()-29)),OFFSET(CG389,0,-MIN(60,COLUMN()-29),1,MIN(60,COLUMN()-29))),0)</f>
        <v>0</v>
      </c>
      <c r="CH390" s="237" t="n">
        <f aca="true">IFERROR(SUMPRODUCT(OFFSET($BJ$31,0,1-MIN(60,COLUMN()-29),1,MIN(60,COLUMN()-29)),OFFSET(CH389,0,-MIN(60,COLUMN()-29),1,MIN(60,COLUMN()-29))),0)</f>
        <v>0</v>
      </c>
      <c r="CI390" s="237" t="n">
        <f aca="true">IFERROR(SUMPRODUCT(OFFSET($BJ$31,0,1-MIN(60,COLUMN()-29),1,MIN(60,COLUMN()-29)),OFFSET(CI389,0,-MIN(60,COLUMN()-29),1,MIN(60,COLUMN()-29))),0)</f>
        <v>0</v>
      </c>
      <c r="CJ390" s="237" t="n">
        <f aca="true">IFERROR(SUMPRODUCT(OFFSET($BJ$31,0,1-MIN(60,COLUMN()-29),1,MIN(60,COLUMN()-29)),OFFSET(CJ389,0,-MIN(60,COLUMN()-29),1,MIN(60,COLUMN()-29))),0)</f>
        <v>0</v>
      </c>
      <c r="CK390" s="237" t="n">
        <f aca="true">IFERROR(SUMPRODUCT(OFFSET($BJ$31,0,1-MIN(60,COLUMN()-29),1,MIN(60,COLUMN()-29)),OFFSET(CK389,0,-MIN(60,COLUMN()-29),1,MIN(60,COLUMN()-29))),0)</f>
        <v>0</v>
      </c>
      <c r="CL390" s="237" t="n">
        <f aca="true">IFERROR(SUMPRODUCT(OFFSET($BJ$31,0,1-MIN(60,COLUMN()-29),1,MIN(60,COLUMN()-29)),OFFSET(CL389,0,-MIN(60,COLUMN()-29),1,MIN(60,COLUMN()-29))),0)</f>
        <v>0</v>
      </c>
      <c r="CM390" s="237" t="n">
        <f aca="true">IFERROR(SUMPRODUCT(OFFSET($BJ$31,0,1-MIN(60,COLUMN()-29),1,MIN(60,COLUMN()-29)),OFFSET(CM389,0,-MIN(60,COLUMN()-29),1,MIN(60,COLUMN()-29))),0)</f>
        <v>0</v>
      </c>
      <c r="CN390" s="237" t="n">
        <f aca="true">IFERROR(SUMPRODUCT(OFFSET($BJ$31,0,1-MIN(60,COLUMN()-29),1,MIN(60,COLUMN()-29)),OFFSET(CN389,0,-MIN(60,COLUMN()-29),1,MIN(60,COLUMN()-29))),0)</f>
        <v>0</v>
      </c>
      <c r="CO390" s="237" t="n">
        <f aca="true">IFERROR(SUMPRODUCT(OFFSET($BJ$31,0,1-MIN(60,COLUMN()-29),1,MIN(60,COLUMN()-29)),OFFSET(CO389,0,-MIN(60,COLUMN()-29),1,MIN(60,COLUMN()-29))),0)</f>
        <v>0</v>
      </c>
      <c r="CP390" s="237" t="n">
        <f aca="true">IFERROR(SUMPRODUCT(OFFSET($BJ$31,0,1-MIN(60,COLUMN()-29),1,MIN(60,COLUMN()-29)),OFFSET(CP389,0,-MIN(60,COLUMN()-29),1,MIN(60,COLUMN()-29))),0)</f>
        <v>0</v>
      </c>
      <c r="CQ390" s="237" t="n">
        <f aca="true">IFERROR(SUMPRODUCT(OFFSET($BJ$31,0,1-MIN(60,COLUMN()-29),1,MIN(60,COLUMN()-29)),OFFSET(CQ389,0,-MIN(60,COLUMN()-29),1,MIN(60,COLUMN()-29))),0)</f>
        <v>0</v>
      </c>
      <c r="CR390" s="237" t="n">
        <f aca="true">IFERROR(SUMPRODUCT(OFFSET($BJ$31,0,1-MIN(60,COLUMN()-29),1,MIN(60,COLUMN()-29)),OFFSET(CR389,0,-MIN(60,COLUMN()-29),1,MIN(60,COLUMN()-29))),0)</f>
        <v>0</v>
      </c>
      <c r="CS390" s="237" t="n">
        <f aca="true">IFERROR(SUMPRODUCT(OFFSET($BJ$31,0,1-MIN(60,COLUMN()-29),1,MIN(60,COLUMN()-29)),OFFSET(CS389,0,-MIN(60,COLUMN()-29),1,MIN(60,COLUMN()-29))),0)</f>
        <v>0</v>
      </c>
      <c r="CT390" s="237" t="n">
        <f aca="true">IFERROR(SUMPRODUCT(OFFSET($BJ$31,0,1-MIN(60,COLUMN()-29),1,MIN(60,COLUMN()-29)),OFFSET(CT389,0,-MIN(60,COLUMN()-29),1,MIN(60,COLUMN()-29))),0)</f>
        <v>0</v>
      </c>
      <c r="CU390" s="237" t="n">
        <f aca="true">IFERROR(SUMPRODUCT(OFFSET($BJ$31,0,1-MIN(60,COLUMN()-29),1,MIN(60,COLUMN()-29)),OFFSET(CU389,0,-MIN(60,COLUMN()-29),1,MIN(60,COLUMN()-29))),0)</f>
        <v>0</v>
      </c>
      <c r="CV390" s="237" t="n">
        <f aca="true">IFERROR(SUMPRODUCT(OFFSET($BJ$31,0,1-MIN(60,COLUMN()-29),1,MIN(60,COLUMN()-29)),OFFSET(CV389,0,-MIN(60,COLUMN()-29),1,MIN(60,COLUMN()-29))),0)</f>
        <v>0</v>
      </c>
      <c r="CW390" s="237" t="n">
        <f aca="true">IFERROR(SUMPRODUCT(OFFSET($BJ$31,0,1-MIN(60,COLUMN()-29),1,MIN(60,COLUMN()-29)),OFFSET(CW389,0,-MIN(60,COLUMN()-29),1,MIN(60,COLUMN()-29))),0)</f>
        <v>0</v>
      </c>
      <c r="CX390" s="237" t="n">
        <f aca="true">IFERROR(SUMPRODUCT(OFFSET($BJ$31,0,1-MIN(60,COLUMN()-29),1,MIN(60,COLUMN()-29)),OFFSET(CX389,0,-MIN(60,COLUMN()-29),1,MIN(60,COLUMN()-29))),0)</f>
        <v>0</v>
      </c>
      <c r="CY390" s="237" t="n">
        <f aca="true">IFERROR(SUMPRODUCT(OFFSET($BJ$31,0,1-MIN(60,COLUMN()-29),1,MIN(60,COLUMN()-29)),OFFSET(CY389,0,-MIN(60,COLUMN()-29),1,MIN(60,COLUMN()-29))),0)</f>
        <v>0</v>
      </c>
      <c r="CZ390" s="237" t="n">
        <f aca="true">IFERROR(SUMPRODUCT(OFFSET($BJ$31,0,1-MIN(60,COLUMN()-29),1,MIN(60,COLUMN()-29)),OFFSET(CZ389,0,-MIN(60,COLUMN()-29),1,MIN(60,COLUMN()-29))),0)</f>
        <v>0</v>
      </c>
      <c r="DA390" s="237" t="n">
        <f aca="true">IFERROR(SUMPRODUCT(OFFSET($BJ$31,0,1-MIN(60,COLUMN()-29),1,MIN(60,COLUMN()-29)),OFFSET(DA389,0,-MIN(60,COLUMN()-29),1,MIN(60,COLUMN()-29))),0)</f>
        <v>0</v>
      </c>
      <c r="DB390" s="237" t="n">
        <f aca="true">IFERROR(SUMPRODUCT(OFFSET($BJ$31,0,1-MIN(60,COLUMN()-29),1,MIN(60,COLUMN()-29)),OFFSET(DB389,0,-MIN(60,COLUMN()-29),1,MIN(60,COLUMN()-29))),0)</f>
        <v>0</v>
      </c>
      <c r="DC390" s="237" t="n">
        <f aca="true">IFERROR(SUMPRODUCT(OFFSET($BJ$31,0,1-MIN(60,COLUMN()-29),1,MIN(60,COLUMN()-29)),OFFSET(DC389,0,-MIN(60,COLUMN()-29),1,MIN(60,COLUMN()-29))),0)</f>
        <v>0</v>
      </c>
      <c r="DD390" s="237" t="n">
        <f aca="true">IFERROR(SUMPRODUCT(OFFSET($BJ$31,0,1-MIN(60,COLUMN()-29),1,MIN(60,COLUMN()-29)),OFFSET(DD389,0,-MIN(60,COLUMN()-29),1,MIN(60,COLUMN()-29))),0)</f>
        <v>0</v>
      </c>
      <c r="DE390" s="237" t="n">
        <f aca="true">IFERROR(SUMPRODUCT(OFFSET($BJ$31,0,1-MIN(60,COLUMN()-29),1,MIN(60,COLUMN()-29)),OFFSET(DE389,0,-MIN(60,COLUMN()-29),1,MIN(60,COLUMN()-29))),0)</f>
        <v>0</v>
      </c>
      <c r="DF390" s="237" t="n">
        <f aca="true">IFERROR(SUMPRODUCT(OFFSET($BJ$31,0,1-MIN(60,COLUMN()-29),1,MIN(60,COLUMN()-29)),OFFSET(DF389,0,-MIN(60,COLUMN()-29),1,MIN(60,COLUMN()-29))),0)</f>
        <v>0</v>
      </c>
      <c r="DG390" s="237" t="n">
        <f aca="true">IFERROR(SUMPRODUCT(OFFSET($BJ$31,0,1-MIN(60,COLUMN()-29),1,MIN(60,COLUMN()-29)),OFFSET(DG389,0,-MIN(60,COLUMN()-29),1,MIN(60,COLUMN()-29))),0)</f>
        <v>0</v>
      </c>
      <c r="DH390" s="237" t="n">
        <f aca="true">IFERROR(SUMPRODUCT(OFFSET($BJ$31,0,1-MIN(60,COLUMN()-29),1,MIN(60,COLUMN()-29)),OFFSET(DH389,0,-MIN(60,COLUMN()-29),1,MIN(60,COLUMN()-29))),0)</f>
        <v>0</v>
      </c>
      <c r="DI390" s="237" t="n">
        <f aca="true">IFERROR(SUMPRODUCT(OFFSET($BJ$31,0,1-MIN(60,COLUMN()-29),1,MIN(60,COLUMN()-29)),OFFSET(DI389,0,-MIN(60,COLUMN()-29),1,MIN(60,COLUMN()-29))),0)</f>
        <v>0</v>
      </c>
      <c r="DJ390" s="237" t="n">
        <f aca="true">IFERROR(SUMPRODUCT(OFFSET($BJ$31,0,1-MIN(60,COLUMN()-29),1,MIN(60,COLUMN()-29)),OFFSET(DJ389,0,-MIN(60,COLUMN()-29),1,MIN(60,COLUMN()-29))),0)</f>
        <v>0</v>
      </c>
      <c r="DK390" s="237" t="n">
        <f aca="true">IFERROR(SUMPRODUCT(OFFSET($BJ$31,0,1-MIN(60,COLUMN()-29),1,MIN(60,COLUMN()-29)),OFFSET(DK389,0,-MIN(60,COLUMN()-29),1,MIN(60,COLUMN()-29))),0)</f>
        <v>0</v>
      </c>
      <c r="DL390" s="237" t="n">
        <f aca="true">IFERROR(SUMPRODUCT(OFFSET($BJ$31,0,1-MIN(60,COLUMN()-29),1,MIN(60,COLUMN()-29)),OFFSET(DL389,0,-MIN(60,COLUMN()-29),1,MIN(60,COLUMN()-29))),0)</f>
        <v>0</v>
      </c>
      <c r="DM390" s="237" t="n">
        <f aca="true">IFERROR(SUMPRODUCT(OFFSET($BJ$31,0,1-MIN(60,COLUMN()-29),1,MIN(60,COLUMN()-29)),OFFSET(DM389,0,-MIN(60,COLUMN()-29),1,MIN(60,COLUMN()-29))),0)</f>
        <v>0</v>
      </c>
      <c r="DN390" s="237" t="n">
        <f aca="true">IFERROR(SUMPRODUCT(OFFSET($BJ$31,0,1-MIN(60,COLUMN()-29),1,MIN(60,COLUMN()-29)),OFFSET(DN389,0,-MIN(60,COLUMN()-29),1,MIN(60,COLUMN()-29))),0)</f>
        <v>0</v>
      </c>
      <c r="DO390" s="237" t="n">
        <f aca="true">IFERROR(SUMPRODUCT(OFFSET($BJ$31,0,1-MIN(60,COLUMN()-29),1,MIN(60,COLUMN()-29)),OFFSET(DO389,0,-MIN(60,COLUMN()-29),1,MIN(60,COLUMN()-29))),0)</f>
        <v>0</v>
      </c>
      <c r="DP390" s="237" t="n">
        <f aca="true">IFERROR(SUMPRODUCT(OFFSET($BJ$31,0,1-MIN(60,COLUMN()-29),1,MIN(60,COLUMN()-29)),OFFSET(DP389,0,-MIN(60,COLUMN()-29),1,MIN(60,COLUMN()-29))),0)</f>
        <v>0</v>
      </c>
      <c r="DQ390" s="237" t="n">
        <f aca="true">IFERROR(SUMPRODUCT(OFFSET($BJ$31,0,1-MIN(60,COLUMN()-29),1,MIN(60,COLUMN()-29)),OFFSET(DQ389,0,-MIN(60,COLUMN()-29),1,MIN(60,COLUMN()-29))),0)</f>
        <v>0</v>
      </c>
      <c r="DR390" s="237" t="n">
        <f aca="true">IFERROR(SUMPRODUCT(OFFSET($BJ$31,0,1-MIN(60,COLUMN()-29),1,MIN(60,COLUMN()-29)),OFFSET(DR389,0,-MIN(60,COLUMN()-29),1,MIN(60,COLUMN()-29))),0)</f>
        <v>0</v>
      </c>
      <c r="DS390" s="237" t="n">
        <f aca="true">IFERROR(SUMPRODUCT(OFFSET($BJ$31,0,1-MIN(60,COLUMN()-29),1,MIN(60,COLUMN()-29)),OFFSET(DS389,0,-MIN(60,COLUMN()-29),1,MIN(60,COLUMN()-29))),0)</f>
        <v>0</v>
      </c>
      <c r="DT390" s="237" t="n">
        <f aca="true">IFERROR(SUMPRODUCT(OFFSET($BJ$31,0,1-MIN(60,COLUMN()-29),1,MIN(60,COLUMN()-29)),OFFSET(DT389,0,-MIN(60,COLUMN()-29),1,MIN(60,COLUMN()-29))),0)</f>
        <v>0</v>
      </c>
      <c r="DU390" s="237" t="n">
        <f aca="true">IFERROR(SUMPRODUCT(OFFSET($BJ$31,0,1-MIN(60,COLUMN()-29),1,MIN(60,COLUMN()-29)),OFFSET(DU389,0,-MIN(60,COLUMN()-29),1,MIN(60,COLUMN()-29))),0)</f>
        <v>0</v>
      </c>
      <c r="DV390" s="237" t="n">
        <f aca="true">IFERROR(SUMPRODUCT(OFFSET($BJ$31,0,1-MIN(60,COLUMN()-29),1,MIN(60,COLUMN()-29)),OFFSET(DV389,0,-MIN(60,COLUMN()-29),1,MIN(60,COLUMN()-29))),0)</f>
        <v>0</v>
      </c>
      <c r="DW390" s="237" t="n">
        <f aca="true">IFERROR(SUMPRODUCT(OFFSET($BJ$31,0,1-MIN(60,COLUMN()-29),1,MIN(60,COLUMN()-29)),OFFSET(DW389,0,-MIN(60,COLUMN()-29),1,MIN(60,COLUMN()-29))),0)</f>
        <v>0</v>
      </c>
      <c r="DX390" s="237" t="n">
        <f aca="true">IFERROR(SUMPRODUCT(OFFSET($BJ$31,0,1-MIN(60,COLUMN()-29),1,MIN(60,COLUMN()-29)),OFFSET(DX389,0,-MIN(60,COLUMN()-29),1,MIN(60,COLUMN()-29))),0)</f>
        <v>0</v>
      </c>
      <c r="DY390" s="237" t="n">
        <f aca="true">IFERROR(SUMPRODUCT(OFFSET($BJ$31,0,1-MIN(60,COLUMN()-29),1,MIN(60,COLUMN()-29)),OFFSET(DY389,0,-MIN(60,COLUMN()-29),1,MIN(60,COLUMN()-29))),0)</f>
        <v>0</v>
      </c>
      <c r="DZ390" s="237" t="n">
        <f aca="true">IFERROR(SUMPRODUCT(OFFSET($BJ$31,0,1-MIN(60,COLUMN()-29),1,MIN(60,COLUMN()-29)),OFFSET(DZ389,0,-MIN(60,COLUMN()-29),1,MIN(60,COLUMN()-29))),0)</f>
        <v>2.59072</v>
      </c>
      <c r="EA390" s="237" t="n">
        <f aca="true">IFERROR(SUMPRODUCT(OFFSET($BJ$31,0,1-MIN(60,COLUMN()-29),1,MIN(60,COLUMN()-29)),OFFSET(EA389,0,-MIN(60,COLUMN()-29),1,MIN(60,COLUMN()-29))),0)</f>
        <v>2.834304</v>
      </c>
      <c r="EB390" s="237" t="n">
        <f aca="true">IFERROR(SUMPRODUCT(OFFSET($BJ$31,0,1-MIN(60,COLUMN()-29),1,MIN(60,COLUMN()-29)),OFFSET(EB389,0,-MIN(60,COLUMN()-29),1,MIN(60,COLUMN()-29))),0)</f>
        <v>3.63264</v>
      </c>
      <c r="EC390" s="237" t="n">
        <f aca="true">IFERROR(SUMPRODUCT(OFFSET($BJ$31,0,1-MIN(60,COLUMN()-29),1,MIN(60,COLUMN()-29)),OFFSET(EC389,0,-MIN(60,COLUMN()-29),1,MIN(60,COLUMN()-29))),0)</f>
        <v>6.4813056</v>
      </c>
      <c r="ED390" s="237" t="n">
        <f aca="true">IFERROR(SUMPRODUCT(OFFSET($BJ$31,0,1-MIN(60,COLUMN()-29),1,MIN(60,COLUMN()-29)),OFFSET(ED389,0,-MIN(60,COLUMN()-29),1,MIN(60,COLUMN()-29))),0)</f>
        <v>6.0909728</v>
      </c>
      <c r="EE390" s="237" t="n">
        <f aca="true">IFERROR(SUMPRODUCT(OFFSET($BJ$31,0,1-MIN(60,COLUMN()-29),1,MIN(60,COLUMN()-29)),OFFSET(EE389,0,-MIN(60,COLUMN()-29),1,MIN(60,COLUMN()-29))),0)</f>
        <v>6.3081216</v>
      </c>
      <c r="EF390" s="237" t="n">
        <f aca="true">IFERROR(SUMPRODUCT(OFFSET($BJ$31,0,1-MIN(60,COLUMN()-29),1,MIN(60,COLUMN()-29)),OFFSET(EF389,0,-MIN(60,COLUMN()-29),1,MIN(60,COLUMN()-29))),0)</f>
        <v>6.0655232</v>
      </c>
      <c r="EG390" s="237" t="n">
        <f aca="true">IFERROR(SUMPRODUCT(OFFSET($BJ$31,0,1-MIN(60,COLUMN()-29),1,MIN(60,COLUMN()-29)),OFFSET(EG389,0,-MIN(60,COLUMN()-29),1,MIN(60,COLUMN()-29))),0)</f>
        <v>8.1813952</v>
      </c>
      <c r="EH390" s="237" t="n">
        <f aca="true">IFERROR(SUMPRODUCT(OFFSET($BJ$31,0,1-MIN(60,COLUMN()-29),1,MIN(60,COLUMN()-29)),OFFSET(EH389,0,-MIN(60,COLUMN()-29),1,MIN(60,COLUMN()-29))),0)</f>
        <v>9.676128</v>
      </c>
      <c r="EI390" s="237" t="n">
        <f aca="true">IFERROR(SUMPRODUCT(OFFSET($BJ$31,0,1-MIN(60,COLUMN()-29),1,MIN(60,COLUMN()-29)),OFFSET(EI389,0,-MIN(60,COLUMN()-29),1,MIN(60,COLUMN()-29))),0)</f>
        <v>9.1379904</v>
      </c>
      <c r="EJ390" s="237" t="n">
        <f aca="true">IFERROR(SUMPRODUCT(OFFSET($BJ$31,0,1-MIN(60,COLUMN()-29),1,MIN(60,COLUMN()-29)),OFFSET(EJ389,0,-MIN(60,COLUMN()-29),1,MIN(60,COLUMN()-29))),0)</f>
        <v>12.0645536</v>
      </c>
      <c r="EK390" s="237" t="n">
        <f aca="true">IFERROR(SUMPRODUCT(OFFSET($BJ$31,0,1-MIN(60,COLUMN()-29),1,MIN(60,COLUMN()-29)),OFFSET(EK389,0,-MIN(60,COLUMN()-29),1,MIN(60,COLUMN()-29))),0)</f>
        <v>13.339744</v>
      </c>
      <c r="EL390" s="237" t="n">
        <f aca="true">IFERROR(SUMPRODUCT(OFFSET($BJ$31,0,1-MIN(60,COLUMN()-29),1,MIN(60,COLUMN()-29)),OFFSET(EL389,0,-MIN(60,COLUMN()-29),1,MIN(60,COLUMN()-29))),0)</f>
        <v>13.9368768</v>
      </c>
      <c r="EM390" s="237" t="n">
        <f aca="true">IFERROR(SUMPRODUCT(OFFSET($BJ$31,0,1-MIN(60,COLUMN()-29),1,MIN(60,COLUMN()-29)),OFFSET(EM389,0,-MIN(60,COLUMN()-29),1,MIN(60,COLUMN()-29))),0)</f>
        <v>13.9812288</v>
      </c>
      <c r="EN390" s="237" t="n">
        <f aca="true">IFERROR(SUMPRODUCT(OFFSET($BJ$31,0,1-MIN(60,COLUMN()-29),1,MIN(60,COLUMN()-29)),OFFSET(EN389,0,-MIN(60,COLUMN()-29),1,MIN(60,COLUMN()-29))),0)</f>
        <v>15.2490624</v>
      </c>
      <c r="EO390" s="237" t="n">
        <f aca="true">IFERROR(SUMPRODUCT(OFFSET($BJ$31,0,1-MIN(60,COLUMN()-29),1,MIN(60,COLUMN()-29)),OFFSET(EO389,0,-MIN(60,COLUMN()-29),1,MIN(60,COLUMN()-29))),0)</f>
        <v>23.8444096</v>
      </c>
      <c r="EP390" s="237" t="n">
        <f aca="true">IFERROR(SUMPRODUCT(OFFSET($BJ$31,0,1-MIN(60,COLUMN()-29),1,MIN(60,COLUMN()-29)),OFFSET(EP389,0,-MIN(60,COLUMN()-29),1,MIN(60,COLUMN()-29))),0)</f>
        <v>23.88258752</v>
      </c>
      <c r="EQ390" s="237" t="n">
        <f aca="true">IFERROR(SUMPRODUCT(OFFSET($BJ$31,0,1-MIN(60,COLUMN()-29),1,MIN(60,COLUMN()-29)),OFFSET(EQ389,0,-MIN(60,COLUMN()-29),1,MIN(60,COLUMN()-29))),0)</f>
        <v>23.9521216</v>
      </c>
      <c r="ER390" s="237" t="n">
        <f aca="true">IFERROR(SUMPRODUCT(OFFSET($BJ$31,0,1-MIN(60,COLUMN()-29),1,MIN(60,COLUMN()-29)),OFFSET(ER389,0,-MIN(60,COLUMN()-29),1,MIN(60,COLUMN()-29))),0)</f>
        <v>22.47163072</v>
      </c>
      <c r="ES390" s="9" t="n">
        <f aca="true">IFERROR(SUMPRODUCT(OFFSET($BJ$31,0,1-MIN(60,COLUMN()-29),1,MIN(60,COLUMN()-29)),OFFSET(ES389,0,-MIN(60,COLUMN()-29),1,MIN(60,COLUMN()-29))),0)</f>
        <v>27.97235144</v>
      </c>
      <c r="ET390" s="9" t="n">
        <f aca="true">IFERROR(SUMPRODUCT(OFFSET($BJ$31,0,1-MIN(60,COLUMN()-29),1,MIN(60,COLUMN()-29)),OFFSET(ET389,0,-MIN(60,COLUMN()-29),1,MIN(60,COLUMN()-29))),0)</f>
        <v>30.20982712</v>
      </c>
      <c r="EU390" s="9" t="n">
        <f aca="true">IFERROR(SUMPRODUCT(OFFSET($BJ$31,0,1-MIN(60,COLUMN()-29),1,MIN(60,COLUMN()-29)),OFFSET(EU389,0,-MIN(60,COLUMN()-29),1,MIN(60,COLUMN()-29))),0)</f>
        <v>29.8050412</v>
      </c>
      <c r="EV390" s="9" t="n">
        <f aca="true">IFERROR(SUMPRODUCT(OFFSET($BJ$31,0,1-MIN(60,COLUMN()-29),1,MIN(60,COLUMN()-29)),OFFSET(EV389,0,-MIN(60,COLUMN()-29),1,MIN(60,COLUMN()-29))),0)</f>
        <v>36.06292888</v>
      </c>
      <c r="EW390" s="9" t="n">
        <f aca="true">IFERROR(SUMPRODUCT(OFFSET($BJ$31,0,1-MIN(60,COLUMN()-29),1,MIN(60,COLUMN()-29)),OFFSET(EW389,0,-MIN(60,COLUMN()-29),1,MIN(60,COLUMN()-29))),0)</f>
        <v>37.75006752</v>
      </c>
      <c r="EX390" s="9" t="n">
        <f aca="true">IFERROR(SUMPRODUCT(OFFSET($BJ$31,0,1-MIN(60,COLUMN()-29),1,MIN(60,COLUMN()-29)),OFFSET(EX389,0,-MIN(60,COLUMN()-29),1,MIN(60,COLUMN()-29))),0)</f>
        <v>37.97107424</v>
      </c>
      <c r="EY390" s="9" t="n">
        <f aca="true">IFERROR(SUMPRODUCT(OFFSET($BJ$31,0,1-MIN(60,COLUMN()-29),1,MIN(60,COLUMN()-29)),OFFSET(EY389,0,-MIN(60,COLUMN()-29),1,MIN(60,COLUMN()-29))),0)</f>
        <v>37.74120768</v>
      </c>
      <c r="EZ390" s="9" t="n">
        <f aca="true">IFERROR(SUMPRODUCT(OFFSET($BJ$31,0,1-MIN(60,COLUMN()-29),1,MIN(60,COLUMN()-29)),OFFSET(EZ389,0,-MIN(60,COLUMN()-29),1,MIN(60,COLUMN()-29))),0)</f>
        <v>41.42776</v>
      </c>
      <c r="FA390" s="9" t="n">
        <f aca="true">IFERROR(SUMPRODUCT(OFFSET($BJ$31,0,1-MIN(60,COLUMN()-29),1,MIN(60,COLUMN()-29)),OFFSET(FA389,0,-MIN(60,COLUMN()-29),1,MIN(60,COLUMN()-29))),0)</f>
        <v>52.78300192</v>
      </c>
      <c r="FB390" s="9" t="n">
        <f aca="true">IFERROR(SUMPRODUCT(OFFSET($BJ$31,0,1-MIN(60,COLUMN()-29),1,MIN(60,COLUMN()-29)),OFFSET(FB389,0,-MIN(60,COLUMN()-29),1,MIN(60,COLUMN()-29))),0)</f>
        <v>52.6484112</v>
      </c>
      <c r="FC390" s="9" t="n">
        <f aca="true">IFERROR(SUMPRODUCT(OFFSET($BJ$31,0,1-MIN(60,COLUMN()-29),1,MIN(60,COLUMN()-29)),OFFSET(FC389,0,-MIN(60,COLUMN()-29),1,MIN(60,COLUMN()-29))),0)</f>
        <v>51.8747856</v>
      </c>
      <c r="FD390" s="9" t="n">
        <f aca="true">IFERROR(SUMPRODUCT(OFFSET($BJ$31,0,1-MIN(60,COLUMN()-29),1,MIN(60,COLUMN()-29)),OFFSET(FD389,0,-MIN(60,COLUMN()-29),1,MIN(60,COLUMN()-29))),0)</f>
        <v>49.9128432</v>
      </c>
      <c r="FE390" s="9" t="n">
        <f aca="true">IFERROR(SUMPRODUCT(OFFSET($BJ$31,0,1-MIN(60,COLUMN()-29),1,MIN(60,COLUMN()-29)),OFFSET(FE389,0,-MIN(60,COLUMN()-29),1,MIN(60,COLUMN()-29))),0)</f>
        <v>58.42561296</v>
      </c>
      <c r="FF390" s="9" t="n">
        <f aca="true">IFERROR(SUMPRODUCT(OFFSET($BJ$31,0,1-MIN(60,COLUMN()-29),1,MIN(60,COLUMN()-29)),OFFSET(FF389,0,-MIN(60,COLUMN()-29),1,MIN(60,COLUMN()-29))),0)</f>
        <v>61.89353808</v>
      </c>
      <c r="FG390" s="9" t="n">
        <f aca="true">IFERROR(SUMPRODUCT(OFFSET($BJ$31,0,1-MIN(60,COLUMN()-29),1,MIN(60,COLUMN()-29)),OFFSET(FG389,0,-MIN(60,COLUMN()-29),1,MIN(60,COLUMN()-29))),0)</f>
        <v>62.07305808</v>
      </c>
      <c r="FH390" s="9" t="n">
        <f aca="true">IFERROR(SUMPRODUCT(OFFSET($BJ$31,0,1-MIN(60,COLUMN()-29),1,MIN(60,COLUMN()-29)),OFFSET(FH389,0,-MIN(60,COLUMN()-29),1,MIN(60,COLUMN()-29))),0)</f>
        <v>69.9618216</v>
      </c>
      <c r="FI390" s="9" t="n">
        <f aca="true">IFERROR(SUMPRODUCT(OFFSET($BJ$31,0,1-MIN(60,COLUMN()-29),1,MIN(60,COLUMN()-29)),OFFSET(FI389,0,-MIN(60,COLUMN()-29),1,MIN(60,COLUMN()-29))),0)</f>
        <v>72.44316288</v>
      </c>
      <c r="FJ390" s="9" t="n">
        <f aca="true">IFERROR(SUMPRODUCT(OFFSET($BJ$31,0,1-MIN(60,COLUMN()-29),1,MIN(60,COLUMN()-29)),OFFSET(FJ389,0,-MIN(60,COLUMN()-29),1,MIN(60,COLUMN()-29))),0)</f>
        <v>73.1966928</v>
      </c>
      <c r="FK390" s="9" t="n">
        <f aca="true">IFERROR(SUMPRODUCT(OFFSET($BJ$31,0,1-MIN(60,COLUMN()-29),1,MIN(60,COLUMN()-29)),OFFSET(FK389,0,-MIN(60,COLUMN()-29),1,MIN(60,COLUMN()-29))),0)</f>
        <v>73.44946224</v>
      </c>
      <c r="FL390" s="9" t="n">
        <f aca="true">IFERROR(SUMPRODUCT(OFFSET($BJ$31,0,1-MIN(60,COLUMN()-29),1,MIN(60,COLUMN()-29)),OFFSET(FL389,0,-MIN(60,COLUMN()-29),1,MIN(60,COLUMN()-29))),0)</f>
        <v>78.43339152</v>
      </c>
      <c r="FM390" s="9" t="n">
        <f aca="true">IFERROR(SUMPRODUCT(OFFSET($BJ$31,0,1-MIN(60,COLUMN()-29),1,MIN(60,COLUMN()-29)),OFFSET(FM389,0,-MIN(60,COLUMN()-29),1,MIN(60,COLUMN()-29))),0)</f>
        <v>91.59074496</v>
      </c>
      <c r="FN390" s="9" t="n">
        <f aca="true">IFERROR(SUMPRODUCT(OFFSET($BJ$31,0,1-MIN(60,COLUMN()-29),1,MIN(60,COLUMN()-29)),OFFSET(FN389,0,-MIN(60,COLUMN()-29),1,MIN(60,COLUMN()-29))),0)</f>
        <v>91.95602592</v>
      </c>
      <c r="FO390" s="9" t="n">
        <f aca="true">IFERROR(SUMPRODUCT(OFFSET($BJ$31,0,1-MIN(60,COLUMN()-29),1,MIN(60,COLUMN()-29)),OFFSET(FO389,0,-MIN(60,COLUMN()-29),1,MIN(60,COLUMN()-29))),0)</f>
        <v>91.3839696</v>
      </c>
      <c r="FP390" s="9" t="n">
        <f aca="true">IFERROR(SUMPRODUCT(OFFSET($BJ$31,0,1-MIN(60,COLUMN()-29),1,MIN(60,COLUMN()-29)),OFFSET(FP389,0,-MIN(60,COLUMN()-29),1,MIN(60,COLUMN()-29))),0)</f>
        <v>89.64408288</v>
      </c>
    </row>
    <row r="391" customFormat="false" ht="15" hidden="false" customHeight="false" outlineLevel="2" collapsed="false">
      <c r="B391" s="47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237"/>
      <c r="AD391" s="237"/>
      <c r="AE391" s="237"/>
      <c r="AF391" s="237"/>
      <c r="AG391" s="237"/>
      <c r="AH391" s="237"/>
      <c r="AI391" s="237"/>
      <c r="AJ391" s="237"/>
      <c r="AK391" s="237"/>
      <c r="AL391" s="237"/>
      <c r="AM391" s="237"/>
      <c r="AN391" s="237"/>
      <c r="AO391" s="237"/>
      <c r="AP391" s="237"/>
      <c r="AQ391" s="237"/>
      <c r="AR391" s="237"/>
      <c r="AS391" s="237"/>
      <c r="AT391" s="237"/>
      <c r="AU391" s="237"/>
      <c r="AV391" s="237"/>
      <c r="AW391" s="237"/>
      <c r="AX391" s="237"/>
      <c r="AY391" s="237"/>
      <c r="AZ391" s="237"/>
      <c r="BA391" s="237"/>
      <c r="BB391" s="237"/>
      <c r="BC391" s="237"/>
      <c r="BD391" s="237"/>
      <c r="BE391" s="237"/>
      <c r="BF391" s="237"/>
      <c r="BG391" s="237"/>
      <c r="BH391" s="237"/>
      <c r="BI391" s="237"/>
      <c r="BJ391" s="237"/>
      <c r="BK391" s="237"/>
      <c r="BL391" s="237"/>
      <c r="BM391" s="237"/>
      <c r="BN391" s="237"/>
      <c r="BO391" s="237"/>
      <c r="BP391" s="237"/>
      <c r="BQ391" s="237"/>
      <c r="BR391" s="237"/>
      <c r="BS391" s="237"/>
      <c r="BT391" s="237"/>
      <c r="BU391" s="237"/>
      <c r="BV391" s="237"/>
      <c r="BW391" s="237"/>
      <c r="BX391" s="237"/>
      <c r="BY391" s="237"/>
      <c r="BZ391" s="237"/>
      <c r="CA391" s="237"/>
      <c r="CB391" s="237"/>
      <c r="CC391" s="237"/>
      <c r="CD391" s="237"/>
      <c r="CE391" s="237"/>
      <c r="CF391" s="237"/>
      <c r="CG391" s="237"/>
      <c r="CH391" s="237"/>
      <c r="CI391" s="237"/>
      <c r="CJ391" s="237"/>
      <c r="CK391" s="237"/>
      <c r="CL391" s="237"/>
      <c r="CM391" s="237"/>
      <c r="CN391" s="237"/>
      <c r="CO391" s="237"/>
      <c r="CP391" s="237"/>
      <c r="CQ391" s="237"/>
      <c r="CR391" s="237"/>
      <c r="CS391" s="237"/>
      <c r="CT391" s="237"/>
      <c r="CU391" s="237"/>
      <c r="CV391" s="237"/>
      <c r="CW391" s="237"/>
      <c r="CX391" s="237"/>
      <c r="CY391" s="237"/>
      <c r="CZ391" s="237"/>
      <c r="DA391" s="237"/>
      <c r="DB391" s="237"/>
      <c r="DC391" s="237"/>
      <c r="DD391" s="237"/>
      <c r="DE391" s="237"/>
      <c r="DF391" s="237"/>
      <c r="DG391" s="237"/>
      <c r="DH391" s="237"/>
      <c r="DI391" s="237"/>
      <c r="DJ391" s="237"/>
      <c r="DK391" s="237"/>
      <c r="DL391" s="237"/>
      <c r="DM391" s="237"/>
      <c r="DN391" s="237"/>
      <c r="DO391" s="237"/>
      <c r="DP391" s="237"/>
      <c r="DQ391" s="237"/>
      <c r="DR391" s="237"/>
      <c r="DS391" s="237"/>
      <c r="DT391" s="237"/>
      <c r="DU391" s="237"/>
      <c r="DV391" s="237"/>
      <c r="DW391" s="237"/>
      <c r="DX391" s="237"/>
      <c r="DY391" s="237"/>
      <c r="DZ391" s="237"/>
      <c r="EA391" s="237"/>
      <c r="EB391" s="237"/>
      <c r="EC391" s="237"/>
      <c r="ED391" s="237"/>
      <c r="EE391" s="237"/>
      <c r="EF391" s="237"/>
      <c r="EG391" s="237"/>
      <c r="EH391" s="237"/>
      <c r="EI391" s="237"/>
      <c r="EJ391" s="237"/>
      <c r="EK391" s="237"/>
      <c r="EL391" s="237"/>
      <c r="EM391" s="237"/>
      <c r="EN391" s="237"/>
      <c r="EO391" s="237"/>
      <c r="EP391" s="237"/>
      <c r="EQ391" s="237"/>
      <c r="ER391" s="237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  <c r="FJ391" s="9"/>
      <c r="FK391" s="9"/>
      <c r="FL391" s="9"/>
      <c r="FM391" s="9"/>
      <c r="FN391" s="9"/>
      <c r="FO391" s="9"/>
      <c r="FP391" s="9"/>
    </row>
    <row r="392" customFormat="false" ht="15" hidden="false" customHeight="false" outlineLevel="2" collapsed="false">
      <c r="B392" s="47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237"/>
      <c r="AD392" s="237"/>
      <c r="AE392" s="237"/>
      <c r="AF392" s="237"/>
      <c r="AG392" s="237"/>
      <c r="AH392" s="237"/>
      <c r="AI392" s="237"/>
      <c r="AJ392" s="237"/>
      <c r="AK392" s="237"/>
      <c r="AL392" s="237"/>
      <c r="AM392" s="237"/>
      <c r="AN392" s="237"/>
      <c r="AO392" s="237"/>
      <c r="AP392" s="237"/>
      <c r="AQ392" s="237"/>
      <c r="AR392" s="237"/>
      <c r="AS392" s="237"/>
      <c r="AT392" s="237"/>
      <c r="AU392" s="237"/>
      <c r="AV392" s="237"/>
      <c r="AW392" s="237"/>
      <c r="AX392" s="237"/>
      <c r="AY392" s="237"/>
      <c r="AZ392" s="237"/>
      <c r="BA392" s="237"/>
      <c r="BB392" s="237"/>
      <c r="BC392" s="237"/>
      <c r="BD392" s="237"/>
      <c r="BE392" s="237"/>
      <c r="BF392" s="237"/>
      <c r="BG392" s="237"/>
      <c r="BH392" s="237"/>
      <c r="BI392" s="237"/>
      <c r="BJ392" s="237"/>
      <c r="BK392" s="237"/>
      <c r="BL392" s="237"/>
      <c r="BM392" s="237"/>
      <c r="BN392" s="237"/>
      <c r="BO392" s="237"/>
      <c r="BP392" s="237"/>
      <c r="BQ392" s="237"/>
      <c r="BR392" s="237"/>
      <c r="BS392" s="237"/>
      <c r="BT392" s="237"/>
      <c r="BU392" s="237"/>
      <c r="BV392" s="237"/>
      <c r="BW392" s="237"/>
      <c r="BX392" s="237"/>
      <c r="BY392" s="237"/>
      <c r="BZ392" s="237"/>
      <c r="CA392" s="237"/>
      <c r="CB392" s="237"/>
      <c r="CC392" s="237"/>
      <c r="CD392" s="237"/>
      <c r="CE392" s="237"/>
      <c r="CF392" s="237"/>
      <c r="CG392" s="237"/>
      <c r="CH392" s="237"/>
      <c r="CI392" s="237"/>
      <c r="CJ392" s="237"/>
      <c r="CK392" s="237"/>
      <c r="CL392" s="237"/>
      <c r="CM392" s="237"/>
      <c r="CN392" s="237"/>
      <c r="CO392" s="237"/>
      <c r="CP392" s="237"/>
      <c r="CQ392" s="237"/>
      <c r="CR392" s="237"/>
      <c r="CS392" s="237"/>
      <c r="CT392" s="237"/>
      <c r="CU392" s="237"/>
      <c r="CV392" s="237"/>
      <c r="CW392" s="237"/>
      <c r="CX392" s="237"/>
      <c r="CY392" s="237"/>
      <c r="CZ392" s="237"/>
      <c r="DA392" s="237"/>
      <c r="DB392" s="237"/>
      <c r="DC392" s="237"/>
      <c r="DD392" s="237"/>
      <c r="DE392" s="237"/>
      <c r="DF392" s="237"/>
      <c r="DG392" s="237"/>
      <c r="DH392" s="237"/>
      <c r="DI392" s="237"/>
      <c r="DJ392" s="237"/>
      <c r="DK392" s="237"/>
      <c r="DL392" s="237"/>
      <c r="DM392" s="237"/>
      <c r="DN392" s="237"/>
      <c r="DO392" s="237"/>
      <c r="DP392" s="237"/>
      <c r="DQ392" s="237"/>
      <c r="DR392" s="237"/>
      <c r="DS392" s="237"/>
      <c r="DT392" s="237"/>
      <c r="DU392" s="237"/>
      <c r="DV392" s="237"/>
      <c r="DW392" s="237"/>
      <c r="DX392" s="237"/>
      <c r="DY392" s="237"/>
      <c r="DZ392" s="237"/>
      <c r="EA392" s="237"/>
      <c r="EB392" s="237"/>
      <c r="EC392" s="237"/>
      <c r="ED392" s="237"/>
      <c r="EE392" s="237"/>
      <c r="EF392" s="237"/>
      <c r="EG392" s="237"/>
      <c r="EH392" s="237"/>
      <c r="EI392" s="237"/>
      <c r="EJ392" s="237"/>
      <c r="EK392" s="237"/>
      <c r="EL392" s="237"/>
      <c r="EM392" s="237"/>
      <c r="EN392" s="237"/>
      <c r="EO392" s="237"/>
      <c r="EP392" s="237"/>
      <c r="EQ392" s="237"/>
      <c r="ER392" s="237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</row>
    <row r="393" customFormat="false" ht="15" hidden="false" customHeight="false" outlineLevel="2" collapsed="false">
      <c r="B393" s="47" t="s">
        <v>912</v>
      </c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237"/>
      <c r="AD393" s="237"/>
      <c r="AE393" s="237"/>
      <c r="AF393" s="237"/>
      <c r="AG393" s="237"/>
      <c r="AH393" s="237"/>
      <c r="AI393" s="237"/>
      <c r="AJ393" s="237"/>
      <c r="AK393" s="237"/>
      <c r="AL393" s="237"/>
      <c r="AM393" s="237"/>
      <c r="AN393" s="237"/>
      <c r="AO393" s="237"/>
      <c r="AP393" s="237"/>
      <c r="AQ393" s="237"/>
      <c r="AR393" s="237"/>
      <c r="AS393" s="237"/>
      <c r="AT393" s="237"/>
      <c r="AU393" s="237"/>
      <c r="AV393" s="237"/>
      <c r="AW393" s="237"/>
      <c r="AX393" s="237"/>
      <c r="AY393" s="237"/>
      <c r="AZ393" s="237"/>
      <c r="BA393" s="237"/>
      <c r="BB393" s="237"/>
      <c r="BC393" s="237"/>
      <c r="BD393" s="237"/>
      <c r="BE393" s="237"/>
      <c r="BF393" s="237"/>
      <c r="BG393" s="237"/>
      <c r="BH393" s="237"/>
      <c r="BI393" s="237"/>
      <c r="BJ393" s="237"/>
      <c r="BK393" s="237"/>
      <c r="BL393" s="237"/>
      <c r="BM393" s="237"/>
      <c r="BN393" s="237"/>
      <c r="BO393" s="237"/>
      <c r="BP393" s="237"/>
      <c r="BQ393" s="237"/>
      <c r="BR393" s="237"/>
      <c r="BS393" s="237"/>
      <c r="BT393" s="237"/>
      <c r="BU393" s="237"/>
      <c r="BV393" s="237"/>
      <c r="BW393" s="237"/>
      <c r="BX393" s="237"/>
      <c r="BY393" s="237"/>
      <c r="BZ393" s="237"/>
      <c r="CA393" s="237"/>
      <c r="CB393" s="237"/>
      <c r="CC393" s="237"/>
      <c r="CD393" s="237"/>
      <c r="CE393" s="237"/>
      <c r="CF393" s="237"/>
      <c r="CG393" s="237"/>
      <c r="CH393" s="237"/>
      <c r="CI393" s="237"/>
      <c r="CJ393" s="237"/>
      <c r="CK393" s="237"/>
      <c r="CL393" s="237"/>
      <c r="CM393" s="237"/>
      <c r="CN393" s="237"/>
      <c r="CO393" s="237"/>
      <c r="CP393" s="237"/>
      <c r="CQ393" s="237"/>
      <c r="CR393" s="237"/>
      <c r="CS393" s="237"/>
      <c r="CT393" s="237"/>
      <c r="CU393" s="237"/>
      <c r="CV393" s="237"/>
      <c r="CW393" s="237"/>
      <c r="CX393" s="237"/>
      <c r="CY393" s="237"/>
      <c r="CZ393" s="237"/>
      <c r="DA393" s="237"/>
      <c r="DB393" s="237"/>
      <c r="DC393" s="237"/>
      <c r="DD393" s="237"/>
      <c r="DE393" s="237"/>
      <c r="DF393" s="237"/>
      <c r="DG393" s="237"/>
      <c r="DH393" s="237"/>
      <c r="DI393" s="237"/>
      <c r="DJ393" s="237"/>
      <c r="DK393" s="237"/>
      <c r="DL393" s="237"/>
      <c r="DM393" s="237"/>
      <c r="DN393" s="237"/>
      <c r="DO393" s="237"/>
      <c r="DP393" s="237"/>
      <c r="DQ393" s="237"/>
      <c r="DR393" s="237"/>
      <c r="DS393" s="237"/>
      <c r="DT393" s="237"/>
      <c r="DU393" s="237"/>
      <c r="DV393" s="237"/>
      <c r="DW393" s="237"/>
      <c r="DX393" s="237"/>
      <c r="DY393" s="237"/>
      <c r="DZ393" s="237"/>
      <c r="EA393" s="237"/>
      <c r="EB393" s="237"/>
      <c r="EC393" s="237"/>
      <c r="ED393" s="237"/>
      <c r="EE393" s="237"/>
      <c r="EF393" s="237"/>
      <c r="EG393" s="237"/>
      <c r="EH393" s="237"/>
      <c r="EI393" s="237"/>
      <c r="EJ393" s="237"/>
      <c r="EK393" s="237"/>
      <c r="EL393" s="237"/>
      <c r="EM393" s="237"/>
      <c r="EN393" s="237"/>
      <c r="EO393" s="237"/>
      <c r="EP393" s="237"/>
      <c r="EQ393" s="237"/>
      <c r="ER393" s="237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</row>
    <row r="394" customFormat="false" ht="15" hidden="false" customHeight="false" outlineLevel="2" collapsed="false">
      <c r="B394" s="47" t="s">
        <v>872</v>
      </c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237" t="n">
        <f aca="false">('⑫ Roll-out Plan'!G44-2025)*12+'⑫ Roll-out Plan'!F44</f>
        <v>100</v>
      </c>
      <c r="AD394" s="237"/>
      <c r="AE394" s="237"/>
      <c r="AF394" s="237"/>
      <c r="AG394" s="237"/>
      <c r="AH394" s="237"/>
      <c r="AI394" s="237"/>
      <c r="AJ394" s="237"/>
      <c r="AK394" s="237"/>
      <c r="AL394" s="237"/>
      <c r="AM394" s="237"/>
      <c r="AN394" s="237"/>
      <c r="AO394" s="237"/>
      <c r="AP394" s="237"/>
      <c r="AQ394" s="237"/>
      <c r="AR394" s="237"/>
      <c r="AS394" s="237"/>
      <c r="AT394" s="237"/>
      <c r="AU394" s="237"/>
      <c r="AV394" s="237"/>
      <c r="AW394" s="237"/>
      <c r="AX394" s="237"/>
      <c r="AY394" s="237"/>
      <c r="AZ394" s="237"/>
      <c r="BA394" s="237"/>
      <c r="BB394" s="237"/>
      <c r="BC394" s="237"/>
      <c r="BD394" s="237"/>
      <c r="BE394" s="237"/>
      <c r="BF394" s="237"/>
      <c r="BG394" s="237"/>
      <c r="BH394" s="237"/>
      <c r="BI394" s="237"/>
      <c r="BJ394" s="237"/>
      <c r="BK394" s="237"/>
      <c r="BL394" s="237"/>
      <c r="BM394" s="237"/>
      <c r="BN394" s="237"/>
      <c r="BO394" s="237"/>
      <c r="BP394" s="237"/>
      <c r="BQ394" s="237"/>
      <c r="BR394" s="237"/>
      <c r="BS394" s="237"/>
      <c r="BT394" s="237"/>
      <c r="BU394" s="237"/>
      <c r="BV394" s="237"/>
      <c r="BW394" s="237"/>
      <c r="BX394" s="237"/>
      <c r="BY394" s="237"/>
      <c r="BZ394" s="237"/>
      <c r="CA394" s="237"/>
      <c r="CB394" s="237"/>
      <c r="CC394" s="237"/>
      <c r="CD394" s="237"/>
      <c r="CE394" s="237"/>
      <c r="CF394" s="237"/>
      <c r="CG394" s="237"/>
      <c r="CH394" s="237"/>
      <c r="CI394" s="237"/>
      <c r="CJ394" s="237"/>
      <c r="CK394" s="237"/>
      <c r="CL394" s="237"/>
      <c r="CM394" s="237"/>
      <c r="CN394" s="237"/>
      <c r="CO394" s="237"/>
      <c r="CP394" s="237"/>
      <c r="CQ394" s="237"/>
      <c r="CR394" s="237"/>
      <c r="CS394" s="237"/>
      <c r="CT394" s="237"/>
      <c r="CU394" s="237"/>
      <c r="CV394" s="237"/>
      <c r="CW394" s="237"/>
      <c r="CX394" s="237"/>
      <c r="CY394" s="237"/>
      <c r="CZ394" s="237"/>
      <c r="DA394" s="237"/>
      <c r="DB394" s="237"/>
      <c r="DC394" s="237"/>
      <c r="DD394" s="237"/>
      <c r="DE394" s="237"/>
      <c r="DF394" s="237"/>
      <c r="DG394" s="237"/>
      <c r="DH394" s="237"/>
      <c r="DI394" s="237"/>
      <c r="DJ394" s="237"/>
      <c r="DK394" s="237"/>
      <c r="DL394" s="237"/>
      <c r="DM394" s="237"/>
      <c r="DN394" s="237"/>
      <c r="DO394" s="237"/>
      <c r="DP394" s="237"/>
      <c r="DQ394" s="237"/>
      <c r="DR394" s="237"/>
      <c r="DS394" s="237"/>
      <c r="DT394" s="237"/>
      <c r="DU394" s="237"/>
      <c r="DV394" s="237"/>
      <c r="DW394" s="237"/>
      <c r="DX394" s="237"/>
      <c r="DY394" s="237"/>
      <c r="DZ394" s="237"/>
      <c r="EA394" s="237"/>
      <c r="EB394" s="237"/>
      <c r="EC394" s="237"/>
      <c r="ED394" s="237"/>
      <c r="EE394" s="237"/>
      <c r="EF394" s="237"/>
      <c r="EG394" s="237"/>
      <c r="EH394" s="237"/>
      <c r="EI394" s="237"/>
      <c r="EJ394" s="237"/>
      <c r="EK394" s="237"/>
      <c r="EL394" s="237"/>
      <c r="EM394" s="237"/>
      <c r="EN394" s="237"/>
      <c r="EO394" s="237"/>
      <c r="EP394" s="237"/>
      <c r="EQ394" s="237"/>
      <c r="ER394" s="237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</row>
    <row r="395" customFormat="false" ht="15" hidden="false" customHeight="false" outlineLevel="2" collapsed="false">
      <c r="B395" s="47" t="s">
        <v>873</v>
      </c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237" t="n">
        <f aca="false">VLOOKUP("B",$B$14:$C$18,2,FALSE())</f>
        <v>185</v>
      </c>
      <c r="AD395" s="237"/>
      <c r="AE395" s="237"/>
      <c r="AF395" s="237"/>
      <c r="AG395" s="237"/>
      <c r="AH395" s="237"/>
      <c r="AI395" s="237"/>
      <c r="AJ395" s="237"/>
      <c r="AK395" s="237"/>
      <c r="AL395" s="237"/>
      <c r="AM395" s="237"/>
      <c r="AN395" s="237"/>
      <c r="AO395" s="237"/>
      <c r="AP395" s="237"/>
      <c r="AQ395" s="237"/>
      <c r="AR395" s="237"/>
      <c r="AS395" s="237"/>
      <c r="AT395" s="237"/>
      <c r="AU395" s="237"/>
      <c r="AV395" s="237"/>
      <c r="AW395" s="237"/>
      <c r="AX395" s="237"/>
      <c r="AY395" s="237"/>
      <c r="AZ395" s="237"/>
      <c r="BA395" s="237"/>
      <c r="BB395" s="237"/>
      <c r="BC395" s="237"/>
      <c r="BD395" s="237"/>
      <c r="BE395" s="237"/>
      <c r="BF395" s="237"/>
      <c r="BG395" s="237"/>
      <c r="BH395" s="237"/>
      <c r="BI395" s="237"/>
      <c r="BJ395" s="237"/>
      <c r="BK395" s="237"/>
      <c r="BL395" s="237"/>
      <c r="BM395" s="237"/>
      <c r="BN395" s="237"/>
      <c r="BO395" s="237"/>
      <c r="BP395" s="237"/>
      <c r="BQ395" s="237"/>
      <c r="BR395" s="237"/>
      <c r="BS395" s="237"/>
      <c r="BT395" s="237"/>
      <c r="BU395" s="237"/>
      <c r="BV395" s="237"/>
      <c r="BW395" s="237"/>
      <c r="BX395" s="237"/>
      <c r="BY395" s="237"/>
      <c r="BZ395" s="237"/>
      <c r="CA395" s="237"/>
      <c r="CB395" s="237"/>
      <c r="CC395" s="237"/>
      <c r="CD395" s="237"/>
      <c r="CE395" s="237"/>
      <c r="CF395" s="237"/>
      <c r="CG395" s="237"/>
      <c r="CH395" s="237"/>
      <c r="CI395" s="237"/>
      <c r="CJ395" s="237"/>
      <c r="CK395" s="237"/>
      <c r="CL395" s="237"/>
      <c r="CM395" s="237"/>
      <c r="CN395" s="237"/>
      <c r="CO395" s="237"/>
      <c r="CP395" s="237"/>
      <c r="CQ395" s="237"/>
      <c r="CR395" s="237"/>
      <c r="CS395" s="237"/>
      <c r="CT395" s="237"/>
      <c r="CU395" s="237"/>
      <c r="CV395" s="237"/>
      <c r="CW395" s="237"/>
      <c r="CX395" s="237"/>
      <c r="CY395" s="237"/>
      <c r="CZ395" s="237"/>
      <c r="DA395" s="237"/>
      <c r="DB395" s="237"/>
      <c r="DC395" s="237"/>
      <c r="DD395" s="237"/>
      <c r="DE395" s="237"/>
      <c r="DF395" s="237"/>
      <c r="DG395" s="237"/>
      <c r="DH395" s="237"/>
      <c r="DI395" s="237"/>
      <c r="DJ395" s="237"/>
      <c r="DK395" s="237"/>
      <c r="DL395" s="237"/>
      <c r="DM395" s="237"/>
      <c r="DN395" s="237"/>
      <c r="DO395" s="237"/>
      <c r="DP395" s="237"/>
      <c r="DQ395" s="237"/>
      <c r="DR395" s="237"/>
      <c r="DS395" s="237"/>
      <c r="DT395" s="237"/>
      <c r="DU395" s="237"/>
      <c r="DV395" s="237"/>
      <c r="DW395" s="237"/>
      <c r="DX395" s="237"/>
      <c r="DY395" s="237"/>
      <c r="DZ395" s="237"/>
      <c r="EA395" s="237"/>
      <c r="EB395" s="237"/>
      <c r="EC395" s="237"/>
      <c r="ED395" s="237"/>
      <c r="EE395" s="237"/>
      <c r="EF395" s="237"/>
      <c r="EG395" s="237"/>
      <c r="EH395" s="237"/>
      <c r="EI395" s="237"/>
      <c r="EJ395" s="237"/>
      <c r="EK395" s="237"/>
      <c r="EL395" s="237"/>
      <c r="EM395" s="237"/>
      <c r="EN395" s="237"/>
      <c r="EO395" s="237"/>
      <c r="EP395" s="237"/>
      <c r="EQ395" s="237"/>
      <c r="ER395" s="237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</row>
    <row r="396" customFormat="false" ht="15" hidden="false" customHeight="false" outlineLevel="2" collapsed="false">
      <c r="B396" s="47" t="s">
        <v>799</v>
      </c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237" t="n">
        <f aca="false">IF(AC$35&gt;=$AC$394,AC$35-$AC$394+1,0)</f>
        <v>0</v>
      </c>
      <c r="AD396" s="237" t="n">
        <f aca="false">IF(AD$35&gt;=$AC$394,AD$35-$AC$394+1,0)</f>
        <v>0</v>
      </c>
      <c r="AE396" s="237" t="n">
        <f aca="false">IF(AE$35&gt;=$AC$394,AE$35-$AC$394+1,0)</f>
        <v>0</v>
      </c>
      <c r="AF396" s="237" t="n">
        <f aca="false">IF(AF$35&gt;=$AC$394,AF$35-$AC$394+1,0)</f>
        <v>0</v>
      </c>
      <c r="AG396" s="237" t="n">
        <f aca="false">IF(AG$35&gt;=$AC$394,AG$35-$AC$394+1,0)</f>
        <v>0</v>
      </c>
      <c r="AH396" s="237" t="n">
        <f aca="false">IF(AH$35&gt;=$AC$394,AH$35-$AC$394+1,0)</f>
        <v>0</v>
      </c>
      <c r="AI396" s="237" t="n">
        <f aca="false">IF(AI$35&gt;=$AC$394,AI$35-$AC$394+1,0)</f>
        <v>0</v>
      </c>
      <c r="AJ396" s="237" t="n">
        <f aca="false">IF(AJ$35&gt;=$AC$394,AJ$35-$AC$394+1,0)</f>
        <v>0</v>
      </c>
      <c r="AK396" s="237" t="n">
        <f aca="false">IF(AK$35&gt;=$AC$394,AK$35-$AC$394+1,0)</f>
        <v>0</v>
      </c>
      <c r="AL396" s="237" t="n">
        <f aca="false">IF(AL$35&gt;=$AC$394,AL$35-$AC$394+1,0)</f>
        <v>0</v>
      </c>
      <c r="AM396" s="237" t="n">
        <f aca="false">IF(AM$35&gt;=$AC$394,AM$35-$AC$394+1,0)</f>
        <v>0</v>
      </c>
      <c r="AN396" s="237" t="n">
        <f aca="false">IF(AN$35&gt;=$AC$394,AN$35-$AC$394+1,0)</f>
        <v>0</v>
      </c>
      <c r="AO396" s="237" t="n">
        <f aca="false">IF(AO$35&gt;=$AC$394,AO$35-$AC$394+1,0)</f>
        <v>0</v>
      </c>
      <c r="AP396" s="237" t="n">
        <f aca="false">IF(AP$35&gt;=$AC$394,AP$35-$AC$394+1,0)</f>
        <v>0</v>
      </c>
      <c r="AQ396" s="237" t="n">
        <f aca="false">IF(AQ$35&gt;=$AC$394,AQ$35-$AC$394+1,0)</f>
        <v>0</v>
      </c>
      <c r="AR396" s="237" t="n">
        <f aca="false">IF(AR$35&gt;=$AC$394,AR$35-$AC$394+1,0)</f>
        <v>0</v>
      </c>
      <c r="AS396" s="237" t="n">
        <f aca="false">IF(AS$35&gt;=$AC$394,AS$35-$AC$394+1,0)</f>
        <v>0</v>
      </c>
      <c r="AT396" s="237" t="n">
        <f aca="false">IF(AT$35&gt;=$AC$394,AT$35-$AC$394+1,0)</f>
        <v>0</v>
      </c>
      <c r="AU396" s="237" t="n">
        <f aca="false">IF(AU$35&gt;=$AC$394,AU$35-$AC$394+1,0)</f>
        <v>0</v>
      </c>
      <c r="AV396" s="237" t="n">
        <f aca="false">IF(AV$35&gt;=$AC$394,AV$35-$AC$394+1,0)</f>
        <v>0</v>
      </c>
      <c r="AW396" s="237" t="n">
        <f aca="false">IF(AW$35&gt;=$AC$394,AW$35-$AC$394+1,0)</f>
        <v>0</v>
      </c>
      <c r="AX396" s="237" t="n">
        <f aca="false">IF(AX$35&gt;=$AC$394,AX$35-$AC$394+1,0)</f>
        <v>0</v>
      </c>
      <c r="AY396" s="237" t="n">
        <f aca="false">IF(AY$35&gt;=$AC$394,AY$35-$AC$394+1,0)</f>
        <v>0</v>
      </c>
      <c r="AZ396" s="237" t="n">
        <f aca="false">IF(AZ$35&gt;=$AC$394,AZ$35-$AC$394+1,0)</f>
        <v>0</v>
      </c>
      <c r="BA396" s="237" t="n">
        <f aca="false">IF(BA$35&gt;=$AC$394,BA$35-$AC$394+1,0)</f>
        <v>0</v>
      </c>
      <c r="BB396" s="237" t="n">
        <f aca="false">IF(BB$35&gt;=$AC$394,BB$35-$AC$394+1,0)</f>
        <v>0</v>
      </c>
      <c r="BC396" s="237" t="n">
        <f aca="false">IF(BC$35&gt;=$AC$394,BC$35-$AC$394+1,0)</f>
        <v>0</v>
      </c>
      <c r="BD396" s="237" t="n">
        <f aca="false">IF(BD$35&gt;=$AC$394,BD$35-$AC$394+1,0)</f>
        <v>0</v>
      </c>
      <c r="BE396" s="237" t="n">
        <f aca="false">IF(BE$35&gt;=$AC$394,BE$35-$AC$394+1,0)</f>
        <v>0</v>
      </c>
      <c r="BF396" s="237" t="n">
        <f aca="false">IF(BF$35&gt;=$AC$394,BF$35-$AC$394+1,0)</f>
        <v>0</v>
      </c>
      <c r="BG396" s="237" t="n">
        <f aca="false">IF(BG$35&gt;=$AC$394,BG$35-$AC$394+1,0)</f>
        <v>0</v>
      </c>
      <c r="BH396" s="237" t="n">
        <f aca="false">IF(BH$35&gt;=$AC$394,BH$35-$AC$394+1,0)</f>
        <v>0</v>
      </c>
      <c r="BI396" s="237" t="n">
        <f aca="false">IF(BI$35&gt;=$AC$394,BI$35-$AC$394+1,0)</f>
        <v>0</v>
      </c>
      <c r="BJ396" s="237" t="n">
        <f aca="false">IF(BJ$35&gt;=$AC$394,BJ$35-$AC$394+1,0)</f>
        <v>0</v>
      </c>
      <c r="BK396" s="237" t="n">
        <f aca="false">IF(BK$35&gt;=$AC$394,BK$35-$AC$394+1,0)</f>
        <v>0</v>
      </c>
      <c r="BL396" s="237" t="n">
        <f aca="false">IF(BL$35&gt;=$AC$394,BL$35-$AC$394+1,0)</f>
        <v>0</v>
      </c>
      <c r="BM396" s="237" t="n">
        <f aca="false">IF(BM$35&gt;=$AC$394,BM$35-$AC$394+1,0)</f>
        <v>0</v>
      </c>
      <c r="BN396" s="237" t="n">
        <f aca="false">IF(BN$35&gt;=$AC$394,BN$35-$AC$394+1,0)</f>
        <v>0</v>
      </c>
      <c r="BO396" s="237" t="n">
        <f aca="false">IF(BO$35&gt;=$AC$394,BO$35-$AC$394+1,0)</f>
        <v>0</v>
      </c>
      <c r="BP396" s="237" t="n">
        <f aca="false">IF(BP$35&gt;=$AC$394,BP$35-$AC$394+1,0)</f>
        <v>0</v>
      </c>
      <c r="BQ396" s="237" t="n">
        <f aca="false">IF(BQ$35&gt;=$AC$394,BQ$35-$AC$394+1,0)</f>
        <v>0</v>
      </c>
      <c r="BR396" s="237" t="n">
        <f aca="false">IF(BR$35&gt;=$AC$394,BR$35-$AC$394+1,0)</f>
        <v>0</v>
      </c>
      <c r="BS396" s="237" t="n">
        <f aca="false">IF(BS$35&gt;=$AC$394,BS$35-$AC$394+1,0)</f>
        <v>0</v>
      </c>
      <c r="BT396" s="237" t="n">
        <f aca="false">IF(BT$35&gt;=$AC$394,BT$35-$AC$394+1,0)</f>
        <v>0</v>
      </c>
      <c r="BU396" s="237" t="n">
        <f aca="false">IF(BU$35&gt;=$AC$394,BU$35-$AC$394+1,0)</f>
        <v>0</v>
      </c>
      <c r="BV396" s="237" t="n">
        <f aca="false">IF(BV$35&gt;=$AC$394,BV$35-$AC$394+1,0)</f>
        <v>0</v>
      </c>
      <c r="BW396" s="237" t="n">
        <f aca="false">IF(BW$35&gt;=$AC$394,BW$35-$AC$394+1,0)</f>
        <v>0</v>
      </c>
      <c r="BX396" s="237" t="n">
        <f aca="false">IF(BX$35&gt;=$AC$394,BX$35-$AC$394+1,0)</f>
        <v>0</v>
      </c>
      <c r="BY396" s="237" t="n">
        <f aca="false">IF(BY$35&gt;=$AC$394,BY$35-$AC$394+1,0)</f>
        <v>0</v>
      </c>
      <c r="BZ396" s="237" t="n">
        <f aca="false">IF(BZ$35&gt;=$AC$394,BZ$35-$AC$394+1,0)</f>
        <v>0</v>
      </c>
      <c r="CA396" s="237" t="n">
        <f aca="false">IF(CA$35&gt;=$AC$394,CA$35-$AC$394+1,0)</f>
        <v>0</v>
      </c>
      <c r="CB396" s="237" t="n">
        <f aca="false">IF(CB$35&gt;=$AC$394,CB$35-$AC$394+1,0)</f>
        <v>0</v>
      </c>
      <c r="CC396" s="237" t="n">
        <f aca="false">IF(CC$35&gt;=$AC$394,CC$35-$AC$394+1,0)</f>
        <v>0</v>
      </c>
      <c r="CD396" s="237" t="n">
        <f aca="false">IF(CD$35&gt;=$AC$394,CD$35-$AC$394+1,0)</f>
        <v>0</v>
      </c>
      <c r="CE396" s="237" t="n">
        <f aca="false">IF(CE$35&gt;=$AC$394,CE$35-$AC$394+1,0)</f>
        <v>0</v>
      </c>
      <c r="CF396" s="237" t="n">
        <f aca="false">IF(CF$35&gt;=$AC$394,CF$35-$AC$394+1,0)</f>
        <v>0</v>
      </c>
      <c r="CG396" s="237" t="n">
        <f aca="false">IF(CG$35&gt;=$AC$394,CG$35-$AC$394+1,0)</f>
        <v>0</v>
      </c>
      <c r="CH396" s="237" t="n">
        <f aca="false">IF(CH$35&gt;=$AC$394,CH$35-$AC$394+1,0)</f>
        <v>0</v>
      </c>
      <c r="CI396" s="237" t="n">
        <f aca="false">IF(CI$35&gt;=$AC$394,CI$35-$AC$394+1,0)</f>
        <v>0</v>
      </c>
      <c r="CJ396" s="237" t="n">
        <f aca="false">IF(CJ$35&gt;=$AC$394,CJ$35-$AC$394+1,0)</f>
        <v>0</v>
      </c>
      <c r="CK396" s="237" t="n">
        <f aca="false">IF(CK$35&gt;=$AC$394,CK$35-$AC$394+1,0)</f>
        <v>0</v>
      </c>
      <c r="CL396" s="237" t="n">
        <f aca="false">IF(CL$35&gt;=$AC$394,CL$35-$AC$394+1,0)</f>
        <v>0</v>
      </c>
      <c r="CM396" s="237" t="n">
        <f aca="false">IF(CM$35&gt;=$AC$394,CM$35-$AC$394+1,0)</f>
        <v>0</v>
      </c>
      <c r="CN396" s="237" t="n">
        <f aca="false">IF(CN$35&gt;=$AC$394,CN$35-$AC$394+1,0)</f>
        <v>0</v>
      </c>
      <c r="CO396" s="237" t="n">
        <f aca="false">IF(CO$35&gt;=$AC$394,CO$35-$AC$394+1,0)</f>
        <v>0</v>
      </c>
      <c r="CP396" s="237" t="n">
        <f aca="false">IF(CP$35&gt;=$AC$394,CP$35-$AC$394+1,0)</f>
        <v>0</v>
      </c>
      <c r="CQ396" s="237" t="n">
        <f aca="false">IF(CQ$35&gt;=$AC$394,CQ$35-$AC$394+1,0)</f>
        <v>0</v>
      </c>
      <c r="CR396" s="237" t="n">
        <f aca="false">IF(CR$35&gt;=$AC$394,CR$35-$AC$394+1,0)</f>
        <v>0</v>
      </c>
      <c r="CS396" s="237" t="n">
        <f aca="false">IF(CS$35&gt;=$AC$394,CS$35-$AC$394+1,0)</f>
        <v>0</v>
      </c>
      <c r="CT396" s="237" t="n">
        <f aca="false">IF(CT$35&gt;=$AC$394,CT$35-$AC$394+1,0)</f>
        <v>0</v>
      </c>
      <c r="CU396" s="237" t="n">
        <f aca="false">IF(CU$35&gt;=$AC$394,CU$35-$AC$394+1,0)</f>
        <v>0</v>
      </c>
      <c r="CV396" s="237" t="n">
        <f aca="false">IF(CV$35&gt;=$AC$394,CV$35-$AC$394+1,0)</f>
        <v>0</v>
      </c>
      <c r="CW396" s="237" t="n">
        <f aca="false">IF(CW$35&gt;=$AC$394,CW$35-$AC$394+1,0)</f>
        <v>0</v>
      </c>
      <c r="CX396" s="237" t="n">
        <f aca="false">IF(CX$35&gt;=$AC$394,CX$35-$AC$394+1,0)</f>
        <v>0</v>
      </c>
      <c r="CY396" s="237" t="n">
        <f aca="false">IF(CY$35&gt;=$AC$394,CY$35-$AC$394+1,0)</f>
        <v>0</v>
      </c>
      <c r="CZ396" s="237" t="n">
        <f aca="false">IF(CZ$35&gt;=$AC$394,CZ$35-$AC$394+1,0)</f>
        <v>0</v>
      </c>
      <c r="DA396" s="237" t="n">
        <f aca="false">IF(DA$35&gt;=$AC$394,DA$35-$AC$394+1,0)</f>
        <v>0</v>
      </c>
      <c r="DB396" s="237" t="n">
        <f aca="false">IF(DB$35&gt;=$AC$394,DB$35-$AC$394+1,0)</f>
        <v>0</v>
      </c>
      <c r="DC396" s="237" t="n">
        <f aca="false">IF(DC$35&gt;=$AC$394,DC$35-$AC$394+1,0)</f>
        <v>0</v>
      </c>
      <c r="DD396" s="237" t="n">
        <f aca="false">IF(DD$35&gt;=$AC$394,DD$35-$AC$394+1,0)</f>
        <v>0</v>
      </c>
      <c r="DE396" s="237" t="n">
        <f aca="false">IF(DE$35&gt;=$AC$394,DE$35-$AC$394+1,0)</f>
        <v>0</v>
      </c>
      <c r="DF396" s="237" t="n">
        <f aca="false">IF(DF$35&gt;=$AC$394,DF$35-$AC$394+1,0)</f>
        <v>0</v>
      </c>
      <c r="DG396" s="237" t="n">
        <f aca="false">IF(DG$35&gt;=$AC$394,DG$35-$AC$394+1,0)</f>
        <v>0</v>
      </c>
      <c r="DH396" s="237" t="n">
        <f aca="false">IF(DH$35&gt;=$AC$394,DH$35-$AC$394+1,0)</f>
        <v>0</v>
      </c>
      <c r="DI396" s="237" t="n">
        <f aca="false">IF(DI$35&gt;=$AC$394,DI$35-$AC$394+1,0)</f>
        <v>0</v>
      </c>
      <c r="DJ396" s="237" t="n">
        <f aca="false">IF(DJ$35&gt;=$AC$394,DJ$35-$AC$394+1,0)</f>
        <v>0</v>
      </c>
      <c r="DK396" s="237" t="n">
        <f aca="false">IF(DK$35&gt;=$AC$394,DK$35-$AC$394+1,0)</f>
        <v>0</v>
      </c>
      <c r="DL396" s="237" t="n">
        <f aca="false">IF(DL$35&gt;=$AC$394,DL$35-$AC$394+1,0)</f>
        <v>0</v>
      </c>
      <c r="DM396" s="237" t="n">
        <f aca="false">IF(DM$35&gt;=$AC$394,DM$35-$AC$394+1,0)</f>
        <v>0</v>
      </c>
      <c r="DN396" s="237" t="n">
        <f aca="false">IF(DN$35&gt;=$AC$394,DN$35-$AC$394+1,0)</f>
        <v>0</v>
      </c>
      <c r="DO396" s="237" t="n">
        <f aca="false">IF(DO$35&gt;=$AC$394,DO$35-$AC$394+1,0)</f>
        <v>0</v>
      </c>
      <c r="DP396" s="237" t="n">
        <f aca="false">IF(DP$35&gt;=$AC$394,DP$35-$AC$394+1,0)</f>
        <v>0</v>
      </c>
      <c r="DQ396" s="237" t="n">
        <f aca="false">IF(DQ$35&gt;=$AC$394,DQ$35-$AC$394+1,0)</f>
        <v>0</v>
      </c>
      <c r="DR396" s="237" t="n">
        <f aca="false">IF(DR$35&gt;=$AC$394,DR$35-$AC$394+1,0)</f>
        <v>0</v>
      </c>
      <c r="DS396" s="237" t="n">
        <f aca="false">IF(DS$35&gt;=$AC$394,DS$35-$AC$394+1,0)</f>
        <v>0</v>
      </c>
      <c r="DT396" s="237" t="n">
        <f aca="false">IF(DT$35&gt;=$AC$394,DT$35-$AC$394+1,0)</f>
        <v>0</v>
      </c>
      <c r="DU396" s="237" t="n">
        <f aca="false">IF(DU$35&gt;=$AC$394,DU$35-$AC$394+1,0)</f>
        <v>0</v>
      </c>
      <c r="DV396" s="237" t="n">
        <f aca="false">IF(DV$35&gt;=$AC$394,DV$35-$AC$394+1,0)</f>
        <v>0</v>
      </c>
      <c r="DW396" s="237" t="n">
        <f aca="false">IF(DW$35&gt;=$AC$394,DW$35-$AC$394+1,0)</f>
        <v>0</v>
      </c>
      <c r="DX396" s="237" t="n">
        <f aca="false">IF(DX$35&gt;=$AC$394,DX$35-$AC$394+1,0)</f>
        <v>1</v>
      </c>
      <c r="DY396" s="237" t="n">
        <f aca="false">IF(DY$35&gt;=$AC$394,DY$35-$AC$394+1,0)</f>
        <v>2</v>
      </c>
      <c r="DZ396" s="237" t="n">
        <f aca="false">IF(DZ$35&gt;=$AC$394,DZ$35-$AC$394+1,0)</f>
        <v>3</v>
      </c>
      <c r="EA396" s="237" t="n">
        <f aca="false">IF(EA$35&gt;=$AC$394,EA$35-$AC$394+1,0)</f>
        <v>4</v>
      </c>
      <c r="EB396" s="237" t="n">
        <f aca="false">IF(EB$35&gt;=$AC$394,EB$35-$AC$394+1,0)</f>
        <v>5</v>
      </c>
      <c r="EC396" s="237" t="n">
        <f aca="false">IF(EC$35&gt;=$AC$394,EC$35-$AC$394+1,0)</f>
        <v>6</v>
      </c>
      <c r="ED396" s="237" t="n">
        <f aca="false">IF(ED$35&gt;=$AC$394,ED$35-$AC$394+1,0)</f>
        <v>7</v>
      </c>
      <c r="EE396" s="237" t="n">
        <f aca="false">IF(EE$35&gt;=$AC$394,EE$35-$AC$394+1,0)</f>
        <v>8</v>
      </c>
      <c r="EF396" s="237" t="n">
        <f aca="false">IF(EF$35&gt;=$AC$394,EF$35-$AC$394+1,0)</f>
        <v>9</v>
      </c>
      <c r="EG396" s="237" t="n">
        <f aca="false">IF(EG$35&gt;=$AC$394,EG$35-$AC$394+1,0)</f>
        <v>10</v>
      </c>
      <c r="EH396" s="237" t="n">
        <f aca="false">IF(EH$35&gt;=$AC$394,EH$35-$AC$394+1,0)</f>
        <v>11</v>
      </c>
      <c r="EI396" s="237" t="n">
        <f aca="false">IF(EI$35&gt;=$AC$394,EI$35-$AC$394+1,0)</f>
        <v>12</v>
      </c>
      <c r="EJ396" s="237" t="n">
        <f aca="false">IF(EJ$35&gt;=$AC$394,EJ$35-$AC$394+1,0)</f>
        <v>13</v>
      </c>
      <c r="EK396" s="237" t="n">
        <f aca="false">IF(EK$35&gt;=$AC$394,EK$35-$AC$394+1,0)</f>
        <v>14</v>
      </c>
      <c r="EL396" s="237" t="n">
        <f aca="false">IF(EL$35&gt;=$AC$394,EL$35-$AC$394+1,0)</f>
        <v>15</v>
      </c>
      <c r="EM396" s="237" t="n">
        <f aca="false">IF(EM$35&gt;=$AC$394,EM$35-$AC$394+1,0)</f>
        <v>16</v>
      </c>
      <c r="EN396" s="237" t="n">
        <f aca="false">IF(EN$35&gt;=$AC$394,EN$35-$AC$394+1,0)</f>
        <v>17</v>
      </c>
      <c r="EO396" s="237" t="n">
        <f aca="false">IF(EO$35&gt;=$AC$394,EO$35-$AC$394+1,0)</f>
        <v>18</v>
      </c>
      <c r="EP396" s="237" t="n">
        <f aca="false">IF(EP$35&gt;=$AC$394,EP$35-$AC$394+1,0)</f>
        <v>19</v>
      </c>
      <c r="EQ396" s="237" t="n">
        <f aca="false">IF(EQ$35&gt;=$AC$394,EQ$35-$AC$394+1,0)</f>
        <v>20</v>
      </c>
      <c r="ER396" s="237" t="n">
        <f aca="false">IF(ER$35&gt;=$AC$394,ER$35-$AC$394+1,0)</f>
        <v>21</v>
      </c>
      <c r="ES396" s="9" t="n">
        <f aca="false">IF(ES$35&gt;=$AC$394,ES$35-$AC$394+1,0)</f>
        <v>22</v>
      </c>
      <c r="ET396" s="9" t="n">
        <f aca="false">IF(ET$35&gt;=$AC$394,ET$35-$AC$394+1,0)</f>
        <v>23</v>
      </c>
      <c r="EU396" s="9" t="n">
        <f aca="false">IF(EU$35&gt;=$AC$394,EU$35-$AC$394+1,0)</f>
        <v>24</v>
      </c>
      <c r="EV396" s="9" t="n">
        <f aca="false">IF(EV$35&gt;=$AC$394,EV$35-$AC$394+1,0)</f>
        <v>25</v>
      </c>
      <c r="EW396" s="9" t="n">
        <f aca="false">IF(EW$35&gt;=$AC$394,EW$35-$AC$394+1,0)</f>
        <v>26</v>
      </c>
      <c r="EX396" s="9" t="n">
        <f aca="false">IF(EX$35&gt;=$AC$394,EX$35-$AC$394+1,0)</f>
        <v>27</v>
      </c>
      <c r="EY396" s="9" t="n">
        <f aca="false">IF(EY$35&gt;=$AC$394,EY$35-$AC$394+1,0)</f>
        <v>28</v>
      </c>
      <c r="EZ396" s="9" t="n">
        <f aca="false">IF(EZ$35&gt;=$AC$394,EZ$35-$AC$394+1,0)</f>
        <v>29</v>
      </c>
      <c r="FA396" s="9" t="n">
        <f aca="false">IF(FA$35&gt;=$AC$394,FA$35-$AC$394+1,0)</f>
        <v>30</v>
      </c>
      <c r="FB396" s="9" t="n">
        <f aca="false">IF(FB$35&gt;=$AC$394,FB$35-$AC$394+1,0)</f>
        <v>31</v>
      </c>
      <c r="FC396" s="9" t="n">
        <f aca="false">IF(FC$35&gt;=$AC$394,FC$35-$AC$394+1,0)</f>
        <v>32</v>
      </c>
      <c r="FD396" s="9" t="n">
        <f aca="false">IF(FD$35&gt;=$AC$394,FD$35-$AC$394+1,0)</f>
        <v>33</v>
      </c>
      <c r="FE396" s="9" t="n">
        <f aca="false">IF(FE$35&gt;=$AC$394,FE$35-$AC$394+1,0)</f>
        <v>34</v>
      </c>
      <c r="FF396" s="9" t="n">
        <f aca="false">IF(FF$35&gt;=$AC$394,FF$35-$AC$394+1,0)</f>
        <v>35</v>
      </c>
      <c r="FG396" s="9" t="n">
        <f aca="false">IF(FG$35&gt;=$AC$394,FG$35-$AC$394+1,0)</f>
        <v>36</v>
      </c>
      <c r="FH396" s="9" t="n">
        <f aca="false">IF(FH$35&gt;=$AC$394,FH$35-$AC$394+1,0)</f>
        <v>37</v>
      </c>
      <c r="FI396" s="9" t="n">
        <f aca="false">IF(FI$35&gt;=$AC$394,FI$35-$AC$394+1,0)</f>
        <v>38</v>
      </c>
      <c r="FJ396" s="9" t="n">
        <f aca="false">IF(FJ$35&gt;=$AC$394,FJ$35-$AC$394+1,0)</f>
        <v>39</v>
      </c>
      <c r="FK396" s="9" t="n">
        <f aca="false">IF(FK$35&gt;=$AC$394,FK$35-$AC$394+1,0)</f>
        <v>40</v>
      </c>
      <c r="FL396" s="9" t="n">
        <f aca="false">IF(FL$35&gt;=$AC$394,FL$35-$AC$394+1,0)</f>
        <v>41</v>
      </c>
      <c r="FM396" s="9" t="n">
        <f aca="false">IF(FM$35&gt;=$AC$394,FM$35-$AC$394+1,0)</f>
        <v>42</v>
      </c>
      <c r="FN396" s="9" t="n">
        <f aca="false">IF(FN$35&gt;=$AC$394,FN$35-$AC$394+1,0)</f>
        <v>43</v>
      </c>
      <c r="FO396" s="9" t="n">
        <f aca="false">IF(FO$35&gt;=$AC$394,FO$35-$AC$394+1,0)</f>
        <v>44</v>
      </c>
      <c r="FP396" s="9" t="n">
        <f aca="false">IF(FP$35&gt;=$AC$394,FP$35-$AC$394+1,0)</f>
        <v>45</v>
      </c>
    </row>
    <row r="397" customFormat="false" ht="15" hidden="false" customHeight="false" outlineLevel="2" collapsed="false">
      <c r="B397" s="47" t="s">
        <v>874</v>
      </c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237" t="n">
        <f aca="false" t="array" ref="AC397:AC397">IF(AC396=0,0,IF(AC396/'🎚️ Escenario'!$C$11&gt;=36,$AL$23,INDEX($C$23:$AL$23,MAX(1,ROUNDUP(AC396/'🎚️ Escenario'!$C$11,0)))))</f>
        <v>0</v>
      </c>
      <c r="AD397" s="237" t="n">
        <f aca="false" t="array" ref="AD397:AD397">IF(AD396=0,0,IF(AD396/'🎚️ Escenario'!$C$11&gt;=36,$AL$23,INDEX($C$23:$AL$23,MAX(1,ROUNDUP(AD396/'🎚️ Escenario'!$C$11,0)))))</f>
        <v>0</v>
      </c>
      <c r="AE397" s="237" t="n">
        <f aca="false" t="array" ref="AE397:AE397">IF(AE396=0,0,IF(AE396/'🎚️ Escenario'!$C$11&gt;=36,$AL$23,INDEX($C$23:$AL$23,MAX(1,ROUNDUP(AE396/'🎚️ Escenario'!$C$11,0)))))</f>
        <v>0</v>
      </c>
      <c r="AF397" s="237" t="n">
        <f aca="false" t="array" ref="AF397:AF397">IF(AF396=0,0,IF(AF396/'🎚️ Escenario'!$C$11&gt;=36,$AL$23,INDEX($C$23:$AL$23,MAX(1,ROUNDUP(AF396/'🎚️ Escenario'!$C$11,0)))))</f>
        <v>0</v>
      </c>
      <c r="AG397" s="237" t="n">
        <f aca="false" t="array" ref="AG397:AG397">IF(AG396=0,0,IF(AG396/'🎚️ Escenario'!$C$11&gt;=36,$AL$23,INDEX($C$23:$AL$23,MAX(1,ROUNDUP(AG396/'🎚️ Escenario'!$C$11,0)))))</f>
        <v>0</v>
      </c>
      <c r="AH397" s="237" t="n">
        <f aca="false" t="array" ref="AH397:AH397">IF(AH396=0,0,IF(AH396/'🎚️ Escenario'!$C$11&gt;=36,$AL$23,INDEX($C$23:$AL$23,MAX(1,ROUNDUP(AH396/'🎚️ Escenario'!$C$11,0)))))</f>
        <v>0</v>
      </c>
      <c r="AI397" s="237" t="n">
        <f aca="false" t="array" ref="AI397:AI397">IF(AI396=0,0,IF(AI396/'🎚️ Escenario'!$C$11&gt;=36,$AL$23,INDEX($C$23:$AL$23,MAX(1,ROUNDUP(AI396/'🎚️ Escenario'!$C$11,0)))))</f>
        <v>0</v>
      </c>
      <c r="AJ397" s="237" t="n">
        <f aca="false" t="array" ref="AJ397:AJ397">IF(AJ396=0,0,IF(AJ396/'🎚️ Escenario'!$C$11&gt;=36,$AL$23,INDEX($C$23:$AL$23,MAX(1,ROUNDUP(AJ396/'🎚️ Escenario'!$C$11,0)))))</f>
        <v>0</v>
      </c>
      <c r="AK397" s="237" t="n">
        <f aca="false" t="array" ref="AK397:AK397">IF(AK396=0,0,IF(AK396/'🎚️ Escenario'!$C$11&gt;=36,$AL$23,INDEX($C$23:$AL$23,MAX(1,ROUNDUP(AK396/'🎚️ Escenario'!$C$11,0)))))</f>
        <v>0</v>
      </c>
      <c r="AL397" s="237" t="n">
        <f aca="false" t="array" ref="AL397:AL397">IF(AL396=0,0,IF(AL396/'🎚️ Escenario'!$C$11&gt;=36,$AL$23,INDEX($C$23:$AL$23,MAX(1,ROUNDUP(AL396/'🎚️ Escenario'!$C$11,0)))))</f>
        <v>0</v>
      </c>
      <c r="AM397" s="237" t="n">
        <f aca="false" t="array" ref="AM397:AM397">IF(AM396=0,0,IF(AM396/'🎚️ Escenario'!$C$11&gt;=36,$AL$23,INDEX($C$23:$AL$23,MAX(1,ROUNDUP(AM396/'🎚️ Escenario'!$C$11,0)))))</f>
        <v>0</v>
      </c>
      <c r="AN397" s="237" t="n">
        <f aca="false" t="array" ref="AN397:AN397">IF(AN396=0,0,IF(AN396/'🎚️ Escenario'!$C$11&gt;=36,$AL$23,INDEX($C$23:$AL$23,MAX(1,ROUNDUP(AN396/'🎚️ Escenario'!$C$11,0)))))</f>
        <v>0</v>
      </c>
      <c r="AO397" s="237" t="n">
        <f aca="false" t="array" ref="AO397:AO397">IF(AO396=0,0,IF(AO396/'🎚️ Escenario'!$C$11&gt;=36,$AL$23,INDEX($C$23:$AL$23,MAX(1,ROUNDUP(AO396/'🎚️ Escenario'!$C$11,0)))))</f>
        <v>0</v>
      </c>
      <c r="AP397" s="237" t="n">
        <f aca="false" t="array" ref="AP397:AP397">IF(AP396=0,0,IF(AP396/'🎚️ Escenario'!$C$11&gt;=36,$AL$23,INDEX($C$23:$AL$23,MAX(1,ROUNDUP(AP396/'🎚️ Escenario'!$C$11,0)))))</f>
        <v>0</v>
      </c>
      <c r="AQ397" s="237" t="n">
        <f aca="false" t="array" ref="AQ397:AQ397">IF(AQ396=0,0,IF(AQ396/'🎚️ Escenario'!$C$11&gt;=36,$AL$23,INDEX($C$23:$AL$23,MAX(1,ROUNDUP(AQ396/'🎚️ Escenario'!$C$11,0)))))</f>
        <v>0</v>
      </c>
      <c r="AR397" s="237" t="n">
        <f aca="false" t="array" ref="AR397:AR397">IF(AR396=0,0,IF(AR396/'🎚️ Escenario'!$C$11&gt;=36,$AL$23,INDEX($C$23:$AL$23,MAX(1,ROUNDUP(AR396/'🎚️ Escenario'!$C$11,0)))))</f>
        <v>0</v>
      </c>
      <c r="AS397" s="237" t="n">
        <f aca="false" t="array" ref="AS397:AS397">IF(AS396=0,0,IF(AS396/'🎚️ Escenario'!$C$11&gt;=36,$AL$23,INDEX($C$23:$AL$23,MAX(1,ROUNDUP(AS396/'🎚️ Escenario'!$C$11,0)))))</f>
        <v>0</v>
      </c>
      <c r="AT397" s="237" t="n">
        <f aca="false" t="array" ref="AT397:AT397">IF(AT396=0,0,IF(AT396/'🎚️ Escenario'!$C$11&gt;=36,$AL$23,INDEX($C$23:$AL$23,MAX(1,ROUNDUP(AT396/'🎚️ Escenario'!$C$11,0)))))</f>
        <v>0</v>
      </c>
      <c r="AU397" s="237" t="n">
        <f aca="false" t="array" ref="AU397:AU397">IF(AU396=0,0,IF(AU396/'🎚️ Escenario'!$C$11&gt;=36,$AL$23,INDEX($C$23:$AL$23,MAX(1,ROUNDUP(AU396/'🎚️ Escenario'!$C$11,0)))))</f>
        <v>0</v>
      </c>
      <c r="AV397" s="237" t="n">
        <f aca="false" t="array" ref="AV397:AV397">IF(AV396=0,0,IF(AV396/'🎚️ Escenario'!$C$11&gt;=36,$AL$23,INDEX($C$23:$AL$23,MAX(1,ROUNDUP(AV396/'🎚️ Escenario'!$C$11,0)))))</f>
        <v>0</v>
      </c>
      <c r="AW397" s="237" t="n">
        <f aca="false" t="array" ref="AW397:AW397">IF(AW396=0,0,IF(AW396/'🎚️ Escenario'!$C$11&gt;=36,$AL$23,INDEX($C$23:$AL$23,MAX(1,ROUNDUP(AW396/'🎚️ Escenario'!$C$11,0)))))</f>
        <v>0</v>
      </c>
      <c r="AX397" s="237" t="n">
        <f aca="false" t="array" ref="AX397:AX397">IF(AX396=0,0,IF(AX396/'🎚️ Escenario'!$C$11&gt;=36,$AL$23,INDEX($C$23:$AL$23,MAX(1,ROUNDUP(AX396/'🎚️ Escenario'!$C$11,0)))))</f>
        <v>0</v>
      </c>
      <c r="AY397" s="237" t="n">
        <f aca="false" t="array" ref="AY397:AY397">IF(AY396=0,0,IF(AY396/'🎚️ Escenario'!$C$11&gt;=36,$AL$23,INDEX($C$23:$AL$23,MAX(1,ROUNDUP(AY396/'🎚️ Escenario'!$C$11,0)))))</f>
        <v>0</v>
      </c>
      <c r="AZ397" s="237" t="n">
        <f aca="false" t="array" ref="AZ397:AZ397">IF(AZ396=0,0,IF(AZ396/'🎚️ Escenario'!$C$11&gt;=36,$AL$23,INDEX($C$23:$AL$23,MAX(1,ROUNDUP(AZ396/'🎚️ Escenario'!$C$11,0)))))</f>
        <v>0</v>
      </c>
      <c r="BA397" s="237" t="n">
        <f aca="false" t="array" ref="BA397:BA397">IF(BA396=0,0,IF(BA396/'🎚️ Escenario'!$C$11&gt;=36,$AL$23,INDEX($C$23:$AL$23,MAX(1,ROUNDUP(BA396/'🎚️ Escenario'!$C$11,0)))))</f>
        <v>0</v>
      </c>
      <c r="BB397" s="237" t="n">
        <f aca="false" t="array" ref="BB397:BB397">IF(BB396=0,0,IF(BB396/'🎚️ Escenario'!$C$11&gt;=36,$AL$23,INDEX($C$23:$AL$23,MAX(1,ROUNDUP(BB396/'🎚️ Escenario'!$C$11,0)))))</f>
        <v>0</v>
      </c>
      <c r="BC397" s="237" t="n">
        <f aca="false" t="array" ref="BC397:BC397">IF(BC396=0,0,IF(BC396/'🎚️ Escenario'!$C$11&gt;=36,$AL$23,INDEX($C$23:$AL$23,MAX(1,ROUNDUP(BC396/'🎚️ Escenario'!$C$11,0)))))</f>
        <v>0</v>
      </c>
      <c r="BD397" s="237" t="n">
        <f aca="false" t="array" ref="BD397:BD397">IF(BD396=0,0,IF(BD396/'🎚️ Escenario'!$C$11&gt;=36,$AL$23,INDEX($C$23:$AL$23,MAX(1,ROUNDUP(BD396/'🎚️ Escenario'!$C$11,0)))))</f>
        <v>0</v>
      </c>
      <c r="BE397" s="237" t="n">
        <f aca="false" t="array" ref="BE397:BE397">IF(BE396=0,0,IF(BE396/'🎚️ Escenario'!$C$11&gt;=36,$AL$23,INDEX($C$23:$AL$23,MAX(1,ROUNDUP(BE396/'🎚️ Escenario'!$C$11,0)))))</f>
        <v>0</v>
      </c>
      <c r="BF397" s="237" t="n">
        <f aca="false" t="array" ref="BF397:BF397">IF(BF396=0,0,IF(BF396/'🎚️ Escenario'!$C$11&gt;=36,$AL$23,INDEX($C$23:$AL$23,MAX(1,ROUNDUP(BF396/'🎚️ Escenario'!$C$11,0)))))</f>
        <v>0</v>
      </c>
      <c r="BG397" s="237" t="n">
        <f aca="false" t="array" ref="BG397:BG397">IF(BG396=0,0,IF(BG396/'🎚️ Escenario'!$C$11&gt;=36,$AL$23,INDEX($C$23:$AL$23,MAX(1,ROUNDUP(BG396/'🎚️ Escenario'!$C$11,0)))))</f>
        <v>0</v>
      </c>
      <c r="BH397" s="237" t="n">
        <f aca="false" t="array" ref="BH397:BH397">IF(BH396=0,0,IF(BH396/'🎚️ Escenario'!$C$11&gt;=36,$AL$23,INDEX($C$23:$AL$23,MAX(1,ROUNDUP(BH396/'🎚️ Escenario'!$C$11,0)))))</f>
        <v>0</v>
      </c>
      <c r="BI397" s="237" t="n">
        <f aca="false" t="array" ref="BI397:BI397">IF(BI396=0,0,IF(BI396/'🎚️ Escenario'!$C$11&gt;=36,$AL$23,INDEX($C$23:$AL$23,MAX(1,ROUNDUP(BI396/'🎚️ Escenario'!$C$11,0)))))</f>
        <v>0</v>
      </c>
      <c r="BJ397" s="237" t="n">
        <f aca="false" t="array" ref="BJ397:BJ397">IF(BJ396=0,0,IF(BJ396/'🎚️ Escenario'!$C$11&gt;=36,$AL$23,INDEX($C$23:$AL$23,MAX(1,ROUNDUP(BJ396/'🎚️ Escenario'!$C$11,0)))))</f>
        <v>0</v>
      </c>
      <c r="BK397" s="237" t="n">
        <f aca="false" t="array" ref="BK397:BK397">IF(BK396=0,0,IF(BK396/'🎚️ Escenario'!$C$11&gt;=36,$AL$23,INDEX($C$23:$AL$23,MAX(1,ROUNDUP(BK396/'🎚️ Escenario'!$C$11,0)))))</f>
        <v>0</v>
      </c>
      <c r="BL397" s="237" t="n">
        <f aca="false" t="array" ref="BL397:BL397">IF(BL396=0,0,IF(BL396/'🎚️ Escenario'!$C$11&gt;=36,$AL$23,INDEX($C$23:$AL$23,MAX(1,ROUNDUP(BL396/'🎚️ Escenario'!$C$11,0)))))</f>
        <v>0</v>
      </c>
      <c r="BM397" s="237" t="n">
        <f aca="false" t="array" ref="BM397:BM397">IF(BM396=0,0,IF(BM396/'🎚️ Escenario'!$C$11&gt;=36,$AL$23,INDEX($C$23:$AL$23,MAX(1,ROUNDUP(BM396/'🎚️ Escenario'!$C$11,0)))))</f>
        <v>0</v>
      </c>
      <c r="BN397" s="237" t="n">
        <f aca="false" t="array" ref="BN397:BN397">IF(BN396=0,0,IF(BN396/'🎚️ Escenario'!$C$11&gt;=36,$AL$23,INDEX($C$23:$AL$23,MAX(1,ROUNDUP(BN396/'🎚️ Escenario'!$C$11,0)))))</f>
        <v>0</v>
      </c>
      <c r="BO397" s="237" t="n">
        <f aca="false" t="array" ref="BO397:BO397">IF(BO396=0,0,IF(BO396/'🎚️ Escenario'!$C$11&gt;=36,$AL$23,INDEX($C$23:$AL$23,MAX(1,ROUNDUP(BO396/'🎚️ Escenario'!$C$11,0)))))</f>
        <v>0</v>
      </c>
      <c r="BP397" s="237" t="n">
        <f aca="false" t="array" ref="BP397:BP397">IF(BP396=0,0,IF(BP396/'🎚️ Escenario'!$C$11&gt;=36,$AL$23,INDEX($C$23:$AL$23,MAX(1,ROUNDUP(BP396/'🎚️ Escenario'!$C$11,0)))))</f>
        <v>0</v>
      </c>
      <c r="BQ397" s="237" t="n">
        <f aca="false" t="array" ref="BQ397:BQ397">IF(BQ396=0,0,IF(BQ396/'🎚️ Escenario'!$C$11&gt;=36,$AL$23,INDEX($C$23:$AL$23,MAX(1,ROUNDUP(BQ396/'🎚️ Escenario'!$C$11,0)))))</f>
        <v>0</v>
      </c>
      <c r="BR397" s="237" t="n">
        <f aca="false" t="array" ref="BR397:BR397">IF(BR396=0,0,IF(BR396/'🎚️ Escenario'!$C$11&gt;=36,$AL$23,INDEX($C$23:$AL$23,MAX(1,ROUNDUP(BR396/'🎚️ Escenario'!$C$11,0)))))</f>
        <v>0</v>
      </c>
      <c r="BS397" s="237" t="n">
        <f aca="false" t="array" ref="BS397:BS397">IF(BS396=0,0,IF(BS396/'🎚️ Escenario'!$C$11&gt;=36,$AL$23,INDEX($C$23:$AL$23,MAX(1,ROUNDUP(BS396/'🎚️ Escenario'!$C$11,0)))))</f>
        <v>0</v>
      </c>
      <c r="BT397" s="237" t="n">
        <f aca="false" t="array" ref="BT397:BT397">IF(BT396=0,0,IF(BT396/'🎚️ Escenario'!$C$11&gt;=36,$AL$23,INDEX($C$23:$AL$23,MAX(1,ROUNDUP(BT396/'🎚️ Escenario'!$C$11,0)))))</f>
        <v>0</v>
      </c>
      <c r="BU397" s="237" t="n">
        <f aca="false" t="array" ref="BU397:BU397">IF(BU396=0,0,IF(BU396/'🎚️ Escenario'!$C$11&gt;=36,$AL$23,INDEX($C$23:$AL$23,MAX(1,ROUNDUP(BU396/'🎚️ Escenario'!$C$11,0)))))</f>
        <v>0</v>
      </c>
      <c r="BV397" s="237" t="n">
        <f aca="false" t="array" ref="BV397:BV397">IF(BV396=0,0,IF(BV396/'🎚️ Escenario'!$C$11&gt;=36,$AL$23,INDEX($C$23:$AL$23,MAX(1,ROUNDUP(BV396/'🎚️ Escenario'!$C$11,0)))))</f>
        <v>0</v>
      </c>
      <c r="BW397" s="237" t="n">
        <f aca="false" t="array" ref="BW397:BW397">IF(BW396=0,0,IF(BW396/'🎚️ Escenario'!$C$11&gt;=36,$AL$23,INDEX($C$23:$AL$23,MAX(1,ROUNDUP(BW396/'🎚️ Escenario'!$C$11,0)))))</f>
        <v>0</v>
      </c>
      <c r="BX397" s="237" t="n">
        <f aca="false" t="array" ref="BX397:BX397">IF(BX396=0,0,IF(BX396/'🎚️ Escenario'!$C$11&gt;=36,$AL$23,INDEX($C$23:$AL$23,MAX(1,ROUNDUP(BX396/'🎚️ Escenario'!$C$11,0)))))</f>
        <v>0</v>
      </c>
      <c r="BY397" s="237" t="n">
        <f aca="false" t="array" ref="BY397:BY397">IF(BY396=0,0,IF(BY396/'🎚️ Escenario'!$C$11&gt;=36,$AL$23,INDEX($C$23:$AL$23,MAX(1,ROUNDUP(BY396/'🎚️ Escenario'!$C$11,0)))))</f>
        <v>0</v>
      </c>
      <c r="BZ397" s="237" t="n">
        <f aca="false" t="array" ref="BZ397:BZ397">IF(BZ396=0,0,IF(BZ396/'🎚️ Escenario'!$C$11&gt;=36,$AL$23,INDEX($C$23:$AL$23,MAX(1,ROUNDUP(BZ396/'🎚️ Escenario'!$C$11,0)))))</f>
        <v>0</v>
      </c>
      <c r="CA397" s="237" t="n">
        <f aca="false" t="array" ref="CA397:CA397">IF(CA396=0,0,IF(CA396/'🎚️ Escenario'!$C$11&gt;=36,$AL$23,INDEX($C$23:$AL$23,MAX(1,ROUNDUP(CA396/'🎚️ Escenario'!$C$11,0)))))</f>
        <v>0</v>
      </c>
      <c r="CB397" s="237" t="n">
        <f aca="false" t="array" ref="CB397:CB397">IF(CB396=0,0,IF(CB396/'🎚️ Escenario'!$C$11&gt;=36,$AL$23,INDEX($C$23:$AL$23,MAX(1,ROUNDUP(CB396/'🎚️ Escenario'!$C$11,0)))))</f>
        <v>0</v>
      </c>
      <c r="CC397" s="237" t="n">
        <f aca="false" t="array" ref="CC397:CC397">IF(CC396=0,0,IF(CC396/'🎚️ Escenario'!$C$11&gt;=36,$AL$23,INDEX($C$23:$AL$23,MAX(1,ROUNDUP(CC396/'🎚️ Escenario'!$C$11,0)))))</f>
        <v>0</v>
      </c>
      <c r="CD397" s="237" t="n">
        <f aca="false" t="array" ref="CD397:CD397">IF(CD396=0,0,IF(CD396/'🎚️ Escenario'!$C$11&gt;=36,$AL$23,INDEX($C$23:$AL$23,MAX(1,ROUNDUP(CD396/'🎚️ Escenario'!$C$11,0)))))</f>
        <v>0</v>
      </c>
      <c r="CE397" s="237" t="n">
        <f aca="false" t="array" ref="CE397:CE397">IF(CE396=0,0,IF(CE396/'🎚️ Escenario'!$C$11&gt;=36,$AL$23,INDEX($C$23:$AL$23,MAX(1,ROUNDUP(CE396/'🎚️ Escenario'!$C$11,0)))))</f>
        <v>0</v>
      </c>
      <c r="CF397" s="237" t="n">
        <f aca="false" t="array" ref="CF397:CF397">IF(CF396=0,0,IF(CF396/'🎚️ Escenario'!$C$11&gt;=36,$AL$23,INDEX($C$23:$AL$23,MAX(1,ROUNDUP(CF396/'🎚️ Escenario'!$C$11,0)))))</f>
        <v>0</v>
      </c>
      <c r="CG397" s="237" t="n">
        <f aca="false" t="array" ref="CG397:CG397">IF(CG396=0,0,IF(CG396/'🎚️ Escenario'!$C$11&gt;=36,$AL$23,INDEX($C$23:$AL$23,MAX(1,ROUNDUP(CG396/'🎚️ Escenario'!$C$11,0)))))</f>
        <v>0</v>
      </c>
      <c r="CH397" s="237" t="n">
        <f aca="false" t="array" ref="CH397:CH397">IF(CH396=0,0,IF(CH396/'🎚️ Escenario'!$C$11&gt;=36,$AL$23,INDEX($C$23:$AL$23,MAX(1,ROUNDUP(CH396/'🎚️ Escenario'!$C$11,0)))))</f>
        <v>0</v>
      </c>
      <c r="CI397" s="237" t="n">
        <f aca="false" t="array" ref="CI397:CI397">IF(CI396=0,0,IF(CI396/'🎚️ Escenario'!$C$11&gt;=36,$AL$23,INDEX($C$23:$AL$23,MAX(1,ROUNDUP(CI396/'🎚️ Escenario'!$C$11,0)))))</f>
        <v>0</v>
      </c>
      <c r="CJ397" s="237" t="n">
        <f aca="false" t="array" ref="CJ397:CJ397">IF(CJ396=0,0,IF(CJ396/'🎚️ Escenario'!$C$11&gt;=36,$AL$23,INDEX($C$23:$AL$23,MAX(1,ROUNDUP(CJ396/'🎚️ Escenario'!$C$11,0)))))</f>
        <v>0</v>
      </c>
      <c r="CK397" s="237" t="n">
        <f aca="false" t="array" ref="CK397:CK397">IF(CK396=0,0,IF(CK396/'🎚️ Escenario'!$C$11&gt;=36,$AL$23,INDEX($C$23:$AL$23,MAX(1,ROUNDUP(CK396/'🎚️ Escenario'!$C$11,0)))))</f>
        <v>0</v>
      </c>
      <c r="CL397" s="237" t="n">
        <f aca="false" t="array" ref="CL397:CL397">IF(CL396=0,0,IF(CL396/'🎚️ Escenario'!$C$11&gt;=36,$AL$23,INDEX($C$23:$AL$23,MAX(1,ROUNDUP(CL396/'🎚️ Escenario'!$C$11,0)))))</f>
        <v>0</v>
      </c>
      <c r="CM397" s="237" t="n">
        <f aca="false" t="array" ref="CM397:CM397">IF(CM396=0,0,IF(CM396/'🎚️ Escenario'!$C$11&gt;=36,$AL$23,INDEX($C$23:$AL$23,MAX(1,ROUNDUP(CM396/'🎚️ Escenario'!$C$11,0)))))</f>
        <v>0</v>
      </c>
      <c r="CN397" s="237" t="n">
        <f aca="false" t="array" ref="CN397:CN397">IF(CN396=0,0,IF(CN396/'🎚️ Escenario'!$C$11&gt;=36,$AL$23,INDEX($C$23:$AL$23,MAX(1,ROUNDUP(CN396/'🎚️ Escenario'!$C$11,0)))))</f>
        <v>0</v>
      </c>
      <c r="CO397" s="237" t="n">
        <f aca="false" t="array" ref="CO397:CO397">IF(CO396=0,0,IF(CO396/'🎚️ Escenario'!$C$11&gt;=36,$AL$23,INDEX($C$23:$AL$23,MAX(1,ROUNDUP(CO396/'🎚️ Escenario'!$C$11,0)))))</f>
        <v>0</v>
      </c>
      <c r="CP397" s="237" t="n">
        <f aca="false" t="array" ref="CP397:CP397">IF(CP396=0,0,IF(CP396/'🎚️ Escenario'!$C$11&gt;=36,$AL$23,INDEX($C$23:$AL$23,MAX(1,ROUNDUP(CP396/'🎚️ Escenario'!$C$11,0)))))</f>
        <v>0</v>
      </c>
      <c r="CQ397" s="237" t="n">
        <f aca="false" t="array" ref="CQ397:CQ397">IF(CQ396=0,0,IF(CQ396/'🎚️ Escenario'!$C$11&gt;=36,$AL$23,INDEX($C$23:$AL$23,MAX(1,ROUNDUP(CQ396/'🎚️ Escenario'!$C$11,0)))))</f>
        <v>0</v>
      </c>
      <c r="CR397" s="237" t="n">
        <f aca="false" t="array" ref="CR397:CR397">IF(CR396=0,0,IF(CR396/'🎚️ Escenario'!$C$11&gt;=36,$AL$23,INDEX($C$23:$AL$23,MAX(1,ROUNDUP(CR396/'🎚️ Escenario'!$C$11,0)))))</f>
        <v>0</v>
      </c>
      <c r="CS397" s="237" t="n">
        <f aca="false" t="array" ref="CS397:CS397">IF(CS396=0,0,IF(CS396/'🎚️ Escenario'!$C$11&gt;=36,$AL$23,INDEX($C$23:$AL$23,MAX(1,ROUNDUP(CS396/'🎚️ Escenario'!$C$11,0)))))</f>
        <v>0</v>
      </c>
      <c r="CT397" s="237" t="n">
        <f aca="false" t="array" ref="CT397:CT397">IF(CT396=0,0,IF(CT396/'🎚️ Escenario'!$C$11&gt;=36,$AL$23,INDEX($C$23:$AL$23,MAX(1,ROUNDUP(CT396/'🎚️ Escenario'!$C$11,0)))))</f>
        <v>0</v>
      </c>
      <c r="CU397" s="237" t="n">
        <f aca="false" t="array" ref="CU397:CU397">IF(CU396=0,0,IF(CU396/'🎚️ Escenario'!$C$11&gt;=36,$AL$23,INDEX($C$23:$AL$23,MAX(1,ROUNDUP(CU396/'🎚️ Escenario'!$C$11,0)))))</f>
        <v>0</v>
      </c>
      <c r="CV397" s="237" t="n">
        <f aca="false" t="array" ref="CV397:CV397">IF(CV396=0,0,IF(CV396/'🎚️ Escenario'!$C$11&gt;=36,$AL$23,INDEX($C$23:$AL$23,MAX(1,ROUNDUP(CV396/'🎚️ Escenario'!$C$11,0)))))</f>
        <v>0</v>
      </c>
      <c r="CW397" s="237" t="n">
        <f aca="false" t="array" ref="CW397:CW397">IF(CW396=0,0,IF(CW396/'🎚️ Escenario'!$C$11&gt;=36,$AL$23,INDEX($C$23:$AL$23,MAX(1,ROUNDUP(CW396/'🎚️ Escenario'!$C$11,0)))))</f>
        <v>0</v>
      </c>
      <c r="CX397" s="237" t="n">
        <f aca="false" t="array" ref="CX397:CX397">IF(CX396=0,0,IF(CX396/'🎚️ Escenario'!$C$11&gt;=36,$AL$23,INDEX($C$23:$AL$23,MAX(1,ROUNDUP(CX396/'🎚️ Escenario'!$C$11,0)))))</f>
        <v>0</v>
      </c>
      <c r="CY397" s="237" t="n">
        <f aca="false" t="array" ref="CY397:CY397">IF(CY396=0,0,IF(CY396/'🎚️ Escenario'!$C$11&gt;=36,$AL$23,INDEX($C$23:$AL$23,MAX(1,ROUNDUP(CY396/'🎚️ Escenario'!$C$11,0)))))</f>
        <v>0</v>
      </c>
      <c r="CZ397" s="237" t="n">
        <f aca="false" t="array" ref="CZ397:CZ397">IF(CZ396=0,0,IF(CZ396/'🎚️ Escenario'!$C$11&gt;=36,$AL$23,INDEX($C$23:$AL$23,MAX(1,ROUNDUP(CZ396/'🎚️ Escenario'!$C$11,0)))))</f>
        <v>0</v>
      </c>
      <c r="DA397" s="237" t="n">
        <f aca="false" t="array" ref="DA397:DA397">IF(DA396=0,0,IF(DA396/'🎚️ Escenario'!$C$11&gt;=36,$AL$23,INDEX($C$23:$AL$23,MAX(1,ROUNDUP(DA396/'🎚️ Escenario'!$C$11,0)))))</f>
        <v>0</v>
      </c>
      <c r="DB397" s="237" t="n">
        <f aca="false" t="array" ref="DB397:DB397">IF(DB396=0,0,IF(DB396/'🎚️ Escenario'!$C$11&gt;=36,$AL$23,INDEX($C$23:$AL$23,MAX(1,ROUNDUP(DB396/'🎚️ Escenario'!$C$11,0)))))</f>
        <v>0</v>
      </c>
      <c r="DC397" s="237" t="n">
        <f aca="false" t="array" ref="DC397:DC397">IF(DC396=0,0,IF(DC396/'🎚️ Escenario'!$C$11&gt;=36,$AL$23,INDEX($C$23:$AL$23,MAX(1,ROUNDUP(DC396/'🎚️ Escenario'!$C$11,0)))))</f>
        <v>0</v>
      </c>
      <c r="DD397" s="237" t="n">
        <f aca="false" t="array" ref="DD397:DD397">IF(DD396=0,0,IF(DD396/'🎚️ Escenario'!$C$11&gt;=36,$AL$23,INDEX($C$23:$AL$23,MAX(1,ROUNDUP(DD396/'🎚️ Escenario'!$C$11,0)))))</f>
        <v>0</v>
      </c>
      <c r="DE397" s="237" t="n">
        <f aca="false" t="array" ref="DE397:DE397">IF(DE396=0,0,IF(DE396/'🎚️ Escenario'!$C$11&gt;=36,$AL$23,INDEX($C$23:$AL$23,MAX(1,ROUNDUP(DE396/'🎚️ Escenario'!$C$11,0)))))</f>
        <v>0</v>
      </c>
      <c r="DF397" s="237" t="n">
        <f aca="false" t="array" ref="DF397:DF397">IF(DF396=0,0,IF(DF396/'🎚️ Escenario'!$C$11&gt;=36,$AL$23,INDEX($C$23:$AL$23,MAX(1,ROUNDUP(DF396/'🎚️ Escenario'!$C$11,0)))))</f>
        <v>0</v>
      </c>
      <c r="DG397" s="237" t="n">
        <f aca="false" t="array" ref="DG397:DG397">IF(DG396=0,0,IF(DG396/'🎚️ Escenario'!$C$11&gt;=36,$AL$23,INDEX($C$23:$AL$23,MAX(1,ROUNDUP(DG396/'🎚️ Escenario'!$C$11,0)))))</f>
        <v>0</v>
      </c>
      <c r="DH397" s="237" t="n">
        <f aca="false" t="array" ref="DH397:DH397">IF(DH396=0,0,IF(DH396/'🎚️ Escenario'!$C$11&gt;=36,$AL$23,INDEX($C$23:$AL$23,MAX(1,ROUNDUP(DH396/'🎚️ Escenario'!$C$11,0)))))</f>
        <v>0</v>
      </c>
      <c r="DI397" s="237" t="n">
        <f aca="false" t="array" ref="DI397:DI397">IF(DI396=0,0,IF(DI396/'🎚️ Escenario'!$C$11&gt;=36,$AL$23,INDEX($C$23:$AL$23,MAX(1,ROUNDUP(DI396/'🎚️ Escenario'!$C$11,0)))))</f>
        <v>0</v>
      </c>
      <c r="DJ397" s="237" t="n">
        <f aca="false" t="array" ref="DJ397:DJ397">IF(DJ396=0,0,IF(DJ396/'🎚️ Escenario'!$C$11&gt;=36,$AL$23,INDEX($C$23:$AL$23,MAX(1,ROUNDUP(DJ396/'🎚️ Escenario'!$C$11,0)))))</f>
        <v>0</v>
      </c>
      <c r="DK397" s="237" t="n">
        <f aca="false" t="array" ref="DK397:DK397">IF(DK396=0,0,IF(DK396/'🎚️ Escenario'!$C$11&gt;=36,$AL$23,INDEX($C$23:$AL$23,MAX(1,ROUNDUP(DK396/'🎚️ Escenario'!$C$11,0)))))</f>
        <v>0</v>
      </c>
      <c r="DL397" s="237" t="n">
        <f aca="false" t="array" ref="DL397:DL397">IF(DL396=0,0,IF(DL396/'🎚️ Escenario'!$C$11&gt;=36,$AL$23,INDEX($C$23:$AL$23,MAX(1,ROUNDUP(DL396/'🎚️ Escenario'!$C$11,0)))))</f>
        <v>0</v>
      </c>
      <c r="DM397" s="237" t="n">
        <f aca="false" t="array" ref="DM397:DM397">IF(DM396=0,0,IF(DM396/'🎚️ Escenario'!$C$11&gt;=36,$AL$23,INDEX($C$23:$AL$23,MAX(1,ROUNDUP(DM396/'🎚️ Escenario'!$C$11,0)))))</f>
        <v>0</v>
      </c>
      <c r="DN397" s="237" t="n">
        <f aca="false" t="array" ref="DN397:DN397">IF(DN396=0,0,IF(DN396/'🎚️ Escenario'!$C$11&gt;=36,$AL$23,INDEX($C$23:$AL$23,MAX(1,ROUNDUP(DN396/'🎚️ Escenario'!$C$11,0)))))</f>
        <v>0</v>
      </c>
      <c r="DO397" s="237" t="n">
        <f aca="false" t="array" ref="DO397:DO397">IF(DO396=0,0,IF(DO396/'🎚️ Escenario'!$C$11&gt;=36,$AL$23,INDEX($C$23:$AL$23,MAX(1,ROUNDUP(DO396/'🎚️ Escenario'!$C$11,0)))))</f>
        <v>0</v>
      </c>
      <c r="DP397" s="237" t="n">
        <f aca="false" t="array" ref="DP397:DP397">IF(DP396=0,0,IF(DP396/'🎚️ Escenario'!$C$11&gt;=36,$AL$23,INDEX($C$23:$AL$23,MAX(1,ROUNDUP(DP396/'🎚️ Escenario'!$C$11,0)))))</f>
        <v>0</v>
      </c>
      <c r="DQ397" s="237" t="n">
        <f aca="false" t="array" ref="DQ397:DQ397">IF(DQ396=0,0,IF(DQ396/'🎚️ Escenario'!$C$11&gt;=36,$AL$23,INDEX($C$23:$AL$23,MAX(1,ROUNDUP(DQ396/'🎚️ Escenario'!$C$11,0)))))</f>
        <v>0</v>
      </c>
      <c r="DR397" s="237" t="n">
        <f aca="false" t="array" ref="DR397:DR397">IF(DR396=0,0,IF(DR396/'🎚️ Escenario'!$C$11&gt;=36,$AL$23,INDEX($C$23:$AL$23,MAX(1,ROUNDUP(DR396/'🎚️ Escenario'!$C$11,0)))))</f>
        <v>0</v>
      </c>
      <c r="DS397" s="237" t="n">
        <f aca="false" t="array" ref="DS397:DS397">IF(DS396=0,0,IF(DS396/'🎚️ Escenario'!$C$11&gt;=36,$AL$23,INDEX($C$23:$AL$23,MAX(1,ROUNDUP(DS396/'🎚️ Escenario'!$C$11,0)))))</f>
        <v>0</v>
      </c>
      <c r="DT397" s="237" t="n">
        <f aca="false" t="array" ref="DT397:DT397">IF(DT396=0,0,IF(DT396/'🎚️ Escenario'!$C$11&gt;=36,$AL$23,INDEX($C$23:$AL$23,MAX(1,ROUNDUP(DT396/'🎚️ Escenario'!$C$11,0)))))</f>
        <v>0</v>
      </c>
      <c r="DU397" s="237" t="n">
        <f aca="false" t="array" ref="DU397:DU397">IF(DU396=0,0,IF(DU396/'🎚️ Escenario'!$C$11&gt;=36,$AL$23,INDEX($C$23:$AL$23,MAX(1,ROUNDUP(DU396/'🎚️ Escenario'!$C$11,0)))))</f>
        <v>0</v>
      </c>
      <c r="DV397" s="237" t="n">
        <f aca="false" t="array" ref="DV397:DV397">IF(DV396=0,0,IF(DV396/'🎚️ Escenario'!$C$11&gt;=36,$AL$23,INDEX($C$23:$AL$23,MAX(1,ROUNDUP(DV396/'🎚️ Escenario'!$C$11,0)))))</f>
        <v>0</v>
      </c>
      <c r="DW397" s="237" t="n">
        <f aca="false" t="array" ref="DW397:DW397">IF(DW396=0,0,IF(DW396/'🎚️ Escenario'!$C$11&gt;=36,$AL$23,INDEX($C$23:$AL$23,MAX(1,ROUNDUP(DW396/'🎚️ Escenario'!$C$11,0)))))</f>
        <v>0</v>
      </c>
      <c r="DX397" s="237" t="n">
        <f aca="false" t="array" ref="DX397:DX397">IF(DX396=0,0,IF(DX396/'🎚️ Escenario'!$C$11&gt;=36,$AL$23,INDEX($C$23:$AL$23,MAX(1,ROUNDUP(DX396/'🎚️ Escenario'!$C$11,0)))))</f>
        <v>0.2</v>
      </c>
      <c r="DY397" s="237" t="n">
        <f aca="false" t="array" ref="DY397:DY397">IF(DY396=0,0,IF(DY396/'🎚️ Escenario'!$C$11&gt;=36,$AL$23,INDEX($C$23:$AL$23,MAX(1,ROUNDUP(DY396/'🎚️ Escenario'!$C$11,0)))))</f>
        <v>0.22</v>
      </c>
      <c r="DZ397" s="237" t="n">
        <f aca="false" t="array" ref="DZ397:DZ397">IF(DZ396=0,0,IF(DZ396/'🎚️ Escenario'!$C$11&gt;=36,$AL$23,INDEX($C$23:$AL$23,MAX(1,ROUNDUP(DZ396/'🎚️ Escenario'!$C$11,0)))))</f>
        <v>0.24</v>
      </c>
      <c r="EA397" s="237" t="n">
        <f aca="false" t="array" ref="EA397:EA397">IF(EA396=0,0,IF(EA396/'🎚️ Escenario'!$C$11&gt;=36,$AL$23,INDEX($C$23:$AL$23,MAX(1,ROUNDUP(EA396/'🎚️ Escenario'!$C$11,0)))))</f>
        <v>0.27</v>
      </c>
      <c r="EB397" s="237" t="n">
        <f aca="false" t="array" ref="EB397:EB397">IF(EB396=0,0,IF(EB396/'🎚️ Escenario'!$C$11&gt;=36,$AL$23,INDEX($C$23:$AL$23,MAX(1,ROUNDUP(EB396/'🎚️ Escenario'!$C$11,0)))))</f>
        <v>0.27</v>
      </c>
      <c r="EC397" s="237" t="n">
        <f aca="false" t="array" ref="EC397:EC397">IF(EC396=0,0,IF(EC396/'🎚️ Escenario'!$C$11&gt;=36,$AL$23,INDEX($C$23:$AL$23,MAX(1,ROUNDUP(EC396/'🎚️ Escenario'!$C$11,0)))))</f>
        <v>0.31</v>
      </c>
      <c r="ED397" s="237" t="n">
        <f aca="false" t="array" ref="ED397:ED397">IF(ED396=0,0,IF(ED396/'🎚️ Escenario'!$C$11&gt;=36,$AL$23,INDEX($C$23:$AL$23,MAX(1,ROUNDUP(ED396/'🎚️ Escenario'!$C$11,0)))))</f>
        <v>0.35</v>
      </c>
      <c r="EE397" s="237" t="n">
        <f aca="false" t="array" ref="EE397:EE397">IF(EE396=0,0,IF(EE396/'🎚️ Escenario'!$C$11&gt;=36,$AL$23,INDEX($C$23:$AL$23,MAX(1,ROUNDUP(EE396/'🎚️ Escenario'!$C$11,0)))))</f>
        <v>0.39</v>
      </c>
      <c r="EF397" s="237" t="n">
        <f aca="false" t="array" ref="EF397:EF397">IF(EF396=0,0,IF(EF396/'🎚️ Escenario'!$C$11&gt;=36,$AL$23,INDEX($C$23:$AL$23,MAX(1,ROUNDUP(EF396/'🎚️ Escenario'!$C$11,0)))))</f>
        <v>0.44</v>
      </c>
      <c r="EG397" s="237" t="n">
        <f aca="false" t="array" ref="EG397:EG397">IF(EG396=0,0,IF(EG396/'🎚️ Escenario'!$C$11&gt;=36,$AL$23,INDEX($C$23:$AL$23,MAX(1,ROUNDUP(EG396/'🎚️ Escenario'!$C$11,0)))))</f>
        <v>0.44</v>
      </c>
      <c r="EH397" s="237" t="n">
        <f aca="false" t="array" ref="EH397:EH397">IF(EH396=0,0,IF(EH396/'🎚️ Escenario'!$C$11&gt;=36,$AL$23,INDEX($C$23:$AL$23,MAX(1,ROUNDUP(EH396/'🎚️ Escenario'!$C$11,0)))))</f>
        <v>0.48</v>
      </c>
      <c r="EI397" s="237" t="n">
        <f aca="false" t="array" ref="EI397:EI397">IF(EI396=0,0,IF(EI396/'🎚️ Escenario'!$C$11&gt;=36,$AL$23,INDEX($C$23:$AL$23,MAX(1,ROUNDUP(EI396/'🎚️ Escenario'!$C$11,0)))))</f>
        <v>0.52</v>
      </c>
      <c r="EJ397" s="237" t="n">
        <f aca="false" t="array" ref="EJ397:EJ397">IF(EJ396=0,0,IF(EJ396/'🎚️ Escenario'!$C$11&gt;=36,$AL$23,INDEX($C$23:$AL$23,MAX(1,ROUNDUP(EJ396/'🎚️ Escenario'!$C$11,0)))))</f>
        <v>0.56</v>
      </c>
      <c r="EK397" s="237" t="n">
        <f aca="false" t="array" ref="EK397:EK397">IF(EK396=0,0,IF(EK396/'🎚️ Escenario'!$C$11&gt;=36,$AL$23,INDEX($C$23:$AL$23,MAX(1,ROUNDUP(EK396/'🎚️ Escenario'!$C$11,0)))))</f>
        <v>0.6</v>
      </c>
      <c r="EL397" s="237" t="n">
        <f aca="false" t="array" ref="EL397:EL397">IF(EL396=0,0,IF(EL396/'🎚️ Escenario'!$C$11&gt;=36,$AL$23,INDEX($C$23:$AL$23,MAX(1,ROUNDUP(EL396/'🎚️ Escenario'!$C$11,0)))))</f>
        <v>0.6</v>
      </c>
      <c r="EM397" s="237" t="n">
        <f aca="false" t="array" ref="EM397:EM397">IF(EM396=0,0,IF(EM396/'🎚️ Escenario'!$C$11&gt;=36,$AL$23,INDEX($C$23:$AL$23,MAX(1,ROUNDUP(EM396/'🎚️ Escenario'!$C$11,0)))))</f>
        <v>0.63</v>
      </c>
      <c r="EN397" s="237" t="n">
        <f aca="false" t="array" ref="EN397:EN397">IF(EN396=0,0,IF(EN396/'🎚️ Escenario'!$C$11&gt;=36,$AL$23,INDEX($C$23:$AL$23,MAX(1,ROUNDUP(EN396/'🎚️ Escenario'!$C$11,0)))))</f>
        <v>0.66</v>
      </c>
      <c r="EO397" s="237" t="n">
        <f aca="false" t="array" ref="EO397:EO397">IF(EO396=0,0,IF(EO396/'🎚️ Escenario'!$C$11&gt;=36,$AL$23,INDEX($C$23:$AL$23,MAX(1,ROUNDUP(EO396/'🎚️ Escenario'!$C$11,0)))))</f>
        <v>0.69</v>
      </c>
      <c r="EP397" s="237" t="n">
        <f aca="false" t="array" ref="EP397:EP397">IF(EP396=0,0,IF(EP396/'🎚️ Escenario'!$C$11&gt;=36,$AL$23,INDEX($C$23:$AL$23,MAX(1,ROUNDUP(EP396/'🎚️ Escenario'!$C$11,0)))))</f>
        <v>0.71</v>
      </c>
      <c r="EQ397" s="237" t="n">
        <f aca="false" t="array" ref="EQ397:EQ397">IF(EQ396=0,0,IF(EQ396/'🎚️ Escenario'!$C$11&gt;=36,$AL$23,INDEX($C$23:$AL$23,MAX(1,ROUNDUP(EQ396/'🎚️ Escenario'!$C$11,0)))))</f>
        <v>0.71</v>
      </c>
      <c r="ER397" s="237" t="n">
        <f aca="false" t="array" ref="ER397:ER397">IF(ER396=0,0,IF(ER396/'🎚️ Escenario'!$C$11&gt;=36,$AL$23,INDEX($C$23:$AL$23,MAX(1,ROUNDUP(ER396/'🎚️ Escenario'!$C$11,0)))))</f>
        <v>0.73</v>
      </c>
      <c r="ES397" s="9" t="n">
        <f aca="false" t="array" ref="ES397:ES397">IF(ES396=0,0,IF(ES396/'🎚️ Escenario'!$C$11&gt;=36,$AL$23,INDEX($C$23:$AL$23,MAX(1,ROUNDUP(ES396/'🎚️ Escenario'!$C$11,0)))))</f>
        <v>0.75</v>
      </c>
      <c r="ET397" s="9" t="n">
        <f aca="false" t="array" ref="ET397:ET397">IF(ET396=0,0,IF(ET396/'🎚️ Escenario'!$C$11&gt;=36,$AL$23,INDEX($C$23:$AL$23,MAX(1,ROUNDUP(ET396/'🎚️ Escenario'!$C$11,0)))))</f>
        <v>0.77</v>
      </c>
      <c r="EU397" s="9" t="n">
        <f aca="false" t="array" ref="EU397:EU397">IF(EU396=0,0,IF(EU396/'🎚️ Escenario'!$C$11&gt;=36,$AL$23,INDEX($C$23:$AL$23,MAX(1,ROUNDUP(EU396/'🎚️ Escenario'!$C$11,0)))))</f>
        <v>0.79</v>
      </c>
      <c r="EV397" s="9" t="n">
        <f aca="false" t="array" ref="EV397:EV397">IF(EV396=0,0,IF(EV396/'🎚️ Escenario'!$C$11&gt;=36,$AL$23,INDEX($C$23:$AL$23,MAX(1,ROUNDUP(EV396/'🎚️ Escenario'!$C$11,0)))))</f>
        <v>0.79</v>
      </c>
      <c r="EW397" s="9" t="n">
        <f aca="false" t="array" ref="EW397:EW397">IF(EW396=0,0,IF(EW396/'🎚️ Escenario'!$C$11&gt;=36,$AL$23,INDEX($C$23:$AL$23,MAX(1,ROUNDUP(EW396/'🎚️ Escenario'!$C$11,0)))))</f>
        <v>0.8</v>
      </c>
      <c r="EX397" s="9" t="n">
        <f aca="false" t="array" ref="EX397:EX397">IF(EX396=0,0,IF(EX396/'🎚️ Escenario'!$C$11&gt;=36,$AL$23,INDEX($C$23:$AL$23,MAX(1,ROUNDUP(EX396/'🎚️ Escenario'!$C$11,0)))))</f>
        <v>0.82</v>
      </c>
      <c r="EY397" s="9" t="n">
        <f aca="false" t="array" ref="EY397:EY397">IF(EY396=0,0,IF(EY396/'🎚️ Escenario'!$C$11&gt;=36,$AL$23,INDEX($C$23:$AL$23,MAX(1,ROUNDUP(EY396/'🎚️ Escenario'!$C$11,0)))))</f>
        <v>0.84</v>
      </c>
      <c r="EZ397" s="9" t="n">
        <f aca="false" t="array" ref="EZ397:EZ397">IF(EZ396=0,0,IF(EZ396/'🎚️ Escenario'!$C$11&gt;=36,$AL$23,INDEX($C$23:$AL$23,MAX(1,ROUNDUP(EZ396/'🎚️ Escenario'!$C$11,0)))))</f>
        <v>0.85</v>
      </c>
      <c r="FA397" s="9" t="n">
        <f aca="false" t="array" ref="FA397:FA397">IF(FA396=0,0,IF(FA396/'🎚️ Escenario'!$C$11&gt;=36,$AL$23,INDEX($C$23:$AL$23,MAX(1,ROUNDUP(FA396/'🎚️ Escenario'!$C$11,0)))))</f>
        <v>0.85</v>
      </c>
      <c r="FB397" s="9" t="n">
        <f aca="false" t="array" ref="FB397:FB397">IF(FB396=0,0,IF(FB396/'🎚️ Escenario'!$C$11&gt;=36,$AL$23,INDEX($C$23:$AL$23,MAX(1,ROUNDUP(FB396/'🎚️ Escenario'!$C$11,0)))))</f>
        <v>0.86</v>
      </c>
      <c r="FC397" s="9" t="n">
        <f aca="false" t="array" ref="FC397:FC397">IF(FC396=0,0,IF(FC396/'🎚️ Escenario'!$C$11&gt;=36,$AL$23,INDEX($C$23:$AL$23,MAX(1,ROUNDUP(FC396/'🎚️ Escenario'!$C$11,0)))))</f>
        <v>0.88</v>
      </c>
      <c r="FD397" s="9" t="n">
        <f aca="false" t="array" ref="FD397:FD397">IF(FD396=0,0,IF(FD396/'🎚️ Escenario'!$C$11&gt;=36,$AL$23,INDEX($C$23:$AL$23,MAX(1,ROUNDUP(FD396/'🎚️ Escenario'!$C$11,0)))))</f>
        <v>0.89</v>
      </c>
      <c r="FE397" s="9" t="n">
        <f aca="false" t="array" ref="FE397:FE397">IF(FE396=0,0,IF(FE396/'🎚️ Escenario'!$C$11&gt;=36,$AL$23,INDEX($C$23:$AL$23,MAX(1,ROUNDUP(FE396/'🎚️ Escenario'!$C$11,0)))))</f>
        <v>0.9</v>
      </c>
      <c r="FF397" s="9" t="n">
        <f aca="false" t="array" ref="FF397:FF397">IF(FF396=0,0,IF(FF396/'🎚️ Escenario'!$C$11&gt;=36,$AL$23,INDEX($C$23:$AL$23,MAX(1,ROUNDUP(FF396/'🎚️ Escenario'!$C$11,0)))))</f>
        <v>0.9</v>
      </c>
      <c r="FG397" s="9" t="n">
        <f aca="false" t="array" ref="FG397:FG397">IF(FG396=0,0,IF(FG396/'🎚️ Escenario'!$C$11&gt;=36,$AL$23,INDEX($C$23:$AL$23,MAX(1,ROUNDUP(FG396/'🎚️ Escenario'!$C$11,0)))))</f>
        <v>0.92</v>
      </c>
      <c r="FH397" s="9" t="n">
        <f aca="false" t="array" ref="FH397:FH397">IF(FH396=0,0,IF(FH396/'🎚️ Escenario'!$C$11&gt;=36,$AL$23,INDEX($C$23:$AL$23,MAX(1,ROUNDUP(FH396/'🎚️ Escenario'!$C$11,0)))))</f>
        <v>0.93</v>
      </c>
      <c r="FI397" s="9" t="n">
        <f aca="false" t="array" ref="FI397:FI397">IF(FI396=0,0,IF(FI396/'🎚️ Escenario'!$C$11&gt;=36,$AL$23,INDEX($C$23:$AL$23,MAX(1,ROUNDUP(FI396/'🎚️ Escenario'!$C$11,0)))))</f>
        <v>0.94</v>
      </c>
      <c r="FJ397" s="9" t="n">
        <f aca="false" t="array" ref="FJ397:FJ397">IF(FJ396=0,0,IF(FJ396/'🎚️ Escenario'!$C$11&gt;=36,$AL$23,INDEX($C$23:$AL$23,MAX(1,ROUNDUP(FJ396/'🎚️ Escenario'!$C$11,0)))))</f>
        <v>0.95</v>
      </c>
      <c r="FK397" s="9" t="n">
        <f aca="false" t="array" ref="FK397:FK397">IF(FK396=0,0,IF(FK396/'🎚️ Escenario'!$C$11&gt;=36,$AL$23,INDEX($C$23:$AL$23,MAX(1,ROUNDUP(FK396/'🎚️ Escenario'!$C$11,0)))))</f>
        <v>0.95</v>
      </c>
      <c r="FL397" s="9" t="n">
        <f aca="false" t="array" ref="FL397:FL397">IF(FL396=0,0,IF(FL396/'🎚️ Escenario'!$C$11&gt;=36,$AL$23,INDEX($C$23:$AL$23,MAX(1,ROUNDUP(FL396/'🎚️ Escenario'!$C$11,0)))))</f>
        <v>0.97</v>
      </c>
      <c r="FM397" s="9" t="n">
        <f aca="false" t="array" ref="FM397:FM397">IF(FM396=0,0,IF(FM396/'🎚️ Escenario'!$C$11&gt;=36,$AL$23,INDEX($C$23:$AL$23,MAX(1,ROUNDUP(FM396/'🎚️ Escenario'!$C$11,0)))))</f>
        <v>0.98</v>
      </c>
      <c r="FN397" s="9" t="n">
        <f aca="false" t="array" ref="FN397:FN397">IF(FN396=0,0,IF(FN396/'🎚️ Escenario'!$C$11&gt;=36,$AL$23,INDEX($C$23:$AL$23,MAX(1,ROUNDUP(FN396/'🎚️ Escenario'!$C$11,0)))))</f>
        <v>0.99</v>
      </c>
      <c r="FO397" s="9" t="n">
        <f aca="false" t="array" ref="FO397:FO397">IF(FO396=0,0,IF(FO396/'🎚️ Escenario'!$C$11&gt;=36,$AL$23,INDEX($C$23:$AL$23,MAX(1,ROUNDUP(FO396/'🎚️ Escenario'!$C$11,0)))))</f>
        <v>1</v>
      </c>
      <c r="FP397" s="9" t="n">
        <f aca="false" t="array" ref="FP397:FP397">IF(FP396=0,0,IF(FP396/'🎚️ Escenario'!$C$11&gt;=36,$AL$23,INDEX($C$23:$AL$23,MAX(1,ROUNDUP(FP396/'🎚️ Escenario'!$C$11,0)))))</f>
        <v>1</v>
      </c>
    </row>
    <row r="398" customFormat="false" ht="15" hidden="false" customHeight="false" outlineLevel="2" collapsed="false">
      <c r="B398" s="47" t="s">
        <v>875</v>
      </c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237" t="n">
        <f aca="false">IF(AC396=0,0,IF(AC396&lt;=12*'🎚️ Escenario'!$C$11,1,1+$C$6))</f>
        <v>0</v>
      </c>
      <c r="AD398" s="237" t="n">
        <f aca="false">IF(AD396=0,0,IF(AD396&lt;=12*'🎚️ Escenario'!$C$11,1,1+$C$6))</f>
        <v>0</v>
      </c>
      <c r="AE398" s="237" t="n">
        <f aca="false">IF(AE396=0,0,IF(AE396&lt;=12*'🎚️ Escenario'!$C$11,1,1+$C$6))</f>
        <v>0</v>
      </c>
      <c r="AF398" s="237" t="n">
        <f aca="false">IF(AF396=0,0,IF(AF396&lt;=12*'🎚️ Escenario'!$C$11,1,1+$C$6))</f>
        <v>0</v>
      </c>
      <c r="AG398" s="237" t="n">
        <f aca="false">IF(AG396=0,0,IF(AG396&lt;=12*'🎚️ Escenario'!$C$11,1,1+$C$6))</f>
        <v>0</v>
      </c>
      <c r="AH398" s="237" t="n">
        <f aca="false">IF(AH396=0,0,IF(AH396&lt;=12*'🎚️ Escenario'!$C$11,1,1+$C$6))</f>
        <v>0</v>
      </c>
      <c r="AI398" s="237" t="n">
        <f aca="false">IF(AI396=0,0,IF(AI396&lt;=12*'🎚️ Escenario'!$C$11,1,1+$C$6))</f>
        <v>0</v>
      </c>
      <c r="AJ398" s="237" t="n">
        <f aca="false">IF(AJ396=0,0,IF(AJ396&lt;=12*'🎚️ Escenario'!$C$11,1,1+$C$6))</f>
        <v>0</v>
      </c>
      <c r="AK398" s="237" t="n">
        <f aca="false">IF(AK396=0,0,IF(AK396&lt;=12*'🎚️ Escenario'!$C$11,1,1+$C$6))</f>
        <v>0</v>
      </c>
      <c r="AL398" s="237" t="n">
        <f aca="false">IF(AL396=0,0,IF(AL396&lt;=12*'🎚️ Escenario'!$C$11,1,1+$C$6))</f>
        <v>0</v>
      </c>
      <c r="AM398" s="237" t="n">
        <f aca="false">IF(AM396=0,0,IF(AM396&lt;=12*'🎚️ Escenario'!$C$11,1,1+$C$6))</f>
        <v>0</v>
      </c>
      <c r="AN398" s="237" t="n">
        <f aca="false">IF(AN396=0,0,IF(AN396&lt;=12*'🎚️ Escenario'!$C$11,1,1+$C$6))</f>
        <v>0</v>
      </c>
      <c r="AO398" s="237" t="n">
        <f aca="false">IF(AO396=0,0,IF(AO396&lt;=12*'🎚️ Escenario'!$C$11,1,1+$C$6))</f>
        <v>0</v>
      </c>
      <c r="AP398" s="237" t="n">
        <f aca="false">IF(AP396=0,0,IF(AP396&lt;=12*'🎚️ Escenario'!$C$11,1,1+$C$6))</f>
        <v>0</v>
      </c>
      <c r="AQ398" s="237" t="n">
        <f aca="false">IF(AQ396=0,0,IF(AQ396&lt;=12*'🎚️ Escenario'!$C$11,1,1+$C$6))</f>
        <v>0</v>
      </c>
      <c r="AR398" s="237" t="n">
        <f aca="false">IF(AR396=0,0,IF(AR396&lt;=12*'🎚️ Escenario'!$C$11,1,1+$C$6))</f>
        <v>0</v>
      </c>
      <c r="AS398" s="237" t="n">
        <f aca="false">IF(AS396=0,0,IF(AS396&lt;=12*'🎚️ Escenario'!$C$11,1,1+$C$6))</f>
        <v>0</v>
      </c>
      <c r="AT398" s="237" t="n">
        <f aca="false">IF(AT396=0,0,IF(AT396&lt;=12*'🎚️ Escenario'!$C$11,1,1+$C$6))</f>
        <v>0</v>
      </c>
      <c r="AU398" s="237" t="n">
        <f aca="false">IF(AU396=0,0,IF(AU396&lt;=12*'🎚️ Escenario'!$C$11,1,1+$C$6))</f>
        <v>0</v>
      </c>
      <c r="AV398" s="237" t="n">
        <f aca="false">IF(AV396=0,0,IF(AV396&lt;=12*'🎚️ Escenario'!$C$11,1,1+$C$6))</f>
        <v>0</v>
      </c>
      <c r="AW398" s="237" t="n">
        <f aca="false">IF(AW396=0,0,IF(AW396&lt;=12*'🎚️ Escenario'!$C$11,1,1+$C$6))</f>
        <v>0</v>
      </c>
      <c r="AX398" s="237" t="n">
        <f aca="false">IF(AX396=0,0,IF(AX396&lt;=12*'🎚️ Escenario'!$C$11,1,1+$C$6))</f>
        <v>0</v>
      </c>
      <c r="AY398" s="237" t="n">
        <f aca="false">IF(AY396=0,0,IF(AY396&lt;=12*'🎚️ Escenario'!$C$11,1,1+$C$6))</f>
        <v>0</v>
      </c>
      <c r="AZ398" s="237" t="n">
        <f aca="false">IF(AZ396=0,0,IF(AZ396&lt;=12*'🎚️ Escenario'!$C$11,1,1+$C$6))</f>
        <v>0</v>
      </c>
      <c r="BA398" s="237" t="n">
        <f aca="false">IF(BA396=0,0,IF(BA396&lt;=12*'🎚️ Escenario'!$C$11,1,1+$C$6))</f>
        <v>0</v>
      </c>
      <c r="BB398" s="237" t="n">
        <f aca="false">IF(BB396=0,0,IF(BB396&lt;=12*'🎚️ Escenario'!$C$11,1,1+$C$6))</f>
        <v>0</v>
      </c>
      <c r="BC398" s="237" t="n">
        <f aca="false">IF(BC396=0,0,IF(BC396&lt;=12*'🎚️ Escenario'!$C$11,1,1+$C$6))</f>
        <v>0</v>
      </c>
      <c r="BD398" s="237" t="n">
        <f aca="false">IF(BD396=0,0,IF(BD396&lt;=12*'🎚️ Escenario'!$C$11,1,1+$C$6))</f>
        <v>0</v>
      </c>
      <c r="BE398" s="237" t="n">
        <f aca="false">IF(BE396=0,0,IF(BE396&lt;=12*'🎚️ Escenario'!$C$11,1,1+$C$6))</f>
        <v>0</v>
      </c>
      <c r="BF398" s="237" t="n">
        <f aca="false">IF(BF396=0,0,IF(BF396&lt;=12*'🎚️ Escenario'!$C$11,1,1+$C$6))</f>
        <v>0</v>
      </c>
      <c r="BG398" s="237" t="n">
        <f aca="false">IF(BG396=0,0,IF(BG396&lt;=12*'🎚️ Escenario'!$C$11,1,1+$C$6))</f>
        <v>0</v>
      </c>
      <c r="BH398" s="237" t="n">
        <f aca="false">IF(BH396=0,0,IF(BH396&lt;=12*'🎚️ Escenario'!$C$11,1,1+$C$6))</f>
        <v>0</v>
      </c>
      <c r="BI398" s="237" t="n">
        <f aca="false">IF(BI396=0,0,IF(BI396&lt;=12*'🎚️ Escenario'!$C$11,1,1+$C$6))</f>
        <v>0</v>
      </c>
      <c r="BJ398" s="237" t="n">
        <f aca="false">IF(BJ396=0,0,IF(BJ396&lt;=12*'🎚️ Escenario'!$C$11,1,1+$C$6))</f>
        <v>0</v>
      </c>
      <c r="BK398" s="237" t="n">
        <f aca="false">IF(BK396=0,0,IF(BK396&lt;=12*'🎚️ Escenario'!$C$11,1,1+$C$6))</f>
        <v>0</v>
      </c>
      <c r="BL398" s="237" t="n">
        <f aca="false">IF(BL396=0,0,IF(BL396&lt;=12*'🎚️ Escenario'!$C$11,1,1+$C$6))</f>
        <v>0</v>
      </c>
      <c r="BM398" s="237" t="n">
        <f aca="false">IF(BM396=0,0,IF(BM396&lt;=12*'🎚️ Escenario'!$C$11,1,1+$C$6))</f>
        <v>0</v>
      </c>
      <c r="BN398" s="237" t="n">
        <f aca="false">IF(BN396=0,0,IF(BN396&lt;=12*'🎚️ Escenario'!$C$11,1,1+$C$6))</f>
        <v>0</v>
      </c>
      <c r="BO398" s="237" t="n">
        <f aca="false">IF(BO396=0,0,IF(BO396&lt;=12*'🎚️ Escenario'!$C$11,1,1+$C$6))</f>
        <v>0</v>
      </c>
      <c r="BP398" s="237" t="n">
        <f aca="false">IF(BP396=0,0,IF(BP396&lt;=12*'🎚️ Escenario'!$C$11,1,1+$C$6))</f>
        <v>0</v>
      </c>
      <c r="BQ398" s="237" t="n">
        <f aca="false">IF(BQ396=0,0,IF(BQ396&lt;=12*'🎚️ Escenario'!$C$11,1,1+$C$6))</f>
        <v>0</v>
      </c>
      <c r="BR398" s="237" t="n">
        <f aca="false">IF(BR396=0,0,IF(BR396&lt;=12*'🎚️ Escenario'!$C$11,1,1+$C$6))</f>
        <v>0</v>
      </c>
      <c r="BS398" s="237" t="n">
        <f aca="false">IF(BS396=0,0,IF(BS396&lt;=12*'🎚️ Escenario'!$C$11,1,1+$C$6))</f>
        <v>0</v>
      </c>
      <c r="BT398" s="237" t="n">
        <f aca="false">IF(BT396=0,0,IF(BT396&lt;=12*'🎚️ Escenario'!$C$11,1,1+$C$6))</f>
        <v>0</v>
      </c>
      <c r="BU398" s="237" t="n">
        <f aca="false">IF(BU396=0,0,IF(BU396&lt;=12*'🎚️ Escenario'!$C$11,1,1+$C$6))</f>
        <v>0</v>
      </c>
      <c r="BV398" s="237" t="n">
        <f aca="false">IF(BV396=0,0,IF(BV396&lt;=12*'🎚️ Escenario'!$C$11,1,1+$C$6))</f>
        <v>0</v>
      </c>
      <c r="BW398" s="237" t="n">
        <f aca="false">IF(BW396=0,0,IF(BW396&lt;=12*'🎚️ Escenario'!$C$11,1,1+$C$6))</f>
        <v>0</v>
      </c>
      <c r="BX398" s="237" t="n">
        <f aca="false">IF(BX396=0,0,IF(BX396&lt;=12*'🎚️ Escenario'!$C$11,1,1+$C$6))</f>
        <v>0</v>
      </c>
      <c r="BY398" s="237" t="n">
        <f aca="false">IF(BY396=0,0,IF(BY396&lt;=12*'🎚️ Escenario'!$C$11,1,1+$C$6))</f>
        <v>0</v>
      </c>
      <c r="BZ398" s="237" t="n">
        <f aca="false">IF(BZ396=0,0,IF(BZ396&lt;=12*'🎚️ Escenario'!$C$11,1,1+$C$6))</f>
        <v>0</v>
      </c>
      <c r="CA398" s="237" t="n">
        <f aca="false">IF(CA396=0,0,IF(CA396&lt;=12*'🎚️ Escenario'!$C$11,1,1+$C$6))</f>
        <v>0</v>
      </c>
      <c r="CB398" s="237" t="n">
        <f aca="false">IF(CB396=0,0,IF(CB396&lt;=12*'🎚️ Escenario'!$C$11,1,1+$C$6))</f>
        <v>0</v>
      </c>
      <c r="CC398" s="237" t="n">
        <f aca="false">IF(CC396=0,0,IF(CC396&lt;=12*'🎚️ Escenario'!$C$11,1,1+$C$6))</f>
        <v>0</v>
      </c>
      <c r="CD398" s="237" t="n">
        <f aca="false">IF(CD396=0,0,IF(CD396&lt;=12*'🎚️ Escenario'!$C$11,1,1+$C$6))</f>
        <v>0</v>
      </c>
      <c r="CE398" s="237" t="n">
        <f aca="false">IF(CE396=0,0,IF(CE396&lt;=12*'🎚️ Escenario'!$C$11,1,1+$C$6))</f>
        <v>0</v>
      </c>
      <c r="CF398" s="237" t="n">
        <f aca="false">IF(CF396=0,0,IF(CF396&lt;=12*'🎚️ Escenario'!$C$11,1,1+$C$6))</f>
        <v>0</v>
      </c>
      <c r="CG398" s="237" t="n">
        <f aca="false">IF(CG396=0,0,IF(CG396&lt;=12*'🎚️ Escenario'!$C$11,1,1+$C$6))</f>
        <v>0</v>
      </c>
      <c r="CH398" s="237" t="n">
        <f aca="false">IF(CH396=0,0,IF(CH396&lt;=12*'🎚️ Escenario'!$C$11,1,1+$C$6))</f>
        <v>0</v>
      </c>
      <c r="CI398" s="237" t="n">
        <f aca="false">IF(CI396=0,0,IF(CI396&lt;=12*'🎚️ Escenario'!$C$11,1,1+$C$6))</f>
        <v>0</v>
      </c>
      <c r="CJ398" s="237" t="n">
        <f aca="false">IF(CJ396=0,0,IF(CJ396&lt;=12*'🎚️ Escenario'!$C$11,1,1+$C$6))</f>
        <v>0</v>
      </c>
      <c r="CK398" s="237" t="n">
        <f aca="false">IF(CK396=0,0,IF(CK396&lt;=12*'🎚️ Escenario'!$C$11,1,1+$C$6))</f>
        <v>0</v>
      </c>
      <c r="CL398" s="237" t="n">
        <f aca="false">IF(CL396=0,0,IF(CL396&lt;=12*'🎚️ Escenario'!$C$11,1,1+$C$6))</f>
        <v>0</v>
      </c>
      <c r="CM398" s="237" t="n">
        <f aca="false">IF(CM396=0,0,IF(CM396&lt;=12*'🎚️ Escenario'!$C$11,1,1+$C$6))</f>
        <v>0</v>
      </c>
      <c r="CN398" s="237" t="n">
        <f aca="false">IF(CN396=0,0,IF(CN396&lt;=12*'🎚️ Escenario'!$C$11,1,1+$C$6))</f>
        <v>0</v>
      </c>
      <c r="CO398" s="237" t="n">
        <f aca="false">IF(CO396=0,0,IF(CO396&lt;=12*'🎚️ Escenario'!$C$11,1,1+$C$6))</f>
        <v>0</v>
      </c>
      <c r="CP398" s="237" t="n">
        <f aca="false">IF(CP396=0,0,IF(CP396&lt;=12*'🎚️ Escenario'!$C$11,1,1+$C$6))</f>
        <v>0</v>
      </c>
      <c r="CQ398" s="237" t="n">
        <f aca="false">IF(CQ396=0,0,IF(CQ396&lt;=12*'🎚️ Escenario'!$C$11,1,1+$C$6))</f>
        <v>0</v>
      </c>
      <c r="CR398" s="237" t="n">
        <f aca="false">IF(CR396=0,0,IF(CR396&lt;=12*'🎚️ Escenario'!$C$11,1,1+$C$6))</f>
        <v>0</v>
      </c>
      <c r="CS398" s="237" t="n">
        <f aca="false">IF(CS396=0,0,IF(CS396&lt;=12*'🎚️ Escenario'!$C$11,1,1+$C$6))</f>
        <v>0</v>
      </c>
      <c r="CT398" s="237" t="n">
        <f aca="false">IF(CT396=0,0,IF(CT396&lt;=12*'🎚️ Escenario'!$C$11,1,1+$C$6))</f>
        <v>0</v>
      </c>
      <c r="CU398" s="237" t="n">
        <f aca="false">IF(CU396=0,0,IF(CU396&lt;=12*'🎚️ Escenario'!$C$11,1,1+$C$6))</f>
        <v>0</v>
      </c>
      <c r="CV398" s="237" t="n">
        <f aca="false">IF(CV396=0,0,IF(CV396&lt;=12*'🎚️ Escenario'!$C$11,1,1+$C$6))</f>
        <v>0</v>
      </c>
      <c r="CW398" s="237" t="n">
        <f aca="false">IF(CW396=0,0,IF(CW396&lt;=12*'🎚️ Escenario'!$C$11,1,1+$C$6))</f>
        <v>0</v>
      </c>
      <c r="CX398" s="237" t="n">
        <f aca="false">IF(CX396=0,0,IF(CX396&lt;=12*'🎚️ Escenario'!$C$11,1,1+$C$6))</f>
        <v>0</v>
      </c>
      <c r="CY398" s="237" t="n">
        <f aca="false">IF(CY396=0,0,IF(CY396&lt;=12*'🎚️ Escenario'!$C$11,1,1+$C$6))</f>
        <v>0</v>
      </c>
      <c r="CZ398" s="237" t="n">
        <f aca="false">IF(CZ396=0,0,IF(CZ396&lt;=12*'🎚️ Escenario'!$C$11,1,1+$C$6))</f>
        <v>0</v>
      </c>
      <c r="DA398" s="237" t="n">
        <f aca="false">IF(DA396=0,0,IF(DA396&lt;=12*'🎚️ Escenario'!$C$11,1,1+$C$6))</f>
        <v>0</v>
      </c>
      <c r="DB398" s="237" t="n">
        <f aca="false">IF(DB396=0,0,IF(DB396&lt;=12*'🎚️ Escenario'!$C$11,1,1+$C$6))</f>
        <v>0</v>
      </c>
      <c r="DC398" s="237" t="n">
        <f aca="false">IF(DC396=0,0,IF(DC396&lt;=12*'🎚️ Escenario'!$C$11,1,1+$C$6))</f>
        <v>0</v>
      </c>
      <c r="DD398" s="237" t="n">
        <f aca="false">IF(DD396=0,0,IF(DD396&lt;=12*'🎚️ Escenario'!$C$11,1,1+$C$6))</f>
        <v>0</v>
      </c>
      <c r="DE398" s="237" t="n">
        <f aca="false">IF(DE396=0,0,IF(DE396&lt;=12*'🎚️ Escenario'!$C$11,1,1+$C$6))</f>
        <v>0</v>
      </c>
      <c r="DF398" s="237" t="n">
        <f aca="false">IF(DF396=0,0,IF(DF396&lt;=12*'🎚️ Escenario'!$C$11,1,1+$C$6))</f>
        <v>0</v>
      </c>
      <c r="DG398" s="237" t="n">
        <f aca="false">IF(DG396=0,0,IF(DG396&lt;=12*'🎚️ Escenario'!$C$11,1,1+$C$6))</f>
        <v>0</v>
      </c>
      <c r="DH398" s="237" t="n">
        <f aca="false">IF(DH396=0,0,IF(DH396&lt;=12*'🎚️ Escenario'!$C$11,1,1+$C$6))</f>
        <v>0</v>
      </c>
      <c r="DI398" s="237" t="n">
        <f aca="false">IF(DI396=0,0,IF(DI396&lt;=12*'🎚️ Escenario'!$C$11,1,1+$C$6))</f>
        <v>0</v>
      </c>
      <c r="DJ398" s="237" t="n">
        <f aca="false">IF(DJ396=0,0,IF(DJ396&lt;=12*'🎚️ Escenario'!$C$11,1,1+$C$6))</f>
        <v>0</v>
      </c>
      <c r="DK398" s="237" t="n">
        <f aca="false">IF(DK396=0,0,IF(DK396&lt;=12*'🎚️ Escenario'!$C$11,1,1+$C$6))</f>
        <v>0</v>
      </c>
      <c r="DL398" s="237" t="n">
        <f aca="false">IF(DL396=0,0,IF(DL396&lt;=12*'🎚️ Escenario'!$C$11,1,1+$C$6))</f>
        <v>0</v>
      </c>
      <c r="DM398" s="237" t="n">
        <f aca="false">IF(DM396=0,0,IF(DM396&lt;=12*'🎚️ Escenario'!$C$11,1,1+$C$6))</f>
        <v>0</v>
      </c>
      <c r="DN398" s="237" t="n">
        <f aca="false">IF(DN396=0,0,IF(DN396&lt;=12*'🎚️ Escenario'!$C$11,1,1+$C$6))</f>
        <v>0</v>
      </c>
      <c r="DO398" s="237" t="n">
        <f aca="false">IF(DO396=0,0,IF(DO396&lt;=12*'🎚️ Escenario'!$C$11,1,1+$C$6))</f>
        <v>0</v>
      </c>
      <c r="DP398" s="237" t="n">
        <f aca="false">IF(DP396=0,0,IF(DP396&lt;=12*'🎚️ Escenario'!$C$11,1,1+$C$6))</f>
        <v>0</v>
      </c>
      <c r="DQ398" s="237" t="n">
        <f aca="false">IF(DQ396=0,0,IF(DQ396&lt;=12*'🎚️ Escenario'!$C$11,1,1+$C$6))</f>
        <v>0</v>
      </c>
      <c r="DR398" s="237" t="n">
        <f aca="false">IF(DR396=0,0,IF(DR396&lt;=12*'🎚️ Escenario'!$C$11,1,1+$C$6))</f>
        <v>0</v>
      </c>
      <c r="DS398" s="237" t="n">
        <f aca="false">IF(DS396=0,0,IF(DS396&lt;=12*'🎚️ Escenario'!$C$11,1,1+$C$6))</f>
        <v>0</v>
      </c>
      <c r="DT398" s="237" t="n">
        <f aca="false">IF(DT396=0,0,IF(DT396&lt;=12*'🎚️ Escenario'!$C$11,1,1+$C$6))</f>
        <v>0</v>
      </c>
      <c r="DU398" s="237" t="n">
        <f aca="false">IF(DU396=0,0,IF(DU396&lt;=12*'🎚️ Escenario'!$C$11,1,1+$C$6))</f>
        <v>0</v>
      </c>
      <c r="DV398" s="237" t="n">
        <f aca="false">IF(DV396=0,0,IF(DV396&lt;=12*'🎚️ Escenario'!$C$11,1,1+$C$6))</f>
        <v>0</v>
      </c>
      <c r="DW398" s="237" t="n">
        <f aca="false">IF(DW396=0,0,IF(DW396&lt;=12*'🎚️ Escenario'!$C$11,1,1+$C$6))</f>
        <v>0</v>
      </c>
      <c r="DX398" s="237" t="n">
        <f aca="false">IF(DX396=0,0,IF(DX396&lt;=12*'🎚️ Escenario'!$C$11,1,1+$C$6))</f>
        <v>1</v>
      </c>
      <c r="DY398" s="237" t="n">
        <f aca="false">IF(DY396=0,0,IF(DY396&lt;=12*'🎚️ Escenario'!$C$11,1,1+$C$6))</f>
        <v>1</v>
      </c>
      <c r="DZ398" s="237" t="n">
        <f aca="false">IF(DZ396=0,0,IF(DZ396&lt;=12*'🎚️ Escenario'!$C$11,1,1+$C$6))</f>
        <v>1</v>
      </c>
      <c r="EA398" s="237" t="n">
        <f aca="false">IF(EA396=0,0,IF(EA396&lt;=12*'🎚️ Escenario'!$C$11,1,1+$C$6))</f>
        <v>1</v>
      </c>
      <c r="EB398" s="237" t="n">
        <f aca="false">IF(EB396=0,0,IF(EB396&lt;=12*'🎚️ Escenario'!$C$11,1,1+$C$6))</f>
        <v>1</v>
      </c>
      <c r="EC398" s="237" t="n">
        <f aca="false">IF(EC396=0,0,IF(EC396&lt;=12*'🎚️ Escenario'!$C$11,1,1+$C$6))</f>
        <v>1</v>
      </c>
      <c r="ED398" s="237" t="n">
        <f aca="false">IF(ED396=0,0,IF(ED396&lt;=12*'🎚️ Escenario'!$C$11,1,1+$C$6))</f>
        <v>1</v>
      </c>
      <c r="EE398" s="237" t="n">
        <f aca="false">IF(EE396=0,0,IF(EE396&lt;=12*'🎚️ Escenario'!$C$11,1,1+$C$6))</f>
        <v>1</v>
      </c>
      <c r="EF398" s="237" t="n">
        <f aca="false">IF(EF396=0,0,IF(EF396&lt;=12*'🎚️ Escenario'!$C$11,1,1+$C$6))</f>
        <v>1</v>
      </c>
      <c r="EG398" s="237" t="n">
        <f aca="false">IF(EG396=0,0,IF(EG396&lt;=12*'🎚️ Escenario'!$C$11,1,1+$C$6))</f>
        <v>1</v>
      </c>
      <c r="EH398" s="237" t="n">
        <f aca="false">IF(EH396=0,0,IF(EH396&lt;=12*'🎚️ Escenario'!$C$11,1,1+$C$6))</f>
        <v>1</v>
      </c>
      <c r="EI398" s="237" t="n">
        <f aca="false">IF(EI396=0,0,IF(EI396&lt;=12*'🎚️ Escenario'!$C$11,1,1+$C$6))</f>
        <v>1</v>
      </c>
      <c r="EJ398" s="237" t="n">
        <f aca="false">IF(EJ396=0,0,IF(EJ396&lt;=12*'🎚️ Escenario'!$C$11,1,1+$C$6))</f>
        <v>1</v>
      </c>
      <c r="EK398" s="237" t="n">
        <f aca="false">IF(EK396=0,0,IF(EK396&lt;=12*'🎚️ Escenario'!$C$11,1,1+$C$6))</f>
        <v>1</v>
      </c>
      <c r="EL398" s="237" t="n">
        <f aca="false">IF(EL396=0,0,IF(EL396&lt;=12*'🎚️ Escenario'!$C$11,1,1+$C$6))</f>
        <v>1</v>
      </c>
      <c r="EM398" s="237" t="n">
        <f aca="false">IF(EM396=0,0,IF(EM396&lt;=12*'🎚️ Escenario'!$C$11,1,1+$C$6))</f>
        <v>1.2</v>
      </c>
      <c r="EN398" s="237" t="n">
        <f aca="false">IF(EN396=0,0,IF(EN396&lt;=12*'🎚️ Escenario'!$C$11,1,1+$C$6))</f>
        <v>1.2</v>
      </c>
      <c r="EO398" s="237" t="n">
        <f aca="false">IF(EO396=0,0,IF(EO396&lt;=12*'🎚️ Escenario'!$C$11,1,1+$C$6))</f>
        <v>1.2</v>
      </c>
      <c r="EP398" s="237" t="n">
        <f aca="false">IF(EP396=0,0,IF(EP396&lt;=12*'🎚️ Escenario'!$C$11,1,1+$C$6))</f>
        <v>1.2</v>
      </c>
      <c r="EQ398" s="237" t="n">
        <f aca="false">IF(EQ396=0,0,IF(EQ396&lt;=12*'🎚️ Escenario'!$C$11,1,1+$C$6))</f>
        <v>1.2</v>
      </c>
      <c r="ER398" s="237" t="n">
        <f aca="false">IF(ER396=0,0,IF(ER396&lt;=12*'🎚️ Escenario'!$C$11,1,1+$C$6))</f>
        <v>1.2</v>
      </c>
      <c r="ES398" s="238" t="n">
        <f aca="false">IF(ES396=0,0,IF(ES396&lt;=12*'🎚️ Escenario'!$C$11,1,1+$C$6))</f>
        <v>1.2</v>
      </c>
      <c r="ET398" s="238" t="n">
        <f aca="false">IF(ET396=0,0,IF(ET396&lt;=12*'🎚️ Escenario'!$C$11,1,1+$C$6))</f>
        <v>1.2</v>
      </c>
      <c r="EU398" s="238" t="n">
        <f aca="false">IF(EU396=0,0,IF(EU396&lt;=12*'🎚️ Escenario'!$C$11,1,1+$C$6))</f>
        <v>1.2</v>
      </c>
      <c r="EV398" s="238" t="n">
        <f aca="false">IF(EV396=0,0,IF(EV396&lt;=12*'🎚️ Escenario'!$C$11,1,1+$C$6))</f>
        <v>1.2</v>
      </c>
      <c r="EW398" s="238" t="n">
        <f aca="false">IF(EW396=0,0,IF(EW396&lt;=12*'🎚️ Escenario'!$C$11,1,1+$C$6))</f>
        <v>1.2</v>
      </c>
      <c r="EX398" s="238" t="n">
        <f aca="false">IF(EX396=0,0,IF(EX396&lt;=12*'🎚️ Escenario'!$C$11,1,1+$C$6))</f>
        <v>1.2</v>
      </c>
      <c r="EY398" s="238" t="n">
        <f aca="false">IF(EY396=0,0,IF(EY396&lt;=12*'🎚️ Escenario'!$C$11,1,1+$C$6))</f>
        <v>1.2</v>
      </c>
      <c r="EZ398" s="238" t="n">
        <f aca="false">IF(EZ396=0,0,IF(EZ396&lt;=12*'🎚️ Escenario'!$C$11,1,1+$C$6))</f>
        <v>1.2</v>
      </c>
      <c r="FA398" s="238" t="n">
        <f aca="false">IF(FA396=0,0,IF(FA396&lt;=12*'🎚️ Escenario'!$C$11,1,1+$C$6))</f>
        <v>1.2</v>
      </c>
      <c r="FB398" s="238" t="n">
        <f aca="false">IF(FB396=0,0,IF(FB396&lt;=12*'🎚️ Escenario'!$C$11,1,1+$C$6))</f>
        <v>1.2</v>
      </c>
      <c r="FC398" s="238" t="n">
        <f aca="false">IF(FC396=0,0,IF(FC396&lt;=12*'🎚️ Escenario'!$C$11,1,1+$C$6))</f>
        <v>1.2</v>
      </c>
      <c r="FD398" s="238" t="n">
        <f aca="false">IF(FD396=0,0,IF(FD396&lt;=12*'🎚️ Escenario'!$C$11,1,1+$C$6))</f>
        <v>1.2</v>
      </c>
      <c r="FE398" s="238" t="n">
        <f aca="false">IF(FE396=0,0,IF(FE396&lt;=12*'🎚️ Escenario'!$C$11,1,1+$C$6))</f>
        <v>1.2</v>
      </c>
      <c r="FF398" s="238" t="n">
        <f aca="false">IF(FF396=0,0,IF(FF396&lt;=12*'🎚️ Escenario'!$C$11,1,1+$C$6))</f>
        <v>1.2</v>
      </c>
      <c r="FG398" s="238" t="n">
        <f aca="false">IF(FG396=0,0,IF(FG396&lt;=12*'🎚️ Escenario'!$C$11,1,1+$C$6))</f>
        <v>1.2</v>
      </c>
      <c r="FH398" s="238" t="n">
        <f aca="false">IF(FH396=0,0,IF(FH396&lt;=12*'🎚️ Escenario'!$C$11,1,1+$C$6))</f>
        <v>1.2</v>
      </c>
      <c r="FI398" s="238" t="n">
        <f aca="false">IF(FI396=0,0,IF(FI396&lt;=12*'🎚️ Escenario'!$C$11,1,1+$C$6))</f>
        <v>1.2</v>
      </c>
      <c r="FJ398" s="238" t="n">
        <f aca="false">IF(FJ396=0,0,IF(FJ396&lt;=12*'🎚️ Escenario'!$C$11,1,1+$C$6))</f>
        <v>1.2</v>
      </c>
      <c r="FK398" s="238" t="n">
        <f aca="false">IF(FK396=0,0,IF(FK396&lt;=12*'🎚️ Escenario'!$C$11,1,1+$C$6))</f>
        <v>1.2</v>
      </c>
      <c r="FL398" s="238" t="n">
        <f aca="false">IF(FL396=0,0,IF(FL396&lt;=12*'🎚️ Escenario'!$C$11,1,1+$C$6))</f>
        <v>1.2</v>
      </c>
      <c r="FM398" s="238" t="n">
        <f aca="false">IF(FM396=0,0,IF(FM396&lt;=12*'🎚️ Escenario'!$C$11,1,1+$C$6))</f>
        <v>1.2</v>
      </c>
      <c r="FN398" s="238" t="n">
        <f aca="false">IF(FN396=0,0,IF(FN396&lt;=12*'🎚️ Escenario'!$C$11,1,1+$C$6))</f>
        <v>1.2</v>
      </c>
      <c r="FO398" s="238" t="n">
        <f aca="false">IF(FO396=0,0,IF(FO396&lt;=12*'🎚️ Escenario'!$C$11,1,1+$C$6))</f>
        <v>1.2</v>
      </c>
      <c r="FP398" s="238" t="n">
        <f aca="false">IF(FP396=0,0,IF(FP396&lt;=12*'🎚️ Escenario'!$C$11,1,1+$C$6))</f>
        <v>1.2</v>
      </c>
    </row>
    <row r="399" customFormat="false" ht="15" hidden="false" customHeight="false" outlineLevel="2" collapsed="false">
      <c r="B399" s="47" t="s">
        <v>876</v>
      </c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237" t="n">
        <f aca="false">AC397*$AC$395*AC398*AC$38*'⑫ Roll-out Plan'!$O$44</f>
        <v>0</v>
      </c>
      <c r="AD399" s="237" t="n">
        <f aca="false">AD397*$AC$395*AD398*AD$38*'⑫ Roll-out Plan'!$O$44</f>
        <v>0</v>
      </c>
      <c r="AE399" s="237" t="n">
        <f aca="false">AE397*$AC$395*AE398*AE$38*'⑫ Roll-out Plan'!$O$44</f>
        <v>0</v>
      </c>
      <c r="AF399" s="237" t="n">
        <f aca="false">AF397*$AC$395*AF398*AF$38*'⑫ Roll-out Plan'!$O$44</f>
        <v>0</v>
      </c>
      <c r="AG399" s="237" t="n">
        <f aca="false">AG397*$AC$395*AG398*AG$38*'⑫ Roll-out Plan'!$O$44</f>
        <v>0</v>
      </c>
      <c r="AH399" s="237" t="n">
        <f aca="false">AH397*$AC$395*AH398*AH$38*'⑫ Roll-out Plan'!$O$44</f>
        <v>0</v>
      </c>
      <c r="AI399" s="237" t="n">
        <f aca="false">AI397*$AC$395*AI398*AI$38*'⑫ Roll-out Plan'!$O$44</f>
        <v>0</v>
      </c>
      <c r="AJ399" s="237" t="n">
        <f aca="false">AJ397*$AC$395*AJ398*AJ$38*'⑫ Roll-out Plan'!$O$44</f>
        <v>0</v>
      </c>
      <c r="AK399" s="237" t="n">
        <f aca="false">AK397*$AC$395*AK398*AK$38*'⑫ Roll-out Plan'!$O$44</f>
        <v>0</v>
      </c>
      <c r="AL399" s="237" t="n">
        <f aca="false">AL397*$AC$395*AL398*AL$38*'⑫ Roll-out Plan'!$O$44</f>
        <v>0</v>
      </c>
      <c r="AM399" s="237" t="n">
        <f aca="false">AM397*$AC$395*AM398*AM$38*'⑫ Roll-out Plan'!$O$44</f>
        <v>0</v>
      </c>
      <c r="AN399" s="237" t="n">
        <f aca="false">AN397*$AC$395*AN398*AN$38*'⑫ Roll-out Plan'!$O$44</f>
        <v>0</v>
      </c>
      <c r="AO399" s="237" t="n">
        <f aca="false">AO397*$AC$395*AO398*AO$38*'⑫ Roll-out Plan'!$O$44</f>
        <v>0</v>
      </c>
      <c r="AP399" s="237" t="n">
        <f aca="false">AP397*$AC$395*AP398*AP$38*'⑫ Roll-out Plan'!$O$44</f>
        <v>0</v>
      </c>
      <c r="AQ399" s="237" t="n">
        <f aca="false">AQ397*$AC$395*AQ398*AQ$38*'⑫ Roll-out Plan'!$O$44</f>
        <v>0</v>
      </c>
      <c r="AR399" s="237" t="n">
        <f aca="false">AR397*$AC$395*AR398*AR$38*'⑫ Roll-out Plan'!$O$44</f>
        <v>0</v>
      </c>
      <c r="AS399" s="237" t="n">
        <f aca="false">AS397*$AC$395*AS398*AS$38*'⑫ Roll-out Plan'!$O$44</f>
        <v>0</v>
      </c>
      <c r="AT399" s="237" t="n">
        <f aca="false">AT397*$AC$395*AT398*AT$38*'⑫ Roll-out Plan'!$O$44</f>
        <v>0</v>
      </c>
      <c r="AU399" s="237" t="n">
        <f aca="false">AU397*$AC$395*AU398*AU$38*'⑫ Roll-out Plan'!$O$44</f>
        <v>0</v>
      </c>
      <c r="AV399" s="237" t="n">
        <f aca="false">AV397*$AC$395*AV398*AV$38*'⑫ Roll-out Plan'!$O$44</f>
        <v>0</v>
      </c>
      <c r="AW399" s="237" t="n">
        <f aca="false">AW397*$AC$395*AW398*AW$38*'⑫ Roll-out Plan'!$O$44</f>
        <v>0</v>
      </c>
      <c r="AX399" s="237" t="n">
        <f aca="false">AX397*$AC$395*AX398*AX$38*'⑫ Roll-out Plan'!$O$44</f>
        <v>0</v>
      </c>
      <c r="AY399" s="237" t="n">
        <f aca="false">AY397*$AC$395*AY398*AY$38*'⑫ Roll-out Plan'!$O$44</f>
        <v>0</v>
      </c>
      <c r="AZ399" s="237" t="n">
        <f aca="false">AZ397*$AC$395*AZ398*AZ$38*'⑫ Roll-out Plan'!$O$44</f>
        <v>0</v>
      </c>
      <c r="BA399" s="237" t="n">
        <f aca="false">BA397*$AC$395*BA398*BA$38*'⑫ Roll-out Plan'!$O$44</f>
        <v>0</v>
      </c>
      <c r="BB399" s="237" t="n">
        <f aca="false">BB397*$AC$395*BB398*BB$38*'⑫ Roll-out Plan'!$O$44</f>
        <v>0</v>
      </c>
      <c r="BC399" s="237" t="n">
        <f aca="false">BC397*$AC$395*BC398*BC$38*'⑫ Roll-out Plan'!$O$44</f>
        <v>0</v>
      </c>
      <c r="BD399" s="237" t="n">
        <f aca="false">BD397*$AC$395*BD398*BD$38*'⑫ Roll-out Plan'!$O$44</f>
        <v>0</v>
      </c>
      <c r="BE399" s="237" t="n">
        <f aca="false">BE397*$AC$395*BE398*BE$38*'⑫ Roll-out Plan'!$O$44</f>
        <v>0</v>
      </c>
      <c r="BF399" s="237" t="n">
        <f aca="false">BF397*$AC$395*BF398*BF$38*'⑫ Roll-out Plan'!$O$44</f>
        <v>0</v>
      </c>
      <c r="BG399" s="237" t="n">
        <f aca="false">BG397*$AC$395*BG398*BG$38*'⑫ Roll-out Plan'!$O$44</f>
        <v>0</v>
      </c>
      <c r="BH399" s="237" t="n">
        <f aca="false">BH397*$AC$395*BH398*BH$38*'⑫ Roll-out Plan'!$O$44</f>
        <v>0</v>
      </c>
      <c r="BI399" s="237" t="n">
        <f aca="false">BI397*$AC$395*BI398*BI$38*'⑫ Roll-out Plan'!$O$44</f>
        <v>0</v>
      </c>
      <c r="BJ399" s="237" t="n">
        <f aca="false">BJ397*$AC$395*BJ398*BJ$38*'⑫ Roll-out Plan'!$O$44</f>
        <v>0</v>
      </c>
      <c r="BK399" s="237" t="n">
        <f aca="false">BK397*$AC$395*BK398*BK$38*'⑫ Roll-out Plan'!$O$44</f>
        <v>0</v>
      </c>
      <c r="BL399" s="237" t="n">
        <f aca="false">BL397*$AC$395*BL398*BL$38*'⑫ Roll-out Plan'!$O$44</f>
        <v>0</v>
      </c>
      <c r="BM399" s="237" t="n">
        <f aca="false">BM397*$AC$395*BM398*BM$38*'⑫ Roll-out Plan'!$O$44</f>
        <v>0</v>
      </c>
      <c r="BN399" s="237" t="n">
        <f aca="false">BN397*$AC$395*BN398*BN$38*'⑫ Roll-out Plan'!$O$44</f>
        <v>0</v>
      </c>
      <c r="BO399" s="237" t="n">
        <f aca="false">BO397*$AC$395*BO398*BO$38*'⑫ Roll-out Plan'!$O$44</f>
        <v>0</v>
      </c>
      <c r="BP399" s="237" t="n">
        <f aca="false">BP397*$AC$395*BP398*BP$38*'⑫ Roll-out Plan'!$O$44</f>
        <v>0</v>
      </c>
      <c r="BQ399" s="237" t="n">
        <f aca="false">BQ397*$AC$395*BQ398*BQ$38*'⑫ Roll-out Plan'!$O$44</f>
        <v>0</v>
      </c>
      <c r="BR399" s="237" t="n">
        <f aca="false">BR397*$AC$395*BR398*BR$38*'⑫ Roll-out Plan'!$O$44</f>
        <v>0</v>
      </c>
      <c r="BS399" s="237" t="n">
        <f aca="false">BS397*$AC$395*BS398*BS$38*'⑫ Roll-out Plan'!$O$44</f>
        <v>0</v>
      </c>
      <c r="BT399" s="237" t="n">
        <f aca="false">BT397*$AC$395*BT398*BT$38*'⑫ Roll-out Plan'!$O$44</f>
        <v>0</v>
      </c>
      <c r="BU399" s="237" t="n">
        <f aca="false">BU397*$AC$395*BU398*BU$38*'⑫ Roll-out Plan'!$O$44</f>
        <v>0</v>
      </c>
      <c r="BV399" s="237" t="n">
        <f aca="false">BV397*$AC$395*BV398*BV$38*'⑫ Roll-out Plan'!$O$44</f>
        <v>0</v>
      </c>
      <c r="BW399" s="237" t="n">
        <f aca="false">BW397*$AC$395*BW398*BW$38*'⑫ Roll-out Plan'!$O$44</f>
        <v>0</v>
      </c>
      <c r="BX399" s="237" t="n">
        <f aca="false">BX397*$AC$395*BX398*BX$38*'⑫ Roll-out Plan'!$O$44</f>
        <v>0</v>
      </c>
      <c r="BY399" s="237" t="n">
        <f aca="false">BY397*$AC$395*BY398*BY$38*'⑫ Roll-out Plan'!$O$44</f>
        <v>0</v>
      </c>
      <c r="BZ399" s="237" t="n">
        <f aca="false">BZ397*$AC$395*BZ398*BZ$38*'⑫ Roll-out Plan'!$O$44</f>
        <v>0</v>
      </c>
      <c r="CA399" s="237" t="n">
        <f aca="false">CA397*$AC$395*CA398*CA$38*'⑫ Roll-out Plan'!$O$44</f>
        <v>0</v>
      </c>
      <c r="CB399" s="237" t="n">
        <f aca="false">CB397*$AC$395*CB398*CB$38*'⑫ Roll-out Plan'!$O$44</f>
        <v>0</v>
      </c>
      <c r="CC399" s="237" t="n">
        <f aca="false">CC397*$AC$395*CC398*CC$38*'⑫ Roll-out Plan'!$O$44</f>
        <v>0</v>
      </c>
      <c r="CD399" s="237" t="n">
        <f aca="false">CD397*$AC$395*CD398*CD$38*'⑫ Roll-out Plan'!$O$44</f>
        <v>0</v>
      </c>
      <c r="CE399" s="237" t="n">
        <f aca="false">CE397*$AC$395*CE398*CE$38*'⑫ Roll-out Plan'!$O$44</f>
        <v>0</v>
      </c>
      <c r="CF399" s="237" t="n">
        <f aca="false">CF397*$AC$395*CF398*CF$38*'⑫ Roll-out Plan'!$O$44</f>
        <v>0</v>
      </c>
      <c r="CG399" s="237" t="n">
        <f aca="false">CG397*$AC$395*CG398*CG$38*'⑫ Roll-out Plan'!$O$44</f>
        <v>0</v>
      </c>
      <c r="CH399" s="237" t="n">
        <f aca="false">CH397*$AC$395*CH398*CH$38*'⑫ Roll-out Plan'!$O$44</f>
        <v>0</v>
      </c>
      <c r="CI399" s="237" t="n">
        <f aca="false">CI397*$AC$395*CI398*CI$38*'⑫ Roll-out Plan'!$O$44</f>
        <v>0</v>
      </c>
      <c r="CJ399" s="237" t="n">
        <f aca="false">CJ397*$AC$395*CJ398*CJ$38*'⑫ Roll-out Plan'!$O$44</f>
        <v>0</v>
      </c>
      <c r="CK399" s="237" t="n">
        <f aca="false">CK397*$AC$395*CK398*CK$38*'⑫ Roll-out Plan'!$O$44</f>
        <v>0</v>
      </c>
      <c r="CL399" s="237" t="n">
        <f aca="false">CL397*$AC$395*CL398*CL$38*'⑫ Roll-out Plan'!$O$44</f>
        <v>0</v>
      </c>
      <c r="CM399" s="237" t="n">
        <f aca="false">CM397*$AC$395*CM398*CM$38*'⑫ Roll-out Plan'!$O$44</f>
        <v>0</v>
      </c>
      <c r="CN399" s="237" t="n">
        <f aca="false">CN397*$AC$395*CN398*CN$38*'⑫ Roll-out Plan'!$O$44</f>
        <v>0</v>
      </c>
      <c r="CO399" s="237" t="n">
        <f aca="false">CO397*$AC$395*CO398*CO$38*'⑫ Roll-out Plan'!$O$44</f>
        <v>0</v>
      </c>
      <c r="CP399" s="237" t="n">
        <f aca="false">CP397*$AC$395*CP398*CP$38*'⑫ Roll-out Plan'!$O$44</f>
        <v>0</v>
      </c>
      <c r="CQ399" s="237" t="n">
        <f aca="false">CQ397*$AC$395*CQ398*CQ$38*'⑫ Roll-out Plan'!$O$44</f>
        <v>0</v>
      </c>
      <c r="CR399" s="237" t="n">
        <f aca="false">CR397*$AC$395*CR398*CR$38*'⑫ Roll-out Plan'!$O$44</f>
        <v>0</v>
      </c>
      <c r="CS399" s="237" t="n">
        <f aca="false">CS397*$AC$395*CS398*CS$38*'⑫ Roll-out Plan'!$O$44</f>
        <v>0</v>
      </c>
      <c r="CT399" s="237" t="n">
        <f aca="false">CT397*$AC$395*CT398*CT$38*'⑫ Roll-out Plan'!$O$44</f>
        <v>0</v>
      </c>
      <c r="CU399" s="237" t="n">
        <f aca="false">CU397*$AC$395*CU398*CU$38*'⑫ Roll-out Plan'!$O$44</f>
        <v>0</v>
      </c>
      <c r="CV399" s="237" t="n">
        <f aca="false">CV397*$AC$395*CV398*CV$38*'⑫ Roll-out Plan'!$O$44</f>
        <v>0</v>
      </c>
      <c r="CW399" s="237" t="n">
        <f aca="false">CW397*$AC$395*CW398*CW$38*'⑫ Roll-out Plan'!$O$44</f>
        <v>0</v>
      </c>
      <c r="CX399" s="237" t="n">
        <f aca="false">CX397*$AC$395*CX398*CX$38*'⑫ Roll-out Plan'!$O$44</f>
        <v>0</v>
      </c>
      <c r="CY399" s="237" t="n">
        <f aca="false">CY397*$AC$395*CY398*CY$38*'⑫ Roll-out Plan'!$O$44</f>
        <v>0</v>
      </c>
      <c r="CZ399" s="237" t="n">
        <f aca="false">CZ397*$AC$395*CZ398*CZ$38*'⑫ Roll-out Plan'!$O$44</f>
        <v>0</v>
      </c>
      <c r="DA399" s="237" t="n">
        <f aca="false">DA397*$AC$395*DA398*DA$38*'⑫ Roll-out Plan'!$O$44</f>
        <v>0</v>
      </c>
      <c r="DB399" s="237" t="n">
        <f aca="false">DB397*$AC$395*DB398*DB$38*'⑫ Roll-out Plan'!$O$44</f>
        <v>0</v>
      </c>
      <c r="DC399" s="237" t="n">
        <f aca="false">DC397*$AC$395*DC398*DC$38*'⑫ Roll-out Plan'!$O$44</f>
        <v>0</v>
      </c>
      <c r="DD399" s="237" t="n">
        <f aca="false">DD397*$AC$395*DD398*DD$38*'⑫ Roll-out Plan'!$O$44</f>
        <v>0</v>
      </c>
      <c r="DE399" s="237" t="n">
        <f aca="false">DE397*$AC$395*DE398*DE$38*'⑫ Roll-out Plan'!$O$44</f>
        <v>0</v>
      </c>
      <c r="DF399" s="237" t="n">
        <f aca="false">DF397*$AC$395*DF398*DF$38*'⑫ Roll-out Plan'!$O$44</f>
        <v>0</v>
      </c>
      <c r="DG399" s="237" t="n">
        <f aca="false">DG397*$AC$395*DG398*DG$38*'⑫ Roll-out Plan'!$O$44</f>
        <v>0</v>
      </c>
      <c r="DH399" s="237" t="n">
        <f aca="false">DH397*$AC$395*DH398*DH$38*'⑫ Roll-out Plan'!$O$44</f>
        <v>0</v>
      </c>
      <c r="DI399" s="237" t="n">
        <f aca="false">DI397*$AC$395*DI398*DI$38*'⑫ Roll-out Plan'!$O$44</f>
        <v>0</v>
      </c>
      <c r="DJ399" s="237" t="n">
        <f aca="false">DJ397*$AC$395*DJ398*DJ$38*'⑫ Roll-out Plan'!$O$44</f>
        <v>0</v>
      </c>
      <c r="DK399" s="237" t="n">
        <f aca="false">DK397*$AC$395*DK398*DK$38*'⑫ Roll-out Plan'!$O$44</f>
        <v>0</v>
      </c>
      <c r="DL399" s="237" t="n">
        <f aca="false">DL397*$AC$395*DL398*DL$38*'⑫ Roll-out Plan'!$O$44</f>
        <v>0</v>
      </c>
      <c r="DM399" s="237" t="n">
        <f aca="false">DM397*$AC$395*DM398*DM$38*'⑫ Roll-out Plan'!$O$44</f>
        <v>0</v>
      </c>
      <c r="DN399" s="237" t="n">
        <f aca="false">DN397*$AC$395*DN398*DN$38*'⑫ Roll-out Plan'!$O$44</f>
        <v>0</v>
      </c>
      <c r="DO399" s="237" t="n">
        <f aca="false">DO397*$AC$395*DO398*DO$38*'⑫ Roll-out Plan'!$O$44</f>
        <v>0</v>
      </c>
      <c r="DP399" s="237" t="n">
        <f aca="false">DP397*$AC$395*DP398*DP$38*'⑫ Roll-out Plan'!$O$44</f>
        <v>0</v>
      </c>
      <c r="DQ399" s="237" t="n">
        <f aca="false">DQ397*$AC$395*DQ398*DQ$38*'⑫ Roll-out Plan'!$O$44</f>
        <v>0</v>
      </c>
      <c r="DR399" s="237" t="n">
        <f aca="false">DR397*$AC$395*DR398*DR$38*'⑫ Roll-out Plan'!$O$44</f>
        <v>0</v>
      </c>
      <c r="DS399" s="237" t="n">
        <f aca="false">DS397*$AC$395*DS398*DS$38*'⑫ Roll-out Plan'!$O$44</f>
        <v>0</v>
      </c>
      <c r="DT399" s="237" t="n">
        <f aca="false">DT397*$AC$395*DT398*DT$38*'⑫ Roll-out Plan'!$O$44</f>
        <v>0</v>
      </c>
      <c r="DU399" s="237" t="n">
        <f aca="false">DU397*$AC$395*DU398*DU$38*'⑫ Roll-out Plan'!$O$44</f>
        <v>0</v>
      </c>
      <c r="DV399" s="237" t="n">
        <f aca="false">DV397*$AC$395*DV398*DV$38*'⑫ Roll-out Plan'!$O$44</f>
        <v>0</v>
      </c>
      <c r="DW399" s="237" t="n">
        <f aca="false">DW397*$AC$395*DW398*DW$38*'⑫ Roll-out Plan'!$O$44</f>
        <v>0</v>
      </c>
      <c r="DX399" s="237" t="n">
        <f aca="false">DX397*$AC$395*DX398*DX$38*'⑫ Roll-out Plan'!$O$44</f>
        <v>40.7</v>
      </c>
      <c r="DY399" s="237" t="n">
        <f aca="false">DY397*$AC$395*DY398*DY$38*'⑫ Roll-out Plan'!$O$44</f>
        <v>37.444</v>
      </c>
      <c r="DZ399" s="237" t="n">
        <f aca="false">DZ397*$AC$395*DZ398*DZ$38*'⑫ Roll-out Plan'!$O$44</f>
        <v>35.52</v>
      </c>
      <c r="EA399" s="237" t="n">
        <f aca="false">EA397*$AC$395*EA398*EA$38*'⑫ Roll-out Plan'!$O$44</f>
        <v>41.958</v>
      </c>
      <c r="EB399" s="237" t="n">
        <f aca="false">EB397*$AC$395*EB398*EB$38*'⑫ Roll-out Plan'!$O$44</f>
        <v>70.929</v>
      </c>
      <c r="EC399" s="237" t="n">
        <f aca="false">EC397*$AC$395*EC398*EC$38*'⑫ Roll-out Plan'!$O$44</f>
        <v>66.526</v>
      </c>
      <c r="ED399" s="237" t="n">
        <f aca="false">ED397*$AC$395*ED398*ED$38*'⑫ Roll-out Plan'!$O$44</f>
        <v>62.16</v>
      </c>
      <c r="EE399" s="237" t="n">
        <f aca="false">EE397*$AC$395*EE398*EE$38*'⑫ Roll-out Plan'!$O$44</f>
        <v>51.948</v>
      </c>
      <c r="EF399" s="237" t="n">
        <f aca="false">EF397*$AC$395*EF398*EF$38*'⑫ Roll-out Plan'!$O$44</f>
        <v>83.028</v>
      </c>
      <c r="EG399" s="237" t="n">
        <f aca="false">EG397*$AC$395*EG398*EG$38*'⑫ Roll-out Plan'!$O$44</f>
        <v>87.912</v>
      </c>
      <c r="EH399" s="237" t="n">
        <f aca="false">EH397*$AC$395*EH398*EH$38*'⑫ Roll-out Plan'!$O$44</f>
        <v>72.816</v>
      </c>
      <c r="EI399" s="237" t="n">
        <f aca="false">EI397*$AC$395*EI398*EI$38*'⑫ Roll-out Plan'!$O$44</f>
        <v>111.592</v>
      </c>
      <c r="EJ399" s="237" t="n">
        <f aca="false">EJ397*$AC$395*EJ398*EJ$38*'⑫ Roll-out Plan'!$O$44</f>
        <v>113.96</v>
      </c>
      <c r="EK399" s="237" t="n">
        <f aca="false">EK397*$AC$395*EK398*EK$38*'⑫ Roll-out Plan'!$O$44</f>
        <v>102.12</v>
      </c>
      <c r="EL399" s="237" t="n">
        <f aca="false">EL397*$AC$395*EL398*EL$38*'⑫ Roll-out Plan'!$O$44</f>
        <v>88.8</v>
      </c>
      <c r="EM399" s="237" t="n">
        <f aca="false">EM397*$AC$395*EM398*EM$38*'⑫ Roll-out Plan'!$O$44</f>
        <v>117.4824</v>
      </c>
      <c r="EN399" s="237" t="n">
        <f aca="false">EN397*$AC$395*EN398*EN$38*'⑫ Roll-out Plan'!$O$44</f>
        <v>208.0584</v>
      </c>
      <c r="EO399" s="237" t="n">
        <f aca="false">EO397*$AC$395*EO398*EO$38*'⑫ Roll-out Plan'!$O$44</f>
        <v>177.6888</v>
      </c>
      <c r="EP399" s="237" t="n">
        <f aca="false">EP397*$AC$395*EP398*EP$38*'⑫ Roll-out Plan'!$O$44</f>
        <v>151.3152</v>
      </c>
      <c r="EQ399" s="237" t="n">
        <f aca="false">EQ397*$AC$395*EQ398*EQ$38*'⑫ Roll-out Plan'!$O$44</f>
        <v>113.4864</v>
      </c>
      <c r="ER399" s="237" t="n">
        <f aca="false">ER397*$AC$395*ER398*ER$38*'⑫ Roll-out Plan'!$O$44</f>
        <v>165.3012</v>
      </c>
      <c r="ES399" s="9" t="n">
        <f aca="false">ES397*$AC$395*ES398*ES$38*'⑫ Roll-out Plan'!$O$44</f>
        <v>179.82</v>
      </c>
      <c r="ET399" s="9" t="n">
        <f aca="false">ET397*$AC$395*ET398*ET$38*'⑫ Roll-out Plan'!$O$44</f>
        <v>140.1708</v>
      </c>
      <c r="EU399" s="9" t="n">
        <f aca="false">EU397*$AC$395*EU398*EU$38*'⑫ Roll-out Plan'!$O$44</f>
        <v>203.4408</v>
      </c>
      <c r="EV399" s="9" t="n">
        <f aca="false">EV397*$AC$395*EV398*EV$38*'⑫ Roll-out Plan'!$O$44</f>
        <v>192.918</v>
      </c>
      <c r="EW399" s="9" t="n">
        <f aca="false">EW397*$AC$395*EW398*EW$38*'⑫ Roll-out Plan'!$O$44</f>
        <v>163.392</v>
      </c>
      <c r="EX399" s="9" t="n">
        <f aca="false">EX397*$AC$395*EX398*EX$38*'⑫ Roll-out Plan'!$O$44</f>
        <v>145.632</v>
      </c>
      <c r="EY399" s="9" t="n">
        <f aca="false">EY397*$AC$395*EY398*EY$38*'⑫ Roll-out Plan'!$O$44</f>
        <v>156.6432</v>
      </c>
      <c r="EZ399" s="9" t="n">
        <f aca="false">EZ397*$AC$395*EZ398*EZ$38*'⑫ Roll-out Plan'!$O$44</f>
        <v>267.954</v>
      </c>
      <c r="FA399" s="9" t="n">
        <f aca="false">FA397*$AC$395*FA398*FA$38*'⑫ Roll-out Plan'!$O$44</f>
        <v>218.892</v>
      </c>
      <c r="FB399" s="9" t="n">
        <f aca="false">FB397*$AC$395*FB398*FB$38*'⑫ Roll-out Plan'!$O$44</f>
        <v>183.2832</v>
      </c>
      <c r="FC399" s="9" t="n">
        <f aca="false">FC397*$AC$395*FC398*FC$38*'⑫ Roll-out Plan'!$O$44</f>
        <v>140.6592</v>
      </c>
      <c r="FD399" s="9" t="n">
        <f aca="false">FD397*$AC$395*FD398*FD$38*'⑫ Roll-out Plan'!$O$44</f>
        <v>201.5316</v>
      </c>
      <c r="FE399" s="9" t="n">
        <f aca="false">FE397*$AC$395*FE398*FE$38*'⑫ Roll-out Plan'!$O$44</f>
        <v>215.784</v>
      </c>
      <c r="FF399" s="9" t="n">
        <f aca="false">FF397*$AC$395*FF398*FF$38*'⑫ Roll-out Plan'!$O$44</f>
        <v>163.836</v>
      </c>
      <c r="FG399" s="9" t="n">
        <f aca="false">FG397*$AC$395*FG398*FG$38*'⑫ Roll-out Plan'!$O$44</f>
        <v>236.9184</v>
      </c>
      <c r="FH399" s="9" t="n">
        <f aca="false">FH397*$AC$395*FH398*FH$38*'⑫ Roll-out Plan'!$O$44</f>
        <v>227.106</v>
      </c>
      <c r="FI399" s="9" t="n">
        <f aca="false">FI397*$AC$395*FI398*FI$38*'⑫ Roll-out Plan'!$O$44</f>
        <v>191.9856</v>
      </c>
      <c r="FJ399" s="9" t="n">
        <f aca="false">FJ397*$AC$395*FJ398*FJ$38*'⑫ Roll-out Plan'!$O$44</f>
        <v>168.72</v>
      </c>
      <c r="FK399" s="9" t="n">
        <f aca="false">FK397*$AC$395*FK398*FK$38*'⑫ Roll-out Plan'!$O$44</f>
        <v>177.156</v>
      </c>
      <c r="FL399" s="9" t="n">
        <f aca="false">FL397*$AC$395*FL398*FL$38*'⑫ Roll-out Plan'!$O$44</f>
        <v>305.7828</v>
      </c>
      <c r="FM399" s="9" t="n">
        <f aca="false">FM397*$AC$395*FM398*FM$38*'⑫ Roll-out Plan'!$O$44</f>
        <v>252.3696</v>
      </c>
      <c r="FN399" s="9" t="n">
        <f aca="false">FN397*$AC$395*FN398*FN$38*'⑫ Roll-out Plan'!$O$44</f>
        <v>210.9888</v>
      </c>
      <c r="FO399" s="9" t="n">
        <f aca="false">FO397*$AC$395*FO398*FO$38*'⑫ Roll-out Plan'!$O$44</f>
        <v>159.84</v>
      </c>
      <c r="FP399" s="9" t="n">
        <f aca="false">FP397*$AC$395*FP398*FP$38*'⑫ Roll-out Plan'!$O$44</f>
        <v>226.44</v>
      </c>
    </row>
    <row r="400" customFormat="false" ht="15" hidden="false" customHeight="false" outlineLevel="2" collapsed="false">
      <c r="B400" s="47" t="s">
        <v>877</v>
      </c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237" t="n">
        <f aca="true">IFERROR(SUMPRODUCT(OFFSET($BJ$31,0,1-MIN(60,COLUMN()-29),1,MIN(60,COLUMN()-29)),OFFSET(AC399,0,-MIN(60,COLUMN()-29),1,MIN(60,COLUMN()-29))),0)</f>
        <v>0</v>
      </c>
      <c r="AD400" s="237" t="n">
        <f aca="true">IFERROR(SUMPRODUCT(OFFSET($BJ$31,0,1-MIN(60,COLUMN()-29),1,MIN(60,COLUMN()-29)),OFFSET(AD399,0,-MIN(60,COLUMN()-29),1,MIN(60,COLUMN()-29))),0)</f>
        <v>0</v>
      </c>
      <c r="AE400" s="237" t="n">
        <f aca="true">IFERROR(SUMPRODUCT(OFFSET($BJ$31,0,1-MIN(60,COLUMN()-29),1,MIN(60,COLUMN()-29)),OFFSET(AE399,0,-MIN(60,COLUMN()-29),1,MIN(60,COLUMN()-29))),0)</f>
        <v>0</v>
      </c>
      <c r="AF400" s="237" t="n">
        <f aca="true">IFERROR(SUMPRODUCT(OFFSET($BJ$31,0,1-MIN(60,COLUMN()-29),1,MIN(60,COLUMN()-29)),OFFSET(AF399,0,-MIN(60,COLUMN()-29),1,MIN(60,COLUMN()-29))),0)</f>
        <v>0</v>
      </c>
      <c r="AG400" s="237" t="n">
        <f aca="true">IFERROR(SUMPRODUCT(OFFSET($BJ$31,0,1-MIN(60,COLUMN()-29),1,MIN(60,COLUMN()-29)),OFFSET(AG399,0,-MIN(60,COLUMN()-29),1,MIN(60,COLUMN()-29))),0)</f>
        <v>0</v>
      </c>
      <c r="AH400" s="237" t="n">
        <f aca="true">IFERROR(SUMPRODUCT(OFFSET($BJ$31,0,1-MIN(60,COLUMN()-29),1,MIN(60,COLUMN()-29)),OFFSET(AH399,0,-MIN(60,COLUMN()-29),1,MIN(60,COLUMN()-29))),0)</f>
        <v>0</v>
      </c>
      <c r="AI400" s="237" t="n">
        <f aca="true">IFERROR(SUMPRODUCT(OFFSET($BJ$31,0,1-MIN(60,COLUMN()-29),1,MIN(60,COLUMN()-29)),OFFSET(AI399,0,-MIN(60,COLUMN()-29),1,MIN(60,COLUMN()-29))),0)</f>
        <v>0</v>
      </c>
      <c r="AJ400" s="237" t="n">
        <f aca="true">IFERROR(SUMPRODUCT(OFFSET($BJ$31,0,1-MIN(60,COLUMN()-29),1,MIN(60,COLUMN()-29)),OFFSET(AJ399,0,-MIN(60,COLUMN()-29),1,MIN(60,COLUMN()-29))),0)</f>
        <v>0</v>
      </c>
      <c r="AK400" s="237" t="n">
        <f aca="true">IFERROR(SUMPRODUCT(OFFSET($BJ$31,0,1-MIN(60,COLUMN()-29),1,MIN(60,COLUMN()-29)),OFFSET(AK399,0,-MIN(60,COLUMN()-29),1,MIN(60,COLUMN()-29))),0)</f>
        <v>0</v>
      </c>
      <c r="AL400" s="237" t="n">
        <f aca="true">IFERROR(SUMPRODUCT(OFFSET($BJ$31,0,1-MIN(60,COLUMN()-29),1,MIN(60,COLUMN()-29)),OFFSET(AL399,0,-MIN(60,COLUMN()-29),1,MIN(60,COLUMN()-29))),0)</f>
        <v>0</v>
      </c>
      <c r="AM400" s="237" t="n">
        <f aca="true">IFERROR(SUMPRODUCT(OFFSET($BJ$31,0,1-MIN(60,COLUMN()-29),1,MIN(60,COLUMN()-29)),OFFSET(AM399,0,-MIN(60,COLUMN()-29),1,MIN(60,COLUMN()-29))),0)</f>
        <v>0</v>
      </c>
      <c r="AN400" s="237" t="n">
        <f aca="true">IFERROR(SUMPRODUCT(OFFSET($BJ$31,0,1-MIN(60,COLUMN()-29),1,MIN(60,COLUMN()-29)),OFFSET(AN399,0,-MIN(60,COLUMN()-29),1,MIN(60,COLUMN()-29))),0)</f>
        <v>0</v>
      </c>
      <c r="AO400" s="237" t="n">
        <f aca="true">IFERROR(SUMPRODUCT(OFFSET($BJ$31,0,1-MIN(60,COLUMN()-29),1,MIN(60,COLUMN()-29)),OFFSET(AO399,0,-MIN(60,COLUMN()-29),1,MIN(60,COLUMN()-29))),0)</f>
        <v>0</v>
      </c>
      <c r="AP400" s="237" t="n">
        <f aca="true">IFERROR(SUMPRODUCT(OFFSET($BJ$31,0,1-MIN(60,COLUMN()-29),1,MIN(60,COLUMN()-29)),OFFSET(AP399,0,-MIN(60,COLUMN()-29),1,MIN(60,COLUMN()-29))),0)</f>
        <v>0</v>
      </c>
      <c r="AQ400" s="237" t="n">
        <f aca="true">IFERROR(SUMPRODUCT(OFFSET($BJ$31,0,1-MIN(60,COLUMN()-29),1,MIN(60,COLUMN()-29)),OFFSET(AQ399,0,-MIN(60,COLUMN()-29),1,MIN(60,COLUMN()-29))),0)</f>
        <v>0</v>
      </c>
      <c r="AR400" s="237" t="n">
        <f aca="true">IFERROR(SUMPRODUCT(OFFSET($BJ$31,0,1-MIN(60,COLUMN()-29),1,MIN(60,COLUMN()-29)),OFFSET(AR399,0,-MIN(60,COLUMN()-29),1,MIN(60,COLUMN()-29))),0)</f>
        <v>0</v>
      </c>
      <c r="AS400" s="237" t="n">
        <f aca="true">IFERROR(SUMPRODUCT(OFFSET($BJ$31,0,1-MIN(60,COLUMN()-29),1,MIN(60,COLUMN()-29)),OFFSET(AS399,0,-MIN(60,COLUMN()-29),1,MIN(60,COLUMN()-29))),0)</f>
        <v>0</v>
      </c>
      <c r="AT400" s="237" t="n">
        <f aca="true">IFERROR(SUMPRODUCT(OFFSET($BJ$31,0,1-MIN(60,COLUMN()-29),1,MIN(60,COLUMN()-29)),OFFSET(AT399,0,-MIN(60,COLUMN()-29),1,MIN(60,COLUMN()-29))),0)</f>
        <v>0</v>
      </c>
      <c r="AU400" s="237" t="n">
        <f aca="true">IFERROR(SUMPRODUCT(OFFSET($BJ$31,0,1-MIN(60,COLUMN()-29),1,MIN(60,COLUMN()-29)),OFFSET(AU399,0,-MIN(60,COLUMN()-29),1,MIN(60,COLUMN()-29))),0)</f>
        <v>0</v>
      </c>
      <c r="AV400" s="237" t="n">
        <f aca="true">IFERROR(SUMPRODUCT(OFFSET($BJ$31,0,1-MIN(60,COLUMN()-29),1,MIN(60,COLUMN()-29)),OFFSET(AV399,0,-MIN(60,COLUMN()-29),1,MIN(60,COLUMN()-29))),0)</f>
        <v>0</v>
      </c>
      <c r="AW400" s="237" t="n">
        <f aca="true">IFERROR(SUMPRODUCT(OFFSET($BJ$31,0,1-MIN(60,COLUMN()-29),1,MIN(60,COLUMN()-29)),OFFSET(AW399,0,-MIN(60,COLUMN()-29),1,MIN(60,COLUMN()-29))),0)</f>
        <v>0</v>
      </c>
      <c r="AX400" s="237" t="n">
        <f aca="true">IFERROR(SUMPRODUCT(OFFSET($BJ$31,0,1-MIN(60,COLUMN()-29),1,MIN(60,COLUMN()-29)),OFFSET(AX399,0,-MIN(60,COLUMN()-29),1,MIN(60,COLUMN()-29))),0)</f>
        <v>0</v>
      </c>
      <c r="AY400" s="237" t="n">
        <f aca="true">IFERROR(SUMPRODUCT(OFFSET($BJ$31,0,1-MIN(60,COLUMN()-29),1,MIN(60,COLUMN()-29)),OFFSET(AY399,0,-MIN(60,COLUMN()-29),1,MIN(60,COLUMN()-29))),0)</f>
        <v>0</v>
      </c>
      <c r="AZ400" s="237" t="n">
        <f aca="true">IFERROR(SUMPRODUCT(OFFSET($BJ$31,0,1-MIN(60,COLUMN()-29),1,MIN(60,COLUMN()-29)),OFFSET(AZ399,0,-MIN(60,COLUMN()-29),1,MIN(60,COLUMN()-29))),0)</f>
        <v>0</v>
      </c>
      <c r="BA400" s="237" t="n">
        <f aca="true">IFERROR(SUMPRODUCT(OFFSET($BJ$31,0,1-MIN(60,COLUMN()-29),1,MIN(60,COLUMN()-29)),OFFSET(BA399,0,-MIN(60,COLUMN()-29),1,MIN(60,COLUMN()-29))),0)</f>
        <v>0</v>
      </c>
      <c r="BB400" s="237" t="n">
        <f aca="true">IFERROR(SUMPRODUCT(OFFSET($BJ$31,0,1-MIN(60,COLUMN()-29),1,MIN(60,COLUMN()-29)),OFFSET(BB399,0,-MIN(60,COLUMN()-29),1,MIN(60,COLUMN()-29))),0)</f>
        <v>0</v>
      </c>
      <c r="BC400" s="237" t="n">
        <f aca="true">IFERROR(SUMPRODUCT(OFFSET($BJ$31,0,1-MIN(60,COLUMN()-29),1,MIN(60,COLUMN()-29)),OFFSET(BC399,0,-MIN(60,COLUMN()-29),1,MIN(60,COLUMN()-29))),0)</f>
        <v>0</v>
      </c>
      <c r="BD400" s="237" t="n">
        <f aca="true">IFERROR(SUMPRODUCT(OFFSET($BJ$31,0,1-MIN(60,COLUMN()-29),1,MIN(60,COLUMN()-29)),OFFSET(BD399,0,-MIN(60,COLUMN()-29),1,MIN(60,COLUMN()-29))),0)</f>
        <v>0</v>
      </c>
      <c r="BE400" s="237" t="n">
        <f aca="true">IFERROR(SUMPRODUCT(OFFSET($BJ$31,0,1-MIN(60,COLUMN()-29),1,MIN(60,COLUMN()-29)),OFFSET(BE399,0,-MIN(60,COLUMN()-29),1,MIN(60,COLUMN()-29))),0)</f>
        <v>0</v>
      </c>
      <c r="BF400" s="237" t="n">
        <f aca="true">IFERROR(SUMPRODUCT(OFFSET($BJ$31,0,1-MIN(60,COLUMN()-29),1,MIN(60,COLUMN()-29)),OFFSET(BF399,0,-MIN(60,COLUMN()-29),1,MIN(60,COLUMN()-29))),0)</f>
        <v>0</v>
      </c>
      <c r="BG400" s="237" t="n">
        <f aca="true">IFERROR(SUMPRODUCT(OFFSET($BJ$31,0,1-MIN(60,COLUMN()-29),1,MIN(60,COLUMN()-29)),OFFSET(BG399,0,-MIN(60,COLUMN()-29),1,MIN(60,COLUMN()-29))),0)</f>
        <v>0</v>
      </c>
      <c r="BH400" s="237" t="n">
        <f aca="true">IFERROR(SUMPRODUCT(OFFSET($BJ$31,0,1-MIN(60,COLUMN()-29),1,MIN(60,COLUMN()-29)),OFFSET(BH399,0,-MIN(60,COLUMN()-29),1,MIN(60,COLUMN()-29))),0)</f>
        <v>0</v>
      </c>
      <c r="BI400" s="237" t="n">
        <f aca="true">IFERROR(SUMPRODUCT(OFFSET($BJ$31,0,1-MIN(60,COLUMN()-29),1,MIN(60,COLUMN()-29)),OFFSET(BI399,0,-MIN(60,COLUMN()-29),1,MIN(60,COLUMN()-29))),0)</f>
        <v>0</v>
      </c>
      <c r="BJ400" s="237" t="n">
        <f aca="true">IFERROR(SUMPRODUCT(OFFSET($BJ$31,0,1-MIN(60,COLUMN()-29),1,MIN(60,COLUMN()-29)),OFFSET(BJ399,0,-MIN(60,COLUMN()-29),1,MIN(60,COLUMN()-29))),0)</f>
        <v>0</v>
      </c>
      <c r="BK400" s="237" t="n">
        <f aca="true">IFERROR(SUMPRODUCT(OFFSET($BJ$31,0,1-MIN(60,COLUMN()-29),1,MIN(60,COLUMN()-29)),OFFSET(BK399,0,-MIN(60,COLUMN()-29),1,MIN(60,COLUMN()-29))),0)</f>
        <v>0</v>
      </c>
      <c r="BL400" s="237" t="n">
        <f aca="true">IFERROR(SUMPRODUCT(OFFSET($BJ$31,0,1-MIN(60,COLUMN()-29),1,MIN(60,COLUMN()-29)),OFFSET(BL399,0,-MIN(60,COLUMN()-29),1,MIN(60,COLUMN()-29))),0)</f>
        <v>0</v>
      </c>
      <c r="BM400" s="237" t="n">
        <f aca="true">IFERROR(SUMPRODUCT(OFFSET($BJ$31,0,1-MIN(60,COLUMN()-29),1,MIN(60,COLUMN()-29)),OFFSET(BM399,0,-MIN(60,COLUMN()-29),1,MIN(60,COLUMN()-29))),0)</f>
        <v>0</v>
      </c>
      <c r="BN400" s="237" t="n">
        <f aca="true">IFERROR(SUMPRODUCT(OFFSET($BJ$31,0,1-MIN(60,COLUMN()-29),1,MIN(60,COLUMN()-29)),OFFSET(BN399,0,-MIN(60,COLUMN()-29),1,MIN(60,COLUMN()-29))),0)</f>
        <v>0</v>
      </c>
      <c r="BO400" s="237" t="n">
        <f aca="true">IFERROR(SUMPRODUCT(OFFSET($BJ$31,0,1-MIN(60,COLUMN()-29),1,MIN(60,COLUMN()-29)),OFFSET(BO399,0,-MIN(60,COLUMN()-29),1,MIN(60,COLUMN()-29))),0)</f>
        <v>0</v>
      </c>
      <c r="BP400" s="237" t="n">
        <f aca="true">IFERROR(SUMPRODUCT(OFFSET($BJ$31,0,1-MIN(60,COLUMN()-29),1,MIN(60,COLUMN()-29)),OFFSET(BP399,0,-MIN(60,COLUMN()-29),1,MIN(60,COLUMN()-29))),0)</f>
        <v>0</v>
      </c>
      <c r="BQ400" s="237" t="n">
        <f aca="true">IFERROR(SUMPRODUCT(OFFSET($BJ$31,0,1-MIN(60,COLUMN()-29),1,MIN(60,COLUMN()-29)),OFFSET(BQ399,0,-MIN(60,COLUMN()-29),1,MIN(60,COLUMN()-29))),0)</f>
        <v>0</v>
      </c>
      <c r="BR400" s="237" t="n">
        <f aca="true">IFERROR(SUMPRODUCT(OFFSET($BJ$31,0,1-MIN(60,COLUMN()-29),1,MIN(60,COLUMN()-29)),OFFSET(BR399,0,-MIN(60,COLUMN()-29),1,MIN(60,COLUMN()-29))),0)</f>
        <v>0</v>
      </c>
      <c r="BS400" s="237" t="n">
        <f aca="true">IFERROR(SUMPRODUCT(OFFSET($BJ$31,0,1-MIN(60,COLUMN()-29),1,MIN(60,COLUMN()-29)),OFFSET(BS399,0,-MIN(60,COLUMN()-29),1,MIN(60,COLUMN()-29))),0)</f>
        <v>0</v>
      </c>
      <c r="BT400" s="237" t="n">
        <f aca="true">IFERROR(SUMPRODUCT(OFFSET($BJ$31,0,1-MIN(60,COLUMN()-29),1,MIN(60,COLUMN()-29)),OFFSET(BT399,0,-MIN(60,COLUMN()-29),1,MIN(60,COLUMN()-29))),0)</f>
        <v>0</v>
      </c>
      <c r="BU400" s="237" t="n">
        <f aca="true">IFERROR(SUMPRODUCT(OFFSET($BJ$31,0,1-MIN(60,COLUMN()-29),1,MIN(60,COLUMN()-29)),OFFSET(BU399,0,-MIN(60,COLUMN()-29),1,MIN(60,COLUMN()-29))),0)</f>
        <v>0</v>
      </c>
      <c r="BV400" s="237" t="n">
        <f aca="true">IFERROR(SUMPRODUCT(OFFSET($BJ$31,0,1-MIN(60,COLUMN()-29),1,MIN(60,COLUMN()-29)),OFFSET(BV399,0,-MIN(60,COLUMN()-29),1,MIN(60,COLUMN()-29))),0)</f>
        <v>0</v>
      </c>
      <c r="BW400" s="237" t="n">
        <f aca="true">IFERROR(SUMPRODUCT(OFFSET($BJ$31,0,1-MIN(60,COLUMN()-29),1,MIN(60,COLUMN()-29)),OFFSET(BW399,0,-MIN(60,COLUMN()-29),1,MIN(60,COLUMN()-29))),0)</f>
        <v>0</v>
      </c>
      <c r="BX400" s="237" t="n">
        <f aca="true">IFERROR(SUMPRODUCT(OFFSET($BJ$31,0,1-MIN(60,COLUMN()-29),1,MIN(60,COLUMN()-29)),OFFSET(BX399,0,-MIN(60,COLUMN()-29),1,MIN(60,COLUMN()-29))),0)</f>
        <v>0</v>
      </c>
      <c r="BY400" s="237" t="n">
        <f aca="true">IFERROR(SUMPRODUCT(OFFSET($BJ$31,0,1-MIN(60,COLUMN()-29),1,MIN(60,COLUMN()-29)),OFFSET(BY399,0,-MIN(60,COLUMN()-29),1,MIN(60,COLUMN()-29))),0)</f>
        <v>0</v>
      </c>
      <c r="BZ400" s="237" t="n">
        <f aca="true">IFERROR(SUMPRODUCT(OFFSET($BJ$31,0,1-MIN(60,COLUMN()-29),1,MIN(60,COLUMN()-29)),OFFSET(BZ399,0,-MIN(60,COLUMN()-29),1,MIN(60,COLUMN()-29))),0)</f>
        <v>0</v>
      </c>
      <c r="CA400" s="237" t="n">
        <f aca="true">IFERROR(SUMPRODUCT(OFFSET($BJ$31,0,1-MIN(60,COLUMN()-29),1,MIN(60,COLUMN()-29)),OFFSET(CA399,0,-MIN(60,COLUMN()-29),1,MIN(60,COLUMN()-29))),0)</f>
        <v>0</v>
      </c>
      <c r="CB400" s="237" t="n">
        <f aca="true">IFERROR(SUMPRODUCT(OFFSET($BJ$31,0,1-MIN(60,COLUMN()-29),1,MIN(60,COLUMN()-29)),OFFSET(CB399,0,-MIN(60,COLUMN()-29),1,MIN(60,COLUMN()-29))),0)</f>
        <v>0</v>
      </c>
      <c r="CC400" s="237" t="n">
        <f aca="true">IFERROR(SUMPRODUCT(OFFSET($BJ$31,0,1-MIN(60,COLUMN()-29),1,MIN(60,COLUMN()-29)),OFFSET(CC399,0,-MIN(60,COLUMN()-29),1,MIN(60,COLUMN()-29))),0)</f>
        <v>0</v>
      </c>
      <c r="CD400" s="237" t="n">
        <f aca="true">IFERROR(SUMPRODUCT(OFFSET($BJ$31,0,1-MIN(60,COLUMN()-29),1,MIN(60,COLUMN()-29)),OFFSET(CD399,0,-MIN(60,COLUMN()-29),1,MIN(60,COLUMN()-29))),0)</f>
        <v>0</v>
      </c>
      <c r="CE400" s="237" t="n">
        <f aca="true">IFERROR(SUMPRODUCT(OFFSET($BJ$31,0,1-MIN(60,COLUMN()-29),1,MIN(60,COLUMN()-29)),OFFSET(CE399,0,-MIN(60,COLUMN()-29),1,MIN(60,COLUMN()-29))),0)</f>
        <v>0</v>
      </c>
      <c r="CF400" s="237" t="n">
        <f aca="true">IFERROR(SUMPRODUCT(OFFSET($BJ$31,0,1-MIN(60,COLUMN()-29),1,MIN(60,COLUMN()-29)),OFFSET(CF399,0,-MIN(60,COLUMN()-29),1,MIN(60,COLUMN()-29))),0)</f>
        <v>0</v>
      </c>
      <c r="CG400" s="237" t="n">
        <f aca="true">IFERROR(SUMPRODUCT(OFFSET($BJ$31,0,1-MIN(60,COLUMN()-29),1,MIN(60,COLUMN()-29)),OFFSET(CG399,0,-MIN(60,COLUMN()-29),1,MIN(60,COLUMN()-29))),0)</f>
        <v>0</v>
      </c>
      <c r="CH400" s="237" t="n">
        <f aca="true">IFERROR(SUMPRODUCT(OFFSET($BJ$31,0,1-MIN(60,COLUMN()-29),1,MIN(60,COLUMN()-29)),OFFSET(CH399,0,-MIN(60,COLUMN()-29),1,MIN(60,COLUMN()-29))),0)</f>
        <v>0</v>
      </c>
      <c r="CI400" s="237" t="n">
        <f aca="true">IFERROR(SUMPRODUCT(OFFSET($BJ$31,0,1-MIN(60,COLUMN()-29),1,MIN(60,COLUMN()-29)),OFFSET(CI399,0,-MIN(60,COLUMN()-29),1,MIN(60,COLUMN()-29))),0)</f>
        <v>0</v>
      </c>
      <c r="CJ400" s="237" t="n">
        <f aca="true">IFERROR(SUMPRODUCT(OFFSET($BJ$31,0,1-MIN(60,COLUMN()-29),1,MIN(60,COLUMN()-29)),OFFSET(CJ399,0,-MIN(60,COLUMN()-29),1,MIN(60,COLUMN()-29))),0)</f>
        <v>0</v>
      </c>
      <c r="CK400" s="237" t="n">
        <f aca="true">IFERROR(SUMPRODUCT(OFFSET($BJ$31,0,1-MIN(60,COLUMN()-29),1,MIN(60,COLUMN()-29)),OFFSET(CK399,0,-MIN(60,COLUMN()-29),1,MIN(60,COLUMN()-29))),0)</f>
        <v>0</v>
      </c>
      <c r="CL400" s="237" t="n">
        <f aca="true">IFERROR(SUMPRODUCT(OFFSET($BJ$31,0,1-MIN(60,COLUMN()-29),1,MIN(60,COLUMN()-29)),OFFSET(CL399,0,-MIN(60,COLUMN()-29),1,MIN(60,COLUMN()-29))),0)</f>
        <v>0</v>
      </c>
      <c r="CM400" s="237" t="n">
        <f aca="true">IFERROR(SUMPRODUCT(OFFSET($BJ$31,0,1-MIN(60,COLUMN()-29),1,MIN(60,COLUMN()-29)),OFFSET(CM399,0,-MIN(60,COLUMN()-29),1,MIN(60,COLUMN()-29))),0)</f>
        <v>0</v>
      </c>
      <c r="CN400" s="237" t="n">
        <f aca="true">IFERROR(SUMPRODUCT(OFFSET($BJ$31,0,1-MIN(60,COLUMN()-29),1,MIN(60,COLUMN()-29)),OFFSET(CN399,0,-MIN(60,COLUMN()-29),1,MIN(60,COLUMN()-29))),0)</f>
        <v>0</v>
      </c>
      <c r="CO400" s="237" t="n">
        <f aca="true">IFERROR(SUMPRODUCT(OFFSET($BJ$31,0,1-MIN(60,COLUMN()-29),1,MIN(60,COLUMN()-29)),OFFSET(CO399,0,-MIN(60,COLUMN()-29),1,MIN(60,COLUMN()-29))),0)</f>
        <v>0</v>
      </c>
      <c r="CP400" s="237" t="n">
        <f aca="true">IFERROR(SUMPRODUCT(OFFSET($BJ$31,0,1-MIN(60,COLUMN()-29),1,MIN(60,COLUMN()-29)),OFFSET(CP399,0,-MIN(60,COLUMN()-29),1,MIN(60,COLUMN()-29))),0)</f>
        <v>0</v>
      </c>
      <c r="CQ400" s="237" t="n">
        <f aca="true">IFERROR(SUMPRODUCT(OFFSET($BJ$31,0,1-MIN(60,COLUMN()-29),1,MIN(60,COLUMN()-29)),OFFSET(CQ399,0,-MIN(60,COLUMN()-29),1,MIN(60,COLUMN()-29))),0)</f>
        <v>0</v>
      </c>
      <c r="CR400" s="237" t="n">
        <f aca="true">IFERROR(SUMPRODUCT(OFFSET($BJ$31,0,1-MIN(60,COLUMN()-29),1,MIN(60,COLUMN()-29)),OFFSET(CR399,0,-MIN(60,COLUMN()-29),1,MIN(60,COLUMN()-29))),0)</f>
        <v>0</v>
      </c>
      <c r="CS400" s="237" t="n">
        <f aca="true">IFERROR(SUMPRODUCT(OFFSET($BJ$31,0,1-MIN(60,COLUMN()-29),1,MIN(60,COLUMN()-29)),OFFSET(CS399,0,-MIN(60,COLUMN()-29),1,MIN(60,COLUMN()-29))),0)</f>
        <v>0</v>
      </c>
      <c r="CT400" s="237" t="n">
        <f aca="true">IFERROR(SUMPRODUCT(OFFSET($BJ$31,0,1-MIN(60,COLUMN()-29),1,MIN(60,COLUMN()-29)),OFFSET(CT399,0,-MIN(60,COLUMN()-29),1,MIN(60,COLUMN()-29))),0)</f>
        <v>0</v>
      </c>
      <c r="CU400" s="237" t="n">
        <f aca="true">IFERROR(SUMPRODUCT(OFFSET($BJ$31,0,1-MIN(60,COLUMN()-29),1,MIN(60,COLUMN()-29)),OFFSET(CU399,0,-MIN(60,COLUMN()-29),1,MIN(60,COLUMN()-29))),0)</f>
        <v>0</v>
      </c>
      <c r="CV400" s="237" t="n">
        <f aca="true">IFERROR(SUMPRODUCT(OFFSET($BJ$31,0,1-MIN(60,COLUMN()-29),1,MIN(60,COLUMN()-29)),OFFSET(CV399,0,-MIN(60,COLUMN()-29),1,MIN(60,COLUMN()-29))),0)</f>
        <v>0</v>
      </c>
      <c r="CW400" s="237" t="n">
        <f aca="true">IFERROR(SUMPRODUCT(OFFSET($BJ$31,0,1-MIN(60,COLUMN()-29),1,MIN(60,COLUMN()-29)),OFFSET(CW399,0,-MIN(60,COLUMN()-29),1,MIN(60,COLUMN()-29))),0)</f>
        <v>0</v>
      </c>
      <c r="CX400" s="237" t="n">
        <f aca="true">IFERROR(SUMPRODUCT(OFFSET($BJ$31,0,1-MIN(60,COLUMN()-29),1,MIN(60,COLUMN()-29)),OFFSET(CX399,0,-MIN(60,COLUMN()-29),1,MIN(60,COLUMN()-29))),0)</f>
        <v>0</v>
      </c>
      <c r="CY400" s="237" t="n">
        <f aca="true">IFERROR(SUMPRODUCT(OFFSET($BJ$31,0,1-MIN(60,COLUMN()-29),1,MIN(60,COLUMN()-29)),OFFSET(CY399,0,-MIN(60,COLUMN()-29),1,MIN(60,COLUMN()-29))),0)</f>
        <v>0</v>
      </c>
      <c r="CZ400" s="237" t="n">
        <f aca="true">IFERROR(SUMPRODUCT(OFFSET($BJ$31,0,1-MIN(60,COLUMN()-29),1,MIN(60,COLUMN()-29)),OFFSET(CZ399,0,-MIN(60,COLUMN()-29),1,MIN(60,COLUMN()-29))),0)</f>
        <v>0</v>
      </c>
      <c r="DA400" s="237" t="n">
        <f aca="true">IFERROR(SUMPRODUCT(OFFSET($BJ$31,0,1-MIN(60,COLUMN()-29),1,MIN(60,COLUMN()-29)),OFFSET(DA399,0,-MIN(60,COLUMN()-29),1,MIN(60,COLUMN()-29))),0)</f>
        <v>0</v>
      </c>
      <c r="DB400" s="237" t="n">
        <f aca="true">IFERROR(SUMPRODUCT(OFFSET($BJ$31,0,1-MIN(60,COLUMN()-29),1,MIN(60,COLUMN()-29)),OFFSET(DB399,0,-MIN(60,COLUMN()-29),1,MIN(60,COLUMN()-29))),0)</f>
        <v>0</v>
      </c>
      <c r="DC400" s="237" t="n">
        <f aca="true">IFERROR(SUMPRODUCT(OFFSET($BJ$31,0,1-MIN(60,COLUMN()-29),1,MIN(60,COLUMN()-29)),OFFSET(DC399,0,-MIN(60,COLUMN()-29),1,MIN(60,COLUMN()-29))),0)</f>
        <v>0</v>
      </c>
      <c r="DD400" s="237" t="n">
        <f aca="true">IFERROR(SUMPRODUCT(OFFSET($BJ$31,0,1-MIN(60,COLUMN()-29),1,MIN(60,COLUMN()-29)),OFFSET(DD399,0,-MIN(60,COLUMN()-29),1,MIN(60,COLUMN()-29))),0)</f>
        <v>0</v>
      </c>
      <c r="DE400" s="237" t="n">
        <f aca="true">IFERROR(SUMPRODUCT(OFFSET($BJ$31,0,1-MIN(60,COLUMN()-29),1,MIN(60,COLUMN()-29)),OFFSET(DE399,0,-MIN(60,COLUMN()-29),1,MIN(60,COLUMN()-29))),0)</f>
        <v>0</v>
      </c>
      <c r="DF400" s="237" t="n">
        <f aca="true">IFERROR(SUMPRODUCT(OFFSET($BJ$31,0,1-MIN(60,COLUMN()-29),1,MIN(60,COLUMN()-29)),OFFSET(DF399,0,-MIN(60,COLUMN()-29),1,MIN(60,COLUMN()-29))),0)</f>
        <v>0</v>
      </c>
      <c r="DG400" s="237" t="n">
        <f aca="true">IFERROR(SUMPRODUCT(OFFSET($BJ$31,0,1-MIN(60,COLUMN()-29),1,MIN(60,COLUMN()-29)),OFFSET(DG399,0,-MIN(60,COLUMN()-29),1,MIN(60,COLUMN()-29))),0)</f>
        <v>0</v>
      </c>
      <c r="DH400" s="237" t="n">
        <f aca="true">IFERROR(SUMPRODUCT(OFFSET($BJ$31,0,1-MIN(60,COLUMN()-29),1,MIN(60,COLUMN()-29)),OFFSET(DH399,0,-MIN(60,COLUMN()-29),1,MIN(60,COLUMN()-29))),0)</f>
        <v>0</v>
      </c>
      <c r="DI400" s="237" t="n">
        <f aca="true">IFERROR(SUMPRODUCT(OFFSET($BJ$31,0,1-MIN(60,COLUMN()-29),1,MIN(60,COLUMN()-29)),OFFSET(DI399,0,-MIN(60,COLUMN()-29),1,MIN(60,COLUMN()-29))),0)</f>
        <v>0</v>
      </c>
      <c r="DJ400" s="237" t="n">
        <f aca="true">IFERROR(SUMPRODUCT(OFFSET($BJ$31,0,1-MIN(60,COLUMN()-29),1,MIN(60,COLUMN()-29)),OFFSET(DJ399,0,-MIN(60,COLUMN()-29),1,MIN(60,COLUMN()-29))),0)</f>
        <v>0</v>
      </c>
      <c r="DK400" s="237" t="n">
        <f aca="true">IFERROR(SUMPRODUCT(OFFSET($BJ$31,0,1-MIN(60,COLUMN()-29),1,MIN(60,COLUMN()-29)),OFFSET(DK399,0,-MIN(60,COLUMN()-29),1,MIN(60,COLUMN()-29))),0)</f>
        <v>0</v>
      </c>
      <c r="DL400" s="237" t="n">
        <f aca="true">IFERROR(SUMPRODUCT(OFFSET($BJ$31,0,1-MIN(60,COLUMN()-29),1,MIN(60,COLUMN()-29)),OFFSET(DL399,0,-MIN(60,COLUMN()-29),1,MIN(60,COLUMN()-29))),0)</f>
        <v>0</v>
      </c>
      <c r="DM400" s="237" t="n">
        <f aca="true">IFERROR(SUMPRODUCT(OFFSET($BJ$31,0,1-MIN(60,COLUMN()-29),1,MIN(60,COLUMN()-29)),OFFSET(DM399,0,-MIN(60,COLUMN()-29),1,MIN(60,COLUMN()-29))),0)</f>
        <v>0</v>
      </c>
      <c r="DN400" s="237" t="n">
        <f aca="true">IFERROR(SUMPRODUCT(OFFSET($BJ$31,0,1-MIN(60,COLUMN()-29),1,MIN(60,COLUMN()-29)),OFFSET(DN399,0,-MIN(60,COLUMN()-29),1,MIN(60,COLUMN()-29))),0)</f>
        <v>0</v>
      </c>
      <c r="DO400" s="237" t="n">
        <f aca="true">IFERROR(SUMPRODUCT(OFFSET($BJ$31,0,1-MIN(60,COLUMN()-29),1,MIN(60,COLUMN()-29)),OFFSET(DO399,0,-MIN(60,COLUMN()-29),1,MIN(60,COLUMN()-29))),0)</f>
        <v>0</v>
      </c>
      <c r="DP400" s="237" t="n">
        <f aca="true">IFERROR(SUMPRODUCT(OFFSET($BJ$31,0,1-MIN(60,COLUMN()-29),1,MIN(60,COLUMN()-29)),OFFSET(DP399,0,-MIN(60,COLUMN()-29),1,MIN(60,COLUMN()-29))),0)</f>
        <v>0</v>
      </c>
      <c r="DQ400" s="237" t="n">
        <f aca="true">IFERROR(SUMPRODUCT(OFFSET($BJ$31,0,1-MIN(60,COLUMN()-29),1,MIN(60,COLUMN()-29)),OFFSET(DQ399,0,-MIN(60,COLUMN()-29),1,MIN(60,COLUMN()-29))),0)</f>
        <v>0</v>
      </c>
      <c r="DR400" s="237" t="n">
        <f aca="true">IFERROR(SUMPRODUCT(OFFSET($BJ$31,0,1-MIN(60,COLUMN()-29),1,MIN(60,COLUMN()-29)),OFFSET(DR399,0,-MIN(60,COLUMN()-29),1,MIN(60,COLUMN()-29))),0)</f>
        <v>0</v>
      </c>
      <c r="DS400" s="237" t="n">
        <f aca="true">IFERROR(SUMPRODUCT(OFFSET($BJ$31,0,1-MIN(60,COLUMN()-29),1,MIN(60,COLUMN()-29)),OFFSET(DS399,0,-MIN(60,COLUMN()-29),1,MIN(60,COLUMN()-29))),0)</f>
        <v>0</v>
      </c>
      <c r="DT400" s="237" t="n">
        <f aca="true">IFERROR(SUMPRODUCT(OFFSET($BJ$31,0,1-MIN(60,COLUMN()-29),1,MIN(60,COLUMN()-29)),OFFSET(DT399,0,-MIN(60,COLUMN()-29),1,MIN(60,COLUMN()-29))),0)</f>
        <v>0</v>
      </c>
      <c r="DU400" s="237" t="n">
        <f aca="true">IFERROR(SUMPRODUCT(OFFSET($BJ$31,0,1-MIN(60,COLUMN()-29),1,MIN(60,COLUMN()-29)),OFFSET(DU399,0,-MIN(60,COLUMN()-29),1,MIN(60,COLUMN()-29))),0)</f>
        <v>0</v>
      </c>
      <c r="DV400" s="237" t="n">
        <f aca="true">IFERROR(SUMPRODUCT(OFFSET($BJ$31,0,1-MIN(60,COLUMN()-29),1,MIN(60,COLUMN()-29)),OFFSET(DV399,0,-MIN(60,COLUMN()-29),1,MIN(60,COLUMN()-29))),0)</f>
        <v>0</v>
      </c>
      <c r="DW400" s="237" t="n">
        <f aca="true">IFERROR(SUMPRODUCT(OFFSET($BJ$31,0,1-MIN(60,COLUMN()-29),1,MIN(60,COLUMN()-29)),OFFSET(DW399,0,-MIN(60,COLUMN()-29),1,MIN(60,COLUMN()-29))),0)</f>
        <v>0</v>
      </c>
      <c r="DX400" s="237" t="n">
        <f aca="true">IFERROR(SUMPRODUCT(OFFSET($BJ$31,0,1-MIN(60,COLUMN()-29),1,MIN(60,COLUMN()-29)),OFFSET(DX399,0,-MIN(60,COLUMN()-29),1,MIN(60,COLUMN()-29))),0)</f>
        <v>0</v>
      </c>
      <c r="DY400" s="237" t="n">
        <f aca="true">IFERROR(SUMPRODUCT(OFFSET($BJ$31,0,1-MIN(60,COLUMN()-29),1,MIN(60,COLUMN()-29)),OFFSET(DY399,0,-MIN(60,COLUMN()-29),1,MIN(60,COLUMN()-29))),0)</f>
        <v>5.2096</v>
      </c>
      <c r="DZ400" s="237" t="n">
        <f aca="true">IFERROR(SUMPRODUCT(OFFSET($BJ$31,0,1-MIN(60,COLUMN()-29),1,MIN(60,COLUMN()-29)),OFFSET(DZ399,0,-MIN(60,COLUMN()-29),1,MIN(60,COLUMN()-29))),0)</f>
        <v>5.509152</v>
      </c>
      <c r="EA400" s="237" t="n">
        <f aca="true">IFERROR(SUMPRODUCT(OFFSET($BJ$31,0,1-MIN(60,COLUMN()-29),1,MIN(60,COLUMN()-29)),OFFSET(EA399,0,-MIN(60,COLUMN()-29),1,MIN(60,COLUMN()-29))),0)</f>
        <v>6.1172544</v>
      </c>
      <c r="EB400" s="237" t="n">
        <f aca="true">IFERROR(SUMPRODUCT(OFFSET($BJ$31,0,1-MIN(60,COLUMN()-29),1,MIN(60,COLUMN()-29)),OFFSET(EB399,0,-MIN(60,COLUMN()-29),1,MIN(60,COLUMN()-29))),0)</f>
        <v>7.3554816</v>
      </c>
      <c r="EC400" s="237" t="n">
        <f aca="true">IFERROR(SUMPRODUCT(OFFSET($BJ$31,0,1-MIN(60,COLUMN()-29),1,MIN(60,COLUMN()-29)),OFFSET(EC399,0,-MIN(60,COLUMN()-29),1,MIN(60,COLUMN()-29))),0)</f>
        <v>11.483024</v>
      </c>
      <c r="ED400" s="237" t="n">
        <f aca="true">IFERROR(SUMPRODUCT(OFFSET($BJ$31,0,1-MIN(60,COLUMN()-29),1,MIN(60,COLUMN()-29)),OFFSET(ED399,0,-MIN(60,COLUMN()-29),1,MIN(60,COLUMN()-29))),0)</f>
        <v>11.713016</v>
      </c>
      <c r="EE400" s="237" t="n">
        <f aca="true">IFERROR(SUMPRODUCT(OFFSET($BJ$31,0,1-MIN(60,COLUMN()-29),1,MIN(60,COLUMN()-29)),OFFSET(EE399,0,-MIN(60,COLUMN()-29),1,MIN(60,COLUMN()-29))),0)</f>
        <v>12.4251328</v>
      </c>
      <c r="EF400" s="237" t="n">
        <f aca="true">IFERROR(SUMPRODUCT(OFFSET($BJ$31,0,1-MIN(60,COLUMN()-29),1,MIN(60,COLUMN()-29)),OFFSET(EF399,0,-MIN(60,COLUMN()-29),1,MIN(60,COLUMN()-29))),0)</f>
        <v>11.5091904</v>
      </c>
      <c r="EG400" s="237" t="n">
        <f aca="true">IFERROR(SUMPRODUCT(OFFSET($BJ$31,0,1-MIN(60,COLUMN()-29),1,MIN(60,COLUMN()-29)),OFFSET(EG399,0,-MIN(60,COLUMN()-29),1,MIN(60,COLUMN()-29))),0)</f>
        <v>15.8068736</v>
      </c>
      <c r="EH400" s="237" t="n">
        <f aca="true">IFERROR(SUMPRODUCT(OFFSET($BJ$31,0,1-MIN(60,COLUMN()-29),1,MIN(60,COLUMN()-29)),OFFSET(EH399,0,-MIN(60,COLUMN()-29),1,MIN(60,COLUMN()-29))),0)</f>
        <v>17.5700272</v>
      </c>
      <c r="EI400" s="237" t="n">
        <f aca="true">IFERROR(SUMPRODUCT(OFFSET($BJ$31,0,1-MIN(60,COLUMN()-29),1,MIN(60,COLUMN()-29)),OFFSET(EI399,0,-MIN(60,COLUMN()-29),1,MIN(60,COLUMN()-29))),0)</f>
        <v>16.7750304</v>
      </c>
      <c r="EJ400" s="237" t="n">
        <f aca="true">IFERROR(SUMPRODUCT(OFFSET($BJ$31,0,1-MIN(60,COLUMN()-29),1,MIN(60,COLUMN()-29)),OFFSET(EJ399,0,-MIN(60,COLUMN()-29),1,MIN(60,COLUMN()-29))),0)</f>
        <v>23.0540784</v>
      </c>
      <c r="EK400" s="237" t="n">
        <f aca="true">IFERROR(SUMPRODUCT(OFFSET($BJ$31,0,1-MIN(60,COLUMN()-29),1,MIN(60,COLUMN()-29)),OFFSET(EK399,0,-MIN(60,COLUMN()-29),1,MIN(60,COLUMN()-29))),0)</f>
        <v>25.6517152</v>
      </c>
      <c r="EL400" s="237" t="n">
        <f aca="true">IFERROR(SUMPRODUCT(OFFSET($BJ$31,0,1-MIN(60,COLUMN()-29),1,MIN(60,COLUMN()-29)),OFFSET(EL399,0,-MIN(60,COLUMN()-29),1,MIN(60,COLUMN()-29))),0)</f>
        <v>25.6420656</v>
      </c>
      <c r="EM400" s="237" t="n">
        <f aca="true">IFERROR(SUMPRODUCT(OFFSET($BJ$31,0,1-MIN(60,COLUMN()-29),1,MIN(60,COLUMN()-29)),OFFSET(EM399,0,-MIN(60,COLUMN()-29),1,MIN(60,COLUMN()-29))),0)</f>
        <v>25.104944</v>
      </c>
      <c r="EN400" s="237" t="n">
        <f aca="true">IFERROR(SUMPRODUCT(OFFSET($BJ$31,0,1-MIN(60,COLUMN()-29),1,MIN(60,COLUMN()-29)),OFFSET(EN399,0,-MIN(60,COLUMN()-29),1,MIN(60,COLUMN()-29))),0)</f>
        <v>29.9273168</v>
      </c>
      <c r="EO400" s="237" t="n">
        <f aca="true">IFERROR(SUMPRODUCT(OFFSET($BJ$31,0,1-MIN(60,COLUMN()-29),1,MIN(60,COLUMN()-29)),OFFSET(EO399,0,-MIN(60,COLUMN()-29),1,MIN(60,COLUMN()-29))),0)</f>
        <v>43.79247184</v>
      </c>
      <c r="EP400" s="237" t="n">
        <f aca="true">IFERROR(SUMPRODUCT(OFFSET($BJ$31,0,1-MIN(60,COLUMN()-29),1,MIN(60,COLUMN()-29)),OFFSET(EP399,0,-MIN(60,COLUMN()-29),1,MIN(60,COLUMN()-29))),0)</f>
        <v>44.1864656</v>
      </c>
      <c r="EQ400" s="237" t="n">
        <f aca="true">IFERROR(SUMPRODUCT(OFFSET($BJ$31,0,1-MIN(60,COLUMN()-29),1,MIN(60,COLUMN()-29)),OFFSET(EQ399,0,-MIN(60,COLUMN()-29),1,MIN(60,COLUMN()-29))),0)</f>
        <v>43.69148256</v>
      </c>
      <c r="ER400" s="237" t="n">
        <f aca="true">IFERROR(SUMPRODUCT(OFFSET($BJ$31,0,1-MIN(60,COLUMN()-29),1,MIN(60,COLUMN()-29)),OFFSET(ER399,0,-MIN(60,COLUMN()-29),1,MIN(60,COLUMN()-29))),0)</f>
        <v>40.8728788</v>
      </c>
      <c r="ES400" s="9" t="n">
        <f aca="true">IFERROR(SUMPRODUCT(OFFSET($BJ$31,0,1-MIN(60,COLUMN()-29),1,MIN(60,COLUMN()-29)),OFFSET(ES399,0,-MIN(60,COLUMN()-29),1,MIN(60,COLUMN()-29))),0)</f>
        <v>50.36769892</v>
      </c>
      <c r="ET400" s="9" t="n">
        <f aca="true">IFERROR(SUMPRODUCT(OFFSET($BJ$31,0,1-MIN(60,COLUMN()-29),1,MIN(60,COLUMN()-29)),OFFSET(ET399,0,-MIN(60,COLUMN()-29),1,MIN(60,COLUMN()-29))),0)</f>
        <v>54.45935724</v>
      </c>
      <c r="EU400" s="9" t="n">
        <f aca="true">IFERROR(SUMPRODUCT(OFFSET($BJ$31,0,1-MIN(60,COLUMN()-29),1,MIN(60,COLUMN()-29)),OFFSET(EU399,0,-MIN(60,COLUMN()-29),1,MIN(60,COLUMN()-29))),0)</f>
        <v>53.84741868</v>
      </c>
      <c r="EV400" s="9" t="n">
        <f aca="true">IFERROR(SUMPRODUCT(OFFSET($BJ$31,0,1-MIN(60,COLUMN()-29),1,MIN(60,COLUMN()-29)),OFFSET(EV399,0,-MIN(60,COLUMN()-29),1,MIN(60,COLUMN()-29))),0)</f>
        <v>64.7895974</v>
      </c>
      <c r="EW400" s="9" t="n">
        <f aca="true">IFERROR(SUMPRODUCT(OFFSET($BJ$31,0,1-MIN(60,COLUMN()-29),1,MIN(60,COLUMN()-29)),OFFSET(EW399,0,-MIN(60,COLUMN()-29),1,MIN(60,COLUMN()-29))),0)</f>
        <v>67.44035436</v>
      </c>
      <c r="EX400" s="9" t="n">
        <f aca="true">IFERROR(SUMPRODUCT(OFFSET($BJ$31,0,1-MIN(60,COLUMN()-29),1,MIN(60,COLUMN()-29)),OFFSET(EX399,0,-MIN(60,COLUMN()-29),1,MIN(60,COLUMN()-29))),0)</f>
        <v>67.58175948</v>
      </c>
      <c r="EY400" s="9" t="n">
        <f aca="true">IFERROR(SUMPRODUCT(OFFSET($BJ$31,0,1-MIN(60,COLUMN()-29),1,MIN(60,COLUMN()-29)),OFFSET(EY399,0,-MIN(60,COLUMN()-29),1,MIN(60,COLUMN()-29))),0)</f>
        <v>67.8578446</v>
      </c>
      <c r="EZ400" s="9" t="n">
        <f aca="true">IFERROR(SUMPRODUCT(OFFSET($BJ$31,0,1-MIN(60,COLUMN()-29),1,MIN(60,COLUMN()-29)),OFFSET(EZ399,0,-MIN(60,COLUMN()-29),1,MIN(60,COLUMN()-29))),0)</f>
        <v>74.62344556</v>
      </c>
      <c r="FA400" s="9" t="n">
        <f aca="true">IFERROR(SUMPRODUCT(OFFSET($BJ$31,0,1-MIN(60,COLUMN()-29),1,MIN(60,COLUMN()-29)),OFFSET(FA399,0,-MIN(60,COLUMN()-29),1,MIN(60,COLUMN()-29))),0)</f>
        <v>93.46447308</v>
      </c>
      <c r="FB400" s="9" t="n">
        <f aca="true">IFERROR(SUMPRODUCT(OFFSET($BJ$31,0,1-MIN(60,COLUMN()-29),1,MIN(60,COLUMN()-29)),OFFSET(FB399,0,-MIN(60,COLUMN()-29),1,MIN(60,COLUMN()-29))),0)</f>
        <v>93.02633388</v>
      </c>
      <c r="FC400" s="9" t="n">
        <f aca="true">IFERROR(SUMPRODUCT(OFFSET($BJ$31,0,1-MIN(60,COLUMN()-29),1,MIN(60,COLUMN()-29)),OFFSET(FC399,0,-MIN(60,COLUMN()-29),1,MIN(60,COLUMN()-29))),0)</f>
        <v>91.66023468</v>
      </c>
      <c r="FD400" s="9" t="n">
        <f aca="true">IFERROR(SUMPRODUCT(OFFSET($BJ$31,0,1-MIN(60,COLUMN()-29),1,MIN(60,COLUMN()-29)),OFFSET(FD399,0,-MIN(60,COLUMN()-29),1,MIN(60,COLUMN()-29))),0)</f>
        <v>88.97785308</v>
      </c>
      <c r="FE400" s="9" t="n">
        <f aca="true">IFERROR(SUMPRODUCT(OFFSET($BJ$31,0,1-MIN(60,COLUMN()-29),1,MIN(60,COLUMN()-29)),OFFSET(FE399,0,-MIN(60,COLUMN()-29),1,MIN(60,COLUMN()-29))),0)</f>
        <v>103.54860108</v>
      </c>
      <c r="FF400" s="9" t="n">
        <f aca="true">IFERROR(SUMPRODUCT(OFFSET($BJ$31,0,1-MIN(60,COLUMN()-29),1,MIN(60,COLUMN()-29)),OFFSET(FF399,0,-MIN(60,COLUMN()-29),1,MIN(60,COLUMN()-29))),0)</f>
        <v>109.52404188</v>
      </c>
      <c r="FG400" s="9" t="n">
        <f aca="true">IFERROR(SUMPRODUCT(OFFSET($BJ$31,0,1-MIN(60,COLUMN()-29),1,MIN(60,COLUMN()-29)),OFFSET(FG399,0,-MIN(60,COLUMN()-29),1,MIN(60,COLUMN()-29))),0)</f>
        <v>109.69041756</v>
      </c>
      <c r="FH400" s="9" t="n">
        <f aca="true">IFERROR(SUMPRODUCT(OFFSET($BJ$31,0,1-MIN(60,COLUMN()-29),1,MIN(60,COLUMN()-29)),OFFSET(FH399,0,-MIN(60,COLUMN()-29),1,MIN(60,COLUMN()-29))),0)</f>
        <v>123.50737788</v>
      </c>
      <c r="FI400" s="9" t="n">
        <f aca="true">IFERROR(SUMPRODUCT(OFFSET($BJ$31,0,1-MIN(60,COLUMN()-29),1,MIN(60,COLUMN()-29)),OFFSET(FI399,0,-MIN(60,COLUMN()-29),1,MIN(60,COLUMN()-29))),0)</f>
        <v>127.40357556</v>
      </c>
      <c r="FJ400" s="9" t="n">
        <f aca="true">IFERROR(SUMPRODUCT(OFFSET($BJ$31,0,1-MIN(60,COLUMN()-29),1,MIN(60,COLUMN()-29)),OFFSET(FJ399,0,-MIN(60,COLUMN()-29),1,MIN(60,COLUMN()-29))),0)</f>
        <v>128.84488836</v>
      </c>
      <c r="FK400" s="9" t="n">
        <f aca="true">IFERROR(SUMPRODUCT(OFFSET($BJ$31,0,1-MIN(60,COLUMN()-29),1,MIN(60,COLUMN()-29)),OFFSET(FK399,0,-MIN(60,COLUMN()-29),1,MIN(60,COLUMN()-29))),0)</f>
        <v>129.30734988</v>
      </c>
      <c r="FL400" s="9" t="n">
        <f aca="true">IFERROR(SUMPRODUCT(OFFSET($BJ$31,0,1-MIN(60,COLUMN()-29),1,MIN(60,COLUMN()-29)),OFFSET(FL399,0,-MIN(60,COLUMN()-29),1,MIN(60,COLUMN()-29))),0)</f>
        <v>137.62757244</v>
      </c>
      <c r="FM400" s="9" t="n">
        <f aca="true">IFERROR(SUMPRODUCT(OFFSET($BJ$31,0,1-MIN(60,COLUMN()-29),1,MIN(60,COLUMN()-29)),OFFSET(FM399,0,-MIN(60,COLUMN()-29),1,MIN(60,COLUMN()-29))),0)</f>
        <v>160.42731876</v>
      </c>
      <c r="FN400" s="9" t="n">
        <f aca="true">IFERROR(SUMPRODUCT(OFFSET($BJ$31,0,1-MIN(60,COLUMN()-29),1,MIN(60,COLUMN()-29)),OFFSET(FN399,0,-MIN(60,COLUMN()-29),1,MIN(60,COLUMN()-29))),0)</f>
        <v>160.68903012</v>
      </c>
      <c r="FO400" s="9" t="n">
        <f aca="true">IFERROR(SUMPRODUCT(OFFSET($BJ$31,0,1-MIN(60,COLUMN()-29),1,MIN(60,COLUMN()-29)),OFFSET(FO399,0,-MIN(60,COLUMN()-29),1,MIN(60,COLUMN()-29))),0)</f>
        <v>159.84429348</v>
      </c>
      <c r="FP400" s="9" t="n">
        <f aca="true">IFERROR(SUMPRODUCT(OFFSET($BJ$31,0,1-MIN(60,COLUMN()-29),1,MIN(60,COLUMN()-29)),OFFSET(FP399,0,-MIN(60,COLUMN()-29),1,MIN(60,COLUMN()-29))),0)</f>
        <v>156.91495908</v>
      </c>
    </row>
    <row r="401" customFormat="false" ht="15" hidden="false" customHeight="false" outlineLevel="2" collapsed="false">
      <c r="B401" s="47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237"/>
      <c r="AD401" s="237"/>
      <c r="AE401" s="237"/>
      <c r="AF401" s="237"/>
      <c r="AG401" s="237"/>
      <c r="AH401" s="237"/>
      <c r="AI401" s="237"/>
      <c r="AJ401" s="237"/>
      <c r="AK401" s="237"/>
      <c r="AL401" s="237"/>
      <c r="AM401" s="237"/>
      <c r="AN401" s="237"/>
      <c r="AO401" s="237"/>
      <c r="AP401" s="237"/>
      <c r="AQ401" s="237"/>
      <c r="AR401" s="237"/>
      <c r="AS401" s="237"/>
      <c r="AT401" s="237"/>
      <c r="AU401" s="237"/>
      <c r="AV401" s="237"/>
      <c r="AW401" s="237"/>
      <c r="AX401" s="237"/>
      <c r="AY401" s="237"/>
      <c r="AZ401" s="237"/>
      <c r="BA401" s="237"/>
      <c r="BB401" s="237"/>
      <c r="BC401" s="237"/>
      <c r="BD401" s="237"/>
      <c r="BE401" s="237"/>
      <c r="BF401" s="237"/>
      <c r="BG401" s="237"/>
      <c r="BH401" s="237"/>
      <c r="BI401" s="237"/>
      <c r="BJ401" s="237"/>
      <c r="BK401" s="237"/>
      <c r="BL401" s="237"/>
      <c r="BM401" s="237"/>
      <c r="BN401" s="237"/>
      <c r="BO401" s="237"/>
      <c r="BP401" s="237"/>
      <c r="BQ401" s="237"/>
      <c r="BR401" s="237"/>
      <c r="BS401" s="237"/>
      <c r="BT401" s="237"/>
      <c r="BU401" s="237"/>
      <c r="BV401" s="237"/>
      <c r="BW401" s="237"/>
      <c r="BX401" s="237"/>
      <c r="BY401" s="237"/>
      <c r="BZ401" s="237"/>
      <c r="CA401" s="237"/>
      <c r="CB401" s="237"/>
      <c r="CC401" s="237"/>
      <c r="CD401" s="237"/>
      <c r="CE401" s="237"/>
      <c r="CF401" s="237"/>
      <c r="CG401" s="237"/>
      <c r="CH401" s="237"/>
      <c r="CI401" s="237"/>
      <c r="CJ401" s="237"/>
      <c r="CK401" s="237"/>
      <c r="CL401" s="237"/>
      <c r="CM401" s="237"/>
      <c r="CN401" s="237"/>
      <c r="CO401" s="237"/>
      <c r="CP401" s="237"/>
      <c r="CQ401" s="237"/>
      <c r="CR401" s="237"/>
      <c r="CS401" s="237"/>
      <c r="CT401" s="237"/>
      <c r="CU401" s="237"/>
      <c r="CV401" s="237"/>
      <c r="CW401" s="237"/>
      <c r="CX401" s="237"/>
      <c r="CY401" s="237"/>
      <c r="CZ401" s="237"/>
      <c r="DA401" s="237"/>
      <c r="DB401" s="237"/>
      <c r="DC401" s="237"/>
      <c r="DD401" s="237"/>
      <c r="DE401" s="237"/>
      <c r="DF401" s="237"/>
      <c r="DG401" s="237"/>
      <c r="DH401" s="237"/>
      <c r="DI401" s="237"/>
      <c r="DJ401" s="237"/>
      <c r="DK401" s="237"/>
      <c r="DL401" s="237"/>
      <c r="DM401" s="237"/>
      <c r="DN401" s="237"/>
      <c r="DO401" s="237"/>
      <c r="DP401" s="237"/>
      <c r="DQ401" s="237"/>
      <c r="DR401" s="237"/>
      <c r="DS401" s="237"/>
      <c r="DT401" s="237"/>
      <c r="DU401" s="237"/>
      <c r="DV401" s="237"/>
      <c r="DW401" s="237"/>
      <c r="DX401" s="237"/>
      <c r="DY401" s="237"/>
      <c r="DZ401" s="237"/>
      <c r="EA401" s="237"/>
      <c r="EB401" s="237"/>
      <c r="EC401" s="237"/>
      <c r="ED401" s="237"/>
      <c r="EE401" s="237"/>
      <c r="EF401" s="237"/>
      <c r="EG401" s="237"/>
      <c r="EH401" s="237"/>
      <c r="EI401" s="237"/>
      <c r="EJ401" s="237"/>
      <c r="EK401" s="237"/>
      <c r="EL401" s="237"/>
      <c r="EM401" s="237"/>
      <c r="EN401" s="237"/>
      <c r="EO401" s="237"/>
      <c r="EP401" s="237"/>
      <c r="EQ401" s="237"/>
      <c r="ER401" s="237"/>
      <c r="ES401" s="9"/>
      <c r="ET401" s="9"/>
      <c r="EU401" s="9"/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</row>
    <row r="402" customFormat="false" ht="15" hidden="false" customHeight="false" outlineLevel="2" collapsed="false">
      <c r="B402" s="47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237"/>
      <c r="AD402" s="237"/>
      <c r="AE402" s="237"/>
      <c r="AF402" s="237"/>
      <c r="AG402" s="237"/>
      <c r="AH402" s="237"/>
      <c r="AI402" s="237"/>
      <c r="AJ402" s="237"/>
      <c r="AK402" s="237"/>
      <c r="AL402" s="237"/>
      <c r="AM402" s="237"/>
      <c r="AN402" s="237"/>
      <c r="AO402" s="237"/>
      <c r="AP402" s="237"/>
      <c r="AQ402" s="237"/>
      <c r="AR402" s="237"/>
      <c r="AS402" s="237"/>
      <c r="AT402" s="237"/>
      <c r="AU402" s="237"/>
      <c r="AV402" s="237"/>
      <c r="AW402" s="237"/>
      <c r="AX402" s="237"/>
      <c r="AY402" s="237"/>
      <c r="AZ402" s="237"/>
      <c r="BA402" s="237"/>
      <c r="BB402" s="237"/>
      <c r="BC402" s="237"/>
      <c r="BD402" s="237"/>
      <c r="BE402" s="237"/>
      <c r="BF402" s="237"/>
      <c r="BG402" s="237"/>
      <c r="BH402" s="237"/>
      <c r="BI402" s="237"/>
      <c r="BJ402" s="237"/>
      <c r="BK402" s="237"/>
      <c r="BL402" s="237"/>
      <c r="BM402" s="237"/>
      <c r="BN402" s="237"/>
      <c r="BO402" s="237"/>
      <c r="BP402" s="237"/>
      <c r="BQ402" s="237"/>
      <c r="BR402" s="237"/>
      <c r="BS402" s="237"/>
      <c r="BT402" s="237"/>
      <c r="BU402" s="237"/>
      <c r="BV402" s="237"/>
      <c r="BW402" s="237"/>
      <c r="BX402" s="237"/>
      <c r="BY402" s="237"/>
      <c r="BZ402" s="237"/>
      <c r="CA402" s="237"/>
      <c r="CB402" s="237"/>
      <c r="CC402" s="237"/>
      <c r="CD402" s="237"/>
      <c r="CE402" s="237"/>
      <c r="CF402" s="237"/>
      <c r="CG402" s="237"/>
      <c r="CH402" s="237"/>
      <c r="CI402" s="237"/>
      <c r="CJ402" s="237"/>
      <c r="CK402" s="237"/>
      <c r="CL402" s="237"/>
      <c r="CM402" s="237"/>
      <c r="CN402" s="237"/>
      <c r="CO402" s="237"/>
      <c r="CP402" s="237"/>
      <c r="CQ402" s="237"/>
      <c r="CR402" s="237"/>
      <c r="CS402" s="237"/>
      <c r="CT402" s="237"/>
      <c r="CU402" s="237"/>
      <c r="CV402" s="237"/>
      <c r="CW402" s="237"/>
      <c r="CX402" s="237"/>
      <c r="CY402" s="237"/>
      <c r="CZ402" s="237"/>
      <c r="DA402" s="237"/>
      <c r="DB402" s="237"/>
      <c r="DC402" s="237"/>
      <c r="DD402" s="237"/>
      <c r="DE402" s="237"/>
      <c r="DF402" s="237"/>
      <c r="DG402" s="237"/>
      <c r="DH402" s="237"/>
      <c r="DI402" s="237"/>
      <c r="DJ402" s="237"/>
      <c r="DK402" s="237"/>
      <c r="DL402" s="237"/>
      <c r="DM402" s="237"/>
      <c r="DN402" s="237"/>
      <c r="DO402" s="237"/>
      <c r="DP402" s="237"/>
      <c r="DQ402" s="237"/>
      <c r="DR402" s="237"/>
      <c r="DS402" s="237"/>
      <c r="DT402" s="237"/>
      <c r="DU402" s="237"/>
      <c r="DV402" s="237"/>
      <c r="DW402" s="237"/>
      <c r="DX402" s="237"/>
      <c r="DY402" s="237"/>
      <c r="DZ402" s="237"/>
      <c r="EA402" s="237"/>
      <c r="EB402" s="237"/>
      <c r="EC402" s="237"/>
      <c r="ED402" s="237"/>
      <c r="EE402" s="237"/>
      <c r="EF402" s="237"/>
      <c r="EG402" s="237"/>
      <c r="EH402" s="237"/>
      <c r="EI402" s="237"/>
      <c r="EJ402" s="237"/>
      <c r="EK402" s="237"/>
      <c r="EL402" s="237"/>
      <c r="EM402" s="237"/>
      <c r="EN402" s="237"/>
      <c r="EO402" s="237"/>
      <c r="EP402" s="237"/>
      <c r="EQ402" s="237"/>
      <c r="ER402" s="237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</row>
    <row r="403" customFormat="false" ht="15" hidden="false" customHeight="false" outlineLevel="2" collapsed="false">
      <c r="B403" s="47" t="s">
        <v>913</v>
      </c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237"/>
      <c r="AD403" s="237"/>
      <c r="AE403" s="237"/>
      <c r="AF403" s="237"/>
      <c r="AG403" s="237"/>
      <c r="AH403" s="237"/>
      <c r="AI403" s="237"/>
      <c r="AJ403" s="237"/>
      <c r="AK403" s="237"/>
      <c r="AL403" s="237"/>
      <c r="AM403" s="237"/>
      <c r="AN403" s="237"/>
      <c r="AO403" s="237"/>
      <c r="AP403" s="237"/>
      <c r="AQ403" s="237"/>
      <c r="AR403" s="237"/>
      <c r="AS403" s="237"/>
      <c r="AT403" s="237"/>
      <c r="AU403" s="237"/>
      <c r="AV403" s="237"/>
      <c r="AW403" s="237"/>
      <c r="AX403" s="237"/>
      <c r="AY403" s="237"/>
      <c r="AZ403" s="237"/>
      <c r="BA403" s="237"/>
      <c r="BB403" s="237"/>
      <c r="BC403" s="237"/>
      <c r="BD403" s="237"/>
      <c r="BE403" s="237"/>
      <c r="BF403" s="237"/>
      <c r="BG403" s="237"/>
      <c r="BH403" s="237"/>
      <c r="BI403" s="237"/>
      <c r="BJ403" s="237"/>
      <c r="BK403" s="237"/>
      <c r="BL403" s="237"/>
      <c r="BM403" s="237"/>
      <c r="BN403" s="237"/>
      <c r="BO403" s="237"/>
      <c r="BP403" s="237"/>
      <c r="BQ403" s="237"/>
      <c r="BR403" s="237"/>
      <c r="BS403" s="237"/>
      <c r="BT403" s="237"/>
      <c r="BU403" s="237"/>
      <c r="BV403" s="237"/>
      <c r="BW403" s="237"/>
      <c r="BX403" s="237"/>
      <c r="BY403" s="237"/>
      <c r="BZ403" s="237"/>
      <c r="CA403" s="237"/>
      <c r="CB403" s="237"/>
      <c r="CC403" s="237"/>
      <c r="CD403" s="237"/>
      <c r="CE403" s="237"/>
      <c r="CF403" s="237"/>
      <c r="CG403" s="237"/>
      <c r="CH403" s="237"/>
      <c r="CI403" s="237"/>
      <c r="CJ403" s="237"/>
      <c r="CK403" s="237"/>
      <c r="CL403" s="237"/>
      <c r="CM403" s="237"/>
      <c r="CN403" s="237"/>
      <c r="CO403" s="237"/>
      <c r="CP403" s="237"/>
      <c r="CQ403" s="237"/>
      <c r="CR403" s="237"/>
      <c r="CS403" s="237"/>
      <c r="CT403" s="237"/>
      <c r="CU403" s="237"/>
      <c r="CV403" s="237"/>
      <c r="CW403" s="237"/>
      <c r="CX403" s="237"/>
      <c r="CY403" s="237"/>
      <c r="CZ403" s="237"/>
      <c r="DA403" s="237"/>
      <c r="DB403" s="237"/>
      <c r="DC403" s="237"/>
      <c r="DD403" s="237"/>
      <c r="DE403" s="237"/>
      <c r="DF403" s="237"/>
      <c r="DG403" s="237"/>
      <c r="DH403" s="237"/>
      <c r="DI403" s="237"/>
      <c r="DJ403" s="237"/>
      <c r="DK403" s="237"/>
      <c r="DL403" s="237"/>
      <c r="DM403" s="237"/>
      <c r="DN403" s="237"/>
      <c r="DO403" s="237"/>
      <c r="DP403" s="237"/>
      <c r="DQ403" s="237"/>
      <c r="DR403" s="237"/>
      <c r="DS403" s="237"/>
      <c r="DT403" s="237"/>
      <c r="DU403" s="237"/>
      <c r="DV403" s="237"/>
      <c r="DW403" s="237"/>
      <c r="DX403" s="237"/>
      <c r="DY403" s="237"/>
      <c r="DZ403" s="237"/>
      <c r="EA403" s="237"/>
      <c r="EB403" s="237"/>
      <c r="EC403" s="237"/>
      <c r="ED403" s="237"/>
      <c r="EE403" s="237"/>
      <c r="EF403" s="237"/>
      <c r="EG403" s="237"/>
      <c r="EH403" s="237"/>
      <c r="EI403" s="237"/>
      <c r="EJ403" s="237"/>
      <c r="EK403" s="237"/>
      <c r="EL403" s="237"/>
      <c r="EM403" s="237"/>
      <c r="EN403" s="237"/>
      <c r="EO403" s="237"/>
      <c r="EP403" s="237"/>
      <c r="EQ403" s="237"/>
      <c r="ER403" s="237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  <c r="FK403" s="9"/>
      <c r="FL403" s="9"/>
      <c r="FM403" s="9"/>
      <c r="FN403" s="9"/>
      <c r="FO403" s="9"/>
      <c r="FP403" s="9"/>
    </row>
    <row r="404" customFormat="false" ht="15" hidden="false" customHeight="false" outlineLevel="2" collapsed="false">
      <c r="B404" s="47" t="s">
        <v>872</v>
      </c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237" t="n">
        <f aca="false">('⑫ Roll-out Plan'!G45-2025)*12+'⑫ Roll-out Plan'!F45</f>
        <v>99</v>
      </c>
      <c r="AD404" s="237"/>
      <c r="AE404" s="237"/>
      <c r="AF404" s="237"/>
      <c r="AG404" s="237"/>
      <c r="AH404" s="237"/>
      <c r="AI404" s="237"/>
      <c r="AJ404" s="237"/>
      <c r="AK404" s="237"/>
      <c r="AL404" s="237"/>
      <c r="AM404" s="237"/>
      <c r="AN404" s="237"/>
      <c r="AO404" s="237"/>
      <c r="AP404" s="237"/>
      <c r="AQ404" s="237"/>
      <c r="AR404" s="237"/>
      <c r="AS404" s="237"/>
      <c r="AT404" s="237"/>
      <c r="AU404" s="237"/>
      <c r="AV404" s="237"/>
      <c r="AW404" s="237"/>
      <c r="AX404" s="237"/>
      <c r="AY404" s="237"/>
      <c r="AZ404" s="237"/>
      <c r="BA404" s="237"/>
      <c r="BB404" s="237"/>
      <c r="BC404" s="237"/>
      <c r="BD404" s="237"/>
      <c r="BE404" s="237"/>
      <c r="BF404" s="237"/>
      <c r="BG404" s="237"/>
      <c r="BH404" s="237"/>
      <c r="BI404" s="237"/>
      <c r="BJ404" s="237"/>
      <c r="BK404" s="237"/>
      <c r="BL404" s="237"/>
      <c r="BM404" s="237"/>
      <c r="BN404" s="237"/>
      <c r="BO404" s="237"/>
      <c r="BP404" s="237"/>
      <c r="BQ404" s="237"/>
      <c r="BR404" s="237"/>
      <c r="BS404" s="237"/>
      <c r="BT404" s="237"/>
      <c r="BU404" s="237"/>
      <c r="BV404" s="237"/>
      <c r="BW404" s="237"/>
      <c r="BX404" s="237"/>
      <c r="BY404" s="237"/>
      <c r="BZ404" s="237"/>
      <c r="CA404" s="237"/>
      <c r="CB404" s="237"/>
      <c r="CC404" s="237"/>
      <c r="CD404" s="237"/>
      <c r="CE404" s="237"/>
      <c r="CF404" s="237"/>
      <c r="CG404" s="237"/>
      <c r="CH404" s="237"/>
      <c r="CI404" s="237"/>
      <c r="CJ404" s="237"/>
      <c r="CK404" s="237"/>
      <c r="CL404" s="237"/>
      <c r="CM404" s="237"/>
      <c r="CN404" s="237"/>
      <c r="CO404" s="237"/>
      <c r="CP404" s="237"/>
      <c r="CQ404" s="237"/>
      <c r="CR404" s="237"/>
      <c r="CS404" s="237"/>
      <c r="CT404" s="237"/>
      <c r="CU404" s="237"/>
      <c r="CV404" s="237"/>
      <c r="CW404" s="237"/>
      <c r="CX404" s="237"/>
      <c r="CY404" s="237"/>
      <c r="CZ404" s="237"/>
      <c r="DA404" s="237"/>
      <c r="DB404" s="237"/>
      <c r="DC404" s="237"/>
      <c r="DD404" s="237"/>
      <c r="DE404" s="237"/>
      <c r="DF404" s="237"/>
      <c r="DG404" s="237"/>
      <c r="DH404" s="237"/>
      <c r="DI404" s="237"/>
      <c r="DJ404" s="237"/>
      <c r="DK404" s="237"/>
      <c r="DL404" s="237"/>
      <c r="DM404" s="237"/>
      <c r="DN404" s="237"/>
      <c r="DO404" s="237"/>
      <c r="DP404" s="237"/>
      <c r="DQ404" s="237"/>
      <c r="DR404" s="237"/>
      <c r="DS404" s="237"/>
      <c r="DT404" s="237"/>
      <c r="DU404" s="237"/>
      <c r="DV404" s="237"/>
      <c r="DW404" s="237"/>
      <c r="DX404" s="237"/>
      <c r="DY404" s="237"/>
      <c r="DZ404" s="237"/>
      <c r="EA404" s="237"/>
      <c r="EB404" s="237"/>
      <c r="EC404" s="237"/>
      <c r="ED404" s="237"/>
      <c r="EE404" s="237"/>
      <c r="EF404" s="237"/>
      <c r="EG404" s="237"/>
      <c r="EH404" s="237"/>
      <c r="EI404" s="237"/>
      <c r="EJ404" s="237"/>
      <c r="EK404" s="237"/>
      <c r="EL404" s="237"/>
      <c r="EM404" s="237"/>
      <c r="EN404" s="237"/>
      <c r="EO404" s="237"/>
      <c r="EP404" s="237"/>
      <c r="EQ404" s="237"/>
      <c r="ER404" s="237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</row>
    <row r="405" customFormat="false" ht="15" hidden="false" customHeight="false" outlineLevel="2" collapsed="false">
      <c r="B405" s="47" t="s">
        <v>873</v>
      </c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237" t="n">
        <f aca="false">VLOOKUP("B",$B$14:$C$18,2,FALSE())</f>
        <v>185</v>
      </c>
      <c r="AD405" s="237"/>
      <c r="AE405" s="237"/>
      <c r="AF405" s="237"/>
      <c r="AG405" s="237"/>
      <c r="AH405" s="237"/>
      <c r="AI405" s="237"/>
      <c r="AJ405" s="237"/>
      <c r="AK405" s="237"/>
      <c r="AL405" s="237"/>
      <c r="AM405" s="237"/>
      <c r="AN405" s="237"/>
      <c r="AO405" s="237"/>
      <c r="AP405" s="237"/>
      <c r="AQ405" s="237"/>
      <c r="AR405" s="237"/>
      <c r="AS405" s="237"/>
      <c r="AT405" s="237"/>
      <c r="AU405" s="237"/>
      <c r="AV405" s="237"/>
      <c r="AW405" s="237"/>
      <c r="AX405" s="237"/>
      <c r="AY405" s="237"/>
      <c r="AZ405" s="237"/>
      <c r="BA405" s="237"/>
      <c r="BB405" s="237"/>
      <c r="BC405" s="237"/>
      <c r="BD405" s="237"/>
      <c r="BE405" s="237"/>
      <c r="BF405" s="237"/>
      <c r="BG405" s="237"/>
      <c r="BH405" s="237"/>
      <c r="BI405" s="237"/>
      <c r="BJ405" s="237"/>
      <c r="BK405" s="237"/>
      <c r="BL405" s="237"/>
      <c r="BM405" s="237"/>
      <c r="BN405" s="237"/>
      <c r="BO405" s="237"/>
      <c r="BP405" s="237"/>
      <c r="BQ405" s="237"/>
      <c r="BR405" s="237"/>
      <c r="BS405" s="237"/>
      <c r="BT405" s="237"/>
      <c r="BU405" s="237"/>
      <c r="BV405" s="237"/>
      <c r="BW405" s="237"/>
      <c r="BX405" s="237"/>
      <c r="BY405" s="237"/>
      <c r="BZ405" s="237"/>
      <c r="CA405" s="237"/>
      <c r="CB405" s="237"/>
      <c r="CC405" s="237"/>
      <c r="CD405" s="237"/>
      <c r="CE405" s="237"/>
      <c r="CF405" s="237"/>
      <c r="CG405" s="237"/>
      <c r="CH405" s="237"/>
      <c r="CI405" s="237"/>
      <c r="CJ405" s="237"/>
      <c r="CK405" s="237"/>
      <c r="CL405" s="237"/>
      <c r="CM405" s="237"/>
      <c r="CN405" s="237"/>
      <c r="CO405" s="237"/>
      <c r="CP405" s="237"/>
      <c r="CQ405" s="237"/>
      <c r="CR405" s="237"/>
      <c r="CS405" s="237"/>
      <c r="CT405" s="237"/>
      <c r="CU405" s="237"/>
      <c r="CV405" s="237"/>
      <c r="CW405" s="237"/>
      <c r="CX405" s="237"/>
      <c r="CY405" s="237"/>
      <c r="CZ405" s="237"/>
      <c r="DA405" s="237"/>
      <c r="DB405" s="237"/>
      <c r="DC405" s="237"/>
      <c r="DD405" s="237"/>
      <c r="DE405" s="237"/>
      <c r="DF405" s="237"/>
      <c r="DG405" s="237"/>
      <c r="DH405" s="237"/>
      <c r="DI405" s="237"/>
      <c r="DJ405" s="237"/>
      <c r="DK405" s="237"/>
      <c r="DL405" s="237"/>
      <c r="DM405" s="237"/>
      <c r="DN405" s="237"/>
      <c r="DO405" s="237"/>
      <c r="DP405" s="237"/>
      <c r="DQ405" s="237"/>
      <c r="DR405" s="237"/>
      <c r="DS405" s="237"/>
      <c r="DT405" s="237"/>
      <c r="DU405" s="237"/>
      <c r="DV405" s="237"/>
      <c r="DW405" s="237"/>
      <c r="DX405" s="237"/>
      <c r="DY405" s="237"/>
      <c r="DZ405" s="237"/>
      <c r="EA405" s="237"/>
      <c r="EB405" s="237"/>
      <c r="EC405" s="237"/>
      <c r="ED405" s="237"/>
      <c r="EE405" s="237"/>
      <c r="EF405" s="237"/>
      <c r="EG405" s="237"/>
      <c r="EH405" s="237"/>
      <c r="EI405" s="237"/>
      <c r="EJ405" s="237"/>
      <c r="EK405" s="237"/>
      <c r="EL405" s="237"/>
      <c r="EM405" s="237"/>
      <c r="EN405" s="237"/>
      <c r="EO405" s="237"/>
      <c r="EP405" s="237"/>
      <c r="EQ405" s="237"/>
      <c r="ER405" s="237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</row>
    <row r="406" customFormat="false" ht="15" hidden="false" customHeight="false" outlineLevel="2" collapsed="false">
      <c r="B406" s="47" t="s">
        <v>799</v>
      </c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237" t="n">
        <f aca="false">IF(AC$35&gt;=$AC$404,AC$35-$AC$404+1,0)</f>
        <v>0</v>
      </c>
      <c r="AD406" s="237" t="n">
        <f aca="false">IF(AD$35&gt;=$AC$404,AD$35-$AC$404+1,0)</f>
        <v>0</v>
      </c>
      <c r="AE406" s="237" t="n">
        <f aca="false">IF(AE$35&gt;=$AC$404,AE$35-$AC$404+1,0)</f>
        <v>0</v>
      </c>
      <c r="AF406" s="237" t="n">
        <f aca="false">IF(AF$35&gt;=$AC$404,AF$35-$AC$404+1,0)</f>
        <v>0</v>
      </c>
      <c r="AG406" s="237" t="n">
        <f aca="false">IF(AG$35&gt;=$AC$404,AG$35-$AC$404+1,0)</f>
        <v>0</v>
      </c>
      <c r="AH406" s="237" t="n">
        <f aca="false">IF(AH$35&gt;=$AC$404,AH$35-$AC$404+1,0)</f>
        <v>0</v>
      </c>
      <c r="AI406" s="237" t="n">
        <f aca="false">IF(AI$35&gt;=$AC$404,AI$35-$AC$404+1,0)</f>
        <v>0</v>
      </c>
      <c r="AJ406" s="237" t="n">
        <f aca="false">IF(AJ$35&gt;=$AC$404,AJ$35-$AC$404+1,0)</f>
        <v>0</v>
      </c>
      <c r="AK406" s="237" t="n">
        <f aca="false">IF(AK$35&gt;=$AC$404,AK$35-$AC$404+1,0)</f>
        <v>0</v>
      </c>
      <c r="AL406" s="237" t="n">
        <f aca="false">IF(AL$35&gt;=$AC$404,AL$35-$AC$404+1,0)</f>
        <v>0</v>
      </c>
      <c r="AM406" s="237" t="n">
        <f aca="false">IF(AM$35&gt;=$AC$404,AM$35-$AC$404+1,0)</f>
        <v>0</v>
      </c>
      <c r="AN406" s="237" t="n">
        <f aca="false">IF(AN$35&gt;=$AC$404,AN$35-$AC$404+1,0)</f>
        <v>0</v>
      </c>
      <c r="AO406" s="237" t="n">
        <f aca="false">IF(AO$35&gt;=$AC$404,AO$35-$AC$404+1,0)</f>
        <v>0</v>
      </c>
      <c r="AP406" s="237" t="n">
        <f aca="false">IF(AP$35&gt;=$AC$404,AP$35-$AC$404+1,0)</f>
        <v>0</v>
      </c>
      <c r="AQ406" s="237" t="n">
        <f aca="false">IF(AQ$35&gt;=$AC$404,AQ$35-$AC$404+1,0)</f>
        <v>0</v>
      </c>
      <c r="AR406" s="237" t="n">
        <f aca="false">IF(AR$35&gt;=$AC$404,AR$35-$AC$404+1,0)</f>
        <v>0</v>
      </c>
      <c r="AS406" s="237" t="n">
        <f aca="false">IF(AS$35&gt;=$AC$404,AS$35-$AC$404+1,0)</f>
        <v>0</v>
      </c>
      <c r="AT406" s="237" t="n">
        <f aca="false">IF(AT$35&gt;=$AC$404,AT$35-$AC$404+1,0)</f>
        <v>0</v>
      </c>
      <c r="AU406" s="237" t="n">
        <f aca="false">IF(AU$35&gt;=$AC$404,AU$35-$AC$404+1,0)</f>
        <v>0</v>
      </c>
      <c r="AV406" s="237" t="n">
        <f aca="false">IF(AV$35&gt;=$AC$404,AV$35-$AC$404+1,0)</f>
        <v>0</v>
      </c>
      <c r="AW406" s="237" t="n">
        <f aca="false">IF(AW$35&gt;=$AC$404,AW$35-$AC$404+1,0)</f>
        <v>0</v>
      </c>
      <c r="AX406" s="237" t="n">
        <f aca="false">IF(AX$35&gt;=$AC$404,AX$35-$AC$404+1,0)</f>
        <v>0</v>
      </c>
      <c r="AY406" s="237" t="n">
        <f aca="false">IF(AY$35&gt;=$AC$404,AY$35-$AC$404+1,0)</f>
        <v>0</v>
      </c>
      <c r="AZ406" s="237" t="n">
        <f aca="false">IF(AZ$35&gt;=$AC$404,AZ$35-$AC$404+1,0)</f>
        <v>0</v>
      </c>
      <c r="BA406" s="237" t="n">
        <f aca="false">IF(BA$35&gt;=$AC$404,BA$35-$AC$404+1,0)</f>
        <v>0</v>
      </c>
      <c r="BB406" s="237" t="n">
        <f aca="false">IF(BB$35&gt;=$AC$404,BB$35-$AC$404+1,0)</f>
        <v>0</v>
      </c>
      <c r="BC406" s="237" t="n">
        <f aca="false">IF(BC$35&gt;=$AC$404,BC$35-$AC$404+1,0)</f>
        <v>0</v>
      </c>
      <c r="BD406" s="237" t="n">
        <f aca="false">IF(BD$35&gt;=$AC$404,BD$35-$AC$404+1,0)</f>
        <v>0</v>
      </c>
      <c r="BE406" s="237" t="n">
        <f aca="false">IF(BE$35&gt;=$AC$404,BE$35-$AC$404+1,0)</f>
        <v>0</v>
      </c>
      <c r="BF406" s="237" t="n">
        <f aca="false">IF(BF$35&gt;=$AC$404,BF$35-$AC$404+1,0)</f>
        <v>0</v>
      </c>
      <c r="BG406" s="237" t="n">
        <f aca="false">IF(BG$35&gt;=$AC$404,BG$35-$AC$404+1,0)</f>
        <v>0</v>
      </c>
      <c r="BH406" s="237" t="n">
        <f aca="false">IF(BH$35&gt;=$AC$404,BH$35-$AC$404+1,0)</f>
        <v>0</v>
      </c>
      <c r="BI406" s="237" t="n">
        <f aca="false">IF(BI$35&gt;=$AC$404,BI$35-$AC$404+1,0)</f>
        <v>0</v>
      </c>
      <c r="BJ406" s="237" t="n">
        <f aca="false">IF(BJ$35&gt;=$AC$404,BJ$35-$AC$404+1,0)</f>
        <v>0</v>
      </c>
      <c r="BK406" s="237" t="n">
        <f aca="false">IF(BK$35&gt;=$AC$404,BK$35-$AC$404+1,0)</f>
        <v>0</v>
      </c>
      <c r="BL406" s="237" t="n">
        <f aca="false">IF(BL$35&gt;=$AC$404,BL$35-$AC$404+1,0)</f>
        <v>0</v>
      </c>
      <c r="BM406" s="237" t="n">
        <f aca="false">IF(BM$35&gt;=$AC$404,BM$35-$AC$404+1,0)</f>
        <v>0</v>
      </c>
      <c r="BN406" s="237" t="n">
        <f aca="false">IF(BN$35&gt;=$AC$404,BN$35-$AC$404+1,0)</f>
        <v>0</v>
      </c>
      <c r="BO406" s="237" t="n">
        <f aca="false">IF(BO$35&gt;=$AC$404,BO$35-$AC$404+1,0)</f>
        <v>0</v>
      </c>
      <c r="BP406" s="237" t="n">
        <f aca="false">IF(BP$35&gt;=$AC$404,BP$35-$AC$404+1,0)</f>
        <v>0</v>
      </c>
      <c r="BQ406" s="237" t="n">
        <f aca="false">IF(BQ$35&gt;=$AC$404,BQ$35-$AC$404+1,0)</f>
        <v>0</v>
      </c>
      <c r="BR406" s="237" t="n">
        <f aca="false">IF(BR$35&gt;=$AC$404,BR$35-$AC$404+1,0)</f>
        <v>0</v>
      </c>
      <c r="BS406" s="237" t="n">
        <f aca="false">IF(BS$35&gt;=$AC$404,BS$35-$AC$404+1,0)</f>
        <v>0</v>
      </c>
      <c r="BT406" s="237" t="n">
        <f aca="false">IF(BT$35&gt;=$AC$404,BT$35-$AC$404+1,0)</f>
        <v>0</v>
      </c>
      <c r="BU406" s="237" t="n">
        <f aca="false">IF(BU$35&gt;=$AC$404,BU$35-$AC$404+1,0)</f>
        <v>0</v>
      </c>
      <c r="BV406" s="237" t="n">
        <f aca="false">IF(BV$35&gt;=$AC$404,BV$35-$AC$404+1,0)</f>
        <v>0</v>
      </c>
      <c r="BW406" s="237" t="n">
        <f aca="false">IF(BW$35&gt;=$AC$404,BW$35-$AC$404+1,0)</f>
        <v>0</v>
      </c>
      <c r="BX406" s="237" t="n">
        <f aca="false">IF(BX$35&gt;=$AC$404,BX$35-$AC$404+1,0)</f>
        <v>0</v>
      </c>
      <c r="BY406" s="237" t="n">
        <f aca="false">IF(BY$35&gt;=$AC$404,BY$35-$AC$404+1,0)</f>
        <v>0</v>
      </c>
      <c r="BZ406" s="237" t="n">
        <f aca="false">IF(BZ$35&gt;=$AC$404,BZ$35-$AC$404+1,0)</f>
        <v>0</v>
      </c>
      <c r="CA406" s="237" t="n">
        <f aca="false">IF(CA$35&gt;=$AC$404,CA$35-$AC$404+1,0)</f>
        <v>0</v>
      </c>
      <c r="CB406" s="237" t="n">
        <f aca="false">IF(CB$35&gt;=$AC$404,CB$35-$AC$404+1,0)</f>
        <v>0</v>
      </c>
      <c r="CC406" s="237" t="n">
        <f aca="false">IF(CC$35&gt;=$AC$404,CC$35-$AC$404+1,0)</f>
        <v>0</v>
      </c>
      <c r="CD406" s="237" t="n">
        <f aca="false">IF(CD$35&gt;=$AC$404,CD$35-$AC$404+1,0)</f>
        <v>0</v>
      </c>
      <c r="CE406" s="237" t="n">
        <f aca="false">IF(CE$35&gt;=$AC$404,CE$35-$AC$404+1,0)</f>
        <v>0</v>
      </c>
      <c r="CF406" s="237" t="n">
        <f aca="false">IF(CF$35&gt;=$AC$404,CF$35-$AC$404+1,0)</f>
        <v>0</v>
      </c>
      <c r="CG406" s="237" t="n">
        <f aca="false">IF(CG$35&gt;=$AC$404,CG$35-$AC$404+1,0)</f>
        <v>0</v>
      </c>
      <c r="CH406" s="237" t="n">
        <f aca="false">IF(CH$35&gt;=$AC$404,CH$35-$AC$404+1,0)</f>
        <v>0</v>
      </c>
      <c r="CI406" s="237" t="n">
        <f aca="false">IF(CI$35&gt;=$AC$404,CI$35-$AC$404+1,0)</f>
        <v>0</v>
      </c>
      <c r="CJ406" s="237" t="n">
        <f aca="false">IF(CJ$35&gt;=$AC$404,CJ$35-$AC$404+1,0)</f>
        <v>0</v>
      </c>
      <c r="CK406" s="237" t="n">
        <f aca="false">IF(CK$35&gt;=$AC$404,CK$35-$AC$404+1,0)</f>
        <v>0</v>
      </c>
      <c r="CL406" s="237" t="n">
        <f aca="false">IF(CL$35&gt;=$AC$404,CL$35-$AC$404+1,0)</f>
        <v>0</v>
      </c>
      <c r="CM406" s="237" t="n">
        <f aca="false">IF(CM$35&gt;=$AC$404,CM$35-$AC$404+1,0)</f>
        <v>0</v>
      </c>
      <c r="CN406" s="237" t="n">
        <f aca="false">IF(CN$35&gt;=$AC$404,CN$35-$AC$404+1,0)</f>
        <v>0</v>
      </c>
      <c r="CO406" s="237" t="n">
        <f aca="false">IF(CO$35&gt;=$AC$404,CO$35-$AC$404+1,0)</f>
        <v>0</v>
      </c>
      <c r="CP406" s="237" t="n">
        <f aca="false">IF(CP$35&gt;=$AC$404,CP$35-$AC$404+1,0)</f>
        <v>0</v>
      </c>
      <c r="CQ406" s="237" t="n">
        <f aca="false">IF(CQ$35&gt;=$AC$404,CQ$35-$AC$404+1,0)</f>
        <v>0</v>
      </c>
      <c r="CR406" s="237" t="n">
        <f aca="false">IF(CR$35&gt;=$AC$404,CR$35-$AC$404+1,0)</f>
        <v>0</v>
      </c>
      <c r="CS406" s="237" t="n">
        <f aca="false">IF(CS$35&gt;=$AC$404,CS$35-$AC$404+1,0)</f>
        <v>0</v>
      </c>
      <c r="CT406" s="237" t="n">
        <f aca="false">IF(CT$35&gt;=$AC$404,CT$35-$AC$404+1,0)</f>
        <v>0</v>
      </c>
      <c r="CU406" s="237" t="n">
        <f aca="false">IF(CU$35&gt;=$AC$404,CU$35-$AC$404+1,0)</f>
        <v>0</v>
      </c>
      <c r="CV406" s="237" t="n">
        <f aca="false">IF(CV$35&gt;=$AC$404,CV$35-$AC$404+1,0)</f>
        <v>0</v>
      </c>
      <c r="CW406" s="237" t="n">
        <f aca="false">IF(CW$35&gt;=$AC$404,CW$35-$AC$404+1,0)</f>
        <v>0</v>
      </c>
      <c r="CX406" s="237" t="n">
        <f aca="false">IF(CX$35&gt;=$AC$404,CX$35-$AC$404+1,0)</f>
        <v>0</v>
      </c>
      <c r="CY406" s="237" t="n">
        <f aca="false">IF(CY$35&gt;=$AC$404,CY$35-$AC$404+1,0)</f>
        <v>0</v>
      </c>
      <c r="CZ406" s="237" t="n">
        <f aca="false">IF(CZ$35&gt;=$AC$404,CZ$35-$AC$404+1,0)</f>
        <v>0</v>
      </c>
      <c r="DA406" s="237" t="n">
        <f aca="false">IF(DA$35&gt;=$AC$404,DA$35-$AC$404+1,0)</f>
        <v>0</v>
      </c>
      <c r="DB406" s="237" t="n">
        <f aca="false">IF(DB$35&gt;=$AC$404,DB$35-$AC$404+1,0)</f>
        <v>0</v>
      </c>
      <c r="DC406" s="237" t="n">
        <f aca="false">IF(DC$35&gt;=$AC$404,DC$35-$AC$404+1,0)</f>
        <v>0</v>
      </c>
      <c r="DD406" s="237" t="n">
        <f aca="false">IF(DD$35&gt;=$AC$404,DD$35-$AC$404+1,0)</f>
        <v>0</v>
      </c>
      <c r="DE406" s="237" t="n">
        <f aca="false">IF(DE$35&gt;=$AC$404,DE$35-$AC$404+1,0)</f>
        <v>0</v>
      </c>
      <c r="DF406" s="237" t="n">
        <f aca="false">IF(DF$35&gt;=$AC$404,DF$35-$AC$404+1,0)</f>
        <v>0</v>
      </c>
      <c r="DG406" s="237" t="n">
        <f aca="false">IF(DG$35&gt;=$AC$404,DG$35-$AC$404+1,0)</f>
        <v>0</v>
      </c>
      <c r="DH406" s="237" t="n">
        <f aca="false">IF(DH$35&gt;=$AC$404,DH$35-$AC$404+1,0)</f>
        <v>0</v>
      </c>
      <c r="DI406" s="237" t="n">
        <f aca="false">IF(DI$35&gt;=$AC$404,DI$35-$AC$404+1,0)</f>
        <v>0</v>
      </c>
      <c r="DJ406" s="237" t="n">
        <f aca="false">IF(DJ$35&gt;=$AC$404,DJ$35-$AC$404+1,0)</f>
        <v>0</v>
      </c>
      <c r="DK406" s="237" t="n">
        <f aca="false">IF(DK$35&gt;=$AC$404,DK$35-$AC$404+1,0)</f>
        <v>0</v>
      </c>
      <c r="DL406" s="237" t="n">
        <f aca="false">IF(DL$35&gt;=$AC$404,DL$35-$AC$404+1,0)</f>
        <v>0</v>
      </c>
      <c r="DM406" s="237" t="n">
        <f aca="false">IF(DM$35&gt;=$AC$404,DM$35-$AC$404+1,0)</f>
        <v>0</v>
      </c>
      <c r="DN406" s="237" t="n">
        <f aca="false">IF(DN$35&gt;=$AC$404,DN$35-$AC$404+1,0)</f>
        <v>0</v>
      </c>
      <c r="DO406" s="237" t="n">
        <f aca="false">IF(DO$35&gt;=$AC$404,DO$35-$AC$404+1,0)</f>
        <v>0</v>
      </c>
      <c r="DP406" s="237" t="n">
        <f aca="false">IF(DP$35&gt;=$AC$404,DP$35-$AC$404+1,0)</f>
        <v>0</v>
      </c>
      <c r="DQ406" s="237" t="n">
        <f aca="false">IF(DQ$35&gt;=$AC$404,DQ$35-$AC$404+1,0)</f>
        <v>0</v>
      </c>
      <c r="DR406" s="237" t="n">
        <f aca="false">IF(DR$35&gt;=$AC$404,DR$35-$AC$404+1,0)</f>
        <v>0</v>
      </c>
      <c r="DS406" s="237" t="n">
        <f aca="false">IF(DS$35&gt;=$AC$404,DS$35-$AC$404+1,0)</f>
        <v>0</v>
      </c>
      <c r="DT406" s="237" t="n">
        <f aca="false">IF(DT$35&gt;=$AC$404,DT$35-$AC$404+1,0)</f>
        <v>0</v>
      </c>
      <c r="DU406" s="237" t="n">
        <f aca="false">IF(DU$35&gt;=$AC$404,DU$35-$AC$404+1,0)</f>
        <v>0</v>
      </c>
      <c r="DV406" s="237" t="n">
        <f aca="false">IF(DV$35&gt;=$AC$404,DV$35-$AC$404+1,0)</f>
        <v>0</v>
      </c>
      <c r="DW406" s="237" t="n">
        <f aca="false">IF(DW$35&gt;=$AC$404,DW$35-$AC$404+1,0)</f>
        <v>1</v>
      </c>
      <c r="DX406" s="237" t="n">
        <f aca="false">IF(DX$35&gt;=$AC$404,DX$35-$AC$404+1,0)</f>
        <v>2</v>
      </c>
      <c r="DY406" s="237" t="n">
        <f aca="false">IF(DY$35&gt;=$AC$404,DY$35-$AC$404+1,0)</f>
        <v>3</v>
      </c>
      <c r="DZ406" s="237" t="n">
        <f aca="false">IF(DZ$35&gt;=$AC$404,DZ$35-$AC$404+1,0)</f>
        <v>4</v>
      </c>
      <c r="EA406" s="237" t="n">
        <f aca="false">IF(EA$35&gt;=$AC$404,EA$35-$AC$404+1,0)</f>
        <v>5</v>
      </c>
      <c r="EB406" s="237" t="n">
        <f aca="false">IF(EB$35&gt;=$AC$404,EB$35-$AC$404+1,0)</f>
        <v>6</v>
      </c>
      <c r="EC406" s="237" t="n">
        <f aca="false">IF(EC$35&gt;=$AC$404,EC$35-$AC$404+1,0)</f>
        <v>7</v>
      </c>
      <c r="ED406" s="237" t="n">
        <f aca="false">IF(ED$35&gt;=$AC$404,ED$35-$AC$404+1,0)</f>
        <v>8</v>
      </c>
      <c r="EE406" s="237" t="n">
        <f aca="false">IF(EE$35&gt;=$AC$404,EE$35-$AC$404+1,0)</f>
        <v>9</v>
      </c>
      <c r="EF406" s="237" t="n">
        <f aca="false">IF(EF$35&gt;=$AC$404,EF$35-$AC$404+1,0)</f>
        <v>10</v>
      </c>
      <c r="EG406" s="237" t="n">
        <f aca="false">IF(EG$35&gt;=$AC$404,EG$35-$AC$404+1,0)</f>
        <v>11</v>
      </c>
      <c r="EH406" s="237" t="n">
        <f aca="false">IF(EH$35&gt;=$AC$404,EH$35-$AC$404+1,0)</f>
        <v>12</v>
      </c>
      <c r="EI406" s="237" t="n">
        <f aca="false">IF(EI$35&gt;=$AC$404,EI$35-$AC$404+1,0)</f>
        <v>13</v>
      </c>
      <c r="EJ406" s="237" t="n">
        <f aca="false">IF(EJ$35&gt;=$AC$404,EJ$35-$AC$404+1,0)</f>
        <v>14</v>
      </c>
      <c r="EK406" s="237" t="n">
        <f aca="false">IF(EK$35&gt;=$AC$404,EK$35-$AC$404+1,0)</f>
        <v>15</v>
      </c>
      <c r="EL406" s="237" t="n">
        <f aca="false">IF(EL$35&gt;=$AC$404,EL$35-$AC$404+1,0)</f>
        <v>16</v>
      </c>
      <c r="EM406" s="237" t="n">
        <f aca="false">IF(EM$35&gt;=$AC$404,EM$35-$AC$404+1,0)</f>
        <v>17</v>
      </c>
      <c r="EN406" s="237" t="n">
        <f aca="false">IF(EN$35&gt;=$AC$404,EN$35-$AC$404+1,0)</f>
        <v>18</v>
      </c>
      <c r="EO406" s="237" t="n">
        <f aca="false">IF(EO$35&gt;=$AC$404,EO$35-$AC$404+1,0)</f>
        <v>19</v>
      </c>
      <c r="EP406" s="237" t="n">
        <f aca="false">IF(EP$35&gt;=$AC$404,EP$35-$AC$404+1,0)</f>
        <v>20</v>
      </c>
      <c r="EQ406" s="237" t="n">
        <f aca="false">IF(EQ$35&gt;=$AC$404,EQ$35-$AC$404+1,0)</f>
        <v>21</v>
      </c>
      <c r="ER406" s="237" t="n">
        <f aca="false">IF(ER$35&gt;=$AC$404,ER$35-$AC$404+1,0)</f>
        <v>22</v>
      </c>
      <c r="ES406" s="9" t="n">
        <f aca="false">IF(ES$35&gt;=$AC$404,ES$35-$AC$404+1,0)</f>
        <v>23</v>
      </c>
      <c r="ET406" s="9" t="n">
        <f aca="false">IF(ET$35&gt;=$AC$404,ET$35-$AC$404+1,0)</f>
        <v>24</v>
      </c>
      <c r="EU406" s="9" t="n">
        <f aca="false">IF(EU$35&gt;=$AC$404,EU$35-$AC$404+1,0)</f>
        <v>25</v>
      </c>
      <c r="EV406" s="9" t="n">
        <f aca="false">IF(EV$35&gt;=$AC$404,EV$35-$AC$404+1,0)</f>
        <v>26</v>
      </c>
      <c r="EW406" s="9" t="n">
        <f aca="false">IF(EW$35&gt;=$AC$404,EW$35-$AC$404+1,0)</f>
        <v>27</v>
      </c>
      <c r="EX406" s="9" t="n">
        <f aca="false">IF(EX$35&gt;=$AC$404,EX$35-$AC$404+1,0)</f>
        <v>28</v>
      </c>
      <c r="EY406" s="9" t="n">
        <f aca="false">IF(EY$35&gt;=$AC$404,EY$35-$AC$404+1,0)</f>
        <v>29</v>
      </c>
      <c r="EZ406" s="9" t="n">
        <f aca="false">IF(EZ$35&gt;=$AC$404,EZ$35-$AC$404+1,0)</f>
        <v>30</v>
      </c>
      <c r="FA406" s="9" t="n">
        <f aca="false">IF(FA$35&gt;=$AC$404,FA$35-$AC$404+1,0)</f>
        <v>31</v>
      </c>
      <c r="FB406" s="9" t="n">
        <f aca="false">IF(FB$35&gt;=$AC$404,FB$35-$AC$404+1,0)</f>
        <v>32</v>
      </c>
      <c r="FC406" s="9" t="n">
        <f aca="false">IF(FC$35&gt;=$AC$404,FC$35-$AC$404+1,0)</f>
        <v>33</v>
      </c>
      <c r="FD406" s="9" t="n">
        <f aca="false">IF(FD$35&gt;=$AC$404,FD$35-$AC$404+1,0)</f>
        <v>34</v>
      </c>
      <c r="FE406" s="9" t="n">
        <f aca="false">IF(FE$35&gt;=$AC$404,FE$35-$AC$404+1,0)</f>
        <v>35</v>
      </c>
      <c r="FF406" s="9" t="n">
        <f aca="false">IF(FF$35&gt;=$AC$404,FF$35-$AC$404+1,0)</f>
        <v>36</v>
      </c>
      <c r="FG406" s="9" t="n">
        <f aca="false">IF(FG$35&gt;=$AC$404,FG$35-$AC$404+1,0)</f>
        <v>37</v>
      </c>
      <c r="FH406" s="9" t="n">
        <f aca="false">IF(FH$35&gt;=$AC$404,FH$35-$AC$404+1,0)</f>
        <v>38</v>
      </c>
      <c r="FI406" s="9" t="n">
        <f aca="false">IF(FI$35&gt;=$AC$404,FI$35-$AC$404+1,0)</f>
        <v>39</v>
      </c>
      <c r="FJ406" s="9" t="n">
        <f aca="false">IF(FJ$35&gt;=$AC$404,FJ$35-$AC$404+1,0)</f>
        <v>40</v>
      </c>
      <c r="FK406" s="9" t="n">
        <f aca="false">IF(FK$35&gt;=$AC$404,FK$35-$AC$404+1,0)</f>
        <v>41</v>
      </c>
      <c r="FL406" s="9" t="n">
        <f aca="false">IF(FL$35&gt;=$AC$404,FL$35-$AC$404+1,0)</f>
        <v>42</v>
      </c>
      <c r="FM406" s="9" t="n">
        <f aca="false">IF(FM$35&gt;=$AC$404,FM$35-$AC$404+1,0)</f>
        <v>43</v>
      </c>
      <c r="FN406" s="9" t="n">
        <f aca="false">IF(FN$35&gt;=$AC$404,FN$35-$AC$404+1,0)</f>
        <v>44</v>
      </c>
      <c r="FO406" s="9" t="n">
        <f aca="false">IF(FO$35&gt;=$AC$404,FO$35-$AC$404+1,0)</f>
        <v>45</v>
      </c>
      <c r="FP406" s="9" t="n">
        <f aca="false">IF(FP$35&gt;=$AC$404,FP$35-$AC$404+1,0)</f>
        <v>46</v>
      </c>
    </row>
    <row r="407" customFormat="false" ht="15" hidden="false" customHeight="false" outlineLevel="2" collapsed="false">
      <c r="B407" s="47" t="s">
        <v>874</v>
      </c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237" t="n">
        <f aca="false" t="array" ref="AC407:AC407">IF(AC406=0,0,IF(AC406/'🎚️ Escenario'!$C$11&gt;=36,$AL$23,INDEX($C$23:$AL$23,MAX(1,ROUNDUP(AC406/'🎚️ Escenario'!$C$11,0)))))</f>
        <v>0</v>
      </c>
      <c r="AD407" s="237" t="n">
        <f aca="false" t="array" ref="AD407:AD407">IF(AD406=0,0,IF(AD406/'🎚️ Escenario'!$C$11&gt;=36,$AL$23,INDEX($C$23:$AL$23,MAX(1,ROUNDUP(AD406/'🎚️ Escenario'!$C$11,0)))))</f>
        <v>0</v>
      </c>
      <c r="AE407" s="237" t="n">
        <f aca="false" t="array" ref="AE407:AE407">IF(AE406=0,0,IF(AE406/'🎚️ Escenario'!$C$11&gt;=36,$AL$23,INDEX($C$23:$AL$23,MAX(1,ROUNDUP(AE406/'🎚️ Escenario'!$C$11,0)))))</f>
        <v>0</v>
      </c>
      <c r="AF407" s="237" t="n">
        <f aca="false" t="array" ref="AF407:AF407">IF(AF406=0,0,IF(AF406/'🎚️ Escenario'!$C$11&gt;=36,$AL$23,INDEX($C$23:$AL$23,MAX(1,ROUNDUP(AF406/'🎚️ Escenario'!$C$11,0)))))</f>
        <v>0</v>
      </c>
      <c r="AG407" s="237" t="n">
        <f aca="false" t="array" ref="AG407:AG407">IF(AG406=0,0,IF(AG406/'🎚️ Escenario'!$C$11&gt;=36,$AL$23,INDEX($C$23:$AL$23,MAX(1,ROUNDUP(AG406/'🎚️ Escenario'!$C$11,0)))))</f>
        <v>0</v>
      </c>
      <c r="AH407" s="237" t="n">
        <f aca="false" t="array" ref="AH407:AH407">IF(AH406=0,0,IF(AH406/'🎚️ Escenario'!$C$11&gt;=36,$AL$23,INDEX($C$23:$AL$23,MAX(1,ROUNDUP(AH406/'🎚️ Escenario'!$C$11,0)))))</f>
        <v>0</v>
      </c>
      <c r="AI407" s="237" t="n">
        <f aca="false" t="array" ref="AI407:AI407">IF(AI406=0,0,IF(AI406/'🎚️ Escenario'!$C$11&gt;=36,$AL$23,INDEX($C$23:$AL$23,MAX(1,ROUNDUP(AI406/'🎚️ Escenario'!$C$11,0)))))</f>
        <v>0</v>
      </c>
      <c r="AJ407" s="237" t="n">
        <f aca="false" t="array" ref="AJ407:AJ407">IF(AJ406=0,0,IF(AJ406/'🎚️ Escenario'!$C$11&gt;=36,$AL$23,INDEX($C$23:$AL$23,MAX(1,ROUNDUP(AJ406/'🎚️ Escenario'!$C$11,0)))))</f>
        <v>0</v>
      </c>
      <c r="AK407" s="237" t="n">
        <f aca="false" t="array" ref="AK407:AK407">IF(AK406=0,0,IF(AK406/'🎚️ Escenario'!$C$11&gt;=36,$AL$23,INDEX($C$23:$AL$23,MAX(1,ROUNDUP(AK406/'🎚️ Escenario'!$C$11,0)))))</f>
        <v>0</v>
      </c>
      <c r="AL407" s="237" t="n">
        <f aca="false" t="array" ref="AL407:AL407">IF(AL406=0,0,IF(AL406/'🎚️ Escenario'!$C$11&gt;=36,$AL$23,INDEX($C$23:$AL$23,MAX(1,ROUNDUP(AL406/'🎚️ Escenario'!$C$11,0)))))</f>
        <v>0</v>
      </c>
      <c r="AM407" s="237" t="n">
        <f aca="false" t="array" ref="AM407:AM407">IF(AM406=0,0,IF(AM406/'🎚️ Escenario'!$C$11&gt;=36,$AL$23,INDEX($C$23:$AL$23,MAX(1,ROUNDUP(AM406/'🎚️ Escenario'!$C$11,0)))))</f>
        <v>0</v>
      </c>
      <c r="AN407" s="237" t="n">
        <f aca="false" t="array" ref="AN407:AN407">IF(AN406=0,0,IF(AN406/'🎚️ Escenario'!$C$11&gt;=36,$AL$23,INDEX($C$23:$AL$23,MAX(1,ROUNDUP(AN406/'🎚️ Escenario'!$C$11,0)))))</f>
        <v>0</v>
      </c>
      <c r="AO407" s="237" t="n">
        <f aca="false" t="array" ref="AO407:AO407">IF(AO406=0,0,IF(AO406/'🎚️ Escenario'!$C$11&gt;=36,$AL$23,INDEX($C$23:$AL$23,MAX(1,ROUNDUP(AO406/'🎚️ Escenario'!$C$11,0)))))</f>
        <v>0</v>
      </c>
      <c r="AP407" s="237" t="n">
        <f aca="false" t="array" ref="AP407:AP407">IF(AP406=0,0,IF(AP406/'🎚️ Escenario'!$C$11&gt;=36,$AL$23,INDEX($C$23:$AL$23,MAX(1,ROUNDUP(AP406/'🎚️ Escenario'!$C$11,0)))))</f>
        <v>0</v>
      </c>
      <c r="AQ407" s="237" t="n">
        <f aca="false" t="array" ref="AQ407:AQ407">IF(AQ406=0,0,IF(AQ406/'🎚️ Escenario'!$C$11&gt;=36,$AL$23,INDEX($C$23:$AL$23,MAX(1,ROUNDUP(AQ406/'🎚️ Escenario'!$C$11,0)))))</f>
        <v>0</v>
      </c>
      <c r="AR407" s="237" t="n">
        <f aca="false" t="array" ref="AR407:AR407">IF(AR406=0,0,IF(AR406/'🎚️ Escenario'!$C$11&gt;=36,$AL$23,INDEX($C$23:$AL$23,MAX(1,ROUNDUP(AR406/'🎚️ Escenario'!$C$11,0)))))</f>
        <v>0</v>
      </c>
      <c r="AS407" s="237" t="n">
        <f aca="false" t="array" ref="AS407:AS407">IF(AS406=0,0,IF(AS406/'🎚️ Escenario'!$C$11&gt;=36,$AL$23,INDEX($C$23:$AL$23,MAX(1,ROUNDUP(AS406/'🎚️ Escenario'!$C$11,0)))))</f>
        <v>0</v>
      </c>
      <c r="AT407" s="237" t="n">
        <f aca="false" t="array" ref="AT407:AT407">IF(AT406=0,0,IF(AT406/'🎚️ Escenario'!$C$11&gt;=36,$AL$23,INDEX($C$23:$AL$23,MAX(1,ROUNDUP(AT406/'🎚️ Escenario'!$C$11,0)))))</f>
        <v>0</v>
      </c>
      <c r="AU407" s="237" t="n">
        <f aca="false" t="array" ref="AU407:AU407">IF(AU406=0,0,IF(AU406/'🎚️ Escenario'!$C$11&gt;=36,$AL$23,INDEX($C$23:$AL$23,MAX(1,ROUNDUP(AU406/'🎚️ Escenario'!$C$11,0)))))</f>
        <v>0</v>
      </c>
      <c r="AV407" s="237" t="n">
        <f aca="false" t="array" ref="AV407:AV407">IF(AV406=0,0,IF(AV406/'🎚️ Escenario'!$C$11&gt;=36,$AL$23,INDEX($C$23:$AL$23,MAX(1,ROUNDUP(AV406/'🎚️ Escenario'!$C$11,0)))))</f>
        <v>0</v>
      </c>
      <c r="AW407" s="237" t="n">
        <f aca="false" t="array" ref="AW407:AW407">IF(AW406=0,0,IF(AW406/'🎚️ Escenario'!$C$11&gt;=36,$AL$23,INDEX($C$23:$AL$23,MAX(1,ROUNDUP(AW406/'🎚️ Escenario'!$C$11,0)))))</f>
        <v>0</v>
      </c>
      <c r="AX407" s="237" t="n">
        <f aca="false" t="array" ref="AX407:AX407">IF(AX406=0,0,IF(AX406/'🎚️ Escenario'!$C$11&gt;=36,$AL$23,INDEX($C$23:$AL$23,MAX(1,ROUNDUP(AX406/'🎚️ Escenario'!$C$11,0)))))</f>
        <v>0</v>
      </c>
      <c r="AY407" s="237" t="n">
        <f aca="false" t="array" ref="AY407:AY407">IF(AY406=0,0,IF(AY406/'🎚️ Escenario'!$C$11&gt;=36,$AL$23,INDEX($C$23:$AL$23,MAX(1,ROUNDUP(AY406/'🎚️ Escenario'!$C$11,0)))))</f>
        <v>0</v>
      </c>
      <c r="AZ407" s="237" t="n">
        <f aca="false" t="array" ref="AZ407:AZ407">IF(AZ406=0,0,IF(AZ406/'🎚️ Escenario'!$C$11&gt;=36,$AL$23,INDEX($C$23:$AL$23,MAX(1,ROUNDUP(AZ406/'🎚️ Escenario'!$C$11,0)))))</f>
        <v>0</v>
      </c>
      <c r="BA407" s="237" t="n">
        <f aca="false" t="array" ref="BA407:BA407">IF(BA406=0,0,IF(BA406/'🎚️ Escenario'!$C$11&gt;=36,$AL$23,INDEX($C$23:$AL$23,MAX(1,ROUNDUP(BA406/'🎚️ Escenario'!$C$11,0)))))</f>
        <v>0</v>
      </c>
      <c r="BB407" s="237" t="n">
        <f aca="false" t="array" ref="BB407:BB407">IF(BB406=0,0,IF(BB406/'🎚️ Escenario'!$C$11&gt;=36,$AL$23,INDEX($C$23:$AL$23,MAX(1,ROUNDUP(BB406/'🎚️ Escenario'!$C$11,0)))))</f>
        <v>0</v>
      </c>
      <c r="BC407" s="237" t="n">
        <f aca="false" t="array" ref="BC407:BC407">IF(BC406=0,0,IF(BC406/'🎚️ Escenario'!$C$11&gt;=36,$AL$23,INDEX($C$23:$AL$23,MAX(1,ROUNDUP(BC406/'🎚️ Escenario'!$C$11,0)))))</f>
        <v>0</v>
      </c>
      <c r="BD407" s="237" t="n">
        <f aca="false" t="array" ref="BD407:BD407">IF(BD406=0,0,IF(BD406/'🎚️ Escenario'!$C$11&gt;=36,$AL$23,INDEX($C$23:$AL$23,MAX(1,ROUNDUP(BD406/'🎚️ Escenario'!$C$11,0)))))</f>
        <v>0</v>
      </c>
      <c r="BE407" s="237" t="n">
        <f aca="false" t="array" ref="BE407:BE407">IF(BE406=0,0,IF(BE406/'🎚️ Escenario'!$C$11&gt;=36,$AL$23,INDEX($C$23:$AL$23,MAX(1,ROUNDUP(BE406/'🎚️ Escenario'!$C$11,0)))))</f>
        <v>0</v>
      </c>
      <c r="BF407" s="237" t="n">
        <f aca="false" t="array" ref="BF407:BF407">IF(BF406=0,0,IF(BF406/'🎚️ Escenario'!$C$11&gt;=36,$AL$23,INDEX($C$23:$AL$23,MAX(1,ROUNDUP(BF406/'🎚️ Escenario'!$C$11,0)))))</f>
        <v>0</v>
      </c>
      <c r="BG407" s="237" t="n">
        <f aca="false" t="array" ref="BG407:BG407">IF(BG406=0,0,IF(BG406/'🎚️ Escenario'!$C$11&gt;=36,$AL$23,INDEX($C$23:$AL$23,MAX(1,ROUNDUP(BG406/'🎚️ Escenario'!$C$11,0)))))</f>
        <v>0</v>
      </c>
      <c r="BH407" s="237" t="n">
        <f aca="false" t="array" ref="BH407:BH407">IF(BH406=0,0,IF(BH406/'🎚️ Escenario'!$C$11&gt;=36,$AL$23,INDEX($C$23:$AL$23,MAX(1,ROUNDUP(BH406/'🎚️ Escenario'!$C$11,0)))))</f>
        <v>0</v>
      </c>
      <c r="BI407" s="237" t="n">
        <f aca="false" t="array" ref="BI407:BI407">IF(BI406=0,0,IF(BI406/'🎚️ Escenario'!$C$11&gt;=36,$AL$23,INDEX($C$23:$AL$23,MAX(1,ROUNDUP(BI406/'🎚️ Escenario'!$C$11,0)))))</f>
        <v>0</v>
      </c>
      <c r="BJ407" s="237" t="n">
        <f aca="false" t="array" ref="BJ407:BJ407">IF(BJ406=0,0,IF(BJ406/'🎚️ Escenario'!$C$11&gt;=36,$AL$23,INDEX($C$23:$AL$23,MAX(1,ROUNDUP(BJ406/'🎚️ Escenario'!$C$11,0)))))</f>
        <v>0</v>
      </c>
      <c r="BK407" s="237" t="n">
        <f aca="false" t="array" ref="BK407:BK407">IF(BK406=0,0,IF(BK406/'🎚️ Escenario'!$C$11&gt;=36,$AL$23,INDEX($C$23:$AL$23,MAX(1,ROUNDUP(BK406/'🎚️ Escenario'!$C$11,0)))))</f>
        <v>0</v>
      </c>
      <c r="BL407" s="237" t="n">
        <f aca="false" t="array" ref="BL407:BL407">IF(BL406=0,0,IF(BL406/'🎚️ Escenario'!$C$11&gt;=36,$AL$23,INDEX($C$23:$AL$23,MAX(1,ROUNDUP(BL406/'🎚️ Escenario'!$C$11,0)))))</f>
        <v>0</v>
      </c>
      <c r="BM407" s="237" t="n">
        <f aca="false" t="array" ref="BM407:BM407">IF(BM406=0,0,IF(BM406/'🎚️ Escenario'!$C$11&gt;=36,$AL$23,INDEX($C$23:$AL$23,MAX(1,ROUNDUP(BM406/'🎚️ Escenario'!$C$11,0)))))</f>
        <v>0</v>
      </c>
      <c r="BN407" s="237" t="n">
        <f aca="false" t="array" ref="BN407:BN407">IF(BN406=0,0,IF(BN406/'🎚️ Escenario'!$C$11&gt;=36,$AL$23,INDEX($C$23:$AL$23,MAX(1,ROUNDUP(BN406/'🎚️ Escenario'!$C$11,0)))))</f>
        <v>0</v>
      </c>
      <c r="BO407" s="237" t="n">
        <f aca="false" t="array" ref="BO407:BO407">IF(BO406=0,0,IF(BO406/'🎚️ Escenario'!$C$11&gt;=36,$AL$23,INDEX($C$23:$AL$23,MAX(1,ROUNDUP(BO406/'🎚️ Escenario'!$C$11,0)))))</f>
        <v>0</v>
      </c>
      <c r="BP407" s="237" t="n">
        <f aca="false" t="array" ref="BP407:BP407">IF(BP406=0,0,IF(BP406/'🎚️ Escenario'!$C$11&gt;=36,$AL$23,INDEX($C$23:$AL$23,MAX(1,ROUNDUP(BP406/'🎚️ Escenario'!$C$11,0)))))</f>
        <v>0</v>
      </c>
      <c r="BQ407" s="237" t="n">
        <f aca="false" t="array" ref="BQ407:BQ407">IF(BQ406=0,0,IF(BQ406/'🎚️ Escenario'!$C$11&gt;=36,$AL$23,INDEX($C$23:$AL$23,MAX(1,ROUNDUP(BQ406/'🎚️ Escenario'!$C$11,0)))))</f>
        <v>0</v>
      </c>
      <c r="BR407" s="237" t="n">
        <f aca="false" t="array" ref="BR407:BR407">IF(BR406=0,0,IF(BR406/'🎚️ Escenario'!$C$11&gt;=36,$AL$23,INDEX($C$23:$AL$23,MAX(1,ROUNDUP(BR406/'🎚️ Escenario'!$C$11,0)))))</f>
        <v>0</v>
      </c>
      <c r="BS407" s="237" t="n">
        <f aca="false" t="array" ref="BS407:BS407">IF(BS406=0,0,IF(BS406/'🎚️ Escenario'!$C$11&gt;=36,$AL$23,INDEX($C$23:$AL$23,MAX(1,ROUNDUP(BS406/'🎚️ Escenario'!$C$11,0)))))</f>
        <v>0</v>
      </c>
      <c r="BT407" s="237" t="n">
        <f aca="false" t="array" ref="BT407:BT407">IF(BT406=0,0,IF(BT406/'🎚️ Escenario'!$C$11&gt;=36,$AL$23,INDEX($C$23:$AL$23,MAX(1,ROUNDUP(BT406/'🎚️ Escenario'!$C$11,0)))))</f>
        <v>0</v>
      </c>
      <c r="BU407" s="237" t="n">
        <f aca="false" t="array" ref="BU407:BU407">IF(BU406=0,0,IF(BU406/'🎚️ Escenario'!$C$11&gt;=36,$AL$23,INDEX($C$23:$AL$23,MAX(1,ROUNDUP(BU406/'🎚️ Escenario'!$C$11,0)))))</f>
        <v>0</v>
      </c>
      <c r="BV407" s="237" t="n">
        <f aca="false" t="array" ref="BV407:BV407">IF(BV406=0,0,IF(BV406/'🎚️ Escenario'!$C$11&gt;=36,$AL$23,INDEX($C$23:$AL$23,MAX(1,ROUNDUP(BV406/'🎚️ Escenario'!$C$11,0)))))</f>
        <v>0</v>
      </c>
      <c r="BW407" s="237" t="n">
        <f aca="false" t="array" ref="BW407:BW407">IF(BW406=0,0,IF(BW406/'🎚️ Escenario'!$C$11&gt;=36,$AL$23,INDEX($C$23:$AL$23,MAX(1,ROUNDUP(BW406/'🎚️ Escenario'!$C$11,0)))))</f>
        <v>0</v>
      </c>
      <c r="BX407" s="237" t="n">
        <f aca="false" t="array" ref="BX407:BX407">IF(BX406=0,0,IF(BX406/'🎚️ Escenario'!$C$11&gt;=36,$AL$23,INDEX($C$23:$AL$23,MAX(1,ROUNDUP(BX406/'🎚️ Escenario'!$C$11,0)))))</f>
        <v>0</v>
      </c>
      <c r="BY407" s="237" t="n">
        <f aca="false" t="array" ref="BY407:BY407">IF(BY406=0,0,IF(BY406/'🎚️ Escenario'!$C$11&gt;=36,$AL$23,INDEX($C$23:$AL$23,MAX(1,ROUNDUP(BY406/'🎚️ Escenario'!$C$11,0)))))</f>
        <v>0</v>
      </c>
      <c r="BZ407" s="237" t="n">
        <f aca="false" t="array" ref="BZ407:BZ407">IF(BZ406=0,0,IF(BZ406/'🎚️ Escenario'!$C$11&gt;=36,$AL$23,INDEX($C$23:$AL$23,MAX(1,ROUNDUP(BZ406/'🎚️ Escenario'!$C$11,0)))))</f>
        <v>0</v>
      </c>
      <c r="CA407" s="237" t="n">
        <f aca="false" t="array" ref="CA407:CA407">IF(CA406=0,0,IF(CA406/'🎚️ Escenario'!$C$11&gt;=36,$AL$23,INDEX($C$23:$AL$23,MAX(1,ROUNDUP(CA406/'🎚️ Escenario'!$C$11,0)))))</f>
        <v>0</v>
      </c>
      <c r="CB407" s="237" t="n">
        <f aca="false" t="array" ref="CB407:CB407">IF(CB406=0,0,IF(CB406/'🎚️ Escenario'!$C$11&gt;=36,$AL$23,INDEX($C$23:$AL$23,MAX(1,ROUNDUP(CB406/'🎚️ Escenario'!$C$11,0)))))</f>
        <v>0</v>
      </c>
      <c r="CC407" s="237" t="n">
        <f aca="false" t="array" ref="CC407:CC407">IF(CC406=0,0,IF(CC406/'🎚️ Escenario'!$C$11&gt;=36,$AL$23,INDEX($C$23:$AL$23,MAX(1,ROUNDUP(CC406/'🎚️ Escenario'!$C$11,0)))))</f>
        <v>0</v>
      </c>
      <c r="CD407" s="237" t="n">
        <f aca="false" t="array" ref="CD407:CD407">IF(CD406=0,0,IF(CD406/'🎚️ Escenario'!$C$11&gt;=36,$AL$23,INDEX($C$23:$AL$23,MAX(1,ROUNDUP(CD406/'🎚️ Escenario'!$C$11,0)))))</f>
        <v>0</v>
      </c>
      <c r="CE407" s="237" t="n">
        <f aca="false" t="array" ref="CE407:CE407">IF(CE406=0,0,IF(CE406/'🎚️ Escenario'!$C$11&gt;=36,$AL$23,INDEX($C$23:$AL$23,MAX(1,ROUNDUP(CE406/'🎚️ Escenario'!$C$11,0)))))</f>
        <v>0</v>
      </c>
      <c r="CF407" s="237" t="n">
        <f aca="false" t="array" ref="CF407:CF407">IF(CF406=0,0,IF(CF406/'🎚️ Escenario'!$C$11&gt;=36,$AL$23,INDEX($C$23:$AL$23,MAX(1,ROUNDUP(CF406/'🎚️ Escenario'!$C$11,0)))))</f>
        <v>0</v>
      </c>
      <c r="CG407" s="237" t="n">
        <f aca="false" t="array" ref="CG407:CG407">IF(CG406=0,0,IF(CG406/'🎚️ Escenario'!$C$11&gt;=36,$AL$23,INDEX($C$23:$AL$23,MAX(1,ROUNDUP(CG406/'🎚️ Escenario'!$C$11,0)))))</f>
        <v>0</v>
      </c>
      <c r="CH407" s="237" t="n">
        <f aca="false" t="array" ref="CH407:CH407">IF(CH406=0,0,IF(CH406/'🎚️ Escenario'!$C$11&gt;=36,$AL$23,INDEX($C$23:$AL$23,MAX(1,ROUNDUP(CH406/'🎚️ Escenario'!$C$11,0)))))</f>
        <v>0</v>
      </c>
      <c r="CI407" s="237" t="n">
        <f aca="false" t="array" ref="CI407:CI407">IF(CI406=0,0,IF(CI406/'🎚️ Escenario'!$C$11&gt;=36,$AL$23,INDEX($C$23:$AL$23,MAX(1,ROUNDUP(CI406/'🎚️ Escenario'!$C$11,0)))))</f>
        <v>0</v>
      </c>
      <c r="CJ407" s="237" t="n">
        <f aca="false" t="array" ref="CJ407:CJ407">IF(CJ406=0,0,IF(CJ406/'🎚️ Escenario'!$C$11&gt;=36,$AL$23,INDEX($C$23:$AL$23,MAX(1,ROUNDUP(CJ406/'🎚️ Escenario'!$C$11,0)))))</f>
        <v>0</v>
      </c>
      <c r="CK407" s="237" t="n">
        <f aca="false" t="array" ref="CK407:CK407">IF(CK406=0,0,IF(CK406/'🎚️ Escenario'!$C$11&gt;=36,$AL$23,INDEX($C$23:$AL$23,MAX(1,ROUNDUP(CK406/'🎚️ Escenario'!$C$11,0)))))</f>
        <v>0</v>
      </c>
      <c r="CL407" s="237" t="n">
        <f aca="false" t="array" ref="CL407:CL407">IF(CL406=0,0,IF(CL406/'🎚️ Escenario'!$C$11&gt;=36,$AL$23,INDEX($C$23:$AL$23,MAX(1,ROUNDUP(CL406/'🎚️ Escenario'!$C$11,0)))))</f>
        <v>0</v>
      </c>
      <c r="CM407" s="237" t="n">
        <f aca="false" t="array" ref="CM407:CM407">IF(CM406=0,0,IF(CM406/'🎚️ Escenario'!$C$11&gt;=36,$AL$23,INDEX($C$23:$AL$23,MAX(1,ROUNDUP(CM406/'🎚️ Escenario'!$C$11,0)))))</f>
        <v>0</v>
      </c>
      <c r="CN407" s="237" t="n">
        <f aca="false" t="array" ref="CN407:CN407">IF(CN406=0,0,IF(CN406/'🎚️ Escenario'!$C$11&gt;=36,$AL$23,INDEX($C$23:$AL$23,MAX(1,ROUNDUP(CN406/'🎚️ Escenario'!$C$11,0)))))</f>
        <v>0</v>
      </c>
      <c r="CO407" s="237" t="n">
        <f aca="false" t="array" ref="CO407:CO407">IF(CO406=0,0,IF(CO406/'🎚️ Escenario'!$C$11&gt;=36,$AL$23,INDEX($C$23:$AL$23,MAX(1,ROUNDUP(CO406/'🎚️ Escenario'!$C$11,0)))))</f>
        <v>0</v>
      </c>
      <c r="CP407" s="237" t="n">
        <f aca="false" t="array" ref="CP407:CP407">IF(CP406=0,0,IF(CP406/'🎚️ Escenario'!$C$11&gt;=36,$AL$23,INDEX($C$23:$AL$23,MAX(1,ROUNDUP(CP406/'🎚️ Escenario'!$C$11,0)))))</f>
        <v>0</v>
      </c>
      <c r="CQ407" s="237" t="n">
        <f aca="false" t="array" ref="CQ407:CQ407">IF(CQ406=0,0,IF(CQ406/'🎚️ Escenario'!$C$11&gt;=36,$AL$23,INDEX($C$23:$AL$23,MAX(1,ROUNDUP(CQ406/'🎚️ Escenario'!$C$11,0)))))</f>
        <v>0</v>
      </c>
      <c r="CR407" s="237" t="n">
        <f aca="false" t="array" ref="CR407:CR407">IF(CR406=0,0,IF(CR406/'🎚️ Escenario'!$C$11&gt;=36,$AL$23,INDEX($C$23:$AL$23,MAX(1,ROUNDUP(CR406/'🎚️ Escenario'!$C$11,0)))))</f>
        <v>0</v>
      </c>
      <c r="CS407" s="237" t="n">
        <f aca="false" t="array" ref="CS407:CS407">IF(CS406=0,0,IF(CS406/'🎚️ Escenario'!$C$11&gt;=36,$AL$23,INDEX($C$23:$AL$23,MAX(1,ROUNDUP(CS406/'🎚️ Escenario'!$C$11,0)))))</f>
        <v>0</v>
      </c>
      <c r="CT407" s="237" t="n">
        <f aca="false" t="array" ref="CT407:CT407">IF(CT406=0,0,IF(CT406/'🎚️ Escenario'!$C$11&gt;=36,$AL$23,INDEX($C$23:$AL$23,MAX(1,ROUNDUP(CT406/'🎚️ Escenario'!$C$11,0)))))</f>
        <v>0</v>
      </c>
      <c r="CU407" s="237" t="n">
        <f aca="false" t="array" ref="CU407:CU407">IF(CU406=0,0,IF(CU406/'🎚️ Escenario'!$C$11&gt;=36,$AL$23,INDEX($C$23:$AL$23,MAX(1,ROUNDUP(CU406/'🎚️ Escenario'!$C$11,0)))))</f>
        <v>0</v>
      </c>
      <c r="CV407" s="237" t="n">
        <f aca="false" t="array" ref="CV407:CV407">IF(CV406=0,0,IF(CV406/'🎚️ Escenario'!$C$11&gt;=36,$AL$23,INDEX($C$23:$AL$23,MAX(1,ROUNDUP(CV406/'🎚️ Escenario'!$C$11,0)))))</f>
        <v>0</v>
      </c>
      <c r="CW407" s="237" t="n">
        <f aca="false" t="array" ref="CW407:CW407">IF(CW406=0,0,IF(CW406/'🎚️ Escenario'!$C$11&gt;=36,$AL$23,INDEX($C$23:$AL$23,MAX(1,ROUNDUP(CW406/'🎚️ Escenario'!$C$11,0)))))</f>
        <v>0</v>
      </c>
      <c r="CX407" s="237" t="n">
        <f aca="false" t="array" ref="CX407:CX407">IF(CX406=0,0,IF(CX406/'🎚️ Escenario'!$C$11&gt;=36,$AL$23,INDEX($C$23:$AL$23,MAX(1,ROUNDUP(CX406/'🎚️ Escenario'!$C$11,0)))))</f>
        <v>0</v>
      </c>
      <c r="CY407" s="237" t="n">
        <f aca="false" t="array" ref="CY407:CY407">IF(CY406=0,0,IF(CY406/'🎚️ Escenario'!$C$11&gt;=36,$AL$23,INDEX($C$23:$AL$23,MAX(1,ROUNDUP(CY406/'🎚️ Escenario'!$C$11,0)))))</f>
        <v>0</v>
      </c>
      <c r="CZ407" s="237" t="n">
        <f aca="false" t="array" ref="CZ407:CZ407">IF(CZ406=0,0,IF(CZ406/'🎚️ Escenario'!$C$11&gt;=36,$AL$23,INDEX($C$23:$AL$23,MAX(1,ROUNDUP(CZ406/'🎚️ Escenario'!$C$11,0)))))</f>
        <v>0</v>
      </c>
      <c r="DA407" s="237" t="n">
        <f aca="false" t="array" ref="DA407:DA407">IF(DA406=0,0,IF(DA406/'🎚️ Escenario'!$C$11&gt;=36,$AL$23,INDEX($C$23:$AL$23,MAX(1,ROUNDUP(DA406/'🎚️ Escenario'!$C$11,0)))))</f>
        <v>0</v>
      </c>
      <c r="DB407" s="237" t="n">
        <f aca="false" t="array" ref="DB407:DB407">IF(DB406=0,0,IF(DB406/'🎚️ Escenario'!$C$11&gt;=36,$AL$23,INDEX($C$23:$AL$23,MAX(1,ROUNDUP(DB406/'🎚️ Escenario'!$C$11,0)))))</f>
        <v>0</v>
      </c>
      <c r="DC407" s="237" t="n">
        <f aca="false" t="array" ref="DC407:DC407">IF(DC406=0,0,IF(DC406/'🎚️ Escenario'!$C$11&gt;=36,$AL$23,INDEX($C$23:$AL$23,MAX(1,ROUNDUP(DC406/'🎚️ Escenario'!$C$11,0)))))</f>
        <v>0</v>
      </c>
      <c r="DD407" s="237" t="n">
        <f aca="false" t="array" ref="DD407:DD407">IF(DD406=0,0,IF(DD406/'🎚️ Escenario'!$C$11&gt;=36,$AL$23,INDEX($C$23:$AL$23,MAX(1,ROUNDUP(DD406/'🎚️ Escenario'!$C$11,0)))))</f>
        <v>0</v>
      </c>
      <c r="DE407" s="237" t="n">
        <f aca="false" t="array" ref="DE407:DE407">IF(DE406=0,0,IF(DE406/'🎚️ Escenario'!$C$11&gt;=36,$AL$23,INDEX($C$23:$AL$23,MAX(1,ROUNDUP(DE406/'🎚️ Escenario'!$C$11,0)))))</f>
        <v>0</v>
      </c>
      <c r="DF407" s="237" t="n">
        <f aca="false" t="array" ref="DF407:DF407">IF(DF406=0,0,IF(DF406/'🎚️ Escenario'!$C$11&gt;=36,$AL$23,INDEX($C$23:$AL$23,MAX(1,ROUNDUP(DF406/'🎚️ Escenario'!$C$11,0)))))</f>
        <v>0</v>
      </c>
      <c r="DG407" s="237" t="n">
        <f aca="false" t="array" ref="DG407:DG407">IF(DG406=0,0,IF(DG406/'🎚️ Escenario'!$C$11&gt;=36,$AL$23,INDEX($C$23:$AL$23,MAX(1,ROUNDUP(DG406/'🎚️ Escenario'!$C$11,0)))))</f>
        <v>0</v>
      </c>
      <c r="DH407" s="237" t="n">
        <f aca="false" t="array" ref="DH407:DH407">IF(DH406=0,0,IF(DH406/'🎚️ Escenario'!$C$11&gt;=36,$AL$23,INDEX($C$23:$AL$23,MAX(1,ROUNDUP(DH406/'🎚️ Escenario'!$C$11,0)))))</f>
        <v>0</v>
      </c>
      <c r="DI407" s="237" t="n">
        <f aca="false" t="array" ref="DI407:DI407">IF(DI406=0,0,IF(DI406/'🎚️ Escenario'!$C$11&gt;=36,$AL$23,INDEX($C$23:$AL$23,MAX(1,ROUNDUP(DI406/'🎚️ Escenario'!$C$11,0)))))</f>
        <v>0</v>
      </c>
      <c r="DJ407" s="237" t="n">
        <f aca="false" t="array" ref="DJ407:DJ407">IF(DJ406=0,0,IF(DJ406/'🎚️ Escenario'!$C$11&gt;=36,$AL$23,INDEX($C$23:$AL$23,MAX(1,ROUNDUP(DJ406/'🎚️ Escenario'!$C$11,0)))))</f>
        <v>0</v>
      </c>
      <c r="DK407" s="237" t="n">
        <f aca="false" t="array" ref="DK407:DK407">IF(DK406=0,0,IF(DK406/'🎚️ Escenario'!$C$11&gt;=36,$AL$23,INDEX($C$23:$AL$23,MAX(1,ROUNDUP(DK406/'🎚️ Escenario'!$C$11,0)))))</f>
        <v>0</v>
      </c>
      <c r="DL407" s="237" t="n">
        <f aca="false" t="array" ref="DL407:DL407">IF(DL406=0,0,IF(DL406/'🎚️ Escenario'!$C$11&gt;=36,$AL$23,INDEX($C$23:$AL$23,MAX(1,ROUNDUP(DL406/'🎚️ Escenario'!$C$11,0)))))</f>
        <v>0</v>
      </c>
      <c r="DM407" s="237" t="n">
        <f aca="false" t="array" ref="DM407:DM407">IF(DM406=0,0,IF(DM406/'🎚️ Escenario'!$C$11&gt;=36,$AL$23,INDEX($C$23:$AL$23,MAX(1,ROUNDUP(DM406/'🎚️ Escenario'!$C$11,0)))))</f>
        <v>0</v>
      </c>
      <c r="DN407" s="237" t="n">
        <f aca="false" t="array" ref="DN407:DN407">IF(DN406=0,0,IF(DN406/'🎚️ Escenario'!$C$11&gt;=36,$AL$23,INDEX($C$23:$AL$23,MAX(1,ROUNDUP(DN406/'🎚️ Escenario'!$C$11,0)))))</f>
        <v>0</v>
      </c>
      <c r="DO407" s="237" t="n">
        <f aca="false" t="array" ref="DO407:DO407">IF(DO406=0,0,IF(DO406/'🎚️ Escenario'!$C$11&gt;=36,$AL$23,INDEX($C$23:$AL$23,MAX(1,ROUNDUP(DO406/'🎚️ Escenario'!$C$11,0)))))</f>
        <v>0</v>
      </c>
      <c r="DP407" s="237" t="n">
        <f aca="false" t="array" ref="DP407:DP407">IF(DP406=0,0,IF(DP406/'🎚️ Escenario'!$C$11&gt;=36,$AL$23,INDEX($C$23:$AL$23,MAX(1,ROUNDUP(DP406/'🎚️ Escenario'!$C$11,0)))))</f>
        <v>0</v>
      </c>
      <c r="DQ407" s="237" t="n">
        <f aca="false" t="array" ref="DQ407:DQ407">IF(DQ406=0,0,IF(DQ406/'🎚️ Escenario'!$C$11&gt;=36,$AL$23,INDEX($C$23:$AL$23,MAX(1,ROUNDUP(DQ406/'🎚️ Escenario'!$C$11,0)))))</f>
        <v>0</v>
      </c>
      <c r="DR407" s="237" t="n">
        <f aca="false" t="array" ref="DR407:DR407">IF(DR406=0,0,IF(DR406/'🎚️ Escenario'!$C$11&gt;=36,$AL$23,INDEX($C$23:$AL$23,MAX(1,ROUNDUP(DR406/'🎚️ Escenario'!$C$11,0)))))</f>
        <v>0</v>
      </c>
      <c r="DS407" s="237" t="n">
        <f aca="false" t="array" ref="DS407:DS407">IF(DS406=0,0,IF(DS406/'🎚️ Escenario'!$C$11&gt;=36,$AL$23,INDEX($C$23:$AL$23,MAX(1,ROUNDUP(DS406/'🎚️ Escenario'!$C$11,0)))))</f>
        <v>0</v>
      </c>
      <c r="DT407" s="237" t="n">
        <f aca="false" t="array" ref="DT407:DT407">IF(DT406=0,0,IF(DT406/'🎚️ Escenario'!$C$11&gt;=36,$AL$23,INDEX($C$23:$AL$23,MAX(1,ROUNDUP(DT406/'🎚️ Escenario'!$C$11,0)))))</f>
        <v>0</v>
      </c>
      <c r="DU407" s="237" t="n">
        <f aca="false" t="array" ref="DU407:DU407">IF(DU406=0,0,IF(DU406/'🎚️ Escenario'!$C$11&gt;=36,$AL$23,INDEX($C$23:$AL$23,MAX(1,ROUNDUP(DU406/'🎚️ Escenario'!$C$11,0)))))</f>
        <v>0</v>
      </c>
      <c r="DV407" s="237" t="n">
        <f aca="false" t="array" ref="DV407:DV407">IF(DV406=0,0,IF(DV406/'🎚️ Escenario'!$C$11&gt;=36,$AL$23,INDEX($C$23:$AL$23,MAX(1,ROUNDUP(DV406/'🎚️ Escenario'!$C$11,0)))))</f>
        <v>0</v>
      </c>
      <c r="DW407" s="237" t="n">
        <f aca="false" t="array" ref="DW407:DW407">IF(DW406=0,0,IF(DW406/'🎚️ Escenario'!$C$11&gt;=36,$AL$23,INDEX($C$23:$AL$23,MAX(1,ROUNDUP(DW406/'🎚️ Escenario'!$C$11,0)))))</f>
        <v>0.2</v>
      </c>
      <c r="DX407" s="237" t="n">
        <f aca="false" t="array" ref="DX407:DX407">IF(DX406=0,0,IF(DX406/'🎚️ Escenario'!$C$11&gt;=36,$AL$23,INDEX($C$23:$AL$23,MAX(1,ROUNDUP(DX406/'🎚️ Escenario'!$C$11,0)))))</f>
        <v>0.22</v>
      </c>
      <c r="DY407" s="237" t="n">
        <f aca="false" t="array" ref="DY407:DY407">IF(DY406=0,0,IF(DY406/'🎚️ Escenario'!$C$11&gt;=36,$AL$23,INDEX($C$23:$AL$23,MAX(1,ROUNDUP(DY406/'🎚️ Escenario'!$C$11,0)))))</f>
        <v>0.24</v>
      </c>
      <c r="DZ407" s="237" t="n">
        <f aca="false" t="array" ref="DZ407:DZ407">IF(DZ406=0,0,IF(DZ406/'🎚️ Escenario'!$C$11&gt;=36,$AL$23,INDEX($C$23:$AL$23,MAX(1,ROUNDUP(DZ406/'🎚️ Escenario'!$C$11,0)))))</f>
        <v>0.27</v>
      </c>
      <c r="EA407" s="237" t="n">
        <f aca="false" t="array" ref="EA407:EA407">IF(EA406=0,0,IF(EA406/'🎚️ Escenario'!$C$11&gt;=36,$AL$23,INDEX($C$23:$AL$23,MAX(1,ROUNDUP(EA406/'🎚️ Escenario'!$C$11,0)))))</f>
        <v>0.27</v>
      </c>
      <c r="EB407" s="237" t="n">
        <f aca="false" t="array" ref="EB407:EB407">IF(EB406=0,0,IF(EB406/'🎚️ Escenario'!$C$11&gt;=36,$AL$23,INDEX($C$23:$AL$23,MAX(1,ROUNDUP(EB406/'🎚️ Escenario'!$C$11,0)))))</f>
        <v>0.31</v>
      </c>
      <c r="EC407" s="237" t="n">
        <f aca="false" t="array" ref="EC407:EC407">IF(EC406=0,0,IF(EC406/'🎚️ Escenario'!$C$11&gt;=36,$AL$23,INDEX($C$23:$AL$23,MAX(1,ROUNDUP(EC406/'🎚️ Escenario'!$C$11,0)))))</f>
        <v>0.35</v>
      </c>
      <c r="ED407" s="237" t="n">
        <f aca="false" t="array" ref="ED407:ED407">IF(ED406=0,0,IF(ED406/'🎚️ Escenario'!$C$11&gt;=36,$AL$23,INDEX($C$23:$AL$23,MAX(1,ROUNDUP(ED406/'🎚️ Escenario'!$C$11,0)))))</f>
        <v>0.39</v>
      </c>
      <c r="EE407" s="237" t="n">
        <f aca="false" t="array" ref="EE407:EE407">IF(EE406=0,0,IF(EE406/'🎚️ Escenario'!$C$11&gt;=36,$AL$23,INDEX($C$23:$AL$23,MAX(1,ROUNDUP(EE406/'🎚️ Escenario'!$C$11,0)))))</f>
        <v>0.44</v>
      </c>
      <c r="EF407" s="237" t="n">
        <f aca="false" t="array" ref="EF407:EF407">IF(EF406=0,0,IF(EF406/'🎚️ Escenario'!$C$11&gt;=36,$AL$23,INDEX($C$23:$AL$23,MAX(1,ROUNDUP(EF406/'🎚️ Escenario'!$C$11,0)))))</f>
        <v>0.44</v>
      </c>
      <c r="EG407" s="237" t="n">
        <f aca="false" t="array" ref="EG407:EG407">IF(EG406=0,0,IF(EG406/'🎚️ Escenario'!$C$11&gt;=36,$AL$23,INDEX($C$23:$AL$23,MAX(1,ROUNDUP(EG406/'🎚️ Escenario'!$C$11,0)))))</f>
        <v>0.48</v>
      </c>
      <c r="EH407" s="237" t="n">
        <f aca="false" t="array" ref="EH407:EH407">IF(EH406=0,0,IF(EH406/'🎚️ Escenario'!$C$11&gt;=36,$AL$23,INDEX($C$23:$AL$23,MAX(1,ROUNDUP(EH406/'🎚️ Escenario'!$C$11,0)))))</f>
        <v>0.52</v>
      </c>
      <c r="EI407" s="237" t="n">
        <f aca="false" t="array" ref="EI407:EI407">IF(EI406=0,0,IF(EI406/'🎚️ Escenario'!$C$11&gt;=36,$AL$23,INDEX($C$23:$AL$23,MAX(1,ROUNDUP(EI406/'🎚️ Escenario'!$C$11,0)))))</f>
        <v>0.56</v>
      </c>
      <c r="EJ407" s="237" t="n">
        <f aca="false" t="array" ref="EJ407:EJ407">IF(EJ406=0,0,IF(EJ406/'🎚️ Escenario'!$C$11&gt;=36,$AL$23,INDEX($C$23:$AL$23,MAX(1,ROUNDUP(EJ406/'🎚️ Escenario'!$C$11,0)))))</f>
        <v>0.6</v>
      </c>
      <c r="EK407" s="237" t="n">
        <f aca="false" t="array" ref="EK407:EK407">IF(EK406=0,0,IF(EK406/'🎚️ Escenario'!$C$11&gt;=36,$AL$23,INDEX($C$23:$AL$23,MAX(1,ROUNDUP(EK406/'🎚️ Escenario'!$C$11,0)))))</f>
        <v>0.6</v>
      </c>
      <c r="EL407" s="237" t="n">
        <f aca="false" t="array" ref="EL407:EL407">IF(EL406=0,0,IF(EL406/'🎚️ Escenario'!$C$11&gt;=36,$AL$23,INDEX($C$23:$AL$23,MAX(1,ROUNDUP(EL406/'🎚️ Escenario'!$C$11,0)))))</f>
        <v>0.63</v>
      </c>
      <c r="EM407" s="237" t="n">
        <f aca="false" t="array" ref="EM407:EM407">IF(EM406=0,0,IF(EM406/'🎚️ Escenario'!$C$11&gt;=36,$AL$23,INDEX($C$23:$AL$23,MAX(1,ROUNDUP(EM406/'🎚️ Escenario'!$C$11,0)))))</f>
        <v>0.66</v>
      </c>
      <c r="EN407" s="237" t="n">
        <f aca="false" t="array" ref="EN407:EN407">IF(EN406=0,0,IF(EN406/'🎚️ Escenario'!$C$11&gt;=36,$AL$23,INDEX($C$23:$AL$23,MAX(1,ROUNDUP(EN406/'🎚️ Escenario'!$C$11,0)))))</f>
        <v>0.69</v>
      </c>
      <c r="EO407" s="237" t="n">
        <f aca="false" t="array" ref="EO407:EO407">IF(EO406=0,0,IF(EO406/'🎚️ Escenario'!$C$11&gt;=36,$AL$23,INDEX($C$23:$AL$23,MAX(1,ROUNDUP(EO406/'🎚️ Escenario'!$C$11,0)))))</f>
        <v>0.71</v>
      </c>
      <c r="EP407" s="237" t="n">
        <f aca="false" t="array" ref="EP407:EP407">IF(EP406=0,0,IF(EP406/'🎚️ Escenario'!$C$11&gt;=36,$AL$23,INDEX($C$23:$AL$23,MAX(1,ROUNDUP(EP406/'🎚️ Escenario'!$C$11,0)))))</f>
        <v>0.71</v>
      </c>
      <c r="EQ407" s="237" t="n">
        <f aca="false" t="array" ref="EQ407:EQ407">IF(EQ406=0,0,IF(EQ406/'🎚️ Escenario'!$C$11&gt;=36,$AL$23,INDEX($C$23:$AL$23,MAX(1,ROUNDUP(EQ406/'🎚️ Escenario'!$C$11,0)))))</f>
        <v>0.73</v>
      </c>
      <c r="ER407" s="237" t="n">
        <f aca="false" t="array" ref="ER407:ER407">IF(ER406=0,0,IF(ER406/'🎚️ Escenario'!$C$11&gt;=36,$AL$23,INDEX($C$23:$AL$23,MAX(1,ROUNDUP(ER406/'🎚️ Escenario'!$C$11,0)))))</f>
        <v>0.75</v>
      </c>
      <c r="ES407" s="9" t="n">
        <f aca="false" t="array" ref="ES407:ES407">IF(ES406=0,0,IF(ES406/'🎚️ Escenario'!$C$11&gt;=36,$AL$23,INDEX($C$23:$AL$23,MAX(1,ROUNDUP(ES406/'🎚️ Escenario'!$C$11,0)))))</f>
        <v>0.77</v>
      </c>
      <c r="ET407" s="9" t="n">
        <f aca="false" t="array" ref="ET407:ET407">IF(ET406=0,0,IF(ET406/'🎚️ Escenario'!$C$11&gt;=36,$AL$23,INDEX($C$23:$AL$23,MAX(1,ROUNDUP(ET406/'🎚️ Escenario'!$C$11,0)))))</f>
        <v>0.79</v>
      </c>
      <c r="EU407" s="9" t="n">
        <f aca="false" t="array" ref="EU407:EU407">IF(EU406=0,0,IF(EU406/'🎚️ Escenario'!$C$11&gt;=36,$AL$23,INDEX($C$23:$AL$23,MAX(1,ROUNDUP(EU406/'🎚️ Escenario'!$C$11,0)))))</f>
        <v>0.79</v>
      </c>
      <c r="EV407" s="9" t="n">
        <f aca="false" t="array" ref="EV407:EV407">IF(EV406=0,0,IF(EV406/'🎚️ Escenario'!$C$11&gt;=36,$AL$23,INDEX($C$23:$AL$23,MAX(1,ROUNDUP(EV406/'🎚️ Escenario'!$C$11,0)))))</f>
        <v>0.8</v>
      </c>
      <c r="EW407" s="9" t="n">
        <f aca="false" t="array" ref="EW407:EW407">IF(EW406=0,0,IF(EW406/'🎚️ Escenario'!$C$11&gt;=36,$AL$23,INDEX($C$23:$AL$23,MAX(1,ROUNDUP(EW406/'🎚️ Escenario'!$C$11,0)))))</f>
        <v>0.82</v>
      </c>
      <c r="EX407" s="9" t="n">
        <f aca="false" t="array" ref="EX407:EX407">IF(EX406=0,0,IF(EX406/'🎚️ Escenario'!$C$11&gt;=36,$AL$23,INDEX($C$23:$AL$23,MAX(1,ROUNDUP(EX406/'🎚️ Escenario'!$C$11,0)))))</f>
        <v>0.84</v>
      </c>
      <c r="EY407" s="9" t="n">
        <f aca="false" t="array" ref="EY407:EY407">IF(EY406=0,0,IF(EY406/'🎚️ Escenario'!$C$11&gt;=36,$AL$23,INDEX($C$23:$AL$23,MAX(1,ROUNDUP(EY406/'🎚️ Escenario'!$C$11,0)))))</f>
        <v>0.85</v>
      </c>
      <c r="EZ407" s="9" t="n">
        <f aca="false" t="array" ref="EZ407:EZ407">IF(EZ406=0,0,IF(EZ406/'🎚️ Escenario'!$C$11&gt;=36,$AL$23,INDEX($C$23:$AL$23,MAX(1,ROUNDUP(EZ406/'🎚️ Escenario'!$C$11,0)))))</f>
        <v>0.85</v>
      </c>
      <c r="FA407" s="9" t="n">
        <f aca="false" t="array" ref="FA407:FA407">IF(FA406=0,0,IF(FA406/'🎚️ Escenario'!$C$11&gt;=36,$AL$23,INDEX($C$23:$AL$23,MAX(1,ROUNDUP(FA406/'🎚️ Escenario'!$C$11,0)))))</f>
        <v>0.86</v>
      </c>
      <c r="FB407" s="9" t="n">
        <f aca="false" t="array" ref="FB407:FB407">IF(FB406=0,0,IF(FB406/'🎚️ Escenario'!$C$11&gt;=36,$AL$23,INDEX($C$23:$AL$23,MAX(1,ROUNDUP(FB406/'🎚️ Escenario'!$C$11,0)))))</f>
        <v>0.88</v>
      </c>
      <c r="FC407" s="9" t="n">
        <f aca="false" t="array" ref="FC407:FC407">IF(FC406=0,0,IF(FC406/'🎚️ Escenario'!$C$11&gt;=36,$AL$23,INDEX($C$23:$AL$23,MAX(1,ROUNDUP(FC406/'🎚️ Escenario'!$C$11,0)))))</f>
        <v>0.89</v>
      </c>
      <c r="FD407" s="9" t="n">
        <f aca="false" t="array" ref="FD407:FD407">IF(FD406=0,0,IF(FD406/'🎚️ Escenario'!$C$11&gt;=36,$AL$23,INDEX($C$23:$AL$23,MAX(1,ROUNDUP(FD406/'🎚️ Escenario'!$C$11,0)))))</f>
        <v>0.9</v>
      </c>
      <c r="FE407" s="9" t="n">
        <f aca="false" t="array" ref="FE407:FE407">IF(FE406=0,0,IF(FE406/'🎚️ Escenario'!$C$11&gt;=36,$AL$23,INDEX($C$23:$AL$23,MAX(1,ROUNDUP(FE406/'🎚️ Escenario'!$C$11,0)))))</f>
        <v>0.9</v>
      </c>
      <c r="FF407" s="9" t="n">
        <f aca="false" t="array" ref="FF407:FF407">IF(FF406=0,0,IF(FF406/'🎚️ Escenario'!$C$11&gt;=36,$AL$23,INDEX($C$23:$AL$23,MAX(1,ROUNDUP(FF406/'🎚️ Escenario'!$C$11,0)))))</f>
        <v>0.92</v>
      </c>
      <c r="FG407" s="9" t="n">
        <f aca="false" t="array" ref="FG407:FG407">IF(FG406=0,0,IF(FG406/'🎚️ Escenario'!$C$11&gt;=36,$AL$23,INDEX($C$23:$AL$23,MAX(1,ROUNDUP(FG406/'🎚️ Escenario'!$C$11,0)))))</f>
        <v>0.93</v>
      </c>
      <c r="FH407" s="9" t="n">
        <f aca="false" t="array" ref="FH407:FH407">IF(FH406=0,0,IF(FH406/'🎚️ Escenario'!$C$11&gt;=36,$AL$23,INDEX($C$23:$AL$23,MAX(1,ROUNDUP(FH406/'🎚️ Escenario'!$C$11,0)))))</f>
        <v>0.94</v>
      </c>
      <c r="FI407" s="9" t="n">
        <f aca="false" t="array" ref="FI407:FI407">IF(FI406=0,0,IF(FI406/'🎚️ Escenario'!$C$11&gt;=36,$AL$23,INDEX($C$23:$AL$23,MAX(1,ROUNDUP(FI406/'🎚️ Escenario'!$C$11,0)))))</f>
        <v>0.95</v>
      </c>
      <c r="FJ407" s="9" t="n">
        <f aca="false" t="array" ref="FJ407:FJ407">IF(FJ406=0,0,IF(FJ406/'🎚️ Escenario'!$C$11&gt;=36,$AL$23,INDEX($C$23:$AL$23,MAX(1,ROUNDUP(FJ406/'🎚️ Escenario'!$C$11,0)))))</f>
        <v>0.95</v>
      </c>
      <c r="FK407" s="9" t="n">
        <f aca="false" t="array" ref="FK407:FK407">IF(FK406=0,0,IF(FK406/'🎚️ Escenario'!$C$11&gt;=36,$AL$23,INDEX($C$23:$AL$23,MAX(1,ROUNDUP(FK406/'🎚️ Escenario'!$C$11,0)))))</f>
        <v>0.97</v>
      </c>
      <c r="FL407" s="9" t="n">
        <f aca="false" t="array" ref="FL407:FL407">IF(FL406=0,0,IF(FL406/'🎚️ Escenario'!$C$11&gt;=36,$AL$23,INDEX($C$23:$AL$23,MAX(1,ROUNDUP(FL406/'🎚️ Escenario'!$C$11,0)))))</f>
        <v>0.98</v>
      </c>
      <c r="FM407" s="9" t="n">
        <f aca="false" t="array" ref="FM407:FM407">IF(FM406=0,0,IF(FM406/'🎚️ Escenario'!$C$11&gt;=36,$AL$23,INDEX($C$23:$AL$23,MAX(1,ROUNDUP(FM406/'🎚️ Escenario'!$C$11,0)))))</f>
        <v>0.99</v>
      </c>
      <c r="FN407" s="9" t="n">
        <f aca="false" t="array" ref="FN407:FN407">IF(FN406=0,0,IF(FN406/'🎚️ Escenario'!$C$11&gt;=36,$AL$23,INDEX($C$23:$AL$23,MAX(1,ROUNDUP(FN406/'🎚️ Escenario'!$C$11,0)))))</f>
        <v>1</v>
      </c>
      <c r="FO407" s="9" t="n">
        <f aca="false" t="array" ref="FO407:FO407">IF(FO406=0,0,IF(FO406/'🎚️ Escenario'!$C$11&gt;=36,$AL$23,INDEX($C$23:$AL$23,MAX(1,ROUNDUP(FO406/'🎚️ Escenario'!$C$11,0)))))</f>
        <v>1</v>
      </c>
      <c r="FP407" s="9" t="n">
        <f aca="false" t="array" ref="FP407:FP407">IF(FP406=0,0,IF(FP406/'🎚️ Escenario'!$C$11&gt;=36,$AL$23,INDEX($C$23:$AL$23,MAX(1,ROUNDUP(FP406/'🎚️ Escenario'!$C$11,0)))))</f>
        <v>1</v>
      </c>
    </row>
    <row r="408" customFormat="false" ht="15" hidden="false" customHeight="false" outlineLevel="2" collapsed="false">
      <c r="B408" s="47" t="s">
        <v>875</v>
      </c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237" t="n">
        <f aca="false">IF(AC406=0,0,IF(AC406&lt;=12*'🎚️ Escenario'!$C$11,1,1+$C$6))</f>
        <v>0</v>
      </c>
      <c r="AD408" s="237" t="n">
        <f aca="false">IF(AD406=0,0,IF(AD406&lt;=12*'🎚️ Escenario'!$C$11,1,1+$C$6))</f>
        <v>0</v>
      </c>
      <c r="AE408" s="237" t="n">
        <f aca="false">IF(AE406=0,0,IF(AE406&lt;=12*'🎚️ Escenario'!$C$11,1,1+$C$6))</f>
        <v>0</v>
      </c>
      <c r="AF408" s="237" t="n">
        <f aca="false">IF(AF406=0,0,IF(AF406&lt;=12*'🎚️ Escenario'!$C$11,1,1+$C$6))</f>
        <v>0</v>
      </c>
      <c r="AG408" s="237" t="n">
        <f aca="false">IF(AG406=0,0,IF(AG406&lt;=12*'🎚️ Escenario'!$C$11,1,1+$C$6))</f>
        <v>0</v>
      </c>
      <c r="AH408" s="237" t="n">
        <f aca="false">IF(AH406=0,0,IF(AH406&lt;=12*'🎚️ Escenario'!$C$11,1,1+$C$6))</f>
        <v>0</v>
      </c>
      <c r="AI408" s="237" t="n">
        <f aca="false">IF(AI406=0,0,IF(AI406&lt;=12*'🎚️ Escenario'!$C$11,1,1+$C$6))</f>
        <v>0</v>
      </c>
      <c r="AJ408" s="237" t="n">
        <f aca="false">IF(AJ406=0,0,IF(AJ406&lt;=12*'🎚️ Escenario'!$C$11,1,1+$C$6))</f>
        <v>0</v>
      </c>
      <c r="AK408" s="237" t="n">
        <f aca="false">IF(AK406=0,0,IF(AK406&lt;=12*'🎚️ Escenario'!$C$11,1,1+$C$6))</f>
        <v>0</v>
      </c>
      <c r="AL408" s="237" t="n">
        <f aca="false">IF(AL406=0,0,IF(AL406&lt;=12*'🎚️ Escenario'!$C$11,1,1+$C$6))</f>
        <v>0</v>
      </c>
      <c r="AM408" s="237" t="n">
        <f aca="false">IF(AM406=0,0,IF(AM406&lt;=12*'🎚️ Escenario'!$C$11,1,1+$C$6))</f>
        <v>0</v>
      </c>
      <c r="AN408" s="237" t="n">
        <f aca="false">IF(AN406=0,0,IF(AN406&lt;=12*'🎚️ Escenario'!$C$11,1,1+$C$6))</f>
        <v>0</v>
      </c>
      <c r="AO408" s="237" t="n">
        <f aca="false">IF(AO406=0,0,IF(AO406&lt;=12*'🎚️ Escenario'!$C$11,1,1+$C$6))</f>
        <v>0</v>
      </c>
      <c r="AP408" s="237" t="n">
        <f aca="false">IF(AP406=0,0,IF(AP406&lt;=12*'🎚️ Escenario'!$C$11,1,1+$C$6))</f>
        <v>0</v>
      </c>
      <c r="AQ408" s="237" t="n">
        <f aca="false">IF(AQ406=0,0,IF(AQ406&lt;=12*'🎚️ Escenario'!$C$11,1,1+$C$6))</f>
        <v>0</v>
      </c>
      <c r="AR408" s="237" t="n">
        <f aca="false">IF(AR406=0,0,IF(AR406&lt;=12*'🎚️ Escenario'!$C$11,1,1+$C$6))</f>
        <v>0</v>
      </c>
      <c r="AS408" s="237" t="n">
        <f aca="false">IF(AS406=0,0,IF(AS406&lt;=12*'🎚️ Escenario'!$C$11,1,1+$C$6))</f>
        <v>0</v>
      </c>
      <c r="AT408" s="237" t="n">
        <f aca="false">IF(AT406=0,0,IF(AT406&lt;=12*'🎚️ Escenario'!$C$11,1,1+$C$6))</f>
        <v>0</v>
      </c>
      <c r="AU408" s="237" t="n">
        <f aca="false">IF(AU406=0,0,IF(AU406&lt;=12*'🎚️ Escenario'!$C$11,1,1+$C$6))</f>
        <v>0</v>
      </c>
      <c r="AV408" s="237" t="n">
        <f aca="false">IF(AV406=0,0,IF(AV406&lt;=12*'🎚️ Escenario'!$C$11,1,1+$C$6))</f>
        <v>0</v>
      </c>
      <c r="AW408" s="237" t="n">
        <f aca="false">IF(AW406=0,0,IF(AW406&lt;=12*'🎚️ Escenario'!$C$11,1,1+$C$6))</f>
        <v>0</v>
      </c>
      <c r="AX408" s="237" t="n">
        <f aca="false">IF(AX406=0,0,IF(AX406&lt;=12*'🎚️ Escenario'!$C$11,1,1+$C$6))</f>
        <v>0</v>
      </c>
      <c r="AY408" s="237" t="n">
        <f aca="false">IF(AY406=0,0,IF(AY406&lt;=12*'🎚️ Escenario'!$C$11,1,1+$C$6))</f>
        <v>0</v>
      </c>
      <c r="AZ408" s="237" t="n">
        <f aca="false">IF(AZ406=0,0,IF(AZ406&lt;=12*'🎚️ Escenario'!$C$11,1,1+$C$6))</f>
        <v>0</v>
      </c>
      <c r="BA408" s="237" t="n">
        <f aca="false">IF(BA406=0,0,IF(BA406&lt;=12*'🎚️ Escenario'!$C$11,1,1+$C$6))</f>
        <v>0</v>
      </c>
      <c r="BB408" s="237" t="n">
        <f aca="false">IF(BB406=0,0,IF(BB406&lt;=12*'🎚️ Escenario'!$C$11,1,1+$C$6))</f>
        <v>0</v>
      </c>
      <c r="BC408" s="237" t="n">
        <f aca="false">IF(BC406=0,0,IF(BC406&lt;=12*'🎚️ Escenario'!$C$11,1,1+$C$6))</f>
        <v>0</v>
      </c>
      <c r="BD408" s="237" t="n">
        <f aca="false">IF(BD406=0,0,IF(BD406&lt;=12*'🎚️ Escenario'!$C$11,1,1+$C$6))</f>
        <v>0</v>
      </c>
      <c r="BE408" s="237" t="n">
        <f aca="false">IF(BE406=0,0,IF(BE406&lt;=12*'🎚️ Escenario'!$C$11,1,1+$C$6))</f>
        <v>0</v>
      </c>
      <c r="BF408" s="237" t="n">
        <f aca="false">IF(BF406=0,0,IF(BF406&lt;=12*'🎚️ Escenario'!$C$11,1,1+$C$6))</f>
        <v>0</v>
      </c>
      <c r="BG408" s="237" t="n">
        <f aca="false">IF(BG406=0,0,IF(BG406&lt;=12*'🎚️ Escenario'!$C$11,1,1+$C$6))</f>
        <v>0</v>
      </c>
      <c r="BH408" s="237" t="n">
        <f aca="false">IF(BH406=0,0,IF(BH406&lt;=12*'🎚️ Escenario'!$C$11,1,1+$C$6))</f>
        <v>0</v>
      </c>
      <c r="BI408" s="237" t="n">
        <f aca="false">IF(BI406=0,0,IF(BI406&lt;=12*'🎚️ Escenario'!$C$11,1,1+$C$6))</f>
        <v>0</v>
      </c>
      <c r="BJ408" s="237" t="n">
        <f aca="false">IF(BJ406=0,0,IF(BJ406&lt;=12*'🎚️ Escenario'!$C$11,1,1+$C$6))</f>
        <v>0</v>
      </c>
      <c r="BK408" s="237" t="n">
        <f aca="false">IF(BK406=0,0,IF(BK406&lt;=12*'🎚️ Escenario'!$C$11,1,1+$C$6))</f>
        <v>0</v>
      </c>
      <c r="BL408" s="237" t="n">
        <f aca="false">IF(BL406=0,0,IF(BL406&lt;=12*'🎚️ Escenario'!$C$11,1,1+$C$6))</f>
        <v>0</v>
      </c>
      <c r="BM408" s="237" t="n">
        <f aca="false">IF(BM406=0,0,IF(BM406&lt;=12*'🎚️ Escenario'!$C$11,1,1+$C$6))</f>
        <v>0</v>
      </c>
      <c r="BN408" s="237" t="n">
        <f aca="false">IF(BN406=0,0,IF(BN406&lt;=12*'🎚️ Escenario'!$C$11,1,1+$C$6))</f>
        <v>0</v>
      </c>
      <c r="BO408" s="237" t="n">
        <f aca="false">IF(BO406=0,0,IF(BO406&lt;=12*'🎚️ Escenario'!$C$11,1,1+$C$6))</f>
        <v>0</v>
      </c>
      <c r="BP408" s="237" t="n">
        <f aca="false">IF(BP406=0,0,IF(BP406&lt;=12*'🎚️ Escenario'!$C$11,1,1+$C$6))</f>
        <v>0</v>
      </c>
      <c r="BQ408" s="237" t="n">
        <f aca="false">IF(BQ406=0,0,IF(BQ406&lt;=12*'🎚️ Escenario'!$C$11,1,1+$C$6))</f>
        <v>0</v>
      </c>
      <c r="BR408" s="237" t="n">
        <f aca="false">IF(BR406=0,0,IF(BR406&lt;=12*'🎚️ Escenario'!$C$11,1,1+$C$6))</f>
        <v>0</v>
      </c>
      <c r="BS408" s="237" t="n">
        <f aca="false">IF(BS406=0,0,IF(BS406&lt;=12*'🎚️ Escenario'!$C$11,1,1+$C$6))</f>
        <v>0</v>
      </c>
      <c r="BT408" s="237" t="n">
        <f aca="false">IF(BT406=0,0,IF(BT406&lt;=12*'🎚️ Escenario'!$C$11,1,1+$C$6))</f>
        <v>0</v>
      </c>
      <c r="BU408" s="237" t="n">
        <f aca="false">IF(BU406=0,0,IF(BU406&lt;=12*'🎚️ Escenario'!$C$11,1,1+$C$6))</f>
        <v>0</v>
      </c>
      <c r="BV408" s="237" t="n">
        <f aca="false">IF(BV406=0,0,IF(BV406&lt;=12*'🎚️ Escenario'!$C$11,1,1+$C$6))</f>
        <v>0</v>
      </c>
      <c r="BW408" s="237" t="n">
        <f aca="false">IF(BW406=0,0,IF(BW406&lt;=12*'🎚️ Escenario'!$C$11,1,1+$C$6))</f>
        <v>0</v>
      </c>
      <c r="BX408" s="237" t="n">
        <f aca="false">IF(BX406=0,0,IF(BX406&lt;=12*'🎚️ Escenario'!$C$11,1,1+$C$6))</f>
        <v>0</v>
      </c>
      <c r="BY408" s="237" t="n">
        <f aca="false">IF(BY406=0,0,IF(BY406&lt;=12*'🎚️ Escenario'!$C$11,1,1+$C$6))</f>
        <v>0</v>
      </c>
      <c r="BZ408" s="237" t="n">
        <f aca="false">IF(BZ406=0,0,IF(BZ406&lt;=12*'🎚️ Escenario'!$C$11,1,1+$C$6))</f>
        <v>0</v>
      </c>
      <c r="CA408" s="237" t="n">
        <f aca="false">IF(CA406=0,0,IF(CA406&lt;=12*'🎚️ Escenario'!$C$11,1,1+$C$6))</f>
        <v>0</v>
      </c>
      <c r="CB408" s="237" t="n">
        <f aca="false">IF(CB406=0,0,IF(CB406&lt;=12*'🎚️ Escenario'!$C$11,1,1+$C$6))</f>
        <v>0</v>
      </c>
      <c r="CC408" s="237" t="n">
        <f aca="false">IF(CC406=0,0,IF(CC406&lt;=12*'🎚️ Escenario'!$C$11,1,1+$C$6))</f>
        <v>0</v>
      </c>
      <c r="CD408" s="237" t="n">
        <f aca="false">IF(CD406=0,0,IF(CD406&lt;=12*'🎚️ Escenario'!$C$11,1,1+$C$6))</f>
        <v>0</v>
      </c>
      <c r="CE408" s="237" t="n">
        <f aca="false">IF(CE406=0,0,IF(CE406&lt;=12*'🎚️ Escenario'!$C$11,1,1+$C$6))</f>
        <v>0</v>
      </c>
      <c r="CF408" s="237" t="n">
        <f aca="false">IF(CF406=0,0,IF(CF406&lt;=12*'🎚️ Escenario'!$C$11,1,1+$C$6))</f>
        <v>0</v>
      </c>
      <c r="CG408" s="237" t="n">
        <f aca="false">IF(CG406=0,0,IF(CG406&lt;=12*'🎚️ Escenario'!$C$11,1,1+$C$6))</f>
        <v>0</v>
      </c>
      <c r="CH408" s="237" t="n">
        <f aca="false">IF(CH406=0,0,IF(CH406&lt;=12*'🎚️ Escenario'!$C$11,1,1+$C$6))</f>
        <v>0</v>
      </c>
      <c r="CI408" s="237" t="n">
        <f aca="false">IF(CI406=0,0,IF(CI406&lt;=12*'🎚️ Escenario'!$C$11,1,1+$C$6))</f>
        <v>0</v>
      </c>
      <c r="CJ408" s="237" t="n">
        <f aca="false">IF(CJ406=0,0,IF(CJ406&lt;=12*'🎚️ Escenario'!$C$11,1,1+$C$6))</f>
        <v>0</v>
      </c>
      <c r="CK408" s="237" t="n">
        <f aca="false">IF(CK406=0,0,IF(CK406&lt;=12*'🎚️ Escenario'!$C$11,1,1+$C$6))</f>
        <v>0</v>
      </c>
      <c r="CL408" s="237" t="n">
        <f aca="false">IF(CL406=0,0,IF(CL406&lt;=12*'🎚️ Escenario'!$C$11,1,1+$C$6))</f>
        <v>0</v>
      </c>
      <c r="CM408" s="237" t="n">
        <f aca="false">IF(CM406=0,0,IF(CM406&lt;=12*'🎚️ Escenario'!$C$11,1,1+$C$6))</f>
        <v>0</v>
      </c>
      <c r="CN408" s="237" t="n">
        <f aca="false">IF(CN406=0,0,IF(CN406&lt;=12*'🎚️ Escenario'!$C$11,1,1+$C$6))</f>
        <v>0</v>
      </c>
      <c r="CO408" s="237" t="n">
        <f aca="false">IF(CO406=0,0,IF(CO406&lt;=12*'🎚️ Escenario'!$C$11,1,1+$C$6))</f>
        <v>0</v>
      </c>
      <c r="CP408" s="237" t="n">
        <f aca="false">IF(CP406=0,0,IF(CP406&lt;=12*'🎚️ Escenario'!$C$11,1,1+$C$6))</f>
        <v>0</v>
      </c>
      <c r="CQ408" s="237" t="n">
        <f aca="false">IF(CQ406=0,0,IF(CQ406&lt;=12*'🎚️ Escenario'!$C$11,1,1+$C$6))</f>
        <v>0</v>
      </c>
      <c r="CR408" s="237" t="n">
        <f aca="false">IF(CR406=0,0,IF(CR406&lt;=12*'🎚️ Escenario'!$C$11,1,1+$C$6))</f>
        <v>0</v>
      </c>
      <c r="CS408" s="237" t="n">
        <f aca="false">IF(CS406=0,0,IF(CS406&lt;=12*'🎚️ Escenario'!$C$11,1,1+$C$6))</f>
        <v>0</v>
      </c>
      <c r="CT408" s="237" t="n">
        <f aca="false">IF(CT406=0,0,IF(CT406&lt;=12*'🎚️ Escenario'!$C$11,1,1+$C$6))</f>
        <v>0</v>
      </c>
      <c r="CU408" s="237" t="n">
        <f aca="false">IF(CU406=0,0,IF(CU406&lt;=12*'🎚️ Escenario'!$C$11,1,1+$C$6))</f>
        <v>0</v>
      </c>
      <c r="CV408" s="237" t="n">
        <f aca="false">IF(CV406=0,0,IF(CV406&lt;=12*'🎚️ Escenario'!$C$11,1,1+$C$6))</f>
        <v>0</v>
      </c>
      <c r="CW408" s="237" t="n">
        <f aca="false">IF(CW406=0,0,IF(CW406&lt;=12*'🎚️ Escenario'!$C$11,1,1+$C$6))</f>
        <v>0</v>
      </c>
      <c r="CX408" s="237" t="n">
        <f aca="false">IF(CX406=0,0,IF(CX406&lt;=12*'🎚️ Escenario'!$C$11,1,1+$C$6))</f>
        <v>0</v>
      </c>
      <c r="CY408" s="237" t="n">
        <f aca="false">IF(CY406=0,0,IF(CY406&lt;=12*'🎚️ Escenario'!$C$11,1,1+$C$6))</f>
        <v>0</v>
      </c>
      <c r="CZ408" s="237" t="n">
        <f aca="false">IF(CZ406=0,0,IF(CZ406&lt;=12*'🎚️ Escenario'!$C$11,1,1+$C$6))</f>
        <v>0</v>
      </c>
      <c r="DA408" s="237" t="n">
        <f aca="false">IF(DA406=0,0,IF(DA406&lt;=12*'🎚️ Escenario'!$C$11,1,1+$C$6))</f>
        <v>0</v>
      </c>
      <c r="DB408" s="237" t="n">
        <f aca="false">IF(DB406=0,0,IF(DB406&lt;=12*'🎚️ Escenario'!$C$11,1,1+$C$6))</f>
        <v>0</v>
      </c>
      <c r="DC408" s="237" t="n">
        <f aca="false">IF(DC406=0,0,IF(DC406&lt;=12*'🎚️ Escenario'!$C$11,1,1+$C$6))</f>
        <v>0</v>
      </c>
      <c r="DD408" s="237" t="n">
        <f aca="false">IF(DD406=0,0,IF(DD406&lt;=12*'🎚️ Escenario'!$C$11,1,1+$C$6))</f>
        <v>0</v>
      </c>
      <c r="DE408" s="237" t="n">
        <f aca="false">IF(DE406=0,0,IF(DE406&lt;=12*'🎚️ Escenario'!$C$11,1,1+$C$6))</f>
        <v>0</v>
      </c>
      <c r="DF408" s="237" t="n">
        <f aca="false">IF(DF406=0,0,IF(DF406&lt;=12*'🎚️ Escenario'!$C$11,1,1+$C$6))</f>
        <v>0</v>
      </c>
      <c r="DG408" s="237" t="n">
        <f aca="false">IF(DG406=0,0,IF(DG406&lt;=12*'🎚️ Escenario'!$C$11,1,1+$C$6))</f>
        <v>0</v>
      </c>
      <c r="DH408" s="237" t="n">
        <f aca="false">IF(DH406=0,0,IF(DH406&lt;=12*'🎚️ Escenario'!$C$11,1,1+$C$6))</f>
        <v>0</v>
      </c>
      <c r="DI408" s="237" t="n">
        <f aca="false">IF(DI406=0,0,IF(DI406&lt;=12*'🎚️ Escenario'!$C$11,1,1+$C$6))</f>
        <v>0</v>
      </c>
      <c r="DJ408" s="237" t="n">
        <f aca="false">IF(DJ406=0,0,IF(DJ406&lt;=12*'🎚️ Escenario'!$C$11,1,1+$C$6))</f>
        <v>0</v>
      </c>
      <c r="DK408" s="237" t="n">
        <f aca="false">IF(DK406=0,0,IF(DK406&lt;=12*'🎚️ Escenario'!$C$11,1,1+$C$6))</f>
        <v>0</v>
      </c>
      <c r="DL408" s="237" t="n">
        <f aca="false">IF(DL406=0,0,IF(DL406&lt;=12*'🎚️ Escenario'!$C$11,1,1+$C$6))</f>
        <v>0</v>
      </c>
      <c r="DM408" s="237" t="n">
        <f aca="false">IF(DM406=0,0,IF(DM406&lt;=12*'🎚️ Escenario'!$C$11,1,1+$C$6))</f>
        <v>0</v>
      </c>
      <c r="DN408" s="237" t="n">
        <f aca="false">IF(DN406=0,0,IF(DN406&lt;=12*'🎚️ Escenario'!$C$11,1,1+$C$6))</f>
        <v>0</v>
      </c>
      <c r="DO408" s="237" t="n">
        <f aca="false">IF(DO406=0,0,IF(DO406&lt;=12*'🎚️ Escenario'!$C$11,1,1+$C$6))</f>
        <v>0</v>
      </c>
      <c r="DP408" s="237" t="n">
        <f aca="false">IF(DP406=0,0,IF(DP406&lt;=12*'🎚️ Escenario'!$C$11,1,1+$C$6))</f>
        <v>0</v>
      </c>
      <c r="DQ408" s="237" t="n">
        <f aca="false">IF(DQ406=0,0,IF(DQ406&lt;=12*'🎚️ Escenario'!$C$11,1,1+$C$6))</f>
        <v>0</v>
      </c>
      <c r="DR408" s="237" t="n">
        <f aca="false">IF(DR406=0,0,IF(DR406&lt;=12*'🎚️ Escenario'!$C$11,1,1+$C$6))</f>
        <v>0</v>
      </c>
      <c r="DS408" s="237" t="n">
        <f aca="false">IF(DS406=0,0,IF(DS406&lt;=12*'🎚️ Escenario'!$C$11,1,1+$C$6))</f>
        <v>0</v>
      </c>
      <c r="DT408" s="237" t="n">
        <f aca="false">IF(DT406=0,0,IF(DT406&lt;=12*'🎚️ Escenario'!$C$11,1,1+$C$6))</f>
        <v>0</v>
      </c>
      <c r="DU408" s="237" t="n">
        <f aca="false">IF(DU406=0,0,IF(DU406&lt;=12*'🎚️ Escenario'!$C$11,1,1+$C$6))</f>
        <v>0</v>
      </c>
      <c r="DV408" s="237" t="n">
        <f aca="false">IF(DV406=0,0,IF(DV406&lt;=12*'🎚️ Escenario'!$C$11,1,1+$C$6))</f>
        <v>0</v>
      </c>
      <c r="DW408" s="237" t="n">
        <f aca="false">IF(DW406=0,0,IF(DW406&lt;=12*'🎚️ Escenario'!$C$11,1,1+$C$6))</f>
        <v>1</v>
      </c>
      <c r="DX408" s="237" t="n">
        <f aca="false">IF(DX406=0,0,IF(DX406&lt;=12*'🎚️ Escenario'!$C$11,1,1+$C$6))</f>
        <v>1</v>
      </c>
      <c r="DY408" s="237" t="n">
        <f aca="false">IF(DY406=0,0,IF(DY406&lt;=12*'🎚️ Escenario'!$C$11,1,1+$C$6))</f>
        <v>1</v>
      </c>
      <c r="DZ408" s="237" t="n">
        <f aca="false">IF(DZ406=0,0,IF(DZ406&lt;=12*'🎚️ Escenario'!$C$11,1,1+$C$6))</f>
        <v>1</v>
      </c>
      <c r="EA408" s="237" t="n">
        <f aca="false">IF(EA406=0,0,IF(EA406&lt;=12*'🎚️ Escenario'!$C$11,1,1+$C$6))</f>
        <v>1</v>
      </c>
      <c r="EB408" s="237" t="n">
        <f aca="false">IF(EB406=0,0,IF(EB406&lt;=12*'🎚️ Escenario'!$C$11,1,1+$C$6))</f>
        <v>1</v>
      </c>
      <c r="EC408" s="237" t="n">
        <f aca="false">IF(EC406=0,0,IF(EC406&lt;=12*'🎚️ Escenario'!$C$11,1,1+$C$6))</f>
        <v>1</v>
      </c>
      <c r="ED408" s="237" t="n">
        <f aca="false">IF(ED406=0,0,IF(ED406&lt;=12*'🎚️ Escenario'!$C$11,1,1+$C$6))</f>
        <v>1</v>
      </c>
      <c r="EE408" s="237" t="n">
        <f aca="false">IF(EE406=0,0,IF(EE406&lt;=12*'🎚️ Escenario'!$C$11,1,1+$C$6))</f>
        <v>1</v>
      </c>
      <c r="EF408" s="237" t="n">
        <f aca="false">IF(EF406=0,0,IF(EF406&lt;=12*'🎚️ Escenario'!$C$11,1,1+$C$6))</f>
        <v>1</v>
      </c>
      <c r="EG408" s="237" t="n">
        <f aca="false">IF(EG406=0,0,IF(EG406&lt;=12*'🎚️ Escenario'!$C$11,1,1+$C$6))</f>
        <v>1</v>
      </c>
      <c r="EH408" s="237" t="n">
        <f aca="false">IF(EH406=0,0,IF(EH406&lt;=12*'🎚️ Escenario'!$C$11,1,1+$C$6))</f>
        <v>1</v>
      </c>
      <c r="EI408" s="237" t="n">
        <f aca="false">IF(EI406=0,0,IF(EI406&lt;=12*'🎚️ Escenario'!$C$11,1,1+$C$6))</f>
        <v>1</v>
      </c>
      <c r="EJ408" s="237" t="n">
        <f aca="false">IF(EJ406=0,0,IF(EJ406&lt;=12*'🎚️ Escenario'!$C$11,1,1+$C$6))</f>
        <v>1</v>
      </c>
      <c r="EK408" s="237" t="n">
        <f aca="false">IF(EK406=0,0,IF(EK406&lt;=12*'🎚️ Escenario'!$C$11,1,1+$C$6))</f>
        <v>1</v>
      </c>
      <c r="EL408" s="237" t="n">
        <f aca="false">IF(EL406=0,0,IF(EL406&lt;=12*'🎚️ Escenario'!$C$11,1,1+$C$6))</f>
        <v>1.2</v>
      </c>
      <c r="EM408" s="237" t="n">
        <f aca="false">IF(EM406=0,0,IF(EM406&lt;=12*'🎚️ Escenario'!$C$11,1,1+$C$6))</f>
        <v>1.2</v>
      </c>
      <c r="EN408" s="237" t="n">
        <f aca="false">IF(EN406=0,0,IF(EN406&lt;=12*'🎚️ Escenario'!$C$11,1,1+$C$6))</f>
        <v>1.2</v>
      </c>
      <c r="EO408" s="237" t="n">
        <f aca="false">IF(EO406=0,0,IF(EO406&lt;=12*'🎚️ Escenario'!$C$11,1,1+$C$6))</f>
        <v>1.2</v>
      </c>
      <c r="EP408" s="237" t="n">
        <f aca="false">IF(EP406=0,0,IF(EP406&lt;=12*'🎚️ Escenario'!$C$11,1,1+$C$6))</f>
        <v>1.2</v>
      </c>
      <c r="EQ408" s="237" t="n">
        <f aca="false">IF(EQ406=0,0,IF(EQ406&lt;=12*'🎚️ Escenario'!$C$11,1,1+$C$6))</f>
        <v>1.2</v>
      </c>
      <c r="ER408" s="237" t="n">
        <f aca="false">IF(ER406=0,0,IF(ER406&lt;=12*'🎚️ Escenario'!$C$11,1,1+$C$6))</f>
        <v>1.2</v>
      </c>
      <c r="ES408" s="238" t="n">
        <f aca="false">IF(ES406=0,0,IF(ES406&lt;=12*'🎚️ Escenario'!$C$11,1,1+$C$6))</f>
        <v>1.2</v>
      </c>
      <c r="ET408" s="238" t="n">
        <f aca="false">IF(ET406=0,0,IF(ET406&lt;=12*'🎚️ Escenario'!$C$11,1,1+$C$6))</f>
        <v>1.2</v>
      </c>
      <c r="EU408" s="238" t="n">
        <f aca="false">IF(EU406=0,0,IF(EU406&lt;=12*'🎚️ Escenario'!$C$11,1,1+$C$6))</f>
        <v>1.2</v>
      </c>
      <c r="EV408" s="238" t="n">
        <f aca="false">IF(EV406=0,0,IF(EV406&lt;=12*'🎚️ Escenario'!$C$11,1,1+$C$6))</f>
        <v>1.2</v>
      </c>
      <c r="EW408" s="238" t="n">
        <f aca="false">IF(EW406=0,0,IF(EW406&lt;=12*'🎚️ Escenario'!$C$11,1,1+$C$6))</f>
        <v>1.2</v>
      </c>
      <c r="EX408" s="238" t="n">
        <f aca="false">IF(EX406=0,0,IF(EX406&lt;=12*'🎚️ Escenario'!$C$11,1,1+$C$6))</f>
        <v>1.2</v>
      </c>
      <c r="EY408" s="238" t="n">
        <f aca="false">IF(EY406=0,0,IF(EY406&lt;=12*'🎚️ Escenario'!$C$11,1,1+$C$6))</f>
        <v>1.2</v>
      </c>
      <c r="EZ408" s="238" t="n">
        <f aca="false">IF(EZ406=0,0,IF(EZ406&lt;=12*'🎚️ Escenario'!$C$11,1,1+$C$6))</f>
        <v>1.2</v>
      </c>
      <c r="FA408" s="238" t="n">
        <f aca="false">IF(FA406=0,0,IF(FA406&lt;=12*'🎚️ Escenario'!$C$11,1,1+$C$6))</f>
        <v>1.2</v>
      </c>
      <c r="FB408" s="238" t="n">
        <f aca="false">IF(FB406=0,0,IF(FB406&lt;=12*'🎚️ Escenario'!$C$11,1,1+$C$6))</f>
        <v>1.2</v>
      </c>
      <c r="FC408" s="238" t="n">
        <f aca="false">IF(FC406=0,0,IF(FC406&lt;=12*'🎚️ Escenario'!$C$11,1,1+$C$6))</f>
        <v>1.2</v>
      </c>
      <c r="FD408" s="238" t="n">
        <f aca="false">IF(FD406=0,0,IF(FD406&lt;=12*'🎚️ Escenario'!$C$11,1,1+$C$6))</f>
        <v>1.2</v>
      </c>
      <c r="FE408" s="238" t="n">
        <f aca="false">IF(FE406=0,0,IF(FE406&lt;=12*'🎚️ Escenario'!$C$11,1,1+$C$6))</f>
        <v>1.2</v>
      </c>
      <c r="FF408" s="238" t="n">
        <f aca="false">IF(FF406=0,0,IF(FF406&lt;=12*'🎚️ Escenario'!$C$11,1,1+$C$6))</f>
        <v>1.2</v>
      </c>
      <c r="FG408" s="238" t="n">
        <f aca="false">IF(FG406=0,0,IF(FG406&lt;=12*'🎚️ Escenario'!$C$11,1,1+$C$6))</f>
        <v>1.2</v>
      </c>
      <c r="FH408" s="238" t="n">
        <f aca="false">IF(FH406=0,0,IF(FH406&lt;=12*'🎚️ Escenario'!$C$11,1,1+$C$6))</f>
        <v>1.2</v>
      </c>
      <c r="FI408" s="238" t="n">
        <f aca="false">IF(FI406=0,0,IF(FI406&lt;=12*'🎚️ Escenario'!$C$11,1,1+$C$6))</f>
        <v>1.2</v>
      </c>
      <c r="FJ408" s="238" t="n">
        <f aca="false">IF(FJ406=0,0,IF(FJ406&lt;=12*'🎚️ Escenario'!$C$11,1,1+$C$6))</f>
        <v>1.2</v>
      </c>
      <c r="FK408" s="238" t="n">
        <f aca="false">IF(FK406=0,0,IF(FK406&lt;=12*'🎚️ Escenario'!$C$11,1,1+$C$6))</f>
        <v>1.2</v>
      </c>
      <c r="FL408" s="238" t="n">
        <f aca="false">IF(FL406=0,0,IF(FL406&lt;=12*'🎚️ Escenario'!$C$11,1,1+$C$6))</f>
        <v>1.2</v>
      </c>
      <c r="FM408" s="238" t="n">
        <f aca="false">IF(FM406=0,0,IF(FM406&lt;=12*'🎚️ Escenario'!$C$11,1,1+$C$6))</f>
        <v>1.2</v>
      </c>
      <c r="FN408" s="238" t="n">
        <f aca="false">IF(FN406=0,0,IF(FN406&lt;=12*'🎚️ Escenario'!$C$11,1,1+$C$6))</f>
        <v>1.2</v>
      </c>
      <c r="FO408" s="238" t="n">
        <f aca="false">IF(FO406=0,0,IF(FO406&lt;=12*'🎚️ Escenario'!$C$11,1,1+$C$6))</f>
        <v>1.2</v>
      </c>
      <c r="FP408" s="238" t="n">
        <f aca="false">IF(FP406=0,0,IF(FP406&lt;=12*'🎚️ Escenario'!$C$11,1,1+$C$6))</f>
        <v>1.2</v>
      </c>
    </row>
    <row r="409" customFormat="false" ht="15" hidden="false" customHeight="false" outlineLevel="2" collapsed="false">
      <c r="B409" s="47" t="s">
        <v>876</v>
      </c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237" t="n">
        <f aca="false">AC407*$AC$405*AC408*AC$38*'⑫ Roll-out Plan'!$O$45</f>
        <v>0</v>
      </c>
      <c r="AD409" s="237" t="n">
        <f aca="false">AD407*$AC$405*AD408*AD$38*'⑫ Roll-out Plan'!$O$45</f>
        <v>0</v>
      </c>
      <c r="AE409" s="237" t="n">
        <f aca="false">AE407*$AC$405*AE408*AE$38*'⑫ Roll-out Plan'!$O$45</f>
        <v>0</v>
      </c>
      <c r="AF409" s="237" t="n">
        <f aca="false">AF407*$AC$405*AF408*AF$38*'⑫ Roll-out Plan'!$O$45</f>
        <v>0</v>
      </c>
      <c r="AG409" s="237" t="n">
        <f aca="false">AG407*$AC$405*AG408*AG$38*'⑫ Roll-out Plan'!$O$45</f>
        <v>0</v>
      </c>
      <c r="AH409" s="237" t="n">
        <f aca="false">AH407*$AC$405*AH408*AH$38*'⑫ Roll-out Plan'!$O$45</f>
        <v>0</v>
      </c>
      <c r="AI409" s="237" t="n">
        <f aca="false">AI407*$AC$405*AI408*AI$38*'⑫ Roll-out Plan'!$O$45</f>
        <v>0</v>
      </c>
      <c r="AJ409" s="237" t="n">
        <f aca="false">AJ407*$AC$405*AJ408*AJ$38*'⑫ Roll-out Plan'!$O$45</f>
        <v>0</v>
      </c>
      <c r="AK409" s="237" t="n">
        <f aca="false">AK407*$AC$405*AK408*AK$38*'⑫ Roll-out Plan'!$O$45</f>
        <v>0</v>
      </c>
      <c r="AL409" s="237" t="n">
        <f aca="false">AL407*$AC$405*AL408*AL$38*'⑫ Roll-out Plan'!$O$45</f>
        <v>0</v>
      </c>
      <c r="AM409" s="237" t="n">
        <f aca="false">AM407*$AC$405*AM408*AM$38*'⑫ Roll-out Plan'!$O$45</f>
        <v>0</v>
      </c>
      <c r="AN409" s="237" t="n">
        <f aca="false">AN407*$AC$405*AN408*AN$38*'⑫ Roll-out Plan'!$O$45</f>
        <v>0</v>
      </c>
      <c r="AO409" s="237" t="n">
        <f aca="false">AO407*$AC$405*AO408*AO$38*'⑫ Roll-out Plan'!$O$45</f>
        <v>0</v>
      </c>
      <c r="AP409" s="237" t="n">
        <f aca="false">AP407*$AC$405*AP408*AP$38*'⑫ Roll-out Plan'!$O$45</f>
        <v>0</v>
      </c>
      <c r="AQ409" s="237" t="n">
        <f aca="false">AQ407*$AC$405*AQ408*AQ$38*'⑫ Roll-out Plan'!$O$45</f>
        <v>0</v>
      </c>
      <c r="AR409" s="237" t="n">
        <f aca="false">AR407*$AC$405*AR408*AR$38*'⑫ Roll-out Plan'!$O$45</f>
        <v>0</v>
      </c>
      <c r="AS409" s="237" t="n">
        <f aca="false">AS407*$AC$405*AS408*AS$38*'⑫ Roll-out Plan'!$O$45</f>
        <v>0</v>
      </c>
      <c r="AT409" s="237" t="n">
        <f aca="false">AT407*$AC$405*AT408*AT$38*'⑫ Roll-out Plan'!$O$45</f>
        <v>0</v>
      </c>
      <c r="AU409" s="237" t="n">
        <f aca="false">AU407*$AC$405*AU408*AU$38*'⑫ Roll-out Plan'!$O$45</f>
        <v>0</v>
      </c>
      <c r="AV409" s="237" t="n">
        <f aca="false">AV407*$AC$405*AV408*AV$38*'⑫ Roll-out Plan'!$O$45</f>
        <v>0</v>
      </c>
      <c r="AW409" s="237" t="n">
        <f aca="false">AW407*$AC$405*AW408*AW$38*'⑫ Roll-out Plan'!$O$45</f>
        <v>0</v>
      </c>
      <c r="AX409" s="237" t="n">
        <f aca="false">AX407*$AC$405*AX408*AX$38*'⑫ Roll-out Plan'!$O$45</f>
        <v>0</v>
      </c>
      <c r="AY409" s="237" t="n">
        <f aca="false">AY407*$AC$405*AY408*AY$38*'⑫ Roll-out Plan'!$O$45</f>
        <v>0</v>
      </c>
      <c r="AZ409" s="237" t="n">
        <f aca="false">AZ407*$AC$405*AZ408*AZ$38*'⑫ Roll-out Plan'!$O$45</f>
        <v>0</v>
      </c>
      <c r="BA409" s="237" t="n">
        <f aca="false">BA407*$AC$405*BA408*BA$38*'⑫ Roll-out Plan'!$O$45</f>
        <v>0</v>
      </c>
      <c r="BB409" s="237" t="n">
        <f aca="false">BB407*$AC$405*BB408*BB$38*'⑫ Roll-out Plan'!$O$45</f>
        <v>0</v>
      </c>
      <c r="BC409" s="237" t="n">
        <f aca="false">BC407*$AC$405*BC408*BC$38*'⑫ Roll-out Plan'!$O$45</f>
        <v>0</v>
      </c>
      <c r="BD409" s="237" t="n">
        <f aca="false">BD407*$AC$405*BD408*BD$38*'⑫ Roll-out Plan'!$O$45</f>
        <v>0</v>
      </c>
      <c r="BE409" s="237" t="n">
        <f aca="false">BE407*$AC$405*BE408*BE$38*'⑫ Roll-out Plan'!$O$45</f>
        <v>0</v>
      </c>
      <c r="BF409" s="237" t="n">
        <f aca="false">BF407*$AC$405*BF408*BF$38*'⑫ Roll-out Plan'!$O$45</f>
        <v>0</v>
      </c>
      <c r="BG409" s="237" t="n">
        <f aca="false">BG407*$AC$405*BG408*BG$38*'⑫ Roll-out Plan'!$O$45</f>
        <v>0</v>
      </c>
      <c r="BH409" s="237" t="n">
        <f aca="false">BH407*$AC$405*BH408*BH$38*'⑫ Roll-out Plan'!$O$45</f>
        <v>0</v>
      </c>
      <c r="BI409" s="237" t="n">
        <f aca="false">BI407*$AC$405*BI408*BI$38*'⑫ Roll-out Plan'!$O$45</f>
        <v>0</v>
      </c>
      <c r="BJ409" s="237" t="n">
        <f aca="false">BJ407*$AC$405*BJ408*BJ$38*'⑫ Roll-out Plan'!$O$45</f>
        <v>0</v>
      </c>
      <c r="BK409" s="237" t="n">
        <f aca="false">BK407*$AC$405*BK408*BK$38*'⑫ Roll-out Plan'!$O$45</f>
        <v>0</v>
      </c>
      <c r="BL409" s="237" t="n">
        <f aca="false">BL407*$AC$405*BL408*BL$38*'⑫ Roll-out Plan'!$O$45</f>
        <v>0</v>
      </c>
      <c r="BM409" s="237" t="n">
        <f aca="false">BM407*$AC$405*BM408*BM$38*'⑫ Roll-out Plan'!$O$45</f>
        <v>0</v>
      </c>
      <c r="BN409" s="237" t="n">
        <f aca="false">BN407*$AC$405*BN408*BN$38*'⑫ Roll-out Plan'!$O$45</f>
        <v>0</v>
      </c>
      <c r="BO409" s="237" t="n">
        <f aca="false">BO407*$AC$405*BO408*BO$38*'⑫ Roll-out Plan'!$O$45</f>
        <v>0</v>
      </c>
      <c r="BP409" s="237" t="n">
        <f aca="false">BP407*$AC$405*BP408*BP$38*'⑫ Roll-out Plan'!$O$45</f>
        <v>0</v>
      </c>
      <c r="BQ409" s="237" t="n">
        <f aca="false">BQ407*$AC$405*BQ408*BQ$38*'⑫ Roll-out Plan'!$O$45</f>
        <v>0</v>
      </c>
      <c r="BR409" s="237" t="n">
        <f aca="false">BR407*$AC$405*BR408*BR$38*'⑫ Roll-out Plan'!$O$45</f>
        <v>0</v>
      </c>
      <c r="BS409" s="237" t="n">
        <f aca="false">BS407*$AC$405*BS408*BS$38*'⑫ Roll-out Plan'!$O$45</f>
        <v>0</v>
      </c>
      <c r="BT409" s="237" t="n">
        <f aca="false">BT407*$AC$405*BT408*BT$38*'⑫ Roll-out Plan'!$O$45</f>
        <v>0</v>
      </c>
      <c r="BU409" s="237" t="n">
        <f aca="false">BU407*$AC$405*BU408*BU$38*'⑫ Roll-out Plan'!$O$45</f>
        <v>0</v>
      </c>
      <c r="BV409" s="237" t="n">
        <f aca="false">BV407*$AC$405*BV408*BV$38*'⑫ Roll-out Plan'!$O$45</f>
        <v>0</v>
      </c>
      <c r="BW409" s="237" t="n">
        <f aca="false">BW407*$AC$405*BW408*BW$38*'⑫ Roll-out Plan'!$O$45</f>
        <v>0</v>
      </c>
      <c r="BX409" s="237" t="n">
        <f aca="false">BX407*$AC$405*BX408*BX$38*'⑫ Roll-out Plan'!$O$45</f>
        <v>0</v>
      </c>
      <c r="BY409" s="237" t="n">
        <f aca="false">BY407*$AC$405*BY408*BY$38*'⑫ Roll-out Plan'!$O$45</f>
        <v>0</v>
      </c>
      <c r="BZ409" s="237" t="n">
        <f aca="false">BZ407*$AC$405*BZ408*BZ$38*'⑫ Roll-out Plan'!$O$45</f>
        <v>0</v>
      </c>
      <c r="CA409" s="237" t="n">
        <f aca="false">CA407*$AC$405*CA408*CA$38*'⑫ Roll-out Plan'!$O$45</f>
        <v>0</v>
      </c>
      <c r="CB409" s="237" t="n">
        <f aca="false">CB407*$AC$405*CB408*CB$38*'⑫ Roll-out Plan'!$O$45</f>
        <v>0</v>
      </c>
      <c r="CC409" s="237" t="n">
        <f aca="false">CC407*$AC$405*CC408*CC$38*'⑫ Roll-out Plan'!$O$45</f>
        <v>0</v>
      </c>
      <c r="CD409" s="237" t="n">
        <f aca="false">CD407*$AC$405*CD408*CD$38*'⑫ Roll-out Plan'!$O$45</f>
        <v>0</v>
      </c>
      <c r="CE409" s="237" t="n">
        <f aca="false">CE407*$AC$405*CE408*CE$38*'⑫ Roll-out Plan'!$O$45</f>
        <v>0</v>
      </c>
      <c r="CF409" s="237" t="n">
        <f aca="false">CF407*$AC$405*CF408*CF$38*'⑫ Roll-out Plan'!$O$45</f>
        <v>0</v>
      </c>
      <c r="CG409" s="237" t="n">
        <f aca="false">CG407*$AC$405*CG408*CG$38*'⑫ Roll-out Plan'!$O$45</f>
        <v>0</v>
      </c>
      <c r="CH409" s="237" t="n">
        <f aca="false">CH407*$AC$405*CH408*CH$38*'⑫ Roll-out Plan'!$O$45</f>
        <v>0</v>
      </c>
      <c r="CI409" s="237" t="n">
        <f aca="false">CI407*$AC$405*CI408*CI$38*'⑫ Roll-out Plan'!$O$45</f>
        <v>0</v>
      </c>
      <c r="CJ409" s="237" t="n">
        <f aca="false">CJ407*$AC$405*CJ408*CJ$38*'⑫ Roll-out Plan'!$O$45</f>
        <v>0</v>
      </c>
      <c r="CK409" s="237" t="n">
        <f aca="false">CK407*$AC$405*CK408*CK$38*'⑫ Roll-out Plan'!$O$45</f>
        <v>0</v>
      </c>
      <c r="CL409" s="237" t="n">
        <f aca="false">CL407*$AC$405*CL408*CL$38*'⑫ Roll-out Plan'!$O$45</f>
        <v>0</v>
      </c>
      <c r="CM409" s="237" t="n">
        <f aca="false">CM407*$AC$405*CM408*CM$38*'⑫ Roll-out Plan'!$O$45</f>
        <v>0</v>
      </c>
      <c r="CN409" s="237" t="n">
        <f aca="false">CN407*$AC$405*CN408*CN$38*'⑫ Roll-out Plan'!$O$45</f>
        <v>0</v>
      </c>
      <c r="CO409" s="237" t="n">
        <f aca="false">CO407*$AC$405*CO408*CO$38*'⑫ Roll-out Plan'!$O$45</f>
        <v>0</v>
      </c>
      <c r="CP409" s="237" t="n">
        <f aca="false">CP407*$AC$405*CP408*CP$38*'⑫ Roll-out Plan'!$O$45</f>
        <v>0</v>
      </c>
      <c r="CQ409" s="237" t="n">
        <f aca="false">CQ407*$AC$405*CQ408*CQ$38*'⑫ Roll-out Plan'!$O$45</f>
        <v>0</v>
      </c>
      <c r="CR409" s="237" t="n">
        <f aca="false">CR407*$AC$405*CR408*CR$38*'⑫ Roll-out Plan'!$O$45</f>
        <v>0</v>
      </c>
      <c r="CS409" s="237" t="n">
        <f aca="false">CS407*$AC$405*CS408*CS$38*'⑫ Roll-out Plan'!$O$45</f>
        <v>0</v>
      </c>
      <c r="CT409" s="237" t="n">
        <f aca="false">CT407*$AC$405*CT408*CT$38*'⑫ Roll-out Plan'!$O$45</f>
        <v>0</v>
      </c>
      <c r="CU409" s="237" t="n">
        <f aca="false">CU407*$AC$405*CU408*CU$38*'⑫ Roll-out Plan'!$O$45</f>
        <v>0</v>
      </c>
      <c r="CV409" s="237" t="n">
        <f aca="false">CV407*$AC$405*CV408*CV$38*'⑫ Roll-out Plan'!$O$45</f>
        <v>0</v>
      </c>
      <c r="CW409" s="237" t="n">
        <f aca="false">CW407*$AC$405*CW408*CW$38*'⑫ Roll-out Plan'!$O$45</f>
        <v>0</v>
      </c>
      <c r="CX409" s="237" t="n">
        <f aca="false">CX407*$AC$405*CX408*CX$38*'⑫ Roll-out Plan'!$O$45</f>
        <v>0</v>
      </c>
      <c r="CY409" s="237" t="n">
        <f aca="false">CY407*$AC$405*CY408*CY$38*'⑫ Roll-out Plan'!$O$45</f>
        <v>0</v>
      </c>
      <c r="CZ409" s="237" t="n">
        <f aca="false">CZ407*$AC$405*CZ408*CZ$38*'⑫ Roll-out Plan'!$O$45</f>
        <v>0</v>
      </c>
      <c r="DA409" s="237" t="n">
        <f aca="false">DA407*$AC$405*DA408*DA$38*'⑫ Roll-out Plan'!$O$45</f>
        <v>0</v>
      </c>
      <c r="DB409" s="237" t="n">
        <f aca="false">DB407*$AC$405*DB408*DB$38*'⑫ Roll-out Plan'!$O$45</f>
        <v>0</v>
      </c>
      <c r="DC409" s="237" t="n">
        <f aca="false">DC407*$AC$405*DC408*DC$38*'⑫ Roll-out Plan'!$O$45</f>
        <v>0</v>
      </c>
      <c r="DD409" s="237" t="n">
        <f aca="false">DD407*$AC$405*DD408*DD$38*'⑫ Roll-out Plan'!$O$45</f>
        <v>0</v>
      </c>
      <c r="DE409" s="237" t="n">
        <f aca="false">DE407*$AC$405*DE408*DE$38*'⑫ Roll-out Plan'!$O$45</f>
        <v>0</v>
      </c>
      <c r="DF409" s="237" t="n">
        <f aca="false">DF407*$AC$405*DF408*DF$38*'⑫ Roll-out Plan'!$O$45</f>
        <v>0</v>
      </c>
      <c r="DG409" s="237" t="n">
        <f aca="false">DG407*$AC$405*DG408*DG$38*'⑫ Roll-out Plan'!$O$45</f>
        <v>0</v>
      </c>
      <c r="DH409" s="237" t="n">
        <f aca="false">DH407*$AC$405*DH408*DH$38*'⑫ Roll-out Plan'!$O$45</f>
        <v>0</v>
      </c>
      <c r="DI409" s="237" t="n">
        <f aca="false">DI407*$AC$405*DI408*DI$38*'⑫ Roll-out Plan'!$O$45</f>
        <v>0</v>
      </c>
      <c r="DJ409" s="237" t="n">
        <f aca="false">DJ407*$AC$405*DJ408*DJ$38*'⑫ Roll-out Plan'!$O$45</f>
        <v>0</v>
      </c>
      <c r="DK409" s="237" t="n">
        <f aca="false">DK407*$AC$405*DK408*DK$38*'⑫ Roll-out Plan'!$O$45</f>
        <v>0</v>
      </c>
      <c r="DL409" s="237" t="n">
        <f aca="false">DL407*$AC$405*DL408*DL$38*'⑫ Roll-out Plan'!$O$45</f>
        <v>0</v>
      </c>
      <c r="DM409" s="237" t="n">
        <f aca="false">DM407*$AC$405*DM408*DM$38*'⑫ Roll-out Plan'!$O$45</f>
        <v>0</v>
      </c>
      <c r="DN409" s="237" t="n">
        <f aca="false">DN407*$AC$405*DN408*DN$38*'⑫ Roll-out Plan'!$O$45</f>
        <v>0</v>
      </c>
      <c r="DO409" s="237" t="n">
        <f aca="false">DO407*$AC$405*DO408*DO$38*'⑫ Roll-out Plan'!$O$45</f>
        <v>0</v>
      </c>
      <c r="DP409" s="237" t="n">
        <f aca="false">DP407*$AC$405*DP408*DP$38*'⑫ Roll-out Plan'!$O$45</f>
        <v>0</v>
      </c>
      <c r="DQ409" s="237" t="n">
        <f aca="false">DQ407*$AC$405*DQ408*DQ$38*'⑫ Roll-out Plan'!$O$45</f>
        <v>0</v>
      </c>
      <c r="DR409" s="237" t="n">
        <f aca="false">DR407*$AC$405*DR408*DR$38*'⑫ Roll-out Plan'!$O$45</f>
        <v>0</v>
      </c>
      <c r="DS409" s="237" t="n">
        <f aca="false">DS407*$AC$405*DS408*DS$38*'⑫ Roll-out Plan'!$O$45</f>
        <v>0</v>
      </c>
      <c r="DT409" s="237" t="n">
        <f aca="false">DT407*$AC$405*DT408*DT$38*'⑫ Roll-out Plan'!$O$45</f>
        <v>0</v>
      </c>
      <c r="DU409" s="237" t="n">
        <f aca="false">DU407*$AC$405*DU408*DU$38*'⑫ Roll-out Plan'!$O$45</f>
        <v>0</v>
      </c>
      <c r="DV409" s="237" t="n">
        <f aca="false">DV407*$AC$405*DV408*DV$38*'⑫ Roll-out Plan'!$O$45</f>
        <v>0</v>
      </c>
      <c r="DW409" s="237" t="n">
        <f aca="false">DW407*$AC$405*DW408*DW$38*'⑫ Roll-out Plan'!$O$45</f>
        <v>42.92</v>
      </c>
      <c r="DX409" s="237" t="n">
        <f aca="false">DX407*$AC$405*DX408*DX$38*'⑫ Roll-out Plan'!$O$45</f>
        <v>44.77</v>
      </c>
      <c r="DY409" s="237" t="n">
        <f aca="false">DY407*$AC$405*DY408*DY$38*'⑫ Roll-out Plan'!$O$45</f>
        <v>40.848</v>
      </c>
      <c r="DZ409" s="237" t="n">
        <f aca="false">DZ407*$AC$405*DZ408*DZ$38*'⑫ Roll-out Plan'!$O$45</f>
        <v>39.96</v>
      </c>
      <c r="EA409" s="237" t="n">
        <f aca="false">EA407*$AC$405*EA408*EA$38*'⑫ Roll-out Plan'!$O$45</f>
        <v>41.958</v>
      </c>
      <c r="EB409" s="237" t="n">
        <f aca="false">EB407*$AC$405*EB408*EB$38*'⑫ Roll-out Plan'!$O$45</f>
        <v>81.437</v>
      </c>
      <c r="EC409" s="237" t="n">
        <f aca="false">EC407*$AC$405*EC408*EC$38*'⑫ Roll-out Plan'!$O$45</f>
        <v>75.11</v>
      </c>
      <c r="ED409" s="237" t="n">
        <f aca="false">ED407*$AC$405*ED408*ED$38*'⑫ Roll-out Plan'!$O$45</f>
        <v>69.264</v>
      </c>
      <c r="EE409" s="237" t="n">
        <f aca="false">EE407*$AC$405*EE408*EE$38*'⑫ Roll-out Plan'!$O$45</f>
        <v>58.608</v>
      </c>
      <c r="EF409" s="237" t="n">
        <f aca="false">EF407*$AC$405*EF408*EF$38*'⑫ Roll-out Plan'!$O$45</f>
        <v>83.028</v>
      </c>
      <c r="EG409" s="237" t="n">
        <f aca="false">EG407*$AC$405*EG408*EG$38*'⑫ Roll-out Plan'!$O$45</f>
        <v>95.904</v>
      </c>
      <c r="EH409" s="237" t="n">
        <f aca="false">EH407*$AC$405*EH408*EH$38*'⑫ Roll-out Plan'!$O$45</f>
        <v>78.884</v>
      </c>
      <c r="EI409" s="237" t="n">
        <f aca="false">EI407*$AC$405*EI408*EI$38*'⑫ Roll-out Plan'!$O$45</f>
        <v>120.176</v>
      </c>
      <c r="EJ409" s="237" t="n">
        <f aca="false">EJ407*$AC$405*EJ408*EJ$38*'⑫ Roll-out Plan'!$O$45</f>
        <v>122.1</v>
      </c>
      <c r="EK409" s="237" t="n">
        <f aca="false">EK407*$AC$405*EK408*EK$38*'⑫ Roll-out Plan'!$O$45</f>
        <v>102.12</v>
      </c>
      <c r="EL409" s="237" t="n">
        <f aca="false">EL407*$AC$405*EL408*EL$38*'⑫ Roll-out Plan'!$O$45</f>
        <v>111.888</v>
      </c>
      <c r="EM409" s="237" t="n">
        <f aca="false">EM407*$AC$405*EM408*EM$38*'⑫ Roll-out Plan'!$O$45</f>
        <v>123.0768</v>
      </c>
      <c r="EN409" s="237" t="n">
        <f aca="false">EN407*$AC$405*EN408*EN$38*'⑫ Roll-out Plan'!$O$45</f>
        <v>217.5156</v>
      </c>
      <c r="EO409" s="237" t="n">
        <f aca="false">EO407*$AC$405*EO408*EO$38*'⑫ Roll-out Plan'!$O$45</f>
        <v>182.8392</v>
      </c>
      <c r="EP409" s="237" t="n">
        <f aca="false">EP407*$AC$405*EP408*EP$38*'⑫ Roll-out Plan'!$O$45</f>
        <v>151.3152</v>
      </c>
      <c r="EQ409" s="237" t="n">
        <f aca="false">EQ407*$AC$405*EQ408*EQ$38*'⑫ Roll-out Plan'!$O$45</f>
        <v>116.6832</v>
      </c>
      <c r="ER409" s="237" t="n">
        <f aca="false">ER407*$AC$405*ER408*ER$38*'⑫ Roll-out Plan'!$O$45</f>
        <v>169.83</v>
      </c>
      <c r="ES409" s="9" t="n">
        <f aca="false">ES407*$AC$405*ES408*ES$38*'⑫ Roll-out Plan'!$O$45</f>
        <v>184.6152</v>
      </c>
      <c r="ET409" s="9" t="n">
        <f aca="false">ET407*$AC$405*ET408*ET$38*'⑫ Roll-out Plan'!$O$45</f>
        <v>143.8116</v>
      </c>
      <c r="EU409" s="9" t="n">
        <f aca="false">EU407*$AC$405*EU408*EU$38*'⑫ Roll-out Plan'!$O$45</f>
        <v>203.4408</v>
      </c>
      <c r="EV409" s="9" t="n">
        <f aca="false">EV407*$AC$405*EV408*EV$38*'⑫ Roll-out Plan'!$O$45</f>
        <v>195.36</v>
      </c>
      <c r="EW409" s="9" t="n">
        <f aca="false">EW407*$AC$405*EW408*EW$38*'⑫ Roll-out Plan'!$O$45</f>
        <v>167.4768</v>
      </c>
      <c r="EX409" s="9" t="n">
        <f aca="false">EX407*$AC$405*EX408*EX$38*'⑫ Roll-out Plan'!$O$45</f>
        <v>149.184</v>
      </c>
      <c r="EY409" s="9" t="n">
        <f aca="false">EY407*$AC$405*EY408*EY$38*'⑫ Roll-out Plan'!$O$45</f>
        <v>158.508</v>
      </c>
      <c r="EZ409" s="9" t="n">
        <f aca="false">EZ407*$AC$405*EZ408*EZ$38*'⑫ Roll-out Plan'!$O$45</f>
        <v>267.954</v>
      </c>
      <c r="FA409" s="9" t="n">
        <f aca="false">FA407*$AC$405*FA408*FA$38*'⑫ Roll-out Plan'!$O$45</f>
        <v>221.4672</v>
      </c>
      <c r="FB409" s="9" t="n">
        <f aca="false">FB407*$AC$405*FB408*FB$38*'⑫ Roll-out Plan'!$O$45</f>
        <v>187.5456</v>
      </c>
      <c r="FC409" s="9" t="n">
        <f aca="false">FC407*$AC$405*FC408*FC$38*'⑫ Roll-out Plan'!$O$45</f>
        <v>142.2576</v>
      </c>
      <c r="FD409" s="9" t="n">
        <f aca="false">FD407*$AC$405*FD408*FD$38*'⑫ Roll-out Plan'!$O$45</f>
        <v>203.796</v>
      </c>
      <c r="FE409" s="9" t="n">
        <f aca="false">FE407*$AC$405*FE408*FE$38*'⑫ Roll-out Plan'!$O$45</f>
        <v>215.784</v>
      </c>
      <c r="FF409" s="9" t="n">
        <f aca="false">FF407*$AC$405*FF408*FF$38*'⑫ Roll-out Plan'!$O$45</f>
        <v>167.4768</v>
      </c>
      <c r="FG409" s="9" t="n">
        <f aca="false">FG407*$AC$405*FG408*FG$38*'⑫ Roll-out Plan'!$O$45</f>
        <v>239.4936</v>
      </c>
      <c r="FH409" s="9" t="n">
        <f aca="false">FH407*$AC$405*FH408*FH$38*'⑫ Roll-out Plan'!$O$45</f>
        <v>229.548</v>
      </c>
      <c r="FI409" s="9" t="n">
        <f aca="false">FI407*$AC$405*FI408*FI$38*'⑫ Roll-out Plan'!$O$45</f>
        <v>194.028</v>
      </c>
      <c r="FJ409" s="9" t="n">
        <f aca="false">FJ407*$AC$405*FJ408*FJ$38*'⑫ Roll-out Plan'!$O$45</f>
        <v>168.72</v>
      </c>
      <c r="FK409" s="9" t="n">
        <f aca="false">FK407*$AC$405*FK408*FK$38*'⑫ Roll-out Plan'!$O$45</f>
        <v>180.8856</v>
      </c>
      <c r="FL409" s="9" t="n">
        <f aca="false">FL407*$AC$405*FL408*FL$38*'⑫ Roll-out Plan'!$O$45</f>
        <v>308.9352</v>
      </c>
      <c r="FM409" s="9" t="n">
        <f aca="false">FM407*$AC$405*FM408*FM$38*'⑫ Roll-out Plan'!$O$45</f>
        <v>254.9448</v>
      </c>
      <c r="FN409" s="9" t="n">
        <f aca="false">FN407*$AC$405*FN408*FN$38*'⑫ Roll-out Plan'!$O$45</f>
        <v>213.12</v>
      </c>
      <c r="FO409" s="9" t="n">
        <f aca="false">FO407*$AC$405*FO408*FO$38*'⑫ Roll-out Plan'!$O$45</f>
        <v>159.84</v>
      </c>
      <c r="FP409" s="9" t="n">
        <f aca="false">FP407*$AC$405*FP408*FP$38*'⑫ Roll-out Plan'!$O$45</f>
        <v>226.44</v>
      </c>
    </row>
    <row r="410" customFormat="false" ht="15" hidden="false" customHeight="false" outlineLevel="2" collapsed="false">
      <c r="B410" s="47" t="s">
        <v>877</v>
      </c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237" t="n">
        <f aca="true">IFERROR(SUMPRODUCT(OFFSET($BJ$31,0,1-MIN(60,COLUMN()-29),1,MIN(60,COLUMN()-29)),OFFSET(AC409,0,-MIN(60,COLUMN()-29),1,MIN(60,COLUMN()-29))),0)</f>
        <v>0</v>
      </c>
      <c r="AD410" s="237" t="n">
        <f aca="true">IFERROR(SUMPRODUCT(OFFSET($BJ$31,0,1-MIN(60,COLUMN()-29),1,MIN(60,COLUMN()-29)),OFFSET(AD409,0,-MIN(60,COLUMN()-29),1,MIN(60,COLUMN()-29))),0)</f>
        <v>0</v>
      </c>
      <c r="AE410" s="237" t="n">
        <f aca="true">IFERROR(SUMPRODUCT(OFFSET($BJ$31,0,1-MIN(60,COLUMN()-29),1,MIN(60,COLUMN()-29)),OFFSET(AE409,0,-MIN(60,COLUMN()-29),1,MIN(60,COLUMN()-29))),0)</f>
        <v>0</v>
      </c>
      <c r="AF410" s="237" t="n">
        <f aca="true">IFERROR(SUMPRODUCT(OFFSET($BJ$31,0,1-MIN(60,COLUMN()-29),1,MIN(60,COLUMN()-29)),OFFSET(AF409,0,-MIN(60,COLUMN()-29),1,MIN(60,COLUMN()-29))),0)</f>
        <v>0</v>
      </c>
      <c r="AG410" s="237" t="n">
        <f aca="true">IFERROR(SUMPRODUCT(OFFSET($BJ$31,0,1-MIN(60,COLUMN()-29),1,MIN(60,COLUMN()-29)),OFFSET(AG409,0,-MIN(60,COLUMN()-29),1,MIN(60,COLUMN()-29))),0)</f>
        <v>0</v>
      </c>
      <c r="AH410" s="237" t="n">
        <f aca="true">IFERROR(SUMPRODUCT(OFFSET($BJ$31,0,1-MIN(60,COLUMN()-29),1,MIN(60,COLUMN()-29)),OFFSET(AH409,0,-MIN(60,COLUMN()-29),1,MIN(60,COLUMN()-29))),0)</f>
        <v>0</v>
      </c>
      <c r="AI410" s="237" t="n">
        <f aca="true">IFERROR(SUMPRODUCT(OFFSET($BJ$31,0,1-MIN(60,COLUMN()-29),1,MIN(60,COLUMN()-29)),OFFSET(AI409,0,-MIN(60,COLUMN()-29),1,MIN(60,COLUMN()-29))),0)</f>
        <v>0</v>
      </c>
      <c r="AJ410" s="237" t="n">
        <f aca="true">IFERROR(SUMPRODUCT(OFFSET($BJ$31,0,1-MIN(60,COLUMN()-29),1,MIN(60,COLUMN()-29)),OFFSET(AJ409,0,-MIN(60,COLUMN()-29),1,MIN(60,COLUMN()-29))),0)</f>
        <v>0</v>
      </c>
      <c r="AK410" s="237" t="n">
        <f aca="true">IFERROR(SUMPRODUCT(OFFSET($BJ$31,0,1-MIN(60,COLUMN()-29),1,MIN(60,COLUMN()-29)),OFFSET(AK409,0,-MIN(60,COLUMN()-29),1,MIN(60,COLUMN()-29))),0)</f>
        <v>0</v>
      </c>
      <c r="AL410" s="237" t="n">
        <f aca="true">IFERROR(SUMPRODUCT(OFFSET($BJ$31,0,1-MIN(60,COLUMN()-29),1,MIN(60,COLUMN()-29)),OFFSET(AL409,0,-MIN(60,COLUMN()-29),1,MIN(60,COLUMN()-29))),0)</f>
        <v>0</v>
      </c>
      <c r="AM410" s="237" t="n">
        <f aca="true">IFERROR(SUMPRODUCT(OFFSET($BJ$31,0,1-MIN(60,COLUMN()-29),1,MIN(60,COLUMN()-29)),OFFSET(AM409,0,-MIN(60,COLUMN()-29),1,MIN(60,COLUMN()-29))),0)</f>
        <v>0</v>
      </c>
      <c r="AN410" s="237" t="n">
        <f aca="true">IFERROR(SUMPRODUCT(OFFSET($BJ$31,0,1-MIN(60,COLUMN()-29),1,MIN(60,COLUMN()-29)),OFFSET(AN409,0,-MIN(60,COLUMN()-29),1,MIN(60,COLUMN()-29))),0)</f>
        <v>0</v>
      </c>
      <c r="AO410" s="237" t="n">
        <f aca="true">IFERROR(SUMPRODUCT(OFFSET($BJ$31,0,1-MIN(60,COLUMN()-29),1,MIN(60,COLUMN()-29)),OFFSET(AO409,0,-MIN(60,COLUMN()-29),1,MIN(60,COLUMN()-29))),0)</f>
        <v>0</v>
      </c>
      <c r="AP410" s="237" t="n">
        <f aca="true">IFERROR(SUMPRODUCT(OFFSET($BJ$31,0,1-MIN(60,COLUMN()-29),1,MIN(60,COLUMN()-29)),OFFSET(AP409,0,-MIN(60,COLUMN()-29),1,MIN(60,COLUMN()-29))),0)</f>
        <v>0</v>
      </c>
      <c r="AQ410" s="237" t="n">
        <f aca="true">IFERROR(SUMPRODUCT(OFFSET($BJ$31,0,1-MIN(60,COLUMN()-29),1,MIN(60,COLUMN()-29)),OFFSET(AQ409,0,-MIN(60,COLUMN()-29),1,MIN(60,COLUMN()-29))),0)</f>
        <v>0</v>
      </c>
      <c r="AR410" s="237" t="n">
        <f aca="true">IFERROR(SUMPRODUCT(OFFSET($BJ$31,0,1-MIN(60,COLUMN()-29),1,MIN(60,COLUMN()-29)),OFFSET(AR409,0,-MIN(60,COLUMN()-29),1,MIN(60,COLUMN()-29))),0)</f>
        <v>0</v>
      </c>
      <c r="AS410" s="237" t="n">
        <f aca="true">IFERROR(SUMPRODUCT(OFFSET($BJ$31,0,1-MIN(60,COLUMN()-29),1,MIN(60,COLUMN()-29)),OFFSET(AS409,0,-MIN(60,COLUMN()-29),1,MIN(60,COLUMN()-29))),0)</f>
        <v>0</v>
      </c>
      <c r="AT410" s="237" t="n">
        <f aca="true">IFERROR(SUMPRODUCT(OFFSET($BJ$31,0,1-MIN(60,COLUMN()-29),1,MIN(60,COLUMN()-29)),OFFSET(AT409,0,-MIN(60,COLUMN()-29),1,MIN(60,COLUMN()-29))),0)</f>
        <v>0</v>
      </c>
      <c r="AU410" s="237" t="n">
        <f aca="true">IFERROR(SUMPRODUCT(OFFSET($BJ$31,0,1-MIN(60,COLUMN()-29),1,MIN(60,COLUMN()-29)),OFFSET(AU409,0,-MIN(60,COLUMN()-29),1,MIN(60,COLUMN()-29))),0)</f>
        <v>0</v>
      </c>
      <c r="AV410" s="237" t="n">
        <f aca="true">IFERROR(SUMPRODUCT(OFFSET($BJ$31,0,1-MIN(60,COLUMN()-29),1,MIN(60,COLUMN()-29)),OFFSET(AV409,0,-MIN(60,COLUMN()-29),1,MIN(60,COLUMN()-29))),0)</f>
        <v>0</v>
      </c>
      <c r="AW410" s="237" t="n">
        <f aca="true">IFERROR(SUMPRODUCT(OFFSET($BJ$31,0,1-MIN(60,COLUMN()-29),1,MIN(60,COLUMN()-29)),OFFSET(AW409,0,-MIN(60,COLUMN()-29),1,MIN(60,COLUMN()-29))),0)</f>
        <v>0</v>
      </c>
      <c r="AX410" s="237" t="n">
        <f aca="true">IFERROR(SUMPRODUCT(OFFSET($BJ$31,0,1-MIN(60,COLUMN()-29),1,MIN(60,COLUMN()-29)),OFFSET(AX409,0,-MIN(60,COLUMN()-29),1,MIN(60,COLUMN()-29))),0)</f>
        <v>0</v>
      </c>
      <c r="AY410" s="237" t="n">
        <f aca="true">IFERROR(SUMPRODUCT(OFFSET($BJ$31,0,1-MIN(60,COLUMN()-29),1,MIN(60,COLUMN()-29)),OFFSET(AY409,0,-MIN(60,COLUMN()-29),1,MIN(60,COLUMN()-29))),0)</f>
        <v>0</v>
      </c>
      <c r="AZ410" s="237" t="n">
        <f aca="true">IFERROR(SUMPRODUCT(OFFSET($BJ$31,0,1-MIN(60,COLUMN()-29),1,MIN(60,COLUMN()-29)),OFFSET(AZ409,0,-MIN(60,COLUMN()-29),1,MIN(60,COLUMN()-29))),0)</f>
        <v>0</v>
      </c>
      <c r="BA410" s="237" t="n">
        <f aca="true">IFERROR(SUMPRODUCT(OFFSET($BJ$31,0,1-MIN(60,COLUMN()-29),1,MIN(60,COLUMN()-29)),OFFSET(BA409,0,-MIN(60,COLUMN()-29),1,MIN(60,COLUMN()-29))),0)</f>
        <v>0</v>
      </c>
      <c r="BB410" s="237" t="n">
        <f aca="true">IFERROR(SUMPRODUCT(OFFSET($BJ$31,0,1-MIN(60,COLUMN()-29),1,MIN(60,COLUMN()-29)),OFFSET(BB409,0,-MIN(60,COLUMN()-29),1,MIN(60,COLUMN()-29))),0)</f>
        <v>0</v>
      </c>
      <c r="BC410" s="237" t="n">
        <f aca="true">IFERROR(SUMPRODUCT(OFFSET($BJ$31,0,1-MIN(60,COLUMN()-29),1,MIN(60,COLUMN()-29)),OFFSET(BC409,0,-MIN(60,COLUMN()-29),1,MIN(60,COLUMN()-29))),0)</f>
        <v>0</v>
      </c>
      <c r="BD410" s="237" t="n">
        <f aca="true">IFERROR(SUMPRODUCT(OFFSET($BJ$31,0,1-MIN(60,COLUMN()-29),1,MIN(60,COLUMN()-29)),OFFSET(BD409,0,-MIN(60,COLUMN()-29),1,MIN(60,COLUMN()-29))),0)</f>
        <v>0</v>
      </c>
      <c r="BE410" s="237" t="n">
        <f aca="true">IFERROR(SUMPRODUCT(OFFSET($BJ$31,0,1-MIN(60,COLUMN()-29),1,MIN(60,COLUMN()-29)),OFFSET(BE409,0,-MIN(60,COLUMN()-29),1,MIN(60,COLUMN()-29))),0)</f>
        <v>0</v>
      </c>
      <c r="BF410" s="237" t="n">
        <f aca="true">IFERROR(SUMPRODUCT(OFFSET($BJ$31,0,1-MIN(60,COLUMN()-29),1,MIN(60,COLUMN()-29)),OFFSET(BF409,0,-MIN(60,COLUMN()-29),1,MIN(60,COLUMN()-29))),0)</f>
        <v>0</v>
      </c>
      <c r="BG410" s="237" t="n">
        <f aca="true">IFERROR(SUMPRODUCT(OFFSET($BJ$31,0,1-MIN(60,COLUMN()-29),1,MIN(60,COLUMN()-29)),OFFSET(BG409,0,-MIN(60,COLUMN()-29),1,MIN(60,COLUMN()-29))),0)</f>
        <v>0</v>
      </c>
      <c r="BH410" s="237" t="n">
        <f aca="true">IFERROR(SUMPRODUCT(OFFSET($BJ$31,0,1-MIN(60,COLUMN()-29),1,MIN(60,COLUMN()-29)),OFFSET(BH409,0,-MIN(60,COLUMN()-29),1,MIN(60,COLUMN()-29))),0)</f>
        <v>0</v>
      </c>
      <c r="BI410" s="237" t="n">
        <f aca="true">IFERROR(SUMPRODUCT(OFFSET($BJ$31,0,1-MIN(60,COLUMN()-29),1,MIN(60,COLUMN()-29)),OFFSET(BI409,0,-MIN(60,COLUMN()-29),1,MIN(60,COLUMN()-29))),0)</f>
        <v>0</v>
      </c>
      <c r="BJ410" s="237" t="n">
        <f aca="true">IFERROR(SUMPRODUCT(OFFSET($BJ$31,0,1-MIN(60,COLUMN()-29),1,MIN(60,COLUMN()-29)),OFFSET(BJ409,0,-MIN(60,COLUMN()-29),1,MIN(60,COLUMN()-29))),0)</f>
        <v>0</v>
      </c>
      <c r="BK410" s="237" t="n">
        <f aca="true">IFERROR(SUMPRODUCT(OFFSET($BJ$31,0,1-MIN(60,COLUMN()-29),1,MIN(60,COLUMN()-29)),OFFSET(BK409,0,-MIN(60,COLUMN()-29),1,MIN(60,COLUMN()-29))),0)</f>
        <v>0</v>
      </c>
      <c r="BL410" s="237" t="n">
        <f aca="true">IFERROR(SUMPRODUCT(OFFSET($BJ$31,0,1-MIN(60,COLUMN()-29),1,MIN(60,COLUMN()-29)),OFFSET(BL409,0,-MIN(60,COLUMN()-29),1,MIN(60,COLUMN()-29))),0)</f>
        <v>0</v>
      </c>
      <c r="BM410" s="237" t="n">
        <f aca="true">IFERROR(SUMPRODUCT(OFFSET($BJ$31,0,1-MIN(60,COLUMN()-29),1,MIN(60,COLUMN()-29)),OFFSET(BM409,0,-MIN(60,COLUMN()-29),1,MIN(60,COLUMN()-29))),0)</f>
        <v>0</v>
      </c>
      <c r="BN410" s="237" t="n">
        <f aca="true">IFERROR(SUMPRODUCT(OFFSET($BJ$31,0,1-MIN(60,COLUMN()-29),1,MIN(60,COLUMN()-29)),OFFSET(BN409,0,-MIN(60,COLUMN()-29),1,MIN(60,COLUMN()-29))),0)</f>
        <v>0</v>
      </c>
      <c r="BO410" s="237" t="n">
        <f aca="true">IFERROR(SUMPRODUCT(OFFSET($BJ$31,0,1-MIN(60,COLUMN()-29),1,MIN(60,COLUMN()-29)),OFFSET(BO409,0,-MIN(60,COLUMN()-29),1,MIN(60,COLUMN()-29))),0)</f>
        <v>0</v>
      </c>
      <c r="BP410" s="237" t="n">
        <f aca="true">IFERROR(SUMPRODUCT(OFFSET($BJ$31,0,1-MIN(60,COLUMN()-29),1,MIN(60,COLUMN()-29)),OFFSET(BP409,0,-MIN(60,COLUMN()-29),1,MIN(60,COLUMN()-29))),0)</f>
        <v>0</v>
      </c>
      <c r="BQ410" s="237" t="n">
        <f aca="true">IFERROR(SUMPRODUCT(OFFSET($BJ$31,0,1-MIN(60,COLUMN()-29),1,MIN(60,COLUMN()-29)),OFFSET(BQ409,0,-MIN(60,COLUMN()-29),1,MIN(60,COLUMN()-29))),0)</f>
        <v>0</v>
      </c>
      <c r="BR410" s="237" t="n">
        <f aca="true">IFERROR(SUMPRODUCT(OFFSET($BJ$31,0,1-MIN(60,COLUMN()-29),1,MIN(60,COLUMN()-29)),OFFSET(BR409,0,-MIN(60,COLUMN()-29),1,MIN(60,COLUMN()-29))),0)</f>
        <v>0</v>
      </c>
      <c r="BS410" s="237" t="n">
        <f aca="true">IFERROR(SUMPRODUCT(OFFSET($BJ$31,0,1-MIN(60,COLUMN()-29),1,MIN(60,COLUMN()-29)),OFFSET(BS409,0,-MIN(60,COLUMN()-29),1,MIN(60,COLUMN()-29))),0)</f>
        <v>0</v>
      </c>
      <c r="BT410" s="237" t="n">
        <f aca="true">IFERROR(SUMPRODUCT(OFFSET($BJ$31,0,1-MIN(60,COLUMN()-29),1,MIN(60,COLUMN()-29)),OFFSET(BT409,0,-MIN(60,COLUMN()-29),1,MIN(60,COLUMN()-29))),0)</f>
        <v>0</v>
      </c>
      <c r="BU410" s="237" t="n">
        <f aca="true">IFERROR(SUMPRODUCT(OFFSET($BJ$31,0,1-MIN(60,COLUMN()-29),1,MIN(60,COLUMN()-29)),OFFSET(BU409,0,-MIN(60,COLUMN()-29),1,MIN(60,COLUMN()-29))),0)</f>
        <v>0</v>
      </c>
      <c r="BV410" s="237" t="n">
        <f aca="true">IFERROR(SUMPRODUCT(OFFSET($BJ$31,0,1-MIN(60,COLUMN()-29),1,MIN(60,COLUMN()-29)),OFFSET(BV409,0,-MIN(60,COLUMN()-29),1,MIN(60,COLUMN()-29))),0)</f>
        <v>0</v>
      </c>
      <c r="BW410" s="237" t="n">
        <f aca="true">IFERROR(SUMPRODUCT(OFFSET($BJ$31,0,1-MIN(60,COLUMN()-29),1,MIN(60,COLUMN()-29)),OFFSET(BW409,0,-MIN(60,COLUMN()-29),1,MIN(60,COLUMN()-29))),0)</f>
        <v>0</v>
      </c>
      <c r="BX410" s="237" t="n">
        <f aca="true">IFERROR(SUMPRODUCT(OFFSET($BJ$31,0,1-MIN(60,COLUMN()-29),1,MIN(60,COLUMN()-29)),OFFSET(BX409,0,-MIN(60,COLUMN()-29),1,MIN(60,COLUMN()-29))),0)</f>
        <v>0</v>
      </c>
      <c r="BY410" s="237" t="n">
        <f aca="true">IFERROR(SUMPRODUCT(OFFSET($BJ$31,0,1-MIN(60,COLUMN()-29),1,MIN(60,COLUMN()-29)),OFFSET(BY409,0,-MIN(60,COLUMN()-29),1,MIN(60,COLUMN()-29))),0)</f>
        <v>0</v>
      </c>
      <c r="BZ410" s="237" t="n">
        <f aca="true">IFERROR(SUMPRODUCT(OFFSET($BJ$31,0,1-MIN(60,COLUMN()-29),1,MIN(60,COLUMN()-29)),OFFSET(BZ409,0,-MIN(60,COLUMN()-29),1,MIN(60,COLUMN()-29))),0)</f>
        <v>0</v>
      </c>
      <c r="CA410" s="237" t="n">
        <f aca="true">IFERROR(SUMPRODUCT(OFFSET($BJ$31,0,1-MIN(60,COLUMN()-29),1,MIN(60,COLUMN()-29)),OFFSET(CA409,0,-MIN(60,COLUMN()-29),1,MIN(60,COLUMN()-29))),0)</f>
        <v>0</v>
      </c>
      <c r="CB410" s="237" t="n">
        <f aca="true">IFERROR(SUMPRODUCT(OFFSET($BJ$31,0,1-MIN(60,COLUMN()-29),1,MIN(60,COLUMN()-29)),OFFSET(CB409,0,-MIN(60,COLUMN()-29),1,MIN(60,COLUMN()-29))),0)</f>
        <v>0</v>
      </c>
      <c r="CC410" s="237" t="n">
        <f aca="true">IFERROR(SUMPRODUCT(OFFSET($BJ$31,0,1-MIN(60,COLUMN()-29),1,MIN(60,COLUMN()-29)),OFFSET(CC409,0,-MIN(60,COLUMN()-29),1,MIN(60,COLUMN()-29))),0)</f>
        <v>0</v>
      </c>
      <c r="CD410" s="237" t="n">
        <f aca="true">IFERROR(SUMPRODUCT(OFFSET($BJ$31,0,1-MIN(60,COLUMN()-29),1,MIN(60,COLUMN()-29)),OFFSET(CD409,0,-MIN(60,COLUMN()-29),1,MIN(60,COLUMN()-29))),0)</f>
        <v>0</v>
      </c>
      <c r="CE410" s="237" t="n">
        <f aca="true">IFERROR(SUMPRODUCT(OFFSET($BJ$31,0,1-MIN(60,COLUMN()-29),1,MIN(60,COLUMN()-29)),OFFSET(CE409,0,-MIN(60,COLUMN()-29),1,MIN(60,COLUMN()-29))),0)</f>
        <v>0</v>
      </c>
      <c r="CF410" s="237" t="n">
        <f aca="true">IFERROR(SUMPRODUCT(OFFSET($BJ$31,0,1-MIN(60,COLUMN()-29),1,MIN(60,COLUMN()-29)),OFFSET(CF409,0,-MIN(60,COLUMN()-29),1,MIN(60,COLUMN()-29))),0)</f>
        <v>0</v>
      </c>
      <c r="CG410" s="237" t="n">
        <f aca="true">IFERROR(SUMPRODUCT(OFFSET($BJ$31,0,1-MIN(60,COLUMN()-29),1,MIN(60,COLUMN()-29)),OFFSET(CG409,0,-MIN(60,COLUMN()-29),1,MIN(60,COLUMN()-29))),0)</f>
        <v>0</v>
      </c>
      <c r="CH410" s="237" t="n">
        <f aca="true">IFERROR(SUMPRODUCT(OFFSET($BJ$31,0,1-MIN(60,COLUMN()-29),1,MIN(60,COLUMN()-29)),OFFSET(CH409,0,-MIN(60,COLUMN()-29),1,MIN(60,COLUMN()-29))),0)</f>
        <v>0</v>
      </c>
      <c r="CI410" s="237" t="n">
        <f aca="true">IFERROR(SUMPRODUCT(OFFSET($BJ$31,0,1-MIN(60,COLUMN()-29),1,MIN(60,COLUMN()-29)),OFFSET(CI409,0,-MIN(60,COLUMN()-29),1,MIN(60,COLUMN()-29))),0)</f>
        <v>0</v>
      </c>
      <c r="CJ410" s="237" t="n">
        <f aca="true">IFERROR(SUMPRODUCT(OFFSET($BJ$31,0,1-MIN(60,COLUMN()-29),1,MIN(60,COLUMN()-29)),OFFSET(CJ409,0,-MIN(60,COLUMN()-29),1,MIN(60,COLUMN()-29))),0)</f>
        <v>0</v>
      </c>
      <c r="CK410" s="237" t="n">
        <f aca="true">IFERROR(SUMPRODUCT(OFFSET($BJ$31,0,1-MIN(60,COLUMN()-29),1,MIN(60,COLUMN()-29)),OFFSET(CK409,0,-MIN(60,COLUMN()-29),1,MIN(60,COLUMN()-29))),0)</f>
        <v>0</v>
      </c>
      <c r="CL410" s="237" t="n">
        <f aca="true">IFERROR(SUMPRODUCT(OFFSET($BJ$31,0,1-MIN(60,COLUMN()-29),1,MIN(60,COLUMN()-29)),OFFSET(CL409,0,-MIN(60,COLUMN()-29),1,MIN(60,COLUMN()-29))),0)</f>
        <v>0</v>
      </c>
      <c r="CM410" s="237" t="n">
        <f aca="true">IFERROR(SUMPRODUCT(OFFSET($BJ$31,0,1-MIN(60,COLUMN()-29),1,MIN(60,COLUMN()-29)),OFFSET(CM409,0,-MIN(60,COLUMN()-29),1,MIN(60,COLUMN()-29))),0)</f>
        <v>0</v>
      </c>
      <c r="CN410" s="237" t="n">
        <f aca="true">IFERROR(SUMPRODUCT(OFFSET($BJ$31,0,1-MIN(60,COLUMN()-29),1,MIN(60,COLUMN()-29)),OFFSET(CN409,0,-MIN(60,COLUMN()-29),1,MIN(60,COLUMN()-29))),0)</f>
        <v>0</v>
      </c>
      <c r="CO410" s="237" t="n">
        <f aca="true">IFERROR(SUMPRODUCT(OFFSET($BJ$31,0,1-MIN(60,COLUMN()-29),1,MIN(60,COLUMN()-29)),OFFSET(CO409,0,-MIN(60,COLUMN()-29),1,MIN(60,COLUMN()-29))),0)</f>
        <v>0</v>
      </c>
      <c r="CP410" s="237" t="n">
        <f aca="true">IFERROR(SUMPRODUCT(OFFSET($BJ$31,0,1-MIN(60,COLUMN()-29),1,MIN(60,COLUMN()-29)),OFFSET(CP409,0,-MIN(60,COLUMN()-29),1,MIN(60,COLUMN()-29))),0)</f>
        <v>0</v>
      </c>
      <c r="CQ410" s="237" t="n">
        <f aca="true">IFERROR(SUMPRODUCT(OFFSET($BJ$31,0,1-MIN(60,COLUMN()-29),1,MIN(60,COLUMN()-29)),OFFSET(CQ409,0,-MIN(60,COLUMN()-29),1,MIN(60,COLUMN()-29))),0)</f>
        <v>0</v>
      </c>
      <c r="CR410" s="237" t="n">
        <f aca="true">IFERROR(SUMPRODUCT(OFFSET($BJ$31,0,1-MIN(60,COLUMN()-29),1,MIN(60,COLUMN()-29)),OFFSET(CR409,0,-MIN(60,COLUMN()-29),1,MIN(60,COLUMN()-29))),0)</f>
        <v>0</v>
      </c>
      <c r="CS410" s="237" t="n">
        <f aca="true">IFERROR(SUMPRODUCT(OFFSET($BJ$31,0,1-MIN(60,COLUMN()-29),1,MIN(60,COLUMN()-29)),OFFSET(CS409,0,-MIN(60,COLUMN()-29),1,MIN(60,COLUMN()-29))),0)</f>
        <v>0</v>
      </c>
      <c r="CT410" s="237" t="n">
        <f aca="true">IFERROR(SUMPRODUCT(OFFSET($BJ$31,0,1-MIN(60,COLUMN()-29),1,MIN(60,COLUMN()-29)),OFFSET(CT409,0,-MIN(60,COLUMN()-29),1,MIN(60,COLUMN()-29))),0)</f>
        <v>0</v>
      </c>
      <c r="CU410" s="237" t="n">
        <f aca="true">IFERROR(SUMPRODUCT(OFFSET($BJ$31,0,1-MIN(60,COLUMN()-29),1,MIN(60,COLUMN()-29)),OFFSET(CU409,0,-MIN(60,COLUMN()-29),1,MIN(60,COLUMN()-29))),0)</f>
        <v>0</v>
      </c>
      <c r="CV410" s="237" t="n">
        <f aca="true">IFERROR(SUMPRODUCT(OFFSET($BJ$31,0,1-MIN(60,COLUMN()-29),1,MIN(60,COLUMN()-29)),OFFSET(CV409,0,-MIN(60,COLUMN()-29),1,MIN(60,COLUMN()-29))),0)</f>
        <v>0</v>
      </c>
      <c r="CW410" s="237" t="n">
        <f aca="true">IFERROR(SUMPRODUCT(OFFSET($BJ$31,0,1-MIN(60,COLUMN()-29),1,MIN(60,COLUMN()-29)),OFFSET(CW409,0,-MIN(60,COLUMN()-29),1,MIN(60,COLUMN()-29))),0)</f>
        <v>0</v>
      </c>
      <c r="CX410" s="237" t="n">
        <f aca="true">IFERROR(SUMPRODUCT(OFFSET($BJ$31,0,1-MIN(60,COLUMN()-29),1,MIN(60,COLUMN()-29)),OFFSET(CX409,0,-MIN(60,COLUMN()-29),1,MIN(60,COLUMN()-29))),0)</f>
        <v>0</v>
      </c>
      <c r="CY410" s="237" t="n">
        <f aca="true">IFERROR(SUMPRODUCT(OFFSET($BJ$31,0,1-MIN(60,COLUMN()-29),1,MIN(60,COLUMN()-29)),OFFSET(CY409,0,-MIN(60,COLUMN()-29),1,MIN(60,COLUMN()-29))),0)</f>
        <v>0</v>
      </c>
      <c r="CZ410" s="237" t="n">
        <f aca="true">IFERROR(SUMPRODUCT(OFFSET($BJ$31,0,1-MIN(60,COLUMN()-29),1,MIN(60,COLUMN()-29)),OFFSET(CZ409,0,-MIN(60,COLUMN()-29),1,MIN(60,COLUMN()-29))),0)</f>
        <v>0</v>
      </c>
      <c r="DA410" s="237" t="n">
        <f aca="true">IFERROR(SUMPRODUCT(OFFSET($BJ$31,0,1-MIN(60,COLUMN()-29),1,MIN(60,COLUMN()-29)),OFFSET(DA409,0,-MIN(60,COLUMN()-29),1,MIN(60,COLUMN()-29))),0)</f>
        <v>0</v>
      </c>
      <c r="DB410" s="237" t="n">
        <f aca="true">IFERROR(SUMPRODUCT(OFFSET($BJ$31,0,1-MIN(60,COLUMN()-29),1,MIN(60,COLUMN()-29)),OFFSET(DB409,0,-MIN(60,COLUMN()-29),1,MIN(60,COLUMN()-29))),0)</f>
        <v>0</v>
      </c>
      <c r="DC410" s="237" t="n">
        <f aca="true">IFERROR(SUMPRODUCT(OFFSET($BJ$31,0,1-MIN(60,COLUMN()-29),1,MIN(60,COLUMN()-29)),OFFSET(DC409,0,-MIN(60,COLUMN()-29),1,MIN(60,COLUMN()-29))),0)</f>
        <v>0</v>
      </c>
      <c r="DD410" s="237" t="n">
        <f aca="true">IFERROR(SUMPRODUCT(OFFSET($BJ$31,0,1-MIN(60,COLUMN()-29),1,MIN(60,COLUMN()-29)),OFFSET(DD409,0,-MIN(60,COLUMN()-29),1,MIN(60,COLUMN()-29))),0)</f>
        <v>0</v>
      </c>
      <c r="DE410" s="237" t="n">
        <f aca="true">IFERROR(SUMPRODUCT(OFFSET($BJ$31,0,1-MIN(60,COLUMN()-29),1,MIN(60,COLUMN()-29)),OFFSET(DE409,0,-MIN(60,COLUMN()-29),1,MIN(60,COLUMN()-29))),0)</f>
        <v>0</v>
      </c>
      <c r="DF410" s="237" t="n">
        <f aca="true">IFERROR(SUMPRODUCT(OFFSET($BJ$31,0,1-MIN(60,COLUMN()-29),1,MIN(60,COLUMN()-29)),OFFSET(DF409,0,-MIN(60,COLUMN()-29),1,MIN(60,COLUMN()-29))),0)</f>
        <v>0</v>
      </c>
      <c r="DG410" s="237" t="n">
        <f aca="true">IFERROR(SUMPRODUCT(OFFSET($BJ$31,0,1-MIN(60,COLUMN()-29),1,MIN(60,COLUMN()-29)),OFFSET(DG409,0,-MIN(60,COLUMN()-29),1,MIN(60,COLUMN()-29))),0)</f>
        <v>0</v>
      </c>
      <c r="DH410" s="237" t="n">
        <f aca="true">IFERROR(SUMPRODUCT(OFFSET($BJ$31,0,1-MIN(60,COLUMN()-29),1,MIN(60,COLUMN()-29)),OFFSET(DH409,0,-MIN(60,COLUMN()-29),1,MIN(60,COLUMN()-29))),0)</f>
        <v>0</v>
      </c>
      <c r="DI410" s="237" t="n">
        <f aca="true">IFERROR(SUMPRODUCT(OFFSET($BJ$31,0,1-MIN(60,COLUMN()-29),1,MIN(60,COLUMN()-29)),OFFSET(DI409,0,-MIN(60,COLUMN()-29),1,MIN(60,COLUMN()-29))),0)</f>
        <v>0</v>
      </c>
      <c r="DJ410" s="237" t="n">
        <f aca="true">IFERROR(SUMPRODUCT(OFFSET($BJ$31,0,1-MIN(60,COLUMN()-29),1,MIN(60,COLUMN()-29)),OFFSET(DJ409,0,-MIN(60,COLUMN()-29),1,MIN(60,COLUMN()-29))),0)</f>
        <v>0</v>
      </c>
      <c r="DK410" s="237" t="n">
        <f aca="true">IFERROR(SUMPRODUCT(OFFSET($BJ$31,0,1-MIN(60,COLUMN()-29),1,MIN(60,COLUMN()-29)),OFFSET(DK409,0,-MIN(60,COLUMN()-29),1,MIN(60,COLUMN()-29))),0)</f>
        <v>0</v>
      </c>
      <c r="DL410" s="237" t="n">
        <f aca="true">IFERROR(SUMPRODUCT(OFFSET($BJ$31,0,1-MIN(60,COLUMN()-29),1,MIN(60,COLUMN()-29)),OFFSET(DL409,0,-MIN(60,COLUMN()-29),1,MIN(60,COLUMN()-29))),0)</f>
        <v>0</v>
      </c>
      <c r="DM410" s="237" t="n">
        <f aca="true">IFERROR(SUMPRODUCT(OFFSET($BJ$31,0,1-MIN(60,COLUMN()-29),1,MIN(60,COLUMN()-29)),OFFSET(DM409,0,-MIN(60,COLUMN()-29),1,MIN(60,COLUMN()-29))),0)</f>
        <v>0</v>
      </c>
      <c r="DN410" s="237" t="n">
        <f aca="true">IFERROR(SUMPRODUCT(OFFSET($BJ$31,0,1-MIN(60,COLUMN()-29),1,MIN(60,COLUMN()-29)),OFFSET(DN409,0,-MIN(60,COLUMN()-29),1,MIN(60,COLUMN()-29))),0)</f>
        <v>0</v>
      </c>
      <c r="DO410" s="237" t="n">
        <f aca="true">IFERROR(SUMPRODUCT(OFFSET($BJ$31,0,1-MIN(60,COLUMN()-29),1,MIN(60,COLUMN()-29)),OFFSET(DO409,0,-MIN(60,COLUMN()-29),1,MIN(60,COLUMN()-29))),0)</f>
        <v>0</v>
      </c>
      <c r="DP410" s="237" t="n">
        <f aca="true">IFERROR(SUMPRODUCT(OFFSET($BJ$31,0,1-MIN(60,COLUMN()-29),1,MIN(60,COLUMN()-29)),OFFSET(DP409,0,-MIN(60,COLUMN()-29),1,MIN(60,COLUMN()-29))),0)</f>
        <v>0</v>
      </c>
      <c r="DQ410" s="237" t="n">
        <f aca="true">IFERROR(SUMPRODUCT(OFFSET($BJ$31,0,1-MIN(60,COLUMN()-29),1,MIN(60,COLUMN()-29)),OFFSET(DQ409,0,-MIN(60,COLUMN()-29),1,MIN(60,COLUMN()-29))),0)</f>
        <v>0</v>
      </c>
      <c r="DR410" s="237" t="n">
        <f aca="true">IFERROR(SUMPRODUCT(OFFSET($BJ$31,0,1-MIN(60,COLUMN()-29),1,MIN(60,COLUMN()-29)),OFFSET(DR409,0,-MIN(60,COLUMN()-29),1,MIN(60,COLUMN()-29))),0)</f>
        <v>0</v>
      </c>
      <c r="DS410" s="237" t="n">
        <f aca="true">IFERROR(SUMPRODUCT(OFFSET($BJ$31,0,1-MIN(60,COLUMN()-29),1,MIN(60,COLUMN()-29)),OFFSET(DS409,0,-MIN(60,COLUMN()-29),1,MIN(60,COLUMN()-29))),0)</f>
        <v>0</v>
      </c>
      <c r="DT410" s="237" t="n">
        <f aca="true">IFERROR(SUMPRODUCT(OFFSET($BJ$31,0,1-MIN(60,COLUMN()-29),1,MIN(60,COLUMN()-29)),OFFSET(DT409,0,-MIN(60,COLUMN()-29),1,MIN(60,COLUMN()-29))),0)</f>
        <v>0</v>
      </c>
      <c r="DU410" s="237" t="n">
        <f aca="true">IFERROR(SUMPRODUCT(OFFSET($BJ$31,0,1-MIN(60,COLUMN()-29),1,MIN(60,COLUMN()-29)),OFFSET(DU409,0,-MIN(60,COLUMN()-29),1,MIN(60,COLUMN()-29))),0)</f>
        <v>0</v>
      </c>
      <c r="DV410" s="237" t="n">
        <f aca="true">IFERROR(SUMPRODUCT(OFFSET($BJ$31,0,1-MIN(60,COLUMN()-29),1,MIN(60,COLUMN()-29)),OFFSET(DV409,0,-MIN(60,COLUMN()-29),1,MIN(60,COLUMN()-29))),0)</f>
        <v>0</v>
      </c>
      <c r="DW410" s="237" t="n">
        <f aca="true">IFERROR(SUMPRODUCT(OFFSET($BJ$31,0,1-MIN(60,COLUMN()-29),1,MIN(60,COLUMN()-29)),OFFSET(DW409,0,-MIN(60,COLUMN()-29),1,MIN(60,COLUMN()-29))),0)</f>
        <v>0</v>
      </c>
      <c r="DX410" s="237" t="n">
        <f aca="true">IFERROR(SUMPRODUCT(OFFSET($BJ$31,0,1-MIN(60,COLUMN()-29),1,MIN(60,COLUMN()-29)),OFFSET(DX409,0,-MIN(60,COLUMN()-29),1,MIN(60,COLUMN()-29))),0)</f>
        <v>5.49376</v>
      </c>
      <c r="DY410" s="237" t="n">
        <f aca="true">IFERROR(SUMPRODUCT(OFFSET($BJ$31,0,1-MIN(60,COLUMN()-29),1,MIN(60,COLUMN()-29)),OFFSET(DY409,0,-MIN(60,COLUMN()-29),1,MIN(60,COLUMN()-29))),0)</f>
        <v>6.485952</v>
      </c>
      <c r="DZ410" s="237" t="n">
        <f aca="true">IFERROR(SUMPRODUCT(OFFSET($BJ$31,0,1-MIN(60,COLUMN()-29),1,MIN(60,COLUMN()-29)),OFFSET(DZ409,0,-MIN(60,COLUMN()-29),1,MIN(60,COLUMN()-29))),0)</f>
        <v>6.977904</v>
      </c>
      <c r="EA410" s="237" t="n">
        <f aca="true">IFERROR(SUMPRODUCT(OFFSET($BJ$31,0,1-MIN(60,COLUMN()-29),1,MIN(60,COLUMN()-29)),OFFSET(EA409,0,-MIN(60,COLUMN()-29),1,MIN(60,COLUMN()-29))),0)</f>
        <v>7.3860288</v>
      </c>
      <c r="EB410" s="237" t="n">
        <f aca="true">IFERROR(SUMPRODUCT(OFFSET($BJ$31,0,1-MIN(60,COLUMN()-29),1,MIN(60,COLUMN()-29)),OFFSET(EB409,0,-MIN(60,COLUMN()-29),1,MIN(60,COLUMN()-29))),0)</f>
        <v>7.9740032</v>
      </c>
      <c r="EC410" s="237" t="n">
        <f aca="true">IFERROR(SUMPRODUCT(OFFSET($BJ$31,0,1-MIN(60,COLUMN()-29),1,MIN(60,COLUMN()-29)),OFFSET(EC409,0,-MIN(60,COLUMN()-29),1,MIN(60,COLUMN()-29))),0)</f>
        <v>13.2161632</v>
      </c>
      <c r="ED410" s="237" t="n">
        <f aca="true">IFERROR(SUMPRODUCT(OFFSET($BJ$31,0,1-MIN(60,COLUMN()-29),1,MIN(60,COLUMN()-29)),OFFSET(ED409,0,-MIN(60,COLUMN()-29),1,MIN(60,COLUMN()-29))),0)</f>
        <v>13.7924752</v>
      </c>
      <c r="EE410" s="237" t="n">
        <f aca="true">IFERROR(SUMPRODUCT(OFFSET($BJ$31,0,1-MIN(60,COLUMN()-29),1,MIN(60,COLUMN()-29)),OFFSET(EE409,0,-MIN(60,COLUMN()-29),1,MIN(60,COLUMN()-29))),0)</f>
        <v>14.0510016</v>
      </c>
      <c r="EF410" s="237" t="n">
        <f aca="true">IFERROR(SUMPRODUCT(OFFSET($BJ$31,0,1-MIN(60,COLUMN()-29),1,MIN(60,COLUMN()-29)),OFFSET(EF409,0,-MIN(60,COLUMN()-29),1,MIN(60,COLUMN()-29))),0)</f>
        <v>13.3208288</v>
      </c>
      <c r="EG410" s="237" t="n">
        <f aca="true">IFERROR(SUMPRODUCT(OFFSET($BJ$31,0,1-MIN(60,COLUMN()-29),1,MIN(60,COLUMN()-29)),OFFSET(EG409,0,-MIN(60,COLUMN()-29),1,MIN(60,COLUMN()-29))),0)</f>
        <v>17.1758144</v>
      </c>
      <c r="EH410" s="237" t="n">
        <f aca="true">IFERROR(SUMPRODUCT(OFFSET($BJ$31,0,1-MIN(60,COLUMN()-29),1,MIN(60,COLUMN()-29)),OFFSET(EH409,0,-MIN(60,COLUMN()-29),1,MIN(60,COLUMN()-29))),0)</f>
        <v>19.2289296</v>
      </c>
      <c r="EI410" s="237" t="n">
        <f aca="true">IFERROR(SUMPRODUCT(OFFSET($BJ$31,0,1-MIN(60,COLUMN()-29),1,MIN(60,COLUMN()-29)),OFFSET(EI409,0,-MIN(60,COLUMN()-29),1,MIN(60,COLUMN()-29))),0)</f>
        <v>19.3381536</v>
      </c>
      <c r="EJ410" s="237" t="n">
        <f aca="true">IFERROR(SUMPRODUCT(OFFSET($BJ$31,0,1-MIN(60,COLUMN()-29),1,MIN(60,COLUMN()-29)),OFFSET(EJ409,0,-MIN(60,COLUMN()-29),1,MIN(60,COLUMN()-29))),0)</f>
        <v>26.4349904</v>
      </c>
      <c r="EK410" s="237" t="n">
        <f aca="true">IFERROR(SUMPRODUCT(OFFSET($BJ$31,0,1-MIN(60,COLUMN()-29),1,MIN(60,COLUMN()-29)),OFFSET(EK409,0,-MIN(60,COLUMN()-29),1,MIN(60,COLUMN()-29))),0)</f>
        <v>28.1014112</v>
      </c>
      <c r="EL410" s="237" t="n">
        <f aca="true">IFERROR(SUMPRODUCT(OFFSET($BJ$31,0,1-MIN(60,COLUMN()-29),1,MIN(60,COLUMN()-29)),OFFSET(EL409,0,-MIN(60,COLUMN()-29),1,MIN(60,COLUMN()-29))),0)</f>
        <v>27.306888</v>
      </c>
      <c r="EM410" s="237" t="n">
        <f aca="true">IFERROR(SUMPRODUCT(OFFSET($BJ$31,0,1-MIN(60,COLUMN()-29),1,MIN(60,COLUMN()-29)),OFFSET(EM409,0,-MIN(60,COLUMN()-29),1,MIN(60,COLUMN()-29))),0)</f>
        <v>29.3172608</v>
      </c>
      <c r="EN410" s="237" t="n">
        <f aca="true">IFERROR(SUMPRODUCT(OFFSET($BJ$31,0,1-MIN(60,COLUMN()-29),1,MIN(60,COLUMN()-29)),OFFSET(EN409,0,-MIN(60,COLUMN()-29),1,MIN(60,COLUMN()-29))),0)</f>
        <v>33.2778592</v>
      </c>
      <c r="EO410" s="237" t="n">
        <f aca="true">IFERROR(SUMPRODUCT(OFFSET($BJ$31,0,1-MIN(60,COLUMN()-29),1,MIN(60,COLUMN()-29)),OFFSET(EO409,0,-MIN(60,COLUMN()-29),1,MIN(60,COLUMN()-29))),0)</f>
        <v>48.07520408</v>
      </c>
      <c r="EP410" s="237" t="n">
        <f aca="true">IFERROR(SUMPRODUCT(OFFSET($BJ$31,0,1-MIN(60,COLUMN()-29),1,MIN(60,COLUMN()-29)),OFFSET(EP409,0,-MIN(60,COLUMN()-29),1,MIN(60,COLUMN()-29))),0)</f>
        <v>47.86676088</v>
      </c>
      <c r="EQ410" s="237" t="n">
        <f aca="true">IFERROR(SUMPRODUCT(OFFSET($BJ$31,0,1-MIN(60,COLUMN()-29),1,MIN(60,COLUMN()-29)),OFFSET(EQ409,0,-MIN(60,COLUMN()-29),1,MIN(60,COLUMN()-29))),0)</f>
        <v>46.914742</v>
      </c>
      <c r="ER410" s="237" t="n">
        <f aca="true">IFERROR(SUMPRODUCT(OFFSET($BJ$31,0,1-MIN(60,COLUMN()-29),1,MIN(60,COLUMN()-29)),OFFSET(ER409,0,-MIN(60,COLUMN()-29),1,MIN(60,COLUMN()-29))),0)</f>
        <v>44.04318976</v>
      </c>
      <c r="ES410" s="9" t="n">
        <f aca="true">IFERROR(SUMPRODUCT(OFFSET($BJ$31,0,1-MIN(60,COLUMN()-29),1,MIN(60,COLUMN()-29)),OFFSET(ES409,0,-MIN(60,COLUMN()-29),1,MIN(60,COLUMN()-29))),0)</f>
        <v>54.16653036</v>
      </c>
      <c r="ET410" s="9" t="n">
        <f aca="true">IFERROR(SUMPRODUCT(OFFSET($BJ$31,0,1-MIN(60,COLUMN()-29),1,MIN(60,COLUMN()-29)),OFFSET(ET409,0,-MIN(60,COLUMN()-29),1,MIN(60,COLUMN()-29))),0)</f>
        <v>58.44157844</v>
      </c>
      <c r="EU410" s="9" t="n">
        <f aca="true">IFERROR(SUMPRODUCT(OFFSET($BJ$31,0,1-MIN(60,COLUMN()-29),1,MIN(60,COLUMN()-29)),OFFSET(EU409,0,-MIN(60,COLUMN()-29),1,MIN(60,COLUMN()-29))),0)</f>
        <v>57.9629346</v>
      </c>
      <c r="EV410" s="9" t="n">
        <f aca="true">IFERROR(SUMPRODUCT(OFFSET($BJ$31,0,1-MIN(60,COLUMN()-29),1,MIN(60,COLUMN()-29)),OFFSET(EV409,0,-MIN(60,COLUMN()-29),1,MIN(60,COLUMN()-29))),0)</f>
        <v>68.89672468</v>
      </c>
      <c r="EW410" s="9" t="n">
        <f aca="true">IFERROR(SUMPRODUCT(OFFSET($BJ$31,0,1-MIN(60,COLUMN()-29),1,MIN(60,COLUMN()-29)),OFFSET(EW409,0,-MIN(60,COLUMN()-29),1,MIN(60,COLUMN()-29))),0)</f>
        <v>71.33519044</v>
      </c>
      <c r="EX410" s="9" t="n">
        <f aca="true">IFERROR(SUMPRODUCT(OFFSET($BJ$31,0,1-MIN(60,COLUMN()-29),1,MIN(60,COLUMN()-29)),OFFSET(EX409,0,-MIN(60,COLUMN()-29),1,MIN(60,COLUMN()-29))),0)</f>
        <v>72.22380612</v>
      </c>
      <c r="EY410" s="9" t="n">
        <f aca="true">IFERROR(SUMPRODUCT(OFFSET($BJ$31,0,1-MIN(60,COLUMN()-29),1,MIN(60,COLUMN()-29)),OFFSET(EY409,0,-MIN(60,COLUMN()-29),1,MIN(60,COLUMN()-29))),0)</f>
        <v>72.82193332</v>
      </c>
      <c r="EZ410" s="9" t="n">
        <f aca="true">IFERROR(SUMPRODUCT(OFFSET($BJ$31,0,1-MIN(60,COLUMN()-29),1,MIN(60,COLUMN()-29)),OFFSET(EZ409,0,-MIN(60,COLUMN()-29),1,MIN(60,COLUMN()-29))),0)</f>
        <v>79.23220404</v>
      </c>
      <c r="FA410" s="9" t="n">
        <f aca="true">IFERROR(SUMPRODUCT(OFFSET($BJ$31,0,1-MIN(60,COLUMN()-29),1,MIN(60,COLUMN()-29)),OFFSET(FA409,0,-MIN(60,COLUMN()-29),1,MIN(60,COLUMN()-29))),0)</f>
        <v>98.11095972</v>
      </c>
      <c r="FB410" s="9" t="n">
        <f aca="true">IFERROR(SUMPRODUCT(OFFSET($BJ$31,0,1-MIN(60,COLUMN()-29),1,MIN(60,COLUMN()-29)),OFFSET(FB409,0,-MIN(60,COLUMN()-29),1,MIN(60,COLUMN()-29))),0)</f>
        <v>97.66529028</v>
      </c>
      <c r="FC410" s="9" t="n">
        <f aca="true">IFERROR(SUMPRODUCT(OFFSET($BJ$31,0,1-MIN(60,COLUMN()-29),1,MIN(60,COLUMN()-29)),OFFSET(FC409,0,-MIN(60,COLUMN()-29),1,MIN(60,COLUMN()-29))),0)</f>
        <v>96.95886852</v>
      </c>
      <c r="FD410" s="9" t="n">
        <f aca="true">IFERROR(SUMPRODUCT(OFFSET($BJ$31,0,1-MIN(60,COLUMN()-29),1,MIN(60,COLUMN()-29)),OFFSET(FD409,0,-MIN(60,COLUMN()-29),1,MIN(60,COLUMN()-29))),0)</f>
        <v>94.20205476</v>
      </c>
      <c r="FE410" s="9" t="n">
        <f aca="true">IFERROR(SUMPRODUCT(OFFSET($BJ$31,0,1-MIN(60,COLUMN()-29),1,MIN(60,COLUMN()-29)),OFFSET(FE409,0,-MIN(60,COLUMN()-29),1,MIN(60,COLUMN()-29))),0)</f>
        <v>109.08679068</v>
      </c>
      <c r="FF410" s="9" t="n">
        <f aca="true">IFERROR(SUMPRODUCT(OFFSET($BJ$31,0,1-MIN(60,COLUMN()-29),1,MIN(60,COLUMN()-29)),OFFSET(FF409,0,-MIN(60,COLUMN()-29),1,MIN(60,COLUMN()-29))),0)</f>
        <v>114.91826892</v>
      </c>
      <c r="FG410" s="9" t="n">
        <f aca="true">IFERROR(SUMPRODUCT(OFFSET($BJ$31,0,1-MIN(60,COLUMN()-29),1,MIN(60,COLUMN()-29)),OFFSET(FG409,0,-MIN(60,COLUMN()-29),1,MIN(60,COLUMN()-29))),0)</f>
        <v>115.41768012</v>
      </c>
      <c r="FH410" s="9" t="n">
        <f aca="true">IFERROR(SUMPRODUCT(OFFSET($BJ$31,0,1-MIN(60,COLUMN()-29),1,MIN(60,COLUMN()-29)),OFFSET(FH409,0,-MIN(60,COLUMN()-29),1,MIN(60,COLUMN()-29))),0)</f>
        <v>129.1475454</v>
      </c>
      <c r="FI410" s="9" t="n">
        <f aca="true">IFERROR(SUMPRODUCT(OFFSET($BJ$31,0,1-MIN(60,COLUMN()-29),1,MIN(60,COLUMN()-29)),OFFSET(FI409,0,-MIN(60,COLUMN()-29),1,MIN(60,COLUMN()-29))),0)</f>
        <v>133.25638356</v>
      </c>
      <c r="FJ410" s="9" t="n">
        <f aca="true">IFERROR(SUMPRODUCT(OFFSET($BJ$31,0,1-MIN(60,COLUMN()-29),1,MIN(60,COLUMN()-29)),OFFSET(FJ409,0,-MIN(60,COLUMN()-29),1,MIN(60,COLUMN()-29))),0)</f>
        <v>134.76202308</v>
      </c>
      <c r="FK410" s="9" t="n">
        <f aca="true">IFERROR(SUMPRODUCT(OFFSET($BJ$31,0,1-MIN(60,COLUMN()-29),1,MIN(60,COLUMN()-29)),OFFSET(FK409,0,-MIN(60,COLUMN()-29),1,MIN(60,COLUMN()-29))),0)</f>
        <v>135.0759222</v>
      </c>
      <c r="FL410" s="9" t="n">
        <f aca="true">IFERROR(SUMPRODUCT(OFFSET($BJ$31,0,1-MIN(60,COLUMN()-29),1,MIN(60,COLUMN()-29)),OFFSET(FL409,0,-MIN(60,COLUMN()-29),1,MIN(60,COLUMN()-29))),0)</f>
        <v>143.73536076</v>
      </c>
      <c r="FM410" s="9" t="n">
        <f aca="true">IFERROR(SUMPRODUCT(OFFSET($BJ$31,0,1-MIN(60,COLUMN()-29),1,MIN(60,COLUMN()-29)),OFFSET(FM409,0,-MIN(60,COLUMN()-29),1,MIN(60,COLUMN()-29))),0)</f>
        <v>166.5463758</v>
      </c>
      <c r="FN410" s="9" t="n">
        <f aca="true">IFERROR(SUMPRODUCT(OFFSET($BJ$31,0,1-MIN(60,COLUMN()-29),1,MIN(60,COLUMN()-29)),OFFSET(FN409,0,-MIN(60,COLUMN()-29),1,MIN(60,COLUMN()-29))),0)</f>
        <v>166.97144364</v>
      </c>
      <c r="FO410" s="9" t="n">
        <f aca="true">IFERROR(SUMPRODUCT(OFFSET($BJ$31,0,1-MIN(60,COLUMN()-29),1,MIN(60,COLUMN()-29)),OFFSET(FO409,0,-MIN(60,COLUMN()-29),1,MIN(60,COLUMN()-29))),0)</f>
        <v>166.14880044</v>
      </c>
      <c r="FP410" s="9" t="n">
        <f aca="true">IFERROR(SUMPRODUCT(OFFSET($BJ$31,0,1-MIN(60,COLUMN()-29),1,MIN(60,COLUMN()-29)),OFFSET(FP409,0,-MIN(60,COLUMN()-29),1,MIN(60,COLUMN()-29))),0)</f>
        <v>162.99609852</v>
      </c>
    </row>
    <row r="411" customFormat="false" ht="15" hidden="false" customHeight="false" outlineLevel="2" collapsed="false">
      <c r="B411" s="47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237"/>
      <c r="AD411" s="237"/>
      <c r="AE411" s="237"/>
      <c r="AF411" s="237"/>
      <c r="AG411" s="237"/>
      <c r="AH411" s="237"/>
      <c r="AI411" s="237"/>
      <c r="AJ411" s="237"/>
      <c r="AK411" s="237"/>
      <c r="AL411" s="237"/>
      <c r="AM411" s="237"/>
      <c r="AN411" s="237"/>
      <c r="AO411" s="237"/>
      <c r="AP411" s="237"/>
      <c r="AQ411" s="237"/>
      <c r="AR411" s="237"/>
      <c r="AS411" s="237"/>
      <c r="AT411" s="237"/>
      <c r="AU411" s="237"/>
      <c r="AV411" s="237"/>
      <c r="AW411" s="237"/>
      <c r="AX411" s="237"/>
      <c r="AY411" s="237"/>
      <c r="AZ411" s="237"/>
      <c r="BA411" s="237"/>
      <c r="BB411" s="237"/>
      <c r="BC411" s="237"/>
      <c r="BD411" s="237"/>
      <c r="BE411" s="237"/>
      <c r="BF411" s="237"/>
      <c r="BG411" s="237"/>
      <c r="BH411" s="237"/>
      <c r="BI411" s="237"/>
      <c r="BJ411" s="237"/>
      <c r="BK411" s="237"/>
      <c r="BL411" s="237"/>
      <c r="BM411" s="237"/>
      <c r="BN411" s="237"/>
      <c r="BO411" s="237"/>
      <c r="BP411" s="237"/>
      <c r="BQ411" s="237"/>
      <c r="BR411" s="237"/>
      <c r="BS411" s="237"/>
      <c r="BT411" s="237"/>
      <c r="BU411" s="237"/>
      <c r="BV411" s="237"/>
      <c r="BW411" s="237"/>
      <c r="BX411" s="237"/>
      <c r="BY411" s="237"/>
      <c r="BZ411" s="237"/>
      <c r="CA411" s="237"/>
      <c r="CB411" s="237"/>
      <c r="CC411" s="237"/>
      <c r="CD411" s="237"/>
      <c r="CE411" s="237"/>
      <c r="CF411" s="237"/>
      <c r="CG411" s="237"/>
      <c r="CH411" s="237"/>
      <c r="CI411" s="237"/>
      <c r="CJ411" s="237"/>
      <c r="CK411" s="237"/>
      <c r="CL411" s="237"/>
      <c r="CM411" s="237"/>
      <c r="CN411" s="237"/>
      <c r="CO411" s="237"/>
      <c r="CP411" s="237"/>
      <c r="CQ411" s="237"/>
      <c r="CR411" s="237"/>
      <c r="CS411" s="237"/>
      <c r="CT411" s="237"/>
      <c r="CU411" s="237"/>
      <c r="CV411" s="237"/>
      <c r="CW411" s="237"/>
      <c r="CX411" s="237"/>
      <c r="CY411" s="237"/>
      <c r="CZ411" s="237"/>
      <c r="DA411" s="237"/>
      <c r="DB411" s="237"/>
      <c r="DC411" s="237"/>
      <c r="DD411" s="237"/>
      <c r="DE411" s="237"/>
      <c r="DF411" s="237"/>
      <c r="DG411" s="237"/>
      <c r="DH411" s="237"/>
      <c r="DI411" s="237"/>
      <c r="DJ411" s="237"/>
      <c r="DK411" s="237"/>
      <c r="DL411" s="237"/>
      <c r="DM411" s="237"/>
      <c r="DN411" s="237"/>
      <c r="DO411" s="237"/>
      <c r="DP411" s="237"/>
      <c r="DQ411" s="237"/>
      <c r="DR411" s="237"/>
      <c r="DS411" s="237"/>
      <c r="DT411" s="237"/>
      <c r="DU411" s="237"/>
      <c r="DV411" s="237"/>
      <c r="DW411" s="237"/>
      <c r="DX411" s="237"/>
      <c r="DY411" s="237"/>
      <c r="DZ411" s="237"/>
      <c r="EA411" s="237"/>
      <c r="EB411" s="237"/>
      <c r="EC411" s="237"/>
      <c r="ED411" s="237"/>
      <c r="EE411" s="237"/>
      <c r="EF411" s="237"/>
      <c r="EG411" s="237"/>
      <c r="EH411" s="237"/>
      <c r="EI411" s="237"/>
      <c r="EJ411" s="237"/>
      <c r="EK411" s="237"/>
      <c r="EL411" s="237"/>
      <c r="EM411" s="237"/>
      <c r="EN411" s="237"/>
      <c r="EO411" s="237"/>
      <c r="EP411" s="237"/>
      <c r="EQ411" s="237"/>
      <c r="ER411" s="237"/>
      <c r="ES411" s="9"/>
      <c r="ET411" s="9"/>
      <c r="EU411" s="9"/>
      <c r="EV411" s="9"/>
      <c r="EW411" s="9"/>
      <c r="EX411" s="9"/>
      <c r="EY411" s="9"/>
      <c r="EZ411" s="9"/>
      <c r="FA411" s="9"/>
      <c r="FB411" s="9"/>
      <c r="FC411" s="9"/>
      <c r="FD411" s="9"/>
      <c r="FE411" s="9"/>
      <c r="FF411" s="9"/>
      <c r="FG411" s="9"/>
      <c r="FH411" s="9"/>
      <c r="FI411" s="9"/>
      <c r="FJ411" s="9"/>
      <c r="FK411" s="9"/>
      <c r="FL411" s="9"/>
      <c r="FM411" s="9"/>
      <c r="FN411" s="9"/>
      <c r="FO411" s="9"/>
      <c r="FP411" s="9"/>
    </row>
    <row r="412" customFormat="false" ht="15" hidden="false" customHeight="false" outlineLevel="2" collapsed="false">
      <c r="B412" s="47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237"/>
      <c r="AD412" s="237"/>
      <c r="AE412" s="237"/>
      <c r="AF412" s="237"/>
      <c r="AG412" s="237"/>
      <c r="AH412" s="237"/>
      <c r="AI412" s="237"/>
      <c r="AJ412" s="237"/>
      <c r="AK412" s="237"/>
      <c r="AL412" s="237"/>
      <c r="AM412" s="237"/>
      <c r="AN412" s="237"/>
      <c r="AO412" s="237"/>
      <c r="AP412" s="237"/>
      <c r="AQ412" s="237"/>
      <c r="AR412" s="237"/>
      <c r="AS412" s="237"/>
      <c r="AT412" s="237"/>
      <c r="AU412" s="237"/>
      <c r="AV412" s="237"/>
      <c r="AW412" s="237"/>
      <c r="AX412" s="237"/>
      <c r="AY412" s="237"/>
      <c r="AZ412" s="237"/>
      <c r="BA412" s="237"/>
      <c r="BB412" s="237"/>
      <c r="BC412" s="237"/>
      <c r="BD412" s="237"/>
      <c r="BE412" s="237"/>
      <c r="BF412" s="237"/>
      <c r="BG412" s="237"/>
      <c r="BH412" s="237"/>
      <c r="BI412" s="237"/>
      <c r="BJ412" s="237"/>
      <c r="BK412" s="237"/>
      <c r="BL412" s="237"/>
      <c r="BM412" s="237"/>
      <c r="BN412" s="237"/>
      <c r="BO412" s="237"/>
      <c r="BP412" s="237"/>
      <c r="BQ412" s="237"/>
      <c r="BR412" s="237"/>
      <c r="BS412" s="237"/>
      <c r="BT412" s="237"/>
      <c r="BU412" s="237"/>
      <c r="BV412" s="237"/>
      <c r="BW412" s="237"/>
      <c r="BX412" s="237"/>
      <c r="BY412" s="237"/>
      <c r="BZ412" s="237"/>
      <c r="CA412" s="237"/>
      <c r="CB412" s="237"/>
      <c r="CC412" s="237"/>
      <c r="CD412" s="237"/>
      <c r="CE412" s="237"/>
      <c r="CF412" s="237"/>
      <c r="CG412" s="237"/>
      <c r="CH412" s="237"/>
      <c r="CI412" s="237"/>
      <c r="CJ412" s="237"/>
      <c r="CK412" s="237"/>
      <c r="CL412" s="237"/>
      <c r="CM412" s="237"/>
      <c r="CN412" s="237"/>
      <c r="CO412" s="237"/>
      <c r="CP412" s="237"/>
      <c r="CQ412" s="237"/>
      <c r="CR412" s="237"/>
      <c r="CS412" s="237"/>
      <c r="CT412" s="237"/>
      <c r="CU412" s="237"/>
      <c r="CV412" s="237"/>
      <c r="CW412" s="237"/>
      <c r="CX412" s="237"/>
      <c r="CY412" s="237"/>
      <c r="CZ412" s="237"/>
      <c r="DA412" s="237"/>
      <c r="DB412" s="237"/>
      <c r="DC412" s="237"/>
      <c r="DD412" s="237"/>
      <c r="DE412" s="237"/>
      <c r="DF412" s="237"/>
      <c r="DG412" s="237"/>
      <c r="DH412" s="237"/>
      <c r="DI412" s="237"/>
      <c r="DJ412" s="237"/>
      <c r="DK412" s="237"/>
      <c r="DL412" s="237"/>
      <c r="DM412" s="237"/>
      <c r="DN412" s="237"/>
      <c r="DO412" s="237"/>
      <c r="DP412" s="237"/>
      <c r="DQ412" s="237"/>
      <c r="DR412" s="237"/>
      <c r="DS412" s="237"/>
      <c r="DT412" s="237"/>
      <c r="DU412" s="237"/>
      <c r="DV412" s="237"/>
      <c r="DW412" s="237"/>
      <c r="DX412" s="237"/>
      <c r="DY412" s="237"/>
      <c r="DZ412" s="237"/>
      <c r="EA412" s="237"/>
      <c r="EB412" s="237"/>
      <c r="EC412" s="237"/>
      <c r="ED412" s="237"/>
      <c r="EE412" s="237"/>
      <c r="EF412" s="237"/>
      <c r="EG412" s="237"/>
      <c r="EH412" s="237"/>
      <c r="EI412" s="237"/>
      <c r="EJ412" s="237"/>
      <c r="EK412" s="237"/>
      <c r="EL412" s="237"/>
      <c r="EM412" s="237"/>
      <c r="EN412" s="237"/>
      <c r="EO412" s="237"/>
      <c r="EP412" s="237"/>
      <c r="EQ412" s="237"/>
      <c r="ER412" s="237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</row>
    <row r="413" customFormat="false" ht="15" hidden="false" customHeight="false" outlineLevel="2" collapsed="false">
      <c r="B413" s="47" t="s">
        <v>914</v>
      </c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237"/>
      <c r="AD413" s="237"/>
      <c r="AE413" s="237"/>
      <c r="AF413" s="237"/>
      <c r="AG413" s="237"/>
      <c r="AH413" s="237"/>
      <c r="AI413" s="237"/>
      <c r="AJ413" s="237"/>
      <c r="AK413" s="237"/>
      <c r="AL413" s="237"/>
      <c r="AM413" s="237"/>
      <c r="AN413" s="237"/>
      <c r="AO413" s="237"/>
      <c r="AP413" s="237"/>
      <c r="AQ413" s="237"/>
      <c r="AR413" s="237"/>
      <c r="AS413" s="237"/>
      <c r="AT413" s="237"/>
      <c r="AU413" s="237"/>
      <c r="AV413" s="237"/>
      <c r="AW413" s="237"/>
      <c r="AX413" s="237"/>
      <c r="AY413" s="237"/>
      <c r="AZ413" s="237"/>
      <c r="BA413" s="237"/>
      <c r="BB413" s="237"/>
      <c r="BC413" s="237"/>
      <c r="BD413" s="237"/>
      <c r="BE413" s="237"/>
      <c r="BF413" s="237"/>
      <c r="BG413" s="237"/>
      <c r="BH413" s="237"/>
      <c r="BI413" s="237"/>
      <c r="BJ413" s="237"/>
      <c r="BK413" s="237"/>
      <c r="BL413" s="237"/>
      <c r="BM413" s="237"/>
      <c r="BN413" s="237"/>
      <c r="BO413" s="237"/>
      <c r="BP413" s="237"/>
      <c r="BQ413" s="237"/>
      <c r="BR413" s="237"/>
      <c r="BS413" s="237"/>
      <c r="BT413" s="237"/>
      <c r="BU413" s="237"/>
      <c r="BV413" s="237"/>
      <c r="BW413" s="237"/>
      <c r="BX413" s="237"/>
      <c r="BY413" s="237"/>
      <c r="BZ413" s="237"/>
      <c r="CA413" s="237"/>
      <c r="CB413" s="237"/>
      <c r="CC413" s="237"/>
      <c r="CD413" s="237"/>
      <c r="CE413" s="237"/>
      <c r="CF413" s="237"/>
      <c r="CG413" s="237"/>
      <c r="CH413" s="237"/>
      <c r="CI413" s="237"/>
      <c r="CJ413" s="237"/>
      <c r="CK413" s="237"/>
      <c r="CL413" s="237"/>
      <c r="CM413" s="237"/>
      <c r="CN413" s="237"/>
      <c r="CO413" s="237"/>
      <c r="CP413" s="237"/>
      <c r="CQ413" s="237"/>
      <c r="CR413" s="237"/>
      <c r="CS413" s="237"/>
      <c r="CT413" s="237"/>
      <c r="CU413" s="237"/>
      <c r="CV413" s="237"/>
      <c r="CW413" s="237"/>
      <c r="CX413" s="237"/>
      <c r="CY413" s="237"/>
      <c r="CZ413" s="237"/>
      <c r="DA413" s="237"/>
      <c r="DB413" s="237"/>
      <c r="DC413" s="237"/>
      <c r="DD413" s="237"/>
      <c r="DE413" s="237"/>
      <c r="DF413" s="237"/>
      <c r="DG413" s="237"/>
      <c r="DH413" s="237"/>
      <c r="DI413" s="237"/>
      <c r="DJ413" s="237"/>
      <c r="DK413" s="237"/>
      <c r="DL413" s="237"/>
      <c r="DM413" s="237"/>
      <c r="DN413" s="237"/>
      <c r="DO413" s="237"/>
      <c r="DP413" s="237"/>
      <c r="DQ413" s="237"/>
      <c r="DR413" s="237"/>
      <c r="DS413" s="237"/>
      <c r="DT413" s="237"/>
      <c r="DU413" s="237"/>
      <c r="DV413" s="237"/>
      <c r="DW413" s="237"/>
      <c r="DX413" s="237"/>
      <c r="DY413" s="237"/>
      <c r="DZ413" s="237"/>
      <c r="EA413" s="237"/>
      <c r="EB413" s="237"/>
      <c r="EC413" s="237"/>
      <c r="ED413" s="237"/>
      <c r="EE413" s="237"/>
      <c r="EF413" s="237"/>
      <c r="EG413" s="237"/>
      <c r="EH413" s="237"/>
      <c r="EI413" s="237"/>
      <c r="EJ413" s="237"/>
      <c r="EK413" s="237"/>
      <c r="EL413" s="237"/>
      <c r="EM413" s="237"/>
      <c r="EN413" s="237"/>
      <c r="EO413" s="237"/>
      <c r="EP413" s="237"/>
      <c r="EQ413" s="237"/>
      <c r="ER413" s="237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  <c r="FJ413" s="9"/>
      <c r="FK413" s="9"/>
      <c r="FL413" s="9"/>
      <c r="FM413" s="9"/>
      <c r="FN413" s="9"/>
      <c r="FO413" s="9"/>
      <c r="FP413" s="9"/>
    </row>
    <row r="414" customFormat="false" ht="15" hidden="false" customHeight="false" outlineLevel="2" collapsed="false">
      <c r="B414" s="47" t="s">
        <v>872</v>
      </c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237" t="n">
        <f aca="false">('⑫ Roll-out Plan'!G46-2025)*12+'⑫ Roll-out Plan'!F46</f>
        <v>115</v>
      </c>
      <c r="AD414" s="237"/>
      <c r="AE414" s="237"/>
      <c r="AF414" s="237"/>
      <c r="AG414" s="237"/>
      <c r="AH414" s="237"/>
      <c r="AI414" s="237"/>
      <c r="AJ414" s="237"/>
      <c r="AK414" s="237"/>
      <c r="AL414" s="237"/>
      <c r="AM414" s="237"/>
      <c r="AN414" s="237"/>
      <c r="AO414" s="237"/>
      <c r="AP414" s="237"/>
      <c r="AQ414" s="237"/>
      <c r="AR414" s="237"/>
      <c r="AS414" s="237"/>
      <c r="AT414" s="237"/>
      <c r="AU414" s="237"/>
      <c r="AV414" s="237"/>
      <c r="AW414" s="237"/>
      <c r="AX414" s="237"/>
      <c r="AY414" s="237"/>
      <c r="AZ414" s="237"/>
      <c r="BA414" s="237"/>
      <c r="BB414" s="237"/>
      <c r="BC414" s="237"/>
      <c r="BD414" s="237"/>
      <c r="BE414" s="237"/>
      <c r="BF414" s="237"/>
      <c r="BG414" s="237"/>
      <c r="BH414" s="237"/>
      <c r="BI414" s="237"/>
      <c r="BJ414" s="237"/>
      <c r="BK414" s="237"/>
      <c r="BL414" s="237"/>
      <c r="BM414" s="237"/>
      <c r="BN414" s="237"/>
      <c r="BO414" s="237"/>
      <c r="BP414" s="237"/>
      <c r="BQ414" s="237"/>
      <c r="BR414" s="237"/>
      <c r="BS414" s="237"/>
      <c r="BT414" s="237"/>
      <c r="BU414" s="237"/>
      <c r="BV414" s="237"/>
      <c r="BW414" s="237"/>
      <c r="BX414" s="237"/>
      <c r="BY414" s="237"/>
      <c r="BZ414" s="237"/>
      <c r="CA414" s="237"/>
      <c r="CB414" s="237"/>
      <c r="CC414" s="237"/>
      <c r="CD414" s="237"/>
      <c r="CE414" s="237"/>
      <c r="CF414" s="237"/>
      <c r="CG414" s="237"/>
      <c r="CH414" s="237"/>
      <c r="CI414" s="237"/>
      <c r="CJ414" s="237"/>
      <c r="CK414" s="237"/>
      <c r="CL414" s="237"/>
      <c r="CM414" s="237"/>
      <c r="CN414" s="237"/>
      <c r="CO414" s="237"/>
      <c r="CP414" s="237"/>
      <c r="CQ414" s="237"/>
      <c r="CR414" s="237"/>
      <c r="CS414" s="237"/>
      <c r="CT414" s="237"/>
      <c r="CU414" s="237"/>
      <c r="CV414" s="237"/>
      <c r="CW414" s="237"/>
      <c r="CX414" s="237"/>
      <c r="CY414" s="237"/>
      <c r="CZ414" s="237"/>
      <c r="DA414" s="237"/>
      <c r="DB414" s="237"/>
      <c r="DC414" s="237"/>
      <c r="DD414" s="237"/>
      <c r="DE414" s="237"/>
      <c r="DF414" s="237"/>
      <c r="DG414" s="237"/>
      <c r="DH414" s="237"/>
      <c r="DI414" s="237"/>
      <c r="DJ414" s="237"/>
      <c r="DK414" s="237"/>
      <c r="DL414" s="237"/>
      <c r="DM414" s="237"/>
      <c r="DN414" s="237"/>
      <c r="DO414" s="237"/>
      <c r="DP414" s="237"/>
      <c r="DQ414" s="237"/>
      <c r="DR414" s="237"/>
      <c r="DS414" s="237"/>
      <c r="DT414" s="237"/>
      <c r="DU414" s="237"/>
      <c r="DV414" s="237"/>
      <c r="DW414" s="237"/>
      <c r="DX414" s="237"/>
      <c r="DY414" s="237"/>
      <c r="DZ414" s="237"/>
      <c r="EA414" s="237"/>
      <c r="EB414" s="237"/>
      <c r="EC414" s="237"/>
      <c r="ED414" s="237"/>
      <c r="EE414" s="237"/>
      <c r="EF414" s="237"/>
      <c r="EG414" s="237"/>
      <c r="EH414" s="237"/>
      <c r="EI414" s="237"/>
      <c r="EJ414" s="237"/>
      <c r="EK414" s="237"/>
      <c r="EL414" s="237"/>
      <c r="EM414" s="237"/>
      <c r="EN414" s="237"/>
      <c r="EO414" s="237"/>
      <c r="EP414" s="237"/>
      <c r="EQ414" s="237"/>
      <c r="ER414" s="237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</row>
    <row r="415" customFormat="false" ht="15" hidden="false" customHeight="false" outlineLevel="2" collapsed="false">
      <c r="B415" s="47" t="s">
        <v>873</v>
      </c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237" t="n">
        <f aca="false">VLOOKUP("B",$B$14:$C$18,2,FALSE())</f>
        <v>185</v>
      </c>
      <c r="AD415" s="237"/>
      <c r="AE415" s="237"/>
      <c r="AF415" s="237"/>
      <c r="AG415" s="237"/>
      <c r="AH415" s="237"/>
      <c r="AI415" s="237"/>
      <c r="AJ415" s="237"/>
      <c r="AK415" s="237"/>
      <c r="AL415" s="237"/>
      <c r="AM415" s="237"/>
      <c r="AN415" s="237"/>
      <c r="AO415" s="237"/>
      <c r="AP415" s="237"/>
      <c r="AQ415" s="237"/>
      <c r="AR415" s="237"/>
      <c r="AS415" s="237"/>
      <c r="AT415" s="237"/>
      <c r="AU415" s="237"/>
      <c r="AV415" s="237"/>
      <c r="AW415" s="237"/>
      <c r="AX415" s="237"/>
      <c r="AY415" s="237"/>
      <c r="AZ415" s="237"/>
      <c r="BA415" s="237"/>
      <c r="BB415" s="237"/>
      <c r="BC415" s="237"/>
      <c r="BD415" s="237"/>
      <c r="BE415" s="237"/>
      <c r="BF415" s="237"/>
      <c r="BG415" s="237"/>
      <c r="BH415" s="237"/>
      <c r="BI415" s="237"/>
      <c r="BJ415" s="237"/>
      <c r="BK415" s="237"/>
      <c r="BL415" s="237"/>
      <c r="BM415" s="237"/>
      <c r="BN415" s="237"/>
      <c r="BO415" s="237"/>
      <c r="BP415" s="237"/>
      <c r="BQ415" s="237"/>
      <c r="BR415" s="237"/>
      <c r="BS415" s="237"/>
      <c r="BT415" s="237"/>
      <c r="BU415" s="237"/>
      <c r="BV415" s="237"/>
      <c r="BW415" s="237"/>
      <c r="BX415" s="237"/>
      <c r="BY415" s="237"/>
      <c r="BZ415" s="237"/>
      <c r="CA415" s="237"/>
      <c r="CB415" s="237"/>
      <c r="CC415" s="237"/>
      <c r="CD415" s="237"/>
      <c r="CE415" s="237"/>
      <c r="CF415" s="237"/>
      <c r="CG415" s="237"/>
      <c r="CH415" s="237"/>
      <c r="CI415" s="237"/>
      <c r="CJ415" s="237"/>
      <c r="CK415" s="237"/>
      <c r="CL415" s="237"/>
      <c r="CM415" s="237"/>
      <c r="CN415" s="237"/>
      <c r="CO415" s="237"/>
      <c r="CP415" s="237"/>
      <c r="CQ415" s="237"/>
      <c r="CR415" s="237"/>
      <c r="CS415" s="237"/>
      <c r="CT415" s="237"/>
      <c r="CU415" s="237"/>
      <c r="CV415" s="237"/>
      <c r="CW415" s="237"/>
      <c r="CX415" s="237"/>
      <c r="CY415" s="237"/>
      <c r="CZ415" s="237"/>
      <c r="DA415" s="237"/>
      <c r="DB415" s="237"/>
      <c r="DC415" s="237"/>
      <c r="DD415" s="237"/>
      <c r="DE415" s="237"/>
      <c r="DF415" s="237"/>
      <c r="DG415" s="237"/>
      <c r="DH415" s="237"/>
      <c r="DI415" s="237"/>
      <c r="DJ415" s="237"/>
      <c r="DK415" s="237"/>
      <c r="DL415" s="237"/>
      <c r="DM415" s="237"/>
      <c r="DN415" s="237"/>
      <c r="DO415" s="237"/>
      <c r="DP415" s="237"/>
      <c r="DQ415" s="237"/>
      <c r="DR415" s="237"/>
      <c r="DS415" s="237"/>
      <c r="DT415" s="237"/>
      <c r="DU415" s="237"/>
      <c r="DV415" s="237"/>
      <c r="DW415" s="237"/>
      <c r="DX415" s="237"/>
      <c r="DY415" s="237"/>
      <c r="DZ415" s="237"/>
      <c r="EA415" s="237"/>
      <c r="EB415" s="237"/>
      <c r="EC415" s="237"/>
      <c r="ED415" s="237"/>
      <c r="EE415" s="237"/>
      <c r="EF415" s="237"/>
      <c r="EG415" s="237"/>
      <c r="EH415" s="237"/>
      <c r="EI415" s="237"/>
      <c r="EJ415" s="237"/>
      <c r="EK415" s="237"/>
      <c r="EL415" s="237"/>
      <c r="EM415" s="237"/>
      <c r="EN415" s="237"/>
      <c r="EO415" s="237"/>
      <c r="EP415" s="237"/>
      <c r="EQ415" s="237"/>
      <c r="ER415" s="237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</row>
    <row r="416" customFormat="false" ht="15" hidden="false" customHeight="false" outlineLevel="2" collapsed="false">
      <c r="B416" s="47" t="s">
        <v>799</v>
      </c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237" t="n">
        <f aca="false">IF(AC$35&gt;=$AC$414,AC$35-$AC$414+1,0)</f>
        <v>0</v>
      </c>
      <c r="AD416" s="237" t="n">
        <f aca="false">IF(AD$35&gt;=$AC$414,AD$35-$AC$414+1,0)</f>
        <v>0</v>
      </c>
      <c r="AE416" s="237" t="n">
        <f aca="false">IF(AE$35&gt;=$AC$414,AE$35-$AC$414+1,0)</f>
        <v>0</v>
      </c>
      <c r="AF416" s="237" t="n">
        <f aca="false">IF(AF$35&gt;=$AC$414,AF$35-$AC$414+1,0)</f>
        <v>0</v>
      </c>
      <c r="AG416" s="237" t="n">
        <f aca="false">IF(AG$35&gt;=$AC$414,AG$35-$AC$414+1,0)</f>
        <v>0</v>
      </c>
      <c r="AH416" s="237" t="n">
        <f aca="false">IF(AH$35&gt;=$AC$414,AH$35-$AC$414+1,0)</f>
        <v>0</v>
      </c>
      <c r="AI416" s="237" t="n">
        <f aca="false">IF(AI$35&gt;=$AC$414,AI$35-$AC$414+1,0)</f>
        <v>0</v>
      </c>
      <c r="AJ416" s="237" t="n">
        <f aca="false">IF(AJ$35&gt;=$AC$414,AJ$35-$AC$414+1,0)</f>
        <v>0</v>
      </c>
      <c r="AK416" s="237" t="n">
        <f aca="false">IF(AK$35&gt;=$AC$414,AK$35-$AC$414+1,0)</f>
        <v>0</v>
      </c>
      <c r="AL416" s="237" t="n">
        <f aca="false">IF(AL$35&gt;=$AC$414,AL$35-$AC$414+1,0)</f>
        <v>0</v>
      </c>
      <c r="AM416" s="237" t="n">
        <f aca="false">IF(AM$35&gt;=$AC$414,AM$35-$AC$414+1,0)</f>
        <v>0</v>
      </c>
      <c r="AN416" s="237" t="n">
        <f aca="false">IF(AN$35&gt;=$AC$414,AN$35-$AC$414+1,0)</f>
        <v>0</v>
      </c>
      <c r="AO416" s="237" t="n">
        <f aca="false">IF(AO$35&gt;=$AC$414,AO$35-$AC$414+1,0)</f>
        <v>0</v>
      </c>
      <c r="AP416" s="237" t="n">
        <f aca="false">IF(AP$35&gt;=$AC$414,AP$35-$AC$414+1,0)</f>
        <v>0</v>
      </c>
      <c r="AQ416" s="237" t="n">
        <f aca="false">IF(AQ$35&gt;=$AC$414,AQ$35-$AC$414+1,0)</f>
        <v>0</v>
      </c>
      <c r="AR416" s="237" t="n">
        <f aca="false">IF(AR$35&gt;=$AC$414,AR$35-$AC$414+1,0)</f>
        <v>0</v>
      </c>
      <c r="AS416" s="237" t="n">
        <f aca="false">IF(AS$35&gt;=$AC$414,AS$35-$AC$414+1,0)</f>
        <v>0</v>
      </c>
      <c r="AT416" s="237" t="n">
        <f aca="false">IF(AT$35&gt;=$AC$414,AT$35-$AC$414+1,0)</f>
        <v>0</v>
      </c>
      <c r="AU416" s="237" t="n">
        <f aca="false">IF(AU$35&gt;=$AC$414,AU$35-$AC$414+1,0)</f>
        <v>0</v>
      </c>
      <c r="AV416" s="237" t="n">
        <f aca="false">IF(AV$35&gt;=$AC$414,AV$35-$AC$414+1,0)</f>
        <v>0</v>
      </c>
      <c r="AW416" s="237" t="n">
        <f aca="false">IF(AW$35&gt;=$AC$414,AW$35-$AC$414+1,0)</f>
        <v>0</v>
      </c>
      <c r="AX416" s="237" t="n">
        <f aca="false">IF(AX$35&gt;=$AC$414,AX$35-$AC$414+1,0)</f>
        <v>0</v>
      </c>
      <c r="AY416" s="237" t="n">
        <f aca="false">IF(AY$35&gt;=$AC$414,AY$35-$AC$414+1,0)</f>
        <v>0</v>
      </c>
      <c r="AZ416" s="237" t="n">
        <f aca="false">IF(AZ$35&gt;=$AC$414,AZ$35-$AC$414+1,0)</f>
        <v>0</v>
      </c>
      <c r="BA416" s="237" t="n">
        <f aca="false">IF(BA$35&gt;=$AC$414,BA$35-$AC$414+1,0)</f>
        <v>0</v>
      </c>
      <c r="BB416" s="237" t="n">
        <f aca="false">IF(BB$35&gt;=$AC$414,BB$35-$AC$414+1,0)</f>
        <v>0</v>
      </c>
      <c r="BC416" s="237" t="n">
        <f aca="false">IF(BC$35&gt;=$AC$414,BC$35-$AC$414+1,0)</f>
        <v>0</v>
      </c>
      <c r="BD416" s="237" t="n">
        <f aca="false">IF(BD$35&gt;=$AC$414,BD$35-$AC$414+1,0)</f>
        <v>0</v>
      </c>
      <c r="BE416" s="237" t="n">
        <f aca="false">IF(BE$35&gt;=$AC$414,BE$35-$AC$414+1,0)</f>
        <v>0</v>
      </c>
      <c r="BF416" s="237" t="n">
        <f aca="false">IF(BF$35&gt;=$AC$414,BF$35-$AC$414+1,0)</f>
        <v>0</v>
      </c>
      <c r="BG416" s="237" t="n">
        <f aca="false">IF(BG$35&gt;=$AC$414,BG$35-$AC$414+1,0)</f>
        <v>0</v>
      </c>
      <c r="BH416" s="237" t="n">
        <f aca="false">IF(BH$35&gt;=$AC$414,BH$35-$AC$414+1,0)</f>
        <v>0</v>
      </c>
      <c r="BI416" s="237" t="n">
        <f aca="false">IF(BI$35&gt;=$AC$414,BI$35-$AC$414+1,0)</f>
        <v>0</v>
      </c>
      <c r="BJ416" s="237" t="n">
        <f aca="false">IF(BJ$35&gt;=$AC$414,BJ$35-$AC$414+1,0)</f>
        <v>0</v>
      </c>
      <c r="BK416" s="237" t="n">
        <f aca="false">IF(BK$35&gt;=$AC$414,BK$35-$AC$414+1,0)</f>
        <v>0</v>
      </c>
      <c r="BL416" s="237" t="n">
        <f aca="false">IF(BL$35&gt;=$AC$414,BL$35-$AC$414+1,0)</f>
        <v>0</v>
      </c>
      <c r="BM416" s="237" t="n">
        <f aca="false">IF(BM$35&gt;=$AC$414,BM$35-$AC$414+1,0)</f>
        <v>0</v>
      </c>
      <c r="BN416" s="237" t="n">
        <f aca="false">IF(BN$35&gt;=$AC$414,BN$35-$AC$414+1,0)</f>
        <v>0</v>
      </c>
      <c r="BO416" s="237" t="n">
        <f aca="false">IF(BO$35&gt;=$AC$414,BO$35-$AC$414+1,0)</f>
        <v>0</v>
      </c>
      <c r="BP416" s="237" t="n">
        <f aca="false">IF(BP$35&gt;=$AC$414,BP$35-$AC$414+1,0)</f>
        <v>0</v>
      </c>
      <c r="BQ416" s="237" t="n">
        <f aca="false">IF(BQ$35&gt;=$AC$414,BQ$35-$AC$414+1,0)</f>
        <v>0</v>
      </c>
      <c r="BR416" s="237" t="n">
        <f aca="false">IF(BR$35&gt;=$AC$414,BR$35-$AC$414+1,0)</f>
        <v>0</v>
      </c>
      <c r="BS416" s="237" t="n">
        <f aca="false">IF(BS$35&gt;=$AC$414,BS$35-$AC$414+1,0)</f>
        <v>0</v>
      </c>
      <c r="BT416" s="237" t="n">
        <f aca="false">IF(BT$35&gt;=$AC$414,BT$35-$AC$414+1,0)</f>
        <v>0</v>
      </c>
      <c r="BU416" s="237" t="n">
        <f aca="false">IF(BU$35&gt;=$AC$414,BU$35-$AC$414+1,0)</f>
        <v>0</v>
      </c>
      <c r="BV416" s="237" t="n">
        <f aca="false">IF(BV$35&gt;=$AC$414,BV$35-$AC$414+1,0)</f>
        <v>0</v>
      </c>
      <c r="BW416" s="237" t="n">
        <f aca="false">IF(BW$35&gt;=$AC$414,BW$35-$AC$414+1,0)</f>
        <v>0</v>
      </c>
      <c r="BX416" s="237" t="n">
        <f aca="false">IF(BX$35&gt;=$AC$414,BX$35-$AC$414+1,0)</f>
        <v>0</v>
      </c>
      <c r="BY416" s="237" t="n">
        <f aca="false">IF(BY$35&gt;=$AC$414,BY$35-$AC$414+1,0)</f>
        <v>0</v>
      </c>
      <c r="BZ416" s="237" t="n">
        <f aca="false">IF(BZ$35&gt;=$AC$414,BZ$35-$AC$414+1,0)</f>
        <v>0</v>
      </c>
      <c r="CA416" s="237" t="n">
        <f aca="false">IF(CA$35&gt;=$AC$414,CA$35-$AC$414+1,0)</f>
        <v>0</v>
      </c>
      <c r="CB416" s="237" t="n">
        <f aca="false">IF(CB$35&gt;=$AC$414,CB$35-$AC$414+1,0)</f>
        <v>0</v>
      </c>
      <c r="CC416" s="237" t="n">
        <f aca="false">IF(CC$35&gt;=$AC$414,CC$35-$AC$414+1,0)</f>
        <v>0</v>
      </c>
      <c r="CD416" s="237" t="n">
        <f aca="false">IF(CD$35&gt;=$AC$414,CD$35-$AC$414+1,0)</f>
        <v>0</v>
      </c>
      <c r="CE416" s="237" t="n">
        <f aca="false">IF(CE$35&gt;=$AC$414,CE$35-$AC$414+1,0)</f>
        <v>0</v>
      </c>
      <c r="CF416" s="237" t="n">
        <f aca="false">IF(CF$35&gt;=$AC$414,CF$35-$AC$414+1,0)</f>
        <v>0</v>
      </c>
      <c r="CG416" s="237" t="n">
        <f aca="false">IF(CG$35&gt;=$AC$414,CG$35-$AC$414+1,0)</f>
        <v>0</v>
      </c>
      <c r="CH416" s="237" t="n">
        <f aca="false">IF(CH$35&gt;=$AC$414,CH$35-$AC$414+1,0)</f>
        <v>0</v>
      </c>
      <c r="CI416" s="237" t="n">
        <f aca="false">IF(CI$35&gt;=$AC$414,CI$35-$AC$414+1,0)</f>
        <v>0</v>
      </c>
      <c r="CJ416" s="237" t="n">
        <f aca="false">IF(CJ$35&gt;=$AC$414,CJ$35-$AC$414+1,0)</f>
        <v>0</v>
      </c>
      <c r="CK416" s="237" t="n">
        <f aca="false">IF(CK$35&gt;=$AC$414,CK$35-$AC$414+1,0)</f>
        <v>0</v>
      </c>
      <c r="CL416" s="237" t="n">
        <f aca="false">IF(CL$35&gt;=$AC$414,CL$35-$AC$414+1,0)</f>
        <v>0</v>
      </c>
      <c r="CM416" s="237" t="n">
        <f aca="false">IF(CM$35&gt;=$AC$414,CM$35-$AC$414+1,0)</f>
        <v>0</v>
      </c>
      <c r="CN416" s="237" t="n">
        <f aca="false">IF(CN$35&gt;=$AC$414,CN$35-$AC$414+1,0)</f>
        <v>0</v>
      </c>
      <c r="CO416" s="237" t="n">
        <f aca="false">IF(CO$35&gt;=$AC$414,CO$35-$AC$414+1,0)</f>
        <v>0</v>
      </c>
      <c r="CP416" s="237" t="n">
        <f aca="false">IF(CP$35&gt;=$AC$414,CP$35-$AC$414+1,0)</f>
        <v>0</v>
      </c>
      <c r="CQ416" s="237" t="n">
        <f aca="false">IF(CQ$35&gt;=$AC$414,CQ$35-$AC$414+1,0)</f>
        <v>0</v>
      </c>
      <c r="CR416" s="237" t="n">
        <f aca="false">IF(CR$35&gt;=$AC$414,CR$35-$AC$414+1,0)</f>
        <v>0</v>
      </c>
      <c r="CS416" s="237" t="n">
        <f aca="false">IF(CS$35&gt;=$AC$414,CS$35-$AC$414+1,0)</f>
        <v>0</v>
      </c>
      <c r="CT416" s="237" t="n">
        <f aca="false">IF(CT$35&gt;=$AC$414,CT$35-$AC$414+1,0)</f>
        <v>0</v>
      </c>
      <c r="CU416" s="237" t="n">
        <f aca="false">IF(CU$35&gt;=$AC$414,CU$35-$AC$414+1,0)</f>
        <v>0</v>
      </c>
      <c r="CV416" s="237" t="n">
        <f aca="false">IF(CV$35&gt;=$AC$414,CV$35-$AC$414+1,0)</f>
        <v>0</v>
      </c>
      <c r="CW416" s="237" t="n">
        <f aca="false">IF(CW$35&gt;=$AC$414,CW$35-$AC$414+1,0)</f>
        <v>0</v>
      </c>
      <c r="CX416" s="237" t="n">
        <f aca="false">IF(CX$35&gt;=$AC$414,CX$35-$AC$414+1,0)</f>
        <v>0</v>
      </c>
      <c r="CY416" s="237" t="n">
        <f aca="false">IF(CY$35&gt;=$AC$414,CY$35-$AC$414+1,0)</f>
        <v>0</v>
      </c>
      <c r="CZ416" s="237" t="n">
        <f aca="false">IF(CZ$35&gt;=$AC$414,CZ$35-$AC$414+1,0)</f>
        <v>0</v>
      </c>
      <c r="DA416" s="237" t="n">
        <f aca="false">IF(DA$35&gt;=$AC$414,DA$35-$AC$414+1,0)</f>
        <v>0</v>
      </c>
      <c r="DB416" s="237" t="n">
        <f aca="false">IF(DB$35&gt;=$AC$414,DB$35-$AC$414+1,0)</f>
        <v>0</v>
      </c>
      <c r="DC416" s="237" t="n">
        <f aca="false">IF(DC$35&gt;=$AC$414,DC$35-$AC$414+1,0)</f>
        <v>0</v>
      </c>
      <c r="DD416" s="237" t="n">
        <f aca="false">IF(DD$35&gt;=$AC$414,DD$35-$AC$414+1,0)</f>
        <v>0</v>
      </c>
      <c r="DE416" s="237" t="n">
        <f aca="false">IF(DE$35&gt;=$AC$414,DE$35-$AC$414+1,0)</f>
        <v>0</v>
      </c>
      <c r="DF416" s="237" t="n">
        <f aca="false">IF(DF$35&gt;=$AC$414,DF$35-$AC$414+1,0)</f>
        <v>0</v>
      </c>
      <c r="DG416" s="237" t="n">
        <f aca="false">IF(DG$35&gt;=$AC$414,DG$35-$AC$414+1,0)</f>
        <v>0</v>
      </c>
      <c r="DH416" s="237" t="n">
        <f aca="false">IF(DH$35&gt;=$AC$414,DH$35-$AC$414+1,0)</f>
        <v>0</v>
      </c>
      <c r="DI416" s="237" t="n">
        <f aca="false">IF(DI$35&gt;=$AC$414,DI$35-$AC$414+1,0)</f>
        <v>0</v>
      </c>
      <c r="DJ416" s="237" t="n">
        <f aca="false">IF(DJ$35&gt;=$AC$414,DJ$35-$AC$414+1,0)</f>
        <v>0</v>
      </c>
      <c r="DK416" s="237" t="n">
        <f aca="false">IF(DK$35&gt;=$AC$414,DK$35-$AC$414+1,0)</f>
        <v>0</v>
      </c>
      <c r="DL416" s="237" t="n">
        <f aca="false">IF(DL$35&gt;=$AC$414,DL$35-$AC$414+1,0)</f>
        <v>0</v>
      </c>
      <c r="DM416" s="237" t="n">
        <f aca="false">IF(DM$35&gt;=$AC$414,DM$35-$AC$414+1,0)</f>
        <v>0</v>
      </c>
      <c r="DN416" s="237" t="n">
        <f aca="false">IF(DN$35&gt;=$AC$414,DN$35-$AC$414+1,0)</f>
        <v>0</v>
      </c>
      <c r="DO416" s="237" t="n">
        <f aca="false">IF(DO$35&gt;=$AC$414,DO$35-$AC$414+1,0)</f>
        <v>0</v>
      </c>
      <c r="DP416" s="237" t="n">
        <f aca="false">IF(DP$35&gt;=$AC$414,DP$35-$AC$414+1,0)</f>
        <v>0</v>
      </c>
      <c r="DQ416" s="237" t="n">
        <f aca="false">IF(DQ$35&gt;=$AC$414,DQ$35-$AC$414+1,0)</f>
        <v>0</v>
      </c>
      <c r="DR416" s="237" t="n">
        <f aca="false">IF(DR$35&gt;=$AC$414,DR$35-$AC$414+1,0)</f>
        <v>0</v>
      </c>
      <c r="DS416" s="237" t="n">
        <f aca="false">IF(DS$35&gt;=$AC$414,DS$35-$AC$414+1,0)</f>
        <v>0</v>
      </c>
      <c r="DT416" s="237" t="n">
        <f aca="false">IF(DT$35&gt;=$AC$414,DT$35-$AC$414+1,0)</f>
        <v>0</v>
      </c>
      <c r="DU416" s="237" t="n">
        <f aca="false">IF(DU$35&gt;=$AC$414,DU$35-$AC$414+1,0)</f>
        <v>0</v>
      </c>
      <c r="DV416" s="237" t="n">
        <f aca="false">IF(DV$35&gt;=$AC$414,DV$35-$AC$414+1,0)</f>
        <v>0</v>
      </c>
      <c r="DW416" s="237" t="n">
        <f aca="false">IF(DW$35&gt;=$AC$414,DW$35-$AC$414+1,0)</f>
        <v>0</v>
      </c>
      <c r="DX416" s="237" t="n">
        <f aca="false">IF(DX$35&gt;=$AC$414,DX$35-$AC$414+1,0)</f>
        <v>0</v>
      </c>
      <c r="DY416" s="237" t="n">
        <f aca="false">IF(DY$35&gt;=$AC$414,DY$35-$AC$414+1,0)</f>
        <v>0</v>
      </c>
      <c r="DZ416" s="237" t="n">
        <f aca="false">IF(DZ$35&gt;=$AC$414,DZ$35-$AC$414+1,0)</f>
        <v>0</v>
      </c>
      <c r="EA416" s="237" t="n">
        <f aca="false">IF(EA$35&gt;=$AC$414,EA$35-$AC$414+1,0)</f>
        <v>0</v>
      </c>
      <c r="EB416" s="237" t="n">
        <f aca="false">IF(EB$35&gt;=$AC$414,EB$35-$AC$414+1,0)</f>
        <v>0</v>
      </c>
      <c r="EC416" s="237" t="n">
        <f aca="false">IF(EC$35&gt;=$AC$414,EC$35-$AC$414+1,0)</f>
        <v>0</v>
      </c>
      <c r="ED416" s="237" t="n">
        <f aca="false">IF(ED$35&gt;=$AC$414,ED$35-$AC$414+1,0)</f>
        <v>0</v>
      </c>
      <c r="EE416" s="237" t="n">
        <f aca="false">IF(EE$35&gt;=$AC$414,EE$35-$AC$414+1,0)</f>
        <v>0</v>
      </c>
      <c r="EF416" s="237" t="n">
        <f aca="false">IF(EF$35&gt;=$AC$414,EF$35-$AC$414+1,0)</f>
        <v>0</v>
      </c>
      <c r="EG416" s="237" t="n">
        <f aca="false">IF(EG$35&gt;=$AC$414,EG$35-$AC$414+1,0)</f>
        <v>0</v>
      </c>
      <c r="EH416" s="237" t="n">
        <f aca="false">IF(EH$35&gt;=$AC$414,EH$35-$AC$414+1,0)</f>
        <v>0</v>
      </c>
      <c r="EI416" s="237" t="n">
        <f aca="false">IF(EI$35&gt;=$AC$414,EI$35-$AC$414+1,0)</f>
        <v>0</v>
      </c>
      <c r="EJ416" s="237" t="n">
        <f aca="false">IF(EJ$35&gt;=$AC$414,EJ$35-$AC$414+1,0)</f>
        <v>0</v>
      </c>
      <c r="EK416" s="237" t="n">
        <f aca="false">IF(EK$35&gt;=$AC$414,EK$35-$AC$414+1,0)</f>
        <v>0</v>
      </c>
      <c r="EL416" s="237" t="n">
        <f aca="false">IF(EL$35&gt;=$AC$414,EL$35-$AC$414+1,0)</f>
        <v>0</v>
      </c>
      <c r="EM416" s="237" t="n">
        <f aca="false">IF(EM$35&gt;=$AC$414,EM$35-$AC$414+1,0)</f>
        <v>1</v>
      </c>
      <c r="EN416" s="237" t="n">
        <f aca="false">IF(EN$35&gt;=$AC$414,EN$35-$AC$414+1,0)</f>
        <v>2</v>
      </c>
      <c r="EO416" s="237" t="n">
        <f aca="false">IF(EO$35&gt;=$AC$414,EO$35-$AC$414+1,0)</f>
        <v>3</v>
      </c>
      <c r="EP416" s="237" t="n">
        <f aca="false">IF(EP$35&gt;=$AC$414,EP$35-$AC$414+1,0)</f>
        <v>4</v>
      </c>
      <c r="EQ416" s="237" t="n">
        <f aca="false">IF(EQ$35&gt;=$AC$414,EQ$35-$AC$414+1,0)</f>
        <v>5</v>
      </c>
      <c r="ER416" s="237" t="n">
        <f aca="false">IF(ER$35&gt;=$AC$414,ER$35-$AC$414+1,0)</f>
        <v>6</v>
      </c>
      <c r="ES416" s="9" t="n">
        <f aca="false">IF(ES$35&gt;=$AC$414,ES$35-$AC$414+1,0)</f>
        <v>7</v>
      </c>
      <c r="ET416" s="9" t="n">
        <f aca="false">IF(ET$35&gt;=$AC$414,ET$35-$AC$414+1,0)</f>
        <v>8</v>
      </c>
      <c r="EU416" s="9" t="n">
        <f aca="false">IF(EU$35&gt;=$AC$414,EU$35-$AC$414+1,0)</f>
        <v>9</v>
      </c>
      <c r="EV416" s="9" t="n">
        <f aca="false">IF(EV$35&gt;=$AC$414,EV$35-$AC$414+1,0)</f>
        <v>10</v>
      </c>
      <c r="EW416" s="9" t="n">
        <f aca="false">IF(EW$35&gt;=$AC$414,EW$35-$AC$414+1,0)</f>
        <v>11</v>
      </c>
      <c r="EX416" s="9" t="n">
        <f aca="false">IF(EX$35&gt;=$AC$414,EX$35-$AC$414+1,0)</f>
        <v>12</v>
      </c>
      <c r="EY416" s="9" t="n">
        <f aca="false">IF(EY$35&gt;=$AC$414,EY$35-$AC$414+1,0)</f>
        <v>13</v>
      </c>
      <c r="EZ416" s="9" t="n">
        <f aca="false">IF(EZ$35&gt;=$AC$414,EZ$35-$AC$414+1,0)</f>
        <v>14</v>
      </c>
      <c r="FA416" s="9" t="n">
        <f aca="false">IF(FA$35&gt;=$AC$414,FA$35-$AC$414+1,0)</f>
        <v>15</v>
      </c>
      <c r="FB416" s="9" t="n">
        <f aca="false">IF(FB$35&gt;=$AC$414,FB$35-$AC$414+1,0)</f>
        <v>16</v>
      </c>
      <c r="FC416" s="9" t="n">
        <f aca="false">IF(FC$35&gt;=$AC$414,FC$35-$AC$414+1,0)</f>
        <v>17</v>
      </c>
      <c r="FD416" s="9" t="n">
        <f aca="false">IF(FD$35&gt;=$AC$414,FD$35-$AC$414+1,0)</f>
        <v>18</v>
      </c>
      <c r="FE416" s="9" t="n">
        <f aca="false">IF(FE$35&gt;=$AC$414,FE$35-$AC$414+1,0)</f>
        <v>19</v>
      </c>
      <c r="FF416" s="9" t="n">
        <f aca="false">IF(FF$35&gt;=$AC$414,FF$35-$AC$414+1,0)</f>
        <v>20</v>
      </c>
      <c r="FG416" s="9" t="n">
        <f aca="false">IF(FG$35&gt;=$AC$414,FG$35-$AC$414+1,0)</f>
        <v>21</v>
      </c>
      <c r="FH416" s="9" t="n">
        <f aca="false">IF(FH$35&gt;=$AC$414,FH$35-$AC$414+1,0)</f>
        <v>22</v>
      </c>
      <c r="FI416" s="9" t="n">
        <f aca="false">IF(FI$35&gt;=$AC$414,FI$35-$AC$414+1,0)</f>
        <v>23</v>
      </c>
      <c r="FJ416" s="9" t="n">
        <f aca="false">IF(FJ$35&gt;=$AC$414,FJ$35-$AC$414+1,0)</f>
        <v>24</v>
      </c>
      <c r="FK416" s="9" t="n">
        <f aca="false">IF(FK$35&gt;=$AC$414,FK$35-$AC$414+1,0)</f>
        <v>25</v>
      </c>
      <c r="FL416" s="9" t="n">
        <f aca="false">IF(FL$35&gt;=$AC$414,FL$35-$AC$414+1,0)</f>
        <v>26</v>
      </c>
      <c r="FM416" s="9" t="n">
        <f aca="false">IF(FM$35&gt;=$AC$414,FM$35-$AC$414+1,0)</f>
        <v>27</v>
      </c>
      <c r="FN416" s="9" t="n">
        <f aca="false">IF(FN$35&gt;=$AC$414,FN$35-$AC$414+1,0)</f>
        <v>28</v>
      </c>
      <c r="FO416" s="9" t="n">
        <f aca="false">IF(FO$35&gt;=$AC$414,FO$35-$AC$414+1,0)</f>
        <v>29</v>
      </c>
      <c r="FP416" s="9" t="n">
        <f aca="false">IF(FP$35&gt;=$AC$414,FP$35-$AC$414+1,0)</f>
        <v>30</v>
      </c>
    </row>
    <row r="417" customFormat="false" ht="15" hidden="false" customHeight="false" outlineLevel="2" collapsed="false">
      <c r="B417" s="47" t="s">
        <v>874</v>
      </c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237" t="n">
        <f aca="false" t="array" ref="AC417:AC417">IF(AC416=0,0,IF(AC416/'🎚️ Escenario'!$C$11&gt;=36,$AL$23,INDEX($C$23:$AL$23,MAX(1,ROUNDUP(AC416/'🎚️ Escenario'!$C$11,0)))))</f>
        <v>0</v>
      </c>
      <c r="AD417" s="237" t="n">
        <f aca="false" t="array" ref="AD417:AD417">IF(AD416=0,0,IF(AD416/'🎚️ Escenario'!$C$11&gt;=36,$AL$23,INDEX($C$23:$AL$23,MAX(1,ROUNDUP(AD416/'🎚️ Escenario'!$C$11,0)))))</f>
        <v>0</v>
      </c>
      <c r="AE417" s="237" t="n">
        <f aca="false" t="array" ref="AE417:AE417">IF(AE416=0,0,IF(AE416/'🎚️ Escenario'!$C$11&gt;=36,$AL$23,INDEX($C$23:$AL$23,MAX(1,ROUNDUP(AE416/'🎚️ Escenario'!$C$11,0)))))</f>
        <v>0</v>
      </c>
      <c r="AF417" s="237" t="n">
        <f aca="false" t="array" ref="AF417:AF417">IF(AF416=0,0,IF(AF416/'🎚️ Escenario'!$C$11&gt;=36,$AL$23,INDEX($C$23:$AL$23,MAX(1,ROUNDUP(AF416/'🎚️ Escenario'!$C$11,0)))))</f>
        <v>0</v>
      </c>
      <c r="AG417" s="237" t="n">
        <f aca="false" t="array" ref="AG417:AG417">IF(AG416=0,0,IF(AG416/'🎚️ Escenario'!$C$11&gt;=36,$AL$23,INDEX($C$23:$AL$23,MAX(1,ROUNDUP(AG416/'🎚️ Escenario'!$C$11,0)))))</f>
        <v>0</v>
      </c>
      <c r="AH417" s="237" t="n">
        <f aca="false" t="array" ref="AH417:AH417">IF(AH416=0,0,IF(AH416/'🎚️ Escenario'!$C$11&gt;=36,$AL$23,INDEX($C$23:$AL$23,MAX(1,ROUNDUP(AH416/'🎚️ Escenario'!$C$11,0)))))</f>
        <v>0</v>
      </c>
      <c r="AI417" s="237" t="n">
        <f aca="false" t="array" ref="AI417:AI417">IF(AI416=0,0,IF(AI416/'🎚️ Escenario'!$C$11&gt;=36,$AL$23,INDEX($C$23:$AL$23,MAX(1,ROUNDUP(AI416/'🎚️ Escenario'!$C$11,0)))))</f>
        <v>0</v>
      </c>
      <c r="AJ417" s="237" t="n">
        <f aca="false" t="array" ref="AJ417:AJ417">IF(AJ416=0,0,IF(AJ416/'🎚️ Escenario'!$C$11&gt;=36,$AL$23,INDEX($C$23:$AL$23,MAX(1,ROUNDUP(AJ416/'🎚️ Escenario'!$C$11,0)))))</f>
        <v>0</v>
      </c>
      <c r="AK417" s="237" t="n">
        <f aca="false" t="array" ref="AK417:AK417">IF(AK416=0,0,IF(AK416/'🎚️ Escenario'!$C$11&gt;=36,$AL$23,INDEX($C$23:$AL$23,MAX(1,ROUNDUP(AK416/'🎚️ Escenario'!$C$11,0)))))</f>
        <v>0</v>
      </c>
      <c r="AL417" s="237" t="n">
        <f aca="false" t="array" ref="AL417:AL417">IF(AL416=0,0,IF(AL416/'🎚️ Escenario'!$C$11&gt;=36,$AL$23,INDEX($C$23:$AL$23,MAX(1,ROUNDUP(AL416/'🎚️ Escenario'!$C$11,0)))))</f>
        <v>0</v>
      </c>
      <c r="AM417" s="237" t="n">
        <f aca="false" t="array" ref="AM417:AM417">IF(AM416=0,0,IF(AM416/'🎚️ Escenario'!$C$11&gt;=36,$AL$23,INDEX($C$23:$AL$23,MAX(1,ROUNDUP(AM416/'🎚️ Escenario'!$C$11,0)))))</f>
        <v>0</v>
      </c>
      <c r="AN417" s="237" t="n">
        <f aca="false" t="array" ref="AN417:AN417">IF(AN416=0,0,IF(AN416/'🎚️ Escenario'!$C$11&gt;=36,$AL$23,INDEX($C$23:$AL$23,MAX(1,ROUNDUP(AN416/'🎚️ Escenario'!$C$11,0)))))</f>
        <v>0</v>
      </c>
      <c r="AO417" s="237" t="n">
        <f aca="false" t="array" ref="AO417:AO417">IF(AO416=0,0,IF(AO416/'🎚️ Escenario'!$C$11&gt;=36,$AL$23,INDEX($C$23:$AL$23,MAX(1,ROUNDUP(AO416/'🎚️ Escenario'!$C$11,0)))))</f>
        <v>0</v>
      </c>
      <c r="AP417" s="237" t="n">
        <f aca="false" t="array" ref="AP417:AP417">IF(AP416=0,0,IF(AP416/'🎚️ Escenario'!$C$11&gt;=36,$AL$23,INDEX($C$23:$AL$23,MAX(1,ROUNDUP(AP416/'🎚️ Escenario'!$C$11,0)))))</f>
        <v>0</v>
      </c>
      <c r="AQ417" s="237" t="n">
        <f aca="false" t="array" ref="AQ417:AQ417">IF(AQ416=0,0,IF(AQ416/'🎚️ Escenario'!$C$11&gt;=36,$AL$23,INDEX($C$23:$AL$23,MAX(1,ROUNDUP(AQ416/'🎚️ Escenario'!$C$11,0)))))</f>
        <v>0</v>
      </c>
      <c r="AR417" s="237" t="n">
        <f aca="false" t="array" ref="AR417:AR417">IF(AR416=0,0,IF(AR416/'🎚️ Escenario'!$C$11&gt;=36,$AL$23,INDEX($C$23:$AL$23,MAX(1,ROUNDUP(AR416/'🎚️ Escenario'!$C$11,0)))))</f>
        <v>0</v>
      </c>
      <c r="AS417" s="237" t="n">
        <f aca="false" t="array" ref="AS417:AS417">IF(AS416=0,0,IF(AS416/'🎚️ Escenario'!$C$11&gt;=36,$AL$23,INDEX($C$23:$AL$23,MAX(1,ROUNDUP(AS416/'🎚️ Escenario'!$C$11,0)))))</f>
        <v>0</v>
      </c>
      <c r="AT417" s="237" t="n">
        <f aca="false" t="array" ref="AT417:AT417">IF(AT416=0,0,IF(AT416/'🎚️ Escenario'!$C$11&gt;=36,$AL$23,INDEX($C$23:$AL$23,MAX(1,ROUNDUP(AT416/'🎚️ Escenario'!$C$11,0)))))</f>
        <v>0</v>
      </c>
      <c r="AU417" s="237" t="n">
        <f aca="false" t="array" ref="AU417:AU417">IF(AU416=0,0,IF(AU416/'🎚️ Escenario'!$C$11&gt;=36,$AL$23,INDEX($C$23:$AL$23,MAX(1,ROUNDUP(AU416/'🎚️ Escenario'!$C$11,0)))))</f>
        <v>0</v>
      </c>
      <c r="AV417" s="237" t="n">
        <f aca="false" t="array" ref="AV417:AV417">IF(AV416=0,0,IF(AV416/'🎚️ Escenario'!$C$11&gt;=36,$AL$23,INDEX($C$23:$AL$23,MAX(1,ROUNDUP(AV416/'🎚️ Escenario'!$C$11,0)))))</f>
        <v>0</v>
      </c>
      <c r="AW417" s="237" t="n">
        <f aca="false" t="array" ref="AW417:AW417">IF(AW416=0,0,IF(AW416/'🎚️ Escenario'!$C$11&gt;=36,$AL$23,INDEX($C$23:$AL$23,MAX(1,ROUNDUP(AW416/'🎚️ Escenario'!$C$11,0)))))</f>
        <v>0</v>
      </c>
      <c r="AX417" s="237" t="n">
        <f aca="false" t="array" ref="AX417:AX417">IF(AX416=0,0,IF(AX416/'🎚️ Escenario'!$C$11&gt;=36,$AL$23,INDEX($C$23:$AL$23,MAX(1,ROUNDUP(AX416/'🎚️ Escenario'!$C$11,0)))))</f>
        <v>0</v>
      </c>
      <c r="AY417" s="237" t="n">
        <f aca="false" t="array" ref="AY417:AY417">IF(AY416=0,0,IF(AY416/'🎚️ Escenario'!$C$11&gt;=36,$AL$23,INDEX($C$23:$AL$23,MAX(1,ROUNDUP(AY416/'🎚️ Escenario'!$C$11,0)))))</f>
        <v>0</v>
      </c>
      <c r="AZ417" s="237" t="n">
        <f aca="false" t="array" ref="AZ417:AZ417">IF(AZ416=0,0,IF(AZ416/'🎚️ Escenario'!$C$11&gt;=36,$AL$23,INDEX($C$23:$AL$23,MAX(1,ROUNDUP(AZ416/'🎚️ Escenario'!$C$11,0)))))</f>
        <v>0</v>
      </c>
      <c r="BA417" s="237" t="n">
        <f aca="false" t="array" ref="BA417:BA417">IF(BA416=0,0,IF(BA416/'🎚️ Escenario'!$C$11&gt;=36,$AL$23,INDEX($C$23:$AL$23,MAX(1,ROUNDUP(BA416/'🎚️ Escenario'!$C$11,0)))))</f>
        <v>0</v>
      </c>
      <c r="BB417" s="237" t="n">
        <f aca="false" t="array" ref="BB417:BB417">IF(BB416=0,0,IF(BB416/'🎚️ Escenario'!$C$11&gt;=36,$AL$23,INDEX($C$23:$AL$23,MAX(1,ROUNDUP(BB416/'🎚️ Escenario'!$C$11,0)))))</f>
        <v>0</v>
      </c>
      <c r="BC417" s="237" t="n">
        <f aca="false" t="array" ref="BC417:BC417">IF(BC416=0,0,IF(BC416/'🎚️ Escenario'!$C$11&gt;=36,$AL$23,INDEX($C$23:$AL$23,MAX(1,ROUNDUP(BC416/'🎚️ Escenario'!$C$11,0)))))</f>
        <v>0</v>
      </c>
      <c r="BD417" s="237" t="n">
        <f aca="false" t="array" ref="BD417:BD417">IF(BD416=0,0,IF(BD416/'🎚️ Escenario'!$C$11&gt;=36,$AL$23,INDEX($C$23:$AL$23,MAX(1,ROUNDUP(BD416/'🎚️ Escenario'!$C$11,0)))))</f>
        <v>0</v>
      </c>
      <c r="BE417" s="237" t="n">
        <f aca="false" t="array" ref="BE417:BE417">IF(BE416=0,0,IF(BE416/'🎚️ Escenario'!$C$11&gt;=36,$AL$23,INDEX($C$23:$AL$23,MAX(1,ROUNDUP(BE416/'🎚️ Escenario'!$C$11,0)))))</f>
        <v>0</v>
      </c>
      <c r="BF417" s="237" t="n">
        <f aca="false" t="array" ref="BF417:BF417">IF(BF416=0,0,IF(BF416/'🎚️ Escenario'!$C$11&gt;=36,$AL$23,INDEX($C$23:$AL$23,MAX(1,ROUNDUP(BF416/'🎚️ Escenario'!$C$11,0)))))</f>
        <v>0</v>
      </c>
      <c r="BG417" s="237" t="n">
        <f aca="false" t="array" ref="BG417:BG417">IF(BG416=0,0,IF(BG416/'🎚️ Escenario'!$C$11&gt;=36,$AL$23,INDEX($C$23:$AL$23,MAX(1,ROUNDUP(BG416/'🎚️ Escenario'!$C$11,0)))))</f>
        <v>0</v>
      </c>
      <c r="BH417" s="237" t="n">
        <f aca="false" t="array" ref="BH417:BH417">IF(BH416=0,0,IF(BH416/'🎚️ Escenario'!$C$11&gt;=36,$AL$23,INDEX($C$23:$AL$23,MAX(1,ROUNDUP(BH416/'🎚️ Escenario'!$C$11,0)))))</f>
        <v>0</v>
      </c>
      <c r="BI417" s="237" t="n">
        <f aca="false" t="array" ref="BI417:BI417">IF(BI416=0,0,IF(BI416/'🎚️ Escenario'!$C$11&gt;=36,$AL$23,INDEX($C$23:$AL$23,MAX(1,ROUNDUP(BI416/'🎚️ Escenario'!$C$11,0)))))</f>
        <v>0</v>
      </c>
      <c r="BJ417" s="237" t="n">
        <f aca="false" t="array" ref="BJ417:BJ417">IF(BJ416=0,0,IF(BJ416/'🎚️ Escenario'!$C$11&gt;=36,$AL$23,INDEX($C$23:$AL$23,MAX(1,ROUNDUP(BJ416/'🎚️ Escenario'!$C$11,0)))))</f>
        <v>0</v>
      </c>
      <c r="BK417" s="237" t="n">
        <f aca="false" t="array" ref="BK417:BK417">IF(BK416=0,0,IF(BK416/'🎚️ Escenario'!$C$11&gt;=36,$AL$23,INDEX($C$23:$AL$23,MAX(1,ROUNDUP(BK416/'🎚️ Escenario'!$C$11,0)))))</f>
        <v>0</v>
      </c>
      <c r="BL417" s="237" t="n">
        <f aca="false" t="array" ref="BL417:BL417">IF(BL416=0,0,IF(BL416/'🎚️ Escenario'!$C$11&gt;=36,$AL$23,INDEX($C$23:$AL$23,MAX(1,ROUNDUP(BL416/'🎚️ Escenario'!$C$11,0)))))</f>
        <v>0</v>
      </c>
      <c r="BM417" s="237" t="n">
        <f aca="false" t="array" ref="BM417:BM417">IF(BM416=0,0,IF(BM416/'🎚️ Escenario'!$C$11&gt;=36,$AL$23,INDEX($C$23:$AL$23,MAX(1,ROUNDUP(BM416/'🎚️ Escenario'!$C$11,0)))))</f>
        <v>0</v>
      </c>
      <c r="BN417" s="237" t="n">
        <f aca="false" t="array" ref="BN417:BN417">IF(BN416=0,0,IF(BN416/'🎚️ Escenario'!$C$11&gt;=36,$AL$23,INDEX($C$23:$AL$23,MAX(1,ROUNDUP(BN416/'🎚️ Escenario'!$C$11,0)))))</f>
        <v>0</v>
      </c>
      <c r="BO417" s="237" t="n">
        <f aca="false" t="array" ref="BO417:BO417">IF(BO416=0,0,IF(BO416/'🎚️ Escenario'!$C$11&gt;=36,$AL$23,INDEX($C$23:$AL$23,MAX(1,ROUNDUP(BO416/'🎚️ Escenario'!$C$11,0)))))</f>
        <v>0</v>
      </c>
      <c r="BP417" s="237" t="n">
        <f aca="false" t="array" ref="BP417:BP417">IF(BP416=0,0,IF(BP416/'🎚️ Escenario'!$C$11&gt;=36,$AL$23,INDEX($C$23:$AL$23,MAX(1,ROUNDUP(BP416/'🎚️ Escenario'!$C$11,0)))))</f>
        <v>0</v>
      </c>
      <c r="BQ417" s="237" t="n">
        <f aca="false" t="array" ref="BQ417:BQ417">IF(BQ416=0,0,IF(BQ416/'🎚️ Escenario'!$C$11&gt;=36,$AL$23,INDEX($C$23:$AL$23,MAX(1,ROUNDUP(BQ416/'🎚️ Escenario'!$C$11,0)))))</f>
        <v>0</v>
      </c>
      <c r="BR417" s="237" t="n">
        <f aca="false" t="array" ref="BR417:BR417">IF(BR416=0,0,IF(BR416/'🎚️ Escenario'!$C$11&gt;=36,$AL$23,INDEX($C$23:$AL$23,MAX(1,ROUNDUP(BR416/'🎚️ Escenario'!$C$11,0)))))</f>
        <v>0</v>
      </c>
      <c r="BS417" s="237" t="n">
        <f aca="false" t="array" ref="BS417:BS417">IF(BS416=0,0,IF(BS416/'🎚️ Escenario'!$C$11&gt;=36,$AL$23,INDEX($C$23:$AL$23,MAX(1,ROUNDUP(BS416/'🎚️ Escenario'!$C$11,0)))))</f>
        <v>0</v>
      </c>
      <c r="BT417" s="237" t="n">
        <f aca="false" t="array" ref="BT417:BT417">IF(BT416=0,0,IF(BT416/'🎚️ Escenario'!$C$11&gt;=36,$AL$23,INDEX($C$23:$AL$23,MAX(1,ROUNDUP(BT416/'🎚️ Escenario'!$C$11,0)))))</f>
        <v>0</v>
      </c>
      <c r="BU417" s="237" t="n">
        <f aca="false" t="array" ref="BU417:BU417">IF(BU416=0,0,IF(BU416/'🎚️ Escenario'!$C$11&gt;=36,$AL$23,INDEX($C$23:$AL$23,MAX(1,ROUNDUP(BU416/'🎚️ Escenario'!$C$11,0)))))</f>
        <v>0</v>
      </c>
      <c r="BV417" s="237" t="n">
        <f aca="false" t="array" ref="BV417:BV417">IF(BV416=0,0,IF(BV416/'🎚️ Escenario'!$C$11&gt;=36,$AL$23,INDEX($C$23:$AL$23,MAX(1,ROUNDUP(BV416/'🎚️ Escenario'!$C$11,0)))))</f>
        <v>0</v>
      </c>
      <c r="BW417" s="237" t="n">
        <f aca="false" t="array" ref="BW417:BW417">IF(BW416=0,0,IF(BW416/'🎚️ Escenario'!$C$11&gt;=36,$AL$23,INDEX($C$23:$AL$23,MAX(1,ROUNDUP(BW416/'🎚️ Escenario'!$C$11,0)))))</f>
        <v>0</v>
      </c>
      <c r="BX417" s="237" t="n">
        <f aca="false" t="array" ref="BX417:BX417">IF(BX416=0,0,IF(BX416/'🎚️ Escenario'!$C$11&gt;=36,$AL$23,INDEX($C$23:$AL$23,MAX(1,ROUNDUP(BX416/'🎚️ Escenario'!$C$11,0)))))</f>
        <v>0</v>
      </c>
      <c r="BY417" s="237" t="n">
        <f aca="false" t="array" ref="BY417:BY417">IF(BY416=0,0,IF(BY416/'🎚️ Escenario'!$C$11&gt;=36,$AL$23,INDEX($C$23:$AL$23,MAX(1,ROUNDUP(BY416/'🎚️ Escenario'!$C$11,0)))))</f>
        <v>0</v>
      </c>
      <c r="BZ417" s="237" t="n">
        <f aca="false" t="array" ref="BZ417:BZ417">IF(BZ416=0,0,IF(BZ416/'🎚️ Escenario'!$C$11&gt;=36,$AL$23,INDEX($C$23:$AL$23,MAX(1,ROUNDUP(BZ416/'🎚️ Escenario'!$C$11,0)))))</f>
        <v>0</v>
      </c>
      <c r="CA417" s="237" t="n">
        <f aca="false" t="array" ref="CA417:CA417">IF(CA416=0,0,IF(CA416/'🎚️ Escenario'!$C$11&gt;=36,$AL$23,INDEX($C$23:$AL$23,MAX(1,ROUNDUP(CA416/'🎚️ Escenario'!$C$11,0)))))</f>
        <v>0</v>
      </c>
      <c r="CB417" s="237" t="n">
        <f aca="false" t="array" ref="CB417:CB417">IF(CB416=0,0,IF(CB416/'🎚️ Escenario'!$C$11&gt;=36,$AL$23,INDEX($C$23:$AL$23,MAX(1,ROUNDUP(CB416/'🎚️ Escenario'!$C$11,0)))))</f>
        <v>0</v>
      </c>
      <c r="CC417" s="237" t="n">
        <f aca="false" t="array" ref="CC417:CC417">IF(CC416=0,0,IF(CC416/'🎚️ Escenario'!$C$11&gt;=36,$AL$23,INDEX($C$23:$AL$23,MAX(1,ROUNDUP(CC416/'🎚️ Escenario'!$C$11,0)))))</f>
        <v>0</v>
      </c>
      <c r="CD417" s="237" t="n">
        <f aca="false" t="array" ref="CD417:CD417">IF(CD416=0,0,IF(CD416/'🎚️ Escenario'!$C$11&gt;=36,$AL$23,INDEX($C$23:$AL$23,MAX(1,ROUNDUP(CD416/'🎚️ Escenario'!$C$11,0)))))</f>
        <v>0</v>
      </c>
      <c r="CE417" s="237" t="n">
        <f aca="false" t="array" ref="CE417:CE417">IF(CE416=0,0,IF(CE416/'🎚️ Escenario'!$C$11&gt;=36,$AL$23,INDEX($C$23:$AL$23,MAX(1,ROUNDUP(CE416/'🎚️ Escenario'!$C$11,0)))))</f>
        <v>0</v>
      </c>
      <c r="CF417" s="237" t="n">
        <f aca="false" t="array" ref="CF417:CF417">IF(CF416=0,0,IF(CF416/'🎚️ Escenario'!$C$11&gt;=36,$AL$23,INDEX($C$23:$AL$23,MAX(1,ROUNDUP(CF416/'🎚️ Escenario'!$C$11,0)))))</f>
        <v>0</v>
      </c>
      <c r="CG417" s="237" t="n">
        <f aca="false" t="array" ref="CG417:CG417">IF(CG416=0,0,IF(CG416/'🎚️ Escenario'!$C$11&gt;=36,$AL$23,INDEX($C$23:$AL$23,MAX(1,ROUNDUP(CG416/'🎚️ Escenario'!$C$11,0)))))</f>
        <v>0</v>
      </c>
      <c r="CH417" s="237" t="n">
        <f aca="false" t="array" ref="CH417:CH417">IF(CH416=0,0,IF(CH416/'🎚️ Escenario'!$C$11&gt;=36,$AL$23,INDEX($C$23:$AL$23,MAX(1,ROUNDUP(CH416/'🎚️ Escenario'!$C$11,0)))))</f>
        <v>0</v>
      </c>
      <c r="CI417" s="237" t="n">
        <f aca="false" t="array" ref="CI417:CI417">IF(CI416=0,0,IF(CI416/'🎚️ Escenario'!$C$11&gt;=36,$AL$23,INDEX($C$23:$AL$23,MAX(1,ROUNDUP(CI416/'🎚️ Escenario'!$C$11,0)))))</f>
        <v>0</v>
      </c>
      <c r="CJ417" s="237" t="n">
        <f aca="false" t="array" ref="CJ417:CJ417">IF(CJ416=0,0,IF(CJ416/'🎚️ Escenario'!$C$11&gt;=36,$AL$23,INDEX($C$23:$AL$23,MAX(1,ROUNDUP(CJ416/'🎚️ Escenario'!$C$11,0)))))</f>
        <v>0</v>
      </c>
      <c r="CK417" s="237" t="n">
        <f aca="false" t="array" ref="CK417:CK417">IF(CK416=0,0,IF(CK416/'🎚️ Escenario'!$C$11&gt;=36,$AL$23,INDEX($C$23:$AL$23,MAX(1,ROUNDUP(CK416/'🎚️ Escenario'!$C$11,0)))))</f>
        <v>0</v>
      </c>
      <c r="CL417" s="237" t="n">
        <f aca="false" t="array" ref="CL417:CL417">IF(CL416=0,0,IF(CL416/'🎚️ Escenario'!$C$11&gt;=36,$AL$23,INDEX($C$23:$AL$23,MAX(1,ROUNDUP(CL416/'🎚️ Escenario'!$C$11,0)))))</f>
        <v>0</v>
      </c>
      <c r="CM417" s="237" t="n">
        <f aca="false" t="array" ref="CM417:CM417">IF(CM416=0,0,IF(CM416/'🎚️ Escenario'!$C$11&gt;=36,$AL$23,INDEX($C$23:$AL$23,MAX(1,ROUNDUP(CM416/'🎚️ Escenario'!$C$11,0)))))</f>
        <v>0</v>
      </c>
      <c r="CN417" s="237" t="n">
        <f aca="false" t="array" ref="CN417:CN417">IF(CN416=0,0,IF(CN416/'🎚️ Escenario'!$C$11&gt;=36,$AL$23,INDEX($C$23:$AL$23,MAX(1,ROUNDUP(CN416/'🎚️ Escenario'!$C$11,0)))))</f>
        <v>0</v>
      </c>
      <c r="CO417" s="237" t="n">
        <f aca="false" t="array" ref="CO417:CO417">IF(CO416=0,0,IF(CO416/'🎚️ Escenario'!$C$11&gt;=36,$AL$23,INDEX($C$23:$AL$23,MAX(1,ROUNDUP(CO416/'🎚️ Escenario'!$C$11,0)))))</f>
        <v>0</v>
      </c>
      <c r="CP417" s="237" t="n">
        <f aca="false" t="array" ref="CP417:CP417">IF(CP416=0,0,IF(CP416/'🎚️ Escenario'!$C$11&gt;=36,$AL$23,INDEX($C$23:$AL$23,MAX(1,ROUNDUP(CP416/'🎚️ Escenario'!$C$11,0)))))</f>
        <v>0</v>
      </c>
      <c r="CQ417" s="237" t="n">
        <f aca="false" t="array" ref="CQ417:CQ417">IF(CQ416=0,0,IF(CQ416/'🎚️ Escenario'!$C$11&gt;=36,$AL$23,INDEX($C$23:$AL$23,MAX(1,ROUNDUP(CQ416/'🎚️ Escenario'!$C$11,0)))))</f>
        <v>0</v>
      </c>
      <c r="CR417" s="237" t="n">
        <f aca="false" t="array" ref="CR417:CR417">IF(CR416=0,0,IF(CR416/'🎚️ Escenario'!$C$11&gt;=36,$AL$23,INDEX($C$23:$AL$23,MAX(1,ROUNDUP(CR416/'🎚️ Escenario'!$C$11,0)))))</f>
        <v>0</v>
      </c>
      <c r="CS417" s="237" t="n">
        <f aca="false" t="array" ref="CS417:CS417">IF(CS416=0,0,IF(CS416/'🎚️ Escenario'!$C$11&gt;=36,$AL$23,INDEX($C$23:$AL$23,MAX(1,ROUNDUP(CS416/'🎚️ Escenario'!$C$11,0)))))</f>
        <v>0</v>
      </c>
      <c r="CT417" s="237" t="n">
        <f aca="false" t="array" ref="CT417:CT417">IF(CT416=0,0,IF(CT416/'🎚️ Escenario'!$C$11&gt;=36,$AL$23,INDEX($C$23:$AL$23,MAX(1,ROUNDUP(CT416/'🎚️ Escenario'!$C$11,0)))))</f>
        <v>0</v>
      </c>
      <c r="CU417" s="237" t="n">
        <f aca="false" t="array" ref="CU417:CU417">IF(CU416=0,0,IF(CU416/'🎚️ Escenario'!$C$11&gt;=36,$AL$23,INDEX($C$23:$AL$23,MAX(1,ROUNDUP(CU416/'🎚️ Escenario'!$C$11,0)))))</f>
        <v>0</v>
      </c>
      <c r="CV417" s="237" t="n">
        <f aca="false" t="array" ref="CV417:CV417">IF(CV416=0,0,IF(CV416/'🎚️ Escenario'!$C$11&gt;=36,$AL$23,INDEX($C$23:$AL$23,MAX(1,ROUNDUP(CV416/'🎚️ Escenario'!$C$11,0)))))</f>
        <v>0</v>
      </c>
      <c r="CW417" s="237" t="n">
        <f aca="false" t="array" ref="CW417:CW417">IF(CW416=0,0,IF(CW416/'🎚️ Escenario'!$C$11&gt;=36,$AL$23,INDEX($C$23:$AL$23,MAX(1,ROUNDUP(CW416/'🎚️ Escenario'!$C$11,0)))))</f>
        <v>0</v>
      </c>
      <c r="CX417" s="237" t="n">
        <f aca="false" t="array" ref="CX417:CX417">IF(CX416=0,0,IF(CX416/'🎚️ Escenario'!$C$11&gt;=36,$AL$23,INDEX($C$23:$AL$23,MAX(1,ROUNDUP(CX416/'🎚️ Escenario'!$C$11,0)))))</f>
        <v>0</v>
      </c>
      <c r="CY417" s="237" t="n">
        <f aca="false" t="array" ref="CY417:CY417">IF(CY416=0,0,IF(CY416/'🎚️ Escenario'!$C$11&gt;=36,$AL$23,INDEX($C$23:$AL$23,MAX(1,ROUNDUP(CY416/'🎚️ Escenario'!$C$11,0)))))</f>
        <v>0</v>
      </c>
      <c r="CZ417" s="237" t="n">
        <f aca="false" t="array" ref="CZ417:CZ417">IF(CZ416=0,0,IF(CZ416/'🎚️ Escenario'!$C$11&gt;=36,$AL$23,INDEX($C$23:$AL$23,MAX(1,ROUNDUP(CZ416/'🎚️ Escenario'!$C$11,0)))))</f>
        <v>0</v>
      </c>
      <c r="DA417" s="237" t="n">
        <f aca="false" t="array" ref="DA417:DA417">IF(DA416=0,0,IF(DA416/'🎚️ Escenario'!$C$11&gt;=36,$AL$23,INDEX($C$23:$AL$23,MAX(1,ROUNDUP(DA416/'🎚️ Escenario'!$C$11,0)))))</f>
        <v>0</v>
      </c>
      <c r="DB417" s="237" t="n">
        <f aca="false" t="array" ref="DB417:DB417">IF(DB416=0,0,IF(DB416/'🎚️ Escenario'!$C$11&gt;=36,$AL$23,INDEX($C$23:$AL$23,MAX(1,ROUNDUP(DB416/'🎚️ Escenario'!$C$11,0)))))</f>
        <v>0</v>
      </c>
      <c r="DC417" s="237" t="n">
        <f aca="false" t="array" ref="DC417:DC417">IF(DC416=0,0,IF(DC416/'🎚️ Escenario'!$C$11&gt;=36,$AL$23,INDEX($C$23:$AL$23,MAX(1,ROUNDUP(DC416/'🎚️ Escenario'!$C$11,0)))))</f>
        <v>0</v>
      </c>
      <c r="DD417" s="237" t="n">
        <f aca="false" t="array" ref="DD417:DD417">IF(DD416=0,0,IF(DD416/'🎚️ Escenario'!$C$11&gt;=36,$AL$23,INDEX($C$23:$AL$23,MAX(1,ROUNDUP(DD416/'🎚️ Escenario'!$C$11,0)))))</f>
        <v>0</v>
      </c>
      <c r="DE417" s="237" t="n">
        <f aca="false" t="array" ref="DE417:DE417">IF(DE416=0,0,IF(DE416/'🎚️ Escenario'!$C$11&gt;=36,$AL$23,INDEX($C$23:$AL$23,MAX(1,ROUNDUP(DE416/'🎚️ Escenario'!$C$11,0)))))</f>
        <v>0</v>
      </c>
      <c r="DF417" s="237" t="n">
        <f aca="false" t="array" ref="DF417:DF417">IF(DF416=0,0,IF(DF416/'🎚️ Escenario'!$C$11&gt;=36,$AL$23,INDEX($C$23:$AL$23,MAX(1,ROUNDUP(DF416/'🎚️ Escenario'!$C$11,0)))))</f>
        <v>0</v>
      </c>
      <c r="DG417" s="237" t="n">
        <f aca="false" t="array" ref="DG417:DG417">IF(DG416=0,0,IF(DG416/'🎚️ Escenario'!$C$11&gt;=36,$AL$23,INDEX($C$23:$AL$23,MAX(1,ROUNDUP(DG416/'🎚️ Escenario'!$C$11,0)))))</f>
        <v>0</v>
      </c>
      <c r="DH417" s="237" t="n">
        <f aca="false" t="array" ref="DH417:DH417">IF(DH416=0,0,IF(DH416/'🎚️ Escenario'!$C$11&gt;=36,$AL$23,INDEX($C$23:$AL$23,MAX(1,ROUNDUP(DH416/'🎚️ Escenario'!$C$11,0)))))</f>
        <v>0</v>
      </c>
      <c r="DI417" s="237" t="n">
        <f aca="false" t="array" ref="DI417:DI417">IF(DI416=0,0,IF(DI416/'🎚️ Escenario'!$C$11&gt;=36,$AL$23,INDEX($C$23:$AL$23,MAX(1,ROUNDUP(DI416/'🎚️ Escenario'!$C$11,0)))))</f>
        <v>0</v>
      </c>
      <c r="DJ417" s="237" t="n">
        <f aca="false" t="array" ref="DJ417:DJ417">IF(DJ416=0,0,IF(DJ416/'🎚️ Escenario'!$C$11&gt;=36,$AL$23,INDEX($C$23:$AL$23,MAX(1,ROUNDUP(DJ416/'🎚️ Escenario'!$C$11,0)))))</f>
        <v>0</v>
      </c>
      <c r="DK417" s="237" t="n">
        <f aca="false" t="array" ref="DK417:DK417">IF(DK416=0,0,IF(DK416/'🎚️ Escenario'!$C$11&gt;=36,$AL$23,INDEX($C$23:$AL$23,MAX(1,ROUNDUP(DK416/'🎚️ Escenario'!$C$11,0)))))</f>
        <v>0</v>
      </c>
      <c r="DL417" s="237" t="n">
        <f aca="false" t="array" ref="DL417:DL417">IF(DL416=0,0,IF(DL416/'🎚️ Escenario'!$C$11&gt;=36,$AL$23,INDEX($C$23:$AL$23,MAX(1,ROUNDUP(DL416/'🎚️ Escenario'!$C$11,0)))))</f>
        <v>0</v>
      </c>
      <c r="DM417" s="237" t="n">
        <f aca="false" t="array" ref="DM417:DM417">IF(DM416=0,0,IF(DM416/'🎚️ Escenario'!$C$11&gt;=36,$AL$23,INDEX($C$23:$AL$23,MAX(1,ROUNDUP(DM416/'🎚️ Escenario'!$C$11,0)))))</f>
        <v>0</v>
      </c>
      <c r="DN417" s="237" t="n">
        <f aca="false" t="array" ref="DN417:DN417">IF(DN416=0,0,IF(DN416/'🎚️ Escenario'!$C$11&gt;=36,$AL$23,INDEX($C$23:$AL$23,MAX(1,ROUNDUP(DN416/'🎚️ Escenario'!$C$11,0)))))</f>
        <v>0</v>
      </c>
      <c r="DO417" s="237" t="n">
        <f aca="false" t="array" ref="DO417:DO417">IF(DO416=0,0,IF(DO416/'🎚️ Escenario'!$C$11&gt;=36,$AL$23,INDEX($C$23:$AL$23,MAX(1,ROUNDUP(DO416/'🎚️ Escenario'!$C$11,0)))))</f>
        <v>0</v>
      </c>
      <c r="DP417" s="237" t="n">
        <f aca="false" t="array" ref="DP417:DP417">IF(DP416=0,0,IF(DP416/'🎚️ Escenario'!$C$11&gt;=36,$AL$23,INDEX($C$23:$AL$23,MAX(1,ROUNDUP(DP416/'🎚️ Escenario'!$C$11,0)))))</f>
        <v>0</v>
      </c>
      <c r="DQ417" s="237" t="n">
        <f aca="false" t="array" ref="DQ417:DQ417">IF(DQ416=0,0,IF(DQ416/'🎚️ Escenario'!$C$11&gt;=36,$AL$23,INDEX($C$23:$AL$23,MAX(1,ROUNDUP(DQ416/'🎚️ Escenario'!$C$11,0)))))</f>
        <v>0</v>
      </c>
      <c r="DR417" s="237" t="n">
        <f aca="false" t="array" ref="DR417:DR417">IF(DR416=0,0,IF(DR416/'🎚️ Escenario'!$C$11&gt;=36,$AL$23,INDEX($C$23:$AL$23,MAX(1,ROUNDUP(DR416/'🎚️ Escenario'!$C$11,0)))))</f>
        <v>0</v>
      </c>
      <c r="DS417" s="237" t="n">
        <f aca="false" t="array" ref="DS417:DS417">IF(DS416=0,0,IF(DS416/'🎚️ Escenario'!$C$11&gt;=36,$AL$23,INDEX($C$23:$AL$23,MAX(1,ROUNDUP(DS416/'🎚️ Escenario'!$C$11,0)))))</f>
        <v>0</v>
      </c>
      <c r="DT417" s="237" t="n">
        <f aca="false" t="array" ref="DT417:DT417">IF(DT416=0,0,IF(DT416/'🎚️ Escenario'!$C$11&gt;=36,$AL$23,INDEX($C$23:$AL$23,MAX(1,ROUNDUP(DT416/'🎚️ Escenario'!$C$11,0)))))</f>
        <v>0</v>
      </c>
      <c r="DU417" s="237" t="n">
        <f aca="false" t="array" ref="DU417:DU417">IF(DU416=0,0,IF(DU416/'🎚️ Escenario'!$C$11&gt;=36,$AL$23,INDEX($C$23:$AL$23,MAX(1,ROUNDUP(DU416/'🎚️ Escenario'!$C$11,0)))))</f>
        <v>0</v>
      </c>
      <c r="DV417" s="237" t="n">
        <f aca="false" t="array" ref="DV417:DV417">IF(DV416=0,0,IF(DV416/'🎚️ Escenario'!$C$11&gt;=36,$AL$23,INDEX($C$23:$AL$23,MAX(1,ROUNDUP(DV416/'🎚️ Escenario'!$C$11,0)))))</f>
        <v>0</v>
      </c>
      <c r="DW417" s="237" t="n">
        <f aca="false" t="array" ref="DW417:DW417">IF(DW416=0,0,IF(DW416/'🎚️ Escenario'!$C$11&gt;=36,$AL$23,INDEX($C$23:$AL$23,MAX(1,ROUNDUP(DW416/'🎚️ Escenario'!$C$11,0)))))</f>
        <v>0</v>
      </c>
      <c r="DX417" s="237" t="n">
        <f aca="false" t="array" ref="DX417:DX417">IF(DX416=0,0,IF(DX416/'🎚️ Escenario'!$C$11&gt;=36,$AL$23,INDEX($C$23:$AL$23,MAX(1,ROUNDUP(DX416/'🎚️ Escenario'!$C$11,0)))))</f>
        <v>0</v>
      </c>
      <c r="DY417" s="237" t="n">
        <f aca="false" t="array" ref="DY417:DY417">IF(DY416=0,0,IF(DY416/'🎚️ Escenario'!$C$11&gt;=36,$AL$23,INDEX($C$23:$AL$23,MAX(1,ROUNDUP(DY416/'🎚️ Escenario'!$C$11,0)))))</f>
        <v>0</v>
      </c>
      <c r="DZ417" s="237" t="n">
        <f aca="false" t="array" ref="DZ417:DZ417">IF(DZ416=0,0,IF(DZ416/'🎚️ Escenario'!$C$11&gt;=36,$AL$23,INDEX($C$23:$AL$23,MAX(1,ROUNDUP(DZ416/'🎚️ Escenario'!$C$11,0)))))</f>
        <v>0</v>
      </c>
      <c r="EA417" s="237" t="n">
        <f aca="false" t="array" ref="EA417:EA417">IF(EA416=0,0,IF(EA416/'🎚️ Escenario'!$C$11&gt;=36,$AL$23,INDEX($C$23:$AL$23,MAX(1,ROUNDUP(EA416/'🎚️ Escenario'!$C$11,0)))))</f>
        <v>0</v>
      </c>
      <c r="EB417" s="237" t="n">
        <f aca="false" t="array" ref="EB417:EB417">IF(EB416=0,0,IF(EB416/'🎚️ Escenario'!$C$11&gt;=36,$AL$23,INDEX($C$23:$AL$23,MAX(1,ROUNDUP(EB416/'🎚️ Escenario'!$C$11,0)))))</f>
        <v>0</v>
      </c>
      <c r="EC417" s="237" t="n">
        <f aca="false" t="array" ref="EC417:EC417">IF(EC416=0,0,IF(EC416/'🎚️ Escenario'!$C$11&gt;=36,$AL$23,INDEX($C$23:$AL$23,MAX(1,ROUNDUP(EC416/'🎚️ Escenario'!$C$11,0)))))</f>
        <v>0</v>
      </c>
      <c r="ED417" s="237" t="n">
        <f aca="false" t="array" ref="ED417:ED417">IF(ED416=0,0,IF(ED416/'🎚️ Escenario'!$C$11&gt;=36,$AL$23,INDEX($C$23:$AL$23,MAX(1,ROUNDUP(ED416/'🎚️ Escenario'!$C$11,0)))))</f>
        <v>0</v>
      </c>
      <c r="EE417" s="237" t="n">
        <f aca="false" t="array" ref="EE417:EE417">IF(EE416=0,0,IF(EE416/'🎚️ Escenario'!$C$11&gt;=36,$AL$23,INDEX($C$23:$AL$23,MAX(1,ROUNDUP(EE416/'🎚️ Escenario'!$C$11,0)))))</f>
        <v>0</v>
      </c>
      <c r="EF417" s="237" t="n">
        <f aca="false" t="array" ref="EF417:EF417">IF(EF416=0,0,IF(EF416/'🎚️ Escenario'!$C$11&gt;=36,$AL$23,INDEX($C$23:$AL$23,MAX(1,ROUNDUP(EF416/'🎚️ Escenario'!$C$11,0)))))</f>
        <v>0</v>
      </c>
      <c r="EG417" s="237" t="n">
        <f aca="false" t="array" ref="EG417:EG417">IF(EG416=0,0,IF(EG416/'🎚️ Escenario'!$C$11&gt;=36,$AL$23,INDEX($C$23:$AL$23,MAX(1,ROUNDUP(EG416/'🎚️ Escenario'!$C$11,0)))))</f>
        <v>0</v>
      </c>
      <c r="EH417" s="237" t="n">
        <f aca="false" t="array" ref="EH417:EH417">IF(EH416=0,0,IF(EH416/'🎚️ Escenario'!$C$11&gt;=36,$AL$23,INDEX($C$23:$AL$23,MAX(1,ROUNDUP(EH416/'🎚️ Escenario'!$C$11,0)))))</f>
        <v>0</v>
      </c>
      <c r="EI417" s="237" t="n">
        <f aca="false" t="array" ref="EI417:EI417">IF(EI416=0,0,IF(EI416/'🎚️ Escenario'!$C$11&gt;=36,$AL$23,INDEX($C$23:$AL$23,MAX(1,ROUNDUP(EI416/'🎚️ Escenario'!$C$11,0)))))</f>
        <v>0</v>
      </c>
      <c r="EJ417" s="237" t="n">
        <f aca="false" t="array" ref="EJ417:EJ417">IF(EJ416=0,0,IF(EJ416/'🎚️ Escenario'!$C$11&gt;=36,$AL$23,INDEX($C$23:$AL$23,MAX(1,ROUNDUP(EJ416/'🎚️ Escenario'!$C$11,0)))))</f>
        <v>0</v>
      </c>
      <c r="EK417" s="237" t="n">
        <f aca="false" t="array" ref="EK417:EK417">IF(EK416=0,0,IF(EK416/'🎚️ Escenario'!$C$11&gt;=36,$AL$23,INDEX($C$23:$AL$23,MAX(1,ROUNDUP(EK416/'🎚️ Escenario'!$C$11,0)))))</f>
        <v>0</v>
      </c>
      <c r="EL417" s="237" t="n">
        <f aca="false" t="array" ref="EL417:EL417">IF(EL416=0,0,IF(EL416/'🎚️ Escenario'!$C$11&gt;=36,$AL$23,INDEX($C$23:$AL$23,MAX(1,ROUNDUP(EL416/'🎚️ Escenario'!$C$11,0)))))</f>
        <v>0</v>
      </c>
      <c r="EM417" s="237" t="n">
        <f aca="false" t="array" ref="EM417:EM417">IF(EM416=0,0,IF(EM416/'🎚️ Escenario'!$C$11&gt;=36,$AL$23,INDEX($C$23:$AL$23,MAX(1,ROUNDUP(EM416/'🎚️ Escenario'!$C$11,0)))))</f>
        <v>0.2</v>
      </c>
      <c r="EN417" s="237" t="n">
        <f aca="false" t="array" ref="EN417:EN417">IF(EN416=0,0,IF(EN416/'🎚️ Escenario'!$C$11&gt;=36,$AL$23,INDEX($C$23:$AL$23,MAX(1,ROUNDUP(EN416/'🎚️ Escenario'!$C$11,0)))))</f>
        <v>0.22</v>
      </c>
      <c r="EO417" s="237" t="n">
        <f aca="false" t="array" ref="EO417:EO417">IF(EO416=0,0,IF(EO416/'🎚️ Escenario'!$C$11&gt;=36,$AL$23,INDEX($C$23:$AL$23,MAX(1,ROUNDUP(EO416/'🎚️ Escenario'!$C$11,0)))))</f>
        <v>0.24</v>
      </c>
      <c r="EP417" s="237" t="n">
        <f aca="false" t="array" ref="EP417:EP417">IF(EP416=0,0,IF(EP416/'🎚️ Escenario'!$C$11&gt;=36,$AL$23,INDEX($C$23:$AL$23,MAX(1,ROUNDUP(EP416/'🎚️ Escenario'!$C$11,0)))))</f>
        <v>0.27</v>
      </c>
      <c r="EQ417" s="237" t="n">
        <f aca="false" t="array" ref="EQ417:EQ417">IF(EQ416=0,0,IF(EQ416/'🎚️ Escenario'!$C$11&gt;=36,$AL$23,INDEX($C$23:$AL$23,MAX(1,ROUNDUP(EQ416/'🎚️ Escenario'!$C$11,0)))))</f>
        <v>0.27</v>
      </c>
      <c r="ER417" s="237" t="n">
        <f aca="false" t="array" ref="ER417:ER417">IF(ER416=0,0,IF(ER416/'🎚️ Escenario'!$C$11&gt;=36,$AL$23,INDEX($C$23:$AL$23,MAX(1,ROUNDUP(ER416/'🎚️ Escenario'!$C$11,0)))))</f>
        <v>0.31</v>
      </c>
      <c r="ES417" s="9" t="n">
        <f aca="false" t="array" ref="ES417:ES417">IF(ES416=0,0,IF(ES416/'🎚️ Escenario'!$C$11&gt;=36,$AL$23,INDEX($C$23:$AL$23,MAX(1,ROUNDUP(ES416/'🎚️ Escenario'!$C$11,0)))))</f>
        <v>0.35</v>
      </c>
      <c r="ET417" s="9" t="n">
        <f aca="false" t="array" ref="ET417:ET417">IF(ET416=0,0,IF(ET416/'🎚️ Escenario'!$C$11&gt;=36,$AL$23,INDEX($C$23:$AL$23,MAX(1,ROUNDUP(ET416/'🎚️ Escenario'!$C$11,0)))))</f>
        <v>0.39</v>
      </c>
      <c r="EU417" s="9" t="n">
        <f aca="false" t="array" ref="EU417:EU417">IF(EU416=0,0,IF(EU416/'🎚️ Escenario'!$C$11&gt;=36,$AL$23,INDEX($C$23:$AL$23,MAX(1,ROUNDUP(EU416/'🎚️ Escenario'!$C$11,0)))))</f>
        <v>0.44</v>
      </c>
      <c r="EV417" s="9" t="n">
        <f aca="false" t="array" ref="EV417:EV417">IF(EV416=0,0,IF(EV416/'🎚️ Escenario'!$C$11&gt;=36,$AL$23,INDEX($C$23:$AL$23,MAX(1,ROUNDUP(EV416/'🎚️ Escenario'!$C$11,0)))))</f>
        <v>0.44</v>
      </c>
      <c r="EW417" s="9" t="n">
        <f aca="false" t="array" ref="EW417:EW417">IF(EW416=0,0,IF(EW416/'🎚️ Escenario'!$C$11&gt;=36,$AL$23,INDEX($C$23:$AL$23,MAX(1,ROUNDUP(EW416/'🎚️ Escenario'!$C$11,0)))))</f>
        <v>0.48</v>
      </c>
      <c r="EX417" s="9" t="n">
        <f aca="false" t="array" ref="EX417:EX417">IF(EX416=0,0,IF(EX416/'🎚️ Escenario'!$C$11&gt;=36,$AL$23,INDEX($C$23:$AL$23,MAX(1,ROUNDUP(EX416/'🎚️ Escenario'!$C$11,0)))))</f>
        <v>0.52</v>
      </c>
      <c r="EY417" s="9" t="n">
        <f aca="false" t="array" ref="EY417:EY417">IF(EY416=0,0,IF(EY416/'🎚️ Escenario'!$C$11&gt;=36,$AL$23,INDEX($C$23:$AL$23,MAX(1,ROUNDUP(EY416/'🎚️ Escenario'!$C$11,0)))))</f>
        <v>0.56</v>
      </c>
      <c r="EZ417" s="9" t="n">
        <f aca="false" t="array" ref="EZ417:EZ417">IF(EZ416=0,0,IF(EZ416/'🎚️ Escenario'!$C$11&gt;=36,$AL$23,INDEX($C$23:$AL$23,MAX(1,ROUNDUP(EZ416/'🎚️ Escenario'!$C$11,0)))))</f>
        <v>0.6</v>
      </c>
      <c r="FA417" s="9" t="n">
        <f aca="false" t="array" ref="FA417:FA417">IF(FA416=0,0,IF(FA416/'🎚️ Escenario'!$C$11&gt;=36,$AL$23,INDEX($C$23:$AL$23,MAX(1,ROUNDUP(FA416/'🎚️ Escenario'!$C$11,0)))))</f>
        <v>0.6</v>
      </c>
      <c r="FB417" s="9" t="n">
        <f aca="false" t="array" ref="FB417:FB417">IF(FB416=0,0,IF(FB416/'🎚️ Escenario'!$C$11&gt;=36,$AL$23,INDEX($C$23:$AL$23,MAX(1,ROUNDUP(FB416/'🎚️ Escenario'!$C$11,0)))))</f>
        <v>0.63</v>
      </c>
      <c r="FC417" s="9" t="n">
        <f aca="false" t="array" ref="FC417:FC417">IF(FC416=0,0,IF(FC416/'🎚️ Escenario'!$C$11&gt;=36,$AL$23,INDEX($C$23:$AL$23,MAX(1,ROUNDUP(FC416/'🎚️ Escenario'!$C$11,0)))))</f>
        <v>0.66</v>
      </c>
      <c r="FD417" s="9" t="n">
        <f aca="false" t="array" ref="FD417:FD417">IF(FD416=0,0,IF(FD416/'🎚️ Escenario'!$C$11&gt;=36,$AL$23,INDEX($C$23:$AL$23,MAX(1,ROUNDUP(FD416/'🎚️ Escenario'!$C$11,0)))))</f>
        <v>0.69</v>
      </c>
      <c r="FE417" s="9" t="n">
        <f aca="false" t="array" ref="FE417:FE417">IF(FE416=0,0,IF(FE416/'🎚️ Escenario'!$C$11&gt;=36,$AL$23,INDEX($C$23:$AL$23,MAX(1,ROUNDUP(FE416/'🎚️ Escenario'!$C$11,0)))))</f>
        <v>0.71</v>
      </c>
      <c r="FF417" s="9" t="n">
        <f aca="false" t="array" ref="FF417:FF417">IF(FF416=0,0,IF(FF416/'🎚️ Escenario'!$C$11&gt;=36,$AL$23,INDEX($C$23:$AL$23,MAX(1,ROUNDUP(FF416/'🎚️ Escenario'!$C$11,0)))))</f>
        <v>0.71</v>
      </c>
      <c r="FG417" s="9" t="n">
        <f aca="false" t="array" ref="FG417:FG417">IF(FG416=0,0,IF(FG416/'🎚️ Escenario'!$C$11&gt;=36,$AL$23,INDEX($C$23:$AL$23,MAX(1,ROUNDUP(FG416/'🎚️ Escenario'!$C$11,0)))))</f>
        <v>0.73</v>
      </c>
      <c r="FH417" s="9" t="n">
        <f aca="false" t="array" ref="FH417:FH417">IF(FH416=0,0,IF(FH416/'🎚️ Escenario'!$C$11&gt;=36,$AL$23,INDEX($C$23:$AL$23,MAX(1,ROUNDUP(FH416/'🎚️ Escenario'!$C$11,0)))))</f>
        <v>0.75</v>
      </c>
      <c r="FI417" s="9" t="n">
        <f aca="false" t="array" ref="FI417:FI417">IF(FI416=0,0,IF(FI416/'🎚️ Escenario'!$C$11&gt;=36,$AL$23,INDEX($C$23:$AL$23,MAX(1,ROUNDUP(FI416/'🎚️ Escenario'!$C$11,0)))))</f>
        <v>0.77</v>
      </c>
      <c r="FJ417" s="9" t="n">
        <f aca="false" t="array" ref="FJ417:FJ417">IF(FJ416=0,0,IF(FJ416/'🎚️ Escenario'!$C$11&gt;=36,$AL$23,INDEX($C$23:$AL$23,MAX(1,ROUNDUP(FJ416/'🎚️ Escenario'!$C$11,0)))))</f>
        <v>0.79</v>
      </c>
      <c r="FK417" s="9" t="n">
        <f aca="false" t="array" ref="FK417:FK417">IF(FK416=0,0,IF(FK416/'🎚️ Escenario'!$C$11&gt;=36,$AL$23,INDEX($C$23:$AL$23,MAX(1,ROUNDUP(FK416/'🎚️ Escenario'!$C$11,0)))))</f>
        <v>0.79</v>
      </c>
      <c r="FL417" s="9" t="n">
        <f aca="false" t="array" ref="FL417:FL417">IF(FL416=0,0,IF(FL416/'🎚️ Escenario'!$C$11&gt;=36,$AL$23,INDEX($C$23:$AL$23,MAX(1,ROUNDUP(FL416/'🎚️ Escenario'!$C$11,0)))))</f>
        <v>0.8</v>
      </c>
      <c r="FM417" s="9" t="n">
        <f aca="false" t="array" ref="FM417:FM417">IF(FM416=0,0,IF(FM416/'🎚️ Escenario'!$C$11&gt;=36,$AL$23,INDEX($C$23:$AL$23,MAX(1,ROUNDUP(FM416/'🎚️ Escenario'!$C$11,0)))))</f>
        <v>0.82</v>
      </c>
      <c r="FN417" s="9" t="n">
        <f aca="false" t="array" ref="FN417:FN417">IF(FN416=0,0,IF(FN416/'🎚️ Escenario'!$C$11&gt;=36,$AL$23,INDEX($C$23:$AL$23,MAX(1,ROUNDUP(FN416/'🎚️ Escenario'!$C$11,0)))))</f>
        <v>0.84</v>
      </c>
      <c r="FO417" s="9" t="n">
        <f aca="false" t="array" ref="FO417:FO417">IF(FO416=0,0,IF(FO416/'🎚️ Escenario'!$C$11&gt;=36,$AL$23,INDEX($C$23:$AL$23,MAX(1,ROUNDUP(FO416/'🎚️ Escenario'!$C$11,0)))))</f>
        <v>0.85</v>
      </c>
      <c r="FP417" s="9" t="n">
        <f aca="false" t="array" ref="FP417:FP417">IF(FP416=0,0,IF(FP416/'🎚️ Escenario'!$C$11&gt;=36,$AL$23,INDEX($C$23:$AL$23,MAX(1,ROUNDUP(FP416/'🎚️ Escenario'!$C$11,0)))))</f>
        <v>0.85</v>
      </c>
    </row>
    <row r="418" customFormat="false" ht="15" hidden="false" customHeight="false" outlineLevel="2" collapsed="false">
      <c r="B418" s="47" t="s">
        <v>875</v>
      </c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237" t="n">
        <f aca="false">IF(AC416=0,0,IF(AC416&lt;=12*'🎚️ Escenario'!$C$11,1,1+$C$6))</f>
        <v>0</v>
      </c>
      <c r="AD418" s="237" t="n">
        <f aca="false">IF(AD416=0,0,IF(AD416&lt;=12*'🎚️ Escenario'!$C$11,1,1+$C$6))</f>
        <v>0</v>
      </c>
      <c r="AE418" s="237" t="n">
        <f aca="false">IF(AE416=0,0,IF(AE416&lt;=12*'🎚️ Escenario'!$C$11,1,1+$C$6))</f>
        <v>0</v>
      </c>
      <c r="AF418" s="237" t="n">
        <f aca="false">IF(AF416=0,0,IF(AF416&lt;=12*'🎚️ Escenario'!$C$11,1,1+$C$6))</f>
        <v>0</v>
      </c>
      <c r="AG418" s="237" t="n">
        <f aca="false">IF(AG416=0,0,IF(AG416&lt;=12*'🎚️ Escenario'!$C$11,1,1+$C$6))</f>
        <v>0</v>
      </c>
      <c r="AH418" s="237" t="n">
        <f aca="false">IF(AH416=0,0,IF(AH416&lt;=12*'🎚️ Escenario'!$C$11,1,1+$C$6))</f>
        <v>0</v>
      </c>
      <c r="AI418" s="237" t="n">
        <f aca="false">IF(AI416=0,0,IF(AI416&lt;=12*'🎚️ Escenario'!$C$11,1,1+$C$6))</f>
        <v>0</v>
      </c>
      <c r="AJ418" s="237" t="n">
        <f aca="false">IF(AJ416=0,0,IF(AJ416&lt;=12*'🎚️ Escenario'!$C$11,1,1+$C$6))</f>
        <v>0</v>
      </c>
      <c r="AK418" s="237" t="n">
        <f aca="false">IF(AK416=0,0,IF(AK416&lt;=12*'🎚️ Escenario'!$C$11,1,1+$C$6))</f>
        <v>0</v>
      </c>
      <c r="AL418" s="237" t="n">
        <f aca="false">IF(AL416=0,0,IF(AL416&lt;=12*'🎚️ Escenario'!$C$11,1,1+$C$6))</f>
        <v>0</v>
      </c>
      <c r="AM418" s="237" t="n">
        <f aca="false">IF(AM416=0,0,IF(AM416&lt;=12*'🎚️ Escenario'!$C$11,1,1+$C$6))</f>
        <v>0</v>
      </c>
      <c r="AN418" s="237" t="n">
        <f aca="false">IF(AN416=0,0,IF(AN416&lt;=12*'🎚️ Escenario'!$C$11,1,1+$C$6))</f>
        <v>0</v>
      </c>
      <c r="AO418" s="237" t="n">
        <f aca="false">IF(AO416=0,0,IF(AO416&lt;=12*'🎚️ Escenario'!$C$11,1,1+$C$6))</f>
        <v>0</v>
      </c>
      <c r="AP418" s="237" t="n">
        <f aca="false">IF(AP416=0,0,IF(AP416&lt;=12*'🎚️ Escenario'!$C$11,1,1+$C$6))</f>
        <v>0</v>
      </c>
      <c r="AQ418" s="237" t="n">
        <f aca="false">IF(AQ416=0,0,IF(AQ416&lt;=12*'🎚️ Escenario'!$C$11,1,1+$C$6))</f>
        <v>0</v>
      </c>
      <c r="AR418" s="237" t="n">
        <f aca="false">IF(AR416=0,0,IF(AR416&lt;=12*'🎚️ Escenario'!$C$11,1,1+$C$6))</f>
        <v>0</v>
      </c>
      <c r="AS418" s="237" t="n">
        <f aca="false">IF(AS416=0,0,IF(AS416&lt;=12*'🎚️ Escenario'!$C$11,1,1+$C$6))</f>
        <v>0</v>
      </c>
      <c r="AT418" s="237" t="n">
        <f aca="false">IF(AT416=0,0,IF(AT416&lt;=12*'🎚️ Escenario'!$C$11,1,1+$C$6))</f>
        <v>0</v>
      </c>
      <c r="AU418" s="237" t="n">
        <f aca="false">IF(AU416=0,0,IF(AU416&lt;=12*'🎚️ Escenario'!$C$11,1,1+$C$6))</f>
        <v>0</v>
      </c>
      <c r="AV418" s="237" t="n">
        <f aca="false">IF(AV416=0,0,IF(AV416&lt;=12*'🎚️ Escenario'!$C$11,1,1+$C$6))</f>
        <v>0</v>
      </c>
      <c r="AW418" s="237" t="n">
        <f aca="false">IF(AW416=0,0,IF(AW416&lt;=12*'🎚️ Escenario'!$C$11,1,1+$C$6))</f>
        <v>0</v>
      </c>
      <c r="AX418" s="237" t="n">
        <f aca="false">IF(AX416=0,0,IF(AX416&lt;=12*'🎚️ Escenario'!$C$11,1,1+$C$6))</f>
        <v>0</v>
      </c>
      <c r="AY418" s="237" t="n">
        <f aca="false">IF(AY416=0,0,IF(AY416&lt;=12*'🎚️ Escenario'!$C$11,1,1+$C$6))</f>
        <v>0</v>
      </c>
      <c r="AZ418" s="237" t="n">
        <f aca="false">IF(AZ416=0,0,IF(AZ416&lt;=12*'🎚️ Escenario'!$C$11,1,1+$C$6))</f>
        <v>0</v>
      </c>
      <c r="BA418" s="237" t="n">
        <f aca="false">IF(BA416=0,0,IF(BA416&lt;=12*'🎚️ Escenario'!$C$11,1,1+$C$6))</f>
        <v>0</v>
      </c>
      <c r="BB418" s="237" t="n">
        <f aca="false">IF(BB416=0,0,IF(BB416&lt;=12*'🎚️ Escenario'!$C$11,1,1+$C$6))</f>
        <v>0</v>
      </c>
      <c r="BC418" s="237" t="n">
        <f aca="false">IF(BC416=0,0,IF(BC416&lt;=12*'🎚️ Escenario'!$C$11,1,1+$C$6))</f>
        <v>0</v>
      </c>
      <c r="BD418" s="237" t="n">
        <f aca="false">IF(BD416=0,0,IF(BD416&lt;=12*'🎚️ Escenario'!$C$11,1,1+$C$6))</f>
        <v>0</v>
      </c>
      <c r="BE418" s="237" t="n">
        <f aca="false">IF(BE416=0,0,IF(BE416&lt;=12*'🎚️ Escenario'!$C$11,1,1+$C$6))</f>
        <v>0</v>
      </c>
      <c r="BF418" s="237" t="n">
        <f aca="false">IF(BF416=0,0,IF(BF416&lt;=12*'🎚️ Escenario'!$C$11,1,1+$C$6))</f>
        <v>0</v>
      </c>
      <c r="BG418" s="237" t="n">
        <f aca="false">IF(BG416=0,0,IF(BG416&lt;=12*'🎚️ Escenario'!$C$11,1,1+$C$6))</f>
        <v>0</v>
      </c>
      <c r="BH418" s="237" t="n">
        <f aca="false">IF(BH416=0,0,IF(BH416&lt;=12*'🎚️ Escenario'!$C$11,1,1+$C$6))</f>
        <v>0</v>
      </c>
      <c r="BI418" s="237" t="n">
        <f aca="false">IF(BI416=0,0,IF(BI416&lt;=12*'🎚️ Escenario'!$C$11,1,1+$C$6))</f>
        <v>0</v>
      </c>
      <c r="BJ418" s="237" t="n">
        <f aca="false">IF(BJ416=0,0,IF(BJ416&lt;=12*'🎚️ Escenario'!$C$11,1,1+$C$6))</f>
        <v>0</v>
      </c>
      <c r="BK418" s="237" t="n">
        <f aca="false">IF(BK416=0,0,IF(BK416&lt;=12*'🎚️ Escenario'!$C$11,1,1+$C$6))</f>
        <v>0</v>
      </c>
      <c r="BL418" s="237" t="n">
        <f aca="false">IF(BL416=0,0,IF(BL416&lt;=12*'🎚️ Escenario'!$C$11,1,1+$C$6))</f>
        <v>0</v>
      </c>
      <c r="BM418" s="237" t="n">
        <f aca="false">IF(BM416=0,0,IF(BM416&lt;=12*'🎚️ Escenario'!$C$11,1,1+$C$6))</f>
        <v>0</v>
      </c>
      <c r="BN418" s="237" t="n">
        <f aca="false">IF(BN416=0,0,IF(BN416&lt;=12*'🎚️ Escenario'!$C$11,1,1+$C$6))</f>
        <v>0</v>
      </c>
      <c r="BO418" s="237" t="n">
        <f aca="false">IF(BO416=0,0,IF(BO416&lt;=12*'🎚️ Escenario'!$C$11,1,1+$C$6))</f>
        <v>0</v>
      </c>
      <c r="BP418" s="237" t="n">
        <f aca="false">IF(BP416=0,0,IF(BP416&lt;=12*'🎚️ Escenario'!$C$11,1,1+$C$6))</f>
        <v>0</v>
      </c>
      <c r="BQ418" s="237" t="n">
        <f aca="false">IF(BQ416=0,0,IF(BQ416&lt;=12*'🎚️ Escenario'!$C$11,1,1+$C$6))</f>
        <v>0</v>
      </c>
      <c r="BR418" s="237" t="n">
        <f aca="false">IF(BR416=0,0,IF(BR416&lt;=12*'🎚️ Escenario'!$C$11,1,1+$C$6))</f>
        <v>0</v>
      </c>
      <c r="BS418" s="237" t="n">
        <f aca="false">IF(BS416=0,0,IF(BS416&lt;=12*'🎚️ Escenario'!$C$11,1,1+$C$6))</f>
        <v>0</v>
      </c>
      <c r="BT418" s="237" t="n">
        <f aca="false">IF(BT416=0,0,IF(BT416&lt;=12*'🎚️ Escenario'!$C$11,1,1+$C$6))</f>
        <v>0</v>
      </c>
      <c r="BU418" s="237" t="n">
        <f aca="false">IF(BU416=0,0,IF(BU416&lt;=12*'🎚️ Escenario'!$C$11,1,1+$C$6))</f>
        <v>0</v>
      </c>
      <c r="BV418" s="237" t="n">
        <f aca="false">IF(BV416=0,0,IF(BV416&lt;=12*'🎚️ Escenario'!$C$11,1,1+$C$6))</f>
        <v>0</v>
      </c>
      <c r="BW418" s="237" t="n">
        <f aca="false">IF(BW416=0,0,IF(BW416&lt;=12*'🎚️ Escenario'!$C$11,1,1+$C$6))</f>
        <v>0</v>
      </c>
      <c r="BX418" s="237" t="n">
        <f aca="false">IF(BX416=0,0,IF(BX416&lt;=12*'🎚️ Escenario'!$C$11,1,1+$C$6))</f>
        <v>0</v>
      </c>
      <c r="BY418" s="237" t="n">
        <f aca="false">IF(BY416=0,0,IF(BY416&lt;=12*'🎚️ Escenario'!$C$11,1,1+$C$6))</f>
        <v>0</v>
      </c>
      <c r="BZ418" s="237" t="n">
        <f aca="false">IF(BZ416=0,0,IF(BZ416&lt;=12*'🎚️ Escenario'!$C$11,1,1+$C$6))</f>
        <v>0</v>
      </c>
      <c r="CA418" s="237" t="n">
        <f aca="false">IF(CA416=0,0,IF(CA416&lt;=12*'🎚️ Escenario'!$C$11,1,1+$C$6))</f>
        <v>0</v>
      </c>
      <c r="CB418" s="237" t="n">
        <f aca="false">IF(CB416=0,0,IF(CB416&lt;=12*'🎚️ Escenario'!$C$11,1,1+$C$6))</f>
        <v>0</v>
      </c>
      <c r="CC418" s="237" t="n">
        <f aca="false">IF(CC416=0,0,IF(CC416&lt;=12*'🎚️ Escenario'!$C$11,1,1+$C$6))</f>
        <v>0</v>
      </c>
      <c r="CD418" s="237" t="n">
        <f aca="false">IF(CD416=0,0,IF(CD416&lt;=12*'🎚️ Escenario'!$C$11,1,1+$C$6))</f>
        <v>0</v>
      </c>
      <c r="CE418" s="237" t="n">
        <f aca="false">IF(CE416=0,0,IF(CE416&lt;=12*'🎚️ Escenario'!$C$11,1,1+$C$6))</f>
        <v>0</v>
      </c>
      <c r="CF418" s="237" t="n">
        <f aca="false">IF(CF416=0,0,IF(CF416&lt;=12*'🎚️ Escenario'!$C$11,1,1+$C$6))</f>
        <v>0</v>
      </c>
      <c r="CG418" s="237" t="n">
        <f aca="false">IF(CG416=0,0,IF(CG416&lt;=12*'🎚️ Escenario'!$C$11,1,1+$C$6))</f>
        <v>0</v>
      </c>
      <c r="CH418" s="237" t="n">
        <f aca="false">IF(CH416=0,0,IF(CH416&lt;=12*'🎚️ Escenario'!$C$11,1,1+$C$6))</f>
        <v>0</v>
      </c>
      <c r="CI418" s="237" t="n">
        <f aca="false">IF(CI416=0,0,IF(CI416&lt;=12*'🎚️ Escenario'!$C$11,1,1+$C$6))</f>
        <v>0</v>
      </c>
      <c r="CJ418" s="237" t="n">
        <f aca="false">IF(CJ416=0,0,IF(CJ416&lt;=12*'🎚️ Escenario'!$C$11,1,1+$C$6))</f>
        <v>0</v>
      </c>
      <c r="CK418" s="237" t="n">
        <f aca="false">IF(CK416=0,0,IF(CK416&lt;=12*'🎚️ Escenario'!$C$11,1,1+$C$6))</f>
        <v>0</v>
      </c>
      <c r="CL418" s="237" t="n">
        <f aca="false">IF(CL416=0,0,IF(CL416&lt;=12*'🎚️ Escenario'!$C$11,1,1+$C$6))</f>
        <v>0</v>
      </c>
      <c r="CM418" s="237" t="n">
        <f aca="false">IF(CM416=0,0,IF(CM416&lt;=12*'🎚️ Escenario'!$C$11,1,1+$C$6))</f>
        <v>0</v>
      </c>
      <c r="CN418" s="237" t="n">
        <f aca="false">IF(CN416=0,0,IF(CN416&lt;=12*'🎚️ Escenario'!$C$11,1,1+$C$6))</f>
        <v>0</v>
      </c>
      <c r="CO418" s="237" t="n">
        <f aca="false">IF(CO416=0,0,IF(CO416&lt;=12*'🎚️ Escenario'!$C$11,1,1+$C$6))</f>
        <v>0</v>
      </c>
      <c r="CP418" s="237" t="n">
        <f aca="false">IF(CP416=0,0,IF(CP416&lt;=12*'🎚️ Escenario'!$C$11,1,1+$C$6))</f>
        <v>0</v>
      </c>
      <c r="CQ418" s="237" t="n">
        <f aca="false">IF(CQ416=0,0,IF(CQ416&lt;=12*'🎚️ Escenario'!$C$11,1,1+$C$6))</f>
        <v>0</v>
      </c>
      <c r="CR418" s="237" t="n">
        <f aca="false">IF(CR416=0,0,IF(CR416&lt;=12*'🎚️ Escenario'!$C$11,1,1+$C$6))</f>
        <v>0</v>
      </c>
      <c r="CS418" s="237" t="n">
        <f aca="false">IF(CS416=0,0,IF(CS416&lt;=12*'🎚️ Escenario'!$C$11,1,1+$C$6))</f>
        <v>0</v>
      </c>
      <c r="CT418" s="237" t="n">
        <f aca="false">IF(CT416=0,0,IF(CT416&lt;=12*'🎚️ Escenario'!$C$11,1,1+$C$6))</f>
        <v>0</v>
      </c>
      <c r="CU418" s="237" t="n">
        <f aca="false">IF(CU416=0,0,IF(CU416&lt;=12*'🎚️ Escenario'!$C$11,1,1+$C$6))</f>
        <v>0</v>
      </c>
      <c r="CV418" s="237" t="n">
        <f aca="false">IF(CV416=0,0,IF(CV416&lt;=12*'🎚️ Escenario'!$C$11,1,1+$C$6))</f>
        <v>0</v>
      </c>
      <c r="CW418" s="237" t="n">
        <f aca="false">IF(CW416=0,0,IF(CW416&lt;=12*'🎚️ Escenario'!$C$11,1,1+$C$6))</f>
        <v>0</v>
      </c>
      <c r="CX418" s="237" t="n">
        <f aca="false">IF(CX416=0,0,IF(CX416&lt;=12*'🎚️ Escenario'!$C$11,1,1+$C$6))</f>
        <v>0</v>
      </c>
      <c r="CY418" s="237" t="n">
        <f aca="false">IF(CY416=0,0,IF(CY416&lt;=12*'🎚️ Escenario'!$C$11,1,1+$C$6))</f>
        <v>0</v>
      </c>
      <c r="CZ418" s="237" t="n">
        <f aca="false">IF(CZ416=0,0,IF(CZ416&lt;=12*'🎚️ Escenario'!$C$11,1,1+$C$6))</f>
        <v>0</v>
      </c>
      <c r="DA418" s="237" t="n">
        <f aca="false">IF(DA416=0,0,IF(DA416&lt;=12*'🎚️ Escenario'!$C$11,1,1+$C$6))</f>
        <v>0</v>
      </c>
      <c r="DB418" s="237" t="n">
        <f aca="false">IF(DB416=0,0,IF(DB416&lt;=12*'🎚️ Escenario'!$C$11,1,1+$C$6))</f>
        <v>0</v>
      </c>
      <c r="DC418" s="237" t="n">
        <f aca="false">IF(DC416=0,0,IF(DC416&lt;=12*'🎚️ Escenario'!$C$11,1,1+$C$6))</f>
        <v>0</v>
      </c>
      <c r="DD418" s="237" t="n">
        <f aca="false">IF(DD416=0,0,IF(DD416&lt;=12*'🎚️ Escenario'!$C$11,1,1+$C$6))</f>
        <v>0</v>
      </c>
      <c r="DE418" s="237" t="n">
        <f aca="false">IF(DE416=0,0,IF(DE416&lt;=12*'🎚️ Escenario'!$C$11,1,1+$C$6))</f>
        <v>0</v>
      </c>
      <c r="DF418" s="237" t="n">
        <f aca="false">IF(DF416=0,0,IF(DF416&lt;=12*'🎚️ Escenario'!$C$11,1,1+$C$6))</f>
        <v>0</v>
      </c>
      <c r="DG418" s="237" t="n">
        <f aca="false">IF(DG416=0,0,IF(DG416&lt;=12*'🎚️ Escenario'!$C$11,1,1+$C$6))</f>
        <v>0</v>
      </c>
      <c r="DH418" s="237" t="n">
        <f aca="false">IF(DH416=0,0,IF(DH416&lt;=12*'🎚️ Escenario'!$C$11,1,1+$C$6))</f>
        <v>0</v>
      </c>
      <c r="DI418" s="237" t="n">
        <f aca="false">IF(DI416=0,0,IF(DI416&lt;=12*'🎚️ Escenario'!$C$11,1,1+$C$6))</f>
        <v>0</v>
      </c>
      <c r="DJ418" s="237" t="n">
        <f aca="false">IF(DJ416=0,0,IF(DJ416&lt;=12*'🎚️ Escenario'!$C$11,1,1+$C$6))</f>
        <v>0</v>
      </c>
      <c r="DK418" s="237" t="n">
        <f aca="false">IF(DK416=0,0,IF(DK416&lt;=12*'🎚️ Escenario'!$C$11,1,1+$C$6))</f>
        <v>0</v>
      </c>
      <c r="DL418" s="237" t="n">
        <f aca="false">IF(DL416=0,0,IF(DL416&lt;=12*'🎚️ Escenario'!$C$11,1,1+$C$6))</f>
        <v>0</v>
      </c>
      <c r="DM418" s="237" t="n">
        <f aca="false">IF(DM416=0,0,IF(DM416&lt;=12*'🎚️ Escenario'!$C$11,1,1+$C$6))</f>
        <v>0</v>
      </c>
      <c r="DN418" s="237" t="n">
        <f aca="false">IF(DN416=0,0,IF(DN416&lt;=12*'🎚️ Escenario'!$C$11,1,1+$C$6))</f>
        <v>0</v>
      </c>
      <c r="DO418" s="237" t="n">
        <f aca="false">IF(DO416=0,0,IF(DO416&lt;=12*'🎚️ Escenario'!$C$11,1,1+$C$6))</f>
        <v>0</v>
      </c>
      <c r="DP418" s="237" t="n">
        <f aca="false">IF(DP416=0,0,IF(DP416&lt;=12*'🎚️ Escenario'!$C$11,1,1+$C$6))</f>
        <v>0</v>
      </c>
      <c r="DQ418" s="237" t="n">
        <f aca="false">IF(DQ416=0,0,IF(DQ416&lt;=12*'🎚️ Escenario'!$C$11,1,1+$C$6))</f>
        <v>0</v>
      </c>
      <c r="DR418" s="237" t="n">
        <f aca="false">IF(DR416=0,0,IF(DR416&lt;=12*'🎚️ Escenario'!$C$11,1,1+$C$6))</f>
        <v>0</v>
      </c>
      <c r="DS418" s="237" t="n">
        <f aca="false">IF(DS416=0,0,IF(DS416&lt;=12*'🎚️ Escenario'!$C$11,1,1+$C$6))</f>
        <v>0</v>
      </c>
      <c r="DT418" s="237" t="n">
        <f aca="false">IF(DT416=0,0,IF(DT416&lt;=12*'🎚️ Escenario'!$C$11,1,1+$C$6))</f>
        <v>0</v>
      </c>
      <c r="DU418" s="237" t="n">
        <f aca="false">IF(DU416=0,0,IF(DU416&lt;=12*'🎚️ Escenario'!$C$11,1,1+$C$6))</f>
        <v>0</v>
      </c>
      <c r="DV418" s="237" t="n">
        <f aca="false">IF(DV416=0,0,IF(DV416&lt;=12*'🎚️ Escenario'!$C$11,1,1+$C$6))</f>
        <v>0</v>
      </c>
      <c r="DW418" s="237" t="n">
        <f aca="false">IF(DW416=0,0,IF(DW416&lt;=12*'🎚️ Escenario'!$C$11,1,1+$C$6))</f>
        <v>0</v>
      </c>
      <c r="DX418" s="237" t="n">
        <f aca="false">IF(DX416=0,0,IF(DX416&lt;=12*'🎚️ Escenario'!$C$11,1,1+$C$6))</f>
        <v>0</v>
      </c>
      <c r="DY418" s="237" t="n">
        <f aca="false">IF(DY416=0,0,IF(DY416&lt;=12*'🎚️ Escenario'!$C$11,1,1+$C$6))</f>
        <v>0</v>
      </c>
      <c r="DZ418" s="237" t="n">
        <f aca="false">IF(DZ416=0,0,IF(DZ416&lt;=12*'🎚️ Escenario'!$C$11,1,1+$C$6))</f>
        <v>0</v>
      </c>
      <c r="EA418" s="237" t="n">
        <f aca="false">IF(EA416=0,0,IF(EA416&lt;=12*'🎚️ Escenario'!$C$11,1,1+$C$6))</f>
        <v>0</v>
      </c>
      <c r="EB418" s="237" t="n">
        <f aca="false">IF(EB416=0,0,IF(EB416&lt;=12*'🎚️ Escenario'!$C$11,1,1+$C$6))</f>
        <v>0</v>
      </c>
      <c r="EC418" s="237" t="n">
        <f aca="false">IF(EC416=0,0,IF(EC416&lt;=12*'🎚️ Escenario'!$C$11,1,1+$C$6))</f>
        <v>0</v>
      </c>
      <c r="ED418" s="237" t="n">
        <f aca="false">IF(ED416=0,0,IF(ED416&lt;=12*'🎚️ Escenario'!$C$11,1,1+$C$6))</f>
        <v>0</v>
      </c>
      <c r="EE418" s="237" t="n">
        <f aca="false">IF(EE416=0,0,IF(EE416&lt;=12*'🎚️ Escenario'!$C$11,1,1+$C$6))</f>
        <v>0</v>
      </c>
      <c r="EF418" s="237" t="n">
        <f aca="false">IF(EF416=0,0,IF(EF416&lt;=12*'🎚️ Escenario'!$C$11,1,1+$C$6))</f>
        <v>0</v>
      </c>
      <c r="EG418" s="237" t="n">
        <f aca="false">IF(EG416=0,0,IF(EG416&lt;=12*'🎚️ Escenario'!$C$11,1,1+$C$6))</f>
        <v>0</v>
      </c>
      <c r="EH418" s="237" t="n">
        <f aca="false">IF(EH416=0,0,IF(EH416&lt;=12*'🎚️ Escenario'!$C$11,1,1+$C$6))</f>
        <v>0</v>
      </c>
      <c r="EI418" s="237" t="n">
        <f aca="false">IF(EI416=0,0,IF(EI416&lt;=12*'🎚️ Escenario'!$C$11,1,1+$C$6))</f>
        <v>0</v>
      </c>
      <c r="EJ418" s="237" t="n">
        <f aca="false">IF(EJ416=0,0,IF(EJ416&lt;=12*'🎚️ Escenario'!$C$11,1,1+$C$6))</f>
        <v>0</v>
      </c>
      <c r="EK418" s="237" t="n">
        <f aca="false">IF(EK416=0,0,IF(EK416&lt;=12*'🎚️ Escenario'!$C$11,1,1+$C$6))</f>
        <v>0</v>
      </c>
      <c r="EL418" s="237" t="n">
        <f aca="false">IF(EL416=0,0,IF(EL416&lt;=12*'🎚️ Escenario'!$C$11,1,1+$C$6))</f>
        <v>0</v>
      </c>
      <c r="EM418" s="237" t="n">
        <f aca="false">IF(EM416=0,0,IF(EM416&lt;=12*'🎚️ Escenario'!$C$11,1,1+$C$6))</f>
        <v>1</v>
      </c>
      <c r="EN418" s="237" t="n">
        <f aca="false">IF(EN416=0,0,IF(EN416&lt;=12*'🎚️ Escenario'!$C$11,1,1+$C$6))</f>
        <v>1</v>
      </c>
      <c r="EO418" s="237" t="n">
        <f aca="false">IF(EO416=0,0,IF(EO416&lt;=12*'🎚️ Escenario'!$C$11,1,1+$C$6))</f>
        <v>1</v>
      </c>
      <c r="EP418" s="237" t="n">
        <f aca="false">IF(EP416=0,0,IF(EP416&lt;=12*'🎚️ Escenario'!$C$11,1,1+$C$6))</f>
        <v>1</v>
      </c>
      <c r="EQ418" s="237" t="n">
        <f aca="false">IF(EQ416=0,0,IF(EQ416&lt;=12*'🎚️ Escenario'!$C$11,1,1+$C$6))</f>
        <v>1</v>
      </c>
      <c r="ER418" s="237" t="n">
        <f aca="false">IF(ER416=0,0,IF(ER416&lt;=12*'🎚️ Escenario'!$C$11,1,1+$C$6))</f>
        <v>1</v>
      </c>
      <c r="ES418" s="9" t="n">
        <f aca="false">IF(ES416=0,0,IF(ES416&lt;=12*'🎚️ Escenario'!$C$11,1,1+$C$6))</f>
        <v>1</v>
      </c>
      <c r="ET418" s="9" t="n">
        <f aca="false">IF(ET416=0,0,IF(ET416&lt;=12*'🎚️ Escenario'!$C$11,1,1+$C$6))</f>
        <v>1</v>
      </c>
      <c r="EU418" s="9" t="n">
        <f aca="false">IF(EU416=0,0,IF(EU416&lt;=12*'🎚️ Escenario'!$C$11,1,1+$C$6))</f>
        <v>1</v>
      </c>
      <c r="EV418" s="9" t="n">
        <f aca="false">IF(EV416=0,0,IF(EV416&lt;=12*'🎚️ Escenario'!$C$11,1,1+$C$6))</f>
        <v>1</v>
      </c>
      <c r="EW418" s="9" t="n">
        <f aca="false">IF(EW416=0,0,IF(EW416&lt;=12*'🎚️ Escenario'!$C$11,1,1+$C$6))</f>
        <v>1</v>
      </c>
      <c r="EX418" s="9" t="n">
        <f aca="false">IF(EX416=0,0,IF(EX416&lt;=12*'🎚️ Escenario'!$C$11,1,1+$C$6))</f>
        <v>1</v>
      </c>
      <c r="EY418" s="9" t="n">
        <f aca="false">IF(EY416=0,0,IF(EY416&lt;=12*'🎚️ Escenario'!$C$11,1,1+$C$6))</f>
        <v>1</v>
      </c>
      <c r="EZ418" s="9" t="n">
        <f aca="false">IF(EZ416=0,0,IF(EZ416&lt;=12*'🎚️ Escenario'!$C$11,1,1+$C$6))</f>
        <v>1</v>
      </c>
      <c r="FA418" s="9" t="n">
        <f aca="false">IF(FA416=0,0,IF(FA416&lt;=12*'🎚️ Escenario'!$C$11,1,1+$C$6))</f>
        <v>1</v>
      </c>
      <c r="FB418" s="238" t="n">
        <f aca="false">IF(FB416=0,0,IF(FB416&lt;=12*'🎚️ Escenario'!$C$11,1,1+$C$6))</f>
        <v>1.2</v>
      </c>
      <c r="FC418" s="238" t="n">
        <f aca="false">IF(FC416=0,0,IF(FC416&lt;=12*'🎚️ Escenario'!$C$11,1,1+$C$6))</f>
        <v>1.2</v>
      </c>
      <c r="FD418" s="238" t="n">
        <f aca="false">IF(FD416=0,0,IF(FD416&lt;=12*'🎚️ Escenario'!$C$11,1,1+$C$6))</f>
        <v>1.2</v>
      </c>
      <c r="FE418" s="238" t="n">
        <f aca="false">IF(FE416=0,0,IF(FE416&lt;=12*'🎚️ Escenario'!$C$11,1,1+$C$6))</f>
        <v>1.2</v>
      </c>
      <c r="FF418" s="238" t="n">
        <f aca="false">IF(FF416=0,0,IF(FF416&lt;=12*'🎚️ Escenario'!$C$11,1,1+$C$6))</f>
        <v>1.2</v>
      </c>
      <c r="FG418" s="238" t="n">
        <f aca="false">IF(FG416=0,0,IF(FG416&lt;=12*'🎚️ Escenario'!$C$11,1,1+$C$6))</f>
        <v>1.2</v>
      </c>
      <c r="FH418" s="238" t="n">
        <f aca="false">IF(FH416=0,0,IF(FH416&lt;=12*'🎚️ Escenario'!$C$11,1,1+$C$6))</f>
        <v>1.2</v>
      </c>
      <c r="FI418" s="238" t="n">
        <f aca="false">IF(FI416=0,0,IF(FI416&lt;=12*'🎚️ Escenario'!$C$11,1,1+$C$6))</f>
        <v>1.2</v>
      </c>
      <c r="FJ418" s="238" t="n">
        <f aca="false">IF(FJ416=0,0,IF(FJ416&lt;=12*'🎚️ Escenario'!$C$11,1,1+$C$6))</f>
        <v>1.2</v>
      </c>
      <c r="FK418" s="238" t="n">
        <f aca="false">IF(FK416=0,0,IF(FK416&lt;=12*'🎚️ Escenario'!$C$11,1,1+$C$6))</f>
        <v>1.2</v>
      </c>
      <c r="FL418" s="238" t="n">
        <f aca="false">IF(FL416=0,0,IF(FL416&lt;=12*'🎚️ Escenario'!$C$11,1,1+$C$6))</f>
        <v>1.2</v>
      </c>
      <c r="FM418" s="238" t="n">
        <f aca="false">IF(FM416=0,0,IF(FM416&lt;=12*'🎚️ Escenario'!$C$11,1,1+$C$6))</f>
        <v>1.2</v>
      </c>
      <c r="FN418" s="238" t="n">
        <f aca="false">IF(FN416=0,0,IF(FN416&lt;=12*'🎚️ Escenario'!$C$11,1,1+$C$6))</f>
        <v>1.2</v>
      </c>
      <c r="FO418" s="238" t="n">
        <f aca="false">IF(FO416=0,0,IF(FO416&lt;=12*'🎚️ Escenario'!$C$11,1,1+$C$6))</f>
        <v>1.2</v>
      </c>
      <c r="FP418" s="238" t="n">
        <f aca="false">IF(FP416=0,0,IF(FP416&lt;=12*'🎚️ Escenario'!$C$11,1,1+$C$6))</f>
        <v>1.2</v>
      </c>
    </row>
    <row r="419" customFormat="false" ht="15" hidden="false" customHeight="false" outlineLevel="2" collapsed="false">
      <c r="B419" s="47" t="s">
        <v>876</v>
      </c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237" t="n">
        <f aca="false">AC417*$AC$415*AC418*AC$38*'⑫ Roll-out Plan'!$O$46</f>
        <v>0</v>
      </c>
      <c r="AD419" s="237" t="n">
        <f aca="false">AD417*$AC$415*AD418*AD$38*'⑫ Roll-out Plan'!$O$46</f>
        <v>0</v>
      </c>
      <c r="AE419" s="237" t="n">
        <f aca="false">AE417*$AC$415*AE418*AE$38*'⑫ Roll-out Plan'!$O$46</f>
        <v>0</v>
      </c>
      <c r="AF419" s="237" t="n">
        <f aca="false">AF417*$AC$415*AF418*AF$38*'⑫ Roll-out Plan'!$O$46</f>
        <v>0</v>
      </c>
      <c r="AG419" s="237" t="n">
        <f aca="false">AG417*$AC$415*AG418*AG$38*'⑫ Roll-out Plan'!$O$46</f>
        <v>0</v>
      </c>
      <c r="AH419" s="237" t="n">
        <f aca="false">AH417*$AC$415*AH418*AH$38*'⑫ Roll-out Plan'!$O$46</f>
        <v>0</v>
      </c>
      <c r="AI419" s="237" t="n">
        <f aca="false">AI417*$AC$415*AI418*AI$38*'⑫ Roll-out Plan'!$O$46</f>
        <v>0</v>
      </c>
      <c r="AJ419" s="237" t="n">
        <f aca="false">AJ417*$AC$415*AJ418*AJ$38*'⑫ Roll-out Plan'!$O$46</f>
        <v>0</v>
      </c>
      <c r="AK419" s="237" t="n">
        <f aca="false">AK417*$AC$415*AK418*AK$38*'⑫ Roll-out Plan'!$O$46</f>
        <v>0</v>
      </c>
      <c r="AL419" s="237" t="n">
        <f aca="false">AL417*$AC$415*AL418*AL$38*'⑫ Roll-out Plan'!$O$46</f>
        <v>0</v>
      </c>
      <c r="AM419" s="237" t="n">
        <f aca="false">AM417*$AC$415*AM418*AM$38*'⑫ Roll-out Plan'!$O$46</f>
        <v>0</v>
      </c>
      <c r="AN419" s="237" t="n">
        <f aca="false">AN417*$AC$415*AN418*AN$38*'⑫ Roll-out Plan'!$O$46</f>
        <v>0</v>
      </c>
      <c r="AO419" s="237" t="n">
        <f aca="false">AO417*$AC$415*AO418*AO$38*'⑫ Roll-out Plan'!$O$46</f>
        <v>0</v>
      </c>
      <c r="AP419" s="237" t="n">
        <f aca="false">AP417*$AC$415*AP418*AP$38*'⑫ Roll-out Plan'!$O$46</f>
        <v>0</v>
      </c>
      <c r="AQ419" s="237" t="n">
        <f aca="false">AQ417*$AC$415*AQ418*AQ$38*'⑫ Roll-out Plan'!$O$46</f>
        <v>0</v>
      </c>
      <c r="AR419" s="237" t="n">
        <f aca="false">AR417*$AC$415*AR418*AR$38*'⑫ Roll-out Plan'!$O$46</f>
        <v>0</v>
      </c>
      <c r="AS419" s="237" t="n">
        <f aca="false">AS417*$AC$415*AS418*AS$38*'⑫ Roll-out Plan'!$O$46</f>
        <v>0</v>
      </c>
      <c r="AT419" s="237" t="n">
        <f aca="false">AT417*$AC$415*AT418*AT$38*'⑫ Roll-out Plan'!$O$46</f>
        <v>0</v>
      </c>
      <c r="AU419" s="237" t="n">
        <f aca="false">AU417*$AC$415*AU418*AU$38*'⑫ Roll-out Plan'!$O$46</f>
        <v>0</v>
      </c>
      <c r="AV419" s="237" t="n">
        <f aca="false">AV417*$AC$415*AV418*AV$38*'⑫ Roll-out Plan'!$O$46</f>
        <v>0</v>
      </c>
      <c r="AW419" s="237" t="n">
        <f aca="false">AW417*$AC$415*AW418*AW$38*'⑫ Roll-out Plan'!$O$46</f>
        <v>0</v>
      </c>
      <c r="AX419" s="237" t="n">
        <f aca="false">AX417*$AC$415*AX418*AX$38*'⑫ Roll-out Plan'!$O$46</f>
        <v>0</v>
      </c>
      <c r="AY419" s="237" t="n">
        <f aca="false">AY417*$AC$415*AY418*AY$38*'⑫ Roll-out Plan'!$O$46</f>
        <v>0</v>
      </c>
      <c r="AZ419" s="237" t="n">
        <f aca="false">AZ417*$AC$415*AZ418*AZ$38*'⑫ Roll-out Plan'!$O$46</f>
        <v>0</v>
      </c>
      <c r="BA419" s="237" t="n">
        <f aca="false">BA417*$AC$415*BA418*BA$38*'⑫ Roll-out Plan'!$O$46</f>
        <v>0</v>
      </c>
      <c r="BB419" s="237" t="n">
        <f aca="false">BB417*$AC$415*BB418*BB$38*'⑫ Roll-out Plan'!$O$46</f>
        <v>0</v>
      </c>
      <c r="BC419" s="237" t="n">
        <f aca="false">BC417*$AC$415*BC418*BC$38*'⑫ Roll-out Plan'!$O$46</f>
        <v>0</v>
      </c>
      <c r="BD419" s="237" t="n">
        <f aca="false">BD417*$AC$415*BD418*BD$38*'⑫ Roll-out Plan'!$O$46</f>
        <v>0</v>
      </c>
      <c r="BE419" s="237" t="n">
        <f aca="false">BE417*$AC$415*BE418*BE$38*'⑫ Roll-out Plan'!$O$46</f>
        <v>0</v>
      </c>
      <c r="BF419" s="237" t="n">
        <f aca="false">BF417*$AC$415*BF418*BF$38*'⑫ Roll-out Plan'!$O$46</f>
        <v>0</v>
      </c>
      <c r="BG419" s="237" t="n">
        <f aca="false">BG417*$AC$415*BG418*BG$38*'⑫ Roll-out Plan'!$O$46</f>
        <v>0</v>
      </c>
      <c r="BH419" s="237" t="n">
        <f aca="false">BH417*$AC$415*BH418*BH$38*'⑫ Roll-out Plan'!$O$46</f>
        <v>0</v>
      </c>
      <c r="BI419" s="237" t="n">
        <f aca="false">BI417*$AC$415*BI418*BI$38*'⑫ Roll-out Plan'!$O$46</f>
        <v>0</v>
      </c>
      <c r="BJ419" s="237" t="n">
        <f aca="false">BJ417*$AC$415*BJ418*BJ$38*'⑫ Roll-out Plan'!$O$46</f>
        <v>0</v>
      </c>
      <c r="BK419" s="237" t="n">
        <f aca="false">BK417*$AC$415*BK418*BK$38*'⑫ Roll-out Plan'!$O$46</f>
        <v>0</v>
      </c>
      <c r="BL419" s="237" t="n">
        <f aca="false">BL417*$AC$415*BL418*BL$38*'⑫ Roll-out Plan'!$O$46</f>
        <v>0</v>
      </c>
      <c r="BM419" s="237" t="n">
        <f aca="false">BM417*$AC$415*BM418*BM$38*'⑫ Roll-out Plan'!$O$46</f>
        <v>0</v>
      </c>
      <c r="BN419" s="237" t="n">
        <f aca="false">BN417*$AC$415*BN418*BN$38*'⑫ Roll-out Plan'!$O$46</f>
        <v>0</v>
      </c>
      <c r="BO419" s="237" t="n">
        <f aca="false">BO417*$AC$415*BO418*BO$38*'⑫ Roll-out Plan'!$O$46</f>
        <v>0</v>
      </c>
      <c r="BP419" s="237" t="n">
        <f aca="false">BP417*$AC$415*BP418*BP$38*'⑫ Roll-out Plan'!$O$46</f>
        <v>0</v>
      </c>
      <c r="BQ419" s="237" t="n">
        <f aca="false">BQ417*$AC$415*BQ418*BQ$38*'⑫ Roll-out Plan'!$O$46</f>
        <v>0</v>
      </c>
      <c r="BR419" s="237" t="n">
        <f aca="false">BR417*$AC$415*BR418*BR$38*'⑫ Roll-out Plan'!$O$46</f>
        <v>0</v>
      </c>
      <c r="BS419" s="237" t="n">
        <f aca="false">BS417*$AC$415*BS418*BS$38*'⑫ Roll-out Plan'!$O$46</f>
        <v>0</v>
      </c>
      <c r="BT419" s="237" t="n">
        <f aca="false">BT417*$AC$415*BT418*BT$38*'⑫ Roll-out Plan'!$O$46</f>
        <v>0</v>
      </c>
      <c r="BU419" s="237" t="n">
        <f aca="false">BU417*$AC$415*BU418*BU$38*'⑫ Roll-out Plan'!$O$46</f>
        <v>0</v>
      </c>
      <c r="BV419" s="237" t="n">
        <f aca="false">BV417*$AC$415*BV418*BV$38*'⑫ Roll-out Plan'!$O$46</f>
        <v>0</v>
      </c>
      <c r="BW419" s="237" t="n">
        <f aca="false">BW417*$AC$415*BW418*BW$38*'⑫ Roll-out Plan'!$O$46</f>
        <v>0</v>
      </c>
      <c r="BX419" s="237" t="n">
        <f aca="false">BX417*$AC$415*BX418*BX$38*'⑫ Roll-out Plan'!$O$46</f>
        <v>0</v>
      </c>
      <c r="BY419" s="237" t="n">
        <f aca="false">BY417*$AC$415*BY418*BY$38*'⑫ Roll-out Plan'!$O$46</f>
        <v>0</v>
      </c>
      <c r="BZ419" s="237" t="n">
        <f aca="false">BZ417*$AC$415*BZ418*BZ$38*'⑫ Roll-out Plan'!$O$46</f>
        <v>0</v>
      </c>
      <c r="CA419" s="237" t="n">
        <f aca="false">CA417*$AC$415*CA418*CA$38*'⑫ Roll-out Plan'!$O$46</f>
        <v>0</v>
      </c>
      <c r="CB419" s="237" t="n">
        <f aca="false">CB417*$AC$415*CB418*CB$38*'⑫ Roll-out Plan'!$O$46</f>
        <v>0</v>
      </c>
      <c r="CC419" s="237" t="n">
        <f aca="false">CC417*$AC$415*CC418*CC$38*'⑫ Roll-out Plan'!$O$46</f>
        <v>0</v>
      </c>
      <c r="CD419" s="237" t="n">
        <f aca="false">CD417*$AC$415*CD418*CD$38*'⑫ Roll-out Plan'!$O$46</f>
        <v>0</v>
      </c>
      <c r="CE419" s="237" t="n">
        <f aca="false">CE417*$AC$415*CE418*CE$38*'⑫ Roll-out Plan'!$O$46</f>
        <v>0</v>
      </c>
      <c r="CF419" s="237" t="n">
        <f aca="false">CF417*$AC$415*CF418*CF$38*'⑫ Roll-out Plan'!$O$46</f>
        <v>0</v>
      </c>
      <c r="CG419" s="237" t="n">
        <f aca="false">CG417*$AC$415*CG418*CG$38*'⑫ Roll-out Plan'!$O$46</f>
        <v>0</v>
      </c>
      <c r="CH419" s="237" t="n">
        <f aca="false">CH417*$AC$415*CH418*CH$38*'⑫ Roll-out Plan'!$O$46</f>
        <v>0</v>
      </c>
      <c r="CI419" s="237" t="n">
        <f aca="false">CI417*$AC$415*CI418*CI$38*'⑫ Roll-out Plan'!$O$46</f>
        <v>0</v>
      </c>
      <c r="CJ419" s="237" t="n">
        <f aca="false">CJ417*$AC$415*CJ418*CJ$38*'⑫ Roll-out Plan'!$O$46</f>
        <v>0</v>
      </c>
      <c r="CK419" s="237" t="n">
        <f aca="false">CK417*$AC$415*CK418*CK$38*'⑫ Roll-out Plan'!$O$46</f>
        <v>0</v>
      </c>
      <c r="CL419" s="237" t="n">
        <f aca="false">CL417*$AC$415*CL418*CL$38*'⑫ Roll-out Plan'!$O$46</f>
        <v>0</v>
      </c>
      <c r="CM419" s="237" t="n">
        <f aca="false">CM417*$AC$415*CM418*CM$38*'⑫ Roll-out Plan'!$O$46</f>
        <v>0</v>
      </c>
      <c r="CN419" s="237" t="n">
        <f aca="false">CN417*$AC$415*CN418*CN$38*'⑫ Roll-out Plan'!$O$46</f>
        <v>0</v>
      </c>
      <c r="CO419" s="237" t="n">
        <f aca="false">CO417*$AC$415*CO418*CO$38*'⑫ Roll-out Plan'!$O$46</f>
        <v>0</v>
      </c>
      <c r="CP419" s="237" t="n">
        <f aca="false">CP417*$AC$415*CP418*CP$38*'⑫ Roll-out Plan'!$O$46</f>
        <v>0</v>
      </c>
      <c r="CQ419" s="237" t="n">
        <f aca="false">CQ417*$AC$415*CQ418*CQ$38*'⑫ Roll-out Plan'!$O$46</f>
        <v>0</v>
      </c>
      <c r="CR419" s="237" t="n">
        <f aca="false">CR417*$AC$415*CR418*CR$38*'⑫ Roll-out Plan'!$O$46</f>
        <v>0</v>
      </c>
      <c r="CS419" s="237" t="n">
        <f aca="false">CS417*$AC$415*CS418*CS$38*'⑫ Roll-out Plan'!$O$46</f>
        <v>0</v>
      </c>
      <c r="CT419" s="237" t="n">
        <f aca="false">CT417*$AC$415*CT418*CT$38*'⑫ Roll-out Plan'!$O$46</f>
        <v>0</v>
      </c>
      <c r="CU419" s="237" t="n">
        <f aca="false">CU417*$AC$415*CU418*CU$38*'⑫ Roll-out Plan'!$O$46</f>
        <v>0</v>
      </c>
      <c r="CV419" s="237" t="n">
        <f aca="false">CV417*$AC$415*CV418*CV$38*'⑫ Roll-out Plan'!$O$46</f>
        <v>0</v>
      </c>
      <c r="CW419" s="237" t="n">
        <f aca="false">CW417*$AC$415*CW418*CW$38*'⑫ Roll-out Plan'!$O$46</f>
        <v>0</v>
      </c>
      <c r="CX419" s="237" t="n">
        <f aca="false">CX417*$AC$415*CX418*CX$38*'⑫ Roll-out Plan'!$O$46</f>
        <v>0</v>
      </c>
      <c r="CY419" s="237" t="n">
        <f aca="false">CY417*$AC$415*CY418*CY$38*'⑫ Roll-out Plan'!$O$46</f>
        <v>0</v>
      </c>
      <c r="CZ419" s="237" t="n">
        <f aca="false">CZ417*$AC$415*CZ418*CZ$38*'⑫ Roll-out Plan'!$O$46</f>
        <v>0</v>
      </c>
      <c r="DA419" s="237" t="n">
        <f aca="false">DA417*$AC$415*DA418*DA$38*'⑫ Roll-out Plan'!$O$46</f>
        <v>0</v>
      </c>
      <c r="DB419" s="237" t="n">
        <f aca="false">DB417*$AC$415*DB418*DB$38*'⑫ Roll-out Plan'!$O$46</f>
        <v>0</v>
      </c>
      <c r="DC419" s="237" t="n">
        <f aca="false">DC417*$AC$415*DC418*DC$38*'⑫ Roll-out Plan'!$O$46</f>
        <v>0</v>
      </c>
      <c r="DD419" s="237" t="n">
        <f aca="false">DD417*$AC$415*DD418*DD$38*'⑫ Roll-out Plan'!$O$46</f>
        <v>0</v>
      </c>
      <c r="DE419" s="237" t="n">
        <f aca="false">DE417*$AC$415*DE418*DE$38*'⑫ Roll-out Plan'!$O$46</f>
        <v>0</v>
      </c>
      <c r="DF419" s="237" t="n">
        <f aca="false">DF417*$AC$415*DF418*DF$38*'⑫ Roll-out Plan'!$O$46</f>
        <v>0</v>
      </c>
      <c r="DG419" s="237" t="n">
        <f aca="false">DG417*$AC$415*DG418*DG$38*'⑫ Roll-out Plan'!$O$46</f>
        <v>0</v>
      </c>
      <c r="DH419" s="237" t="n">
        <f aca="false">DH417*$AC$415*DH418*DH$38*'⑫ Roll-out Plan'!$O$46</f>
        <v>0</v>
      </c>
      <c r="DI419" s="237" t="n">
        <f aca="false">DI417*$AC$415*DI418*DI$38*'⑫ Roll-out Plan'!$O$46</f>
        <v>0</v>
      </c>
      <c r="DJ419" s="237" t="n">
        <f aca="false">DJ417*$AC$415*DJ418*DJ$38*'⑫ Roll-out Plan'!$O$46</f>
        <v>0</v>
      </c>
      <c r="DK419" s="237" t="n">
        <f aca="false">DK417*$AC$415*DK418*DK$38*'⑫ Roll-out Plan'!$O$46</f>
        <v>0</v>
      </c>
      <c r="DL419" s="237" t="n">
        <f aca="false">DL417*$AC$415*DL418*DL$38*'⑫ Roll-out Plan'!$O$46</f>
        <v>0</v>
      </c>
      <c r="DM419" s="237" t="n">
        <f aca="false">DM417*$AC$415*DM418*DM$38*'⑫ Roll-out Plan'!$O$46</f>
        <v>0</v>
      </c>
      <c r="DN419" s="237" t="n">
        <f aca="false">DN417*$AC$415*DN418*DN$38*'⑫ Roll-out Plan'!$O$46</f>
        <v>0</v>
      </c>
      <c r="DO419" s="237" t="n">
        <f aca="false">DO417*$AC$415*DO418*DO$38*'⑫ Roll-out Plan'!$O$46</f>
        <v>0</v>
      </c>
      <c r="DP419" s="237" t="n">
        <f aca="false">DP417*$AC$415*DP418*DP$38*'⑫ Roll-out Plan'!$O$46</f>
        <v>0</v>
      </c>
      <c r="DQ419" s="237" t="n">
        <f aca="false">DQ417*$AC$415*DQ418*DQ$38*'⑫ Roll-out Plan'!$O$46</f>
        <v>0</v>
      </c>
      <c r="DR419" s="237" t="n">
        <f aca="false">DR417*$AC$415*DR418*DR$38*'⑫ Roll-out Plan'!$O$46</f>
        <v>0</v>
      </c>
      <c r="DS419" s="237" t="n">
        <f aca="false">DS417*$AC$415*DS418*DS$38*'⑫ Roll-out Plan'!$O$46</f>
        <v>0</v>
      </c>
      <c r="DT419" s="237" t="n">
        <f aca="false">DT417*$AC$415*DT418*DT$38*'⑫ Roll-out Plan'!$O$46</f>
        <v>0</v>
      </c>
      <c r="DU419" s="237" t="n">
        <f aca="false">DU417*$AC$415*DU418*DU$38*'⑫ Roll-out Plan'!$O$46</f>
        <v>0</v>
      </c>
      <c r="DV419" s="237" t="n">
        <f aca="false">DV417*$AC$415*DV418*DV$38*'⑫ Roll-out Plan'!$O$46</f>
        <v>0</v>
      </c>
      <c r="DW419" s="237" t="n">
        <f aca="false">DW417*$AC$415*DW418*DW$38*'⑫ Roll-out Plan'!$O$46</f>
        <v>0</v>
      </c>
      <c r="DX419" s="237" t="n">
        <f aca="false">DX417*$AC$415*DX418*DX$38*'⑫ Roll-out Plan'!$O$46</f>
        <v>0</v>
      </c>
      <c r="DY419" s="237" t="n">
        <f aca="false">DY417*$AC$415*DY418*DY$38*'⑫ Roll-out Plan'!$O$46</f>
        <v>0</v>
      </c>
      <c r="DZ419" s="237" t="n">
        <f aca="false">DZ417*$AC$415*DZ418*DZ$38*'⑫ Roll-out Plan'!$O$46</f>
        <v>0</v>
      </c>
      <c r="EA419" s="237" t="n">
        <f aca="false">EA417*$AC$415*EA418*EA$38*'⑫ Roll-out Plan'!$O$46</f>
        <v>0</v>
      </c>
      <c r="EB419" s="237" t="n">
        <f aca="false">EB417*$AC$415*EB418*EB$38*'⑫ Roll-out Plan'!$O$46</f>
        <v>0</v>
      </c>
      <c r="EC419" s="237" t="n">
        <f aca="false">EC417*$AC$415*EC418*EC$38*'⑫ Roll-out Plan'!$O$46</f>
        <v>0</v>
      </c>
      <c r="ED419" s="237" t="n">
        <f aca="false">ED417*$AC$415*ED418*ED$38*'⑫ Roll-out Plan'!$O$46</f>
        <v>0</v>
      </c>
      <c r="EE419" s="237" t="n">
        <f aca="false">EE417*$AC$415*EE418*EE$38*'⑫ Roll-out Plan'!$O$46</f>
        <v>0</v>
      </c>
      <c r="EF419" s="237" t="n">
        <f aca="false">EF417*$AC$415*EF418*EF$38*'⑫ Roll-out Plan'!$O$46</f>
        <v>0</v>
      </c>
      <c r="EG419" s="237" t="n">
        <f aca="false">EG417*$AC$415*EG418*EG$38*'⑫ Roll-out Plan'!$O$46</f>
        <v>0</v>
      </c>
      <c r="EH419" s="237" t="n">
        <f aca="false">EH417*$AC$415*EH418*EH$38*'⑫ Roll-out Plan'!$O$46</f>
        <v>0</v>
      </c>
      <c r="EI419" s="237" t="n">
        <f aca="false">EI417*$AC$415*EI418*EI$38*'⑫ Roll-out Plan'!$O$46</f>
        <v>0</v>
      </c>
      <c r="EJ419" s="237" t="n">
        <f aca="false">EJ417*$AC$415*EJ418*EJ$38*'⑫ Roll-out Plan'!$O$46</f>
        <v>0</v>
      </c>
      <c r="EK419" s="237" t="n">
        <f aca="false">EK417*$AC$415*EK418*EK$38*'⑫ Roll-out Plan'!$O$46</f>
        <v>0</v>
      </c>
      <c r="EL419" s="237" t="n">
        <f aca="false">EL417*$AC$415*EL418*EL$38*'⑫ Roll-out Plan'!$O$46</f>
        <v>0</v>
      </c>
      <c r="EM419" s="237" t="n">
        <f aca="false">EM417*$AC$415*EM418*EM$38*'⑫ Roll-out Plan'!$O$46</f>
        <v>31.08</v>
      </c>
      <c r="EN419" s="237" t="n">
        <f aca="false">EN417*$AC$415*EN418*EN$38*'⑫ Roll-out Plan'!$O$46</f>
        <v>57.794</v>
      </c>
      <c r="EO419" s="237" t="n">
        <f aca="false">EO417*$AC$415*EO418*EO$38*'⑫ Roll-out Plan'!$O$46</f>
        <v>51.504</v>
      </c>
      <c r="EP419" s="237" t="n">
        <f aca="false">EP417*$AC$415*EP418*EP$38*'⑫ Roll-out Plan'!$O$46</f>
        <v>47.952</v>
      </c>
      <c r="EQ419" s="237" t="n">
        <f aca="false">EQ417*$AC$415*EQ418*EQ$38*'⑫ Roll-out Plan'!$O$46</f>
        <v>35.964</v>
      </c>
      <c r="ER419" s="237" t="n">
        <f aca="false">ER417*$AC$415*ER418*ER$38*'⑫ Roll-out Plan'!$O$46</f>
        <v>58.497</v>
      </c>
      <c r="ES419" s="9" t="n">
        <f aca="false">ES417*$AC$415*ES418*ES$38*'⑫ Roll-out Plan'!$O$46</f>
        <v>69.93</v>
      </c>
      <c r="ET419" s="9" t="n">
        <f aca="false">ET417*$AC$415*ET418*ET$38*'⑫ Roll-out Plan'!$O$46</f>
        <v>59.163</v>
      </c>
      <c r="EU419" s="9" t="n">
        <f aca="false">EU417*$AC$415*EU418*EU$38*'⑫ Roll-out Plan'!$O$46</f>
        <v>94.424</v>
      </c>
      <c r="EV419" s="9" t="n">
        <f aca="false">EV417*$AC$415*EV418*EV$38*'⑫ Roll-out Plan'!$O$46</f>
        <v>89.54</v>
      </c>
      <c r="EW419" s="9" t="n">
        <f aca="false">EW417*$AC$415*EW418*EW$38*'⑫ Roll-out Plan'!$O$46</f>
        <v>81.696</v>
      </c>
      <c r="EX419" s="9" t="n">
        <f aca="false">EX417*$AC$415*EX418*EX$38*'⑫ Roll-out Plan'!$O$46</f>
        <v>76.96</v>
      </c>
      <c r="EY419" s="9" t="n">
        <f aca="false">EY417*$AC$415*EY418*EY$38*'⑫ Roll-out Plan'!$O$46</f>
        <v>87.024</v>
      </c>
      <c r="EZ419" s="9" t="n">
        <f aca="false">EZ417*$AC$415*EZ418*EZ$38*'⑫ Roll-out Plan'!$O$46</f>
        <v>157.62</v>
      </c>
      <c r="FA419" s="9" t="n">
        <f aca="false">FA417*$AC$415*FA418*FA$38*'⑫ Roll-out Plan'!$O$46</f>
        <v>128.76</v>
      </c>
      <c r="FB419" s="9" t="n">
        <f aca="false">FB417*$AC$415*FB418*FB$38*'⑫ Roll-out Plan'!$O$46</f>
        <v>134.2656</v>
      </c>
      <c r="FC419" s="9" t="n">
        <f aca="false">FC417*$AC$415*FC418*FC$38*'⑫ Roll-out Plan'!$O$46</f>
        <v>105.4944</v>
      </c>
      <c r="FD419" s="9" t="n">
        <f aca="false">FD417*$AC$415*FD418*FD$38*'⑫ Roll-out Plan'!$O$46</f>
        <v>156.2436</v>
      </c>
      <c r="FE419" s="9" t="n">
        <f aca="false">FE417*$AC$415*FE418*FE$38*'⑫ Roll-out Plan'!$O$46</f>
        <v>170.2296</v>
      </c>
      <c r="FF419" s="9" t="n">
        <f aca="false">FF417*$AC$415*FF418*FF$38*'⑫ Roll-out Plan'!$O$46</f>
        <v>129.2484</v>
      </c>
      <c r="FG419" s="9" t="n">
        <f aca="false">FG417*$AC$415*FG418*FG$38*'⑫ Roll-out Plan'!$O$46</f>
        <v>187.9896</v>
      </c>
      <c r="FH419" s="9" t="n">
        <f aca="false">FH417*$AC$415*FH418*FH$38*'⑫ Roll-out Plan'!$O$46</f>
        <v>183.15</v>
      </c>
      <c r="FI419" s="9" t="n">
        <f aca="false">FI417*$AC$415*FI418*FI$38*'⑫ Roll-out Plan'!$O$46</f>
        <v>157.2648</v>
      </c>
      <c r="FJ419" s="9" t="n">
        <f aca="false">FJ417*$AC$415*FJ418*FJ$38*'⑫ Roll-out Plan'!$O$46</f>
        <v>140.304</v>
      </c>
      <c r="FK419" s="9" t="n">
        <f aca="false">FK417*$AC$415*FK418*FK$38*'⑫ Roll-out Plan'!$O$46</f>
        <v>147.3192</v>
      </c>
      <c r="FL419" s="9" t="n">
        <f aca="false">FL417*$AC$415*FL418*FL$38*'⑫ Roll-out Plan'!$O$46</f>
        <v>252.192</v>
      </c>
      <c r="FM419" s="9" t="n">
        <f aca="false">FM417*$AC$415*FM418*FM$38*'⑫ Roll-out Plan'!$O$46</f>
        <v>211.1664</v>
      </c>
      <c r="FN419" s="9" t="n">
        <f aca="false">FN417*$AC$415*FN418*FN$38*'⑫ Roll-out Plan'!$O$46</f>
        <v>179.0208</v>
      </c>
      <c r="FO419" s="9" t="n">
        <f aca="false">FO417*$AC$415*FO418*FO$38*'⑫ Roll-out Plan'!$O$46</f>
        <v>135.864</v>
      </c>
      <c r="FP419" s="9" t="n">
        <f aca="false">FP417*$AC$415*FP418*FP$38*'⑫ Roll-out Plan'!$O$46</f>
        <v>192.474</v>
      </c>
    </row>
    <row r="420" customFormat="false" ht="15" hidden="false" customHeight="false" outlineLevel="2" collapsed="false">
      <c r="B420" s="47" t="s">
        <v>877</v>
      </c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237" t="n">
        <f aca="true">IFERROR(SUMPRODUCT(OFFSET($BJ$31,0,1-MIN(60,COLUMN()-29),1,MIN(60,COLUMN()-29)),OFFSET(AC419,0,-MIN(60,COLUMN()-29),1,MIN(60,COLUMN()-29))),0)</f>
        <v>0</v>
      </c>
      <c r="AD420" s="237" t="n">
        <f aca="true">IFERROR(SUMPRODUCT(OFFSET($BJ$31,0,1-MIN(60,COLUMN()-29),1,MIN(60,COLUMN()-29)),OFFSET(AD419,0,-MIN(60,COLUMN()-29),1,MIN(60,COLUMN()-29))),0)</f>
        <v>0</v>
      </c>
      <c r="AE420" s="237" t="n">
        <f aca="true">IFERROR(SUMPRODUCT(OFFSET($BJ$31,0,1-MIN(60,COLUMN()-29),1,MIN(60,COLUMN()-29)),OFFSET(AE419,0,-MIN(60,COLUMN()-29),1,MIN(60,COLUMN()-29))),0)</f>
        <v>0</v>
      </c>
      <c r="AF420" s="237" t="n">
        <f aca="true">IFERROR(SUMPRODUCT(OFFSET($BJ$31,0,1-MIN(60,COLUMN()-29),1,MIN(60,COLUMN()-29)),OFFSET(AF419,0,-MIN(60,COLUMN()-29),1,MIN(60,COLUMN()-29))),0)</f>
        <v>0</v>
      </c>
      <c r="AG420" s="237" t="n">
        <f aca="true">IFERROR(SUMPRODUCT(OFFSET($BJ$31,0,1-MIN(60,COLUMN()-29),1,MIN(60,COLUMN()-29)),OFFSET(AG419,0,-MIN(60,COLUMN()-29),1,MIN(60,COLUMN()-29))),0)</f>
        <v>0</v>
      </c>
      <c r="AH420" s="237" t="n">
        <f aca="true">IFERROR(SUMPRODUCT(OFFSET($BJ$31,0,1-MIN(60,COLUMN()-29),1,MIN(60,COLUMN()-29)),OFFSET(AH419,0,-MIN(60,COLUMN()-29),1,MIN(60,COLUMN()-29))),0)</f>
        <v>0</v>
      </c>
      <c r="AI420" s="237" t="n">
        <f aca="true">IFERROR(SUMPRODUCT(OFFSET($BJ$31,0,1-MIN(60,COLUMN()-29),1,MIN(60,COLUMN()-29)),OFFSET(AI419,0,-MIN(60,COLUMN()-29),1,MIN(60,COLUMN()-29))),0)</f>
        <v>0</v>
      </c>
      <c r="AJ420" s="237" t="n">
        <f aca="true">IFERROR(SUMPRODUCT(OFFSET($BJ$31,0,1-MIN(60,COLUMN()-29),1,MIN(60,COLUMN()-29)),OFFSET(AJ419,0,-MIN(60,COLUMN()-29),1,MIN(60,COLUMN()-29))),0)</f>
        <v>0</v>
      </c>
      <c r="AK420" s="237" t="n">
        <f aca="true">IFERROR(SUMPRODUCT(OFFSET($BJ$31,0,1-MIN(60,COLUMN()-29),1,MIN(60,COLUMN()-29)),OFFSET(AK419,0,-MIN(60,COLUMN()-29),1,MIN(60,COLUMN()-29))),0)</f>
        <v>0</v>
      </c>
      <c r="AL420" s="237" t="n">
        <f aca="true">IFERROR(SUMPRODUCT(OFFSET($BJ$31,0,1-MIN(60,COLUMN()-29),1,MIN(60,COLUMN()-29)),OFFSET(AL419,0,-MIN(60,COLUMN()-29),1,MIN(60,COLUMN()-29))),0)</f>
        <v>0</v>
      </c>
      <c r="AM420" s="237" t="n">
        <f aca="true">IFERROR(SUMPRODUCT(OFFSET($BJ$31,0,1-MIN(60,COLUMN()-29),1,MIN(60,COLUMN()-29)),OFFSET(AM419,0,-MIN(60,COLUMN()-29),1,MIN(60,COLUMN()-29))),0)</f>
        <v>0</v>
      </c>
      <c r="AN420" s="237" t="n">
        <f aca="true">IFERROR(SUMPRODUCT(OFFSET($BJ$31,0,1-MIN(60,COLUMN()-29),1,MIN(60,COLUMN()-29)),OFFSET(AN419,0,-MIN(60,COLUMN()-29),1,MIN(60,COLUMN()-29))),0)</f>
        <v>0</v>
      </c>
      <c r="AO420" s="237" t="n">
        <f aca="true">IFERROR(SUMPRODUCT(OFFSET($BJ$31,0,1-MIN(60,COLUMN()-29),1,MIN(60,COLUMN()-29)),OFFSET(AO419,0,-MIN(60,COLUMN()-29),1,MIN(60,COLUMN()-29))),0)</f>
        <v>0</v>
      </c>
      <c r="AP420" s="237" t="n">
        <f aca="true">IFERROR(SUMPRODUCT(OFFSET($BJ$31,0,1-MIN(60,COLUMN()-29),1,MIN(60,COLUMN()-29)),OFFSET(AP419,0,-MIN(60,COLUMN()-29),1,MIN(60,COLUMN()-29))),0)</f>
        <v>0</v>
      </c>
      <c r="AQ420" s="237" t="n">
        <f aca="true">IFERROR(SUMPRODUCT(OFFSET($BJ$31,0,1-MIN(60,COLUMN()-29),1,MIN(60,COLUMN()-29)),OFFSET(AQ419,0,-MIN(60,COLUMN()-29),1,MIN(60,COLUMN()-29))),0)</f>
        <v>0</v>
      </c>
      <c r="AR420" s="237" t="n">
        <f aca="true">IFERROR(SUMPRODUCT(OFFSET($BJ$31,0,1-MIN(60,COLUMN()-29),1,MIN(60,COLUMN()-29)),OFFSET(AR419,0,-MIN(60,COLUMN()-29),1,MIN(60,COLUMN()-29))),0)</f>
        <v>0</v>
      </c>
      <c r="AS420" s="237" t="n">
        <f aca="true">IFERROR(SUMPRODUCT(OFFSET($BJ$31,0,1-MIN(60,COLUMN()-29),1,MIN(60,COLUMN()-29)),OFFSET(AS419,0,-MIN(60,COLUMN()-29),1,MIN(60,COLUMN()-29))),0)</f>
        <v>0</v>
      </c>
      <c r="AT420" s="237" t="n">
        <f aca="true">IFERROR(SUMPRODUCT(OFFSET($BJ$31,0,1-MIN(60,COLUMN()-29),1,MIN(60,COLUMN()-29)),OFFSET(AT419,0,-MIN(60,COLUMN()-29),1,MIN(60,COLUMN()-29))),0)</f>
        <v>0</v>
      </c>
      <c r="AU420" s="237" t="n">
        <f aca="true">IFERROR(SUMPRODUCT(OFFSET($BJ$31,0,1-MIN(60,COLUMN()-29),1,MIN(60,COLUMN()-29)),OFFSET(AU419,0,-MIN(60,COLUMN()-29),1,MIN(60,COLUMN()-29))),0)</f>
        <v>0</v>
      </c>
      <c r="AV420" s="237" t="n">
        <f aca="true">IFERROR(SUMPRODUCT(OFFSET($BJ$31,0,1-MIN(60,COLUMN()-29),1,MIN(60,COLUMN()-29)),OFFSET(AV419,0,-MIN(60,COLUMN()-29),1,MIN(60,COLUMN()-29))),0)</f>
        <v>0</v>
      </c>
      <c r="AW420" s="237" t="n">
        <f aca="true">IFERROR(SUMPRODUCT(OFFSET($BJ$31,0,1-MIN(60,COLUMN()-29),1,MIN(60,COLUMN()-29)),OFFSET(AW419,0,-MIN(60,COLUMN()-29),1,MIN(60,COLUMN()-29))),0)</f>
        <v>0</v>
      </c>
      <c r="AX420" s="237" t="n">
        <f aca="true">IFERROR(SUMPRODUCT(OFFSET($BJ$31,0,1-MIN(60,COLUMN()-29),1,MIN(60,COLUMN()-29)),OFFSET(AX419,0,-MIN(60,COLUMN()-29),1,MIN(60,COLUMN()-29))),0)</f>
        <v>0</v>
      </c>
      <c r="AY420" s="237" t="n">
        <f aca="true">IFERROR(SUMPRODUCT(OFFSET($BJ$31,0,1-MIN(60,COLUMN()-29),1,MIN(60,COLUMN()-29)),OFFSET(AY419,0,-MIN(60,COLUMN()-29),1,MIN(60,COLUMN()-29))),0)</f>
        <v>0</v>
      </c>
      <c r="AZ420" s="237" t="n">
        <f aca="true">IFERROR(SUMPRODUCT(OFFSET($BJ$31,0,1-MIN(60,COLUMN()-29),1,MIN(60,COLUMN()-29)),OFFSET(AZ419,0,-MIN(60,COLUMN()-29),1,MIN(60,COLUMN()-29))),0)</f>
        <v>0</v>
      </c>
      <c r="BA420" s="237" t="n">
        <f aca="true">IFERROR(SUMPRODUCT(OFFSET($BJ$31,0,1-MIN(60,COLUMN()-29),1,MIN(60,COLUMN()-29)),OFFSET(BA419,0,-MIN(60,COLUMN()-29),1,MIN(60,COLUMN()-29))),0)</f>
        <v>0</v>
      </c>
      <c r="BB420" s="237" t="n">
        <f aca="true">IFERROR(SUMPRODUCT(OFFSET($BJ$31,0,1-MIN(60,COLUMN()-29),1,MIN(60,COLUMN()-29)),OFFSET(BB419,0,-MIN(60,COLUMN()-29),1,MIN(60,COLUMN()-29))),0)</f>
        <v>0</v>
      </c>
      <c r="BC420" s="237" t="n">
        <f aca="true">IFERROR(SUMPRODUCT(OFFSET($BJ$31,0,1-MIN(60,COLUMN()-29),1,MIN(60,COLUMN()-29)),OFFSET(BC419,0,-MIN(60,COLUMN()-29),1,MIN(60,COLUMN()-29))),0)</f>
        <v>0</v>
      </c>
      <c r="BD420" s="237" t="n">
        <f aca="true">IFERROR(SUMPRODUCT(OFFSET($BJ$31,0,1-MIN(60,COLUMN()-29),1,MIN(60,COLUMN()-29)),OFFSET(BD419,0,-MIN(60,COLUMN()-29),1,MIN(60,COLUMN()-29))),0)</f>
        <v>0</v>
      </c>
      <c r="BE420" s="237" t="n">
        <f aca="true">IFERROR(SUMPRODUCT(OFFSET($BJ$31,0,1-MIN(60,COLUMN()-29),1,MIN(60,COLUMN()-29)),OFFSET(BE419,0,-MIN(60,COLUMN()-29),1,MIN(60,COLUMN()-29))),0)</f>
        <v>0</v>
      </c>
      <c r="BF420" s="237" t="n">
        <f aca="true">IFERROR(SUMPRODUCT(OFFSET($BJ$31,0,1-MIN(60,COLUMN()-29),1,MIN(60,COLUMN()-29)),OFFSET(BF419,0,-MIN(60,COLUMN()-29),1,MIN(60,COLUMN()-29))),0)</f>
        <v>0</v>
      </c>
      <c r="BG420" s="237" t="n">
        <f aca="true">IFERROR(SUMPRODUCT(OFFSET($BJ$31,0,1-MIN(60,COLUMN()-29),1,MIN(60,COLUMN()-29)),OFFSET(BG419,0,-MIN(60,COLUMN()-29),1,MIN(60,COLUMN()-29))),0)</f>
        <v>0</v>
      </c>
      <c r="BH420" s="237" t="n">
        <f aca="true">IFERROR(SUMPRODUCT(OFFSET($BJ$31,0,1-MIN(60,COLUMN()-29),1,MIN(60,COLUMN()-29)),OFFSET(BH419,0,-MIN(60,COLUMN()-29),1,MIN(60,COLUMN()-29))),0)</f>
        <v>0</v>
      </c>
      <c r="BI420" s="237" t="n">
        <f aca="true">IFERROR(SUMPRODUCT(OFFSET($BJ$31,0,1-MIN(60,COLUMN()-29),1,MIN(60,COLUMN()-29)),OFFSET(BI419,0,-MIN(60,COLUMN()-29),1,MIN(60,COLUMN()-29))),0)</f>
        <v>0</v>
      </c>
      <c r="BJ420" s="237" t="n">
        <f aca="true">IFERROR(SUMPRODUCT(OFFSET($BJ$31,0,1-MIN(60,COLUMN()-29),1,MIN(60,COLUMN()-29)),OFFSET(BJ419,0,-MIN(60,COLUMN()-29),1,MIN(60,COLUMN()-29))),0)</f>
        <v>0</v>
      </c>
      <c r="BK420" s="237" t="n">
        <f aca="true">IFERROR(SUMPRODUCT(OFFSET($BJ$31,0,1-MIN(60,COLUMN()-29),1,MIN(60,COLUMN()-29)),OFFSET(BK419,0,-MIN(60,COLUMN()-29),1,MIN(60,COLUMN()-29))),0)</f>
        <v>0</v>
      </c>
      <c r="BL420" s="237" t="n">
        <f aca="true">IFERROR(SUMPRODUCT(OFFSET($BJ$31,0,1-MIN(60,COLUMN()-29),1,MIN(60,COLUMN()-29)),OFFSET(BL419,0,-MIN(60,COLUMN()-29),1,MIN(60,COLUMN()-29))),0)</f>
        <v>0</v>
      </c>
      <c r="BM420" s="237" t="n">
        <f aca="true">IFERROR(SUMPRODUCT(OFFSET($BJ$31,0,1-MIN(60,COLUMN()-29),1,MIN(60,COLUMN()-29)),OFFSET(BM419,0,-MIN(60,COLUMN()-29),1,MIN(60,COLUMN()-29))),0)</f>
        <v>0</v>
      </c>
      <c r="BN420" s="237" t="n">
        <f aca="true">IFERROR(SUMPRODUCT(OFFSET($BJ$31,0,1-MIN(60,COLUMN()-29),1,MIN(60,COLUMN()-29)),OFFSET(BN419,0,-MIN(60,COLUMN()-29),1,MIN(60,COLUMN()-29))),0)</f>
        <v>0</v>
      </c>
      <c r="BO420" s="237" t="n">
        <f aca="true">IFERROR(SUMPRODUCT(OFFSET($BJ$31,0,1-MIN(60,COLUMN()-29),1,MIN(60,COLUMN()-29)),OFFSET(BO419,0,-MIN(60,COLUMN()-29),1,MIN(60,COLUMN()-29))),0)</f>
        <v>0</v>
      </c>
      <c r="BP420" s="237" t="n">
        <f aca="true">IFERROR(SUMPRODUCT(OFFSET($BJ$31,0,1-MIN(60,COLUMN()-29),1,MIN(60,COLUMN()-29)),OFFSET(BP419,0,-MIN(60,COLUMN()-29),1,MIN(60,COLUMN()-29))),0)</f>
        <v>0</v>
      </c>
      <c r="BQ420" s="237" t="n">
        <f aca="true">IFERROR(SUMPRODUCT(OFFSET($BJ$31,0,1-MIN(60,COLUMN()-29),1,MIN(60,COLUMN()-29)),OFFSET(BQ419,0,-MIN(60,COLUMN()-29),1,MIN(60,COLUMN()-29))),0)</f>
        <v>0</v>
      </c>
      <c r="BR420" s="237" t="n">
        <f aca="true">IFERROR(SUMPRODUCT(OFFSET($BJ$31,0,1-MIN(60,COLUMN()-29),1,MIN(60,COLUMN()-29)),OFFSET(BR419,0,-MIN(60,COLUMN()-29),1,MIN(60,COLUMN()-29))),0)</f>
        <v>0</v>
      </c>
      <c r="BS420" s="237" t="n">
        <f aca="true">IFERROR(SUMPRODUCT(OFFSET($BJ$31,0,1-MIN(60,COLUMN()-29),1,MIN(60,COLUMN()-29)),OFFSET(BS419,0,-MIN(60,COLUMN()-29),1,MIN(60,COLUMN()-29))),0)</f>
        <v>0</v>
      </c>
      <c r="BT420" s="237" t="n">
        <f aca="true">IFERROR(SUMPRODUCT(OFFSET($BJ$31,0,1-MIN(60,COLUMN()-29),1,MIN(60,COLUMN()-29)),OFFSET(BT419,0,-MIN(60,COLUMN()-29),1,MIN(60,COLUMN()-29))),0)</f>
        <v>0</v>
      </c>
      <c r="BU420" s="237" t="n">
        <f aca="true">IFERROR(SUMPRODUCT(OFFSET($BJ$31,0,1-MIN(60,COLUMN()-29),1,MIN(60,COLUMN()-29)),OFFSET(BU419,0,-MIN(60,COLUMN()-29),1,MIN(60,COLUMN()-29))),0)</f>
        <v>0</v>
      </c>
      <c r="BV420" s="237" t="n">
        <f aca="true">IFERROR(SUMPRODUCT(OFFSET($BJ$31,0,1-MIN(60,COLUMN()-29),1,MIN(60,COLUMN()-29)),OFFSET(BV419,0,-MIN(60,COLUMN()-29),1,MIN(60,COLUMN()-29))),0)</f>
        <v>0</v>
      </c>
      <c r="BW420" s="237" t="n">
        <f aca="true">IFERROR(SUMPRODUCT(OFFSET($BJ$31,0,1-MIN(60,COLUMN()-29),1,MIN(60,COLUMN()-29)),OFFSET(BW419,0,-MIN(60,COLUMN()-29),1,MIN(60,COLUMN()-29))),0)</f>
        <v>0</v>
      </c>
      <c r="BX420" s="237" t="n">
        <f aca="true">IFERROR(SUMPRODUCT(OFFSET($BJ$31,0,1-MIN(60,COLUMN()-29),1,MIN(60,COLUMN()-29)),OFFSET(BX419,0,-MIN(60,COLUMN()-29),1,MIN(60,COLUMN()-29))),0)</f>
        <v>0</v>
      </c>
      <c r="BY420" s="237" t="n">
        <f aca="true">IFERROR(SUMPRODUCT(OFFSET($BJ$31,0,1-MIN(60,COLUMN()-29),1,MIN(60,COLUMN()-29)),OFFSET(BY419,0,-MIN(60,COLUMN()-29),1,MIN(60,COLUMN()-29))),0)</f>
        <v>0</v>
      </c>
      <c r="BZ420" s="237" t="n">
        <f aca="true">IFERROR(SUMPRODUCT(OFFSET($BJ$31,0,1-MIN(60,COLUMN()-29),1,MIN(60,COLUMN()-29)),OFFSET(BZ419,0,-MIN(60,COLUMN()-29),1,MIN(60,COLUMN()-29))),0)</f>
        <v>0</v>
      </c>
      <c r="CA420" s="237" t="n">
        <f aca="true">IFERROR(SUMPRODUCT(OFFSET($BJ$31,0,1-MIN(60,COLUMN()-29),1,MIN(60,COLUMN()-29)),OFFSET(CA419,0,-MIN(60,COLUMN()-29),1,MIN(60,COLUMN()-29))),0)</f>
        <v>0</v>
      </c>
      <c r="CB420" s="237" t="n">
        <f aca="true">IFERROR(SUMPRODUCT(OFFSET($BJ$31,0,1-MIN(60,COLUMN()-29),1,MIN(60,COLUMN()-29)),OFFSET(CB419,0,-MIN(60,COLUMN()-29),1,MIN(60,COLUMN()-29))),0)</f>
        <v>0</v>
      </c>
      <c r="CC420" s="237" t="n">
        <f aca="true">IFERROR(SUMPRODUCT(OFFSET($BJ$31,0,1-MIN(60,COLUMN()-29),1,MIN(60,COLUMN()-29)),OFFSET(CC419,0,-MIN(60,COLUMN()-29),1,MIN(60,COLUMN()-29))),0)</f>
        <v>0</v>
      </c>
      <c r="CD420" s="237" t="n">
        <f aca="true">IFERROR(SUMPRODUCT(OFFSET($BJ$31,0,1-MIN(60,COLUMN()-29),1,MIN(60,COLUMN()-29)),OFFSET(CD419,0,-MIN(60,COLUMN()-29),1,MIN(60,COLUMN()-29))),0)</f>
        <v>0</v>
      </c>
      <c r="CE420" s="237" t="n">
        <f aca="true">IFERROR(SUMPRODUCT(OFFSET($BJ$31,0,1-MIN(60,COLUMN()-29),1,MIN(60,COLUMN()-29)),OFFSET(CE419,0,-MIN(60,COLUMN()-29),1,MIN(60,COLUMN()-29))),0)</f>
        <v>0</v>
      </c>
      <c r="CF420" s="237" t="n">
        <f aca="true">IFERROR(SUMPRODUCT(OFFSET($BJ$31,0,1-MIN(60,COLUMN()-29),1,MIN(60,COLUMN()-29)),OFFSET(CF419,0,-MIN(60,COLUMN()-29),1,MIN(60,COLUMN()-29))),0)</f>
        <v>0</v>
      </c>
      <c r="CG420" s="237" t="n">
        <f aca="true">IFERROR(SUMPRODUCT(OFFSET($BJ$31,0,1-MIN(60,COLUMN()-29),1,MIN(60,COLUMN()-29)),OFFSET(CG419,0,-MIN(60,COLUMN()-29),1,MIN(60,COLUMN()-29))),0)</f>
        <v>0</v>
      </c>
      <c r="CH420" s="237" t="n">
        <f aca="true">IFERROR(SUMPRODUCT(OFFSET($BJ$31,0,1-MIN(60,COLUMN()-29),1,MIN(60,COLUMN()-29)),OFFSET(CH419,0,-MIN(60,COLUMN()-29),1,MIN(60,COLUMN()-29))),0)</f>
        <v>0</v>
      </c>
      <c r="CI420" s="237" t="n">
        <f aca="true">IFERROR(SUMPRODUCT(OFFSET($BJ$31,0,1-MIN(60,COLUMN()-29),1,MIN(60,COLUMN()-29)),OFFSET(CI419,0,-MIN(60,COLUMN()-29),1,MIN(60,COLUMN()-29))),0)</f>
        <v>0</v>
      </c>
      <c r="CJ420" s="237" t="n">
        <f aca="true">IFERROR(SUMPRODUCT(OFFSET($BJ$31,0,1-MIN(60,COLUMN()-29),1,MIN(60,COLUMN()-29)),OFFSET(CJ419,0,-MIN(60,COLUMN()-29),1,MIN(60,COLUMN()-29))),0)</f>
        <v>0</v>
      </c>
      <c r="CK420" s="237" t="n">
        <f aca="true">IFERROR(SUMPRODUCT(OFFSET($BJ$31,0,1-MIN(60,COLUMN()-29),1,MIN(60,COLUMN()-29)),OFFSET(CK419,0,-MIN(60,COLUMN()-29),1,MIN(60,COLUMN()-29))),0)</f>
        <v>0</v>
      </c>
      <c r="CL420" s="237" t="n">
        <f aca="true">IFERROR(SUMPRODUCT(OFFSET($BJ$31,0,1-MIN(60,COLUMN()-29),1,MIN(60,COLUMN()-29)),OFFSET(CL419,0,-MIN(60,COLUMN()-29),1,MIN(60,COLUMN()-29))),0)</f>
        <v>0</v>
      </c>
      <c r="CM420" s="237" t="n">
        <f aca="true">IFERROR(SUMPRODUCT(OFFSET($BJ$31,0,1-MIN(60,COLUMN()-29),1,MIN(60,COLUMN()-29)),OFFSET(CM419,0,-MIN(60,COLUMN()-29),1,MIN(60,COLUMN()-29))),0)</f>
        <v>0</v>
      </c>
      <c r="CN420" s="237" t="n">
        <f aca="true">IFERROR(SUMPRODUCT(OFFSET($BJ$31,0,1-MIN(60,COLUMN()-29),1,MIN(60,COLUMN()-29)),OFFSET(CN419,0,-MIN(60,COLUMN()-29),1,MIN(60,COLUMN()-29))),0)</f>
        <v>0</v>
      </c>
      <c r="CO420" s="237" t="n">
        <f aca="true">IFERROR(SUMPRODUCT(OFFSET($BJ$31,0,1-MIN(60,COLUMN()-29),1,MIN(60,COLUMN()-29)),OFFSET(CO419,0,-MIN(60,COLUMN()-29),1,MIN(60,COLUMN()-29))),0)</f>
        <v>0</v>
      </c>
      <c r="CP420" s="237" t="n">
        <f aca="true">IFERROR(SUMPRODUCT(OFFSET($BJ$31,0,1-MIN(60,COLUMN()-29),1,MIN(60,COLUMN()-29)),OFFSET(CP419,0,-MIN(60,COLUMN()-29),1,MIN(60,COLUMN()-29))),0)</f>
        <v>0</v>
      </c>
      <c r="CQ420" s="237" t="n">
        <f aca="true">IFERROR(SUMPRODUCT(OFFSET($BJ$31,0,1-MIN(60,COLUMN()-29),1,MIN(60,COLUMN()-29)),OFFSET(CQ419,0,-MIN(60,COLUMN()-29),1,MIN(60,COLUMN()-29))),0)</f>
        <v>0</v>
      </c>
      <c r="CR420" s="237" t="n">
        <f aca="true">IFERROR(SUMPRODUCT(OFFSET($BJ$31,0,1-MIN(60,COLUMN()-29),1,MIN(60,COLUMN()-29)),OFFSET(CR419,0,-MIN(60,COLUMN()-29),1,MIN(60,COLUMN()-29))),0)</f>
        <v>0</v>
      </c>
      <c r="CS420" s="237" t="n">
        <f aca="true">IFERROR(SUMPRODUCT(OFFSET($BJ$31,0,1-MIN(60,COLUMN()-29),1,MIN(60,COLUMN()-29)),OFFSET(CS419,0,-MIN(60,COLUMN()-29),1,MIN(60,COLUMN()-29))),0)</f>
        <v>0</v>
      </c>
      <c r="CT420" s="237" t="n">
        <f aca="true">IFERROR(SUMPRODUCT(OFFSET($BJ$31,0,1-MIN(60,COLUMN()-29),1,MIN(60,COLUMN()-29)),OFFSET(CT419,0,-MIN(60,COLUMN()-29),1,MIN(60,COLUMN()-29))),0)</f>
        <v>0</v>
      </c>
      <c r="CU420" s="237" t="n">
        <f aca="true">IFERROR(SUMPRODUCT(OFFSET($BJ$31,0,1-MIN(60,COLUMN()-29),1,MIN(60,COLUMN()-29)),OFFSET(CU419,0,-MIN(60,COLUMN()-29),1,MIN(60,COLUMN()-29))),0)</f>
        <v>0</v>
      </c>
      <c r="CV420" s="237" t="n">
        <f aca="true">IFERROR(SUMPRODUCT(OFFSET($BJ$31,0,1-MIN(60,COLUMN()-29),1,MIN(60,COLUMN()-29)),OFFSET(CV419,0,-MIN(60,COLUMN()-29),1,MIN(60,COLUMN()-29))),0)</f>
        <v>0</v>
      </c>
      <c r="CW420" s="237" t="n">
        <f aca="true">IFERROR(SUMPRODUCT(OFFSET($BJ$31,0,1-MIN(60,COLUMN()-29),1,MIN(60,COLUMN()-29)),OFFSET(CW419,0,-MIN(60,COLUMN()-29),1,MIN(60,COLUMN()-29))),0)</f>
        <v>0</v>
      </c>
      <c r="CX420" s="237" t="n">
        <f aca="true">IFERROR(SUMPRODUCT(OFFSET($BJ$31,0,1-MIN(60,COLUMN()-29),1,MIN(60,COLUMN()-29)),OFFSET(CX419,0,-MIN(60,COLUMN()-29),1,MIN(60,COLUMN()-29))),0)</f>
        <v>0</v>
      </c>
      <c r="CY420" s="237" t="n">
        <f aca="true">IFERROR(SUMPRODUCT(OFFSET($BJ$31,0,1-MIN(60,COLUMN()-29),1,MIN(60,COLUMN()-29)),OFFSET(CY419,0,-MIN(60,COLUMN()-29),1,MIN(60,COLUMN()-29))),0)</f>
        <v>0</v>
      </c>
      <c r="CZ420" s="237" t="n">
        <f aca="true">IFERROR(SUMPRODUCT(OFFSET($BJ$31,0,1-MIN(60,COLUMN()-29),1,MIN(60,COLUMN()-29)),OFFSET(CZ419,0,-MIN(60,COLUMN()-29),1,MIN(60,COLUMN()-29))),0)</f>
        <v>0</v>
      </c>
      <c r="DA420" s="237" t="n">
        <f aca="true">IFERROR(SUMPRODUCT(OFFSET($BJ$31,0,1-MIN(60,COLUMN()-29),1,MIN(60,COLUMN()-29)),OFFSET(DA419,0,-MIN(60,COLUMN()-29),1,MIN(60,COLUMN()-29))),0)</f>
        <v>0</v>
      </c>
      <c r="DB420" s="237" t="n">
        <f aca="true">IFERROR(SUMPRODUCT(OFFSET($BJ$31,0,1-MIN(60,COLUMN()-29),1,MIN(60,COLUMN()-29)),OFFSET(DB419,0,-MIN(60,COLUMN()-29),1,MIN(60,COLUMN()-29))),0)</f>
        <v>0</v>
      </c>
      <c r="DC420" s="237" t="n">
        <f aca="true">IFERROR(SUMPRODUCT(OFFSET($BJ$31,0,1-MIN(60,COLUMN()-29),1,MIN(60,COLUMN()-29)),OFFSET(DC419,0,-MIN(60,COLUMN()-29),1,MIN(60,COLUMN()-29))),0)</f>
        <v>0</v>
      </c>
      <c r="DD420" s="237" t="n">
        <f aca="true">IFERROR(SUMPRODUCT(OFFSET($BJ$31,0,1-MIN(60,COLUMN()-29),1,MIN(60,COLUMN()-29)),OFFSET(DD419,0,-MIN(60,COLUMN()-29),1,MIN(60,COLUMN()-29))),0)</f>
        <v>0</v>
      </c>
      <c r="DE420" s="237" t="n">
        <f aca="true">IFERROR(SUMPRODUCT(OFFSET($BJ$31,0,1-MIN(60,COLUMN()-29),1,MIN(60,COLUMN()-29)),OFFSET(DE419,0,-MIN(60,COLUMN()-29),1,MIN(60,COLUMN()-29))),0)</f>
        <v>0</v>
      </c>
      <c r="DF420" s="237" t="n">
        <f aca="true">IFERROR(SUMPRODUCT(OFFSET($BJ$31,0,1-MIN(60,COLUMN()-29),1,MIN(60,COLUMN()-29)),OFFSET(DF419,0,-MIN(60,COLUMN()-29),1,MIN(60,COLUMN()-29))),0)</f>
        <v>0</v>
      </c>
      <c r="DG420" s="237" t="n">
        <f aca="true">IFERROR(SUMPRODUCT(OFFSET($BJ$31,0,1-MIN(60,COLUMN()-29),1,MIN(60,COLUMN()-29)),OFFSET(DG419,0,-MIN(60,COLUMN()-29),1,MIN(60,COLUMN()-29))),0)</f>
        <v>0</v>
      </c>
      <c r="DH420" s="237" t="n">
        <f aca="true">IFERROR(SUMPRODUCT(OFFSET($BJ$31,0,1-MIN(60,COLUMN()-29),1,MIN(60,COLUMN()-29)),OFFSET(DH419,0,-MIN(60,COLUMN()-29),1,MIN(60,COLUMN()-29))),0)</f>
        <v>0</v>
      </c>
      <c r="DI420" s="237" t="n">
        <f aca="true">IFERROR(SUMPRODUCT(OFFSET($BJ$31,0,1-MIN(60,COLUMN()-29),1,MIN(60,COLUMN()-29)),OFFSET(DI419,0,-MIN(60,COLUMN()-29),1,MIN(60,COLUMN()-29))),0)</f>
        <v>0</v>
      </c>
      <c r="DJ420" s="237" t="n">
        <f aca="true">IFERROR(SUMPRODUCT(OFFSET($BJ$31,0,1-MIN(60,COLUMN()-29),1,MIN(60,COLUMN()-29)),OFFSET(DJ419,0,-MIN(60,COLUMN()-29),1,MIN(60,COLUMN()-29))),0)</f>
        <v>0</v>
      </c>
      <c r="DK420" s="237" t="n">
        <f aca="true">IFERROR(SUMPRODUCT(OFFSET($BJ$31,0,1-MIN(60,COLUMN()-29),1,MIN(60,COLUMN()-29)),OFFSET(DK419,0,-MIN(60,COLUMN()-29),1,MIN(60,COLUMN()-29))),0)</f>
        <v>0</v>
      </c>
      <c r="DL420" s="237" t="n">
        <f aca="true">IFERROR(SUMPRODUCT(OFFSET($BJ$31,0,1-MIN(60,COLUMN()-29),1,MIN(60,COLUMN()-29)),OFFSET(DL419,0,-MIN(60,COLUMN()-29),1,MIN(60,COLUMN()-29))),0)</f>
        <v>0</v>
      </c>
      <c r="DM420" s="237" t="n">
        <f aca="true">IFERROR(SUMPRODUCT(OFFSET($BJ$31,0,1-MIN(60,COLUMN()-29),1,MIN(60,COLUMN()-29)),OFFSET(DM419,0,-MIN(60,COLUMN()-29),1,MIN(60,COLUMN()-29))),0)</f>
        <v>0</v>
      </c>
      <c r="DN420" s="237" t="n">
        <f aca="true">IFERROR(SUMPRODUCT(OFFSET($BJ$31,0,1-MIN(60,COLUMN()-29),1,MIN(60,COLUMN()-29)),OFFSET(DN419,0,-MIN(60,COLUMN()-29),1,MIN(60,COLUMN()-29))),0)</f>
        <v>0</v>
      </c>
      <c r="DO420" s="237" t="n">
        <f aca="true">IFERROR(SUMPRODUCT(OFFSET($BJ$31,0,1-MIN(60,COLUMN()-29),1,MIN(60,COLUMN()-29)),OFFSET(DO419,0,-MIN(60,COLUMN()-29),1,MIN(60,COLUMN()-29))),0)</f>
        <v>0</v>
      </c>
      <c r="DP420" s="237" t="n">
        <f aca="true">IFERROR(SUMPRODUCT(OFFSET($BJ$31,0,1-MIN(60,COLUMN()-29),1,MIN(60,COLUMN()-29)),OFFSET(DP419,0,-MIN(60,COLUMN()-29),1,MIN(60,COLUMN()-29))),0)</f>
        <v>0</v>
      </c>
      <c r="DQ420" s="237" t="n">
        <f aca="true">IFERROR(SUMPRODUCT(OFFSET($BJ$31,0,1-MIN(60,COLUMN()-29),1,MIN(60,COLUMN()-29)),OFFSET(DQ419,0,-MIN(60,COLUMN()-29),1,MIN(60,COLUMN()-29))),0)</f>
        <v>0</v>
      </c>
      <c r="DR420" s="237" t="n">
        <f aca="true">IFERROR(SUMPRODUCT(OFFSET($BJ$31,0,1-MIN(60,COLUMN()-29),1,MIN(60,COLUMN()-29)),OFFSET(DR419,0,-MIN(60,COLUMN()-29),1,MIN(60,COLUMN()-29))),0)</f>
        <v>0</v>
      </c>
      <c r="DS420" s="237" t="n">
        <f aca="true">IFERROR(SUMPRODUCT(OFFSET($BJ$31,0,1-MIN(60,COLUMN()-29),1,MIN(60,COLUMN()-29)),OFFSET(DS419,0,-MIN(60,COLUMN()-29),1,MIN(60,COLUMN()-29))),0)</f>
        <v>0</v>
      </c>
      <c r="DT420" s="237" t="n">
        <f aca="true">IFERROR(SUMPRODUCT(OFFSET($BJ$31,0,1-MIN(60,COLUMN()-29),1,MIN(60,COLUMN()-29)),OFFSET(DT419,0,-MIN(60,COLUMN()-29),1,MIN(60,COLUMN()-29))),0)</f>
        <v>0</v>
      </c>
      <c r="DU420" s="237" t="n">
        <f aca="true">IFERROR(SUMPRODUCT(OFFSET($BJ$31,0,1-MIN(60,COLUMN()-29),1,MIN(60,COLUMN()-29)),OFFSET(DU419,0,-MIN(60,COLUMN()-29),1,MIN(60,COLUMN()-29))),0)</f>
        <v>0</v>
      </c>
      <c r="DV420" s="237" t="n">
        <f aca="true">IFERROR(SUMPRODUCT(OFFSET($BJ$31,0,1-MIN(60,COLUMN()-29),1,MIN(60,COLUMN()-29)),OFFSET(DV419,0,-MIN(60,COLUMN()-29),1,MIN(60,COLUMN()-29))),0)</f>
        <v>0</v>
      </c>
      <c r="DW420" s="237" t="n">
        <f aca="true">IFERROR(SUMPRODUCT(OFFSET($BJ$31,0,1-MIN(60,COLUMN()-29),1,MIN(60,COLUMN()-29)),OFFSET(DW419,0,-MIN(60,COLUMN()-29),1,MIN(60,COLUMN()-29))),0)</f>
        <v>0</v>
      </c>
      <c r="DX420" s="237" t="n">
        <f aca="true">IFERROR(SUMPRODUCT(OFFSET($BJ$31,0,1-MIN(60,COLUMN()-29),1,MIN(60,COLUMN()-29)),OFFSET(DX419,0,-MIN(60,COLUMN()-29),1,MIN(60,COLUMN()-29))),0)</f>
        <v>0</v>
      </c>
      <c r="DY420" s="237" t="n">
        <f aca="true">IFERROR(SUMPRODUCT(OFFSET($BJ$31,0,1-MIN(60,COLUMN()-29),1,MIN(60,COLUMN()-29)),OFFSET(DY419,0,-MIN(60,COLUMN()-29),1,MIN(60,COLUMN()-29))),0)</f>
        <v>0</v>
      </c>
      <c r="DZ420" s="237" t="n">
        <f aca="true">IFERROR(SUMPRODUCT(OFFSET($BJ$31,0,1-MIN(60,COLUMN()-29),1,MIN(60,COLUMN()-29)),OFFSET(DZ419,0,-MIN(60,COLUMN()-29),1,MIN(60,COLUMN()-29))),0)</f>
        <v>0</v>
      </c>
      <c r="EA420" s="237" t="n">
        <f aca="true">IFERROR(SUMPRODUCT(OFFSET($BJ$31,0,1-MIN(60,COLUMN()-29),1,MIN(60,COLUMN()-29)),OFFSET(EA419,0,-MIN(60,COLUMN()-29),1,MIN(60,COLUMN()-29))),0)</f>
        <v>0</v>
      </c>
      <c r="EB420" s="237" t="n">
        <f aca="true">IFERROR(SUMPRODUCT(OFFSET($BJ$31,0,1-MIN(60,COLUMN()-29),1,MIN(60,COLUMN()-29)),OFFSET(EB419,0,-MIN(60,COLUMN()-29),1,MIN(60,COLUMN()-29))),0)</f>
        <v>0</v>
      </c>
      <c r="EC420" s="237" t="n">
        <f aca="true">IFERROR(SUMPRODUCT(OFFSET($BJ$31,0,1-MIN(60,COLUMN()-29),1,MIN(60,COLUMN()-29)),OFFSET(EC419,0,-MIN(60,COLUMN()-29),1,MIN(60,COLUMN()-29))),0)</f>
        <v>0</v>
      </c>
      <c r="ED420" s="237" t="n">
        <f aca="true">IFERROR(SUMPRODUCT(OFFSET($BJ$31,0,1-MIN(60,COLUMN()-29),1,MIN(60,COLUMN()-29)),OFFSET(ED419,0,-MIN(60,COLUMN()-29),1,MIN(60,COLUMN()-29))),0)</f>
        <v>0</v>
      </c>
      <c r="EE420" s="237" t="n">
        <f aca="true">IFERROR(SUMPRODUCT(OFFSET($BJ$31,0,1-MIN(60,COLUMN()-29),1,MIN(60,COLUMN()-29)),OFFSET(EE419,0,-MIN(60,COLUMN()-29),1,MIN(60,COLUMN()-29))),0)</f>
        <v>0</v>
      </c>
      <c r="EF420" s="237" t="n">
        <f aca="true">IFERROR(SUMPRODUCT(OFFSET($BJ$31,0,1-MIN(60,COLUMN()-29),1,MIN(60,COLUMN()-29)),OFFSET(EF419,0,-MIN(60,COLUMN()-29),1,MIN(60,COLUMN()-29))),0)</f>
        <v>0</v>
      </c>
      <c r="EG420" s="237" t="n">
        <f aca="true">IFERROR(SUMPRODUCT(OFFSET($BJ$31,0,1-MIN(60,COLUMN()-29),1,MIN(60,COLUMN()-29)),OFFSET(EG419,0,-MIN(60,COLUMN()-29),1,MIN(60,COLUMN()-29))),0)</f>
        <v>0</v>
      </c>
      <c r="EH420" s="237" t="n">
        <f aca="true">IFERROR(SUMPRODUCT(OFFSET($BJ$31,0,1-MIN(60,COLUMN()-29),1,MIN(60,COLUMN()-29)),OFFSET(EH419,0,-MIN(60,COLUMN()-29),1,MIN(60,COLUMN()-29))),0)</f>
        <v>0</v>
      </c>
      <c r="EI420" s="237" t="n">
        <f aca="true">IFERROR(SUMPRODUCT(OFFSET($BJ$31,0,1-MIN(60,COLUMN()-29),1,MIN(60,COLUMN()-29)),OFFSET(EI419,0,-MIN(60,COLUMN()-29),1,MIN(60,COLUMN()-29))),0)</f>
        <v>0</v>
      </c>
      <c r="EJ420" s="237" t="n">
        <f aca="true">IFERROR(SUMPRODUCT(OFFSET($BJ$31,0,1-MIN(60,COLUMN()-29),1,MIN(60,COLUMN()-29)),OFFSET(EJ419,0,-MIN(60,COLUMN()-29),1,MIN(60,COLUMN()-29))),0)</f>
        <v>0</v>
      </c>
      <c r="EK420" s="237" t="n">
        <f aca="true">IFERROR(SUMPRODUCT(OFFSET($BJ$31,0,1-MIN(60,COLUMN()-29),1,MIN(60,COLUMN()-29)),OFFSET(EK419,0,-MIN(60,COLUMN()-29),1,MIN(60,COLUMN()-29))),0)</f>
        <v>0</v>
      </c>
      <c r="EL420" s="237" t="n">
        <f aca="true">IFERROR(SUMPRODUCT(OFFSET($BJ$31,0,1-MIN(60,COLUMN()-29),1,MIN(60,COLUMN()-29)),OFFSET(EL419,0,-MIN(60,COLUMN()-29),1,MIN(60,COLUMN()-29))),0)</f>
        <v>0</v>
      </c>
      <c r="EM420" s="237" t="n">
        <f aca="true">IFERROR(SUMPRODUCT(OFFSET($BJ$31,0,1-MIN(60,COLUMN()-29),1,MIN(60,COLUMN()-29)),OFFSET(EM419,0,-MIN(60,COLUMN()-29),1,MIN(60,COLUMN()-29))),0)</f>
        <v>0</v>
      </c>
      <c r="EN420" s="237" t="n">
        <f aca="true">IFERROR(SUMPRODUCT(OFFSET($BJ$31,0,1-MIN(60,COLUMN()-29),1,MIN(60,COLUMN()-29)),OFFSET(EN419,0,-MIN(60,COLUMN()-29),1,MIN(60,COLUMN()-29))),0)</f>
        <v>3.97824</v>
      </c>
      <c r="EO420" s="237" t="n">
        <f aca="true">IFERROR(SUMPRODUCT(OFFSET($BJ$31,0,1-MIN(60,COLUMN()-29),1,MIN(60,COLUMN()-29)),OFFSET(EO419,0,-MIN(60,COLUMN()-29),1,MIN(60,COLUMN()-29))),0)</f>
        <v>7.94464</v>
      </c>
      <c r="EP420" s="237" t="n">
        <f aca="true">IFERROR(SUMPRODUCT(OFFSET($BJ$31,0,1-MIN(60,COLUMN()-29),1,MIN(60,COLUMN()-29)),OFFSET(EP419,0,-MIN(60,COLUMN()-29),1,MIN(60,COLUMN()-29))),0)</f>
        <v>8.3058784</v>
      </c>
      <c r="EQ420" s="237" t="n">
        <f aca="true">IFERROR(SUMPRODUCT(OFFSET($BJ$31,0,1-MIN(60,COLUMN()-29),1,MIN(60,COLUMN()-29)),OFFSET(EQ419,0,-MIN(60,COLUMN()-29),1,MIN(60,COLUMN()-29))),0)</f>
        <v>8.736736</v>
      </c>
      <c r="ER420" s="237" t="n">
        <f aca="true">IFERROR(SUMPRODUCT(OFFSET($BJ$31,0,1-MIN(60,COLUMN()-29),1,MIN(60,COLUMN()-29)),OFFSET(ER419,0,-MIN(60,COLUMN()-29),1,MIN(60,COLUMN()-29))),0)</f>
        <v>7.639168</v>
      </c>
      <c r="ES420" s="9" t="n">
        <f aca="true">IFERROR(SUMPRODUCT(OFFSET($BJ$31,0,1-MIN(60,COLUMN()-29),1,MIN(60,COLUMN()-29)),OFFSET(ES419,0,-MIN(60,COLUMN()-29),1,MIN(60,COLUMN()-29))),0)</f>
        <v>10.5579648</v>
      </c>
      <c r="ET420" s="9" t="n">
        <f aca="true">IFERROR(SUMPRODUCT(OFFSET($BJ$31,0,1-MIN(60,COLUMN()-29),1,MIN(60,COLUMN()-29)),OFFSET(ET419,0,-MIN(60,COLUMN()-29),1,MIN(60,COLUMN()-29))),0)</f>
        <v>12.669096</v>
      </c>
      <c r="EU420" s="9" t="n">
        <f aca="true">IFERROR(SUMPRODUCT(OFFSET($BJ$31,0,1-MIN(60,COLUMN()-29),1,MIN(60,COLUMN()-29)),OFFSET(EU419,0,-MIN(60,COLUMN()-29),1,MIN(60,COLUMN()-29))),0)</f>
        <v>12.3557504</v>
      </c>
      <c r="EV420" s="9" t="n">
        <f aca="true">IFERROR(SUMPRODUCT(OFFSET($BJ$31,0,1-MIN(60,COLUMN()-29),1,MIN(60,COLUMN()-29)),OFFSET(EV419,0,-MIN(60,COLUMN()-29),1,MIN(60,COLUMN()-29))),0)</f>
        <v>17.4180016</v>
      </c>
      <c r="EW420" s="9" t="n">
        <f aca="true">IFERROR(SUMPRODUCT(OFFSET($BJ$31,0,1-MIN(60,COLUMN()-29),1,MIN(60,COLUMN()-29)),OFFSET(EW419,0,-MIN(60,COLUMN()-29),1,MIN(60,COLUMN()-29))),0)</f>
        <v>18.1938176</v>
      </c>
      <c r="EX420" s="9" t="n">
        <f aca="true">IFERROR(SUMPRODUCT(OFFSET($BJ$31,0,1-MIN(60,COLUMN()-29),1,MIN(60,COLUMN()-29)),OFFSET(EX419,0,-MIN(60,COLUMN()-29),1,MIN(60,COLUMN()-29))),0)</f>
        <v>18.274152</v>
      </c>
      <c r="EY420" s="9" t="n">
        <f aca="true">IFERROR(SUMPRODUCT(OFFSET($BJ$31,0,1-MIN(60,COLUMN()-29),1,MIN(60,COLUMN()-29)),OFFSET(EY419,0,-MIN(60,COLUMN()-29),1,MIN(60,COLUMN()-29))),0)</f>
        <v>18.9123872</v>
      </c>
      <c r="EZ420" s="9" t="n">
        <f aca="true">IFERROR(SUMPRODUCT(OFFSET($BJ$31,0,1-MIN(60,COLUMN()-29),1,MIN(60,COLUMN()-29)),OFFSET(EZ419,0,-MIN(60,COLUMN()-29),1,MIN(60,COLUMN()-29))),0)</f>
        <v>22.079824</v>
      </c>
      <c r="FA420" s="9" t="n">
        <f aca="true">IFERROR(SUMPRODUCT(OFFSET($BJ$31,0,1-MIN(60,COLUMN()-29),1,MIN(60,COLUMN()-29)),OFFSET(FA419,0,-MIN(60,COLUMN()-29),1,MIN(60,COLUMN()-29))),0)</f>
        <v>32.203024</v>
      </c>
      <c r="FB420" s="9" t="n">
        <f aca="true">IFERROR(SUMPRODUCT(OFFSET($BJ$31,0,1-MIN(60,COLUMN()-29),1,MIN(60,COLUMN()-29)),OFFSET(FB419,0,-MIN(60,COLUMN()-29),1,MIN(60,COLUMN()-29))),0)</f>
        <v>31.1272416</v>
      </c>
      <c r="FC420" s="9" t="n">
        <f aca="true">IFERROR(SUMPRODUCT(OFFSET($BJ$31,0,1-MIN(60,COLUMN()-29),1,MIN(60,COLUMN()-29)),OFFSET(FC419,0,-MIN(60,COLUMN()-29),1,MIN(60,COLUMN()-29))),0)</f>
        <v>33.238432</v>
      </c>
      <c r="FD420" s="9" t="n">
        <f aca="true">IFERROR(SUMPRODUCT(OFFSET($BJ$31,0,1-MIN(60,COLUMN()-29),1,MIN(60,COLUMN()-29)),OFFSET(FD419,0,-MIN(60,COLUMN()-29),1,MIN(60,COLUMN()-29))),0)</f>
        <v>31.22846176</v>
      </c>
      <c r="FE420" s="9" t="n">
        <f aca="true">IFERROR(SUMPRODUCT(OFFSET($BJ$31,0,1-MIN(60,COLUMN()-29),1,MIN(60,COLUMN()-29)),OFFSET(FE419,0,-MIN(60,COLUMN()-29),1,MIN(60,COLUMN()-29))),0)</f>
        <v>40.70267288</v>
      </c>
      <c r="FF420" s="9" t="n">
        <f aca="true">IFERROR(SUMPRODUCT(OFFSET($BJ$31,0,1-MIN(60,COLUMN()-29),1,MIN(60,COLUMN()-29)),OFFSET(FF419,0,-MIN(60,COLUMN()-29),1,MIN(60,COLUMN()-29))),0)</f>
        <v>44.6772188</v>
      </c>
      <c r="FG420" s="9" t="n">
        <f aca="true">IFERROR(SUMPRODUCT(OFFSET($BJ$31,0,1-MIN(60,COLUMN()-29),1,MIN(60,COLUMN()-29)),OFFSET(FG419,0,-MIN(60,COLUMN()-29),1,MIN(60,COLUMN()-29))),0)</f>
        <v>43.61371448</v>
      </c>
      <c r="FH420" s="9" t="n">
        <f aca="true">IFERROR(SUMPRODUCT(OFFSET($BJ$31,0,1-MIN(60,COLUMN()-29),1,MIN(60,COLUMN()-29)),OFFSET(FH419,0,-MIN(60,COLUMN()-29),1,MIN(60,COLUMN()-29))),0)</f>
        <v>53.34308648</v>
      </c>
      <c r="FI420" s="9" t="n">
        <f aca="true">IFERROR(SUMPRODUCT(OFFSET($BJ$31,0,1-MIN(60,COLUMN()-29),1,MIN(60,COLUMN()-29)),OFFSET(FI419,0,-MIN(60,COLUMN()-29),1,MIN(60,COLUMN()-29))),0)</f>
        <v>55.85718468</v>
      </c>
      <c r="FJ420" s="9" t="n">
        <f aca="true">IFERROR(SUMPRODUCT(OFFSET($BJ$31,0,1-MIN(60,COLUMN()-29),1,MIN(60,COLUMN()-29)),OFFSET(FJ419,0,-MIN(60,COLUMN()-29),1,MIN(60,COLUMN()-29))),0)</f>
        <v>56.09663388</v>
      </c>
      <c r="FK420" s="9" t="n">
        <f aca="true">IFERROR(SUMPRODUCT(OFFSET($BJ$31,0,1-MIN(60,COLUMN()-29),1,MIN(60,COLUMN()-29)),OFFSET(FK419,0,-MIN(60,COLUMN()-29),1,MIN(60,COLUMN()-29))),0)</f>
        <v>56.21793616</v>
      </c>
      <c r="FL420" s="9" t="n">
        <f aca="true">IFERROR(SUMPRODUCT(OFFSET($BJ$31,0,1-MIN(60,COLUMN()-29),1,MIN(60,COLUMN()-29)),OFFSET(FL419,0,-MIN(60,COLUMN()-29),1,MIN(60,COLUMN()-29))),0)</f>
        <v>61.60907888</v>
      </c>
      <c r="FM420" s="9" t="n">
        <f aca="true">IFERROR(SUMPRODUCT(OFFSET($BJ$31,0,1-MIN(60,COLUMN()-29),1,MIN(60,COLUMN()-29)),OFFSET(FM419,0,-MIN(60,COLUMN()-29),1,MIN(60,COLUMN()-29))),0)</f>
        <v>78.41976544</v>
      </c>
      <c r="FN420" s="9" t="n">
        <f aca="true">IFERROR(SUMPRODUCT(OFFSET($BJ$31,0,1-MIN(60,COLUMN()-29),1,MIN(60,COLUMN()-29)),OFFSET(FN419,0,-MIN(60,COLUMN()-29),1,MIN(60,COLUMN()-29))),0)</f>
        <v>78.762344</v>
      </c>
      <c r="FO420" s="9" t="n">
        <f aca="true">IFERROR(SUMPRODUCT(OFFSET($BJ$31,0,1-MIN(60,COLUMN()-29),1,MIN(60,COLUMN()-29)),OFFSET(FO419,0,-MIN(60,COLUMN()-29),1,MIN(60,COLUMN()-29))),0)</f>
        <v>78.51898464</v>
      </c>
      <c r="FP420" s="9" t="n">
        <f aca="true">IFERROR(SUMPRODUCT(OFFSET($BJ$31,0,1-MIN(60,COLUMN()-29),1,MIN(60,COLUMN()-29)),OFFSET(FP419,0,-MIN(60,COLUMN()-29),1,MIN(60,COLUMN()-29))),0)</f>
        <v>75.5178288</v>
      </c>
    </row>
    <row r="421" customFormat="false" ht="15" hidden="false" customHeight="false" outlineLevel="2" collapsed="false">
      <c r="B421" s="47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237"/>
      <c r="AD421" s="237"/>
      <c r="AE421" s="237"/>
      <c r="AF421" s="237"/>
      <c r="AG421" s="237"/>
      <c r="AH421" s="237"/>
      <c r="AI421" s="237"/>
      <c r="AJ421" s="237"/>
      <c r="AK421" s="237"/>
      <c r="AL421" s="237"/>
      <c r="AM421" s="237"/>
      <c r="AN421" s="237"/>
      <c r="AO421" s="237"/>
      <c r="AP421" s="237"/>
      <c r="AQ421" s="237"/>
      <c r="AR421" s="237"/>
      <c r="AS421" s="237"/>
      <c r="AT421" s="237"/>
      <c r="AU421" s="237"/>
      <c r="AV421" s="237"/>
      <c r="AW421" s="237"/>
      <c r="AX421" s="237"/>
      <c r="AY421" s="237"/>
      <c r="AZ421" s="237"/>
      <c r="BA421" s="237"/>
      <c r="BB421" s="237"/>
      <c r="BC421" s="237"/>
      <c r="BD421" s="237"/>
      <c r="BE421" s="237"/>
      <c r="BF421" s="237"/>
      <c r="BG421" s="237"/>
      <c r="BH421" s="237"/>
      <c r="BI421" s="237"/>
      <c r="BJ421" s="237"/>
      <c r="BK421" s="237"/>
      <c r="BL421" s="237"/>
      <c r="BM421" s="237"/>
      <c r="BN421" s="237"/>
      <c r="BO421" s="237"/>
      <c r="BP421" s="237"/>
      <c r="BQ421" s="237"/>
      <c r="BR421" s="237"/>
      <c r="BS421" s="237"/>
      <c r="BT421" s="237"/>
      <c r="BU421" s="237"/>
      <c r="BV421" s="237"/>
      <c r="BW421" s="237"/>
      <c r="BX421" s="237"/>
      <c r="BY421" s="237"/>
      <c r="BZ421" s="237"/>
      <c r="CA421" s="237"/>
      <c r="CB421" s="237"/>
      <c r="CC421" s="237"/>
      <c r="CD421" s="237"/>
      <c r="CE421" s="237"/>
      <c r="CF421" s="237"/>
      <c r="CG421" s="237"/>
      <c r="CH421" s="237"/>
      <c r="CI421" s="237"/>
      <c r="CJ421" s="237"/>
      <c r="CK421" s="237"/>
      <c r="CL421" s="237"/>
      <c r="CM421" s="237"/>
      <c r="CN421" s="237"/>
      <c r="CO421" s="237"/>
      <c r="CP421" s="237"/>
      <c r="CQ421" s="237"/>
      <c r="CR421" s="237"/>
      <c r="CS421" s="237"/>
      <c r="CT421" s="237"/>
      <c r="CU421" s="237"/>
      <c r="CV421" s="237"/>
      <c r="CW421" s="237"/>
      <c r="CX421" s="237"/>
      <c r="CY421" s="237"/>
      <c r="CZ421" s="237"/>
      <c r="DA421" s="237"/>
      <c r="DB421" s="237"/>
      <c r="DC421" s="237"/>
      <c r="DD421" s="237"/>
      <c r="DE421" s="237"/>
      <c r="DF421" s="237"/>
      <c r="DG421" s="237"/>
      <c r="DH421" s="237"/>
      <c r="DI421" s="237"/>
      <c r="DJ421" s="237"/>
      <c r="DK421" s="237"/>
      <c r="DL421" s="237"/>
      <c r="DM421" s="237"/>
      <c r="DN421" s="237"/>
      <c r="DO421" s="237"/>
      <c r="DP421" s="237"/>
      <c r="DQ421" s="237"/>
      <c r="DR421" s="237"/>
      <c r="DS421" s="237"/>
      <c r="DT421" s="237"/>
      <c r="DU421" s="237"/>
      <c r="DV421" s="237"/>
      <c r="DW421" s="237"/>
      <c r="DX421" s="237"/>
      <c r="DY421" s="237"/>
      <c r="DZ421" s="237"/>
      <c r="EA421" s="237"/>
      <c r="EB421" s="237"/>
      <c r="EC421" s="237"/>
      <c r="ED421" s="237"/>
      <c r="EE421" s="237"/>
      <c r="EF421" s="237"/>
      <c r="EG421" s="237"/>
      <c r="EH421" s="237"/>
      <c r="EI421" s="237"/>
      <c r="EJ421" s="237"/>
      <c r="EK421" s="237"/>
      <c r="EL421" s="237"/>
      <c r="EM421" s="237"/>
      <c r="EN421" s="237"/>
      <c r="EO421" s="237"/>
      <c r="EP421" s="237"/>
      <c r="EQ421" s="237"/>
      <c r="ER421" s="237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  <c r="FJ421" s="9"/>
      <c r="FK421" s="9"/>
      <c r="FL421" s="9"/>
      <c r="FM421" s="9"/>
      <c r="FN421" s="9"/>
      <c r="FO421" s="9"/>
      <c r="FP421" s="9"/>
    </row>
    <row r="422" customFormat="false" ht="15" hidden="false" customHeight="false" outlineLevel="2" collapsed="false">
      <c r="B422" s="47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237"/>
      <c r="AD422" s="237"/>
      <c r="AE422" s="237"/>
      <c r="AF422" s="237"/>
      <c r="AG422" s="237"/>
      <c r="AH422" s="237"/>
      <c r="AI422" s="237"/>
      <c r="AJ422" s="237"/>
      <c r="AK422" s="237"/>
      <c r="AL422" s="237"/>
      <c r="AM422" s="237"/>
      <c r="AN422" s="237"/>
      <c r="AO422" s="237"/>
      <c r="AP422" s="237"/>
      <c r="AQ422" s="237"/>
      <c r="AR422" s="237"/>
      <c r="AS422" s="237"/>
      <c r="AT422" s="237"/>
      <c r="AU422" s="237"/>
      <c r="AV422" s="237"/>
      <c r="AW422" s="237"/>
      <c r="AX422" s="237"/>
      <c r="AY422" s="237"/>
      <c r="AZ422" s="237"/>
      <c r="BA422" s="237"/>
      <c r="BB422" s="237"/>
      <c r="BC422" s="237"/>
      <c r="BD422" s="237"/>
      <c r="BE422" s="237"/>
      <c r="BF422" s="237"/>
      <c r="BG422" s="237"/>
      <c r="BH422" s="237"/>
      <c r="BI422" s="237"/>
      <c r="BJ422" s="237"/>
      <c r="BK422" s="237"/>
      <c r="BL422" s="237"/>
      <c r="BM422" s="237"/>
      <c r="BN422" s="237"/>
      <c r="BO422" s="237"/>
      <c r="BP422" s="237"/>
      <c r="BQ422" s="237"/>
      <c r="BR422" s="237"/>
      <c r="BS422" s="237"/>
      <c r="BT422" s="237"/>
      <c r="BU422" s="237"/>
      <c r="BV422" s="237"/>
      <c r="BW422" s="237"/>
      <c r="BX422" s="237"/>
      <c r="BY422" s="237"/>
      <c r="BZ422" s="237"/>
      <c r="CA422" s="237"/>
      <c r="CB422" s="237"/>
      <c r="CC422" s="237"/>
      <c r="CD422" s="237"/>
      <c r="CE422" s="237"/>
      <c r="CF422" s="237"/>
      <c r="CG422" s="237"/>
      <c r="CH422" s="237"/>
      <c r="CI422" s="237"/>
      <c r="CJ422" s="237"/>
      <c r="CK422" s="237"/>
      <c r="CL422" s="237"/>
      <c r="CM422" s="237"/>
      <c r="CN422" s="237"/>
      <c r="CO422" s="237"/>
      <c r="CP422" s="237"/>
      <c r="CQ422" s="237"/>
      <c r="CR422" s="237"/>
      <c r="CS422" s="237"/>
      <c r="CT422" s="237"/>
      <c r="CU422" s="237"/>
      <c r="CV422" s="237"/>
      <c r="CW422" s="237"/>
      <c r="CX422" s="237"/>
      <c r="CY422" s="237"/>
      <c r="CZ422" s="237"/>
      <c r="DA422" s="237"/>
      <c r="DB422" s="237"/>
      <c r="DC422" s="237"/>
      <c r="DD422" s="237"/>
      <c r="DE422" s="237"/>
      <c r="DF422" s="237"/>
      <c r="DG422" s="237"/>
      <c r="DH422" s="237"/>
      <c r="DI422" s="237"/>
      <c r="DJ422" s="237"/>
      <c r="DK422" s="237"/>
      <c r="DL422" s="237"/>
      <c r="DM422" s="237"/>
      <c r="DN422" s="237"/>
      <c r="DO422" s="237"/>
      <c r="DP422" s="237"/>
      <c r="DQ422" s="237"/>
      <c r="DR422" s="237"/>
      <c r="DS422" s="237"/>
      <c r="DT422" s="237"/>
      <c r="DU422" s="237"/>
      <c r="DV422" s="237"/>
      <c r="DW422" s="237"/>
      <c r="DX422" s="237"/>
      <c r="DY422" s="237"/>
      <c r="DZ422" s="237"/>
      <c r="EA422" s="237"/>
      <c r="EB422" s="237"/>
      <c r="EC422" s="237"/>
      <c r="ED422" s="237"/>
      <c r="EE422" s="237"/>
      <c r="EF422" s="237"/>
      <c r="EG422" s="237"/>
      <c r="EH422" s="237"/>
      <c r="EI422" s="237"/>
      <c r="EJ422" s="237"/>
      <c r="EK422" s="237"/>
      <c r="EL422" s="237"/>
      <c r="EM422" s="237"/>
      <c r="EN422" s="237"/>
      <c r="EO422" s="237"/>
      <c r="EP422" s="237"/>
      <c r="EQ422" s="237"/>
      <c r="ER422" s="237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</row>
    <row r="423" customFormat="false" ht="15" hidden="false" customHeight="false" outlineLevel="2" collapsed="false">
      <c r="B423" s="47" t="s">
        <v>915</v>
      </c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237"/>
      <c r="AD423" s="237"/>
      <c r="AE423" s="237"/>
      <c r="AF423" s="237"/>
      <c r="AG423" s="237"/>
      <c r="AH423" s="237"/>
      <c r="AI423" s="237"/>
      <c r="AJ423" s="237"/>
      <c r="AK423" s="237"/>
      <c r="AL423" s="237"/>
      <c r="AM423" s="237"/>
      <c r="AN423" s="237"/>
      <c r="AO423" s="237"/>
      <c r="AP423" s="237"/>
      <c r="AQ423" s="237"/>
      <c r="AR423" s="237"/>
      <c r="AS423" s="237"/>
      <c r="AT423" s="237"/>
      <c r="AU423" s="237"/>
      <c r="AV423" s="237"/>
      <c r="AW423" s="237"/>
      <c r="AX423" s="237"/>
      <c r="AY423" s="237"/>
      <c r="AZ423" s="237"/>
      <c r="BA423" s="237"/>
      <c r="BB423" s="237"/>
      <c r="BC423" s="237"/>
      <c r="BD423" s="237"/>
      <c r="BE423" s="237"/>
      <c r="BF423" s="237"/>
      <c r="BG423" s="237"/>
      <c r="BH423" s="237"/>
      <c r="BI423" s="237"/>
      <c r="BJ423" s="237"/>
      <c r="BK423" s="237"/>
      <c r="BL423" s="237"/>
      <c r="BM423" s="237"/>
      <c r="BN423" s="237"/>
      <c r="BO423" s="237"/>
      <c r="BP423" s="237"/>
      <c r="BQ423" s="237"/>
      <c r="BR423" s="237"/>
      <c r="BS423" s="237"/>
      <c r="BT423" s="237"/>
      <c r="BU423" s="237"/>
      <c r="BV423" s="237"/>
      <c r="BW423" s="237"/>
      <c r="BX423" s="237"/>
      <c r="BY423" s="237"/>
      <c r="BZ423" s="237"/>
      <c r="CA423" s="237"/>
      <c r="CB423" s="237"/>
      <c r="CC423" s="237"/>
      <c r="CD423" s="237"/>
      <c r="CE423" s="237"/>
      <c r="CF423" s="237"/>
      <c r="CG423" s="237"/>
      <c r="CH423" s="237"/>
      <c r="CI423" s="237"/>
      <c r="CJ423" s="237"/>
      <c r="CK423" s="237"/>
      <c r="CL423" s="237"/>
      <c r="CM423" s="237"/>
      <c r="CN423" s="237"/>
      <c r="CO423" s="237"/>
      <c r="CP423" s="237"/>
      <c r="CQ423" s="237"/>
      <c r="CR423" s="237"/>
      <c r="CS423" s="237"/>
      <c r="CT423" s="237"/>
      <c r="CU423" s="237"/>
      <c r="CV423" s="237"/>
      <c r="CW423" s="237"/>
      <c r="CX423" s="237"/>
      <c r="CY423" s="237"/>
      <c r="CZ423" s="237"/>
      <c r="DA423" s="237"/>
      <c r="DB423" s="237"/>
      <c r="DC423" s="237"/>
      <c r="DD423" s="237"/>
      <c r="DE423" s="237"/>
      <c r="DF423" s="237"/>
      <c r="DG423" s="237"/>
      <c r="DH423" s="237"/>
      <c r="DI423" s="237"/>
      <c r="DJ423" s="237"/>
      <c r="DK423" s="237"/>
      <c r="DL423" s="237"/>
      <c r="DM423" s="237"/>
      <c r="DN423" s="237"/>
      <c r="DO423" s="237"/>
      <c r="DP423" s="237"/>
      <c r="DQ423" s="237"/>
      <c r="DR423" s="237"/>
      <c r="DS423" s="237"/>
      <c r="DT423" s="237"/>
      <c r="DU423" s="237"/>
      <c r="DV423" s="237"/>
      <c r="DW423" s="237"/>
      <c r="DX423" s="237"/>
      <c r="DY423" s="237"/>
      <c r="DZ423" s="237"/>
      <c r="EA423" s="237"/>
      <c r="EB423" s="237"/>
      <c r="EC423" s="237"/>
      <c r="ED423" s="237"/>
      <c r="EE423" s="237"/>
      <c r="EF423" s="237"/>
      <c r="EG423" s="237"/>
      <c r="EH423" s="237"/>
      <c r="EI423" s="237"/>
      <c r="EJ423" s="237"/>
      <c r="EK423" s="237"/>
      <c r="EL423" s="237"/>
      <c r="EM423" s="237"/>
      <c r="EN423" s="237"/>
      <c r="EO423" s="237"/>
      <c r="EP423" s="237"/>
      <c r="EQ423" s="237"/>
      <c r="ER423" s="237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</row>
    <row r="424" customFormat="false" ht="15" hidden="false" customHeight="false" outlineLevel="2" collapsed="false">
      <c r="B424" s="47" t="s">
        <v>872</v>
      </c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237" t="n">
        <f aca="false">('⑫ Roll-out Plan'!G47-2025)*12+'⑫ Roll-out Plan'!F47</f>
        <v>114</v>
      </c>
      <c r="AD424" s="237"/>
      <c r="AE424" s="237"/>
      <c r="AF424" s="237"/>
      <c r="AG424" s="237"/>
      <c r="AH424" s="237"/>
      <c r="AI424" s="237"/>
      <c r="AJ424" s="237"/>
      <c r="AK424" s="237"/>
      <c r="AL424" s="237"/>
      <c r="AM424" s="237"/>
      <c r="AN424" s="237"/>
      <c r="AO424" s="237"/>
      <c r="AP424" s="237"/>
      <c r="AQ424" s="237"/>
      <c r="AR424" s="237"/>
      <c r="AS424" s="237"/>
      <c r="AT424" s="237"/>
      <c r="AU424" s="237"/>
      <c r="AV424" s="237"/>
      <c r="AW424" s="237"/>
      <c r="AX424" s="237"/>
      <c r="AY424" s="237"/>
      <c r="AZ424" s="237"/>
      <c r="BA424" s="237"/>
      <c r="BB424" s="237"/>
      <c r="BC424" s="237"/>
      <c r="BD424" s="237"/>
      <c r="BE424" s="237"/>
      <c r="BF424" s="237"/>
      <c r="BG424" s="237"/>
      <c r="BH424" s="237"/>
      <c r="BI424" s="237"/>
      <c r="BJ424" s="237"/>
      <c r="BK424" s="237"/>
      <c r="BL424" s="237"/>
      <c r="BM424" s="237"/>
      <c r="BN424" s="237"/>
      <c r="BO424" s="237"/>
      <c r="BP424" s="237"/>
      <c r="BQ424" s="237"/>
      <c r="BR424" s="237"/>
      <c r="BS424" s="237"/>
      <c r="BT424" s="237"/>
      <c r="BU424" s="237"/>
      <c r="BV424" s="237"/>
      <c r="BW424" s="237"/>
      <c r="BX424" s="237"/>
      <c r="BY424" s="237"/>
      <c r="BZ424" s="237"/>
      <c r="CA424" s="237"/>
      <c r="CB424" s="237"/>
      <c r="CC424" s="237"/>
      <c r="CD424" s="237"/>
      <c r="CE424" s="237"/>
      <c r="CF424" s="237"/>
      <c r="CG424" s="237"/>
      <c r="CH424" s="237"/>
      <c r="CI424" s="237"/>
      <c r="CJ424" s="237"/>
      <c r="CK424" s="237"/>
      <c r="CL424" s="237"/>
      <c r="CM424" s="237"/>
      <c r="CN424" s="237"/>
      <c r="CO424" s="237"/>
      <c r="CP424" s="237"/>
      <c r="CQ424" s="237"/>
      <c r="CR424" s="237"/>
      <c r="CS424" s="237"/>
      <c r="CT424" s="237"/>
      <c r="CU424" s="237"/>
      <c r="CV424" s="237"/>
      <c r="CW424" s="237"/>
      <c r="CX424" s="237"/>
      <c r="CY424" s="237"/>
      <c r="CZ424" s="237"/>
      <c r="DA424" s="237"/>
      <c r="DB424" s="237"/>
      <c r="DC424" s="237"/>
      <c r="DD424" s="237"/>
      <c r="DE424" s="237"/>
      <c r="DF424" s="237"/>
      <c r="DG424" s="237"/>
      <c r="DH424" s="237"/>
      <c r="DI424" s="237"/>
      <c r="DJ424" s="237"/>
      <c r="DK424" s="237"/>
      <c r="DL424" s="237"/>
      <c r="DM424" s="237"/>
      <c r="DN424" s="237"/>
      <c r="DO424" s="237"/>
      <c r="DP424" s="237"/>
      <c r="DQ424" s="237"/>
      <c r="DR424" s="237"/>
      <c r="DS424" s="237"/>
      <c r="DT424" s="237"/>
      <c r="DU424" s="237"/>
      <c r="DV424" s="237"/>
      <c r="DW424" s="237"/>
      <c r="DX424" s="237"/>
      <c r="DY424" s="237"/>
      <c r="DZ424" s="237"/>
      <c r="EA424" s="237"/>
      <c r="EB424" s="237"/>
      <c r="EC424" s="237"/>
      <c r="ED424" s="237"/>
      <c r="EE424" s="237"/>
      <c r="EF424" s="237"/>
      <c r="EG424" s="237"/>
      <c r="EH424" s="237"/>
      <c r="EI424" s="237"/>
      <c r="EJ424" s="237"/>
      <c r="EK424" s="237"/>
      <c r="EL424" s="237"/>
      <c r="EM424" s="237"/>
      <c r="EN424" s="237"/>
      <c r="EO424" s="237"/>
      <c r="EP424" s="237"/>
      <c r="EQ424" s="237"/>
      <c r="ER424" s="237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  <c r="FJ424" s="9"/>
      <c r="FK424" s="9"/>
      <c r="FL424" s="9"/>
      <c r="FM424" s="9"/>
      <c r="FN424" s="9"/>
      <c r="FO424" s="9"/>
      <c r="FP424" s="9"/>
    </row>
    <row r="425" customFormat="false" ht="15" hidden="false" customHeight="false" outlineLevel="2" collapsed="false">
      <c r="B425" s="47" t="s">
        <v>873</v>
      </c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237" t="n">
        <f aca="false">VLOOKUP("C",$B$14:$C$18,2,FALSE())</f>
        <v>110</v>
      </c>
      <c r="AD425" s="237"/>
      <c r="AE425" s="237"/>
      <c r="AF425" s="237"/>
      <c r="AG425" s="237"/>
      <c r="AH425" s="237"/>
      <c r="AI425" s="237"/>
      <c r="AJ425" s="237"/>
      <c r="AK425" s="237"/>
      <c r="AL425" s="237"/>
      <c r="AM425" s="237"/>
      <c r="AN425" s="237"/>
      <c r="AO425" s="237"/>
      <c r="AP425" s="237"/>
      <c r="AQ425" s="237"/>
      <c r="AR425" s="237"/>
      <c r="AS425" s="237"/>
      <c r="AT425" s="237"/>
      <c r="AU425" s="237"/>
      <c r="AV425" s="237"/>
      <c r="AW425" s="237"/>
      <c r="AX425" s="237"/>
      <c r="AY425" s="237"/>
      <c r="AZ425" s="237"/>
      <c r="BA425" s="237"/>
      <c r="BB425" s="237"/>
      <c r="BC425" s="237"/>
      <c r="BD425" s="237"/>
      <c r="BE425" s="237"/>
      <c r="BF425" s="237"/>
      <c r="BG425" s="237"/>
      <c r="BH425" s="237"/>
      <c r="BI425" s="237"/>
      <c r="BJ425" s="237"/>
      <c r="BK425" s="237"/>
      <c r="BL425" s="237"/>
      <c r="BM425" s="237"/>
      <c r="BN425" s="237"/>
      <c r="BO425" s="237"/>
      <c r="BP425" s="237"/>
      <c r="BQ425" s="237"/>
      <c r="BR425" s="237"/>
      <c r="BS425" s="237"/>
      <c r="BT425" s="237"/>
      <c r="BU425" s="237"/>
      <c r="BV425" s="237"/>
      <c r="BW425" s="237"/>
      <c r="BX425" s="237"/>
      <c r="BY425" s="237"/>
      <c r="BZ425" s="237"/>
      <c r="CA425" s="237"/>
      <c r="CB425" s="237"/>
      <c r="CC425" s="237"/>
      <c r="CD425" s="237"/>
      <c r="CE425" s="237"/>
      <c r="CF425" s="237"/>
      <c r="CG425" s="237"/>
      <c r="CH425" s="237"/>
      <c r="CI425" s="237"/>
      <c r="CJ425" s="237"/>
      <c r="CK425" s="237"/>
      <c r="CL425" s="237"/>
      <c r="CM425" s="237"/>
      <c r="CN425" s="237"/>
      <c r="CO425" s="237"/>
      <c r="CP425" s="237"/>
      <c r="CQ425" s="237"/>
      <c r="CR425" s="237"/>
      <c r="CS425" s="237"/>
      <c r="CT425" s="237"/>
      <c r="CU425" s="237"/>
      <c r="CV425" s="237"/>
      <c r="CW425" s="237"/>
      <c r="CX425" s="237"/>
      <c r="CY425" s="237"/>
      <c r="CZ425" s="237"/>
      <c r="DA425" s="237"/>
      <c r="DB425" s="237"/>
      <c r="DC425" s="237"/>
      <c r="DD425" s="237"/>
      <c r="DE425" s="237"/>
      <c r="DF425" s="237"/>
      <c r="DG425" s="237"/>
      <c r="DH425" s="237"/>
      <c r="DI425" s="237"/>
      <c r="DJ425" s="237"/>
      <c r="DK425" s="237"/>
      <c r="DL425" s="237"/>
      <c r="DM425" s="237"/>
      <c r="DN425" s="237"/>
      <c r="DO425" s="237"/>
      <c r="DP425" s="237"/>
      <c r="DQ425" s="237"/>
      <c r="DR425" s="237"/>
      <c r="DS425" s="237"/>
      <c r="DT425" s="237"/>
      <c r="DU425" s="237"/>
      <c r="DV425" s="237"/>
      <c r="DW425" s="237"/>
      <c r="DX425" s="237"/>
      <c r="DY425" s="237"/>
      <c r="DZ425" s="237"/>
      <c r="EA425" s="237"/>
      <c r="EB425" s="237"/>
      <c r="EC425" s="237"/>
      <c r="ED425" s="237"/>
      <c r="EE425" s="237"/>
      <c r="EF425" s="237"/>
      <c r="EG425" s="237"/>
      <c r="EH425" s="237"/>
      <c r="EI425" s="237"/>
      <c r="EJ425" s="237"/>
      <c r="EK425" s="237"/>
      <c r="EL425" s="237"/>
      <c r="EM425" s="237"/>
      <c r="EN425" s="237"/>
      <c r="EO425" s="237"/>
      <c r="EP425" s="237"/>
      <c r="EQ425" s="237"/>
      <c r="ER425" s="237"/>
      <c r="ES425" s="9"/>
      <c r="ET425" s="9"/>
      <c r="EU425" s="9"/>
      <c r="EV425" s="9"/>
      <c r="EW425" s="9"/>
      <c r="EX425" s="9"/>
      <c r="EY425" s="9"/>
      <c r="EZ425" s="9"/>
      <c r="FA425" s="9"/>
      <c r="FB425" s="9"/>
      <c r="FC425" s="9"/>
      <c r="FD425" s="9"/>
      <c r="FE425" s="9"/>
      <c r="FF425" s="9"/>
      <c r="FG425" s="9"/>
      <c r="FH425" s="9"/>
      <c r="FI425" s="9"/>
      <c r="FJ425" s="9"/>
      <c r="FK425" s="9"/>
      <c r="FL425" s="9"/>
      <c r="FM425" s="9"/>
      <c r="FN425" s="9"/>
      <c r="FO425" s="9"/>
      <c r="FP425" s="9"/>
    </row>
    <row r="426" customFormat="false" ht="15" hidden="false" customHeight="false" outlineLevel="2" collapsed="false">
      <c r="B426" s="47" t="s">
        <v>799</v>
      </c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237" t="n">
        <f aca="false">IF(AC$35&gt;=$AC$424,AC$35-$AC$424+1,0)</f>
        <v>0</v>
      </c>
      <c r="AD426" s="237" t="n">
        <f aca="false">IF(AD$35&gt;=$AC$424,AD$35-$AC$424+1,0)</f>
        <v>0</v>
      </c>
      <c r="AE426" s="237" t="n">
        <f aca="false">IF(AE$35&gt;=$AC$424,AE$35-$AC$424+1,0)</f>
        <v>0</v>
      </c>
      <c r="AF426" s="237" t="n">
        <f aca="false">IF(AF$35&gt;=$AC$424,AF$35-$AC$424+1,0)</f>
        <v>0</v>
      </c>
      <c r="AG426" s="237" t="n">
        <f aca="false">IF(AG$35&gt;=$AC$424,AG$35-$AC$424+1,0)</f>
        <v>0</v>
      </c>
      <c r="AH426" s="237" t="n">
        <f aca="false">IF(AH$35&gt;=$AC$424,AH$35-$AC$424+1,0)</f>
        <v>0</v>
      </c>
      <c r="AI426" s="237" t="n">
        <f aca="false">IF(AI$35&gt;=$AC$424,AI$35-$AC$424+1,0)</f>
        <v>0</v>
      </c>
      <c r="AJ426" s="237" t="n">
        <f aca="false">IF(AJ$35&gt;=$AC$424,AJ$35-$AC$424+1,0)</f>
        <v>0</v>
      </c>
      <c r="AK426" s="237" t="n">
        <f aca="false">IF(AK$35&gt;=$AC$424,AK$35-$AC$424+1,0)</f>
        <v>0</v>
      </c>
      <c r="AL426" s="237" t="n">
        <f aca="false">IF(AL$35&gt;=$AC$424,AL$35-$AC$424+1,0)</f>
        <v>0</v>
      </c>
      <c r="AM426" s="237" t="n">
        <f aca="false">IF(AM$35&gt;=$AC$424,AM$35-$AC$424+1,0)</f>
        <v>0</v>
      </c>
      <c r="AN426" s="237" t="n">
        <f aca="false">IF(AN$35&gt;=$AC$424,AN$35-$AC$424+1,0)</f>
        <v>0</v>
      </c>
      <c r="AO426" s="237" t="n">
        <f aca="false">IF(AO$35&gt;=$AC$424,AO$35-$AC$424+1,0)</f>
        <v>0</v>
      </c>
      <c r="AP426" s="237" t="n">
        <f aca="false">IF(AP$35&gt;=$AC$424,AP$35-$AC$424+1,0)</f>
        <v>0</v>
      </c>
      <c r="AQ426" s="237" t="n">
        <f aca="false">IF(AQ$35&gt;=$AC$424,AQ$35-$AC$424+1,0)</f>
        <v>0</v>
      </c>
      <c r="AR426" s="237" t="n">
        <f aca="false">IF(AR$35&gt;=$AC$424,AR$35-$AC$424+1,0)</f>
        <v>0</v>
      </c>
      <c r="AS426" s="237" t="n">
        <f aca="false">IF(AS$35&gt;=$AC$424,AS$35-$AC$424+1,0)</f>
        <v>0</v>
      </c>
      <c r="AT426" s="237" t="n">
        <f aca="false">IF(AT$35&gt;=$AC$424,AT$35-$AC$424+1,0)</f>
        <v>0</v>
      </c>
      <c r="AU426" s="237" t="n">
        <f aca="false">IF(AU$35&gt;=$AC$424,AU$35-$AC$424+1,0)</f>
        <v>0</v>
      </c>
      <c r="AV426" s="237" t="n">
        <f aca="false">IF(AV$35&gt;=$AC$424,AV$35-$AC$424+1,0)</f>
        <v>0</v>
      </c>
      <c r="AW426" s="237" t="n">
        <f aca="false">IF(AW$35&gt;=$AC$424,AW$35-$AC$424+1,0)</f>
        <v>0</v>
      </c>
      <c r="AX426" s="237" t="n">
        <f aca="false">IF(AX$35&gt;=$AC$424,AX$35-$AC$424+1,0)</f>
        <v>0</v>
      </c>
      <c r="AY426" s="237" t="n">
        <f aca="false">IF(AY$35&gt;=$AC$424,AY$35-$AC$424+1,0)</f>
        <v>0</v>
      </c>
      <c r="AZ426" s="237" t="n">
        <f aca="false">IF(AZ$35&gt;=$AC$424,AZ$35-$AC$424+1,0)</f>
        <v>0</v>
      </c>
      <c r="BA426" s="237" t="n">
        <f aca="false">IF(BA$35&gt;=$AC$424,BA$35-$AC$424+1,0)</f>
        <v>0</v>
      </c>
      <c r="BB426" s="237" t="n">
        <f aca="false">IF(BB$35&gt;=$AC$424,BB$35-$AC$424+1,0)</f>
        <v>0</v>
      </c>
      <c r="BC426" s="237" t="n">
        <f aca="false">IF(BC$35&gt;=$AC$424,BC$35-$AC$424+1,0)</f>
        <v>0</v>
      </c>
      <c r="BD426" s="237" t="n">
        <f aca="false">IF(BD$35&gt;=$AC$424,BD$35-$AC$424+1,0)</f>
        <v>0</v>
      </c>
      <c r="BE426" s="237" t="n">
        <f aca="false">IF(BE$35&gt;=$AC$424,BE$35-$AC$424+1,0)</f>
        <v>0</v>
      </c>
      <c r="BF426" s="237" t="n">
        <f aca="false">IF(BF$35&gt;=$AC$424,BF$35-$AC$424+1,0)</f>
        <v>0</v>
      </c>
      <c r="BG426" s="237" t="n">
        <f aca="false">IF(BG$35&gt;=$AC$424,BG$35-$AC$424+1,0)</f>
        <v>0</v>
      </c>
      <c r="BH426" s="237" t="n">
        <f aca="false">IF(BH$35&gt;=$AC$424,BH$35-$AC$424+1,0)</f>
        <v>0</v>
      </c>
      <c r="BI426" s="237" t="n">
        <f aca="false">IF(BI$35&gt;=$AC$424,BI$35-$AC$424+1,0)</f>
        <v>0</v>
      </c>
      <c r="BJ426" s="237" t="n">
        <f aca="false">IF(BJ$35&gt;=$AC$424,BJ$35-$AC$424+1,0)</f>
        <v>0</v>
      </c>
      <c r="BK426" s="237" t="n">
        <f aca="false">IF(BK$35&gt;=$AC$424,BK$35-$AC$424+1,0)</f>
        <v>0</v>
      </c>
      <c r="BL426" s="237" t="n">
        <f aca="false">IF(BL$35&gt;=$AC$424,BL$35-$AC$424+1,0)</f>
        <v>0</v>
      </c>
      <c r="BM426" s="237" t="n">
        <f aca="false">IF(BM$35&gt;=$AC$424,BM$35-$AC$424+1,0)</f>
        <v>0</v>
      </c>
      <c r="BN426" s="237" t="n">
        <f aca="false">IF(BN$35&gt;=$AC$424,BN$35-$AC$424+1,0)</f>
        <v>0</v>
      </c>
      <c r="BO426" s="237" t="n">
        <f aca="false">IF(BO$35&gt;=$AC$424,BO$35-$AC$424+1,0)</f>
        <v>0</v>
      </c>
      <c r="BP426" s="237" t="n">
        <f aca="false">IF(BP$35&gt;=$AC$424,BP$35-$AC$424+1,0)</f>
        <v>0</v>
      </c>
      <c r="BQ426" s="237" t="n">
        <f aca="false">IF(BQ$35&gt;=$AC$424,BQ$35-$AC$424+1,0)</f>
        <v>0</v>
      </c>
      <c r="BR426" s="237" t="n">
        <f aca="false">IF(BR$35&gt;=$AC$424,BR$35-$AC$424+1,0)</f>
        <v>0</v>
      </c>
      <c r="BS426" s="237" t="n">
        <f aca="false">IF(BS$35&gt;=$AC$424,BS$35-$AC$424+1,0)</f>
        <v>0</v>
      </c>
      <c r="BT426" s="237" t="n">
        <f aca="false">IF(BT$35&gt;=$AC$424,BT$35-$AC$424+1,0)</f>
        <v>0</v>
      </c>
      <c r="BU426" s="237" t="n">
        <f aca="false">IF(BU$35&gt;=$AC$424,BU$35-$AC$424+1,0)</f>
        <v>0</v>
      </c>
      <c r="BV426" s="237" t="n">
        <f aca="false">IF(BV$35&gt;=$AC$424,BV$35-$AC$424+1,0)</f>
        <v>0</v>
      </c>
      <c r="BW426" s="237" t="n">
        <f aca="false">IF(BW$35&gt;=$AC$424,BW$35-$AC$424+1,0)</f>
        <v>0</v>
      </c>
      <c r="BX426" s="237" t="n">
        <f aca="false">IF(BX$35&gt;=$AC$424,BX$35-$AC$424+1,0)</f>
        <v>0</v>
      </c>
      <c r="BY426" s="237" t="n">
        <f aca="false">IF(BY$35&gt;=$AC$424,BY$35-$AC$424+1,0)</f>
        <v>0</v>
      </c>
      <c r="BZ426" s="237" t="n">
        <f aca="false">IF(BZ$35&gt;=$AC$424,BZ$35-$AC$424+1,0)</f>
        <v>0</v>
      </c>
      <c r="CA426" s="237" t="n">
        <f aca="false">IF(CA$35&gt;=$AC$424,CA$35-$AC$424+1,0)</f>
        <v>0</v>
      </c>
      <c r="CB426" s="237" t="n">
        <f aca="false">IF(CB$35&gt;=$AC$424,CB$35-$AC$424+1,0)</f>
        <v>0</v>
      </c>
      <c r="CC426" s="237" t="n">
        <f aca="false">IF(CC$35&gt;=$AC$424,CC$35-$AC$424+1,0)</f>
        <v>0</v>
      </c>
      <c r="CD426" s="237" t="n">
        <f aca="false">IF(CD$35&gt;=$AC$424,CD$35-$AC$424+1,0)</f>
        <v>0</v>
      </c>
      <c r="CE426" s="237" t="n">
        <f aca="false">IF(CE$35&gt;=$AC$424,CE$35-$AC$424+1,0)</f>
        <v>0</v>
      </c>
      <c r="CF426" s="237" t="n">
        <f aca="false">IF(CF$35&gt;=$AC$424,CF$35-$AC$424+1,0)</f>
        <v>0</v>
      </c>
      <c r="CG426" s="237" t="n">
        <f aca="false">IF(CG$35&gt;=$AC$424,CG$35-$AC$424+1,0)</f>
        <v>0</v>
      </c>
      <c r="CH426" s="237" t="n">
        <f aca="false">IF(CH$35&gt;=$AC$424,CH$35-$AC$424+1,0)</f>
        <v>0</v>
      </c>
      <c r="CI426" s="237" t="n">
        <f aca="false">IF(CI$35&gt;=$AC$424,CI$35-$AC$424+1,0)</f>
        <v>0</v>
      </c>
      <c r="CJ426" s="237" t="n">
        <f aca="false">IF(CJ$35&gt;=$AC$424,CJ$35-$AC$424+1,0)</f>
        <v>0</v>
      </c>
      <c r="CK426" s="237" t="n">
        <f aca="false">IF(CK$35&gt;=$AC$424,CK$35-$AC$424+1,0)</f>
        <v>0</v>
      </c>
      <c r="CL426" s="237" t="n">
        <f aca="false">IF(CL$35&gt;=$AC$424,CL$35-$AC$424+1,0)</f>
        <v>0</v>
      </c>
      <c r="CM426" s="237" t="n">
        <f aca="false">IF(CM$35&gt;=$AC$424,CM$35-$AC$424+1,0)</f>
        <v>0</v>
      </c>
      <c r="CN426" s="237" t="n">
        <f aca="false">IF(CN$35&gt;=$AC$424,CN$35-$AC$424+1,0)</f>
        <v>0</v>
      </c>
      <c r="CO426" s="237" t="n">
        <f aca="false">IF(CO$35&gt;=$AC$424,CO$35-$AC$424+1,0)</f>
        <v>0</v>
      </c>
      <c r="CP426" s="237" t="n">
        <f aca="false">IF(CP$35&gt;=$AC$424,CP$35-$AC$424+1,0)</f>
        <v>0</v>
      </c>
      <c r="CQ426" s="237" t="n">
        <f aca="false">IF(CQ$35&gt;=$AC$424,CQ$35-$AC$424+1,0)</f>
        <v>0</v>
      </c>
      <c r="CR426" s="237" t="n">
        <f aca="false">IF(CR$35&gt;=$AC$424,CR$35-$AC$424+1,0)</f>
        <v>0</v>
      </c>
      <c r="CS426" s="237" t="n">
        <f aca="false">IF(CS$35&gt;=$AC$424,CS$35-$AC$424+1,0)</f>
        <v>0</v>
      </c>
      <c r="CT426" s="237" t="n">
        <f aca="false">IF(CT$35&gt;=$AC$424,CT$35-$AC$424+1,0)</f>
        <v>0</v>
      </c>
      <c r="CU426" s="237" t="n">
        <f aca="false">IF(CU$35&gt;=$AC$424,CU$35-$AC$424+1,0)</f>
        <v>0</v>
      </c>
      <c r="CV426" s="237" t="n">
        <f aca="false">IF(CV$35&gt;=$AC$424,CV$35-$AC$424+1,0)</f>
        <v>0</v>
      </c>
      <c r="CW426" s="237" t="n">
        <f aca="false">IF(CW$35&gt;=$AC$424,CW$35-$AC$424+1,0)</f>
        <v>0</v>
      </c>
      <c r="CX426" s="237" t="n">
        <f aca="false">IF(CX$35&gt;=$AC$424,CX$35-$AC$424+1,0)</f>
        <v>0</v>
      </c>
      <c r="CY426" s="237" t="n">
        <f aca="false">IF(CY$35&gt;=$AC$424,CY$35-$AC$424+1,0)</f>
        <v>0</v>
      </c>
      <c r="CZ426" s="237" t="n">
        <f aca="false">IF(CZ$35&gt;=$AC$424,CZ$35-$AC$424+1,0)</f>
        <v>0</v>
      </c>
      <c r="DA426" s="237" t="n">
        <f aca="false">IF(DA$35&gt;=$AC$424,DA$35-$AC$424+1,0)</f>
        <v>0</v>
      </c>
      <c r="DB426" s="237" t="n">
        <f aca="false">IF(DB$35&gt;=$AC$424,DB$35-$AC$424+1,0)</f>
        <v>0</v>
      </c>
      <c r="DC426" s="237" t="n">
        <f aca="false">IF(DC$35&gt;=$AC$424,DC$35-$AC$424+1,0)</f>
        <v>0</v>
      </c>
      <c r="DD426" s="237" t="n">
        <f aca="false">IF(DD$35&gt;=$AC$424,DD$35-$AC$424+1,0)</f>
        <v>0</v>
      </c>
      <c r="DE426" s="237" t="n">
        <f aca="false">IF(DE$35&gt;=$AC$424,DE$35-$AC$424+1,0)</f>
        <v>0</v>
      </c>
      <c r="DF426" s="237" t="n">
        <f aca="false">IF(DF$35&gt;=$AC$424,DF$35-$AC$424+1,0)</f>
        <v>0</v>
      </c>
      <c r="DG426" s="237" t="n">
        <f aca="false">IF(DG$35&gt;=$AC$424,DG$35-$AC$424+1,0)</f>
        <v>0</v>
      </c>
      <c r="DH426" s="237" t="n">
        <f aca="false">IF(DH$35&gt;=$AC$424,DH$35-$AC$424+1,0)</f>
        <v>0</v>
      </c>
      <c r="DI426" s="237" t="n">
        <f aca="false">IF(DI$35&gt;=$AC$424,DI$35-$AC$424+1,0)</f>
        <v>0</v>
      </c>
      <c r="DJ426" s="237" t="n">
        <f aca="false">IF(DJ$35&gt;=$AC$424,DJ$35-$AC$424+1,0)</f>
        <v>0</v>
      </c>
      <c r="DK426" s="237" t="n">
        <f aca="false">IF(DK$35&gt;=$AC$424,DK$35-$AC$424+1,0)</f>
        <v>0</v>
      </c>
      <c r="DL426" s="237" t="n">
        <f aca="false">IF(DL$35&gt;=$AC$424,DL$35-$AC$424+1,0)</f>
        <v>0</v>
      </c>
      <c r="DM426" s="237" t="n">
        <f aca="false">IF(DM$35&gt;=$AC$424,DM$35-$AC$424+1,0)</f>
        <v>0</v>
      </c>
      <c r="DN426" s="237" t="n">
        <f aca="false">IF(DN$35&gt;=$AC$424,DN$35-$AC$424+1,0)</f>
        <v>0</v>
      </c>
      <c r="DO426" s="237" t="n">
        <f aca="false">IF(DO$35&gt;=$AC$424,DO$35-$AC$424+1,0)</f>
        <v>0</v>
      </c>
      <c r="DP426" s="237" t="n">
        <f aca="false">IF(DP$35&gt;=$AC$424,DP$35-$AC$424+1,0)</f>
        <v>0</v>
      </c>
      <c r="DQ426" s="237" t="n">
        <f aca="false">IF(DQ$35&gt;=$AC$424,DQ$35-$AC$424+1,0)</f>
        <v>0</v>
      </c>
      <c r="DR426" s="237" t="n">
        <f aca="false">IF(DR$35&gt;=$AC$424,DR$35-$AC$424+1,0)</f>
        <v>0</v>
      </c>
      <c r="DS426" s="237" t="n">
        <f aca="false">IF(DS$35&gt;=$AC$424,DS$35-$AC$424+1,0)</f>
        <v>0</v>
      </c>
      <c r="DT426" s="237" t="n">
        <f aca="false">IF(DT$35&gt;=$AC$424,DT$35-$AC$424+1,0)</f>
        <v>0</v>
      </c>
      <c r="DU426" s="237" t="n">
        <f aca="false">IF(DU$35&gt;=$AC$424,DU$35-$AC$424+1,0)</f>
        <v>0</v>
      </c>
      <c r="DV426" s="237" t="n">
        <f aca="false">IF(DV$35&gt;=$AC$424,DV$35-$AC$424+1,0)</f>
        <v>0</v>
      </c>
      <c r="DW426" s="237" t="n">
        <f aca="false">IF(DW$35&gt;=$AC$424,DW$35-$AC$424+1,0)</f>
        <v>0</v>
      </c>
      <c r="DX426" s="237" t="n">
        <f aca="false">IF(DX$35&gt;=$AC$424,DX$35-$AC$424+1,0)</f>
        <v>0</v>
      </c>
      <c r="DY426" s="237" t="n">
        <f aca="false">IF(DY$35&gt;=$AC$424,DY$35-$AC$424+1,0)</f>
        <v>0</v>
      </c>
      <c r="DZ426" s="237" t="n">
        <f aca="false">IF(DZ$35&gt;=$AC$424,DZ$35-$AC$424+1,0)</f>
        <v>0</v>
      </c>
      <c r="EA426" s="237" t="n">
        <f aca="false">IF(EA$35&gt;=$AC$424,EA$35-$AC$424+1,0)</f>
        <v>0</v>
      </c>
      <c r="EB426" s="237" t="n">
        <f aca="false">IF(EB$35&gt;=$AC$424,EB$35-$AC$424+1,0)</f>
        <v>0</v>
      </c>
      <c r="EC426" s="237" t="n">
        <f aca="false">IF(EC$35&gt;=$AC$424,EC$35-$AC$424+1,0)</f>
        <v>0</v>
      </c>
      <c r="ED426" s="237" t="n">
        <f aca="false">IF(ED$35&gt;=$AC$424,ED$35-$AC$424+1,0)</f>
        <v>0</v>
      </c>
      <c r="EE426" s="237" t="n">
        <f aca="false">IF(EE$35&gt;=$AC$424,EE$35-$AC$424+1,0)</f>
        <v>0</v>
      </c>
      <c r="EF426" s="237" t="n">
        <f aca="false">IF(EF$35&gt;=$AC$424,EF$35-$AC$424+1,0)</f>
        <v>0</v>
      </c>
      <c r="EG426" s="237" t="n">
        <f aca="false">IF(EG$35&gt;=$AC$424,EG$35-$AC$424+1,0)</f>
        <v>0</v>
      </c>
      <c r="EH426" s="237" t="n">
        <f aca="false">IF(EH$35&gt;=$AC$424,EH$35-$AC$424+1,0)</f>
        <v>0</v>
      </c>
      <c r="EI426" s="237" t="n">
        <f aca="false">IF(EI$35&gt;=$AC$424,EI$35-$AC$424+1,0)</f>
        <v>0</v>
      </c>
      <c r="EJ426" s="237" t="n">
        <f aca="false">IF(EJ$35&gt;=$AC$424,EJ$35-$AC$424+1,0)</f>
        <v>0</v>
      </c>
      <c r="EK426" s="237" t="n">
        <f aca="false">IF(EK$35&gt;=$AC$424,EK$35-$AC$424+1,0)</f>
        <v>0</v>
      </c>
      <c r="EL426" s="237" t="n">
        <f aca="false">IF(EL$35&gt;=$AC$424,EL$35-$AC$424+1,0)</f>
        <v>1</v>
      </c>
      <c r="EM426" s="237" t="n">
        <f aca="false">IF(EM$35&gt;=$AC$424,EM$35-$AC$424+1,0)</f>
        <v>2</v>
      </c>
      <c r="EN426" s="237" t="n">
        <f aca="false">IF(EN$35&gt;=$AC$424,EN$35-$AC$424+1,0)</f>
        <v>3</v>
      </c>
      <c r="EO426" s="237" t="n">
        <f aca="false">IF(EO$35&gt;=$AC$424,EO$35-$AC$424+1,0)</f>
        <v>4</v>
      </c>
      <c r="EP426" s="237" t="n">
        <f aca="false">IF(EP$35&gt;=$AC$424,EP$35-$AC$424+1,0)</f>
        <v>5</v>
      </c>
      <c r="EQ426" s="237" t="n">
        <f aca="false">IF(EQ$35&gt;=$AC$424,EQ$35-$AC$424+1,0)</f>
        <v>6</v>
      </c>
      <c r="ER426" s="237" t="n">
        <f aca="false">IF(ER$35&gt;=$AC$424,ER$35-$AC$424+1,0)</f>
        <v>7</v>
      </c>
      <c r="ES426" s="9" t="n">
        <f aca="false">IF(ES$35&gt;=$AC$424,ES$35-$AC$424+1,0)</f>
        <v>8</v>
      </c>
      <c r="ET426" s="9" t="n">
        <f aca="false">IF(ET$35&gt;=$AC$424,ET$35-$AC$424+1,0)</f>
        <v>9</v>
      </c>
      <c r="EU426" s="9" t="n">
        <f aca="false">IF(EU$35&gt;=$AC$424,EU$35-$AC$424+1,0)</f>
        <v>10</v>
      </c>
      <c r="EV426" s="9" t="n">
        <f aca="false">IF(EV$35&gt;=$AC$424,EV$35-$AC$424+1,0)</f>
        <v>11</v>
      </c>
      <c r="EW426" s="9" t="n">
        <f aca="false">IF(EW$35&gt;=$AC$424,EW$35-$AC$424+1,0)</f>
        <v>12</v>
      </c>
      <c r="EX426" s="9" t="n">
        <f aca="false">IF(EX$35&gt;=$AC$424,EX$35-$AC$424+1,0)</f>
        <v>13</v>
      </c>
      <c r="EY426" s="9" t="n">
        <f aca="false">IF(EY$35&gt;=$AC$424,EY$35-$AC$424+1,0)</f>
        <v>14</v>
      </c>
      <c r="EZ426" s="9" t="n">
        <f aca="false">IF(EZ$35&gt;=$AC$424,EZ$35-$AC$424+1,0)</f>
        <v>15</v>
      </c>
      <c r="FA426" s="9" t="n">
        <f aca="false">IF(FA$35&gt;=$AC$424,FA$35-$AC$424+1,0)</f>
        <v>16</v>
      </c>
      <c r="FB426" s="9" t="n">
        <f aca="false">IF(FB$35&gt;=$AC$424,FB$35-$AC$424+1,0)</f>
        <v>17</v>
      </c>
      <c r="FC426" s="9" t="n">
        <f aca="false">IF(FC$35&gt;=$AC$424,FC$35-$AC$424+1,0)</f>
        <v>18</v>
      </c>
      <c r="FD426" s="9" t="n">
        <f aca="false">IF(FD$35&gt;=$AC$424,FD$35-$AC$424+1,0)</f>
        <v>19</v>
      </c>
      <c r="FE426" s="9" t="n">
        <f aca="false">IF(FE$35&gt;=$AC$424,FE$35-$AC$424+1,0)</f>
        <v>20</v>
      </c>
      <c r="FF426" s="9" t="n">
        <f aca="false">IF(FF$35&gt;=$AC$424,FF$35-$AC$424+1,0)</f>
        <v>21</v>
      </c>
      <c r="FG426" s="9" t="n">
        <f aca="false">IF(FG$35&gt;=$AC$424,FG$35-$AC$424+1,0)</f>
        <v>22</v>
      </c>
      <c r="FH426" s="9" t="n">
        <f aca="false">IF(FH$35&gt;=$AC$424,FH$35-$AC$424+1,0)</f>
        <v>23</v>
      </c>
      <c r="FI426" s="9" t="n">
        <f aca="false">IF(FI$35&gt;=$AC$424,FI$35-$AC$424+1,0)</f>
        <v>24</v>
      </c>
      <c r="FJ426" s="9" t="n">
        <f aca="false">IF(FJ$35&gt;=$AC$424,FJ$35-$AC$424+1,0)</f>
        <v>25</v>
      </c>
      <c r="FK426" s="9" t="n">
        <f aca="false">IF(FK$35&gt;=$AC$424,FK$35-$AC$424+1,0)</f>
        <v>26</v>
      </c>
      <c r="FL426" s="9" t="n">
        <f aca="false">IF(FL$35&gt;=$AC$424,FL$35-$AC$424+1,0)</f>
        <v>27</v>
      </c>
      <c r="FM426" s="9" t="n">
        <f aca="false">IF(FM$35&gt;=$AC$424,FM$35-$AC$424+1,0)</f>
        <v>28</v>
      </c>
      <c r="FN426" s="9" t="n">
        <f aca="false">IF(FN$35&gt;=$AC$424,FN$35-$AC$424+1,0)</f>
        <v>29</v>
      </c>
      <c r="FO426" s="9" t="n">
        <f aca="false">IF(FO$35&gt;=$AC$424,FO$35-$AC$424+1,0)</f>
        <v>30</v>
      </c>
      <c r="FP426" s="9" t="n">
        <f aca="false">IF(FP$35&gt;=$AC$424,FP$35-$AC$424+1,0)</f>
        <v>31</v>
      </c>
    </row>
    <row r="427" customFormat="false" ht="15" hidden="false" customHeight="false" outlineLevel="2" collapsed="false">
      <c r="B427" s="47" t="s">
        <v>874</v>
      </c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237" t="n">
        <f aca="false" t="array" ref="AC427:AC427">IF(AC426=0,0,IF(AC426/'🎚️ Escenario'!$C$11&gt;=36,$AL$23,INDEX($C$23:$AL$23,MAX(1,ROUNDUP(AC426/'🎚️ Escenario'!$C$11,0)))))</f>
        <v>0</v>
      </c>
      <c r="AD427" s="237" t="n">
        <f aca="false" t="array" ref="AD427:AD427">IF(AD426=0,0,IF(AD426/'🎚️ Escenario'!$C$11&gt;=36,$AL$23,INDEX($C$23:$AL$23,MAX(1,ROUNDUP(AD426/'🎚️ Escenario'!$C$11,0)))))</f>
        <v>0</v>
      </c>
      <c r="AE427" s="237" t="n">
        <f aca="false" t="array" ref="AE427:AE427">IF(AE426=0,0,IF(AE426/'🎚️ Escenario'!$C$11&gt;=36,$AL$23,INDEX($C$23:$AL$23,MAX(1,ROUNDUP(AE426/'🎚️ Escenario'!$C$11,0)))))</f>
        <v>0</v>
      </c>
      <c r="AF427" s="237" t="n">
        <f aca="false" t="array" ref="AF427:AF427">IF(AF426=0,0,IF(AF426/'🎚️ Escenario'!$C$11&gt;=36,$AL$23,INDEX($C$23:$AL$23,MAX(1,ROUNDUP(AF426/'🎚️ Escenario'!$C$11,0)))))</f>
        <v>0</v>
      </c>
      <c r="AG427" s="237" t="n">
        <f aca="false" t="array" ref="AG427:AG427">IF(AG426=0,0,IF(AG426/'🎚️ Escenario'!$C$11&gt;=36,$AL$23,INDEX($C$23:$AL$23,MAX(1,ROUNDUP(AG426/'🎚️ Escenario'!$C$11,0)))))</f>
        <v>0</v>
      </c>
      <c r="AH427" s="237" t="n">
        <f aca="false" t="array" ref="AH427:AH427">IF(AH426=0,0,IF(AH426/'🎚️ Escenario'!$C$11&gt;=36,$AL$23,INDEX($C$23:$AL$23,MAX(1,ROUNDUP(AH426/'🎚️ Escenario'!$C$11,0)))))</f>
        <v>0</v>
      </c>
      <c r="AI427" s="237" t="n">
        <f aca="false" t="array" ref="AI427:AI427">IF(AI426=0,0,IF(AI426/'🎚️ Escenario'!$C$11&gt;=36,$AL$23,INDEX($C$23:$AL$23,MAX(1,ROUNDUP(AI426/'🎚️ Escenario'!$C$11,0)))))</f>
        <v>0</v>
      </c>
      <c r="AJ427" s="237" t="n">
        <f aca="false" t="array" ref="AJ427:AJ427">IF(AJ426=0,0,IF(AJ426/'🎚️ Escenario'!$C$11&gt;=36,$AL$23,INDEX($C$23:$AL$23,MAX(1,ROUNDUP(AJ426/'🎚️ Escenario'!$C$11,0)))))</f>
        <v>0</v>
      </c>
      <c r="AK427" s="237" t="n">
        <f aca="false" t="array" ref="AK427:AK427">IF(AK426=0,0,IF(AK426/'🎚️ Escenario'!$C$11&gt;=36,$AL$23,INDEX($C$23:$AL$23,MAX(1,ROUNDUP(AK426/'🎚️ Escenario'!$C$11,0)))))</f>
        <v>0</v>
      </c>
      <c r="AL427" s="237" t="n">
        <f aca="false" t="array" ref="AL427:AL427">IF(AL426=0,0,IF(AL426/'🎚️ Escenario'!$C$11&gt;=36,$AL$23,INDEX($C$23:$AL$23,MAX(1,ROUNDUP(AL426/'🎚️ Escenario'!$C$11,0)))))</f>
        <v>0</v>
      </c>
      <c r="AM427" s="237" t="n">
        <f aca="false" t="array" ref="AM427:AM427">IF(AM426=0,0,IF(AM426/'🎚️ Escenario'!$C$11&gt;=36,$AL$23,INDEX($C$23:$AL$23,MAX(1,ROUNDUP(AM426/'🎚️ Escenario'!$C$11,0)))))</f>
        <v>0</v>
      </c>
      <c r="AN427" s="237" t="n">
        <f aca="false" t="array" ref="AN427:AN427">IF(AN426=0,0,IF(AN426/'🎚️ Escenario'!$C$11&gt;=36,$AL$23,INDEX($C$23:$AL$23,MAX(1,ROUNDUP(AN426/'🎚️ Escenario'!$C$11,0)))))</f>
        <v>0</v>
      </c>
      <c r="AO427" s="237" t="n">
        <f aca="false" t="array" ref="AO427:AO427">IF(AO426=0,0,IF(AO426/'🎚️ Escenario'!$C$11&gt;=36,$AL$23,INDEX($C$23:$AL$23,MAX(1,ROUNDUP(AO426/'🎚️ Escenario'!$C$11,0)))))</f>
        <v>0</v>
      </c>
      <c r="AP427" s="237" t="n">
        <f aca="false" t="array" ref="AP427:AP427">IF(AP426=0,0,IF(AP426/'🎚️ Escenario'!$C$11&gt;=36,$AL$23,INDEX($C$23:$AL$23,MAX(1,ROUNDUP(AP426/'🎚️ Escenario'!$C$11,0)))))</f>
        <v>0</v>
      </c>
      <c r="AQ427" s="237" t="n">
        <f aca="false" t="array" ref="AQ427:AQ427">IF(AQ426=0,0,IF(AQ426/'🎚️ Escenario'!$C$11&gt;=36,$AL$23,INDEX($C$23:$AL$23,MAX(1,ROUNDUP(AQ426/'🎚️ Escenario'!$C$11,0)))))</f>
        <v>0</v>
      </c>
      <c r="AR427" s="237" t="n">
        <f aca="false" t="array" ref="AR427:AR427">IF(AR426=0,0,IF(AR426/'🎚️ Escenario'!$C$11&gt;=36,$AL$23,INDEX($C$23:$AL$23,MAX(1,ROUNDUP(AR426/'🎚️ Escenario'!$C$11,0)))))</f>
        <v>0</v>
      </c>
      <c r="AS427" s="237" t="n">
        <f aca="false" t="array" ref="AS427:AS427">IF(AS426=0,0,IF(AS426/'🎚️ Escenario'!$C$11&gt;=36,$AL$23,INDEX($C$23:$AL$23,MAX(1,ROUNDUP(AS426/'🎚️ Escenario'!$C$11,0)))))</f>
        <v>0</v>
      </c>
      <c r="AT427" s="237" t="n">
        <f aca="false" t="array" ref="AT427:AT427">IF(AT426=0,0,IF(AT426/'🎚️ Escenario'!$C$11&gt;=36,$AL$23,INDEX($C$23:$AL$23,MAX(1,ROUNDUP(AT426/'🎚️ Escenario'!$C$11,0)))))</f>
        <v>0</v>
      </c>
      <c r="AU427" s="237" t="n">
        <f aca="false" t="array" ref="AU427:AU427">IF(AU426=0,0,IF(AU426/'🎚️ Escenario'!$C$11&gt;=36,$AL$23,INDEX($C$23:$AL$23,MAX(1,ROUNDUP(AU426/'🎚️ Escenario'!$C$11,0)))))</f>
        <v>0</v>
      </c>
      <c r="AV427" s="237" t="n">
        <f aca="false" t="array" ref="AV427:AV427">IF(AV426=0,0,IF(AV426/'🎚️ Escenario'!$C$11&gt;=36,$AL$23,INDEX($C$23:$AL$23,MAX(1,ROUNDUP(AV426/'🎚️ Escenario'!$C$11,0)))))</f>
        <v>0</v>
      </c>
      <c r="AW427" s="237" t="n">
        <f aca="false" t="array" ref="AW427:AW427">IF(AW426=0,0,IF(AW426/'🎚️ Escenario'!$C$11&gt;=36,$AL$23,INDEX($C$23:$AL$23,MAX(1,ROUNDUP(AW426/'🎚️ Escenario'!$C$11,0)))))</f>
        <v>0</v>
      </c>
      <c r="AX427" s="237" t="n">
        <f aca="false" t="array" ref="AX427:AX427">IF(AX426=0,0,IF(AX426/'🎚️ Escenario'!$C$11&gt;=36,$AL$23,INDEX($C$23:$AL$23,MAX(1,ROUNDUP(AX426/'🎚️ Escenario'!$C$11,0)))))</f>
        <v>0</v>
      </c>
      <c r="AY427" s="237" t="n">
        <f aca="false" t="array" ref="AY427:AY427">IF(AY426=0,0,IF(AY426/'🎚️ Escenario'!$C$11&gt;=36,$AL$23,INDEX($C$23:$AL$23,MAX(1,ROUNDUP(AY426/'🎚️ Escenario'!$C$11,0)))))</f>
        <v>0</v>
      </c>
      <c r="AZ427" s="237" t="n">
        <f aca="false" t="array" ref="AZ427:AZ427">IF(AZ426=0,0,IF(AZ426/'🎚️ Escenario'!$C$11&gt;=36,$AL$23,INDEX($C$23:$AL$23,MAX(1,ROUNDUP(AZ426/'🎚️ Escenario'!$C$11,0)))))</f>
        <v>0</v>
      </c>
      <c r="BA427" s="237" t="n">
        <f aca="false" t="array" ref="BA427:BA427">IF(BA426=0,0,IF(BA426/'🎚️ Escenario'!$C$11&gt;=36,$AL$23,INDEX($C$23:$AL$23,MAX(1,ROUNDUP(BA426/'🎚️ Escenario'!$C$11,0)))))</f>
        <v>0</v>
      </c>
      <c r="BB427" s="237" t="n">
        <f aca="false" t="array" ref="BB427:BB427">IF(BB426=0,0,IF(BB426/'🎚️ Escenario'!$C$11&gt;=36,$AL$23,INDEX($C$23:$AL$23,MAX(1,ROUNDUP(BB426/'🎚️ Escenario'!$C$11,0)))))</f>
        <v>0</v>
      </c>
      <c r="BC427" s="237" t="n">
        <f aca="false" t="array" ref="BC427:BC427">IF(BC426=0,0,IF(BC426/'🎚️ Escenario'!$C$11&gt;=36,$AL$23,INDEX($C$23:$AL$23,MAX(1,ROUNDUP(BC426/'🎚️ Escenario'!$C$11,0)))))</f>
        <v>0</v>
      </c>
      <c r="BD427" s="237" t="n">
        <f aca="false" t="array" ref="BD427:BD427">IF(BD426=0,0,IF(BD426/'🎚️ Escenario'!$C$11&gt;=36,$AL$23,INDEX($C$23:$AL$23,MAX(1,ROUNDUP(BD426/'🎚️ Escenario'!$C$11,0)))))</f>
        <v>0</v>
      </c>
      <c r="BE427" s="237" t="n">
        <f aca="false" t="array" ref="BE427:BE427">IF(BE426=0,0,IF(BE426/'🎚️ Escenario'!$C$11&gt;=36,$AL$23,INDEX($C$23:$AL$23,MAX(1,ROUNDUP(BE426/'🎚️ Escenario'!$C$11,0)))))</f>
        <v>0</v>
      </c>
      <c r="BF427" s="237" t="n">
        <f aca="false" t="array" ref="BF427:BF427">IF(BF426=0,0,IF(BF426/'🎚️ Escenario'!$C$11&gt;=36,$AL$23,INDEX($C$23:$AL$23,MAX(1,ROUNDUP(BF426/'🎚️ Escenario'!$C$11,0)))))</f>
        <v>0</v>
      </c>
      <c r="BG427" s="237" t="n">
        <f aca="false" t="array" ref="BG427:BG427">IF(BG426=0,0,IF(BG426/'🎚️ Escenario'!$C$11&gt;=36,$AL$23,INDEX($C$23:$AL$23,MAX(1,ROUNDUP(BG426/'🎚️ Escenario'!$C$11,0)))))</f>
        <v>0</v>
      </c>
      <c r="BH427" s="237" t="n">
        <f aca="false" t="array" ref="BH427:BH427">IF(BH426=0,0,IF(BH426/'🎚️ Escenario'!$C$11&gt;=36,$AL$23,INDEX($C$23:$AL$23,MAX(1,ROUNDUP(BH426/'🎚️ Escenario'!$C$11,0)))))</f>
        <v>0</v>
      </c>
      <c r="BI427" s="237" t="n">
        <f aca="false" t="array" ref="BI427:BI427">IF(BI426=0,0,IF(BI426/'🎚️ Escenario'!$C$11&gt;=36,$AL$23,INDEX($C$23:$AL$23,MAX(1,ROUNDUP(BI426/'🎚️ Escenario'!$C$11,0)))))</f>
        <v>0</v>
      </c>
      <c r="BJ427" s="237" t="n">
        <f aca="false" t="array" ref="BJ427:BJ427">IF(BJ426=0,0,IF(BJ426/'🎚️ Escenario'!$C$11&gt;=36,$AL$23,INDEX($C$23:$AL$23,MAX(1,ROUNDUP(BJ426/'🎚️ Escenario'!$C$11,0)))))</f>
        <v>0</v>
      </c>
      <c r="BK427" s="237" t="n">
        <f aca="false" t="array" ref="BK427:BK427">IF(BK426=0,0,IF(BK426/'🎚️ Escenario'!$C$11&gt;=36,$AL$23,INDEX($C$23:$AL$23,MAX(1,ROUNDUP(BK426/'🎚️ Escenario'!$C$11,0)))))</f>
        <v>0</v>
      </c>
      <c r="BL427" s="237" t="n">
        <f aca="false" t="array" ref="BL427:BL427">IF(BL426=0,0,IF(BL426/'🎚️ Escenario'!$C$11&gt;=36,$AL$23,INDEX($C$23:$AL$23,MAX(1,ROUNDUP(BL426/'🎚️ Escenario'!$C$11,0)))))</f>
        <v>0</v>
      </c>
      <c r="BM427" s="237" t="n">
        <f aca="false" t="array" ref="BM427:BM427">IF(BM426=0,0,IF(BM426/'🎚️ Escenario'!$C$11&gt;=36,$AL$23,INDEX($C$23:$AL$23,MAX(1,ROUNDUP(BM426/'🎚️ Escenario'!$C$11,0)))))</f>
        <v>0</v>
      </c>
      <c r="BN427" s="237" t="n">
        <f aca="false" t="array" ref="BN427:BN427">IF(BN426=0,0,IF(BN426/'🎚️ Escenario'!$C$11&gt;=36,$AL$23,INDEX($C$23:$AL$23,MAX(1,ROUNDUP(BN426/'🎚️ Escenario'!$C$11,0)))))</f>
        <v>0</v>
      </c>
      <c r="BO427" s="237" t="n">
        <f aca="false" t="array" ref="BO427:BO427">IF(BO426=0,0,IF(BO426/'🎚️ Escenario'!$C$11&gt;=36,$AL$23,INDEX($C$23:$AL$23,MAX(1,ROUNDUP(BO426/'🎚️ Escenario'!$C$11,0)))))</f>
        <v>0</v>
      </c>
      <c r="BP427" s="237" t="n">
        <f aca="false" t="array" ref="BP427:BP427">IF(BP426=0,0,IF(BP426/'🎚️ Escenario'!$C$11&gt;=36,$AL$23,INDEX($C$23:$AL$23,MAX(1,ROUNDUP(BP426/'🎚️ Escenario'!$C$11,0)))))</f>
        <v>0</v>
      </c>
      <c r="BQ427" s="237" t="n">
        <f aca="false" t="array" ref="BQ427:BQ427">IF(BQ426=0,0,IF(BQ426/'🎚️ Escenario'!$C$11&gt;=36,$AL$23,INDEX($C$23:$AL$23,MAX(1,ROUNDUP(BQ426/'🎚️ Escenario'!$C$11,0)))))</f>
        <v>0</v>
      </c>
      <c r="BR427" s="237" t="n">
        <f aca="false" t="array" ref="BR427:BR427">IF(BR426=0,0,IF(BR426/'🎚️ Escenario'!$C$11&gt;=36,$AL$23,INDEX($C$23:$AL$23,MAX(1,ROUNDUP(BR426/'🎚️ Escenario'!$C$11,0)))))</f>
        <v>0</v>
      </c>
      <c r="BS427" s="237" t="n">
        <f aca="false" t="array" ref="BS427:BS427">IF(BS426=0,0,IF(BS426/'🎚️ Escenario'!$C$11&gt;=36,$AL$23,INDEX($C$23:$AL$23,MAX(1,ROUNDUP(BS426/'🎚️ Escenario'!$C$11,0)))))</f>
        <v>0</v>
      </c>
      <c r="BT427" s="237" t="n">
        <f aca="false" t="array" ref="BT427:BT427">IF(BT426=0,0,IF(BT426/'🎚️ Escenario'!$C$11&gt;=36,$AL$23,INDEX($C$23:$AL$23,MAX(1,ROUNDUP(BT426/'🎚️ Escenario'!$C$11,0)))))</f>
        <v>0</v>
      </c>
      <c r="BU427" s="237" t="n">
        <f aca="false" t="array" ref="BU427:BU427">IF(BU426=0,0,IF(BU426/'🎚️ Escenario'!$C$11&gt;=36,$AL$23,INDEX($C$23:$AL$23,MAX(1,ROUNDUP(BU426/'🎚️ Escenario'!$C$11,0)))))</f>
        <v>0</v>
      </c>
      <c r="BV427" s="237" t="n">
        <f aca="false" t="array" ref="BV427:BV427">IF(BV426=0,0,IF(BV426/'🎚️ Escenario'!$C$11&gt;=36,$AL$23,INDEX($C$23:$AL$23,MAX(1,ROUNDUP(BV426/'🎚️ Escenario'!$C$11,0)))))</f>
        <v>0</v>
      </c>
      <c r="BW427" s="237" t="n">
        <f aca="false" t="array" ref="BW427:BW427">IF(BW426=0,0,IF(BW426/'🎚️ Escenario'!$C$11&gt;=36,$AL$23,INDEX($C$23:$AL$23,MAX(1,ROUNDUP(BW426/'🎚️ Escenario'!$C$11,0)))))</f>
        <v>0</v>
      </c>
      <c r="BX427" s="237" t="n">
        <f aca="false" t="array" ref="BX427:BX427">IF(BX426=0,0,IF(BX426/'🎚️ Escenario'!$C$11&gt;=36,$AL$23,INDEX($C$23:$AL$23,MAX(1,ROUNDUP(BX426/'🎚️ Escenario'!$C$11,0)))))</f>
        <v>0</v>
      </c>
      <c r="BY427" s="237" t="n">
        <f aca="false" t="array" ref="BY427:BY427">IF(BY426=0,0,IF(BY426/'🎚️ Escenario'!$C$11&gt;=36,$AL$23,INDEX($C$23:$AL$23,MAX(1,ROUNDUP(BY426/'🎚️ Escenario'!$C$11,0)))))</f>
        <v>0</v>
      </c>
      <c r="BZ427" s="237" t="n">
        <f aca="false" t="array" ref="BZ427:BZ427">IF(BZ426=0,0,IF(BZ426/'🎚️ Escenario'!$C$11&gt;=36,$AL$23,INDEX($C$23:$AL$23,MAX(1,ROUNDUP(BZ426/'🎚️ Escenario'!$C$11,0)))))</f>
        <v>0</v>
      </c>
      <c r="CA427" s="237" t="n">
        <f aca="false" t="array" ref="CA427:CA427">IF(CA426=0,0,IF(CA426/'🎚️ Escenario'!$C$11&gt;=36,$AL$23,INDEX($C$23:$AL$23,MAX(1,ROUNDUP(CA426/'🎚️ Escenario'!$C$11,0)))))</f>
        <v>0</v>
      </c>
      <c r="CB427" s="237" t="n">
        <f aca="false" t="array" ref="CB427:CB427">IF(CB426=0,0,IF(CB426/'🎚️ Escenario'!$C$11&gt;=36,$AL$23,INDEX($C$23:$AL$23,MAX(1,ROUNDUP(CB426/'🎚️ Escenario'!$C$11,0)))))</f>
        <v>0</v>
      </c>
      <c r="CC427" s="237" t="n">
        <f aca="false" t="array" ref="CC427:CC427">IF(CC426=0,0,IF(CC426/'🎚️ Escenario'!$C$11&gt;=36,$AL$23,INDEX($C$23:$AL$23,MAX(1,ROUNDUP(CC426/'🎚️ Escenario'!$C$11,0)))))</f>
        <v>0</v>
      </c>
      <c r="CD427" s="237" t="n">
        <f aca="false" t="array" ref="CD427:CD427">IF(CD426=0,0,IF(CD426/'🎚️ Escenario'!$C$11&gt;=36,$AL$23,INDEX($C$23:$AL$23,MAX(1,ROUNDUP(CD426/'🎚️ Escenario'!$C$11,0)))))</f>
        <v>0</v>
      </c>
      <c r="CE427" s="237" t="n">
        <f aca="false" t="array" ref="CE427:CE427">IF(CE426=0,0,IF(CE426/'🎚️ Escenario'!$C$11&gt;=36,$AL$23,INDEX($C$23:$AL$23,MAX(1,ROUNDUP(CE426/'🎚️ Escenario'!$C$11,0)))))</f>
        <v>0</v>
      </c>
      <c r="CF427" s="237" t="n">
        <f aca="false" t="array" ref="CF427:CF427">IF(CF426=0,0,IF(CF426/'🎚️ Escenario'!$C$11&gt;=36,$AL$23,INDEX($C$23:$AL$23,MAX(1,ROUNDUP(CF426/'🎚️ Escenario'!$C$11,0)))))</f>
        <v>0</v>
      </c>
      <c r="CG427" s="237" t="n">
        <f aca="false" t="array" ref="CG427:CG427">IF(CG426=0,0,IF(CG426/'🎚️ Escenario'!$C$11&gt;=36,$AL$23,INDEX($C$23:$AL$23,MAX(1,ROUNDUP(CG426/'🎚️ Escenario'!$C$11,0)))))</f>
        <v>0</v>
      </c>
      <c r="CH427" s="237" t="n">
        <f aca="false" t="array" ref="CH427:CH427">IF(CH426=0,0,IF(CH426/'🎚️ Escenario'!$C$11&gt;=36,$AL$23,INDEX($C$23:$AL$23,MAX(1,ROUNDUP(CH426/'🎚️ Escenario'!$C$11,0)))))</f>
        <v>0</v>
      </c>
      <c r="CI427" s="237" t="n">
        <f aca="false" t="array" ref="CI427:CI427">IF(CI426=0,0,IF(CI426/'🎚️ Escenario'!$C$11&gt;=36,$AL$23,INDEX($C$23:$AL$23,MAX(1,ROUNDUP(CI426/'🎚️ Escenario'!$C$11,0)))))</f>
        <v>0</v>
      </c>
      <c r="CJ427" s="237" t="n">
        <f aca="false" t="array" ref="CJ427:CJ427">IF(CJ426=0,0,IF(CJ426/'🎚️ Escenario'!$C$11&gt;=36,$AL$23,INDEX($C$23:$AL$23,MAX(1,ROUNDUP(CJ426/'🎚️ Escenario'!$C$11,0)))))</f>
        <v>0</v>
      </c>
      <c r="CK427" s="237" t="n">
        <f aca="false" t="array" ref="CK427:CK427">IF(CK426=0,0,IF(CK426/'🎚️ Escenario'!$C$11&gt;=36,$AL$23,INDEX($C$23:$AL$23,MAX(1,ROUNDUP(CK426/'🎚️ Escenario'!$C$11,0)))))</f>
        <v>0</v>
      </c>
      <c r="CL427" s="237" t="n">
        <f aca="false" t="array" ref="CL427:CL427">IF(CL426=0,0,IF(CL426/'🎚️ Escenario'!$C$11&gt;=36,$AL$23,INDEX($C$23:$AL$23,MAX(1,ROUNDUP(CL426/'🎚️ Escenario'!$C$11,0)))))</f>
        <v>0</v>
      </c>
      <c r="CM427" s="237" t="n">
        <f aca="false" t="array" ref="CM427:CM427">IF(CM426=0,0,IF(CM426/'🎚️ Escenario'!$C$11&gt;=36,$AL$23,INDEX($C$23:$AL$23,MAX(1,ROUNDUP(CM426/'🎚️ Escenario'!$C$11,0)))))</f>
        <v>0</v>
      </c>
      <c r="CN427" s="237" t="n">
        <f aca="false" t="array" ref="CN427:CN427">IF(CN426=0,0,IF(CN426/'🎚️ Escenario'!$C$11&gt;=36,$AL$23,INDEX($C$23:$AL$23,MAX(1,ROUNDUP(CN426/'🎚️ Escenario'!$C$11,0)))))</f>
        <v>0</v>
      </c>
      <c r="CO427" s="237" t="n">
        <f aca="false" t="array" ref="CO427:CO427">IF(CO426=0,0,IF(CO426/'🎚️ Escenario'!$C$11&gt;=36,$AL$23,INDEX($C$23:$AL$23,MAX(1,ROUNDUP(CO426/'🎚️ Escenario'!$C$11,0)))))</f>
        <v>0</v>
      </c>
      <c r="CP427" s="237" t="n">
        <f aca="false" t="array" ref="CP427:CP427">IF(CP426=0,0,IF(CP426/'🎚️ Escenario'!$C$11&gt;=36,$AL$23,INDEX($C$23:$AL$23,MAX(1,ROUNDUP(CP426/'🎚️ Escenario'!$C$11,0)))))</f>
        <v>0</v>
      </c>
      <c r="CQ427" s="237" t="n">
        <f aca="false" t="array" ref="CQ427:CQ427">IF(CQ426=0,0,IF(CQ426/'🎚️ Escenario'!$C$11&gt;=36,$AL$23,INDEX($C$23:$AL$23,MAX(1,ROUNDUP(CQ426/'🎚️ Escenario'!$C$11,0)))))</f>
        <v>0</v>
      </c>
      <c r="CR427" s="237" t="n">
        <f aca="false" t="array" ref="CR427:CR427">IF(CR426=0,0,IF(CR426/'🎚️ Escenario'!$C$11&gt;=36,$AL$23,INDEX($C$23:$AL$23,MAX(1,ROUNDUP(CR426/'🎚️ Escenario'!$C$11,0)))))</f>
        <v>0</v>
      </c>
      <c r="CS427" s="237" t="n">
        <f aca="false" t="array" ref="CS427:CS427">IF(CS426=0,0,IF(CS426/'🎚️ Escenario'!$C$11&gt;=36,$AL$23,INDEX($C$23:$AL$23,MAX(1,ROUNDUP(CS426/'🎚️ Escenario'!$C$11,0)))))</f>
        <v>0</v>
      </c>
      <c r="CT427" s="237" t="n">
        <f aca="false" t="array" ref="CT427:CT427">IF(CT426=0,0,IF(CT426/'🎚️ Escenario'!$C$11&gt;=36,$AL$23,INDEX($C$23:$AL$23,MAX(1,ROUNDUP(CT426/'🎚️ Escenario'!$C$11,0)))))</f>
        <v>0</v>
      </c>
      <c r="CU427" s="237" t="n">
        <f aca="false" t="array" ref="CU427:CU427">IF(CU426=0,0,IF(CU426/'🎚️ Escenario'!$C$11&gt;=36,$AL$23,INDEX($C$23:$AL$23,MAX(1,ROUNDUP(CU426/'🎚️ Escenario'!$C$11,0)))))</f>
        <v>0</v>
      </c>
      <c r="CV427" s="237" t="n">
        <f aca="false" t="array" ref="CV427:CV427">IF(CV426=0,0,IF(CV426/'🎚️ Escenario'!$C$11&gt;=36,$AL$23,INDEX($C$23:$AL$23,MAX(1,ROUNDUP(CV426/'🎚️ Escenario'!$C$11,0)))))</f>
        <v>0</v>
      </c>
      <c r="CW427" s="237" t="n">
        <f aca="false" t="array" ref="CW427:CW427">IF(CW426=0,0,IF(CW426/'🎚️ Escenario'!$C$11&gt;=36,$AL$23,INDEX($C$23:$AL$23,MAX(1,ROUNDUP(CW426/'🎚️ Escenario'!$C$11,0)))))</f>
        <v>0</v>
      </c>
      <c r="CX427" s="237" t="n">
        <f aca="false" t="array" ref="CX427:CX427">IF(CX426=0,0,IF(CX426/'🎚️ Escenario'!$C$11&gt;=36,$AL$23,INDEX($C$23:$AL$23,MAX(1,ROUNDUP(CX426/'🎚️ Escenario'!$C$11,0)))))</f>
        <v>0</v>
      </c>
      <c r="CY427" s="237" t="n">
        <f aca="false" t="array" ref="CY427:CY427">IF(CY426=0,0,IF(CY426/'🎚️ Escenario'!$C$11&gt;=36,$AL$23,INDEX($C$23:$AL$23,MAX(1,ROUNDUP(CY426/'🎚️ Escenario'!$C$11,0)))))</f>
        <v>0</v>
      </c>
      <c r="CZ427" s="237" t="n">
        <f aca="false" t="array" ref="CZ427:CZ427">IF(CZ426=0,0,IF(CZ426/'🎚️ Escenario'!$C$11&gt;=36,$AL$23,INDEX($C$23:$AL$23,MAX(1,ROUNDUP(CZ426/'🎚️ Escenario'!$C$11,0)))))</f>
        <v>0</v>
      </c>
      <c r="DA427" s="237" t="n">
        <f aca="false" t="array" ref="DA427:DA427">IF(DA426=0,0,IF(DA426/'🎚️ Escenario'!$C$11&gt;=36,$AL$23,INDEX($C$23:$AL$23,MAX(1,ROUNDUP(DA426/'🎚️ Escenario'!$C$11,0)))))</f>
        <v>0</v>
      </c>
      <c r="DB427" s="237" t="n">
        <f aca="false" t="array" ref="DB427:DB427">IF(DB426=0,0,IF(DB426/'🎚️ Escenario'!$C$11&gt;=36,$AL$23,INDEX($C$23:$AL$23,MAX(1,ROUNDUP(DB426/'🎚️ Escenario'!$C$11,0)))))</f>
        <v>0</v>
      </c>
      <c r="DC427" s="237" t="n">
        <f aca="false" t="array" ref="DC427:DC427">IF(DC426=0,0,IF(DC426/'🎚️ Escenario'!$C$11&gt;=36,$AL$23,INDEX($C$23:$AL$23,MAX(1,ROUNDUP(DC426/'🎚️ Escenario'!$C$11,0)))))</f>
        <v>0</v>
      </c>
      <c r="DD427" s="237" t="n">
        <f aca="false" t="array" ref="DD427:DD427">IF(DD426=0,0,IF(DD426/'🎚️ Escenario'!$C$11&gt;=36,$AL$23,INDEX($C$23:$AL$23,MAX(1,ROUNDUP(DD426/'🎚️ Escenario'!$C$11,0)))))</f>
        <v>0</v>
      </c>
      <c r="DE427" s="237" t="n">
        <f aca="false" t="array" ref="DE427:DE427">IF(DE426=0,0,IF(DE426/'🎚️ Escenario'!$C$11&gt;=36,$AL$23,INDEX($C$23:$AL$23,MAX(1,ROUNDUP(DE426/'🎚️ Escenario'!$C$11,0)))))</f>
        <v>0</v>
      </c>
      <c r="DF427" s="237" t="n">
        <f aca="false" t="array" ref="DF427:DF427">IF(DF426=0,0,IF(DF426/'🎚️ Escenario'!$C$11&gt;=36,$AL$23,INDEX($C$23:$AL$23,MAX(1,ROUNDUP(DF426/'🎚️ Escenario'!$C$11,0)))))</f>
        <v>0</v>
      </c>
      <c r="DG427" s="237" t="n">
        <f aca="false" t="array" ref="DG427:DG427">IF(DG426=0,0,IF(DG426/'🎚️ Escenario'!$C$11&gt;=36,$AL$23,INDEX($C$23:$AL$23,MAX(1,ROUNDUP(DG426/'🎚️ Escenario'!$C$11,0)))))</f>
        <v>0</v>
      </c>
      <c r="DH427" s="237" t="n">
        <f aca="false" t="array" ref="DH427:DH427">IF(DH426=0,0,IF(DH426/'🎚️ Escenario'!$C$11&gt;=36,$AL$23,INDEX($C$23:$AL$23,MAX(1,ROUNDUP(DH426/'🎚️ Escenario'!$C$11,0)))))</f>
        <v>0</v>
      </c>
      <c r="DI427" s="237" t="n">
        <f aca="false" t="array" ref="DI427:DI427">IF(DI426=0,0,IF(DI426/'🎚️ Escenario'!$C$11&gt;=36,$AL$23,INDEX($C$23:$AL$23,MAX(1,ROUNDUP(DI426/'🎚️ Escenario'!$C$11,0)))))</f>
        <v>0</v>
      </c>
      <c r="DJ427" s="237" t="n">
        <f aca="false" t="array" ref="DJ427:DJ427">IF(DJ426=0,0,IF(DJ426/'🎚️ Escenario'!$C$11&gt;=36,$AL$23,INDEX($C$23:$AL$23,MAX(1,ROUNDUP(DJ426/'🎚️ Escenario'!$C$11,0)))))</f>
        <v>0</v>
      </c>
      <c r="DK427" s="237" t="n">
        <f aca="false" t="array" ref="DK427:DK427">IF(DK426=0,0,IF(DK426/'🎚️ Escenario'!$C$11&gt;=36,$AL$23,INDEX($C$23:$AL$23,MAX(1,ROUNDUP(DK426/'🎚️ Escenario'!$C$11,0)))))</f>
        <v>0</v>
      </c>
      <c r="DL427" s="237" t="n">
        <f aca="false" t="array" ref="DL427:DL427">IF(DL426=0,0,IF(DL426/'🎚️ Escenario'!$C$11&gt;=36,$AL$23,INDEX($C$23:$AL$23,MAX(1,ROUNDUP(DL426/'🎚️ Escenario'!$C$11,0)))))</f>
        <v>0</v>
      </c>
      <c r="DM427" s="237" t="n">
        <f aca="false" t="array" ref="DM427:DM427">IF(DM426=0,0,IF(DM426/'🎚️ Escenario'!$C$11&gt;=36,$AL$23,INDEX($C$23:$AL$23,MAX(1,ROUNDUP(DM426/'🎚️ Escenario'!$C$11,0)))))</f>
        <v>0</v>
      </c>
      <c r="DN427" s="237" t="n">
        <f aca="false" t="array" ref="DN427:DN427">IF(DN426=0,0,IF(DN426/'🎚️ Escenario'!$C$11&gt;=36,$AL$23,INDEX($C$23:$AL$23,MAX(1,ROUNDUP(DN426/'🎚️ Escenario'!$C$11,0)))))</f>
        <v>0</v>
      </c>
      <c r="DO427" s="237" t="n">
        <f aca="false" t="array" ref="DO427:DO427">IF(DO426=0,0,IF(DO426/'🎚️ Escenario'!$C$11&gt;=36,$AL$23,INDEX($C$23:$AL$23,MAX(1,ROUNDUP(DO426/'🎚️ Escenario'!$C$11,0)))))</f>
        <v>0</v>
      </c>
      <c r="DP427" s="237" t="n">
        <f aca="false" t="array" ref="DP427:DP427">IF(DP426=0,0,IF(DP426/'🎚️ Escenario'!$C$11&gt;=36,$AL$23,INDEX($C$23:$AL$23,MAX(1,ROUNDUP(DP426/'🎚️ Escenario'!$C$11,0)))))</f>
        <v>0</v>
      </c>
      <c r="DQ427" s="237" t="n">
        <f aca="false" t="array" ref="DQ427:DQ427">IF(DQ426=0,0,IF(DQ426/'🎚️ Escenario'!$C$11&gt;=36,$AL$23,INDEX($C$23:$AL$23,MAX(1,ROUNDUP(DQ426/'🎚️ Escenario'!$C$11,0)))))</f>
        <v>0</v>
      </c>
      <c r="DR427" s="237" t="n">
        <f aca="false" t="array" ref="DR427:DR427">IF(DR426=0,0,IF(DR426/'🎚️ Escenario'!$C$11&gt;=36,$AL$23,INDEX($C$23:$AL$23,MAX(1,ROUNDUP(DR426/'🎚️ Escenario'!$C$11,0)))))</f>
        <v>0</v>
      </c>
      <c r="DS427" s="237" t="n">
        <f aca="false" t="array" ref="DS427:DS427">IF(DS426=0,0,IF(DS426/'🎚️ Escenario'!$C$11&gt;=36,$AL$23,INDEX($C$23:$AL$23,MAX(1,ROUNDUP(DS426/'🎚️ Escenario'!$C$11,0)))))</f>
        <v>0</v>
      </c>
      <c r="DT427" s="237" t="n">
        <f aca="false" t="array" ref="DT427:DT427">IF(DT426=0,0,IF(DT426/'🎚️ Escenario'!$C$11&gt;=36,$AL$23,INDEX($C$23:$AL$23,MAX(1,ROUNDUP(DT426/'🎚️ Escenario'!$C$11,0)))))</f>
        <v>0</v>
      </c>
      <c r="DU427" s="237" t="n">
        <f aca="false" t="array" ref="DU427:DU427">IF(DU426=0,0,IF(DU426/'🎚️ Escenario'!$C$11&gt;=36,$AL$23,INDEX($C$23:$AL$23,MAX(1,ROUNDUP(DU426/'🎚️ Escenario'!$C$11,0)))))</f>
        <v>0</v>
      </c>
      <c r="DV427" s="237" t="n">
        <f aca="false" t="array" ref="DV427:DV427">IF(DV426=0,0,IF(DV426/'🎚️ Escenario'!$C$11&gt;=36,$AL$23,INDEX($C$23:$AL$23,MAX(1,ROUNDUP(DV426/'🎚️ Escenario'!$C$11,0)))))</f>
        <v>0</v>
      </c>
      <c r="DW427" s="237" t="n">
        <f aca="false" t="array" ref="DW427:DW427">IF(DW426=0,0,IF(DW426/'🎚️ Escenario'!$C$11&gt;=36,$AL$23,INDEX($C$23:$AL$23,MAX(1,ROUNDUP(DW426/'🎚️ Escenario'!$C$11,0)))))</f>
        <v>0</v>
      </c>
      <c r="DX427" s="237" t="n">
        <f aca="false" t="array" ref="DX427:DX427">IF(DX426=0,0,IF(DX426/'🎚️ Escenario'!$C$11&gt;=36,$AL$23,INDEX($C$23:$AL$23,MAX(1,ROUNDUP(DX426/'🎚️ Escenario'!$C$11,0)))))</f>
        <v>0</v>
      </c>
      <c r="DY427" s="237" t="n">
        <f aca="false" t="array" ref="DY427:DY427">IF(DY426=0,0,IF(DY426/'🎚️ Escenario'!$C$11&gt;=36,$AL$23,INDEX($C$23:$AL$23,MAX(1,ROUNDUP(DY426/'🎚️ Escenario'!$C$11,0)))))</f>
        <v>0</v>
      </c>
      <c r="DZ427" s="237" t="n">
        <f aca="false" t="array" ref="DZ427:DZ427">IF(DZ426=0,0,IF(DZ426/'🎚️ Escenario'!$C$11&gt;=36,$AL$23,INDEX($C$23:$AL$23,MAX(1,ROUNDUP(DZ426/'🎚️ Escenario'!$C$11,0)))))</f>
        <v>0</v>
      </c>
      <c r="EA427" s="237" t="n">
        <f aca="false" t="array" ref="EA427:EA427">IF(EA426=0,0,IF(EA426/'🎚️ Escenario'!$C$11&gt;=36,$AL$23,INDEX($C$23:$AL$23,MAX(1,ROUNDUP(EA426/'🎚️ Escenario'!$C$11,0)))))</f>
        <v>0</v>
      </c>
      <c r="EB427" s="237" t="n">
        <f aca="false" t="array" ref="EB427:EB427">IF(EB426=0,0,IF(EB426/'🎚️ Escenario'!$C$11&gt;=36,$AL$23,INDEX($C$23:$AL$23,MAX(1,ROUNDUP(EB426/'🎚️ Escenario'!$C$11,0)))))</f>
        <v>0</v>
      </c>
      <c r="EC427" s="237" t="n">
        <f aca="false" t="array" ref="EC427:EC427">IF(EC426=0,0,IF(EC426/'🎚️ Escenario'!$C$11&gt;=36,$AL$23,INDEX($C$23:$AL$23,MAX(1,ROUNDUP(EC426/'🎚️ Escenario'!$C$11,0)))))</f>
        <v>0</v>
      </c>
      <c r="ED427" s="237" t="n">
        <f aca="false" t="array" ref="ED427:ED427">IF(ED426=0,0,IF(ED426/'🎚️ Escenario'!$C$11&gt;=36,$AL$23,INDEX($C$23:$AL$23,MAX(1,ROUNDUP(ED426/'🎚️ Escenario'!$C$11,0)))))</f>
        <v>0</v>
      </c>
      <c r="EE427" s="237" t="n">
        <f aca="false" t="array" ref="EE427:EE427">IF(EE426=0,0,IF(EE426/'🎚️ Escenario'!$C$11&gt;=36,$AL$23,INDEX($C$23:$AL$23,MAX(1,ROUNDUP(EE426/'🎚️ Escenario'!$C$11,0)))))</f>
        <v>0</v>
      </c>
      <c r="EF427" s="237" t="n">
        <f aca="false" t="array" ref="EF427:EF427">IF(EF426=0,0,IF(EF426/'🎚️ Escenario'!$C$11&gt;=36,$AL$23,INDEX($C$23:$AL$23,MAX(1,ROUNDUP(EF426/'🎚️ Escenario'!$C$11,0)))))</f>
        <v>0</v>
      </c>
      <c r="EG427" s="237" t="n">
        <f aca="false" t="array" ref="EG427:EG427">IF(EG426=0,0,IF(EG426/'🎚️ Escenario'!$C$11&gt;=36,$AL$23,INDEX($C$23:$AL$23,MAX(1,ROUNDUP(EG426/'🎚️ Escenario'!$C$11,0)))))</f>
        <v>0</v>
      </c>
      <c r="EH427" s="237" t="n">
        <f aca="false" t="array" ref="EH427:EH427">IF(EH426=0,0,IF(EH426/'🎚️ Escenario'!$C$11&gt;=36,$AL$23,INDEX($C$23:$AL$23,MAX(1,ROUNDUP(EH426/'🎚️ Escenario'!$C$11,0)))))</f>
        <v>0</v>
      </c>
      <c r="EI427" s="237" t="n">
        <f aca="false" t="array" ref="EI427:EI427">IF(EI426=0,0,IF(EI426/'🎚️ Escenario'!$C$11&gt;=36,$AL$23,INDEX($C$23:$AL$23,MAX(1,ROUNDUP(EI426/'🎚️ Escenario'!$C$11,0)))))</f>
        <v>0</v>
      </c>
      <c r="EJ427" s="237" t="n">
        <f aca="false" t="array" ref="EJ427:EJ427">IF(EJ426=0,0,IF(EJ426/'🎚️ Escenario'!$C$11&gt;=36,$AL$23,INDEX($C$23:$AL$23,MAX(1,ROUNDUP(EJ426/'🎚️ Escenario'!$C$11,0)))))</f>
        <v>0</v>
      </c>
      <c r="EK427" s="237" t="n">
        <f aca="false" t="array" ref="EK427:EK427">IF(EK426=0,0,IF(EK426/'🎚️ Escenario'!$C$11&gt;=36,$AL$23,INDEX($C$23:$AL$23,MAX(1,ROUNDUP(EK426/'🎚️ Escenario'!$C$11,0)))))</f>
        <v>0</v>
      </c>
      <c r="EL427" s="237" t="n">
        <f aca="false" t="array" ref="EL427:EL427">IF(EL426=0,0,IF(EL426/'🎚️ Escenario'!$C$11&gt;=36,$AL$23,INDEX($C$23:$AL$23,MAX(1,ROUNDUP(EL426/'🎚️ Escenario'!$C$11,0)))))</f>
        <v>0.2</v>
      </c>
      <c r="EM427" s="237" t="n">
        <f aca="false" t="array" ref="EM427:EM427">IF(EM426=0,0,IF(EM426/'🎚️ Escenario'!$C$11&gt;=36,$AL$23,INDEX($C$23:$AL$23,MAX(1,ROUNDUP(EM426/'🎚️ Escenario'!$C$11,0)))))</f>
        <v>0.22</v>
      </c>
      <c r="EN427" s="237" t="n">
        <f aca="false" t="array" ref="EN427:EN427">IF(EN426=0,0,IF(EN426/'🎚️ Escenario'!$C$11&gt;=36,$AL$23,INDEX($C$23:$AL$23,MAX(1,ROUNDUP(EN426/'🎚️ Escenario'!$C$11,0)))))</f>
        <v>0.24</v>
      </c>
      <c r="EO427" s="237" t="n">
        <f aca="false" t="array" ref="EO427:EO427">IF(EO426=0,0,IF(EO426/'🎚️ Escenario'!$C$11&gt;=36,$AL$23,INDEX($C$23:$AL$23,MAX(1,ROUNDUP(EO426/'🎚️ Escenario'!$C$11,0)))))</f>
        <v>0.27</v>
      </c>
      <c r="EP427" s="237" t="n">
        <f aca="false" t="array" ref="EP427:EP427">IF(EP426=0,0,IF(EP426/'🎚️ Escenario'!$C$11&gt;=36,$AL$23,INDEX($C$23:$AL$23,MAX(1,ROUNDUP(EP426/'🎚️ Escenario'!$C$11,0)))))</f>
        <v>0.27</v>
      </c>
      <c r="EQ427" s="237" t="n">
        <f aca="false" t="array" ref="EQ427:EQ427">IF(EQ426=0,0,IF(EQ426/'🎚️ Escenario'!$C$11&gt;=36,$AL$23,INDEX($C$23:$AL$23,MAX(1,ROUNDUP(EQ426/'🎚️ Escenario'!$C$11,0)))))</f>
        <v>0.31</v>
      </c>
      <c r="ER427" s="237" t="n">
        <f aca="false" t="array" ref="ER427:ER427">IF(ER426=0,0,IF(ER426/'🎚️ Escenario'!$C$11&gt;=36,$AL$23,INDEX($C$23:$AL$23,MAX(1,ROUNDUP(ER426/'🎚️ Escenario'!$C$11,0)))))</f>
        <v>0.35</v>
      </c>
      <c r="ES427" s="9" t="n">
        <f aca="false" t="array" ref="ES427:ES427">IF(ES426=0,0,IF(ES426/'🎚️ Escenario'!$C$11&gt;=36,$AL$23,INDEX($C$23:$AL$23,MAX(1,ROUNDUP(ES426/'🎚️ Escenario'!$C$11,0)))))</f>
        <v>0.39</v>
      </c>
      <c r="ET427" s="9" t="n">
        <f aca="false" t="array" ref="ET427:ET427">IF(ET426=0,0,IF(ET426/'🎚️ Escenario'!$C$11&gt;=36,$AL$23,INDEX($C$23:$AL$23,MAX(1,ROUNDUP(ET426/'🎚️ Escenario'!$C$11,0)))))</f>
        <v>0.44</v>
      </c>
      <c r="EU427" s="9" t="n">
        <f aca="false" t="array" ref="EU427:EU427">IF(EU426=0,0,IF(EU426/'🎚️ Escenario'!$C$11&gt;=36,$AL$23,INDEX($C$23:$AL$23,MAX(1,ROUNDUP(EU426/'🎚️ Escenario'!$C$11,0)))))</f>
        <v>0.44</v>
      </c>
      <c r="EV427" s="9" t="n">
        <f aca="false" t="array" ref="EV427:EV427">IF(EV426=0,0,IF(EV426/'🎚️ Escenario'!$C$11&gt;=36,$AL$23,INDEX($C$23:$AL$23,MAX(1,ROUNDUP(EV426/'🎚️ Escenario'!$C$11,0)))))</f>
        <v>0.48</v>
      </c>
      <c r="EW427" s="9" t="n">
        <f aca="false" t="array" ref="EW427:EW427">IF(EW426=0,0,IF(EW426/'🎚️ Escenario'!$C$11&gt;=36,$AL$23,INDEX($C$23:$AL$23,MAX(1,ROUNDUP(EW426/'🎚️ Escenario'!$C$11,0)))))</f>
        <v>0.52</v>
      </c>
      <c r="EX427" s="9" t="n">
        <f aca="false" t="array" ref="EX427:EX427">IF(EX426=0,0,IF(EX426/'🎚️ Escenario'!$C$11&gt;=36,$AL$23,INDEX($C$23:$AL$23,MAX(1,ROUNDUP(EX426/'🎚️ Escenario'!$C$11,0)))))</f>
        <v>0.56</v>
      </c>
      <c r="EY427" s="9" t="n">
        <f aca="false" t="array" ref="EY427:EY427">IF(EY426=0,0,IF(EY426/'🎚️ Escenario'!$C$11&gt;=36,$AL$23,INDEX($C$23:$AL$23,MAX(1,ROUNDUP(EY426/'🎚️ Escenario'!$C$11,0)))))</f>
        <v>0.6</v>
      </c>
      <c r="EZ427" s="9" t="n">
        <f aca="false" t="array" ref="EZ427:EZ427">IF(EZ426=0,0,IF(EZ426/'🎚️ Escenario'!$C$11&gt;=36,$AL$23,INDEX($C$23:$AL$23,MAX(1,ROUNDUP(EZ426/'🎚️ Escenario'!$C$11,0)))))</f>
        <v>0.6</v>
      </c>
      <c r="FA427" s="9" t="n">
        <f aca="false" t="array" ref="FA427:FA427">IF(FA426=0,0,IF(FA426/'🎚️ Escenario'!$C$11&gt;=36,$AL$23,INDEX($C$23:$AL$23,MAX(1,ROUNDUP(FA426/'🎚️ Escenario'!$C$11,0)))))</f>
        <v>0.63</v>
      </c>
      <c r="FB427" s="9" t="n">
        <f aca="false" t="array" ref="FB427:FB427">IF(FB426=0,0,IF(FB426/'🎚️ Escenario'!$C$11&gt;=36,$AL$23,INDEX($C$23:$AL$23,MAX(1,ROUNDUP(FB426/'🎚️ Escenario'!$C$11,0)))))</f>
        <v>0.66</v>
      </c>
      <c r="FC427" s="9" t="n">
        <f aca="false" t="array" ref="FC427:FC427">IF(FC426=0,0,IF(FC426/'🎚️ Escenario'!$C$11&gt;=36,$AL$23,INDEX($C$23:$AL$23,MAX(1,ROUNDUP(FC426/'🎚️ Escenario'!$C$11,0)))))</f>
        <v>0.69</v>
      </c>
      <c r="FD427" s="9" t="n">
        <f aca="false" t="array" ref="FD427:FD427">IF(FD426=0,0,IF(FD426/'🎚️ Escenario'!$C$11&gt;=36,$AL$23,INDEX($C$23:$AL$23,MAX(1,ROUNDUP(FD426/'🎚️ Escenario'!$C$11,0)))))</f>
        <v>0.71</v>
      </c>
      <c r="FE427" s="9" t="n">
        <f aca="false" t="array" ref="FE427:FE427">IF(FE426=0,0,IF(FE426/'🎚️ Escenario'!$C$11&gt;=36,$AL$23,INDEX($C$23:$AL$23,MAX(1,ROUNDUP(FE426/'🎚️ Escenario'!$C$11,0)))))</f>
        <v>0.71</v>
      </c>
      <c r="FF427" s="9" t="n">
        <f aca="false" t="array" ref="FF427:FF427">IF(FF426=0,0,IF(FF426/'🎚️ Escenario'!$C$11&gt;=36,$AL$23,INDEX($C$23:$AL$23,MAX(1,ROUNDUP(FF426/'🎚️ Escenario'!$C$11,0)))))</f>
        <v>0.73</v>
      </c>
      <c r="FG427" s="9" t="n">
        <f aca="false" t="array" ref="FG427:FG427">IF(FG426=0,0,IF(FG426/'🎚️ Escenario'!$C$11&gt;=36,$AL$23,INDEX($C$23:$AL$23,MAX(1,ROUNDUP(FG426/'🎚️ Escenario'!$C$11,0)))))</f>
        <v>0.75</v>
      </c>
      <c r="FH427" s="9" t="n">
        <f aca="false" t="array" ref="FH427:FH427">IF(FH426=0,0,IF(FH426/'🎚️ Escenario'!$C$11&gt;=36,$AL$23,INDEX($C$23:$AL$23,MAX(1,ROUNDUP(FH426/'🎚️ Escenario'!$C$11,0)))))</f>
        <v>0.77</v>
      </c>
      <c r="FI427" s="9" t="n">
        <f aca="false" t="array" ref="FI427:FI427">IF(FI426=0,0,IF(FI426/'🎚️ Escenario'!$C$11&gt;=36,$AL$23,INDEX($C$23:$AL$23,MAX(1,ROUNDUP(FI426/'🎚️ Escenario'!$C$11,0)))))</f>
        <v>0.79</v>
      </c>
      <c r="FJ427" s="9" t="n">
        <f aca="false" t="array" ref="FJ427:FJ427">IF(FJ426=0,0,IF(FJ426/'🎚️ Escenario'!$C$11&gt;=36,$AL$23,INDEX($C$23:$AL$23,MAX(1,ROUNDUP(FJ426/'🎚️ Escenario'!$C$11,0)))))</f>
        <v>0.79</v>
      </c>
      <c r="FK427" s="9" t="n">
        <f aca="false" t="array" ref="FK427:FK427">IF(FK426=0,0,IF(FK426/'🎚️ Escenario'!$C$11&gt;=36,$AL$23,INDEX($C$23:$AL$23,MAX(1,ROUNDUP(FK426/'🎚️ Escenario'!$C$11,0)))))</f>
        <v>0.8</v>
      </c>
      <c r="FL427" s="9" t="n">
        <f aca="false" t="array" ref="FL427:FL427">IF(FL426=0,0,IF(FL426/'🎚️ Escenario'!$C$11&gt;=36,$AL$23,INDEX($C$23:$AL$23,MAX(1,ROUNDUP(FL426/'🎚️ Escenario'!$C$11,0)))))</f>
        <v>0.82</v>
      </c>
      <c r="FM427" s="9" t="n">
        <f aca="false" t="array" ref="FM427:FM427">IF(FM426=0,0,IF(FM426/'🎚️ Escenario'!$C$11&gt;=36,$AL$23,INDEX($C$23:$AL$23,MAX(1,ROUNDUP(FM426/'🎚️ Escenario'!$C$11,0)))))</f>
        <v>0.84</v>
      </c>
      <c r="FN427" s="9" t="n">
        <f aca="false" t="array" ref="FN427:FN427">IF(FN426=0,0,IF(FN426/'🎚️ Escenario'!$C$11&gt;=36,$AL$23,INDEX($C$23:$AL$23,MAX(1,ROUNDUP(FN426/'🎚️ Escenario'!$C$11,0)))))</f>
        <v>0.85</v>
      </c>
      <c r="FO427" s="9" t="n">
        <f aca="false" t="array" ref="FO427:FO427">IF(FO426=0,0,IF(FO426/'🎚️ Escenario'!$C$11&gt;=36,$AL$23,INDEX($C$23:$AL$23,MAX(1,ROUNDUP(FO426/'🎚️ Escenario'!$C$11,0)))))</f>
        <v>0.85</v>
      </c>
      <c r="FP427" s="9" t="n">
        <f aca="false" t="array" ref="FP427:FP427">IF(FP426=0,0,IF(FP426/'🎚️ Escenario'!$C$11&gt;=36,$AL$23,INDEX($C$23:$AL$23,MAX(1,ROUNDUP(FP426/'🎚️ Escenario'!$C$11,0)))))</f>
        <v>0.86</v>
      </c>
    </row>
    <row r="428" customFormat="false" ht="15" hidden="false" customHeight="false" outlineLevel="2" collapsed="false">
      <c r="B428" s="47" t="s">
        <v>875</v>
      </c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237" t="n">
        <f aca="false">IF(AC426=0,0,IF(AC426&lt;=12*'🎚️ Escenario'!$C$11,1,1+$C$6))</f>
        <v>0</v>
      </c>
      <c r="AD428" s="237" t="n">
        <f aca="false">IF(AD426=0,0,IF(AD426&lt;=12*'🎚️ Escenario'!$C$11,1,1+$C$6))</f>
        <v>0</v>
      </c>
      <c r="AE428" s="237" t="n">
        <f aca="false">IF(AE426=0,0,IF(AE426&lt;=12*'🎚️ Escenario'!$C$11,1,1+$C$6))</f>
        <v>0</v>
      </c>
      <c r="AF428" s="237" t="n">
        <f aca="false">IF(AF426=0,0,IF(AF426&lt;=12*'🎚️ Escenario'!$C$11,1,1+$C$6))</f>
        <v>0</v>
      </c>
      <c r="AG428" s="237" t="n">
        <f aca="false">IF(AG426=0,0,IF(AG426&lt;=12*'🎚️ Escenario'!$C$11,1,1+$C$6))</f>
        <v>0</v>
      </c>
      <c r="AH428" s="237" t="n">
        <f aca="false">IF(AH426=0,0,IF(AH426&lt;=12*'🎚️ Escenario'!$C$11,1,1+$C$6))</f>
        <v>0</v>
      </c>
      <c r="AI428" s="237" t="n">
        <f aca="false">IF(AI426=0,0,IF(AI426&lt;=12*'🎚️ Escenario'!$C$11,1,1+$C$6))</f>
        <v>0</v>
      </c>
      <c r="AJ428" s="237" t="n">
        <f aca="false">IF(AJ426=0,0,IF(AJ426&lt;=12*'🎚️ Escenario'!$C$11,1,1+$C$6))</f>
        <v>0</v>
      </c>
      <c r="AK428" s="237" t="n">
        <f aca="false">IF(AK426=0,0,IF(AK426&lt;=12*'🎚️ Escenario'!$C$11,1,1+$C$6))</f>
        <v>0</v>
      </c>
      <c r="AL428" s="237" t="n">
        <f aca="false">IF(AL426=0,0,IF(AL426&lt;=12*'🎚️ Escenario'!$C$11,1,1+$C$6))</f>
        <v>0</v>
      </c>
      <c r="AM428" s="237" t="n">
        <f aca="false">IF(AM426=0,0,IF(AM426&lt;=12*'🎚️ Escenario'!$C$11,1,1+$C$6))</f>
        <v>0</v>
      </c>
      <c r="AN428" s="237" t="n">
        <f aca="false">IF(AN426=0,0,IF(AN426&lt;=12*'🎚️ Escenario'!$C$11,1,1+$C$6))</f>
        <v>0</v>
      </c>
      <c r="AO428" s="237" t="n">
        <f aca="false">IF(AO426=0,0,IF(AO426&lt;=12*'🎚️ Escenario'!$C$11,1,1+$C$6))</f>
        <v>0</v>
      </c>
      <c r="AP428" s="237" t="n">
        <f aca="false">IF(AP426=0,0,IF(AP426&lt;=12*'🎚️ Escenario'!$C$11,1,1+$C$6))</f>
        <v>0</v>
      </c>
      <c r="AQ428" s="237" t="n">
        <f aca="false">IF(AQ426=0,0,IF(AQ426&lt;=12*'🎚️ Escenario'!$C$11,1,1+$C$6))</f>
        <v>0</v>
      </c>
      <c r="AR428" s="237" t="n">
        <f aca="false">IF(AR426=0,0,IF(AR426&lt;=12*'🎚️ Escenario'!$C$11,1,1+$C$6))</f>
        <v>0</v>
      </c>
      <c r="AS428" s="237" t="n">
        <f aca="false">IF(AS426=0,0,IF(AS426&lt;=12*'🎚️ Escenario'!$C$11,1,1+$C$6))</f>
        <v>0</v>
      </c>
      <c r="AT428" s="237" t="n">
        <f aca="false">IF(AT426=0,0,IF(AT426&lt;=12*'🎚️ Escenario'!$C$11,1,1+$C$6))</f>
        <v>0</v>
      </c>
      <c r="AU428" s="237" t="n">
        <f aca="false">IF(AU426=0,0,IF(AU426&lt;=12*'🎚️ Escenario'!$C$11,1,1+$C$6))</f>
        <v>0</v>
      </c>
      <c r="AV428" s="237" t="n">
        <f aca="false">IF(AV426=0,0,IF(AV426&lt;=12*'🎚️ Escenario'!$C$11,1,1+$C$6))</f>
        <v>0</v>
      </c>
      <c r="AW428" s="237" t="n">
        <f aca="false">IF(AW426=0,0,IF(AW426&lt;=12*'🎚️ Escenario'!$C$11,1,1+$C$6))</f>
        <v>0</v>
      </c>
      <c r="AX428" s="237" t="n">
        <f aca="false">IF(AX426=0,0,IF(AX426&lt;=12*'🎚️ Escenario'!$C$11,1,1+$C$6))</f>
        <v>0</v>
      </c>
      <c r="AY428" s="237" t="n">
        <f aca="false">IF(AY426=0,0,IF(AY426&lt;=12*'🎚️ Escenario'!$C$11,1,1+$C$6))</f>
        <v>0</v>
      </c>
      <c r="AZ428" s="237" t="n">
        <f aca="false">IF(AZ426=0,0,IF(AZ426&lt;=12*'🎚️ Escenario'!$C$11,1,1+$C$6))</f>
        <v>0</v>
      </c>
      <c r="BA428" s="237" t="n">
        <f aca="false">IF(BA426=0,0,IF(BA426&lt;=12*'🎚️ Escenario'!$C$11,1,1+$C$6))</f>
        <v>0</v>
      </c>
      <c r="BB428" s="237" t="n">
        <f aca="false">IF(BB426=0,0,IF(BB426&lt;=12*'🎚️ Escenario'!$C$11,1,1+$C$6))</f>
        <v>0</v>
      </c>
      <c r="BC428" s="237" t="n">
        <f aca="false">IF(BC426=0,0,IF(BC426&lt;=12*'🎚️ Escenario'!$C$11,1,1+$C$6))</f>
        <v>0</v>
      </c>
      <c r="BD428" s="237" t="n">
        <f aca="false">IF(BD426=0,0,IF(BD426&lt;=12*'🎚️ Escenario'!$C$11,1,1+$C$6))</f>
        <v>0</v>
      </c>
      <c r="BE428" s="237" t="n">
        <f aca="false">IF(BE426=0,0,IF(BE426&lt;=12*'🎚️ Escenario'!$C$11,1,1+$C$6))</f>
        <v>0</v>
      </c>
      <c r="BF428" s="237" t="n">
        <f aca="false">IF(BF426=0,0,IF(BF426&lt;=12*'🎚️ Escenario'!$C$11,1,1+$C$6))</f>
        <v>0</v>
      </c>
      <c r="BG428" s="237" t="n">
        <f aca="false">IF(BG426=0,0,IF(BG426&lt;=12*'🎚️ Escenario'!$C$11,1,1+$C$6))</f>
        <v>0</v>
      </c>
      <c r="BH428" s="237" t="n">
        <f aca="false">IF(BH426=0,0,IF(BH426&lt;=12*'🎚️ Escenario'!$C$11,1,1+$C$6))</f>
        <v>0</v>
      </c>
      <c r="BI428" s="237" t="n">
        <f aca="false">IF(BI426=0,0,IF(BI426&lt;=12*'🎚️ Escenario'!$C$11,1,1+$C$6))</f>
        <v>0</v>
      </c>
      <c r="BJ428" s="237" t="n">
        <f aca="false">IF(BJ426=0,0,IF(BJ426&lt;=12*'🎚️ Escenario'!$C$11,1,1+$C$6))</f>
        <v>0</v>
      </c>
      <c r="BK428" s="237" t="n">
        <f aca="false">IF(BK426=0,0,IF(BK426&lt;=12*'🎚️ Escenario'!$C$11,1,1+$C$6))</f>
        <v>0</v>
      </c>
      <c r="BL428" s="237" t="n">
        <f aca="false">IF(BL426=0,0,IF(BL426&lt;=12*'🎚️ Escenario'!$C$11,1,1+$C$6))</f>
        <v>0</v>
      </c>
      <c r="BM428" s="237" t="n">
        <f aca="false">IF(BM426=0,0,IF(BM426&lt;=12*'🎚️ Escenario'!$C$11,1,1+$C$6))</f>
        <v>0</v>
      </c>
      <c r="BN428" s="237" t="n">
        <f aca="false">IF(BN426=0,0,IF(BN426&lt;=12*'🎚️ Escenario'!$C$11,1,1+$C$6))</f>
        <v>0</v>
      </c>
      <c r="BO428" s="237" t="n">
        <f aca="false">IF(BO426=0,0,IF(BO426&lt;=12*'🎚️ Escenario'!$C$11,1,1+$C$6))</f>
        <v>0</v>
      </c>
      <c r="BP428" s="237" t="n">
        <f aca="false">IF(BP426=0,0,IF(BP426&lt;=12*'🎚️ Escenario'!$C$11,1,1+$C$6))</f>
        <v>0</v>
      </c>
      <c r="BQ428" s="237" t="n">
        <f aca="false">IF(BQ426=0,0,IF(BQ426&lt;=12*'🎚️ Escenario'!$C$11,1,1+$C$6))</f>
        <v>0</v>
      </c>
      <c r="BR428" s="237" t="n">
        <f aca="false">IF(BR426=0,0,IF(BR426&lt;=12*'🎚️ Escenario'!$C$11,1,1+$C$6))</f>
        <v>0</v>
      </c>
      <c r="BS428" s="237" t="n">
        <f aca="false">IF(BS426=0,0,IF(BS426&lt;=12*'🎚️ Escenario'!$C$11,1,1+$C$6))</f>
        <v>0</v>
      </c>
      <c r="BT428" s="237" t="n">
        <f aca="false">IF(BT426=0,0,IF(BT426&lt;=12*'🎚️ Escenario'!$C$11,1,1+$C$6))</f>
        <v>0</v>
      </c>
      <c r="BU428" s="237" t="n">
        <f aca="false">IF(BU426=0,0,IF(BU426&lt;=12*'🎚️ Escenario'!$C$11,1,1+$C$6))</f>
        <v>0</v>
      </c>
      <c r="BV428" s="237" t="n">
        <f aca="false">IF(BV426=0,0,IF(BV426&lt;=12*'🎚️ Escenario'!$C$11,1,1+$C$6))</f>
        <v>0</v>
      </c>
      <c r="BW428" s="237" t="n">
        <f aca="false">IF(BW426=0,0,IF(BW426&lt;=12*'🎚️ Escenario'!$C$11,1,1+$C$6))</f>
        <v>0</v>
      </c>
      <c r="BX428" s="237" t="n">
        <f aca="false">IF(BX426=0,0,IF(BX426&lt;=12*'🎚️ Escenario'!$C$11,1,1+$C$6))</f>
        <v>0</v>
      </c>
      <c r="BY428" s="237" t="n">
        <f aca="false">IF(BY426=0,0,IF(BY426&lt;=12*'🎚️ Escenario'!$C$11,1,1+$C$6))</f>
        <v>0</v>
      </c>
      <c r="BZ428" s="237" t="n">
        <f aca="false">IF(BZ426=0,0,IF(BZ426&lt;=12*'🎚️ Escenario'!$C$11,1,1+$C$6))</f>
        <v>0</v>
      </c>
      <c r="CA428" s="237" t="n">
        <f aca="false">IF(CA426=0,0,IF(CA426&lt;=12*'🎚️ Escenario'!$C$11,1,1+$C$6))</f>
        <v>0</v>
      </c>
      <c r="CB428" s="237" t="n">
        <f aca="false">IF(CB426=0,0,IF(CB426&lt;=12*'🎚️ Escenario'!$C$11,1,1+$C$6))</f>
        <v>0</v>
      </c>
      <c r="CC428" s="237" t="n">
        <f aca="false">IF(CC426=0,0,IF(CC426&lt;=12*'🎚️ Escenario'!$C$11,1,1+$C$6))</f>
        <v>0</v>
      </c>
      <c r="CD428" s="237" t="n">
        <f aca="false">IF(CD426=0,0,IF(CD426&lt;=12*'🎚️ Escenario'!$C$11,1,1+$C$6))</f>
        <v>0</v>
      </c>
      <c r="CE428" s="237" t="n">
        <f aca="false">IF(CE426=0,0,IF(CE426&lt;=12*'🎚️ Escenario'!$C$11,1,1+$C$6))</f>
        <v>0</v>
      </c>
      <c r="CF428" s="237" t="n">
        <f aca="false">IF(CF426=0,0,IF(CF426&lt;=12*'🎚️ Escenario'!$C$11,1,1+$C$6))</f>
        <v>0</v>
      </c>
      <c r="CG428" s="237" t="n">
        <f aca="false">IF(CG426=0,0,IF(CG426&lt;=12*'🎚️ Escenario'!$C$11,1,1+$C$6))</f>
        <v>0</v>
      </c>
      <c r="CH428" s="237" t="n">
        <f aca="false">IF(CH426=0,0,IF(CH426&lt;=12*'🎚️ Escenario'!$C$11,1,1+$C$6))</f>
        <v>0</v>
      </c>
      <c r="CI428" s="237" t="n">
        <f aca="false">IF(CI426=0,0,IF(CI426&lt;=12*'🎚️ Escenario'!$C$11,1,1+$C$6))</f>
        <v>0</v>
      </c>
      <c r="CJ428" s="237" t="n">
        <f aca="false">IF(CJ426=0,0,IF(CJ426&lt;=12*'🎚️ Escenario'!$C$11,1,1+$C$6))</f>
        <v>0</v>
      </c>
      <c r="CK428" s="237" t="n">
        <f aca="false">IF(CK426=0,0,IF(CK426&lt;=12*'🎚️ Escenario'!$C$11,1,1+$C$6))</f>
        <v>0</v>
      </c>
      <c r="CL428" s="237" t="n">
        <f aca="false">IF(CL426=0,0,IF(CL426&lt;=12*'🎚️ Escenario'!$C$11,1,1+$C$6))</f>
        <v>0</v>
      </c>
      <c r="CM428" s="237" t="n">
        <f aca="false">IF(CM426=0,0,IF(CM426&lt;=12*'🎚️ Escenario'!$C$11,1,1+$C$6))</f>
        <v>0</v>
      </c>
      <c r="CN428" s="237" t="n">
        <f aca="false">IF(CN426=0,0,IF(CN426&lt;=12*'🎚️ Escenario'!$C$11,1,1+$C$6))</f>
        <v>0</v>
      </c>
      <c r="CO428" s="237" t="n">
        <f aca="false">IF(CO426=0,0,IF(CO426&lt;=12*'🎚️ Escenario'!$C$11,1,1+$C$6))</f>
        <v>0</v>
      </c>
      <c r="CP428" s="237" t="n">
        <f aca="false">IF(CP426=0,0,IF(CP426&lt;=12*'🎚️ Escenario'!$C$11,1,1+$C$6))</f>
        <v>0</v>
      </c>
      <c r="CQ428" s="237" t="n">
        <f aca="false">IF(CQ426=0,0,IF(CQ426&lt;=12*'🎚️ Escenario'!$C$11,1,1+$C$6))</f>
        <v>0</v>
      </c>
      <c r="CR428" s="237" t="n">
        <f aca="false">IF(CR426=0,0,IF(CR426&lt;=12*'🎚️ Escenario'!$C$11,1,1+$C$6))</f>
        <v>0</v>
      </c>
      <c r="CS428" s="237" t="n">
        <f aca="false">IF(CS426=0,0,IF(CS426&lt;=12*'🎚️ Escenario'!$C$11,1,1+$C$6))</f>
        <v>0</v>
      </c>
      <c r="CT428" s="237" t="n">
        <f aca="false">IF(CT426=0,0,IF(CT426&lt;=12*'🎚️ Escenario'!$C$11,1,1+$C$6))</f>
        <v>0</v>
      </c>
      <c r="CU428" s="237" t="n">
        <f aca="false">IF(CU426=0,0,IF(CU426&lt;=12*'🎚️ Escenario'!$C$11,1,1+$C$6))</f>
        <v>0</v>
      </c>
      <c r="CV428" s="237" t="n">
        <f aca="false">IF(CV426=0,0,IF(CV426&lt;=12*'🎚️ Escenario'!$C$11,1,1+$C$6))</f>
        <v>0</v>
      </c>
      <c r="CW428" s="237" t="n">
        <f aca="false">IF(CW426=0,0,IF(CW426&lt;=12*'🎚️ Escenario'!$C$11,1,1+$C$6))</f>
        <v>0</v>
      </c>
      <c r="CX428" s="237" t="n">
        <f aca="false">IF(CX426=0,0,IF(CX426&lt;=12*'🎚️ Escenario'!$C$11,1,1+$C$6))</f>
        <v>0</v>
      </c>
      <c r="CY428" s="237" t="n">
        <f aca="false">IF(CY426=0,0,IF(CY426&lt;=12*'🎚️ Escenario'!$C$11,1,1+$C$6))</f>
        <v>0</v>
      </c>
      <c r="CZ428" s="237" t="n">
        <f aca="false">IF(CZ426=0,0,IF(CZ426&lt;=12*'🎚️ Escenario'!$C$11,1,1+$C$6))</f>
        <v>0</v>
      </c>
      <c r="DA428" s="237" t="n">
        <f aca="false">IF(DA426=0,0,IF(DA426&lt;=12*'🎚️ Escenario'!$C$11,1,1+$C$6))</f>
        <v>0</v>
      </c>
      <c r="DB428" s="237" t="n">
        <f aca="false">IF(DB426=0,0,IF(DB426&lt;=12*'🎚️ Escenario'!$C$11,1,1+$C$6))</f>
        <v>0</v>
      </c>
      <c r="DC428" s="237" t="n">
        <f aca="false">IF(DC426=0,0,IF(DC426&lt;=12*'🎚️ Escenario'!$C$11,1,1+$C$6))</f>
        <v>0</v>
      </c>
      <c r="DD428" s="237" t="n">
        <f aca="false">IF(DD426=0,0,IF(DD426&lt;=12*'🎚️ Escenario'!$C$11,1,1+$C$6))</f>
        <v>0</v>
      </c>
      <c r="DE428" s="237" t="n">
        <f aca="false">IF(DE426=0,0,IF(DE426&lt;=12*'🎚️ Escenario'!$C$11,1,1+$C$6))</f>
        <v>0</v>
      </c>
      <c r="DF428" s="237" t="n">
        <f aca="false">IF(DF426=0,0,IF(DF426&lt;=12*'🎚️ Escenario'!$C$11,1,1+$C$6))</f>
        <v>0</v>
      </c>
      <c r="DG428" s="237" t="n">
        <f aca="false">IF(DG426=0,0,IF(DG426&lt;=12*'🎚️ Escenario'!$C$11,1,1+$C$6))</f>
        <v>0</v>
      </c>
      <c r="DH428" s="237" t="n">
        <f aca="false">IF(DH426=0,0,IF(DH426&lt;=12*'🎚️ Escenario'!$C$11,1,1+$C$6))</f>
        <v>0</v>
      </c>
      <c r="DI428" s="237" t="n">
        <f aca="false">IF(DI426=0,0,IF(DI426&lt;=12*'🎚️ Escenario'!$C$11,1,1+$C$6))</f>
        <v>0</v>
      </c>
      <c r="DJ428" s="237" t="n">
        <f aca="false">IF(DJ426=0,0,IF(DJ426&lt;=12*'🎚️ Escenario'!$C$11,1,1+$C$6))</f>
        <v>0</v>
      </c>
      <c r="DK428" s="237" t="n">
        <f aca="false">IF(DK426=0,0,IF(DK426&lt;=12*'🎚️ Escenario'!$C$11,1,1+$C$6))</f>
        <v>0</v>
      </c>
      <c r="DL428" s="237" t="n">
        <f aca="false">IF(DL426=0,0,IF(DL426&lt;=12*'🎚️ Escenario'!$C$11,1,1+$C$6))</f>
        <v>0</v>
      </c>
      <c r="DM428" s="237" t="n">
        <f aca="false">IF(DM426=0,0,IF(DM426&lt;=12*'🎚️ Escenario'!$C$11,1,1+$C$6))</f>
        <v>0</v>
      </c>
      <c r="DN428" s="237" t="n">
        <f aca="false">IF(DN426=0,0,IF(DN426&lt;=12*'🎚️ Escenario'!$C$11,1,1+$C$6))</f>
        <v>0</v>
      </c>
      <c r="DO428" s="237" t="n">
        <f aca="false">IF(DO426=0,0,IF(DO426&lt;=12*'🎚️ Escenario'!$C$11,1,1+$C$6))</f>
        <v>0</v>
      </c>
      <c r="DP428" s="237" t="n">
        <f aca="false">IF(DP426=0,0,IF(DP426&lt;=12*'🎚️ Escenario'!$C$11,1,1+$C$6))</f>
        <v>0</v>
      </c>
      <c r="DQ428" s="237" t="n">
        <f aca="false">IF(DQ426=0,0,IF(DQ426&lt;=12*'🎚️ Escenario'!$C$11,1,1+$C$6))</f>
        <v>0</v>
      </c>
      <c r="DR428" s="237" t="n">
        <f aca="false">IF(DR426=0,0,IF(DR426&lt;=12*'🎚️ Escenario'!$C$11,1,1+$C$6))</f>
        <v>0</v>
      </c>
      <c r="DS428" s="237" t="n">
        <f aca="false">IF(DS426=0,0,IF(DS426&lt;=12*'🎚️ Escenario'!$C$11,1,1+$C$6))</f>
        <v>0</v>
      </c>
      <c r="DT428" s="237" t="n">
        <f aca="false">IF(DT426=0,0,IF(DT426&lt;=12*'🎚️ Escenario'!$C$11,1,1+$C$6))</f>
        <v>0</v>
      </c>
      <c r="DU428" s="237" t="n">
        <f aca="false">IF(DU426=0,0,IF(DU426&lt;=12*'🎚️ Escenario'!$C$11,1,1+$C$6))</f>
        <v>0</v>
      </c>
      <c r="DV428" s="237" t="n">
        <f aca="false">IF(DV426=0,0,IF(DV426&lt;=12*'🎚️ Escenario'!$C$11,1,1+$C$6))</f>
        <v>0</v>
      </c>
      <c r="DW428" s="237" t="n">
        <f aca="false">IF(DW426=0,0,IF(DW426&lt;=12*'🎚️ Escenario'!$C$11,1,1+$C$6))</f>
        <v>0</v>
      </c>
      <c r="DX428" s="237" t="n">
        <f aca="false">IF(DX426=0,0,IF(DX426&lt;=12*'🎚️ Escenario'!$C$11,1,1+$C$6))</f>
        <v>0</v>
      </c>
      <c r="DY428" s="237" t="n">
        <f aca="false">IF(DY426=0,0,IF(DY426&lt;=12*'🎚️ Escenario'!$C$11,1,1+$C$6))</f>
        <v>0</v>
      </c>
      <c r="DZ428" s="237" t="n">
        <f aca="false">IF(DZ426=0,0,IF(DZ426&lt;=12*'🎚️ Escenario'!$C$11,1,1+$C$6))</f>
        <v>0</v>
      </c>
      <c r="EA428" s="237" t="n">
        <f aca="false">IF(EA426=0,0,IF(EA426&lt;=12*'🎚️ Escenario'!$C$11,1,1+$C$6))</f>
        <v>0</v>
      </c>
      <c r="EB428" s="237" t="n">
        <f aca="false">IF(EB426=0,0,IF(EB426&lt;=12*'🎚️ Escenario'!$C$11,1,1+$C$6))</f>
        <v>0</v>
      </c>
      <c r="EC428" s="237" t="n">
        <f aca="false">IF(EC426=0,0,IF(EC426&lt;=12*'🎚️ Escenario'!$C$11,1,1+$C$6))</f>
        <v>0</v>
      </c>
      <c r="ED428" s="237" t="n">
        <f aca="false">IF(ED426=0,0,IF(ED426&lt;=12*'🎚️ Escenario'!$C$11,1,1+$C$6))</f>
        <v>0</v>
      </c>
      <c r="EE428" s="237" t="n">
        <f aca="false">IF(EE426=0,0,IF(EE426&lt;=12*'🎚️ Escenario'!$C$11,1,1+$C$6))</f>
        <v>0</v>
      </c>
      <c r="EF428" s="237" t="n">
        <f aca="false">IF(EF426=0,0,IF(EF426&lt;=12*'🎚️ Escenario'!$C$11,1,1+$C$6))</f>
        <v>0</v>
      </c>
      <c r="EG428" s="237" t="n">
        <f aca="false">IF(EG426=0,0,IF(EG426&lt;=12*'🎚️ Escenario'!$C$11,1,1+$C$6))</f>
        <v>0</v>
      </c>
      <c r="EH428" s="237" t="n">
        <f aca="false">IF(EH426=0,0,IF(EH426&lt;=12*'🎚️ Escenario'!$C$11,1,1+$C$6))</f>
        <v>0</v>
      </c>
      <c r="EI428" s="237" t="n">
        <f aca="false">IF(EI426=0,0,IF(EI426&lt;=12*'🎚️ Escenario'!$C$11,1,1+$C$6))</f>
        <v>0</v>
      </c>
      <c r="EJ428" s="237" t="n">
        <f aca="false">IF(EJ426=0,0,IF(EJ426&lt;=12*'🎚️ Escenario'!$C$11,1,1+$C$6))</f>
        <v>0</v>
      </c>
      <c r="EK428" s="237" t="n">
        <f aca="false">IF(EK426=0,0,IF(EK426&lt;=12*'🎚️ Escenario'!$C$11,1,1+$C$6))</f>
        <v>0</v>
      </c>
      <c r="EL428" s="237" t="n">
        <f aca="false">IF(EL426=0,0,IF(EL426&lt;=12*'🎚️ Escenario'!$C$11,1,1+$C$6))</f>
        <v>1</v>
      </c>
      <c r="EM428" s="237" t="n">
        <f aca="false">IF(EM426=0,0,IF(EM426&lt;=12*'🎚️ Escenario'!$C$11,1,1+$C$6))</f>
        <v>1</v>
      </c>
      <c r="EN428" s="237" t="n">
        <f aca="false">IF(EN426=0,0,IF(EN426&lt;=12*'🎚️ Escenario'!$C$11,1,1+$C$6))</f>
        <v>1</v>
      </c>
      <c r="EO428" s="237" t="n">
        <f aca="false">IF(EO426=0,0,IF(EO426&lt;=12*'🎚️ Escenario'!$C$11,1,1+$C$6))</f>
        <v>1</v>
      </c>
      <c r="EP428" s="237" t="n">
        <f aca="false">IF(EP426=0,0,IF(EP426&lt;=12*'🎚️ Escenario'!$C$11,1,1+$C$6))</f>
        <v>1</v>
      </c>
      <c r="EQ428" s="237" t="n">
        <f aca="false">IF(EQ426=0,0,IF(EQ426&lt;=12*'🎚️ Escenario'!$C$11,1,1+$C$6))</f>
        <v>1</v>
      </c>
      <c r="ER428" s="237" t="n">
        <f aca="false">IF(ER426=0,0,IF(ER426&lt;=12*'🎚️ Escenario'!$C$11,1,1+$C$6))</f>
        <v>1</v>
      </c>
      <c r="ES428" s="9" t="n">
        <f aca="false">IF(ES426=0,0,IF(ES426&lt;=12*'🎚️ Escenario'!$C$11,1,1+$C$6))</f>
        <v>1</v>
      </c>
      <c r="ET428" s="9" t="n">
        <f aca="false">IF(ET426=0,0,IF(ET426&lt;=12*'🎚️ Escenario'!$C$11,1,1+$C$6))</f>
        <v>1</v>
      </c>
      <c r="EU428" s="9" t="n">
        <f aca="false">IF(EU426=0,0,IF(EU426&lt;=12*'🎚️ Escenario'!$C$11,1,1+$C$6))</f>
        <v>1</v>
      </c>
      <c r="EV428" s="9" t="n">
        <f aca="false">IF(EV426=0,0,IF(EV426&lt;=12*'🎚️ Escenario'!$C$11,1,1+$C$6))</f>
        <v>1</v>
      </c>
      <c r="EW428" s="9" t="n">
        <f aca="false">IF(EW426=0,0,IF(EW426&lt;=12*'🎚️ Escenario'!$C$11,1,1+$C$6))</f>
        <v>1</v>
      </c>
      <c r="EX428" s="9" t="n">
        <f aca="false">IF(EX426=0,0,IF(EX426&lt;=12*'🎚️ Escenario'!$C$11,1,1+$C$6))</f>
        <v>1</v>
      </c>
      <c r="EY428" s="9" t="n">
        <f aca="false">IF(EY426=0,0,IF(EY426&lt;=12*'🎚️ Escenario'!$C$11,1,1+$C$6))</f>
        <v>1</v>
      </c>
      <c r="EZ428" s="9" t="n">
        <f aca="false">IF(EZ426=0,0,IF(EZ426&lt;=12*'🎚️ Escenario'!$C$11,1,1+$C$6))</f>
        <v>1</v>
      </c>
      <c r="FA428" s="238" t="n">
        <f aca="false">IF(FA426=0,0,IF(FA426&lt;=12*'🎚️ Escenario'!$C$11,1,1+$C$6))</f>
        <v>1.2</v>
      </c>
      <c r="FB428" s="238" t="n">
        <f aca="false">IF(FB426=0,0,IF(FB426&lt;=12*'🎚️ Escenario'!$C$11,1,1+$C$6))</f>
        <v>1.2</v>
      </c>
      <c r="FC428" s="238" t="n">
        <f aca="false">IF(FC426=0,0,IF(FC426&lt;=12*'🎚️ Escenario'!$C$11,1,1+$C$6))</f>
        <v>1.2</v>
      </c>
      <c r="FD428" s="238" t="n">
        <f aca="false">IF(FD426=0,0,IF(FD426&lt;=12*'🎚️ Escenario'!$C$11,1,1+$C$6))</f>
        <v>1.2</v>
      </c>
      <c r="FE428" s="238" t="n">
        <f aca="false">IF(FE426=0,0,IF(FE426&lt;=12*'🎚️ Escenario'!$C$11,1,1+$C$6))</f>
        <v>1.2</v>
      </c>
      <c r="FF428" s="238" t="n">
        <f aca="false">IF(FF426=0,0,IF(FF426&lt;=12*'🎚️ Escenario'!$C$11,1,1+$C$6))</f>
        <v>1.2</v>
      </c>
      <c r="FG428" s="238" t="n">
        <f aca="false">IF(FG426=0,0,IF(FG426&lt;=12*'🎚️ Escenario'!$C$11,1,1+$C$6))</f>
        <v>1.2</v>
      </c>
      <c r="FH428" s="238" t="n">
        <f aca="false">IF(FH426=0,0,IF(FH426&lt;=12*'🎚️ Escenario'!$C$11,1,1+$C$6))</f>
        <v>1.2</v>
      </c>
      <c r="FI428" s="238" t="n">
        <f aca="false">IF(FI426=0,0,IF(FI426&lt;=12*'🎚️ Escenario'!$C$11,1,1+$C$6))</f>
        <v>1.2</v>
      </c>
      <c r="FJ428" s="238" t="n">
        <f aca="false">IF(FJ426=0,0,IF(FJ426&lt;=12*'🎚️ Escenario'!$C$11,1,1+$C$6))</f>
        <v>1.2</v>
      </c>
      <c r="FK428" s="238" t="n">
        <f aca="false">IF(FK426=0,0,IF(FK426&lt;=12*'🎚️ Escenario'!$C$11,1,1+$C$6))</f>
        <v>1.2</v>
      </c>
      <c r="FL428" s="238" t="n">
        <f aca="false">IF(FL426=0,0,IF(FL426&lt;=12*'🎚️ Escenario'!$C$11,1,1+$C$6))</f>
        <v>1.2</v>
      </c>
      <c r="FM428" s="238" t="n">
        <f aca="false">IF(FM426=0,0,IF(FM426&lt;=12*'🎚️ Escenario'!$C$11,1,1+$C$6))</f>
        <v>1.2</v>
      </c>
      <c r="FN428" s="238" t="n">
        <f aca="false">IF(FN426=0,0,IF(FN426&lt;=12*'🎚️ Escenario'!$C$11,1,1+$C$6))</f>
        <v>1.2</v>
      </c>
      <c r="FO428" s="238" t="n">
        <f aca="false">IF(FO426=0,0,IF(FO426&lt;=12*'🎚️ Escenario'!$C$11,1,1+$C$6))</f>
        <v>1.2</v>
      </c>
      <c r="FP428" s="238" t="n">
        <f aca="false">IF(FP426=0,0,IF(FP426&lt;=12*'🎚️ Escenario'!$C$11,1,1+$C$6))</f>
        <v>1.2</v>
      </c>
    </row>
    <row r="429" customFormat="false" ht="15" hidden="false" customHeight="false" outlineLevel="2" collapsed="false">
      <c r="B429" s="47" t="s">
        <v>876</v>
      </c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237" t="n">
        <f aca="false">AC427*$AC$425*AC428*AC$38*'⑫ Roll-out Plan'!$O$47</f>
        <v>0</v>
      </c>
      <c r="AD429" s="237" t="n">
        <f aca="false">AD427*$AC$425*AD428*AD$38*'⑫ Roll-out Plan'!$O$47</f>
        <v>0</v>
      </c>
      <c r="AE429" s="237" t="n">
        <f aca="false">AE427*$AC$425*AE428*AE$38*'⑫ Roll-out Plan'!$O$47</f>
        <v>0</v>
      </c>
      <c r="AF429" s="237" t="n">
        <f aca="false">AF427*$AC$425*AF428*AF$38*'⑫ Roll-out Plan'!$O$47</f>
        <v>0</v>
      </c>
      <c r="AG429" s="237" t="n">
        <f aca="false">AG427*$AC$425*AG428*AG$38*'⑫ Roll-out Plan'!$O$47</f>
        <v>0</v>
      </c>
      <c r="AH429" s="237" t="n">
        <f aca="false">AH427*$AC$425*AH428*AH$38*'⑫ Roll-out Plan'!$O$47</f>
        <v>0</v>
      </c>
      <c r="AI429" s="237" t="n">
        <f aca="false">AI427*$AC$425*AI428*AI$38*'⑫ Roll-out Plan'!$O$47</f>
        <v>0</v>
      </c>
      <c r="AJ429" s="237" t="n">
        <f aca="false">AJ427*$AC$425*AJ428*AJ$38*'⑫ Roll-out Plan'!$O$47</f>
        <v>0</v>
      </c>
      <c r="AK429" s="237" t="n">
        <f aca="false">AK427*$AC$425*AK428*AK$38*'⑫ Roll-out Plan'!$O$47</f>
        <v>0</v>
      </c>
      <c r="AL429" s="237" t="n">
        <f aca="false">AL427*$AC$425*AL428*AL$38*'⑫ Roll-out Plan'!$O$47</f>
        <v>0</v>
      </c>
      <c r="AM429" s="237" t="n">
        <f aca="false">AM427*$AC$425*AM428*AM$38*'⑫ Roll-out Plan'!$O$47</f>
        <v>0</v>
      </c>
      <c r="AN429" s="237" t="n">
        <f aca="false">AN427*$AC$425*AN428*AN$38*'⑫ Roll-out Plan'!$O$47</f>
        <v>0</v>
      </c>
      <c r="AO429" s="237" t="n">
        <f aca="false">AO427*$AC$425*AO428*AO$38*'⑫ Roll-out Plan'!$O$47</f>
        <v>0</v>
      </c>
      <c r="AP429" s="237" t="n">
        <f aca="false">AP427*$AC$425*AP428*AP$38*'⑫ Roll-out Plan'!$O$47</f>
        <v>0</v>
      </c>
      <c r="AQ429" s="237" t="n">
        <f aca="false">AQ427*$AC$425*AQ428*AQ$38*'⑫ Roll-out Plan'!$O$47</f>
        <v>0</v>
      </c>
      <c r="AR429" s="237" t="n">
        <f aca="false">AR427*$AC$425*AR428*AR$38*'⑫ Roll-out Plan'!$O$47</f>
        <v>0</v>
      </c>
      <c r="AS429" s="237" t="n">
        <f aca="false">AS427*$AC$425*AS428*AS$38*'⑫ Roll-out Plan'!$O$47</f>
        <v>0</v>
      </c>
      <c r="AT429" s="237" t="n">
        <f aca="false">AT427*$AC$425*AT428*AT$38*'⑫ Roll-out Plan'!$O$47</f>
        <v>0</v>
      </c>
      <c r="AU429" s="237" t="n">
        <f aca="false">AU427*$AC$425*AU428*AU$38*'⑫ Roll-out Plan'!$O$47</f>
        <v>0</v>
      </c>
      <c r="AV429" s="237" t="n">
        <f aca="false">AV427*$AC$425*AV428*AV$38*'⑫ Roll-out Plan'!$O$47</f>
        <v>0</v>
      </c>
      <c r="AW429" s="237" t="n">
        <f aca="false">AW427*$AC$425*AW428*AW$38*'⑫ Roll-out Plan'!$O$47</f>
        <v>0</v>
      </c>
      <c r="AX429" s="237" t="n">
        <f aca="false">AX427*$AC$425*AX428*AX$38*'⑫ Roll-out Plan'!$O$47</f>
        <v>0</v>
      </c>
      <c r="AY429" s="237" t="n">
        <f aca="false">AY427*$AC$425*AY428*AY$38*'⑫ Roll-out Plan'!$O$47</f>
        <v>0</v>
      </c>
      <c r="AZ429" s="237" t="n">
        <f aca="false">AZ427*$AC$425*AZ428*AZ$38*'⑫ Roll-out Plan'!$O$47</f>
        <v>0</v>
      </c>
      <c r="BA429" s="237" t="n">
        <f aca="false">BA427*$AC$425*BA428*BA$38*'⑫ Roll-out Plan'!$O$47</f>
        <v>0</v>
      </c>
      <c r="BB429" s="237" t="n">
        <f aca="false">BB427*$AC$425*BB428*BB$38*'⑫ Roll-out Plan'!$O$47</f>
        <v>0</v>
      </c>
      <c r="BC429" s="237" t="n">
        <f aca="false">BC427*$AC$425*BC428*BC$38*'⑫ Roll-out Plan'!$O$47</f>
        <v>0</v>
      </c>
      <c r="BD429" s="237" t="n">
        <f aca="false">BD427*$AC$425*BD428*BD$38*'⑫ Roll-out Plan'!$O$47</f>
        <v>0</v>
      </c>
      <c r="BE429" s="237" t="n">
        <f aca="false">BE427*$AC$425*BE428*BE$38*'⑫ Roll-out Plan'!$O$47</f>
        <v>0</v>
      </c>
      <c r="BF429" s="237" t="n">
        <f aca="false">BF427*$AC$425*BF428*BF$38*'⑫ Roll-out Plan'!$O$47</f>
        <v>0</v>
      </c>
      <c r="BG429" s="237" t="n">
        <f aca="false">BG427*$AC$425*BG428*BG$38*'⑫ Roll-out Plan'!$O$47</f>
        <v>0</v>
      </c>
      <c r="BH429" s="237" t="n">
        <f aca="false">BH427*$AC$425*BH428*BH$38*'⑫ Roll-out Plan'!$O$47</f>
        <v>0</v>
      </c>
      <c r="BI429" s="237" t="n">
        <f aca="false">BI427*$AC$425*BI428*BI$38*'⑫ Roll-out Plan'!$O$47</f>
        <v>0</v>
      </c>
      <c r="BJ429" s="237" t="n">
        <f aca="false">BJ427*$AC$425*BJ428*BJ$38*'⑫ Roll-out Plan'!$O$47</f>
        <v>0</v>
      </c>
      <c r="BK429" s="237" t="n">
        <f aca="false">BK427*$AC$425*BK428*BK$38*'⑫ Roll-out Plan'!$O$47</f>
        <v>0</v>
      </c>
      <c r="BL429" s="237" t="n">
        <f aca="false">BL427*$AC$425*BL428*BL$38*'⑫ Roll-out Plan'!$O$47</f>
        <v>0</v>
      </c>
      <c r="BM429" s="237" t="n">
        <f aca="false">BM427*$AC$425*BM428*BM$38*'⑫ Roll-out Plan'!$O$47</f>
        <v>0</v>
      </c>
      <c r="BN429" s="237" t="n">
        <f aca="false">BN427*$AC$425*BN428*BN$38*'⑫ Roll-out Plan'!$O$47</f>
        <v>0</v>
      </c>
      <c r="BO429" s="237" t="n">
        <f aca="false">BO427*$AC$425*BO428*BO$38*'⑫ Roll-out Plan'!$O$47</f>
        <v>0</v>
      </c>
      <c r="BP429" s="237" t="n">
        <f aca="false">BP427*$AC$425*BP428*BP$38*'⑫ Roll-out Plan'!$O$47</f>
        <v>0</v>
      </c>
      <c r="BQ429" s="237" t="n">
        <f aca="false">BQ427*$AC$425*BQ428*BQ$38*'⑫ Roll-out Plan'!$O$47</f>
        <v>0</v>
      </c>
      <c r="BR429" s="237" t="n">
        <f aca="false">BR427*$AC$425*BR428*BR$38*'⑫ Roll-out Plan'!$O$47</f>
        <v>0</v>
      </c>
      <c r="BS429" s="237" t="n">
        <f aca="false">BS427*$AC$425*BS428*BS$38*'⑫ Roll-out Plan'!$O$47</f>
        <v>0</v>
      </c>
      <c r="BT429" s="237" t="n">
        <f aca="false">BT427*$AC$425*BT428*BT$38*'⑫ Roll-out Plan'!$O$47</f>
        <v>0</v>
      </c>
      <c r="BU429" s="237" t="n">
        <f aca="false">BU427*$AC$425*BU428*BU$38*'⑫ Roll-out Plan'!$O$47</f>
        <v>0</v>
      </c>
      <c r="BV429" s="237" t="n">
        <f aca="false">BV427*$AC$425*BV428*BV$38*'⑫ Roll-out Plan'!$O$47</f>
        <v>0</v>
      </c>
      <c r="BW429" s="237" t="n">
        <f aca="false">BW427*$AC$425*BW428*BW$38*'⑫ Roll-out Plan'!$O$47</f>
        <v>0</v>
      </c>
      <c r="BX429" s="237" t="n">
        <f aca="false">BX427*$AC$425*BX428*BX$38*'⑫ Roll-out Plan'!$O$47</f>
        <v>0</v>
      </c>
      <c r="BY429" s="237" t="n">
        <f aca="false">BY427*$AC$425*BY428*BY$38*'⑫ Roll-out Plan'!$O$47</f>
        <v>0</v>
      </c>
      <c r="BZ429" s="237" t="n">
        <f aca="false">BZ427*$AC$425*BZ428*BZ$38*'⑫ Roll-out Plan'!$O$47</f>
        <v>0</v>
      </c>
      <c r="CA429" s="237" t="n">
        <f aca="false">CA427*$AC$425*CA428*CA$38*'⑫ Roll-out Plan'!$O$47</f>
        <v>0</v>
      </c>
      <c r="CB429" s="237" t="n">
        <f aca="false">CB427*$AC$425*CB428*CB$38*'⑫ Roll-out Plan'!$O$47</f>
        <v>0</v>
      </c>
      <c r="CC429" s="237" t="n">
        <f aca="false">CC427*$AC$425*CC428*CC$38*'⑫ Roll-out Plan'!$O$47</f>
        <v>0</v>
      </c>
      <c r="CD429" s="237" t="n">
        <f aca="false">CD427*$AC$425*CD428*CD$38*'⑫ Roll-out Plan'!$O$47</f>
        <v>0</v>
      </c>
      <c r="CE429" s="237" t="n">
        <f aca="false">CE427*$AC$425*CE428*CE$38*'⑫ Roll-out Plan'!$O$47</f>
        <v>0</v>
      </c>
      <c r="CF429" s="237" t="n">
        <f aca="false">CF427*$AC$425*CF428*CF$38*'⑫ Roll-out Plan'!$O$47</f>
        <v>0</v>
      </c>
      <c r="CG429" s="237" t="n">
        <f aca="false">CG427*$AC$425*CG428*CG$38*'⑫ Roll-out Plan'!$O$47</f>
        <v>0</v>
      </c>
      <c r="CH429" s="237" t="n">
        <f aca="false">CH427*$AC$425*CH428*CH$38*'⑫ Roll-out Plan'!$O$47</f>
        <v>0</v>
      </c>
      <c r="CI429" s="237" t="n">
        <f aca="false">CI427*$AC$425*CI428*CI$38*'⑫ Roll-out Plan'!$O$47</f>
        <v>0</v>
      </c>
      <c r="CJ429" s="237" t="n">
        <f aca="false">CJ427*$AC$425*CJ428*CJ$38*'⑫ Roll-out Plan'!$O$47</f>
        <v>0</v>
      </c>
      <c r="CK429" s="237" t="n">
        <f aca="false">CK427*$AC$425*CK428*CK$38*'⑫ Roll-out Plan'!$O$47</f>
        <v>0</v>
      </c>
      <c r="CL429" s="237" t="n">
        <f aca="false">CL427*$AC$425*CL428*CL$38*'⑫ Roll-out Plan'!$O$47</f>
        <v>0</v>
      </c>
      <c r="CM429" s="237" t="n">
        <f aca="false">CM427*$AC$425*CM428*CM$38*'⑫ Roll-out Plan'!$O$47</f>
        <v>0</v>
      </c>
      <c r="CN429" s="237" t="n">
        <f aca="false">CN427*$AC$425*CN428*CN$38*'⑫ Roll-out Plan'!$O$47</f>
        <v>0</v>
      </c>
      <c r="CO429" s="237" t="n">
        <f aca="false">CO427*$AC$425*CO428*CO$38*'⑫ Roll-out Plan'!$O$47</f>
        <v>0</v>
      </c>
      <c r="CP429" s="237" t="n">
        <f aca="false">CP427*$AC$425*CP428*CP$38*'⑫ Roll-out Plan'!$O$47</f>
        <v>0</v>
      </c>
      <c r="CQ429" s="237" t="n">
        <f aca="false">CQ427*$AC$425*CQ428*CQ$38*'⑫ Roll-out Plan'!$O$47</f>
        <v>0</v>
      </c>
      <c r="CR429" s="237" t="n">
        <f aca="false">CR427*$AC$425*CR428*CR$38*'⑫ Roll-out Plan'!$O$47</f>
        <v>0</v>
      </c>
      <c r="CS429" s="237" t="n">
        <f aca="false">CS427*$AC$425*CS428*CS$38*'⑫ Roll-out Plan'!$O$47</f>
        <v>0</v>
      </c>
      <c r="CT429" s="237" t="n">
        <f aca="false">CT427*$AC$425*CT428*CT$38*'⑫ Roll-out Plan'!$O$47</f>
        <v>0</v>
      </c>
      <c r="CU429" s="237" t="n">
        <f aca="false">CU427*$AC$425*CU428*CU$38*'⑫ Roll-out Plan'!$O$47</f>
        <v>0</v>
      </c>
      <c r="CV429" s="237" t="n">
        <f aca="false">CV427*$AC$425*CV428*CV$38*'⑫ Roll-out Plan'!$O$47</f>
        <v>0</v>
      </c>
      <c r="CW429" s="237" t="n">
        <f aca="false">CW427*$AC$425*CW428*CW$38*'⑫ Roll-out Plan'!$O$47</f>
        <v>0</v>
      </c>
      <c r="CX429" s="237" t="n">
        <f aca="false">CX427*$AC$425*CX428*CX$38*'⑫ Roll-out Plan'!$O$47</f>
        <v>0</v>
      </c>
      <c r="CY429" s="237" t="n">
        <f aca="false">CY427*$AC$425*CY428*CY$38*'⑫ Roll-out Plan'!$O$47</f>
        <v>0</v>
      </c>
      <c r="CZ429" s="237" t="n">
        <f aca="false">CZ427*$AC$425*CZ428*CZ$38*'⑫ Roll-out Plan'!$O$47</f>
        <v>0</v>
      </c>
      <c r="DA429" s="237" t="n">
        <f aca="false">DA427*$AC$425*DA428*DA$38*'⑫ Roll-out Plan'!$O$47</f>
        <v>0</v>
      </c>
      <c r="DB429" s="237" t="n">
        <f aca="false">DB427*$AC$425*DB428*DB$38*'⑫ Roll-out Plan'!$O$47</f>
        <v>0</v>
      </c>
      <c r="DC429" s="237" t="n">
        <f aca="false">DC427*$AC$425*DC428*DC$38*'⑫ Roll-out Plan'!$O$47</f>
        <v>0</v>
      </c>
      <c r="DD429" s="237" t="n">
        <f aca="false">DD427*$AC$425*DD428*DD$38*'⑫ Roll-out Plan'!$O$47</f>
        <v>0</v>
      </c>
      <c r="DE429" s="237" t="n">
        <f aca="false">DE427*$AC$425*DE428*DE$38*'⑫ Roll-out Plan'!$O$47</f>
        <v>0</v>
      </c>
      <c r="DF429" s="237" t="n">
        <f aca="false">DF427*$AC$425*DF428*DF$38*'⑫ Roll-out Plan'!$O$47</f>
        <v>0</v>
      </c>
      <c r="DG429" s="237" t="n">
        <f aca="false">DG427*$AC$425*DG428*DG$38*'⑫ Roll-out Plan'!$O$47</f>
        <v>0</v>
      </c>
      <c r="DH429" s="237" t="n">
        <f aca="false">DH427*$AC$425*DH428*DH$38*'⑫ Roll-out Plan'!$O$47</f>
        <v>0</v>
      </c>
      <c r="DI429" s="237" t="n">
        <f aca="false">DI427*$AC$425*DI428*DI$38*'⑫ Roll-out Plan'!$O$47</f>
        <v>0</v>
      </c>
      <c r="DJ429" s="237" t="n">
        <f aca="false">DJ427*$AC$425*DJ428*DJ$38*'⑫ Roll-out Plan'!$O$47</f>
        <v>0</v>
      </c>
      <c r="DK429" s="237" t="n">
        <f aca="false">DK427*$AC$425*DK428*DK$38*'⑫ Roll-out Plan'!$O$47</f>
        <v>0</v>
      </c>
      <c r="DL429" s="237" t="n">
        <f aca="false">DL427*$AC$425*DL428*DL$38*'⑫ Roll-out Plan'!$O$47</f>
        <v>0</v>
      </c>
      <c r="DM429" s="237" t="n">
        <f aca="false">DM427*$AC$425*DM428*DM$38*'⑫ Roll-out Plan'!$O$47</f>
        <v>0</v>
      </c>
      <c r="DN429" s="237" t="n">
        <f aca="false">DN427*$AC$425*DN428*DN$38*'⑫ Roll-out Plan'!$O$47</f>
        <v>0</v>
      </c>
      <c r="DO429" s="237" t="n">
        <f aca="false">DO427*$AC$425*DO428*DO$38*'⑫ Roll-out Plan'!$O$47</f>
        <v>0</v>
      </c>
      <c r="DP429" s="237" t="n">
        <f aca="false">DP427*$AC$425*DP428*DP$38*'⑫ Roll-out Plan'!$O$47</f>
        <v>0</v>
      </c>
      <c r="DQ429" s="237" t="n">
        <f aca="false">DQ427*$AC$425*DQ428*DQ$38*'⑫ Roll-out Plan'!$O$47</f>
        <v>0</v>
      </c>
      <c r="DR429" s="237" t="n">
        <f aca="false">DR427*$AC$425*DR428*DR$38*'⑫ Roll-out Plan'!$O$47</f>
        <v>0</v>
      </c>
      <c r="DS429" s="237" t="n">
        <f aca="false">DS427*$AC$425*DS428*DS$38*'⑫ Roll-out Plan'!$O$47</f>
        <v>0</v>
      </c>
      <c r="DT429" s="237" t="n">
        <f aca="false">DT427*$AC$425*DT428*DT$38*'⑫ Roll-out Plan'!$O$47</f>
        <v>0</v>
      </c>
      <c r="DU429" s="237" t="n">
        <f aca="false">DU427*$AC$425*DU428*DU$38*'⑫ Roll-out Plan'!$O$47</f>
        <v>0</v>
      </c>
      <c r="DV429" s="237" t="n">
        <f aca="false">DV427*$AC$425*DV428*DV$38*'⑫ Roll-out Plan'!$O$47</f>
        <v>0</v>
      </c>
      <c r="DW429" s="237" t="n">
        <f aca="false">DW427*$AC$425*DW428*DW$38*'⑫ Roll-out Plan'!$O$47</f>
        <v>0</v>
      </c>
      <c r="DX429" s="237" t="n">
        <f aca="false">DX427*$AC$425*DX428*DX$38*'⑫ Roll-out Plan'!$O$47</f>
        <v>0</v>
      </c>
      <c r="DY429" s="237" t="n">
        <f aca="false">DY427*$AC$425*DY428*DY$38*'⑫ Roll-out Plan'!$O$47</f>
        <v>0</v>
      </c>
      <c r="DZ429" s="237" t="n">
        <f aca="false">DZ427*$AC$425*DZ428*DZ$38*'⑫ Roll-out Plan'!$O$47</f>
        <v>0</v>
      </c>
      <c r="EA429" s="237" t="n">
        <f aca="false">EA427*$AC$425*EA428*EA$38*'⑫ Roll-out Plan'!$O$47</f>
        <v>0</v>
      </c>
      <c r="EB429" s="237" t="n">
        <f aca="false">EB427*$AC$425*EB428*EB$38*'⑫ Roll-out Plan'!$O$47</f>
        <v>0</v>
      </c>
      <c r="EC429" s="237" t="n">
        <f aca="false">EC427*$AC$425*EC428*EC$38*'⑫ Roll-out Plan'!$O$47</f>
        <v>0</v>
      </c>
      <c r="ED429" s="237" t="n">
        <f aca="false">ED427*$AC$425*ED428*ED$38*'⑫ Roll-out Plan'!$O$47</f>
        <v>0</v>
      </c>
      <c r="EE429" s="237" t="n">
        <f aca="false">EE427*$AC$425*EE428*EE$38*'⑫ Roll-out Plan'!$O$47</f>
        <v>0</v>
      </c>
      <c r="EF429" s="237" t="n">
        <f aca="false">EF427*$AC$425*EF428*EF$38*'⑫ Roll-out Plan'!$O$47</f>
        <v>0</v>
      </c>
      <c r="EG429" s="237" t="n">
        <f aca="false">EG427*$AC$425*EG428*EG$38*'⑫ Roll-out Plan'!$O$47</f>
        <v>0</v>
      </c>
      <c r="EH429" s="237" t="n">
        <f aca="false">EH427*$AC$425*EH428*EH$38*'⑫ Roll-out Plan'!$O$47</f>
        <v>0</v>
      </c>
      <c r="EI429" s="237" t="n">
        <f aca="false">EI427*$AC$425*EI428*EI$38*'⑫ Roll-out Plan'!$O$47</f>
        <v>0</v>
      </c>
      <c r="EJ429" s="237" t="n">
        <f aca="false">EJ427*$AC$425*EJ428*EJ$38*'⑫ Roll-out Plan'!$O$47</f>
        <v>0</v>
      </c>
      <c r="EK429" s="237" t="n">
        <f aca="false">EK427*$AC$425*EK428*EK$38*'⑫ Roll-out Plan'!$O$47</f>
        <v>0</v>
      </c>
      <c r="EL429" s="237" t="n">
        <f aca="false">EL427*$AC$425*EL428*EL$38*'⑫ Roll-out Plan'!$O$47</f>
        <v>17.6</v>
      </c>
      <c r="EM429" s="237" t="n">
        <f aca="false">EM427*$AC$425*EM428*EM$38*'⑫ Roll-out Plan'!$O$47</f>
        <v>20.328</v>
      </c>
      <c r="EN429" s="237" t="n">
        <f aca="false">EN427*$AC$425*EN428*EN$38*'⑫ Roll-out Plan'!$O$47</f>
        <v>37.488</v>
      </c>
      <c r="EO429" s="237" t="n">
        <f aca="false">EO427*$AC$425*EO428*EO$38*'⑫ Roll-out Plan'!$O$47</f>
        <v>34.452</v>
      </c>
      <c r="EP429" s="237" t="n">
        <f aca="false">EP427*$AC$425*EP428*EP$38*'⑫ Roll-out Plan'!$O$47</f>
        <v>28.512</v>
      </c>
      <c r="EQ429" s="237" t="n">
        <f aca="false">EQ427*$AC$425*EQ428*EQ$38*'⑫ Roll-out Plan'!$O$47</f>
        <v>24.552</v>
      </c>
      <c r="ER429" s="237" t="n">
        <f aca="false">ER427*$AC$425*ER428*ER$38*'⑫ Roll-out Plan'!$O$47</f>
        <v>39.27</v>
      </c>
      <c r="ES429" s="9" t="n">
        <f aca="false">ES427*$AC$425*ES428*ES$38*'⑫ Roll-out Plan'!$O$47</f>
        <v>46.332</v>
      </c>
      <c r="ET429" s="9" t="n">
        <f aca="false">ET427*$AC$425*ET428*ET$38*'⑫ Roll-out Plan'!$O$47</f>
        <v>39.688</v>
      </c>
      <c r="EU429" s="9" t="n">
        <f aca="false">EU427*$AC$425*EU428*EU$38*'⑫ Roll-out Plan'!$O$47</f>
        <v>56.144</v>
      </c>
      <c r="EV429" s="9" t="n">
        <f aca="false">EV427*$AC$425*EV428*EV$38*'⑫ Roll-out Plan'!$O$47</f>
        <v>58.08</v>
      </c>
      <c r="EW429" s="9" t="n">
        <f aca="false">EW427*$AC$425*EW428*EW$38*'⑫ Roll-out Plan'!$O$47</f>
        <v>52.624</v>
      </c>
      <c r="EX429" s="9" t="n">
        <f aca="false">EX427*$AC$425*EX428*EX$38*'⑫ Roll-out Plan'!$O$47</f>
        <v>49.28</v>
      </c>
      <c r="EY429" s="9" t="n">
        <f aca="false">EY427*$AC$425*EY428*EY$38*'⑫ Roll-out Plan'!$O$47</f>
        <v>55.44</v>
      </c>
      <c r="EZ429" s="9" t="n">
        <f aca="false">EZ427*$AC$425*EZ428*EZ$38*'⑫ Roll-out Plan'!$O$47</f>
        <v>93.72</v>
      </c>
      <c r="FA429" s="9" t="n">
        <f aca="false">FA427*$AC$425*FA428*FA$38*'⑫ Roll-out Plan'!$O$47</f>
        <v>96.4656</v>
      </c>
      <c r="FB429" s="9" t="n">
        <f aca="false">FB427*$AC$425*FB428*FB$38*'⑫ Roll-out Plan'!$O$47</f>
        <v>83.6352</v>
      </c>
      <c r="FC429" s="9" t="n">
        <f aca="false">FC427*$AC$425*FC428*FC$38*'⑫ Roll-out Plan'!$O$47</f>
        <v>65.5776</v>
      </c>
      <c r="FD429" s="9" t="n">
        <f aca="false">FD427*$AC$425*FD428*FD$38*'⑫ Roll-out Plan'!$O$47</f>
        <v>95.5944</v>
      </c>
      <c r="FE429" s="9" t="n">
        <f aca="false">FE427*$AC$425*FE428*FE$38*'⑫ Roll-out Plan'!$O$47</f>
        <v>101.2176</v>
      </c>
      <c r="FF429" s="9" t="n">
        <f aca="false">FF427*$AC$425*FF428*FF$38*'⑫ Roll-out Plan'!$O$47</f>
        <v>79.0152</v>
      </c>
      <c r="FG429" s="9" t="n">
        <f aca="false">FG427*$AC$425*FG428*FG$38*'⑫ Roll-out Plan'!$O$47</f>
        <v>114.84</v>
      </c>
      <c r="FH429" s="9" t="n">
        <f aca="false">FH427*$AC$425*FH428*FH$38*'⑫ Roll-out Plan'!$O$47</f>
        <v>111.804</v>
      </c>
      <c r="FI429" s="9" t="n">
        <f aca="false">FI427*$AC$425*FI428*FI$38*'⑫ Roll-out Plan'!$O$47</f>
        <v>95.9376</v>
      </c>
      <c r="FJ429" s="9" t="n">
        <f aca="false">FJ427*$AC$425*FJ428*FJ$38*'⑫ Roll-out Plan'!$O$47</f>
        <v>83.424</v>
      </c>
      <c r="FK429" s="9" t="n">
        <f aca="false">FK427*$AC$425*FK428*FK$38*'⑫ Roll-out Plan'!$O$47</f>
        <v>88.704</v>
      </c>
      <c r="FL429" s="9" t="n">
        <f aca="false">FL427*$AC$425*FL428*FL$38*'⑫ Roll-out Plan'!$O$47</f>
        <v>153.7008</v>
      </c>
      <c r="FM429" s="9" t="n">
        <f aca="false">FM427*$AC$425*FM428*FM$38*'⑫ Roll-out Plan'!$O$47</f>
        <v>128.6208</v>
      </c>
      <c r="FN429" s="9" t="n">
        <f aca="false">FN427*$AC$425*FN428*FN$38*'⑫ Roll-out Plan'!$O$47</f>
        <v>107.712</v>
      </c>
      <c r="FO429" s="9" t="n">
        <f aca="false">FO427*$AC$425*FO428*FO$38*'⑫ Roll-out Plan'!$O$47</f>
        <v>80.784</v>
      </c>
      <c r="FP429" s="9" t="n">
        <f aca="false">FP427*$AC$425*FP428*FP$38*'⑫ Roll-out Plan'!$O$47</f>
        <v>115.7904</v>
      </c>
    </row>
    <row r="430" customFormat="false" ht="15" hidden="false" customHeight="false" outlineLevel="2" collapsed="false">
      <c r="B430" s="47" t="s">
        <v>877</v>
      </c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237" t="n">
        <f aca="true">IFERROR(SUMPRODUCT(OFFSET($BJ$31,0,1-MIN(60,COLUMN()-29),1,MIN(60,COLUMN()-29)),OFFSET(AC429,0,-MIN(60,COLUMN()-29),1,MIN(60,COLUMN()-29))),0)</f>
        <v>0</v>
      </c>
      <c r="AD430" s="237" t="n">
        <f aca="true">IFERROR(SUMPRODUCT(OFFSET($BJ$31,0,1-MIN(60,COLUMN()-29),1,MIN(60,COLUMN()-29)),OFFSET(AD429,0,-MIN(60,COLUMN()-29),1,MIN(60,COLUMN()-29))),0)</f>
        <v>0</v>
      </c>
      <c r="AE430" s="237" t="n">
        <f aca="true">IFERROR(SUMPRODUCT(OFFSET($BJ$31,0,1-MIN(60,COLUMN()-29),1,MIN(60,COLUMN()-29)),OFFSET(AE429,0,-MIN(60,COLUMN()-29),1,MIN(60,COLUMN()-29))),0)</f>
        <v>0</v>
      </c>
      <c r="AF430" s="237" t="n">
        <f aca="true">IFERROR(SUMPRODUCT(OFFSET($BJ$31,0,1-MIN(60,COLUMN()-29),1,MIN(60,COLUMN()-29)),OFFSET(AF429,0,-MIN(60,COLUMN()-29),1,MIN(60,COLUMN()-29))),0)</f>
        <v>0</v>
      </c>
      <c r="AG430" s="237" t="n">
        <f aca="true">IFERROR(SUMPRODUCT(OFFSET($BJ$31,0,1-MIN(60,COLUMN()-29),1,MIN(60,COLUMN()-29)),OFFSET(AG429,0,-MIN(60,COLUMN()-29),1,MIN(60,COLUMN()-29))),0)</f>
        <v>0</v>
      </c>
      <c r="AH430" s="237" t="n">
        <f aca="true">IFERROR(SUMPRODUCT(OFFSET($BJ$31,0,1-MIN(60,COLUMN()-29),1,MIN(60,COLUMN()-29)),OFFSET(AH429,0,-MIN(60,COLUMN()-29),1,MIN(60,COLUMN()-29))),0)</f>
        <v>0</v>
      </c>
      <c r="AI430" s="237" t="n">
        <f aca="true">IFERROR(SUMPRODUCT(OFFSET($BJ$31,0,1-MIN(60,COLUMN()-29),1,MIN(60,COLUMN()-29)),OFFSET(AI429,0,-MIN(60,COLUMN()-29),1,MIN(60,COLUMN()-29))),0)</f>
        <v>0</v>
      </c>
      <c r="AJ430" s="237" t="n">
        <f aca="true">IFERROR(SUMPRODUCT(OFFSET($BJ$31,0,1-MIN(60,COLUMN()-29),1,MIN(60,COLUMN()-29)),OFFSET(AJ429,0,-MIN(60,COLUMN()-29),1,MIN(60,COLUMN()-29))),0)</f>
        <v>0</v>
      </c>
      <c r="AK430" s="237" t="n">
        <f aca="true">IFERROR(SUMPRODUCT(OFFSET($BJ$31,0,1-MIN(60,COLUMN()-29),1,MIN(60,COLUMN()-29)),OFFSET(AK429,0,-MIN(60,COLUMN()-29),1,MIN(60,COLUMN()-29))),0)</f>
        <v>0</v>
      </c>
      <c r="AL430" s="237" t="n">
        <f aca="true">IFERROR(SUMPRODUCT(OFFSET($BJ$31,0,1-MIN(60,COLUMN()-29),1,MIN(60,COLUMN()-29)),OFFSET(AL429,0,-MIN(60,COLUMN()-29),1,MIN(60,COLUMN()-29))),0)</f>
        <v>0</v>
      </c>
      <c r="AM430" s="237" t="n">
        <f aca="true">IFERROR(SUMPRODUCT(OFFSET($BJ$31,0,1-MIN(60,COLUMN()-29),1,MIN(60,COLUMN()-29)),OFFSET(AM429,0,-MIN(60,COLUMN()-29),1,MIN(60,COLUMN()-29))),0)</f>
        <v>0</v>
      </c>
      <c r="AN430" s="237" t="n">
        <f aca="true">IFERROR(SUMPRODUCT(OFFSET($BJ$31,0,1-MIN(60,COLUMN()-29),1,MIN(60,COLUMN()-29)),OFFSET(AN429,0,-MIN(60,COLUMN()-29),1,MIN(60,COLUMN()-29))),0)</f>
        <v>0</v>
      </c>
      <c r="AO430" s="237" t="n">
        <f aca="true">IFERROR(SUMPRODUCT(OFFSET($BJ$31,0,1-MIN(60,COLUMN()-29),1,MIN(60,COLUMN()-29)),OFFSET(AO429,0,-MIN(60,COLUMN()-29),1,MIN(60,COLUMN()-29))),0)</f>
        <v>0</v>
      </c>
      <c r="AP430" s="237" t="n">
        <f aca="true">IFERROR(SUMPRODUCT(OFFSET($BJ$31,0,1-MIN(60,COLUMN()-29),1,MIN(60,COLUMN()-29)),OFFSET(AP429,0,-MIN(60,COLUMN()-29),1,MIN(60,COLUMN()-29))),0)</f>
        <v>0</v>
      </c>
      <c r="AQ430" s="237" t="n">
        <f aca="true">IFERROR(SUMPRODUCT(OFFSET($BJ$31,0,1-MIN(60,COLUMN()-29),1,MIN(60,COLUMN()-29)),OFFSET(AQ429,0,-MIN(60,COLUMN()-29),1,MIN(60,COLUMN()-29))),0)</f>
        <v>0</v>
      </c>
      <c r="AR430" s="237" t="n">
        <f aca="true">IFERROR(SUMPRODUCT(OFFSET($BJ$31,0,1-MIN(60,COLUMN()-29),1,MIN(60,COLUMN()-29)),OFFSET(AR429,0,-MIN(60,COLUMN()-29),1,MIN(60,COLUMN()-29))),0)</f>
        <v>0</v>
      </c>
      <c r="AS430" s="237" t="n">
        <f aca="true">IFERROR(SUMPRODUCT(OFFSET($BJ$31,0,1-MIN(60,COLUMN()-29),1,MIN(60,COLUMN()-29)),OFFSET(AS429,0,-MIN(60,COLUMN()-29),1,MIN(60,COLUMN()-29))),0)</f>
        <v>0</v>
      </c>
      <c r="AT430" s="237" t="n">
        <f aca="true">IFERROR(SUMPRODUCT(OFFSET($BJ$31,0,1-MIN(60,COLUMN()-29),1,MIN(60,COLUMN()-29)),OFFSET(AT429,0,-MIN(60,COLUMN()-29),1,MIN(60,COLUMN()-29))),0)</f>
        <v>0</v>
      </c>
      <c r="AU430" s="237" t="n">
        <f aca="true">IFERROR(SUMPRODUCT(OFFSET($BJ$31,0,1-MIN(60,COLUMN()-29),1,MIN(60,COLUMN()-29)),OFFSET(AU429,0,-MIN(60,COLUMN()-29),1,MIN(60,COLUMN()-29))),0)</f>
        <v>0</v>
      </c>
      <c r="AV430" s="237" t="n">
        <f aca="true">IFERROR(SUMPRODUCT(OFFSET($BJ$31,0,1-MIN(60,COLUMN()-29),1,MIN(60,COLUMN()-29)),OFFSET(AV429,0,-MIN(60,COLUMN()-29),1,MIN(60,COLUMN()-29))),0)</f>
        <v>0</v>
      </c>
      <c r="AW430" s="237" t="n">
        <f aca="true">IFERROR(SUMPRODUCT(OFFSET($BJ$31,0,1-MIN(60,COLUMN()-29),1,MIN(60,COLUMN()-29)),OFFSET(AW429,0,-MIN(60,COLUMN()-29),1,MIN(60,COLUMN()-29))),0)</f>
        <v>0</v>
      </c>
      <c r="AX430" s="237" t="n">
        <f aca="true">IFERROR(SUMPRODUCT(OFFSET($BJ$31,0,1-MIN(60,COLUMN()-29),1,MIN(60,COLUMN()-29)),OFFSET(AX429,0,-MIN(60,COLUMN()-29),1,MIN(60,COLUMN()-29))),0)</f>
        <v>0</v>
      </c>
      <c r="AY430" s="237" t="n">
        <f aca="true">IFERROR(SUMPRODUCT(OFFSET($BJ$31,0,1-MIN(60,COLUMN()-29),1,MIN(60,COLUMN()-29)),OFFSET(AY429,0,-MIN(60,COLUMN()-29),1,MIN(60,COLUMN()-29))),0)</f>
        <v>0</v>
      </c>
      <c r="AZ430" s="237" t="n">
        <f aca="true">IFERROR(SUMPRODUCT(OFFSET($BJ$31,0,1-MIN(60,COLUMN()-29),1,MIN(60,COLUMN()-29)),OFFSET(AZ429,0,-MIN(60,COLUMN()-29),1,MIN(60,COLUMN()-29))),0)</f>
        <v>0</v>
      </c>
      <c r="BA430" s="237" t="n">
        <f aca="true">IFERROR(SUMPRODUCT(OFFSET($BJ$31,0,1-MIN(60,COLUMN()-29),1,MIN(60,COLUMN()-29)),OFFSET(BA429,0,-MIN(60,COLUMN()-29),1,MIN(60,COLUMN()-29))),0)</f>
        <v>0</v>
      </c>
      <c r="BB430" s="237" t="n">
        <f aca="true">IFERROR(SUMPRODUCT(OFFSET($BJ$31,0,1-MIN(60,COLUMN()-29),1,MIN(60,COLUMN()-29)),OFFSET(BB429,0,-MIN(60,COLUMN()-29),1,MIN(60,COLUMN()-29))),0)</f>
        <v>0</v>
      </c>
      <c r="BC430" s="237" t="n">
        <f aca="true">IFERROR(SUMPRODUCT(OFFSET($BJ$31,0,1-MIN(60,COLUMN()-29),1,MIN(60,COLUMN()-29)),OFFSET(BC429,0,-MIN(60,COLUMN()-29),1,MIN(60,COLUMN()-29))),0)</f>
        <v>0</v>
      </c>
      <c r="BD430" s="237" t="n">
        <f aca="true">IFERROR(SUMPRODUCT(OFFSET($BJ$31,0,1-MIN(60,COLUMN()-29),1,MIN(60,COLUMN()-29)),OFFSET(BD429,0,-MIN(60,COLUMN()-29),1,MIN(60,COLUMN()-29))),0)</f>
        <v>0</v>
      </c>
      <c r="BE430" s="237" t="n">
        <f aca="true">IFERROR(SUMPRODUCT(OFFSET($BJ$31,0,1-MIN(60,COLUMN()-29),1,MIN(60,COLUMN()-29)),OFFSET(BE429,0,-MIN(60,COLUMN()-29),1,MIN(60,COLUMN()-29))),0)</f>
        <v>0</v>
      </c>
      <c r="BF430" s="237" t="n">
        <f aca="true">IFERROR(SUMPRODUCT(OFFSET($BJ$31,0,1-MIN(60,COLUMN()-29),1,MIN(60,COLUMN()-29)),OFFSET(BF429,0,-MIN(60,COLUMN()-29),1,MIN(60,COLUMN()-29))),0)</f>
        <v>0</v>
      </c>
      <c r="BG430" s="237" t="n">
        <f aca="true">IFERROR(SUMPRODUCT(OFFSET($BJ$31,0,1-MIN(60,COLUMN()-29),1,MIN(60,COLUMN()-29)),OFFSET(BG429,0,-MIN(60,COLUMN()-29),1,MIN(60,COLUMN()-29))),0)</f>
        <v>0</v>
      </c>
      <c r="BH430" s="237" t="n">
        <f aca="true">IFERROR(SUMPRODUCT(OFFSET($BJ$31,0,1-MIN(60,COLUMN()-29),1,MIN(60,COLUMN()-29)),OFFSET(BH429,0,-MIN(60,COLUMN()-29),1,MIN(60,COLUMN()-29))),0)</f>
        <v>0</v>
      </c>
      <c r="BI430" s="237" t="n">
        <f aca="true">IFERROR(SUMPRODUCT(OFFSET($BJ$31,0,1-MIN(60,COLUMN()-29),1,MIN(60,COLUMN()-29)),OFFSET(BI429,0,-MIN(60,COLUMN()-29),1,MIN(60,COLUMN()-29))),0)</f>
        <v>0</v>
      </c>
      <c r="BJ430" s="237" t="n">
        <f aca="true">IFERROR(SUMPRODUCT(OFFSET($BJ$31,0,1-MIN(60,COLUMN()-29),1,MIN(60,COLUMN()-29)),OFFSET(BJ429,0,-MIN(60,COLUMN()-29),1,MIN(60,COLUMN()-29))),0)</f>
        <v>0</v>
      </c>
      <c r="BK430" s="237" t="n">
        <f aca="true">IFERROR(SUMPRODUCT(OFFSET($BJ$31,0,1-MIN(60,COLUMN()-29),1,MIN(60,COLUMN()-29)),OFFSET(BK429,0,-MIN(60,COLUMN()-29),1,MIN(60,COLUMN()-29))),0)</f>
        <v>0</v>
      </c>
      <c r="BL430" s="237" t="n">
        <f aca="true">IFERROR(SUMPRODUCT(OFFSET($BJ$31,0,1-MIN(60,COLUMN()-29),1,MIN(60,COLUMN()-29)),OFFSET(BL429,0,-MIN(60,COLUMN()-29),1,MIN(60,COLUMN()-29))),0)</f>
        <v>0</v>
      </c>
      <c r="BM430" s="237" t="n">
        <f aca="true">IFERROR(SUMPRODUCT(OFFSET($BJ$31,0,1-MIN(60,COLUMN()-29),1,MIN(60,COLUMN()-29)),OFFSET(BM429,0,-MIN(60,COLUMN()-29),1,MIN(60,COLUMN()-29))),0)</f>
        <v>0</v>
      </c>
      <c r="BN430" s="237" t="n">
        <f aca="true">IFERROR(SUMPRODUCT(OFFSET($BJ$31,0,1-MIN(60,COLUMN()-29),1,MIN(60,COLUMN()-29)),OFFSET(BN429,0,-MIN(60,COLUMN()-29),1,MIN(60,COLUMN()-29))),0)</f>
        <v>0</v>
      </c>
      <c r="BO430" s="237" t="n">
        <f aca="true">IFERROR(SUMPRODUCT(OFFSET($BJ$31,0,1-MIN(60,COLUMN()-29),1,MIN(60,COLUMN()-29)),OFFSET(BO429,0,-MIN(60,COLUMN()-29),1,MIN(60,COLUMN()-29))),0)</f>
        <v>0</v>
      </c>
      <c r="BP430" s="237" t="n">
        <f aca="true">IFERROR(SUMPRODUCT(OFFSET($BJ$31,0,1-MIN(60,COLUMN()-29),1,MIN(60,COLUMN()-29)),OFFSET(BP429,0,-MIN(60,COLUMN()-29),1,MIN(60,COLUMN()-29))),0)</f>
        <v>0</v>
      </c>
      <c r="BQ430" s="237" t="n">
        <f aca="true">IFERROR(SUMPRODUCT(OFFSET($BJ$31,0,1-MIN(60,COLUMN()-29),1,MIN(60,COLUMN()-29)),OFFSET(BQ429,0,-MIN(60,COLUMN()-29),1,MIN(60,COLUMN()-29))),0)</f>
        <v>0</v>
      </c>
      <c r="BR430" s="237" t="n">
        <f aca="true">IFERROR(SUMPRODUCT(OFFSET($BJ$31,0,1-MIN(60,COLUMN()-29),1,MIN(60,COLUMN()-29)),OFFSET(BR429,0,-MIN(60,COLUMN()-29),1,MIN(60,COLUMN()-29))),0)</f>
        <v>0</v>
      </c>
      <c r="BS430" s="237" t="n">
        <f aca="true">IFERROR(SUMPRODUCT(OFFSET($BJ$31,0,1-MIN(60,COLUMN()-29),1,MIN(60,COLUMN()-29)),OFFSET(BS429,0,-MIN(60,COLUMN()-29),1,MIN(60,COLUMN()-29))),0)</f>
        <v>0</v>
      </c>
      <c r="BT430" s="237" t="n">
        <f aca="true">IFERROR(SUMPRODUCT(OFFSET($BJ$31,0,1-MIN(60,COLUMN()-29),1,MIN(60,COLUMN()-29)),OFFSET(BT429,0,-MIN(60,COLUMN()-29),1,MIN(60,COLUMN()-29))),0)</f>
        <v>0</v>
      </c>
      <c r="BU430" s="237" t="n">
        <f aca="true">IFERROR(SUMPRODUCT(OFFSET($BJ$31,0,1-MIN(60,COLUMN()-29),1,MIN(60,COLUMN()-29)),OFFSET(BU429,0,-MIN(60,COLUMN()-29),1,MIN(60,COLUMN()-29))),0)</f>
        <v>0</v>
      </c>
      <c r="BV430" s="237" t="n">
        <f aca="true">IFERROR(SUMPRODUCT(OFFSET($BJ$31,0,1-MIN(60,COLUMN()-29),1,MIN(60,COLUMN()-29)),OFFSET(BV429,0,-MIN(60,COLUMN()-29),1,MIN(60,COLUMN()-29))),0)</f>
        <v>0</v>
      </c>
      <c r="BW430" s="237" t="n">
        <f aca="true">IFERROR(SUMPRODUCT(OFFSET($BJ$31,0,1-MIN(60,COLUMN()-29),1,MIN(60,COLUMN()-29)),OFFSET(BW429,0,-MIN(60,COLUMN()-29),1,MIN(60,COLUMN()-29))),0)</f>
        <v>0</v>
      </c>
      <c r="BX430" s="237" t="n">
        <f aca="true">IFERROR(SUMPRODUCT(OFFSET($BJ$31,0,1-MIN(60,COLUMN()-29),1,MIN(60,COLUMN()-29)),OFFSET(BX429,0,-MIN(60,COLUMN()-29),1,MIN(60,COLUMN()-29))),0)</f>
        <v>0</v>
      </c>
      <c r="BY430" s="237" t="n">
        <f aca="true">IFERROR(SUMPRODUCT(OFFSET($BJ$31,0,1-MIN(60,COLUMN()-29),1,MIN(60,COLUMN()-29)),OFFSET(BY429,0,-MIN(60,COLUMN()-29),1,MIN(60,COLUMN()-29))),0)</f>
        <v>0</v>
      </c>
      <c r="BZ430" s="237" t="n">
        <f aca="true">IFERROR(SUMPRODUCT(OFFSET($BJ$31,0,1-MIN(60,COLUMN()-29),1,MIN(60,COLUMN()-29)),OFFSET(BZ429,0,-MIN(60,COLUMN()-29),1,MIN(60,COLUMN()-29))),0)</f>
        <v>0</v>
      </c>
      <c r="CA430" s="237" t="n">
        <f aca="true">IFERROR(SUMPRODUCT(OFFSET($BJ$31,0,1-MIN(60,COLUMN()-29),1,MIN(60,COLUMN()-29)),OFFSET(CA429,0,-MIN(60,COLUMN()-29),1,MIN(60,COLUMN()-29))),0)</f>
        <v>0</v>
      </c>
      <c r="CB430" s="237" t="n">
        <f aca="true">IFERROR(SUMPRODUCT(OFFSET($BJ$31,0,1-MIN(60,COLUMN()-29),1,MIN(60,COLUMN()-29)),OFFSET(CB429,0,-MIN(60,COLUMN()-29),1,MIN(60,COLUMN()-29))),0)</f>
        <v>0</v>
      </c>
      <c r="CC430" s="237" t="n">
        <f aca="true">IFERROR(SUMPRODUCT(OFFSET($BJ$31,0,1-MIN(60,COLUMN()-29),1,MIN(60,COLUMN()-29)),OFFSET(CC429,0,-MIN(60,COLUMN()-29),1,MIN(60,COLUMN()-29))),0)</f>
        <v>0</v>
      </c>
      <c r="CD430" s="237" t="n">
        <f aca="true">IFERROR(SUMPRODUCT(OFFSET($BJ$31,0,1-MIN(60,COLUMN()-29),1,MIN(60,COLUMN()-29)),OFFSET(CD429,0,-MIN(60,COLUMN()-29),1,MIN(60,COLUMN()-29))),0)</f>
        <v>0</v>
      </c>
      <c r="CE430" s="237" t="n">
        <f aca="true">IFERROR(SUMPRODUCT(OFFSET($BJ$31,0,1-MIN(60,COLUMN()-29),1,MIN(60,COLUMN()-29)),OFFSET(CE429,0,-MIN(60,COLUMN()-29),1,MIN(60,COLUMN()-29))),0)</f>
        <v>0</v>
      </c>
      <c r="CF430" s="237" t="n">
        <f aca="true">IFERROR(SUMPRODUCT(OFFSET($BJ$31,0,1-MIN(60,COLUMN()-29),1,MIN(60,COLUMN()-29)),OFFSET(CF429,0,-MIN(60,COLUMN()-29),1,MIN(60,COLUMN()-29))),0)</f>
        <v>0</v>
      </c>
      <c r="CG430" s="237" t="n">
        <f aca="true">IFERROR(SUMPRODUCT(OFFSET($BJ$31,0,1-MIN(60,COLUMN()-29),1,MIN(60,COLUMN()-29)),OFFSET(CG429,0,-MIN(60,COLUMN()-29),1,MIN(60,COLUMN()-29))),0)</f>
        <v>0</v>
      </c>
      <c r="CH430" s="237" t="n">
        <f aca="true">IFERROR(SUMPRODUCT(OFFSET($BJ$31,0,1-MIN(60,COLUMN()-29),1,MIN(60,COLUMN()-29)),OFFSET(CH429,0,-MIN(60,COLUMN()-29),1,MIN(60,COLUMN()-29))),0)</f>
        <v>0</v>
      </c>
      <c r="CI430" s="237" t="n">
        <f aca="true">IFERROR(SUMPRODUCT(OFFSET($BJ$31,0,1-MIN(60,COLUMN()-29),1,MIN(60,COLUMN()-29)),OFFSET(CI429,0,-MIN(60,COLUMN()-29),1,MIN(60,COLUMN()-29))),0)</f>
        <v>0</v>
      </c>
      <c r="CJ430" s="237" t="n">
        <f aca="true">IFERROR(SUMPRODUCT(OFFSET($BJ$31,0,1-MIN(60,COLUMN()-29),1,MIN(60,COLUMN()-29)),OFFSET(CJ429,0,-MIN(60,COLUMN()-29),1,MIN(60,COLUMN()-29))),0)</f>
        <v>0</v>
      </c>
      <c r="CK430" s="237" t="n">
        <f aca="true">IFERROR(SUMPRODUCT(OFFSET($BJ$31,0,1-MIN(60,COLUMN()-29),1,MIN(60,COLUMN()-29)),OFFSET(CK429,0,-MIN(60,COLUMN()-29),1,MIN(60,COLUMN()-29))),0)</f>
        <v>0</v>
      </c>
      <c r="CL430" s="237" t="n">
        <f aca="true">IFERROR(SUMPRODUCT(OFFSET($BJ$31,0,1-MIN(60,COLUMN()-29),1,MIN(60,COLUMN()-29)),OFFSET(CL429,0,-MIN(60,COLUMN()-29),1,MIN(60,COLUMN()-29))),0)</f>
        <v>0</v>
      </c>
      <c r="CM430" s="237" t="n">
        <f aca="true">IFERROR(SUMPRODUCT(OFFSET($BJ$31,0,1-MIN(60,COLUMN()-29),1,MIN(60,COLUMN()-29)),OFFSET(CM429,0,-MIN(60,COLUMN()-29),1,MIN(60,COLUMN()-29))),0)</f>
        <v>0</v>
      </c>
      <c r="CN430" s="237" t="n">
        <f aca="true">IFERROR(SUMPRODUCT(OFFSET($BJ$31,0,1-MIN(60,COLUMN()-29),1,MIN(60,COLUMN()-29)),OFFSET(CN429,0,-MIN(60,COLUMN()-29),1,MIN(60,COLUMN()-29))),0)</f>
        <v>0</v>
      </c>
      <c r="CO430" s="237" t="n">
        <f aca="true">IFERROR(SUMPRODUCT(OFFSET($BJ$31,0,1-MIN(60,COLUMN()-29),1,MIN(60,COLUMN()-29)),OFFSET(CO429,0,-MIN(60,COLUMN()-29),1,MIN(60,COLUMN()-29))),0)</f>
        <v>0</v>
      </c>
      <c r="CP430" s="237" t="n">
        <f aca="true">IFERROR(SUMPRODUCT(OFFSET($BJ$31,0,1-MIN(60,COLUMN()-29),1,MIN(60,COLUMN()-29)),OFFSET(CP429,0,-MIN(60,COLUMN()-29),1,MIN(60,COLUMN()-29))),0)</f>
        <v>0</v>
      </c>
      <c r="CQ430" s="237" t="n">
        <f aca="true">IFERROR(SUMPRODUCT(OFFSET($BJ$31,0,1-MIN(60,COLUMN()-29),1,MIN(60,COLUMN()-29)),OFFSET(CQ429,0,-MIN(60,COLUMN()-29),1,MIN(60,COLUMN()-29))),0)</f>
        <v>0</v>
      </c>
      <c r="CR430" s="237" t="n">
        <f aca="true">IFERROR(SUMPRODUCT(OFFSET($BJ$31,0,1-MIN(60,COLUMN()-29),1,MIN(60,COLUMN()-29)),OFFSET(CR429,0,-MIN(60,COLUMN()-29),1,MIN(60,COLUMN()-29))),0)</f>
        <v>0</v>
      </c>
      <c r="CS430" s="237" t="n">
        <f aca="true">IFERROR(SUMPRODUCT(OFFSET($BJ$31,0,1-MIN(60,COLUMN()-29),1,MIN(60,COLUMN()-29)),OFFSET(CS429,0,-MIN(60,COLUMN()-29),1,MIN(60,COLUMN()-29))),0)</f>
        <v>0</v>
      </c>
      <c r="CT430" s="237" t="n">
        <f aca="true">IFERROR(SUMPRODUCT(OFFSET($BJ$31,0,1-MIN(60,COLUMN()-29),1,MIN(60,COLUMN()-29)),OFFSET(CT429,0,-MIN(60,COLUMN()-29),1,MIN(60,COLUMN()-29))),0)</f>
        <v>0</v>
      </c>
      <c r="CU430" s="237" t="n">
        <f aca="true">IFERROR(SUMPRODUCT(OFFSET($BJ$31,0,1-MIN(60,COLUMN()-29),1,MIN(60,COLUMN()-29)),OFFSET(CU429,0,-MIN(60,COLUMN()-29),1,MIN(60,COLUMN()-29))),0)</f>
        <v>0</v>
      </c>
      <c r="CV430" s="237" t="n">
        <f aca="true">IFERROR(SUMPRODUCT(OFFSET($BJ$31,0,1-MIN(60,COLUMN()-29),1,MIN(60,COLUMN()-29)),OFFSET(CV429,0,-MIN(60,COLUMN()-29),1,MIN(60,COLUMN()-29))),0)</f>
        <v>0</v>
      </c>
      <c r="CW430" s="237" t="n">
        <f aca="true">IFERROR(SUMPRODUCT(OFFSET($BJ$31,0,1-MIN(60,COLUMN()-29),1,MIN(60,COLUMN()-29)),OFFSET(CW429,0,-MIN(60,COLUMN()-29),1,MIN(60,COLUMN()-29))),0)</f>
        <v>0</v>
      </c>
      <c r="CX430" s="237" t="n">
        <f aca="true">IFERROR(SUMPRODUCT(OFFSET($BJ$31,0,1-MIN(60,COLUMN()-29),1,MIN(60,COLUMN()-29)),OFFSET(CX429,0,-MIN(60,COLUMN()-29),1,MIN(60,COLUMN()-29))),0)</f>
        <v>0</v>
      </c>
      <c r="CY430" s="237" t="n">
        <f aca="true">IFERROR(SUMPRODUCT(OFFSET($BJ$31,0,1-MIN(60,COLUMN()-29),1,MIN(60,COLUMN()-29)),OFFSET(CY429,0,-MIN(60,COLUMN()-29),1,MIN(60,COLUMN()-29))),0)</f>
        <v>0</v>
      </c>
      <c r="CZ430" s="237" t="n">
        <f aca="true">IFERROR(SUMPRODUCT(OFFSET($BJ$31,0,1-MIN(60,COLUMN()-29),1,MIN(60,COLUMN()-29)),OFFSET(CZ429,0,-MIN(60,COLUMN()-29),1,MIN(60,COLUMN()-29))),0)</f>
        <v>0</v>
      </c>
      <c r="DA430" s="237" t="n">
        <f aca="true">IFERROR(SUMPRODUCT(OFFSET($BJ$31,0,1-MIN(60,COLUMN()-29),1,MIN(60,COLUMN()-29)),OFFSET(DA429,0,-MIN(60,COLUMN()-29),1,MIN(60,COLUMN()-29))),0)</f>
        <v>0</v>
      </c>
      <c r="DB430" s="237" t="n">
        <f aca="true">IFERROR(SUMPRODUCT(OFFSET($BJ$31,0,1-MIN(60,COLUMN()-29),1,MIN(60,COLUMN()-29)),OFFSET(DB429,0,-MIN(60,COLUMN()-29),1,MIN(60,COLUMN()-29))),0)</f>
        <v>0</v>
      </c>
      <c r="DC430" s="237" t="n">
        <f aca="true">IFERROR(SUMPRODUCT(OFFSET($BJ$31,0,1-MIN(60,COLUMN()-29),1,MIN(60,COLUMN()-29)),OFFSET(DC429,0,-MIN(60,COLUMN()-29),1,MIN(60,COLUMN()-29))),0)</f>
        <v>0</v>
      </c>
      <c r="DD430" s="237" t="n">
        <f aca="true">IFERROR(SUMPRODUCT(OFFSET($BJ$31,0,1-MIN(60,COLUMN()-29),1,MIN(60,COLUMN()-29)),OFFSET(DD429,0,-MIN(60,COLUMN()-29),1,MIN(60,COLUMN()-29))),0)</f>
        <v>0</v>
      </c>
      <c r="DE430" s="237" t="n">
        <f aca="true">IFERROR(SUMPRODUCT(OFFSET($BJ$31,0,1-MIN(60,COLUMN()-29),1,MIN(60,COLUMN()-29)),OFFSET(DE429,0,-MIN(60,COLUMN()-29),1,MIN(60,COLUMN()-29))),0)</f>
        <v>0</v>
      </c>
      <c r="DF430" s="237" t="n">
        <f aca="true">IFERROR(SUMPRODUCT(OFFSET($BJ$31,0,1-MIN(60,COLUMN()-29),1,MIN(60,COLUMN()-29)),OFFSET(DF429,0,-MIN(60,COLUMN()-29),1,MIN(60,COLUMN()-29))),0)</f>
        <v>0</v>
      </c>
      <c r="DG430" s="237" t="n">
        <f aca="true">IFERROR(SUMPRODUCT(OFFSET($BJ$31,0,1-MIN(60,COLUMN()-29),1,MIN(60,COLUMN()-29)),OFFSET(DG429,0,-MIN(60,COLUMN()-29),1,MIN(60,COLUMN()-29))),0)</f>
        <v>0</v>
      </c>
      <c r="DH430" s="237" t="n">
        <f aca="true">IFERROR(SUMPRODUCT(OFFSET($BJ$31,0,1-MIN(60,COLUMN()-29),1,MIN(60,COLUMN()-29)),OFFSET(DH429,0,-MIN(60,COLUMN()-29),1,MIN(60,COLUMN()-29))),0)</f>
        <v>0</v>
      </c>
      <c r="DI430" s="237" t="n">
        <f aca="true">IFERROR(SUMPRODUCT(OFFSET($BJ$31,0,1-MIN(60,COLUMN()-29),1,MIN(60,COLUMN()-29)),OFFSET(DI429,0,-MIN(60,COLUMN()-29),1,MIN(60,COLUMN()-29))),0)</f>
        <v>0</v>
      </c>
      <c r="DJ430" s="237" t="n">
        <f aca="true">IFERROR(SUMPRODUCT(OFFSET($BJ$31,0,1-MIN(60,COLUMN()-29),1,MIN(60,COLUMN()-29)),OFFSET(DJ429,0,-MIN(60,COLUMN()-29),1,MIN(60,COLUMN()-29))),0)</f>
        <v>0</v>
      </c>
      <c r="DK430" s="237" t="n">
        <f aca="true">IFERROR(SUMPRODUCT(OFFSET($BJ$31,0,1-MIN(60,COLUMN()-29),1,MIN(60,COLUMN()-29)),OFFSET(DK429,0,-MIN(60,COLUMN()-29),1,MIN(60,COLUMN()-29))),0)</f>
        <v>0</v>
      </c>
      <c r="DL430" s="237" t="n">
        <f aca="true">IFERROR(SUMPRODUCT(OFFSET($BJ$31,0,1-MIN(60,COLUMN()-29),1,MIN(60,COLUMN()-29)),OFFSET(DL429,0,-MIN(60,COLUMN()-29),1,MIN(60,COLUMN()-29))),0)</f>
        <v>0</v>
      </c>
      <c r="DM430" s="237" t="n">
        <f aca="true">IFERROR(SUMPRODUCT(OFFSET($BJ$31,0,1-MIN(60,COLUMN()-29),1,MIN(60,COLUMN()-29)),OFFSET(DM429,0,-MIN(60,COLUMN()-29),1,MIN(60,COLUMN()-29))),0)</f>
        <v>0</v>
      </c>
      <c r="DN430" s="237" t="n">
        <f aca="true">IFERROR(SUMPRODUCT(OFFSET($BJ$31,0,1-MIN(60,COLUMN()-29),1,MIN(60,COLUMN()-29)),OFFSET(DN429,0,-MIN(60,COLUMN()-29),1,MIN(60,COLUMN()-29))),0)</f>
        <v>0</v>
      </c>
      <c r="DO430" s="237" t="n">
        <f aca="true">IFERROR(SUMPRODUCT(OFFSET($BJ$31,0,1-MIN(60,COLUMN()-29),1,MIN(60,COLUMN()-29)),OFFSET(DO429,0,-MIN(60,COLUMN()-29),1,MIN(60,COLUMN()-29))),0)</f>
        <v>0</v>
      </c>
      <c r="DP430" s="237" t="n">
        <f aca="true">IFERROR(SUMPRODUCT(OFFSET($BJ$31,0,1-MIN(60,COLUMN()-29),1,MIN(60,COLUMN()-29)),OFFSET(DP429,0,-MIN(60,COLUMN()-29),1,MIN(60,COLUMN()-29))),0)</f>
        <v>0</v>
      </c>
      <c r="DQ430" s="237" t="n">
        <f aca="true">IFERROR(SUMPRODUCT(OFFSET($BJ$31,0,1-MIN(60,COLUMN()-29),1,MIN(60,COLUMN()-29)),OFFSET(DQ429,0,-MIN(60,COLUMN()-29),1,MIN(60,COLUMN()-29))),0)</f>
        <v>0</v>
      </c>
      <c r="DR430" s="237" t="n">
        <f aca="true">IFERROR(SUMPRODUCT(OFFSET($BJ$31,0,1-MIN(60,COLUMN()-29),1,MIN(60,COLUMN()-29)),OFFSET(DR429,0,-MIN(60,COLUMN()-29),1,MIN(60,COLUMN()-29))),0)</f>
        <v>0</v>
      </c>
      <c r="DS430" s="237" t="n">
        <f aca="true">IFERROR(SUMPRODUCT(OFFSET($BJ$31,0,1-MIN(60,COLUMN()-29),1,MIN(60,COLUMN()-29)),OFFSET(DS429,0,-MIN(60,COLUMN()-29),1,MIN(60,COLUMN()-29))),0)</f>
        <v>0</v>
      </c>
      <c r="DT430" s="237" t="n">
        <f aca="true">IFERROR(SUMPRODUCT(OFFSET($BJ$31,0,1-MIN(60,COLUMN()-29),1,MIN(60,COLUMN()-29)),OFFSET(DT429,0,-MIN(60,COLUMN()-29),1,MIN(60,COLUMN()-29))),0)</f>
        <v>0</v>
      </c>
      <c r="DU430" s="237" t="n">
        <f aca="true">IFERROR(SUMPRODUCT(OFFSET($BJ$31,0,1-MIN(60,COLUMN()-29),1,MIN(60,COLUMN()-29)),OFFSET(DU429,0,-MIN(60,COLUMN()-29),1,MIN(60,COLUMN()-29))),0)</f>
        <v>0</v>
      </c>
      <c r="DV430" s="237" t="n">
        <f aca="true">IFERROR(SUMPRODUCT(OFFSET($BJ$31,0,1-MIN(60,COLUMN()-29),1,MIN(60,COLUMN()-29)),OFFSET(DV429,0,-MIN(60,COLUMN()-29),1,MIN(60,COLUMN()-29))),0)</f>
        <v>0</v>
      </c>
      <c r="DW430" s="237" t="n">
        <f aca="true">IFERROR(SUMPRODUCT(OFFSET($BJ$31,0,1-MIN(60,COLUMN()-29),1,MIN(60,COLUMN()-29)),OFFSET(DW429,0,-MIN(60,COLUMN()-29),1,MIN(60,COLUMN()-29))),0)</f>
        <v>0</v>
      </c>
      <c r="DX430" s="237" t="n">
        <f aca="true">IFERROR(SUMPRODUCT(OFFSET($BJ$31,0,1-MIN(60,COLUMN()-29),1,MIN(60,COLUMN()-29)),OFFSET(DX429,0,-MIN(60,COLUMN()-29),1,MIN(60,COLUMN()-29))),0)</f>
        <v>0</v>
      </c>
      <c r="DY430" s="237" t="n">
        <f aca="true">IFERROR(SUMPRODUCT(OFFSET($BJ$31,0,1-MIN(60,COLUMN()-29),1,MIN(60,COLUMN()-29)),OFFSET(DY429,0,-MIN(60,COLUMN()-29),1,MIN(60,COLUMN()-29))),0)</f>
        <v>0</v>
      </c>
      <c r="DZ430" s="237" t="n">
        <f aca="true">IFERROR(SUMPRODUCT(OFFSET($BJ$31,0,1-MIN(60,COLUMN()-29),1,MIN(60,COLUMN()-29)),OFFSET(DZ429,0,-MIN(60,COLUMN()-29),1,MIN(60,COLUMN()-29))),0)</f>
        <v>0</v>
      </c>
      <c r="EA430" s="237" t="n">
        <f aca="true">IFERROR(SUMPRODUCT(OFFSET($BJ$31,0,1-MIN(60,COLUMN()-29),1,MIN(60,COLUMN()-29)),OFFSET(EA429,0,-MIN(60,COLUMN()-29),1,MIN(60,COLUMN()-29))),0)</f>
        <v>0</v>
      </c>
      <c r="EB430" s="237" t="n">
        <f aca="true">IFERROR(SUMPRODUCT(OFFSET($BJ$31,0,1-MIN(60,COLUMN()-29),1,MIN(60,COLUMN()-29)),OFFSET(EB429,0,-MIN(60,COLUMN()-29),1,MIN(60,COLUMN()-29))),0)</f>
        <v>0</v>
      </c>
      <c r="EC430" s="237" t="n">
        <f aca="true">IFERROR(SUMPRODUCT(OFFSET($BJ$31,0,1-MIN(60,COLUMN()-29),1,MIN(60,COLUMN()-29)),OFFSET(EC429,0,-MIN(60,COLUMN()-29),1,MIN(60,COLUMN()-29))),0)</f>
        <v>0</v>
      </c>
      <c r="ED430" s="237" t="n">
        <f aca="true">IFERROR(SUMPRODUCT(OFFSET($BJ$31,0,1-MIN(60,COLUMN()-29),1,MIN(60,COLUMN()-29)),OFFSET(ED429,0,-MIN(60,COLUMN()-29),1,MIN(60,COLUMN()-29))),0)</f>
        <v>0</v>
      </c>
      <c r="EE430" s="237" t="n">
        <f aca="true">IFERROR(SUMPRODUCT(OFFSET($BJ$31,0,1-MIN(60,COLUMN()-29),1,MIN(60,COLUMN()-29)),OFFSET(EE429,0,-MIN(60,COLUMN()-29),1,MIN(60,COLUMN()-29))),0)</f>
        <v>0</v>
      </c>
      <c r="EF430" s="237" t="n">
        <f aca="true">IFERROR(SUMPRODUCT(OFFSET($BJ$31,0,1-MIN(60,COLUMN()-29),1,MIN(60,COLUMN()-29)),OFFSET(EF429,0,-MIN(60,COLUMN()-29),1,MIN(60,COLUMN()-29))),0)</f>
        <v>0</v>
      </c>
      <c r="EG430" s="237" t="n">
        <f aca="true">IFERROR(SUMPRODUCT(OFFSET($BJ$31,0,1-MIN(60,COLUMN()-29),1,MIN(60,COLUMN()-29)),OFFSET(EG429,0,-MIN(60,COLUMN()-29),1,MIN(60,COLUMN()-29))),0)</f>
        <v>0</v>
      </c>
      <c r="EH430" s="237" t="n">
        <f aca="true">IFERROR(SUMPRODUCT(OFFSET($BJ$31,0,1-MIN(60,COLUMN()-29),1,MIN(60,COLUMN()-29)),OFFSET(EH429,0,-MIN(60,COLUMN()-29),1,MIN(60,COLUMN()-29))),0)</f>
        <v>0</v>
      </c>
      <c r="EI430" s="237" t="n">
        <f aca="true">IFERROR(SUMPRODUCT(OFFSET($BJ$31,0,1-MIN(60,COLUMN()-29),1,MIN(60,COLUMN()-29)),OFFSET(EI429,0,-MIN(60,COLUMN()-29),1,MIN(60,COLUMN()-29))),0)</f>
        <v>0</v>
      </c>
      <c r="EJ430" s="237" t="n">
        <f aca="true">IFERROR(SUMPRODUCT(OFFSET($BJ$31,0,1-MIN(60,COLUMN()-29),1,MIN(60,COLUMN()-29)),OFFSET(EJ429,0,-MIN(60,COLUMN()-29),1,MIN(60,COLUMN()-29))),0)</f>
        <v>0</v>
      </c>
      <c r="EK430" s="237" t="n">
        <f aca="true">IFERROR(SUMPRODUCT(OFFSET($BJ$31,0,1-MIN(60,COLUMN()-29),1,MIN(60,COLUMN()-29)),OFFSET(EK429,0,-MIN(60,COLUMN()-29),1,MIN(60,COLUMN()-29))),0)</f>
        <v>0</v>
      </c>
      <c r="EL430" s="237" t="n">
        <f aca="true">IFERROR(SUMPRODUCT(OFFSET($BJ$31,0,1-MIN(60,COLUMN()-29),1,MIN(60,COLUMN()-29)),OFFSET(EL429,0,-MIN(60,COLUMN()-29),1,MIN(60,COLUMN()-29))),0)</f>
        <v>0</v>
      </c>
      <c r="EM430" s="237" t="n">
        <f aca="true">IFERROR(SUMPRODUCT(OFFSET($BJ$31,0,1-MIN(60,COLUMN()-29),1,MIN(60,COLUMN()-29)),OFFSET(EM429,0,-MIN(60,COLUMN()-29),1,MIN(60,COLUMN()-29))),0)</f>
        <v>2.2528</v>
      </c>
      <c r="EN430" s="237" t="n">
        <f aca="true">IFERROR(SUMPRODUCT(OFFSET($BJ$31,0,1-MIN(60,COLUMN()-29),1,MIN(60,COLUMN()-29)),OFFSET(EN429,0,-MIN(60,COLUMN()-29),1,MIN(60,COLUMN()-29))),0)</f>
        <v>2.911744</v>
      </c>
      <c r="EO430" s="237" t="n">
        <f aca="true">IFERROR(SUMPRODUCT(OFFSET($BJ$31,0,1-MIN(60,COLUMN()-29),1,MIN(60,COLUMN()-29)),OFFSET(EO429,0,-MIN(60,COLUMN()-29),1,MIN(60,COLUMN()-29))),0)</f>
        <v>5.5504768</v>
      </c>
      <c r="EP430" s="237" t="n">
        <f aca="true">IFERROR(SUMPRODUCT(OFFSET($BJ$31,0,1-MIN(60,COLUMN()-29),1,MIN(60,COLUMN()-29)),OFFSET(EP429,0,-MIN(60,COLUMN()-29),1,MIN(60,COLUMN()-29))),0)</f>
        <v>5.750272</v>
      </c>
      <c r="EQ430" s="237" t="n">
        <f aca="true">IFERROR(SUMPRODUCT(OFFSET($BJ$31,0,1-MIN(60,COLUMN()-29),1,MIN(60,COLUMN()-29)),OFFSET(EQ429,0,-MIN(60,COLUMN()-29),1,MIN(60,COLUMN()-29))),0)</f>
        <v>5.5247808</v>
      </c>
      <c r="ER430" s="237" t="n">
        <f aca="true">IFERROR(SUMPRODUCT(OFFSET($BJ$31,0,1-MIN(60,COLUMN()-29),1,MIN(60,COLUMN()-29)),OFFSET(ER429,0,-MIN(60,COLUMN()-29),1,MIN(60,COLUMN()-29))),0)</f>
        <v>5.1756672</v>
      </c>
      <c r="ES430" s="9" t="n">
        <f aca="true">IFERROR(SUMPRODUCT(OFFSET($BJ$31,0,1-MIN(60,COLUMN()-29),1,MIN(60,COLUMN()-29)),OFFSET(ES429,0,-MIN(60,COLUMN()-29),1,MIN(60,COLUMN()-29))),0)</f>
        <v>7.2773888</v>
      </c>
      <c r="ET430" s="9" t="n">
        <f aca="true">IFERROR(SUMPRODUCT(OFFSET($BJ$31,0,1-MIN(60,COLUMN()-29),1,MIN(60,COLUMN()-29)),OFFSET(ET429,0,-MIN(60,COLUMN()-29),1,MIN(60,COLUMN()-29))),0)</f>
        <v>8.456976</v>
      </c>
      <c r="EU430" s="9" t="n">
        <f aca="true">IFERROR(SUMPRODUCT(OFFSET($BJ$31,0,1-MIN(60,COLUMN()-29),1,MIN(60,COLUMN()-29)),OFFSET(EU429,0,-MIN(60,COLUMN()-29),1,MIN(60,COLUMN()-29))),0)</f>
        <v>8.394848</v>
      </c>
      <c r="EV430" s="9" t="n">
        <f aca="true">IFERROR(SUMPRODUCT(OFFSET($BJ$31,0,1-MIN(60,COLUMN()-29),1,MIN(60,COLUMN()-29)),OFFSET(EV429,0,-MIN(60,COLUMN()-29),1,MIN(60,COLUMN()-29))),0)</f>
        <v>11.0340736</v>
      </c>
      <c r="EW430" s="9" t="n">
        <f aca="true">IFERROR(SUMPRODUCT(OFFSET($BJ$31,0,1-MIN(60,COLUMN()-29),1,MIN(60,COLUMN()-29)),OFFSET(EW429,0,-MIN(60,COLUMN()-29),1,MIN(60,COLUMN()-29))),0)</f>
        <v>11.794816</v>
      </c>
      <c r="EX430" s="9" t="n">
        <f aca="true">IFERROR(SUMPRODUCT(OFFSET($BJ$31,0,1-MIN(60,COLUMN()-29),1,MIN(60,COLUMN()-29)),OFFSET(EX429,0,-MIN(60,COLUMN()-29),1,MIN(60,COLUMN()-29))),0)</f>
        <v>12.2209824</v>
      </c>
      <c r="EY430" s="9" t="n">
        <f aca="true">IFERROR(SUMPRODUCT(OFFSET($BJ$31,0,1-MIN(60,COLUMN()-29),1,MIN(60,COLUMN()-29)),OFFSET(EY429,0,-MIN(60,COLUMN()-29),1,MIN(60,COLUMN()-29))),0)</f>
        <v>12.7756992</v>
      </c>
      <c r="EZ430" s="9" t="n">
        <f aca="true">IFERROR(SUMPRODUCT(OFFSET($BJ$31,0,1-MIN(60,COLUMN()-29),1,MIN(60,COLUMN()-29)),OFFSET(EZ429,0,-MIN(60,COLUMN()-29),1,MIN(60,COLUMN()-29))),0)</f>
        <v>14.3252384</v>
      </c>
      <c r="FA430" s="9" t="n">
        <f aca="true">IFERROR(SUMPRODUCT(OFFSET($BJ$31,0,1-MIN(60,COLUMN()-29),1,MIN(60,COLUMN()-29)),OFFSET(FA429,0,-MIN(60,COLUMN()-29),1,MIN(60,COLUMN()-29))),0)</f>
        <v>20.0156352</v>
      </c>
      <c r="FB430" s="9" t="n">
        <f aca="true">IFERROR(SUMPRODUCT(OFFSET($BJ$31,0,1-MIN(60,COLUMN()-29),1,MIN(60,COLUMN()-29)),OFFSET(FB429,0,-MIN(60,COLUMN()-29),1,MIN(60,COLUMN()-29))),0)</f>
        <v>21.7335712</v>
      </c>
      <c r="FC430" s="9" t="n">
        <f aca="true">IFERROR(SUMPRODUCT(OFFSET($BJ$31,0,1-MIN(60,COLUMN()-29),1,MIN(60,COLUMN()-29)),OFFSET(FC429,0,-MIN(60,COLUMN()-29),1,MIN(60,COLUMN()-29))),0)</f>
        <v>21.61585536</v>
      </c>
      <c r="FD430" s="9" t="n">
        <f aca="true">IFERROR(SUMPRODUCT(OFFSET($BJ$31,0,1-MIN(60,COLUMN()-29),1,MIN(60,COLUMN()-29)),OFFSET(FD429,0,-MIN(60,COLUMN()-29),1,MIN(60,COLUMN()-29))),0)</f>
        <v>20.55420576</v>
      </c>
      <c r="FE430" s="9" t="n">
        <f aca="true">IFERROR(SUMPRODUCT(OFFSET($BJ$31,0,1-MIN(60,COLUMN()-29),1,MIN(60,COLUMN()-29)),OFFSET(FE429,0,-MIN(60,COLUMN()-29),1,MIN(60,COLUMN()-29))),0)</f>
        <v>26.10773792</v>
      </c>
      <c r="FF430" s="9" t="n">
        <f aca="true">IFERROR(SUMPRODUCT(OFFSET($BJ$31,0,1-MIN(60,COLUMN()-29),1,MIN(60,COLUMN()-29)),OFFSET(FF429,0,-MIN(60,COLUMN()-29),1,MIN(60,COLUMN()-29))),0)</f>
        <v>28.2677736</v>
      </c>
      <c r="FG430" s="9" t="n">
        <f aca="true">IFERROR(SUMPRODUCT(OFFSET($BJ$31,0,1-MIN(60,COLUMN()-29),1,MIN(60,COLUMN()-29)),OFFSET(FG429,0,-MIN(60,COLUMN()-29),1,MIN(60,COLUMN()-29))),0)</f>
        <v>27.6404392</v>
      </c>
      <c r="FH430" s="9" t="n">
        <f aca="true">IFERROR(SUMPRODUCT(OFFSET($BJ$31,0,1-MIN(60,COLUMN()-29),1,MIN(60,COLUMN()-29)),OFFSET(FH429,0,-MIN(60,COLUMN()-29),1,MIN(60,COLUMN()-29))),0)</f>
        <v>33.797148</v>
      </c>
      <c r="FI430" s="9" t="n">
        <f aca="true">IFERROR(SUMPRODUCT(OFFSET($BJ$31,0,1-MIN(60,COLUMN()-29),1,MIN(60,COLUMN()-29)),OFFSET(FI429,0,-MIN(60,COLUMN()-29),1,MIN(60,COLUMN()-29))),0)</f>
        <v>35.32895256</v>
      </c>
      <c r="FJ430" s="9" t="n">
        <f aca="true">IFERROR(SUMPRODUCT(OFFSET($BJ$31,0,1-MIN(60,COLUMN()-29),1,MIN(60,COLUMN()-29)),OFFSET(FJ429,0,-MIN(60,COLUMN()-29),1,MIN(60,COLUMN()-29))),0)</f>
        <v>35.56224936</v>
      </c>
      <c r="FK430" s="9" t="n">
        <f aca="true">IFERROR(SUMPRODUCT(OFFSET($BJ$31,0,1-MIN(60,COLUMN()-29),1,MIN(60,COLUMN()-29)),OFFSET(FK429,0,-MIN(60,COLUMN()-29),1,MIN(60,COLUMN()-29))),0)</f>
        <v>35.63579272</v>
      </c>
      <c r="FL430" s="9" t="n">
        <f aca="true">IFERROR(SUMPRODUCT(OFFSET($BJ$31,0,1-MIN(60,COLUMN()-29),1,MIN(60,COLUMN()-29)),OFFSET(FL429,0,-MIN(60,COLUMN()-29),1,MIN(60,COLUMN()-29))),0)</f>
        <v>38.60375112</v>
      </c>
      <c r="FM430" s="9" t="n">
        <f aca="true">IFERROR(SUMPRODUCT(OFFSET($BJ$31,0,1-MIN(60,COLUMN()-29),1,MIN(60,COLUMN()-29)),OFFSET(FM429,0,-MIN(60,COLUMN()-29),1,MIN(60,COLUMN()-29))),0)</f>
        <v>49.39431112</v>
      </c>
      <c r="FN430" s="9" t="n">
        <f aca="true">IFERROR(SUMPRODUCT(OFFSET($BJ$31,0,1-MIN(60,COLUMN()-29),1,MIN(60,COLUMN()-29)),OFFSET(FN429,0,-MIN(60,COLUMN()-29),1,MIN(60,COLUMN()-29))),0)</f>
        <v>49.87612168</v>
      </c>
      <c r="FO430" s="9" t="n">
        <f aca="true">IFERROR(SUMPRODUCT(OFFSET($BJ$31,0,1-MIN(60,COLUMN()-29),1,MIN(60,COLUMN()-29)),OFFSET(FO429,0,-MIN(60,COLUMN()-29),1,MIN(60,COLUMN()-29))),0)</f>
        <v>49.20567432</v>
      </c>
      <c r="FP430" s="9" t="n">
        <f aca="true">IFERROR(SUMPRODUCT(OFFSET($BJ$31,0,1-MIN(60,COLUMN()-29),1,MIN(60,COLUMN()-29)),OFFSET(FP429,0,-MIN(60,COLUMN()-29),1,MIN(60,COLUMN()-29))),0)</f>
        <v>47.35845576</v>
      </c>
    </row>
    <row r="431" customFormat="false" ht="15" hidden="false" customHeight="false" outlineLevel="2" collapsed="false">
      <c r="B431" s="47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237"/>
      <c r="AD431" s="237"/>
      <c r="AE431" s="237"/>
      <c r="AF431" s="237"/>
      <c r="AG431" s="237"/>
      <c r="AH431" s="237"/>
      <c r="AI431" s="237"/>
      <c r="AJ431" s="237"/>
      <c r="AK431" s="237"/>
      <c r="AL431" s="237"/>
      <c r="AM431" s="237"/>
      <c r="AN431" s="237"/>
      <c r="AO431" s="237"/>
      <c r="AP431" s="237"/>
      <c r="AQ431" s="237"/>
      <c r="AR431" s="237"/>
      <c r="AS431" s="237"/>
      <c r="AT431" s="237"/>
      <c r="AU431" s="237"/>
      <c r="AV431" s="237"/>
      <c r="AW431" s="237"/>
      <c r="AX431" s="237"/>
      <c r="AY431" s="237"/>
      <c r="AZ431" s="237"/>
      <c r="BA431" s="237"/>
      <c r="BB431" s="237"/>
      <c r="BC431" s="237"/>
      <c r="BD431" s="237"/>
      <c r="BE431" s="237"/>
      <c r="BF431" s="237"/>
      <c r="BG431" s="237"/>
      <c r="BH431" s="237"/>
      <c r="BI431" s="237"/>
      <c r="BJ431" s="237"/>
      <c r="BK431" s="237"/>
      <c r="BL431" s="237"/>
      <c r="BM431" s="237"/>
      <c r="BN431" s="237"/>
      <c r="BO431" s="237"/>
      <c r="BP431" s="237"/>
      <c r="BQ431" s="237"/>
      <c r="BR431" s="237"/>
      <c r="BS431" s="237"/>
      <c r="BT431" s="237"/>
      <c r="BU431" s="237"/>
      <c r="BV431" s="237"/>
      <c r="BW431" s="237"/>
      <c r="BX431" s="237"/>
      <c r="BY431" s="237"/>
      <c r="BZ431" s="237"/>
      <c r="CA431" s="237"/>
      <c r="CB431" s="237"/>
      <c r="CC431" s="237"/>
      <c r="CD431" s="237"/>
      <c r="CE431" s="237"/>
      <c r="CF431" s="237"/>
      <c r="CG431" s="237"/>
      <c r="CH431" s="237"/>
      <c r="CI431" s="237"/>
      <c r="CJ431" s="237"/>
      <c r="CK431" s="237"/>
      <c r="CL431" s="237"/>
      <c r="CM431" s="237"/>
      <c r="CN431" s="237"/>
      <c r="CO431" s="237"/>
      <c r="CP431" s="237"/>
      <c r="CQ431" s="237"/>
      <c r="CR431" s="237"/>
      <c r="CS431" s="237"/>
      <c r="CT431" s="237"/>
      <c r="CU431" s="237"/>
      <c r="CV431" s="237"/>
      <c r="CW431" s="237"/>
      <c r="CX431" s="237"/>
      <c r="CY431" s="237"/>
      <c r="CZ431" s="237"/>
      <c r="DA431" s="237"/>
      <c r="DB431" s="237"/>
      <c r="DC431" s="237"/>
      <c r="DD431" s="237"/>
      <c r="DE431" s="237"/>
      <c r="DF431" s="237"/>
      <c r="DG431" s="237"/>
      <c r="DH431" s="237"/>
      <c r="DI431" s="237"/>
      <c r="DJ431" s="237"/>
      <c r="DK431" s="237"/>
      <c r="DL431" s="237"/>
      <c r="DM431" s="237"/>
      <c r="DN431" s="237"/>
      <c r="DO431" s="237"/>
      <c r="DP431" s="237"/>
      <c r="DQ431" s="237"/>
      <c r="DR431" s="237"/>
      <c r="DS431" s="237"/>
      <c r="DT431" s="237"/>
      <c r="DU431" s="237"/>
      <c r="DV431" s="237"/>
      <c r="DW431" s="237"/>
      <c r="DX431" s="237"/>
      <c r="DY431" s="237"/>
      <c r="DZ431" s="237"/>
      <c r="EA431" s="237"/>
      <c r="EB431" s="237"/>
      <c r="EC431" s="237"/>
      <c r="ED431" s="237"/>
      <c r="EE431" s="237"/>
      <c r="EF431" s="237"/>
      <c r="EG431" s="237"/>
      <c r="EH431" s="237"/>
      <c r="EI431" s="237"/>
      <c r="EJ431" s="237"/>
      <c r="EK431" s="237"/>
      <c r="EL431" s="237"/>
      <c r="EM431" s="237"/>
      <c r="EN431" s="237"/>
      <c r="EO431" s="237"/>
      <c r="EP431" s="237"/>
      <c r="EQ431" s="237"/>
      <c r="ER431" s="237"/>
      <c r="ES431" s="9"/>
      <c r="ET431" s="9"/>
      <c r="EU431" s="9"/>
      <c r="EV431" s="9"/>
      <c r="EW431" s="9"/>
      <c r="EX431" s="9"/>
      <c r="EY431" s="9"/>
      <c r="EZ431" s="9"/>
      <c r="FA431" s="9"/>
      <c r="FB431" s="9"/>
      <c r="FC431" s="9"/>
      <c r="FD431" s="9"/>
      <c r="FE431" s="9"/>
      <c r="FF431" s="9"/>
      <c r="FG431" s="9"/>
      <c r="FH431" s="9"/>
      <c r="FI431" s="9"/>
      <c r="FJ431" s="9"/>
      <c r="FK431" s="9"/>
      <c r="FL431" s="9"/>
      <c r="FM431" s="9"/>
      <c r="FN431" s="9"/>
      <c r="FO431" s="9"/>
      <c r="FP431" s="9"/>
    </row>
    <row r="432" customFormat="false" ht="15" hidden="false" customHeight="false" outlineLevel="2" collapsed="false">
      <c r="B432" s="47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237"/>
      <c r="AD432" s="237"/>
      <c r="AE432" s="237"/>
      <c r="AF432" s="237"/>
      <c r="AG432" s="237"/>
      <c r="AH432" s="237"/>
      <c r="AI432" s="237"/>
      <c r="AJ432" s="237"/>
      <c r="AK432" s="237"/>
      <c r="AL432" s="237"/>
      <c r="AM432" s="237"/>
      <c r="AN432" s="237"/>
      <c r="AO432" s="237"/>
      <c r="AP432" s="237"/>
      <c r="AQ432" s="237"/>
      <c r="AR432" s="237"/>
      <c r="AS432" s="237"/>
      <c r="AT432" s="237"/>
      <c r="AU432" s="237"/>
      <c r="AV432" s="237"/>
      <c r="AW432" s="237"/>
      <c r="AX432" s="237"/>
      <c r="AY432" s="237"/>
      <c r="AZ432" s="237"/>
      <c r="BA432" s="237"/>
      <c r="BB432" s="237"/>
      <c r="BC432" s="237"/>
      <c r="BD432" s="237"/>
      <c r="BE432" s="237"/>
      <c r="BF432" s="237"/>
      <c r="BG432" s="237"/>
      <c r="BH432" s="237"/>
      <c r="BI432" s="237"/>
      <c r="BJ432" s="237"/>
      <c r="BK432" s="237"/>
      <c r="BL432" s="237"/>
      <c r="BM432" s="237"/>
      <c r="BN432" s="237"/>
      <c r="BO432" s="237"/>
      <c r="BP432" s="237"/>
      <c r="BQ432" s="237"/>
      <c r="BR432" s="237"/>
      <c r="BS432" s="237"/>
      <c r="BT432" s="237"/>
      <c r="BU432" s="237"/>
      <c r="BV432" s="237"/>
      <c r="BW432" s="237"/>
      <c r="BX432" s="237"/>
      <c r="BY432" s="237"/>
      <c r="BZ432" s="237"/>
      <c r="CA432" s="237"/>
      <c r="CB432" s="237"/>
      <c r="CC432" s="237"/>
      <c r="CD432" s="237"/>
      <c r="CE432" s="237"/>
      <c r="CF432" s="237"/>
      <c r="CG432" s="237"/>
      <c r="CH432" s="237"/>
      <c r="CI432" s="237"/>
      <c r="CJ432" s="237"/>
      <c r="CK432" s="237"/>
      <c r="CL432" s="237"/>
      <c r="CM432" s="237"/>
      <c r="CN432" s="237"/>
      <c r="CO432" s="237"/>
      <c r="CP432" s="237"/>
      <c r="CQ432" s="237"/>
      <c r="CR432" s="237"/>
      <c r="CS432" s="237"/>
      <c r="CT432" s="237"/>
      <c r="CU432" s="237"/>
      <c r="CV432" s="237"/>
      <c r="CW432" s="237"/>
      <c r="CX432" s="237"/>
      <c r="CY432" s="237"/>
      <c r="CZ432" s="237"/>
      <c r="DA432" s="237"/>
      <c r="DB432" s="237"/>
      <c r="DC432" s="237"/>
      <c r="DD432" s="237"/>
      <c r="DE432" s="237"/>
      <c r="DF432" s="237"/>
      <c r="DG432" s="237"/>
      <c r="DH432" s="237"/>
      <c r="DI432" s="237"/>
      <c r="DJ432" s="237"/>
      <c r="DK432" s="237"/>
      <c r="DL432" s="237"/>
      <c r="DM432" s="237"/>
      <c r="DN432" s="237"/>
      <c r="DO432" s="237"/>
      <c r="DP432" s="237"/>
      <c r="DQ432" s="237"/>
      <c r="DR432" s="237"/>
      <c r="DS432" s="237"/>
      <c r="DT432" s="237"/>
      <c r="DU432" s="237"/>
      <c r="DV432" s="237"/>
      <c r="DW432" s="237"/>
      <c r="DX432" s="237"/>
      <c r="DY432" s="237"/>
      <c r="DZ432" s="237"/>
      <c r="EA432" s="237"/>
      <c r="EB432" s="237"/>
      <c r="EC432" s="237"/>
      <c r="ED432" s="237"/>
      <c r="EE432" s="237"/>
      <c r="EF432" s="237"/>
      <c r="EG432" s="237"/>
      <c r="EH432" s="237"/>
      <c r="EI432" s="237"/>
      <c r="EJ432" s="237"/>
      <c r="EK432" s="237"/>
      <c r="EL432" s="237"/>
      <c r="EM432" s="237"/>
      <c r="EN432" s="237"/>
      <c r="EO432" s="237"/>
      <c r="EP432" s="237"/>
      <c r="EQ432" s="237"/>
      <c r="ER432" s="237"/>
      <c r="ES432" s="9"/>
      <c r="ET432" s="9"/>
      <c r="EU432" s="9"/>
      <c r="EV432" s="9"/>
      <c r="EW432" s="9"/>
      <c r="EX432" s="9"/>
      <c r="EY432" s="9"/>
      <c r="EZ432" s="9"/>
      <c r="FA432" s="9"/>
      <c r="FB432" s="9"/>
      <c r="FC432" s="9"/>
      <c r="FD432" s="9"/>
      <c r="FE432" s="9"/>
      <c r="FF432" s="9"/>
      <c r="FG432" s="9"/>
      <c r="FH432" s="9"/>
      <c r="FI432" s="9"/>
      <c r="FJ432" s="9"/>
      <c r="FK432" s="9"/>
      <c r="FL432" s="9"/>
      <c r="FM432" s="9"/>
      <c r="FN432" s="9"/>
      <c r="FO432" s="9"/>
      <c r="FP432" s="9"/>
    </row>
    <row r="433" customFormat="false" ht="15" hidden="false" customHeight="false" outlineLevel="2" collapsed="false">
      <c r="B433" s="47" t="s">
        <v>916</v>
      </c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237"/>
      <c r="AD433" s="237"/>
      <c r="AE433" s="237"/>
      <c r="AF433" s="237"/>
      <c r="AG433" s="237"/>
      <c r="AH433" s="237"/>
      <c r="AI433" s="237"/>
      <c r="AJ433" s="237"/>
      <c r="AK433" s="237"/>
      <c r="AL433" s="237"/>
      <c r="AM433" s="237"/>
      <c r="AN433" s="237"/>
      <c r="AO433" s="237"/>
      <c r="AP433" s="237"/>
      <c r="AQ433" s="237"/>
      <c r="AR433" s="237"/>
      <c r="AS433" s="237"/>
      <c r="AT433" s="237"/>
      <c r="AU433" s="237"/>
      <c r="AV433" s="237"/>
      <c r="AW433" s="237"/>
      <c r="AX433" s="237"/>
      <c r="AY433" s="237"/>
      <c r="AZ433" s="237"/>
      <c r="BA433" s="237"/>
      <c r="BB433" s="237"/>
      <c r="BC433" s="237"/>
      <c r="BD433" s="237"/>
      <c r="BE433" s="237"/>
      <c r="BF433" s="237"/>
      <c r="BG433" s="237"/>
      <c r="BH433" s="237"/>
      <c r="BI433" s="237"/>
      <c r="BJ433" s="237"/>
      <c r="BK433" s="237"/>
      <c r="BL433" s="237"/>
      <c r="BM433" s="237"/>
      <c r="BN433" s="237"/>
      <c r="BO433" s="237"/>
      <c r="BP433" s="237"/>
      <c r="BQ433" s="237"/>
      <c r="BR433" s="237"/>
      <c r="BS433" s="237"/>
      <c r="BT433" s="237"/>
      <c r="BU433" s="237"/>
      <c r="BV433" s="237"/>
      <c r="BW433" s="237"/>
      <c r="BX433" s="237"/>
      <c r="BY433" s="237"/>
      <c r="BZ433" s="237"/>
      <c r="CA433" s="237"/>
      <c r="CB433" s="237"/>
      <c r="CC433" s="237"/>
      <c r="CD433" s="237"/>
      <c r="CE433" s="237"/>
      <c r="CF433" s="237"/>
      <c r="CG433" s="237"/>
      <c r="CH433" s="237"/>
      <c r="CI433" s="237"/>
      <c r="CJ433" s="237"/>
      <c r="CK433" s="237"/>
      <c r="CL433" s="237"/>
      <c r="CM433" s="237"/>
      <c r="CN433" s="237"/>
      <c r="CO433" s="237"/>
      <c r="CP433" s="237"/>
      <c r="CQ433" s="237"/>
      <c r="CR433" s="237"/>
      <c r="CS433" s="237"/>
      <c r="CT433" s="237"/>
      <c r="CU433" s="237"/>
      <c r="CV433" s="237"/>
      <c r="CW433" s="237"/>
      <c r="CX433" s="237"/>
      <c r="CY433" s="237"/>
      <c r="CZ433" s="237"/>
      <c r="DA433" s="237"/>
      <c r="DB433" s="237"/>
      <c r="DC433" s="237"/>
      <c r="DD433" s="237"/>
      <c r="DE433" s="237"/>
      <c r="DF433" s="237"/>
      <c r="DG433" s="237"/>
      <c r="DH433" s="237"/>
      <c r="DI433" s="237"/>
      <c r="DJ433" s="237"/>
      <c r="DK433" s="237"/>
      <c r="DL433" s="237"/>
      <c r="DM433" s="237"/>
      <c r="DN433" s="237"/>
      <c r="DO433" s="237"/>
      <c r="DP433" s="237"/>
      <c r="DQ433" s="237"/>
      <c r="DR433" s="237"/>
      <c r="DS433" s="237"/>
      <c r="DT433" s="237"/>
      <c r="DU433" s="237"/>
      <c r="DV433" s="237"/>
      <c r="DW433" s="237"/>
      <c r="DX433" s="237"/>
      <c r="DY433" s="237"/>
      <c r="DZ433" s="237"/>
      <c r="EA433" s="237"/>
      <c r="EB433" s="237"/>
      <c r="EC433" s="237"/>
      <c r="ED433" s="237"/>
      <c r="EE433" s="237"/>
      <c r="EF433" s="237"/>
      <c r="EG433" s="237"/>
      <c r="EH433" s="237"/>
      <c r="EI433" s="237"/>
      <c r="EJ433" s="237"/>
      <c r="EK433" s="237"/>
      <c r="EL433" s="237"/>
      <c r="EM433" s="237"/>
      <c r="EN433" s="237"/>
      <c r="EO433" s="237"/>
      <c r="EP433" s="237"/>
      <c r="EQ433" s="237"/>
      <c r="ER433" s="237"/>
      <c r="ES433" s="9"/>
      <c r="ET433" s="9"/>
      <c r="EU433" s="9"/>
      <c r="EV433" s="9"/>
      <c r="EW433" s="9"/>
      <c r="EX433" s="9"/>
      <c r="EY433" s="9"/>
      <c r="EZ433" s="9"/>
      <c r="FA433" s="9"/>
      <c r="FB433" s="9"/>
      <c r="FC433" s="9"/>
      <c r="FD433" s="9"/>
      <c r="FE433" s="9"/>
      <c r="FF433" s="9"/>
      <c r="FG433" s="9"/>
      <c r="FH433" s="9"/>
      <c r="FI433" s="9"/>
      <c r="FJ433" s="9"/>
      <c r="FK433" s="9"/>
      <c r="FL433" s="9"/>
      <c r="FM433" s="9"/>
      <c r="FN433" s="9"/>
      <c r="FO433" s="9"/>
      <c r="FP433" s="9"/>
    </row>
    <row r="434" customFormat="false" ht="15" hidden="false" customHeight="false" outlineLevel="2" collapsed="false">
      <c r="B434" s="47" t="s">
        <v>872</v>
      </c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237" t="n">
        <f aca="false">('⑫ Roll-out Plan'!G48-2025)*12+'⑫ Roll-out Plan'!F48</f>
        <v>116</v>
      </c>
      <c r="AD434" s="237"/>
      <c r="AE434" s="237"/>
      <c r="AF434" s="237"/>
      <c r="AG434" s="237"/>
      <c r="AH434" s="237"/>
      <c r="AI434" s="237"/>
      <c r="AJ434" s="237"/>
      <c r="AK434" s="237"/>
      <c r="AL434" s="237"/>
      <c r="AM434" s="237"/>
      <c r="AN434" s="237"/>
      <c r="AO434" s="237"/>
      <c r="AP434" s="237"/>
      <c r="AQ434" s="237"/>
      <c r="AR434" s="237"/>
      <c r="AS434" s="237"/>
      <c r="AT434" s="237"/>
      <c r="AU434" s="237"/>
      <c r="AV434" s="237"/>
      <c r="AW434" s="237"/>
      <c r="AX434" s="237"/>
      <c r="AY434" s="237"/>
      <c r="AZ434" s="237"/>
      <c r="BA434" s="237"/>
      <c r="BB434" s="237"/>
      <c r="BC434" s="237"/>
      <c r="BD434" s="237"/>
      <c r="BE434" s="237"/>
      <c r="BF434" s="237"/>
      <c r="BG434" s="237"/>
      <c r="BH434" s="237"/>
      <c r="BI434" s="237"/>
      <c r="BJ434" s="237"/>
      <c r="BK434" s="237"/>
      <c r="BL434" s="237"/>
      <c r="BM434" s="237"/>
      <c r="BN434" s="237"/>
      <c r="BO434" s="237"/>
      <c r="BP434" s="237"/>
      <c r="BQ434" s="237"/>
      <c r="BR434" s="237"/>
      <c r="BS434" s="237"/>
      <c r="BT434" s="237"/>
      <c r="BU434" s="237"/>
      <c r="BV434" s="237"/>
      <c r="BW434" s="237"/>
      <c r="BX434" s="237"/>
      <c r="BY434" s="237"/>
      <c r="BZ434" s="237"/>
      <c r="CA434" s="237"/>
      <c r="CB434" s="237"/>
      <c r="CC434" s="237"/>
      <c r="CD434" s="237"/>
      <c r="CE434" s="237"/>
      <c r="CF434" s="237"/>
      <c r="CG434" s="237"/>
      <c r="CH434" s="237"/>
      <c r="CI434" s="237"/>
      <c r="CJ434" s="237"/>
      <c r="CK434" s="237"/>
      <c r="CL434" s="237"/>
      <c r="CM434" s="237"/>
      <c r="CN434" s="237"/>
      <c r="CO434" s="237"/>
      <c r="CP434" s="237"/>
      <c r="CQ434" s="237"/>
      <c r="CR434" s="237"/>
      <c r="CS434" s="237"/>
      <c r="CT434" s="237"/>
      <c r="CU434" s="237"/>
      <c r="CV434" s="237"/>
      <c r="CW434" s="237"/>
      <c r="CX434" s="237"/>
      <c r="CY434" s="237"/>
      <c r="CZ434" s="237"/>
      <c r="DA434" s="237"/>
      <c r="DB434" s="237"/>
      <c r="DC434" s="237"/>
      <c r="DD434" s="237"/>
      <c r="DE434" s="237"/>
      <c r="DF434" s="237"/>
      <c r="DG434" s="237"/>
      <c r="DH434" s="237"/>
      <c r="DI434" s="237"/>
      <c r="DJ434" s="237"/>
      <c r="DK434" s="237"/>
      <c r="DL434" s="237"/>
      <c r="DM434" s="237"/>
      <c r="DN434" s="237"/>
      <c r="DO434" s="237"/>
      <c r="DP434" s="237"/>
      <c r="DQ434" s="237"/>
      <c r="DR434" s="237"/>
      <c r="DS434" s="237"/>
      <c r="DT434" s="237"/>
      <c r="DU434" s="237"/>
      <c r="DV434" s="237"/>
      <c r="DW434" s="237"/>
      <c r="DX434" s="237"/>
      <c r="DY434" s="237"/>
      <c r="DZ434" s="237"/>
      <c r="EA434" s="237"/>
      <c r="EB434" s="237"/>
      <c r="EC434" s="237"/>
      <c r="ED434" s="237"/>
      <c r="EE434" s="237"/>
      <c r="EF434" s="237"/>
      <c r="EG434" s="237"/>
      <c r="EH434" s="237"/>
      <c r="EI434" s="237"/>
      <c r="EJ434" s="237"/>
      <c r="EK434" s="237"/>
      <c r="EL434" s="237"/>
      <c r="EM434" s="237"/>
      <c r="EN434" s="237"/>
      <c r="EO434" s="237"/>
      <c r="EP434" s="237"/>
      <c r="EQ434" s="237"/>
      <c r="ER434" s="237"/>
      <c r="ES434" s="9"/>
      <c r="ET434" s="9"/>
      <c r="EU434" s="9"/>
      <c r="EV434" s="9"/>
      <c r="EW434" s="9"/>
      <c r="EX434" s="9"/>
      <c r="EY434" s="9"/>
      <c r="EZ434" s="9"/>
      <c r="FA434" s="9"/>
      <c r="FB434" s="9"/>
      <c r="FC434" s="9"/>
      <c r="FD434" s="9"/>
      <c r="FE434" s="9"/>
      <c r="FF434" s="9"/>
      <c r="FG434" s="9"/>
      <c r="FH434" s="9"/>
      <c r="FI434" s="9"/>
      <c r="FJ434" s="9"/>
      <c r="FK434" s="9"/>
      <c r="FL434" s="9"/>
      <c r="FM434" s="9"/>
      <c r="FN434" s="9"/>
      <c r="FO434" s="9"/>
      <c r="FP434" s="9"/>
    </row>
    <row r="435" customFormat="false" ht="15" hidden="false" customHeight="false" outlineLevel="2" collapsed="false">
      <c r="B435" s="47" t="s">
        <v>873</v>
      </c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237" t="n">
        <f aca="false">VLOOKUP("B",$B$14:$C$18,2,FALSE())</f>
        <v>185</v>
      </c>
      <c r="AD435" s="237"/>
      <c r="AE435" s="237"/>
      <c r="AF435" s="237"/>
      <c r="AG435" s="237"/>
      <c r="AH435" s="237"/>
      <c r="AI435" s="237"/>
      <c r="AJ435" s="237"/>
      <c r="AK435" s="237"/>
      <c r="AL435" s="237"/>
      <c r="AM435" s="237"/>
      <c r="AN435" s="237"/>
      <c r="AO435" s="237"/>
      <c r="AP435" s="237"/>
      <c r="AQ435" s="237"/>
      <c r="AR435" s="237"/>
      <c r="AS435" s="237"/>
      <c r="AT435" s="237"/>
      <c r="AU435" s="237"/>
      <c r="AV435" s="237"/>
      <c r="AW435" s="237"/>
      <c r="AX435" s="237"/>
      <c r="AY435" s="237"/>
      <c r="AZ435" s="237"/>
      <c r="BA435" s="237"/>
      <c r="BB435" s="237"/>
      <c r="BC435" s="237"/>
      <c r="BD435" s="237"/>
      <c r="BE435" s="237"/>
      <c r="BF435" s="237"/>
      <c r="BG435" s="237"/>
      <c r="BH435" s="237"/>
      <c r="BI435" s="237"/>
      <c r="BJ435" s="237"/>
      <c r="BK435" s="237"/>
      <c r="BL435" s="237"/>
      <c r="BM435" s="237"/>
      <c r="BN435" s="237"/>
      <c r="BO435" s="237"/>
      <c r="BP435" s="237"/>
      <c r="BQ435" s="237"/>
      <c r="BR435" s="237"/>
      <c r="BS435" s="237"/>
      <c r="BT435" s="237"/>
      <c r="BU435" s="237"/>
      <c r="BV435" s="237"/>
      <c r="BW435" s="237"/>
      <c r="BX435" s="237"/>
      <c r="BY435" s="237"/>
      <c r="BZ435" s="237"/>
      <c r="CA435" s="237"/>
      <c r="CB435" s="237"/>
      <c r="CC435" s="237"/>
      <c r="CD435" s="237"/>
      <c r="CE435" s="237"/>
      <c r="CF435" s="237"/>
      <c r="CG435" s="237"/>
      <c r="CH435" s="237"/>
      <c r="CI435" s="237"/>
      <c r="CJ435" s="237"/>
      <c r="CK435" s="237"/>
      <c r="CL435" s="237"/>
      <c r="CM435" s="237"/>
      <c r="CN435" s="237"/>
      <c r="CO435" s="237"/>
      <c r="CP435" s="237"/>
      <c r="CQ435" s="237"/>
      <c r="CR435" s="237"/>
      <c r="CS435" s="237"/>
      <c r="CT435" s="237"/>
      <c r="CU435" s="237"/>
      <c r="CV435" s="237"/>
      <c r="CW435" s="237"/>
      <c r="CX435" s="237"/>
      <c r="CY435" s="237"/>
      <c r="CZ435" s="237"/>
      <c r="DA435" s="237"/>
      <c r="DB435" s="237"/>
      <c r="DC435" s="237"/>
      <c r="DD435" s="237"/>
      <c r="DE435" s="237"/>
      <c r="DF435" s="237"/>
      <c r="DG435" s="237"/>
      <c r="DH435" s="237"/>
      <c r="DI435" s="237"/>
      <c r="DJ435" s="237"/>
      <c r="DK435" s="237"/>
      <c r="DL435" s="237"/>
      <c r="DM435" s="237"/>
      <c r="DN435" s="237"/>
      <c r="DO435" s="237"/>
      <c r="DP435" s="237"/>
      <c r="DQ435" s="237"/>
      <c r="DR435" s="237"/>
      <c r="DS435" s="237"/>
      <c r="DT435" s="237"/>
      <c r="DU435" s="237"/>
      <c r="DV435" s="237"/>
      <c r="DW435" s="237"/>
      <c r="DX435" s="237"/>
      <c r="DY435" s="237"/>
      <c r="DZ435" s="237"/>
      <c r="EA435" s="237"/>
      <c r="EB435" s="237"/>
      <c r="EC435" s="237"/>
      <c r="ED435" s="237"/>
      <c r="EE435" s="237"/>
      <c r="EF435" s="237"/>
      <c r="EG435" s="237"/>
      <c r="EH435" s="237"/>
      <c r="EI435" s="237"/>
      <c r="EJ435" s="237"/>
      <c r="EK435" s="237"/>
      <c r="EL435" s="237"/>
      <c r="EM435" s="237"/>
      <c r="EN435" s="237"/>
      <c r="EO435" s="237"/>
      <c r="EP435" s="237"/>
      <c r="EQ435" s="237"/>
      <c r="ER435" s="237"/>
      <c r="ES435" s="9"/>
      <c r="ET435" s="9"/>
      <c r="EU435" s="9"/>
      <c r="EV435" s="9"/>
      <c r="EW435" s="9"/>
      <c r="EX435" s="9"/>
      <c r="EY435" s="9"/>
      <c r="EZ435" s="9"/>
      <c r="FA435" s="9"/>
      <c r="FB435" s="9"/>
      <c r="FC435" s="9"/>
      <c r="FD435" s="9"/>
      <c r="FE435" s="9"/>
      <c r="FF435" s="9"/>
      <c r="FG435" s="9"/>
      <c r="FH435" s="9"/>
      <c r="FI435" s="9"/>
      <c r="FJ435" s="9"/>
      <c r="FK435" s="9"/>
      <c r="FL435" s="9"/>
      <c r="FM435" s="9"/>
      <c r="FN435" s="9"/>
      <c r="FO435" s="9"/>
      <c r="FP435" s="9"/>
    </row>
    <row r="436" customFormat="false" ht="15" hidden="false" customHeight="false" outlineLevel="2" collapsed="false">
      <c r="B436" s="47" t="s">
        <v>799</v>
      </c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237" t="n">
        <f aca="false">IF(AC$35&gt;=$AC$434,AC$35-$AC$434+1,0)</f>
        <v>0</v>
      </c>
      <c r="AD436" s="237" t="n">
        <f aca="false">IF(AD$35&gt;=$AC$434,AD$35-$AC$434+1,0)</f>
        <v>0</v>
      </c>
      <c r="AE436" s="237" t="n">
        <f aca="false">IF(AE$35&gt;=$AC$434,AE$35-$AC$434+1,0)</f>
        <v>0</v>
      </c>
      <c r="AF436" s="237" t="n">
        <f aca="false">IF(AF$35&gt;=$AC$434,AF$35-$AC$434+1,0)</f>
        <v>0</v>
      </c>
      <c r="AG436" s="237" t="n">
        <f aca="false">IF(AG$35&gt;=$AC$434,AG$35-$AC$434+1,0)</f>
        <v>0</v>
      </c>
      <c r="AH436" s="237" t="n">
        <f aca="false">IF(AH$35&gt;=$AC$434,AH$35-$AC$434+1,0)</f>
        <v>0</v>
      </c>
      <c r="AI436" s="237" t="n">
        <f aca="false">IF(AI$35&gt;=$AC$434,AI$35-$AC$434+1,0)</f>
        <v>0</v>
      </c>
      <c r="AJ436" s="237" t="n">
        <f aca="false">IF(AJ$35&gt;=$AC$434,AJ$35-$AC$434+1,0)</f>
        <v>0</v>
      </c>
      <c r="AK436" s="237" t="n">
        <f aca="false">IF(AK$35&gt;=$AC$434,AK$35-$AC$434+1,0)</f>
        <v>0</v>
      </c>
      <c r="AL436" s="237" t="n">
        <f aca="false">IF(AL$35&gt;=$AC$434,AL$35-$AC$434+1,0)</f>
        <v>0</v>
      </c>
      <c r="AM436" s="237" t="n">
        <f aca="false">IF(AM$35&gt;=$AC$434,AM$35-$AC$434+1,0)</f>
        <v>0</v>
      </c>
      <c r="AN436" s="237" t="n">
        <f aca="false">IF(AN$35&gt;=$AC$434,AN$35-$AC$434+1,0)</f>
        <v>0</v>
      </c>
      <c r="AO436" s="237" t="n">
        <f aca="false">IF(AO$35&gt;=$AC$434,AO$35-$AC$434+1,0)</f>
        <v>0</v>
      </c>
      <c r="AP436" s="237" t="n">
        <f aca="false">IF(AP$35&gt;=$AC$434,AP$35-$AC$434+1,0)</f>
        <v>0</v>
      </c>
      <c r="AQ436" s="237" t="n">
        <f aca="false">IF(AQ$35&gt;=$AC$434,AQ$35-$AC$434+1,0)</f>
        <v>0</v>
      </c>
      <c r="AR436" s="237" t="n">
        <f aca="false">IF(AR$35&gt;=$AC$434,AR$35-$AC$434+1,0)</f>
        <v>0</v>
      </c>
      <c r="AS436" s="237" t="n">
        <f aca="false">IF(AS$35&gt;=$AC$434,AS$35-$AC$434+1,0)</f>
        <v>0</v>
      </c>
      <c r="AT436" s="237" t="n">
        <f aca="false">IF(AT$35&gt;=$AC$434,AT$35-$AC$434+1,0)</f>
        <v>0</v>
      </c>
      <c r="AU436" s="237" t="n">
        <f aca="false">IF(AU$35&gt;=$AC$434,AU$35-$AC$434+1,0)</f>
        <v>0</v>
      </c>
      <c r="AV436" s="237" t="n">
        <f aca="false">IF(AV$35&gt;=$AC$434,AV$35-$AC$434+1,0)</f>
        <v>0</v>
      </c>
      <c r="AW436" s="237" t="n">
        <f aca="false">IF(AW$35&gt;=$AC$434,AW$35-$AC$434+1,0)</f>
        <v>0</v>
      </c>
      <c r="AX436" s="237" t="n">
        <f aca="false">IF(AX$35&gt;=$AC$434,AX$35-$AC$434+1,0)</f>
        <v>0</v>
      </c>
      <c r="AY436" s="237" t="n">
        <f aca="false">IF(AY$35&gt;=$AC$434,AY$35-$AC$434+1,0)</f>
        <v>0</v>
      </c>
      <c r="AZ436" s="237" t="n">
        <f aca="false">IF(AZ$35&gt;=$AC$434,AZ$35-$AC$434+1,0)</f>
        <v>0</v>
      </c>
      <c r="BA436" s="237" t="n">
        <f aca="false">IF(BA$35&gt;=$AC$434,BA$35-$AC$434+1,0)</f>
        <v>0</v>
      </c>
      <c r="BB436" s="237" t="n">
        <f aca="false">IF(BB$35&gt;=$AC$434,BB$35-$AC$434+1,0)</f>
        <v>0</v>
      </c>
      <c r="BC436" s="237" t="n">
        <f aca="false">IF(BC$35&gt;=$AC$434,BC$35-$AC$434+1,0)</f>
        <v>0</v>
      </c>
      <c r="BD436" s="237" t="n">
        <f aca="false">IF(BD$35&gt;=$AC$434,BD$35-$AC$434+1,0)</f>
        <v>0</v>
      </c>
      <c r="BE436" s="237" t="n">
        <f aca="false">IF(BE$35&gt;=$AC$434,BE$35-$AC$434+1,0)</f>
        <v>0</v>
      </c>
      <c r="BF436" s="237" t="n">
        <f aca="false">IF(BF$35&gt;=$AC$434,BF$35-$AC$434+1,0)</f>
        <v>0</v>
      </c>
      <c r="BG436" s="237" t="n">
        <f aca="false">IF(BG$35&gt;=$AC$434,BG$35-$AC$434+1,0)</f>
        <v>0</v>
      </c>
      <c r="BH436" s="237" t="n">
        <f aca="false">IF(BH$35&gt;=$AC$434,BH$35-$AC$434+1,0)</f>
        <v>0</v>
      </c>
      <c r="BI436" s="237" t="n">
        <f aca="false">IF(BI$35&gt;=$AC$434,BI$35-$AC$434+1,0)</f>
        <v>0</v>
      </c>
      <c r="BJ436" s="237" t="n">
        <f aca="false">IF(BJ$35&gt;=$AC$434,BJ$35-$AC$434+1,0)</f>
        <v>0</v>
      </c>
      <c r="BK436" s="237" t="n">
        <f aca="false">IF(BK$35&gt;=$AC$434,BK$35-$AC$434+1,0)</f>
        <v>0</v>
      </c>
      <c r="BL436" s="237" t="n">
        <f aca="false">IF(BL$35&gt;=$AC$434,BL$35-$AC$434+1,0)</f>
        <v>0</v>
      </c>
      <c r="BM436" s="237" t="n">
        <f aca="false">IF(BM$35&gt;=$AC$434,BM$35-$AC$434+1,0)</f>
        <v>0</v>
      </c>
      <c r="BN436" s="237" t="n">
        <f aca="false">IF(BN$35&gt;=$AC$434,BN$35-$AC$434+1,0)</f>
        <v>0</v>
      </c>
      <c r="BO436" s="237" t="n">
        <f aca="false">IF(BO$35&gt;=$AC$434,BO$35-$AC$434+1,0)</f>
        <v>0</v>
      </c>
      <c r="BP436" s="237" t="n">
        <f aca="false">IF(BP$35&gt;=$AC$434,BP$35-$AC$434+1,0)</f>
        <v>0</v>
      </c>
      <c r="BQ436" s="237" t="n">
        <f aca="false">IF(BQ$35&gt;=$AC$434,BQ$35-$AC$434+1,0)</f>
        <v>0</v>
      </c>
      <c r="BR436" s="237" t="n">
        <f aca="false">IF(BR$35&gt;=$AC$434,BR$35-$AC$434+1,0)</f>
        <v>0</v>
      </c>
      <c r="BS436" s="237" t="n">
        <f aca="false">IF(BS$35&gt;=$AC$434,BS$35-$AC$434+1,0)</f>
        <v>0</v>
      </c>
      <c r="BT436" s="237" t="n">
        <f aca="false">IF(BT$35&gt;=$AC$434,BT$35-$AC$434+1,0)</f>
        <v>0</v>
      </c>
      <c r="BU436" s="237" t="n">
        <f aca="false">IF(BU$35&gt;=$AC$434,BU$35-$AC$434+1,0)</f>
        <v>0</v>
      </c>
      <c r="BV436" s="237" t="n">
        <f aca="false">IF(BV$35&gt;=$AC$434,BV$35-$AC$434+1,0)</f>
        <v>0</v>
      </c>
      <c r="BW436" s="237" t="n">
        <f aca="false">IF(BW$35&gt;=$AC$434,BW$35-$AC$434+1,0)</f>
        <v>0</v>
      </c>
      <c r="BX436" s="237" t="n">
        <f aca="false">IF(BX$35&gt;=$AC$434,BX$35-$AC$434+1,0)</f>
        <v>0</v>
      </c>
      <c r="BY436" s="237" t="n">
        <f aca="false">IF(BY$35&gt;=$AC$434,BY$35-$AC$434+1,0)</f>
        <v>0</v>
      </c>
      <c r="BZ436" s="237" t="n">
        <f aca="false">IF(BZ$35&gt;=$AC$434,BZ$35-$AC$434+1,0)</f>
        <v>0</v>
      </c>
      <c r="CA436" s="237" t="n">
        <f aca="false">IF(CA$35&gt;=$AC$434,CA$35-$AC$434+1,0)</f>
        <v>0</v>
      </c>
      <c r="CB436" s="237" t="n">
        <f aca="false">IF(CB$35&gt;=$AC$434,CB$35-$AC$434+1,0)</f>
        <v>0</v>
      </c>
      <c r="CC436" s="237" t="n">
        <f aca="false">IF(CC$35&gt;=$AC$434,CC$35-$AC$434+1,0)</f>
        <v>0</v>
      </c>
      <c r="CD436" s="237" t="n">
        <f aca="false">IF(CD$35&gt;=$AC$434,CD$35-$AC$434+1,0)</f>
        <v>0</v>
      </c>
      <c r="CE436" s="237" t="n">
        <f aca="false">IF(CE$35&gt;=$AC$434,CE$35-$AC$434+1,0)</f>
        <v>0</v>
      </c>
      <c r="CF436" s="237" t="n">
        <f aca="false">IF(CF$35&gt;=$AC$434,CF$35-$AC$434+1,0)</f>
        <v>0</v>
      </c>
      <c r="CG436" s="237" t="n">
        <f aca="false">IF(CG$35&gt;=$AC$434,CG$35-$AC$434+1,0)</f>
        <v>0</v>
      </c>
      <c r="CH436" s="237" t="n">
        <f aca="false">IF(CH$35&gt;=$AC$434,CH$35-$AC$434+1,0)</f>
        <v>0</v>
      </c>
      <c r="CI436" s="237" t="n">
        <f aca="false">IF(CI$35&gt;=$AC$434,CI$35-$AC$434+1,0)</f>
        <v>0</v>
      </c>
      <c r="CJ436" s="237" t="n">
        <f aca="false">IF(CJ$35&gt;=$AC$434,CJ$35-$AC$434+1,0)</f>
        <v>0</v>
      </c>
      <c r="CK436" s="237" t="n">
        <f aca="false">IF(CK$35&gt;=$AC$434,CK$35-$AC$434+1,0)</f>
        <v>0</v>
      </c>
      <c r="CL436" s="237" t="n">
        <f aca="false">IF(CL$35&gt;=$AC$434,CL$35-$AC$434+1,0)</f>
        <v>0</v>
      </c>
      <c r="CM436" s="237" t="n">
        <f aca="false">IF(CM$35&gt;=$AC$434,CM$35-$AC$434+1,0)</f>
        <v>0</v>
      </c>
      <c r="CN436" s="237" t="n">
        <f aca="false">IF(CN$35&gt;=$AC$434,CN$35-$AC$434+1,0)</f>
        <v>0</v>
      </c>
      <c r="CO436" s="237" t="n">
        <f aca="false">IF(CO$35&gt;=$AC$434,CO$35-$AC$434+1,0)</f>
        <v>0</v>
      </c>
      <c r="CP436" s="237" t="n">
        <f aca="false">IF(CP$35&gt;=$AC$434,CP$35-$AC$434+1,0)</f>
        <v>0</v>
      </c>
      <c r="CQ436" s="237" t="n">
        <f aca="false">IF(CQ$35&gt;=$AC$434,CQ$35-$AC$434+1,0)</f>
        <v>0</v>
      </c>
      <c r="CR436" s="237" t="n">
        <f aca="false">IF(CR$35&gt;=$AC$434,CR$35-$AC$434+1,0)</f>
        <v>0</v>
      </c>
      <c r="CS436" s="237" t="n">
        <f aca="false">IF(CS$35&gt;=$AC$434,CS$35-$AC$434+1,0)</f>
        <v>0</v>
      </c>
      <c r="CT436" s="237" t="n">
        <f aca="false">IF(CT$35&gt;=$AC$434,CT$35-$AC$434+1,0)</f>
        <v>0</v>
      </c>
      <c r="CU436" s="237" t="n">
        <f aca="false">IF(CU$35&gt;=$AC$434,CU$35-$AC$434+1,0)</f>
        <v>0</v>
      </c>
      <c r="CV436" s="237" t="n">
        <f aca="false">IF(CV$35&gt;=$AC$434,CV$35-$AC$434+1,0)</f>
        <v>0</v>
      </c>
      <c r="CW436" s="237" t="n">
        <f aca="false">IF(CW$35&gt;=$AC$434,CW$35-$AC$434+1,0)</f>
        <v>0</v>
      </c>
      <c r="CX436" s="237" t="n">
        <f aca="false">IF(CX$35&gt;=$AC$434,CX$35-$AC$434+1,0)</f>
        <v>0</v>
      </c>
      <c r="CY436" s="237" t="n">
        <f aca="false">IF(CY$35&gt;=$AC$434,CY$35-$AC$434+1,0)</f>
        <v>0</v>
      </c>
      <c r="CZ436" s="237" t="n">
        <f aca="false">IF(CZ$35&gt;=$AC$434,CZ$35-$AC$434+1,0)</f>
        <v>0</v>
      </c>
      <c r="DA436" s="237" t="n">
        <f aca="false">IF(DA$35&gt;=$AC$434,DA$35-$AC$434+1,0)</f>
        <v>0</v>
      </c>
      <c r="DB436" s="237" t="n">
        <f aca="false">IF(DB$35&gt;=$AC$434,DB$35-$AC$434+1,0)</f>
        <v>0</v>
      </c>
      <c r="DC436" s="237" t="n">
        <f aca="false">IF(DC$35&gt;=$AC$434,DC$35-$AC$434+1,0)</f>
        <v>0</v>
      </c>
      <c r="DD436" s="237" t="n">
        <f aca="false">IF(DD$35&gt;=$AC$434,DD$35-$AC$434+1,0)</f>
        <v>0</v>
      </c>
      <c r="DE436" s="237" t="n">
        <f aca="false">IF(DE$35&gt;=$AC$434,DE$35-$AC$434+1,0)</f>
        <v>0</v>
      </c>
      <c r="DF436" s="237" t="n">
        <f aca="false">IF(DF$35&gt;=$AC$434,DF$35-$AC$434+1,0)</f>
        <v>0</v>
      </c>
      <c r="DG436" s="237" t="n">
        <f aca="false">IF(DG$35&gt;=$AC$434,DG$35-$AC$434+1,0)</f>
        <v>0</v>
      </c>
      <c r="DH436" s="237" t="n">
        <f aca="false">IF(DH$35&gt;=$AC$434,DH$35-$AC$434+1,0)</f>
        <v>0</v>
      </c>
      <c r="DI436" s="237" t="n">
        <f aca="false">IF(DI$35&gt;=$AC$434,DI$35-$AC$434+1,0)</f>
        <v>0</v>
      </c>
      <c r="DJ436" s="237" t="n">
        <f aca="false">IF(DJ$35&gt;=$AC$434,DJ$35-$AC$434+1,0)</f>
        <v>0</v>
      </c>
      <c r="DK436" s="237" t="n">
        <f aca="false">IF(DK$35&gt;=$AC$434,DK$35-$AC$434+1,0)</f>
        <v>0</v>
      </c>
      <c r="DL436" s="237" t="n">
        <f aca="false">IF(DL$35&gt;=$AC$434,DL$35-$AC$434+1,0)</f>
        <v>0</v>
      </c>
      <c r="DM436" s="237" t="n">
        <f aca="false">IF(DM$35&gt;=$AC$434,DM$35-$AC$434+1,0)</f>
        <v>0</v>
      </c>
      <c r="DN436" s="237" t="n">
        <f aca="false">IF(DN$35&gt;=$AC$434,DN$35-$AC$434+1,0)</f>
        <v>0</v>
      </c>
      <c r="DO436" s="237" t="n">
        <f aca="false">IF(DO$35&gt;=$AC$434,DO$35-$AC$434+1,0)</f>
        <v>0</v>
      </c>
      <c r="DP436" s="237" t="n">
        <f aca="false">IF(DP$35&gt;=$AC$434,DP$35-$AC$434+1,0)</f>
        <v>0</v>
      </c>
      <c r="DQ436" s="237" t="n">
        <f aca="false">IF(DQ$35&gt;=$AC$434,DQ$35-$AC$434+1,0)</f>
        <v>0</v>
      </c>
      <c r="DR436" s="237" t="n">
        <f aca="false">IF(DR$35&gt;=$AC$434,DR$35-$AC$434+1,0)</f>
        <v>0</v>
      </c>
      <c r="DS436" s="237" t="n">
        <f aca="false">IF(DS$35&gt;=$AC$434,DS$35-$AC$434+1,0)</f>
        <v>0</v>
      </c>
      <c r="DT436" s="237" t="n">
        <f aca="false">IF(DT$35&gt;=$AC$434,DT$35-$AC$434+1,0)</f>
        <v>0</v>
      </c>
      <c r="DU436" s="237" t="n">
        <f aca="false">IF(DU$35&gt;=$AC$434,DU$35-$AC$434+1,0)</f>
        <v>0</v>
      </c>
      <c r="DV436" s="237" t="n">
        <f aca="false">IF(DV$35&gt;=$AC$434,DV$35-$AC$434+1,0)</f>
        <v>0</v>
      </c>
      <c r="DW436" s="237" t="n">
        <f aca="false">IF(DW$35&gt;=$AC$434,DW$35-$AC$434+1,0)</f>
        <v>0</v>
      </c>
      <c r="DX436" s="237" t="n">
        <f aca="false">IF(DX$35&gt;=$AC$434,DX$35-$AC$434+1,0)</f>
        <v>0</v>
      </c>
      <c r="DY436" s="237" t="n">
        <f aca="false">IF(DY$35&gt;=$AC$434,DY$35-$AC$434+1,0)</f>
        <v>0</v>
      </c>
      <c r="DZ436" s="237" t="n">
        <f aca="false">IF(DZ$35&gt;=$AC$434,DZ$35-$AC$434+1,0)</f>
        <v>0</v>
      </c>
      <c r="EA436" s="237" t="n">
        <f aca="false">IF(EA$35&gt;=$AC$434,EA$35-$AC$434+1,0)</f>
        <v>0</v>
      </c>
      <c r="EB436" s="237" t="n">
        <f aca="false">IF(EB$35&gt;=$AC$434,EB$35-$AC$434+1,0)</f>
        <v>0</v>
      </c>
      <c r="EC436" s="237" t="n">
        <f aca="false">IF(EC$35&gt;=$AC$434,EC$35-$AC$434+1,0)</f>
        <v>0</v>
      </c>
      <c r="ED436" s="237" t="n">
        <f aca="false">IF(ED$35&gt;=$AC$434,ED$35-$AC$434+1,0)</f>
        <v>0</v>
      </c>
      <c r="EE436" s="237" t="n">
        <f aca="false">IF(EE$35&gt;=$AC$434,EE$35-$AC$434+1,0)</f>
        <v>0</v>
      </c>
      <c r="EF436" s="237" t="n">
        <f aca="false">IF(EF$35&gt;=$AC$434,EF$35-$AC$434+1,0)</f>
        <v>0</v>
      </c>
      <c r="EG436" s="237" t="n">
        <f aca="false">IF(EG$35&gt;=$AC$434,EG$35-$AC$434+1,0)</f>
        <v>0</v>
      </c>
      <c r="EH436" s="237" t="n">
        <f aca="false">IF(EH$35&gt;=$AC$434,EH$35-$AC$434+1,0)</f>
        <v>0</v>
      </c>
      <c r="EI436" s="237" t="n">
        <f aca="false">IF(EI$35&gt;=$AC$434,EI$35-$AC$434+1,0)</f>
        <v>0</v>
      </c>
      <c r="EJ436" s="237" t="n">
        <f aca="false">IF(EJ$35&gt;=$AC$434,EJ$35-$AC$434+1,0)</f>
        <v>0</v>
      </c>
      <c r="EK436" s="237" t="n">
        <f aca="false">IF(EK$35&gt;=$AC$434,EK$35-$AC$434+1,0)</f>
        <v>0</v>
      </c>
      <c r="EL436" s="237" t="n">
        <f aca="false">IF(EL$35&gt;=$AC$434,EL$35-$AC$434+1,0)</f>
        <v>0</v>
      </c>
      <c r="EM436" s="237" t="n">
        <f aca="false">IF(EM$35&gt;=$AC$434,EM$35-$AC$434+1,0)</f>
        <v>0</v>
      </c>
      <c r="EN436" s="237" t="n">
        <f aca="false">IF(EN$35&gt;=$AC$434,EN$35-$AC$434+1,0)</f>
        <v>1</v>
      </c>
      <c r="EO436" s="237" t="n">
        <f aca="false">IF(EO$35&gt;=$AC$434,EO$35-$AC$434+1,0)</f>
        <v>2</v>
      </c>
      <c r="EP436" s="237" t="n">
        <f aca="false">IF(EP$35&gt;=$AC$434,EP$35-$AC$434+1,0)</f>
        <v>3</v>
      </c>
      <c r="EQ436" s="237" t="n">
        <f aca="false">IF(EQ$35&gt;=$AC$434,EQ$35-$AC$434+1,0)</f>
        <v>4</v>
      </c>
      <c r="ER436" s="237" t="n">
        <f aca="false">IF(ER$35&gt;=$AC$434,ER$35-$AC$434+1,0)</f>
        <v>5</v>
      </c>
      <c r="ES436" s="9" t="n">
        <f aca="false">IF(ES$35&gt;=$AC$434,ES$35-$AC$434+1,0)</f>
        <v>6</v>
      </c>
      <c r="ET436" s="9" t="n">
        <f aca="false">IF(ET$35&gt;=$AC$434,ET$35-$AC$434+1,0)</f>
        <v>7</v>
      </c>
      <c r="EU436" s="9" t="n">
        <f aca="false">IF(EU$35&gt;=$AC$434,EU$35-$AC$434+1,0)</f>
        <v>8</v>
      </c>
      <c r="EV436" s="9" t="n">
        <f aca="false">IF(EV$35&gt;=$AC$434,EV$35-$AC$434+1,0)</f>
        <v>9</v>
      </c>
      <c r="EW436" s="9" t="n">
        <f aca="false">IF(EW$35&gt;=$AC$434,EW$35-$AC$434+1,0)</f>
        <v>10</v>
      </c>
      <c r="EX436" s="9" t="n">
        <f aca="false">IF(EX$35&gt;=$AC$434,EX$35-$AC$434+1,0)</f>
        <v>11</v>
      </c>
      <c r="EY436" s="9" t="n">
        <f aca="false">IF(EY$35&gt;=$AC$434,EY$35-$AC$434+1,0)</f>
        <v>12</v>
      </c>
      <c r="EZ436" s="9" t="n">
        <f aca="false">IF(EZ$35&gt;=$AC$434,EZ$35-$AC$434+1,0)</f>
        <v>13</v>
      </c>
      <c r="FA436" s="9" t="n">
        <f aca="false">IF(FA$35&gt;=$AC$434,FA$35-$AC$434+1,0)</f>
        <v>14</v>
      </c>
      <c r="FB436" s="9" t="n">
        <f aca="false">IF(FB$35&gt;=$AC$434,FB$35-$AC$434+1,0)</f>
        <v>15</v>
      </c>
      <c r="FC436" s="9" t="n">
        <f aca="false">IF(FC$35&gt;=$AC$434,FC$35-$AC$434+1,0)</f>
        <v>16</v>
      </c>
      <c r="FD436" s="9" t="n">
        <f aca="false">IF(FD$35&gt;=$AC$434,FD$35-$AC$434+1,0)</f>
        <v>17</v>
      </c>
      <c r="FE436" s="9" t="n">
        <f aca="false">IF(FE$35&gt;=$AC$434,FE$35-$AC$434+1,0)</f>
        <v>18</v>
      </c>
      <c r="FF436" s="9" t="n">
        <f aca="false">IF(FF$35&gt;=$AC$434,FF$35-$AC$434+1,0)</f>
        <v>19</v>
      </c>
      <c r="FG436" s="9" t="n">
        <f aca="false">IF(FG$35&gt;=$AC$434,FG$35-$AC$434+1,0)</f>
        <v>20</v>
      </c>
      <c r="FH436" s="9" t="n">
        <f aca="false">IF(FH$35&gt;=$AC$434,FH$35-$AC$434+1,0)</f>
        <v>21</v>
      </c>
      <c r="FI436" s="9" t="n">
        <f aca="false">IF(FI$35&gt;=$AC$434,FI$35-$AC$434+1,0)</f>
        <v>22</v>
      </c>
      <c r="FJ436" s="9" t="n">
        <f aca="false">IF(FJ$35&gt;=$AC$434,FJ$35-$AC$434+1,0)</f>
        <v>23</v>
      </c>
      <c r="FK436" s="9" t="n">
        <f aca="false">IF(FK$35&gt;=$AC$434,FK$35-$AC$434+1,0)</f>
        <v>24</v>
      </c>
      <c r="FL436" s="9" t="n">
        <f aca="false">IF(FL$35&gt;=$AC$434,FL$35-$AC$434+1,0)</f>
        <v>25</v>
      </c>
      <c r="FM436" s="9" t="n">
        <f aca="false">IF(FM$35&gt;=$AC$434,FM$35-$AC$434+1,0)</f>
        <v>26</v>
      </c>
      <c r="FN436" s="9" t="n">
        <f aca="false">IF(FN$35&gt;=$AC$434,FN$35-$AC$434+1,0)</f>
        <v>27</v>
      </c>
      <c r="FO436" s="9" t="n">
        <f aca="false">IF(FO$35&gt;=$AC$434,FO$35-$AC$434+1,0)</f>
        <v>28</v>
      </c>
      <c r="FP436" s="9" t="n">
        <f aca="false">IF(FP$35&gt;=$AC$434,FP$35-$AC$434+1,0)</f>
        <v>29</v>
      </c>
    </row>
    <row r="437" customFormat="false" ht="15" hidden="false" customHeight="false" outlineLevel="2" collapsed="false">
      <c r="B437" s="47" t="s">
        <v>874</v>
      </c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237" t="n">
        <f aca="false" t="array" ref="AC437:AC437">IF(AC436=0,0,IF(AC436/'🎚️ Escenario'!$C$11&gt;=36,$AL$23,INDEX($C$23:$AL$23,MAX(1,ROUNDUP(AC436/'🎚️ Escenario'!$C$11,0)))))</f>
        <v>0</v>
      </c>
      <c r="AD437" s="237" t="n">
        <f aca="false" t="array" ref="AD437:AD437">IF(AD436=0,0,IF(AD436/'🎚️ Escenario'!$C$11&gt;=36,$AL$23,INDEX($C$23:$AL$23,MAX(1,ROUNDUP(AD436/'🎚️ Escenario'!$C$11,0)))))</f>
        <v>0</v>
      </c>
      <c r="AE437" s="237" t="n">
        <f aca="false" t="array" ref="AE437:AE437">IF(AE436=0,0,IF(AE436/'🎚️ Escenario'!$C$11&gt;=36,$AL$23,INDEX($C$23:$AL$23,MAX(1,ROUNDUP(AE436/'🎚️ Escenario'!$C$11,0)))))</f>
        <v>0</v>
      </c>
      <c r="AF437" s="237" t="n">
        <f aca="false" t="array" ref="AF437:AF437">IF(AF436=0,0,IF(AF436/'🎚️ Escenario'!$C$11&gt;=36,$AL$23,INDEX($C$23:$AL$23,MAX(1,ROUNDUP(AF436/'🎚️ Escenario'!$C$11,0)))))</f>
        <v>0</v>
      </c>
      <c r="AG437" s="237" t="n">
        <f aca="false" t="array" ref="AG437:AG437">IF(AG436=0,0,IF(AG436/'🎚️ Escenario'!$C$11&gt;=36,$AL$23,INDEX($C$23:$AL$23,MAX(1,ROUNDUP(AG436/'🎚️ Escenario'!$C$11,0)))))</f>
        <v>0</v>
      </c>
      <c r="AH437" s="237" t="n">
        <f aca="false" t="array" ref="AH437:AH437">IF(AH436=0,0,IF(AH436/'🎚️ Escenario'!$C$11&gt;=36,$AL$23,INDEX($C$23:$AL$23,MAX(1,ROUNDUP(AH436/'🎚️ Escenario'!$C$11,0)))))</f>
        <v>0</v>
      </c>
      <c r="AI437" s="237" t="n">
        <f aca="false" t="array" ref="AI437:AI437">IF(AI436=0,0,IF(AI436/'🎚️ Escenario'!$C$11&gt;=36,$AL$23,INDEX($C$23:$AL$23,MAX(1,ROUNDUP(AI436/'🎚️ Escenario'!$C$11,0)))))</f>
        <v>0</v>
      </c>
      <c r="AJ437" s="237" t="n">
        <f aca="false" t="array" ref="AJ437:AJ437">IF(AJ436=0,0,IF(AJ436/'🎚️ Escenario'!$C$11&gt;=36,$AL$23,INDEX($C$23:$AL$23,MAX(1,ROUNDUP(AJ436/'🎚️ Escenario'!$C$11,0)))))</f>
        <v>0</v>
      </c>
      <c r="AK437" s="237" t="n">
        <f aca="false" t="array" ref="AK437:AK437">IF(AK436=0,0,IF(AK436/'🎚️ Escenario'!$C$11&gt;=36,$AL$23,INDEX($C$23:$AL$23,MAX(1,ROUNDUP(AK436/'🎚️ Escenario'!$C$11,0)))))</f>
        <v>0</v>
      </c>
      <c r="AL437" s="237" t="n">
        <f aca="false" t="array" ref="AL437:AL437">IF(AL436=0,0,IF(AL436/'🎚️ Escenario'!$C$11&gt;=36,$AL$23,INDEX($C$23:$AL$23,MAX(1,ROUNDUP(AL436/'🎚️ Escenario'!$C$11,0)))))</f>
        <v>0</v>
      </c>
      <c r="AM437" s="237" t="n">
        <f aca="false" t="array" ref="AM437:AM437">IF(AM436=0,0,IF(AM436/'🎚️ Escenario'!$C$11&gt;=36,$AL$23,INDEX($C$23:$AL$23,MAX(1,ROUNDUP(AM436/'🎚️ Escenario'!$C$11,0)))))</f>
        <v>0</v>
      </c>
      <c r="AN437" s="237" t="n">
        <f aca="false" t="array" ref="AN437:AN437">IF(AN436=0,0,IF(AN436/'🎚️ Escenario'!$C$11&gt;=36,$AL$23,INDEX($C$23:$AL$23,MAX(1,ROUNDUP(AN436/'🎚️ Escenario'!$C$11,0)))))</f>
        <v>0</v>
      </c>
      <c r="AO437" s="237" t="n">
        <f aca="false" t="array" ref="AO437:AO437">IF(AO436=0,0,IF(AO436/'🎚️ Escenario'!$C$11&gt;=36,$AL$23,INDEX($C$23:$AL$23,MAX(1,ROUNDUP(AO436/'🎚️ Escenario'!$C$11,0)))))</f>
        <v>0</v>
      </c>
      <c r="AP437" s="237" t="n">
        <f aca="false" t="array" ref="AP437:AP437">IF(AP436=0,0,IF(AP436/'🎚️ Escenario'!$C$11&gt;=36,$AL$23,INDEX($C$23:$AL$23,MAX(1,ROUNDUP(AP436/'🎚️ Escenario'!$C$11,0)))))</f>
        <v>0</v>
      </c>
      <c r="AQ437" s="237" t="n">
        <f aca="false" t="array" ref="AQ437:AQ437">IF(AQ436=0,0,IF(AQ436/'🎚️ Escenario'!$C$11&gt;=36,$AL$23,INDEX($C$23:$AL$23,MAX(1,ROUNDUP(AQ436/'🎚️ Escenario'!$C$11,0)))))</f>
        <v>0</v>
      </c>
      <c r="AR437" s="237" t="n">
        <f aca="false" t="array" ref="AR437:AR437">IF(AR436=0,0,IF(AR436/'🎚️ Escenario'!$C$11&gt;=36,$AL$23,INDEX($C$23:$AL$23,MAX(1,ROUNDUP(AR436/'🎚️ Escenario'!$C$11,0)))))</f>
        <v>0</v>
      </c>
      <c r="AS437" s="237" t="n">
        <f aca="false" t="array" ref="AS437:AS437">IF(AS436=0,0,IF(AS436/'🎚️ Escenario'!$C$11&gt;=36,$AL$23,INDEX($C$23:$AL$23,MAX(1,ROUNDUP(AS436/'🎚️ Escenario'!$C$11,0)))))</f>
        <v>0</v>
      </c>
      <c r="AT437" s="237" t="n">
        <f aca="false" t="array" ref="AT437:AT437">IF(AT436=0,0,IF(AT436/'🎚️ Escenario'!$C$11&gt;=36,$AL$23,INDEX($C$23:$AL$23,MAX(1,ROUNDUP(AT436/'🎚️ Escenario'!$C$11,0)))))</f>
        <v>0</v>
      </c>
      <c r="AU437" s="237" t="n">
        <f aca="false" t="array" ref="AU437:AU437">IF(AU436=0,0,IF(AU436/'🎚️ Escenario'!$C$11&gt;=36,$AL$23,INDEX($C$23:$AL$23,MAX(1,ROUNDUP(AU436/'🎚️ Escenario'!$C$11,0)))))</f>
        <v>0</v>
      </c>
      <c r="AV437" s="237" t="n">
        <f aca="false" t="array" ref="AV437:AV437">IF(AV436=0,0,IF(AV436/'🎚️ Escenario'!$C$11&gt;=36,$AL$23,INDEX($C$23:$AL$23,MAX(1,ROUNDUP(AV436/'🎚️ Escenario'!$C$11,0)))))</f>
        <v>0</v>
      </c>
      <c r="AW437" s="237" t="n">
        <f aca="false" t="array" ref="AW437:AW437">IF(AW436=0,0,IF(AW436/'🎚️ Escenario'!$C$11&gt;=36,$AL$23,INDEX($C$23:$AL$23,MAX(1,ROUNDUP(AW436/'🎚️ Escenario'!$C$11,0)))))</f>
        <v>0</v>
      </c>
      <c r="AX437" s="237" t="n">
        <f aca="false" t="array" ref="AX437:AX437">IF(AX436=0,0,IF(AX436/'🎚️ Escenario'!$C$11&gt;=36,$AL$23,INDEX($C$23:$AL$23,MAX(1,ROUNDUP(AX436/'🎚️ Escenario'!$C$11,0)))))</f>
        <v>0</v>
      </c>
      <c r="AY437" s="237" t="n">
        <f aca="false" t="array" ref="AY437:AY437">IF(AY436=0,0,IF(AY436/'🎚️ Escenario'!$C$11&gt;=36,$AL$23,INDEX($C$23:$AL$23,MAX(1,ROUNDUP(AY436/'🎚️ Escenario'!$C$11,0)))))</f>
        <v>0</v>
      </c>
      <c r="AZ437" s="237" t="n">
        <f aca="false" t="array" ref="AZ437:AZ437">IF(AZ436=0,0,IF(AZ436/'🎚️ Escenario'!$C$11&gt;=36,$AL$23,INDEX($C$23:$AL$23,MAX(1,ROUNDUP(AZ436/'🎚️ Escenario'!$C$11,0)))))</f>
        <v>0</v>
      </c>
      <c r="BA437" s="237" t="n">
        <f aca="false" t="array" ref="BA437:BA437">IF(BA436=0,0,IF(BA436/'🎚️ Escenario'!$C$11&gt;=36,$AL$23,INDEX($C$23:$AL$23,MAX(1,ROUNDUP(BA436/'🎚️ Escenario'!$C$11,0)))))</f>
        <v>0</v>
      </c>
      <c r="BB437" s="237" t="n">
        <f aca="false" t="array" ref="BB437:BB437">IF(BB436=0,0,IF(BB436/'🎚️ Escenario'!$C$11&gt;=36,$AL$23,INDEX($C$23:$AL$23,MAX(1,ROUNDUP(BB436/'🎚️ Escenario'!$C$11,0)))))</f>
        <v>0</v>
      </c>
      <c r="BC437" s="237" t="n">
        <f aca="false" t="array" ref="BC437:BC437">IF(BC436=0,0,IF(BC436/'🎚️ Escenario'!$C$11&gt;=36,$AL$23,INDEX($C$23:$AL$23,MAX(1,ROUNDUP(BC436/'🎚️ Escenario'!$C$11,0)))))</f>
        <v>0</v>
      </c>
      <c r="BD437" s="237" t="n">
        <f aca="false" t="array" ref="BD437:BD437">IF(BD436=0,0,IF(BD436/'🎚️ Escenario'!$C$11&gt;=36,$AL$23,INDEX($C$23:$AL$23,MAX(1,ROUNDUP(BD436/'🎚️ Escenario'!$C$11,0)))))</f>
        <v>0</v>
      </c>
      <c r="BE437" s="237" t="n">
        <f aca="false" t="array" ref="BE437:BE437">IF(BE436=0,0,IF(BE436/'🎚️ Escenario'!$C$11&gt;=36,$AL$23,INDEX($C$23:$AL$23,MAX(1,ROUNDUP(BE436/'🎚️ Escenario'!$C$11,0)))))</f>
        <v>0</v>
      </c>
      <c r="BF437" s="237" t="n">
        <f aca="false" t="array" ref="BF437:BF437">IF(BF436=0,0,IF(BF436/'🎚️ Escenario'!$C$11&gt;=36,$AL$23,INDEX($C$23:$AL$23,MAX(1,ROUNDUP(BF436/'🎚️ Escenario'!$C$11,0)))))</f>
        <v>0</v>
      </c>
      <c r="BG437" s="237" t="n">
        <f aca="false" t="array" ref="BG437:BG437">IF(BG436=0,0,IF(BG436/'🎚️ Escenario'!$C$11&gt;=36,$AL$23,INDEX($C$23:$AL$23,MAX(1,ROUNDUP(BG436/'🎚️ Escenario'!$C$11,0)))))</f>
        <v>0</v>
      </c>
      <c r="BH437" s="237" t="n">
        <f aca="false" t="array" ref="BH437:BH437">IF(BH436=0,0,IF(BH436/'🎚️ Escenario'!$C$11&gt;=36,$AL$23,INDEX($C$23:$AL$23,MAX(1,ROUNDUP(BH436/'🎚️ Escenario'!$C$11,0)))))</f>
        <v>0</v>
      </c>
      <c r="BI437" s="237" t="n">
        <f aca="false" t="array" ref="BI437:BI437">IF(BI436=0,0,IF(BI436/'🎚️ Escenario'!$C$11&gt;=36,$AL$23,INDEX($C$23:$AL$23,MAX(1,ROUNDUP(BI436/'🎚️ Escenario'!$C$11,0)))))</f>
        <v>0</v>
      </c>
      <c r="BJ437" s="237" t="n">
        <f aca="false" t="array" ref="BJ437:BJ437">IF(BJ436=0,0,IF(BJ436/'🎚️ Escenario'!$C$11&gt;=36,$AL$23,INDEX($C$23:$AL$23,MAX(1,ROUNDUP(BJ436/'🎚️ Escenario'!$C$11,0)))))</f>
        <v>0</v>
      </c>
      <c r="BK437" s="237" t="n">
        <f aca="false" t="array" ref="BK437:BK437">IF(BK436=0,0,IF(BK436/'🎚️ Escenario'!$C$11&gt;=36,$AL$23,INDEX($C$23:$AL$23,MAX(1,ROUNDUP(BK436/'🎚️ Escenario'!$C$11,0)))))</f>
        <v>0</v>
      </c>
      <c r="BL437" s="237" t="n">
        <f aca="false" t="array" ref="BL437:BL437">IF(BL436=0,0,IF(BL436/'🎚️ Escenario'!$C$11&gt;=36,$AL$23,INDEX($C$23:$AL$23,MAX(1,ROUNDUP(BL436/'🎚️ Escenario'!$C$11,0)))))</f>
        <v>0</v>
      </c>
      <c r="BM437" s="237" t="n">
        <f aca="false" t="array" ref="BM437:BM437">IF(BM436=0,0,IF(BM436/'🎚️ Escenario'!$C$11&gt;=36,$AL$23,INDEX($C$23:$AL$23,MAX(1,ROUNDUP(BM436/'🎚️ Escenario'!$C$11,0)))))</f>
        <v>0</v>
      </c>
      <c r="BN437" s="237" t="n">
        <f aca="false" t="array" ref="BN437:BN437">IF(BN436=0,0,IF(BN436/'🎚️ Escenario'!$C$11&gt;=36,$AL$23,INDEX($C$23:$AL$23,MAX(1,ROUNDUP(BN436/'🎚️ Escenario'!$C$11,0)))))</f>
        <v>0</v>
      </c>
      <c r="BO437" s="237" t="n">
        <f aca="false" t="array" ref="BO437:BO437">IF(BO436=0,0,IF(BO436/'🎚️ Escenario'!$C$11&gt;=36,$AL$23,INDEX($C$23:$AL$23,MAX(1,ROUNDUP(BO436/'🎚️ Escenario'!$C$11,0)))))</f>
        <v>0</v>
      </c>
      <c r="BP437" s="237" t="n">
        <f aca="false" t="array" ref="BP437:BP437">IF(BP436=0,0,IF(BP436/'🎚️ Escenario'!$C$11&gt;=36,$AL$23,INDEX($C$23:$AL$23,MAX(1,ROUNDUP(BP436/'🎚️ Escenario'!$C$11,0)))))</f>
        <v>0</v>
      </c>
      <c r="BQ437" s="237" t="n">
        <f aca="false" t="array" ref="BQ437:BQ437">IF(BQ436=0,0,IF(BQ436/'🎚️ Escenario'!$C$11&gt;=36,$AL$23,INDEX($C$23:$AL$23,MAX(1,ROUNDUP(BQ436/'🎚️ Escenario'!$C$11,0)))))</f>
        <v>0</v>
      </c>
      <c r="BR437" s="237" t="n">
        <f aca="false" t="array" ref="BR437:BR437">IF(BR436=0,0,IF(BR436/'🎚️ Escenario'!$C$11&gt;=36,$AL$23,INDEX($C$23:$AL$23,MAX(1,ROUNDUP(BR436/'🎚️ Escenario'!$C$11,0)))))</f>
        <v>0</v>
      </c>
      <c r="BS437" s="237" t="n">
        <f aca="false" t="array" ref="BS437:BS437">IF(BS436=0,0,IF(BS436/'🎚️ Escenario'!$C$11&gt;=36,$AL$23,INDEX($C$23:$AL$23,MAX(1,ROUNDUP(BS436/'🎚️ Escenario'!$C$11,0)))))</f>
        <v>0</v>
      </c>
      <c r="BT437" s="237" t="n">
        <f aca="false" t="array" ref="BT437:BT437">IF(BT436=0,0,IF(BT436/'🎚️ Escenario'!$C$11&gt;=36,$AL$23,INDEX($C$23:$AL$23,MAX(1,ROUNDUP(BT436/'🎚️ Escenario'!$C$11,0)))))</f>
        <v>0</v>
      </c>
      <c r="BU437" s="237" t="n">
        <f aca="false" t="array" ref="BU437:BU437">IF(BU436=0,0,IF(BU436/'🎚️ Escenario'!$C$11&gt;=36,$AL$23,INDEX($C$23:$AL$23,MAX(1,ROUNDUP(BU436/'🎚️ Escenario'!$C$11,0)))))</f>
        <v>0</v>
      </c>
      <c r="BV437" s="237" t="n">
        <f aca="false" t="array" ref="BV437:BV437">IF(BV436=0,0,IF(BV436/'🎚️ Escenario'!$C$11&gt;=36,$AL$23,INDEX($C$23:$AL$23,MAX(1,ROUNDUP(BV436/'🎚️ Escenario'!$C$11,0)))))</f>
        <v>0</v>
      </c>
      <c r="BW437" s="237" t="n">
        <f aca="false" t="array" ref="BW437:BW437">IF(BW436=0,0,IF(BW436/'🎚️ Escenario'!$C$11&gt;=36,$AL$23,INDEX($C$23:$AL$23,MAX(1,ROUNDUP(BW436/'🎚️ Escenario'!$C$11,0)))))</f>
        <v>0</v>
      </c>
      <c r="BX437" s="237" t="n">
        <f aca="false" t="array" ref="BX437:BX437">IF(BX436=0,0,IF(BX436/'🎚️ Escenario'!$C$11&gt;=36,$AL$23,INDEX($C$23:$AL$23,MAX(1,ROUNDUP(BX436/'🎚️ Escenario'!$C$11,0)))))</f>
        <v>0</v>
      </c>
      <c r="BY437" s="237" t="n">
        <f aca="false" t="array" ref="BY437:BY437">IF(BY436=0,0,IF(BY436/'🎚️ Escenario'!$C$11&gt;=36,$AL$23,INDEX($C$23:$AL$23,MAX(1,ROUNDUP(BY436/'🎚️ Escenario'!$C$11,0)))))</f>
        <v>0</v>
      </c>
      <c r="BZ437" s="237" t="n">
        <f aca="false" t="array" ref="BZ437:BZ437">IF(BZ436=0,0,IF(BZ436/'🎚️ Escenario'!$C$11&gt;=36,$AL$23,INDEX($C$23:$AL$23,MAX(1,ROUNDUP(BZ436/'🎚️ Escenario'!$C$11,0)))))</f>
        <v>0</v>
      </c>
      <c r="CA437" s="237" t="n">
        <f aca="false" t="array" ref="CA437:CA437">IF(CA436=0,0,IF(CA436/'🎚️ Escenario'!$C$11&gt;=36,$AL$23,INDEX($C$23:$AL$23,MAX(1,ROUNDUP(CA436/'🎚️ Escenario'!$C$11,0)))))</f>
        <v>0</v>
      </c>
      <c r="CB437" s="237" t="n">
        <f aca="false" t="array" ref="CB437:CB437">IF(CB436=0,0,IF(CB436/'🎚️ Escenario'!$C$11&gt;=36,$AL$23,INDEX($C$23:$AL$23,MAX(1,ROUNDUP(CB436/'🎚️ Escenario'!$C$11,0)))))</f>
        <v>0</v>
      </c>
      <c r="CC437" s="237" t="n">
        <f aca="false" t="array" ref="CC437:CC437">IF(CC436=0,0,IF(CC436/'🎚️ Escenario'!$C$11&gt;=36,$AL$23,INDEX($C$23:$AL$23,MAX(1,ROUNDUP(CC436/'🎚️ Escenario'!$C$11,0)))))</f>
        <v>0</v>
      </c>
      <c r="CD437" s="237" t="n">
        <f aca="false" t="array" ref="CD437:CD437">IF(CD436=0,0,IF(CD436/'🎚️ Escenario'!$C$11&gt;=36,$AL$23,INDEX($C$23:$AL$23,MAX(1,ROUNDUP(CD436/'🎚️ Escenario'!$C$11,0)))))</f>
        <v>0</v>
      </c>
      <c r="CE437" s="237" t="n">
        <f aca="false" t="array" ref="CE437:CE437">IF(CE436=0,0,IF(CE436/'🎚️ Escenario'!$C$11&gt;=36,$AL$23,INDEX($C$23:$AL$23,MAX(1,ROUNDUP(CE436/'🎚️ Escenario'!$C$11,0)))))</f>
        <v>0</v>
      </c>
      <c r="CF437" s="237" t="n">
        <f aca="false" t="array" ref="CF437:CF437">IF(CF436=0,0,IF(CF436/'🎚️ Escenario'!$C$11&gt;=36,$AL$23,INDEX($C$23:$AL$23,MAX(1,ROUNDUP(CF436/'🎚️ Escenario'!$C$11,0)))))</f>
        <v>0</v>
      </c>
      <c r="CG437" s="237" t="n">
        <f aca="false" t="array" ref="CG437:CG437">IF(CG436=0,0,IF(CG436/'🎚️ Escenario'!$C$11&gt;=36,$AL$23,INDEX($C$23:$AL$23,MAX(1,ROUNDUP(CG436/'🎚️ Escenario'!$C$11,0)))))</f>
        <v>0</v>
      </c>
      <c r="CH437" s="237" t="n">
        <f aca="false" t="array" ref="CH437:CH437">IF(CH436=0,0,IF(CH436/'🎚️ Escenario'!$C$11&gt;=36,$AL$23,INDEX($C$23:$AL$23,MAX(1,ROUNDUP(CH436/'🎚️ Escenario'!$C$11,0)))))</f>
        <v>0</v>
      </c>
      <c r="CI437" s="237" t="n">
        <f aca="false" t="array" ref="CI437:CI437">IF(CI436=0,0,IF(CI436/'🎚️ Escenario'!$C$11&gt;=36,$AL$23,INDEX($C$23:$AL$23,MAX(1,ROUNDUP(CI436/'🎚️ Escenario'!$C$11,0)))))</f>
        <v>0</v>
      </c>
      <c r="CJ437" s="237" t="n">
        <f aca="false" t="array" ref="CJ437:CJ437">IF(CJ436=0,0,IF(CJ436/'🎚️ Escenario'!$C$11&gt;=36,$AL$23,INDEX($C$23:$AL$23,MAX(1,ROUNDUP(CJ436/'🎚️ Escenario'!$C$11,0)))))</f>
        <v>0</v>
      </c>
      <c r="CK437" s="237" t="n">
        <f aca="false" t="array" ref="CK437:CK437">IF(CK436=0,0,IF(CK436/'🎚️ Escenario'!$C$11&gt;=36,$AL$23,INDEX($C$23:$AL$23,MAX(1,ROUNDUP(CK436/'🎚️ Escenario'!$C$11,0)))))</f>
        <v>0</v>
      </c>
      <c r="CL437" s="237" t="n">
        <f aca="false" t="array" ref="CL437:CL437">IF(CL436=0,0,IF(CL436/'🎚️ Escenario'!$C$11&gt;=36,$AL$23,INDEX($C$23:$AL$23,MAX(1,ROUNDUP(CL436/'🎚️ Escenario'!$C$11,0)))))</f>
        <v>0</v>
      </c>
      <c r="CM437" s="237" t="n">
        <f aca="false" t="array" ref="CM437:CM437">IF(CM436=0,0,IF(CM436/'🎚️ Escenario'!$C$11&gt;=36,$AL$23,INDEX($C$23:$AL$23,MAX(1,ROUNDUP(CM436/'🎚️ Escenario'!$C$11,0)))))</f>
        <v>0</v>
      </c>
      <c r="CN437" s="237" t="n">
        <f aca="false" t="array" ref="CN437:CN437">IF(CN436=0,0,IF(CN436/'🎚️ Escenario'!$C$11&gt;=36,$AL$23,INDEX($C$23:$AL$23,MAX(1,ROUNDUP(CN436/'🎚️ Escenario'!$C$11,0)))))</f>
        <v>0</v>
      </c>
      <c r="CO437" s="237" t="n">
        <f aca="false" t="array" ref="CO437:CO437">IF(CO436=0,0,IF(CO436/'🎚️ Escenario'!$C$11&gt;=36,$AL$23,INDEX($C$23:$AL$23,MAX(1,ROUNDUP(CO436/'🎚️ Escenario'!$C$11,0)))))</f>
        <v>0</v>
      </c>
      <c r="CP437" s="237" t="n">
        <f aca="false" t="array" ref="CP437:CP437">IF(CP436=0,0,IF(CP436/'🎚️ Escenario'!$C$11&gt;=36,$AL$23,INDEX($C$23:$AL$23,MAX(1,ROUNDUP(CP436/'🎚️ Escenario'!$C$11,0)))))</f>
        <v>0</v>
      </c>
      <c r="CQ437" s="237" t="n">
        <f aca="false" t="array" ref="CQ437:CQ437">IF(CQ436=0,0,IF(CQ436/'🎚️ Escenario'!$C$11&gt;=36,$AL$23,INDEX($C$23:$AL$23,MAX(1,ROUNDUP(CQ436/'🎚️ Escenario'!$C$11,0)))))</f>
        <v>0</v>
      </c>
      <c r="CR437" s="237" t="n">
        <f aca="false" t="array" ref="CR437:CR437">IF(CR436=0,0,IF(CR436/'🎚️ Escenario'!$C$11&gt;=36,$AL$23,INDEX($C$23:$AL$23,MAX(1,ROUNDUP(CR436/'🎚️ Escenario'!$C$11,0)))))</f>
        <v>0</v>
      </c>
      <c r="CS437" s="237" t="n">
        <f aca="false" t="array" ref="CS437:CS437">IF(CS436=0,0,IF(CS436/'🎚️ Escenario'!$C$11&gt;=36,$AL$23,INDEX($C$23:$AL$23,MAX(1,ROUNDUP(CS436/'🎚️ Escenario'!$C$11,0)))))</f>
        <v>0</v>
      </c>
      <c r="CT437" s="237" t="n">
        <f aca="false" t="array" ref="CT437:CT437">IF(CT436=0,0,IF(CT436/'🎚️ Escenario'!$C$11&gt;=36,$AL$23,INDEX($C$23:$AL$23,MAX(1,ROUNDUP(CT436/'🎚️ Escenario'!$C$11,0)))))</f>
        <v>0</v>
      </c>
      <c r="CU437" s="237" t="n">
        <f aca="false" t="array" ref="CU437:CU437">IF(CU436=0,0,IF(CU436/'🎚️ Escenario'!$C$11&gt;=36,$AL$23,INDEX($C$23:$AL$23,MAX(1,ROUNDUP(CU436/'🎚️ Escenario'!$C$11,0)))))</f>
        <v>0</v>
      </c>
      <c r="CV437" s="237" t="n">
        <f aca="false" t="array" ref="CV437:CV437">IF(CV436=0,0,IF(CV436/'🎚️ Escenario'!$C$11&gt;=36,$AL$23,INDEX($C$23:$AL$23,MAX(1,ROUNDUP(CV436/'🎚️ Escenario'!$C$11,0)))))</f>
        <v>0</v>
      </c>
      <c r="CW437" s="237" t="n">
        <f aca="false" t="array" ref="CW437:CW437">IF(CW436=0,0,IF(CW436/'🎚️ Escenario'!$C$11&gt;=36,$AL$23,INDEX($C$23:$AL$23,MAX(1,ROUNDUP(CW436/'🎚️ Escenario'!$C$11,0)))))</f>
        <v>0</v>
      </c>
      <c r="CX437" s="237" t="n">
        <f aca="false" t="array" ref="CX437:CX437">IF(CX436=0,0,IF(CX436/'🎚️ Escenario'!$C$11&gt;=36,$AL$23,INDEX($C$23:$AL$23,MAX(1,ROUNDUP(CX436/'🎚️ Escenario'!$C$11,0)))))</f>
        <v>0</v>
      </c>
      <c r="CY437" s="237" t="n">
        <f aca="false" t="array" ref="CY437:CY437">IF(CY436=0,0,IF(CY436/'🎚️ Escenario'!$C$11&gt;=36,$AL$23,INDEX($C$23:$AL$23,MAX(1,ROUNDUP(CY436/'🎚️ Escenario'!$C$11,0)))))</f>
        <v>0</v>
      </c>
      <c r="CZ437" s="237" t="n">
        <f aca="false" t="array" ref="CZ437:CZ437">IF(CZ436=0,0,IF(CZ436/'🎚️ Escenario'!$C$11&gt;=36,$AL$23,INDEX($C$23:$AL$23,MAX(1,ROUNDUP(CZ436/'🎚️ Escenario'!$C$11,0)))))</f>
        <v>0</v>
      </c>
      <c r="DA437" s="237" t="n">
        <f aca="false" t="array" ref="DA437:DA437">IF(DA436=0,0,IF(DA436/'🎚️ Escenario'!$C$11&gt;=36,$AL$23,INDEX($C$23:$AL$23,MAX(1,ROUNDUP(DA436/'🎚️ Escenario'!$C$11,0)))))</f>
        <v>0</v>
      </c>
      <c r="DB437" s="237" t="n">
        <f aca="false" t="array" ref="DB437:DB437">IF(DB436=0,0,IF(DB436/'🎚️ Escenario'!$C$11&gt;=36,$AL$23,INDEX($C$23:$AL$23,MAX(1,ROUNDUP(DB436/'🎚️ Escenario'!$C$11,0)))))</f>
        <v>0</v>
      </c>
      <c r="DC437" s="237" t="n">
        <f aca="false" t="array" ref="DC437:DC437">IF(DC436=0,0,IF(DC436/'🎚️ Escenario'!$C$11&gt;=36,$AL$23,INDEX($C$23:$AL$23,MAX(1,ROUNDUP(DC436/'🎚️ Escenario'!$C$11,0)))))</f>
        <v>0</v>
      </c>
      <c r="DD437" s="237" t="n">
        <f aca="false" t="array" ref="DD437:DD437">IF(DD436=0,0,IF(DD436/'🎚️ Escenario'!$C$11&gt;=36,$AL$23,INDEX($C$23:$AL$23,MAX(1,ROUNDUP(DD436/'🎚️ Escenario'!$C$11,0)))))</f>
        <v>0</v>
      </c>
      <c r="DE437" s="237" t="n">
        <f aca="false" t="array" ref="DE437:DE437">IF(DE436=0,0,IF(DE436/'🎚️ Escenario'!$C$11&gt;=36,$AL$23,INDEX($C$23:$AL$23,MAX(1,ROUNDUP(DE436/'🎚️ Escenario'!$C$11,0)))))</f>
        <v>0</v>
      </c>
      <c r="DF437" s="237" t="n">
        <f aca="false" t="array" ref="DF437:DF437">IF(DF436=0,0,IF(DF436/'🎚️ Escenario'!$C$11&gt;=36,$AL$23,INDEX($C$23:$AL$23,MAX(1,ROUNDUP(DF436/'🎚️ Escenario'!$C$11,0)))))</f>
        <v>0</v>
      </c>
      <c r="DG437" s="237" t="n">
        <f aca="false" t="array" ref="DG437:DG437">IF(DG436=0,0,IF(DG436/'🎚️ Escenario'!$C$11&gt;=36,$AL$23,INDEX($C$23:$AL$23,MAX(1,ROUNDUP(DG436/'🎚️ Escenario'!$C$11,0)))))</f>
        <v>0</v>
      </c>
      <c r="DH437" s="237" t="n">
        <f aca="false" t="array" ref="DH437:DH437">IF(DH436=0,0,IF(DH436/'🎚️ Escenario'!$C$11&gt;=36,$AL$23,INDEX($C$23:$AL$23,MAX(1,ROUNDUP(DH436/'🎚️ Escenario'!$C$11,0)))))</f>
        <v>0</v>
      </c>
      <c r="DI437" s="237" t="n">
        <f aca="false" t="array" ref="DI437:DI437">IF(DI436=0,0,IF(DI436/'🎚️ Escenario'!$C$11&gt;=36,$AL$23,INDEX($C$23:$AL$23,MAX(1,ROUNDUP(DI436/'🎚️ Escenario'!$C$11,0)))))</f>
        <v>0</v>
      </c>
      <c r="DJ437" s="237" t="n">
        <f aca="false" t="array" ref="DJ437:DJ437">IF(DJ436=0,0,IF(DJ436/'🎚️ Escenario'!$C$11&gt;=36,$AL$23,INDEX($C$23:$AL$23,MAX(1,ROUNDUP(DJ436/'🎚️ Escenario'!$C$11,0)))))</f>
        <v>0</v>
      </c>
      <c r="DK437" s="237" t="n">
        <f aca="false" t="array" ref="DK437:DK437">IF(DK436=0,0,IF(DK436/'🎚️ Escenario'!$C$11&gt;=36,$AL$23,INDEX($C$23:$AL$23,MAX(1,ROUNDUP(DK436/'🎚️ Escenario'!$C$11,0)))))</f>
        <v>0</v>
      </c>
      <c r="DL437" s="237" t="n">
        <f aca="false" t="array" ref="DL437:DL437">IF(DL436=0,0,IF(DL436/'🎚️ Escenario'!$C$11&gt;=36,$AL$23,INDEX($C$23:$AL$23,MAX(1,ROUNDUP(DL436/'🎚️ Escenario'!$C$11,0)))))</f>
        <v>0</v>
      </c>
      <c r="DM437" s="237" t="n">
        <f aca="false" t="array" ref="DM437:DM437">IF(DM436=0,0,IF(DM436/'🎚️ Escenario'!$C$11&gt;=36,$AL$23,INDEX($C$23:$AL$23,MAX(1,ROUNDUP(DM436/'🎚️ Escenario'!$C$11,0)))))</f>
        <v>0</v>
      </c>
      <c r="DN437" s="237" t="n">
        <f aca="false" t="array" ref="DN437:DN437">IF(DN436=0,0,IF(DN436/'🎚️ Escenario'!$C$11&gt;=36,$AL$23,INDEX($C$23:$AL$23,MAX(1,ROUNDUP(DN436/'🎚️ Escenario'!$C$11,0)))))</f>
        <v>0</v>
      </c>
      <c r="DO437" s="237" t="n">
        <f aca="false" t="array" ref="DO437:DO437">IF(DO436=0,0,IF(DO436/'🎚️ Escenario'!$C$11&gt;=36,$AL$23,INDEX($C$23:$AL$23,MAX(1,ROUNDUP(DO436/'🎚️ Escenario'!$C$11,0)))))</f>
        <v>0</v>
      </c>
      <c r="DP437" s="237" t="n">
        <f aca="false" t="array" ref="DP437:DP437">IF(DP436=0,0,IF(DP436/'🎚️ Escenario'!$C$11&gt;=36,$AL$23,INDEX($C$23:$AL$23,MAX(1,ROUNDUP(DP436/'🎚️ Escenario'!$C$11,0)))))</f>
        <v>0</v>
      </c>
      <c r="DQ437" s="237" t="n">
        <f aca="false" t="array" ref="DQ437:DQ437">IF(DQ436=0,0,IF(DQ436/'🎚️ Escenario'!$C$11&gt;=36,$AL$23,INDEX($C$23:$AL$23,MAX(1,ROUNDUP(DQ436/'🎚️ Escenario'!$C$11,0)))))</f>
        <v>0</v>
      </c>
      <c r="DR437" s="237" t="n">
        <f aca="false" t="array" ref="DR437:DR437">IF(DR436=0,0,IF(DR436/'🎚️ Escenario'!$C$11&gt;=36,$AL$23,INDEX($C$23:$AL$23,MAX(1,ROUNDUP(DR436/'🎚️ Escenario'!$C$11,0)))))</f>
        <v>0</v>
      </c>
      <c r="DS437" s="237" t="n">
        <f aca="false" t="array" ref="DS437:DS437">IF(DS436=0,0,IF(DS436/'🎚️ Escenario'!$C$11&gt;=36,$AL$23,INDEX($C$23:$AL$23,MAX(1,ROUNDUP(DS436/'🎚️ Escenario'!$C$11,0)))))</f>
        <v>0</v>
      </c>
      <c r="DT437" s="237" t="n">
        <f aca="false" t="array" ref="DT437:DT437">IF(DT436=0,0,IF(DT436/'🎚️ Escenario'!$C$11&gt;=36,$AL$23,INDEX($C$23:$AL$23,MAX(1,ROUNDUP(DT436/'🎚️ Escenario'!$C$11,0)))))</f>
        <v>0</v>
      </c>
      <c r="DU437" s="237" t="n">
        <f aca="false" t="array" ref="DU437:DU437">IF(DU436=0,0,IF(DU436/'🎚️ Escenario'!$C$11&gt;=36,$AL$23,INDEX($C$23:$AL$23,MAX(1,ROUNDUP(DU436/'🎚️ Escenario'!$C$11,0)))))</f>
        <v>0</v>
      </c>
      <c r="DV437" s="237" t="n">
        <f aca="false" t="array" ref="DV437:DV437">IF(DV436=0,0,IF(DV436/'🎚️ Escenario'!$C$11&gt;=36,$AL$23,INDEX($C$23:$AL$23,MAX(1,ROUNDUP(DV436/'🎚️ Escenario'!$C$11,0)))))</f>
        <v>0</v>
      </c>
      <c r="DW437" s="237" t="n">
        <f aca="false" t="array" ref="DW437:DW437">IF(DW436=0,0,IF(DW436/'🎚️ Escenario'!$C$11&gt;=36,$AL$23,INDEX($C$23:$AL$23,MAX(1,ROUNDUP(DW436/'🎚️ Escenario'!$C$11,0)))))</f>
        <v>0</v>
      </c>
      <c r="DX437" s="237" t="n">
        <f aca="false" t="array" ref="DX437:DX437">IF(DX436=0,0,IF(DX436/'🎚️ Escenario'!$C$11&gt;=36,$AL$23,INDEX($C$23:$AL$23,MAX(1,ROUNDUP(DX436/'🎚️ Escenario'!$C$11,0)))))</f>
        <v>0</v>
      </c>
      <c r="DY437" s="237" t="n">
        <f aca="false" t="array" ref="DY437:DY437">IF(DY436=0,0,IF(DY436/'🎚️ Escenario'!$C$11&gt;=36,$AL$23,INDEX($C$23:$AL$23,MAX(1,ROUNDUP(DY436/'🎚️ Escenario'!$C$11,0)))))</f>
        <v>0</v>
      </c>
      <c r="DZ437" s="237" t="n">
        <f aca="false" t="array" ref="DZ437:DZ437">IF(DZ436=0,0,IF(DZ436/'🎚️ Escenario'!$C$11&gt;=36,$AL$23,INDEX($C$23:$AL$23,MAX(1,ROUNDUP(DZ436/'🎚️ Escenario'!$C$11,0)))))</f>
        <v>0</v>
      </c>
      <c r="EA437" s="237" t="n">
        <f aca="false" t="array" ref="EA437:EA437">IF(EA436=0,0,IF(EA436/'🎚️ Escenario'!$C$11&gt;=36,$AL$23,INDEX($C$23:$AL$23,MAX(1,ROUNDUP(EA436/'🎚️ Escenario'!$C$11,0)))))</f>
        <v>0</v>
      </c>
      <c r="EB437" s="237" t="n">
        <f aca="false" t="array" ref="EB437:EB437">IF(EB436=0,0,IF(EB436/'🎚️ Escenario'!$C$11&gt;=36,$AL$23,INDEX($C$23:$AL$23,MAX(1,ROUNDUP(EB436/'🎚️ Escenario'!$C$11,0)))))</f>
        <v>0</v>
      </c>
      <c r="EC437" s="237" t="n">
        <f aca="false" t="array" ref="EC437:EC437">IF(EC436=0,0,IF(EC436/'🎚️ Escenario'!$C$11&gt;=36,$AL$23,INDEX($C$23:$AL$23,MAX(1,ROUNDUP(EC436/'🎚️ Escenario'!$C$11,0)))))</f>
        <v>0</v>
      </c>
      <c r="ED437" s="237" t="n">
        <f aca="false" t="array" ref="ED437:ED437">IF(ED436=0,0,IF(ED436/'🎚️ Escenario'!$C$11&gt;=36,$AL$23,INDEX($C$23:$AL$23,MAX(1,ROUNDUP(ED436/'🎚️ Escenario'!$C$11,0)))))</f>
        <v>0</v>
      </c>
      <c r="EE437" s="237" t="n">
        <f aca="false" t="array" ref="EE437:EE437">IF(EE436=0,0,IF(EE436/'🎚️ Escenario'!$C$11&gt;=36,$AL$23,INDEX($C$23:$AL$23,MAX(1,ROUNDUP(EE436/'🎚️ Escenario'!$C$11,0)))))</f>
        <v>0</v>
      </c>
      <c r="EF437" s="237" t="n">
        <f aca="false" t="array" ref="EF437:EF437">IF(EF436=0,0,IF(EF436/'🎚️ Escenario'!$C$11&gt;=36,$AL$23,INDEX($C$23:$AL$23,MAX(1,ROUNDUP(EF436/'🎚️ Escenario'!$C$11,0)))))</f>
        <v>0</v>
      </c>
      <c r="EG437" s="237" t="n">
        <f aca="false" t="array" ref="EG437:EG437">IF(EG436=0,0,IF(EG436/'🎚️ Escenario'!$C$11&gt;=36,$AL$23,INDEX($C$23:$AL$23,MAX(1,ROUNDUP(EG436/'🎚️ Escenario'!$C$11,0)))))</f>
        <v>0</v>
      </c>
      <c r="EH437" s="237" t="n">
        <f aca="false" t="array" ref="EH437:EH437">IF(EH436=0,0,IF(EH436/'🎚️ Escenario'!$C$11&gt;=36,$AL$23,INDEX($C$23:$AL$23,MAX(1,ROUNDUP(EH436/'🎚️ Escenario'!$C$11,0)))))</f>
        <v>0</v>
      </c>
      <c r="EI437" s="237" t="n">
        <f aca="false" t="array" ref="EI437:EI437">IF(EI436=0,0,IF(EI436/'🎚️ Escenario'!$C$11&gt;=36,$AL$23,INDEX($C$23:$AL$23,MAX(1,ROUNDUP(EI436/'🎚️ Escenario'!$C$11,0)))))</f>
        <v>0</v>
      </c>
      <c r="EJ437" s="237" t="n">
        <f aca="false" t="array" ref="EJ437:EJ437">IF(EJ436=0,0,IF(EJ436/'🎚️ Escenario'!$C$11&gt;=36,$AL$23,INDEX($C$23:$AL$23,MAX(1,ROUNDUP(EJ436/'🎚️ Escenario'!$C$11,0)))))</f>
        <v>0</v>
      </c>
      <c r="EK437" s="237" t="n">
        <f aca="false" t="array" ref="EK437:EK437">IF(EK436=0,0,IF(EK436/'🎚️ Escenario'!$C$11&gt;=36,$AL$23,INDEX($C$23:$AL$23,MAX(1,ROUNDUP(EK436/'🎚️ Escenario'!$C$11,0)))))</f>
        <v>0</v>
      </c>
      <c r="EL437" s="237" t="n">
        <f aca="false" t="array" ref="EL437:EL437">IF(EL436=0,0,IF(EL436/'🎚️ Escenario'!$C$11&gt;=36,$AL$23,INDEX($C$23:$AL$23,MAX(1,ROUNDUP(EL436/'🎚️ Escenario'!$C$11,0)))))</f>
        <v>0</v>
      </c>
      <c r="EM437" s="237" t="n">
        <f aca="false" t="array" ref="EM437:EM437">IF(EM436=0,0,IF(EM436/'🎚️ Escenario'!$C$11&gt;=36,$AL$23,INDEX($C$23:$AL$23,MAX(1,ROUNDUP(EM436/'🎚️ Escenario'!$C$11,0)))))</f>
        <v>0</v>
      </c>
      <c r="EN437" s="237" t="n">
        <f aca="false" t="array" ref="EN437:EN437">IF(EN436=0,0,IF(EN436/'🎚️ Escenario'!$C$11&gt;=36,$AL$23,INDEX($C$23:$AL$23,MAX(1,ROUNDUP(EN436/'🎚️ Escenario'!$C$11,0)))))</f>
        <v>0.2</v>
      </c>
      <c r="EO437" s="237" t="n">
        <f aca="false" t="array" ref="EO437:EO437">IF(EO436=0,0,IF(EO436/'🎚️ Escenario'!$C$11&gt;=36,$AL$23,INDEX($C$23:$AL$23,MAX(1,ROUNDUP(EO436/'🎚️ Escenario'!$C$11,0)))))</f>
        <v>0.22</v>
      </c>
      <c r="EP437" s="237" t="n">
        <f aca="false" t="array" ref="EP437:EP437">IF(EP436=0,0,IF(EP436/'🎚️ Escenario'!$C$11&gt;=36,$AL$23,INDEX($C$23:$AL$23,MAX(1,ROUNDUP(EP436/'🎚️ Escenario'!$C$11,0)))))</f>
        <v>0.24</v>
      </c>
      <c r="EQ437" s="237" t="n">
        <f aca="false" t="array" ref="EQ437:EQ437">IF(EQ436=0,0,IF(EQ436/'🎚️ Escenario'!$C$11&gt;=36,$AL$23,INDEX($C$23:$AL$23,MAX(1,ROUNDUP(EQ436/'🎚️ Escenario'!$C$11,0)))))</f>
        <v>0.27</v>
      </c>
      <c r="ER437" s="237" t="n">
        <f aca="false" t="array" ref="ER437:ER437">IF(ER436=0,0,IF(ER436/'🎚️ Escenario'!$C$11&gt;=36,$AL$23,INDEX($C$23:$AL$23,MAX(1,ROUNDUP(ER436/'🎚️ Escenario'!$C$11,0)))))</f>
        <v>0.27</v>
      </c>
      <c r="ES437" s="9" t="n">
        <f aca="false" t="array" ref="ES437:ES437">IF(ES436=0,0,IF(ES436/'🎚️ Escenario'!$C$11&gt;=36,$AL$23,INDEX($C$23:$AL$23,MAX(1,ROUNDUP(ES436/'🎚️ Escenario'!$C$11,0)))))</f>
        <v>0.31</v>
      </c>
      <c r="ET437" s="9" t="n">
        <f aca="false" t="array" ref="ET437:ET437">IF(ET436=0,0,IF(ET436/'🎚️ Escenario'!$C$11&gt;=36,$AL$23,INDEX($C$23:$AL$23,MAX(1,ROUNDUP(ET436/'🎚️ Escenario'!$C$11,0)))))</f>
        <v>0.35</v>
      </c>
      <c r="EU437" s="9" t="n">
        <f aca="false" t="array" ref="EU437:EU437">IF(EU436=0,0,IF(EU436/'🎚️ Escenario'!$C$11&gt;=36,$AL$23,INDEX($C$23:$AL$23,MAX(1,ROUNDUP(EU436/'🎚️ Escenario'!$C$11,0)))))</f>
        <v>0.39</v>
      </c>
      <c r="EV437" s="9" t="n">
        <f aca="false" t="array" ref="EV437:EV437">IF(EV436=0,0,IF(EV436/'🎚️ Escenario'!$C$11&gt;=36,$AL$23,INDEX($C$23:$AL$23,MAX(1,ROUNDUP(EV436/'🎚️ Escenario'!$C$11,0)))))</f>
        <v>0.44</v>
      </c>
      <c r="EW437" s="9" t="n">
        <f aca="false" t="array" ref="EW437:EW437">IF(EW436=0,0,IF(EW436/'🎚️ Escenario'!$C$11&gt;=36,$AL$23,INDEX($C$23:$AL$23,MAX(1,ROUNDUP(EW436/'🎚️ Escenario'!$C$11,0)))))</f>
        <v>0.44</v>
      </c>
      <c r="EX437" s="9" t="n">
        <f aca="false" t="array" ref="EX437:EX437">IF(EX436=0,0,IF(EX436/'🎚️ Escenario'!$C$11&gt;=36,$AL$23,INDEX($C$23:$AL$23,MAX(1,ROUNDUP(EX436/'🎚️ Escenario'!$C$11,0)))))</f>
        <v>0.48</v>
      </c>
      <c r="EY437" s="9" t="n">
        <f aca="false" t="array" ref="EY437:EY437">IF(EY436=0,0,IF(EY436/'🎚️ Escenario'!$C$11&gt;=36,$AL$23,INDEX($C$23:$AL$23,MAX(1,ROUNDUP(EY436/'🎚️ Escenario'!$C$11,0)))))</f>
        <v>0.52</v>
      </c>
      <c r="EZ437" s="9" t="n">
        <f aca="false" t="array" ref="EZ437:EZ437">IF(EZ436=0,0,IF(EZ436/'🎚️ Escenario'!$C$11&gt;=36,$AL$23,INDEX($C$23:$AL$23,MAX(1,ROUNDUP(EZ436/'🎚️ Escenario'!$C$11,0)))))</f>
        <v>0.56</v>
      </c>
      <c r="FA437" s="9" t="n">
        <f aca="false" t="array" ref="FA437:FA437">IF(FA436=0,0,IF(FA436/'🎚️ Escenario'!$C$11&gt;=36,$AL$23,INDEX($C$23:$AL$23,MAX(1,ROUNDUP(FA436/'🎚️ Escenario'!$C$11,0)))))</f>
        <v>0.6</v>
      </c>
      <c r="FB437" s="9" t="n">
        <f aca="false" t="array" ref="FB437:FB437">IF(FB436=0,0,IF(FB436/'🎚️ Escenario'!$C$11&gt;=36,$AL$23,INDEX($C$23:$AL$23,MAX(1,ROUNDUP(FB436/'🎚️ Escenario'!$C$11,0)))))</f>
        <v>0.6</v>
      </c>
      <c r="FC437" s="9" t="n">
        <f aca="false" t="array" ref="FC437:FC437">IF(FC436=0,0,IF(FC436/'🎚️ Escenario'!$C$11&gt;=36,$AL$23,INDEX($C$23:$AL$23,MAX(1,ROUNDUP(FC436/'🎚️ Escenario'!$C$11,0)))))</f>
        <v>0.63</v>
      </c>
      <c r="FD437" s="9" t="n">
        <f aca="false" t="array" ref="FD437:FD437">IF(FD436=0,0,IF(FD436/'🎚️ Escenario'!$C$11&gt;=36,$AL$23,INDEX($C$23:$AL$23,MAX(1,ROUNDUP(FD436/'🎚️ Escenario'!$C$11,0)))))</f>
        <v>0.66</v>
      </c>
      <c r="FE437" s="9" t="n">
        <f aca="false" t="array" ref="FE437:FE437">IF(FE436=0,0,IF(FE436/'🎚️ Escenario'!$C$11&gt;=36,$AL$23,INDEX($C$23:$AL$23,MAX(1,ROUNDUP(FE436/'🎚️ Escenario'!$C$11,0)))))</f>
        <v>0.69</v>
      </c>
      <c r="FF437" s="9" t="n">
        <f aca="false" t="array" ref="FF437:FF437">IF(FF436=0,0,IF(FF436/'🎚️ Escenario'!$C$11&gt;=36,$AL$23,INDEX($C$23:$AL$23,MAX(1,ROUNDUP(FF436/'🎚️ Escenario'!$C$11,0)))))</f>
        <v>0.71</v>
      </c>
      <c r="FG437" s="9" t="n">
        <f aca="false" t="array" ref="FG437:FG437">IF(FG436=0,0,IF(FG436/'🎚️ Escenario'!$C$11&gt;=36,$AL$23,INDEX($C$23:$AL$23,MAX(1,ROUNDUP(FG436/'🎚️ Escenario'!$C$11,0)))))</f>
        <v>0.71</v>
      </c>
      <c r="FH437" s="9" t="n">
        <f aca="false" t="array" ref="FH437:FH437">IF(FH436=0,0,IF(FH436/'🎚️ Escenario'!$C$11&gt;=36,$AL$23,INDEX($C$23:$AL$23,MAX(1,ROUNDUP(FH436/'🎚️ Escenario'!$C$11,0)))))</f>
        <v>0.73</v>
      </c>
      <c r="FI437" s="9" t="n">
        <f aca="false" t="array" ref="FI437:FI437">IF(FI436=0,0,IF(FI436/'🎚️ Escenario'!$C$11&gt;=36,$AL$23,INDEX($C$23:$AL$23,MAX(1,ROUNDUP(FI436/'🎚️ Escenario'!$C$11,0)))))</f>
        <v>0.75</v>
      </c>
      <c r="FJ437" s="9" t="n">
        <f aca="false" t="array" ref="FJ437:FJ437">IF(FJ436=0,0,IF(FJ436/'🎚️ Escenario'!$C$11&gt;=36,$AL$23,INDEX($C$23:$AL$23,MAX(1,ROUNDUP(FJ436/'🎚️ Escenario'!$C$11,0)))))</f>
        <v>0.77</v>
      </c>
      <c r="FK437" s="9" t="n">
        <f aca="false" t="array" ref="FK437:FK437">IF(FK436=0,0,IF(FK436/'🎚️ Escenario'!$C$11&gt;=36,$AL$23,INDEX($C$23:$AL$23,MAX(1,ROUNDUP(FK436/'🎚️ Escenario'!$C$11,0)))))</f>
        <v>0.79</v>
      </c>
      <c r="FL437" s="9" t="n">
        <f aca="false" t="array" ref="FL437:FL437">IF(FL436=0,0,IF(FL436/'🎚️ Escenario'!$C$11&gt;=36,$AL$23,INDEX($C$23:$AL$23,MAX(1,ROUNDUP(FL436/'🎚️ Escenario'!$C$11,0)))))</f>
        <v>0.79</v>
      </c>
      <c r="FM437" s="9" t="n">
        <f aca="false" t="array" ref="FM437:FM437">IF(FM436=0,0,IF(FM436/'🎚️ Escenario'!$C$11&gt;=36,$AL$23,INDEX($C$23:$AL$23,MAX(1,ROUNDUP(FM436/'🎚️ Escenario'!$C$11,0)))))</f>
        <v>0.8</v>
      </c>
      <c r="FN437" s="9" t="n">
        <f aca="false" t="array" ref="FN437:FN437">IF(FN436=0,0,IF(FN436/'🎚️ Escenario'!$C$11&gt;=36,$AL$23,INDEX($C$23:$AL$23,MAX(1,ROUNDUP(FN436/'🎚️ Escenario'!$C$11,0)))))</f>
        <v>0.82</v>
      </c>
      <c r="FO437" s="9" t="n">
        <f aca="false" t="array" ref="FO437:FO437">IF(FO436=0,0,IF(FO436/'🎚️ Escenario'!$C$11&gt;=36,$AL$23,INDEX($C$23:$AL$23,MAX(1,ROUNDUP(FO436/'🎚️ Escenario'!$C$11,0)))))</f>
        <v>0.84</v>
      </c>
      <c r="FP437" s="9" t="n">
        <f aca="false" t="array" ref="FP437:FP437">IF(FP436=0,0,IF(FP436/'🎚️ Escenario'!$C$11&gt;=36,$AL$23,INDEX($C$23:$AL$23,MAX(1,ROUNDUP(FP436/'🎚️ Escenario'!$C$11,0)))))</f>
        <v>0.85</v>
      </c>
    </row>
    <row r="438" customFormat="false" ht="15" hidden="false" customHeight="false" outlineLevel="2" collapsed="false">
      <c r="B438" s="47" t="s">
        <v>875</v>
      </c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237" t="n">
        <f aca="false">IF(AC436=0,0,IF(AC436&lt;=12*'🎚️ Escenario'!$C$11,1,1+$C$6))</f>
        <v>0</v>
      </c>
      <c r="AD438" s="237" t="n">
        <f aca="false">IF(AD436=0,0,IF(AD436&lt;=12*'🎚️ Escenario'!$C$11,1,1+$C$6))</f>
        <v>0</v>
      </c>
      <c r="AE438" s="237" t="n">
        <f aca="false">IF(AE436=0,0,IF(AE436&lt;=12*'🎚️ Escenario'!$C$11,1,1+$C$6))</f>
        <v>0</v>
      </c>
      <c r="AF438" s="237" t="n">
        <f aca="false">IF(AF436=0,0,IF(AF436&lt;=12*'🎚️ Escenario'!$C$11,1,1+$C$6))</f>
        <v>0</v>
      </c>
      <c r="AG438" s="237" t="n">
        <f aca="false">IF(AG436=0,0,IF(AG436&lt;=12*'🎚️ Escenario'!$C$11,1,1+$C$6))</f>
        <v>0</v>
      </c>
      <c r="AH438" s="237" t="n">
        <f aca="false">IF(AH436=0,0,IF(AH436&lt;=12*'🎚️ Escenario'!$C$11,1,1+$C$6))</f>
        <v>0</v>
      </c>
      <c r="AI438" s="237" t="n">
        <f aca="false">IF(AI436=0,0,IF(AI436&lt;=12*'🎚️ Escenario'!$C$11,1,1+$C$6))</f>
        <v>0</v>
      </c>
      <c r="AJ438" s="237" t="n">
        <f aca="false">IF(AJ436=0,0,IF(AJ436&lt;=12*'🎚️ Escenario'!$C$11,1,1+$C$6))</f>
        <v>0</v>
      </c>
      <c r="AK438" s="237" t="n">
        <f aca="false">IF(AK436=0,0,IF(AK436&lt;=12*'🎚️ Escenario'!$C$11,1,1+$C$6))</f>
        <v>0</v>
      </c>
      <c r="AL438" s="237" t="n">
        <f aca="false">IF(AL436=0,0,IF(AL436&lt;=12*'🎚️ Escenario'!$C$11,1,1+$C$6))</f>
        <v>0</v>
      </c>
      <c r="AM438" s="237" t="n">
        <f aca="false">IF(AM436=0,0,IF(AM436&lt;=12*'🎚️ Escenario'!$C$11,1,1+$C$6))</f>
        <v>0</v>
      </c>
      <c r="AN438" s="237" t="n">
        <f aca="false">IF(AN436=0,0,IF(AN436&lt;=12*'🎚️ Escenario'!$C$11,1,1+$C$6))</f>
        <v>0</v>
      </c>
      <c r="AO438" s="237" t="n">
        <f aca="false">IF(AO436=0,0,IF(AO436&lt;=12*'🎚️ Escenario'!$C$11,1,1+$C$6))</f>
        <v>0</v>
      </c>
      <c r="AP438" s="237" t="n">
        <f aca="false">IF(AP436=0,0,IF(AP436&lt;=12*'🎚️ Escenario'!$C$11,1,1+$C$6))</f>
        <v>0</v>
      </c>
      <c r="AQ438" s="237" t="n">
        <f aca="false">IF(AQ436=0,0,IF(AQ436&lt;=12*'🎚️ Escenario'!$C$11,1,1+$C$6))</f>
        <v>0</v>
      </c>
      <c r="AR438" s="237" t="n">
        <f aca="false">IF(AR436=0,0,IF(AR436&lt;=12*'🎚️ Escenario'!$C$11,1,1+$C$6))</f>
        <v>0</v>
      </c>
      <c r="AS438" s="237" t="n">
        <f aca="false">IF(AS436=0,0,IF(AS436&lt;=12*'🎚️ Escenario'!$C$11,1,1+$C$6))</f>
        <v>0</v>
      </c>
      <c r="AT438" s="237" t="n">
        <f aca="false">IF(AT436=0,0,IF(AT436&lt;=12*'🎚️ Escenario'!$C$11,1,1+$C$6))</f>
        <v>0</v>
      </c>
      <c r="AU438" s="237" t="n">
        <f aca="false">IF(AU436=0,0,IF(AU436&lt;=12*'🎚️ Escenario'!$C$11,1,1+$C$6))</f>
        <v>0</v>
      </c>
      <c r="AV438" s="237" t="n">
        <f aca="false">IF(AV436=0,0,IF(AV436&lt;=12*'🎚️ Escenario'!$C$11,1,1+$C$6))</f>
        <v>0</v>
      </c>
      <c r="AW438" s="237" t="n">
        <f aca="false">IF(AW436=0,0,IF(AW436&lt;=12*'🎚️ Escenario'!$C$11,1,1+$C$6))</f>
        <v>0</v>
      </c>
      <c r="AX438" s="237" t="n">
        <f aca="false">IF(AX436=0,0,IF(AX436&lt;=12*'🎚️ Escenario'!$C$11,1,1+$C$6))</f>
        <v>0</v>
      </c>
      <c r="AY438" s="237" t="n">
        <f aca="false">IF(AY436=0,0,IF(AY436&lt;=12*'🎚️ Escenario'!$C$11,1,1+$C$6))</f>
        <v>0</v>
      </c>
      <c r="AZ438" s="237" t="n">
        <f aca="false">IF(AZ436=0,0,IF(AZ436&lt;=12*'🎚️ Escenario'!$C$11,1,1+$C$6))</f>
        <v>0</v>
      </c>
      <c r="BA438" s="237" t="n">
        <f aca="false">IF(BA436=0,0,IF(BA436&lt;=12*'🎚️ Escenario'!$C$11,1,1+$C$6))</f>
        <v>0</v>
      </c>
      <c r="BB438" s="237" t="n">
        <f aca="false">IF(BB436=0,0,IF(BB436&lt;=12*'🎚️ Escenario'!$C$11,1,1+$C$6))</f>
        <v>0</v>
      </c>
      <c r="BC438" s="237" t="n">
        <f aca="false">IF(BC436=0,0,IF(BC436&lt;=12*'🎚️ Escenario'!$C$11,1,1+$C$6))</f>
        <v>0</v>
      </c>
      <c r="BD438" s="237" t="n">
        <f aca="false">IF(BD436=0,0,IF(BD436&lt;=12*'🎚️ Escenario'!$C$11,1,1+$C$6))</f>
        <v>0</v>
      </c>
      <c r="BE438" s="237" t="n">
        <f aca="false">IF(BE436=0,0,IF(BE436&lt;=12*'🎚️ Escenario'!$C$11,1,1+$C$6))</f>
        <v>0</v>
      </c>
      <c r="BF438" s="237" t="n">
        <f aca="false">IF(BF436=0,0,IF(BF436&lt;=12*'🎚️ Escenario'!$C$11,1,1+$C$6))</f>
        <v>0</v>
      </c>
      <c r="BG438" s="237" t="n">
        <f aca="false">IF(BG436=0,0,IF(BG436&lt;=12*'🎚️ Escenario'!$C$11,1,1+$C$6))</f>
        <v>0</v>
      </c>
      <c r="BH438" s="237" t="n">
        <f aca="false">IF(BH436=0,0,IF(BH436&lt;=12*'🎚️ Escenario'!$C$11,1,1+$C$6))</f>
        <v>0</v>
      </c>
      <c r="BI438" s="237" t="n">
        <f aca="false">IF(BI436=0,0,IF(BI436&lt;=12*'🎚️ Escenario'!$C$11,1,1+$C$6))</f>
        <v>0</v>
      </c>
      <c r="BJ438" s="237" t="n">
        <f aca="false">IF(BJ436=0,0,IF(BJ436&lt;=12*'🎚️ Escenario'!$C$11,1,1+$C$6))</f>
        <v>0</v>
      </c>
      <c r="BK438" s="237" t="n">
        <f aca="false">IF(BK436=0,0,IF(BK436&lt;=12*'🎚️ Escenario'!$C$11,1,1+$C$6))</f>
        <v>0</v>
      </c>
      <c r="BL438" s="237" t="n">
        <f aca="false">IF(BL436=0,0,IF(BL436&lt;=12*'🎚️ Escenario'!$C$11,1,1+$C$6))</f>
        <v>0</v>
      </c>
      <c r="BM438" s="237" t="n">
        <f aca="false">IF(BM436=0,0,IF(BM436&lt;=12*'🎚️ Escenario'!$C$11,1,1+$C$6))</f>
        <v>0</v>
      </c>
      <c r="BN438" s="237" t="n">
        <f aca="false">IF(BN436=0,0,IF(BN436&lt;=12*'🎚️ Escenario'!$C$11,1,1+$C$6))</f>
        <v>0</v>
      </c>
      <c r="BO438" s="237" t="n">
        <f aca="false">IF(BO436=0,0,IF(BO436&lt;=12*'🎚️ Escenario'!$C$11,1,1+$C$6))</f>
        <v>0</v>
      </c>
      <c r="BP438" s="237" t="n">
        <f aca="false">IF(BP436=0,0,IF(BP436&lt;=12*'🎚️ Escenario'!$C$11,1,1+$C$6))</f>
        <v>0</v>
      </c>
      <c r="BQ438" s="237" t="n">
        <f aca="false">IF(BQ436=0,0,IF(BQ436&lt;=12*'🎚️ Escenario'!$C$11,1,1+$C$6))</f>
        <v>0</v>
      </c>
      <c r="BR438" s="237" t="n">
        <f aca="false">IF(BR436=0,0,IF(BR436&lt;=12*'🎚️ Escenario'!$C$11,1,1+$C$6))</f>
        <v>0</v>
      </c>
      <c r="BS438" s="237" t="n">
        <f aca="false">IF(BS436=0,0,IF(BS436&lt;=12*'🎚️ Escenario'!$C$11,1,1+$C$6))</f>
        <v>0</v>
      </c>
      <c r="BT438" s="237" t="n">
        <f aca="false">IF(BT436=0,0,IF(BT436&lt;=12*'🎚️ Escenario'!$C$11,1,1+$C$6))</f>
        <v>0</v>
      </c>
      <c r="BU438" s="237" t="n">
        <f aca="false">IF(BU436=0,0,IF(BU436&lt;=12*'🎚️ Escenario'!$C$11,1,1+$C$6))</f>
        <v>0</v>
      </c>
      <c r="BV438" s="237" t="n">
        <f aca="false">IF(BV436=0,0,IF(BV436&lt;=12*'🎚️ Escenario'!$C$11,1,1+$C$6))</f>
        <v>0</v>
      </c>
      <c r="BW438" s="237" t="n">
        <f aca="false">IF(BW436=0,0,IF(BW436&lt;=12*'🎚️ Escenario'!$C$11,1,1+$C$6))</f>
        <v>0</v>
      </c>
      <c r="BX438" s="237" t="n">
        <f aca="false">IF(BX436=0,0,IF(BX436&lt;=12*'🎚️ Escenario'!$C$11,1,1+$C$6))</f>
        <v>0</v>
      </c>
      <c r="BY438" s="237" t="n">
        <f aca="false">IF(BY436=0,0,IF(BY436&lt;=12*'🎚️ Escenario'!$C$11,1,1+$C$6))</f>
        <v>0</v>
      </c>
      <c r="BZ438" s="237" t="n">
        <f aca="false">IF(BZ436=0,0,IF(BZ436&lt;=12*'🎚️ Escenario'!$C$11,1,1+$C$6))</f>
        <v>0</v>
      </c>
      <c r="CA438" s="237" t="n">
        <f aca="false">IF(CA436=0,0,IF(CA436&lt;=12*'🎚️ Escenario'!$C$11,1,1+$C$6))</f>
        <v>0</v>
      </c>
      <c r="CB438" s="237" t="n">
        <f aca="false">IF(CB436=0,0,IF(CB436&lt;=12*'🎚️ Escenario'!$C$11,1,1+$C$6))</f>
        <v>0</v>
      </c>
      <c r="CC438" s="237" t="n">
        <f aca="false">IF(CC436=0,0,IF(CC436&lt;=12*'🎚️ Escenario'!$C$11,1,1+$C$6))</f>
        <v>0</v>
      </c>
      <c r="CD438" s="237" t="n">
        <f aca="false">IF(CD436=0,0,IF(CD436&lt;=12*'🎚️ Escenario'!$C$11,1,1+$C$6))</f>
        <v>0</v>
      </c>
      <c r="CE438" s="237" t="n">
        <f aca="false">IF(CE436=0,0,IF(CE436&lt;=12*'🎚️ Escenario'!$C$11,1,1+$C$6))</f>
        <v>0</v>
      </c>
      <c r="CF438" s="237" t="n">
        <f aca="false">IF(CF436=0,0,IF(CF436&lt;=12*'🎚️ Escenario'!$C$11,1,1+$C$6))</f>
        <v>0</v>
      </c>
      <c r="CG438" s="237" t="n">
        <f aca="false">IF(CG436=0,0,IF(CG436&lt;=12*'🎚️ Escenario'!$C$11,1,1+$C$6))</f>
        <v>0</v>
      </c>
      <c r="CH438" s="237" t="n">
        <f aca="false">IF(CH436=0,0,IF(CH436&lt;=12*'🎚️ Escenario'!$C$11,1,1+$C$6))</f>
        <v>0</v>
      </c>
      <c r="CI438" s="237" t="n">
        <f aca="false">IF(CI436=0,0,IF(CI436&lt;=12*'🎚️ Escenario'!$C$11,1,1+$C$6))</f>
        <v>0</v>
      </c>
      <c r="CJ438" s="237" t="n">
        <f aca="false">IF(CJ436=0,0,IF(CJ436&lt;=12*'🎚️ Escenario'!$C$11,1,1+$C$6))</f>
        <v>0</v>
      </c>
      <c r="CK438" s="237" t="n">
        <f aca="false">IF(CK436=0,0,IF(CK436&lt;=12*'🎚️ Escenario'!$C$11,1,1+$C$6))</f>
        <v>0</v>
      </c>
      <c r="CL438" s="237" t="n">
        <f aca="false">IF(CL436=0,0,IF(CL436&lt;=12*'🎚️ Escenario'!$C$11,1,1+$C$6))</f>
        <v>0</v>
      </c>
      <c r="CM438" s="237" t="n">
        <f aca="false">IF(CM436=0,0,IF(CM436&lt;=12*'🎚️ Escenario'!$C$11,1,1+$C$6))</f>
        <v>0</v>
      </c>
      <c r="CN438" s="237" t="n">
        <f aca="false">IF(CN436=0,0,IF(CN436&lt;=12*'🎚️ Escenario'!$C$11,1,1+$C$6))</f>
        <v>0</v>
      </c>
      <c r="CO438" s="237" t="n">
        <f aca="false">IF(CO436=0,0,IF(CO436&lt;=12*'🎚️ Escenario'!$C$11,1,1+$C$6))</f>
        <v>0</v>
      </c>
      <c r="CP438" s="237" t="n">
        <f aca="false">IF(CP436=0,0,IF(CP436&lt;=12*'🎚️ Escenario'!$C$11,1,1+$C$6))</f>
        <v>0</v>
      </c>
      <c r="CQ438" s="237" t="n">
        <f aca="false">IF(CQ436=0,0,IF(CQ436&lt;=12*'🎚️ Escenario'!$C$11,1,1+$C$6))</f>
        <v>0</v>
      </c>
      <c r="CR438" s="237" t="n">
        <f aca="false">IF(CR436=0,0,IF(CR436&lt;=12*'🎚️ Escenario'!$C$11,1,1+$C$6))</f>
        <v>0</v>
      </c>
      <c r="CS438" s="237" t="n">
        <f aca="false">IF(CS436=0,0,IF(CS436&lt;=12*'🎚️ Escenario'!$C$11,1,1+$C$6))</f>
        <v>0</v>
      </c>
      <c r="CT438" s="237" t="n">
        <f aca="false">IF(CT436=0,0,IF(CT436&lt;=12*'🎚️ Escenario'!$C$11,1,1+$C$6))</f>
        <v>0</v>
      </c>
      <c r="CU438" s="237" t="n">
        <f aca="false">IF(CU436=0,0,IF(CU436&lt;=12*'🎚️ Escenario'!$C$11,1,1+$C$6))</f>
        <v>0</v>
      </c>
      <c r="CV438" s="237" t="n">
        <f aca="false">IF(CV436=0,0,IF(CV436&lt;=12*'🎚️ Escenario'!$C$11,1,1+$C$6))</f>
        <v>0</v>
      </c>
      <c r="CW438" s="237" t="n">
        <f aca="false">IF(CW436=0,0,IF(CW436&lt;=12*'🎚️ Escenario'!$C$11,1,1+$C$6))</f>
        <v>0</v>
      </c>
      <c r="CX438" s="237" t="n">
        <f aca="false">IF(CX436=0,0,IF(CX436&lt;=12*'🎚️ Escenario'!$C$11,1,1+$C$6))</f>
        <v>0</v>
      </c>
      <c r="CY438" s="237" t="n">
        <f aca="false">IF(CY436=0,0,IF(CY436&lt;=12*'🎚️ Escenario'!$C$11,1,1+$C$6))</f>
        <v>0</v>
      </c>
      <c r="CZ438" s="237" t="n">
        <f aca="false">IF(CZ436=0,0,IF(CZ436&lt;=12*'🎚️ Escenario'!$C$11,1,1+$C$6))</f>
        <v>0</v>
      </c>
      <c r="DA438" s="237" t="n">
        <f aca="false">IF(DA436=0,0,IF(DA436&lt;=12*'🎚️ Escenario'!$C$11,1,1+$C$6))</f>
        <v>0</v>
      </c>
      <c r="DB438" s="237" t="n">
        <f aca="false">IF(DB436=0,0,IF(DB436&lt;=12*'🎚️ Escenario'!$C$11,1,1+$C$6))</f>
        <v>0</v>
      </c>
      <c r="DC438" s="237" t="n">
        <f aca="false">IF(DC436=0,0,IF(DC436&lt;=12*'🎚️ Escenario'!$C$11,1,1+$C$6))</f>
        <v>0</v>
      </c>
      <c r="DD438" s="237" t="n">
        <f aca="false">IF(DD436=0,0,IF(DD436&lt;=12*'🎚️ Escenario'!$C$11,1,1+$C$6))</f>
        <v>0</v>
      </c>
      <c r="DE438" s="237" t="n">
        <f aca="false">IF(DE436=0,0,IF(DE436&lt;=12*'🎚️ Escenario'!$C$11,1,1+$C$6))</f>
        <v>0</v>
      </c>
      <c r="DF438" s="237" t="n">
        <f aca="false">IF(DF436=0,0,IF(DF436&lt;=12*'🎚️ Escenario'!$C$11,1,1+$C$6))</f>
        <v>0</v>
      </c>
      <c r="DG438" s="237" t="n">
        <f aca="false">IF(DG436=0,0,IF(DG436&lt;=12*'🎚️ Escenario'!$C$11,1,1+$C$6))</f>
        <v>0</v>
      </c>
      <c r="DH438" s="237" t="n">
        <f aca="false">IF(DH436=0,0,IF(DH436&lt;=12*'🎚️ Escenario'!$C$11,1,1+$C$6))</f>
        <v>0</v>
      </c>
      <c r="DI438" s="237" t="n">
        <f aca="false">IF(DI436=0,0,IF(DI436&lt;=12*'🎚️ Escenario'!$C$11,1,1+$C$6))</f>
        <v>0</v>
      </c>
      <c r="DJ438" s="237" t="n">
        <f aca="false">IF(DJ436=0,0,IF(DJ436&lt;=12*'🎚️ Escenario'!$C$11,1,1+$C$6))</f>
        <v>0</v>
      </c>
      <c r="DK438" s="237" t="n">
        <f aca="false">IF(DK436=0,0,IF(DK436&lt;=12*'🎚️ Escenario'!$C$11,1,1+$C$6))</f>
        <v>0</v>
      </c>
      <c r="DL438" s="237" t="n">
        <f aca="false">IF(DL436=0,0,IF(DL436&lt;=12*'🎚️ Escenario'!$C$11,1,1+$C$6))</f>
        <v>0</v>
      </c>
      <c r="DM438" s="237" t="n">
        <f aca="false">IF(DM436=0,0,IF(DM436&lt;=12*'🎚️ Escenario'!$C$11,1,1+$C$6))</f>
        <v>0</v>
      </c>
      <c r="DN438" s="237" t="n">
        <f aca="false">IF(DN436=0,0,IF(DN436&lt;=12*'🎚️ Escenario'!$C$11,1,1+$C$6))</f>
        <v>0</v>
      </c>
      <c r="DO438" s="237" t="n">
        <f aca="false">IF(DO436=0,0,IF(DO436&lt;=12*'🎚️ Escenario'!$C$11,1,1+$C$6))</f>
        <v>0</v>
      </c>
      <c r="DP438" s="237" t="n">
        <f aca="false">IF(DP436=0,0,IF(DP436&lt;=12*'🎚️ Escenario'!$C$11,1,1+$C$6))</f>
        <v>0</v>
      </c>
      <c r="DQ438" s="237" t="n">
        <f aca="false">IF(DQ436=0,0,IF(DQ436&lt;=12*'🎚️ Escenario'!$C$11,1,1+$C$6))</f>
        <v>0</v>
      </c>
      <c r="DR438" s="237" t="n">
        <f aca="false">IF(DR436=0,0,IF(DR436&lt;=12*'🎚️ Escenario'!$C$11,1,1+$C$6))</f>
        <v>0</v>
      </c>
      <c r="DS438" s="237" t="n">
        <f aca="false">IF(DS436=0,0,IF(DS436&lt;=12*'🎚️ Escenario'!$C$11,1,1+$C$6))</f>
        <v>0</v>
      </c>
      <c r="DT438" s="237" t="n">
        <f aca="false">IF(DT436=0,0,IF(DT436&lt;=12*'🎚️ Escenario'!$C$11,1,1+$C$6))</f>
        <v>0</v>
      </c>
      <c r="DU438" s="237" t="n">
        <f aca="false">IF(DU436=0,0,IF(DU436&lt;=12*'🎚️ Escenario'!$C$11,1,1+$C$6))</f>
        <v>0</v>
      </c>
      <c r="DV438" s="237" t="n">
        <f aca="false">IF(DV436=0,0,IF(DV436&lt;=12*'🎚️ Escenario'!$C$11,1,1+$C$6))</f>
        <v>0</v>
      </c>
      <c r="DW438" s="237" t="n">
        <f aca="false">IF(DW436=0,0,IF(DW436&lt;=12*'🎚️ Escenario'!$C$11,1,1+$C$6))</f>
        <v>0</v>
      </c>
      <c r="DX438" s="237" t="n">
        <f aca="false">IF(DX436=0,0,IF(DX436&lt;=12*'🎚️ Escenario'!$C$11,1,1+$C$6))</f>
        <v>0</v>
      </c>
      <c r="DY438" s="237" t="n">
        <f aca="false">IF(DY436=0,0,IF(DY436&lt;=12*'🎚️ Escenario'!$C$11,1,1+$C$6))</f>
        <v>0</v>
      </c>
      <c r="DZ438" s="237" t="n">
        <f aca="false">IF(DZ436=0,0,IF(DZ436&lt;=12*'🎚️ Escenario'!$C$11,1,1+$C$6))</f>
        <v>0</v>
      </c>
      <c r="EA438" s="237" t="n">
        <f aca="false">IF(EA436=0,0,IF(EA436&lt;=12*'🎚️ Escenario'!$C$11,1,1+$C$6))</f>
        <v>0</v>
      </c>
      <c r="EB438" s="237" t="n">
        <f aca="false">IF(EB436=0,0,IF(EB436&lt;=12*'🎚️ Escenario'!$C$11,1,1+$C$6))</f>
        <v>0</v>
      </c>
      <c r="EC438" s="237" t="n">
        <f aca="false">IF(EC436=0,0,IF(EC436&lt;=12*'🎚️ Escenario'!$C$11,1,1+$C$6))</f>
        <v>0</v>
      </c>
      <c r="ED438" s="237" t="n">
        <f aca="false">IF(ED436=0,0,IF(ED436&lt;=12*'🎚️ Escenario'!$C$11,1,1+$C$6))</f>
        <v>0</v>
      </c>
      <c r="EE438" s="237" t="n">
        <f aca="false">IF(EE436=0,0,IF(EE436&lt;=12*'🎚️ Escenario'!$C$11,1,1+$C$6))</f>
        <v>0</v>
      </c>
      <c r="EF438" s="237" t="n">
        <f aca="false">IF(EF436=0,0,IF(EF436&lt;=12*'🎚️ Escenario'!$C$11,1,1+$C$6))</f>
        <v>0</v>
      </c>
      <c r="EG438" s="237" t="n">
        <f aca="false">IF(EG436=0,0,IF(EG436&lt;=12*'🎚️ Escenario'!$C$11,1,1+$C$6))</f>
        <v>0</v>
      </c>
      <c r="EH438" s="237" t="n">
        <f aca="false">IF(EH436=0,0,IF(EH436&lt;=12*'🎚️ Escenario'!$C$11,1,1+$C$6))</f>
        <v>0</v>
      </c>
      <c r="EI438" s="237" t="n">
        <f aca="false">IF(EI436=0,0,IF(EI436&lt;=12*'🎚️ Escenario'!$C$11,1,1+$C$6))</f>
        <v>0</v>
      </c>
      <c r="EJ438" s="237" t="n">
        <f aca="false">IF(EJ436=0,0,IF(EJ436&lt;=12*'🎚️ Escenario'!$C$11,1,1+$C$6))</f>
        <v>0</v>
      </c>
      <c r="EK438" s="237" t="n">
        <f aca="false">IF(EK436=0,0,IF(EK436&lt;=12*'🎚️ Escenario'!$C$11,1,1+$C$6))</f>
        <v>0</v>
      </c>
      <c r="EL438" s="237" t="n">
        <f aca="false">IF(EL436=0,0,IF(EL436&lt;=12*'🎚️ Escenario'!$C$11,1,1+$C$6))</f>
        <v>0</v>
      </c>
      <c r="EM438" s="237" t="n">
        <f aca="false">IF(EM436=0,0,IF(EM436&lt;=12*'🎚️ Escenario'!$C$11,1,1+$C$6))</f>
        <v>0</v>
      </c>
      <c r="EN438" s="237" t="n">
        <f aca="false">IF(EN436=0,0,IF(EN436&lt;=12*'🎚️ Escenario'!$C$11,1,1+$C$6))</f>
        <v>1</v>
      </c>
      <c r="EO438" s="237" t="n">
        <f aca="false">IF(EO436=0,0,IF(EO436&lt;=12*'🎚️ Escenario'!$C$11,1,1+$C$6))</f>
        <v>1</v>
      </c>
      <c r="EP438" s="237" t="n">
        <f aca="false">IF(EP436=0,0,IF(EP436&lt;=12*'🎚️ Escenario'!$C$11,1,1+$C$6))</f>
        <v>1</v>
      </c>
      <c r="EQ438" s="237" t="n">
        <f aca="false">IF(EQ436=0,0,IF(EQ436&lt;=12*'🎚️ Escenario'!$C$11,1,1+$C$6))</f>
        <v>1</v>
      </c>
      <c r="ER438" s="237" t="n">
        <f aca="false">IF(ER436=0,0,IF(ER436&lt;=12*'🎚️ Escenario'!$C$11,1,1+$C$6))</f>
        <v>1</v>
      </c>
      <c r="ES438" s="9" t="n">
        <f aca="false">IF(ES436=0,0,IF(ES436&lt;=12*'🎚️ Escenario'!$C$11,1,1+$C$6))</f>
        <v>1</v>
      </c>
      <c r="ET438" s="9" t="n">
        <f aca="false">IF(ET436=0,0,IF(ET436&lt;=12*'🎚️ Escenario'!$C$11,1,1+$C$6))</f>
        <v>1</v>
      </c>
      <c r="EU438" s="9" t="n">
        <f aca="false">IF(EU436=0,0,IF(EU436&lt;=12*'🎚️ Escenario'!$C$11,1,1+$C$6))</f>
        <v>1</v>
      </c>
      <c r="EV438" s="9" t="n">
        <f aca="false">IF(EV436=0,0,IF(EV436&lt;=12*'🎚️ Escenario'!$C$11,1,1+$C$6))</f>
        <v>1</v>
      </c>
      <c r="EW438" s="9" t="n">
        <f aca="false">IF(EW436=0,0,IF(EW436&lt;=12*'🎚️ Escenario'!$C$11,1,1+$C$6))</f>
        <v>1</v>
      </c>
      <c r="EX438" s="9" t="n">
        <f aca="false">IF(EX436=0,0,IF(EX436&lt;=12*'🎚️ Escenario'!$C$11,1,1+$C$6))</f>
        <v>1</v>
      </c>
      <c r="EY438" s="9" t="n">
        <f aca="false">IF(EY436=0,0,IF(EY436&lt;=12*'🎚️ Escenario'!$C$11,1,1+$C$6))</f>
        <v>1</v>
      </c>
      <c r="EZ438" s="9" t="n">
        <f aca="false">IF(EZ436=0,0,IF(EZ436&lt;=12*'🎚️ Escenario'!$C$11,1,1+$C$6))</f>
        <v>1</v>
      </c>
      <c r="FA438" s="9" t="n">
        <f aca="false">IF(FA436=0,0,IF(FA436&lt;=12*'🎚️ Escenario'!$C$11,1,1+$C$6))</f>
        <v>1</v>
      </c>
      <c r="FB438" s="9" t="n">
        <f aca="false">IF(FB436=0,0,IF(FB436&lt;=12*'🎚️ Escenario'!$C$11,1,1+$C$6))</f>
        <v>1</v>
      </c>
      <c r="FC438" s="238" t="n">
        <f aca="false">IF(FC436=0,0,IF(FC436&lt;=12*'🎚️ Escenario'!$C$11,1,1+$C$6))</f>
        <v>1.2</v>
      </c>
      <c r="FD438" s="238" t="n">
        <f aca="false">IF(FD436=0,0,IF(FD436&lt;=12*'🎚️ Escenario'!$C$11,1,1+$C$6))</f>
        <v>1.2</v>
      </c>
      <c r="FE438" s="238" t="n">
        <f aca="false">IF(FE436=0,0,IF(FE436&lt;=12*'🎚️ Escenario'!$C$11,1,1+$C$6))</f>
        <v>1.2</v>
      </c>
      <c r="FF438" s="238" t="n">
        <f aca="false">IF(FF436=0,0,IF(FF436&lt;=12*'🎚️ Escenario'!$C$11,1,1+$C$6))</f>
        <v>1.2</v>
      </c>
      <c r="FG438" s="238" t="n">
        <f aca="false">IF(FG436=0,0,IF(FG436&lt;=12*'🎚️ Escenario'!$C$11,1,1+$C$6))</f>
        <v>1.2</v>
      </c>
      <c r="FH438" s="238" t="n">
        <f aca="false">IF(FH436=0,0,IF(FH436&lt;=12*'🎚️ Escenario'!$C$11,1,1+$C$6))</f>
        <v>1.2</v>
      </c>
      <c r="FI438" s="238" t="n">
        <f aca="false">IF(FI436=0,0,IF(FI436&lt;=12*'🎚️ Escenario'!$C$11,1,1+$C$6))</f>
        <v>1.2</v>
      </c>
      <c r="FJ438" s="238" t="n">
        <f aca="false">IF(FJ436=0,0,IF(FJ436&lt;=12*'🎚️ Escenario'!$C$11,1,1+$C$6))</f>
        <v>1.2</v>
      </c>
      <c r="FK438" s="238" t="n">
        <f aca="false">IF(FK436=0,0,IF(FK436&lt;=12*'🎚️ Escenario'!$C$11,1,1+$C$6))</f>
        <v>1.2</v>
      </c>
      <c r="FL438" s="238" t="n">
        <f aca="false">IF(FL436=0,0,IF(FL436&lt;=12*'🎚️ Escenario'!$C$11,1,1+$C$6))</f>
        <v>1.2</v>
      </c>
      <c r="FM438" s="238" t="n">
        <f aca="false">IF(FM436=0,0,IF(FM436&lt;=12*'🎚️ Escenario'!$C$11,1,1+$C$6))</f>
        <v>1.2</v>
      </c>
      <c r="FN438" s="238" t="n">
        <f aca="false">IF(FN436=0,0,IF(FN436&lt;=12*'🎚️ Escenario'!$C$11,1,1+$C$6))</f>
        <v>1.2</v>
      </c>
      <c r="FO438" s="238" t="n">
        <f aca="false">IF(FO436=0,0,IF(FO436&lt;=12*'🎚️ Escenario'!$C$11,1,1+$C$6))</f>
        <v>1.2</v>
      </c>
      <c r="FP438" s="238" t="n">
        <f aca="false">IF(FP436=0,0,IF(FP436&lt;=12*'🎚️ Escenario'!$C$11,1,1+$C$6))</f>
        <v>1.2</v>
      </c>
    </row>
    <row r="439" customFormat="false" ht="15" hidden="false" customHeight="false" outlineLevel="2" collapsed="false">
      <c r="B439" s="47" t="s">
        <v>876</v>
      </c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237" t="n">
        <f aca="false">AC437*$AC$435*AC438*AC$38*'⑫ Roll-out Plan'!$O$48</f>
        <v>0</v>
      </c>
      <c r="AD439" s="237" t="n">
        <f aca="false">AD437*$AC$435*AD438*AD$38*'⑫ Roll-out Plan'!$O$48</f>
        <v>0</v>
      </c>
      <c r="AE439" s="237" t="n">
        <f aca="false">AE437*$AC$435*AE438*AE$38*'⑫ Roll-out Plan'!$O$48</f>
        <v>0</v>
      </c>
      <c r="AF439" s="237" t="n">
        <f aca="false">AF437*$AC$435*AF438*AF$38*'⑫ Roll-out Plan'!$O$48</f>
        <v>0</v>
      </c>
      <c r="AG439" s="237" t="n">
        <f aca="false">AG437*$AC$435*AG438*AG$38*'⑫ Roll-out Plan'!$O$48</f>
        <v>0</v>
      </c>
      <c r="AH439" s="237" t="n">
        <f aca="false">AH437*$AC$435*AH438*AH$38*'⑫ Roll-out Plan'!$O$48</f>
        <v>0</v>
      </c>
      <c r="AI439" s="237" t="n">
        <f aca="false">AI437*$AC$435*AI438*AI$38*'⑫ Roll-out Plan'!$O$48</f>
        <v>0</v>
      </c>
      <c r="AJ439" s="237" t="n">
        <f aca="false">AJ437*$AC$435*AJ438*AJ$38*'⑫ Roll-out Plan'!$O$48</f>
        <v>0</v>
      </c>
      <c r="AK439" s="237" t="n">
        <f aca="false">AK437*$AC$435*AK438*AK$38*'⑫ Roll-out Plan'!$O$48</f>
        <v>0</v>
      </c>
      <c r="AL439" s="237" t="n">
        <f aca="false">AL437*$AC$435*AL438*AL$38*'⑫ Roll-out Plan'!$O$48</f>
        <v>0</v>
      </c>
      <c r="AM439" s="237" t="n">
        <f aca="false">AM437*$AC$435*AM438*AM$38*'⑫ Roll-out Plan'!$O$48</f>
        <v>0</v>
      </c>
      <c r="AN439" s="237" t="n">
        <f aca="false">AN437*$AC$435*AN438*AN$38*'⑫ Roll-out Plan'!$O$48</f>
        <v>0</v>
      </c>
      <c r="AO439" s="237" t="n">
        <f aca="false">AO437*$AC$435*AO438*AO$38*'⑫ Roll-out Plan'!$O$48</f>
        <v>0</v>
      </c>
      <c r="AP439" s="237" t="n">
        <f aca="false">AP437*$AC$435*AP438*AP$38*'⑫ Roll-out Plan'!$O$48</f>
        <v>0</v>
      </c>
      <c r="AQ439" s="237" t="n">
        <f aca="false">AQ437*$AC$435*AQ438*AQ$38*'⑫ Roll-out Plan'!$O$48</f>
        <v>0</v>
      </c>
      <c r="AR439" s="237" t="n">
        <f aca="false">AR437*$AC$435*AR438*AR$38*'⑫ Roll-out Plan'!$O$48</f>
        <v>0</v>
      </c>
      <c r="AS439" s="237" t="n">
        <f aca="false">AS437*$AC$435*AS438*AS$38*'⑫ Roll-out Plan'!$O$48</f>
        <v>0</v>
      </c>
      <c r="AT439" s="237" t="n">
        <f aca="false">AT437*$AC$435*AT438*AT$38*'⑫ Roll-out Plan'!$O$48</f>
        <v>0</v>
      </c>
      <c r="AU439" s="237" t="n">
        <f aca="false">AU437*$AC$435*AU438*AU$38*'⑫ Roll-out Plan'!$O$48</f>
        <v>0</v>
      </c>
      <c r="AV439" s="237" t="n">
        <f aca="false">AV437*$AC$435*AV438*AV$38*'⑫ Roll-out Plan'!$O$48</f>
        <v>0</v>
      </c>
      <c r="AW439" s="237" t="n">
        <f aca="false">AW437*$AC$435*AW438*AW$38*'⑫ Roll-out Plan'!$O$48</f>
        <v>0</v>
      </c>
      <c r="AX439" s="237" t="n">
        <f aca="false">AX437*$AC$435*AX438*AX$38*'⑫ Roll-out Plan'!$O$48</f>
        <v>0</v>
      </c>
      <c r="AY439" s="237" t="n">
        <f aca="false">AY437*$AC$435*AY438*AY$38*'⑫ Roll-out Plan'!$O$48</f>
        <v>0</v>
      </c>
      <c r="AZ439" s="237" t="n">
        <f aca="false">AZ437*$AC$435*AZ438*AZ$38*'⑫ Roll-out Plan'!$O$48</f>
        <v>0</v>
      </c>
      <c r="BA439" s="237" t="n">
        <f aca="false">BA437*$AC$435*BA438*BA$38*'⑫ Roll-out Plan'!$O$48</f>
        <v>0</v>
      </c>
      <c r="BB439" s="237" t="n">
        <f aca="false">BB437*$AC$435*BB438*BB$38*'⑫ Roll-out Plan'!$O$48</f>
        <v>0</v>
      </c>
      <c r="BC439" s="237" t="n">
        <f aca="false">BC437*$AC$435*BC438*BC$38*'⑫ Roll-out Plan'!$O$48</f>
        <v>0</v>
      </c>
      <c r="BD439" s="237" t="n">
        <f aca="false">BD437*$AC$435*BD438*BD$38*'⑫ Roll-out Plan'!$O$48</f>
        <v>0</v>
      </c>
      <c r="BE439" s="237" t="n">
        <f aca="false">BE437*$AC$435*BE438*BE$38*'⑫ Roll-out Plan'!$O$48</f>
        <v>0</v>
      </c>
      <c r="BF439" s="237" t="n">
        <f aca="false">BF437*$AC$435*BF438*BF$38*'⑫ Roll-out Plan'!$O$48</f>
        <v>0</v>
      </c>
      <c r="BG439" s="237" t="n">
        <f aca="false">BG437*$AC$435*BG438*BG$38*'⑫ Roll-out Plan'!$O$48</f>
        <v>0</v>
      </c>
      <c r="BH439" s="237" t="n">
        <f aca="false">BH437*$AC$435*BH438*BH$38*'⑫ Roll-out Plan'!$O$48</f>
        <v>0</v>
      </c>
      <c r="BI439" s="237" t="n">
        <f aca="false">BI437*$AC$435*BI438*BI$38*'⑫ Roll-out Plan'!$O$48</f>
        <v>0</v>
      </c>
      <c r="BJ439" s="237" t="n">
        <f aca="false">BJ437*$AC$435*BJ438*BJ$38*'⑫ Roll-out Plan'!$O$48</f>
        <v>0</v>
      </c>
      <c r="BK439" s="237" t="n">
        <f aca="false">BK437*$AC$435*BK438*BK$38*'⑫ Roll-out Plan'!$O$48</f>
        <v>0</v>
      </c>
      <c r="BL439" s="237" t="n">
        <f aca="false">BL437*$AC$435*BL438*BL$38*'⑫ Roll-out Plan'!$O$48</f>
        <v>0</v>
      </c>
      <c r="BM439" s="237" t="n">
        <f aca="false">BM437*$AC$435*BM438*BM$38*'⑫ Roll-out Plan'!$O$48</f>
        <v>0</v>
      </c>
      <c r="BN439" s="237" t="n">
        <f aca="false">BN437*$AC$435*BN438*BN$38*'⑫ Roll-out Plan'!$O$48</f>
        <v>0</v>
      </c>
      <c r="BO439" s="237" t="n">
        <f aca="false">BO437*$AC$435*BO438*BO$38*'⑫ Roll-out Plan'!$O$48</f>
        <v>0</v>
      </c>
      <c r="BP439" s="237" t="n">
        <f aca="false">BP437*$AC$435*BP438*BP$38*'⑫ Roll-out Plan'!$O$48</f>
        <v>0</v>
      </c>
      <c r="BQ439" s="237" t="n">
        <f aca="false">BQ437*$AC$435*BQ438*BQ$38*'⑫ Roll-out Plan'!$O$48</f>
        <v>0</v>
      </c>
      <c r="BR439" s="237" t="n">
        <f aca="false">BR437*$AC$435*BR438*BR$38*'⑫ Roll-out Plan'!$O$48</f>
        <v>0</v>
      </c>
      <c r="BS439" s="237" t="n">
        <f aca="false">BS437*$AC$435*BS438*BS$38*'⑫ Roll-out Plan'!$O$48</f>
        <v>0</v>
      </c>
      <c r="BT439" s="237" t="n">
        <f aca="false">BT437*$AC$435*BT438*BT$38*'⑫ Roll-out Plan'!$O$48</f>
        <v>0</v>
      </c>
      <c r="BU439" s="237" t="n">
        <f aca="false">BU437*$AC$435*BU438*BU$38*'⑫ Roll-out Plan'!$O$48</f>
        <v>0</v>
      </c>
      <c r="BV439" s="237" t="n">
        <f aca="false">BV437*$AC$435*BV438*BV$38*'⑫ Roll-out Plan'!$O$48</f>
        <v>0</v>
      </c>
      <c r="BW439" s="237" t="n">
        <f aca="false">BW437*$AC$435*BW438*BW$38*'⑫ Roll-out Plan'!$O$48</f>
        <v>0</v>
      </c>
      <c r="BX439" s="237" t="n">
        <f aca="false">BX437*$AC$435*BX438*BX$38*'⑫ Roll-out Plan'!$O$48</f>
        <v>0</v>
      </c>
      <c r="BY439" s="237" t="n">
        <f aca="false">BY437*$AC$435*BY438*BY$38*'⑫ Roll-out Plan'!$O$48</f>
        <v>0</v>
      </c>
      <c r="BZ439" s="237" t="n">
        <f aca="false">BZ437*$AC$435*BZ438*BZ$38*'⑫ Roll-out Plan'!$O$48</f>
        <v>0</v>
      </c>
      <c r="CA439" s="237" t="n">
        <f aca="false">CA437*$AC$435*CA438*CA$38*'⑫ Roll-out Plan'!$O$48</f>
        <v>0</v>
      </c>
      <c r="CB439" s="237" t="n">
        <f aca="false">CB437*$AC$435*CB438*CB$38*'⑫ Roll-out Plan'!$O$48</f>
        <v>0</v>
      </c>
      <c r="CC439" s="237" t="n">
        <f aca="false">CC437*$AC$435*CC438*CC$38*'⑫ Roll-out Plan'!$O$48</f>
        <v>0</v>
      </c>
      <c r="CD439" s="237" t="n">
        <f aca="false">CD437*$AC$435*CD438*CD$38*'⑫ Roll-out Plan'!$O$48</f>
        <v>0</v>
      </c>
      <c r="CE439" s="237" t="n">
        <f aca="false">CE437*$AC$435*CE438*CE$38*'⑫ Roll-out Plan'!$O$48</f>
        <v>0</v>
      </c>
      <c r="CF439" s="237" t="n">
        <f aca="false">CF437*$AC$435*CF438*CF$38*'⑫ Roll-out Plan'!$O$48</f>
        <v>0</v>
      </c>
      <c r="CG439" s="237" t="n">
        <f aca="false">CG437*$AC$435*CG438*CG$38*'⑫ Roll-out Plan'!$O$48</f>
        <v>0</v>
      </c>
      <c r="CH439" s="237" t="n">
        <f aca="false">CH437*$AC$435*CH438*CH$38*'⑫ Roll-out Plan'!$O$48</f>
        <v>0</v>
      </c>
      <c r="CI439" s="237" t="n">
        <f aca="false">CI437*$AC$435*CI438*CI$38*'⑫ Roll-out Plan'!$O$48</f>
        <v>0</v>
      </c>
      <c r="CJ439" s="237" t="n">
        <f aca="false">CJ437*$AC$435*CJ438*CJ$38*'⑫ Roll-out Plan'!$O$48</f>
        <v>0</v>
      </c>
      <c r="CK439" s="237" t="n">
        <f aca="false">CK437*$AC$435*CK438*CK$38*'⑫ Roll-out Plan'!$O$48</f>
        <v>0</v>
      </c>
      <c r="CL439" s="237" t="n">
        <f aca="false">CL437*$AC$435*CL438*CL$38*'⑫ Roll-out Plan'!$O$48</f>
        <v>0</v>
      </c>
      <c r="CM439" s="237" t="n">
        <f aca="false">CM437*$AC$435*CM438*CM$38*'⑫ Roll-out Plan'!$O$48</f>
        <v>0</v>
      </c>
      <c r="CN439" s="237" t="n">
        <f aca="false">CN437*$AC$435*CN438*CN$38*'⑫ Roll-out Plan'!$O$48</f>
        <v>0</v>
      </c>
      <c r="CO439" s="237" t="n">
        <f aca="false">CO437*$AC$435*CO438*CO$38*'⑫ Roll-out Plan'!$O$48</f>
        <v>0</v>
      </c>
      <c r="CP439" s="237" t="n">
        <f aca="false">CP437*$AC$435*CP438*CP$38*'⑫ Roll-out Plan'!$O$48</f>
        <v>0</v>
      </c>
      <c r="CQ439" s="237" t="n">
        <f aca="false">CQ437*$AC$435*CQ438*CQ$38*'⑫ Roll-out Plan'!$O$48</f>
        <v>0</v>
      </c>
      <c r="CR439" s="237" t="n">
        <f aca="false">CR437*$AC$435*CR438*CR$38*'⑫ Roll-out Plan'!$O$48</f>
        <v>0</v>
      </c>
      <c r="CS439" s="237" t="n">
        <f aca="false">CS437*$AC$435*CS438*CS$38*'⑫ Roll-out Plan'!$O$48</f>
        <v>0</v>
      </c>
      <c r="CT439" s="237" t="n">
        <f aca="false">CT437*$AC$435*CT438*CT$38*'⑫ Roll-out Plan'!$O$48</f>
        <v>0</v>
      </c>
      <c r="CU439" s="237" t="n">
        <f aca="false">CU437*$AC$435*CU438*CU$38*'⑫ Roll-out Plan'!$O$48</f>
        <v>0</v>
      </c>
      <c r="CV439" s="237" t="n">
        <f aca="false">CV437*$AC$435*CV438*CV$38*'⑫ Roll-out Plan'!$O$48</f>
        <v>0</v>
      </c>
      <c r="CW439" s="237" t="n">
        <f aca="false">CW437*$AC$435*CW438*CW$38*'⑫ Roll-out Plan'!$O$48</f>
        <v>0</v>
      </c>
      <c r="CX439" s="237" t="n">
        <f aca="false">CX437*$AC$435*CX438*CX$38*'⑫ Roll-out Plan'!$O$48</f>
        <v>0</v>
      </c>
      <c r="CY439" s="237" t="n">
        <f aca="false">CY437*$AC$435*CY438*CY$38*'⑫ Roll-out Plan'!$O$48</f>
        <v>0</v>
      </c>
      <c r="CZ439" s="237" t="n">
        <f aca="false">CZ437*$AC$435*CZ438*CZ$38*'⑫ Roll-out Plan'!$O$48</f>
        <v>0</v>
      </c>
      <c r="DA439" s="237" t="n">
        <f aca="false">DA437*$AC$435*DA438*DA$38*'⑫ Roll-out Plan'!$O$48</f>
        <v>0</v>
      </c>
      <c r="DB439" s="237" t="n">
        <f aca="false">DB437*$AC$435*DB438*DB$38*'⑫ Roll-out Plan'!$O$48</f>
        <v>0</v>
      </c>
      <c r="DC439" s="237" t="n">
        <f aca="false">DC437*$AC$435*DC438*DC$38*'⑫ Roll-out Plan'!$O$48</f>
        <v>0</v>
      </c>
      <c r="DD439" s="237" t="n">
        <f aca="false">DD437*$AC$435*DD438*DD$38*'⑫ Roll-out Plan'!$O$48</f>
        <v>0</v>
      </c>
      <c r="DE439" s="237" t="n">
        <f aca="false">DE437*$AC$435*DE438*DE$38*'⑫ Roll-out Plan'!$O$48</f>
        <v>0</v>
      </c>
      <c r="DF439" s="237" t="n">
        <f aca="false">DF437*$AC$435*DF438*DF$38*'⑫ Roll-out Plan'!$O$48</f>
        <v>0</v>
      </c>
      <c r="DG439" s="237" t="n">
        <f aca="false">DG437*$AC$435*DG438*DG$38*'⑫ Roll-out Plan'!$O$48</f>
        <v>0</v>
      </c>
      <c r="DH439" s="237" t="n">
        <f aca="false">DH437*$AC$435*DH438*DH$38*'⑫ Roll-out Plan'!$O$48</f>
        <v>0</v>
      </c>
      <c r="DI439" s="237" t="n">
        <f aca="false">DI437*$AC$435*DI438*DI$38*'⑫ Roll-out Plan'!$O$48</f>
        <v>0</v>
      </c>
      <c r="DJ439" s="237" t="n">
        <f aca="false">DJ437*$AC$435*DJ438*DJ$38*'⑫ Roll-out Plan'!$O$48</f>
        <v>0</v>
      </c>
      <c r="DK439" s="237" t="n">
        <f aca="false">DK437*$AC$435*DK438*DK$38*'⑫ Roll-out Plan'!$O$48</f>
        <v>0</v>
      </c>
      <c r="DL439" s="237" t="n">
        <f aca="false">DL437*$AC$435*DL438*DL$38*'⑫ Roll-out Plan'!$O$48</f>
        <v>0</v>
      </c>
      <c r="DM439" s="237" t="n">
        <f aca="false">DM437*$AC$435*DM438*DM$38*'⑫ Roll-out Plan'!$O$48</f>
        <v>0</v>
      </c>
      <c r="DN439" s="237" t="n">
        <f aca="false">DN437*$AC$435*DN438*DN$38*'⑫ Roll-out Plan'!$O$48</f>
        <v>0</v>
      </c>
      <c r="DO439" s="237" t="n">
        <f aca="false">DO437*$AC$435*DO438*DO$38*'⑫ Roll-out Plan'!$O$48</f>
        <v>0</v>
      </c>
      <c r="DP439" s="237" t="n">
        <f aca="false">DP437*$AC$435*DP438*DP$38*'⑫ Roll-out Plan'!$O$48</f>
        <v>0</v>
      </c>
      <c r="DQ439" s="237" t="n">
        <f aca="false">DQ437*$AC$435*DQ438*DQ$38*'⑫ Roll-out Plan'!$O$48</f>
        <v>0</v>
      </c>
      <c r="DR439" s="237" t="n">
        <f aca="false">DR437*$AC$435*DR438*DR$38*'⑫ Roll-out Plan'!$O$48</f>
        <v>0</v>
      </c>
      <c r="DS439" s="237" t="n">
        <f aca="false">DS437*$AC$435*DS438*DS$38*'⑫ Roll-out Plan'!$O$48</f>
        <v>0</v>
      </c>
      <c r="DT439" s="237" t="n">
        <f aca="false">DT437*$AC$435*DT438*DT$38*'⑫ Roll-out Plan'!$O$48</f>
        <v>0</v>
      </c>
      <c r="DU439" s="237" t="n">
        <f aca="false">DU437*$AC$435*DU438*DU$38*'⑫ Roll-out Plan'!$O$48</f>
        <v>0</v>
      </c>
      <c r="DV439" s="237" t="n">
        <f aca="false">DV437*$AC$435*DV438*DV$38*'⑫ Roll-out Plan'!$O$48</f>
        <v>0</v>
      </c>
      <c r="DW439" s="237" t="n">
        <f aca="false">DW437*$AC$435*DW438*DW$38*'⑫ Roll-out Plan'!$O$48</f>
        <v>0</v>
      </c>
      <c r="DX439" s="237" t="n">
        <f aca="false">DX437*$AC$435*DX438*DX$38*'⑫ Roll-out Plan'!$O$48</f>
        <v>0</v>
      </c>
      <c r="DY439" s="237" t="n">
        <f aca="false">DY437*$AC$435*DY438*DY$38*'⑫ Roll-out Plan'!$O$48</f>
        <v>0</v>
      </c>
      <c r="DZ439" s="237" t="n">
        <f aca="false">DZ437*$AC$435*DZ438*DZ$38*'⑫ Roll-out Plan'!$O$48</f>
        <v>0</v>
      </c>
      <c r="EA439" s="237" t="n">
        <f aca="false">EA437*$AC$435*EA438*EA$38*'⑫ Roll-out Plan'!$O$48</f>
        <v>0</v>
      </c>
      <c r="EB439" s="237" t="n">
        <f aca="false">EB437*$AC$435*EB438*EB$38*'⑫ Roll-out Plan'!$O$48</f>
        <v>0</v>
      </c>
      <c r="EC439" s="237" t="n">
        <f aca="false">EC437*$AC$435*EC438*EC$38*'⑫ Roll-out Plan'!$O$48</f>
        <v>0</v>
      </c>
      <c r="ED439" s="237" t="n">
        <f aca="false">ED437*$AC$435*ED438*ED$38*'⑫ Roll-out Plan'!$O$48</f>
        <v>0</v>
      </c>
      <c r="EE439" s="237" t="n">
        <f aca="false">EE437*$AC$435*EE438*EE$38*'⑫ Roll-out Plan'!$O$48</f>
        <v>0</v>
      </c>
      <c r="EF439" s="237" t="n">
        <f aca="false">EF437*$AC$435*EF438*EF$38*'⑫ Roll-out Plan'!$O$48</f>
        <v>0</v>
      </c>
      <c r="EG439" s="237" t="n">
        <f aca="false">EG437*$AC$435*EG438*EG$38*'⑫ Roll-out Plan'!$O$48</f>
        <v>0</v>
      </c>
      <c r="EH439" s="237" t="n">
        <f aca="false">EH437*$AC$435*EH438*EH$38*'⑫ Roll-out Plan'!$O$48</f>
        <v>0</v>
      </c>
      <c r="EI439" s="237" t="n">
        <f aca="false">EI437*$AC$435*EI438*EI$38*'⑫ Roll-out Plan'!$O$48</f>
        <v>0</v>
      </c>
      <c r="EJ439" s="237" t="n">
        <f aca="false">EJ437*$AC$435*EJ438*EJ$38*'⑫ Roll-out Plan'!$O$48</f>
        <v>0</v>
      </c>
      <c r="EK439" s="237" t="n">
        <f aca="false">EK437*$AC$435*EK438*EK$38*'⑫ Roll-out Plan'!$O$48</f>
        <v>0</v>
      </c>
      <c r="EL439" s="237" t="n">
        <f aca="false">EL437*$AC$435*EL438*EL$38*'⑫ Roll-out Plan'!$O$48</f>
        <v>0</v>
      </c>
      <c r="EM439" s="237" t="n">
        <f aca="false">EM437*$AC$435*EM438*EM$38*'⑫ Roll-out Plan'!$O$48</f>
        <v>0</v>
      </c>
      <c r="EN439" s="237" t="n">
        <f aca="false">EN437*$AC$435*EN438*EN$38*'⑫ Roll-out Plan'!$O$48</f>
        <v>52.54</v>
      </c>
      <c r="EO439" s="237" t="n">
        <f aca="false">EO437*$AC$435*EO438*EO$38*'⑫ Roll-out Plan'!$O$48</f>
        <v>47.212</v>
      </c>
      <c r="EP439" s="237" t="n">
        <f aca="false">EP437*$AC$435*EP438*EP$38*'⑫ Roll-out Plan'!$O$48</f>
        <v>42.624</v>
      </c>
      <c r="EQ439" s="237" t="n">
        <f aca="false">EQ437*$AC$435*EQ438*EQ$38*'⑫ Roll-out Plan'!$O$48</f>
        <v>35.964</v>
      </c>
      <c r="ER439" s="237" t="n">
        <f aca="false">ER437*$AC$435*ER438*ER$38*'⑫ Roll-out Plan'!$O$48</f>
        <v>50.949</v>
      </c>
      <c r="ES439" s="9" t="n">
        <f aca="false">ES437*$AC$435*ES438*ES$38*'⑫ Roll-out Plan'!$O$48</f>
        <v>61.938</v>
      </c>
      <c r="ET439" s="9" t="n">
        <f aca="false">ET437*$AC$435*ET438*ET$38*'⑫ Roll-out Plan'!$O$48</f>
        <v>53.095</v>
      </c>
      <c r="EU439" s="9" t="n">
        <f aca="false">EU437*$AC$435*EU438*EU$38*'⑫ Roll-out Plan'!$O$48</f>
        <v>83.694</v>
      </c>
      <c r="EV439" s="9" t="n">
        <f aca="false">EV437*$AC$435*EV438*EV$38*'⑫ Roll-out Plan'!$O$48</f>
        <v>89.54</v>
      </c>
      <c r="EW439" s="9" t="n">
        <f aca="false">EW437*$AC$435*EW438*EW$38*'⑫ Roll-out Plan'!$O$48</f>
        <v>74.888</v>
      </c>
      <c r="EX439" s="9" t="n">
        <f aca="false">EX437*$AC$435*EX438*EX$38*'⑫ Roll-out Plan'!$O$48</f>
        <v>71.04</v>
      </c>
      <c r="EY439" s="9" t="n">
        <f aca="false">EY437*$AC$435*EY438*EY$38*'⑫ Roll-out Plan'!$O$48</f>
        <v>80.808</v>
      </c>
      <c r="EZ439" s="9" t="n">
        <f aca="false">EZ437*$AC$435*EZ438*EZ$38*'⑫ Roll-out Plan'!$O$48</f>
        <v>147.112</v>
      </c>
      <c r="FA439" s="9" t="n">
        <f aca="false">FA437*$AC$435*FA438*FA$38*'⑫ Roll-out Plan'!$O$48</f>
        <v>128.76</v>
      </c>
      <c r="FB439" s="9" t="n">
        <f aca="false">FB437*$AC$435*FB438*FB$38*'⑫ Roll-out Plan'!$O$48</f>
        <v>106.56</v>
      </c>
      <c r="FC439" s="9" t="n">
        <f aca="false">FC437*$AC$435*FC438*FC$38*'⑫ Roll-out Plan'!$O$48</f>
        <v>100.6992</v>
      </c>
      <c r="FD439" s="9" t="n">
        <f aca="false">FD437*$AC$435*FD438*FD$38*'⑫ Roll-out Plan'!$O$48</f>
        <v>149.4504</v>
      </c>
      <c r="FE439" s="9" t="n">
        <f aca="false">FE437*$AC$435*FE438*FE$38*'⑫ Roll-out Plan'!$O$48</f>
        <v>165.4344</v>
      </c>
      <c r="FF439" s="9" t="n">
        <f aca="false">FF437*$AC$435*FF438*FF$38*'⑫ Roll-out Plan'!$O$48</f>
        <v>129.2484</v>
      </c>
      <c r="FG439" s="9" t="n">
        <f aca="false">FG437*$AC$435*FG438*FG$38*'⑫ Roll-out Plan'!$O$48</f>
        <v>182.8392</v>
      </c>
      <c r="FH439" s="9" t="n">
        <f aca="false">FH437*$AC$435*FH438*FH$38*'⑫ Roll-out Plan'!$O$48</f>
        <v>178.266</v>
      </c>
      <c r="FI439" s="9" t="n">
        <f aca="false">FI437*$AC$435*FI438*FI$38*'⑫ Roll-out Plan'!$O$48</f>
        <v>153.18</v>
      </c>
      <c r="FJ439" s="9" t="n">
        <f aca="false">FJ437*$AC$435*FJ438*FJ$38*'⑫ Roll-out Plan'!$O$48</f>
        <v>136.752</v>
      </c>
      <c r="FK439" s="9" t="n">
        <f aca="false">FK437*$AC$435*FK438*FK$38*'⑫ Roll-out Plan'!$O$48</f>
        <v>147.3192</v>
      </c>
      <c r="FL439" s="9" t="n">
        <f aca="false">FL437*$AC$435*FL438*FL$38*'⑫ Roll-out Plan'!$O$48</f>
        <v>249.0396</v>
      </c>
      <c r="FM439" s="9" t="n">
        <f aca="false">FM437*$AC$435*FM438*FM$38*'⑫ Roll-out Plan'!$O$48</f>
        <v>206.016</v>
      </c>
      <c r="FN439" s="9" t="n">
        <f aca="false">FN437*$AC$435*FN438*FN$38*'⑫ Roll-out Plan'!$O$48</f>
        <v>174.7584</v>
      </c>
      <c r="FO439" s="9" t="n">
        <f aca="false">FO437*$AC$435*FO438*FO$38*'⑫ Roll-out Plan'!$O$48</f>
        <v>134.2656</v>
      </c>
      <c r="FP439" s="9" t="n">
        <f aca="false">FP437*$AC$435*FP438*FP$38*'⑫ Roll-out Plan'!$O$48</f>
        <v>192.474</v>
      </c>
    </row>
    <row r="440" customFormat="false" ht="15" hidden="false" customHeight="false" outlineLevel="2" collapsed="false">
      <c r="B440" s="47" t="s">
        <v>877</v>
      </c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237" t="n">
        <f aca="true">IFERROR(SUMPRODUCT(OFFSET($BJ$31,0,1-MIN(60,COLUMN()-29),1,MIN(60,COLUMN()-29)),OFFSET(AC439,0,-MIN(60,COLUMN()-29),1,MIN(60,COLUMN()-29))),0)</f>
        <v>0</v>
      </c>
      <c r="AD440" s="237" t="n">
        <f aca="true">IFERROR(SUMPRODUCT(OFFSET($BJ$31,0,1-MIN(60,COLUMN()-29),1,MIN(60,COLUMN()-29)),OFFSET(AD439,0,-MIN(60,COLUMN()-29),1,MIN(60,COLUMN()-29))),0)</f>
        <v>0</v>
      </c>
      <c r="AE440" s="237" t="n">
        <f aca="true">IFERROR(SUMPRODUCT(OFFSET($BJ$31,0,1-MIN(60,COLUMN()-29),1,MIN(60,COLUMN()-29)),OFFSET(AE439,0,-MIN(60,COLUMN()-29),1,MIN(60,COLUMN()-29))),0)</f>
        <v>0</v>
      </c>
      <c r="AF440" s="237" t="n">
        <f aca="true">IFERROR(SUMPRODUCT(OFFSET($BJ$31,0,1-MIN(60,COLUMN()-29),1,MIN(60,COLUMN()-29)),OFFSET(AF439,0,-MIN(60,COLUMN()-29),1,MIN(60,COLUMN()-29))),0)</f>
        <v>0</v>
      </c>
      <c r="AG440" s="237" t="n">
        <f aca="true">IFERROR(SUMPRODUCT(OFFSET($BJ$31,0,1-MIN(60,COLUMN()-29),1,MIN(60,COLUMN()-29)),OFFSET(AG439,0,-MIN(60,COLUMN()-29),1,MIN(60,COLUMN()-29))),0)</f>
        <v>0</v>
      </c>
      <c r="AH440" s="237" t="n">
        <f aca="true">IFERROR(SUMPRODUCT(OFFSET($BJ$31,0,1-MIN(60,COLUMN()-29),1,MIN(60,COLUMN()-29)),OFFSET(AH439,0,-MIN(60,COLUMN()-29),1,MIN(60,COLUMN()-29))),0)</f>
        <v>0</v>
      </c>
      <c r="AI440" s="237" t="n">
        <f aca="true">IFERROR(SUMPRODUCT(OFFSET($BJ$31,0,1-MIN(60,COLUMN()-29),1,MIN(60,COLUMN()-29)),OFFSET(AI439,0,-MIN(60,COLUMN()-29),1,MIN(60,COLUMN()-29))),0)</f>
        <v>0</v>
      </c>
      <c r="AJ440" s="237" t="n">
        <f aca="true">IFERROR(SUMPRODUCT(OFFSET($BJ$31,0,1-MIN(60,COLUMN()-29),1,MIN(60,COLUMN()-29)),OFFSET(AJ439,0,-MIN(60,COLUMN()-29),1,MIN(60,COLUMN()-29))),0)</f>
        <v>0</v>
      </c>
      <c r="AK440" s="237" t="n">
        <f aca="true">IFERROR(SUMPRODUCT(OFFSET($BJ$31,0,1-MIN(60,COLUMN()-29),1,MIN(60,COLUMN()-29)),OFFSET(AK439,0,-MIN(60,COLUMN()-29),1,MIN(60,COLUMN()-29))),0)</f>
        <v>0</v>
      </c>
      <c r="AL440" s="237" t="n">
        <f aca="true">IFERROR(SUMPRODUCT(OFFSET($BJ$31,0,1-MIN(60,COLUMN()-29),1,MIN(60,COLUMN()-29)),OFFSET(AL439,0,-MIN(60,COLUMN()-29),1,MIN(60,COLUMN()-29))),0)</f>
        <v>0</v>
      </c>
      <c r="AM440" s="237" t="n">
        <f aca="true">IFERROR(SUMPRODUCT(OFFSET($BJ$31,0,1-MIN(60,COLUMN()-29),1,MIN(60,COLUMN()-29)),OFFSET(AM439,0,-MIN(60,COLUMN()-29),1,MIN(60,COLUMN()-29))),0)</f>
        <v>0</v>
      </c>
      <c r="AN440" s="237" t="n">
        <f aca="true">IFERROR(SUMPRODUCT(OFFSET($BJ$31,0,1-MIN(60,COLUMN()-29),1,MIN(60,COLUMN()-29)),OFFSET(AN439,0,-MIN(60,COLUMN()-29),1,MIN(60,COLUMN()-29))),0)</f>
        <v>0</v>
      </c>
      <c r="AO440" s="237" t="n">
        <f aca="true">IFERROR(SUMPRODUCT(OFFSET($BJ$31,0,1-MIN(60,COLUMN()-29),1,MIN(60,COLUMN()-29)),OFFSET(AO439,0,-MIN(60,COLUMN()-29),1,MIN(60,COLUMN()-29))),0)</f>
        <v>0</v>
      </c>
      <c r="AP440" s="237" t="n">
        <f aca="true">IFERROR(SUMPRODUCT(OFFSET($BJ$31,0,1-MIN(60,COLUMN()-29),1,MIN(60,COLUMN()-29)),OFFSET(AP439,0,-MIN(60,COLUMN()-29),1,MIN(60,COLUMN()-29))),0)</f>
        <v>0</v>
      </c>
      <c r="AQ440" s="237" t="n">
        <f aca="true">IFERROR(SUMPRODUCT(OFFSET($BJ$31,0,1-MIN(60,COLUMN()-29),1,MIN(60,COLUMN()-29)),OFFSET(AQ439,0,-MIN(60,COLUMN()-29),1,MIN(60,COLUMN()-29))),0)</f>
        <v>0</v>
      </c>
      <c r="AR440" s="237" t="n">
        <f aca="true">IFERROR(SUMPRODUCT(OFFSET($BJ$31,0,1-MIN(60,COLUMN()-29),1,MIN(60,COLUMN()-29)),OFFSET(AR439,0,-MIN(60,COLUMN()-29),1,MIN(60,COLUMN()-29))),0)</f>
        <v>0</v>
      </c>
      <c r="AS440" s="237" t="n">
        <f aca="true">IFERROR(SUMPRODUCT(OFFSET($BJ$31,0,1-MIN(60,COLUMN()-29),1,MIN(60,COLUMN()-29)),OFFSET(AS439,0,-MIN(60,COLUMN()-29),1,MIN(60,COLUMN()-29))),0)</f>
        <v>0</v>
      </c>
      <c r="AT440" s="237" t="n">
        <f aca="true">IFERROR(SUMPRODUCT(OFFSET($BJ$31,0,1-MIN(60,COLUMN()-29),1,MIN(60,COLUMN()-29)),OFFSET(AT439,0,-MIN(60,COLUMN()-29),1,MIN(60,COLUMN()-29))),0)</f>
        <v>0</v>
      </c>
      <c r="AU440" s="237" t="n">
        <f aca="true">IFERROR(SUMPRODUCT(OFFSET($BJ$31,0,1-MIN(60,COLUMN()-29),1,MIN(60,COLUMN()-29)),OFFSET(AU439,0,-MIN(60,COLUMN()-29),1,MIN(60,COLUMN()-29))),0)</f>
        <v>0</v>
      </c>
      <c r="AV440" s="237" t="n">
        <f aca="true">IFERROR(SUMPRODUCT(OFFSET($BJ$31,0,1-MIN(60,COLUMN()-29),1,MIN(60,COLUMN()-29)),OFFSET(AV439,0,-MIN(60,COLUMN()-29),1,MIN(60,COLUMN()-29))),0)</f>
        <v>0</v>
      </c>
      <c r="AW440" s="237" t="n">
        <f aca="true">IFERROR(SUMPRODUCT(OFFSET($BJ$31,0,1-MIN(60,COLUMN()-29),1,MIN(60,COLUMN()-29)),OFFSET(AW439,0,-MIN(60,COLUMN()-29),1,MIN(60,COLUMN()-29))),0)</f>
        <v>0</v>
      </c>
      <c r="AX440" s="237" t="n">
        <f aca="true">IFERROR(SUMPRODUCT(OFFSET($BJ$31,0,1-MIN(60,COLUMN()-29),1,MIN(60,COLUMN()-29)),OFFSET(AX439,0,-MIN(60,COLUMN()-29),1,MIN(60,COLUMN()-29))),0)</f>
        <v>0</v>
      </c>
      <c r="AY440" s="237" t="n">
        <f aca="true">IFERROR(SUMPRODUCT(OFFSET($BJ$31,0,1-MIN(60,COLUMN()-29),1,MIN(60,COLUMN()-29)),OFFSET(AY439,0,-MIN(60,COLUMN()-29),1,MIN(60,COLUMN()-29))),0)</f>
        <v>0</v>
      </c>
      <c r="AZ440" s="237" t="n">
        <f aca="true">IFERROR(SUMPRODUCT(OFFSET($BJ$31,0,1-MIN(60,COLUMN()-29),1,MIN(60,COLUMN()-29)),OFFSET(AZ439,0,-MIN(60,COLUMN()-29),1,MIN(60,COLUMN()-29))),0)</f>
        <v>0</v>
      </c>
      <c r="BA440" s="237" t="n">
        <f aca="true">IFERROR(SUMPRODUCT(OFFSET($BJ$31,0,1-MIN(60,COLUMN()-29),1,MIN(60,COLUMN()-29)),OFFSET(BA439,0,-MIN(60,COLUMN()-29),1,MIN(60,COLUMN()-29))),0)</f>
        <v>0</v>
      </c>
      <c r="BB440" s="237" t="n">
        <f aca="true">IFERROR(SUMPRODUCT(OFFSET($BJ$31,0,1-MIN(60,COLUMN()-29),1,MIN(60,COLUMN()-29)),OFFSET(BB439,0,-MIN(60,COLUMN()-29),1,MIN(60,COLUMN()-29))),0)</f>
        <v>0</v>
      </c>
      <c r="BC440" s="237" t="n">
        <f aca="true">IFERROR(SUMPRODUCT(OFFSET($BJ$31,0,1-MIN(60,COLUMN()-29),1,MIN(60,COLUMN()-29)),OFFSET(BC439,0,-MIN(60,COLUMN()-29),1,MIN(60,COLUMN()-29))),0)</f>
        <v>0</v>
      </c>
      <c r="BD440" s="237" t="n">
        <f aca="true">IFERROR(SUMPRODUCT(OFFSET($BJ$31,0,1-MIN(60,COLUMN()-29),1,MIN(60,COLUMN()-29)),OFFSET(BD439,0,-MIN(60,COLUMN()-29),1,MIN(60,COLUMN()-29))),0)</f>
        <v>0</v>
      </c>
      <c r="BE440" s="237" t="n">
        <f aca="true">IFERROR(SUMPRODUCT(OFFSET($BJ$31,0,1-MIN(60,COLUMN()-29),1,MIN(60,COLUMN()-29)),OFFSET(BE439,0,-MIN(60,COLUMN()-29),1,MIN(60,COLUMN()-29))),0)</f>
        <v>0</v>
      </c>
      <c r="BF440" s="237" t="n">
        <f aca="true">IFERROR(SUMPRODUCT(OFFSET($BJ$31,0,1-MIN(60,COLUMN()-29),1,MIN(60,COLUMN()-29)),OFFSET(BF439,0,-MIN(60,COLUMN()-29),1,MIN(60,COLUMN()-29))),0)</f>
        <v>0</v>
      </c>
      <c r="BG440" s="237" t="n">
        <f aca="true">IFERROR(SUMPRODUCT(OFFSET($BJ$31,0,1-MIN(60,COLUMN()-29),1,MIN(60,COLUMN()-29)),OFFSET(BG439,0,-MIN(60,COLUMN()-29),1,MIN(60,COLUMN()-29))),0)</f>
        <v>0</v>
      </c>
      <c r="BH440" s="237" t="n">
        <f aca="true">IFERROR(SUMPRODUCT(OFFSET($BJ$31,0,1-MIN(60,COLUMN()-29),1,MIN(60,COLUMN()-29)),OFFSET(BH439,0,-MIN(60,COLUMN()-29),1,MIN(60,COLUMN()-29))),0)</f>
        <v>0</v>
      </c>
      <c r="BI440" s="237" t="n">
        <f aca="true">IFERROR(SUMPRODUCT(OFFSET($BJ$31,0,1-MIN(60,COLUMN()-29),1,MIN(60,COLUMN()-29)),OFFSET(BI439,0,-MIN(60,COLUMN()-29),1,MIN(60,COLUMN()-29))),0)</f>
        <v>0</v>
      </c>
      <c r="BJ440" s="237" t="n">
        <f aca="true">IFERROR(SUMPRODUCT(OFFSET($BJ$31,0,1-MIN(60,COLUMN()-29),1,MIN(60,COLUMN()-29)),OFFSET(BJ439,0,-MIN(60,COLUMN()-29),1,MIN(60,COLUMN()-29))),0)</f>
        <v>0</v>
      </c>
      <c r="BK440" s="237" t="n">
        <f aca="true">IFERROR(SUMPRODUCT(OFFSET($BJ$31,0,1-MIN(60,COLUMN()-29),1,MIN(60,COLUMN()-29)),OFFSET(BK439,0,-MIN(60,COLUMN()-29),1,MIN(60,COLUMN()-29))),0)</f>
        <v>0</v>
      </c>
      <c r="BL440" s="237" t="n">
        <f aca="true">IFERROR(SUMPRODUCT(OFFSET($BJ$31,0,1-MIN(60,COLUMN()-29),1,MIN(60,COLUMN()-29)),OFFSET(BL439,0,-MIN(60,COLUMN()-29),1,MIN(60,COLUMN()-29))),0)</f>
        <v>0</v>
      </c>
      <c r="BM440" s="237" t="n">
        <f aca="true">IFERROR(SUMPRODUCT(OFFSET($BJ$31,0,1-MIN(60,COLUMN()-29),1,MIN(60,COLUMN()-29)),OFFSET(BM439,0,-MIN(60,COLUMN()-29),1,MIN(60,COLUMN()-29))),0)</f>
        <v>0</v>
      </c>
      <c r="BN440" s="237" t="n">
        <f aca="true">IFERROR(SUMPRODUCT(OFFSET($BJ$31,0,1-MIN(60,COLUMN()-29),1,MIN(60,COLUMN()-29)),OFFSET(BN439,0,-MIN(60,COLUMN()-29),1,MIN(60,COLUMN()-29))),0)</f>
        <v>0</v>
      </c>
      <c r="BO440" s="237" t="n">
        <f aca="true">IFERROR(SUMPRODUCT(OFFSET($BJ$31,0,1-MIN(60,COLUMN()-29),1,MIN(60,COLUMN()-29)),OFFSET(BO439,0,-MIN(60,COLUMN()-29),1,MIN(60,COLUMN()-29))),0)</f>
        <v>0</v>
      </c>
      <c r="BP440" s="237" t="n">
        <f aca="true">IFERROR(SUMPRODUCT(OFFSET($BJ$31,0,1-MIN(60,COLUMN()-29),1,MIN(60,COLUMN()-29)),OFFSET(BP439,0,-MIN(60,COLUMN()-29),1,MIN(60,COLUMN()-29))),0)</f>
        <v>0</v>
      </c>
      <c r="BQ440" s="237" t="n">
        <f aca="true">IFERROR(SUMPRODUCT(OFFSET($BJ$31,0,1-MIN(60,COLUMN()-29),1,MIN(60,COLUMN()-29)),OFFSET(BQ439,0,-MIN(60,COLUMN()-29),1,MIN(60,COLUMN()-29))),0)</f>
        <v>0</v>
      </c>
      <c r="BR440" s="237" t="n">
        <f aca="true">IFERROR(SUMPRODUCT(OFFSET($BJ$31,0,1-MIN(60,COLUMN()-29),1,MIN(60,COLUMN()-29)),OFFSET(BR439,0,-MIN(60,COLUMN()-29),1,MIN(60,COLUMN()-29))),0)</f>
        <v>0</v>
      </c>
      <c r="BS440" s="237" t="n">
        <f aca="true">IFERROR(SUMPRODUCT(OFFSET($BJ$31,0,1-MIN(60,COLUMN()-29),1,MIN(60,COLUMN()-29)),OFFSET(BS439,0,-MIN(60,COLUMN()-29),1,MIN(60,COLUMN()-29))),0)</f>
        <v>0</v>
      </c>
      <c r="BT440" s="237" t="n">
        <f aca="true">IFERROR(SUMPRODUCT(OFFSET($BJ$31,0,1-MIN(60,COLUMN()-29),1,MIN(60,COLUMN()-29)),OFFSET(BT439,0,-MIN(60,COLUMN()-29),1,MIN(60,COLUMN()-29))),0)</f>
        <v>0</v>
      </c>
      <c r="BU440" s="237" t="n">
        <f aca="true">IFERROR(SUMPRODUCT(OFFSET($BJ$31,0,1-MIN(60,COLUMN()-29),1,MIN(60,COLUMN()-29)),OFFSET(BU439,0,-MIN(60,COLUMN()-29),1,MIN(60,COLUMN()-29))),0)</f>
        <v>0</v>
      </c>
      <c r="BV440" s="237" t="n">
        <f aca="true">IFERROR(SUMPRODUCT(OFFSET($BJ$31,0,1-MIN(60,COLUMN()-29),1,MIN(60,COLUMN()-29)),OFFSET(BV439,0,-MIN(60,COLUMN()-29),1,MIN(60,COLUMN()-29))),0)</f>
        <v>0</v>
      </c>
      <c r="BW440" s="237" t="n">
        <f aca="true">IFERROR(SUMPRODUCT(OFFSET($BJ$31,0,1-MIN(60,COLUMN()-29),1,MIN(60,COLUMN()-29)),OFFSET(BW439,0,-MIN(60,COLUMN()-29),1,MIN(60,COLUMN()-29))),0)</f>
        <v>0</v>
      </c>
      <c r="BX440" s="237" t="n">
        <f aca="true">IFERROR(SUMPRODUCT(OFFSET($BJ$31,0,1-MIN(60,COLUMN()-29),1,MIN(60,COLUMN()-29)),OFFSET(BX439,0,-MIN(60,COLUMN()-29),1,MIN(60,COLUMN()-29))),0)</f>
        <v>0</v>
      </c>
      <c r="BY440" s="237" t="n">
        <f aca="true">IFERROR(SUMPRODUCT(OFFSET($BJ$31,0,1-MIN(60,COLUMN()-29),1,MIN(60,COLUMN()-29)),OFFSET(BY439,0,-MIN(60,COLUMN()-29),1,MIN(60,COLUMN()-29))),0)</f>
        <v>0</v>
      </c>
      <c r="BZ440" s="237" t="n">
        <f aca="true">IFERROR(SUMPRODUCT(OFFSET($BJ$31,0,1-MIN(60,COLUMN()-29),1,MIN(60,COLUMN()-29)),OFFSET(BZ439,0,-MIN(60,COLUMN()-29),1,MIN(60,COLUMN()-29))),0)</f>
        <v>0</v>
      </c>
      <c r="CA440" s="237" t="n">
        <f aca="true">IFERROR(SUMPRODUCT(OFFSET($BJ$31,0,1-MIN(60,COLUMN()-29),1,MIN(60,COLUMN()-29)),OFFSET(CA439,0,-MIN(60,COLUMN()-29),1,MIN(60,COLUMN()-29))),0)</f>
        <v>0</v>
      </c>
      <c r="CB440" s="237" t="n">
        <f aca="true">IFERROR(SUMPRODUCT(OFFSET($BJ$31,0,1-MIN(60,COLUMN()-29),1,MIN(60,COLUMN()-29)),OFFSET(CB439,0,-MIN(60,COLUMN()-29),1,MIN(60,COLUMN()-29))),0)</f>
        <v>0</v>
      </c>
      <c r="CC440" s="237" t="n">
        <f aca="true">IFERROR(SUMPRODUCT(OFFSET($BJ$31,0,1-MIN(60,COLUMN()-29),1,MIN(60,COLUMN()-29)),OFFSET(CC439,0,-MIN(60,COLUMN()-29),1,MIN(60,COLUMN()-29))),0)</f>
        <v>0</v>
      </c>
      <c r="CD440" s="237" t="n">
        <f aca="true">IFERROR(SUMPRODUCT(OFFSET($BJ$31,0,1-MIN(60,COLUMN()-29),1,MIN(60,COLUMN()-29)),OFFSET(CD439,0,-MIN(60,COLUMN()-29),1,MIN(60,COLUMN()-29))),0)</f>
        <v>0</v>
      </c>
      <c r="CE440" s="237" t="n">
        <f aca="true">IFERROR(SUMPRODUCT(OFFSET($BJ$31,0,1-MIN(60,COLUMN()-29),1,MIN(60,COLUMN()-29)),OFFSET(CE439,0,-MIN(60,COLUMN()-29),1,MIN(60,COLUMN()-29))),0)</f>
        <v>0</v>
      </c>
      <c r="CF440" s="237" t="n">
        <f aca="true">IFERROR(SUMPRODUCT(OFFSET($BJ$31,0,1-MIN(60,COLUMN()-29),1,MIN(60,COLUMN()-29)),OFFSET(CF439,0,-MIN(60,COLUMN()-29),1,MIN(60,COLUMN()-29))),0)</f>
        <v>0</v>
      </c>
      <c r="CG440" s="237" t="n">
        <f aca="true">IFERROR(SUMPRODUCT(OFFSET($BJ$31,0,1-MIN(60,COLUMN()-29),1,MIN(60,COLUMN()-29)),OFFSET(CG439,0,-MIN(60,COLUMN()-29),1,MIN(60,COLUMN()-29))),0)</f>
        <v>0</v>
      </c>
      <c r="CH440" s="237" t="n">
        <f aca="true">IFERROR(SUMPRODUCT(OFFSET($BJ$31,0,1-MIN(60,COLUMN()-29),1,MIN(60,COLUMN()-29)),OFFSET(CH439,0,-MIN(60,COLUMN()-29),1,MIN(60,COLUMN()-29))),0)</f>
        <v>0</v>
      </c>
      <c r="CI440" s="237" t="n">
        <f aca="true">IFERROR(SUMPRODUCT(OFFSET($BJ$31,0,1-MIN(60,COLUMN()-29),1,MIN(60,COLUMN()-29)),OFFSET(CI439,0,-MIN(60,COLUMN()-29),1,MIN(60,COLUMN()-29))),0)</f>
        <v>0</v>
      </c>
      <c r="CJ440" s="237" t="n">
        <f aca="true">IFERROR(SUMPRODUCT(OFFSET($BJ$31,0,1-MIN(60,COLUMN()-29),1,MIN(60,COLUMN()-29)),OFFSET(CJ439,0,-MIN(60,COLUMN()-29),1,MIN(60,COLUMN()-29))),0)</f>
        <v>0</v>
      </c>
      <c r="CK440" s="237" t="n">
        <f aca="true">IFERROR(SUMPRODUCT(OFFSET($BJ$31,0,1-MIN(60,COLUMN()-29),1,MIN(60,COLUMN()-29)),OFFSET(CK439,0,-MIN(60,COLUMN()-29),1,MIN(60,COLUMN()-29))),0)</f>
        <v>0</v>
      </c>
      <c r="CL440" s="237" t="n">
        <f aca="true">IFERROR(SUMPRODUCT(OFFSET($BJ$31,0,1-MIN(60,COLUMN()-29),1,MIN(60,COLUMN()-29)),OFFSET(CL439,0,-MIN(60,COLUMN()-29),1,MIN(60,COLUMN()-29))),0)</f>
        <v>0</v>
      </c>
      <c r="CM440" s="237" t="n">
        <f aca="true">IFERROR(SUMPRODUCT(OFFSET($BJ$31,0,1-MIN(60,COLUMN()-29),1,MIN(60,COLUMN()-29)),OFFSET(CM439,0,-MIN(60,COLUMN()-29),1,MIN(60,COLUMN()-29))),0)</f>
        <v>0</v>
      </c>
      <c r="CN440" s="237" t="n">
        <f aca="true">IFERROR(SUMPRODUCT(OFFSET($BJ$31,0,1-MIN(60,COLUMN()-29),1,MIN(60,COLUMN()-29)),OFFSET(CN439,0,-MIN(60,COLUMN()-29),1,MIN(60,COLUMN()-29))),0)</f>
        <v>0</v>
      </c>
      <c r="CO440" s="237" t="n">
        <f aca="true">IFERROR(SUMPRODUCT(OFFSET($BJ$31,0,1-MIN(60,COLUMN()-29),1,MIN(60,COLUMN()-29)),OFFSET(CO439,0,-MIN(60,COLUMN()-29),1,MIN(60,COLUMN()-29))),0)</f>
        <v>0</v>
      </c>
      <c r="CP440" s="237" t="n">
        <f aca="true">IFERROR(SUMPRODUCT(OFFSET($BJ$31,0,1-MIN(60,COLUMN()-29),1,MIN(60,COLUMN()-29)),OFFSET(CP439,0,-MIN(60,COLUMN()-29),1,MIN(60,COLUMN()-29))),0)</f>
        <v>0</v>
      </c>
      <c r="CQ440" s="237" t="n">
        <f aca="true">IFERROR(SUMPRODUCT(OFFSET($BJ$31,0,1-MIN(60,COLUMN()-29),1,MIN(60,COLUMN()-29)),OFFSET(CQ439,0,-MIN(60,COLUMN()-29),1,MIN(60,COLUMN()-29))),0)</f>
        <v>0</v>
      </c>
      <c r="CR440" s="237" t="n">
        <f aca="true">IFERROR(SUMPRODUCT(OFFSET($BJ$31,0,1-MIN(60,COLUMN()-29),1,MIN(60,COLUMN()-29)),OFFSET(CR439,0,-MIN(60,COLUMN()-29),1,MIN(60,COLUMN()-29))),0)</f>
        <v>0</v>
      </c>
      <c r="CS440" s="237" t="n">
        <f aca="true">IFERROR(SUMPRODUCT(OFFSET($BJ$31,0,1-MIN(60,COLUMN()-29),1,MIN(60,COLUMN()-29)),OFFSET(CS439,0,-MIN(60,COLUMN()-29),1,MIN(60,COLUMN()-29))),0)</f>
        <v>0</v>
      </c>
      <c r="CT440" s="237" t="n">
        <f aca="true">IFERROR(SUMPRODUCT(OFFSET($BJ$31,0,1-MIN(60,COLUMN()-29),1,MIN(60,COLUMN()-29)),OFFSET(CT439,0,-MIN(60,COLUMN()-29),1,MIN(60,COLUMN()-29))),0)</f>
        <v>0</v>
      </c>
      <c r="CU440" s="237" t="n">
        <f aca="true">IFERROR(SUMPRODUCT(OFFSET($BJ$31,0,1-MIN(60,COLUMN()-29),1,MIN(60,COLUMN()-29)),OFFSET(CU439,0,-MIN(60,COLUMN()-29),1,MIN(60,COLUMN()-29))),0)</f>
        <v>0</v>
      </c>
      <c r="CV440" s="237" t="n">
        <f aca="true">IFERROR(SUMPRODUCT(OFFSET($BJ$31,0,1-MIN(60,COLUMN()-29),1,MIN(60,COLUMN()-29)),OFFSET(CV439,0,-MIN(60,COLUMN()-29),1,MIN(60,COLUMN()-29))),0)</f>
        <v>0</v>
      </c>
      <c r="CW440" s="237" t="n">
        <f aca="true">IFERROR(SUMPRODUCT(OFFSET($BJ$31,0,1-MIN(60,COLUMN()-29),1,MIN(60,COLUMN()-29)),OFFSET(CW439,0,-MIN(60,COLUMN()-29),1,MIN(60,COLUMN()-29))),0)</f>
        <v>0</v>
      </c>
      <c r="CX440" s="237" t="n">
        <f aca="true">IFERROR(SUMPRODUCT(OFFSET($BJ$31,0,1-MIN(60,COLUMN()-29),1,MIN(60,COLUMN()-29)),OFFSET(CX439,0,-MIN(60,COLUMN()-29),1,MIN(60,COLUMN()-29))),0)</f>
        <v>0</v>
      </c>
      <c r="CY440" s="237" t="n">
        <f aca="true">IFERROR(SUMPRODUCT(OFFSET($BJ$31,0,1-MIN(60,COLUMN()-29),1,MIN(60,COLUMN()-29)),OFFSET(CY439,0,-MIN(60,COLUMN()-29),1,MIN(60,COLUMN()-29))),0)</f>
        <v>0</v>
      </c>
      <c r="CZ440" s="237" t="n">
        <f aca="true">IFERROR(SUMPRODUCT(OFFSET($BJ$31,0,1-MIN(60,COLUMN()-29),1,MIN(60,COLUMN()-29)),OFFSET(CZ439,0,-MIN(60,COLUMN()-29),1,MIN(60,COLUMN()-29))),0)</f>
        <v>0</v>
      </c>
      <c r="DA440" s="237" t="n">
        <f aca="true">IFERROR(SUMPRODUCT(OFFSET($BJ$31,0,1-MIN(60,COLUMN()-29),1,MIN(60,COLUMN()-29)),OFFSET(DA439,0,-MIN(60,COLUMN()-29),1,MIN(60,COLUMN()-29))),0)</f>
        <v>0</v>
      </c>
      <c r="DB440" s="237" t="n">
        <f aca="true">IFERROR(SUMPRODUCT(OFFSET($BJ$31,0,1-MIN(60,COLUMN()-29),1,MIN(60,COLUMN()-29)),OFFSET(DB439,0,-MIN(60,COLUMN()-29),1,MIN(60,COLUMN()-29))),0)</f>
        <v>0</v>
      </c>
      <c r="DC440" s="237" t="n">
        <f aca="true">IFERROR(SUMPRODUCT(OFFSET($BJ$31,0,1-MIN(60,COLUMN()-29),1,MIN(60,COLUMN()-29)),OFFSET(DC439,0,-MIN(60,COLUMN()-29),1,MIN(60,COLUMN()-29))),0)</f>
        <v>0</v>
      </c>
      <c r="DD440" s="237" t="n">
        <f aca="true">IFERROR(SUMPRODUCT(OFFSET($BJ$31,0,1-MIN(60,COLUMN()-29),1,MIN(60,COLUMN()-29)),OFFSET(DD439,0,-MIN(60,COLUMN()-29),1,MIN(60,COLUMN()-29))),0)</f>
        <v>0</v>
      </c>
      <c r="DE440" s="237" t="n">
        <f aca="true">IFERROR(SUMPRODUCT(OFFSET($BJ$31,0,1-MIN(60,COLUMN()-29),1,MIN(60,COLUMN()-29)),OFFSET(DE439,0,-MIN(60,COLUMN()-29),1,MIN(60,COLUMN()-29))),0)</f>
        <v>0</v>
      </c>
      <c r="DF440" s="237" t="n">
        <f aca="true">IFERROR(SUMPRODUCT(OFFSET($BJ$31,0,1-MIN(60,COLUMN()-29),1,MIN(60,COLUMN()-29)),OFFSET(DF439,0,-MIN(60,COLUMN()-29),1,MIN(60,COLUMN()-29))),0)</f>
        <v>0</v>
      </c>
      <c r="DG440" s="237" t="n">
        <f aca="true">IFERROR(SUMPRODUCT(OFFSET($BJ$31,0,1-MIN(60,COLUMN()-29),1,MIN(60,COLUMN()-29)),OFFSET(DG439,0,-MIN(60,COLUMN()-29),1,MIN(60,COLUMN()-29))),0)</f>
        <v>0</v>
      </c>
      <c r="DH440" s="237" t="n">
        <f aca="true">IFERROR(SUMPRODUCT(OFFSET($BJ$31,0,1-MIN(60,COLUMN()-29),1,MIN(60,COLUMN()-29)),OFFSET(DH439,0,-MIN(60,COLUMN()-29),1,MIN(60,COLUMN()-29))),0)</f>
        <v>0</v>
      </c>
      <c r="DI440" s="237" t="n">
        <f aca="true">IFERROR(SUMPRODUCT(OFFSET($BJ$31,0,1-MIN(60,COLUMN()-29),1,MIN(60,COLUMN()-29)),OFFSET(DI439,0,-MIN(60,COLUMN()-29),1,MIN(60,COLUMN()-29))),0)</f>
        <v>0</v>
      </c>
      <c r="DJ440" s="237" t="n">
        <f aca="true">IFERROR(SUMPRODUCT(OFFSET($BJ$31,0,1-MIN(60,COLUMN()-29),1,MIN(60,COLUMN()-29)),OFFSET(DJ439,0,-MIN(60,COLUMN()-29),1,MIN(60,COLUMN()-29))),0)</f>
        <v>0</v>
      </c>
      <c r="DK440" s="237" t="n">
        <f aca="true">IFERROR(SUMPRODUCT(OFFSET($BJ$31,0,1-MIN(60,COLUMN()-29),1,MIN(60,COLUMN()-29)),OFFSET(DK439,0,-MIN(60,COLUMN()-29),1,MIN(60,COLUMN()-29))),0)</f>
        <v>0</v>
      </c>
      <c r="DL440" s="237" t="n">
        <f aca="true">IFERROR(SUMPRODUCT(OFFSET($BJ$31,0,1-MIN(60,COLUMN()-29),1,MIN(60,COLUMN()-29)),OFFSET(DL439,0,-MIN(60,COLUMN()-29),1,MIN(60,COLUMN()-29))),0)</f>
        <v>0</v>
      </c>
      <c r="DM440" s="237" t="n">
        <f aca="true">IFERROR(SUMPRODUCT(OFFSET($BJ$31,0,1-MIN(60,COLUMN()-29),1,MIN(60,COLUMN()-29)),OFFSET(DM439,0,-MIN(60,COLUMN()-29),1,MIN(60,COLUMN()-29))),0)</f>
        <v>0</v>
      </c>
      <c r="DN440" s="237" t="n">
        <f aca="true">IFERROR(SUMPRODUCT(OFFSET($BJ$31,0,1-MIN(60,COLUMN()-29),1,MIN(60,COLUMN()-29)),OFFSET(DN439,0,-MIN(60,COLUMN()-29),1,MIN(60,COLUMN()-29))),0)</f>
        <v>0</v>
      </c>
      <c r="DO440" s="237" t="n">
        <f aca="true">IFERROR(SUMPRODUCT(OFFSET($BJ$31,0,1-MIN(60,COLUMN()-29),1,MIN(60,COLUMN()-29)),OFFSET(DO439,0,-MIN(60,COLUMN()-29),1,MIN(60,COLUMN()-29))),0)</f>
        <v>0</v>
      </c>
      <c r="DP440" s="237" t="n">
        <f aca="true">IFERROR(SUMPRODUCT(OFFSET($BJ$31,0,1-MIN(60,COLUMN()-29),1,MIN(60,COLUMN()-29)),OFFSET(DP439,0,-MIN(60,COLUMN()-29),1,MIN(60,COLUMN()-29))),0)</f>
        <v>0</v>
      </c>
      <c r="DQ440" s="237" t="n">
        <f aca="true">IFERROR(SUMPRODUCT(OFFSET($BJ$31,0,1-MIN(60,COLUMN()-29),1,MIN(60,COLUMN()-29)),OFFSET(DQ439,0,-MIN(60,COLUMN()-29),1,MIN(60,COLUMN()-29))),0)</f>
        <v>0</v>
      </c>
      <c r="DR440" s="237" t="n">
        <f aca="true">IFERROR(SUMPRODUCT(OFFSET($BJ$31,0,1-MIN(60,COLUMN()-29),1,MIN(60,COLUMN()-29)),OFFSET(DR439,0,-MIN(60,COLUMN()-29),1,MIN(60,COLUMN()-29))),0)</f>
        <v>0</v>
      </c>
      <c r="DS440" s="237" t="n">
        <f aca="true">IFERROR(SUMPRODUCT(OFFSET($BJ$31,0,1-MIN(60,COLUMN()-29),1,MIN(60,COLUMN()-29)),OFFSET(DS439,0,-MIN(60,COLUMN()-29),1,MIN(60,COLUMN()-29))),0)</f>
        <v>0</v>
      </c>
      <c r="DT440" s="237" t="n">
        <f aca="true">IFERROR(SUMPRODUCT(OFFSET($BJ$31,0,1-MIN(60,COLUMN()-29),1,MIN(60,COLUMN()-29)),OFFSET(DT439,0,-MIN(60,COLUMN()-29),1,MIN(60,COLUMN()-29))),0)</f>
        <v>0</v>
      </c>
      <c r="DU440" s="237" t="n">
        <f aca="true">IFERROR(SUMPRODUCT(OFFSET($BJ$31,0,1-MIN(60,COLUMN()-29),1,MIN(60,COLUMN()-29)),OFFSET(DU439,0,-MIN(60,COLUMN()-29),1,MIN(60,COLUMN()-29))),0)</f>
        <v>0</v>
      </c>
      <c r="DV440" s="237" t="n">
        <f aca="true">IFERROR(SUMPRODUCT(OFFSET($BJ$31,0,1-MIN(60,COLUMN()-29),1,MIN(60,COLUMN()-29)),OFFSET(DV439,0,-MIN(60,COLUMN()-29),1,MIN(60,COLUMN()-29))),0)</f>
        <v>0</v>
      </c>
      <c r="DW440" s="237" t="n">
        <f aca="true">IFERROR(SUMPRODUCT(OFFSET($BJ$31,0,1-MIN(60,COLUMN()-29),1,MIN(60,COLUMN()-29)),OFFSET(DW439,0,-MIN(60,COLUMN()-29),1,MIN(60,COLUMN()-29))),0)</f>
        <v>0</v>
      </c>
      <c r="DX440" s="237" t="n">
        <f aca="true">IFERROR(SUMPRODUCT(OFFSET($BJ$31,0,1-MIN(60,COLUMN()-29),1,MIN(60,COLUMN()-29)),OFFSET(DX439,0,-MIN(60,COLUMN()-29),1,MIN(60,COLUMN()-29))),0)</f>
        <v>0</v>
      </c>
      <c r="DY440" s="237" t="n">
        <f aca="true">IFERROR(SUMPRODUCT(OFFSET($BJ$31,0,1-MIN(60,COLUMN()-29),1,MIN(60,COLUMN()-29)),OFFSET(DY439,0,-MIN(60,COLUMN()-29),1,MIN(60,COLUMN()-29))),0)</f>
        <v>0</v>
      </c>
      <c r="DZ440" s="237" t="n">
        <f aca="true">IFERROR(SUMPRODUCT(OFFSET($BJ$31,0,1-MIN(60,COLUMN()-29),1,MIN(60,COLUMN()-29)),OFFSET(DZ439,0,-MIN(60,COLUMN()-29),1,MIN(60,COLUMN()-29))),0)</f>
        <v>0</v>
      </c>
      <c r="EA440" s="237" t="n">
        <f aca="true">IFERROR(SUMPRODUCT(OFFSET($BJ$31,0,1-MIN(60,COLUMN()-29),1,MIN(60,COLUMN()-29)),OFFSET(EA439,0,-MIN(60,COLUMN()-29),1,MIN(60,COLUMN()-29))),0)</f>
        <v>0</v>
      </c>
      <c r="EB440" s="237" t="n">
        <f aca="true">IFERROR(SUMPRODUCT(OFFSET($BJ$31,0,1-MIN(60,COLUMN()-29),1,MIN(60,COLUMN()-29)),OFFSET(EB439,0,-MIN(60,COLUMN()-29),1,MIN(60,COLUMN()-29))),0)</f>
        <v>0</v>
      </c>
      <c r="EC440" s="237" t="n">
        <f aca="true">IFERROR(SUMPRODUCT(OFFSET($BJ$31,0,1-MIN(60,COLUMN()-29),1,MIN(60,COLUMN()-29)),OFFSET(EC439,0,-MIN(60,COLUMN()-29),1,MIN(60,COLUMN()-29))),0)</f>
        <v>0</v>
      </c>
      <c r="ED440" s="237" t="n">
        <f aca="true">IFERROR(SUMPRODUCT(OFFSET($BJ$31,0,1-MIN(60,COLUMN()-29),1,MIN(60,COLUMN()-29)),OFFSET(ED439,0,-MIN(60,COLUMN()-29),1,MIN(60,COLUMN()-29))),0)</f>
        <v>0</v>
      </c>
      <c r="EE440" s="237" t="n">
        <f aca="true">IFERROR(SUMPRODUCT(OFFSET($BJ$31,0,1-MIN(60,COLUMN()-29),1,MIN(60,COLUMN()-29)),OFFSET(EE439,0,-MIN(60,COLUMN()-29),1,MIN(60,COLUMN()-29))),0)</f>
        <v>0</v>
      </c>
      <c r="EF440" s="237" t="n">
        <f aca="true">IFERROR(SUMPRODUCT(OFFSET($BJ$31,0,1-MIN(60,COLUMN()-29),1,MIN(60,COLUMN()-29)),OFFSET(EF439,0,-MIN(60,COLUMN()-29),1,MIN(60,COLUMN()-29))),0)</f>
        <v>0</v>
      </c>
      <c r="EG440" s="237" t="n">
        <f aca="true">IFERROR(SUMPRODUCT(OFFSET($BJ$31,0,1-MIN(60,COLUMN()-29),1,MIN(60,COLUMN()-29)),OFFSET(EG439,0,-MIN(60,COLUMN()-29),1,MIN(60,COLUMN()-29))),0)</f>
        <v>0</v>
      </c>
      <c r="EH440" s="237" t="n">
        <f aca="true">IFERROR(SUMPRODUCT(OFFSET($BJ$31,0,1-MIN(60,COLUMN()-29),1,MIN(60,COLUMN()-29)),OFFSET(EH439,0,-MIN(60,COLUMN()-29),1,MIN(60,COLUMN()-29))),0)</f>
        <v>0</v>
      </c>
      <c r="EI440" s="237" t="n">
        <f aca="true">IFERROR(SUMPRODUCT(OFFSET($BJ$31,0,1-MIN(60,COLUMN()-29),1,MIN(60,COLUMN()-29)),OFFSET(EI439,0,-MIN(60,COLUMN()-29),1,MIN(60,COLUMN()-29))),0)</f>
        <v>0</v>
      </c>
      <c r="EJ440" s="237" t="n">
        <f aca="true">IFERROR(SUMPRODUCT(OFFSET($BJ$31,0,1-MIN(60,COLUMN()-29),1,MIN(60,COLUMN()-29)),OFFSET(EJ439,0,-MIN(60,COLUMN()-29),1,MIN(60,COLUMN()-29))),0)</f>
        <v>0</v>
      </c>
      <c r="EK440" s="237" t="n">
        <f aca="true">IFERROR(SUMPRODUCT(OFFSET($BJ$31,0,1-MIN(60,COLUMN()-29),1,MIN(60,COLUMN()-29)),OFFSET(EK439,0,-MIN(60,COLUMN()-29),1,MIN(60,COLUMN()-29))),0)</f>
        <v>0</v>
      </c>
      <c r="EL440" s="237" t="n">
        <f aca="true">IFERROR(SUMPRODUCT(OFFSET($BJ$31,0,1-MIN(60,COLUMN()-29),1,MIN(60,COLUMN()-29)),OFFSET(EL439,0,-MIN(60,COLUMN()-29),1,MIN(60,COLUMN()-29))),0)</f>
        <v>0</v>
      </c>
      <c r="EM440" s="237" t="n">
        <f aca="true">IFERROR(SUMPRODUCT(OFFSET($BJ$31,0,1-MIN(60,COLUMN()-29),1,MIN(60,COLUMN()-29)),OFFSET(EM439,0,-MIN(60,COLUMN()-29),1,MIN(60,COLUMN()-29))),0)</f>
        <v>0</v>
      </c>
      <c r="EN440" s="237" t="n">
        <f aca="true">IFERROR(SUMPRODUCT(OFFSET($BJ$31,0,1-MIN(60,COLUMN()-29),1,MIN(60,COLUMN()-29)),OFFSET(EN439,0,-MIN(60,COLUMN()-29),1,MIN(60,COLUMN()-29))),0)</f>
        <v>0</v>
      </c>
      <c r="EO440" s="237" t="n">
        <f aca="true">IFERROR(SUMPRODUCT(OFFSET($BJ$31,0,1-MIN(60,COLUMN()-29),1,MIN(60,COLUMN()-29)),OFFSET(EO439,0,-MIN(60,COLUMN()-29),1,MIN(60,COLUMN()-29))),0)</f>
        <v>6.72512</v>
      </c>
      <c r="EP440" s="237" t="n">
        <f aca="true">IFERROR(SUMPRODUCT(OFFSET($BJ$31,0,1-MIN(60,COLUMN()-29),1,MIN(60,COLUMN()-29)),OFFSET(EP439,0,-MIN(60,COLUMN()-29),1,MIN(60,COLUMN()-29))),0)</f>
        <v>6.96784</v>
      </c>
      <c r="EQ440" s="237" t="n">
        <f aca="true">IFERROR(SUMPRODUCT(OFFSET($BJ$31,0,1-MIN(60,COLUMN()-29),1,MIN(60,COLUMN()-29)),OFFSET(EQ439,0,-MIN(60,COLUMN()-29),1,MIN(60,COLUMN()-29))),0)</f>
        <v>7.4636992</v>
      </c>
      <c r="ER440" s="237" t="n">
        <f aca="true">IFERROR(SUMPRODUCT(OFFSET($BJ$31,0,1-MIN(60,COLUMN()-29),1,MIN(60,COLUMN()-29)),OFFSET(ER439,0,-MIN(60,COLUMN()-29),1,MIN(60,COLUMN()-29))),0)</f>
        <v>7.0836352</v>
      </c>
      <c r="ES440" s="9" t="n">
        <f aca="true">IFERROR(SUMPRODUCT(OFFSET($BJ$31,0,1-MIN(60,COLUMN()-29),1,MIN(60,COLUMN()-29)),OFFSET(ES439,0,-MIN(60,COLUMN()-29),1,MIN(60,COLUMN()-29))),0)</f>
        <v>9.2179136</v>
      </c>
      <c r="ET440" s="9" t="n">
        <f aca="true">IFERROR(SUMPRODUCT(OFFSET($BJ$31,0,1-MIN(60,COLUMN()-29),1,MIN(60,COLUMN()-29)),OFFSET(ET439,0,-MIN(60,COLUMN()-29),1,MIN(60,COLUMN()-29))),0)</f>
        <v>10.8813744</v>
      </c>
      <c r="EU440" s="9" t="n">
        <f aca="true">IFERROR(SUMPRODUCT(OFFSET($BJ$31,0,1-MIN(60,COLUMN()-29),1,MIN(60,COLUMN()-29)),OFFSET(EU439,0,-MIN(60,COLUMN()-29),1,MIN(60,COLUMN()-29))),0)</f>
        <v>10.9643136</v>
      </c>
      <c r="EV440" s="9" t="n">
        <f aca="true">IFERROR(SUMPRODUCT(OFFSET($BJ$31,0,1-MIN(60,COLUMN()-29),1,MIN(60,COLUMN()-29)),OFFSET(EV439,0,-MIN(60,COLUMN()-29),1,MIN(60,COLUMN()-29))),0)</f>
        <v>15.244296</v>
      </c>
      <c r="EW440" s="9" t="n">
        <f aca="true">IFERROR(SUMPRODUCT(OFFSET($BJ$31,0,1-MIN(60,COLUMN()-29),1,MIN(60,COLUMN()-29)),OFFSET(EW439,0,-MIN(60,COLUMN()-29),1,MIN(60,COLUMN()-29))),0)</f>
        <v>16.990992</v>
      </c>
      <c r="EX440" s="9" t="n">
        <f aca="true">IFERROR(SUMPRODUCT(OFFSET($BJ$31,0,1-MIN(60,COLUMN()-29),1,MIN(60,COLUMN()-29)),OFFSET(EX439,0,-MIN(60,COLUMN()-29),1,MIN(60,COLUMN()-29))),0)</f>
        <v>16.713048</v>
      </c>
      <c r="EY440" s="9" t="n">
        <f aca="true">IFERROR(SUMPRODUCT(OFFSET($BJ$31,0,1-MIN(60,COLUMN()-29),1,MIN(60,COLUMN()-29)),OFFSET(EY439,0,-MIN(60,COLUMN()-29),1,MIN(60,COLUMN()-29))),0)</f>
        <v>16.6912032</v>
      </c>
      <c r="EZ440" s="9" t="n">
        <f aca="true">IFERROR(SUMPRODUCT(OFFSET($BJ$31,0,1-MIN(60,COLUMN()-29),1,MIN(60,COLUMN()-29)),OFFSET(EZ439,0,-MIN(60,COLUMN()-29),1,MIN(60,COLUMN()-29))),0)</f>
        <v>19.386816</v>
      </c>
      <c r="FA440" s="9" t="n">
        <f aca="true">IFERROR(SUMPRODUCT(OFFSET($BJ$31,0,1-MIN(60,COLUMN()-29),1,MIN(60,COLUMN()-29)),OFFSET(FA439,0,-MIN(60,COLUMN()-29),1,MIN(60,COLUMN()-29))),0)</f>
        <v>29.6026048</v>
      </c>
      <c r="FB440" s="9" t="n">
        <f aca="true">IFERROR(SUMPRODUCT(OFFSET($BJ$31,0,1-MIN(60,COLUMN()-29),1,MIN(60,COLUMN()-29)),OFFSET(FB439,0,-MIN(60,COLUMN()-29),1,MIN(60,COLUMN()-29))),0)</f>
        <v>29.5486144</v>
      </c>
      <c r="FC440" s="9" t="n">
        <f aca="true">IFERROR(SUMPRODUCT(OFFSET($BJ$31,0,1-MIN(60,COLUMN()-29),1,MIN(60,COLUMN()-29)),OFFSET(FC439,0,-MIN(60,COLUMN()-29),1,MIN(60,COLUMN()-29))),0)</f>
        <v>28.4699904</v>
      </c>
      <c r="FD440" s="9" t="n">
        <f aca="true">IFERROR(SUMPRODUCT(OFFSET($BJ$31,0,1-MIN(60,COLUMN()-29),1,MIN(60,COLUMN()-29)),OFFSET(FD439,0,-MIN(60,COLUMN()-29),1,MIN(60,COLUMN()-29))),0)</f>
        <v>28.2913248</v>
      </c>
      <c r="FE440" s="9" t="n">
        <f aca="true">IFERROR(SUMPRODUCT(OFFSET($BJ$31,0,1-MIN(60,COLUMN()-29),1,MIN(60,COLUMN()-29)),OFFSET(FE439,0,-MIN(60,COLUMN()-29),1,MIN(60,COLUMN()-29))),0)</f>
        <v>37.01646352</v>
      </c>
      <c r="FF440" s="9" t="n">
        <f aca="true">IFERROR(SUMPRODUCT(OFFSET($BJ$31,0,1-MIN(60,COLUMN()-29),1,MIN(60,COLUMN()-29)),OFFSET(FF439,0,-MIN(60,COLUMN()-29),1,MIN(60,COLUMN()-29))),0)</f>
        <v>41.43589152</v>
      </c>
      <c r="FG440" s="9" t="n">
        <f aca="true">IFERROR(SUMPRODUCT(OFFSET($BJ$31,0,1-MIN(60,COLUMN()-29),1,MIN(60,COLUMN()-29)),OFFSET(FG439,0,-MIN(60,COLUMN()-29),1,MIN(60,COLUMN()-29))),0)</f>
        <v>40.64463616</v>
      </c>
      <c r="FH440" s="9" t="n">
        <f aca="true">IFERROR(SUMPRODUCT(OFFSET($BJ$31,0,1-MIN(60,COLUMN()-29),1,MIN(60,COLUMN()-29)),OFFSET(FH439,0,-MIN(60,COLUMN()-29),1,MIN(60,COLUMN()-29))),0)</f>
        <v>50.12775984</v>
      </c>
      <c r="FI440" s="9" t="n">
        <f aca="true">IFERROR(SUMPRODUCT(OFFSET($BJ$31,0,1-MIN(60,COLUMN()-29),1,MIN(60,COLUMN()-29)),OFFSET(FI439,0,-MIN(60,COLUMN()-29),1,MIN(60,COLUMN()-29))),0)</f>
        <v>52.3090534</v>
      </c>
      <c r="FJ440" s="9" t="n">
        <f aca="true">IFERROR(SUMPRODUCT(OFFSET($BJ$31,0,1-MIN(60,COLUMN()-29),1,MIN(60,COLUMN()-29)),OFFSET(FJ439,0,-MIN(60,COLUMN()-29),1,MIN(60,COLUMN()-29))),0)</f>
        <v>52.50195956</v>
      </c>
      <c r="FK440" s="9" t="n">
        <f aca="true">IFERROR(SUMPRODUCT(OFFSET($BJ$31,0,1-MIN(60,COLUMN()-29),1,MIN(60,COLUMN()-29)),OFFSET(FK439,0,-MIN(60,COLUMN()-29),1,MIN(60,COLUMN()-29))),0)</f>
        <v>52.53586488</v>
      </c>
      <c r="FL440" s="9" t="n">
        <f aca="true">IFERROR(SUMPRODUCT(OFFSET($BJ$31,0,1-MIN(60,COLUMN()-29),1,MIN(60,COLUMN()-29)),OFFSET(FL439,0,-MIN(60,COLUMN()-29),1,MIN(60,COLUMN()-29))),0)</f>
        <v>57.75116288</v>
      </c>
      <c r="FM440" s="9" t="n">
        <f aca="true">IFERROR(SUMPRODUCT(OFFSET($BJ$31,0,1-MIN(60,COLUMN()-29),1,MIN(60,COLUMN()-29)),OFFSET(FM439,0,-MIN(60,COLUMN()-29),1,MIN(60,COLUMN()-29))),0)</f>
        <v>74.68946096</v>
      </c>
      <c r="FN440" s="9" t="n">
        <f aca="true">IFERROR(SUMPRODUCT(OFFSET($BJ$31,0,1-MIN(60,COLUMN()-29),1,MIN(60,COLUMN()-29)),OFFSET(FN439,0,-MIN(60,COLUMN()-29),1,MIN(60,COLUMN()-29))),0)</f>
        <v>74.18594128</v>
      </c>
      <c r="FO440" s="9" t="n">
        <f aca="true">IFERROR(SUMPRODUCT(OFFSET($BJ$31,0,1-MIN(60,COLUMN()-29),1,MIN(60,COLUMN()-29)),OFFSET(FO439,0,-MIN(60,COLUMN()-29),1,MIN(60,COLUMN()-29))),0)</f>
        <v>73.60035856</v>
      </c>
      <c r="FP440" s="9" t="n">
        <f aca="true">IFERROR(SUMPRODUCT(OFFSET($BJ$31,0,1-MIN(60,COLUMN()-29),1,MIN(60,COLUMN()-29)),OFFSET(FP439,0,-MIN(60,COLUMN()-29),1,MIN(60,COLUMN()-29))),0)</f>
        <v>71.3051864</v>
      </c>
    </row>
    <row r="441" customFormat="false" ht="15" hidden="false" customHeight="false" outlineLevel="2" collapsed="false">
      <c r="B441" s="47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237"/>
      <c r="AD441" s="237"/>
      <c r="AE441" s="237"/>
      <c r="AF441" s="237"/>
      <c r="AG441" s="237"/>
      <c r="AH441" s="237"/>
      <c r="AI441" s="237"/>
      <c r="AJ441" s="237"/>
      <c r="AK441" s="237"/>
      <c r="AL441" s="237"/>
      <c r="AM441" s="237"/>
      <c r="AN441" s="237"/>
      <c r="AO441" s="237"/>
      <c r="AP441" s="237"/>
      <c r="AQ441" s="237"/>
      <c r="AR441" s="237"/>
      <c r="AS441" s="237"/>
      <c r="AT441" s="237"/>
      <c r="AU441" s="237"/>
      <c r="AV441" s="237"/>
      <c r="AW441" s="237"/>
      <c r="AX441" s="237"/>
      <c r="AY441" s="237"/>
      <c r="AZ441" s="237"/>
      <c r="BA441" s="237"/>
      <c r="BB441" s="237"/>
      <c r="BC441" s="237"/>
      <c r="BD441" s="237"/>
      <c r="BE441" s="237"/>
      <c r="BF441" s="237"/>
      <c r="BG441" s="237"/>
      <c r="BH441" s="237"/>
      <c r="BI441" s="237"/>
      <c r="BJ441" s="237"/>
      <c r="BK441" s="237"/>
      <c r="BL441" s="237"/>
      <c r="BM441" s="237"/>
      <c r="BN441" s="237"/>
      <c r="BO441" s="237"/>
      <c r="BP441" s="237"/>
      <c r="BQ441" s="237"/>
      <c r="BR441" s="237"/>
      <c r="BS441" s="237"/>
      <c r="BT441" s="237"/>
      <c r="BU441" s="237"/>
      <c r="BV441" s="237"/>
      <c r="BW441" s="237"/>
      <c r="BX441" s="237"/>
      <c r="BY441" s="237"/>
      <c r="BZ441" s="237"/>
      <c r="CA441" s="237"/>
      <c r="CB441" s="237"/>
      <c r="CC441" s="237"/>
      <c r="CD441" s="237"/>
      <c r="CE441" s="237"/>
      <c r="CF441" s="237"/>
      <c r="CG441" s="237"/>
      <c r="CH441" s="237"/>
      <c r="CI441" s="237"/>
      <c r="CJ441" s="237"/>
      <c r="CK441" s="237"/>
      <c r="CL441" s="237"/>
      <c r="CM441" s="237"/>
      <c r="CN441" s="237"/>
      <c r="CO441" s="237"/>
      <c r="CP441" s="237"/>
      <c r="CQ441" s="237"/>
      <c r="CR441" s="237"/>
      <c r="CS441" s="237"/>
      <c r="CT441" s="237"/>
      <c r="CU441" s="237"/>
      <c r="CV441" s="237"/>
      <c r="CW441" s="237"/>
      <c r="CX441" s="237"/>
      <c r="CY441" s="237"/>
      <c r="CZ441" s="237"/>
      <c r="DA441" s="237"/>
      <c r="DB441" s="237"/>
      <c r="DC441" s="237"/>
      <c r="DD441" s="237"/>
      <c r="DE441" s="237"/>
      <c r="DF441" s="237"/>
      <c r="DG441" s="237"/>
      <c r="DH441" s="237"/>
      <c r="DI441" s="237"/>
      <c r="DJ441" s="237"/>
      <c r="DK441" s="237"/>
      <c r="DL441" s="237"/>
      <c r="DM441" s="237"/>
      <c r="DN441" s="237"/>
      <c r="DO441" s="237"/>
      <c r="DP441" s="237"/>
      <c r="DQ441" s="237"/>
      <c r="DR441" s="237"/>
      <c r="DS441" s="237"/>
      <c r="DT441" s="237"/>
      <c r="DU441" s="237"/>
      <c r="DV441" s="237"/>
      <c r="DW441" s="237"/>
      <c r="DX441" s="237"/>
      <c r="DY441" s="237"/>
      <c r="DZ441" s="237"/>
      <c r="EA441" s="237"/>
      <c r="EB441" s="237"/>
      <c r="EC441" s="237"/>
      <c r="ED441" s="237"/>
      <c r="EE441" s="237"/>
      <c r="EF441" s="237"/>
      <c r="EG441" s="237"/>
      <c r="EH441" s="237"/>
      <c r="EI441" s="237"/>
      <c r="EJ441" s="237"/>
      <c r="EK441" s="237"/>
      <c r="EL441" s="237"/>
      <c r="EM441" s="237"/>
      <c r="EN441" s="237"/>
      <c r="EO441" s="237"/>
      <c r="EP441" s="237"/>
      <c r="EQ441" s="237"/>
      <c r="ER441" s="237"/>
      <c r="ES441" s="9"/>
      <c r="ET441" s="9"/>
      <c r="EU441" s="9"/>
      <c r="EV441" s="9"/>
      <c r="EW441" s="9"/>
      <c r="EX441" s="9"/>
      <c r="EY441" s="9"/>
      <c r="EZ441" s="9"/>
      <c r="FA441" s="9"/>
      <c r="FB441" s="9"/>
      <c r="FC441" s="9"/>
      <c r="FD441" s="9"/>
      <c r="FE441" s="9"/>
      <c r="FF441" s="9"/>
      <c r="FG441" s="9"/>
      <c r="FH441" s="9"/>
      <c r="FI441" s="9"/>
      <c r="FJ441" s="9"/>
      <c r="FK441" s="9"/>
      <c r="FL441" s="9"/>
      <c r="FM441" s="9"/>
      <c r="FN441" s="9"/>
      <c r="FO441" s="9"/>
      <c r="FP441" s="9"/>
    </row>
    <row r="442" customFormat="false" ht="15" hidden="false" customHeight="false" outlineLevel="2" collapsed="false">
      <c r="B442" s="47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237"/>
      <c r="AD442" s="237"/>
      <c r="AE442" s="237"/>
      <c r="AF442" s="237"/>
      <c r="AG442" s="237"/>
      <c r="AH442" s="237"/>
      <c r="AI442" s="237"/>
      <c r="AJ442" s="237"/>
      <c r="AK442" s="237"/>
      <c r="AL442" s="237"/>
      <c r="AM442" s="237"/>
      <c r="AN442" s="237"/>
      <c r="AO442" s="237"/>
      <c r="AP442" s="237"/>
      <c r="AQ442" s="237"/>
      <c r="AR442" s="237"/>
      <c r="AS442" s="237"/>
      <c r="AT442" s="237"/>
      <c r="AU442" s="237"/>
      <c r="AV442" s="237"/>
      <c r="AW442" s="237"/>
      <c r="AX442" s="237"/>
      <c r="AY442" s="237"/>
      <c r="AZ442" s="237"/>
      <c r="BA442" s="237"/>
      <c r="BB442" s="237"/>
      <c r="BC442" s="237"/>
      <c r="BD442" s="237"/>
      <c r="BE442" s="237"/>
      <c r="BF442" s="237"/>
      <c r="BG442" s="237"/>
      <c r="BH442" s="237"/>
      <c r="BI442" s="237"/>
      <c r="BJ442" s="237"/>
      <c r="BK442" s="237"/>
      <c r="BL442" s="237"/>
      <c r="BM442" s="237"/>
      <c r="BN442" s="237"/>
      <c r="BO442" s="237"/>
      <c r="BP442" s="237"/>
      <c r="BQ442" s="237"/>
      <c r="BR442" s="237"/>
      <c r="BS442" s="237"/>
      <c r="BT442" s="237"/>
      <c r="BU442" s="237"/>
      <c r="BV442" s="237"/>
      <c r="BW442" s="237"/>
      <c r="BX442" s="237"/>
      <c r="BY442" s="237"/>
      <c r="BZ442" s="237"/>
      <c r="CA442" s="237"/>
      <c r="CB442" s="237"/>
      <c r="CC442" s="237"/>
      <c r="CD442" s="237"/>
      <c r="CE442" s="237"/>
      <c r="CF442" s="237"/>
      <c r="CG442" s="237"/>
      <c r="CH442" s="237"/>
      <c r="CI442" s="237"/>
      <c r="CJ442" s="237"/>
      <c r="CK442" s="237"/>
      <c r="CL442" s="237"/>
      <c r="CM442" s="237"/>
      <c r="CN442" s="237"/>
      <c r="CO442" s="237"/>
      <c r="CP442" s="237"/>
      <c r="CQ442" s="237"/>
      <c r="CR442" s="237"/>
      <c r="CS442" s="237"/>
      <c r="CT442" s="237"/>
      <c r="CU442" s="237"/>
      <c r="CV442" s="237"/>
      <c r="CW442" s="237"/>
      <c r="CX442" s="237"/>
      <c r="CY442" s="237"/>
      <c r="CZ442" s="237"/>
      <c r="DA442" s="237"/>
      <c r="DB442" s="237"/>
      <c r="DC442" s="237"/>
      <c r="DD442" s="237"/>
      <c r="DE442" s="237"/>
      <c r="DF442" s="237"/>
      <c r="DG442" s="237"/>
      <c r="DH442" s="237"/>
      <c r="DI442" s="237"/>
      <c r="DJ442" s="237"/>
      <c r="DK442" s="237"/>
      <c r="DL442" s="237"/>
      <c r="DM442" s="237"/>
      <c r="DN442" s="237"/>
      <c r="DO442" s="237"/>
      <c r="DP442" s="237"/>
      <c r="DQ442" s="237"/>
      <c r="DR442" s="237"/>
      <c r="DS442" s="237"/>
      <c r="DT442" s="237"/>
      <c r="DU442" s="237"/>
      <c r="DV442" s="237"/>
      <c r="DW442" s="237"/>
      <c r="DX442" s="237"/>
      <c r="DY442" s="237"/>
      <c r="DZ442" s="237"/>
      <c r="EA442" s="237"/>
      <c r="EB442" s="237"/>
      <c r="EC442" s="237"/>
      <c r="ED442" s="237"/>
      <c r="EE442" s="237"/>
      <c r="EF442" s="237"/>
      <c r="EG442" s="237"/>
      <c r="EH442" s="237"/>
      <c r="EI442" s="237"/>
      <c r="EJ442" s="237"/>
      <c r="EK442" s="237"/>
      <c r="EL442" s="237"/>
      <c r="EM442" s="237"/>
      <c r="EN442" s="237"/>
      <c r="EO442" s="237"/>
      <c r="EP442" s="237"/>
      <c r="EQ442" s="237"/>
      <c r="ER442" s="237"/>
      <c r="ES442" s="9"/>
      <c r="ET442" s="9"/>
      <c r="EU442" s="9"/>
      <c r="EV442" s="9"/>
      <c r="EW442" s="9"/>
      <c r="EX442" s="9"/>
      <c r="EY442" s="9"/>
      <c r="EZ442" s="9"/>
      <c r="FA442" s="9"/>
      <c r="FB442" s="9"/>
      <c r="FC442" s="9"/>
      <c r="FD442" s="9"/>
      <c r="FE442" s="9"/>
      <c r="FF442" s="9"/>
      <c r="FG442" s="9"/>
      <c r="FH442" s="9"/>
      <c r="FI442" s="9"/>
      <c r="FJ442" s="9"/>
      <c r="FK442" s="9"/>
      <c r="FL442" s="9"/>
      <c r="FM442" s="9"/>
      <c r="FN442" s="9"/>
      <c r="FO442" s="9"/>
      <c r="FP442" s="9"/>
    </row>
    <row r="443" customFormat="false" ht="15" hidden="false" customHeight="false" outlineLevel="2" collapsed="false">
      <c r="B443" s="47" t="s">
        <v>917</v>
      </c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237"/>
      <c r="AD443" s="237"/>
      <c r="AE443" s="237"/>
      <c r="AF443" s="237"/>
      <c r="AG443" s="237"/>
      <c r="AH443" s="237"/>
      <c r="AI443" s="237"/>
      <c r="AJ443" s="237"/>
      <c r="AK443" s="237"/>
      <c r="AL443" s="237"/>
      <c r="AM443" s="237"/>
      <c r="AN443" s="237"/>
      <c r="AO443" s="237"/>
      <c r="AP443" s="237"/>
      <c r="AQ443" s="237"/>
      <c r="AR443" s="237"/>
      <c r="AS443" s="237"/>
      <c r="AT443" s="237"/>
      <c r="AU443" s="237"/>
      <c r="AV443" s="237"/>
      <c r="AW443" s="237"/>
      <c r="AX443" s="237"/>
      <c r="AY443" s="237"/>
      <c r="AZ443" s="237"/>
      <c r="BA443" s="237"/>
      <c r="BB443" s="237"/>
      <c r="BC443" s="237"/>
      <c r="BD443" s="237"/>
      <c r="BE443" s="237"/>
      <c r="BF443" s="237"/>
      <c r="BG443" s="237"/>
      <c r="BH443" s="237"/>
      <c r="BI443" s="237"/>
      <c r="BJ443" s="237"/>
      <c r="BK443" s="237"/>
      <c r="BL443" s="237"/>
      <c r="BM443" s="237"/>
      <c r="BN443" s="237"/>
      <c r="BO443" s="237"/>
      <c r="BP443" s="237"/>
      <c r="BQ443" s="237"/>
      <c r="BR443" s="237"/>
      <c r="BS443" s="237"/>
      <c r="BT443" s="237"/>
      <c r="BU443" s="237"/>
      <c r="BV443" s="237"/>
      <c r="BW443" s="237"/>
      <c r="BX443" s="237"/>
      <c r="BY443" s="237"/>
      <c r="BZ443" s="237"/>
      <c r="CA443" s="237"/>
      <c r="CB443" s="237"/>
      <c r="CC443" s="237"/>
      <c r="CD443" s="237"/>
      <c r="CE443" s="237"/>
      <c r="CF443" s="237"/>
      <c r="CG443" s="237"/>
      <c r="CH443" s="237"/>
      <c r="CI443" s="237"/>
      <c r="CJ443" s="237"/>
      <c r="CK443" s="237"/>
      <c r="CL443" s="237"/>
      <c r="CM443" s="237"/>
      <c r="CN443" s="237"/>
      <c r="CO443" s="237"/>
      <c r="CP443" s="237"/>
      <c r="CQ443" s="237"/>
      <c r="CR443" s="237"/>
      <c r="CS443" s="237"/>
      <c r="CT443" s="237"/>
      <c r="CU443" s="237"/>
      <c r="CV443" s="237"/>
      <c r="CW443" s="237"/>
      <c r="CX443" s="237"/>
      <c r="CY443" s="237"/>
      <c r="CZ443" s="237"/>
      <c r="DA443" s="237"/>
      <c r="DB443" s="237"/>
      <c r="DC443" s="237"/>
      <c r="DD443" s="237"/>
      <c r="DE443" s="237"/>
      <c r="DF443" s="237"/>
      <c r="DG443" s="237"/>
      <c r="DH443" s="237"/>
      <c r="DI443" s="237"/>
      <c r="DJ443" s="237"/>
      <c r="DK443" s="237"/>
      <c r="DL443" s="237"/>
      <c r="DM443" s="237"/>
      <c r="DN443" s="237"/>
      <c r="DO443" s="237"/>
      <c r="DP443" s="237"/>
      <c r="DQ443" s="237"/>
      <c r="DR443" s="237"/>
      <c r="DS443" s="237"/>
      <c r="DT443" s="237"/>
      <c r="DU443" s="237"/>
      <c r="DV443" s="237"/>
      <c r="DW443" s="237"/>
      <c r="DX443" s="237"/>
      <c r="DY443" s="237"/>
      <c r="DZ443" s="237"/>
      <c r="EA443" s="237"/>
      <c r="EB443" s="237"/>
      <c r="EC443" s="237"/>
      <c r="ED443" s="237"/>
      <c r="EE443" s="237"/>
      <c r="EF443" s="237"/>
      <c r="EG443" s="237"/>
      <c r="EH443" s="237"/>
      <c r="EI443" s="237"/>
      <c r="EJ443" s="237"/>
      <c r="EK443" s="237"/>
      <c r="EL443" s="237"/>
      <c r="EM443" s="237"/>
      <c r="EN443" s="237"/>
      <c r="EO443" s="237"/>
      <c r="EP443" s="237"/>
      <c r="EQ443" s="237"/>
      <c r="ER443" s="237"/>
      <c r="ES443" s="9"/>
      <c r="ET443" s="9"/>
      <c r="EU443" s="9"/>
      <c r="EV443" s="9"/>
      <c r="EW443" s="9"/>
      <c r="EX443" s="9"/>
      <c r="EY443" s="9"/>
      <c r="EZ443" s="9"/>
      <c r="FA443" s="9"/>
      <c r="FB443" s="9"/>
      <c r="FC443" s="9"/>
      <c r="FD443" s="9"/>
      <c r="FE443" s="9"/>
      <c r="FF443" s="9"/>
      <c r="FG443" s="9"/>
      <c r="FH443" s="9"/>
      <c r="FI443" s="9"/>
      <c r="FJ443" s="9"/>
      <c r="FK443" s="9"/>
      <c r="FL443" s="9"/>
      <c r="FM443" s="9"/>
      <c r="FN443" s="9"/>
      <c r="FO443" s="9"/>
      <c r="FP443" s="9"/>
    </row>
    <row r="444" customFormat="false" ht="15" hidden="false" customHeight="false" outlineLevel="2" collapsed="false">
      <c r="B444" s="47" t="s">
        <v>872</v>
      </c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237" t="n">
        <f aca="false">('⑫ Roll-out Plan'!G49-2025)*12+'⑫ Roll-out Plan'!F49</f>
        <v>109</v>
      </c>
      <c r="AD444" s="237"/>
      <c r="AE444" s="237"/>
      <c r="AF444" s="237"/>
      <c r="AG444" s="237"/>
      <c r="AH444" s="237"/>
      <c r="AI444" s="237"/>
      <c r="AJ444" s="237"/>
      <c r="AK444" s="237"/>
      <c r="AL444" s="237"/>
      <c r="AM444" s="237"/>
      <c r="AN444" s="237"/>
      <c r="AO444" s="237"/>
      <c r="AP444" s="237"/>
      <c r="AQ444" s="237"/>
      <c r="AR444" s="237"/>
      <c r="AS444" s="237"/>
      <c r="AT444" s="237"/>
      <c r="AU444" s="237"/>
      <c r="AV444" s="237"/>
      <c r="AW444" s="237"/>
      <c r="AX444" s="237"/>
      <c r="AY444" s="237"/>
      <c r="AZ444" s="237"/>
      <c r="BA444" s="237"/>
      <c r="BB444" s="237"/>
      <c r="BC444" s="237"/>
      <c r="BD444" s="237"/>
      <c r="BE444" s="237"/>
      <c r="BF444" s="237"/>
      <c r="BG444" s="237"/>
      <c r="BH444" s="237"/>
      <c r="BI444" s="237"/>
      <c r="BJ444" s="237"/>
      <c r="BK444" s="237"/>
      <c r="BL444" s="237"/>
      <c r="BM444" s="237"/>
      <c r="BN444" s="237"/>
      <c r="BO444" s="237"/>
      <c r="BP444" s="237"/>
      <c r="BQ444" s="237"/>
      <c r="BR444" s="237"/>
      <c r="BS444" s="237"/>
      <c r="BT444" s="237"/>
      <c r="BU444" s="237"/>
      <c r="BV444" s="237"/>
      <c r="BW444" s="237"/>
      <c r="BX444" s="237"/>
      <c r="BY444" s="237"/>
      <c r="BZ444" s="237"/>
      <c r="CA444" s="237"/>
      <c r="CB444" s="237"/>
      <c r="CC444" s="237"/>
      <c r="CD444" s="237"/>
      <c r="CE444" s="237"/>
      <c r="CF444" s="237"/>
      <c r="CG444" s="237"/>
      <c r="CH444" s="237"/>
      <c r="CI444" s="237"/>
      <c r="CJ444" s="237"/>
      <c r="CK444" s="237"/>
      <c r="CL444" s="237"/>
      <c r="CM444" s="237"/>
      <c r="CN444" s="237"/>
      <c r="CO444" s="237"/>
      <c r="CP444" s="237"/>
      <c r="CQ444" s="237"/>
      <c r="CR444" s="237"/>
      <c r="CS444" s="237"/>
      <c r="CT444" s="237"/>
      <c r="CU444" s="237"/>
      <c r="CV444" s="237"/>
      <c r="CW444" s="237"/>
      <c r="CX444" s="237"/>
      <c r="CY444" s="237"/>
      <c r="CZ444" s="237"/>
      <c r="DA444" s="237"/>
      <c r="DB444" s="237"/>
      <c r="DC444" s="237"/>
      <c r="DD444" s="237"/>
      <c r="DE444" s="237"/>
      <c r="DF444" s="237"/>
      <c r="DG444" s="237"/>
      <c r="DH444" s="237"/>
      <c r="DI444" s="237"/>
      <c r="DJ444" s="237"/>
      <c r="DK444" s="237"/>
      <c r="DL444" s="237"/>
      <c r="DM444" s="237"/>
      <c r="DN444" s="237"/>
      <c r="DO444" s="237"/>
      <c r="DP444" s="237"/>
      <c r="DQ444" s="237"/>
      <c r="DR444" s="237"/>
      <c r="DS444" s="237"/>
      <c r="DT444" s="237"/>
      <c r="DU444" s="237"/>
      <c r="DV444" s="237"/>
      <c r="DW444" s="237"/>
      <c r="DX444" s="237"/>
      <c r="DY444" s="237"/>
      <c r="DZ444" s="237"/>
      <c r="EA444" s="237"/>
      <c r="EB444" s="237"/>
      <c r="EC444" s="237"/>
      <c r="ED444" s="237"/>
      <c r="EE444" s="237"/>
      <c r="EF444" s="237"/>
      <c r="EG444" s="237"/>
      <c r="EH444" s="237"/>
      <c r="EI444" s="237"/>
      <c r="EJ444" s="237"/>
      <c r="EK444" s="237"/>
      <c r="EL444" s="237"/>
      <c r="EM444" s="237"/>
      <c r="EN444" s="237"/>
      <c r="EO444" s="237"/>
      <c r="EP444" s="237"/>
      <c r="EQ444" s="237"/>
      <c r="ER444" s="237"/>
      <c r="ES444" s="9"/>
      <c r="ET444" s="9"/>
      <c r="EU444" s="9"/>
      <c r="EV444" s="9"/>
      <c r="EW444" s="9"/>
      <c r="EX444" s="9"/>
      <c r="EY444" s="9"/>
      <c r="EZ444" s="9"/>
      <c r="FA444" s="9"/>
      <c r="FB444" s="9"/>
      <c r="FC444" s="9"/>
      <c r="FD444" s="9"/>
      <c r="FE444" s="9"/>
      <c r="FF444" s="9"/>
      <c r="FG444" s="9"/>
      <c r="FH444" s="9"/>
      <c r="FI444" s="9"/>
      <c r="FJ444" s="9"/>
      <c r="FK444" s="9"/>
      <c r="FL444" s="9"/>
      <c r="FM444" s="9"/>
      <c r="FN444" s="9"/>
      <c r="FO444" s="9"/>
      <c r="FP444" s="9"/>
    </row>
    <row r="445" customFormat="false" ht="15" hidden="false" customHeight="false" outlineLevel="2" collapsed="false">
      <c r="B445" s="47" t="s">
        <v>873</v>
      </c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237" t="n">
        <f aca="false">VLOOKUP("C",$B$14:$C$18,2,FALSE())</f>
        <v>110</v>
      </c>
      <c r="AD445" s="237"/>
      <c r="AE445" s="237"/>
      <c r="AF445" s="237"/>
      <c r="AG445" s="237"/>
      <c r="AH445" s="237"/>
      <c r="AI445" s="237"/>
      <c r="AJ445" s="237"/>
      <c r="AK445" s="237"/>
      <c r="AL445" s="237"/>
      <c r="AM445" s="237"/>
      <c r="AN445" s="237"/>
      <c r="AO445" s="237"/>
      <c r="AP445" s="237"/>
      <c r="AQ445" s="237"/>
      <c r="AR445" s="237"/>
      <c r="AS445" s="237"/>
      <c r="AT445" s="237"/>
      <c r="AU445" s="237"/>
      <c r="AV445" s="237"/>
      <c r="AW445" s="237"/>
      <c r="AX445" s="237"/>
      <c r="AY445" s="237"/>
      <c r="AZ445" s="237"/>
      <c r="BA445" s="237"/>
      <c r="BB445" s="237"/>
      <c r="BC445" s="237"/>
      <c r="BD445" s="237"/>
      <c r="BE445" s="237"/>
      <c r="BF445" s="237"/>
      <c r="BG445" s="237"/>
      <c r="BH445" s="237"/>
      <c r="BI445" s="237"/>
      <c r="BJ445" s="237"/>
      <c r="BK445" s="237"/>
      <c r="BL445" s="237"/>
      <c r="BM445" s="237"/>
      <c r="BN445" s="237"/>
      <c r="BO445" s="237"/>
      <c r="BP445" s="237"/>
      <c r="BQ445" s="237"/>
      <c r="BR445" s="237"/>
      <c r="BS445" s="237"/>
      <c r="BT445" s="237"/>
      <c r="BU445" s="237"/>
      <c r="BV445" s="237"/>
      <c r="BW445" s="237"/>
      <c r="BX445" s="237"/>
      <c r="BY445" s="237"/>
      <c r="BZ445" s="237"/>
      <c r="CA445" s="237"/>
      <c r="CB445" s="237"/>
      <c r="CC445" s="237"/>
      <c r="CD445" s="237"/>
      <c r="CE445" s="237"/>
      <c r="CF445" s="237"/>
      <c r="CG445" s="237"/>
      <c r="CH445" s="237"/>
      <c r="CI445" s="237"/>
      <c r="CJ445" s="237"/>
      <c r="CK445" s="237"/>
      <c r="CL445" s="237"/>
      <c r="CM445" s="237"/>
      <c r="CN445" s="237"/>
      <c r="CO445" s="237"/>
      <c r="CP445" s="237"/>
      <c r="CQ445" s="237"/>
      <c r="CR445" s="237"/>
      <c r="CS445" s="237"/>
      <c r="CT445" s="237"/>
      <c r="CU445" s="237"/>
      <c r="CV445" s="237"/>
      <c r="CW445" s="237"/>
      <c r="CX445" s="237"/>
      <c r="CY445" s="237"/>
      <c r="CZ445" s="237"/>
      <c r="DA445" s="237"/>
      <c r="DB445" s="237"/>
      <c r="DC445" s="237"/>
      <c r="DD445" s="237"/>
      <c r="DE445" s="237"/>
      <c r="DF445" s="237"/>
      <c r="DG445" s="237"/>
      <c r="DH445" s="237"/>
      <c r="DI445" s="237"/>
      <c r="DJ445" s="237"/>
      <c r="DK445" s="237"/>
      <c r="DL445" s="237"/>
      <c r="DM445" s="237"/>
      <c r="DN445" s="237"/>
      <c r="DO445" s="237"/>
      <c r="DP445" s="237"/>
      <c r="DQ445" s="237"/>
      <c r="DR445" s="237"/>
      <c r="DS445" s="237"/>
      <c r="DT445" s="237"/>
      <c r="DU445" s="237"/>
      <c r="DV445" s="237"/>
      <c r="DW445" s="237"/>
      <c r="DX445" s="237"/>
      <c r="DY445" s="237"/>
      <c r="DZ445" s="237"/>
      <c r="EA445" s="237"/>
      <c r="EB445" s="237"/>
      <c r="EC445" s="237"/>
      <c r="ED445" s="237"/>
      <c r="EE445" s="237"/>
      <c r="EF445" s="237"/>
      <c r="EG445" s="237"/>
      <c r="EH445" s="237"/>
      <c r="EI445" s="237"/>
      <c r="EJ445" s="237"/>
      <c r="EK445" s="237"/>
      <c r="EL445" s="237"/>
      <c r="EM445" s="237"/>
      <c r="EN445" s="237"/>
      <c r="EO445" s="237"/>
      <c r="EP445" s="237"/>
      <c r="EQ445" s="237"/>
      <c r="ER445" s="237"/>
      <c r="ES445" s="9"/>
      <c r="ET445" s="9"/>
      <c r="EU445" s="9"/>
      <c r="EV445" s="9"/>
      <c r="EW445" s="9"/>
      <c r="EX445" s="9"/>
      <c r="EY445" s="9"/>
      <c r="EZ445" s="9"/>
      <c r="FA445" s="9"/>
      <c r="FB445" s="9"/>
      <c r="FC445" s="9"/>
      <c r="FD445" s="9"/>
      <c r="FE445" s="9"/>
      <c r="FF445" s="9"/>
      <c r="FG445" s="9"/>
      <c r="FH445" s="9"/>
      <c r="FI445" s="9"/>
      <c r="FJ445" s="9"/>
      <c r="FK445" s="9"/>
      <c r="FL445" s="9"/>
      <c r="FM445" s="9"/>
      <c r="FN445" s="9"/>
      <c r="FO445" s="9"/>
      <c r="FP445" s="9"/>
    </row>
    <row r="446" customFormat="false" ht="15" hidden="false" customHeight="false" outlineLevel="2" collapsed="false">
      <c r="B446" s="47" t="s">
        <v>799</v>
      </c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237" t="n">
        <f aca="false">IF(AC$35&gt;=$AC$444,AC$35-$AC$444+1,0)</f>
        <v>0</v>
      </c>
      <c r="AD446" s="237" t="n">
        <f aca="false">IF(AD$35&gt;=$AC$444,AD$35-$AC$444+1,0)</f>
        <v>0</v>
      </c>
      <c r="AE446" s="237" t="n">
        <f aca="false">IF(AE$35&gt;=$AC$444,AE$35-$AC$444+1,0)</f>
        <v>0</v>
      </c>
      <c r="AF446" s="237" t="n">
        <f aca="false">IF(AF$35&gt;=$AC$444,AF$35-$AC$444+1,0)</f>
        <v>0</v>
      </c>
      <c r="AG446" s="237" t="n">
        <f aca="false">IF(AG$35&gt;=$AC$444,AG$35-$AC$444+1,0)</f>
        <v>0</v>
      </c>
      <c r="AH446" s="237" t="n">
        <f aca="false">IF(AH$35&gt;=$AC$444,AH$35-$AC$444+1,0)</f>
        <v>0</v>
      </c>
      <c r="AI446" s="237" t="n">
        <f aca="false">IF(AI$35&gt;=$AC$444,AI$35-$AC$444+1,0)</f>
        <v>0</v>
      </c>
      <c r="AJ446" s="237" t="n">
        <f aca="false">IF(AJ$35&gt;=$AC$444,AJ$35-$AC$444+1,0)</f>
        <v>0</v>
      </c>
      <c r="AK446" s="237" t="n">
        <f aca="false">IF(AK$35&gt;=$AC$444,AK$35-$AC$444+1,0)</f>
        <v>0</v>
      </c>
      <c r="AL446" s="237" t="n">
        <f aca="false">IF(AL$35&gt;=$AC$444,AL$35-$AC$444+1,0)</f>
        <v>0</v>
      </c>
      <c r="AM446" s="237" t="n">
        <f aca="false">IF(AM$35&gt;=$AC$444,AM$35-$AC$444+1,0)</f>
        <v>0</v>
      </c>
      <c r="AN446" s="237" t="n">
        <f aca="false">IF(AN$35&gt;=$AC$444,AN$35-$AC$444+1,0)</f>
        <v>0</v>
      </c>
      <c r="AO446" s="237" t="n">
        <f aca="false">IF(AO$35&gt;=$AC$444,AO$35-$AC$444+1,0)</f>
        <v>0</v>
      </c>
      <c r="AP446" s="237" t="n">
        <f aca="false">IF(AP$35&gt;=$AC$444,AP$35-$AC$444+1,0)</f>
        <v>0</v>
      </c>
      <c r="AQ446" s="237" t="n">
        <f aca="false">IF(AQ$35&gt;=$AC$444,AQ$35-$AC$444+1,0)</f>
        <v>0</v>
      </c>
      <c r="AR446" s="237" t="n">
        <f aca="false">IF(AR$35&gt;=$AC$444,AR$35-$AC$444+1,0)</f>
        <v>0</v>
      </c>
      <c r="AS446" s="237" t="n">
        <f aca="false">IF(AS$35&gt;=$AC$444,AS$35-$AC$444+1,0)</f>
        <v>0</v>
      </c>
      <c r="AT446" s="237" t="n">
        <f aca="false">IF(AT$35&gt;=$AC$444,AT$35-$AC$444+1,0)</f>
        <v>0</v>
      </c>
      <c r="AU446" s="237" t="n">
        <f aca="false">IF(AU$35&gt;=$AC$444,AU$35-$AC$444+1,0)</f>
        <v>0</v>
      </c>
      <c r="AV446" s="237" t="n">
        <f aca="false">IF(AV$35&gt;=$AC$444,AV$35-$AC$444+1,0)</f>
        <v>0</v>
      </c>
      <c r="AW446" s="237" t="n">
        <f aca="false">IF(AW$35&gt;=$AC$444,AW$35-$AC$444+1,0)</f>
        <v>0</v>
      </c>
      <c r="AX446" s="237" t="n">
        <f aca="false">IF(AX$35&gt;=$AC$444,AX$35-$AC$444+1,0)</f>
        <v>0</v>
      </c>
      <c r="AY446" s="237" t="n">
        <f aca="false">IF(AY$35&gt;=$AC$444,AY$35-$AC$444+1,0)</f>
        <v>0</v>
      </c>
      <c r="AZ446" s="237" t="n">
        <f aca="false">IF(AZ$35&gt;=$AC$444,AZ$35-$AC$444+1,0)</f>
        <v>0</v>
      </c>
      <c r="BA446" s="237" t="n">
        <f aca="false">IF(BA$35&gt;=$AC$444,BA$35-$AC$444+1,0)</f>
        <v>0</v>
      </c>
      <c r="BB446" s="237" t="n">
        <f aca="false">IF(BB$35&gt;=$AC$444,BB$35-$AC$444+1,0)</f>
        <v>0</v>
      </c>
      <c r="BC446" s="237" t="n">
        <f aca="false">IF(BC$35&gt;=$AC$444,BC$35-$AC$444+1,0)</f>
        <v>0</v>
      </c>
      <c r="BD446" s="237" t="n">
        <f aca="false">IF(BD$35&gt;=$AC$444,BD$35-$AC$444+1,0)</f>
        <v>0</v>
      </c>
      <c r="BE446" s="237" t="n">
        <f aca="false">IF(BE$35&gt;=$AC$444,BE$35-$AC$444+1,0)</f>
        <v>0</v>
      </c>
      <c r="BF446" s="237" t="n">
        <f aca="false">IF(BF$35&gt;=$AC$444,BF$35-$AC$444+1,0)</f>
        <v>0</v>
      </c>
      <c r="BG446" s="237" t="n">
        <f aca="false">IF(BG$35&gt;=$AC$444,BG$35-$AC$444+1,0)</f>
        <v>0</v>
      </c>
      <c r="BH446" s="237" t="n">
        <f aca="false">IF(BH$35&gt;=$AC$444,BH$35-$AC$444+1,0)</f>
        <v>0</v>
      </c>
      <c r="BI446" s="237" t="n">
        <f aca="false">IF(BI$35&gt;=$AC$444,BI$35-$AC$444+1,0)</f>
        <v>0</v>
      </c>
      <c r="BJ446" s="237" t="n">
        <f aca="false">IF(BJ$35&gt;=$AC$444,BJ$35-$AC$444+1,0)</f>
        <v>0</v>
      </c>
      <c r="BK446" s="237" t="n">
        <f aca="false">IF(BK$35&gt;=$AC$444,BK$35-$AC$444+1,0)</f>
        <v>0</v>
      </c>
      <c r="BL446" s="237" t="n">
        <f aca="false">IF(BL$35&gt;=$AC$444,BL$35-$AC$444+1,0)</f>
        <v>0</v>
      </c>
      <c r="BM446" s="237" t="n">
        <f aca="false">IF(BM$35&gt;=$AC$444,BM$35-$AC$444+1,0)</f>
        <v>0</v>
      </c>
      <c r="BN446" s="237" t="n">
        <f aca="false">IF(BN$35&gt;=$AC$444,BN$35-$AC$444+1,0)</f>
        <v>0</v>
      </c>
      <c r="BO446" s="237" t="n">
        <f aca="false">IF(BO$35&gt;=$AC$444,BO$35-$AC$444+1,0)</f>
        <v>0</v>
      </c>
      <c r="BP446" s="237" t="n">
        <f aca="false">IF(BP$35&gt;=$AC$444,BP$35-$AC$444+1,0)</f>
        <v>0</v>
      </c>
      <c r="BQ446" s="237" t="n">
        <f aca="false">IF(BQ$35&gt;=$AC$444,BQ$35-$AC$444+1,0)</f>
        <v>0</v>
      </c>
      <c r="BR446" s="237" t="n">
        <f aca="false">IF(BR$35&gt;=$AC$444,BR$35-$AC$444+1,0)</f>
        <v>0</v>
      </c>
      <c r="BS446" s="237" t="n">
        <f aca="false">IF(BS$35&gt;=$AC$444,BS$35-$AC$444+1,0)</f>
        <v>0</v>
      </c>
      <c r="BT446" s="237" t="n">
        <f aca="false">IF(BT$35&gt;=$AC$444,BT$35-$AC$444+1,0)</f>
        <v>0</v>
      </c>
      <c r="BU446" s="237" t="n">
        <f aca="false">IF(BU$35&gt;=$AC$444,BU$35-$AC$444+1,0)</f>
        <v>0</v>
      </c>
      <c r="BV446" s="237" t="n">
        <f aca="false">IF(BV$35&gt;=$AC$444,BV$35-$AC$444+1,0)</f>
        <v>0</v>
      </c>
      <c r="BW446" s="237" t="n">
        <f aca="false">IF(BW$35&gt;=$AC$444,BW$35-$AC$444+1,0)</f>
        <v>0</v>
      </c>
      <c r="BX446" s="237" t="n">
        <f aca="false">IF(BX$35&gt;=$AC$444,BX$35-$AC$444+1,0)</f>
        <v>0</v>
      </c>
      <c r="BY446" s="237" t="n">
        <f aca="false">IF(BY$35&gt;=$AC$444,BY$35-$AC$444+1,0)</f>
        <v>0</v>
      </c>
      <c r="BZ446" s="237" t="n">
        <f aca="false">IF(BZ$35&gt;=$AC$444,BZ$35-$AC$444+1,0)</f>
        <v>0</v>
      </c>
      <c r="CA446" s="237" t="n">
        <f aca="false">IF(CA$35&gt;=$AC$444,CA$35-$AC$444+1,0)</f>
        <v>0</v>
      </c>
      <c r="CB446" s="237" t="n">
        <f aca="false">IF(CB$35&gt;=$AC$444,CB$35-$AC$444+1,0)</f>
        <v>0</v>
      </c>
      <c r="CC446" s="237" t="n">
        <f aca="false">IF(CC$35&gt;=$AC$444,CC$35-$AC$444+1,0)</f>
        <v>0</v>
      </c>
      <c r="CD446" s="237" t="n">
        <f aca="false">IF(CD$35&gt;=$AC$444,CD$35-$AC$444+1,0)</f>
        <v>0</v>
      </c>
      <c r="CE446" s="237" t="n">
        <f aca="false">IF(CE$35&gt;=$AC$444,CE$35-$AC$444+1,0)</f>
        <v>0</v>
      </c>
      <c r="CF446" s="237" t="n">
        <f aca="false">IF(CF$35&gt;=$AC$444,CF$35-$AC$444+1,0)</f>
        <v>0</v>
      </c>
      <c r="CG446" s="237" t="n">
        <f aca="false">IF(CG$35&gt;=$AC$444,CG$35-$AC$444+1,0)</f>
        <v>0</v>
      </c>
      <c r="CH446" s="237" t="n">
        <f aca="false">IF(CH$35&gt;=$AC$444,CH$35-$AC$444+1,0)</f>
        <v>0</v>
      </c>
      <c r="CI446" s="237" t="n">
        <f aca="false">IF(CI$35&gt;=$AC$444,CI$35-$AC$444+1,0)</f>
        <v>0</v>
      </c>
      <c r="CJ446" s="237" t="n">
        <f aca="false">IF(CJ$35&gt;=$AC$444,CJ$35-$AC$444+1,0)</f>
        <v>0</v>
      </c>
      <c r="CK446" s="237" t="n">
        <f aca="false">IF(CK$35&gt;=$AC$444,CK$35-$AC$444+1,0)</f>
        <v>0</v>
      </c>
      <c r="CL446" s="237" t="n">
        <f aca="false">IF(CL$35&gt;=$AC$444,CL$35-$AC$444+1,0)</f>
        <v>0</v>
      </c>
      <c r="CM446" s="237" t="n">
        <f aca="false">IF(CM$35&gt;=$AC$444,CM$35-$AC$444+1,0)</f>
        <v>0</v>
      </c>
      <c r="CN446" s="237" t="n">
        <f aca="false">IF(CN$35&gt;=$AC$444,CN$35-$AC$444+1,0)</f>
        <v>0</v>
      </c>
      <c r="CO446" s="237" t="n">
        <f aca="false">IF(CO$35&gt;=$AC$444,CO$35-$AC$444+1,0)</f>
        <v>0</v>
      </c>
      <c r="CP446" s="237" t="n">
        <f aca="false">IF(CP$35&gt;=$AC$444,CP$35-$AC$444+1,0)</f>
        <v>0</v>
      </c>
      <c r="CQ446" s="237" t="n">
        <f aca="false">IF(CQ$35&gt;=$AC$444,CQ$35-$AC$444+1,0)</f>
        <v>0</v>
      </c>
      <c r="CR446" s="237" t="n">
        <f aca="false">IF(CR$35&gt;=$AC$444,CR$35-$AC$444+1,0)</f>
        <v>0</v>
      </c>
      <c r="CS446" s="237" t="n">
        <f aca="false">IF(CS$35&gt;=$AC$444,CS$35-$AC$444+1,0)</f>
        <v>0</v>
      </c>
      <c r="CT446" s="237" t="n">
        <f aca="false">IF(CT$35&gt;=$AC$444,CT$35-$AC$444+1,0)</f>
        <v>0</v>
      </c>
      <c r="CU446" s="237" t="n">
        <f aca="false">IF(CU$35&gt;=$AC$444,CU$35-$AC$444+1,0)</f>
        <v>0</v>
      </c>
      <c r="CV446" s="237" t="n">
        <f aca="false">IF(CV$35&gt;=$AC$444,CV$35-$AC$444+1,0)</f>
        <v>0</v>
      </c>
      <c r="CW446" s="237" t="n">
        <f aca="false">IF(CW$35&gt;=$AC$444,CW$35-$AC$444+1,0)</f>
        <v>0</v>
      </c>
      <c r="CX446" s="237" t="n">
        <f aca="false">IF(CX$35&gt;=$AC$444,CX$35-$AC$444+1,0)</f>
        <v>0</v>
      </c>
      <c r="CY446" s="237" t="n">
        <f aca="false">IF(CY$35&gt;=$AC$444,CY$35-$AC$444+1,0)</f>
        <v>0</v>
      </c>
      <c r="CZ446" s="237" t="n">
        <f aca="false">IF(CZ$35&gt;=$AC$444,CZ$35-$AC$444+1,0)</f>
        <v>0</v>
      </c>
      <c r="DA446" s="237" t="n">
        <f aca="false">IF(DA$35&gt;=$AC$444,DA$35-$AC$444+1,0)</f>
        <v>0</v>
      </c>
      <c r="DB446" s="237" t="n">
        <f aca="false">IF(DB$35&gt;=$AC$444,DB$35-$AC$444+1,0)</f>
        <v>0</v>
      </c>
      <c r="DC446" s="237" t="n">
        <f aca="false">IF(DC$35&gt;=$AC$444,DC$35-$AC$444+1,0)</f>
        <v>0</v>
      </c>
      <c r="DD446" s="237" t="n">
        <f aca="false">IF(DD$35&gt;=$AC$444,DD$35-$AC$444+1,0)</f>
        <v>0</v>
      </c>
      <c r="DE446" s="237" t="n">
        <f aca="false">IF(DE$35&gt;=$AC$444,DE$35-$AC$444+1,0)</f>
        <v>0</v>
      </c>
      <c r="DF446" s="237" t="n">
        <f aca="false">IF(DF$35&gt;=$AC$444,DF$35-$AC$444+1,0)</f>
        <v>0</v>
      </c>
      <c r="DG446" s="237" t="n">
        <f aca="false">IF(DG$35&gt;=$AC$444,DG$35-$AC$444+1,0)</f>
        <v>0</v>
      </c>
      <c r="DH446" s="237" t="n">
        <f aca="false">IF(DH$35&gt;=$AC$444,DH$35-$AC$444+1,0)</f>
        <v>0</v>
      </c>
      <c r="DI446" s="237" t="n">
        <f aca="false">IF(DI$35&gt;=$AC$444,DI$35-$AC$444+1,0)</f>
        <v>0</v>
      </c>
      <c r="DJ446" s="237" t="n">
        <f aca="false">IF(DJ$35&gt;=$AC$444,DJ$35-$AC$444+1,0)</f>
        <v>0</v>
      </c>
      <c r="DK446" s="237" t="n">
        <f aca="false">IF(DK$35&gt;=$AC$444,DK$35-$AC$444+1,0)</f>
        <v>0</v>
      </c>
      <c r="DL446" s="237" t="n">
        <f aca="false">IF(DL$35&gt;=$AC$444,DL$35-$AC$444+1,0)</f>
        <v>0</v>
      </c>
      <c r="DM446" s="237" t="n">
        <f aca="false">IF(DM$35&gt;=$AC$444,DM$35-$AC$444+1,0)</f>
        <v>0</v>
      </c>
      <c r="DN446" s="237" t="n">
        <f aca="false">IF(DN$35&gt;=$AC$444,DN$35-$AC$444+1,0)</f>
        <v>0</v>
      </c>
      <c r="DO446" s="237" t="n">
        <f aca="false">IF(DO$35&gt;=$AC$444,DO$35-$AC$444+1,0)</f>
        <v>0</v>
      </c>
      <c r="DP446" s="237" t="n">
        <f aca="false">IF(DP$35&gt;=$AC$444,DP$35-$AC$444+1,0)</f>
        <v>0</v>
      </c>
      <c r="DQ446" s="237" t="n">
        <f aca="false">IF(DQ$35&gt;=$AC$444,DQ$35-$AC$444+1,0)</f>
        <v>0</v>
      </c>
      <c r="DR446" s="237" t="n">
        <f aca="false">IF(DR$35&gt;=$AC$444,DR$35-$AC$444+1,0)</f>
        <v>0</v>
      </c>
      <c r="DS446" s="237" t="n">
        <f aca="false">IF(DS$35&gt;=$AC$444,DS$35-$AC$444+1,0)</f>
        <v>0</v>
      </c>
      <c r="DT446" s="237" t="n">
        <f aca="false">IF(DT$35&gt;=$AC$444,DT$35-$AC$444+1,0)</f>
        <v>0</v>
      </c>
      <c r="DU446" s="237" t="n">
        <f aca="false">IF(DU$35&gt;=$AC$444,DU$35-$AC$444+1,0)</f>
        <v>0</v>
      </c>
      <c r="DV446" s="237" t="n">
        <f aca="false">IF(DV$35&gt;=$AC$444,DV$35-$AC$444+1,0)</f>
        <v>0</v>
      </c>
      <c r="DW446" s="237" t="n">
        <f aca="false">IF(DW$35&gt;=$AC$444,DW$35-$AC$444+1,0)</f>
        <v>0</v>
      </c>
      <c r="DX446" s="237" t="n">
        <f aca="false">IF(DX$35&gt;=$AC$444,DX$35-$AC$444+1,0)</f>
        <v>0</v>
      </c>
      <c r="DY446" s="237" t="n">
        <f aca="false">IF(DY$35&gt;=$AC$444,DY$35-$AC$444+1,0)</f>
        <v>0</v>
      </c>
      <c r="DZ446" s="237" t="n">
        <f aca="false">IF(DZ$35&gt;=$AC$444,DZ$35-$AC$444+1,0)</f>
        <v>0</v>
      </c>
      <c r="EA446" s="237" t="n">
        <f aca="false">IF(EA$35&gt;=$AC$444,EA$35-$AC$444+1,0)</f>
        <v>0</v>
      </c>
      <c r="EB446" s="237" t="n">
        <f aca="false">IF(EB$35&gt;=$AC$444,EB$35-$AC$444+1,0)</f>
        <v>0</v>
      </c>
      <c r="EC446" s="237" t="n">
        <f aca="false">IF(EC$35&gt;=$AC$444,EC$35-$AC$444+1,0)</f>
        <v>0</v>
      </c>
      <c r="ED446" s="237" t="n">
        <f aca="false">IF(ED$35&gt;=$AC$444,ED$35-$AC$444+1,0)</f>
        <v>0</v>
      </c>
      <c r="EE446" s="237" t="n">
        <f aca="false">IF(EE$35&gt;=$AC$444,EE$35-$AC$444+1,0)</f>
        <v>0</v>
      </c>
      <c r="EF446" s="237" t="n">
        <f aca="false">IF(EF$35&gt;=$AC$444,EF$35-$AC$444+1,0)</f>
        <v>0</v>
      </c>
      <c r="EG446" s="237" t="n">
        <f aca="false">IF(EG$35&gt;=$AC$444,EG$35-$AC$444+1,0)</f>
        <v>1</v>
      </c>
      <c r="EH446" s="237" t="n">
        <f aca="false">IF(EH$35&gt;=$AC$444,EH$35-$AC$444+1,0)</f>
        <v>2</v>
      </c>
      <c r="EI446" s="237" t="n">
        <f aca="false">IF(EI$35&gt;=$AC$444,EI$35-$AC$444+1,0)</f>
        <v>3</v>
      </c>
      <c r="EJ446" s="237" t="n">
        <f aca="false">IF(EJ$35&gt;=$AC$444,EJ$35-$AC$444+1,0)</f>
        <v>4</v>
      </c>
      <c r="EK446" s="237" t="n">
        <f aca="false">IF(EK$35&gt;=$AC$444,EK$35-$AC$444+1,0)</f>
        <v>5</v>
      </c>
      <c r="EL446" s="237" t="n">
        <f aca="false">IF(EL$35&gt;=$AC$444,EL$35-$AC$444+1,0)</f>
        <v>6</v>
      </c>
      <c r="EM446" s="237" t="n">
        <f aca="false">IF(EM$35&gt;=$AC$444,EM$35-$AC$444+1,0)</f>
        <v>7</v>
      </c>
      <c r="EN446" s="237" t="n">
        <f aca="false">IF(EN$35&gt;=$AC$444,EN$35-$AC$444+1,0)</f>
        <v>8</v>
      </c>
      <c r="EO446" s="237" t="n">
        <f aca="false">IF(EO$35&gt;=$AC$444,EO$35-$AC$444+1,0)</f>
        <v>9</v>
      </c>
      <c r="EP446" s="237" t="n">
        <f aca="false">IF(EP$35&gt;=$AC$444,EP$35-$AC$444+1,0)</f>
        <v>10</v>
      </c>
      <c r="EQ446" s="237" t="n">
        <f aca="false">IF(EQ$35&gt;=$AC$444,EQ$35-$AC$444+1,0)</f>
        <v>11</v>
      </c>
      <c r="ER446" s="237" t="n">
        <f aca="false">IF(ER$35&gt;=$AC$444,ER$35-$AC$444+1,0)</f>
        <v>12</v>
      </c>
      <c r="ES446" s="9" t="n">
        <f aca="false">IF(ES$35&gt;=$AC$444,ES$35-$AC$444+1,0)</f>
        <v>13</v>
      </c>
      <c r="ET446" s="9" t="n">
        <f aca="false">IF(ET$35&gt;=$AC$444,ET$35-$AC$444+1,0)</f>
        <v>14</v>
      </c>
      <c r="EU446" s="9" t="n">
        <f aca="false">IF(EU$35&gt;=$AC$444,EU$35-$AC$444+1,0)</f>
        <v>15</v>
      </c>
      <c r="EV446" s="9" t="n">
        <f aca="false">IF(EV$35&gt;=$AC$444,EV$35-$AC$444+1,0)</f>
        <v>16</v>
      </c>
      <c r="EW446" s="9" t="n">
        <f aca="false">IF(EW$35&gt;=$AC$444,EW$35-$AC$444+1,0)</f>
        <v>17</v>
      </c>
      <c r="EX446" s="9" t="n">
        <f aca="false">IF(EX$35&gt;=$AC$444,EX$35-$AC$444+1,0)</f>
        <v>18</v>
      </c>
      <c r="EY446" s="9" t="n">
        <f aca="false">IF(EY$35&gt;=$AC$444,EY$35-$AC$444+1,0)</f>
        <v>19</v>
      </c>
      <c r="EZ446" s="9" t="n">
        <f aca="false">IF(EZ$35&gt;=$AC$444,EZ$35-$AC$444+1,0)</f>
        <v>20</v>
      </c>
      <c r="FA446" s="9" t="n">
        <f aca="false">IF(FA$35&gt;=$AC$444,FA$35-$AC$444+1,0)</f>
        <v>21</v>
      </c>
      <c r="FB446" s="9" t="n">
        <f aca="false">IF(FB$35&gt;=$AC$444,FB$35-$AC$444+1,0)</f>
        <v>22</v>
      </c>
      <c r="FC446" s="9" t="n">
        <f aca="false">IF(FC$35&gt;=$AC$444,FC$35-$AC$444+1,0)</f>
        <v>23</v>
      </c>
      <c r="FD446" s="9" t="n">
        <f aca="false">IF(FD$35&gt;=$AC$444,FD$35-$AC$444+1,0)</f>
        <v>24</v>
      </c>
      <c r="FE446" s="9" t="n">
        <f aca="false">IF(FE$35&gt;=$AC$444,FE$35-$AC$444+1,0)</f>
        <v>25</v>
      </c>
      <c r="FF446" s="9" t="n">
        <f aca="false">IF(FF$35&gt;=$AC$444,FF$35-$AC$444+1,0)</f>
        <v>26</v>
      </c>
      <c r="FG446" s="9" t="n">
        <f aca="false">IF(FG$35&gt;=$AC$444,FG$35-$AC$444+1,0)</f>
        <v>27</v>
      </c>
      <c r="FH446" s="9" t="n">
        <f aca="false">IF(FH$35&gt;=$AC$444,FH$35-$AC$444+1,0)</f>
        <v>28</v>
      </c>
      <c r="FI446" s="9" t="n">
        <f aca="false">IF(FI$35&gt;=$AC$444,FI$35-$AC$444+1,0)</f>
        <v>29</v>
      </c>
      <c r="FJ446" s="9" t="n">
        <f aca="false">IF(FJ$35&gt;=$AC$444,FJ$35-$AC$444+1,0)</f>
        <v>30</v>
      </c>
      <c r="FK446" s="9" t="n">
        <f aca="false">IF(FK$35&gt;=$AC$444,FK$35-$AC$444+1,0)</f>
        <v>31</v>
      </c>
      <c r="FL446" s="9" t="n">
        <f aca="false">IF(FL$35&gt;=$AC$444,FL$35-$AC$444+1,0)</f>
        <v>32</v>
      </c>
      <c r="FM446" s="9" t="n">
        <f aca="false">IF(FM$35&gt;=$AC$444,FM$35-$AC$444+1,0)</f>
        <v>33</v>
      </c>
      <c r="FN446" s="9" t="n">
        <f aca="false">IF(FN$35&gt;=$AC$444,FN$35-$AC$444+1,0)</f>
        <v>34</v>
      </c>
      <c r="FO446" s="9" t="n">
        <f aca="false">IF(FO$35&gt;=$AC$444,FO$35-$AC$444+1,0)</f>
        <v>35</v>
      </c>
      <c r="FP446" s="9" t="n">
        <f aca="false">IF(FP$35&gt;=$AC$444,FP$35-$AC$444+1,0)</f>
        <v>36</v>
      </c>
    </row>
    <row r="447" customFormat="false" ht="15" hidden="false" customHeight="false" outlineLevel="2" collapsed="false">
      <c r="B447" s="47" t="s">
        <v>874</v>
      </c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237" t="n">
        <f aca="false" t="array" ref="AC447:AC447">IF(AC446=0,0,IF(AC446/'🎚️ Escenario'!$C$11&gt;=36,$AL$23,INDEX($C$23:$AL$23,MAX(1,ROUNDUP(AC446/'🎚️ Escenario'!$C$11,0)))))</f>
        <v>0</v>
      </c>
      <c r="AD447" s="237" t="n">
        <f aca="false" t="array" ref="AD447:AD447">IF(AD446=0,0,IF(AD446/'🎚️ Escenario'!$C$11&gt;=36,$AL$23,INDEX($C$23:$AL$23,MAX(1,ROUNDUP(AD446/'🎚️ Escenario'!$C$11,0)))))</f>
        <v>0</v>
      </c>
      <c r="AE447" s="237" t="n">
        <f aca="false" t="array" ref="AE447:AE447">IF(AE446=0,0,IF(AE446/'🎚️ Escenario'!$C$11&gt;=36,$AL$23,INDEX($C$23:$AL$23,MAX(1,ROUNDUP(AE446/'🎚️ Escenario'!$C$11,0)))))</f>
        <v>0</v>
      </c>
      <c r="AF447" s="237" t="n">
        <f aca="false" t="array" ref="AF447:AF447">IF(AF446=0,0,IF(AF446/'🎚️ Escenario'!$C$11&gt;=36,$AL$23,INDEX($C$23:$AL$23,MAX(1,ROUNDUP(AF446/'🎚️ Escenario'!$C$11,0)))))</f>
        <v>0</v>
      </c>
      <c r="AG447" s="237" t="n">
        <f aca="false" t="array" ref="AG447:AG447">IF(AG446=0,0,IF(AG446/'🎚️ Escenario'!$C$11&gt;=36,$AL$23,INDEX($C$23:$AL$23,MAX(1,ROUNDUP(AG446/'🎚️ Escenario'!$C$11,0)))))</f>
        <v>0</v>
      </c>
      <c r="AH447" s="237" t="n">
        <f aca="false" t="array" ref="AH447:AH447">IF(AH446=0,0,IF(AH446/'🎚️ Escenario'!$C$11&gt;=36,$AL$23,INDEX($C$23:$AL$23,MAX(1,ROUNDUP(AH446/'🎚️ Escenario'!$C$11,0)))))</f>
        <v>0</v>
      </c>
      <c r="AI447" s="237" t="n">
        <f aca="false" t="array" ref="AI447:AI447">IF(AI446=0,0,IF(AI446/'🎚️ Escenario'!$C$11&gt;=36,$AL$23,INDEX($C$23:$AL$23,MAX(1,ROUNDUP(AI446/'🎚️ Escenario'!$C$11,0)))))</f>
        <v>0</v>
      </c>
      <c r="AJ447" s="237" t="n">
        <f aca="false" t="array" ref="AJ447:AJ447">IF(AJ446=0,0,IF(AJ446/'🎚️ Escenario'!$C$11&gt;=36,$AL$23,INDEX($C$23:$AL$23,MAX(1,ROUNDUP(AJ446/'🎚️ Escenario'!$C$11,0)))))</f>
        <v>0</v>
      </c>
      <c r="AK447" s="237" t="n">
        <f aca="false" t="array" ref="AK447:AK447">IF(AK446=0,0,IF(AK446/'🎚️ Escenario'!$C$11&gt;=36,$AL$23,INDEX($C$23:$AL$23,MAX(1,ROUNDUP(AK446/'🎚️ Escenario'!$C$11,0)))))</f>
        <v>0</v>
      </c>
      <c r="AL447" s="237" t="n">
        <f aca="false" t="array" ref="AL447:AL447">IF(AL446=0,0,IF(AL446/'🎚️ Escenario'!$C$11&gt;=36,$AL$23,INDEX($C$23:$AL$23,MAX(1,ROUNDUP(AL446/'🎚️ Escenario'!$C$11,0)))))</f>
        <v>0</v>
      </c>
      <c r="AM447" s="237" t="n">
        <f aca="false" t="array" ref="AM447:AM447">IF(AM446=0,0,IF(AM446/'🎚️ Escenario'!$C$11&gt;=36,$AL$23,INDEX($C$23:$AL$23,MAX(1,ROUNDUP(AM446/'🎚️ Escenario'!$C$11,0)))))</f>
        <v>0</v>
      </c>
      <c r="AN447" s="237" t="n">
        <f aca="false" t="array" ref="AN447:AN447">IF(AN446=0,0,IF(AN446/'🎚️ Escenario'!$C$11&gt;=36,$AL$23,INDEX($C$23:$AL$23,MAX(1,ROUNDUP(AN446/'🎚️ Escenario'!$C$11,0)))))</f>
        <v>0</v>
      </c>
      <c r="AO447" s="237" t="n">
        <f aca="false" t="array" ref="AO447:AO447">IF(AO446=0,0,IF(AO446/'🎚️ Escenario'!$C$11&gt;=36,$AL$23,INDEX($C$23:$AL$23,MAX(1,ROUNDUP(AO446/'🎚️ Escenario'!$C$11,0)))))</f>
        <v>0</v>
      </c>
      <c r="AP447" s="237" t="n">
        <f aca="false" t="array" ref="AP447:AP447">IF(AP446=0,0,IF(AP446/'🎚️ Escenario'!$C$11&gt;=36,$AL$23,INDEX($C$23:$AL$23,MAX(1,ROUNDUP(AP446/'🎚️ Escenario'!$C$11,0)))))</f>
        <v>0</v>
      </c>
      <c r="AQ447" s="237" t="n">
        <f aca="false" t="array" ref="AQ447:AQ447">IF(AQ446=0,0,IF(AQ446/'🎚️ Escenario'!$C$11&gt;=36,$AL$23,INDEX($C$23:$AL$23,MAX(1,ROUNDUP(AQ446/'🎚️ Escenario'!$C$11,0)))))</f>
        <v>0</v>
      </c>
      <c r="AR447" s="237" t="n">
        <f aca="false" t="array" ref="AR447:AR447">IF(AR446=0,0,IF(AR446/'🎚️ Escenario'!$C$11&gt;=36,$AL$23,INDEX($C$23:$AL$23,MAX(1,ROUNDUP(AR446/'🎚️ Escenario'!$C$11,0)))))</f>
        <v>0</v>
      </c>
      <c r="AS447" s="237" t="n">
        <f aca="false" t="array" ref="AS447:AS447">IF(AS446=0,0,IF(AS446/'🎚️ Escenario'!$C$11&gt;=36,$AL$23,INDEX($C$23:$AL$23,MAX(1,ROUNDUP(AS446/'🎚️ Escenario'!$C$11,0)))))</f>
        <v>0</v>
      </c>
      <c r="AT447" s="237" t="n">
        <f aca="false" t="array" ref="AT447:AT447">IF(AT446=0,0,IF(AT446/'🎚️ Escenario'!$C$11&gt;=36,$AL$23,INDEX($C$23:$AL$23,MAX(1,ROUNDUP(AT446/'🎚️ Escenario'!$C$11,0)))))</f>
        <v>0</v>
      </c>
      <c r="AU447" s="237" t="n">
        <f aca="false" t="array" ref="AU447:AU447">IF(AU446=0,0,IF(AU446/'🎚️ Escenario'!$C$11&gt;=36,$AL$23,INDEX($C$23:$AL$23,MAX(1,ROUNDUP(AU446/'🎚️ Escenario'!$C$11,0)))))</f>
        <v>0</v>
      </c>
      <c r="AV447" s="237" t="n">
        <f aca="false" t="array" ref="AV447:AV447">IF(AV446=0,0,IF(AV446/'🎚️ Escenario'!$C$11&gt;=36,$AL$23,INDEX($C$23:$AL$23,MAX(1,ROUNDUP(AV446/'🎚️ Escenario'!$C$11,0)))))</f>
        <v>0</v>
      </c>
      <c r="AW447" s="237" t="n">
        <f aca="false" t="array" ref="AW447:AW447">IF(AW446=0,0,IF(AW446/'🎚️ Escenario'!$C$11&gt;=36,$AL$23,INDEX($C$23:$AL$23,MAX(1,ROUNDUP(AW446/'🎚️ Escenario'!$C$11,0)))))</f>
        <v>0</v>
      </c>
      <c r="AX447" s="237" t="n">
        <f aca="false" t="array" ref="AX447:AX447">IF(AX446=0,0,IF(AX446/'🎚️ Escenario'!$C$11&gt;=36,$AL$23,INDEX($C$23:$AL$23,MAX(1,ROUNDUP(AX446/'🎚️ Escenario'!$C$11,0)))))</f>
        <v>0</v>
      </c>
      <c r="AY447" s="237" t="n">
        <f aca="false" t="array" ref="AY447:AY447">IF(AY446=0,0,IF(AY446/'🎚️ Escenario'!$C$11&gt;=36,$AL$23,INDEX($C$23:$AL$23,MAX(1,ROUNDUP(AY446/'🎚️ Escenario'!$C$11,0)))))</f>
        <v>0</v>
      </c>
      <c r="AZ447" s="237" t="n">
        <f aca="false" t="array" ref="AZ447:AZ447">IF(AZ446=0,0,IF(AZ446/'🎚️ Escenario'!$C$11&gt;=36,$AL$23,INDEX($C$23:$AL$23,MAX(1,ROUNDUP(AZ446/'🎚️ Escenario'!$C$11,0)))))</f>
        <v>0</v>
      </c>
      <c r="BA447" s="237" t="n">
        <f aca="false" t="array" ref="BA447:BA447">IF(BA446=0,0,IF(BA446/'🎚️ Escenario'!$C$11&gt;=36,$AL$23,INDEX($C$23:$AL$23,MAX(1,ROUNDUP(BA446/'🎚️ Escenario'!$C$11,0)))))</f>
        <v>0</v>
      </c>
      <c r="BB447" s="237" t="n">
        <f aca="false" t="array" ref="BB447:BB447">IF(BB446=0,0,IF(BB446/'🎚️ Escenario'!$C$11&gt;=36,$AL$23,INDEX($C$23:$AL$23,MAX(1,ROUNDUP(BB446/'🎚️ Escenario'!$C$11,0)))))</f>
        <v>0</v>
      </c>
      <c r="BC447" s="237" t="n">
        <f aca="false" t="array" ref="BC447:BC447">IF(BC446=0,0,IF(BC446/'🎚️ Escenario'!$C$11&gt;=36,$AL$23,INDEX($C$23:$AL$23,MAX(1,ROUNDUP(BC446/'🎚️ Escenario'!$C$11,0)))))</f>
        <v>0</v>
      </c>
      <c r="BD447" s="237" t="n">
        <f aca="false" t="array" ref="BD447:BD447">IF(BD446=0,0,IF(BD446/'🎚️ Escenario'!$C$11&gt;=36,$AL$23,INDEX($C$23:$AL$23,MAX(1,ROUNDUP(BD446/'🎚️ Escenario'!$C$11,0)))))</f>
        <v>0</v>
      </c>
      <c r="BE447" s="237" t="n">
        <f aca="false" t="array" ref="BE447:BE447">IF(BE446=0,0,IF(BE446/'🎚️ Escenario'!$C$11&gt;=36,$AL$23,INDEX($C$23:$AL$23,MAX(1,ROUNDUP(BE446/'🎚️ Escenario'!$C$11,0)))))</f>
        <v>0</v>
      </c>
      <c r="BF447" s="237" t="n">
        <f aca="false" t="array" ref="BF447:BF447">IF(BF446=0,0,IF(BF446/'🎚️ Escenario'!$C$11&gt;=36,$AL$23,INDEX($C$23:$AL$23,MAX(1,ROUNDUP(BF446/'🎚️ Escenario'!$C$11,0)))))</f>
        <v>0</v>
      </c>
      <c r="BG447" s="237" t="n">
        <f aca="false" t="array" ref="BG447:BG447">IF(BG446=0,0,IF(BG446/'🎚️ Escenario'!$C$11&gt;=36,$AL$23,INDEX($C$23:$AL$23,MAX(1,ROUNDUP(BG446/'🎚️ Escenario'!$C$11,0)))))</f>
        <v>0</v>
      </c>
      <c r="BH447" s="237" t="n">
        <f aca="false" t="array" ref="BH447:BH447">IF(BH446=0,0,IF(BH446/'🎚️ Escenario'!$C$11&gt;=36,$AL$23,INDEX($C$23:$AL$23,MAX(1,ROUNDUP(BH446/'🎚️ Escenario'!$C$11,0)))))</f>
        <v>0</v>
      </c>
      <c r="BI447" s="237" t="n">
        <f aca="false" t="array" ref="BI447:BI447">IF(BI446=0,0,IF(BI446/'🎚️ Escenario'!$C$11&gt;=36,$AL$23,INDEX($C$23:$AL$23,MAX(1,ROUNDUP(BI446/'🎚️ Escenario'!$C$11,0)))))</f>
        <v>0</v>
      </c>
      <c r="BJ447" s="237" t="n">
        <f aca="false" t="array" ref="BJ447:BJ447">IF(BJ446=0,0,IF(BJ446/'🎚️ Escenario'!$C$11&gt;=36,$AL$23,INDEX($C$23:$AL$23,MAX(1,ROUNDUP(BJ446/'🎚️ Escenario'!$C$11,0)))))</f>
        <v>0</v>
      </c>
      <c r="BK447" s="237" t="n">
        <f aca="false" t="array" ref="BK447:BK447">IF(BK446=0,0,IF(BK446/'🎚️ Escenario'!$C$11&gt;=36,$AL$23,INDEX($C$23:$AL$23,MAX(1,ROUNDUP(BK446/'🎚️ Escenario'!$C$11,0)))))</f>
        <v>0</v>
      </c>
      <c r="BL447" s="237" t="n">
        <f aca="false" t="array" ref="BL447:BL447">IF(BL446=0,0,IF(BL446/'🎚️ Escenario'!$C$11&gt;=36,$AL$23,INDEX($C$23:$AL$23,MAX(1,ROUNDUP(BL446/'🎚️ Escenario'!$C$11,0)))))</f>
        <v>0</v>
      </c>
      <c r="BM447" s="237" t="n">
        <f aca="false" t="array" ref="BM447:BM447">IF(BM446=0,0,IF(BM446/'🎚️ Escenario'!$C$11&gt;=36,$AL$23,INDEX($C$23:$AL$23,MAX(1,ROUNDUP(BM446/'🎚️ Escenario'!$C$11,0)))))</f>
        <v>0</v>
      </c>
      <c r="BN447" s="237" t="n">
        <f aca="false" t="array" ref="BN447:BN447">IF(BN446=0,0,IF(BN446/'🎚️ Escenario'!$C$11&gt;=36,$AL$23,INDEX($C$23:$AL$23,MAX(1,ROUNDUP(BN446/'🎚️ Escenario'!$C$11,0)))))</f>
        <v>0</v>
      </c>
      <c r="BO447" s="237" t="n">
        <f aca="false" t="array" ref="BO447:BO447">IF(BO446=0,0,IF(BO446/'🎚️ Escenario'!$C$11&gt;=36,$AL$23,INDEX($C$23:$AL$23,MAX(1,ROUNDUP(BO446/'🎚️ Escenario'!$C$11,0)))))</f>
        <v>0</v>
      </c>
      <c r="BP447" s="237" t="n">
        <f aca="false" t="array" ref="BP447:BP447">IF(BP446=0,0,IF(BP446/'🎚️ Escenario'!$C$11&gt;=36,$AL$23,INDEX($C$23:$AL$23,MAX(1,ROUNDUP(BP446/'🎚️ Escenario'!$C$11,0)))))</f>
        <v>0</v>
      </c>
      <c r="BQ447" s="237" t="n">
        <f aca="false" t="array" ref="BQ447:BQ447">IF(BQ446=0,0,IF(BQ446/'🎚️ Escenario'!$C$11&gt;=36,$AL$23,INDEX($C$23:$AL$23,MAX(1,ROUNDUP(BQ446/'🎚️ Escenario'!$C$11,0)))))</f>
        <v>0</v>
      </c>
      <c r="BR447" s="237" t="n">
        <f aca="false" t="array" ref="BR447:BR447">IF(BR446=0,0,IF(BR446/'🎚️ Escenario'!$C$11&gt;=36,$AL$23,INDEX($C$23:$AL$23,MAX(1,ROUNDUP(BR446/'🎚️ Escenario'!$C$11,0)))))</f>
        <v>0</v>
      </c>
      <c r="BS447" s="237" t="n">
        <f aca="false" t="array" ref="BS447:BS447">IF(BS446=0,0,IF(BS446/'🎚️ Escenario'!$C$11&gt;=36,$AL$23,INDEX($C$23:$AL$23,MAX(1,ROUNDUP(BS446/'🎚️ Escenario'!$C$11,0)))))</f>
        <v>0</v>
      </c>
      <c r="BT447" s="237" t="n">
        <f aca="false" t="array" ref="BT447:BT447">IF(BT446=0,0,IF(BT446/'🎚️ Escenario'!$C$11&gt;=36,$AL$23,INDEX($C$23:$AL$23,MAX(1,ROUNDUP(BT446/'🎚️ Escenario'!$C$11,0)))))</f>
        <v>0</v>
      </c>
      <c r="BU447" s="237" t="n">
        <f aca="false" t="array" ref="BU447:BU447">IF(BU446=0,0,IF(BU446/'🎚️ Escenario'!$C$11&gt;=36,$AL$23,INDEX($C$23:$AL$23,MAX(1,ROUNDUP(BU446/'🎚️ Escenario'!$C$11,0)))))</f>
        <v>0</v>
      </c>
      <c r="BV447" s="237" t="n">
        <f aca="false" t="array" ref="BV447:BV447">IF(BV446=0,0,IF(BV446/'🎚️ Escenario'!$C$11&gt;=36,$AL$23,INDEX($C$23:$AL$23,MAX(1,ROUNDUP(BV446/'🎚️ Escenario'!$C$11,0)))))</f>
        <v>0</v>
      </c>
      <c r="BW447" s="237" t="n">
        <f aca="false" t="array" ref="BW447:BW447">IF(BW446=0,0,IF(BW446/'🎚️ Escenario'!$C$11&gt;=36,$AL$23,INDEX($C$23:$AL$23,MAX(1,ROUNDUP(BW446/'🎚️ Escenario'!$C$11,0)))))</f>
        <v>0</v>
      </c>
      <c r="BX447" s="237" t="n">
        <f aca="false" t="array" ref="BX447:BX447">IF(BX446=0,0,IF(BX446/'🎚️ Escenario'!$C$11&gt;=36,$AL$23,INDEX($C$23:$AL$23,MAX(1,ROUNDUP(BX446/'🎚️ Escenario'!$C$11,0)))))</f>
        <v>0</v>
      </c>
      <c r="BY447" s="237" t="n">
        <f aca="false" t="array" ref="BY447:BY447">IF(BY446=0,0,IF(BY446/'🎚️ Escenario'!$C$11&gt;=36,$AL$23,INDEX($C$23:$AL$23,MAX(1,ROUNDUP(BY446/'🎚️ Escenario'!$C$11,0)))))</f>
        <v>0</v>
      </c>
      <c r="BZ447" s="237" t="n">
        <f aca="false" t="array" ref="BZ447:BZ447">IF(BZ446=0,0,IF(BZ446/'🎚️ Escenario'!$C$11&gt;=36,$AL$23,INDEX($C$23:$AL$23,MAX(1,ROUNDUP(BZ446/'🎚️ Escenario'!$C$11,0)))))</f>
        <v>0</v>
      </c>
      <c r="CA447" s="237" t="n">
        <f aca="false" t="array" ref="CA447:CA447">IF(CA446=0,0,IF(CA446/'🎚️ Escenario'!$C$11&gt;=36,$AL$23,INDEX($C$23:$AL$23,MAX(1,ROUNDUP(CA446/'🎚️ Escenario'!$C$11,0)))))</f>
        <v>0</v>
      </c>
      <c r="CB447" s="237" t="n">
        <f aca="false" t="array" ref="CB447:CB447">IF(CB446=0,0,IF(CB446/'🎚️ Escenario'!$C$11&gt;=36,$AL$23,INDEX($C$23:$AL$23,MAX(1,ROUNDUP(CB446/'🎚️ Escenario'!$C$11,0)))))</f>
        <v>0</v>
      </c>
      <c r="CC447" s="237" t="n">
        <f aca="false" t="array" ref="CC447:CC447">IF(CC446=0,0,IF(CC446/'🎚️ Escenario'!$C$11&gt;=36,$AL$23,INDEX($C$23:$AL$23,MAX(1,ROUNDUP(CC446/'🎚️ Escenario'!$C$11,0)))))</f>
        <v>0</v>
      </c>
      <c r="CD447" s="237" t="n">
        <f aca="false" t="array" ref="CD447:CD447">IF(CD446=0,0,IF(CD446/'🎚️ Escenario'!$C$11&gt;=36,$AL$23,INDEX($C$23:$AL$23,MAX(1,ROUNDUP(CD446/'🎚️ Escenario'!$C$11,0)))))</f>
        <v>0</v>
      </c>
      <c r="CE447" s="237" t="n">
        <f aca="false" t="array" ref="CE447:CE447">IF(CE446=0,0,IF(CE446/'🎚️ Escenario'!$C$11&gt;=36,$AL$23,INDEX($C$23:$AL$23,MAX(1,ROUNDUP(CE446/'🎚️ Escenario'!$C$11,0)))))</f>
        <v>0</v>
      </c>
      <c r="CF447" s="237" t="n">
        <f aca="false" t="array" ref="CF447:CF447">IF(CF446=0,0,IF(CF446/'🎚️ Escenario'!$C$11&gt;=36,$AL$23,INDEX($C$23:$AL$23,MAX(1,ROUNDUP(CF446/'🎚️ Escenario'!$C$11,0)))))</f>
        <v>0</v>
      </c>
      <c r="CG447" s="237" t="n">
        <f aca="false" t="array" ref="CG447:CG447">IF(CG446=0,0,IF(CG446/'🎚️ Escenario'!$C$11&gt;=36,$AL$23,INDEX($C$23:$AL$23,MAX(1,ROUNDUP(CG446/'🎚️ Escenario'!$C$11,0)))))</f>
        <v>0</v>
      </c>
      <c r="CH447" s="237" t="n">
        <f aca="false" t="array" ref="CH447:CH447">IF(CH446=0,0,IF(CH446/'🎚️ Escenario'!$C$11&gt;=36,$AL$23,INDEX($C$23:$AL$23,MAX(1,ROUNDUP(CH446/'🎚️ Escenario'!$C$11,0)))))</f>
        <v>0</v>
      </c>
      <c r="CI447" s="237" t="n">
        <f aca="false" t="array" ref="CI447:CI447">IF(CI446=0,0,IF(CI446/'🎚️ Escenario'!$C$11&gt;=36,$AL$23,INDEX($C$23:$AL$23,MAX(1,ROUNDUP(CI446/'🎚️ Escenario'!$C$11,0)))))</f>
        <v>0</v>
      </c>
      <c r="CJ447" s="237" t="n">
        <f aca="false" t="array" ref="CJ447:CJ447">IF(CJ446=0,0,IF(CJ446/'🎚️ Escenario'!$C$11&gt;=36,$AL$23,INDEX($C$23:$AL$23,MAX(1,ROUNDUP(CJ446/'🎚️ Escenario'!$C$11,0)))))</f>
        <v>0</v>
      </c>
      <c r="CK447" s="237" t="n">
        <f aca="false" t="array" ref="CK447:CK447">IF(CK446=0,0,IF(CK446/'🎚️ Escenario'!$C$11&gt;=36,$AL$23,INDEX($C$23:$AL$23,MAX(1,ROUNDUP(CK446/'🎚️ Escenario'!$C$11,0)))))</f>
        <v>0</v>
      </c>
      <c r="CL447" s="237" t="n">
        <f aca="false" t="array" ref="CL447:CL447">IF(CL446=0,0,IF(CL446/'🎚️ Escenario'!$C$11&gt;=36,$AL$23,INDEX($C$23:$AL$23,MAX(1,ROUNDUP(CL446/'🎚️ Escenario'!$C$11,0)))))</f>
        <v>0</v>
      </c>
      <c r="CM447" s="237" t="n">
        <f aca="false" t="array" ref="CM447:CM447">IF(CM446=0,0,IF(CM446/'🎚️ Escenario'!$C$11&gt;=36,$AL$23,INDEX($C$23:$AL$23,MAX(1,ROUNDUP(CM446/'🎚️ Escenario'!$C$11,0)))))</f>
        <v>0</v>
      </c>
      <c r="CN447" s="237" t="n">
        <f aca="false" t="array" ref="CN447:CN447">IF(CN446=0,0,IF(CN446/'🎚️ Escenario'!$C$11&gt;=36,$AL$23,INDEX($C$23:$AL$23,MAX(1,ROUNDUP(CN446/'🎚️ Escenario'!$C$11,0)))))</f>
        <v>0</v>
      </c>
      <c r="CO447" s="237" t="n">
        <f aca="false" t="array" ref="CO447:CO447">IF(CO446=0,0,IF(CO446/'🎚️ Escenario'!$C$11&gt;=36,$AL$23,INDEX($C$23:$AL$23,MAX(1,ROUNDUP(CO446/'🎚️ Escenario'!$C$11,0)))))</f>
        <v>0</v>
      </c>
      <c r="CP447" s="237" t="n">
        <f aca="false" t="array" ref="CP447:CP447">IF(CP446=0,0,IF(CP446/'🎚️ Escenario'!$C$11&gt;=36,$AL$23,INDEX($C$23:$AL$23,MAX(1,ROUNDUP(CP446/'🎚️ Escenario'!$C$11,0)))))</f>
        <v>0</v>
      </c>
      <c r="CQ447" s="237" t="n">
        <f aca="false" t="array" ref="CQ447:CQ447">IF(CQ446=0,0,IF(CQ446/'🎚️ Escenario'!$C$11&gt;=36,$AL$23,INDEX($C$23:$AL$23,MAX(1,ROUNDUP(CQ446/'🎚️ Escenario'!$C$11,0)))))</f>
        <v>0</v>
      </c>
      <c r="CR447" s="237" t="n">
        <f aca="false" t="array" ref="CR447:CR447">IF(CR446=0,0,IF(CR446/'🎚️ Escenario'!$C$11&gt;=36,$AL$23,INDEX($C$23:$AL$23,MAX(1,ROUNDUP(CR446/'🎚️ Escenario'!$C$11,0)))))</f>
        <v>0</v>
      </c>
      <c r="CS447" s="237" t="n">
        <f aca="false" t="array" ref="CS447:CS447">IF(CS446=0,0,IF(CS446/'🎚️ Escenario'!$C$11&gt;=36,$AL$23,INDEX($C$23:$AL$23,MAX(1,ROUNDUP(CS446/'🎚️ Escenario'!$C$11,0)))))</f>
        <v>0</v>
      </c>
      <c r="CT447" s="237" t="n">
        <f aca="false" t="array" ref="CT447:CT447">IF(CT446=0,0,IF(CT446/'🎚️ Escenario'!$C$11&gt;=36,$AL$23,INDEX($C$23:$AL$23,MAX(1,ROUNDUP(CT446/'🎚️ Escenario'!$C$11,0)))))</f>
        <v>0</v>
      </c>
      <c r="CU447" s="237" t="n">
        <f aca="false" t="array" ref="CU447:CU447">IF(CU446=0,0,IF(CU446/'🎚️ Escenario'!$C$11&gt;=36,$AL$23,INDEX($C$23:$AL$23,MAX(1,ROUNDUP(CU446/'🎚️ Escenario'!$C$11,0)))))</f>
        <v>0</v>
      </c>
      <c r="CV447" s="237" t="n">
        <f aca="false" t="array" ref="CV447:CV447">IF(CV446=0,0,IF(CV446/'🎚️ Escenario'!$C$11&gt;=36,$AL$23,INDEX($C$23:$AL$23,MAX(1,ROUNDUP(CV446/'🎚️ Escenario'!$C$11,0)))))</f>
        <v>0</v>
      </c>
      <c r="CW447" s="237" t="n">
        <f aca="false" t="array" ref="CW447:CW447">IF(CW446=0,0,IF(CW446/'🎚️ Escenario'!$C$11&gt;=36,$AL$23,INDEX($C$23:$AL$23,MAX(1,ROUNDUP(CW446/'🎚️ Escenario'!$C$11,0)))))</f>
        <v>0</v>
      </c>
      <c r="CX447" s="237" t="n">
        <f aca="false" t="array" ref="CX447:CX447">IF(CX446=0,0,IF(CX446/'🎚️ Escenario'!$C$11&gt;=36,$AL$23,INDEX($C$23:$AL$23,MAX(1,ROUNDUP(CX446/'🎚️ Escenario'!$C$11,0)))))</f>
        <v>0</v>
      </c>
      <c r="CY447" s="237" t="n">
        <f aca="false" t="array" ref="CY447:CY447">IF(CY446=0,0,IF(CY446/'🎚️ Escenario'!$C$11&gt;=36,$AL$23,INDEX($C$23:$AL$23,MAX(1,ROUNDUP(CY446/'🎚️ Escenario'!$C$11,0)))))</f>
        <v>0</v>
      </c>
      <c r="CZ447" s="237" t="n">
        <f aca="false" t="array" ref="CZ447:CZ447">IF(CZ446=0,0,IF(CZ446/'🎚️ Escenario'!$C$11&gt;=36,$AL$23,INDEX($C$23:$AL$23,MAX(1,ROUNDUP(CZ446/'🎚️ Escenario'!$C$11,0)))))</f>
        <v>0</v>
      </c>
      <c r="DA447" s="237" t="n">
        <f aca="false" t="array" ref="DA447:DA447">IF(DA446=0,0,IF(DA446/'🎚️ Escenario'!$C$11&gt;=36,$AL$23,INDEX($C$23:$AL$23,MAX(1,ROUNDUP(DA446/'🎚️ Escenario'!$C$11,0)))))</f>
        <v>0</v>
      </c>
      <c r="DB447" s="237" t="n">
        <f aca="false" t="array" ref="DB447:DB447">IF(DB446=0,0,IF(DB446/'🎚️ Escenario'!$C$11&gt;=36,$AL$23,INDEX($C$23:$AL$23,MAX(1,ROUNDUP(DB446/'🎚️ Escenario'!$C$11,0)))))</f>
        <v>0</v>
      </c>
      <c r="DC447" s="237" t="n">
        <f aca="false" t="array" ref="DC447:DC447">IF(DC446=0,0,IF(DC446/'🎚️ Escenario'!$C$11&gt;=36,$AL$23,INDEX($C$23:$AL$23,MAX(1,ROUNDUP(DC446/'🎚️ Escenario'!$C$11,0)))))</f>
        <v>0</v>
      </c>
      <c r="DD447" s="237" t="n">
        <f aca="false" t="array" ref="DD447:DD447">IF(DD446=0,0,IF(DD446/'🎚️ Escenario'!$C$11&gt;=36,$AL$23,INDEX($C$23:$AL$23,MAX(1,ROUNDUP(DD446/'🎚️ Escenario'!$C$11,0)))))</f>
        <v>0</v>
      </c>
      <c r="DE447" s="237" t="n">
        <f aca="false" t="array" ref="DE447:DE447">IF(DE446=0,0,IF(DE446/'🎚️ Escenario'!$C$11&gt;=36,$AL$23,INDEX($C$23:$AL$23,MAX(1,ROUNDUP(DE446/'🎚️ Escenario'!$C$11,0)))))</f>
        <v>0</v>
      </c>
      <c r="DF447" s="237" t="n">
        <f aca="false" t="array" ref="DF447:DF447">IF(DF446=0,0,IF(DF446/'🎚️ Escenario'!$C$11&gt;=36,$AL$23,INDEX($C$23:$AL$23,MAX(1,ROUNDUP(DF446/'🎚️ Escenario'!$C$11,0)))))</f>
        <v>0</v>
      </c>
      <c r="DG447" s="237" t="n">
        <f aca="false" t="array" ref="DG447:DG447">IF(DG446=0,0,IF(DG446/'🎚️ Escenario'!$C$11&gt;=36,$AL$23,INDEX($C$23:$AL$23,MAX(1,ROUNDUP(DG446/'🎚️ Escenario'!$C$11,0)))))</f>
        <v>0</v>
      </c>
      <c r="DH447" s="237" t="n">
        <f aca="false" t="array" ref="DH447:DH447">IF(DH446=0,0,IF(DH446/'🎚️ Escenario'!$C$11&gt;=36,$AL$23,INDEX($C$23:$AL$23,MAX(1,ROUNDUP(DH446/'🎚️ Escenario'!$C$11,0)))))</f>
        <v>0</v>
      </c>
      <c r="DI447" s="237" t="n">
        <f aca="false" t="array" ref="DI447:DI447">IF(DI446=0,0,IF(DI446/'🎚️ Escenario'!$C$11&gt;=36,$AL$23,INDEX($C$23:$AL$23,MAX(1,ROUNDUP(DI446/'🎚️ Escenario'!$C$11,0)))))</f>
        <v>0</v>
      </c>
      <c r="DJ447" s="237" t="n">
        <f aca="false" t="array" ref="DJ447:DJ447">IF(DJ446=0,0,IF(DJ446/'🎚️ Escenario'!$C$11&gt;=36,$AL$23,INDEX($C$23:$AL$23,MAX(1,ROUNDUP(DJ446/'🎚️ Escenario'!$C$11,0)))))</f>
        <v>0</v>
      </c>
      <c r="DK447" s="237" t="n">
        <f aca="false" t="array" ref="DK447:DK447">IF(DK446=0,0,IF(DK446/'🎚️ Escenario'!$C$11&gt;=36,$AL$23,INDEX($C$23:$AL$23,MAX(1,ROUNDUP(DK446/'🎚️ Escenario'!$C$11,0)))))</f>
        <v>0</v>
      </c>
      <c r="DL447" s="237" t="n">
        <f aca="false" t="array" ref="DL447:DL447">IF(DL446=0,0,IF(DL446/'🎚️ Escenario'!$C$11&gt;=36,$AL$23,INDEX($C$23:$AL$23,MAX(1,ROUNDUP(DL446/'🎚️ Escenario'!$C$11,0)))))</f>
        <v>0</v>
      </c>
      <c r="DM447" s="237" t="n">
        <f aca="false" t="array" ref="DM447:DM447">IF(DM446=0,0,IF(DM446/'🎚️ Escenario'!$C$11&gt;=36,$AL$23,INDEX($C$23:$AL$23,MAX(1,ROUNDUP(DM446/'🎚️ Escenario'!$C$11,0)))))</f>
        <v>0</v>
      </c>
      <c r="DN447" s="237" t="n">
        <f aca="false" t="array" ref="DN447:DN447">IF(DN446=0,0,IF(DN446/'🎚️ Escenario'!$C$11&gt;=36,$AL$23,INDEX($C$23:$AL$23,MAX(1,ROUNDUP(DN446/'🎚️ Escenario'!$C$11,0)))))</f>
        <v>0</v>
      </c>
      <c r="DO447" s="237" t="n">
        <f aca="false" t="array" ref="DO447:DO447">IF(DO446=0,0,IF(DO446/'🎚️ Escenario'!$C$11&gt;=36,$AL$23,INDEX($C$23:$AL$23,MAX(1,ROUNDUP(DO446/'🎚️ Escenario'!$C$11,0)))))</f>
        <v>0</v>
      </c>
      <c r="DP447" s="237" t="n">
        <f aca="false" t="array" ref="DP447:DP447">IF(DP446=0,0,IF(DP446/'🎚️ Escenario'!$C$11&gt;=36,$AL$23,INDEX($C$23:$AL$23,MAX(1,ROUNDUP(DP446/'🎚️ Escenario'!$C$11,0)))))</f>
        <v>0</v>
      </c>
      <c r="DQ447" s="237" t="n">
        <f aca="false" t="array" ref="DQ447:DQ447">IF(DQ446=0,0,IF(DQ446/'🎚️ Escenario'!$C$11&gt;=36,$AL$23,INDEX($C$23:$AL$23,MAX(1,ROUNDUP(DQ446/'🎚️ Escenario'!$C$11,0)))))</f>
        <v>0</v>
      </c>
      <c r="DR447" s="237" t="n">
        <f aca="false" t="array" ref="DR447:DR447">IF(DR446=0,0,IF(DR446/'🎚️ Escenario'!$C$11&gt;=36,$AL$23,INDEX($C$23:$AL$23,MAX(1,ROUNDUP(DR446/'🎚️ Escenario'!$C$11,0)))))</f>
        <v>0</v>
      </c>
      <c r="DS447" s="237" t="n">
        <f aca="false" t="array" ref="DS447:DS447">IF(DS446=0,0,IF(DS446/'🎚️ Escenario'!$C$11&gt;=36,$AL$23,INDEX($C$23:$AL$23,MAX(1,ROUNDUP(DS446/'🎚️ Escenario'!$C$11,0)))))</f>
        <v>0</v>
      </c>
      <c r="DT447" s="237" t="n">
        <f aca="false" t="array" ref="DT447:DT447">IF(DT446=0,0,IF(DT446/'🎚️ Escenario'!$C$11&gt;=36,$AL$23,INDEX($C$23:$AL$23,MAX(1,ROUNDUP(DT446/'🎚️ Escenario'!$C$11,0)))))</f>
        <v>0</v>
      </c>
      <c r="DU447" s="237" t="n">
        <f aca="false" t="array" ref="DU447:DU447">IF(DU446=0,0,IF(DU446/'🎚️ Escenario'!$C$11&gt;=36,$AL$23,INDEX($C$23:$AL$23,MAX(1,ROUNDUP(DU446/'🎚️ Escenario'!$C$11,0)))))</f>
        <v>0</v>
      </c>
      <c r="DV447" s="237" t="n">
        <f aca="false" t="array" ref="DV447:DV447">IF(DV446=0,0,IF(DV446/'🎚️ Escenario'!$C$11&gt;=36,$AL$23,INDEX($C$23:$AL$23,MAX(1,ROUNDUP(DV446/'🎚️ Escenario'!$C$11,0)))))</f>
        <v>0</v>
      </c>
      <c r="DW447" s="237" t="n">
        <f aca="false" t="array" ref="DW447:DW447">IF(DW446=0,0,IF(DW446/'🎚️ Escenario'!$C$11&gt;=36,$AL$23,INDEX($C$23:$AL$23,MAX(1,ROUNDUP(DW446/'🎚️ Escenario'!$C$11,0)))))</f>
        <v>0</v>
      </c>
      <c r="DX447" s="237" t="n">
        <f aca="false" t="array" ref="DX447:DX447">IF(DX446=0,0,IF(DX446/'🎚️ Escenario'!$C$11&gt;=36,$AL$23,INDEX($C$23:$AL$23,MAX(1,ROUNDUP(DX446/'🎚️ Escenario'!$C$11,0)))))</f>
        <v>0</v>
      </c>
      <c r="DY447" s="237" t="n">
        <f aca="false" t="array" ref="DY447:DY447">IF(DY446=0,0,IF(DY446/'🎚️ Escenario'!$C$11&gt;=36,$AL$23,INDEX($C$23:$AL$23,MAX(1,ROUNDUP(DY446/'🎚️ Escenario'!$C$11,0)))))</f>
        <v>0</v>
      </c>
      <c r="DZ447" s="237" t="n">
        <f aca="false" t="array" ref="DZ447:DZ447">IF(DZ446=0,0,IF(DZ446/'🎚️ Escenario'!$C$11&gt;=36,$AL$23,INDEX($C$23:$AL$23,MAX(1,ROUNDUP(DZ446/'🎚️ Escenario'!$C$11,0)))))</f>
        <v>0</v>
      </c>
      <c r="EA447" s="237" t="n">
        <f aca="false" t="array" ref="EA447:EA447">IF(EA446=0,0,IF(EA446/'🎚️ Escenario'!$C$11&gt;=36,$AL$23,INDEX($C$23:$AL$23,MAX(1,ROUNDUP(EA446/'🎚️ Escenario'!$C$11,0)))))</f>
        <v>0</v>
      </c>
      <c r="EB447" s="237" t="n">
        <f aca="false" t="array" ref="EB447:EB447">IF(EB446=0,0,IF(EB446/'🎚️ Escenario'!$C$11&gt;=36,$AL$23,INDEX($C$23:$AL$23,MAX(1,ROUNDUP(EB446/'🎚️ Escenario'!$C$11,0)))))</f>
        <v>0</v>
      </c>
      <c r="EC447" s="237" t="n">
        <f aca="false" t="array" ref="EC447:EC447">IF(EC446=0,0,IF(EC446/'🎚️ Escenario'!$C$11&gt;=36,$AL$23,INDEX($C$23:$AL$23,MAX(1,ROUNDUP(EC446/'🎚️ Escenario'!$C$11,0)))))</f>
        <v>0</v>
      </c>
      <c r="ED447" s="237" t="n">
        <f aca="false" t="array" ref="ED447:ED447">IF(ED446=0,0,IF(ED446/'🎚️ Escenario'!$C$11&gt;=36,$AL$23,INDEX($C$23:$AL$23,MAX(1,ROUNDUP(ED446/'🎚️ Escenario'!$C$11,0)))))</f>
        <v>0</v>
      </c>
      <c r="EE447" s="237" t="n">
        <f aca="false" t="array" ref="EE447:EE447">IF(EE446=0,0,IF(EE446/'🎚️ Escenario'!$C$11&gt;=36,$AL$23,INDEX($C$23:$AL$23,MAX(1,ROUNDUP(EE446/'🎚️ Escenario'!$C$11,0)))))</f>
        <v>0</v>
      </c>
      <c r="EF447" s="237" t="n">
        <f aca="false" t="array" ref="EF447:EF447">IF(EF446=0,0,IF(EF446/'🎚️ Escenario'!$C$11&gt;=36,$AL$23,INDEX($C$23:$AL$23,MAX(1,ROUNDUP(EF446/'🎚️ Escenario'!$C$11,0)))))</f>
        <v>0</v>
      </c>
      <c r="EG447" s="237" t="n">
        <f aca="false" t="array" ref="EG447:EG447">IF(EG446=0,0,IF(EG446/'🎚️ Escenario'!$C$11&gt;=36,$AL$23,INDEX($C$23:$AL$23,MAX(1,ROUNDUP(EG446/'🎚️ Escenario'!$C$11,0)))))</f>
        <v>0.2</v>
      </c>
      <c r="EH447" s="237" t="n">
        <f aca="false" t="array" ref="EH447:EH447">IF(EH446=0,0,IF(EH446/'🎚️ Escenario'!$C$11&gt;=36,$AL$23,INDEX($C$23:$AL$23,MAX(1,ROUNDUP(EH446/'🎚️ Escenario'!$C$11,0)))))</f>
        <v>0.22</v>
      </c>
      <c r="EI447" s="237" t="n">
        <f aca="false" t="array" ref="EI447:EI447">IF(EI446=0,0,IF(EI446/'🎚️ Escenario'!$C$11&gt;=36,$AL$23,INDEX($C$23:$AL$23,MAX(1,ROUNDUP(EI446/'🎚️ Escenario'!$C$11,0)))))</f>
        <v>0.24</v>
      </c>
      <c r="EJ447" s="237" t="n">
        <f aca="false" t="array" ref="EJ447:EJ447">IF(EJ446=0,0,IF(EJ446/'🎚️ Escenario'!$C$11&gt;=36,$AL$23,INDEX($C$23:$AL$23,MAX(1,ROUNDUP(EJ446/'🎚️ Escenario'!$C$11,0)))))</f>
        <v>0.27</v>
      </c>
      <c r="EK447" s="237" t="n">
        <f aca="false" t="array" ref="EK447:EK447">IF(EK446=0,0,IF(EK446/'🎚️ Escenario'!$C$11&gt;=36,$AL$23,INDEX($C$23:$AL$23,MAX(1,ROUNDUP(EK446/'🎚️ Escenario'!$C$11,0)))))</f>
        <v>0.27</v>
      </c>
      <c r="EL447" s="237" t="n">
        <f aca="false" t="array" ref="EL447:EL447">IF(EL446=0,0,IF(EL446/'🎚️ Escenario'!$C$11&gt;=36,$AL$23,INDEX($C$23:$AL$23,MAX(1,ROUNDUP(EL446/'🎚️ Escenario'!$C$11,0)))))</f>
        <v>0.31</v>
      </c>
      <c r="EM447" s="237" t="n">
        <f aca="false" t="array" ref="EM447:EM447">IF(EM446=0,0,IF(EM446/'🎚️ Escenario'!$C$11&gt;=36,$AL$23,INDEX($C$23:$AL$23,MAX(1,ROUNDUP(EM446/'🎚️ Escenario'!$C$11,0)))))</f>
        <v>0.35</v>
      </c>
      <c r="EN447" s="237" t="n">
        <f aca="false" t="array" ref="EN447:EN447">IF(EN446=0,0,IF(EN446/'🎚️ Escenario'!$C$11&gt;=36,$AL$23,INDEX($C$23:$AL$23,MAX(1,ROUNDUP(EN446/'🎚️ Escenario'!$C$11,0)))))</f>
        <v>0.39</v>
      </c>
      <c r="EO447" s="237" t="n">
        <f aca="false" t="array" ref="EO447:EO447">IF(EO446=0,0,IF(EO446/'🎚️ Escenario'!$C$11&gt;=36,$AL$23,INDEX($C$23:$AL$23,MAX(1,ROUNDUP(EO446/'🎚️ Escenario'!$C$11,0)))))</f>
        <v>0.44</v>
      </c>
      <c r="EP447" s="237" t="n">
        <f aca="false" t="array" ref="EP447:EP447">IF(EP446=0,0,IF(EP446/'🎚️ Escenario'!$C$11&gt;=36,$AL$23,INDEX($C$23:$AL$23,MAX(1,ROUNDUP(EP446/'🎚️ Escenario'!$C$11,0)))))</f>
        <v>0.44</v>
      </c>
      <c r="EQ447" s="237" t="n">
        <f aca="false" t="array" ref="EQ447:EQ447">IF(EQ446=0,0,IF(EQ446/'🎚️ Escenario'!$C$11&gt;=36,$AL$23,INDEX($C$23:$AL$23,MAX(1,ROUNDUP(EQ446/'🎚️ Escenario'!$C$11,0)))))</f>
        <v>0.48</v>
      </c>
      <c r="ER447" s="237" t="n">
        <f aca="false" t="array" ref="ER447:ER447">IF(ER446=0,0,IF(ER446/'🎚️ Escenario'!$C$11&gt;=36,$AL$23,INDEX($C$23:$AL$23,MAX(1,ROUNDUP(ER446/'🎚️ Escenario'!$C$11,0)))))</f>
        <v>0.52</v>
      </c>
      <c r="ES447" s="9" t="n">
        <f aca="false" t="array" ref="ES447:ES447">IF(ES446=0,0,IF(ES446/'🎚️ Escenario'!$C$11&gt;=36,$AL$23,INDEX($C$23:$AL$23,MAX(1,ROUNDUP(ES446/'🎚️ Escenario'!$C$11,0)))))</f>
        <v>0.56</v>
      </c>
      <c r="ET447" s="9" t="n">
        <f aca="false" t="array" ref="ET447:ET447">IF(ET446=0,0,IF(ET446/'🎚️ Escenario'!$C$11&gt;=36,$AL$23,INDEX($C$23:$AL$23,MAX(1,ROUNDUP(ET446/'🎚️ Escenario'!$C$11,0)))))</f>
        <v>0.6</v>
      </c>
      <c r="EU447" s="9" t="n">
        <f aca="false" t="array" ref="EU447:EU447">IF(EU446=0,0,IF(EU446/'🎚️ Escenario'!$C$11&gt;=36,$AL$23,INDEX($C$23:$AL$23,MAX(1,ROUNDUP(EU446/'🎚️ Escenario'!$C$11,0)))))</f>
        <v>0.6</v>
      </c>
      <c r="EV447" s="9" t="n">
        <f aca="false" t="array" ref="EV447:EV447">IF(EV446=0,0,IF(EV446/'🎚️ Escenario'!$C$11&gt;=36,$AL$23,INDEX($C$23:$AL$23,MAX(1,ROUNDUP(EV446/'🎚️ Escenario'!$C$11,0)))))</f>
        <v>0.63</v>
      </c>
      <c r="EW447" s="9" t="n">
        <f aca="false" t="array" ref="EW447:EW447">IF(EW446=0,0,IF(EW446/'🎚️ Escenario'!$C$11&gt;=36,$AL$23,INDEX($C$23:$AL$23,MAX(1,ROUNDUP(EW446/'🎚️ Escenario'!$C$11,0)))))</f>
        <v>0.66</v>
      </c>
      <c r="EX447" s="9" t="n">
        <f aca="false" t="array" ref="EX447:EX447">IF(EX446=0,0,IF(EX446/'🎚️ Escenario'!$C$11&gt;=36,$AL$23,INDEX($C$23:$AL$23,MAX(1,ROUNDUP(EX446/'🎚️ Escenario'!$C$11,0)))))</f>
        <v>0.69</v>
      </c>
      <c r="EY447" s="9" t="n">
        <f aca="false" t="array" ref="EY447:EY447">IF(EY446=0,0,IF(EY446/'🎚️ Escenario'!$C$11&gt;=36,$AL$23,INDEX($C$23:$AL$23,MAX(1,ROUNDUP(EY446/'🎚️ Escenario'!$C$11,0)))))</f>
        <v>0.71</v>
      </c>
      <c r="EZ447" s="9" t="n">
        <f aca="false" t="array" ref="EZ447:EZ447">IF(EZ446=0,0,IF(EZ446/'🎚️ Escenario'!$C$11&gt;=36,$AL$23,INDEX($C$23:$AL$23,MAX(1,ROUNDUP(EZ446/'🎚️ Escenario'!$C$11,0)))))</f>
        <v>0.71</v>
      </c>
      <c r="FA447" s="9" t="n">
        <f aca="false" t="array" ref="FA447:FA447">IF(FA446=0,0,IF(FA446/'🎚️ Escenario'!$C$11&gt;=36,$AL$23,INDEX($C$23:$AL$23,MAX(1,ROUNDUP(FA446/'🎚️ Escenario'!$C$11,0)))))</f>
        <v>0.73</v>
      </c>
      <c r="FB447" s="9" t="n">
        <f aca="false" t="array" ref="FB447:FB447">IF(FB446=0,0,IF(FB446/'🎚️ Escenario'!$C$11&gt;=36,$AL$23,INDEX($C$23:$AL$23,MAX(1,ROUNDUP(FB446/'🎚️ Escenario'!$C$11,0)))))</f>
        <v>0.75</v>
      </c>
      <c r="FC447" s="9" t="n">
        <f aca="false" t="array" ref="FC447:FC447">IF(FC446=0,0,IF(FC446/'🎚️ Escenario'!$C$11&gt;=36,$AL$23,INDEX($C$23:$AL$23,MAX(1,ROUNDUP(FC446/'🎚️ Escenario'!$C$11,0)))))</f>
        <v>0.77</v>
      </c>
      <c r="FD447" s="9" t="n">
        <f aca="false" t="array" ref="FD447:FD447">IF(FD446=0,0,IF(FD446/'🎚️ Escenario'!$C$11&gt;=36,$AL$23,INDEX($C$23:$AL$23,MAX(1,ROUNDUP(FD446/'🎚️ Escenario'!$C$11,0)))))</f>
        <v>0.79</v>
      </c>
      <c r="FE447" s="9" t="n">
        <f aca="false" t="array" ref="FE447:FE447">IF(FE446=0,0,IF(FE446/'🎚️ Escenario'!$C$11&gt;=36,$AL$23,INDEX($C$23:$AL$23,MAX(1,ROUNDUP(FE446/'🎚️ Escenario'!$C$11,0)))))</f>
        <v>0.79</v>
      </c>
      <c r="FF447" s="9" t="n">
        <f aca="false" t="array" ref="FF447:FF447">IF(FF446=0,0,IF(FF446/'🎚️ Escenario'!$C$11&gt;=36,$AL$23,INDEX($C$23:$AL$23,MAX(1,ROUNDUP(FF446/'🎚️ Escenario'!$C$11,0)))))</f>
        <v>0.8</v>
      </c>
      <c r="FG447" s="9" t="n">
        <f aca="false" t="array" ref="FG447:FG447">IF(FG446=0,0,IF(FG446/'🎚️ Escenario'!$C$11&gt;=36,$AL$23,INDEX($C$23:$AL$23,MAX(1,ROUNDUP(FG446/'🎚️ Escenario'!$C$11,0)))))</f>
        <v>0.82</v>
      </c>
      <c r="FH447" s="9" t="n">
        <f aca="false" t="array" ref="FH447:FH447">IF(FH446=0,0,IF(FH446/'🎚️ Escenario'!$C$11&gt;=36,$AL$23,INDEX($C$23:$AL$23,MAX(1,ROUNDUP(FH446/'🎚️ Escenario'!$C$11,0)))))</f>
        <v>0.84</v>
      </c>
      <c r="FI447" s="9" t="n">
        <f aca="false" t="array" ref="FI447:FI447">IF(FI446=0,0,IF(FI446/'🎚️ Escenario'!$C$11&gt;=36,$AL$23,INDEX($C$23:$AL$23,MAX(1,ROUNDUP(FI446/'🎚️ Escenario'!$C$11,0)))))</f>
        <v>0.85</v>
      </c>
      <c r="FJ447" s="9" t="n">
        <f aca="false" t="array" ref="FJ447:FJ447">IF(FJ446=0,0,IF(FJ446/'🎚️ Escenario'!$C$11&gt;=36,$AL$23,INDEX($C$23:$AL$23,MAX(1,ROUNDUP(FJ446/'🎚️ Escenario'!$C$11,0)))))</f>
        <v>0.85</v>
      </c>
      <c r="FK447" s="9" t="n">
        <f aca="false" t="array" ref="FK447:FK447">IF(FK446=0,0,IF(FK446/'🎚️ Escenario'!$C$11&gt;=36,$AL$23,INDEX($C$23:$AL$23,MAX(1,ROUNDUP(FK446/'🎚️ Escenario'!$C$11,0)))))</f>
        <v>0.86</v>
      </c>
      <c r="FL447" s="9" t="n">
        <f aca="false" t="array" ref="FL447:FL447">IF(FL446=0,0,IF(FL446/'🎚️ Escenario'!$C$11&gt;=36,$AL$23,INDEX($C$23:$AL$23,MAX(1,ROUNDUP(FL446/'🎚️ Escenario'!$C$11,0)))))</f>
        <v>0.88</v>
      </c>
      <c r="FM447" s="9" t="n">
        <f aca="false" t="array" ref="FM447:FM447">IF(FM446=0,0,IF(FM446/'🎚️ Escenario'!$C$11&gt;=36,$AL$23,INDEX($C$23:$AL$23,MAX(1,ROUNDUP(FM446/'🎚️ Escenario'!$C$11,0)))))</f>
        <v>0.89</v>
      </c>
      <c r="FN447" s="9" t="n">
        <f aca="false" t="array" ref="FN447:FN447">IF(FN446=0,0,IF(FN446/'🎚️ Escenario'!$C$11&gt;=36,$AL$23,INDEX($C$23:$AL$23,MAX(1,ROUNDUP(FN446/'🎚️ Escenario'!$C$11,0)))))</f>
        <v>0.9</v>
      </c>
      <c r="FO447" s="9" t="n">
        <f aca="false" t="array" ref="FO447:FO447">IF(FO446=0,0,IF(FO446/'🎚️ Escenario'!$C$11&gt;=36,$AL$23,INDEX($C$23:$AL$23,MAX(1,ROUNDUP(FO446/'🎚️ Escenario'!$C$11,0)))))</f>
        <v>0.9</v>
      </c>
      <c r="FP447" s="9" t="n">
        <f aca="false" t="array" ref="FP447:FP447">IF(FP446=0,0,IF(FP446/'🎚️ Escenario'!$C$11&gt;=36,$AL$23,INDEX($C$23:$AL$23,MAX(1,ROUNDUP(FP446/'🎚️ Escenario'!$C$11,0)))))</f>
        <v>0.92</v>
      </c>
    </row>
    <row r="448" customFormat="false" ht="15" hidden="false" customHeight="false" outlineLevel="2" collapsed="false">
      <c r="B448" s="47" t="s">
        <v>875</v>
      </c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237" t="n">
        <f aca="false">IF(AC446=0,0,IF(AC446&lt;=12*'🎚️ Escenario'!$C$11,1,1+$C$6))</f>
        <v>0</v>
      </c>
      <c r="AD448" s="237" t="n">
        <f aca="false">IF(AD446=0,0,IF(AD446&lt;=12*'🎚️ Escenario'!$C$11,1,1+$C$6))</f>
        <v>0</v>
      </c>
      <c r="AE448" s="237" t="n">
        <f aca="false">IF(AE446=0,0,IF(AE446&lt;=12*'🎚️ Escenario'!$C$11,1,1+$C$6))</f>
        <v>0</v>
      </c>
      <c r="AF448" s="237" t="n">
        <f aca="false">IF(AF446=0,0,IF(AF446&lt;=12*'🎚️ Escenario'!$C$11,1,1+$C$6))</f>
        <v>0</v>
      </c>
      <c r="AG448" s="237" t="n">
        <f aca="false">IF(AG446=0,0,IF(AG446&lt;=12*'🎚️ Escenario'!$C$11,1,1+$C$6))</f>
        <v>0</v>
      </c>
      <c r="AH448" s="237" t="n">
        <f aca="false">IF(AH446=0,0,IF(AH446&lt;=12*'🎚️ Escenario'!$C$11,1,1+$C$6))</f>
        <v>0</v>
      </c>
      <c r="AI448" s="237" t="n">
        <f aca="false">IF(AI446=0,0,IF(AI446&lt;=12*'🎚️ Escenario'!$C$11,1,1+$C$6))</f>
        <v>0</v>
      </c>
      <c r="AJ448" s="237" t="n">
        <f aca="false">IF(AJ446=0,0,IF(AJ446&lt;=12*'🎚️ Escenario'!$C$11,1,1+$C$6))</f>
        <v>0</v>
      </c>
      <c r="AK448" s="237" t="n">
        <f aca="false">IF(AK446=0,0,IF(AK446&lt;=12*'🎚️ Escenario'!$C$11,1,1+$C$6))</f>
        <v>0</v>
      </c>
      <c r="AL448" s="237" t="n">
        <f aca="false">IF(AL446=0,0,IF(AL446&lt;=12*'🎚️ Escenario'!$C$11,1,1+$C$6))</f>
        <v>0</v>
      </c>
      <c r="AM448" s="237" t="n">
        <f aca="false">IF(AM446=0,0,IF(AM446&lt;=12*'🎚️ Escenario'!$C$11,1,1+$C$6))</f>
        <v>0</v>
      </c>
      <c r="AN448" s="237" t="n">
        <f aca="false">IF(AN446=0,0,IF(AN446&lt;=12*'🎚️ Escenario'!$C$11,1,1+$C$6))</f>
        <v>0</v>
      </c>
      <c r="AO448" s="237" t="n">
        <f aca="false">IF(AO446=0,0,IF(AO446&lt;=12*'🎚️ Escenario'!$C$11,1,1+$C$6))</f>
        <v>0</v>
      </c>
      <c r="AP448" s="237" t="n">
        <f aca="false">IF(AP446=0,0,IF(AP446&lt;=12*'🎚️ Escenario'!$C$11,1,1+$C$6))</f>
        <v>0</v>
      </c>
      <c r="AQ448" s="237" t="n">
        <f aca="false">IF(AQ446=0,0,IF(AQ446&lt;=12*'🎚️ Escenario'!$C$11,1,1+$C$6))</f>
        <v>0</v>
      </c>
      <c r="AR448" s="237" t="n">
        <f aca="false">IF(AR446=0,0,IF(AR446&lt;=12*'🎚️ Escenario'!$C$11,1,1+$C$6))</f>
        <v>0</v>
      </c>
      <c r="AS448" s="237" t="n">
        <f aca="false">IF(AS446=0,0,IF(AS446&lt;=12*'🎚️ Escenario'!$C$11,1,1+$C$6))</f>
        <v>0</v>
      </c>
      <c r="AT448" s="237" t="n">
        <f aca="false">IF(AT446=0,0,IF(AT446&lt;=12*'🎚️ Escenario'!$C$11,1,1+$C$6))</f>
        <v>0</v>
      </c>
      <c r="AU448" s="237" t="n">
        <f aca="false">IF(AU446=0,0,IF(AU446&lt;=12*'🎚️ Escenario'!$C$11,1,1+$C$6))</f>
        <v>0</v>
      </c>
      <c r="AV448" s="237" t="n">
        <f aca="false">IF(AV446=0,0,IF(AV446&lt;=12*'🎚️ Escenario'!$C$11,1,1+$C$6))</f>
        <v>0</v>
      </c>
      <c r="AW448" s="237" t="n">
        <f aca="false">IF(AW446=0,0,IF(AW446&lt;=12*'🎚️ Escenario'!$C$11,1,1+$C$6))</f>
        <v>0</v>
      </c>
      <c r="AX448" s="237" t="n">
        <f aca="false">IF(AX446=0,0,IF(AX446&lt;=12*'🎚️ Escenario'!$C$11,1,1+$C$6))</f>
        <v>0</v>
      </c>
      <c r="AY448" s="237" t="n">
        <f aca="false">IF(AY446=0,0,IF(AY446&lt;=12*'🎚️ Escenario'!$C$11,1,1+$C$6))</f>
        <v>0</v>
      </c>
      <c r="AZ448" s="237" t="n">
        <f aca="false">IF(AZ446=0,0,IF(AZ446&lt;=12*'🎚️ Escenario'!$C$11,1,1+$C$6))</f>
        <v>0</v>
      </c>
      <c r="BA448" s="237" t="n">
        <f aca="false">IF(BA446=0,0,IF(BA446&lt;=12*'🎚️ Escenario'!$C$11,1,1+$C$6))</f>
        <v>0</v>
      </c>
      <c r="BB448" s="237" t="n">
        <f aca="false">IF(BB446=0,0,IF(BB446&lt;=12*'🎚️ Escenario'!$C$11,1,1+$C$6))</f>
        <v>0</v>
      </c>
      <c r="BC448" s="237" t="n">
        <f aca="false">IF(BC446=0,0,IF(BC446&lt;=12*'🎚️ Escenario'!$C$11,1,1+$C$6))</f>
        <v>0</v>
      </c>
      <c r="BD448" s="237" t="n">
        <f aca="false">IF(BD446=0,0,IF(BD446&lt;=12*'🎚️ Escenario'!$C$11,1,1+$C$6))</f>
        <v>0</v>
      </c>
      <c r="BE448" s="237" t="n">
        <f aca="false">IF(BE446=0,0,IF(BE446&lt;=12*'🎚️ Escenario'!$C$11,1,1+$C$6))</f>
        <v>0</v>
      </c>
      <c r="BF448" s="237" t="n">
        <f aca="false">IF(BF446=0,0,IF(BF446&lt;=12*'🎚️ Escenario'!$C$11,1,1+$C$6))</f>
        <v>0</v>
      </c>
      <c r="BG448" s="237" t="n">
        <f aca="false">IF(BG446=0,0,IF(BG446&lt;=12*'🎚️ Escenario'!$C$11,1,1+$C$6))</f>
        <v>0</v>
      </c>
      <c r="BH448" s="237" t="n">
        <f aca="false">IF(BH446=0,0,IF(BH446&lt;=12*'🎚️ Escenario'!$C$11,1,1+$C$6))</f>
        <v>0</v>
      </c>
      <c r="BI448" s="237" t="n">
        <f aca="false">IF(BI446=0,0,IF(BI446&lt;=12*'🎚️ Escenario'!$C$11,1,1+$C$6))</f>
        <v>0</v>
      </c>
      <c r="BJ448" s="237" t="n">
        <f aca="false">IF(BJ446=0,0,IF(BJ446&lt;=12*'🎚️ Escenario'!$C$11,1,1+$C$6))</f>
        <v>0</v>
      </c>
      <c r="BK448" s="237" t="n">
        <f aca="false">IF(BK446=0,0,IF(BK446&lt;=12*'🎚️ Escenario'!$C$11,1,1+$C$6))</f>
        <v>0</v>
      </c>
      <c r="BL448" s="237" t="n">
        <f aca="false">IF(BL446=0,0,IF(BL446&lt;=12*'🎚️ Escenario'!$C$11,1,1+$C$6))</f>
        <v>0</v>
      </c>
      <c r="BM448" s="237" t="n">
        <f aca="false">IF(BM446=0,0,IF(BM446&lt;=12*'🎚️ Escenario'!$C$11,1,1+$C$6))</f>
        <v>0</v>
      </c>
      <c r="BN448" s="237" t="n">
        <f aca="false">IF(BN446=0,0,IF(BN446&lt;=12*'🎚️ Escenario'!$C$11,1,1+$C$6))</f>
        <v>0</v>
      </c>
      <c r="BO448" s="237" t="n">
        <f aca="false">IF(BO446=0,0,IF(BO446&lt;=12*'🎚️ Escenario'!$C$11,1,1+$C$6))</f>
        <v>0</v>
      </c>
      <c r="BP448" s="237" t="n">
        <f aca="false">IF(BP446=0,0,IF(BP446&lt;=12*'🎚️ Escenario'!$C$11,1,1+$C$6))</f>
        <v>0</v>
      </c>
      <c r="BQ448" s="237" t="n">
        <f aca="false">IF(BQ446=0,0,IF(BQ446&lt;=12*'🎚️ Escenario'!$C$11,1,1+$C$6))</f>
        <v>0</v>
      </c>
      <c r="BR448" s="237" t="n">
        <f aca="false">IF(BR446=0,0,IF(BR446&lt;=12*'🎚️ Escenario'!$C$11,1,1+$C$6))</f>
        <v>0</v>
      </c>
      <c r="BS448" s="237" t="n">
        <f aca="false">IF(BS446=0,0,IF(BS446&lt;=12*'🎚️ Escenario'!$C$11,1,1+$C$6))</f>
        <v>0</v>
      </c>
      <c r="BT448" s="237" t="n">
        <f aca="false">IF(BT446=0,0,IF(BT446&lt;=12*'🎚️ Escenario'!$C$11,1,1+$C$6))</f>
        <v>0</v>
      </c>
      <c r="BU448" s="237" t="n">
        <f aca="false">IF(BU446=0,0,IF(BU446&lt;=12*'🎚️ Escenario'!$C$11,1,1+$C$6))</f>
        <v>0</v>
      </c>
      <c r="BV448" s="237" t="n">
        <f aca="false">IF(BV446=0,0,IF(BV446&lt;=12*'🎚️ Escenario'!$C$11,1,1+$C$6))</f>
        <v>0</v>
      </c>
      <c r="BW448" s="237" t="n">
        <f aca="false">IF(BW446=0,0,IF(BW446&lt;=12*'🎚️ Escenario'!$C$11,1,1+$C$6))</f>
        <v>0</v>
      </c>
      <c r="BX448" s="237" t="n">
        <f aca="false">IF(BX446=0,0,IF(BX446&lt;=12*'🎚️ Escenario'!$C$11,1,1+$C$6))</f>
        <v>0</v>
      </c>
      <c r="BY448" s="237" t="n">
        <f aca="false">IF(BY446=0,0,IF(BY446&lt;=12*'🎚️ Escenario'!$C$11,1,1+$C$6))</f>
        <v>0</v>
      </c>
      <c r="BZ448" s="237" t="n">
        <f aca="false">IF(BZ446=0,0,IF(BZ446&lt;=12*'🎚️ Escenario'!$C$11,1,1+$C$6))</f>
        <v>0</v>
      </c>
      <c r="CA448" s="237" t="n">
        <f aca="false">IF(CA446=0,0,IF(CA446&lt;=12*'🎚️ Escenario'!$C$11,1,1+$C$6))</f>
        <v>0</v>
      </c>
      <c r="CB448" s="237" t="n">
        <f aca="false">IF(CB446=0,0,IF(CB446&lt;=12*'🎚️ Escenario'!$C$11,1,1+$C$6))</f>
        <v>0</v>
      </c>
      <c r="CC448" s="237" t="n">
        <f aca="false">IF(CC446=0,0,IF(CC446&lt;=12*'🎚️ Escenario'!$C$11,1,1+$C$6))</f>
        <v>0</v>
      </c>
      <c r="CD448" s="237" t="n">
        <f aca="false">IF(CD446=0,0,IF(CD446&lt;=12*'🎚️ Escenario'!$C$11,1,1+$C$6))</f>
        <v>0</v>
      </c>
      <c r="CE448" s="237" t="n">
        <f aca="false">IF(CE446=0,0,IF(CE446&lt;=12*'🎚️ Escenario'!$C$11,1,1+$C$6))</f>
        <v>0</v>
      </c>
      <c r="CF448" s="237" t="n">
        <f aca="false">IF(CF446=0,0,IF(CF446&lt;=12*'🎚️ Escenario'!$C$11,1,1+$C$6))</f>
        <v>0</v>
      </c>
      <c r="CG448" s="237" t="n">
        <f aca="false">IF(CG446=0,0,IF(CG446&lt;=12*'🎚️ Escenario'!$C$11,1,1+$C$6))</f>
        <v>0</v>
      </c>
      <c r="CH448" s="237" t="n">
        <f aca="false">IF(CH446=0,0,IF(CH446&lt;=12*'🎚️ Escenario'!$C$11,1,1+$C$6))</f>
        <v>0</v>
      </c>
      <c r="CI448" s="237" t="n">
        <f aca="false">IF(CI446=0,0,IF(CI446&lt;=12*'🎚️ Escenario'!$C$11,1,1+$C$6))</f>
        <v>0</v>
      </c>
      <c r="CJ448" s="237" t="n">
        <f aca="false">IF(CJ446=0,0,IF(CJ446&lt;=12*'🎚️ Escenario'!$C$11,1,1+$C$6))</f>
        <v>0</v>
      </c>
      <c r="CK448" s="237" t="n">
        <f aca="false">IF(CK446=0,0,IF(CK446&lt;=12*'🎚️ Escenario'!$C$11,1,1+$C$6))</f>
        <v>0</v>
      </c>
      <c r="CL448" s="237" t="n">
        <f aca="false">IF(CL446=0,0,IF(CL446&lt;=12*'🎚️ Escenario'!$C$11,1,1+$C$6))</f>
        <v>0</v>
      </c>
      <c r="CM448" s="237" t="n">
        <f aca="false">IF(CM446=0,0,IF(CM446&lt;=12*'🎚️ Escenario'!$C$11,1,1+$C$6))</f>
        <v>0</v>
      </c>
      <c r="CN448" s="237" t="n">
        <f aca="false">IF(CN446=0,0,IF(CN446&lt;=12*'🎚️ Escenario'!$C$11,1,1+$C$6))</f>
        <v>0</v>
      </c>
      <c r="CO448" s="237" t="n">
        <f aca="false">IF(CO446=0,0,IF(CO446&lt;=12*'🎚️ Escenario'!$C$11,1,1+$C$6))</f>
        <v>0</v>
      </c>
      <c r="CP448" s="237" t="n">
        <f aca="false">IF(CP446=0,0,IF(CP446&lt;=12*'🎚️ Escenario'!$C$11,1,1+$C$6))</f>
        <v>0</v>
      </c>
      <c r="CQ448" s="237" t="n">
        <f aca="false">IF(CQ446=0,0,IF(CQ446&lt;=12*'🎚️ Escenario'!$C$11,1,1+$C$6))</f>
        <v>0</v>
      </c>
      <c r="CR448" s="237" t="n">
        <f aca="false">IF(CR446=0,0,IF(CR446&lt;=12*'🎚️ Escenario'!$C$11,1,1+$C$6))</f>
        <v>0</v>
      </c>
      <c r="CS448" s="237" t="n">
        <f aca="false">IF(CS446=0,0,IF(CS446&lt;=12*'🎚️ Escenario'!$C$11,1,1+$C$6))</f>
        <v>0</v>
      </c>
      <c r="CT448" s="237" t="n">
        <f aca="false">IF(CT446=0,0,IF(CT446&lt;=12*'🎚️ Escenario'!$C$11,1,1+$C$6))</f>
        <v>0</v>
      </c>
      <c r="CU448" s="237" t="n">
        <f aca="false">IF(CU446=0,0,IF(CU446&lt;=12*'🎚️ Escenario'!$C$11,1,1+$C$6))</f>
        <v>0</v>
      </c>
      <c r="CV448" s="237" t="n">
        <f aca="false">IF(CV446=0,0,IF(CV446&lt;=12*'🎚️ Escenario'!$C$11,1,1+$C$6))</f>
        <v>0</v>
      </c>
      <c r="CW448" s="237" t="n">
        <f aca="false">IF(CW446=0,0,IF(CW446&lt;=12*'🎚️ Escenario'!$C$11,1,1+$C$6))</f>
        <v>0</v>
      </c>
      <c r="CX448" s="237" t="n">
        <f aca="false">IF(CX446=0,0,IF(CX446&lt;=12*'🎚️ Escenario'!$C$11,1,1+$C$6))</f>
        <v>0</v>
      </c>
      <c r="CY448" s="237" t="n">
        <f aca="false">IF(CY446=0,0,IF(CY446&lt;=12*'🎚️ Escenario'!$C$11,1,1+$C$6))</f>
        <v>0</v>
      </c>
      <c r="CZ448" s="237" t="n">
        <f aca="false">IF(CZ446=0,0,IF(CZ446&lt;=12*'🎚️ Escenario'!$C$11,1,1+$C$6))</f>
        <v>0</v>
      </c>
      <c r="DA448" s="237" t="n">
        <f aca="false">IF(DA446=0,0,IF(DA446&lt;=12*'🎚️ Escenario'!$C$11,1,1+$C$6))</f>
        <v>0</v>
      </c>
      <c r="DB448" s="237" t="n">
        <f aca="false">IF(DB446=0,0,IF(DB446&lt;=12*'🎚️ Escenario'!$C$11,1,1+$C$6))</f>
        <v>0</v>
      </c>
      <c r="DC448" s="237" t="n">
        <f aca="false">IF(DC446=0,0,IF(DC446&lt;=12*'🎚️ Escenario'!$C$11,1,1+$C$6))</f>
        <v>0</v>
      </c>
      <c r="DD448" s="237" t="n">
        <f aca="false">IF(DD446=0,0,IF(DD446&lt;=12*'🎚️ Escenario'!$C$11,1,1+$C$6))</f>
        <v>0</v>
      </c>
      <c r="DE448" s="237" t="n">
        <f aca="false">IF(DE446=0,0,IF(DE446&lt;=12*'🎚️ Escenario'!$C$11,1,1+$C$6))</f>
        <v>0</v>
      </c>
      <c r="DF448" s="237" t="n">
        <f aca="false">IF(DF446=0,0,IF(DF446&lt;=12*'🎚️ Escenario'!$C$11,1,1+$C$6))</f>
        <v>0</v>
      </c>
      <c r="DG448" s="237" t="n">
        <f aca="false">IF(DG446=0,0,IF(DG446&lt;=12*'🎚️ Escenario'!$C$11,1,1+$C$6))</f>
        <v>0</v>
      </c>
      <c r="DH448" s="237" t="n">
        <f aca="false">IF(DH446=0,0,IF(DH446&lt;=12*'🎚️ Escenario'!$C$11,1,1+$C$6))</f>
        <v>0</v>
      </c>
      <c r="DI448" s="237" t="n">
        <f aca="false">IF(DI446=0,0,IF(DI446&lt;=12*'🎚️ Escenario'!$C$11,1,1+$C$6))</f>
        <v>0</v>
      </c>
      <c r="DJ448" s="237" t="n">
        <f aca="false">IF(DJ446=0,0,IF(DJ446&lt;=12*'🎚️ Escenario'!$C$11,1,1+$C$6))</f>
        <v>0</v>
      </c>
      <c r="DK448" s="237" t="n">
        <f aca="false">IF(DK446=0,0,IF(DK446&lt;=12*'🎚️ Escenario'!$C$11,1,1+$C$6))</f>
        <v>0</v>
      </c>
      <c r="DL448" s="237" t="n">
        <f aca="false">IF(DL446=0,0,IF(DL446&lt;=12*'🎚️ Escenario'!$C$11,1,1+$C$6))</f>
        <v>0</v>
      </c>
      <c r="DM448" s="237" t="n">
        <f aca="false">IF(DM446=0,0,IF(DM446&lt;=12*'🎚️ Escenario'!$C$11,1,1+$C$6))</f>
        <v>0</v>
      </c>
      <c r="DN448" s="237" t="n">
        <f aca="false">IF(DN446=0,0,IF(DN446&lt;=12*'🎚️ Escenario'!$C$11,1,1+$C$6))</f>
        <v>0</v>
      </c>
      <c r="DO448" s="237" t="n">
        <f aca="false">IF(DO446=0,0,IF(DO446&lt;=12*'🎚️ Escenario'!$C$11,1,1+$C$6))</f>
        <v>0</v>
      </c>
      <c r="DP448" s="237" t="n">
        <f aca="false">IF(DP446=0,0,IF(DP446&lt;=12*'🎚️ Escenario'!$C$11,1,1+$C$6))</f>
        <v>0</v>
      </c>
      <c r="DQ448" s="237" t="n">
        <f aca="false">IF(DQ446=0,0,IF(DQ446&lt;=12*'🎚️ Escenario'!$C$11,1,1+$C$6))</f>
        <v>0</v>
      </c>
      <c r="DR448" s="237" t="n">
        <f aca="false">IF(DR446=0,0,IF(DR446&lt;=12*'🎚️ Escenario'!$C$11,1,1+$C$6))</f>
        <v>0</v>
      </c>
      <c r="DS448" s="237" t="n">
        <f aca="false">IF(DS446=0,0,IF(DS446&lt;=12*'🎚️ Escenario'!$C$11,1,1+$C$6))</f>
        <v>0</v>
      </c>
      <c r="DT448" s="237" t="n">
        <f aca="false">IF(DT446=0,0,IF(DT446&lt;=12*'🎚️ Escenario'!$C$11,1,1+$C$6))</f>
        <v>0</v>
      </c>
      <c r="DU448" s="237" t="n">
        <f aca="false">IF(DU446=0,0,IF(DU446&lt;=12*'🎚️ Escenario'!$C$11,1,1+$C$6))</f>
        <v>0</v>
      </c>
      <c r="DV448" s="237" t="n">
        <f aca="false">IF(DV446=0,0,IF(DV446&lt;=12*'🎚️ Escenario'!$C$11,1,1+$C$6))</f>
        <v>0</v>
      </c>
      <c r="DW448" s="237" t="n">
        <f aca="false">IF(DW446=0,0,IF(DW446&lt;=12*'🎚️ Escenario'!$C$11,1,1+$C$6))</f>
        <v>0</v>
      </c>
      <c r="DX448" s="237" t="n">
        <f aca="false">IF(DX446=0,0,IF(DX446&lt;=12*'🎚️ Escenario'!$C$11,1,1+$C$6))</f>
        <v>0</v>
      </c>
      <c r="DY448" s="237" t="n">
        <f aca="false">IF(DY446=0,0,IF(DY446&lt;=12*'🎚️ Escenario'!$C$11,1,1+$C$6))</f>
        <v>0</v>
      </c>
      <c r="DZ448" s="237" t="n">
        <f aca="false">IF(DZ446=0,0,IF(DZ446&lt;=12*'🎚️ Escenario'!$C$11,1,1+$C$6))</f>
        <v>0</v>
      </c>
      <c r="EA448" s="237" t="n">
        <f aca="false">IF(EA446=0,0,IF(EA446&lt;=12*'🎚️ Escenario'!$C$11,1,1+$C$6))</f>
        <v>0</v>
      </c>
      <c r="EB448" s="237" t="n">
        <f aca="false">IF(EB446=0,0,IF(EB446&lt;=12*'🎚️ Escenario'!$C$11,1,1+$C$6))</f>
        <v>0</v>
      </c>
      <c r="EC448" s="237" t="n">
        <f aca="false">IF(EC446=0,0,IF(EC446&lt;=12*'🎚️ Escenario'!$C$11,1,1+$C$6))</f>
        <v>0</v>
      </c>
      <c r="ED448" s="237" t="n">
        <f aca="false">IF(ED446=0,0,IF(ED446&lt;=12*'🎚️ Escenario'!$C$11,1,1+$C$6))</f>
        <v>0</v>
      </c>
      <c r="EE448" s="237" t="n">
        <f aca="false">IF(EE446=0,0,IF(EE446&lt;=12*'🎚️ Escenario'!$C$11,1,1+$C$6))</f>
        <v>0</v>
      </c>
      <c r="EF448" s="237" t="n">
        <f aca="false">IF(EF446=0,0,IF(EF446&lt;=12*'🎚️ Escenario'!$C$11,1,1+$C$6))</f>
        <v>0</v>
      </c>
      <c r="EG448" s="237" t="n">
        <f aca="false">IF(EG446=0,0,IF(EG446&lt;=12*'🎚️ Escenario'!$C$11,1,1+$C$6))</f>
        <v>1</v>
      </c>
      <c r="EH448" s="237" t="n">
        <f aca="false">IF(EH446=0,0,IF(EH446&lt;=12*'🎚️ Escenario'!$C$11,1,1+$C$6))</f>
        <v>1</v>
      </c>
      <c r="EI448" s="237" t="n">
        <f aca="false">IF(EI446=0,0,IF(EI446&lt;=12*'🎚️ Escenario'!$C$11,1,1+$C$6))</f>
        <v>1</v>
      </c>
      <c r="EJ448" s="237" t="n">
        <f aca="false">IF(EJ446=0,0,IF(EJ446&lt;=12*'🎚️ Escenario'!$C$11,1,1+$C$6))</f>
        <v>1</v>
      </c>
      <c r="EK448" s="237" t="n">
        <f aca="false">IF(EK446=0,0,IF(EK446&lt;=12*'🎚️ Escenario'!$C$11,1,1+$C$6))</f>
        <v>1</v>
      </c>
      <c r="EL448" s="237" t="n">
        <f aca="false">IF(EL446=0,0,IF(EL446&lt;=12*'🎚️ Escenario'!$C$11,1,1+$C$6))</f>
        <v>1</v>
      </c>
      <c r="EM448" s="237" t="n">
        <f aca="false">IF(EM446=0,0,IF(EM446&lt;=12*'🎚️ Escenario'!$C$11,1,1+$C$6))</f>
        <v>1</v>
      </c>
      <c r="EN448" s="237" t="n">
        <f aca="false">IF(EN446=0,0,IF(EN446&lt;=12*'🎚️ Escenario'!$C$11,1,1+$C$6))</f>
        <v>1</v>
      </c>
      <c r="EO448" s="237" t="n">
        <f aca="false">IF(EO446=0,0,IF(EO446&lt;=12*'🎚️ Escenario'!$C$11,1,1+$C$6))</f>
        <v>1</v>
      </c>
      <c r="EP448" s="237" t="n">
        <f aca="false">IF(EP446=0,0,IF(EP446&lt;=12*'🎚️ Escenario'!$C$11,1,1+$C$6))</f>
        <v>1</v>
      </c>
      <c r="EQ448" s="237" t="n">
        <f aca="false">IF(EQ446=0,0,IF(EQ446&lt;=12*'🎚️ Escenario'!$C$11,1,1+$C$6))</f>
        <v>1</v>
      </c>
      <c r="ER448" s="237" t="n">
        <f aca="false">IF(ER446=0,0,IF(ER446&lt;=12*'🎚️ Escenario'!$C$11,1,1+$C$6))</f>
        <v>1</v>
      </c>
      <c r="ES448" s="9" t="n">
        <f aca="false">IF(ES446=0,0,IF(ES446&lt;=12*'🎚️ Escenario'!$C$11,1,1+$C$6))</f>
        <v>1</v>
      </c>
      <c r="ET448" s="9" t="n">
        <f aca="false">IF(ET446=0,0,IF(ET446&lt;=12*'🎚️ Escenario'!$C$11,1,1+$C$6))</f>
        <v>1</v>
      </c>
      <c r="EU448" s="9" t="n">
        <f aca="false">IF(EU446=0,0,IF(EU446&lt;=12*'🎚️ Escenario'!$C$11,1,1+$C$6))</f>
        <v>1</v>
      </c>
      <c r="EV448" s="238" t="n">
        <f aca="false">IF(EV446=0,0,IF(EV446&lt;=12*'🎚️ Escenario'!$C$11,1,1+$C$6))</f>
        <v>1.2</v>
      </c>
      <c r="EW448" s="238" t="n">
        <f aca="false">IF(EW446=0,0,IF(EW446&lt;=12*'🎚️ Escenario'!$C$11,1,1+$C$6))</f>
        <v>1.2</v>
      </c>
      <c r="EX448" s="238" t="n">
        <f aca="false">IF(EX446=0,0,IF(EX446&lt;=12*'🎚️ Escenario'!$C$11,1,1+$C$6))</f>
        <v>1.2</v>
      </c>
      <c r="EY448" s="238" t="n">
        <f aca="false">IF(EY446=0,0,IF(EY446&lt;=12*'🎚️ Escenario'!$C$11,1,1+$C$6))</f>
        <v>1.2</v>
      </c>
      <c r="EZ448" s="238" t="n">
        <f aca="false">IF(EZ446=0,0,IF(EZ446&lt;=12*'🎚️ Escenario'!$C$11,1,1+$C$6))</f>
        <v>1.2</v>
      </c>
      <c r="FA448" s="238" t="n">
        <f aca="false">IF(FA446=0,0,IF(FA446&lt;=12*'🎚️ Escenario'!$C$11,1,1+$C$6))</f>
        <v>1.2</v>
      </c>
      <c r="FB448" s="238" t="n">
        <f aca="false">IF(FB446=0,0,IF(FB446&lt;=12*'🎚️ Escenario'!$C$11,1,1+$C$6))</f>
        <v>1.2</v>
      </c>
      <c r="FC448" s="238" t="n">
        <f aca="false">IF(FC446=0,0,IF(FC446&lt;=12*'🎚️ Escenario'!$C$11,1,1+$C$6))</f>
        <v>1.2</v>
      </c>
      <c r="FD448" s="238" t="n">
        <f aca="false">IF(FD446=0,0,IF(FD446&lt;=12*'🎚️ Escenario'!$C$11,1,1+$C$6))</f>
        <v>1.2</v>
      </c>
      <c r="FE448" s="238" t="n">
        <f aca="false">IF(FE446=0,0,IF(FE446&lt;=12*'🎚️ Escenario'!$C$11,1,1+$C$6))</f>
        <v>1.2</v>
      </c>
      <c r="FF448" s="238" t="n">
        <f aca="false">IF(FF446=0,0,IF(FF446&lt;=12*'🎚️ Escenario'!$C$11,1,1+$C$6))</f>
        <v>1.2</v>
      </c>
      <c r="FG448" s="238" t="n">
        <f aca="false">IF(FG446=0,0,IF(FG446&lt;=12*'🎚️ Escenario'!$C$11,1,1+$C$6))</f>
        <v>1.2</v>
      </c>
      <c r="FH448" s="238" t="n">
        <f aca="false">IF(FH446=0,0,IF(FH446&lt;=12*'🎚️ Escenario'!$C$11,1,1+$C$6))</f>
        <v>1.2</v>
      </c>
      <c r="FI448" s="238" t="n">
        <f aca="false">IF(FI446=0,0,IF(FI446&lt;=12*'🎚️ Escenario'!$C$11,1,1+$C$6))</f>
        <v>1.2</v>
      </c>
      <c r="FJ448" s="238" t="n">
        <f aca="false">IF(FJ446=0,0,IF(FJ446&lt;=12*'🎚️ Escenario'!$C$11,1,1+$C$6))</f>
        <v>1.2</v>
      </c>
      <c r="FK448" s="238" t="n">
        <f aca="false">IF(FK446=0,0,IF(FK446&lt;=12*'🎚️ Escenario'!$C$11,1,1+$C$6))</f>
        <v>1.2</v>
      </c>
      <c r="FL448" s="238" t="n">
        <f aca="false">IF(FL446=0,0,IF(FL446&lt;=12*'🎚️ Escenario'!$C$11,1,1+$C$6))</f>
        <v>1.2</v>
      </c>
      <c r="FM448" s="238" t="n">
        <f aca="false">IF(FM446=0,0,IF(FM446&lt;=12*'🎚️ Escenario'!$C$11,1,1+$C$6))</f>
        <v>1.2</v>
      </c>
      <c r="FN448" s="238" t="n">
        <f aca="false">IF(FN446=0,0,IF(FN446&lt;=12*'🎚️ Escenario'!$C$11,1,1+$C$6))</f>
        <v>1.2</v>
      </c>
      <c r="FO448" s="238" t="n">
        <f aca="false">IF(FO446=0,0,IF(FO446&lt;=12*'🎚️ Escenario'!$C$11,1,1+$C$6))</f>
        <v>1.2</v>
      </c>
      <c r="FP448" s="238" t="n">
        <f aca="false">IF(FP446=0,0,IF(FP446&lt;=12*'🎚️ Escenario'!$C$11,1,1+$C$6))</f>
        <v>1.2</v>
      </c>
    </row>
    <row r="449" customFormat="false" ht="15" hidden="false" customHeight="false" outlineLevel="2" collapsed="false">
      <c r="B449" s="47" t="s">
        <v>876</v>
      </c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237" t="n">
        <f aca="false">AC447*$AC$445*AC448*AC$38*'⑫ Roll-out Plan'!$O$49</f>
        <v>0</v>
      </c>
      <c r="AD449" s="237" t="n">
        <f aca="false">AD447*$AC$445*AD448*AD$38*'⑫ Roll-out Plan'!$O$49</f>
        <v>0</v>
      </c>
      <c r="AE449" s="237" t="n">
        <f aca="false">AE447*$AC$445*AE448*AE$38*'⑫ Roll-out Plan'!$O$49</f>
        <v>0</v>
      </c>
      <c r="AF449" s="237" t="n">
        <f aca="false">AF447*$AC$445*AF448*AF$38*'⑫ Roll-out Plan'!$O$49</f>
        <v>0</v>
      </c>
      <c r="AG449" s="237" t="n">
        <f aca="false">AG447*$AC$445*AG448*AG$38*'⑫ Roll-out Plan'!$O$49</f>
        <v>0</v>
      </c>
      <c r="AH449" s="237" t="n">
        <f aca="false">AH447*$AC$445*AH448*AH$38*'⑫ Roll-out Plan'!$O$49</f>
        <v>0</v>
      </c>
      <c r="AI449" s="237" t="n">
        <f aca="false">AI447*$AC$445*AI448*AI$38*'⑫ Roll-out Plan'!$O$49</f>
        <v>0</v>
      </c>
      <c r="AJ449" s="237" t="n">
        <f aca="false">AJ447*$AC$445*AJ448*AJ$38*'⑫ Roll-out Plan'!$O$49</f>
        <v>0</v>
      </c>
      <c r="AK449" s="237" t="n">
        <f aca="false">AK447*$AC$445*AK448*AK$38*'⑫ Roll-out Plan'!$O$49</f>
        <v>0</v>
      </c>
      <c r="AL449" s="237" t="n">
        <f aca="false">AL447*$AC$445*AL448*AL$38*'⑫ Roll-out Plan'!$O$49</f>
        <v>0</v>
      </c>
      <c r="AM449" s="237" t="n">
        <f aca="false">AM447*$AC$445*AM448*AM$38*'⑫ Roll-out Plan'!$O$49</f>
        <v>0</v>
      </c>
      <c r="AN449" s="237" t="n">
        <f aca="false">AN447*$AC$445*AN448*AN$38*'⑫ Roll-out Plan'!$O$49</f>
        <v>0</v>
      </c>
      <c r="AO449" s="237" t="n">
        <f aca="false">AO447*$AC$445*AO448*AO$38*'⑫ Roll-out Plan'!$O$49</f>
        <v>0</v>
      </c>
      <c r="AP449" s="237" t="n">
        <f aca="false">AP447*$AC$445*AP448*AP$38*'⑫ Roll-out Plan'!$O$49</f>
        <v>0</v>
      </c>
      <c r="AQ449" s="237" t="n">
        <f aca="false">AQ447*$AC$445*AQ448*AQ$38*'⑫ Roll-out Plan'!$O$49</f>
        <v>0</v>
      </c>
      <c r="AR449" s="237" t="n">
        <f aca="false">AR447*$AC$445*AR448*AR$38*'⑫ Roll-out Plan'!$O$49</f>
        <v>0</v>
      </c>
      <c r="AS449" s="237" t="n">
        <f aca="false">AS447*$AC$445*AS448*AS$38*'⑫ Roll-out Plan'!$O$49</f>
        <v>0</v>
      </c>
      <c r="AT449" s="237" t="n">
        <f aca="false">AT447*$AC$445*AT448*AT$38*'⑫ Roll-out Plan'!$O$49</f>
        <v>0</v>
      </c>
      <c r="AU449" s="237" t="n">
        <f aca="false">AU447*$AC$445*AU448*AU$38*'⑫ Roll-out Plan'!$O$49</f>
        <v>0</v>
      </c>
      <c r="AV449" s="237" t="n">
        <f aca="false">AV447*$AC$445*AV448*AV$38*'⑫ Roll-out Plan'!$O$49</f>
        <v>0</v>
      </c>
      <c r="AW449" s="237" t="n">
        <f aca="false">AW447*$AC$445*AW448*AW$38*'⑫ Roll-out Plan'!$O$49</f>
        <v>0</v>
      </c>
      <c r="AX449" s="237" t="n">
        <f aca="false">AX447*$AC$445*AX448*AX$38*'⑫ Roll-out Plan'!$O$49</f>
        <v>0</v>
      </c>
      <c r="AY449" s="237" t="n">
        <f aca="false">AY447*$AC$445*AY448*AY$38*'⑫ Roll-out Plan'!$O$49</f>
        <v>0</v>
      </c>
      <c r="AZ449" s="237" t="n">
        <f aca="false">AZ447*$AC$445*AZ448*AZ$38*'⑫ Roll-out Plan'!$O$49</f>
        <v>0</v>
      </c>
      <c r="BA449" s="237" t="n">
        <f aca="false">BA447*$AC$445*BA448*BA$38*'⑫ Roll-out Plan'!$O$49</f>
        <v>0</v>
      </c>
      <c r="BB449" s="237" t="n">
        <f aca="false">BB447*$AC$445*BB448*BB$38*'⑫ Roll-out Plan'!$O$49</f>
        <v>0</v>
      </c>
      <c r="BC449" s="237" t="n">
        <f aca="false">BC447*$AC$445*BC448*BC$38*'⑫ Roll-out Plan'!$O$49</f>
        <v>0</v>
      </c>
      <c r="BD449" s="237" t="n">
        <f aca="false">BD447*$AC$445*BD448*BD$38*'⑫ Roll-out Plan'!$O$49</f>
        <v>0</v>
      </c>
      <c r="BE449" s="237" t="n">
        <f aca="false">BE447*$AC$445*BE448*BE$38*'⑫ Roll-out Plan'!$O$49</f>
        <v>0</v>
      </c>
      <c r="BF449" s="237" t="n">
        <f aca="false">BF447*$AC$445*BF448*BF$38*'⑫ Roll-out Plan'!$O$49</f>
        <v>0</v>
      </c>
      <c r="BG449" s="237" t="n">
        <f aca="false">BG447*$AC$445*BG448*BG$38*'⑫ Roll-out Plan'!$O$49</f>
        <v>0</v>
      </c>
      <c r="BH449" s="237" t="n">
        <f aca="false">BH447*$AC$445*BH448*BH$38*'⑫ Roll-out Plan'!$O$49</f>
        <v>0</v>
      </c>
      <c r="BI449" s="237" t="n">
        <f aca="false">BI447*$AC$445*BI448*BI$38*'⑫ Roll-out Plan'!$O$49</f>
        <v>0</v>
      </c>
      <c r="BJ449" s="237" t="n">
        <f aca="false">BJ447*$AC$445*BJ448*BJ$38*'⑫ Roll-out Plan'!$O$49</f>
        <v>0</v>
      </c>
      <c r="BK449" s="237" t="n">
        <f aca="false">BK447*$AC$445*BK448*BK$38*'⑫ Roll-out Plan'!$O$49</f>
        <v>0</v>
      </c>
      <c r="BL449" s="237" t="n">
        <f aca="false">BL447*$AC$445*BL448*BL$38*'⑫ Roll-out Plan'!$O$49</f>
        <v>0</v>
      </c>
      <c r="BM449" s="237" t="n">
        <f aca="false">BM447*$AC$445*BM448*BM$38*'⑫ Roll-out Plan'!$O$49</f>
        <v>0</v>
      </c>
      <c r="BN449" s="237" t="n">
        <f aca="false">BN447*$AC$445*BN448*BN$38*'⑫ Roll-out Plan'!$O$49</f>
        <v>0</v>
      </c>
      <c r="BO449" s="237" t="n">
        <f aca="false">BO447*$AC$445*BO448*BO$38*'⑫ Roll-out Plan'!$O$49</f>
        <v>0</v>
      </c>
      <c r="BP449" s="237" t="n">
        <f aca="false">BP447*$AC$445*BP448*BP$38*'⑫ Roll-out Plan'!$O$49</f>
        <v>0</v>
      </c>
      <c r="BQ449" s="237" t="n">
        <f aca="false">BQ447*$AC$445*BQ448*BQ$38*'⑫ Roll-out Plan'!$O$49</f>
        <v>0</v>
      </c>
      <c r="BR449" s="237" t="n">
        <f aca="false">BR447*$AC$445*BR448*BR$38*'⑫ Roll-out Plan'!$O$49</f>
        <v>0</v>
      </c>
      <c r="BS449" s="237" t="n">
        <f aca="false">BS447*$AC$445*BS448*BS$38*'⑫ Roll-out Plan'!$O$49</f>
        <v>0</v>
      </c>
      <c r="BT449" s="237" t="n">
        <f aca="false">BT447*$AC$445*BT448*BT$38*'⑫ Roll-out Plan'!$O$49</f>
        <v>0</v>
      </c>
      <c r="BU449" s="237" t="n">
        <f aca="false">BU447*$AC$445*BU448*BU$38*'⑫ Roll-out Plan'!$O$49</f>
        <v>0</v>
      </c>
      <c r="BV449" s="237" t="n">
        <f aca="false">BV447*$AC$445*BV448*BV$38*'⑫ Roll-out Plan'!$O$49</f>
        <v>0</v>
      </c>
      <c r="BW449" s="237" t="n">
        <f aca="false">BW447*$AC$445*BW448*BW$38*'⑫ Roll-out Plan'!$O$49</f>
        <v>0</v>
      </c>
      <c r="BX449" s="237" t="n">
        <f aca="false">BX447*$AC$445*BX448*BX$38*'⑫ Roll-out Plan'!$O$49</f>
        <v>0</v>
      </c>
      <c r="BY449" s="237" t="n">
        <f aca="false">BY447*$AC$445*BY448*BY$38*'⑫ Roll-out Plan'!$O$49</f>
        <v>0</v>
      </c>
      <c r="BZ449" s="237" t="n">
        <f aca="false">BZ447*$AC$445*BZ448*BZ$38*'⑫ Roll-out Plan'!$O$49</f>
        <v>0</v>
      </c>
      <c r="CA449" s="237" t="n">
        <f aca="false">CA447*$AC$445*CA448*CA$38*'⑫ Roll-out Plan'!$O$49</f>
        <v>0</v>
      </c>
      <c r="CB449" s="237" t="n">
        <f aca="false">CB447*$AC$445*CB448*CB$38*'⑫ Roll-out Plan'!$O$49</f>
        <v>0</v>
      </c>
      <c r="CC449" s="237" t="n">
        <f aca="false">CC447*$AC$445*CC448*CC$38*'⑫ Roll-out Plan'!$O$49</f>
        <v>0</v>
      </c>
      <c r="CD449" s="237" t="n">
        <f aca="false">CD447*$AC$445*CD448*CD$38*'⑫ Roll-out Plan'!$O$49</f>
        <v>0</v>
      </c>
      <c r="CE449" s="237" t="n">
        <f aca="false">CE447*$AC$445*CE448*CE$38*'⑫ Roll-out Plan'!$O$49</f>
        <v>0</v>
      </c>
      <c r="CF449" s="237" t="n">
        <f aca="false">CF447*$AC$445*CF448*CF$38*'⑫ Roll-out Plan'!$O$49</f>
        <v>0</v>
      </c>
      <c r="CG449" s="237" t="n">
        <f aca="false">CG447*$AC$445*CG448*CG$38*'⑫ Roll-out Plan'!$O$49</f>
        <v>0</v>
      </c>
      <c r="CH449" s="237" t="n">
        <f aca="false">CH447*$AC$445*CH448*CH$38*'⑫ Roll-out Plan'!$O$49</f>
        <v>0</v>
      </c>
      <c r="CI449" s="237" t="n">
        <f aca="false">CI447*$AC$445*CI448*CI$38*'⑫ Roll-out Plan'!$O$49</f>
        <v>0</v>
      </c>
      <c r="CJ449" s="237" t="n">
        <f aca="false">CJ447*$AC$445*CJ448*CJ$38*'⑫ Roll-out Plan'!$O$49</f>
        <v>0</v>
      </c>
      <c r="CK449" s="237" t="n">
        <f aca="false">CK447*$AC$445*CK448*CK$38*'⑫ Roll-out Plan'!$O$49</f>
        <v>0</v>
      </c>
      <c r="CL449" s="237" t="n">
        <f aca="false">CL447*$AC$445*CL448*CL$38*'⑫ Roll-out Plan'!$O$49</f>
        <v>0</v>
      </c>
      <c r="CM449" s="237" t="n">
        <f aca="false">CM447*$AC$445*CM448*CM$38*'⑫ Roll-out Plan'!$O$49</f>
        <v>0</v>
      </c>
      <c r="CN449" s="237" t="n">
        <f aca="false">CN447*$AC$445*CN448*CN$38*'⑫ Roll-out Plan'!$O$49</f>
        <v>0</v>
      </c>
      <c r="CO449" s="237" t="n">
        <f aca="false">CO447*$AC$445*CO448*CO$38*'⑫ Roll-out Plan'!$O$49</f>
        <v>0</v>
      </c>
      <c r="CP449" s="237" t="n">
        <f aca="false">CP447*$AC$445*CP448*CP$38*'⑫ Roll-out Plan'!$O$49</f>
        <v>0</v>
      </c>
      <c r="CQ449" s="237" t="n">
        <f aca="false">CQ447*$AC$445*CQ448*CQ$38*'⑫ Roll-out Plan'!$O$49</f>
        <v>0</v>
      </c>
      <c r="CR449" s="237" t="n">
        <f aca="false">CR447*$AC$445*CR448*CR$38*'⑫ Roll-out Plan'!$O$49</f>
        <v>0</v>
      </c>
      <c r="CS449" s="237" t="n">
        <f aca="false">CS447*$AC$445*CS448*CS$38*'⑫ Roll-out Plan'!$O$49</f>
        <v>0</v>
      </c>
      <c r="CT449" s="237" t="n">
        <f aca="false">CT447*$AC$445*CT448*CT$38*'⑫ Roll-out Plan'!$O$49</f>
        <v>0</v>
      </c>
      <c r="CU449" s="237" t="n">
        <f aca="false">CU447*$AC$445*CU448*CU$38*'⑫ Roll-out Plan'!$O$49</f>
        <v>0</v>
      </c>
      <c r="CV449" s="237" t="n">
        <f aca="false">CV447*$AC$445*CV448*CV$38*'⑫ Roll-out Plan'!$O$49</f>
        <v>0</v>
      </c>
      <c r="CW449" s="237" t="n">
        <f aca="false">CW447*$AC$445*CW448*CW$38*'⑫ Roll-out Plan'!$O$49</f>
        <v>0</v>
      </c>
      <c r="CX449" s="237" t="n">
        <f aca="false">CX447*$AC$445*CX448*CX$38*'⑫ Roll-out Plan'!$O$49</f>
        <v>0</v>
      </c>
      <c r="CY449" s="237" t="n">
        <f aca="false">CY447*$AC$445*CY448*CY$38*'⑫ Roll-out Plan'!$O$49</f>
        <v>0</v>
      </c>
      <c r="CZ449" s="237" t="n">
        <f aca="false">CZ447*$AC$445*CZ448*CZ$38*'⑫ Roll-out Plan'!$O$49</f>
        <v>0</v>
      </c>
      <c r="DA449" s="237" t="n">
        <f aca="false">DA447*$AC$445*DA448*DA$38*'⑫ Roll-out Plan'!$O$49</f>
        <v>0</v>
      </c>
      <c r="DB449" s="237" t="n">
        <f aca="false">DB447*$AC$445*DB448*DB$38*'⑫ Roll-out Plan'!$O$49</f>
        <v>0</v>
      </c>
      <c r="DC449" s="237" t="n">
        <f aca="false">DC447*$AC$445*DC448*DC$38*'⑫ Roll-out Plan'!$O$49</f>
        <v>0</v>
      </c>
      <c r="DD449" s="237" t="n">
        <f aca="false">DD447*$AC$445*DD448*DD$38*'⑫ Roll-out Plan'!$O$49</f>
        <v>0</v>
      </c>
      <c r="DE449" s="237" t="n">
        <f aca="false">DE447*$AC$445*DE448*DE$38*'⑫ Roll-out Plan'!$O$49</f>
        <v>0</v>
      </c>
      <c r="DF449" s="237" t="n">
        <f aca="false">DF447*$AC$445*DF448*DF$38*'⑫ Roll-out Plan'!$O$49</f>
        <v>0</v>
      </c>
      <c r="DG449" s="237" t="n">
        <f aca="false">DG447*$AC$445*DG448*DG$38*'⑫ Roll-out Plan'!$O$49</f>
        <v>0</v>
      </c>
      <c r="DH449" s="237" t="n">
        <f aca="false">DH447*$AC$445*DH448*DH$38*'⑫ Roll-out Plan'!$O$49</f>
        <v>0</v>
      </c>
      <c r="DI449" s="237" t="n">
        <f aca="false">DI447*$AC$445*DI448*DI$38*'⑫ Roll-out Plan'!$O$49</f>
        <v>0</v>
      </c>
      <c r="DJ449" s="237" t="n">
        <f aca="false">DJ447*$AC$445*DJ448*DJ$38*'⑫ Roll-out Plan'!$O$49</f>
        <v>0</v>
      </c>
      <c r="DK449" s="237" t="n">
        <f aca="false">DK447*$AC$445*DK448*DK$38*'⑫ Roll-out Plan'!$O$49</f>
        <v>0</v>
      </c>
      <c r="DL449" s="237" t="n">
        <f aca="false">DL447*$AC$445*DL448*DL$38*'⑫ Roll-out Plan'!$O$49</f>
        <v>0</v>
      </c>
      <c r="DM449" s="237" t="n">
        <f aca="false">DM447*$AC$445*DM448*DM$38*'⑫ Roll-out Plan'!$O$49</f>
        <v>0</v>
      </c>
      <c r="DN449" s="237" t="n">
        <f aca="false">DN447*$AC$445*DN448*DN$38*'⑫ Roll-out Plan'!$O$49</f>
        <v>0</v>
      </c>
      <c r="DO449" s="237" t="n">
        <f aca="false">DO447*$AC$445*DO448*DO$38*'⑫ Roll-out Plan'!$O$49</f>
        <v>0</v>
      </c>
      <c r="DP449" s="237" t="n">
        <f aca="false">DP447*$AC$445*DP448*DP$38*'⑫ Roll-out Plan'!$O$49</f>
        <v>0</v>
      </c>
      <c r="DQ449" s="237" t="n">
        <f aca="false">DQ447*$AC$445*DQ448*DQ$38*'⑫ Roll-out Plan'!$O$49</f>
        <v>0</v>
      </c>
      <c r="DR449" s="237" t="n">
        <f aca="false">DR447*$AC$445*DR448*DR$38*'⑫ Roll-out Plan'!$O$49</f>
        <v>0</v>
      </c>
      <c r="DS449" s="237" t="n">
        <f aca="false">DS447*$AC$445*DS448*DS$38*'⑫ Roll-out Plan'!$O$49</f>
        <v>0</v>
      </c>
      <c r="DT449" s="237" t="n">
        <f aca="false">DT447*$AC$445*DT448*DT$38*'⑫ Roll-out Plan'!$O$49</f>
        <v>0</v>
      </c>
      <c r="DU449" s="237" t="n">
        <f aca="false">DU447*$AC$445*DU448*DU$38*'⑫ Roll-out Plan'!$O$49</f>
        <v>0</v>
      </c>
      <c r="DV449" s="237" t="n">
        <f aca="false">DV447*$AC$445*DV448*DV$38*'⑫ Roll-out Plan'!$O$49</f>
        <v>0</v>
      </c>
      <c r="DW449" s="237" t="n">
        <f aca="false">DW447*$AC$445*DW448*DW$38*'⑫ Roll-out Plan'!$O$49</f>
        <v>0</v>
      </c>
      <c r="DX449" s="237" t="n">
        <f aca="false">DX447*$AC$445*DX448*DX$38*'⑫ Roll-out Plan'!$O$49</f>
        <v>0</v>
      </c>
      <c r="DY449" s="237" t="n">
        <f aca="false">DY447*$AC$445*DY448*DY$38*'⑫ Roll-out Plan'!$O$49</f>
        <v>0</v>
      </c>
      <c r="DZ449" s="237" t="n">
        <f aca="false">DZ447*$AC$445*DZ448*DZ$38*'⑫ Roll-out Plan'!$O$49</f>
        <v>0</v>
      </c>
      <c r="EA449" s="237" t="n">
        <f aca="false">EA447*$AC$445*EA448*EA$38*'⑫ Roll-out Plan'!$O$49</f>
        <v>0</v>
      </c>
      <c r="EB449" s="237" t="n">
        <f aca="false">EB447*$AC$445*EB448*EB$38*'⑫ Roll-out Plan'!$O$49</f>
        <v>0</v>
      </c>
      <c r="EC449" s="237" t="n">
        <f aca="false">EC447*$AC$445*EC448*EC$38*'⑫ Roll-out Plan'!$O$49</f>
        <v>0</v>
      </c>
      <c r="ED449" s="237" t="n">
        <f aca="false">ED447*$AC$445*ED448*ED$38*'⑫ Roll-out Plan'!$O$49</f>
        <v>0</v>
      </c>
      <c r="EE449" s="237" t="n">
        <f aca="false">EE447*$AC$445*EE448*EE$38*'⑫ Roll-out Plan'!$O$49</f>
        <v>0</v>
      </c>
      <c r="EF449" s="237" t="n">
        <f aca="false">EF447*$AC$445*EF448*EF$38*'⑫ Roll-out Plan'!$O$49</f>
        <v>0</v>
      </c>
      <c r="EG449" s="237" t="n">
        <f aca="false">EG447*$AC$445*EG448*EG$38*'⑫ Roll-out Plan'!$O$49</f>
        <v>23.76</v>
      </c>
      <c r="EH449" s="237" t="n">
        <f aca="false">EH447*$AC$445*EH448*EH$38*'⑫ Roll-out Plan'!$O$49</f>
        <v>19.844</v>
      </c>
      <c r="EI449" s="237" t="n">
        <f aca="false">EI447*$AC$445*EI448*EI$38*'⑫ Roll-out Plan'!$O$49</f>
        <v>30.624</v>
      </c>
      <c r="EJ449" s="237" t="n">
        <f aca="false">EJ447*$AC$445*EJ448*EJ$38*'⑫ Roll-out Plan'!$O$49</f>
        <v>32.67</v>
      </c>
      <c r="EK449" s="237" t="n">
        <f aca="false">EK447*$AC$445*EK448*EK$38*'⑫ Roll-out Plan'!$O$49</f>
        <v>27.324</v>
      </c>
      <c r="EL449" s="237" t="n">
        <f aca="false">EL447*$AC$445*EL448*EL$38*'⑫ Roll-out Plan'!$O$49</f>
        <v>27.28</v>
      </c>
      <c r="EM449" s="237" t="n">
        <f aca="false">EM447*$AC$445*EM448*EM$38*'⑫ Roll-out Plan'!$O$49</f>
        <v>32.34</v>
      </c>
      <c r="EN449" s="237" t="n">
        <f aca="false">EN447*$AC$445*EN448*EN$38*'⑫ Roll-out Plan'!$O$49</f>
        <v>60.918</v>
      </c>
      <c r="EO449" s="237" t="n">
        <f aca="false">EO447*$AC$445*EO448*EO$38*'⑫ Roll-out Plan'!$O$49</f>
        <v>56.144</v>
      </c>
      <c r="EP449" s="237" t="n">
        <f aca="false">EP447*$AC$445*EP448*EP$38*'⑫ Roll-out Plan'!$O$49</f>
        <v>46.464</v>
      </c>
      <c r="EQ449" s="237" t="n">
        <f aca="false">EQ447*$AC$445*EQ448*EQ$38*'⑫ Roll-out Plan'!$O$49</f>
        <v>38.016</v>
      </c>
      <c r="ER449" s="237" t="n">
        <f aca="false">ER447*$AC$445*ER448*ER$38*'⑫ Roll-out Plan'!$O$49</f>
        <v>58.344</v>
      </c>
      <c r="ES449" s="9" t="n">
        <f aca="false">ES447*$AC$445*ES448*ES$38*'⑫ Roll-out Plan'!$O$49</f>
        <v>66.528</v>
      </c>
      <c r="ET449" s="9" t="n">
        <f aca="false">ET447*$AC$445*ET448*ET$38*'⑫ Roll-out Plan'!$O$49</f>
        <v>54.12</v>
      </c>
      <c r="EU449" s="9" t="n">
        <f aca="false">EU447*$AC$445*EU448*EU$38*'⑫ Roll-out Plan'!$O$49</f>
        <v>76.56</v>
      </c>
      <c r="EV449" s="9" t="n">
        <f aca="false">EV447*$AC$445*EV448*EV$38*'⑫ Roll-out Plan'!$O$49</f>
        <v>91.476</v>
      </c>
      <c r="EW449" s="9" t="n">
        <f aca="false">EW447*$AC$445*EW448*EW$38*'⑫ Roll-out Plan'!$O$49</f>
        <v>80.1504</v>
      </c>
      <c r="EX449" s="9" t="n">
        <f aca="false">EX447*$AC$445*EX448*EX$38*'⑫ Roll-out Plan'!$O$49</f>
        <v>72.864</v>
      </c>
      <c r="EY449" s="9" t="n">
        <f aca="false">EY447*$AC$445*EY448*EY$38*'⑫ Roll-out Plan'!$O$49</f>
        <v>78.7248</v>
      </c>
      <c r="EZ449" s="9" t="n">
        <f aca="false">EZ447*$AC$445*EZ448*EZ$38*'⑫ Roll-out Plan'!$O$49</f>
        <v>133.0824</v>
      </c>
      <c r="FA449" s="9" t="n">
        <f aca="false">FA447*$AC$445*FA448*FA$38*'⑫ Roll-out Plan'!$O$49</f>
        <v>111.7776</v>
      </c>
      <c r="FB449" s="9" t="n">
        <f aca="false">FB447*$AC$445*FB448*FB$38*'⑫ Roll-out Plan'!$O$49</f>
        <v>95.04</v>
      </c>
      <c r="FC449" s="9" t="n">
        <f aca="false">FC447*$AC$445*FC448*FC$38*'⑫ Roll-out Plan'!$O$49</f>
        <v>73.1808</v>
      </c>
      <c r="FD449" s="9" t="n">
        <f aca="false">FD447*$AC$445*FD448*FD$38*'⑫ Roll-out Plan'!$O$49</f>
        <v>106.3656</v>
      </c>
      <c r="FE449" s="9" t="n">
        <f aca="false">FE447*$AC$445*FE448*FE$38*'⑫ Roll-out Plan'!$O$49</f>
        <v>112.6224</v>
      </c>
      <c r="FF449" s="9" t="n">
        <f aca="false">FF447*$AC$445*FF448*FF$38*'⑫ Roll-out Plan'!$O$49</f>
        <v>86.592</v>
      </c>
      <c r="FG449" s="9" t="n">
        <f aca="false">FG447*$AC$445*FG448*FG$38*'⑫ Roll-out Plan'!$O$49</f>
        <v>125.5584</v>
      </c>
      <c r="FH449" s="9" t="n">
        <f aca="false">FH447*$AC$445*FH448*FH$38*'⑫ Roll-out Plan'!$O$49</f>
        <v>121.968</v>
      </c>
      <c r="FI449" s="9" t="n">
        <f aca="false">FI447*$AC$445*FI448*FI$38*'⑫ Roll-out Plan'!$O$49</f>
        <v>103.224</v>
      </c>
      <c r="FJ449" s="9" t="n">
        <f aca="false">FJ447*$AC$445*FJ448*FJ$38*'⑫ Roll-out Plan'!$O$49</f>
        <v>89.76</v>
      </c>
      <c r="FK449" s="9" t="n">
        <f aca="false">FK447*$AC$445*FK448*FK$38*'⑫ Roll-out Plan'!$O$49</f>
        <v>95.3568</v>
      </c>
      <c r="FL449" s="9" t="n">
        <f aca="false">FL447*$AC$445*FL448*FL$38*'⑫ Roll-out Plan'!$O$49</f>
        <v>164.9472</v>
      </c>
      <c r="FM449" s="9" t="n">
        <f aca="false">FM447*$AC$445*FM448*FM$38*'⑫ Roll-out Plan'!$O$49</f>
        <v>136.2768</v>
      </c>
      <c r="FN449" s="9" t="n">
        <f aca="false">FN447*$AC$445*FN448*FN$38*'⑫ Roll-out Plan'!$O$49</f>
        <v>114.048</v>
      </c>
      <c r="FO449" s="9" t="n">
        <f aca="false">FO447*$AC$445*FO448*FO$38*'⑫ Roll-out Plan'!$O$49</f>
        <v>85.536</v>
      </c>
      <c r="FP449" s="9" t="n">
        <f aca="false">FP447*$AC$445*FP448*FP$38*'⑫ Roll-out Plan'!$O$49</f>
        <v>123.8688</v>
      </c>
    </row>
    <row r="450" customFormat="false" ht="15" hidden="false" customHeight="false" outlineLevel="2" collapsed="false">
      <c r="B450" s="47" t="s">
        <v>877</v>
      </c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237" t="n">
        <f aca="true">IFERROR(SUMPRODUCT(OFFSET($BJ$31,0,1-MIN(60,COLUMN()-29),1,MIN(60,COLUMN()-29)),OFFSET(AC449,0,-MIN(60,COLUMN()-29),1,MIN(60,COLUMN()-29))),0)</f>
        <v>0</v>
      </c>
      <c r="AD450" s="237" t="n">
        <f aca="true">IFERROR(SUMPRODUCT(OFFSET($BJ$31,0,1-MIN(60,COLUMN()-29),1,MIN(60,COLUMN()-29)),OFFSET(AD449,0,-MIN(60,COLUMN()-29),1,MIN(60,COLUMN()-29))),0)</f>
        <v>0</v>
      </c>
      <c r="AE450" s="237" t="n">
        <f aca="true">IFERROR(SUMPRODUCT(OFFSET($BJ$31,0,1-MIN(60,COLUMN()-29),1,MIN(60,COLUMN()-29)),OFFSET(AE449,0,-MIN(60,COLUMN()-29),1,MIN(60,COLUMN()-29))),0)</f>
        <v>0</v>
      </c>
      <c r="AF450" s="237" t="n">
        <f aca="true">IFERROR(SUMPRODUCT(OFFSET($BJ$31,0,1-MIN(60,COLUMN()-29),1,MIN(60,COLUMN()-29)),OFFSET(AF449,0,-MIN(60,COLUMN()-29),1,MIN(60,COLUMN()-29))),0)</f>
        <v>0</v>
      </c>
      <c r="AG450" s="237" t="n">
        <f aca="true">IFERROR(SUMPRODUCT(OFFSET($BJ$31,0,1-MIN(60,COLUMN()-29),1,MIN(60,COLUMN()-29)),OFFSET(AG449,0,-MIN(60,COLUMN()-29),1,MIN(60,COLUMN()-29))),0)</f>
        <v>0</v>
      </c>
      <c r="AH450" s="237" t="n">
        <f aca="true">IFERROR(SUMPRODUCT(OFFSET($BJ$31,0,1-MIN(60,COLUMN()-29),1,MIN(60,COLUMN()-29)),OFFSET(AH449,0,-MIN(60,COLUMN()-29),1,MIN(60,COLUMN()-29))),0)</f>
        <v>0</v>
      </c>
      <c r="AI450" s="237" t="n">
        <f aca="true">IFERROR(SUMPRODUCT(OFFSET($BJ$31,0,1-MIN(60,COLUMN()-29),1,MIN(60,COLUMN()-29)),OFFSET(AI449,0,-MIN(60,COLUMN()-29),1,MIN(60,COLUMN()-29))),0)</f>
        <v>0</v>
      </c>
      <c r="AJ450" s="237" t="n">
        <f aca="true">IFERROR(SUMPRODUCT(OFFSET($BJ$31,0,1-MIN(60,COLUMN()-29),1,MIN(60,COLUMN()-29)),OFFSET(AJ449,0,-MIN(60,COLUMN()-29),1,MIN(60,COLUMN()-29))),0)</f>
        <v>0</v>
      </c>
      <c r="AK450" s="237" t="n">
        <f aca="true">IFERROR(SUMPRODUCT(OFFSET($BJ$31,0,1-MIN(60,COLUMN()-29),1,MIN(60,COLUMN()-29)),OFFSET(AK449,0,-MIN(60,COLUMN()-29),1,MIN(60,COLUMN()-29))),0)</f>
        <v>0</v>
      </c>
      <c r="AL450" s="237" t="n">
        <f aca="true">IFERROR(SUMPRODUCT(OFFSET($BJ$31,0,1-MIN(60,COLUMN()-29),1,MIN(60,COLUMN()-29)),OFFSET(AL449,0,-MIN(60,COLUMN()-29),1,MIN(60,COLUMN()-29))),0)</f>
        <v>0</v>
      </c>
      <c r="AM450" s="237" t="n">
        <f aca="true">IFERROR(SUMPRODUCT(OFFSET($BJ$31,0,1-MIN(60,COLUMN()-29),1,MIN(60,COLUMN()-29)),OFFSET(AM449,0,-MIN(60,COLUMN()-29),1,MIN(60,COLUMN()-29))),0)</f>
        <v>0</v>
      </c>
      <c r="AN450" s="237" t="n">
        <f aca="true">IFERROR(SUMPRODUCT(OFFSET($BJ$31,0,1-MIN(60,COLUMN()-29),1,MIN(60,COLUMN()-29)),OFFSET(AN449,0,-MIN(60,COLUMN()-29),1,MIN(60,COLUMN()-29))),0)</f>
        <v>0</v>
      </c>
      <c r="AO450" s="237" t="n">
        <f aca="true">IFERROR(SUMPRODUCT(OFFSET($BJ$31,0,1-MIN(60,COLUMN()-29),1,MIN(60,COLUMN()-29)),OFFSET(AO449,0,-MIN(60,COLUMN()-29),1,MIN(60,COLUMN()-29))),0)</f>
        <v>0</v>
      </c>
      <c r="AP450" s="237" t="n">
        <f aca="true">IFERROR(SUMPRODUCT(OFFSET($BJ$31,0,1-MIN(60,COLUMN()-29),1,MIN(60,COLUMN()-29)),OFFSET(AP449,0,-MIN(60,COLUMN()-29),1,MIN(60,COLUMN()-29))),0)</f>
        <v>0</v>
      </c>
      <c r="AQ450" s="237" t="n">
        <f aca="true">IFERROR(SUMPRODUCT(OFFSET($BJ$31,0,1-MIN(60,COLUMN()-29),1,MIN(60,COLUMN()-29)),OFFSET(AQ449,0,-MIN(60,COLUMN()-29),1,MIN(60,COLUMN()-29))),0)</f>
        <v>0</v>
      </c>
      <c r="AR450" s="237" t="n">
        <f aca="true">IFERROR(SUMPRODUCT(OFFSET($BJ$31,0,1-MIN(60,COLUMN()-29),1,MIN(60,COLUMN()-29)),OFFSET(AR449,0,-MIN(60,COLUMN()-29),1,MIN(60,COLUMN()-29))),0)</f>
        <v>0</v>
      </c>
      <c r="AS450" s="237" t="n">
        <f aca="true">IFERROR(SUMPRODUCT(OFFSET($BJ$31,0,1-MIN(60,COLUMN()-29),1,MIN(60,COLUMN()-29)),OFFSET(AS449,0,-MIN(60,COLUMN()-29),1,MIN(60,COLUMN()-29))),0)</f>
        <v>0</v>
      </c>
      <c r="AT450" s="237" t="n">
        <f aca="true">IFERROR(SUMPRODUCT(OFFSET($BJ$31,0,1-MIN(60,COLUMN()-29),1,MIN(60,COLUMN()-29)),OFFSET(AT449,0,-MIN(60,COLUMN()-29),1,MIN(60,COLUMN()-29))),0)</f>
        <v>0</v>
      </c>
      <c r="AU450" s="237" t="n">
        <f aca="true">IFERROR(SUMPRODUCT(OFFSET($BJ$31,0,1-MIN(60,COLUMN()-29),1,MIN(60,COLUMN()-29)),OFFSET(AU449,0,-MIN(60,COLUMN()-29),1,MIN(60,COLUMN()-29))),0)</f>
        <v>0</v>
      </c>
      <c r="AV450" s="237" t="n">
        <f aca="true">IFERROR(SUMPRODUCT(OFFSET($BJ$31,0,1-MIN(60,COLUMN()-29),1,MIN(60,COLUMN()-29)),OFFSET(AV449,0,-MIN(60,COLUMN()-29),1,MIN(60,COLUMN()-29))),0)</f>
        <v>0</v>
      </c>
      <c r="AW450" s="237" t="n">
        <f aca="true">IFERROR(SUMPRODUCT(OFFSET($BJ$31,0,1-MIN(60,COLUMN()-29),1,MIN(60,COLUMN()-29)),OFFSET(AW449,0,-MIN(60,COLUMN()-29),1,MIN(60,COLUMN()-29))),0)</f>
        <v>0</v>
      </c>
      <c r="AX450" s="237" t="n">
        <f aca="true">IFERROR(SUMPRODUCT(OFFSET($BJ$31,0,1-MIN(60,COLUMN()-29),1,MIN(60,COLUMN()-29)),OFFSET(AX449,0,-MIN(60,COLUMN()-29),1,MIN(60,COLUMN()-29))),0)</f>
        <v>0</v>
      </c>
      <c r="AY450" s="237" t="n">
        <f aca="true">IFERROR(SUMPRODUCT(OFFSET($BJ$31,0,1-MIN(60,COLUMN()-29),1,MIN(60,COLUMN()-29)),OFFSET(AY449,0,-MIN(60,COLUMN()-29),1,MIN(60,COLUMN()-29))),0)</f>
        <v>0</v>
      </c>
      <c r="AZ450" s="237" t="n">
        <f aca="true">IFERROR(SUMPRODUCT(OFFSET($BJ$31,0,1-MIN(60,COLUMN()-29),1,MIN(60,COLUMN()-29)),OFFSET(AZ449,0,-MIN(60,COLUMN()-29),1,MIN(60,COLUMN()-29))),0)</f>
        <v>0</v>
      </c>
      <c r="BA450" s="237" t="n">
        <f aca="true">IFERROR(SUMPRODUCT(OFFSET($BJ$31,0,1-MIN(60,COLUMN()-29),1,MIN(60,COLUMN()-29)),OFFSET(BA449,0,-MIN(60,COLUMN()-29),1,MIN(60,COLUMN()-29))),0)</f>
        <v>0</v>
      </c>
      <c r="BB450" s="237" t="n">
        <f aca="true">IFERROR(SUMPRODUCT(OFFSET($BJ$31,0,1-MIN(60,COLUMN()-29),1,MIN(60,COLUMN()-29)),OFFSET(BB449,0,-MIN(60,COLUMN()-29),1,MIN(60,COLUMN()-29))),0)</f>
        <v>0</v>
      </c>
      <c r="BC450" s="237" t="n">
        <f aca="true">IFERROR(SUMPRODUCT(OFFSET($BJ$31,0,1-MIN(60,COLUMN()-29),1,MIN(60,COLUMN()-29)),OFFSET(BC449,0,-MIN(60,COLUMN()-29),1,MIN(60,COLUMN()-29))),0)</f>
        <v>0</v>
      </c>
      <c r="BD450" s="237" t="n">
        <f aca="true">IFERROR(SUMPRODUCT(OFFSET($BJ$31,0,1-MIN(60,COLUMN()-29),1,MIN(60,COLUMN()-29)),OFFSET(BD449,0,-MIN(60,COLUMN()-29),1,MIN(60,COLUMN()-29))),0)</f>
        <v>0</v>
      </c>
      <c r="BE450" s="237" t="n">
        <f aca="true">IFERROR(SUMPRODUCT(OFFSET($BJ$31,0,1-MIN(60,COLUMN()-29),1,MIN(60,COLUMN()-29)),OFFSET(BE449,0,-MIN(60,COLUMN()-29),1,MIN(60,COLUMN()-29))),0)</f>
        <v>0</v>
      </c>
      <c r="BF450" s="237" t="n">
        <f aca="true">IFERROR(SUMPRODUCT(OFFSET($BJ$31,0,1-MIN(60,COLUMN()-29),1,MIN(60,COLUMN()-29)),OFFSET(BF449,0,-MIN(60,COLUMN()-29),1,MIN(60,COLUMN()-29))),0)</f>
        <v>0</v>
      </c>
      <c r="BG450" s="237" t="n">
        <f aca="true">IFERROR(SUMPRODUCT(OFFSET($BJ$31,0,1-MIN(60,COLUMN()-29),1,MIN(60,COLUMN()-29)),OFFSET(BG449,0,-MIN(60,COLUMN()-29),1,MIN(60,COLUMN()-29))),0)</f>
        <v>0</v>
      </c>
      <c r="BH450" s="237" t="n">
        <f aca="true">IFERROR(SUMPRODUCT(OFFSET($BJ$31,0,1-MIN(60,COLUMN()-29),1,MIN(60,COLUMN()-29)),OFFSET(BH449,0,-MIN(60,COLUMN()-29),1,MIN(60,COLUMN()-29))),0)</f>
        <v>0</v>
      </c>
      <c r="BI450" s="237" t="n">
        <f aca="true">IFERROR(SUMPRODUCT(OFFSET($BJ$31,0,1-MIN(60,COLUMN()-29),1,MIN(60,COLUMN()-29)),OFFSET(BI449,0,-MIN(60,COLUMN()-29),1,MIN(60,COLUMN()-29))),0)</f>
        <v>0</v>
      </c>
      <c r="BJ450" s="237" t="n">
        <f aca="true">IFERROR(SUMPRODUCT(OFFSET($BJ$31,0,1-MIN(60,COLUMN()-29),1,MIN(60,COLUMN()-29)),OFFSET(BJ449,0,-MIN(60,COLUMN()-29),1,MIN(60,COLUMN()-29))),0)</f>
        <v>0</v>
      </c>
      <c r="BK450" s="237" t="n">
        <f aca="true">IFERROR(SUMPRODUCT(OFFSET($BJ$31,0,1-MIN(60,COLUMN()-29),1,MIN(60,COLUMN()-29)),OFFSET(BK449,0,-MIN(60,COLUMN()-29),1,MIN(60,COLUMN()-29))),0)</f>
        <v>0</v>
      </c>
      <c r="BL450" s="237" t="n">
        <f aca="true">IFERROR(SUMPRODUCT(OFFSET($BJ$31,0,1-MIN(60,COLUMN()-29),1,MIN(60,COLUMN()-29)),OFFSET(BL449,0,-MIN(60,COLUMN()-29),1,MIN(60,COLUMN()-29))),0)</f>
        <v>0</v>
      </c>
      <c r="BM450" s="237" t="n">
        <f aca="true">IFERROR(SUMPRODUCT(OFFSET($BJ$31,0,1-MIN(60,COLUMN()-29),1,MIN(60,COLUMN()-29)),OFFSET(BM449,0,-MIN(60,COLUMN()-29),1,MIN(60,COLUMN()-29))),0)</f>
        <v>0</v>
      </c>
      <c r="BN450" s="237" t="n">
        <f aca="true">IFERROR(SUMPRODUCT(OFFSET($BJ$31,0,1-MIN(60,COLUMN()-29),1,MIN(60,COLUMN()-29)),OFFSET(BN449,0,-MIN(60,COLUMN()-29),1,MIN(60,COLUMN()-29))),0)</f>
        <v>0</v>
      </c>
      <c r="BO450" s="237" t="n">
        <f aca="true">IFERROR(SUMPRODUCT(OFFSET($BJ$31,0,1-MIN(60,COLUMN()-29),1,MIN(60,COLUMN()-29)),OFFSET(BO449,0,-MIN(60,COLUMN()-29),1,MIN(60,COLUMN()-29))),0)</f>
        <v>0</v>
      </c>
      <c r="BP450" s="237" t="n">
        <f aca="true">IFERROR(SUMPRODUCT(OFFSET($BJ$31,0,1-MIN(60,COLUMN()-29),1,MIN(60,COLUMN()-29)),OFFSET(BP449,0,-MIN(60,COLUMN()-29),1,MIN(60,COLUMN()-29))),0)</f>
        <v>0</v>
      </c>
      <c r="BQ450" s="237" t="n">
        <f aca="true">IFERROR(SUMPRODUCT(OFFSET($BJ$31,0,1-MIN(60,COLUMN()-29),1,MIN(60,COLUMN()-29)),OFFSET(BQ449,0,-MIN(60,COLUMN()-29),1,MIN(60,COLUMN()-29))),0)</f>
        <v>0</v>
      </c>
      <c r="BR450" s="237" t="n">
        <f aca="true">IFERROR(SUMPRODUCT(OFFSET($BJ$31,0,1-MIN(60,COLUMN()-29),1,MIN(60,COLUMN()-29)),OFFSET(BR449,0,-MIN(60,COLUMN()-29),1,MIN(60,COLUMN()-29))),0)</f>
        <v>0</v>
      </c>
      <c r="BS450" s="237" t="n">
        <f aca="true">IFERROR(SUMPRODUCT(OFFSET($BJ$31,0,1-MIN(60,COLUMN()-29),1,MIN(60,COLUMN()-29)),OFFSET(BS449,0,-MIN(60,COLUMN()-29),1,MIN(60,COLUMN()-29))),0)</f>
        <v>0</v>
      </c>
      <c r="BT450" s="237" t="n">
        <f aca="true">IFERROR(SUMPRODUCT(OFFSET($BJ$31,0,1-MIN(60,COLUMN()-29),1,MIN(60,COLUMN()-29)),OFFSET(BT449,0,-MIN(60,COLUMN()-29),1,MIN(60,COLUMN()-29))),0)</f>
        <v>0</v>
      </c>
      <c r="BU450" s="237" t="n">
        <f aca="true">IFERROR(SUMPRODUCT(OFFSET($BJ$31,0,1-MIN(60,COLUMN()-29),1,MIN(60,COLUMN()-29)),OFFSET(BU449,0,-MIN(60,COLUMN()-29),1,MIN(60,COLUMN()-29))),0)</f>
        <v>0</v>
      </c>
      <c r="BV450" s="237" t="n">
        <f aca="true">IFERROR(SUMPRODUCT(OFFSET($BJ$31,0,1-MIN(60,COLUMN()-29),1,MIN(60,COLUMN()-29)),OFFSET(BV449,0,-MIN(60,COLUMN()-29),1,MIN(60,COLUMN()-29))),0)</f>
        <v>0</v>
      </c>
      <c r="BW450" s="237" t="n">
        <f aca="true">IFERROR(SUMPRODUCT(OFFSET($BJ$31,0,1-MIN(60,COLUMN()-29),1,MIN(60,COLUMN()-29)),OFFSET(BW449,0,-MIN(60,COLUMN()-29),1,MIN(60,COLUMN()-29))),0)</f>
        <v>0</v>
      </c>
      <c r="BX450" s="237" t="n">
        <f aca="true">IFERROR(SUMPRODUCT(OFFSET($BJ$31,0,1-MIN(60,COLUMN()-29),1,MIN(60,COLUMN()-29)),OFFSET(BX449,0,-MIN(60,COLUMN()-29),1,MIN(60,COLUMN()-29))),0)</f>
        <v>0</v>
      </c>
      <c r="BY450" s="237" t="n">
        <f aca="true">IFERROR(SUMPRODUCT(OFFSET($BJ$31,0,1-MIN(60,COLUMN()-29),1,MIN(60,COLUMN()-29)),OFFSET(BY449,0,-MIN(60,COLUMN()-29),1,MIN(60,COLUMN()-29))),0)</f>
        <v>0</v>
      </c>
      <c r="BZ450" s="237" t="n">
        <f aca="true">IFERROR(SUMPRODUCT(OFFSET($BJ$31,0,1-MIN(60,COLUMN()-29),1,MIN(60,COLUMN()-29)),OFFSET(BZ449,0,-MIN(60,COLUMN()-29),1,MIN(60,COLUMN()-29))),0)</f>
        <v>0</v>
      </c>
      <c r="CA450" s="237" t="n">
        <f aca="true">IFERROR(SUMPRODUCT(OFFSET($BJ$31,0,1-MIN(60,COLUMN()-29),1,MIN(60,COLUMN()-29)),OFFSET(CA449,0,-MIN(60,COLUMN()-29),1,MIN(60,COLUMN()-29))),0)</f>
        <v>0</v>
      </c>
      <c r="CB450" s="237" t="n">
        <f aca="true">IFERROR(SUMPRODUCT(OFFSET($BJ$31,0,1-MIN(60,COLUMN()-29),1,MIN(60,COLUMN()-29)),OFFSET(CB449,0,-MIN(60,COLUMN()-29),1,MIN(60,COLUMN()-29))),0)</f>
        <v>0</v>
      </c>
      <c r="CC450" s="237" t="n">
        <f aca="true">IFERROR(SUMPRODUCT(OFFSET($BJ$31,0,1-MIN(60,COLUMN()-29),1,MIN(60,COLUMN()-29)),OFFSET(CC449,0,-MIN(60,COLUMN()-29),1,MIN(60,COLUMN()-29))),0)</f>
        <v>0</v>
      </c>
      <c r="CD450" s="237" t="n">
        <f aca="true">IFERROR(SUMPRODUCT(OFFSET($BJ$31,0,1-MIN(60,COLUMN()-29),1,MIN(60,COLUMN()-29)),OFFSET(CD449,0,-MIN(60,COLUMN()-29),1,MIN(60,COLUMN()-29))),0)</f>
        <v>0</v>
      </c>
      <c r="CE450" s="237" t="n">
        <f aca="true">IFERROR(SUMPRODUCT(OFFSET($BJ$31,0,1-MIN(60,COLUMN()-29),1,MIN(60,COLUMN()-29)),OFFSET(CE449,0,-MIN(60,COLUMN()-29),1,MIN(60,COLUMN()-29))),0)</f>
        <v>0</v>
      </c>
      <c r="CF450" s="237" t="n">
        <f aca="true">IFERROR(SUMPRODUCT(OFFSET($BJ$31,0,1-MIN(60,COLUMN()-29),1,MIN(60,COLUMN()-29)),OFFSET(CF449,0,-MIN(60,COLUMN()-29),1,MIN(60,COLUMN()-29))),0)</f>
        <v>0</v>
      </c>
      <c r="CG450" s="237" t="n">
        <f aca="true">IFERROR(SUMPRODUCT(OFFSET($BJ$31,0,1-MIN(60,COLUMN()-29),1,MIN(60,COLUMN()-29)),OFFSET(CG449,0,-MIN(60,COLUMN()-29),1,MIN(60,COLUMN()-29))),0)</f>
        <v>0</v>
      </c>
      <c r="CH450" s="237" t="n">
        <f aca="true">IFERROR(SUMPRODUCT(OFFSET($BJ$31,0,1-MIN(60,COLUMN()-29),1,MIN(60,COLUMN()-29)),OFFSET(CH449,0,-MIN(60,COLUMN()-29),1,MIN(60,COLUMN()-29))),0)</f>
        <v>0</v>
      </c>
      <c r="CI450" s="237" t="n">
        <f aca="true">IFERROR(SUMPRODUCT(OFFSET($BJ$31,0,1-MIN(60,COLUMN()-29),1,MIN(60,COLUMN()-29)),OFFSET(CI449,0,-MIN(60,COLUMN()-29),1,MIN(60,COLUMN()-29))),0)</f>
        <v>0</v>
      </c>
      <c r="CJ450" s="237" t="n">
        <f aca="true">IFERROR(SUMPRODUCT(OFFSET($BJ$31,0,1-MIN(60,COLUMN()-29),1,MIN(60,COLUMN()-29)),OFFSET(CJ449,0,-MIN(60,COLUMN()-29),1,MIN(60,COLUMN()-29))),0)</f>
        <v>0</v>
      </c>
      <c r="CK450" s="237" t="n">
        <f aca="true">IFERROR(SUMPRODUCT(OFFSET($BJ$31,0,1-MIN(60,COLUMN()-29),1,MIN(60,COLUMN()-29)),OFFSET(CK449,0,-MIN(60,COLUMN()-29),1,MIN(60,COLUMN()-29))),0)</f>
        <v>0</v>
      </c>
      <c r="CL450" s="237" t="n">
        <f aca="true">IFERROR(SUMPRODUCT(OFFSET($BJ$31,0,1-MIN(60,COLUMN()-29),1,MIN(60,COLUMN()-29)),OFFSET(CL449,0,-MIN(60,COLUMN()-29),1,MIN(60,COLUMN()-29))),0)</f>
        <v>0</v>
      </c>
      <c r="CM450" s="237" t="n">
        <f aca="true">IFERROR(SUMPRODUCT(OFFSET($BJ$31,0,1-MIN(60,COLUMN()-29),1,MIN(60,COLUMN()-29)),OFFSET(CM449,0,-MIN(60,COLUMN()-29),1,MIN(60,COLUMN()-29))),0)</f>
        <v>0</v>
      </c>
      <c r="CN450" s="237" t="n">
        <f aca="true">IFERROR(SUMPRODUCT(OFFSET($BJ$31,0,1-MIN(60,COLUMN()-29),1,MIN(60,COLUMN()-29)),OFFSET(CN449,0,-MIN(60,COLUMN()-29),1,MIN(60,COLUMN()-29))),0)</f>
        <v>0</v>
      </c>
      <c r="CO450" s="237" t="n">
        <f aca="true">IFERROR(SUMPRODUCT(OFFSET($BJ$31,0,1-MIN(60,COLUMN()-29),1,MIN(60,COLUMN()-29)),OFFSET(CO449,0,-MIN(60,COLUMN()-29),1,MIN(60,COLUMN()-29))),0)</f>
        <v>0</v>
      </c>
      <c r="CP450" s="237" t="n">
        <f aca="true">IFERROR(SUMPRODUCT(OFFSET($BJ$31,0,1-MIN(60,COLUMN()-29),1,MIN(60,COLUMN()-29)),OFFSET(CP449,0,-MIN(60,COLUMN()-29),1,MIN(60,COLUMN()-29))),0)</f>
        <v>0</v>
      </c>
      <c r="CQ450" s="237" t="n">
        <f aca="true">IFERROR(SUMPRODUCT(OFFSET($BJ$31,0,1-MIN(60,COLUMN()-29),1,MIN(60,COLUMN()-29)),OFFSET(CQ449,0,-MIN(60,COLUMN()-29),1,MIN(60,COLUMN()-29))),0)</f>
        <v>0</v>
      </c>
      <c r="CR450" s="237" t="n">
        <f aca="true">IFERROR(SUMPRODUCT(OFFSET($BJ$31,0,1-MIN(60,COLUMN()-29),1,MIN(60,COLUMN()-29)),OFFSET(CR449,0,-MIN(60,COLUMN()-29),1,MIN(60,COLUMN()-29))),0)</f>
        <v>0</v>
      </c>
      <c r="CS450" s="237" t="n">
        <f aca="true">IFERROR(SUMPRODUCT(OFFSET($BJ$31,0,1-MIN(60,COLUMN()-29),1,MIN(60,COLUMN()-29)),OFFSET(CS449,0,-MIN(60,COLUMN()-29),1,MIN(60,COLUMN()-29))),0)</f>
        <v>0</v>
      </c>
      <c r="CT450" s="237" t="n">
        <f aca="true">IFERROR(SUMPRODUCT(OFFSET($BJ$31,0,1-MIN(60,COLUMN()-29),1,MIN(60,COLUMN()-29)),OFFSET(CT449,0,-MIN(60,COLUMN()-29),1,MIN(60,COLUMN()-29))),0)</f>
        <v>0</v>
      </c>
      <c r="CU450" s="237" t="n">
        <f aca="true">IFERROR(SUMPRODUCT(OFFSET($BJ$31,0,1-MIN(60,COLUMN()-29),1,MIN(60,COLUMN()-29)),OFFSET(CU449,0,-MIN(60,COLUMN()-29),1,MIN(60,COLUMN()-29))),0)</f>
        <v>0</v>
      </c>
      <c r="CV450" s="237" t="n">
        <f aca="true">IFERROR(SUMPRODUCT(OFFSET($BJ$31,0,1-MIN(60,COLUMN()-29),1,MIN(60,COLUMN()-29)),OFFSET(CV449,0,-MIN(60,COLUMN()-29),1,MIN(60,COLUMN()-29))),0)</f>
        <v>0</v>
      </c>
      <c r="CW450" s="237" t="n">
        <f aca="true">IFERROR(SUMPRODUCT(OFFSET($BJ$31,0,1-MIN(60,COLUMN()-29),1,MIN(60,COLUMN()-29)),OFFSET(CW449,0,-MIN(60,COLUMN()-29),1,MIN(60,COLUMN()-29))),0)</f>
        <v>0</v>
      </c>
      <c r="CX450" s="237" t="n">
        <f aca="true">IFERROR(SUMPRODUCT(OFFSET($BJ$31,0,1-MIN(60,COLUMN()-29),1,MIN(60,COLUMN()-29)),OFFSET(CX449,0,-MIN(60,COLUMN()-29),1,MIN(60,COLUMN()-29))),0)</f>
        <v>0</v>
      </c>
      <c r="CY450" s="237" t="n">
        <f aca="true">IFERROR(SUMPRODUCT(OFFSET($BJ$31,0,1-MIN(60,COLUMN()-29),1,MIN(60,COLUMN()-29)),OFFSET(CY449,0,-MIN(60,COLUMN()-29),1,MIN(60,COLUMN()-29))),0)</f>
        <v>0</v>
      </c>
      <c r="CZ450" s="237" t="n">
        <f aca="true">IFERROR(SUMPRODUCT(OFFSET($BJ$31,0,1-MIN(60,COLUMN()-29),1,MIN(60,COLUMN()-29)),OFFSET(CZ449,0,-MIN(60,COLUMN()-29),1,MIN(60,COLUMN()-29))),0)</f>
        <v>0</v>
      </c>
      <c r="DA450" s="237" t="n">
        <f aca="true">IFERROR(SUMPRODUCT(OFFSET($BJ$31,0,1-MIN(60,COLUMN()-29),1,MIN(60,COLUMN()-29)),OFFSET(DA449,0,-MIN(60,COLUMN()-29),1,MIN(60,COLUMN()-29))),0)</f>
        <v>0</v>
      </c>
      <c r="DB450" s="237" t="n">
        <f aca="true">IFERROR(SUMPRODUCT(OFFSET($BJ$31,0,1-MIN(60,COLUMN()-29),1,MIN(60,COLUMN()-29)),OFFSET(DB449,0,-MIN(60,COLUMN()-29),1,MIN(60,COLUMN()-29))),0)</f>
        <v>0</v>
      </c>
      <c r="DC450" s="237" t="n">
        <f aca="true">IFERROR(SUMPRODUCT(OFFSET($BJ$31,0,1-MIN(60,COLUMN()-29),1,MIN(60,COLUMN()-29)),OFFSET(DC449,0,-MIN(60,COLUMN()-29),1,MIN(60,COLUMN()-29))),0)</f>
        <v>0</v>
      </c>
      <c r="DD450" s="237" t="n">
        <f aca="true">IFERROR(SUMPRODUCT(OFFSET($BJ$31,0,1-MIN(60,COLUMN()-29),1,MIN(60,COLUMN()-29)),OFFSET(DD449,0,-MIN(60,COLUMN()-29),1,MIN(60,COLUMN()-29))),0)</f>
        <v>0</v>
      </c>
      <c r="DE450" s="237" t="n">
        <f aca="true">IFERROR(SUMPRODUCT(OFFSET($BJ$31,0,1-MIN(60,COLUMN()-29),1,MIN(60,COLUMN()-29)),OFFSET(DE449,0,-MIN(60,COLUMN()-29),1,MIN(60,COLUMN()-29))),0)</f>
        <v>0</v>
      </c>
      <c r="DF450" s="237" t="n">
        <f aca="true">IFERROR(SUMPRODUCT(OFFSET($BJ$31,0,1-MIN(60,COLUMN()-29),1,MIN(60,COLUMN()-29)),OFFSET(DF449,0,-MIN(60,COLUMN()-29),1,MIN(60,COLUMN()-29))),0)</f>
        <v>0</v>
      </c>
      <c r="DG450" s="237" t="n">
        <f aca="true">IFERROR(SUMPRODUCT(OFFSET($BJ$31,0,1-MIN(60,COLUMN()-29),1,MIN(60,COLUMN()-29)),OFFSET(DG449,0,-MIN(60,COLUMN()-29),1,MIN(60,COLUMN()-29))),0)</f>
        <v>0</v>
      </c>
      <c r="DH450" s="237" t="n">
        <f aca="true">IFERROR(SUMPRODUCT(OFFSET($BJ$31,0,1-MIN(60,COLUMN()-29),1,MIN(60,COLUMN()-29)),OFFSET(DH449,0,-MIN(60,COLUMN()-29),1,MIN(60,COLUMN()-29))),0)</f>
        <v>0</v>
      </c>
      <c r="DI450" s="237" t="n">
        <f aca="true">IFERROR(SUMPRODUCT(OFFSET($BJ$31,0,1-MIN(60,COLUMN()-29),1,MIN(60,COLUMN()-29)),OFFSET(DI449,0,-MIN(60,COLUMN()-29),1,MIN(60,COLUMN()-29))),0)</f>
        <v>0</v>
      </c>
      <c r="DJ450" s="237" t="n">
        <f aca="true">IFERROR(SUMPRODUCT(OFFSET($BJ$31,0,1-MIN(60,COLUMN()-29),1,MIN(60,COLUMN()-29)),OFFSET(DJ449,0,-MIN(60,COLUMN()-29),1,MIN(60,COLUMN()-29))),0)</f>
        <v>0</v>
      </c>
      <c r="DK450" s="237" t="n">
        <f aca="true">IFERROR(SUMPRODUCT(OFFSET($BJ$31,0,1-MIN(60,COLUMN()-29),1,MIN(60,COLUMN()-29)),OFFSET(DK449,0,-MIN(60,COLUMN()-29),1,MIN(60,COLUMN()-29))),0)</f>
        <v>0</v>
      </c>
      <c r="DL450" s="237" t="n">
        <f aca="true">IFERROR(SUMPRODUCT(OFFSET($BJ$31,0,1-MIN(60,COLUMN()-29),1,MIN(60,COLUMN()-29)),OFFSET(DL449,0,-MIN(60,COLUMN()-29),1,MIN(60,COLUMN()-29))),0)</f>
        <v>0</v>
      </c>
      <c r="DM450" s="237" t="n">
        <f aca="true">IFERROR(SUMPRODUCT(OFFSET($BJ$31,0,1-MIN(60,COLUMN()-29),1,MIN(60,COLUMN()-29)),OFFSET(DM449,0,-MIN(60,COLUMN()-29),1,MIN(60,COLUMN()-29))),0)</f>
        <v>0</v>
      </c>
      <c r="DN450" s="237" t="n">
        <f aca="true">IFERROR(SUMPRODUCT(OFFSET($BJ$31,0,1-MIN(60,COLUMN()-29),1,MIN(60,COLUMN()-29)),OFFSET(DN449,0,-MIN(60,COLUMN()-29),1,MIN(60,COLUMN()-29))),0)</f>
        <v>0</v>
      </c>
      <c r="DO450" s="237" t="n">
        <f aca="true">IFERROR(SUMPRODUCT(OFFSET($BJ$31,0,1-MIN(60,COLUMN()-29),1,MIN(60,COLUMN()-29)),OFFSET(DO449,0,-MIN(60,COLUMN()-29),1,MIN(60,COLUMN()-29))),0)</f>
        <v>0</v>
      </c>
      <c r="DP450" s="237" t="n">
        <f aca="true">IFERROR(SUMPRODUCT(OFFSET($BJ$31,0,1-MIN(60,COLUMN()-29),1,MIN(60,COLUMN()-29)),OFFSET(DP449,0,-MIN(60,COLUMN()-29),1,MIN(60,COLUMN()-29))),0)</f>
        <v>0</v>
      </c>
      <c r="DQ450" s="237" t="n">
        <f aca="true">IFERROR(SUMPRODUCT(OFFSET($BJ$31,0,1-MIN(60,COLUMN()-29),1,MIN(60,COLUMN()-29)),OFFSET(DQ449,0,-MIN(60,COLUMN()-29),1,MIN(60,COLUMN()-29))),0)</f>
        <v>0</v>
      </c>
      <c r="DR450" s="237" t="n">
        <f aca="true">IFERROR(SUMPRODUCT(OFFSET($BJ$31,0,1-MIN(60,COLUMN()-29),1,MIN(60,COLUMN()-29)),OFFSET(DR449,0,-MIN(60,COLUMN()-29),1,MIN(60,COLUMN()-29))),0)</f>
        <v>0</v>
      </c>
      <c r="DS450" s="237" t="n">
        <f aca="true">IFERROR(SUMPRODUCT(OFFSET($BJ$31,0,1-MIN(60,COLUMN()-29),1,MIN(60,COLUMN()-29)),OFFSET(DS449,0,-MIN(60,COLUMN()-29),1,MIN(60,COLUMN()-29))),0)</f>
        <v>0</v>
      </c>
      <c r="DT450" s="237" t="n">
        <f aca="true">IFERROR(SUMPRODUCT(OFFSET($BJ$31,0,1-MIN(60,COLUMN()-29),1,MIN(60,COLUMN()-29)),OFFSET(DT449,0,-MIN(60,COLUMN()-29),1,MIN(60,COLUMN()-29))),0)</f>
        <v>0</v>
      </c>
      <c r="DU450" s="237" t="n">
        <f aca="true">IFERROR(SUMPRODUCT(OFFSET($BJ$31,0,1-MIN(60,COLUMN()-29),1,MIN(60,COLUMN()-29)),OFFSET(DU449,0,-MIN(60,COLUMN()-29),1,MIN(60,COLUMN()-29))),0)</f>
        <v>0</v>
      </c>
      <c r="DV450" s="237" t="n">
        <f aca="true">IFERROR(SUMPRODUCT(OFFSET($BJ$31,0,1-MIN(60,COLUMN()-29),1,MIN(60,COLUMN()-29)),OFFSET(DV449,0,-MIN(60,COLUMN()-29),1,MIN(60,COLUMN()-29))),0)</f>
        <v>0</v>
      </c>
      <c r="DW450" s="237" t="n">
        <f aca="true">IFERROR(SUMPRODUCT(OFFSET($BJ$31,0,1-MIN(60,COLUMN()-29),1,MIN(60,COLUMN()-29)),OFFSET(DW449,0,-MIN(60,COLUMN()-29),1,MIN(60,COLUMN()-29))),0)</f>
        <v>0</v>
      </c>
      <c r="DX450" s="237" t="n">
        <f aca="true">IFERROR(SUMPRODUCT(OFFSET($BJ$31,0,1-MIN(60,COLUMN()-29),1,MIN(60,COLUMN()-29)),OFFSET(DX449,0,-MIN(60,COLUMN()-29),1,MIN(60,COLUMN()-29))),0)</f>
        <v>0</v>
      </c>
      <c r="DY450" s="237" t="n">
        <f aca="true">IFERROR(SUMPRODUCT(OFFSET($BJ$31,0,1-MIN(60,COLUMN()-29),1,MIN(60,COLUMN()-29)),OFFSET(DY449,0,-MIN(60,COLUMN()-29),1,MIN(60,COLUMN()-29))),0)</f>
        <v>0</v>
      </c>
      <c r="DZ450" s="237" t="n">
        <f aca="true">IFERROR(SUMPRODUCT(OFFSET($BJ$31,0,1-MIN(60,COLUMN()-29),1,MIN(60,COLUMN()-29)),OFFSET(DZ449,0,-MIN(60,COLUMN()-29),1,MIN(60,COLUMN()-29))),0)</f>
        <v>0</v>
      </c>
      <c r="EA450" s="237" t="n">
        <f aca="true">IFERROR(SUMPRODUCT(OFFSET($BJ$31,0,1-MIN(60,COLUMN()-29),1,MIN(60,COLUMN()-29)),OFFSET(EA449,0,-MIN(60,COLUMN()-29),1,MIN(60,COLUMN()-29))),0)</f>
        <v>0</v>
      </c>
      <c r="EB450" s="237" t="n">
        <f aca="true">IFERROR(SUMPRODUCT(OFFSET($BJ$31,0,1-MIN(60,COLUMN()-29),1,MIN(60,COLUMN()-29)),OFFSET(EB449,0,-MIN(60,COLUMN()-29),1,MIN(60,COLUMN()-29))),0)</f>
        <v>0</v>
      </c>
      <c r="EC450" s="237" t="n">
        <f aca="true">IFERROR(SUMPRODUCT(OFFSET($BJ$31,0,1-MIN(60,COLUMN()-29),1,MIN(60,COLUMN()-29)),OFFSET(EC449,0,-MIN(60,COLUMN()-29),1,MIN(60,COLUMN()-29))),0)</f>
        <v>0</v>
      </c>
      <c r="ED450" s="237" t="n">
        <f aca="true">IFERROR(SUMPRODUCT(OFFSET($BJ$31,0,1-MIN(60,COLUMN()-29),1,MIN(60,COLUMN()-29)),OFFSET(ED449,0,-MIN(60,COLUMN()-29),1,MIN(60,COLUMN()-29))),0)</f>
        <v>0</v>
      </c>
      <c r="EE450" s="237" t="n">
        <f aca="true">IFERROR(SUMPRODUCT(OFFSET($BJ$31,0,1-MIN(60,COLUMN()-29),1,MIN(60,COLUMN()-29)),OFFSET(EE449,0,-MIN(60,COLUMN()-29),1,MIN(60,COLUMN()-29))),0)</f>
        <v>0</v>
      </c>
      <c r="EF450" s="237" t="n">
        <f aca="true">IFERROR(SUMPRODUCT(OFFSET($BJ$31,0,1-MIN(60,COLUMN()-29),1,MIN(60,COLUMN()-29)),OFFSET(EF449,0,-MIN(60,COLUMN()-29),1,MIN(60,COLUMN()-29))),0)</f>
        <v>0</v>
      </c>
      <c r="EG450" s="237" t="n">
        <f aca="true">IFERROR(SUMPRODUCT(OFFSET($BJ$31,0,1-MIN(60,COLUMN()-29),1,MIN(60,COLUMN()-29)),OFFSET(EG449,0,-MIN(60,COLUMN()-29),1,MIN(60,COLUMN()-29))),0)</f>
        <v>0</v>
      </c>
      <c r="EH450" s="237" t="n">
        <f aca="true">IFERROR(SUMPRODUCT(OFFSET($BJ$31,0,1-MIN(60,COLUMN()-29),1,MIN(60,COLUMN()-29)),OFFSET(EH449,0,-MIN(60,COLUMN()-29),1,MIN(60,COLUMN()-29))),0)</f>
        <v>3.04128</v>
      </c>
      <c r="EI450" s="237" t="n">
        <f aca="true">IFERROR(SUMPRODUCT(OFFSET($BJ$31,0,1-MIN(60,COLUMN()-29),1,MIN(60,COLUMN()-29)),OFFSET(EI449,0,-MIN(60,COLUMN()-29),1,MIN(60,COLUMN()-29))),0)</f>
        <v>2.958208</v>
      </c>
      <c r="EJ450" s="237" t="n">
        <f aca="true">IFERROR(SUMPRODUCT(OFFSET($BJ$31,0,1-MIN(60,COLUMN()-29),1,MIN(60,COLUMN()-29)),OFFSET(EJ449,0,-MIN(60,COLUMN()-29),1,MIN(60,COLUMN()-29))),0)</f>
        <v>4.8013504</v>
      </c>
      <c r="EK450" s="237" t="n">
        <f aca="true">IFERROR(SUMPRODUCT(OFFSET($BJ$31,0,1-MIN(60,COLUMN()-29),1,MIN(60,COLUMN()-29)),OFFSET(EK449,0,-MIN(60,COLUMN()-29),1,MIN(60,COLUMN()-29))),0)</f>
        <v>5.469376</v>
      </c>
      <c r="EL450" s="237" t="n">
        <f aca="true">IFERROR(SUMPRODUCT(OFFSET($BJ$31,0,1-MIN(60,COLUMN()-29),1,MIN(60,COLUMN()-29)),OFFSET(EL449,0,-MIN(60,COLUMN()-29),1,MIN(60,COLUMN()-29))),0)</f>
        <v>5.2405408</v>
      </c>
      <c r="EM450" s="237" t="n">
        <f aca="true">IFERROR(SUMPRODUCT(OFFSET($BJ$31,0,1-MIN(60,COLUMN()-29),1,MIN(60,COLUMN()-29)),OFFSET(EM449,0,-MIN(60,COLUMN()-29),1,MIN(60,COLUMN()-29))),0)</f>
        <v>5.401088</v>
      </c>
      <c r="EN450" s="237" t="n">
        <f aca="true">IFERROR(SUMPRODUCT(OFFSET($BJ$31,0,1-MIN(60,COLUMN()-29),1,MIN(60,COLUMN()-29)),OFFSET(EN449,0,-MIN(60,COLUMN()-29),1,MIN(60,COLUMN()-29))),0)</f>
        <v>6.4192832</v>
      </c>
      <c r="EO450" s="237" t="n">
        <f aca="true">IFERROR(SUMPRODUCT(OFFSET($BJ$31,0,1-MIN(60,COLUMN()-29),1,MIN(60,COLUMN()-29)),OFFSET(EO449,0,-MIN(60,COLUMN()-29),1,MIN(60,COLUMN()-29))),0)</f>
        <v>10.2196864</v>
      </c>
      <c r="EP450" s="237" t="n">
        <f aca="true">IFERROR(SUMPRODUCT(OFFSET($BJ$31,0,1-MIN(60,COLUMN()-29),1,MIN(60,COLUMN()-29)),OFFSET(EP449,0,-MIN(60,COLUMN()-29),1,MIN(60,COLUMN()-29))),0)</f>
        <v>10.5646464</v>
      </c>
      <c r="EQ450" s="237" t="n">
        <f aca="true">IFERROR(SUMPRODUCT(OFFSET($BJ$31,0,1-MIN(60,COLUMN()-29),1,MIN(60,COLUMN()-29)),OFFSET(EQ449,0,-MIN(60,COLUMN()-29),1,MIN(60,COLUMN()-29))),0)</f>
        <v>10.3854784</v>
      </c>
      <c r="ER450" s="237" t="n">
        <f aca="true">IFERROR(SUMPRODUCT(OFFSET($BJ$31,0,1-MIN(60,COLUMN()-29),1,MIN(60,COLUMN()-29)),OFFSET(ER449,0,-MIN(60,COLUMN()-29),1,MIN(60,COLUMN()-29))),0)</f>
        <v>9.4758752</v>
      </c>
      <c r="ES450" s="9" t="n">
        <f aca="true">IFERROR(SUMPRODUCT(OFFSET($BJ$31,0,1-MIN(60,COLUMN()-29),1,MIN(60,COLUMN()-29)),OFFSET(ES449,0,-MIN(60,COLUMN()-29),1,MIN(60,COLUMN()-29))),0)</f>
        <v>12.7666176</v>
      </c>
      <c r="ET450" s="9" t="n">
        <f aca="true">IFERROR(SUMPRODUCT(OFFSET($BJ$31,0,1-MIN(60,COLUMN()-29),1,MIN(60,COLUMN()-29)),OFFSET(ET449,0,-MIN(60,COLUMN()-29),1,MIN(60,COLUMN()-29))),0)</f>
        <v>14.7799168</v>
      </c>
      <c r="EU450" s="9" t="n">
        <f aca="true">IFERROR(SUMPRODUCT(OFFSET($BJ$31,0,1-MIN(60,COLUMN()-29),1,MIN(60,COLUMN()-29)),OFFSET(EU449,0,-MIN(60,COLUMN()-29),1,MIN(60,COLUMN()-29))),0)</f>
        <v>14.3821568</v>
      </c>
      <c r="EV450" s="9" t="n">
        <f aca="true">IFERROR(SUMPRODUCT(OFFSET($BJ$31,0,1-MIN(60,COLUMN()-29),1,MIN(60,COLUMN()-29)),OFFSET(EV449,0,-MIN(60,COLUMN()-29),1,MIN(60,COLUMN()-29))),0)</f>
        <v>18.100896</v>
      </c>
      <c r="EW450" s="9" t="n">
        <f aca="true">IFERROR(SUMPRODUCT(OFFSET($BJ$31,0,1-MIN(60,COLUMN()-29),1,MIN(60,COLUMN()-29)),OFFSET(EW449,0,-MIN(60,COLUMN()-29),1,MIN(60,COLUMN()-29))),0)</f>
        <v>20.765536</v>
      </c>
      <c r="EX450" s="9" t="n">
        <f aca="true">IFERROR(SUMPRODUCT(OFFSET($BJ$31,0,1-MIN(60,COLUMN()-29),1,MIN(60,COLUMN()-29)),OFFSET(EX449,0,-MIN(60,COLUMN()-29),1,MIN(60,COLUMN()-29))),0)</f>
        <v>21.0115488</v>
      </c>
      <c r="EY450" s="9" t="n">
        <f aca="true">IFERROR(SUMPRODUCT(OFFSET($BJ$31,0,1-MIN(60,COLUMN()-29),1,MIN(60,COLUMN()-29)),OFFSET(EY449,0,-MIN(60,COLUMN()-29),1,MIN(60,COLUMN()-29))),0)</f>
        <v>21.38904944</v>
      </c>
      <c r="EZ450" s="9" t="n">
        <f aca="true">IFERROR(SUMPRODUCT(OFFSET($BJ$31,0,1-MIN(60,COLUMN()-29),1,MIN(60,COLUMN()-29)),OFFSET(EZ449,0,-MIN(60,COLUMN()-29),1,MIN(60,COLUMN()-29))),0)</f>
        <v>23.87764016</v>
      </c>
      <c r="FA450" s="9" t="n">
        <f aca="true">IFERROR(SUMPRODUCT(OFFSET($BJ$31,0,1-MIN(60,COLUMN()-29),1,MIN(60,COLUMN()-29)),OFFSET(FA449,0,-MIN(60,COLUMN()-29),1,MIN(60,COLUMN()-29))),0)</f>
        <v>32.5875308</v>
      </c>
      <c r="FB450" s="9" t="n">
        <f aca="true">IFERROR(SUMPRODUCT(OFFSET($BJ$31,0,1-MIN(60,COLUMN()-29),1,MIN(60,COLUMN()-29)),OFFSET(FB449,0,-MIN(60,COLUMN()-29),1,MIN(60,COLUMN()-29))),0)</f>
        <v>32.2752628</v>
      </c>
      <c r="FC450" s="9" t="n">
        <f aca="true">IFERROR(SUMPRODUCT(OFFSET($BJ$31,0,1-MIN(60,COLUMN()-29),1,MIN(60,COLUMN()-29)),OFFSET(FC449,0,-MIN(60,COLUMN()-29),1,MIN(60,COLUMN()-29))),0)</f>
        <v>31.90113608</v>
      </c>
      <c r="FD450" s="9" t="n">
        <f aca="true">IFERROR(SUMPRODUCT(OFFSET($BJ$31,0,1-MIN(60,COLUMN()-29),1,MIN(60,COLUMN()-29)),OFFSET(FD449,0,-MIN(60,COLUMN()-29),1,MIN(60,COLUMN()-29))),0)</f>
        <v>30.23512184</v>
      </c>
      <c r="FE450" s="9" t="n">
        <f aca="true">IFERROR(SUMPRODUCT(OFFSET($BJ$31,0,1-MIN(60,COLUMN()-29),1,MIN(60,COLUMN()-29)),OFFSET(FE449,0,-MIN(60,COLUMN()-29),1,MIN(60,COLUMN()-29))),0)</f>
        <v>36.81579616</v>
      </c>
      <c r="FF450" s="9" t="n">
        <f aca="true">IFERROR(SUMPRODUCT(OFFSET($BJ$31,0,1-MIN(60,COLUMN()-29),1,MIN(60,COLUMN()-29)),OFFSET(FF449,0,-MIN(60,COLUMN()-29),1,MIN(60,COLUMN()-29))),0)</f>
        <v>39.4944528</v>
      </c>
      <c r="FG450" s="9" t="n">
        <f aca="true">IFERROR(SUMPRODUCT(OFFSET($BJ$31,0,1-MIN(60,COLUMN()-29),1,MIN(60,COLUMN()-29)),OFFSET(FG449,0,-MIN(60,COLUMN()-29),1,MIN(60,COLUMN()-29))),0)</f>
        <v>38.94098208</v>
      </c>
      <c r="FH450" s="9" t="n">
        <f aca="true">IFERROR(SUMPRODUCT(OFFSET($BJ$31,0,1-MIN(60,COLUMN()-29),1,MIN(60,COLUMN()-29)),OFFSET(FH449,0,-MIN(60,COLUMN()-29),1,MIN(60,COLUMN()-29))),0)</f>
        <v>45.9856848</v>
      </c>
      <c r="FI450" s="9" t="n">
        <f aca="true">IFERROR(SUMPRODUCT(OFFSET($BJ$31,0,1-MIN(60,COLUMN()-29),1,MIN(60,COLUMN()-29)),OFFSET(FI449,0,-MIN(60,COLUMN()-29),1,MIN(60,COLUMN()-29))),0)</f>
        <v>48.26431104</v>
      </c>
      <c r="FJ450" s="9" t="n">
        <f aca="true">IFERROR(SUMPRODUCT(OFFSET($BJ$31,0,1-MIN(60,COLUMN()-29),1,MIN(60,COLUMN()-29)),OFFSET(FJ449,0,-MIN(60,COLUMN()-29),1,MIN(60,COLUMN()-29))),0)</f>
        <v>48.57992832</v>
      </c>
      <c r="FK450" s="9" t="n">
        <f aca="true">IFERROR(SUMPRODUCT(OFFSET($BJ$31,0,1-MIN(60,COLUMN()-29),1,MIN(60,COLUMN()-29)),OFFSET(FK449,0,-MIN(60,COLUMN()-29),1,MIN(60,COLUMN()-29))),0)</f>
        <v>48.50325216</v>
      </c>
      <c r="FL450" s="9" t="n">
        <f aca="true">IFERROR(SUMPRODUCT(OFFSET($BJ$31,0,1-MIN(60,COLUMN()-29),1,MIN(60,COLUMN()-29)),OFFSET(FL449,0,-MIN(60,COLUMN()-29),1,MIN(60,COLUMN()-29))),0)</f>
        <v>52.29933984</v>
      </c>
      <c r="FM450" s="9" t="n">
        <f aca="true">IFERROR(SUMPRODUCT(OFFSET($BJ$31,0,1-MIN(60,COLUMN()-29),1,MIN(60,COLUMN()-29)),OFFSET(FM449,0,-MIN(60,COLUMN()-29),1,MIN(60,COLUMN()-29))),0)</f>
        <v>64.32702672</v>
      </c>
      <c r="FN450" s="9" t="n">
        <f aca="true">IFERROR(SUMPRODUCT(OFFSET($BJ$31,0,1-MIN(60,COLUMN()-29),1,MIN(60,COLUMN()-29)),OFFSET(FN449,0,-MIN(60,COLUMN()-29),1,MIN(60,COLUMN()-29))),0)</f>
        <v>64.47792912</v>
      </c>
      <c r="FO450" s="9" t="n">
        <f aca="true">IFERROR(SUMPRODUCT(OFFSET($BJ$31,0,1-MIN(60,COLUMN()-29),1,MIN(60,COLUMN()-29)),OFFSET(FO449,0,-MIN(60,COLUMN()-29),1,MIN(60,COLUMN()-29))),0)</f>
        <v>64.0108392</v>
      </c>
      <c r="FP450" s="9" t="n">
        <f aca="true">IFERROR(SUMPRODUCT(OFFSET($BJ$31,0,1-MIN(60,COLUMN()-29),1,MIN(60,COLUMN()-29)),OFFSET(FP449,0,-MIN(60,COLUMN()-29),1,MIN(60,COLUMN()-29))),0)</f>
        <v>62.28302256</v>
      </c>
    </row>
    <row r="451" customFormat="false" ht="15" hidden="false" customHeight="false" outlineLevel="2" collapsed="false">
      <c r="B451" s="47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237"/>
      <c r="AD451" s="237"/>
      <c r="AE451" s="237"/>
      <c r="AF451" s="237"/>
      <c r="AG451" s="237"/>
      <c r="AH451" s="237"/>
      <c r="AI451" s="237"/>
      <c r="AJ451" s="237"/>
      <c r="AK451" s="237"/>
      <c r="AL451" s="237"/>
      <c r="AM451" s="237"/>
      <c r="AN451" s="237"/>
      <c r="AO451" s="237"/>
      <c r="AP451" s="237"/>
      <c r="AQ451" s="237"/>
      <c r="AR451" s="237"/>
      <c r="AS451" s="237"/>
      <c r="AT451" s="237"/>
      <c r="AU451" s="237"/>
      <c r="AV451" s="237"/>
      <c r="AW451" s="237"/>
      <c r="AX451" s="237"/>
      <c r="AY451" s="237"/>
      <c r="AZ451" s="237"/>
      <c r="BA451" s="237"/>
      <c r="BB451" s="237"/>
      <c r="BC451" s="237"/>
      <c r="BD451" s="237"/>
      <c r="BE451" s="237"/>
      <c r="BF451" s="237"/>
      <c r="BG451" s="237"/>
      <c r="BH451" s="237"/>
      <c r="BI451" s="237"/>
      <c r="BJ451" s="237"/>
      <c r="BK451" s="237"/>
      <c r="BL451" s="237"/>
      <c r="BM451" s="237"/>
      <c r="BN451" s="237"/>
      <c r="BO451" s="237"/>
      <c r="BP451" s="237"/>
      <c r="BQ451" s="237"/>
      <c r="BR451" s="237"/>
      <c r="BS451" s="237"/>
      <c r="BT451" s="237"/>
      <c r="BU451" s="237"/>
      <c r="BV451" s="237"/>
      <c r="BW451" s="237"/>
      <c r="BX451" s="237"/>
      <c r="BY451" s="237"/>
      <c r="BZ451" s="237"/>
      <c r="CA451" s="237"/>
      <c r="CB451" s="237"/>
      <c r="CC451" s="237"/>
      <c r="CD451" s="237"/>
      <c r="CE451" s="237"/>
      <c r="CF451" s="237"/>
      <c r="CG451" s="237"/>
      <c r="CH451" s="237"/>
      <c r="CI451" s="237"/>
      <c r="CJ451" s="237"/>
      <c r="CK451" s="237"/>
      <c r="CL451" s="237"/>
      <c r="CM451" s="237"/>
      <c r="CN451" s="237"/>
      <c r="CO451" s="237"/>
      <c r="CP451" s="237"/>
      <c r="CQ451" s="237"/>
      <c r="CR451" s="237"/>
      <c r="CS451" s="237"/>
      <c r="CT451" s="237"/>
      <c r="CU451" s="237"/>
      <c r="CV451" s="237"/>
      <c r="CW451" s="237"/>
      <c r="CX451" s="237"/>
      <c r="CY451" s="237"/>
      <c r="CZ451" s="237"/>
      <c r="DA451" s="237"/>
      <c r="DB451" s="237"/>
      <c r="DC451" s="237"/>
      <c r="DD451" s="237"/>
      <c r="DE451" s="237"/>
      <c r="DF451" s="237"/>
      <c r="DG451" s="237"/>
      <c r="DH451" s="237"/>
      <c r="DI451" s="237"/>
      <c r="DJ451" s="237"/>
      <c r="DK451" s="237"/>
      <c r="DL451" s="237"/>
      <c r="DM451" s="237"/>
      <c r="DN451" s="237"/>
      <c r="DO451" s="237"/>
      <c r="DP451" s="237"/>
      <c r="DQ451" s="237"/>
      <c r="DR451" s="237"/>
      <c r="DS451" s="237"/>
      <c r="DT451" s="237"/>
      <c r="DU451" s="237"/>
      <c r="DV451" s="237"/>
      <c r="DW451" s="237"/>
      <c r="DX451" s="237"/>
      <c r="DY451" s="237"/>
      <c r="DZ451" s="237"/>
      <c r="EA451" s="237"/>
      <c r="EB451" s="237"/>
      <c r="EC451" s="237"/>
      <c r="ED451" s="237"/>
      <c r="EE451" s="237"/>
      <c r="EF451" s="237"/>
      <c r="EG451" s="237"/>
      <c r="EH451" s="237"/>
      <c r="EI451" s="237"/>
      <c r="EJ451" s="237"/>
      <c r="EK451" s="237"/>
      <c r="EL451" s="237"/>
      <c r="EM451" s="237"/>
      <c r="EN451" s="237"/>
      <c r="EO451" s="237"/>
      <c r="EP451" s="237"/>
      <c r="EQ451" s="237"/>
      <c r="ER451" s="237"/>
      <c r="ES451" s="9"/>
      <c r="ET451" s="9"/>
      <c r="EU451" s="9"/>
      <c r="EV451" s="9"/>
      <c r="EW451" s="9"/>
      <c r="EX451" s="9"/>
      <c r="EY451" s="9"/>
      <c r="EZ451" s="9"/>
      <c r="FA451" s="9"/>
      <c r="FB451" s="9"/>
      <c r="FC451" s="9"/>
      <c r="FD451" s="9"/>
      <c r="FE451" s="9"/>
      <c r="FF451" s="9"/>
      <c r="FG451" s="9"/>
      <c r="FH451" s="9"/>
      <c r="FI451" s="9"/>
      <c r="FJ451" s="9"/>
      <c r="FK451" s="9"/>
      <c r="FL451" s="9"/>
      <c r="FM451" s="9"/>
      <c r="FN451" s="9"/>
      <c r="FO451" s="9"/>
      <c r="FP451" s="9"/>
    </row>
    <row r="452" customFormat="false" ht="15" hidden="false" customHeight="false" outlineLevel="2" collapsed="false">
      <c r="B452" s="47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237"/>
      <c r="AD452" s="237"/>
      <c r="AE452" s="237"/>
      <c r="AF452" s="237"/>
      <c r="AG452" s="237"/>
      <c r="AH452" s="237"/>
      <c r="AI452" s="237"/>
      <c r="AJ452" s="237"/>
      <c r="AK452" s="237"/>
      <c r="AL452" s="237"/>
      <c r="AM452" s="237"/>
      <c r="AN452" s="237"/>
      <c r="AO452" s="237"/>
      <c r="AP452" s="237"/>
      <c r="AQ452" s="237"/>
      <c r="AR452" s="237"/>
      <c r="AS452" s="237"/>
      <c r="AT452" s="237"/>
      <c r="AU452" s="237"/>
      <c r="AV452" s="237"/>
      <c r="AW452" s="237"/>
      <c r="AX452" s="237"/>
      <c r="AY452" s="237"/>
      <c r="AZ452" s="237"/>
      <c r="BA452" s="237"/>
      <c r="BB452" s="237"/>
      <c r="BC452" s="237"/>
      <c r="BD452" s="237"/>
      <c r="BE452" s="237"/>
      <c r="BF452" s="237"/>
      <c r="BG452" s="237"/>
      <c r="BH452" s="237"/>
      <c r="BI452" s="237"/>
      <c r="BJ452" s="237"/>
      <c r="BK452" s="237"/>
      <c r="BL452" s="237"/>
      <c r="BM452" s="237"/>
      <c r="BN452" s="237"/>
      <c r="BO452" s="237"/>
      <c r="BP452" s="237"/>
      <c r="BQ452" s="237"/>
      <c r="BR452" s="237"/>
      <c r="BS452" s="237"/>
      <c r="BT452" s="237"/>
      <c r="BU452" s="237"/>
      <c r="BV452" s="237"/>
      <c r="BW452" s="237"/>
      <c r="BX452" s="237"/>
      <c r="BY452" s="237"/>
      <c r="BZ452" s="237"/>
      <c r="CA452" s="237"/>
      <c r="CB452" s="237"/>
      <c r="CC452" s="237"/>
      <c r="CD452" s="237"/>
      <c r="CE452" s="237"/>
      <c r="CF452" s="237"/>
      <c r="CG452" s="237"/>
      <c r="CH452" s="237"/>
      <c r="CI452" s="237"/>
      <c r="CJ452" s="237"/>
      <c r="CK452" s="237"/>
      <c r="CL452" s="237"/>
      <c r="CM452" s="237"/>
      <c r="CN452" s="237"/>
      <c r="CO452" s="237"/>
      <c r="CP452" s="237"/>
      <c r="CQ452" s="237"/>
      <c r="CR452" s="237"/>
      <c r="CS452" s="237"/>
      <c r="CT452" s="237"/>
      <c r="CU452" s="237"/>
      <c r="CV452" s="237"/>
      <c r="CW452" s="237"/>
      <c r="CX452" s="237"/>
      <c r="CY452" s="237"/>
      <c r="CZ452" s="237"/>
      <c r="DA452" s="237"/>
      <c r="DB452" s="237"/>
      <c r="DC452" s="237"/>
      <c r="DD452" s="237"/>
      <c r="DE452" s="237"/>
      <c r="DF452" s="237"/>
      <c r="DG452" s="237"/>
      <c r="DH452" s="237"/>
      <c r="DI452" s="237"/>
      <c r="DJ452" s="237"/>
      <c r="DK452" s="237"/>
      <c r="DL452" s="237"/>
      <c r="DM452" s="237"/>
      <c r="DN452" s="237"/>
      <c r="DO452" s="237"/>
      <c r="DP452" s="237"/>
      <c r="DQ452" s="237"/>
      <c r="DR452" s="237"/>
      <c r="DS452" s="237"/>
      <c r="DT452" s="237"/>
      <c r="DU452" s="237"/>
      <c r="DV452" s="237"/>
      <c r="DW452" s="237"/>
      <c r="DX452" s="237"/>
      <c r="DY452" s="237"/>
      <c r="DZ452" s="237"/>
      <c r="EA452" s="237"/>
      <c r="EB452" s="237"/>
      <c r="EC452" s="237"/>
      <c r="ED452" s="237"/>
      <c r="EE452" s="237"/>
      <c r="EF452" s="237"/>
      <c r="EG452" s="237"/>
      <c r="EH452" s="237"/>
      <c r="EI452" s="237"/>
      <c r="EJ452" s="237"/>
      <c r="EK452" s="237"/>
      <c r="EL452" s="237"/>
      <c r="EM452" s="237"/>
      <c r="EN452" s="237"/>
      <c r="EO452" s="237"/>
      <c r="EP452" s="237"/>
      <c r="EQ452" s="237"/>
      <c r="ER452" s="237"/>
      <c r="ES452" s="9"/>
      <c r="ET452" s="9"/>
      <c r="EU452" s="9"/>
      <c r="EV452" s="9"/>
      <c r="EW452" s="9"/>
      <c r="EX452" s="9"/>
      <c r="EY452" s="9"/>
      <c r="EZ452" s="9"/>
      <c r="FA452" s="9"/>
      <c r="FB452" s="9"/>
      <c r="FC452" s="9"/>
      <c r="FD452" s="9"/>
      <c r="FE452" s="9"/>
      <c r="FF452" s="9"/>
      <c r="FG452" s="9"/>
      <c r="FH452" s="9"/>
      <c r="FI452" s="9"/>
      <c r="FJ452" s="9"/>
      <c r="FK452" s="9"/>
      <c r="FL452" s="9"/>
      <c r="FM452" s="9"/>
      <c r="FN452" s="9"/>
      <c r="FO452" s="9"/>
      <c r="FP452" s="9"/>
    </row>
    <row r="453" customFormat="false" ht="15" hidden="false" customHeight="false" outlineLevel="2" collapsed="false">
      <c r="B453" s="47" t="s">
        <v>918</v>
      </c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237"/>
      <c r="AD453" s="237"/>
      <c r="AE453" s="237"/>
      <c r="AF453" s="237"/>
      <c r="AG453" s="237"/>
      <c r="AH453" s="237"/>
      <c r="AI453" s="237"/>
      <c r="AJ453" s="237"/>
      <c r="AK453" s="237"/>
      <c r="AL453" s="237"/>
      <c r="AM453" s="237"/>
      <c r="AN453" s="237"/>
      <c r="AO453" s="237"/>
      <c r="AP453" s="237"/>
      <c r="AQ453" s="237"/>
      <c r="AR453" s="237"/>
      <c r="AS453" s="237"/>
      <c r="AT453" s="237"/>
      <c r="AU453" s="237"/>
      <c r="AV453" s="237"/>
      <c r="AW453" s="237"/>
      <c r="AX453" s="237"/>
      <c r="AY453" s="237"/>
      <c r="AZ453" s="237"/>
      <c r="BA453" s="237"/>
      <c r="BB453" s="237"/>
      <c r="BC453" s="237"/>
      <c r="BD453" s="237"/>
      <c r="BE453" s="237"/>
      <c r="BF453" s="237"/>
      <c r="BG453" s="237"/>
      <c r="BH453" s="237"/>
      <c r="BI453" s="237"/>
      <c r="BJ453" s="237"/>
      <c r="BK453" s="237"/>
      <c r="BL453" s="237"/>
      <c r="BM453" s="237"/>
      <c r="BN453" s="237"/>
      <c r="BO453" s="237"/>
      <c r="BP453" s="237"/>
      <c r="BQ453" s="237"/>
      <c r="BR453" s="237"/>
      <c r="BS453" s="237"/>
      <c r="BT453" s="237"/>
      <c r="BU453" s="237"/>
      <c r="BV453" s="237"/>
      <c r="BW453" s="237"/>
      <c r="BX453" s="237"/>
      <c r="BY453" s="237"/>
      <c r="BZ453" s="237"/>
      <c r="CA453" s="237"/>
      <c r="CB453" s="237"/>
      <c r="CC453" s="237"/>
      <c r="CD453" s="237"/>
      <c r="CE453" s="237"/>
      <c r="CF453" s="237"/>
      <c r="CG453" s="237"/>
      <c r="CH453" s="237"/>
      <c r="CI453" s="237"/>
      <c r="CJ453" s="237"/>
      <c r="CK453" s="237"/>
      <c r="CL453" s="237"/>
      <c r="CM453" s="237"/>
      <c r="CN453" s="237"/>
      <c r="CO453" s="237"/>
      <c r="CP453" s="237"/>
      <c r="CQ453" s="237"/>
      <c r="CR453" s="237"/>
      <c r="CS453" s="237"/>
      <c r="CT453" s="237"/>
      <c r="CU453" s="237"/>
      <c r="CV453" s="237"/>
      <c r="CW453" s="237"/>
      <c r="CX453" s="237"/>
      <c r="CY453" s="237"/>
      <c r="CZ453" s="237"/>
      <c r="DA453" s="237"/>
      <c r="DB453" s="237"/>
      <c r="DC453" s="237"/>
      <c r="DD453" s="237"/>
      <c r="DE453" s="237"/>
      <c r="DF453" s="237"/>
      <c r="DG453" s="237"/>
      <c r="DH453" s="237"/>
      <c r="DI453" s="237"/>
      <c r="DJ453" s="237"/>
      <c r="DK453" s="237"/>
      <c r="DL453" s="237"/>
      <c r="DM453" s="237"/>
      <c r="DN453" s="237"/>
      <c r="DO453" s="237"/>
      <c r="DP453" s="237"/>
      <c r="DQ453" s="237"/>
      <c r="DR453" s="237"/>
      <c r="DS453" s="237"/>
      <c r="DT453" s="237"/>
      <c r="DU453" s="237"/>
      <c r="DV453" s="237"/>
      <c r="DW453" s="237"/>
      <c r="DX453" s="237"/>
      <c r="DY453" s="237"/>
      <c r="DZ453" s="237"/>
      <c r="EA453" s="237"/>
      <c r="EB453" s="237"/>
      <c r="EC453" s="237"/>
      <c r="ED453" s="237"/>
      <c r="EE453" s="237"/>
      <c r="EF453" s="237"/>
      <c r="EG453" s="237"/>
      <c r="EH453" s="237"/>
      <c r="EI453" s="237"/>
      <c r="EJ453" s="237"/>
      <c r="EK453" s="237"/>
      <c r="EL453" s="237"/>
      <c r="EM453" s="237"/>
      <c r="EN453" s="237"/>
      <c r="EO453" s="237"/>
      <c r="EP453" s="237"/>
      <c r="EQ453" s="237"/>
      <c r="ER453" s="237"/>
      <c r="ES453" s="9"/>
      <c r="ET453" s="9"/>
      <c r="EU453" s="9"/>
      <c r="EV453" s="9"/>
      <c r="EW453" s="9"/>
      <c r="EX453" s="9"/>
      <c r="EY453" s="9"/>
      <c r="EZ453" s="9"/>
      <c r="FA453" s="9"/>
      <c r="FB453" s="9"/>
      <c r="FC453" s="9"/>
      <c r="FD453" s="9"/>
      <c r="FE453" s="9"/>
      <c r="FF453" s="9"/>
      <c r="FG453" s="9"/>
      <c r="FH453" s="9"/>
      <c r="FI453" s="9"/>
      <c r="FJ453" s="9"/>
      <c r="FK453" s="9"/>
      <c r="FL453" s="9"/>
      <c r="FM453" s="9"/>
      <c r="FN453" s="9"/>
      <c r="FO453" s="9"/>
      <c r="FP453" s="9"/>
    </row>
    <row r="454" customFormat="false" ht="15" hidden="false" customHeight="false" outlineLevel="2" collapsed="false">
      <c r="B454" s="47" t="s">
        <v>872</v>
      </c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237" t="n">
        <f aca="false">('⑫ Roll-out Plan'!G50-2025)*12+'⑫ Roll-out Plan'!F50</f>
        <v>110</v>
      </c>
      <c r="AD454" s="237"/>
      <c r="AE454" s="237"/>
      <c r="AF454" s="237"/>
      <c r="AG454" s="237"/>
      <c r="AH454" s="237"/>
      <c r="AI454" s="237"/>
      <c r="AJ454" s="237"/>
      <c r="AK454" s="237"/>
      <c r="AL454" s="237"/>
      <c r="AM454" s="237"/>
      <c r="AN454" s="237"/>
      <c r="AO454" s="237"/>
      <c r="AP454" s="237"/>
      <c r="AQ454" s="237"/>
      <c r="AR454" s="237"/>
      <c r="AS454" s="237"/>
      <c r="AT454" s="237"/>
      <c r="AU454" s="237"/>
      <c r="AV454" s="237"/>
      <c r="AW454" s="237"/>
      <c r="AX454" s="237"/>
      <c r="AY454" s="237"/>
      <c r="AZ454" s="237"/>
      <c r="BA454" s="237"/>
      <c r="BB454" s="237"/>
      <c r="BC454" s="237"/>
      <c r="BD454" s="237"/>
      <c r="BE454" s="237"/>
      <c r="BF454" s="237"/>
      <c r="BG454" s="237"/>
      <c r="BH454" s="237"/>
      <c r="BI454" s="237"/>
      <c r="BJ454" s="237"/>
      <c r="BK454" s="237"/>
      <c r="BL454" s="237"/>
      <c r="BM454" s="237"/>
      <c r="BN454" s="237"/>
      <c r="BO454" s="237"/>
      <c r="BP454" s="237"/>
      <c r="BQ454" s="237"/>
      <c r="BR454" s="237"/>
      <c r="BS454" s="237"/>
      <c r="BT454" s="237"/>
      <c r="BU454" s="237"/>
      <c r="BV454" s="237"/>
      <c r="BW454" s="237"/>
      <c r="BX454" s="237"/>
      <c r="BY454" s="237"/>
      <c r="BZ454" s="237"/>
      <c r="CA454" s="237"/>
      <c r="CB454" s="237"/>
      <c r="CC454" s="237"/>
      <c r="CD454" s="237"/>
      <c r="CE454" s="237"/>
      <c r="CF454" s="237"/>
      <c r="CG454" s="237"/>
      <c r="CH454" s="237"/>
      <c r="CI454" s="237"/>
      <c r="CJ454" s="237"/>
      <c r="CK454" s="237"/>
      <c r="CL454" s="237"/>
      <c r="CM454" s="237"/>
      <c r="CN454" s="237"/>
      <c r="CO454" s="237"/>
      <c r="CP454" s="237"/>
      <c r="CQ454" s="237"/>
      <c r="CR454" s="237"/>
      <c r="CS454" s="237"/>
      <c r="CT454" s="237"/>
      <c r="CU454" s="237"/>
      <c r="CV454" s="237"/>
      <c r="CW454" s="237"/>
      <c r="CX454" s="237"/>
      <c r="CY454" s="237"/>
      <c r="CZ454" s="237"/>
      <c r="DA454" s="237"/>
      <c r="DB454" s="237"/>
      <c r="DC454" s="237"/>
      <c r="DD454" s="237"/>
      <c r="DE454" s="237"/>
      <c r="DF454" s="237"/>
      <c r="DG454" s="237"/>
      <c r="DH454" s="237"/>
      <c r="DI454" s="237"/>
      <c r="DJ454" s="237"/>
      <c r="DK454" s="237"/>
      <c r="DL454" s="237"/>
      <c r="DM454" s="237"/>
      <c r="DN454" s="237"/>
      <c r="DO454" s="237"/>
      <c r="DP454" s="237"/>
      <c r="DQ454" s="237"/>
      <c r="DR454" s="237"/>
      <c r="DS454" s="237"/>
      <c r="DT454" s="237"/>
      <c r="DU454" s="237"/>
      <c r="DV454" s="237"/>
      <c r="DW454" s="237"/>
      <c r="DX454" s="237"/>
      <c r="DY454" s="237"/>
      <c r="DZ454" s="237"/>
      <c r="EA454" s="237"/>
      <c r="EB454" s="237"/>
      <c r="EC454" s="237"/>
      <c r="ED454" s="237"/>
      <c r="EE454" s="237"/>
      <c r="EF454" s="237"/>
      <c r="EG454" s="237"/>
      <c r="EH454" s="237"/>
      <c r="EI454" s="237"/>
      <c r="EJ454" s="237"/>
      <c r="EK454" s="237"/>
      <c r="EL454" s="237"/>
      <c r="EM454" s="237"/>
      <c r="EN454" s="237"/>
      <c r="EO454" s="237"/>
      <c r="EP454" s="237"/>
      <c r="EQ454" s="237"/>
      <c r="ER454" s="237"/>
      <c r="ES454" s="9"/>
      <c r="ET454" s="9"/>
      <c r="EU454" s="9"/>
      <c r="EV454" s="9"/>
      <c r="EW454" s="9"/>
      <c r="EX454" s="9"/>
      <c r="EY454" s="9"/>
      <c r="EZ454" s="9"/>
      <c r="FA454" s="9"/>
      <c r="FB454" s="9"/>
      <c r="FC454" s="9"/>
      <c r="FD454" s="9"/>
      <c r="FE454" s="9"/>
      <c r="FF454" s="9"/>
      <c r="FG454" s="9"/>
      <c r="FH454" s="9"/>
      <c r="FI454" s="9"/>
      <c r="FJ454" s="9"/>
      <c r="FK454" s="9"/>
      <c r="FL454" s="9"/>
      <c r="FM454" s="9"/>
      <c r="FN454" s="9"/>
      <c r="FO454" s="9"/>
      <c r="FP454" s="9"/>
    </row>
    <row r="455" customFormat="false" ht="15" hidden="false" customHeight="false" outlineLevel="2" collapsed="false">
      <c r="B455" s="47" t="s">
        <v>873</v>
      </c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237" t="n">
        <f aca="false">VLOOKUP("C",$B$14:$C$18,2,FALSE())</f>
        <v>110</v>
      </c>
      <c r="AD455" s="237"/>
      <c r="AE455" s="237"/>
      <c r="AF455" s="237"/>
      <c r="AG455" s="237"/>
      <c r="AH455" s="237"/>
      <c r="AI455" s="237"/>
      <c r="AJ455" s="237"/>
      <c r="AK455" s="237"/>
      <c r="AL455" s="237"/>
      <c r="AM455" s="237"/>
      <c r="AN455" s="237"/>
      <c r="AO455" s="237"/>
      <c r="AP455" s="237"/>
      <c r="AQ455" s="237"/>
      <c r="AR455" s="237"/>
      <c r="AS455" s="237"/>
      <c r="AT455" s="237"/>
      <c r="AU455" s="237"/>
      <c r="AV455" s="237"/>
      <c r="AW455" s="237"/>
      <c r="AX455" s="237"/>
      <c r="AY455" s="237"/>
      <c r="AZ455" s="237"/>
      <c r="BA455" s="237"/>
      <c r="BB455" s="237"/>
      <c r="BC455" s="237"/>
      <c r="BD455" s="237"/>
      <c r="BE455" s="237"/>
      <c r="BF455" s="237"/>
      <c r="BG455" s="237"/>
      <c r="BH455" s="237"/>
      <c r="BI455" s="237"/>
      <c r="BJ455" s="237"/>
      <c r="BK455" s="237"/>
      <c r="BL455" s="237"/>
      <c r="BM455" s="237"/>
      <c r="BN455" s="237"/>
      <c r="BO455" s="237"/>
      <c r="BP455" s="237"/>
      <c r="BQ455" s="237"/>
      <c r="BR455" s="237"/>
      <c r="BS455" s="237"/>
      <c r="BT455" s="237"/>
      <c r="BU455" s="237"/>
      <c r="BV455" s="237"/>
      <c r="BW455" s="237"/>
      <c r="BX455" s="237"/>
      <c r="BY455" s="237"/>
      <c r="BZ455" s="237"/>
      <c r="CA455" s="237"/>
      <c r="CB455" s="237"/>
      <c r="CC455" s="237"/>
      <c r="CD455" s="237"/>
      <c r="CE455" s="237"/>
      <c r="CF455" s="237"/>
      <c r="CG455" s="237"/>
      <c r="CH455" s="237"/>
      <c r="CI455" s="237"/>
      <c r="CJ455" s="237"/>
      <c r="CK455" s="237"/>
      <c r="CL455" s="237"/>
      <c r="CM455" s="237"/>
      <c r="CN455" s="237"/>
      <c r="CO455" s="237"/>
      <c r="CP455" s="237"/>
      <c r="CQ455" s="237"/>
      <c r="CR455" s="237"/>
      <c r="CS455" s="237"/>
      <c r="CT455" s="237"/>
      <c r="CU455" s="237"/>
      <c r="CV455" s="237"/>
      <c r="CW455" s="237"/>
      <c r="CX455" s="237"/>
      <c r="CY455" s="237"/>
      <c r="CZ455" s="237"/>
      <c r="DA455" s="237"/>
      <c r="DB455" s="237"/>
      <c r="DC455" s="237"/>
      <c r="DD455" s="237"/>
      <c r="DE455" s="237"/>
      <c r="DF455" s="237"/>
      <c r="DG455" s="237"/>
      <c r="DH455" s="237"/>
      <c r="DI455" s="237"/>
      <c r="DJ455" s="237"/>
      <c r="DK455" s="237"/>
      <c r="DL455" s="237"/>
      <c r="DM455" s="237"/>
      <c r="DN455" s="237"/>
      <c r="DO455" s="237"/>
      <c r="DP455" s="237"/>
      <c r="DQ455" s="237"/>
      <c r="DR455" s="237"/>
      <c r="DS455" s="237"/>
      <c r="DT455" s="237"/>
      <c r="DU455" s="237"/>
      <c r="DV455" s="237"/>
      <c r="DW455" s="237"/>
      <c r="DX455" s="237"/>
      <c r="DY455" s="237"/>
      <c r="DZ455" s="237"/>
      <c r="EA455" s="237"/>
      <c r="EB455" s="237"/>
      <c r="EC455" s="237"/>
      <c r="ED455" s="237"/>
      <c r="EE455" s="237"/>
      <c r="EF455" s="237"/>
      <c r="EG455" s="237"/>
      <c r="EH455" s="237"/>
      <c r="EI455" s="237"/>
      <c r="EJ455" s="237"/>
      <c r="EK455" s="237"/>
      <c r="EL455" s="237"/>
      <c r="EM455" s="237"/>
      <c r="EN455" s="237"/>
      <c r="EO455" s="237"/>
      <c r="EP455" s="237"/>
      <c r="EQ455" s="237"/>
      <c r="ER455" s="237"/>
      <c r="ES455" s="9"/>
      <c r="ET455" s="9"/>
      <c r="EU455" s="9"/>
      <c r="EV455" s="9"/>
      <c r="EW455" s="9"/>
      <c r="EX455" s="9"/>
      <c r="EY455" s="9"/>
      <c r="EZ455" s="9"/>
      <c r="FA455" s="9"/>
      <c r="FB455" s="9"/>
      <c r="FC455" s="9"/>
      <c r="FD455" s="9"/>
      <c r="FE455" s="9"/>
      <c r="FF455" s="9"/>
      <c r="FG455" s="9"/>
      <c r="FH455" s="9"/>
      <c r="FI455" s="9"/>
      <c r="FJ455" s="9"/>
      <c r="FK455" s="9"/>
      <c r="FL455" s="9"/>
      <c r="FM455" s="9"/>
      <c r="FN455" s="9"/>
      <c r="FO455" s="9"/>
      <c r="FP455" s="9"/>
    </row>
    <row r="456" customFormat="false" ht="15" hidden="false" customHeight="false" outlineLevel="2" collapsed="false">
      <c r="B456" s="47" t="s">
        <v>799</v>
      </c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237" t="n">
        <f aca="false">IF(AC$35&gt;=$AC$454,AC$35-$AC$454+1,0)</f>
        <v>0</v>
      </c>
      <c r="AD456" s="237" t="n">
        <f aca="false">IF(AD$35&gt;=$AC$454,AD$35-$AC$454+1,0)</f>
        <v>0</v>
      </c>
      <c r="AE456" s="237" t="n">
        <f aca="false">IF(AE$35&gt;=$AC$454,AE$35-$AC$454+1,0)</f>
        <v>0</v>
      </c>
      <c r="AF456" s="237" t="n">
        <f aca="false">IF(AF$35&gt;=$AC$454,AF$35-$AC$454+1,0)</f>
        <v>0</v>
      </c>
      <c r="AG456" s="237" t="n">
        <f aca="false">IF(AG$35&gt;=$AC$454,AG$35-$AC$454+1,0)</f>
        <v>0</v>
      </c>
      <c r="AH456" s="237" t="n">
        <f aca="false">IF(AH$35&gt;=$AC$454,AH$35-$AC$454+1,0)</f>
        <v>0</v>
      </c>
      <c r="AI456" s="237" t="n">
        <f aca="false">IF(AI$35&gt;=$AC$454,AI$35-$AC$454+1,0)</f>
        <v>0</v>
      </c>
      <c r="AJ456" s="237" t="n">
        <f aca="false">IF(AJ$35&gt;=$AC$454,AJ$35-$AC$454+1,0)</f>
        <v>0</v>
      </c>
      <c r="AK456" s="237" t="n">
        <f aca="false">IF(AK$35&gt;=$AC$454,AK$35-$AC$454+1,0)</f>
        <v>0</v>
      </c>
      <c r="AL456" s="237" t="n">
        <f aca="false">IF(AL$35&gt;=$AC$454,AL$35-$AC$454+1,0)</f>
        <v>0</v>
      </c>
      <c r="AM456" s="237" t="n">
        <f aca="false">IF(AM$35&gt;=$AC$454,AM$35-$AC$454+1,0)</f>
        <v>0</v>
      </c>
      <c r="AN456" s="237" t="n">
        <f aca="false">IF(AN$35&gt;=$AC$454,AN$35-$AC$454+1,0)</f>
        <v>0</v>
      </c>
      <c r="AO456" s="237" t="n">
        <f aca="false">IF(AO$35&gt;=$AC$454,AO$35-$AC$454+1,0)</f>
        <v>0</v>
      </c>
      <c r="AP456" s="237" t="n">
        <f aca="false">IF(AP$35&gt;=$AC$454,AP$35-$AC$454+1,0)</f>
        <v>0</v>
      </c>
      <c r="AQ456" s="237" t="n">
        <f aca="false">IF(AQ$35&gt;=$AC$454,AQ$35-$AC$454+1,0)</f>
        <v>0</v>
      </c>
      <c r="AR456" s="237" t="n">
        <f aca="false">IF(AR$35&gt;=$AC$454,AR$35-$AC$454+1,0)</f>
        <v>0</v>
      </c>
      <c r="AS456" s="237" t="n">
        <f aca="false">IF(AS$35&gt;=$AC$454,AS$35-$AC$454+1,0)</f>
        <v>0</v>
      </c>
      <c r="AT456" s="237" t="n">
        <f aca="false">IF(AT$35&gt;=$AC$454,AT$35-$AC$454+1,0)</f>
        <v>0</v>
      </c>
      <c r="AU456" s="237" t="n">
        <f aca="false">IF(AU$35&gt;=$AC$454,AU$35-$AC$454+1,0)</f>
        <v>0</v>
      </c>
      <c r="AV456" s="237" t="n">
        <f aca="false">IF(AV$35&gt;=$AC$454,AV$35-$AC$454+1,0)</f>
        <v>0</v>
      </c>
      <c r="AW456" s="237" t="n">
        <f aca="false">IF(AW$35&gt;=$AC$454,AW$35-$AC$454+1,0)</f>
        <v>0</v>
      </c>
      <c r="AX456" s="237" t="n">
        <f aca="false">IF(AX$35&gt;=$AC$454,AX$35-$AC$454+1,0)</f>
        <v>0</v>
      </c>
      <c r="AY456" s="237" t="n">
        <f aca="false">IF(AY$35&gt;=$AC$454,AY$35-$AC$454+1,0)</f>
        <v>0</v>
      </c>
      <c r="AZ456" s="237" t="n">
        <f aca="false">IF(AZ$35&gt;=$AC$454,AZ$35-$AC$454+1,0)</f>
        <v>0</v>
      </c>
      <c r="BA456" s="237" t="n">
        <f aca="false">IF(BA$35&gt;=$AC$454,BA$35-$AC$454+1,0)</f>
        <v>0</v>
      </c>
      <c r="BB456" s="237" t="n">
        <f aca="false">IF(BB$35&gt;=$AC$454,BB$35-$AC$454+1,0)</f>
        <v>0</v>
      </c>
      <c r="BC456" s="237" t="n">
        <f aca="false">IF(BC$35&gt;=$AC$454,BC$35-$AC$454+1,0)</f>
        <v>0</v>
      </c>
      <c r="BD456" s="237" t="n">
        <f aca="false">IF(BD$35&gt;=$AC$454,BD$35-$AC$454+1,0)</f>
        <v>0</v>
      </c>
      <c r="BE456" s="237" t="n">
        <f aca="false">IF(BE$35&gt;=$AC$454,BE$35-$AC$454+1,0)</f>
        <v>0</v>
      </c>
      <c r="BF456" s="237" t="n">
        <f aca="false">IF(BF$35&gt;=$AC$454,BF$35-$AC$454+1,0)</f>
        <v>0</v>
      </c>
      <c r="BG456" s="237" t="n">
        <f aca="false">IF(BG$35&gt;=$AC$454,BG$35-$AC$454+1,0)</f>
        <v>0</v>
      </c>
      <c r="BH456" s="237" t="n">
        <f aca="false">IF(BH$35&gt;=$AC$454,BH$35-$AC$454+1,0)</f>
        <v>0</v>
      </c>
      <c r="BI456" s="237" t="n">
        <f aca="false">IF(BI$35&gt;=$AC$454,BI$35-$AC$454+1,0)</f>
        <v>0</v>
      </c>
      <c r="BJ456" s="237" t="n">
        <f aca="false">IF(BJ$35&gt;=$AC$454,BJ$35-$AC$454+1,0)</f>
        <v>0</v>
      </c>
      <c r="BK456" s="237" t="n">
        <f aca="false">IF(BK$35&gt;=$AC$454,BK$35-$AC$454+1,0)</f>
        <v>0</v>
      </c>
      <c r="BL456" s="237" t="n">
        <f aca="false">IF(BL$35&gt;=$AC$454,BL$35-$AC$454+1,0)</f>
        <v>0</v>
      </c>
      <c r="BM456" s="237" t="n">
        <f aca="false">IF(BM$35&gt;=$AC$454,BM$35-$AC$454+1,0)</f>
        <v>0</v>
      </c>
      <c r="BN456" s="237" t="n">
        <f aca="false">IF(BN$35&gt;=$AC$454,BN$35-$AC$454+1,0)</f>
        <v>0</v>
      </c>
      <c r="BO456" s="237" t="n">
        <f aca="false">IF(BO$35&gt;=$AC$454,BO$35-$AC$454+1,0)</f>
        <v>0</v>
      </c>
      <c r="BP456" s="237" t="n">
        <f aca="false">IF(BP$35&gt;=$AC$454,BP$35-$AC$454+1,0)</f>
        <v>0</v>
      </c>
      <c r="BQ456" s="237" t="n">
        <f aca="false">IF(BQ$35&gt;=$AC$454,BQ$35-$AC$454+1,0)</f>
        <v>0</v>
      </c>
      <c r="BR456" s="237" t="n">
        <f aca="false">IF(BR$35&gt;=$AC$454,BR$35-$AC$454+1,0)</f>
        <v>0</v>
      </c>
      <c r="BS456" s="237" t="n">
        <f aca="false">IF(BS$35&gt;=$AC$454,BS$35-$AC$454+1,0)</f>
        <v>0</v>
      </c>
      <c r="BT456" s="237" t="n">
        <f aca="false">IF(BT$35&gt;=$AC$454,BT$35-$AC$454+1,0)</f>
        <v>0</v>
      </c>
      <c r="BU456" s="237" t="n">
        <f aca="false">IF(BU$35&gt;=$AC$454,BU$35-$AC$454+1,0)</f>
        <v>0</v>
      </c>
      <c r="BV456" s="237" t="n">
        <f aca="false">IF(BV$35&gt;=$AC$454,BV$35-$AC$454+1,0)</f>
        <v>0</v>
      </c>
      <c r="BW456" s="237" t="n">
        <f aca="false">IF(BW$35&gt;=$AC$454,BW$35-$AC$454+1,0)</f>
        <v>0</v>
      </c>
      <c r="BX456" s="237" t="n">
        <f aca="false">IF(BX$35&gt;=$AC$454,BX$35-$AC$454+1,0)</f>
        <v>0</v>
      </c>
      <c r="BY456" s="237" t="n">
        <f aca="false">IF(BY$35&gt;=$AC$454,BY$35-$AC$454+1,0)</f>
        <v>0</v>
      </c>
      <c r="BZ456" s="237" t="n">
        <f aca="false">IF(BZ$35&gt;=$AC$454,BZ$35-$AC$454+1,0)</f>
        <v>0</v>
      </c>
      <c r="CA456" s="237" t="n">
        <f aca="false">IF(CA$35&gt;=$AC$454,CA$35-$AC$454+1,0)</f>
        <v>0</v>
      </c>
      <c r="CB456" s="237" t="n">
        <f aca="false">IF(CB$35&gt;=$AC$454,CB$35-$AC$454+1,0)</f>
        <v>0</v>
      </c>
      <c r="CC456" s="237" t="n">
        <f aca="false">IF(CC$35&gt;=$AC$454,CC$35-$AC$454+1,0)</f>
        <v>0</v>
      </c>
      <c r="CD456" s="237" t="n">
        <f aca="false">IF(CD$35&gt;=$AC$454,CD$35-$AC$454+1,0)</f>
        <v>0</v>
      </c>
      <c r="CE456" s="237" t="n">
        <f aca="false">IF(CE$35&gt;=$AC$454,CE$35-$AC$454+1,0)</f>
        <v>0</v>
      </c>
      <c r="CF456" s="237" t="n">
        <f aca="false">IF(CF$35&gt;=$AC$454,CF$35-$AC$454+1,0)</f>
        <v>0</v>
      </c>
      <c r="CG456" s="237" t="n">
        <f aca="false">IF(CG$35&gt;=$AC$454,CG$35-$AC$454+1,0)</f>
        <v>0</v>
      </c>
      <c r="CH456" s="237" t="n">
        <f aca="false">IF(CH$35&gt;=$AC$454,CH$35-$AC$454+1,0)</f>
        <v>0</v>
      </c>
      <c r="CI456" s="237" t="n">
        <f aca="false">IF(CI$35&gt;=$AC$454,CI$35-$AC$454+1,0)</f>
        <v>0</v>
      </c>
      <c r="CJ456" s="237" t="n">
        <f aca="false">IF(CJ$35&gt;=$AC$454,CJ$35-$AC$454+1,0)</f>
        <v>0</v>
      </c>
      <c r="CK456" s="237" t="n">
        <f aca="false">IF(CK$35&gt;=$AC$454,CK$35-$AC$454+1,0)</f>
        <v>0</v>
      </c>
      <c r="CL456" s="237" t="n">
        <f aca="false">IF(CL$35&gt;=$AC$454,CL$35-$AC$454+1,0)</f>
        <v>0</v>
      </c>
      <c r="CM456" s="237" t="n">
        <f aca="false">IF(CM$35&gt;=$AC$454,CM$35-$AC$454+1,0)</f>
        <v>0</v>
      </c>
      <c r="CN456" s="237" t="n">
        <f aca="false">IF(CN$35&gt;=$AC$454,CN$35-$AC$454+1,0)</f>
        <v>0</v>
      </c>
      <c r="CO456" s="237" t="n">
        <f aca="false">IF(CO$35&gt;=$AC$454,CO$35-$AC$454+1,0)</f>
        <v>0</v>
      </c>
      <c r="CP456" s="237" t="n">
        <f aca="false">IF(CP$35&gt;=$AC$454,CP$35-$AC$454+1,0)</f>
        <v>0</v>
      </c>
      <c r="CQ456" s="237" t="n">
        <f aca="false">IF(CQ$35&gt;=$AC$454,CQ$35-$AC$454+1,0)</f>
        <v>0</v>
      </c>
      <c r="CR456" s="237" t="n">
        <f aca="false">IF(CR$35&gt;=$AC$454,CR$35-$AC$454+1,0)</f>
        <v>0</v>
      </c>
      <c r="CS456" s="237" t="n">
        <f aca="false">IF(CS$35&gt;=$AC$454,CS$35-$AC$454+1,0)</f>
        <v>0</v>
      </c>
      <c r="CT456" s="237" t="n">
        <f aca="false">IF(CT$35&gt;=$AC$454,CT$35-$AC$454+1,0)</f>
        <v>0</v>
      </c>
      <c r="CU456" s="237" t="n">
        <f aca="false">IF(CU$35&gt;=$AC$454,CU$35-$AC$454+1,0)</f>
        <v>0</v>
      </c>
      <c r="CV456" s="237" t="n">
        <f aca="false">IF(CV$35&gt;=$AC$454,CV$35-$AC$454+1,0)</f>
        <v>0</v>
      </c>
      <c r="CW456" s="237" t="n">
        <f aca="false">IF(CW$35&gt;=$AC$454,CW$35-$AC$454+1,0)</f>
        <v>0</v>
      </c>
      <c r="CX456" s="237" t="n">
        <f aca="false">IF(CX$35&gt;=$AC$454,CX$35-$AC$454+1,0)</f>
        <v>0</v>
      </c>
      <c r="CY456" s="237" t="n">
        <f aca="false">IF(CY$35&gt;=$AC$454,CY$35-$AC$454+1,0)</f>
        <v>0</v>
      </c>
      <c r="CZ456" s="237" t="n">
        <f aca="false">IF(CZ$35&gt;=$AC$454,CZ$35-$AC$454+1,0)</f>
        <v>0</v>
      </c>
      <c r="DA456" s="237" t="n">
        <f aca="false">IF(DA$35&gt;=$AC$454,DA$35-$AC$454+1,0)</f>
        <v>0</v>
      </c>
      <c r="DB456" s="237" t="n">
        <f aca="false">IF(DB$35&gt;=$AC$454,DB$35-$AC$454+1,0)</f>
        <v>0</v>
      </c>
      <c r="DC456" s="237" t="n">
        <f aca="false">IF(DC$35&gt;=$AC$454,DC$35-$AC$454+1,0)</f>
        <v>0</v>
      </c>
      <c r="DD456" s="237" t="n">
        <f aca="false">IF(DD$35&gt;=$AC$454,DD$35-$AC$454+1,0)</f>
        <v>0</v>
      </c>
      <c r="DE456" s="237" t="n">
        <f aca="false">IF(DE$35&gt;=$AC$454,DE$35-$AC$454+1,0)</f>
        <v>0</v>
      </c>
      <c r="DF456" s="237" t="n">
        <f aca="false">IF(DF$35&gt;=$AC$454,DF$35-$AC$454+1,0)</f>
        <v>0</v>
      </c>
      <c r="DG456" s="237" t="n">
        <f aca="false">IF(DG$35&gt;=$AC$454,DG$35-$AC$454+1,0)</f>
        <v>0</v>
      </c>
      <c r="DH456" s="237" t="n">
        <f aca="false">IF(DH$35&gt;=$AC$454,DH$35-$AC$454+1,0)</f>
        <v>0</v>
      </c>
      <c r="DI456" s="237" t="n">
        <f aca="false">IF(DI$35&gt;=$AC$454,DI$35-$AC$454+1,0)</f>
        <v>0</v>
      </c>
      <c r="DJ456" s="237" t="n">
        <f aca="false">IF(DJ$35&gt;=$AC$454,DJ$35-$AC$454+1,0)</f>
        <v>0</v>
      </c>
      <c r="DK456" s="237" t="n">
        <f aca="false">IF(DK$35&gt;=$AC$454,DK$35-$AC$454+1,0)</f>
        <v>0</v>
      </c>
      <c r="DL456" s="237" t="n">
        <f aca="false">IF(DL$35&gt;=$AC$454,DL$35-$AC$454+1,0)</f>
        <v>0</v>
      </c>
      <c r="DM456" s="237" t="n">
        <f aca="false">IF(DM$35&gt;=$AC$454,DM$35-$AC$454+1,0)</f>
        <v>0</v>
      </c>
      <c r="DN456" s="237" t="n">
        <f aca="false">IF(DN$35&gt;=$AC$454,DN$35-$AC$454+1,0)</f>
        <v>0</v>
      </c>
      <c r="DO456" s="237" t="n">
        <f aca="false">IF(DO$35&gt;=$AC$454,DO$35-$AC$454+1,0)</f>
        <v>0</v>
      </c>
      <c r="DP456" s="237" t="n">
        <f aca="false">IF(DP$35&gt;=$AC$454,DP$35-$AC$454+1,0)</f>
        <v>0</v>
      </c>
      <c r="DQ456" s="237" t="n">
        <f aca="false">IF(DQ$35&gt;=$AC$454,DQ$35-$AC$454+1,0)</f>
        <v>0</v>
      </c>
      <c r="DR456" s="237" t="n">
        <f aca="false">IF(DR$35&gt;=$AC$454,DR$35-$AC$454+1,0)</f>
        <v>0</v>
      </c>
      <c r="DS456" s="237" t="n">
        <f aca="false">IF(DS$35&gt;=$AC$454,DS$35-$AC$454+1,0)</f>
        <v>0</v>
      </c>
      <c r="DT456" s="237" t="n">
        <f aca="false">IF(DT$35&gt;=$AC$454,DT$35-$AC$454+1,0)</f>
        <v>0</v>
      </c>
      <c r="DU456" s="237" t="n">
        <f aca="false">IF(DU$35&gt;=$AC$454,DU$35-$AC$454+1,0)</f>
        <v>0</v>
      </c>
      <c r="DV456" s="237" t="n">
        <f aca="false">IF(DV$35&gt;=$AC$454,DV$35-$AC$454+1,0)</f>
        <v>0</v>
      </c>
      <c r="DW456" s="237" t="n">
        <f aca="false">IF(DW$35&gt;=$AC$454,DW$35-$AC$454+1,0)</f>
        <v>0</v>
      </c>
      <c r="DX456" s="237" t="n">
        <f aca="false">IF(DX$35&gt;=$AC$454,DX$35-$AC$454+1,0)</f>
        <v>0</v>
      </c>
      <c r="DY456" s="237" t="n">
        <f aca="false">IF(DY$35&gt;=$AC$454,DY$35-$AC$454+1,0)</f>
        <v>0</v>
      </c>
      <c r="DZ456" s="237" t="n">
        <f aca="false">IF(DZ$35&gt;=$AC$454,DZ$35-$AC$454+1,0)</f>
        <v>0</v>
      </c>
      <c r="EA456" s="237" t="n">
        <f aca="false">IF(EA$35&gt;=$AC$454,EA$35-$AC$454+1,0)</f>
        <v>0</v>
      </c>
      <c r="EB456" s="237" t="n">
        <f aca="false">IF(EB$35&gt;=$AC$454,EB$35-$AC$454+1,0)</f>
        <v>0</v>
      </c>
      <c r="EC456" s="237" t="n">
        <f aca="false">IF(EC$35&gt;=$AC$454,EC$35-$AC$454+1,0)</f>
        <v>0</v>
      </c>
      <c r="ED456" s="237" t="n">
        <f aca="false">IF(ED$35&gt;=$AC$454,ED$35-$AC$454+1,0)</f>
        <v>0</v>
      </c>
      <c r="EE456" s="237" t="n">
        <f aca="false">IF(EE$35&gt;=$AC$454,EE$35-$AC$454+1,0)</f>
        <v>0</v>
      </c>
      <c r="EF456" s="237" t="n">
        <f aca="false">IF(EF$35&gt;=$AC$454,EF$35-$AC$454+1,0)</f>
        <v>0</v>
      </c>
      <c r="EG456" s="237" t="n">
        <f aca="false">IF(EG$35&gt;=$AC$454,EG$35-$AC$454+1,0)</f>
        <v>0</v>
      </c>
      <c r="EH456" s="237" t="n">
        <f aca="false">IF(EH$35&gt;=$AC$454,EH$35-$AC$454+1,0)</f>
        <v>1</v>
      </c>
      <c r="EI456" s="237" t="n">
        <f aca="false">IF(EI$35&gt;=$AC$454,EI$35-$AC$454+1,0)</f>
        <v>2</v>
      </c>
      <c r="EJ456" s="237" t="n">
        <f aca="false">IF(EJ$35&gt;=$AC$454,EJ$35-$AC$454+1,0)</f>
        <v>3</v>
      </c>
      <c r="EK456" s="237" t="n">
        <f aca="false">IF(EK$35&gt;=$AC$454,EK$35-$AC$454+1,0)</f>
        <v>4</v>
      </c>
      <c r="EL456" s="237" t="n">
        <f aca="false">IF(EL$35&gt;=$AC$454,EL$35-$AC$454+1,0)</f>
        <v>5</v>
      </c>
      <c r="EM456" s="237" t="n">
        <f aca="false">IF(EM$35&gt;=$AC$454,EM$35-$AC$454+1,0)</f>
        <v>6</v>
      </c>
      <c r="EN456" s="237" t="n">
        <f aca="false">IF(EN$35&gt;=$AC$454,EN$35-$AC$454+1,0)</f>
        <v>7</v>
      </c>
      <c r="EO456" s="237" t="n">
        <f aca="false">IF(EO$35&gt;=$AC$454,EO$35-$AC$454+1,0)</f>
        <v>8</v>
      </c>
      <c r="EP456" s="237" t="n">
        <f aca="false">IF(EP$35&gt;=$AC$454,EP$35-$AC$454+1,0)</f>
        <v>9</v>
      </c>
      <c r="EQ456" s="237" t="n">
        <f aca="false">IF(EQ$35&gt;=$AC$454,EQ$35-$AC$454+1,0)</f>
        <v>10</v>
      </c>
      <c r="ER456" s="237" t="n">
        <f aca="false">IF(ER$35&gt;=$AC$454,ER$35-$AC$454+1,0)</f>
        <v>11</v>
      </c>
      <c r="ES456" s="9" t="n">
        <f aca="false">IF(ES$35&gt;=$AC$454,ES$35-$AC$454+1,0)</f>
        <v>12</v>
      </c>
      <c r="ET456" s="9" t="n">
        <f aca="false">IF(ET$35&gt;=$AC$454,ET$35-$AC$454+1,0)</f>
        <v>13</v>
      </c>
      <c r="EU456" s="9" t="n">
        <f aca="false">IF(EU$35&gt;=$AC$454,EU$35-$AC$454+1,0)</f>
        <v>14</v>
      </c>
      <c r="EV456" s="9" t="n">
        <f aca="false">IF(EV$35&gt;=$AC$454,EV$35-$AC$454+1,0)</f>
        <v>15</v>
      </c>
      <c r="EW456" s="9" t="n">
        <f aca="false">IF(EW$35&gt;=$AC$454,EW$35-$AC$454+1,0)</f>
        <v>16</v>
      </c>
      <c r="EX456" s="9" t="n">
        <f aca="false">IF(EX$35&gt;=$AC$454,EX$35-$AC$454+1,0)</f>
        <v>17</v>
      </c>
      <c r="EY456" s="9" t="n">
        <f aca="false">IF(EY$35&gt;=$AC$454,EY$35-$AC$454+1,0)</f>
        <v>18</v>
      </c>
      <c r="EZ456" s="9" t="n">
        <f aca="false">IF(EZ$35&gt;=$AC$454,EZ$35-$AC$454+1,0)</f>
        <v>19</v>
      </c>
      <c r="FA456" s="9" t="n">
        <f aca="false">IF(FA$35&gt;=$AC$454,FA$35-$AC$454+1,0)</f>
        <v>20</v>
      </c>
      <c r="FB456" s="9" t="n">
        <f aca="false">IF(FB$35&gt;=$AC$454,FB$35-$AC$454+1,0)</f>
        <v>21</v>
      </c>
      <c r="FC456" s="9" t="n">
        <f aca="false">IF(FC$35&gt;=$AC$454,FC$35-$AC$454+1,0)</f>
        <v>22</v>
      </c>
      <c r="FD456" s="9" t="n">
        <f aca="false">IF(FD$35&gt;=$AC$454,FD$35-$AC$454+1,0)</f>
        <v>23</v>
      </c>
      <c r="FE456" s="9" t="n">
        <f aca="false">IF(FE$35&gt;=$AC$454,FE$35-$AC$454+1,0)</f>
        <v>24</v>
      </c>
      <c r="FF456" s="9" t="n">
        <f aca="false">IF(FF$35&gt;=$AC$454,FF$35-$AC$454+1,0)</f>
        <v>25</v>
      </c>
      <c r="FG456" s="9" t="n">
        <f aca="false">IF(FG$35&gt;=$AC$454,FG$35-$AC$454+1,0)</f>
        <v>26</v>
      </c>
      <c r="FH456" s="9" t="n">
        <f aca="false">IF(FH$35&gt;=$AC$454,FH$35-$AC$454+1,0)</f>
        <v>27</v>
      </c>
      <c r="FI456" s="9" t="n">
        <f aca="false">IF(FI$35&gt;=$AC$454,FI$35-$AC$454+1,0)</f>
        <v>28</v>
      </c>
      <c r="FJ456" s="9" t="n">
        <f aca="false">IF(FJ$35&gt;=$AC$454,FJ$35-$AC$454+1,0)</f>
        <v>29</v>
      </c>
      <c r="FK456" s="9" t="n">
        <f aca="false">IF(FK$35&gt;=$AC$454,FK$35-$AC$454+1,0)</f>
        <v>30</v>
      </c>
      <c r="FL456" s="9" t="n">
        <f aca="false">IF(FL$35&gt;=$AC$454,FL$35-$AC$454+1,0)</f>
        <v>31</v>
      </c>
      <c r="FM456" s="9" t="n">
        <f aca="false">IF(FM$35&gt;=$AC$454,FM$35-$AC$454+1,0)</f>
        <v>32</v>
      </c>
      <c r="FN456" s="9" t="n">
        <f aca="false">IF(FN$35&gt;=$AC$454,FN$35-$AC$454+1,0)</f>
        <v>33</v>
      </c>
      <c r="FO456" s="9" t="n">
        <f aca="false">IF(FO$35&gt;=$AC$454,FO$35-$AC$454+1,0)</f>
        <v>34</v>
      </c>
      <c r="FP456" s="9" t="n">
        <f aca="false">IF(FP$35&gt;=$AC$454,FP$35-$AC$454+1,0)</f>
        <v>35</v>
      </c>
    </row>
    <row r="457" customFormat="false" ht="15" hidden="false" customHeight="false" outlineLevel="2" collapsed="false">
      <c r="B457" s="47" t="s">
        <v>874</v>
      </c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237" t="n">
        <f aca="false" t="array" ref="AC457:AC457">IF(AC456=0,0,IF(AC456/'🎚️ Escenario'!$C$11&gt;=36,$AL$23,INDEX($C$23:$AL$23,MAX(1,ROUNDUP(AC456/'🎚️ Escenario'!$C$11,0)))))</f>
        <v>0</v>
      </c>
      <c r="AD457" s="237" t="n">
        <f aca="false" t="array" ref="AD457:AD457">IF(AD456=0,0,IF(AD456/'🎚️ Escenario'!$C$11&gt;=36,$AL$23,INDEX($C$23:$AL$23,MAX(1,ROUNDUP(AD456/'🎚️ Escenario'!$C$11,0)))))</f>
        <v>0</v>
      </c>
      <c r="AE457" s="237" t="n">
        <f aca="false" t="array" ref="AE457:AE457">IF(AE456=0,0,IF(AE456/'🎚️ Escenario'!$C$11&gt;=36,$AL$23,INDEX($C$23:$AL$23,MAX(1,ROUNDUP(AE456/'🎚️ Escenario'!$C$11,0)))))</f>
        <v>0</v>
      </c>
      <c r="AF457" s="237" t="n">
        <f aca="false" t="array" ref="AF457:AF457">IF(AF456=0,0,IF(AF456/'🎚️ Escenario'!$C$11&gt;=36,$AL$23,INDEX($C$23:$AL$23,MAX(1,ROUNDUP(AF456/'🎚️ Escenario'!$C$11,0)))))</f>
        <v>0</v>
      </c>
      <c r="AG457" s="237" t="n">
        <f aca="false" t="array" ref="AG457:AG457">IF(AG456=0,0,IF(AG456/'🎚️ Escenario'!$C$11&gt;=36,$AL$23,INDEX($C$23:$AL$23,MAX(1,ROUNDUP(AG456/'🎚️ Escenario'!$C$11,0)))))</f>
        <v>0</v>
      </c>
      <c r="AH457" s="237" t="n">
        <f aca="false" t="array" ref="AH457:AH457">IF(AH456=0,0,IF(AH456/'🎚️ Escenario'!$C$11&gt;=36,$AL$23,INDEX($C$23:$AL$23,MAX(1,ROUNDUP(AH456/'🎚️ Escenario'!$C$11,0)))))</f>
        <v>0</v>
      </c>
      <c r="AI457" s="237" t="n">
        <f aca="false" t="array" ref="AI457:AI457">IF(AI456=0,0,IF(AI456/'🎚️ Escenario'!$C$11&gt;=36,$AL$23,INDEX($C$23:$AL$23,MAX(1,ROUNDUP(AI456/'🎚️ Escenario'!$C$11,0)))))</f>
        <v>0</v>
      </c>
      <c r="AJ457" s="237" t="n">
        <f aca="false" t="array" ref="AJ457:AJ457">IF(AJ456=0,0,IF(AJ456/'🎚️ Escenario'!$C$11&gt;=36,$AL$23,INDEX($C$23:$AL$23,MAX(1,ROUNDUP(AJ456/'🎚️ Escenario'!$C$11,0)))))</f>
        <v>0</v>
      </c>
      <c r="AK457" s="237" t="n">
        <f aca="false" t="array" ref="AK457:AK457">IF(AK456=0,0,IF(AK456/'🎚️ Escenario'!$C$11&gt;=36,$AL$23,INDEX($C$23:$AL$23,MAX(1,ROUNDUP(AK456/'🎚️ Escenario'!$C$11,0)))))</f>
        <v>0</v>
      </c>
      <c r="AL457" s="237" t="n">
        <f aca="false" t="array" ref="AL457:AL457">IF(AL456=0,0,IF(AL456/'🎚️ Escenario'!$C$11&gt;=36,$AL$23,INDEX($C$23:$AL$23,MAX(1,ROUNDUP(AL456/'🎚️ Escenario'!$C$11,0)))))</f>
        <v>0</v>
      </c>
      <c r="AM457" s="237" t="n">
        <f aca="false" t="array" ref="AM457:AM457">IF(AM456=0,0,IF(AM456/'🎚️ Escenario'!$C$11&gt;=36,$AL$23,INDEX($C$23:$AL$23,MAX(1,ROUNDUP(AM456/'🎚️ Escenario'!$C$11,0)))))</f>
        <v>0</v>
      </c>
      <c r="AN457" s="237" t="n">
        <f aca="false" t="array" ref="AN457:AN457">IF(AN456=0,0,IF(AN456/'🎚️ Escenario'!$C$11&gt;=36,$AL$23,INDEX($C$23:$AL$23,MAX(1,ROUNDUP(AN456/'🎚️ Escenario'!$C$11,0)))))</f>
        <v>0</v>
      </c>
      <c r="AO457" s="237" t="n">
        <f aca="false" t="array" ref="AO457:AO457">IF(AO456=0,0,IF(AO456/'🎚️ Escenario'!$C$11&gt;=36,$AL$23,INDEX($C$23:$AL$23,MAX(1,ROUNDUP(AO456/'🎚️ Escenario'!$C$11,0)))))</f>
        <v>0</v>
      </c>
      <c r="AP457" s="237" t="n">
        <f aca="false" t="array" ref="AP457:AP457">IF(AP456=0,0,IF(AP456/'🎚️ Escenario'!$C$11&gt;=36,$AL$23,INDEX($C$23:$AL$23,MAX(1,ROUNDUP(AP456/'🎚️ Escenario'!$C$11,0)))))</f>
        <v>0</v>
      </c>
      <c r="AQ457" s="237" t="n">
        <f aca="false" t="array" ref="AQ457:AQ457">IF(AQ456=0,0,IF(AQ456/'🎚️ Escenario'!$C$11&gt;=36,$AL$23,INDEX($C$23:$AL$23,MAX(1,ROUNDUP(AQ456/'🎚️ Escenario'!$C$11,0)))))</f>
        <v>0</v>
      </c>
      <c r="AR457" s="237" t="n">
        <f aca="false" t="array" ref="AR457:AR457">IF(AR456=0,0,IF(AR456/'🎚️ Escenario'!$C$11&gt;=36,$AL$23,INDEX($C$23:$AL$23,MAX(1,ROUNDUP(AR456/'🎚️ Escenario'!$C$11,0)))))</f>
        <v>0</v>
      </c>
      <c r="AS457" s="237" t="n">
        <f aca="false" t="array" ref="AS457:AS457">IF(AS456=0,0,IF(AS456/'🎚️ Escenario'!$C$11&gt;=36,$AL$23,INDEX($C$23:$AL$23,MAX(1,ROUNDUP(AS456/'🎚️ Escenario'!$C$11,0)))))</f>
        <v>0</v>
      </c>
      <c r="AT457" s="237" t="n">
        <f aca="false" t="array" ref="AT457:AT457">IF(AT456=0,0,IF(AT456/'🎚️ Escenario'!$C$11&gt;=36,$AL$23,INDEX($C$23:$AL$23,MAX(1,ROUNDUP(AT456/'🎚️ Escenario'!$C$11,0)))))</f>
        <v>0</v>
      </c>
      <c r="AU457" s="237" t="n">
        <f aca="false" t="array" ref="AU457:AU457">IF(AU456=0,0,IF(AU456/'🎚️ Escenario'!$C$11&gt;=36,$AL$23,INDEX($C$23:$AL$23,MAX(1,ROUNDUP(AU456/'🎚️ Escenario'!$C$11,0)))))</f>
        <v>0</v>
      </c>
      <c r="AV457" s="237" t="n">
        <f aca="false" t="array" ref="AV457:AV457">IF(AV456=0,0,IF(AV456/'🎚️ Escenario'!$C$11&gt;=36,$AL$23,INDEX($C$23:$AL$23,MAX(1,ROUNDUP(AV456/'🎚️ Escenario'!$C$11,0)))))</f>
        <v>0</v>
      </c>
      <c r="AW457" s="237" t="n">
        <f aca="false" t="array" ref="AW457:AW457">IF(AW456=0,0,IF(AW456/'🎚️ Escenario'!$C$11&gt;=36,$AL$23,INDEX($C$23:$AL$23,MAX(1,ROUNDUP(AW456/'🎚️ Escenario'!$C$11,0)))))</f>
        <v>0</v>
      </c>
      <c r="AX457" s="237" t="n">
        <f aca="false" t="array" ref="AX457:AX457">IF(AX456=0,0,IF(AX456/'🎚️ Escenario'!$C$11&gt;=36,$AL$23,INDEX($C$23:$AL$23,MAX(1,ROUNDUP(AX456/'🎚️ Escenario'!$C$11,0)))))</f>
        <v>0</v>
      </c>
      <c r="AY457" s="237" t="n">
        <f aca="false" t="array" ref="AY457:AY457">IF(AY456=0,0,IF(AY456/'🎚️ Escenario'!$C$11&gt;=36,$AL$23,INDEX($C$23:$AL$23,MAX(1,ROUNDUP(AY456/'🎚️ Escenario'!$C$11,0)))))</f>
        <v>0</v>
      </c>
      <c r="AZ457" s="237" t="n">
        <f aca="false" t="array" ref="AZ457:AZ457">IF(AZ456=0,0,IF(AZ456/'🎚️ Escenario'!$C$11&gt;=36,$AL$23,INDEX($C$23:$AL$23,MAX(1,ROUNDUP(AZ456/'🎚️ Escenario'!$C$11,0)))))</f>
        <v>0</v>
      </c>
      <c r="BA457" s="237" t="n">
        <f aca="false" t="array" ref="BA457:BA457">IF(BA456=0,0,IF(BA456/'🎚️ Escenario'!$C$11&gt;=36,$AL$23,INDEX($C$23:$AL$23,MAX(1,ROUNDUP(BA456/'🎚️ Escenario'!$C$11,0)))))</f>
        <v>0</v>
      </c>
      <c r="BB457" s="237" t="n">
        <f aca="false" t="array" ref="BB457:BB457">IF(BB456=0,0,IF(BB456/'🎚️ Escenario'!$C$11&gt;=36,$AL$23,INDEX($C$23:$AL$23,MAX(1,ROUNDUP(BB456/'🎚️ Escenario'!$C$11,0)))))</f>
        <v>0</v>
      </c>
      <c r="BC457" s="237" t="n">
        <f aca="false" t="array" ref="BC457:BC457">IF(BC456=0,0,IF(BC456/'🎚️ Escenario'!$C$11&gt;=36,$AL$23,INDEX($C$23:$AL$23,MAX(1,ROUNDUP(BC456/'🎚️ Escenario'!$C$11,0)))))</f>
        <v>0</v>
      </c>
      <c r="BD457" s="237" t="n">
        <f aca="false" t="array" ref="BD457:BD457">IF(BD456=0,0,IF(BD456/'🎚️ Escenario'!$C$11&gt;=36,$AL$23,INDEX($C$23:$AL$23,MAX(1,ROUNDUP(BD456/'🎚️ Escenario'!$C$11,0)))))</f>
        <v>0</v>
      </c>
      <c r="BE457" s="237" t="n">
        <f aca="false" t="array" ref="BE457:BE457">IF(BE456=0,0,IF(BE456/'🎚️ Escenario'!$C$11&gt;=36,$AL$23,INDEX($C$23:$AL$23,MAX(1,ROUNDUP(BE456/'🎚️ Escenario'!$C$11,0)))))</f>
        <v>0</v>
      </c>
      <c r="BF457" s="237" t="n">
        <f aca="false" t="array" ref="BF457:BF457">IF(BF456=0,0,IF(BF456/'🎚️ Escenario'!$C$11&gt;=36,$AL$23,INDEX($C$23:$AL$23,MAX(1,ROUNDUP(BF456/'🎚️ Escenario'!$C$11,0)))))</f>
        <v>0</v>
      </c>
      <c r="BG457" s="237" t="n">
        <f aca="false" t="array" ref="BG457:BG457">IF(BG456=0,0,IF(BG456/'🎚️ Escenario'!$C$11&gt;=36,$AL$23,INDEX($C$23:$AL$23,MAX(1,ROUNDUP(BG456/'🎚️ Escenario'!$C$11,0)))))</f>
        <v>0</v>
      </c>
      <c r="BH457" s="237" t="n">
        <f aca="false" t="array" ref="BH457:BH457">IF(BH456=0,0,IF(BH456/'🎚️ Escenario'!$C$11&gt;=36,$AL$23,INDEX($C$23:$AL$23,MAX(1,ROUNDUP(BH456/'🎚️ Escenario'!$C$11,0)))))</f>
        <v>0</v>
      </c>
      <c r="BI457" s="237" t="n">
        <f aca="false" t="array" ref="BI457:BI457">IF(BI456=0,0,IF(BI456/'🎚️ Escenario'!$C$11&gt;=36,$AL$23,INDEX($C$23:$AL$23,MAX(1,ROUNDUP(BI456/'🎚️ Escenario'!$C$11,0)))))</f>
        <v>0</v>
      </c>
      <c r="BJ457" s="237" t="n">
        <f aca="false" t="array" ref="BJ457:BJ457">IF(BJ456=0,0,IF(BJ456/'🎚️ Escenario'!$C$11&gt;=36,$AL$23,INDEX($C$23:$AL$23,MAX(1,ROUNDUP(BJ456/'🎚️ Escenario'!$C$11,0)))))</f>
        <v>0</v>
      </c>
      <c r="BK457" s="237" t="n">
        <f aca="false" t="array" ref="BK457:BK457">IF(BK456=0,0,IF(BK456/'🎚️ Escenario'!$C$11&gt;=36,$AL$23,INDEX($C$23:$AL$23,MAX(1,ROUNDUP(BK456/'🎚️ Escenario'!$C$11,0)))))</f>
        <v>0</v>
      </c>
      <c r="BL457" s="237" t="n">
        <f aca="false" t="array" ref="BL457:BL457">IF(BL456=0,0,IF(BL456/'🎚️ Escenario'!$C$11&gt;=36,$AL$23,INDEX($C$23:$AL$23,MAX(1,ROUNDUP(BL456/'🎚️ Escenario'!$C$11,0)))))</f>
        <v>0</v>
      </c>
      <c r="BM457" s="237" t="n">
        <f aca="false" t="array" ref="BM457:BM457">IF(BM456=0,0,IF(BM456/'🎚️ Escenario'!$C$11&gt;=36,$AL$23,INDEX($C$23:$AL$23,MAX(1,ROUNDUP(BM456/'🎚️ Escenario'!$C$11,0)))))</f>
        <v>0</v>
      </c>
      <c r="BN457" s="237" t="n">
        <f aca="false" t="array" ref="BN457:BN457">IF(BN456=0,0,IF(BN456/'🎚️ Escenario'!$C$11&gt;=36,$AL$23,INDEX($C$23:$AL$23,MAX(1,ROUNDUP(BN456/'🎚️ Escenario'!$C$11,0)))))</f>
        <v>0</v>
      </c>
      <c r="BO457" s="237" t="n">
        <f aca="false" t="array" ref="BO457:BO457">IF(BO456=0,0,IF(BO456/'🎚️ Escenario'!$C$11&gt;=36,$AL$23,INDEX($C$23:$AL$23,MAX(1,ROUNDUP(BO456/'🎚️ Escenario'!$C$11,0)))))</f>
        <v>0</v>
      </c>
      <c r="BP457" s="237" t="n">
        <f aca="false" t="array" ref="BP457:BP457">IF(BP456=0,0,IF(BP456/'🎚️ Escenario'!$C$11&gt;=36,$AL$23,INDEX($C$23:$AL$23,MAX(1,ROUNDUP(BP456/'🎚️ Escenario'!$C$11,0)))))</f>
        <v>0</v>
      </c>
      <c r="BQ457" s="237" t="n">
        <f aca="false" t="array" ref="BQ457:BQ457">IF(BQ456=0,0,IF(BQ456/'🎚️ Escenario'!$C$11&gt;=36,$AL$23,INDEX($C$23:$AL$23,MAX(1,ROUNDUP(BQ456/'🎚️ Escenario'!$C$11,0)))))</f>
        <v>0</v>
      </c>
      <c r="BR457" s="237" t="n">
        <f aca="false" t="array" ref="BR457:BR457">IF(BR456=0,0,IF(BR456/'🎚️ Escenario'!$C$11&gt;=36,$AL$23,INDEX($C$23:$AL$23,MAX(1,ROUNDUP(BR456/'🎚️ Escenario'!$C$11,0)))))</f>
        <v>0</v>
      </c>
      <c r="BS457" s="237" t="n">
        <f aca="false" t="array" ref="BS457:BS457">IF(BS456=0,0,IF(BS456/'🎚️ Escenario'!$C$11&gt;=36,$AL$23,INDEX($C$23:$AL$23,MAX(1,ROUNDUP(BS456/'🎚️ Escenario'!$C$11,0)))))</f>
        <v>0</v>
      </c>
      <c r="BT457" s="237" t="n">
        <f aca="false" t="array" ref="BT457:BT457">IF(BT456=0,0,IF(BT456/'🎚️ Escenario'!$C$11&gt;=36,$AL$23,INDEX($C$23:$AL$23,MAX(1,ROUNDUP(BT456/'🎚️ Escenario'!$C$11,0)))))</f>
        <v>0</v>
      </c>
      <c r="BU457" s="237" t="n">
        <f aca="false" t="array" ref="BU457:BU457">IF(BU456=0,0,IF(BU456/'🎚️ Escenario'!$C$11&gt;=36,$AL$23,INDEX($C$23:$AL$23,MAX(1,ROUNDUP(BU456/'🎚️ Escenario'!$C$11,0)))))</f>
        <v>0</v>
      </c>
      <c r="BV457" s="237" t="n">
        <f aca="false" t="array" ref="BV457:BV457">IF(BV456=0,0,IF(BV456/'🎚️ Escenario'!$C$11&gt;=36,$AL$23,INDEX($C$23:$AL$23,MAX(1,ROUNDUP(BV456/'🎚️ Escenario'!$C$11,0)))))</f>
        <v>0</v>
      </c>
      <c r="BW457" s="237" t="n">
        <f aca="false" t="array" ref="BW457:BW457">IF(BW456=0,0,IF(BW456/'🎚️ Escenario'!$C$11&gt;=36,$AL$23,INDEX($C$23:$AL$23,MAX(1,ROUNDUP(BW456/'🎚️ Escenario'!$C$11,0)))))</f>
        <v>0</v>
      </c>
      <c r="BX457" s="237" t="n">
        <f aca="false" t="array" ref="BX457:BX457">IF(BX456=0,0,IF(BX456/'🎚️ Escenario'!$C$11&gt;=36,$AL$23,INDEX($C$23:$AL$23,MAX(1,ROUNDUP(BX456/'🎚️ Escenario'!$C$11,0)))))</f>
        <v>0</v>
      </c>
      <c r="BY457" s="237" t="n">
        <f aca="false" t="array" ref="BY457:BY457">IF(BY456=0,0,IF(BY456/'🎚️ Escenario'!$C$11&gt;=36,$AL$23,INDEX($C$23:$AL$23,MAX(1,ROUNDUP(BY456/'🎚️ Escenario'!$C$11,0)))))</f>
        <v>0</v>
      </c>
      <c r="BZ457" s="237" t="n">
        <f aca="false" t="array" ref="BZ457:BZ457">IF(BZ456=0,0,IF(BZ456/'🎚️ Escenario'!$C$11&gt;=36,$AL$23,INDEX($C$23:$AL$23,MAX(1,ROUNDUP(BZ456/'🎚️ Escenario'!$C$11,0)))))</f>
        <v>0</v>
      </c>
      <c r="CA457" s="237" t="n">
        <f aca="false" t="array" ref="CA457:CA457">IF(CA456=0,0,IF(CA456/'🎚️ Escenario'!$C$11&gt;=36,$AL$23,INDEX($C$23:$AL$23,MAX(1,ROUNDUP(CA456/'🎚️ Escenario'!$C$11,0)))))</f>
        <v>0</v>
      </c>
      <c r="CB457" s="237" t="n">
        <f aca="false" t="array" ref="CB457:CB457">IF(CB456=0,0,IF(CB456/'🎚️ Escenario'!$C$11&gt;=36,$AL$23,INDEX($C$23:$AL$23,MAX(1,ROUNDUP(CB456/'🎚️ Escenario'!$C$11,0)))))</f>
        <v>0</v>
      </c>
      <c r="CC457" s="237" t="n">
        <f aca="false" t="array" ref="CC457:CC457">IF(CC456=0,0,IF(CC456/'🎚️ Escenario'!$C$11&gt;=36,$AL$23,INDEX($C$23:$AL$23,MAX(1,ROUNDUP(CC456/'🎚️ Escenario'!$C$11,0)))))</f>
        <v>0</v>
      </c>
      <c r="CD457" s="237" t="n">
        <f aca="false" t="array" ref="CD457:CD457">IF(CD456=0,0,IF(CD456/'🎚️ Escenario'!$C$11&gt;=36,$AL$23,INDEX($C$23:$AL$23,MAX(1,ROUNDUP(CD456/'🎚️ Escenario'!$C$11,0)))))</f>
        <v>0</v>
      </c>
      <c r="CE457" s="237" t="n">
        <f aca="false" t="array" ref="CE457:CE457">IF(CE456=0,0,IF(CE456/'🎚️ Escenario'!$C$11&gt;=36,$AL$23,INDEX($C$23:$AL$23,MAX(1,ROUNDUP(CE456/'🎚️ Escenario'!$C$11,0)))))</f>
        <v>0</v>
      </c>
      <c r="CF457" s="237" t="n">
        <f aca="false" t="array" ref="CF457:CF457">IF(CF456=0,0,IF(CF456/'🎚️ Escenario'!$C$11&gt;=36,$AL$23,INDEX($C$23:$AL$23,MAX(1,ROUNDUP(CF456/'🎚️ Escenario'!$C$11,0)))))</f>
        <v>0</v>
      </c>
      <c r="CG457" s="237" t="n">
        <f aca="false" t="array" ref="CG457:CG457">IF(CG456=0,0,IF(CG456/'🎚️ Escenario'!$C$11&gt;=36,$AL$23,INDEX($C$23:$AL$23,MAX(1,ROUNDUP(CG456/'🎚️ Escenario'!$C$11,0)))))</f>
        <v>0</v>
      </c>
      <c r="CH457" s="237" t="n">
        <f aca="false" t="array" ref="CH457:CH457">IF(CH456=0,0,IF(CH456/'🎚️ Escenario'!$C$11&gt;=36,$AL$23,INDEX($C$23:$AL$23,MAX(1,ROUNDUP(CH456/'🎚️ Escenario'!$C$11,0)))))</f>
        <v>0</v>
      </c>
      <c r="CI457" s="237" t="n">
        <f aca="false" t="array" ref="CI457:CI457">IF(CI456=0,0,IF(CI456/'🎚️ Escenario'!$C$11&gt;=36,$AL$23,INDEX($C$23:$AL$23,MAX(1,ROUNDUP(CI456/'🎚️ Escenario'!$C$11,0)))))</f>
        <v>0</v>
      </c>
      <c r="CJ457" s="237" t="n">
        <f aca="false" t="array" ref="CJ457:CJ457">IF(CJ456=0,0,IF(CJ456/'🎚️ Escenario'!$C$11&gt;=36,$AL$23,INDEX($C$23:$AL$23,MAX(1,ROUNDUP(CJ456/'🎚️ Escenario'!$C$11,0)))))</f>
        <v>0</v>
      </c>
      <c r="CK457" s="237" t="n">
        <f aca="false" t="array" ref="CK457:CK457">IF(CK456=0,0,IF(CK456/'🎚️ Escenario'!$C$11&gt;=36,$AL$23,INDEX($C$23:$AL$23,MAX(1,ROUNDUP(CK456/'🎚️ Escenario'!$C$11,0)))))</f>
        <v>0</v>
      </c>
      <c r="CL457" s="237" t="n">
        <f aca="false" t="array" ref="CL457:CL457">IF(CL456=0,0,IF(CL456/'🎚️ Escenario'!$C$11&gt;=36,$AL$23,INDEX($C$23:$AL$23,MAX(1,ROUNDUP(CL456/'🎚️ Escenario'!$C$11,0)))))</f>
        <v>0</v>
      </c>
      <c r="CM457" s="237" t="n">
        <f aca="false" t="array" ref="CM457:CM457">IF(CM456=0,0,IF(CM456/'🎚️ Escenario'!$C$11&gt;=36,$AL$23,INDEX($C$23:$AL$23,MAX(1,ROUNDUP(CM456/'🎚️ Escenario'!$C$11,0)))))</f>
        <v>0</v>
      </c>
      <c r="CN457" s="237" t="n">
        <f aca="false" t="array" ref="CN457:CN457">IF(CN456=0,0,IF(CN456/'🎚️ Escenario'!$C$11&gt;=36,$AL$23,INDEX($C$23:$AL$23,MAX(1,ROUNDUP(CN456/'🎚️ Escenario'!$C$11,0)))))</f>
        <v>0</v>
      </c>
      <c r="CO457" s="237" t="n">
        <f aca="false" t="array" ref="CO457:CO457">IF(CO456=0,0,IF(CO456/'🎚️ Escenario'!$C$11&gt;=36,$AL$23,INDEX($C$23:$AL$23,MAX(1,ROUNDUP(CO456/'🎚️ Escenario'!$C$11,0)))))</f>
        <v>0</v>
      </c>
      <c r="CP457" s="237" t="n">
        <f aca="false" t="array" ref="CP457:CP457">IF(CP456=0,0,IF(CP456/'🎚️ Escenario'!$C$11&gt;=36,$AL$23,INDEX($C$23:$AL$23,MAX(1,ROUNDUP(CP456/'🎚️ Escenario'!$C$11,0)))))</f>
        <v>0</v>
      </c>
      <c r="CQ457" s="237" t="n">
        <f aca="false" t="array" ref="CQ457:CQ457">IF(CQ456=0,0,IF(CQ456/'🎚️ Escenario'!$C$11&gt;=36,$AL$23,INDEX($C$23:$AL$23,MAX(1,ROUNDUP(CQ456/'🎚️ Escenario'!$C$11,0)))))</f>
        <v>0</v>
      </c>
      <c r="CR457" s="237" t="n">
        <f aca="false" t="array" ref="CR457:CR457">IF(CR456=0,0,IF(CR456/'🎚️ Escenario'!$C$11&gt;=36,$AL$23,INDEX($C$23:$AL$23,MAX(1,ROUNDUP(CR456/'🎚️ Escenario'!$C$11,0)))))</f>
        <v>0</v>
      </c>
      <c r="CS457" s="237" t="n">
        <f aca="false" t="array" ref="CS457:CS457">IF(CS456=0,0,IF(CS456/'🎚️ Escenario'!$C$11&gt;=36,$AL$23,INDEX($C$23:$AL$23,MAX(1,ROUNDUP(CS456/'🎚️ Escenario'!$C$11,0)))))</f>
        <v>0</v>
      </c>
      <c r="CT457" s="237" t="n">
        <f aca="false" t="array" ref="CT457:CT457">IF(CT456=0,0,IF(CT456/'🎚️ Escenario'!$C$11&gt;=36,$AL$23,INDEX($C$23:$AL$23,MAX(1,ROUNDUP(CT456/'🎚️ Escenario'!$C$11,0)))))</f>
        <v>0</v>
      </c>
      <c r="CU457" s="237" t="n">
        <f aca="false" t="array" ref="CU457:CU457">IF(CU456=0,0,IF(CU456/'🎚️ Escenario'!$C$11&gt;=36,$AL$23,INDEX($C$23:$AL$23,MAX(1,ROUNDUP(CU456/'🎚️ Escenario'!$C$11,0)))))</f>
        <v>0</v>
      </c>
      <c r="CV457" s="237" t="n">
        <f aca="false" t="array" ref="CV457:CV457">IF(CV456=0,0,IF(CV456/'🎚️ Escenario'!$C$11&gt;=36,$AL$23,INDEX($C$23:$AL$23,MAX(1,ROUNDUP(CV456/'🎚️ Escenario'!$C$11,0)))))</f>
        <v>0</v>
      </c>
      <c r="CW457" s="237" t="n">
        <f aca="false" t="array" ref="CW457:CW457">IF(CW456=0,0,IF(CW456/'🎚️ Escenario'!$C$11&gt;=36,$AL$23,INDEX($C$23:$AL$23,MAX(1,ROUNDUP(CW456/'🎚️ Escenario'!$C$11,0)))))</f>
        <v>0</v>
      </c>
      <c r="CX457" s="237" t="n">
        <f aca="false" t="array" ref="CX457:CX457">IF(CX456=0,0,IF(CX456/'🎚️ Escenario'!$C$11&gt;=36,$AL$23,INDEX($C$23:$AL$23,MAX(1,ROUNDUP(CX456/'🎚️ Escenario'!$C$11,0)))))</f>
        <v>0</v>
      </c>
      <c r="CY457" s="237" t="n">
        <f aca="false" t="array" ref="CY457:CY457">IF(CY456=0,0,IF(CY456/'🎚️ Escenario'!$C$11&gt;=36,$AL$23,INDEX($C$23:$AL$23,MAX(1,ROUNDUP(CY456/'🎚️ Escenario'!$C$11,0)))))</f>
        <v>0</v>
      </c>
      <c r="CZ457" s="237" t="n">
        <f aca="false" t="array" ref="CZ457:CZ457">IF(CZ456=0,0,IF(CZ456/'🎚️ Escenario'!$C$11&gt;=36,$AL$23,INDEX($C$23:$AL$23,MAX(1,ROUNDUP(CZ456/'🎚️ Escenario'!$C$11,0)))))</f>
        <v>0</v>
      </c>
      <c r="DA457" s="237" t="n">
        <f aca="false" t="array" ref="DA457:DA457">IF(DA456=0,0,IF(DA456/'🎚️ Escenario'!$C$11&gt;=36,$AL$23,INDEX($C$23:$AL$23,MAX(1,ROUNDUP(DA456/'🎚️ Escenario'!$C$11,0)))))</f>
        <v>0</v>
      </c>
      <c r="DB457" s="237" t="n">
        <f aca="false" t="array" ref="DB457:DB457">IF(DB456=0,0,IF(DB456/'🎚️ Escenario'!$C$11&gt;=36,$AL$23,INDEX($C$23:$AL$23,MAX(1,ROUNDUP(DB456/'🎚️ Escenario'!$C$11,0)))))</f>
        <v>0</v>
      </c>
      <c r="DC457" s="237" t="n">
        <f aca="false" t="array" ref="DC457:DC457">IF(DC456=0,0,IF(DC456/'🎚️ Escenario'!$C$11&gt;=36,$AL$23,INDEX($C$23:$AL$23,MAX(1,ROUNDUP(DC456/'🎚️ Escenario'!$C$11,0)))))</f>
        <v>0</v>
      </c>
      <c r="DD457" s="237" t="n">
        <f aca="false" t="array" ref="DD457:DD457">IF(DD456=0,0,IF(DD456/'🎚️ Escenario'!$C$11&gt;=36,$AL$23,INDEX($C$23:$AL$23,MAX(1,ROUNDUP(DD456/'🎚️ Escenario'!$C$11,0)))))</f>
        <v>0</v>
      </c>
      <c r="DE457" s="237" t="n">
        <f aca="false" t="array" ref="DE457:DE457">IF(DE456=0,0,IF(DE456/'🎚️ Escenario'!$C$11&gt;=36,$AL$23,INDEX($C$23:$AL$23,MAX(1,ROUNDUP(DE456/'🎚️ Escenario'!$C$11,0)))))</f>
        <v>0</v>
      </c>
      <c r="DF457" s="237" t="n">
        <f aca="false" t="array" ref="DF457:DF457">IF(DF456=0,0,IF(DF456/'🎚️ Escenario'!$C$11&gt;=36,$AL$23,INDEX($C$23:$AL$23,MAX(1,ROUNDUP(DF456/'🎚️ Escenario'!$C$11,0)))))</f>
        <v>0</v>
      </c>
      <c r="DG457" s="237" t="n">
        <f aca="false" t="array" ref="DG457:DG457">IF(DG456=0,0,IF(DG456/'🎚️ Escenario'!$C$11&gt;=36,$AL$23,INDEX($C$23:$AL$23,MAX(1,ROUNDUP(DG456/'🎚️ Escenario'!$C$11,0)))))</f>
        <v>0</v>
      </c>
      <c r="DH457" s="237" t="n">
        <f aca="false" t="array" ref="DH457:DH457">IF(DH456=0,0,IF(DH456/'🎚️ Escenario'!$C$11&gt;=36,$AL$23,INDEX($C$23:$AL$23,MAX(1,ROUNDUP(DH456/'🎚️ Escenario'!$C$11,0)))))</f>
        <v>0</v>
      </c>
      <c r="DI457" s="237" t="n">
        <f aca="false" t="array" ref="DI457:DI457">IF(DI456=0,0,IF(DI456/'🎚️ Escenario'!$C$11&gt;=36,$AL$23,INDEX($C$23:$AL$23,MAX(1,ROUNDUP(DI456/'🎚️ Escenario'!$C$11,0)))))</f>
        <v>0</v>
      </c>
      <c r="DJ457" s="237" t="n">
        <f aca="false" t="array" ref="DJ457:DJ457">IF(DJ456=0,0,IF(DJ456/'🎚️ Escenario'!$C$11&gt;=36,$AL$23,INDEX($C$23:$AL$23,MAX(1,ROUNDUP(DJ456/'🎚️ Escenario'!$C$11,0)))))</f>
        <v>0</v>
      </c>
      <c r="DK457" s="237" t="n">
        <f aca="false" t="array" ref="DK457:DK457">IF(DK456=0,0,IF(DK456/'🎚️ Escenario'!$C$11&gt;=36,$AL$23,INDEX($C$23:$AL$23,MAX(1,ROUNDUP(DK456/'🎚️ Escenario'!$C$11,0)))))</f>
        <v>0</v>
      </c>
      <c r="DL457" s="237" t="n">
        <f aca="false" t="array" ref="DL457:DL457">IF(DL456=0,0,IF(DL456/'🎚️ Escenario'!$C$11&gt;=36,$AL$23,INDEX($C$23:$AL$23,MAX(1,ROUNDUP(DL456/'🎚️ Escenario'!$C$11,0)))))</f>
        <v>0</v>
      </c>
      <c r="DM457" s="237" t="n">
        <f aca="false" t="array" ref="DM457:DM457">IF(DM456=0,0,IF(DM456/'🎚️ Escenario'!$C$11&gt;=36,$AL$23,INDEX($C$23:$AL$23,MAX(1,ROUNDUP(DM456/'🎚️ Escenario'!$C$11,0)))))</f>
        <v>0</v>
      </c>
      <c r="DN457" s="237" t="n">
        <f aca="false" t="array" ref="DN457:DN457">IF(DN456=0,0,IF(DN456/'🎚️ Escenario'!$C$11&gt;=36,$AL$23,INDEX($C$23:$AL$23,MAX(1,ROUNDUP(DN456/'🎚️ Escenario'!$C$11,0)))))</f>
        <v>0</v>
      </c>
      <c r="DO457" s="237" t="n">
        <f aca="false" t="array" ref="DO457:DO457">IF(DO456=0,0,IF(DO456/'🎚️ Escenario'!$C$11&gt;=36,$AL$23,INDEX($C$23:$AL$23,MAX(1,ROUNDUP(DO456/'🎚️ Escenario'!$C$11,0)))))</f>
        <v>0</v>
      </c>
      <c r="DP457" s="237" t="n">
        <f aca="false" t="array" ref="DP457:DP457">IF(DP456=0,0,IF(DP456/'🎚️ Escenario'!$C$11&gt;=36,$AL$23,INDEX($C$23:$AL$23,MAX(1,ROUNDUP(DP456/'🎚️ Escenario'!$C$11,0)))))</f>
        <v>0</v>
      </c>
      <c r="DQ457" s="237" t="n">
        <f aca="false" t="array" ref="DQ457:DQ457">IF(DQ456=0,0,IF(DQ456/'🎚️ Escenario'!$C$11&gt;=36,$AL$23,INDEX($C$23:$AL$23,MAX(1,ROUNDUP(DQ456/'🎚️ Escenario'!$C$11,0)))))</f>
        <v>0</v>
      </c>
      <c r="DR457" s="237" t="n">
        <f aca="false" t="array" ref="DR457:DR457">IF(DR456=0,0,IF(DR456/'🎚️ Escenario'!$C$11&gt;=36,$AL$23,INDEX($C$23:$AL$23,MAX(1,ROUNDUP(DR456/'🎚️ Escenario'!$C$11,0)))))</f>
        <v>0</v>
      </c>
      <c r="DS457" s="237" t="n">
        <f aca="false" t="array" ref="DS457:DS457">IF(DS456=0,0,IF(DS456/'🎚️ Escenario'!$C$11&gt;=36,$AL$23,INDEX($C$23:$AL$23,MAX(1,ROUNDUP(DS456/'🎚️ Escenario'!$C$11,0)))))</f>
        <v>0</v>
      </c>
      <c r="DT457" s="237" t="n">
        <f aca="false" t="array" ref="DT457:DT457">IF(DT456=0,0,IF(DT456/'🎚️ Escenario'!$C$11&gt;=36,$AL$23,INDEX($C$23:$AL$23,MAX(1,ROUNDUP(DT456/'🎚️ Escenario'!$C$11,0)))))</f>
        <v>0</v>
      </c>
      <c r="DU457" s="237" t="n">
        <f aca="false" t="array" ref="DU457:DU457">IF(DU456=0,0,IF(DU456/'🎚️ Escenario'!$C$11&gt;=36,$AL$23,INDEX($C$23:$AL$23,MAX(1,ROUNDUP(DU456/'🎚️ Escenario'!$C$11,0)))))</f>
        <v>0</v>
      </c>
      <c r="DV457" s="237" t="n">
        <f aca="false" t="array" ref="DV457:DV457">IF(DV456=0,0,IF(DV456/'🎚️ Escenario'!$C$11&gt;=36,$AL$23,INDEX($C$23:$AL$23,MAX(1,ROUNDUP(DV456/'🎚️ Escenario'!$C$11,0)))))</f>
        <v>0</v>
      </c>
      <c r="DW457" s="237" t="n">
        <f aca="false" t="array" ref="DW457:DW457">IF(DW456=0,0,IF(DW456/'🎚️ Escenario'!$C$11&gt;=36,$AL$23,INDEX($C$23:$AL$23,MAX(1,ROUNDUP(DW456/'🎚️ Escenario'!$C$11,0)))))</f>
        <v>0</v>
      </c>
      <c r="DX457" s="237" t="n">
        <f aca="false" t="array" ref="DX457:DX457">IF(DX456=0,0,IF(DX456/'🎚️ Escenario'!$C$11&gt;=36,$AL$23,INDEX($C$23:$AL$23,MAX(1,ROUNDUP(DX456/'🎚️ Escenario'!$C$11,0)))))</f>
        <v>0</v>
      </c>
      <c r="DY457" s="237" t="n">
        <f aca="false" t="array" ref="DY457:DY457">IF(DY456=0,0,IF(DY456/'🎚️ Escenario'!$C$11&gt;=36,$AL$23,INDEX($C$23:$AL$23,MAX(1,ROUNDUP(DY456/'🎚️ Escenario'!$C$11,0)))))</f>
        <v>0</v>
      </c>
      <c r="DZ457" s="237" t="n">
        <f aca="false" t="array" ref="DZ457:DZ457">IF(DZ456=0,0,IF(DZ456/'🎚️ Escenario'!$C$11&gt;=36,$AL$23,INDEX($C$23:$AL$23,MAX(1,ROUNDUP(DZ456/'🎚️ Escenario'!$C$11,0)))))</f>
        <v>0</v>
      </c>
      <c r="EA457" s="237" t="n">
        <f aca="false" t="array" ref="EA457:EA457">IF(EA456=0,0,IF(EA456/'🎚️ Escenario'!$C$11&gt;=36,$AL$23,INDEX($C$23:$AL$23,MAX(1,ROUNDUP(EA456/'🎚️ Escenario'!$C$11,0)))))</f>
        <v>0</v>
      </c>
      <c r="EB457" s="237" t="n">
        <f aca="false" t="array" ref="EB457:EB457">IF(EB456=0,0,IF(EB456/'🎚️ Escenario'!$C$11&gt;=36,$AL$23,INDEX($C$23:$AL$23,MAX(1,ROUNDUP(EB456/'🎚️ Escenario'!$C$11,0)))))</f>
        <v>0</v>
      </c>
      <c r="EC457" s="237" t="n">
        <f aca="false" t="array" ref="EC457:EC457">IF(EC456=0,0,IF(EC456/'🎚️ Escenario'!$C$11&gt;=36,$AL$23,INDEX($C$23:$AL$23,MAX(1,ROUNDUP(EC456/'🎚️ Escenario'!$C$11,0)))))</f>
        <v>0</v>
      </c>
      <c r="ED457" s="237" t="n">
        <f aca="false" t="array" ref="ED457:ED457">IF(ED456=0,0,IF(ED456/'🎚️ Escenario'!$C$11&gt;=36,$AL$23,INDEX($C$23:$AL$23,MAX(1,ROUNDUP(ED456/'🎚️ Escenario'!$C$11,0)))))</f>
        <v>0</v>
      </c>
      <c r="EE457" s="237" t="n">
        <f aca="false" t="array" ref="EE457:EE457">IF(EE456=0,0,IF(EE456/'🎚️ Escenario'!$C$11&gt;=36,$AL$23,INDEX($C$23:$AL$23,MAX(1,ROUNDUP(EE456/'🎚️ Escenario'!$C$11,0)))))</f>
        <v>0</v>
      </c>
      <c r="EF457" s="237" t="n">
        <f aca="false" t="array" ref="EF457:EF457">IF(EF456=0,0,IF(EF456/'🎚️ Escenario'!$C$11&gt;=36,$AL$23,INDEX($C$23:$AL$23,MAX(1,ROUNDUP(EF456/'🎚️ Escenario'!$C$11,0)))))</f>
        <v>0</v>
      </c>
      <c r="EG457" s="237" t="n">
        <f aca="false" t="array" ref="EG457:EG457">IF(EG456=0,0,IF(EG456/'🎚️ Escenario'!$C$11&gt;=36,$AL$23,INDEX($C$23:$AL$23,MAX(1,ROUNDUP(EG456/'🎚️ Escenario'!$C$11,0)))))</f>
        <v>0</v>
      </c>
      <c r="EH457" s="237" t="n">
        <f aca="false" t="array" ref="EH457:EH457">IF(EH456=0,0,IF(EH456/'🎚️ Escenario'!$C$11&gt;=36,$AL$23,INDEX($C$23:$AL$23,MAX(1,ROUNDUP(EH456/'🎚️ Escenario'!$C$11,0)))))</f>
        <v>0.2</v>
      </c>
      <c r="EI457" s="237" t="n">
        <f aca="false" t="array" ref="EI457:EI457">IF(EI456=0,0,IF(EI456/'🎚️ Escenario'!$C$11&gt;=36,$AL$23,INDEX($C$23:$AL$23,MAX(1,ROUNDUP(EI456/'🎚️ Escenario'!$C$11,0)))))</f>
        <v>0.22</v>
      </c>
      <c r="EJ457" s="237" t="n">
        <f aca="false" t="array" ref="EJ457:EJ457">IF(EJ456=0,0,IF(EJ456/'🎚️ Escenario'!$C$11&gt;=36,$AL$23,INDEX($C$23:$AL$23,MAX(1,ROUNDUP(EJ456/'🎚️ Escenario'!$C$11,0)))))</f>
        <v>0.24</v>
      </c>
      <c r="EK457" s="237" t="n">
        <f aca="false" t="array" ref="EK457:EK457">IF(EK456=0,0,IF(EK456/'🎚️ Escenario'!$C$11&gt;=36,$AL$23,INDEX($C$23:$AL$23,MAX(1,ROUNDUP(EK456/'🎚️ Escenario'!$C$11,0)))))</f>
        <v>0.27</v>
      </c>
      <c r="EL457" s="237" t="n">
        <f aca="false" t="array" ref="EL457:EL457">IF(EL456=0,0,IF(EL456/'🎚️ Escenario'!$C$11&gt;=36,$AL$23,INDEX($C$23:$AL$23,MAX(1,ROUNDUP(EL456/'🎚️ Escenario'!$C$11,0)))))</f>
        <v>0.27</v>
      </c>
      <c r="EM457" s="237" t="n">
        <f aca="false" t="array" ref="EM457:EM457">IF(EM456=0,0,IF(EM456/'🎚️ Escenario'!$C$11&gt;=36,$AL$23,INDEX($C$23:$AL$23,MAX(1,ROUNDUP(EM456/'🎚️ Escenario'!$C$11,0)))))</f>
        <v>0.31</v>
      </c>
      <c r="EN457" s="237" t="n">
        <f aca="false" t="array" ref="EN457:EN457">IF(EN456=0,0,IF(EN456/'🎚️ Escenario'!$C$11&gt;=36,$AL$23,INDEX($C$23:$AL$23,MAX(1,ROUNDUP(EN456/'🎚️ Escenario'!$C$11,0)))))</f>
        <v>0.35</v>
      </c>
      <c r="EO457" s="237" t="n">
        <f aca="false" t="array" ref="EO457:EO457">IF(EO456=0,0,IF(EO456/'🎚️ Escenario'!$C$11&gt;=36,$AL$23,INDEX($C$23:$AL$23,MAX(1,ROUNDUP(EO456/'🎚️ Escenario'!$C$11,0)))))</f>
        <v>0.39</v>
      </c>
      <c r="EP457" s="237" t="n">
        <f aca="false" t="array" ref="EP457:EP457">IF(EP456=0,0,IF(EP456/'🎚️ Escenario'!$C$11&gt;=36,$AL$23,INDEX($C$23:$AL$23,MAX(1,ROUNDUP(EP456/'🎚️ Escenario'!$C$11,0)))))</f>
        <v>0.44</v>
      </c>
      <c r="EQ457" s="237" t="n">
        <f aca="false" t="array" ref="EQ457:EQ457">IF(EQ456=0,0,IF(EQ456/'🎚️ Escenario'!$C$11&gt;=36,$AL$23,INDEX($C$23:$AL$23,MAX(1,ROUNDUP(EQ456/'🎚️ Escenario'!$C$11,0)))))</f>
        <v>0.44</v>
      </c>
      <c r="ER457" s="237" t="n">
        <f aca="false" t="array" ref="ER457:ER457">IF(ER456=0,0,IF(ER456/'🎚️ Escenario'!$C$11&gt;=36,$AL$23,INDEX($C$23:$AL$23,MAX(1,ROUNDUP(ER456/'🎚️ Escenario'!$C$11,0)))))</f>
        <v>0.48</v>
      </c>
      <c r="ES457" s="9" t="n">
        <f aca="false" t="array" ref="ES457:ES457">IF(ES456=0,0,IF(ES456/'🎚️ Escenario'!$C$11&gt;=36,$AL$23,INDEX($C$23:$AL$23,MAX(1,ROUNDUP(ES456/'🎚️ Escenario'!$C$11,0)))))</f>
        <v>0.52</v>
      </c>
      <c r="ET457" s="9" t="n">
        <f aca="false" t="array" ref="ET457:ET457">IF(ET456=0,0,IF(ET456/'🎚️ Escenario'!$C$11&gt;=36,$AL$23,INDEX($C$23:$AL$23,MAX(1,ROUNDUP(ET456/'🎚️ Escenario'!$C$11,0)))))</f>
        <v>0.56</v>
      </c>
      <c r="EU457" s="9" t="n">
        <f aca="false" t="array" ref="EU457:EU457">IF(EU456=0,0,IF(EU456/'🎚️ Escenario'!$C$11&gt;=36,$AL$23,INDEX($C$23:$AL$23,MAX(1,ROUNDUP(EU456/'🎚️ Escenario'!$C$11,0)))))</f>
        <v>0.6</v>
      </c>
      <c r="EV457" s="9" t="n">
        <f aca="false" t="array" ref="EV457:EV457">IF(EV456=0,0,IF(EV456/'🎚️ Escenario'!$C$11&gt;=36,$AL$23,INDEX($C$23:$AL$23,MAX(1,ROUNDUP(EV456/'🎚️ Escenario'!$C$11,0)))))</f>
        <v>0.6</v>
      </c>
      <c r="EW457" s="9" t="n">
        <f aca="false" t="array" ref="EW457:EW457">IF(EW456=0,0,IF(EW456/'🎚️ Escenario'!$C$11&gt;=36,$AL$23,INDEX($C$23:$AL$23,MAX(1,ROUNDUP(EW456/'🎚️ Escenario'!$C$11,0)))))</f>
        <v>0.63</v>
      </c>
      <c r="EX457" s="9" t="n">
        <f aca="false" t="array" ref="EX457:EX457">IF(EX456=0,0,IF(EX456/'🎚️ Escenario'!$C$11&gt;=36,$AL$23,INDEX($C$23:$AL$23,MAX(1,ROUNDUP(EX456/'🎚️ Escenario'!$C$11,0)))))</f>
        <v>0.66</v>
      </c>
      <c r="EY457" s="9" t="n">
        <f aca="false" t="array" ref="EY457:EY457">IF(EY456=0,0,IF(EY456/'🎚️ Escenario'!$C$11&gt;=36,$AL$23,INDEX($C$23:$AL$23,MAX(1,ROUNDUP(EY456/'🎚️ Escenario'!$C$11,0)))))</f>
        <v>0.69</v>
      </c>
      <c r="EZ457" s="9" t="n">
        <f aca="false" t="array" ref="EZ457:EZ457">IF(EZ456=0,0,IF(EZ456/'🎚️ Escenario'!$C$11&gt;=36,$AL$23,INDEX($C$23:$AL$23,MAX(1,ROUNDUP(EZ456/'🎚️ Escenario'!$C$11,0)))))</f>
        <v>0.71</v>
      </c>
      <c r="FA457" s="9" t="n">
        <f aca="false" t="array" ref="FA457:FA457">IF(FA456=0,0,IF(FA456/'🎚️ Escenario'!$C$11&gt;=36,$AL$23,INDEX($C$23:$AL$23,MAX(1,ROUNDUP(FA456/'🎚️ Escenario'!$C$11,0)))))</f>
        <v>0.71</v>
      </c>
      <c r="FB457" s="9" t="n">
        <f aca="false" t="array" ref="FB457:FB457">IF(FB456=0,0,IF(FB456/'🎚️ Escenario'!$C$11&gt;=36,$AL$23,INDEX($C$23:$AL$23,MAX(1,ROUNDUP(FB456/'🎚️ Escenario'!$C$11,0)))))</f>
        <v>0.73</v>
      </c>
      <c r="FC457" s="9" t="n">
        <f aca="false" t="array" ref="FC457:FC457">IF(FC456=0,0,IF(FC456/'🎚️ Escenario'!$C$11&gt;=36,$AL$23,INDEX($C$23:$AL$23,MAX(1,ROUNDUP(FC456/'🎚️ Escenario'!$C$11,0)))))</f>
        <v>0.75</v>
      </c>
      <c r="FD457" s="9" t="n">
        <f aca="false" t="array" ref="FD457:FD457">IF(FD456=0,0,IF(FD456/'🎚️ Escenario'!$C$11&gt;=36,$AL$23,INDEX($C$23:$AL$23,MAX(1,ROUNDUP(FD456/'🎚️ Escenario'!$C$11,0)))))</f>
        <v>0.77</v>
      </c>
      <c r="FE457" s="9" t="n">
        <f aca="false" t="array" ref="FE457:FE457">IF(FE456=0,0,IF(FE456/'🎚️ Escenario'!$C$11&gt;=36,$AL$23,INDEX($C$23:$AL$23,MAX(1,ROUNDUP(FE456/'🎚️ Escenario'!$C$11,0)))))</f>
        <v>0.79</v>
      </c>
      <c r="FF457" s="9" t="n">
        <f aca="false" t="array" ref="FF457:FF457">IF(FF456=0,0,IF(FF456/'🎚️ Escenario'!$C$11&gt;=36,$AL$23,INDEX($C$23:$AL$23,MAX(1,ROUNDUP(FF456/'🎚️ Escenario'!$C$11,0)))))</f>
        <v>0.79</v>
      </c>
      <c r="FG457" s="9" t="n">
        <f aca="false" t="array" ref="FG457:FG457">IF(FG456=0,0,IF(FG456/'🎚️ Escenario'!$C$11&gt;=36,$AL$23,INDEX($C$23:$AL$23,MAX(1,ROUNDUP(FG456/'🎚️ Escenario'!$C$11,0)))))</f>
        <v>0.8</v>
      </c>
      <c r="FH457" s="9" t="n">
        <f aca="false" t="array" ref="FH457:FH457">IF(FH456=0,0,IF(FH456/'🎚️ Escenario'!$C$11&gt;=36,$AL$23,INDEX($C$23:$AL$23,MAX(1,ROUNDUP(FH456/'🎚️ Escenario'!$C$11,0)))))</f>
        <v>0.82</v>
      </c>
      <c r="FI457" s="9" t="n">
        <f aca="false" t="array" ref="FI457:FI457">IF(FI456=0,0,IF(FI456/'🎚️ Escenario'!$C$11&gt;=36,$AL$23,INDEX($C$23:$AL$23,MAX(1,ROUNDUP(FI456/'🎚️ Escenario'!$C$11,0)))))</f>
        <v>0.84</v>
      </c>
      <c r="FJ457" s="9" t="n">
        <f aca="false" t="array" ref="FJ457:FJ457">IF(FJ456=0,0,IF(FJ456/'🎚️ Escenario'!$C$11&gt;=36,$AL$23,INDEX($C$23:$AL$23,MAX(1,ROUNDUP(FJ456/'🎚️ Escenario'!$C$11,0)))))</f>
        <v>0.85</v>
      </c>
      <c r="FK457" s="9" t="n">
        <f aca="false" t="array" ref="FK457:FK457">IF(FK456=0,0,IF(FK456/'🎚️ Escenario'!$C$11&gt;=36,$AL$23,INDEX($C$23:$AL$23,MAX(1,ROUNDUP(FK456/'🎚️ Escenario'!$C$11,0)))))</f>
        <v>0.85</v>
      </c>
      <c r="FL457" s="9" t="n">
        <f aca="false" t="array" ref="FL457:FL457">IF(FL456=0,0,IF(FL456/'🎚️ Escenario'!$C$11&gt;=36,$AL$23,INDEX($C$23:$AL$23,MAX(1,ROUNDUP(FL456/'🎚️ Escenario'!$C$11,0)))))</f>
        <v>0.86</v>
      </c>
      <c r="FM457" s="9" t="n">
        <f aca="false" t="array" ref="FM457:FM457">IF(FM456=0,0,IF(FM456/'🎚️ Escenario'!$C$11&gt;=36,$AL$23,INDEX($C$23:$AL$23,MAX(1,ROUNDUP(FM456/'🎚️ Escenario'!$C$11,0)))))</f>
        <v>0.88</v>
      </c>
      <c r="FN457" s="9" t="n">
        <f aca="false" t="array" ref="FN457:FN457">IF(FN456=0,0,IF(FN456/'🎚️ Escenario'!$C$11&gt;=36,$AL$23,INDEX($C$23:$AL$23,MAX(1,ROUNDUP(FN456/'🎚️ Escenario'!$C$11,0)))))</f>
        <v>0.89</v>
      </c>
      <c r="FO457" s="9" t="n">
        <f aca="false" t="array" ref="FO457:FO457">IF(FO456=0,0,IF(FO456/'🎚️ Escenario'!$C$11&gt;=36,$AL$23,INDEX($C$23:$AL$23,MAX(1,ROUNDUP(FO456/'🎚️ Escenario'!$C$11,0)))))</f>
        <v>0.9</v>
      </c>
      <c r="FP457" s="9" t="n">
        <f aca="false" t="array" ref="FP457:FP457">IF(FP456=0,0,IF(FP456/'🎚️ Escenario'!$C$11&gt;=36,$AL$23,INDEX($C$23:$AL$23,MAX(1,ROUNDUP(FP456/'🎚️ Escenario'!$C$11,0)))))</f>
        <v>0.9</v>
      </c>
    </row>
    <row r="458" customFormat="false" ht="15" hidden="false" customHeight="false" outlineLevel="2" collapsed="false">
      <c r="B458" s="47" t="s">
        <v>875</v>
      </c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237" t="n">
        <f aca="false">IF(AC456=0,0,IF(AC456&lt;=12*'🎚️ Escenario'!$C$11,1,1+$C$6))</f>
        <v>0</v>
      </c>
      <c r="AD458" s="237" t="n">
        <f aca="false">IF(AD456=0,0,IF(AD456&lt;=12*'🎚️ Escenario'!$C$11,1,1+$C$6))</f>
        <v>0</v>
      </c>
      <c r="AE458" s="237" t="n">
        <f aca="false">IF(AE456=0,0,IF(AE456&lt;=12*'🎚️ Escenario'!$C$11,1,1+$C$6))</f>
        <v>0</v>
      </c>
      <c r="AF458" s="237" t="n">
        <f aca="false">IF(AF456=0,0,IF(AF456&lt;=12*'🎚️ Escenario'!$C$11,1,1+$C$6))</f>
        <v>0</v>
      </c>
      <c r="AG458" s="237" t="n">
        <f aca="false">IF(AG456=0,0,IF(AG456&lt;=12*'🎚️ Escenario'!$C$11,1,1+$C$6))</f>
        <v>0</v>
      </c>
      <c r="AH458" s="237" t="n">
        <f aca="false">IF(AH456=0,0,IF(AH456&lt;=12*'🎚️ Escenario'!$C$11,1,1+$C$6))</f>
        <v>0</v>
      </c>
      <c r="AI458" s="237" t="n">
        <f aca="false">IF(AI456=0,0,IF(AI456&lt;=12*'🎚️ Escenario'!$C$11,1,1+$C$6))</f>
        <v>0</v>
      </c>
      <c r="AJ458" s="237" t="n">
        <f aca="false">IF(AJ456=0,0,IF(AJ456&lt;=12*'🎚️ Escenario'!$C$11,1,1+$C$6))</f>
        <v>0</v>
      </c>
      <c r="AK458" s="237" t="n">
        <f aca="false">IF(AK456=0,0,IF(AK456&lt;=12*'🎚️ Escenario'!$C$11,1,1+$C$6))</f>
        <v>0</v>
      </c>
      <c r="AL458" s="237" t="n">
        <f aca="false">IF(AL456=0,0,IF(AL456&lt;=12*'🎚️ Escenario'!$C$11,1,1+$C$6))</f>
        <v>0</v>
      </c>
      <c r="AM458" s="237" t="n">
        <f aca="false">IF(AM456=0,0,IF(AM456&lt;=12*'🎚️ Escenario'!$C$11,1,1+$C$6))</f>
        <v>0</v>
      </c>
      <c r="AN458" s="237" t="n">
        <f aca="false">IF(AN456=0,0,IF(AN456&lt;=12*'🎚️ Escenario'!$C$11,1,1+$C$6))</f>
        <v>0</v>
      </c>
      <c r="AO458" s="237" t="n">
        <f aca="false">IF(AO456=0,0,IF(AO456&lt;=12*'🎚️ Escenario'!$C$11,1,1+$C$6))</f>
        <v>0</v>
      </c>
      <c r="AP458" s="237" t="n">
        <f aca="false">IF(AP456=0,0,IF(AP456&lt;=12*'🎚️ Escenario'!$C$11,1,1+$C$6))</f>
        <v>0</v>
      </c>
      <c r="AQ458" s="237" t="n">
        <f aca="false">IF(AQ456=0,0,IF(AQ456&lt;=12*'🎚️ Escenario'!$C$11,1,1+$C$6))</f>
        <v>0</v>
      </c>
      <c r="AR458" s="237" t="n">
        <f aca="false">IF(AR456=0,0,IF(AR456&lt;=12*'🎚️ Escenario'!$C$11,1,1+$C$6))</f>
        <v>0</v>
      </c>
      <c r="AS458" s="237" t="n">
        <f aca="false">IF(AS456=0,0,IF(AS456&lt;=12*'🎚️ Escenario'!$C$11,1,1+$C$6))</f>
        <v>0</v>
      </c>
      <c r="AT458" s="237" t="n">
        <f aca="false">IF(AT456=0,0,IF(AT456&lt;=12*'🎚️ Escenario'!$C$11,1,1+$C$6))</f>
        <v>0</v>
      </c>
      <c r="AU458" s="237" t="n">
        <f aca="false">IF(AU456=0,0,IF(AU456&lt;=12*'🎚️ Escenario'!$C$11,1,1+$C$6))</f>
        <v>0</v>
      </c>
      <c r="AV458" s="237" t="n">
        <f aca="false">IF(AV456=0,0,IF(AV456&lt;=12*'🎚️ Escenario'!$C$11,1,1+$C$6))</f>
        <v>0</v>
      </c>
      <c r="AW458" s="237" t="n">
        <f aca="false">IF(AW456=0,0,IF(AW456&lt;=12*'🎚️ Escenario'!$C$11,1,1+$C$6))</f>
        <v>0</v>
      </c>
      <c r="AX458" s="237" t="n">
        <f aca="false">IF(AX456=0,0,IF(AX456&lt;=12*'🎚️ Escenario'!$C$11,1,1+$C$6))</f>
        <v>0</v>
      </c>
      <c r="AY458" s="237" t="n">
        <f aca="false">IF(AY456=0,0,IF(AY456&lt;=12*'🎚️ Escenario'!$C$11,1,1+$C$6))</f>
        <v>0</v>
      </c>
      <c r="AZ458" s="237" t="n">
        <f aca="false">IF(AZ456=0,0,IF(AZ456&lt;=12*'🎚️ Escenario'!$C$11,1,1+$C$6))</f>
        <v>0</v>
      </c>
      <c r="BA458" s="237" t="n">
        <f aca="false">IF(BA456=0,0,IF(BA456&lt;=12*'🎚️ Escenario'!$C$11,1,1+$C$6))</f>
        <v>0</v>
      </c>
      <c r="BB458" s="237" t="n">
        <f aca="false">IF(BB456=0,0,IF(BB456&lt;=12*'🎚️ Escenario'!$C$11,1,1+$C$6))</f>
        <v>0</v>
      </c>
      <c r="BC458" s="237" t="n">
        <f aca="false">IF(BC456=0,0,IF(BC456&lt;=12*'🎚️ Escenario'!$C$11,1,1+$C$6))</f>
        <v>0</v>
      </c>
      <c r="BD458" s="237" t="n">
        <f aca="false">IF(BD456=0,0,IF(BD456&lt;=12*'🎚️ Escenario'!$C$11,1,1+$C$6))</f>
        <v>0</v>
      </c>
      <c r="BE458" s="237" t="n">
        <f aca="false">IF(BE456=0,0,IF(BE456&lt;=12*'🎚️ Escenario'!$C$11,1,1+$C$6))</f>
        <v>0</v>
      </c>
      <c r="BF458" s="237" t="n">
        <f aca="false">IF(BF456=0,0,IF(BF456&lt;=12*'🎚️ Escenario'!$C$11,1,1+$C$6))</f>
        <v>0</v>
      </c>
      <c r="BG458" s="237" t="n">
        <f aca="false">IF(BG456=0,0,IF(BG456&lt;=12*'🎚️ Escenario'!$C$11,1,1+$C$6))</f>
        <v>0</v>
      </c>
      <c r="BH458" s="237" t="n">
        <f aca="false">IF(BH456=0,0,IF(BH456&lt;=12*'🎚️ Escenario'!$C$11,1,1+$C$6))</f>
        <v>0</v>
      </c>
      <c r="BI458" s="237" t="n">
        <f aca="false">IF(BI456=0,0,IF(BI456&lt;=12*'🎚️ Escenario'!$C$11,1,1+$C$6))</f>
        <v>0</v>
      </c>
      <c r="BJ458" s="237" t="n">
        <f aca="false">IF(BJ456=0,0,IF(BJ456&lt;=12*'🎚️ Escenario'!$C$11,1,1+$C$6))</f>
        <v>0</v>
      </c>
      <c r="BK458" s="237" t="n">
        <f aca="false">IF(BK456=0,0,IF(BK456&lt;=12*'🎚️ Escenario'!$C$11,1,1+$C$6))</f>
        <v>0</v>
      </c>
      <c r="BL458" s="237" t="n">
        <f aca="false">IF(BL456=0,0,IF(BL456&lt;=12*'🎚️ Escenario'!$C$11,1,1+$C$6))</f>
        <v>0</v>
      </c>
      <c r="BM458" s="237" t="n">
        <f aca="false">IF(BM456=0,0,IF(BM456&lt;=12*'🎚️ Escenario'!$C$11,1,1+$C$6))</f>
        <v>0</v>
      </c>
      <c r="BN458" s="237" t="n">
        <f aca="false">IF(BN456=0,0,IF(BN456&lt;=12*'🎚️ Escenario'!$C$11,1,1+$C$6))</f>
        <v>0</v>
      </c>
      <c r="BO458" s="237" t="n">
        <f aca="false">IF(BO456=0,0,IF(BO456&lt;=12*'🎚️ Escenario'!$C$11,1,1+$C$6))</f>
        <v>0</v>
      </c>
      <c r="BP458" s="237" t="n">
        <f aca="false">IF(BP456=0,0,IF(BP456&lt;=12*'🎚️ Escenario'!$C$11,1,1+$C$6))</f>
        <v>0</v>
      </c>
      <c r="BQ458" s="237" t="n">
        <f aca="false">IF(BQ456=0,0,IF(BQ456&lt;=12*'🎚️ Escenario'!$C$11,1,1+$C$6))</f>
        <v>0</v>
      </c>
      <c r="BR458" s="237" t="n">
        <f aca="false">IF(BR456=0,0,IF(BR456&lt;=12*'🎚️ Escenario'!$C$11,1,1+$C$6))</f>
        <v>0</v>
      </c>
      <c r="BS458" s="237" t="n">
        <f aca="false">IF(BS456=0,0,IF(BS456&lt;=12*'🎚️ Escenario'!$C$11,1,1+$C$6))</f>
        <v>0</v>
      </c>
      <c r="BT458" s="237" t="n">
        <f aca="false">IF(BT456=0,0,IF(BT456&lt;=12*'🎚️ Escenario'!$C$11,1,1+$C$6))</f>
        <v>0</v>
      </c>
      <c r="BU458" s="237" t="n">
        <f aca="false">IF(BU456=0,0,IF(BU456&lt;=12*'🎚️ Escenario'!$C$11,1,1+$C$6))</f>
        <v>0</v>
      </c>
      <c r="BV458" s="237" t="n">
        <f aca="false">IF(BV456=0,0,IF(BV456&lt;=12*'🎚️ Escenario'!$C$11,1,1+$C$6))</f>
        <v>0</v>
      </c>
      <c r="BW458" s="237" t="n">
        <f aca="false">IF(BW456=0,0,IF(BW456&lt;=12*'🎚️ Escenario'!$C$11,1,1+$C$6))</f>
        <v>0</v>
      </c>
      <c r="BX458" s="237" t="n">
        <f aca="false">IF(BX456=0,0,IF(BX456&lt;=12*'🎚️ Escenario'!$C$11,1,1+$C$6))</f>
        <v>0</v>
      </c>
      <c r="BY458" s="237" t="n">
        <f aca="false">IF(BY456=0,0,IF(BY456&lt;=12*'🎚️ Escenario'!$C$11,1,1+$C$6))</f>
        <v>0</v>
      </c>
      <c r="BZ458" s="237" t="n">
        <f aca="false">IF(BZ456=0,0,IF(BZ456&lt;=12*'🎚️ Escenario'!$C$11,1,1+$C$6))</f>
        <v>0</v>
      </c>
      <c r="CA458" s="237" t="n">
        <f aca="false">IF(CA456=0,0,IF(CA456&lt;=12*'🎚️ Escenario'!$C$11,1,1+$C$6))</f>
        <v>0</v>
      </c>
      <c r="CB458" s="237" t="n">
        <f aca="false">IF(CB456=0,0,IF(CB456&lt;=12*'🎚️ Escenario'!$C$11,1,1+$C$6))</f>
        <v>0</v>
      </c>
      <c r="CC458" s="237" t="n">
        <f aca="false">IF(CC456=0,0,IF(CC456&lt;=12*'🎚️ Escenario'!$C$11,1,1+$C$6))</f>
        <v>0</v>
      </c>
      <c r="CD458" s="237" t="n">
        <f aca="false">IF(CD456=0,0,IF(CD456&lt;=12*'🎚️ Escenario'!$C$11,1,1+$C$6))</f>
        <v>0</v>
      </c>
      <c r="CE458" s="237" t="n">
        <f aca="false">IF(CE456=0,0,IF(CE456&lt;=12*'🎚️ Escenario'!$C$11,1,1+$C$6))</f>
        <v>0</v>
      </c>
      <c r="CF458" s="237" t="n">
        <f aca="false">IF(CF456=0,0,IF(CF456&lt;=12*'🎚️ Escenario'!$C$11,1,1+$C$6))</f>
        <v>0</v>
      </c>
      <c r="CG458" s="237" t="n">
        <f aca="false">IF(CG456=0,0,IF(CG456&lt;=12*'🎚️ Escenario'!$C$11,1,1+$C$6))</f>
        <v>0</v>
      </c>
      <c r="CH458" s="237" t="n">
        <f aca="false">IF(CH456=0,0,IF(CH456&lt;=12*'🎚️ Escenario'!$C$11,1,1+$C$6))</f>
        <v>0</v>
      </c>
      <c r="CI458" s="237" t="n">
        <f aca="false">IF(CI456=0,0,IF(CI456&lt;=12*'🎚️ Escenario'!$C$11,1,1+$C$6))</f>
        <v>0</v>
      </c>
      <c r="CJ458" s="237" t="n">
        <f aca="false">IF(CJ456=0,0,IF(CJ456&lt;=12*'🎚️ Escenario'!$C$11,1,1+$C$6))</f>
        <v>0</v>
      </c>
      <c r="CK458" s="237" t="n">
        <f aca="false">IF(CK456=0,0,IF(CK456&lt;=12*'🎚️ Escenario'!$C$11,1,1+$C$6))</f>
        <v>0</v>
      </c>
      <c r="CL458" s="237" t="n">
        <f aca="false">IF(CL456=0,0,IF(CL456&lt;=12*'🎚️ Escenario'!$C$11,1,1+$C$6))</f>
        <v>0</v>
      </c>
      <c r="CM458" s="237" t="n">
        <f aca="false">IF(CM456=0,0,IF(CM456&lt;=12*'🎚️ Escenario'!$C$11,1,1+$C$6))</f>
        <v>0</v>
      </c>
      <c r="CN458" s="237" t="n">
        <f aca="false">IF(CN456=0,0,IF(CN456&lt;=12*'🎚️ Escenario'!$C$11,1,1+$C$6))</f>
        <v>0</v>
      </c>
      <c r="CO458" s="237" t="n">
        <f aca="false">IF(CO456=0,0,IF(CO456&lt;=12*'🎚️ Escenario'!$C$11,1,1+$C$6))</f>
        <v>0</v>
      </c>
      <c r="CP458" s="237" t="n">
        <f aca="false">IF(CP456=0,0,IF(CP456&lt;=12*'🎚️ Escenario'!$C$11,1,1+$C$6))</f>
        <v>0</v>
      </c>
      <c r="CQ458" s="237" t="n">
        <f aca="false">IF(CQ456=0,0,IF(CQ456&lt;=12*'🎚️ Escenario'!$C$11,1,1+$C$6))</f>
        <v>0</v>
      </c>
      <c r="CR458" s="237" t="n">
        <f aca="false">IF(CR456=0,0,IF(CR456&lt;=12*'🎚️ Escenario'!$C$11,1,1+$C$6))</f>
        <v>0</v>
      </c>
      <c r="CS458" s="237" t="n">
        <f aca="false">IF(CS456=0,0,IF(CS456&lt;=12*'🎚️ Escenario'!$C$11,1,1+$C$6))</f>
        <v>0</v>
      </c>
      <c r="CT458" s="237" t="n">
        <f aca="false">IF(CT456=0,0,IF(CT456&lt;=12*'🎚️ Escenario'!$C$11,1,1+$C$6))</f>
        <v>0</v>
      </c>
      <c r="CU458" s="237" t="n">
        <f aca="false">IF(CU456=0,0,IF(CU456&lt;=12*'🎚️ Escenario'!$C$11,1,1+$C$6))</f>
        <v>0</v>
      </c>
      <c r="CV458" s="237" t="n">
        <f aca="false">IF(CV456=0,0,IF(CV456&lt;=12*'🎚️ Escenario'!$C$11,1,1+$C$6))</f>
        <v>0</v>
      </c>
      <c r="CW458" s="237" t="n">
        <f aca="false">IF(CW456=0,0,IF(CW456&lt;=12*'🎚️ Escenario'!$C$11,1,1+$C$6))</f>
        <v>0</v>
      </c>
      <c r="CX458" s="237" t="n">
        <f aca="false">IF(CX456=0,0,IF(CX456&lt;=12*'🎚️ Escenario'!$C$11,1,1+$C$6))</f>
        <v>0</v>
      </c>
      <c r="CY458" s="237" t="n">
        <f aca="false">IF(CY456=0,0,IF(CY456&lt;=12*'🎚️ Escenario'!$C$11,1,1+$C$6))</f>
        <v>0</v>
      </c>
      <c r="CZ458" s="237" t="n">
        <f aca="false">IF(CZ456=0,0,IF(CZ456&lt;=12*'🎚️ Escenario'!$C$11,1,1+$C$6))</f>
        <v>0</v>
      </c>
      <c r="DA458" s="237" t="n">
        <f aca="false">IF(DA456=0,0,IF(DA456&lt;=12*'🎚️ Escenario'!$C$11,1,1+$C$6))</f>
        <v>0</v>
      </c>
      <c r="DB458" s="237" t="n">
        <f aca="false">IF(DB456=0,0,IF(DB456&lt;=12*'🎚️ Escenario'!$C$11,1,1+$C$6))</f>
        <v>0</v>
      </c>
      <c r="DC458" s="237" t="n">
        <f aca="false">IF(DC456=0,0,IF(DC456&lt;=12*'🎚️ Escenario'!$C$11,1,1+$C$6))</f>
        <v>0</v>
      </c>
      <c r="DD458" s="237" t="n">
        <f aca="false">IF(DD456=0,0,IF(DD456&lt;=12*'🎚️ Escenario'!$C$11,1,1+$C$6))</f>
        <v>0</v>
      </c>
      <c r="DE458" s="237" t="n">
        <f aca="false">IF(DE456=0,0,IF(DE456&lt;=12*'🎚️ Escenario'!$C$11,1,1+$C$6))</f>
        <v>0</v>
      </c>
      <c r="DF458" s="237" t="n">
        <f aca="false">IF(DF456=0,0,IF(DF456&lt;=12*'🎚️ Escenario'!$C$11,1,1+$C$6))</f>
        <v>0</v>
      </c>
      <c r="DG458" s="237" t="n">
        <f aca="false">IF(DG456=0,0,IF(DG456&lt;=12*'🎚️ Escenario'!$C$11,1,1+$C$6))</f>
        <v>0</v>
      </c>
      <c r="DH458" s="237" t="n">
        <f aca="false">IF(DH456=0,0,IF(DH456&lt;=12*'🎚️ Escenario'!$C$11,1,1+$C$6))</f>
        <v>0</v>
      </c>
      <c r="DI458" s="237" t="n">
        <f aca="false">IF(DI456=0,0,IF(DI456&lt;=12*'🎚️ Escenario'!$C$11,1,1+$C$6))</f>
        <v>0</v>
      </c>
      <c r="DJ458" s="237" t="n">
        <f aca="false">IF(DJ456=0,0,IF(DJ456&lt;=12*'🎚️ Escenario'!$C$11,1,1+$C$6))</f>
        <v>0</v>
      </c>
      <c r="DK458" s="237" t="n">
        <f aca="false">IF(DK456=0,0,IF(DK456&lt;=12*'🎚️ Escenario'!$C$11,1,1+$C$6))</f>
        <v>0</v>
      </c>
      <c r="DL458" s="237" t="n">
        <f aca="false">IF(DL456=0,0,IF(DL456&lt;=12*'🎚️ Escenario'!$C$11,1,1+$C$6))</f>
        <v>0</v>
      </c>
      <c r="DM458" s="237" t="n">
        <f aca="false">IF(DM456=0,0,IF(DM456&lt;=12*'🎚️ Escenario'!$C$11,1,1+$C$6))</f>
        <v>0</v>
      </c>
      <c r="DN458" s="237" t="n">
        <f aca="false">IF(DN456=0,0,IF(DN456&lt;=12*'🎚️ Escenario'!$C$11,1,1+$C$6))</f>
        <v>0</v>
      </c>
      <c r="DO458" s="237" t="n">
        <f aca="false">IF(DO456=0,0,IF(DO456&lt;=12*'🎚️ Escenario'!$C$11,1,1+$C$6))</f>
        <v>0</v>
      </c>
      <c r="DP458" s="237" t="n">
        <f aca="false">IF(DP456=0,0,IF(DP456&lt;=12*'🎚️ Escenario'!$C$11,1,1+$C$6))</f>
        <v>0</v>
      </c>
      <c r="DQ458" s="237" t="n">
        <f aca="false">IF(DQ456=0,0,IF(DQ456&lt;=12*'🎚️ Escenario'!$C$11,1,1+$C$6))</f>
        <v>0</v>
      </c>
      <c r="DR458" s="237" t="n">
        <f aca="false">IF(DR456=0,0,IF(DR456&lt;=12*'🎚️ Escenario'!$C$11,1,1+$C$6))</f>
        <v>0</v>
      </c>
      <c r="DS458" s="237" t="n">
        <f aca="false">IF(DS456=0,0,IF(DS456&lt;=12*'🎚️ Escenario'!$C$11,1,1+$C$6))</f>
        <v>0</v>
      </c>
      <c r="DT458" s="237" t="n">
        <f aca="false">IF(DT456=0,0,IF(DT456&lt;=12*'🎚️ Escenario'!$C$11,1,1+$C$6))</f>
        <v>0</v>
      </c>
      <c r="DU458" s="237" t="n">
        <f aca="false">IF(DU456=0,0,IF(DU456&lt;=12*'🎚️ Escenario'!$C$11,1,1+$C$6))</f>
        <v>0</v>
      </c>
      <c r="DV458" s="237" t="n">
        <f aca="false">IF(DV456=0,0,IF(DV456&lt;=12*'🎚️ Escenario'!$C$11,1,1+$C$6))</f>
        <v>0</v>
      </c>
      <c r="DW458" s="237" t="n">
        <f aca="false">IF(DW456=0,0,IF(DW456&lt;=12*'🎚️ Escenario'!$C$11,1,1+$C$6))</f>
        <v>0</v>
      </c>
      <c r="DX458" s="237" t="n">
        <f aca="false">IF(DX456=0,0,IF(DX456&lt;=12*'🎚️ Escenario'!$C$11,1,1+$C$6))</f>
        <v>0</v>
      </c>
      <c r="DY458" s="237" t="n">
        <f aca="false">IF(DY456=0,0,IF(DY456&lt;=12*'🎚️ Escenario'!$C$11,1,1+$C$6))</f>
        <v>0</v>
      </c>
      <c r="DZ458" s="237" t="n">
        <f aca="false">IF(DZ456=0,0,IF(DZ456&lt;=12*'🎚️ Escenario'!$C$11,1,1+$C$6))</f>
        <v>0</v>
      </c>
      <c r="EA458" s="237" t="n">
        <f aca="false">IF(EA456=0,0,IF(EA456&lt;=12*'🎚️ Escenario'!$C$11,1,1+$C$6))</f>
        <v>0</v>
      </c>
      <c r="EB458" s="237" t="n">
        <f aca="false">IF(EB456=0,0,IF(EB456&lt;=12*'🎚️ Escenario'!$C$11,1,1+$C$6))</f>
        <v>0</v>
      </c>
      <c r="EC458" s="237" t="n">
        <f aca="false">IF(EC456=0,0,IF(EC456&lt;=12*'🎚️ Escenario'!$C$11,1,1+$C$6))</f>
        <v>0</v>
      </c>
      <c r="ED458" s="237" t="n">
        <f aca="false">IF(ED456=0,0,IF(ED456&lt;=12*'🎚️ Escenario'!$C$11,1,1+$C$6))</f>
        <v>0</v>
      </c>
      <c r="EE458" s="237" t="n">
        <f aca="false">IF(EE456=0,0,IF(EE456&lt;=12*'🎚️ Escenario'!$C$11,1,1+$C$6))</f>
        <v>0</v>
      </c>
      <c r="EF458" s="237" t="n">
        <f aca="false">IF(EF456=0,0,IF(EF456&lt;=12*'🎚️ Escenario'!$C$11,1,1+$C$6))</f>
        <v>0</v>
      </c>
      <c r="EG458" s="237" t="n">
        <f aca="false">IF(EG456=0,0,IF(EG456&lt;=12*'🎚️ Escenario'!$C$11,1,1+$C$6))</f>
        <v>0</v>
      </c>
      <c r="EH458" s="237" t="n">
        <f aca="false">IF(EH456=0,0,IF(EH456&lt;=12*'🎚️ Escenario'!$C$11,1,1+$C$6))</f>
        <v>1</v>
      </c>
      <c r="EI458" s="237" t="n">
        <f aca="false">IF(EI456=0,0,IF(EI456&lt;=12*'🎚️ Escenario'!$C$11,1,1+$C$6))</f>
        <v>1</v>
      </c>
      <c r="EJ458" s="237" t="n">
        <f aca="false">IF(EJ456=0,0,IF(EJ456&lt;=12*'🎚️ Escenario'!$C$11,1,1+$C$6))</f>
        <v>1</v>
      </c>
      <c r="EK458" s="237" t="n">
        <f aca="false">IF(EK456=0,0,IF(EK456&lt;=12*'🎚️ Escenario'!$C$11,1,1+$C$6))</f>
        <v>1</v>
      </c>
      <c r="EL458" s="237" t="n">
        <f aca="false">IF(EL456=0,0,IF(EL456&lt;=12*'🎚️ Escenario'!$C$11,1,1+$C$6))</f>
        <v>1</v>
      </c>
      <c r="EM458" s="237" t="n">
        <f aca="false">IF(EM456=0,0,IF(EM456&lt;=12*'🎚️ Escenario'!$C$11,1,1+$C$6))</f>
        <v>1</v>
      </c>
      <c r="EN458" s="237" t="n">
        <f aca="false">IF(EN456=0,0,IF(EN456&lt;=12*'🎚️ Escenario'!$C$11,1,1+$C$6))</f>
        <v>1</v>
      </c>
      <c r="EO458" s="237" t="n">
        <f aca="false">IF(EO456=0,0,IF(EO456&lt;=12*'🎚️ Escenario'!$C$11,1,1+$C$6))</f>
        <v>1</v>
      </c>
      <c r="EP458" s="237" t="n">
        <f aca="false">IF(EP456=0,0,IF(EP456&lt;=12*'🎚️ Escenario'!$C$11,1,1+$C$6))</f>
        <v>1</v>
      </c>
      <c r="EQ458" s="237" t="n">
        <f aca="false">IF(EQ456=0,0,IF(EQ456&lt;=12*'🎚️ Escenario'!$C$11,1,1+$C$6))</f>
        <v>1</v>
      </c>
      <c r="ER458" s="237" t="n">
        <f aca="false">IF(ER456=0,0,IF(ER456&lt;=12*'🎚️ Escenario'!$C$11,1,1+$C$6))</f>
        <v>1</v>
      </c>
      <c r="ES458" s="9" t="n">
        <f aca="false">IF(ES456=0,0,IF(ES456&lt;=12*'🎚️ Escenario'!$C$11,1,1+$C$6))</f>
        <v>1</v>
      </c>
      <c r="ET458" s="9" t="n">
        <f aca="false">IF(ET456=0,0,IF(ET456&lt;=12*'🎚️ Escenario'!$C$11,1,1+$C$6))</f>
        <v>1</v>
      </c>
      <c r="EU458" s="9" t="n">
        <f aca="false">IF(EU456=0,0,IF(EU456&lt;=12*'🎚️ Escenario'!$C$11,1,1+$C$6))</f>
        <v>1</v>
      </c>
      <c r="EV458" s="9" t="n">
        <f aca="false">IF(EV456=0,0,IF(EV456&lt;=12*'🎚️ Escenario'!$C$11,1,1+$C$6))</f>
        <v>1</v>
      </c>
      <c r="EW458" s="238" t="n">
        <f aca="false">IF(EW456=0,0,IF(EW456&lt;=12*'🎚️ Escenario'!$C$11,1,1+$C$6))</f>
        <v>1.2</v>
      </c>
      <c r="EX458" s="238" t="n">
        <f aca="false">IF(EX456=0,0,IF(EX456&lt;=12*'🎚️ Escenario'!$C$11,1,1+$C$6))</f>
        <v>1.2</v>
      </c>
      <c r="EY458" s="238" t="n">
        <f aca="false">IF(EY456=0,0,IF(EY456&lt;=12*'🎚️ Escenario'!$C$11,1,1+$C$6))</f>
        <v>1.2</v>
      </c>
      <c r="EZ458" s="238" t="n">
        <f aca="false">IF(EZ456=0,0,IF(EZ456&lt;=12*'🎚️ Escenario'!$C$11,1,1+$C$6))</f>
        <v>1.2</v>
      </c>
      <c r="FA458" s="238" t="n">
        <f aca="false">IF(FA456=0,0,IF(FA456&lt;=12*'🎚️ Escenario'!$C$11,1,1+$C$6))</f>
        <v>1.2</v>
      </c>
      <c r="FB458" s="238" t="n">
        <f aca="false">IF(FB456=0,0,IF(FB456&lt;=12*'🎚️ Escenario'!$C$11,1,1+$C$6))</f>
        <v>1.2</v>
      </c>
      <c r="FC458" s="238" t="n">
        <f aca="false">IF(FC456=0,0,IF(FC456&lt;=12*'🎚️ Escenario'!$C$11,1,1+$C$6))</f>
        <v>1.2</v>
      </c>
      <c r="FD458" s="238" t="n">
        <f aca="false">IF(FD456=0,0,IF(FD456&lt;=12*'🎚️ Escenario'!$C$11,1,1+$C$6))</f>
        <v>1.2</v>
      </c>
      <c r="FE458" s="238" t="n">
        <f aca="false">IF(FE456=0,0,IF(FE456&lt;=12*'🎚️ Escenario'!$C$11,1,1+$C$6))</f>
        <v>1.2</v>
      </c>
      <c r="FF458" s="238" t="n">
        <f aca="false">IF(FF456=0,0,IF(FF456&lt;=12*'🎚️ Escenario'!$C$11,1,1+$C$6))</f>
        <v>1.2</v>
      </c>
      <c r="FG458" s="238" t="n">
        <f aca="false">IF(FG456=0,0,IF(FG456&lt;=12*'🎚️ Escenario'!$C$11,1,1+$C$6))</f>
        <v>1.2</v>
      </c>
      <c r="FH458" s="238" t="n">
        <f aca="false">IF(FH456=0,0,IF(FH456&lt;=12*'🎚️ Escenario'!$C$11,1,1+$C$6))</f>
        <v>1.2</v>
      </c>
      <c r="FI458" s="238" t="n">
        <f aca="false">IF(FI456=0,0,IF(FI456&lt;=12*'🎚️ Escenario'!$C$11,1,1+$C$6))</f>
        <v>1.2</v>
      </c>
      <c r="FJ458" s="238" t="n">
        <f aca="false">IF(FJ456=0,0,IF(FJ456&lt;=12*'🎚️ Escenario'!$C$11,1,1+$C$6))</f>
        <v>1.2</v>
      </c>
      <c r="FK458" s="238" t="n">
        <f aca="false">IF(FK456=0,0,IF(FK456&lt;=12*'🎚️ Escenario'!$C$11,1,1+$C$6))</f>
        <v>1.2</v>
      </c>
      <c r="FL458" s="238" t="n">
        <f aca="false">IF(FL456=0,0,IF(FL456&lt;=12*'🎚️ Escenario'!$C$11,1,1+$C$6))</f>
        <v>1.2</v>
      </c>
      <c r="FM458" s="238" t="n">
        <f aca="false">IF(FM456=0,0,IF(FM456&lt;=12*'🎚️ Escenario'!$C$11,1,1+$C$6))</f>
        <v>1.2</v>
      </c>
      <c r="FN458" s="238" t="n">
        <f aca="false">IF(FN456=0,0,IF(FN456&lt;=12*'🎚️ Escenario'!$C$11,1,1+$C$6))</f>
        <v>1.2</v>
      </c>
      <c r="FO458" s="238" t="n">
        <f aca="false">IF(FO456=0,0,IF(FO456&lt;=12*'🎚️ Escenario'!$C$11,1,1+$C$6))</f>
        <v>1.2</v>
      </c>
      <c r="FP458" s="238" t="n">
        <f aca="false">IF(FP456=0,0,IF(FP456&lt;=12*'🎚️ Escenario'!$C$11,1,1+$C$6))</f>
        <v>1.2</v>
      </c>
    </row>
    <row r="459" customFormat="false" ht="15" hidden="false" customHeight="false" outlineLevel="2" collapsed="false">
      <c r="B459" s="47" t="s">
        <v>876</v>
      </c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237" t="n">
        <f aca="false">AC457*$AC$455*AC458*AC$38*'⑫ Roll-out Plan'!$O$50</f>
        <v>0</v>
      </c>
      <c r="AD459" s="237" t="n">
        <f aca="false">AD457*$AC$455*AD458*AD$38*'⑫ Roll-out Plan'!$O$50</f>
        <v>0</v>
      </c>
      <c r="AE459" s="237" t="n">
        <f aca="false">AE457*$AC$455*AE458*AE$38*'⑫ Roll-out Plan'!$O$50</f>
        <v>0</v>
      </c>
      <c r="AF459" s="237" t="n">
        <f aca="false">AF457*$AC$455*AF458*AF$38*'⑫ Roll-out Plan'!$O$50</f>
        <v>0</v>
      </c>
      <c r="AG459" s="237" t="n">
        <f aca="false">AG457*$AC$455*AG458*AG$38*'⑫ Roll-out Plan'!$O$50</f>
        <v>0</v>
      </c>
      <c r="AH459" s="237" t="n">
        <f aca="false">AH457*$AC$455*AH458*AH$38*'⑫ Roll-out Plan'!$O$50</f>
        <v>0</v>
      </c>
      <c r="AI459" s="237" t="n">
        <f aca="false">AI457*$AC$455*AI458*AI$38*'⑫ Roll-out Plan'!$O$50</f>
        <v>0</v>
      </c>
      <c r="AJ459" s="237" t="n">
        <f aca="false">AJ457*$AC$455*AJ458*AJ$38*'⑫ Roll-out Plan'!$O$50</f>
        <v>0</v>
      </c>
      <c r="AK459" s="237" t="n">
        <f aca="false">AK457*$AC$455*AK458*AK$38*'⑫ Roll-out Plan'!$O$50</f>
        <v>0</v>
      </c>
      <c r="AL459" s="237" t="n">
        <f aca="false">AL457*$AC$455*AL458*AL$38*'⑫ Roll-out Plan'!$O$50</f>
        <v>0</v>
      </c>
      <c r="AM459" s="237" t="n">
        <f aca="false">AM457*$AC$455*AM458*AM$38*'⑫ Roll-out Plan'!$O$50</f>
        <v>0</v>
      </c>
      <c r="AN459" s="237" t="n">
        <f aca="false">AN457*$AC$455*AN458*AN$38*'⑫ Roll-out Plan'!$O$50</f>
        <v>0</v>
      </c>
      <c r="AO459" s="237" t="n">
        <f aca="false">AO457*$AC$455*AO458*AO$38*'⑫ Roll-out Plan'!$O$50</f>
        <v>0</v>
      </c>
      <c r="AP459" s="237" t="n">
        <f aca="false">AP457*$AC$455*AP458*AP$38*'⑫ Roll-out Plan'!$O$50</f>
        <v>0</v>
      </c>
      <c r="AQ459" s="237" t="n">
        <f aca="false">AQ457*$AC$455*AQ458*AQ$38*'⑫ Roll-out Plan'!$O$50</f>
        <v>0</v>
      </c>
      <c r="AR459" s="237" t="n">
        <f aca="false">AR457*$AC$455*AR458*AR$38*'⑫ Roll-out Plan'!$O$50</f>
        <v>0</v>
      </c>
      <c r="AS459" s="237" t="n">
        <f aca="false">AS457*$AC$455*AS458*AS$38*'⑫ Roll-out Plan'!$O$50</f>
        <v>0</v>
      </c>
      <c r="AT459" s="237" t="n">
        <f aca="false">AT457*$AC$455*AT458*AT$38*'⑫ Roll-out Plan'!$O$50</f>
        <v>0</v>
      </c>
      <c r="AU459" s="237" t="n">
        <f aca="false">AU457*$AC$455*AU458*AU$38*'⑫ Roll-out Plan'!$O$50</f>
        <v>0</v>
      </c>
      <c r="AV459" s="237" t="n">
        <f aca="false">AV457*$AC$455*AV458*AV$38*'⑫ Roll-out Plan'!$O$50</f>
        <v>0</v>
      </c>
      <c r="AW459" s="237" t="n">
        <f aca="false">AW457*$AC$455*AW458*AW$38*'⑫ Roll-out Plan'!$O$50</f>
        <v>0</v>
      </c>
      <c r="AX459" s="237" t="n">
        <f aca="false">AX457*$AC$455*AX458*AX$38*'⑫ Roll-out Plan'!$O$50</f>
        <v>0</v>
      </c>
      <c r="AY459" s="237" t="n">
        <f aca="false">AY457*$AC$455*AY458*AY$38*'⑫ Roll-out Plan'!$O$50</f>
        <v>0</v>
      </c>
      <c r="AZ459" s="237" t="n">
        <f aca="false">AZ457*$AC$455*AZ458*AZ$38*'⑫ Roll-out Plan'!$O$50</f>
        <v>0</v>
      </c>
      <c r="BA459" s="237" t="n">
        <f aca="false">BA457*$AC$455*BA458*BA$38*'⑫ Roll-out Plan'!$O$50</f>
        <v>0</v>
      </c>
      <c r="BB459" s="237" t="n">
        <f aca="false">BB457*$AC$455*BB458*BB$38*'⑫ Roll-out Plan'!$O$50</f>
        <v>0</v>
      </c>
      <c r="BC459" s="237" t="n">
        <f aca="false">BC457*$AC$455*BC458*BC$38*'⑫ Roll-out Plan'!$O$50</f>
        <v>0</v>
      </c>
      <c r="BD459" s="237" t="n">
        <f aca="false">BD457*$AC$455*BD458*BD$38*'⑫ Roll-out Plan'!$O$50</f>
        <v>0</v>
      </c>
      <c r="BE459" s="237" t="n">
        <f aca="false">BE457*$AC$455*BE458*BE$38*'⑫ Roll-out Plan'!$O$50</f>
        <v>0</v>
      </c>
      <c r="BF459" s="237" t="n">
        <f aca="false">BF457*$AC$455*BF458*BF$38*'⑫ Roll-out Plan'!$O$50</f>
        <v>0</v>
      </c>
      <c r="BG459" s="237" t="n">
        <f aca="false">BG457*$AC$455*BG458*BG$38*'⑫ Roll-out Plan'!$O$50</f>
        <v>0</v>
      </c>
      <c r="BH459" s="237" t="n">
        <f aca="false">BH457*$AC$455*BH458*BH$38*'⑫ Roll-out Plan'!$O$50</f>
        <v>0</v>
      </c>
      <c r="BI459" s="237" t="n">
        <f aca="false">BI457*$AC$455*BI458*BI$38*'⑫ Roll-out Plan'!$O$50</f>
        <v>0</v>
      </c>
      <c r="BJ459" s="237" t="n">
        <f aca="false">BJ457*$AC$455*BJ458*BJ$38*'⑫ Roll-out Plan'!$O$50</f>
        <v>0</v>
      </c>
      <c r="BK459" s="237" t="n">
        <f aca="false">BK457*$AC$455*BK458*BK$38*'⑫ Roll-out Plan'!$O$50</f>
        <v>0</v>
      </c>
      <c r="BL459" s="237" t="n">
        <f aca="false">BL457*$AC$455*BL458*BL$38*'⑫ Roll-out Plan'!$O$50</f>
        <v>0</v>
      </c>
      <c r="BM459" s="237" t="n">
        <f aca="false">BM457*$AC$455*BM458*BM$38*'⑫ Roll-out Plan'!$O$50</f>
        <v>0</v>
      </c>
      <c r="BN459" s="237" t="n">
        <f aca="false">BN457*$AC$455*BN458*BN$38*'⑫ Roll-out Plan'!$O$50</f>
        <v>0</v>
      </c>
      <c r="BO459" s="237" t="n">
        <f aca="false">BO457*$AC$455*BO458*BO$38*'⑫ Roll-out Plan'!$O$50</f>
        <v>0</v>
      </c>
      <c r="BP459" s="237" t="n">
        <f aca="false">BP457*$AC$455*BP458*BP$38*'⑫ Roll-out Plan'!$O$50</f>
        <v>0</v>
      </c>
      <c r="BQ459" s="237" t="n">
        <f aca="false">BQ457*$AC$455*BQ458*BQ$38*'⑫ Roll-out Plan'!$O$50</f>
        <v>0</v>
      </c>
      <c r="BR459" s="237" t="n">
        <f aca="false">BR457*$AC$455*BR458*BR$38*'⑫ Roll-out Plan'!$O$50</f>
        <v>0</v>
      </c>
      <c r="BS459" s="237" t="n">
        <f aca="false">BS457*$AC$455*BS458*BS$38*'⑫ Roll-out Plan'!$O$50</f>
        <v>0</v>
      </c>
      <c r="BT459" s="237" t="n">
        <f aca="false">BT457*$AC$455*BT458*BT$38*'⑫ Roll-out Plan'!$O$50</f>
        <v>0</v>
      </c>
      <c r="BU459" s="237" t="n">
        <f aca="false">BU457*$AC$455*BU458*BU$38*'⑫ Roll-out Plan'!$O$50</f>
        <v>0</v>
      </c>
      <c r="BV459" s="237" t="n">
        <f aca="false">BV457*$AC$455*BV458*BV$38*'⑫ Roll-out Plan'!$O$50</f>
        <v>0</v>
      </c>
      <c r="BW459" s="237" t="n">
        <f aca="false">BW457*$AC$455*BW458*BW$38*'⑫ Roll-out Plan'!$O$50</f>
        <v>0</v>
      </c>
      <c r="BX459" s="237" t="n">
        <f aca="false">BX457*$AC$455*BX458*BX$38*'⑫ Roll-out Plan'!$O$50</f>
        <v>0</v>
      </c>
      <c r="BY459" s="237" t="n">
        <f aca="false">BY457*$AC$455*BY458*BY$38*'⑫ Roll-out Plan'!$O$50</f>
        <v>0</v>
      </c>
      <c r="BZ459" s="237" t="n">
        <f aca="false">BZ457*$AC$455*BZ458*BZ$38*'⑫ Roll-out Plan'!$O$50</f>
        <v>0</v>
      </c>
      <c r="CA459" s="237" t="n">
        <f aca="false">CA457*$AC$455*CA458*CA$38*'⑫ Roll-out Plan'!$O$50</f>
        <v>0</v>
      </c>
      <c r="CB459" s="237" t="n">
        <f aca="false">CB457*$AC$455*CB458*CB$38*'⑫ Roll-out Plan'!$O$50</f>
        <v>0</v>
      </c>
      <c r="CC459" s="237" t="n">
        <f aca="false">CC457*$AC$455*CC458*CC$38*'⑫ Roll-out Plan'!$O$50</f>
        <v>0</v>
      </c>
      <c r="CD459" s="237" t="n">
        <f aca="false">CD457*$AC$455*CD458*CD$38*'⑫ Roll-out Plan'!$O$50</f>
        <v>0</v>
      </c>
      <c r="CE459" s="237" t="n">
        <f aca="false">CE457*$AC$455*CE458*CE$38*'⑫ Roll-out Plan'!$O$50</f>
        <v>0</v>
      </c>
      <c r="CF459" s="237" t="n">
        <f aca="false">CF457*$AC$455*CF458*CF$38*'⑫ Roll-out Plan'!$O$50</f>
        <v>0</v>
      </c>
      <c r="CG459" s="237" t="n">
        <f aca="false">CG457*$AC$455*CG458*CG$38*'⑫ Roll-out Plan'!$O$50</f>
        <v>0</v>
      </c>
      <c r="CH459" s="237" t="n">
        <f aca="false">CH457*$AC$455*CH458*CH$38*'⑫ Roll-out Plan'!$O$50</f>
        <v>0</v>
      </c>
      <c r="CI459" s="237" t="n">
        <f aca="false">CI457*$AC$455*CI458*CI$38*'⑫ Roll-out Plan'!$O$50</f>
        <v>0</v>
      </c>
      <c r="CJ459" s="237" t="n">
        <f aca="false">CJ457*$AC$455*CJ458*CJ$38*'⑫ Roll-out Plan'!$O$50</f>
        <v>0</v>
      </c>
      <c r="CK459" s="237" t="n">
        <f aca="false">CK457*$AC$455*CK458*CK$38*'⑫ Roll-out Plan'!$O$50</f>
        <v>0</v>
      </c>
      <c r="CL459" s="237" t="n">
        <f aca="false">CL457*$AC$455*CL458*CL$38*'⑫ Roll-out Plan'!$O$50</f>
        <v>0</v>
      </c>
      <c r="CM459" s="237" t="n">
        <f aca="false">CM457*$AC$455*CM458*CM$38*'⑫ Roll-out Plan'!$O$50</f>
        <v>0</v>
      </c>
      <c r="CN459" s="237" t="n">
        <f aca="false">CN457*$AC$455*CN458*CN$38*'⑫ Roll-out Plan'!$O$50</f>
        <v>0</v>
      </c>
      <c r="CO459" s="237" t="n">
        <f aca="false">CO457*$AC$455*CO458*CO$38*'⑫ Roll-out Plan'!$O$50</f>
        <v>0</v>
      </c>
      <c r="CP459" s="237" t="n">
        <f aca="false">CP457*$AC$455*CP458*CP$38*'⑫ Roll-out Plan'!$O$50</f>
        <v>0</v>
      </c>
      <c r="CQ459" s="237" t="n">
        <f aca="false">CQ457*$AC$455*CQ458*CQ$38*'⑫ Roll-out Plan'!$O$50</f>
        <v>0</v>
      </c>
      <c r="CR459" s="237" t="n">
        <f aca="false">CR457*$AC$455*CR458*CR$38*'⑫ Roll-out Plan'!$O$50</f>
        <v>0</v>
      </c>
      <c r="CS459" s="237" t="n">
        <f aca="false">CS457*$AC$455*CS458*CS$38*'⑫ Roll-out Plan'!$O$50</f>
        <v>0</v>
      </c>
      <c r="CT459" s="237" t="n">
        <f aca="false">CT457*$AC$455*CT458*CT$38*'⑫ Roll-out Plan'!$O$50</f>
        <v>0</v>
      </c>
      <c r="CU459" s="237" t="n">
        <f aca="false">CU457*$AC$455*CU458*CU$38*'⑫ Roll-out Plan'!$O$50</f>
        <v>0</v>
      </c>
      <c r="CV459" s="237" t="n">
        <f aca="false">CV457*$AC$455*CV458*CV$38*'⑫ Roll-out Plan'!$O$50</f>
        <v>0</v>
      </c>
      <c r="CW459" s="237" t="n">
        <f aca="false">CW457*$AC$455*CW458*CW$38*'⑫ Roll-out Plan'!$O$50</f>
        <v>0</v>
      </c>
      <c r="CX459" s="237" t="n">
        <f aca="false">CX457*$AC$455*CX458*CX$38*'⑫ Roll-out Plan'!$O$50</f>
        <v>0</v>
      </c>
      <c r="CY459" s="237" t="n">
        <f aca="false">CY457*$AC$455*CY458*CY$38*'⑫ Roll-out Plan'!$O$50</f>
        <v>0</v>
      </c>
      <c r="CZ459" s="237" t="n">
        <f aca="false">CZ457*$AC$455*CZ458*CZ$38*'⑫ Roll-out Plan'!$O$50</f>
        <v>0</v>
      </c>
      <c r="DA459" s="237" t="n">
        <f aca="false">DA457*$AC$455*DA458*DA$38*'⑫ Roll-out Plan'!$O$50</f>
        <v>0</v>
      </c>
      <c r="DB459" s="237" t="n">
        <f aca="false">DB457*$AC$455*DB458*DB$38*'⑫ Roll-out Plan'!$O$50</f>
        <v>0</v>
      </c>
      <c r="DC459" s="237" t="n">
        <f aca="false">DC457*$AC$455*DC458*DC$38*'⑫ Roll-out Plan'!$O$50</f>
        <v>0</v>
      </c>
      <c r="DD459" s="237" t="n">
        <f aca="false">DD457*$AC$455*DD458*DD$38*'⑫ Roll-out Plan'!$O$50</f>
        <v>0</v>
      </c>
      <c r="DE459" s="237" t="n">
        <f aca="false">DE457*$AC$455*DE458*DE$38*'⑫ Roll-out Plan'!$O$50</f>
        <v>0</v>
      </c>
      <c r="DF459" s="237" t="n">
        <f aca="false">DF457*$AC$455*DF458*DF$38*'⑫ Roll-out Plan'!$O$50</f>
        <v>0</v>
      </c>
      <c r="DG459" s="237" t="n">
        <f aca="false">DG457*$AC$455*DG458*DG$38*'⑫ Roll-out Plan'!$O$50</f>
        <v>0</v>
      </c>
      <c r="DH459" s="237" t="n">
        <f aca="false">DH457*$AC$455*DH458*DH$38*'⑫ Roll-out Plan'!$O$50</f>
        <v>0</v>
      </c>
      <c r="DI459" s="237" t="n">
        <f aca="false">DI457*$AC$455*DI458*DI$38*'⑫ Roll-out Plan'!$O$50</f>
        <v>0</v>
      </c>
      <c r="DJ459" s="237" t="n">
        <f aca="false">DJ457*$AC$455*DJ458*DJ$38*'⑫ Roll-out Plan'!$O$50</f>
        <v>0</v>
      </c>
      <c r="DK459" s="237" t="n">
        <f aca="false">DK457*$AC$455*DK458*DK$38*'⑫ Roll-out Plan'!$O$50</f>
        <v>0</v>
      </c>
      <c r="DL459" s="237" t="n">
        <f aca="false">DL457*$AC$455*DL458*DL$38*'⑫ Roll-out Plan'!$O$50</f>
        <v>0</v>
      </c>
      <c r="DM459" s="237" t="n">
        <f aca="false">DM457*$AC$455*DM458*DM$38*'⑫ Roll-out Plan'!$O$50</f>
        <v>0</v>
      </c>
      <c r="DN459" s="237" t="n">
        <f aca="false">DN457*$AC$455*DN458*DN$38*'⑫ Roll-out Plan'!$O$50</f>
        <v>0</v>
      </c>
      <c r="DO459" s="237" t="n">
        <f aca="false">DO457*$AC$455*DO458*DO$38*'⑫ Roll-out Plan'!$O$50</f>
        <v>0</v>
      </c>
      <c r="DP459" s="237" t="n">
        <f aca="false">DP457*$AC$455*DP458*DP$38*'⑫ Roll-out Plan'!$O$50</f>
        <v>0</v>
      </c>
      <c r="DQ459" s="237" t="n">
        <f aca="false">DQ457*$AC$455*DQ458*DQ$38*'⑫ Roll-out Plan'!$O$50</f>
        <v>0</v>
      </c>
      <c r="DR459" s="237" t="n">
        <f aca="false">DR457*$AC$455*DR458*DR$38*'⑫ Roll-out Plan'!$O$50</f>
        <v>0</v>
      </c>
      <c r="DS459" s="237" t="n">
        <f aca="false">DS457*$AC$455*DS458*DS$38*'⑫ Roll-out Plan'!$O$50</f>
        <v>0</v>
      </c>
      <c r="DT459" s="237" t="n">
        <f aca="false">DT457*$AC$455*DT458*DT$38*'⑫ Roll-out Plan'!$O$50</f>
        <v>0</v>
      </c>
      <c r="DU459" s="237" t="n">
        <f aca="false">DU457*$AC$455*DU458*DU$38*'⑫ Roll-out Plan'!$O$50</f>
        <v>0</v>
      </c>
      <c r="DV459" s="237" t="n">
        <f aca="false">DV457*$AC$455*DV458*DV$38*'⑫ Roll-out Plan'!$O$50</f>
        <v>0</v>
      </c>
      <c r="DW459" s="237" t="n">
        <f aca="false">DW457*$AC$455*DW458*DW$38*'⑫ Roll-out Plan'!$O$50</f>
        <v>0</v>
      </c>
      <c r="DX459" s="237" t="n">
        <f aca="false">DX457*$AC$455*DX458*DX$38*'⑫ Roll-out Plan'!$O$50</f>
        <v>0</v>
      </c>
      <c r="DY459" s="237" t="n">
        <f aca="false">DY457*$AC$455*DY458*DY$38*'⑫ Roll-out Plan'!$O$50</f>
        <v>0</v>
      </c>
      <c r="DZ459" s="237" t="n">
        <f aca="false">DZ457*$AC$455*DZ458*DZ$38*'⑫ Roll-out Plan'!$O$50</f>
        <v>0</v>
      </c>
      <c r="EA459" s="237" t="n">
        <f aca="false">EA457*$AC$455*EA458*EA$38*'⑫ Roll-out Plan'!$O$50</f>
        <v>0</v>
      </c>
      <c r="EB459" s="237" t="n">
        <f aca="false">EB457*$AC$455*EB458*EB$38*'⑫ Roll-out Plan'!$O$50</f>
        <v>0</v>
      </c>
      <c r="EC459" s="237" t="n">
        <f aca="false">EC457*$AC$455*EC458*EC$38*'⑫ Roll-out Plan'!$O$50</f>
        <v>0</v>
      </c>
      <c r="ED459" s="237" t="n">
        <f aca="false">ED457*$AC$455*ED458*ED$38*'⑫ Roll-out Plan'!$O$50</f>
        <v>0</v>
      </c>
      <c r="EE459" s="237" t="n">
        <f aca="false">EE457*$AC$455*EE458*EE$38*'⑫ Roll-out Plan'!$O$50</f>
        <v>0</v>
      </c>
      <c r="EF459" s="237" t="n">
        <f aca="false">EF457*$AC$455*EF458*EF$38*'⑫ Roll-out Plan'!$O$50</f>
        <v>0</v>
      </c>
      <c r="EG459" s="237" t="n">
        <f aca="false">EG457*$AC$455*EG458*EG$38*'⑫ Roll-out Plan'!$O$50</f>
        <v>0</v>
      </c>
      <c r="EH459" s="237" t="n">
        <f aca="false">EH457*$AC$455*EH458*EH$38*'⑫ Roll-out Plan'!$O$50</f>
        <v>18.04</v>
      </c>
      <c r="EI459" s="237" t="n">
        <f aca="false">EI457*$AC$455*EI458*EI$38*'⑫ Roll-out Plan'!$O$50</f>
        <v>28.072</v>
      </c>
      <c r="EJ459" s="237" t="n">
        <f aca="false">EJ457*$AC$455*EJ458*EJ$38*'⑫ Roll-out Plan'!$O$50</f>
        <v>29.04</v>
      </c>
      <c r="EK459" s="237" t="n">
        <f aca="false">EK457*$AC$455*EK458*EK$38*'⑫ Roll-out Plan'!$O$50</f>
        <v>27.324</v>
      </c>
      <c r="EL459" s="237" t="n">
        <f aca="false">EL457*$AC$455*EL458*EL$38*'⑫ Roll-out Plan'!$O$50</f>
        <v>23.76</v>
      </c>
      <c r="EM459" s="237" t="n">
        <f aca="false">EM457*$AC$455*EM458*EM$38*'⑫ Roll-out Plan'!$O$50</f>
        <v>28.644</v>
      </c>
      <c r="EN459" s="237" t="n">
        <f aca="false">EN457*$AC$455*EN458*EN$38*'⑫ Roll-out Plan'!$O$50</f>
        <v>54.67</v>
      </c>
      <c r="EO459" s="237" t="n">
        <f aca="false">EO457*$AC$455*EO458*EO$38*'⑫ Roll-out Plan'!$O$50</f>
        <v>49.764</v>
      </c>
      <c r="EP459" s="237" t="n">
        <f aca="false">EP457*$AC$455*EP458*EP$38*'⑫ Roll-out Plan'!$O$50</f>
        <v>46.464</v>
      </c>
      <c r="EQ459" s="237" t="n">
        <f aca="false">EQ457*$AC$455*EQ458*EQ$38*'⑫ Roll-out Plan'!$O$50</f>
        <v>34.848</v>
      </c>
      <c r="ER459" s="237" t="n">
        <f aca="false">ER457*$AC$455*ER458*ER$38*'⑫ Roll-out Plan'!$O$50</f>
        <v>53.856</v>
      </c>
      <c r="ES459" s="9" t="n">
        <f aca="false">ES457*$AC$455*ES458*ES$38*'⑫ Roll-out Plan'!$O$50</f>
        <v>61.776</v>
      </c>
      <c r="ET459" s="9" t="n">
        <f aca="false">ET457*$AC$455*ET458*ET$38*'⑫ Roll-out Plan'!$O$50</f>
        <v>50.512</v>
      </c>
      <c r="EU459" s="9" t="n">
        <f aca="false">EU457*$AC$455*EU458*EU$38*'⑫ Roll-out Plan'!$O$50</f>
        <v>76.56</v>
      </c>
      <c r="EV459" s="9" t="n">
        <f aca="false">EV457*$AC$455*EV458*EV$38*'⑫ Roll-out Plan'!$O$50</f>
        <v>72.6</v>
      </c>
      <c r="EW459" s="9" t="n">
        <f aca="false">EW457*$AC$455*EW458*EW$38*'⑫ Roll-out Plan'!$O$50</f>
        <v>76.5072</v>
      </c>
      <c r="EX459" s="9" t="n">
        <f aca="false">EX457*$AC$455*EX458*EX$38*'⑫ Roll-out Plan'!$O$50</f>
        <v>69.696</v>
      </c>
      <c r="EY459" s="9" t="n">
        <f aca="false">EY457*$AC$455*EY458*EY$38*'⑫ Roll-out Plan'!$O$50</f>
        <v>76.5072</v>
      </c>
      <c r="EZ459" s="9" t="n">
        <f aca="false">EZ457*$AC$455*EZ458*EZ$38*'⑫ Roll-out Plan'!$O$50</f>
        <v>133.0824</v>
      </c>
      <c r="FA459" s="9" t="n">
        <f aca="false">FA457*$AC$455*FA458*FA$38*'⑫ Roll-out Plan'!$O$50</f>
        <v>108.7152</v>
      </c>
      <c r="FB459" s="9" t="n">
        <f aca="false">FB457*$AC$455*FB458*FB$38*'⑫ Roll-out Plan'!$O$50</f>
        <v>92.5056</v>
      </c>
      <c r="FC459" s="9" t="n">
        <f aca="false">FC457*$AC$455*FC458*FC$38*'⑫ Roll-out Plan'!$O$50</f>
        <v>71.28</v>
      </c>
      <c r="FD459" s="9" t="n">
        <f aca="false">FD457*$AC$455*FD458*FD$38*'⑫ Roll-out Plan'!$O$50</f>
        <v>103.6728</v>
      </c>
      <c r="FE459" s="9" t="n">
        <f aca="false">FE457*$AC$455*FE458*FE$38*'⑫ Roll-out Plan'!$O$50</f>
        <v>112.6224</v>
      </c>
      <c r="FF459" s="9" t="n">
        <f aca="false">FF457*$AC$455*FF458*FF$38*'⑫ Roll-out Plan'!$O$50</f>
        <v>85.5096</v>
      </c>
      <c r="FG459" s="9" t="n">
        <f aca="false">FG457*$AC$455*FG458*FG$38*'⑫ Roll-out Plan'!$O$50</f>
        <v>122.496</v>
      </c>
      <c r="FH459" s="9" t="n">
        <f aca="false">FH457*$AC$455*FH458*FH$38*'⑫ Roll-out Plan'!$O$50</f>
        <v>119.064</v>
      </c>
      <c r="FI459" s="9" t="n">
        <f aca="false">FI457*$AC$455*FI458*FI$38*'⑫ Roll-out Plan'!$O$50</f>
        <v>102.0096</v>
      </c>
      <c r="FJ459" s="9" t="n">
        <f aca="false">FJ457*$AC$455*FJ458*FJ$38*'⑫ Roll-out Plan'!$O$50</f>
        <v>89.76</v>
      </c>
      <c r="FK459" s="9" t="n">
        <f aca="false">FK457*$AC$455*FK458*FK$38*'⑫ Roll-out Plan'!$O$50</f>
        <v>94.248</v>
      </c>
      <c r="FL459" s="9" t="n">
        <f aca="false">FL457*$AC$455*FL458*FL$38*'⑫ Roll-out Plan'!$O$50</f>
        <v>161.1984</v>
      </c>
      <c r="FM459" s="9" t="n">
        <f aca="false">FM457*$AC$455*FM458*FM$38*'⑫ Roll-out Plan'!$O$50</f>
        <v>134.7456</v>
      </c>
      <c r="FN459" s="9" t="n">
        <f aca="false">FN457*$AC$455*FN458*FN$38*'⑫ Roll-out Plan'!$O$50</f>
        <v>112.7808</v>
      </c>
      <c r="FO459" s="9" t="n">
        <f aca="false">FO457*$AC$455*FO458*FO$38*'⑫ Roll-out Plan'!$O$50</f>
        <v>85.536</v>
      </c>
      <c r="FP459" s="9" t="n">
        <f aca="false">FP457*$AC$455*FP458*FP$38*'⑫ Roll-out Plan'!$O$50</f>
        <v>121.176</v>
      </c>
    </row>
    <row r="460" customFormat="false" ht="15" hidden="false" customHeight="false" outlineLevel="2" collapsed="false">
      <c r="B460" s="47" t="s">
        <v>877</v>
      </c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237" t="n">
        <f aca="true">IFERROR(SUMPRODUCT(OFFSET($BJ$31,0,1-MIN(60,COLUMN()-29),1,MIN(60,COLUMN()-29)),OFFSET(AC459,0,-MIN(60,COLUMN()-29),1,MIN(60,COLUMN()-29))),0)</f>
        <v>0</v>
      </c>
      <c r="AD460" s="237" t="n">
        <f aca="true">IFERROR(SUMPRODUCT(OFFSET($BJ$31,0,1-MIN(60,COLUMN()-29),1,MIN(60,COLUMN()-29)),OFFSET(AD459,0,-MIN(60,COLUMN()-29),1,MIN(60,COLUMN()-29))),0)</f>
        <v>0</v>
      </c>
      <c r="AE460" s="237" t="n">
        <f aca="true">IFERROR(SUMPRODUCT(OFFSET($BJ$31,0,1-MIN(60,COLUMN()-29),1,MIN(60,COLUMN()-29)),OFFSET(AE459,0,-MIN(60,COLUMN()-29),1,MIN(60,COLUMN()-29))),0)</f>
        <v>0</v>
      </c>
      <c r="AF460" s="237" t="n">
        <f aca="true">IFERROR(SUMPRODUCT(OFFSET($BJ$31,0,1-MIN(60,COLUMN()-29),1,MIN(60,COLUMN()-29)),OFFSET(AF459,0,-MIN(60,COLUMN()-29),1,MIN(60,COLUMN()-29))),0)</f>
        <v>0</v>
      </c>
      <c r="AG460" s="237" t="n">
        <f aca="true">IFERROR(SUMPRODUCT(OFFSET($BJ$31,0,1-MIN(60,COLUMN()-29),1,MIN(60,COLUMN()-29)),OFFSET(AG459,0,-MIN(60,COLUMN()-29),1,MIN(60,COLUMN()-29))),0)</f>
        <v>0</v>
      </c>
      <c r="AH460" s="237" t="n">
        <f aca="true">IFERROR(SUMPRODUCT(OFFSET($BJ$31,0,1-MIN(60,COLUMN()-29),1,MIN(60,COLUMN()-29)),OFFSET(AH459,0,-MIN(60,COLUMN()-29),1,MIN(60,COLUMN()-29))),0)</f>
        <v>0</v>
      </c>
      <c r="AI460" s="237" t="n">
        <f aca="true">IFERROR(SUMPRODUCT(OFFSET($BJ$31,0,1-MIN(60,COLUMN()-29),1,MIN(60,COLUMN()-29)),OFFSET(AI459,0,-MIN(60,COLUMN()-29),1,MIN(60,COLUMN()-29))),0)</f>
        <v>0</v>
      </c>
      <c r="AJ460" s="237" t="n">
        <f aca="true">IFERROR(SUMPRODUCT(OFFSET($BJ$31,0,1-MIN(60,COLUMN()-29),1,MIN(60,COLUMN()-29)),OFFSET(AJ459,0,-MIN(60,COLUMN()-29),1,MIN(60,COLUMN()-29))),0)</f>
        <v>0</v>
      </c>
      <c r="AK460" s="237" t="n">
        <f aca="true">IFERROR(SUMPRODUCT(OFFSET($BJ$31,0,1-MIN(60,COLUMN()-29),1,MIN(60,COLUMN()-29)),OFFSET(AK459,0,-MIN(60,COLUMN()-29),1,MIN(60,COLUMN()-29))),0)</f>
        <v>0</v>
      </c>
      <c r="AL460" s="237" t="n">
        <f aca="true">IFERROR(SUMPRODUCT(OFFSET($BJ$31,0,1-MIN(60,COLUMN()-29),1,MIN(60,COLUMN()-29)),OFFSET(AL459,0,-MIN(60,COLUMN()-29),1,MIN(60,COLUMN()-29))),0)</f>
        <v>0</v>
      </c>
      <c r="AM460" s="237" t="n">
        <f aca="true">IFERROR(SUMPRODUCT(OFFSET($BJ$31,0,1-MIN(60,COLUMN()-29),1,MIN(60,COLUMN()-29)),OFFSET(AM459,0,-MIN(60,COLUMN()-29),1,MIN(60,COLUMN()-29))),0)</f>
        <v>0</v>
      </c>
      <c r="AN460" s="237" t="n">
        <f aca="true">IFERROR(SUMPRODUCT(OFFSET($BJ$31,0,1-MIN(60,COLUMN()-29),1,MIN(60,COLUMN()-29)),OFFSET(AN459,0,-MIN(60,COLUMN()-29),1,MIN(60,COLUMN()-29))),0)</f>
        <v>0</v>
      </c>
      <c r="AO460" s="237" t="n">
        <f aca="true">IFERROR(SUMPRODUCT(OFFSET($BJ$31,0,1-MIN(60,COLUMN()-29),1,MIN(60,COLUMN()-29)),OFFSET(AO459,0,-MIN(60,COLUMN()-29),1,MIN(60,COLUMN()-29))),0)</f>
        <v>0</v>
      </c>
      <c r="AP460" s="237" t="n">
        <f aca="true">IFERROR(SUMPRODUCT(OFFSET($BJ$31,0,1-MIN(60,COLUMN()-29),1,MIN(60,COLUMN()-29)),OFFSET(AP459,0,-MIN(60,COLUMN()-29),1,MIN(60,COLUMN()-29))),0)</f>
        <v>0</v>
      </c>
      <c r="AQ460" s="237" t="n">
        <f aca="true">IFERROR(SUMPRODUCT(OFFSET($BJ$31,0,1-MIN(60,COLUMN()-29),1,MIN(60,COLUMN()-29)),OFFSET(AQ459,0,-MIN(60,COLUMN()-29),1,MIN(60,COLUMN()-29))),0)</f>
        <v>0</v>
      </c>
      <c r="AR460" s="237" t="n">
        <f aca="true">IFERROR(SUMPRODUCT(OFFSET($BJ$31,0,1-MIN(60,COLUMN()-29),1,MIN(60,COLUMN()-29)),OFFSET(AR459,0,-MIN(60,COLUMN()-29),1,MIN(60,COLUMN()-29))),0)</f>
        <v>0</v>
      </c>
      <c r="AS460" s="237" t="n">
        <f aca="true">IFERROR(SUMPRODUCT(OFFSET($BJ$31,0,1-MIN(60,COLUMN()-29),1,MIN(60,COLUMN()-29)),OFFSET(AS459,0,-MIN(60,COLUMN()-29),1,MIN(60,COLUMN()-29))),0)</f>
        <v>0</v>
      </c>
      <c r="AT460" s="237" t="n">
        <f aca="true">IFERROR(SUMPRODUCT(OFFSET($BJ$31,0,1-MIN(60,COLUMN()-29),1,MIN(60,COLUMN()-29)),OFFSET(AT459,0,-MIN(60,COLUMN()-29),1,MIN(60,COLUMN()-29))),0)</f>
        <v>0</v>
      </c>
      <c r="AU460" s="237" t="n">
        <f aca="true">IFERROR(SUMPRODUCT(OFFSET($BJ$31,0,1-MIN(60,COLUMN()-29),1,MIN(60,COLUMN()-29)),OFFSET(AU459,0,-MIN(60,COLUMN()-29),1,MIN(60,COLUMN()-29))),0)</f>
        <v>0</v>
      </c>
      <c r="AV460" s="237" t="n">
        <f aca="true">IFERROR(SUMPRODUCT(OFFSET($BJ$31,0,1-MIN(60,COLUMN()-29),1,MIN(60,COLUMN()-29)),OFFSET(AV459,0,-MIN(60,COLUMN()-29),1,MIN(60,COLUMN()-29))),0)</f>
        <v>0</v>
      </c>
      <c r="AW460" s="237" t="n">
        <f aca="true">IFERROR(SUMPRODUCT(OFFSET($BJ$31,0,1-MIN(60,COLUMN()-29),1,MIN(60,COLUMN()-29)),OFFSET(AW459,0,-MIN(60,COLUMN()-29),1,MIN(60,COLUMN()-29))),0)</f>
        <v>0</v>
      </c>
      <c r="AX460" s="237" t="n">
        <f aca="true">IFERROR(SUMPRODUCT(OFFSET($BJ$31,0,1-MIN(60,COLUMN()-29),1,MIN(60,COLUMN()-29)),OFFSET(AX459,0,-MIN(60,COLUMN()-29),1,MIN(60,COLUMN()-29))),0)</f>
        <v>0</v>
      </c>
      <c r="AY460" s="237" t="n">
        <f aca="true">IFERROR(SUMPRODUCT(OFFSET($BJ$31,0,1-MIN(60,COLUMN()-29),1,MIN(60,COLUMN()-29)),OFFSET(AY459,0,-MIN(60,COLUMN()-29),1,MIN(60,COLUMN()-29))),0)</f>
        <v>0</v>
      </c>
      <c r="AZ460" s="237" t="n">
        <f aca="true">IFERROR(SUMPRODUCT(OFFSET($BJ$31,0,1-MIN(60,COLUMN()-29),1,MIN(60,COLUMN()-29)),OFFSET(AZ459,0,-MIN(60,COLUMN()-29),1,MIN(60,COLUMN()-29))),0)</f>
        <v>0</v>
      </c>
      <c r="BA460" s="237" t="n">
        <f aca="true">IFERROR(SUMPRODUCT(OFFSET($BJ$31,0,1-MIN(60,COLUMN()-29),1,MIN(60,COLUMN()-29)),OFFSET(BA459,0,-MIN(60,COLUMN()-29),1,MIN(60,COLUMN()-29))),0)</f>
        <v>0</v>
      </c>
      <c r="BB460" s="237" t="n">
        <f aca="true">IFERROR(SUMPRODUCT(OFFSET($BJ$31,0,1-MIN(60,COLUMN()-29),1,MIN(60,COLUMN()-29)),OFFSET(BB459,0,-MIN(60,COLUMN()-29),1,MIN(60,COLUMN()-29))),0)</f>
        <v>0</v>
      </c>
      <c r="BC460" s="237" t="n">
        <f aca="true">IFERROR(SUMPRODUCT(OFFSET($BJ$31,0,1-MIN(60,COLUMN()-29),1,MIN(60,COLUMN()-29)),OFFSET(BC459,0,-MIN(60,COLUMN()-29),1,MIN(60,COLUMN()-29))),0)</f>
        <v>0</v>
      </c>
      <c r="BD460" s="237" t="n">
        <f aca="true">IFERROR(SUMPRODUCT(OFFSET($BJ$31,0,1-MIN(60,COLUMN()-29),1,MIN(60,COLUMN()-29)),OFFSET(BD459,0,-MIN(60,COLUMN()-29),1,MIN(60,COLUMN()-29))),0)</f>
        <v>0</v>
      </c>
      <c r="BE460" s="237" t="n">
        <f aca="true">IFERROR(SUMPRODUCT(OFFSET($BJ$31,0,1-MIN(60,COLUMN()-29),1,MIN(60,COLUMN()-29)),OFFSET(BE459,0,-MIN(60,COLUMN()-29),1,MIN(60,COLUMN()-29))),0)</f>
        <v>0</v>
      </c>
      <c r="BF460" s="237" t="n">
        <f aca="true">IFERROR(SUMPRODUCT(OFFSET($BJ$31,0,1-MIN(60,COLUMN()-29),1,MIN(60,COLUMN()-29)),OFFSET(BF459,0,-MIN(60,COLUMN()-29),1,MIN(60,COLUMN()-29))),0)</f>
        <v>0</v>
      </c>
      <c r="BG460" s="237" t="n">
        <f aca="true">IFERROR(SUMPRODUCT(OFFSET($BJ$31,0,1-MIN(60,COLUMN()-29),1,MIN(60,COLUMN()-29)),OFFSET(BG459,0,-MIN(60,COLUMN()-29),1,MIN(60,COLUMN()-29))),0)</f>
        <v>0</v>
      </c>
      <c r="BH460" s="237" t="n">
        <f aca="true">IFERROR(SUMPRODUCT(OFFSET($BJ$31,0,1-MIN(60,COLUMN()-29),1,MIN(60,COLUMN()-29)),OFFSET(BH459,0,-MIN(60,COLUMN()-29),1,MIN(60,COLUMN()-29))),0)</f>
        <v>0</v>
      </c>
      <c r="BI460" s="237" t="n">
        <f aca="true">IFERROR(SUMPRODUCT(OFFSET($BJ$31,0,1-MIN(60,COLUMN()-29),1,MIN(60,COLUMN()-29)),OFFSET(BI459,0,-MIN(60,COLUMN()-29),1,MIN(60,COLUMN()-29))),0)</f>
        <v>0</v>
      </c>
      <c r="BJ460" s="237" t="n">
        <f aca="true">IFERROR(SUMPRODUCT(OFFSET($BJ$31,0,1-MIN(60,COLUMN()-29),1,MIN(60,COLUMN()-29)),OFFSET(BJ459,0,-MIN(60,COLUMN()-29),1,MIN(60,COLUMN()-29))),0)</f>
        <v>0</v>
      </c>
      <c r="BK460" s="237" t="n">
        <f aca="true">IFERROR(SUMPRODUCT(OFFSET($BJ$31,0,1-MIN(60,COLUMN()-29),1,MIN(60,COLUMN()-29)),OFFSET(BK459,0,-MIN(60,COLUMN()-29),1,MIN(60,COLUMN()-29))),0)</f>
        <v>0</v>
      </c>
      <c r="BL460" s="237" t="n">
        <f aca="true">IFERROR(SUMPRODUCT(OFFSET($BJ$31,0,1-MIN(60,COLUMN()-29),1,MIN(60,COLUMN()-29)),OFFSET(BL459,0,-MIN(60,COLUMN()-29),1,MIN(60,COLUMN()-29))),0)</f>
        <v>0</v>
      </c>
      <c r="BM460" s="237" t="n">
        <f aca="true">IFERROR(SUMPRODUCT(OFFSET($BJ$31,0,1-MIN(60,COLUMN()-29),1,MIN(60,COLUMN()-29)),OFFSET(BM459,0,-MIN(60,COLUMN()-29),1,MIN(60,COLUMN()-29))),0)</f>
        <v>0</v>
      </c>
      <c r="BN460" s="237" t="n">
        <f aca="true">IFERROR(SUMPRODUCT(OFFSET($BJ$31,0,1-MIN(60,COLUMN()-29),1,MIN(60,COLUMN()-29)),OFFSET(BN459,0,-MIN(60,COLUMN()-29),1,MIN(60,COLUMN()-29))),0)</f>
        <v>0</v>
      </c>
      <c r="BO460" s="237" t="n">
        <f aca="true">IFERROR(SUMPRODUCT(OFFSET($BJ$31,0,1-MIN(60,COLUMN()-29),1,MIN(60,COLUMN()-29)),OFFSET(BO459,0,-MIN(60,COLUMN()-29),1,MIN(60,COLUMN()-29))),0)</f>
        <v>0</v>
      </c>
      <c r="BP460" s="237" t="n">
        <f aca="true">IFERROR(SUMPRODUCT(OFFSET($BJ$31,0,1-MIN(60,COLUMN()-29),1,MIN(60,COLUMN()-29)),OFFSET(BP459,0,-MIN(60,COLUMN()-29),1,MIN(60,COLUMN()-29))),0)</f>
        <v>0</v>
      </c>
      <c r="BQ460" s="237" t="n">
        <f aca="true">IFERROR(SUMPRODUCT(OFFSET($BJ$31,0,1-MIN(60,COLUMN()-29),1,MIN(60,COLUMN()-29)),OFFSET(BQ459,0,-MIN(60,COLUMN()-29),1,MIN(60,COLUMN()-29))),0)</f>
        <v>0</v>
      </c>
      <c r="BR460" s="237" t="n">
        <f aca="true">IFERROR(SUMPRODUCT(OFFSET($BJ$31,0,1-MIN(60,COLUMN()-29),1,MIN(60,COLUMN()-29)),OFFSET(BR459,0,-MIN(60,COLUMN()-29),1,MIN(60,COLUMN()-29))),0)</f>
        <v>0</v>
      </c>
      <c r="BS460" s="237" t="n">
        <f aca="true">IFERROR(SUMPRODUCT(OFFSET($BJ$31,0,1-MIN(60,COLUMN()-29),1,MIN(60,COLUMN()-29)),OFFSET(BS459,0,-MIN(60,COLUMN()-29),1,MIN(60,COLUMN()-29))),0)</f>
        <v>0</v>
      </c>
      <c r="BT460" s="237" t="n">
        <f aca="true">IFERROR(SUMPRODUCT(OFFSET($BJ$31,0,1-MIN(60,COLUMN()-29),1,MIN(60,COLUMN()-29)),OFFSET(BT459,0,-MIN(60,COLUMN()-29),1,MIN(60,COLUMN()-29))),0)</f>
        <v>0</v>
      </c>
      <c r="BU460" s="237" t="n">
        <f aca="true">IFERROR(SUMPRODUCT(OFFSET($BJ$31,0,1-MIN(60,COLUMN()-29),1,MIN(60,COLUMN()-29)),OFFSET(BU459,0,-MIN(60,COLUMN()-29),1,MIN(60,COLUMN()-29))),0)</f>
        <v>0</v>
      </c>
      <c r="BV460" s="237" t="n">
        <f aca="true">IFERROR(SUMPRODUCT(OFFSET($BJ$31,0,1-MIN(60,COLUMN()-29),1,MIN(60,COLUMN()-29)),OFFSET(BV459,0,-MIN(60,COLUMN()-29),1,MIN(60,COLUMN()-29))),0)</f>
        <v>0</v>
      </c>
      <c r="BW460" s="237" t="n">
        <f aca="true">IFERROR(SUMPRODUCT(OFFSET($BJ$31,0,1-MIN(60,COLUMN()-29),1,MIN(60,COLUMN()-29)),OFFSET(BW459,0,-MIN(60,COLUMN()-29),1,MIN(60,COLUMN()-29))),0)</f>
        <v>0</v>
      </c>
      <c r="BX460" s="237" t="n">
        <f aca="true">IFERROR(SUMPRODUCT(OFFSET($BJ$31,0,1-MIN(60,COLUMN()-29),1,MIN(60,COLUMN()-29)),OFFSET(BX459,0,-MIN(60,COLUMN()-29),1,MIN(60,COLUMN()-29))),0)</f>
        <v>0</v>
      </c>
      <c r="BY460" s="237" t="n">
        <f aca="true">IFERROR(SUMPRODUCT(OFFSET($BJ$31,0,1-MIN(60,COLUMN()-29),1,MIN(60,COLUMN()-29)),OFFSET(BY459,0,-MIN(60,COLUMN()-29),1,MIN(60,COLUMN()-29))),0)</f>
        <v>0</v>
      </c>
      <c r="BZ460" s="237" t="n">
        <f aca="true">IFERROR(SUMPRODUCT(OFFSET($BJ$31,0,1-MIN(60,COLUMN()-29),1,MIN(60,COLUMN()-29)),OFFSET(BZ459,0,-MIN(60,COLUMN()-29),1,MIN(60,COLUMN()-29))),0)</f>
        <v>0</v>
      </c>
      <c r="CA460" s="237" t="n">
        <f aca="true">IFERROR(SUMPRODUCT(OFFSET($BJ$31,0,1-MIN(60,COLUMN()-29),1,MIN(60,COLUMN()-29)),OFFSET(CA459,0,-MIN(60,COLUMN()-29),1,MIN(60,COLUMN()-29))),0)</f>
        <v>0</v>
      </c>
      <c r="CB460" s="237" t="n">
        <f aca="true">IFERROR(SUMPRODUCT(OFFSET($BJ$31,0,1-MIN(60,COLUMN()-29),1,MIN(60,COLUMN()-29)),OFFSET(CB459,0,-MIN(60,COLUMN()-29),1,MIN(60,COLUMN()-29))),0)</f>
        <v>0</v>
      </c>
      <c r="CC460" s="237" t="n">
        <f aca="true">IFERROR(SUMPRODUCT(OFFSET($BJ$31,0,1-MIN(60,COLUMN()-29),1,MIN(60,COLUMN()-29)),OFFSET(CC459,0,-MIN(60,COLUMN()-29),1,MIN(60,COLUMN()-29))),0)</f>
        <v>0</v>
      </c>
      <c r="CD460" s="237" t="n">
        <f aca="true">IFERROR(SUMPRODUCT(OFFSET($BJ$31,0,1-MIN(60,COLUMN()-29),1,MIN(60,COLUMN()-29)),OFFSET(CD459,0,-MIN(60,COLUMN()-29),1,MIN(60,COLUMN()-29))),0)</f>
        <v>0</v>
      </c>
      <c r="CE460" s="237" t="n">
        <f aca="true">IFERROR(SUMPRODUCT(OFFSET($BJ$31,0,1-MIN(60,COLUMN()-29),1,MIN(60,COLUMN()-29)),OFFSET(CE459,0,-MIN(60,COLUMN()-29),1,MIN(60,COLUMN()-29))),0)</f>
        <v>0</v>
      </c>
      <c r="CF460" s="237" t="n">
        <f aca="true">IFERROR(SUMPRODUCT(OFFSET($BJ$31,0,1-MIN(60,COLUMN()-29),1,MIN(60,COLUMN()-29)),OFFSET(CF459,0,-MIN(60,COLUMN()-29),1,MIN(60,COLUMN()-29))),0)</f>
        <v>0</v>
      </c>
      <c r="CG460" s="237" t="n">
        <f aca="true">IFERROR(SUMPRODUCT(OFFSET($BJ$31,0,1-MIN(60,COLUMN()-29),1,MIN(60,COLUMN()-29)),OFFSET(CG459,0,-MIN(60,COLUMN()-29),1,MIN(60,COLUMN()-29))),0)</f>
        <v>0</v>
      </c>
      <c r="CH460" s="237" t="n">
        <f aca="true">IFERROR(SUMPRODUCT(OFFSET($BJ$31,0,1-MIN(60,COLUMN()-29),1,MIN(60,COLUMN()-29)),OFFSET(CH459,0,-MIN(60,COLUMN()-29),1,MIN(60,COLUMN()-29))),0)</f>
        <v>0</v>
      </c>
      <c r="CI460" s="237" t="n">
        <f aca="true">IFERROR(SUMPRODUCT(OFFSET($BJ$31,0,1-MIN(60,COLUMN()-29),1,MIN(60,COLUMN()-29)),OFFSET(CI459,0,-MIN(60,COLUMN()-29),1,MIN(60,COLUMN()-29))),0)</f>
        <v>0</v>
      </c>
      <c r="CJ460" s="237" t="n">
        <f aca="true">IFERROR(SUMPRODUCT(OFFSET($BJ$31,0,1-MIN(60,COLUMN()-29),1,MIN(60,COLUMN()-29)),OFFSET(CJ459,0,-MIN(60,COLUMN()-29),1,MIN(60,COLUMN()-29))),0)</f>
        <v>0</v>
      </c>
      <c r="CK460" s="237" t="n">
        <f aca="true">IFERROR(SUMPRODUCT(OFFSET($BJ$31,0,1-MIN(60,COLUMN()-29),1,MIN(60,COLUMN()-29)),OFFSET(CK459,0,-MIN(60,COLUMN()-29),1,MIN(60,COLUMN()-29))),0)</f>
        <v>0</v>
      </c>
      <c r="CL460" s="237" t="n">
        <f aca="true">IFERROR(SUMPRODUCT(OFFSET($BJ$31,0,1-MIN(60,COLUMN()-29),1,MIN(60,COLUMN()-29)),OFFSET(CL459,0,-MIN(60,COLUMN()-29),1,MIN(60,COLUMN()-29))),0)</f>
        <v>0</v>
      </c>
      <c r="CM460" s="237" t="n">
        <f aca="true">IFERROR(SUMPRODUCT(OFFSET($BJ$31,0,1-MIN(60,COLUMN()-29),1,MIN(60,COLUMN()-29)),OFFSET(CM459,0,-MIN(60,COLUMN()-29),1,MIN(60,COLUMN()-29))),0)</f>
        <v>0</v>
      </c>
      <c r="CN460" s="237" t="n">
        <f aca="true">IFERROR(SUMPRODUCT(OFFSET($BJ$31,0,1-MIN(60,COLUMN()-29),1,MIN(60,COLUMN()-29)),OFFSET(CN459,0,-MIN(60,COLUMN()-29),1,MIN(60,COLUMN()-29))),0)</f>
        <v>0</v>
      </c>
      <c r="CO460" s="237" t="n">
        <f aca="true">IFERROR(SUMPRODUCT(OFFSET($BJ$31,0,1-MIN(60,COLUMN()-29),1,MIN(60,COLUMN()-29)),OFFSET(CO459,0,-MIN(60,COLUMN()-29),1,MIN(60,COLUMN()-29))),0)</f>
        <v>0</v>
      </c>
      <c r="CP460" s="237" t="n">
        <f aca="true">IFERROR(SUMPRODUCT(OFFSET($BJ$31,0,1-MIN(60,COLUMN()-29),1,MIN(60,COLUMN()-29)),OFFSET(CP459,0,-MIN(60,COLUMN()-29),1,MIN(60,COLUMN()-29))),0)</f>
        <v>0</v>
      </c>
      <c r="CQ460" s="237" t="n">
        <f aca="true">IFERROR(SUMPRODUCT(OFFSET($BJ$31,0,1-MIN(60,COLUMN()-29),1,MIN(60,COLUMN()-29)),OFFSET(CQ459,0,-MIN(60,COLUMN()-29),1,MIN(60,COLUMN()-29))),0)</f>
        <v>0</v>
      </c>
      <c r="CR460" s="237" t="n">
        <f aca="true">IFERROR(SUMPRODUCT(OFFSET($BJ$31,0,1-MIN(60,COLUMN()-29),1,MIN(60,COLUMN()-29)),OFFSET(CR459,0,-MIN(60,COLUMN()-29),1,MIN(60,COLUMN()-29))),0)</f>
        <v>0</v>
      </c>
      <c r="CS460" s="237" t="n">
        <f aca="true">IFERROR(SUMPRODUCT(OFFSET($BJ$31,0,1-MIN(60,COLUMN()-29),1,MIN(60,COLUMN()-29)),OFFSET(CS459,0,-MIN(60,COLUMN()-29),1,MIN(60,COLUMN()-29))),0)</f>
        <v>0</v>
      </c>
      <c r="CT460" s="237" t="n">
        <f aca="true">IFERROR(SUMPRODUCT(OFFSET($BJ$31,0,1-MIN(60,COLUMN()-29),1,MIN(60,COLUMN()-29)),OFFSET(CT459,0,-MIN(60,COLUMN()-29),1,MIN(60,COLUMN()-29))),0)</f>
        <v>0</v>
      </c>
      <c r="CU460" s="237" t="n">
        <f aca="true">IFERROR(SUMPRODUCT(OFFSET($BJ$31,0,1-MIN(60,COLUMN()-29),1,MIN(60,COLUMN()-29)),OFFSET(CU459,0,-MIN(60,COLUMN()-29),1,MIN(60,COLUMN()-29))),0)</f>
        <v>0</v>
      </c>
      <c r="CV460" s="237" t="n">
        <f aca="true">IFERROR(SUMPRODUCT(OFFSET($BJ$31,0,1-MIN(60,COLUMN()-29),1,MIN(60,COLUMN()-29)),OFFSET(CV459,0,-MIN(60,COLUMN()-29),1,MIN(60,COLUMN()-29))),0)</f>
        <v>0</v>
      </c>
      <c r="CW460" s="237" t="n">
        <f aca="true">IFERROR(SUMPRODUCT(OFFSET($BJ$31,0,1-MIN(60,COLUMN()-29),1,MIN(60,COLUMN()-29)),OFFSET(CW459,0,-MIN(60,COLUMN()-29),1,MIN(60,COLUMN()-29))),0)</f>
        <v>0</v>
      </c>
      <c r="CX460" s="237" t="n">
        <f aca="true">IFERROR(SUMPRODUCT(OFFSET($BJ$31,0,1-MIN(60,COLUMN()-29),1,MIN(60,COLUMN()-29)),OFFSET(CX459,0,-MIN(60,COLUMN()-29),1,MIN(60,COLUMN()-29))),0)</f>
        <v>0</v>
      </c>
      <c r="CY460" s="237" t="n">
        <f aca="true">IFERROR(SUMPRODUCT(OFFSET($BJ$31,0,1-MIN(60,COLUMN()-29),1,MIN(60,COLUMN()-29)),OFFSET(CY459,0,-MIN(60,COLUMN()-29),1,MIN(60,COLUMN()-29))),0)</f>
        <v>0</v>
      </c>
      <c r="CZ460" s="237" t="n">
        <f aca="true">IFERROR(SUMPRODUCT(OFFSET($BJ$31,0,1-MIN(60,COLUMN()-29),1,MIN(60,COLUMN()-29)),OFFSET(CZ459,0,-MIN(60,COLUMN()-29),1,MIN(60,COLUMN()-29))),0)</f>
        <v>0</v>
      </c>
      <c r="DA460" s="237" t="n">
        <f aca="true">IFERROR(SUMPRODUCT(OFFSET($BJ$31,0,1-MIN(60,COLUMN()-29),1,MIN(60,COLUMN()-29)),OFFSET(DA459,0,-MIN(60,COLUMN()-29),1,MIN(60,COLUMN()-29))),0)</f>
        <v>0</v>
      </c>
      <c r="DB460" s="237" t="n">
        <f aca="true">IFERROR(SUMPRODUCT(OFFSET($BJ$31,0,1-MIN(60,COLUMN()-29),1,MIN(60,COLUMN()-29)),OFFSET(DB459,0,-MIN(60,COLUMN()-29),1,MIN(60,COLUMN()-29))),0)</f>
        <v>0</v>
      </c>
      <c r="DC460" s="237" t="n">
        <f aca="true">IFERROR(SUMPRODUCT(OFFSET($BJ$31,0,1-MIN(60,COLUMN()-29),1,MIN(60,COLUMN()-29)),OFFSET(DC459,0,-MIN(60,COLUMN()-29),1,MIN(60,COLUMN()-29))),0)</f>
        <v>0</v>
      </c>
      <c r="DD460" s="237" t="n">
        <f aca="true">IFERROR(SUMPRODUCT(OFFSET($BJ$31,0,1-MIN(60,COLUMN()-29),1,MIN(60,COLUMN()-29)),OFFSET(DD459,0,-MIN(60,COLUMN()-29),1,MIN(60,COLUMN()-29))),0)</f>
        <v>0</v>
      </c>
      <c r="DE460" s="237" t="n">
        <f aca="true">IFERROR(SUMPRODUCT(OFFSET($BJ$31,0,1-MIN(60,COLUMN()-29),1,MIN(60,COLUMN()-29)),OFFSET(DE459,0,-MIN(60,COLUMN()-29),1,MIN(60,COLUMN()-29))),0)</f>
        <v>0</v>
      </c>
      <c r="DF460" s="237" t="n">
        <f aca="true">IFERROR(SUMPRODUCT(OFFSET($BJ$31,0,1-MIN(60,COLUMN()-29),1,MIN(60,COLUMN()-29)),OFFSET(DF459,0,-MIN(60,COLUMN()-29),1,MIN(60,COLUMN()-29))),0)</f>
        <v>0</v>
      </c>
      <c r="DG460" s="237" t="n">
        <f aca="true">IFERROR(SUMPRODUCT(OFFSET($BJ$31,0,1-MIN(60,COLUMN()-29),1,MIN(60,COLUMN()-29)),OFFSET(DG459,0,-MIN(60,COLUMN()-29),1,MIN(60,COLUMN()-29))),0)</f>
        <v>0</v>
      </c>
      <c r="DH460" s="237" t="n">
        <f aca="true">IFERROR(SUMPRODUCT(OFFSET($BJ$31,0,1-MIN(60,COLUMN()-29),1,MIN(60,COLUMN()-29)),OFFSET(DH459,0,-MIN(60,COLUMN()-29),1,MIN(60,COLUMN()-29))),0)</f>
        <v>0</v>
      </c>
      <c r="DI460" s="237" t="n">
        <f aca="true">IFERROR(SUMPRODUCT(OFFSET($BJ$31,0,1-MIN(60,COLUMN()-29),1,MIN(60,COLUMN()-29)),OFFSET(DI459,0,-MIN(60,COLUMN()-29),1,MIN(60,COLUMN()-29))),0)</f>
        <v>0</v>
      </c>
      <c r="DJ460" s="237" t="n">
        <f aca="true">IFERROR(SUMPRODUCT(OFFSET($BJ$31,0,1-MIN(60,COLUMN()-29),1,MIN(60,COLUMN()-29)),OFFSET(DJ459,0,-MIN(60,COLUMN()-29),1,MIN(60,COLUMN()-29))),0)</f>
        <v>0</v>
      </c>
      <c r="DK460" s="237" t="n">
        <f aca="true">IFERROR(SUMPRODUCT(OFFSET($BJ$31,0,1-MIN(60,COLUMN()-29),1,MIN(60,COLUMN()-29)),OFFSET(DK459,0,-MIN(60,COLUMN()-29),1,MIN(60,COLUMN()-29))),0)</f>
        <v>0</v>
      </c>
      <c r="DL460" s="237" t="n">
        <f aca="true">IFERROR(SUMPRODUCT(OFFSET($BJ$31,0,1-MIN(60,COLUMN()-29),1,MIN(60,COLUMN()-29)),OFFSET(DL459,0,-MIN(60,COLUMN()-29),1,MIN(60,COLUMN()-29))),0)</f>
        <v>0</v>
      </c>
      <c r="DM460" s="237" t="n">
        <f aca="true">IFERROR(SUMPRODUCT(OFFSET($BJ$31,0,1-MIN(60,COLUMN()-29),1,MIN(60,COLUMN()-29)),OFFSET(DM459,0,-MIN(60,COLUMN()-29),1,MIN(60,COLUMN()-29))),0)</f>
        <v>0</v>
      </c>
      <c r="DN460" s="237" t="n">
        <f aca="true">IFERROR(SUMPRODUCT(OFFSET($BJ$31,0,1-MIN(60,COLUMN()-29),1,MIN(60,COLUMN()-29)),OFFSET(DN459,0,-MIN(60,COLUMN()-29),1,MIN(60,COLUMN()-29))),0)</f>
        <v>0</v>
      </c>
      <c r="DO460" s="237" t="n">
        <f aca="true">IFERROR(SUMPRODUCT(OFFSET($BJ$31,0,1-MIN(60,COLUMN()-29),1,MIN(60,COLUMN()-29)),OFFSET(DO459,0,-MIN(60,COLUMN()-29),1,MIN(60,COLUMN()-29))),0)</f>
        <v>0</v>
      </c>
      <c r="DP460" s="237" t="n">
        <f aca="true">IFERROR(SUMPRODUCT(OFFSET($BJ$31,0,1-MIN(60,COLUMN()-29),1,MIN(60,COLUMN()-29)),OFFSET(DP459,0,-MIN(60,COLUMN()-29),1,MIN(60,COLUMN()-29))),0)</f>
        <v>0</v>
      </c>
      <c r="DQ460" s="237" t="n">
        <f aca="true">IFERROR(SUMPRODUCT(OFFSET($BJ$31,0,1-MIN(60,COLUMN()-29),1,MIN(60,COLUMN()-29)),OFFSET(DQ459,0,-MIN(60,COLUMN()-29),1,MIN(60,COLUMN()-29))),0)</f>
        <v>0</v>
      </c>
      <c r="DR460" s="237" t="n">
        <f aca="true">IFERROR(SUMPRODUCT(OFFSET($BJ$31,0,1-MIN(60,COLUMN()-29),1,MIN(60,COLUMN()-29)),OFFSET(DR459,0,-MIN(60,COLUMN()-29),1,MIN(60,COLUMN()-29))),0)</f>
        <v>0</v>
      </c>
      <c r="DS460" s="237" t="n">
        <f aca="true">IFERROR(SUMPRODUCT(OFFSET($BJ$31,0,1-MIN(60,COLUMN()-29),1,MIN(60,COLUMN()-29)),OFFSET(DS459,0,-MIN(60,COLUMN()-29),1,MIN(60,COLUMN()-29))),0)</f>
        <v>0</v>
      </c>
      <c r="DT460" s="237" t="n">
        <f aca="true">IFERROR(SUMPRODUCT(OFFSET($BJ$31,0,1-MIN(60,COLUMN()-29),1,MIN(60,COLUMN()-29)),OFFSET(DT459,0,-MIN(60,COLUMN()-29),1,MIN(60,COLUMN()-29))),0)</f>
        <v>0</v>
      </c>
      <c r="DU460" s="237" t="n">
        <f aca="true">IFERROR(SUMPRODUCT(OFFSET($BJ$31,0,1-MIN(60,COLUMN()-29),1,MIN(60,COLUMN()-29)),OFFSET(DU459,0,-MIN(60,COLUMN()-29),1,MIN(60,COLUMN()-29))),0)</f>
        <v>0</v>
      </c>
      <c r="DV460" s="237" t="n">
        <f aca="true">IFERROR(SUMPRODUCT(OFFSET($BJ$31,0,1-MIN(60,COLUMN()-29),1,MIN(60,COLUMN()-29)),OFFSET(DV459,0,-MIN(60,COLUMN()-29),1,MIN(60,COLUMN()-29))),0)</f>
        <v>0</v>
      </c>
      <c r="DW460" s="237" t="n">
        <f aca="true">IFERROR(SUMPRODUCT(OFFSET($BJ$31,0,1-MIN(60,COLUMN()-29),1,MIN(60,COLUMN()-29)),OFFSET(DW459,0,-MIN(60,COLUMN()-29),1,MIN(60,COLUMN()-29))),0)</f>
        <v>0</v>
      </c>
      <c r="DX460" s="237" t="n">
        <f aca="true">IFERROR(SUMPRODUCT(OFFSET($BJ$31,0,1-MIN(60,COLUMN()-29),1,MIN(60,COLUMN()-29)),OFFSET(DX459,0,-MIN(60,COLUMN()-29),1,MIN(60,COLUMN()-29))),0)</f>
        <v>0</v>
      </c>
      <c r="DY460" s="237" t="n">
        <f aca="true">IFERROR(SUMPRODUCT(OFFSET($BJ$31,0,1-MIN(60,COLUMN()-29),1,MIN(60,COLUMN()-29)),OFFSET(DY459,0,-MIN(60,COLUMN()-29),1,MIN(60,COLUMN()-29))),0)</f>
        <v>0</v>
      </c>
      <c r="DZ460" s="237" t="n">
        <f aca="true">IFERROR(SUMPRODUCT(OFFSET($BJ$31,0,1-MIN(60,COLUMN()-29),1,MIN(60,COLUMN()-29)),OFFSET(DZ459,0,-MIN(60,COLUMN()-29),1,MIN(60,COLUMN()-29))),0)</f>
        <v>0</v>
      </c>
      <c r="EA460" s="237" t="n">
        <f aca="true">IFERROR(SUMPRODUCT(OFFSET($BJ$31,0,1-MIN(60,COLUMN()-29),1,MIN(60,COLUMN()-29)),OFFSET(EA459,0,-MIN(60,COLUMN()-29),1,MIN(60,COLUMN()-29))),0)</f>
        <v>0</v>
      </c>
      <c r="EB460" s="237" t="n">
        <f aca="true">IFERROR(SUMPRODUCT(OFFSET($BJ$31,0,1-MIN(60,COLUMN()-29),1,MIN(60,COLUMN()-29)),OFFSET(EB459,0,-MIN(60,COLUMN()-29),1,MIN(60,COLUMN()-29))),0)</f>
        <v>0</v>
      </c>
      <c r="EC460" s="237" t="n">
        <f aca="true">IFERROR(SUMPRODUCT(OFFSET($BJ$31,0,1-MIN(60,COLUMN()-29),1,MIN(60,COLUMN()-29)),OFFSET(EC459,0,-MIN(60,COLUMN()-29),1,MIN(60,COLUMN()-29))),0)</f>
        <v>0</v>
      </c>
      <c r="ED460" s="237" t="n">
        <f aca="true">IFERROR(SUMPRODUCT(OFFSET($BJ$31,0,1-MIN(60,COLUMN()-29),1,MIN(60,COLUMN()-29)),OFFSET(ED459,0,-MIN(60,COLUMN()-29),1,MIN(60,COLUMN()-29))),0)</f>
        <v>0</v>
      </c>
      <c r="EE460" s="237" t="n">
        <f aca="true">IFERROR(SUMPRODUCT(OFFSET($BJ$31,0,1-MIN(60,COLUMN()-29),1,MIN(60,COLUMN()-29)),OFFSET(EE459,0,-MIN(60,COLUMN()-29),1,MIN(60,COLUMN()-29))),0)</f>
        <v>0</v>
      </c>
      <c r="EF460" s="237" t="n">
        <f aca="true">IFERROR(SUMPRODUCT(OFFSET($BJ$31,0,1-MIN(60,COLUMN()-29),1,MIN(60,COLUMN()-29)),OFFSET(EF459,0,-MIN(60,COLUMN()-29),1,MIN(60,COLUMN()-29))),0)</f>
        <v>0</v>
      </c>
      <c r="EG460" s="237" t="n">
        <f aca="true">IFERROR(SUMPRODUCT(OFFSET($BJ$31,0,1-MIN(60,COLUMN()-29),1,MIN(60,COLUMN()-29)),OFFSET(EG459,0,-MIN(60,COLUMN()-29),1,MIN(60,COLUMN()-29))),0)</f>
        <v>0</v>
      </c>
      <c r="EH460" s="237" t="n">
        <f aca="true">IFERROR(SUMPRODUCT(OFFSET($BJ$31,0,1-MIN(60,COLUMN()-29),1,MIN(60,COLUMN()-29)),OFFSET(EH459,0,-MIN(60,COLUMN()-29),1,MIN(60,COLUMN()-29))),0)</f>
        <v>0</v>
      </c>
      <c r="EI460" s="237" t="n">
        <f aca="true">IFERROR(SUMPRODUCT(OFFSET($BJ$31,0,1-MIN(60,COLUMN()-29),1,MIN(60,COLUMN()-29)),OFFSET(EI459,0,-MIN(60,COLUMN()-29),1,MIN(60,COLUMN()-29))),0)</f>
        <v>2.30912</v>
      </c>
      <c r="EJ460" s="237" t="n">
        <f aca="true">IFERROR(SUMPRODUCT(OFFSET($BJ$31,0,1-MIN(60,COLUMN()-29),1,MIN(60,COLUMN()-29)),OFFSET(EJ459,0,-MIN(60,COLUMN()-29),1,MIN(60,COLUMN()-29))),0)</f>
        <v>3.91072</v>
      </c>
      <c r="EK460" s="237" t="n">
        <f aca="true">IFERROR(SUMPRODUCT(OFFSET($BJ$31,0,1-MIN(60,COLUMN()-29),1,MIN(60,COLUMN()-29)),OFFSET(EK459,0,-MIN(60,COLUMN()-29),1,MIN(60,COLUMN()-29))),0)</f>
        <v>4.6152832</v>
      </c>
      <c r="EL460" s="237" t="n">
        <f aca="true">IFERROR(SUMPRODUCT(OFFSET($BJ$31,0,1-MIN(60,COLUMN()-29),1,MIN(60,COLUMN()-29)),OFFSET(EL459,0,-MIN(60,COLUMN()-29),1,MIN(60,COLUMN()-29))),0)</f>
        <v>4.8683008</v>
      </c>
      <c r="EM460" s="237" t="n">
        <f aca="true">IFERROR(SUMPRODUCT(OFFSET($BJ$31,0,1-MIN(60,COLUMN()-29),1,MIN(60,COLUMN()-29)),OFFSET(EM459,0,-MIN(60,COLUMN()-29),1,MIN(60,COLUMN()-29))),0)</f>
        <v>4.705184</v>
      </c>
      <c r="EN460" s="237" t="n">
        <f aca="true">IFERROR(SUMPRODUCT(OFFSET($BJ$31,0,1-MIN(60,COLUMN()-29),1,MIN(60,COLUMN()-29)),OFFSET(EN459,0,-MIN(60,COLUMN()-29),1,MIN(60,COLUMN()-29))),0)</f>
        <v>5.4244608</v>
      </c>
      <c r="EO460" s="237" t="n">
        <f aca="true">IFERROR(SUMPRODUCT(OFFSET($BJ$31,0,1-MIN(60,COLUMN()-29),1,MIN(60,COLUMN()-29)),OFFSET(EO459,0,-MIN(60,COLUMN()-29),1,MIN(60,COLUMN()-29))),0)</f>
        <v>9.0860352</v>
      </c>
      <c r="EP460" s="237" t="n">
        <f aca="true">IFERROR(SUMPRODUCT(OFFSET($BJ$31,0,1-MIN(60,COLUMN()-29),1,MIN(60,COLUMN()-29)),OFFSET(EP459,0,-MIN(60,COLUMN()-29),1,MIN(60,COLUMN()-29))),0)</f>
        <v>9.215184</v>
      </c>
      <c r="EQ460" s="237" t="n">
        <f aca="true">IFERROR(SUMPRODUCT(OFFSET($BJ$31,0,1-MIN(60,COLUMN()-29),1,MIN(60,COLUMN()-29)),OFFSET(EQ459,0,-MIN(60,COLUMN()-29),1,MIN(60,COLUMN()-29))),0)</f>
        <v>9.5463104</v>
      </c>
      <c r="ER460" s="237" t="n">
        <f aca="true">IFERROR(SUMPRODUCT(OFFSET($BJ$31,0,1-MIN(60,COLUMN()-29),1,MIN(60,COLUMN()-29)),OFFSET(ER459,0,-MIN(60,COLUMN()-29),1,MIN(60,COLUMN()-29))),0)</f>
        <v>8.6454016</v>
      </c>
      <c r="ES460" s="9" t="n">
        <f aca="true">IFERROR(SUMPRODUCT(OFFSET($BJ$31,0,1-MIN(60,COLUMN()-29),1,MIN(60,COLUMN()-29)),OFFSET(ES459,0,-MIN(60,COLUMN()-29),1,MIN(60,COLUMN()-29))),0)</f>
        <v>11.1888832</v>
      </c>
      <c r="ET460" s="9" t="n">
        <f aca="true">IFERROR(SUMPRODUCT(OFFSET($BJ$31,0,1-MIN(60,COLUMN()-29),1,MIN(60,COLUMN()-29)),OFFSET(ET459,0,-MIN(60,COLUMN()-29),1,MIN(60,COLUMN()-29))),0)</f>
        <v>12.8969632</v>
      </c>
      <c r="EU460" s="9" t="n">
        <f aca="true">IFERROR(SUMPRODUCT(OFFSET($BJ$31,0,1-MIN(60,COLUMN()-29),1,MIN(60,COLUMN()-29)),OFFSET(EU459,0,-MIN(60,COLUMN()-29),1,MIN(60,COLUMN()-29))),0)</f>
        <v>13.102848</v>
      </c>
      <c r="EV460" s="9" t="n">
        <f aca="true">IFERROR(SUMPRODUCT(OFFSET($BJ$31,0,1-MIN(60,COLUMN()-29),1,MIN(60,COLUMN()-29)),OFFSET(EV459,0,-MIN(60,COLUMN()-29),1,MIN(60,COLUMN()-29))),0)</f>
        <v>17.138704</v>
      </c>
      <c r="EW460" s="9" t="n">
        <f aca="true">IFERROR(SUMPRODUCT(OFFSET($BJ$31,0,1-MIN(60,COLUMN()-29),1,MIN(60,COLUMN()-29)),OFFSET(EW459,0,-MIN(60,COLUMN()-29),1,MIN(60,COLUMN()-29))),0)</f>
        <v>17.6159104</v>
      </c>
      <c r="EX460" s="9" t="n">
        <f aca="true">IFERROR(SUMPRODUCT(OFFSET($BJ$31,0,1-MIN(60,COLUMN()-29),1,MIN(60,COLUMN()-29)),OFFSET(EX459,0,-MIN(60,COLUMN()-29),1,MIN(60,COLUMN()-29))),0)</f>
        <v>18.9879712</v>
      </c>
      <c r="EY460" s="9" t="n">
        <f aca="true">IFERROR(SUMPRODUCT(OFFSET($BJ$31,0,1-MIN(60,COLUMN()-29),1,MIN(60,COLUMN()-29)),OFFSET(EY459,0,-MIN(60,COLUMN()-29),1,MIN(60,COLUMN()-29))),0)</f>
        <v>19.18277152</v>
      </c>
      <c r="EZ460" s="9" t="n">
        <f aca="true">IFERROR(SUMPRODUCT(OFFSET($BJ$31,0,1-MIN(60,COLUMN()-29),1,MIN(60,COLUMN()-29)),OFFSET(EZ459,0,-MIN(60,COLUMN()-29),1,MIN(60,COLUMN()-29))),0)</f>
        <v>21.85396928</v>
      </c>
      <c r="FA460" s="9" t="n">
        <f aca="true">IFERROR(SUMPRODUCT(OFFSET($BJ$31,0,1-MIN(60,COLUMN()-29),1,MIN(60,COLUMN()-29)),OFFSET(FA459,0,-MIN(60,COLUMN()-29),1,MIN(60,COLUMN()-29))),0)</f>
        <v>30.66269888</v>
      </c>
      <c r="FB460" s="9" t="n">
        <f aca="true">IFERROR(SUMPRODUCT(OFFSET($BJ$31,0,1-MIN(60,COLUMN()-29),1,MIN(60,COLUMN()-29)),OFFSET(FB459,0,-MIN(60,COLUMN()-29),1,MIN(60,COLUMN()-29))),0)</f>
        <v>30.21796624</v>
      </c>
      <c r="FC460" s="9" t="n">
        <f aca="true">IFERROR(SUMPRODUCT(OFFSET($BJ$31,0,1-MIN(60,COLUMN()-29),1,MIN(60,COLUMN()-29)),OFFSET(FC459,0,-MIN(60,COLUMN()-29),1,MIN(60,COLUMN()-29))),0)</f>
        <v>29.717908</v>
      </c>
      <c r="FD460" s="9" t="n">
        <f aca="true">IFERROR(SUMPRODUCT(OFFSET($BJ$31,0,1-MIN(60,COLUMN()-29),1,MIN(60,COLUMN()-29)),OFFSET(FD459,0,-MIN(60,COLUMN()-29),1,MIN(60,COLUMN()-29))),0)</f>
        <v>28.11400768</v>
      </c>
      <c r="FE460" s="9" t="n">
        <f aca="true">IFERROR(SUMPRODUCT(OFFSET($BJ$31,0,1-MIN(60,COLUMN()-29),1,MIN(60,COLUMN()-29)),OFFSET(FE459,0,-MIN(60,COLUMN()-29),1,MIN(60,COLUMN()-29))),0)</f>
        <v>34.36719176</v>
      </c>
      <c r="FF460" s="9" t="n">
        <f aca="true">IFERROR(SUMPRODUCT(OFFSET($BJ$31,0,1-MIN(60,COLUMN()-29),1,MIN(60,COLUMN()-29)),OFFSET(FF459,0,-MIN(60,COLUMN()-29),1,MIN(60,COLUMN()-29))),0)</f>
        <v>37.05686072</v>
      </c>
      <c r="FG460" s="9" t="n">
        <f aca="true">IFERROR(SUMPRODUCT(OFFSET($BJ$31,0,1-MIN(60,COLUMN()-29),1,MIN(60,COLUMN()-29)),OFFSET(FG459,0,-MIN(60,COLUMN()-29),1,MIN(60,COLUMN()-29))),0)</f>
        <v>36.74059576</v>
      </c>
      <c r="FH460" s="9" t="n">
        <f aca="true">IFERROR(SUMPRODUCT(OFFSET($BJ$31,0,1-MIN(60,COLUMN()-29),1,MIN(60,COLUMN()-29)),OFFSET(FH459,0,-MIN(60,COLUMN()-29),1,MIN(60,COLUMN()-29))),0)</f>
        <v>43.11921592</v>
      </c>
      <c r="FI460" s="9" t="n">
        <f aca="true">IFERROR(SUMPRODUCT(OFFSET($BJ$31,0,1-MIN(60,COLUMN()-29),1,MIN(60,COLUMN()-29)),OFFSET(FI459,0,-MIN(60,COLUMN()-29),1,MIN(60,COLUMN()-29))),0)</f>
        <v>45.0912748</v>
      </c>
      <c r="FJ460" s="9" t="n">
        <f aca="true">IFERROR(SUMPRODUCT(OFFSET($BJ$31,0,1-MIN(60,COLUMN()-29),1,MIN(60,COLUMN()-29)),OFFSET(FJ459,0,-MIN(60,COLUMN()-29),1,MIN(60,COLUMN()-29))),0)</f>
        <v>45.86269688</v>
      </c>
      <c r="FK460" s="9" t="n">
        <f aca="true">IFERROR(SUMPRODUCT(OFFSET($BJ$31,0,1-MIN(60,COLUMN()-29),1,MIN(60,COLUMN()-29)),OFFSET(FK459,0,-MIN(60,COLUMN()-29),1,MIN(60,COLUMN()-29))),0)</f>
        <v>45.82513848</v>
      </c>
      <c r="FL460" s="9" t="n">
        <f aca="true">IFERROR(SUMPRODUCT(OFFSET($BJ$31,0,1-MIN(60,COLUMN()-29),1,MIN(60,COLUMN()-29)),OFFSET(FL459,0,-MIN(60,COLUMN()-29),1,MIN(60,COLUMN()-29))),0)</f>
        <v>49.67989752</v>
      </c>
      <c r="FM460" s="9" t="n">
        <f aca="true">IFERROR(SUMPRODUCT(OFFSET($BJ$31,0,1-MIN(60,COLUMN()-29),1,MIN(60,COLUMN()-29)),OFFSET(FM459,0,-MIN(60,COLUMN()-29),1,MIN(60,COLUMN()-29))),0)</f>
        <v>60.96947736</v>
      </c>
      <c r="FN460" s="9" t="n">
        <f aca="true">IFERROR(SUMPRODUCT(OFFSET($BJ$31,0,1-MIN(60,COLUMN()-29),1,MIN(60,COLUMN()-29)),OFFSET(FN459,0,-MIN(60,COLUMN()-29),1,MIN(60,COLUMN()-29))),0)</f>
        <v>61.18125816</v>
      </c>
      <c r="FO460" s="9" t="n">
        <f aca="true">IFERROR(SUMPRODUCT(OFFSET($BJ$31,0,1-MIN(60,COLUMN()-29),1,MIN(60,COLUMN()-29)),OFFSET(FO459,0,-MIN(60,COLUMN()-29),1,MIN(60,COLUMN()-29))),0)</f>
        <v>60.70174968</v>
      </c>
      <c r="FP460" s="9" t="n">
        <f aca="true">IFERROR(SUMPRODUCT(OFFSET($BJ$31,0,1-MIN(60,COLUMN()-29),1,MIN(60,COLUMN()-29)),OFFSET(FP459,0,-MIN(60,COLUMN()-29),1,MIN(60,COLUMN()-29))),0)</f>
        <v>59.07511896</v>
      </c>
    </row>
    <row r="461" customFormat="false" ht="15" hidden="false" customHeight="false" outlineLevel="2" collapsed="false">
      <c r="B461" s="47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237"/>
      <c r="AD461" s="237"/>
      <c r="AE461" s="237"/>
      <c r="AF461" s="237"/>
      <c r="AG461" s="237"/>
      <c r="AH461" s="237"/>
      <c r="AI461" s="237"/>
      <c r="AJ461" s="237"/>
      <c r="AK461" s="237"/>
      <c r="AL461" s="237"/>
      <c r="AM461" s="237"/>
      <c r="AN461" s="237"/>
      <c r="AO461" s="237"/>
      <c r="AP461" s="237"/>
      <c r="AQ461" s="237"/>
      <c r="AR461" s="237"/>
      <c r="AS461" s="237"/>
      <c r="AT461" s="237"/>
      <c r="AU461" s="237"/>
      <c r="AV461" s="237"/>
      <c r="AW461" s="237"/>
      <c r="AX461" s="237"/>
      <c r="AY461" s="237"/>
      <c r="AZ461" s="237"/>
      <c r="BA461" s="237"/>
      <c r="BB461" s="237"/>
      <c r="BC461" s="237"/>
      <c r="BD461" s="237"/>
      <c r="BE461" s="237"/>
      <c r="BF461" s="237"/>
      <c r="BG461" s="237"/>
      <c r="BH461" s="237"/>
      <c r="BI461" s="237"/>
      <c r="BJ461" s="237"/>
      <c r="BK461" s="237"/>
      <c r="BL461" s="237"/>
      <c r="BM461" s="237"/>
      <c r="BN461" s="237"/>
      <c r="BO461" s="237"/>
      <c r="BP461" s="237"/>
      <c r="BQ461" s="237"/>
      <c r="BR461" s="237"/>
      <c r="BS461" s="237"/>
      <c r="BT461" s="237"/>
      <c r="BU461" s="237"/>
      <c r="BV461" s="237"/>
      <c r="BW461" s="237"/>
      <c r="BX461" s="237"/>
      <c r="BY461" s="237"/>
      <c r="BZ461" s="237"/>
      <c r="CA461" s="237"/>
      <c r="CB461" s="237"/>
      <c r="CC461" s="237"/>
      <c r="CD461" s="237"/>
      <c r="CE461" s="237"/>
      <c r="CF461" s="237"/>
      <c r="CG461" s="237"/>
      <c r="CH461" s="237"/>
      <c r="CI461" s="237"/>
      <c r="CJ461" s="237"/>
      <c r="CK461" s="237"/>
      <c r="CL461" s="237"/>
      <c r="CM461" s="237"/>
      <c r="CN461" s="237"/>
      <c r="CO461" s="237"/>
      <c r="CP461" s="237"/>
      <c r="CQ461" s="237"/>
      <c r="CR461" s="237"/>
      <c r="CS461" s="237"/>
      <c r="CT461" s="237"/>
      <c r="CU461" s="237"/>
      <c r="CV461" s="237"/>
      <c r="CW461" s="237"/>
      <c r="CX461" s="237"/>
      <c r="CY461" s="237"/>
      <c r="CZ461" s="237"/>
      <c r="DA461" s="237"/>
      <c r="DB461" s="237"/>
      <c r="DC461" s="237"/>
      <c r="DD461" s="237"/>
      <c r="DE461" s="237"/>
      <c r="DF461" s="237"/>
      <c r="DG461" s="237"/>
      <c r="DH461" s="237"/>
      <c r="DI461" s="237"/>
      <c r="DJ461" s="237"/>
      <c r="DK461" s="237"/>
      <c r="DL461" s="237"/>
      <c r="DM461" s="237"/>
      <c r="DN461" s="237"/>
      <c r="DO461" s="237"/>
      <c r="DP461" s="237"/>
      <c r="DQ461" s="237"/>
      <c r="DR461" s="237"/>
      <c r="DS461" s="237"/>
      <c r="DT461" s="237"/>
      <c r="DU461" s="237"/>
      <c r="DV461" s="237"/>
      <c r="DW461" s="237"/>
      <c r="DX461" s="237"/>
      <c r="DY461" s="237"/>
      <c r="DZ461" s="237"/>
      <c r="EA461" s="237"/>
      <c r="EB461" s="237"/>
      <c r="EC461" s="237"/>
      <c r="ED461" s="237"/>
      <c r="EE461" s="237"/>
      <c r="EF461" s="237"/>
      <c r="EG461" s="237"/>
      <c r="EH461" s="237"/>
      <c r="EI461" s="237"/>
      <c r="EJ461" s="237"/>
      <c r="EK461" s="237"/>
      <c r="EL461" s="237"/>
      <c r="EM461" s="237"/>
      <c r="EN461" s="237"/>
      <c r="EO461" s="237"/>
      <c r="EP461" s="237"/>
      <c r="EQ461" s="237"/>
      <c r="ER461" s="237"/>
      <c r="ES461" s="9"/>
      <c r="ET461" s="9"/>
      <c r="EU461" s="9"/>
      <c r="EV461" s="9"/>
      <c r="EW461" s="9"/>
      <c r="EX461" s="9"/>
      <c r="EY461" s="9"/>
      <c r="EZ461" s="9"/>
      <c r="FA461" s="9"/>
      <c r="FB461" s="9"/>
      <c r="FC461" s="9"/>
      <c r="FD461" s="9"/>
      <c r="FE461" s="9"/>
      <c r="FF461" s="9"/>
      <c r="FG461" s="9"/>
      <c r="FH461" s="9"/>
      <c r="FI461" s="9"/>
      <c r="FJ461" s="9"/>
      <c r="FK461" s="9"/>
      <c r="FL461" s="9"/>
      <c r="FM461" s="9"/>
      <c r="FN461" s="9"/>
      <c r="FO461" s="9"/>
      <c r="FP461" s="9"/>
    </row>
    <row r="462" customFormat="false" ht="15" hidden="false" customHeight="false" outlineLevel="2" collapsed="false">
      <c r="B462" s="47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237"/>
      <c r="AD462" s="237"/>
      <c r="AE462" s="237"/>
      <c r="AF462" s="237"/>
      <c r="AG462" s="237"/>
      <c r="AH462" s="237"/>
      <c r="AI462" s="237"/>
      <c r="AJ462" s="237"/>
      <c r="AK462" s="237"/>
      <c r="AL462" s="237"/>
      <c r="AM462" s="237"/>
      <c r="AN462" s="237"/>
      <c r="AO462" s="237"/>
      <c r="AP462" s="237"/>
      <c r="AQ462" s="237"/>
      <c r="AR462" s="237"/>
      <c r="AS462" s="237"/>
      <c r="AT462" s="237"/>
      <c r="AU462" s="237"/>
      <c r="AV462" s="237"/>
      <c r="AW462" s="237"/>
      <c r="AX462" s="237"/>
      <c r="AY462" s="237"/>
      <c r="AZ462" s="237"/>
      <c r="BA462" s="237"/>
      <c r="BB462" s="237"/>
      <c r="BC462" s="237"/>
      <c r="BD462" s="237"/>
      <c r="BE462" s="237"/>
      <c r="BF462" s="237"/>
      <c r="BG462" s="237"/>
      <c r="BH462" s="237"/>
      <c r="BI462" s="237"/>
      <c r="BJ462" s="237"/>
      <c r="BK462" s="237"/>
      <c r="BL462" s="237"/>
      <c r="BM462" s="237"/>
      <c r="BN462" s="237"/>
      <c r="BO462" s="237"/>
      <c r="BP462" s="237"/>
      <c r="BQ462" s="237"/>
      <c r="BR462" s="237"/>
      <c r="BS462" s="237"/>
      <c r="BT462" s="237"/>
      <c r="BU462" s="237"/>
      <c r="BV462" s="237"/>
      <c r="BW462" s="237"/>
      <c r="BX462" s="237"/>
      <c r="BY462" s="237"/>
      <c r="BZ462" s="237"/>
      <c r="CA462" s="237"/>
      <c r="CB462" s="237"/>
      <c r="CC462" s="237"/>
      <c r="CD462" s="237"/>
      <c r="CE462" s="237"/>
      <c r="CF462" s="237"/>
      <c r="CG462" s="237"/>
      <c r="CH462" s="237"/>
      <c r="CI462" s="237"/>
      <c r="CJ462" s="237"/>
      <c r="CK462" s="237"/>
      <c r="CL462" s="237"/>
      <c r="CM462" s="237"/>
      <c r="CN462" s="237"/>
      <c r="CO462" s="237"/>
      <c r="CP462" s="237"/>
      <c r="CQ462" s="237"/>
      <c r="CR462" s="237"/>
      <c r="CS462" s="237"/>
      <c r="CT462" s="237"/>
      <c r="CU462" s="237"/>
      <c r="CV462" s="237"/>
      <c r="CW462" s="237"/>
      <c r="CX462" s="237"/>
      <c r="CY462" s="237"/>
      <c r="CZ462" s="237"/>
      <c r="DA462" s="237"/>
      <c r="DB462" s="237"/>
      <c r="DC462" s="237"/>
      <c r="DD462" s="237"/>
      <c r="DE462" s="237"/>
      <c r="DF462" s="237"/>
      <c r="DG462" s="237"/>
      <c r="DH462" s="237"/>
      <c r="DI462" s="237"/>
      <c r="DJ462" s="237"/>
      <c r="DK462" s="237"/>
      <c r="DL462" s="237"/>
      <c r="DM462" s="237"/>
      <c r="DN462" s="237"/>
      <c r="DO462" s="237"/>
      <c r="DP462" s="237"/>
      <c r="DQ462" s="237"/>
      <c r="DR462" s="237"/>
      <c r="DS462" s="237"/>
      <c r="DT462" s="237"/>
      <c r="DU462" s="237"/>
      <c r="DV462" s="237"/>
      <c r="DW462" s="237"/>
      <c r="DX462" s="237"/>
      <c r="DY462" s="237"/>
      <c r="DZ462" s="237"/>
      <c r="EA462" s="237"/>
      <c r="EB462" s="237"/>
      <c r="EC462" s="237"/>
      <c r="ED462" s="237"/>
      <c r="EE462" s="237"/>
      <c r="EF462" s="237"/>
      <c r="EG462" s="237"/>
      <c r="EH462" s="237"/>
      <c r="EI462" s="237"/>
      <c r="EJ462" s="237"/>
      <c r="EK462" s="237"/>
      <c r="EL462" s="237"/>
      <c r="EM462" s="237"/>
      <c r="EN462" s="237"/>
      <c r="EO462" s="237"/>
      <c r="EP462" s="237"/>
      <c r="EQ462" s="237"/>
      <c r="ER462" s="237"/>
      <c r="ES462" s="9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9"/>
      <c r="FE462" s="9"/>
      <c r="FF462" s="9"/>
      <c r="FG462" s="9"/>
      <c r="FH462" s="9"/>
      <c r="FI462" s="9"/>
      <c r="FJ462" s="9"/>
      <c r="FK462" s="9"/>
      <c r="FL462" s="9"/>
      <c r="FM462" s="9"/>
      <c r="FN462" s="9"/>
      <c r="FO462" s="9"/>
      <c r="FP462" s="9"/>
    </row>
    <row r="463" customFormat="false" ht="15" hidden="false" customHeight="false" outlineLevel="2" collapsed="false">
      <c r="B463" s="47" t="s">
        <v>919</v>
      </c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237"/>
      <c r="AD463" s="237"/>
      <c r="AE463" s="237"/>
      <c r="AF463" s="237"/>
      <c r="AG463" s="237"/>
      <c r="AH463" s="237"/>
      <c r="AI463" s="237"/>
      <c r="AJ463" s="237"/>
      <c r="AK463" s="237"/>
      <c r="AL463" s="237"/>
      <c r="AM463" s="237"/>
      <c r="AN463" s="237"/>
      <c r="AO463" s="237"/>
      <c r="AP463" s="237"/>
      <c r="AQ463" s="237"/>
      <c r="AR463" s="237"/>
      <c r="AS463" s="237"/>
      <c r="AT463" s="237"/>
      <c r="AU463" s="237"/>
      <c r="AV463" s="237"/>
      <c r="AW463" s="237"/>
      <c r="AX463" s="237"/>
      <c r="AY463" s="237"/>
      <c r="AZ463" s="237"/>
      <c r="BA463" s="237"/>
      <c r="BB463" s="237"/>
      <c r="BC463" s="237"/>
      <c r="BD463" s="237"/>
      <c r="BE463" s="237"/>
      <c r="BF463" s="237"/>
      <c r="BG463" s="237"/>
      <c r="BH463" s="237"/>
      <c r="BI463" s="237"/>
      <c r="BJ463" s="237"/>
      <c r="BK463" s="237"/>
      <c r="BL463" s="237"/>
      <c r="BM463" s="237"/>
      <c r="BN463" s="237"/>
      <c r="BO463" s="237"/>
      <c r="BP463" s="237"/>
      <c r="BQ463" s="237"/>
      <c r="BR463" s="237"/>
      <c r="BS463" s="237"/>
      <c r="BT463" s="237"/>
      <c r="BU463" s="237"/>
      <c r="BV463" s="237"/>
      <c r="BW463" s="237"/>
      <c r="BX463" s="237"/>
      <c r="BY463" s="237"/>
      <c r="BZ463" s="237"/>
      <c r="CA463" s="237"/>
      <c r="CB463" s="237"/>
      <c r="CC463" s="237"/>
      <c r="CD463" s="237"/>
      <c r="CE463" s="237"/>
      <c r="CF463" s="237"/>
      <c r="CG463" s="237"/>
      <c r="CH463" s="237"/>
      <c r="CI463" s="237"/>
      <c r="CJ463" s="237"/>
      <c r="CK463" s="237"/>
      <c r="CL463" s="237"/>
      <c r="CM463" s="237"/>
      <c r="CN463" s="237"/>
      <c r="CO463" s="237"/>
      <c r="CP463" s="237"/>
      <c r="CQ463" s="237"/>
      <c r="CR463" s="237"/>
      <c r="CS463" s="237"/>
      <c r="CT463" s="237"/>
      <c r="CU463" s="237"/>
      <c r="CV463" s="237"/>
      <c r="CW463" s="237"/>
      <c r="CX463" s="237"/>
      <c r="CY463" s="237"/>
      <c r="CZ463" s="237"/>
      <c r="DA463" s="237"/>
      <c r="DB463" s="237"/>
      <c r="DC463" s="237"/>
      <c r="DD463" s="237"/>
      <c r="DE463" s="237"/>
      <c r="DF463" s="237"/>
      <c r="DG463" s="237"/>
      <c r="DH463" s="237"/>
      <c r="DI463" s="237"/>
      <c r="DJ463" s="237"/>
      <c r="DK463" s="237"/>
      <c r="DL463" s="237"/>
      <c r="DM463" s="237"/>
      <c r="DN463" s="237"/>
      <c r="DO463" s="237"/>
      <c r="DP463" s="237"/>
      <c r="DQ463" s="237"/>
      <c r="DR463" s="237"/>
      <c r="DS463" s="237"/>
      <c r="DT463" s="237"/>
      <c r="DU463" s="237"/>
      <c r="DV463" s="237"/>
      <c r="DW463" s="237"/>
      <c r="DX463" s="237"/>
      <c r="DY463" s="237"/>
      <c r="DZ463" s="237"/>
      <c r="EA463" s="237"/>
      <c r="EB463" s="237"/>
      <c r="EC463" s="237"/>
      <c r="ED463" s="237"/>
      <c r="EE463" s="237"/>
      <c r="EF463" s="237"/>
      <c r="EG463" s="237"/>
      <c r="EH463" s="237"/>
      <c r="EI463" s="237"/>
      <c r="EJ463" s="237"/>
      <c r="EK463" s="237"/>
      <c r="EL463" s="237"/>
      <c r="EM463" s="237"/>
      <c r="EN463" s="237"/>
      <c r="EO463" s="237"/>
      <c r="EP463" s="237"/>
      <c r="EQ463" s="237"/>
      <c r="ER463" s="237"/>
      <c r="ES463" s="9"/>
      <c r="ET463" s="9"/>
      <c r="EU463" s="9"/>
      <c r="EV463" s="9"/>
      <c r="EW463" s="9"/>
      <c r="EX463" s="9"/>
      <c r="EY463" s="9"/>
      <c r="EZ463" s="9"/>
      <c r="FA463" s="9"/>
      <c r="FB463" s="9"/>
      <c r="FC463" s="9"/>
      <c r="FD463" s="9"/>
      <c r="FE463" s="9"/>
      <c r="FF463" s="9"/>
      <c r="FG463" s="9"/>
      <c r="FH463" s="9"/>
      <c r="FI463" s="9"/>
      <c r="FJ463" s="9"/>
      <c r="FK463" s="9"/>
      <c r="FL463" s="9"/>
      <c r="FM463" s="9"/>
      <c r="FN463" s="9"/>
      <c r="FO463" s="9"/>
      <c r="FP463" s="9"/>
    </row>
    <row r="464" customFormat="false" ht="15" hidden="false" customHeight="false" outlineLevel="2" collapsed="false">
      <c r="B464" s="47" t="s">
        <v>872</v>
      </c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237" t="n">
        <f aca="false">('⑫ Roll-out Plan'!G51-2025)*12+'⑫ Roll-out Plan'!F51</f>
        <v>117</v>
      </c>
      <c r="AD464" s="237"/>
      <c r="AE464" s="237"/>
      <c r="AF464" s="237"/>
      <c r="AG464" s="237"/>
      <c r="AH464" s="237"/>
      <c r="AI464" s="237"/>
      <c r="AJ464" s="237"/>
      <c r="AK464" s="237"/>
      <c r="AL464" s="237"/>
      <c r="AM464" s="237"/>
      <c r="AN464" s="237"/>
      <c r="AO464" s="237"/>
      <c r="AP464" s="237"/>
      <c r="AQ464" s="237"/>
      <c r="AR464" s="237"/>
      <c r="AS464" s="237"/>
      <c r="AT464" s="237"/>
      <c r="AU464" s="237"/>
      <c r="AV464" s="237"/>
      <c r="AW464" s="237"/>
      <c r="AX464" s="237"/>
      <c r="AY464" s="237"/>
      <c r="AZ464" s="237"/>
      <c r="BA464" s="237"/>
      <c r="BB464" s="237"/>
      <c r="BC464" s="237"/>
      <c r="BD464" s="237"/>
      <c r="BE464" s="237"/>
      <c r="BF464" s="237"/>
      <c r="BG464" s="237"/>
      <c r="BH464" s="237"/>
      <c r="BI464" s="237"/>
      <c r="BJ464" s="237"/>
      <c r="BK464" s="237"/>
      <c r="BL464" s="237"/>
      <c r="BM464" s="237"/>
      <c r="BN464" s="237"/>
      <c r="BO464" s="237"/>
      <c r="BP464" s="237"/>
      <c r="BQ464" s="237"/>
      <c r="BR464" s="237"/>
      <c r="BS464" s="237"/>
      <c r="BT464" s="237"/>
      <c r="BU464" s="237"/>
      <c r="BV464" s="237"/>
      <c r="BW464" s="237"/>
      <c r="BX464" s="237"/>
      <c r="BY464" s="237"/>
      <c r="BZ464" s="237"/>
      <c r="CA464" s="237"/>
      <c r="CB464" s="237"/>
      <c r="CC464" s="237"/>
      <c r="CD464" s="237"/>
      <c r="CE464" s="237"/>
      <c r="CF464" s="237"/>
      <c r="CG464" s="237"/>
      <c r="CH464" s="237"/>
      <c r="CI464" s="237"/>
      <c r="CJ464" s="237"/>
      <c r="CK464" s="237"/>
      <c r="CL464" s="237"/>
      <c r="CM464" s="237"/>
      <c r="CN464" s="237"/>
      <c r="CO464" s="237"/>
      <c r="CP464" s="237"/>
      <c r="CQ464" s="237"/>
      <c r="CR464" s="237"/>
      <c r="CS464" s="237"/>
      <c r="CT464" s="237"/>
      <c r="CU464" s="237"/>
      <c r="CV464" s="237"/>
      <c r="CW464" s="237"/>
      <c r="CX464" s="237"/>
      <c r="CY464" s="237"/>
      <c r="CZ464" s="237"/>
      <c r="DA464" s="237"/>
      <c r="DB464" s="237"/>
      <c r="DC464" s="237"/>
      <c r="DD464" s="237"/>
      <c r="DE464" s="237"/>
      <c r="DF464" s="237"/>
      <c r="DG464" s="237"/>
      <c r="DH464" s="237"/>
      <c r="DI464" s="237"/>
      <c r="DJ464" s="237"/>
      <c r="DK464" s="237"/>
      <c r="DL464" s="237"/>
      <c r="DM464" s="237"/>
      <c r="DN464" s="237"/>
      <c r="DO464" s="237"/>
      <c r="DP464" s="237"/>
      <c r="DQ464" s="237"/>
      <c r="DR464" s="237"/>
      <c r="DS464" s="237"/>
      <c r="DT464" s="237"/>
      <c r="DU464" s="237"/>
      <c r="DV464" s="237"/>
      <c r="DW464" s="237"/>
      <c r="DX464" s="237"/>
      <c r="DY464" s="237"/>
      <c r="DZ464" s="237"/>
      <c r="EA464" s="237"/>
      <c r="EB464" s="237"/>
      <c r="EC464" s="237"/>
      <c r="ED464" s="237"/>
      <c r="EE464" s="237"/>
      <c r="EF464" s="237"/>
      <c r="EG464" s="237"/>
      <c r="EH464" s="237"/>
      <c r="EI464" s="237"/>
      <c r="EJ464" s="237"/>
      <c r="EK464" s="237"/>
      <c r="EL464" s="237"/>
      <c r="EM464" s="237"/>
      <c r="EN464" s="237"/>
      <c r="EO464" s="237"/>
      <c r="EP464" s="237"/>
      <c r="EQ464" s="237"/>
      <c r="ER464" s="237"/>
      <c r="ES464" s="9"/>
      <c r="ET464" s="9"/>
      <c r="EU464" s="9"/>
      <c r="EV464" s="9"/>
      <c r="EW464" s="9"/>
      <c r="EX464" s="9"/>
      <c r="EY464" s="9"/>
      <c r="EZ464" s="9"/>
      <c r="FA464" s="9"/>
      <c r="FB464" s="9"/>
      <c r="FC464" s="9"/>
      <c r="FD464" s="9"/>
      <c r="FE464" s="9"/>
      <c r="FF464" s="9"/>
      <c r="FG464" s="9"/>
      <c r="FH464" s="9"/>
      <c r="FI464" s="9"/>
      <c r="FJ464" s="9"/>
      <c r="FK464" s="9"/>
      <c r="FL464" s="9"/>
      <c r="FM464" s="9"/>
      <c r="FN464" s="9"/>
      <c r="FO464" s="9"/>
      <c r="FP464" s="9"/>
    </row>
    <row r="465" customFormat="false" ht="15" hidden="false" customHeight="false" outlineLevel="2" collapsed="false">
      <c r="B465" s="47" t="s">
        <v>873</v>
      </c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237" t="n">
        <f aca="false">VLOOKUP("C",$B$14:$C$18,2,FALSE())</f>
        <v>110</v>
      </c>
      <c r="AD465" s="237"/>
      <c r="AE465" s="237"/>
      <c r="AF465" s="237"/>
      <c r="AG465" s="237"/>
      <c r="AH465" s="237"/>
      <c r="AI465" s="237"/>
      <c r="AJ465" s="237"/>
      <c r="AK465" s="237"/>
      <c r="AL465" s="237"/>
      <c r="AM465" s="237"/>
      <c r="AN465" s="237"/>
      <c r="AO465" s="237"/>
      <c r="AP465" s="237"/>
      <c r="AQ465" s="237"/>
      <c r="AR465" s="237"/>
      <c r="AS465" s="237"/>
      <c r="AT465" s="237"/>
      <c r="AU465" s="237"/>
      <c r="AV465" s="237"/>
      <c r="AW465" s="237"/>
      <c r="AX465" s="237"/>
      <c r="AY465" s="237"/>
      <c r="AZ465" s="237"/>
      <c r="BA465" s="237"/>
      <c r="BB465" s="237"/>
      <c r="BC465" s="237"/>
      <c r="BD465" s="237"/>
      <c r="BE465" s="237"/>
      <c r="BF465" s="237"/>
      <c r="BG465" s="237"/>
      <c r="BH465" s="237"/>
      <c r="BI465" s="237"/>
      <c r="BJ465" s="237"/>
      <c r="BK465" s="237"/>
      <c r="BL465" s="237"/>
      <c r="BM465" s="237"/>
      <c r="BN465" s="237"/>
      <c r="BO465" s="237"/>
      <c r="BP465" s="237"/>
      <c r="BQ465" s="237"/>
      <c r="BR465" s="237"/>
      <c r="BS465" s="237"/>
      <c r="BT465" s="237"/>
      <c r="BU465" s="237"/>
      <c r="BV465" s="237"/>
      <c r="BW465" s="237"/>
      <c r="BX465" s="237"/>
      <c r="BY465" s="237"/>
      <c r="BZ465" s="237"/>
      <c r="CA465" s="237"/>
      <c r="CB465" s="237"/>
      <c r="CC465" s="237"/>
      <c r="CD465" s="237"/>
      <c r="CE465" s="237"/>
      <c r="CF465" s="237"/>
      <c r="CG465" s="237"/>
      <c r="CH465" s="237"/>
      <c r="CI465" s="237"/>
      <c r="CJ465" s="237"/>
      <c r="CK465" s="237"/>
      <c r="CL465" s="237"/>
      <c r="CM465" s="237"/>
      <c r="CN465" s="237"/>
      <c r="CO465" s="237"/>
      <c r="CP465" s="237"/>
      <c r="CQ465" s="237"/>
      <c r="CR465" s="237"/>
      <c r="CS465" s="237"/>
      <c r="CT465" s="237"/>
      <c r="CU465" s="237"/>
      <c r="CV465" s="237"/>
      <c r="CW465" s="237"/>
      <c r="CX465" s="237"/>
      <c r="CY465" s="237"/>
      <c r="CZ465" s="237"/>
      <c r="DA465" s="237"/>
      <c r="DB465" s="237"/>
      <c r="DC465" s="237"/>
      <c r="DD465" s="237"/>
      <c r="DE465" s="237"/>
      <c r="DF465" s="237"/>
      <c r="DG465" s="237"/>
      <c r="DH465" s="237"/>
      <c r="DI465" s="237"/>
      <c r="DJ465" s="237"/>
      <c r="DK465" s="237"/>
      <c r="DL465" s="237"/>
      <c r="DM465" s="237"/>
      <c r="DN465" s="237"/>
      <c r="DO465" s="237"/>
      <c r="DP465" s="237"/>
      <c r="DQ465" s="237"/>
      <c r="DR465" s="237"/>
      <c r="DS465" s="237"/>
      <c r="DT465" s="237"/>
      <c r="DU465" s="237"/>
      <c r="DV465" s="237"/>
      <c r="DW465" s="237"/>
      <c r="DX465" s="237"/>
      <c r="DY465" s="237"/>
      <c r="DZ465" s="237"/>
      <c r="EA465" s="237"/>
      <c r="EB465" s="237"/>
      <c r="EC465" s="237"/>
      <c r="ED465" s="237"/>
      <c r="EE465" s="237"/>
      <c r="EF465" s="237"/>
      <c r="EG465" s="237"/>
      <c r="EH465" s="237"/>
      <c r="EI465" s="237"/>
      <c r="EJ465" s="237"/>
      <c r="EK465" s="237"/>
      <c r="EL465" s="237"/>
      <c r="EM465" s="237"/>
      <c r="EN465" s="237"/>
      <c r="EO465" s="237"/>
      <c r="EP465" s="237"/>
      <c r="EQ465" s="237"/>
      <c r="ER465" s="237"/>
      <c r="ES465" s="9"/>
      <c r="ET465" s="9"/>
      <c r="EU465" s="9"/>
      <c r="EV465" s="9"/>
      <c r="EW465" s="9"/>
      <c r="EX465" s="9"/>
      <c r="EY465" s="9"/>
      <c r="EZ465" s="9"/>
      <c r="FA465" s="9"/>
      <c r="FB465" s="9"/>
      <c r="FC465" s="9"/>
      <c r="FD465" s="9"/>
      <c r="FE465" s="9"/>
      <c r="FF465" s="9"/>
      <c r="FG465" s="9"/>
      <c r="FH465" s="9"/>
      <c r="FI465" s="9"/>
      <c r="FJ465" s="9"/>
      <c r="FK465" s="9"/>
      <c r="FL465" s="9"/>
      <c r="FM465" s="9"/>
      <c r="FN465" s="9"/>
      <c r="FO465" s="9"/>
      <c r="FP465" s="9"/>
    </row>
    <row r="466" customFormat="false" ht="15" hidden="false" customHeight="false" outlineLevel="2" collapsed="false">
      <c r="B466" s="47" t="s">
        <v>799</v>
      </c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237" t="n">
        <f aca="false">IF(AC$35&gt;=$AC$464,AC$35-$AC$464+1,0)</f>
        <v>0</v>
      </c>
      <c r="AD466" s="237" t="n">
        <f aca="false">IF(AD$35&gt;=$AC$464,AD$35-$AC$464+1,0)</f>
        <v>0</v>
      </c>
      <c r="AE466" s="237" t="n">
        <f aca="false">IF(AE$35&gt;=$AC$464,AE$35-$AC$464+1,0)</f>
        <v>0</v>
      </c>
      <c r="AF466" s="237" t="n">
        <f aca="false">IF(AF$35&gt;=$AC$464,AF$35-$AC$464+1,0)</f>
        <v>0</v>
      </c>
      <c r="AG466" s="237" t="n">
        <f aca="false">IF(AG$35&gt;=$AC$464,AG$35-$AC$464+1,0)</f>
        <v>0</v>
      </c>
      <c r="AH466" s="237" t="n">
        <f aca="false">IF(AH$35&gt;=$AC$464,AH$35-$AC$464+1,0)</f>
        <v>0</v>
      </c>
      <c r="AI466" s="237" t="n">
        <f aca="false">IF(AI$35&gt;=$AC$464,AI$35-$AC$464+1,0)</f>
        <v>0</v>
      </c>
      <c r="AJ466" s="237" t="n">
        <f aca="false">IF(AJ$35&gt;=$AC$464,AJ$35-$AC$464+1,0)</f>
        <v>0</v>
      </c>
      <c r="AK466" s="237" t="n">
        <f aca="false">IF(AK$35&gt;=$AC$464,AK$35-$AC$464+1,0)</f>
        <v>0</v>
      </c>
      <c r="AL466" s="237" t="n">
        <f aca="false">IF(AL$35&gt;=$AC$464,AL$35-$AC$464+1,0)</f>
        <v>0</v>
      </c>
      <c r="AM466" s="237" t="n">
        <f aca="false">IF(AM$35&gt;=$AC$464,AM$35-$AC$464+1,0)</f>
        <v>0</v>
      </c>
      <c r="AN466" s="237" t="n">
        <f aca="false">IF(AN$35&gt;=$AC$464,AN$35-$AC$464+1,0)</f>
        <v>0</v>
      </c>
      <c r="AO466" s="237" t="n">
        <f aca="false">IF(AO$35&gt;=$AC$464,AO$35-$AC$464+1,0)</f>
        <v>0</v>
      </c>
      <c r="AP466" s="237" t="n">
        <f aca="false">IF(AP$35&gt;=$AC$464,AP$35-$AC$464+1,0)</f>
        <v>0</v>
      </c>
      <c r="AQ466" s="237" t="n">
        <f aca="false">IF(AQ$35&gt;=$AC$464,AQ$35-$AC$464+1,0)</f>
        <v>0</v>
      </c>
      <c r="AR466" s="237" t="n">
        <f aca="false">IF(AR$35&gt;=$AC$464,AR$35-$AC$464+1,0)</f>
        <v>0</v>
      </c>
      <c r="AS466" s="237" t="n">
        <f aca="false">IF(AS$35&gt;=$AC$464,AS$35-$AC$464+1,0)</f>
        <v>0</v>
      </c>
      <c r="AT466" s="237" t="n">
        <f aca="false">IF(AT$35&gt;=$AC$464,AT$35-$AC$464+1,0)</f>
        <v>0</v>
      </c>
      <c r="AU466" s="237" t="n">
        <f aca="false">IF(AU$35&gt;=$AC$464,AU$35-$AC$464+1,0)</f>
        <v>0</v>
      </c>
      <c r="AV466" s="237" t="n">
        <f aca="false">IF(AV$35&gt;=$AC$464,AV$35-$AC$464+1,0)</f>
        <v>0</v>
      </c>
      <c r="AW466" s="237" t="n">
        <f aca="false">IF(AW$35&gt;=$AC$464,AW$35-$AC$464+1,0)</f>
        <v>0</v>
      </c>
      <c r="AX466" s="237" t="n">
        <f aca="false">IF(AX$35&gt;=$AC$464,AX$35-$AC$464+1,0)</f>
        <v>0</v>
      </c>
      <c r="AY466" s="237" t="n">
        <f aca="false">IF(AY$35&gt;=$AC$464,AY$35-$AC$464+1,0)</f>
        <v>0</v>
      </c>
      <c r="AZ466" s="237" t="n">
        <f aca="false">IF(AZ$35&gt;=$AC$464,AZ$35-$AC$464+1,0)</f>
        <v>0</v>
      </c>
      <c r="BA466" s="237" t="n">
        <f aca="false">IF(BA$35&gt;=$AC$464,BA$35-$AC$464+1,0)</f>
        <v>0</v>
      </c>
      <c r="BB466" s="237" t="n">
        <f aca="false">IF(BB$35&gt;=$AC$464,BB$35-$AC$464+1,0)</f>
        <v>0</v>
      </c>
      <c r="BC466" s="237" t="n">
        <f aca="false">IF(BC$35&gt;=$AC$464,BC$35-$AC$464+1,0)</f>
        <v>0</v>
      </c>
      <c r="BD466" s="237" t="n">
        <f aca="false">IF(BD$35&gt;=$AC$464,BD$35-$AC$464+1,0)</f>
        <v>0</v>
      </c>
      <c r="BE466" s="237" t="n">
        <f aca="false">IF(BE$35&gt;=$AC$464,BE$35-$AC$464+1,0)</f>
        <v>0</v>
      </c>
      <c r="BF466" s="237" t="n">
        <f aca="false">IF(BF$35&gt;=$AC$464,BF$35-$AC$464+1,0)</f>
        <v>0</v>
      </c>
      <c r="BG466" s="237" t="n">
        <f aca="false">IF(BG$35&gt;=$AC$464,BG$35-$AC$464+1,0)</f>
        <v>0</v>
      </c>
      <c r="BH466" s="237" t="n">
        <f aca="false">IF(BH$35&gt;=$AC$464,BH$35-$AC$464+1,0)</f>
        <v>0</v>
      </c>
      <c r="BI466" s="237" t="n">
        <f aca="false">IF(BI$35&gt;=$AC$464,BI$35-$AC$464+1,0)</f>
        <v>0</v>
      </c>
      <c r="BJ466" s="237" t="n">
        <f aca="false">IF(BJ$35&gt;=$AC$464,BJ$35-$AC$464+1,0)</f>
        <v>0</v>
      </c>
      <c r="BK466" s="237" t="n">
        <f aca="false">IF(BK$35&gt;=$AC$464,BK$35-$AC$464+1,0)</f>
        <v>0</v>
      </c>
      <c r="BL466" s="237" t="n">
        <f aca="false">IF(BL$35&gt;=$AC$464,BL$35-$AC$464+1,0)</f>
        <v>0</v>
      </c>
      <c r="BM466" s="237" t="n">
        <f aca="false">IF(BM$35&gt;=$AC$464,BM$35-$AC$464+1,0)</f>
        <v>0</v>
      </c>
      <c r="BN466" s="237" t="n">
        <f aca="false">IF(BN$35&gt;=$AC$464,BN$35-$AC$464+1,0)</f>
        <v>0</v>
      </c>
      <c r="BO466" s="237" t="n">
        <f aca="false">IF(BO$35&gt;=$AC$464,BO$35-$AC$464+1,0)</f>
        <v>0</v>
      </c>
      <c r="BP466" s="237" t="n">
        <f aca="false">IF(BP$35&gt;=$AC$464,BP$35-$AC$464+1,0)</f>
        <v>0</v>
      </c>
      <c r="BQ466" s="237" t="n">
        <f aca="false">IF(BQ$35&gt;=$AC$464,BQ$35-$AC$464+1,0)</f>
        <v>0</v>
      </c>
      <c r="BR466" s="237" t="n">
        <f aca="false">IF(BR$35&gt;=$AC$464,BR$35-$AC$464+1,0)</f>
        <v>0</v>
      </c>
      <c r="BS466" s="237" t="n">
        <f aca="false">IF(BS$35&gt;=$AC$464,BS$35-$AC$464+1,0)</f>
        <v>0</v>
      </c>
      <c r="BT466" s="237" t="n">
        <f aca="false">IF(BT$35&gt;=$AC$464,BT$35-$AC$464+1,0)</f>
        <v>0</v>
      </c>
      <c r="BU466" s="237" t="n">
        <f aca="false">IF(BU$35&gt;=$AC$464,BU$35-$AC$464+1,0)</f>
        <v>0</v>
      </c>
      <c r="BV466" s="237" t="n">
        <f aca="false">IF(BV$35&gt;=$AC$464,BV$35-$AC$464+1,0)</f>
        <v>0</v>
      </c>
      <c r="BW466" s="237" t="n">
        <f aca="false">IF(BW$35&gt;=$AC$464,BW$35-$AC$464+1,0)</f>
        <v>0</v>
      </c>
      <c r="BX466" s="237" t="n">
        <f aca="false">IF(BX$35&gt;=$AC$464,BX$35-$AC$464+1,0)</f>
        <v>0</v>
      </c>
      <c r="BY466" s="237" t="n">
        <f aca="false">IF(BY$35&gt;=$AC$464,BY$35-$AC$464+1,0)</f>
        <v>0</v>
      </c>
      <c r="BZ466" s="237" t="n">
        <f aca="false">IF(BZ$35&gt;=$AC$464,BZ$35-$AC$464+1,0)</f>
        <v>0</v>
      </c>
      <c r="CA466" s="237" t="n">
        <f aca="false">IF(CA$35&gt;=$AC$464,CA$35-$AC$464+1,0)</f>
        <v>0</v>
      </c>
      <c r="CB466" s="237" t="n">
        <f aca="false">IF(CB$35&gt;=$AC$464,CB$35-$AC$464+1,0)</f>
        <v>0</v>
      </c>
      <c r="CC466" s="237" t="n">
        <f aca="false">IF(CC$35&gt;=$AC$464,CC$35-$AC$464+1,0)</f>
        <v>0</v>
      </c>
      <c r="CD466" s="237" t="n">
        <f aca="false">IF(CD$35&gt;=$AC$464,CD$35-$AC$464+1,0)</f>
        <v>0</v>
      </c>
      <c r="CE466" s="237" t="n">
        <f aca="false">IF(CE$35&gt;=$AC$464,CE$35-$AC$464+1,0)</f>
        <v>0</v>
      </c>
      <c r="CF466" s="237" t="n">
        <f aca="false">IF(CF$35&gt;=$AC$464,CF$35-$AC$464+1,0)</f>
        <v>0</v>
      </c>
      <c r="CG466" s="237" t="n">
        <f aca="false">IF(CG$35&gt;=$AC$464,CG$35-$AC$464+1,0)</f>
        <v>0</v>
      </c>
      <c r="CH466" s="237" t="n">
        <f aca="false">IF(CH$35&gt;=$AC$464,CH$35-$AC$464+1,0)</f>
        <v>0</v>
      </c>
      <c r="CI466" s="237" t="n">
        <f aca="false">IF(CI$35&gt;=$AC$464,CI$35-$AC$464+1,0)</f>
        <v>0</v>
      </c>
      <c r="CJ466" s="237" t="n">
        <f aca="false">IF(CJ$35&gt;=$AC$464,CJ$35-$AC$464+1,0)</f>
        <v>0</v>
      </c>
      <c r="CK466" s="237" t="n">
        <f aca="false">IF(CK$35&gt;=$AC$464,CK$35-$AC$464+1,0)</f>
        <v>0</v>
      </c>
      <c r="CL466" s="237" t="n">
        <f aca="false">IF(CL$35&gt;=$AC$464,CL$35-$AC$464+1,0)</f>
        <v>0</v>
      </c>
      <c r="CM466" s="237" t="n">
        <f aca="false">IF(CM$35&gt;=$AC$464,CM$35-$AC$464+1,0)</f>
        <v>0</v>
      </c>
      <c r="CN466" s="237" t="n">
        <f aca="false">IF(CN$35&gt;=$AC$464,CN$35-$AC$464+1,0)</f>
        <v>0</v>
      </c>
      <c r="CO466" s="237" t="n">
        <f aca="false">IF(CO$35&gt;=$AC$464,CO$35-$AC$464+1,0)</f>
        <v>0</v>
      </c>
      <c r="CP466" s="237" t="n">
        <f aca="false">IF(CP$35&gt;=$AC$464,CP$35-$AC$464+1,0)</f>
        <v>0</v>
      </c>
      <c r="CQ466" s="237" t="n">
        <f aca="false">IF(CQ$35&gt;=$AC$464,CQ$35-$AC$464+1,0)</f>
        <v>0</v>
      </c>
      <c r="CR466" s="237" t="n">
        <f aca="false">IF(CR$35&gt;=$AC$464,CR$35-$AC$464+1,0)</f>
        <v>0</v>
      </c>
      <c r="CS466" s="237" t="n">
        <f aca="false">IF(CS$35&gt;=$AC$464,CS$35-$AC$464+1,0)</f>
        <v>0</v>
      </c>
      <c r="CT466" s="237" t="n">
        <f aca="false">IF(CT$35&gt;=$AC$464,CT$35-$AC$464+1,0)</f>
        <v>0</v>
      </c>
      <c r="CU466" s="237" t="n">
        <f aca="false">IF(CU$35&gt;=$AC$464,CU$35-$AC$464+1,0)</f>
        <v>0</v>
      </c>
      <c r="CV466" s="237" t="n">
        <f aca="false">IF(CV$35&gt;=$AC$464,CV$35-$AC$464+1,0)</f>
        <v>0</v>
      </c>
      <c r="CW466" s="237" t="n">
        <f aca="false">IF(CW$35&gt;=$AC$464,CW$35-$AC$464+1,0)</f>
        <v>0</v>
      </c>
      <c r="CX466" s="237" t="n">
        <f aca="false">IF(CX$35&gt;=$AC$464,CX$35-$AC$464+1,0)</f>
        <v>0</v>
      </c>
      <c r="CY466" s="237" t="n">
        <f aca="false">IF(CY$35&gt;=$AC$464,CY$35-$AC$464+1,0)</f>
        <v>0</v>
      </c>
      <c r="CZ466" s="237" t="n">
        <f aca="false">IF(CZ$35&gt;=$AC$464,CZ$35-$AC$464+1,0)</f>
        <v>0</v>
      </c>
      <c r="DA466" s="237" t="n">
        <f aca="false">IF(DA$35&gt;=$AC$464,DA$35-$AC$464+1,0)</f>
        <v>0</v>
      </c>
      <c r="DB466" s="237" t="n">
        <f aca="false">IF(DB$35&gt;=$AC$464,DB$35-$AC$464+1,0)</f>
        <v>0</v>
      </c>
      <c r="DC466" s="237" t="n">
        <f aca="false">IF(DC$35&gt;=$AC$464,DC$35-$AC$464+1,0)</f>
        <v>0</v>
      </c>
      <c r="DD466" s="237" t="n">
        <f aca="false">IF(DD$35&gt;=$AC$464,DD$35-$AC$464+1,0)</f>
        <v>0</v>
      </c>
      <c r="DE466" s="237" t="n">
        <f aca="false">IF(DE$35&gt;=$AC$464,DE$35-$AC$464+1,0)</f>
        <v>0</v>
      </c>
      <c r="DF466" s="237" t="n">
        <f aca="false">IF(DF$35&gt;=$AC$464,DF$35-$AC$464+1,0)</f>
        <v>0</v>
      </c>
      <c r="DG466" s="237" t="n">
        <f aca="false">IF(DG$35&gt;=$AC$464,DG$35-$AC$464+1,0)</f>
        <v>0</v>
      </c>
      <c r="DH466" s="237" t="n">
        <f aca="false">IF(DH$35&gt;=$AC$464,DH$35-$AC$464+1,0)</f>
        <v>0</v>
      </c>
      <c r="DI466" s="237" t="n">
        <f aca="false">IF(DI$35&gt;=$AC$464,DI$35-$AC$464+1,0)</f>
        <v>0</v>
      </c>
      <c r="DJ466" s="237" t="n">
        <f aca="false">IF(DJ$35&gt;=$AC$464,DJ$35-$AC$464+1,0)</f>
        <v>0</v>
      </c>
      <c r="DK466" s="237" t="n">
        <f aca="false">IF(DK$35&gt;=$AC$464,DK$35-$AC$464+1,0)</f>
        <v>0</v>
      </c>
      <c r="DL466" s="237" t="n">
        <f aca="false">IF(DL$35&gt;=$AC$464,DL$35-$AC$464+1,0)</f>
        <v>0</v>
      </c>
      <c r="DM466" s="237" t="n">
        <f aca="false">IF(DM$35&gt;=$AC$464,DM$35-$AC$464+1,0)</f>
        <v>0</v>
      </c>
      <c r="DN466" s="237" t="n">
        <f aca="false">IF(DN$35&gt;=$AC$464,DN$35-$AC$464+1,0)</f>
        <v>0</v>
      </c>
      <c r="DO466" s="237" t="n">
        <f aca="false">IF(DO$35&gt;=$AC$464,DO$35-$AC$464+1,0)</f>
        <v>0</v>
      </c>
      <c r="DP466" s="237" t="n">
        <f aca="false">IF(DP$35&gt;=$AC$464,DP$35-$AC$464+1,0)</f>
        <v>0</v>
      </c>
      <c r="DQ466" s="237" t="n">
        <f aca="false">IF(DQ$35&gt;=$AC$464,DQ$35-$AC$464+1,0)</f>
        <v>0</v>
      </c>
      <c r="DR466" s="237" t="n">
        <f aca="false">IF(DR$35&gt;=$AC$464,DR$35-$AC$464+1,0)</f>
        <v>0</v>
      </c>
      <c r="DS466" s="237" t="n">
        <f aca="false">IF(DS$35&gt;=$AC$464,DS$35-$AC$464+1,0)</f>
        <v>0</v>
      </c>
      <c r="DT466" s="237" t="n">
        <f aca="false">IF(DT$35&gt;=$AC$464,DT$35-$AC$464+1,0)</f>
        <v>0</v>
      </c>
      <c r="DU466" s="237" t="n">
        <f aca="false">IF(DU$35&gt;=$AC$464,DU$35-$AC$464+1,0)</f>
        <v>0</v>
      </c>
      <c r="DV466" s="237" t="n">
        <f aca="false">IF(DV$35&gt;=$AC$464,DV$35-$AC$464+1,0)</f>
        <v>0</v>
      </c>
      <c r="DW466" s="237" t="n">
        <f aca="false">IF(DW$35&gt;=$AC$464,DW$35-$AC$464+1,0)</f>
        <v>0</v>
      </c>
      <c r="DX466" s="237" t="n">
        <f aca="false">IF(DX$35&gt;=$AC$464,DX$35-$AC$464+1,0)</f>
        <v>0</v>
      </c>
      <c r="DY466" s="237" t="n">
        <f aca="false">IF(DY$35&gt;=$AC$464,DY$35-$AC$464+1,0)</f>
        <v>0</v>
      </c>
      <c r="DZ466" s="237" t="n">
        <f aca="false">IF(DZ$35&gt;=$AC$464,DZ$35-$AC$464+1,0)</f>
        <v>0</v>
      </c>
      <c r="EA466" s="237" t="n">
        <f aca="false">IF(EA$35&gt;=$AC$464,EA$35-$AC$464+1,0)</f>
        <v>0</v>
      </c>
      <c r="EB466" s="237" t="n">
        <f aca="false">IF(EB$35&gt;=$AC$464,EB$35-$AC$464+1,0)</f>
        <v>0</v>
      </c>
      <c r="EC466" s="237" t="n">
        <f aca="false">IF(EC$35&gt;=$AC$464,EC$35-$AC$464+1,0)</f>
        <v>0</v>
      </c>
      <c r="ED466" s="237" t="n">
        <f aca="false">IF(ED$35&gt;=$AC$464,ED$35-$AC$464+1,0)</f>
        <v>0</v>
      </c>
      <c r="EE466" s="237" t="n">
        <f aca="false">IF(EE$35&gt;=$AC$464,EE$35-$AC$464+1,0)</f>
        <v>0</v>
      </c>
      <c r="EF466" s="237" t="n">
        <f aca="false">IF(EF$35&gt;=$AC$464,EF$35-$AC$464+1,0)</f>
        <v>0</v>
      </c>
      <c r="EG466" s="237" t="n">
        <f aca="false">IF(EG$35&gt;=$AC$464,EG$35-$AC$464+1,0)</f>
        <v>0</v>
      </c>
      <c r="EH466" s="237" t="n">
        <f aca="false">IF(EH$35&gt;=$AC$464,EH$35-$AC$464+1,0)</f>
        <v>0</v>
      </c>
      <c r="EI466" s="237" t="n">
        <f aca="false">IF(EI$35&gt;=$AC$464,EI$35-$AC$464+1,0)</f>
        <v>0</v>
      </c>
      <c r="EJ466" s="237" t="n">
        <f aca="false">IF(EJ$35&gt;=$AC$464,EJ$35-$AC$464+1,0)</f>
        <v>0</v>
      </c>
      <c r="EK466" s="237" t="n">
        <f aca="false">IF(EK$35&gt;=$AC$464,EK$35-$AC$464+1,0)</f>
        <v>0</v>
      </c>
      <c r="EL466" s="237" t="n">
        <f aca="false">IF(EL$35&gt;=$AC$464,EL$35-$AC$464+1,0)</f>
        <v>0</v>
      </c>
      <c r="EM466" s="237" t="n">
        <f aca="false">IF(EM$35&gt;=$AC$464,EM$35-$AC$464+1,0)</f>
        <v>0</v>
      </c>
      <c r="EN466" s="237" t="n">
        <f aca="false">IF(EN$35&gt;=$AC$464,EN$35-$AC$464+1,0)</f>
        <v>0</v>
      </c>
      <c r="EO466" s="237" t="n">
        <f aca="false">IF(EO$35&gt;=$AC$464,EO$35-$AC$464+1,0)</f>
        <v>1</v>
      </c>
      <c r="EP466" s="237" t="n">
        <f aca="false">IF(EP$35&gt;=$AC$464,EP$35-$AC$464+1,0)</f>
        <v>2</v>
      </c>
      <c r="EQ466" s="237" t="n">
        <f aca="false">IF(EQ$35&gt;=$AC$464,EQ$35-$AC$464+1,0)</f>
        <v>3</v>
      </c>
      <c r="ER466" s="237" t="n">
        <f aca="false">IF(ER$35&gt;=$AC$464,ER$35-$AC$464+1,0)</f>
        <v>4</v>
      </c>
      <c r="ES466" s="9" t="n">
        <f aca="false">IF(ES$35&gt;=$AC$464,ES$35-$AC$464+1,0)</f>
        <v>5</v>
      </c>
      <c r="ET466" s="9" t="n">
        <f aca="false">IF(ET$35&gt;=$AC$464,ET$35-$AC$464+1,0)</f>
        <v>6</v>
      </c>
      <c r="EU466" s="9" t="n">
        <f aca="false">IF(EU$35&gt;=$AC$464,EU$35-$AC$464+1,0)</f>
        <v>7</v>
      </c>
      <c r="EV466" s="9" t="n">
        <f aca="false">IF(EV$35&gt;=$AC$464,EV$35-$AC$464+1,0)</f>
        <v>8</v>
      </c>
      <c r="EW466" s="9" t="n">
        <f aca="false">IF(EW$35&gt;=$AC$464,EW$35-$AC$464+1,0)</f>
        <v>9</v>
      </c>
      <c r="EX466" s="9" t="n">
        <f aca="false">IF(EX$35&gt;=$AC$464,EX$35-$AC$464+1,0)</f>
        <v>10</v>
      </c>
      <c r="EY466" s="9" t="n">
        <f aca="false">IF(EY$35&gt;=$AC$464,EY$35-$AC$464+1,0)</f>
        <v>11</v>
      </c>
      <c r="EZ466" s="9" t="n">
        <f aca="false">IF(EZ$35&gt;=$AC$464,EZ$35-$AC$464+1,0)</f>
        <v>12</v>
      </c>
      <c r="FA466" s="9" t="n">
        <f aca="false">IF(FA$35&gt;=$AC$464,FA$35-$AC$464+1,0)</f>
        <v>13</v>
      </c>
      <c r="FB466" s="9" t="n">
        <f aca="false">IF(FB$35&gt;=$AC$464,FB$35-$AC$464+1,0)</f>
        <v>14</v>
      </c>
      <c r="FC466" s="9" t="n">
        <f aca="false">IF(FC$35&gt;=$AC$464,FC$35-$AC$464+1,0)</f>
        <v>15</v>
      </c>
      <c r="FD466" s="9" t="n">
        <f aca="false">IF(FD$35&gt;=$AC$464,FD$35-$AC$464+1,0)</f>
        <v>16</v>
      </c>
      <c r="FE466" s="9" t="n">
        <f aca="false">IF(FE$35&gt;=$AC$464,FE$35-$AC$464+1,0)</f>
        <v>17</v>
      </c>
      <c r="FF466" s="9" t="n">
        <f aca="false">IF(FF$35&gt;=$AC$464,FF$35-$AC$464+1,0)</f>
        <v>18</v>
      </c>
      <c r="FG466" s="9" t="n">
        <f aca="false">IF(FG$35&gt;=$AC$464,FG$35-$AC$464+1,0)</f>
        <v>19</v>
      </c>
      <c r="FH466" s="9" t="n">
        <f aca="false">IF(FH$35&gt;=$AC$464,FH$35-$AC$464+1,0)</f>
        <v>20</v>
      </c>
      <c r="FI466" s="9" t="n">
        <f aca="false">IF(FI$35&gt;=$AC$464,FI$35-$AC$464+1,0)</f>
        <v>21</v>
      </c>
      <c r="FJ466" s="9" t="n">
        <f aca="false">IF(FJ$35&gt;=$AC$464,FJ$35-$AC$464+1,0)</f>
        <v>22</v>
      </c>
      <c r="FK466" s="9" t="n">
        <f aca="false">IF(FK$35&gt;=$AC$464,FK$35-$AC$464+1,0)</f>
        <v>23</v>
      </c>
      <c r="FL466" s="9" t="n">
        <f aca="false">IF(FL$35&gt;=$AC$464,FL$35-$AC$464+1,0)</f>
        <v>24</v>
      </c>
      <c r="FM466" s="9" t="n">
        <f aca="false">IF(FM$35&gt;=$AC$464,FM$35-$AC$464+1,0)</f>
        <v>25</v>
      </c>
      <c r="FN466" s="9" t="n">
        <f aca="false">IF(FN$35&gt;=$AC$464,FN$35-$AC$464+1,0)</f>
        <v>26</v>
      </c>
      <c r="FO466" s="9" t="n">
        <f aca="false">IF(FO$35&gt;=$AC$464,FO$35-$AC$464+1,0)</f>
        <v>27</v>
      </c>
      <c r="FP466" s="9" t="n">
        <f aca="false">IF(FP$35&gt;=$AC$464,FP$35-$AC$464+1,0)</f>
        <v>28</v>
      </c>
    </row>
    <row r="467" customFormat="false" ht="15" hidden="false" customHeight="false" outlineLevel="2" collapsed="false">
      <c r="B467" s="47" t="s">
        <v>874</v>
      </c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237" t="n">
        <f aca="false" t="array" ref="AC467:AC467">IF(AC466=0,0,IF(AC466/'🎚️ Escenario'!$C$11&gt;=36,$AL$23,INDEX($C$23:$AL$23,MAX(1,ROUNDUP(AC466/'🎚️ Escenario'!$C$11,0)))))</f>
        <v>0</v>
      </c>
      <c r="AD467" s="237" t="n">
        <f aca="false" t="array" ref="AD467:AD467">IF(AD466=0,0,IF(AD466/'🎚️ Escenario'!$C$11&gt;=36,$AL$23,INDEX($C$23:$AL$23,MAX(1,ROUNDUP(AD466/'🎚️ Escenario'!$C$11,0)))))</f>
        <v>0</v>
      </c>
      <c r="AE467" s="237" t="n">
        <f aca="false" t="array" ref="AE467:AE467">IF(AE466=0,0,IF(AE466/'🎚️ Escenario'!$C$11&gt;=36,$AL$23,INDEX($C$23:$AL$23,MAX(1,ROUNDUP(AE466/'🎚️ Escenario'!$C$11,0)))))</f>
        <v>0</v>
      </c>
      <c r="AF467" s="237" t="n">
        <f aca="false" t="array" ref="AF467:AF467">IF(AF466=0,0,IF(AF466/'🎚️ Escenario'!$C$11&gt;=36,$AL$23,INDEX($C$23:$AL$23,MAX(1,ROUNDUP(AF466/'🎚️ Escenario'!$C$11,0)))))</f>
        <v>0</v>
      </c>
      <c r="AG467" s="237" t="n">
        <f aca="false" t="array" ref="AG467:AG467">IF(AG466=0,0,IF(AG466/'🎚️ Escenario'!$C$11&gt;=36,$AL$23,INDEX($C$23:$AL$23,MAX(1,ROUNDUP(AG466/'🎚️ Escenario'!$C$11,0)))))</f>
        <v>0</v>
      </c>
      <c r="AH467" s="237" t="n">
        <f aca="false" t="array" ref="AH467:AH467">IF(AH466=0,0,IF(AH466/'🎚️ Escenario'!$C$11&gt;=36,$AL$23,INDEX($C$23:$AL$23,MAX(1,ROUNDUP(AH466/'🎚️ Escenario'!$C$11,0)))))</f>
        <v>0</v>
      </c>
      <c r="AI467" s="237" t="n">
        <f aca="false" t="array" ref="AI467:AI467">IF(AI466=0,0,IF(AI466/'🎚️ Escenario'!$C$11&gt;=36,$AL$23,INDEX($C$23:$AL$23,MAX(1,ROUNDUP(AI466/'🎚️ Escenario'!$C$11,0)))))</f>
        <v>0</v>
      </c>
      <c r="AJ467" s="237" t="n">
        <f aca="false" t="array" ref="AJ467:AJ467">IF(AJ466=0,0,IF(AJ466/'🎚️ Escenario'!$C$11&gt;=36,$AL$23,INDEX($C$23:$AL$23,MAX(1,ROUNDUP(AJ466/'🎚️ Escenario'!$C$11,0)))))</f>
        <v>0</v>
      </c>
      <c r="AK467" s="237" t="n">
        <f aca="false" t="array" ref="AK467:AK467">IF(AK466=0,0,IF(AK466/'🎚️ Escenario'!$C$11&gt;=36,$AL$23,INDEX($C$23:$AL$23,MAX(1,ROUNDUP(AK466/'🎚️ Escenario'!$C$11,0)))))</f>
        <v>0</v>
      </c>
      <c r="AL467" s="237" t="n">
        <f aca="false" t="array" ref="AL467:AL467">IF(AL466=0,0,IF(AL466/'🎚️ Escenario'!$C$11&gt;=36,$AL$23,INDEX($C$23:$AL$23,MAX(1,ROUNDUP(AL466/'🎚️ Escenario'!$C$11,0)))))</f>
        <v>0</v>
      </c>
      <c r="AM467" s="237" t="n">
        <f aca="false" t="array" ref="AM467:AM467">IF(AM466=0,0,IF(AM466/'🎚️ Escenario'!$C$11&gt;=36,$AL$23,INDEX($C$23:$AL$23,MAX(1,ROUNDUP(AM466/'🎚️ Escenario'!$C$11,0)))))</f>
        <v>0</v>
      </c>
      <c r="AN467" s="237" t="n">
        <f aca="false" t="array" ref="AN467:AN467">IF(AN466=0,0,IF(AN466/'🎚️ Escenario'!$C$11&gt;=36,$AL$23,INDEX($C$23:$AL$23,MAX(1,ROUNDUP(AN466/'🎚️ Escenario'!$C$11,0)))))</f>
        <v>0</v>
      </c>
      <c r="AO467" s="237" t="n">
        <f aca="false" t="array" ref="AO467:AO467">IF(AO466=0,0,IF(AO466/'🎚️ Escenario'!$C$11&gt;=36,$AL$23,INDEX($C$23:$AL$23,MAX(1,ROUNDUP(AO466/'🎚️ Escenario'!$C$11,0)))))</f>
        <v>0</v>
      </c>
      <c r="AP467" s="237" t="n">
        <f aca="false" t="array" ref="AP467:AP467">IF(AP466=0,0,IF(AP466/'🎚️ Escenario'!$C$11&gt;=36,$AL$23,INDEX($C$23:$AL$23,MAX(1,ROUNDUP(AP466/'🎚️ Escenario'!$C$11,0)))))</f>
        <v>0</v>
      </c>
      <c r="AQ467" s="237" t="n">
        <f aca="false" t="array" ref="AQ467:AQ467">IF(AQ466=0,0,IF(AQ466/'🎚️ Escenario'!$C$11&gt;=36,$AL$23,INDEX($C$23:$AL$23,MAX(1,ROUNDUP(AQ466/'🎚️ Escenario'!$C$11,0)))))</f>
        <v>0</v>
      </c>
      <c r="AR467" s="237" t="n">
        <f aca="false" t="array" ref="AR467:AR467">IF(AR466=0,0,IF(AR466/'🎚️ Escenario'!$C$11&gt;=36,$AL$23,INDEX($C$23:$AL$23,MAX(1,ROUNDUP(AR466/'🎚️ Escenario'!$C$11,0)))))</f>
        <v>0</v>
      </c>
      <c r="AS467" s="237" t="n">
        <f aca="false" t="array" ref="AS467:AS467">IF(AS466=0,0,IF(AS466/'🎚️ Escenario'!$C$11&gt;=36,$AL$23,INDEX($C$23:$AL$23,MAX(1,ROUNDUP(AS466/'🎚️ Escenario'!$C$11,0)))))</f>
        <v>0</v>
      </c>
      <c r="AT467" s="237" t="n">
        <f aca="false" t="array" ref="AT467:AT467">IF(AT466=0,0,IF(AT466/'🎚️ Escenario'!$C$11&gt;=36,$AL$23,INDEX($C$23:$AL$23,MAX(1,ROUNDUP(AT466/'🎚️ Escenario'!$C$11,0)))))</f>
        <v>0</v>
      </c>
      <c r="AU467" s="237" t="n">
        <f aca="false" t="array" ref="AU467:AU467">IF(AU466=0,0,IF(AU466/'🎚️ Escenario'!$C$11&gt;=36,$AL$23,INDEX($C$23:$AL$23,MAX(1,ROUNDUP(AU466/'🎚️ Escenario'!$C$11,0)))))</f>
        <v>0</v>
      </c>
      <c r="AV467" s="237" t="n">
        <f aca="false" t="array" ref="AV467:AV467">IF(AV466=0,0,IF(AV466/'🎚️ Escenario'!$C$11&gt;=36,$AL$23,INDEX($C$23:$AL$23,MAX(1,ROUNDUP(AV466/'🎚️ Escenario'!$C$11,0)))))</f>
        <v>0</v>
      </c>
      <c r="AW467" s="237" t="n">
        <f aca="false" t="array" ref="AW467:AW467">IF(AW466=0,0,IF(AW466/'🎚️ Escenario'!$C$11&gt;=36,$AL$23,INDEX($C$23:$AL$23,MAX(1,ROUNDUP(AW466/'🎚️ Escenario'!$C$11,0)))))</f>
        <v>0</v>
      </c>
      <c r="AX467" s="237" t="n">
        <f aca="false" t="array" ref="AX467:AX467">IF(AX466=0,0,IF(AX466/'🎚️ Escenario'!$C$11&gt;=36,$AL$23,INDEX($C$23:$AL$23,MAX(1,ROUNDUP(AX466/'🎚️ Escenario'!$C$11,0)))))</f>
        <v>0</v>
      </c>
      <c r="AY467" s="237" t="n">
        <f aca="false" t="array" ref="AY467:AY467">IF(AY466=0,0,IF(AY466/'🎚️ Escenario'!$C$11&gt;=36,$AL$23,INDEX($C$23:$AL$23,MAX(1,ROUNDUP(AY466/'🎚️ Escenario'!$C$11,0)))))</f>
        <v>0</v>
      </c>
      <c r="AZ467" s="237" t="n">
        <f aca="false" t="array" ref="AZ467:AZ467">IF(AZ466=0,0,IF(AZ466/'🎚️ Escenario'!$C$11&gt;=36,$AL$23,INDEX($C$23:$AL$23,MAX(1,ROUNDUP(AZ466/'🎚️ Escenario'!$C$11,0)))))</f>
        <v>0</v>
      </c>
      <c r="BA467" s="237" t="n">
        <f aca="false" t="array" ref="BA467:BA467">IF(BA466=0,0,IF(BA466/'🎚️ Escenario'!$C$11&gt;=36,$AL$23,INDEX($C$23:$AL$23,MAX(1,ROUNDUP(BA466/'🎚️ Escenario'!$C$11,0)))))</f>
        <v>0</v>
      </c>
      <c r="BB467" s="237" t="n">
        <f aca="false" t="array" ref="BB467:BB467">IF(BB466=0,0,IF(BB466/'🎚️ Escenario'!$C$11&gt;=36,$AL$23,INDEX($C$23:$AL$23,MAX(1,ROUNDUP(BB466/'🎚️ Escenario'!$C$11,0)))))</f>
        <v>0</v>
      </c>
      <c r="BC467" s="237" t="n">
        <f aca="false" t="array" ref="BC467:BC467">IF(BC466=0,0,IF(BC466/'🎚️ Escenario'!$C$11&gt;=36,$AL$23,INDEX($C$23:$AL$23,MAX(1,ROUNDUP(BC466/'🎚️ Escenario'!$C$11,0)))))</f>
        <v>0</v>
      </c>
      <c r="BD467" s="237" t="n">
        <f aca="false" t="array" ref="BD467:BD467">IF(BD466=0,0,IF(BD466/'🎚️ Escenario'!$C$11&gt;=36,$AL$23,INDEX($C$23:$AL$23,MAX(1,ROUNDUP(BD466/'🎚️ Escenario'!$C$11,0)))))</f>
        <v>0</v>
      </c>
      <c r="BE467" s="237" t="n">
        <f aca="false" t="array" ref="BE467:BE467">IF(BE466=0,0,IF(BE466/'🎚️ Escenario'!$C$11&gt;=36,$AL$23,INDEX($C$23:$AL$23,MAX(1,ROUNDUP(BE466/'🎚️ Escenario'!$C$11,0)))))</f>
        <v>0</v>
      </c>
      <c r="BF467" s="237" t="n">
        <f aca="false" t="array" ref="BF467:BF467">IF(BF466=0,0,IF(BF466/'🎚️ Escenario'!$C$11&gt;=36,$AL$23,INDEX($C$23:$AL$23,MAX(1,ROUNDUP(BF466/'🎚️ Escenario'!$C$11,0)))))</f>
        <v>0</v>
      </c>
      <c r="BG467" s="237" t="n">
        <f aca="false" t="array" ref="BG467:BG467">IF(BG466=0,0,IF(BG466/'🎚️ Escenario'!$C$11&gt;=36,$AL$23,INDEX($C$23:$AL$23,MAX(1,ROUNDUP(BG466/'🎚️ Escenario'!$C$11,0)))))</f>
        <v>0</v>
      </c>
      <c r="BH467" s="237" t="n">
        <f aca="false" t="array" ref="BH467:BH467">IF(BH466=0,0,IF(BH466/'🎚️ Escenario'!$C$11&gt;=36,$AL$23,INDEX($C$23:$AL$23,MAX(1,ROUNDUP(BH466/'🎚️ Escenario'!$C$11,0)))))</f>
        <v>0</v>
      </c>
      <c r="BI467" s="237" t="n">
        <f aca="false" t="array" ref="BI467:BI467">IF(BI466=0,0,IF(BI466/'🎚️ Escenario'!$C$11&gt;=36,$AL$23,INDEX($C$23:$AL$23,MAX(1,ROUNDUP(BI466/'🎚️ Escenario'!$C$11,0)))))</f>
        <v>0</v>
      </c>
      <c r="BJ467" s="237" t="n">
        <f aca="false" t="array" ref="BJ467:BJ467">IF(BJ466=0,0,IF(BJ466/'🎚️ Escenario'!$C$11&gt;=36,$AL$23,INDEX($C$23:$AL$23,MAX(1,ROUNDUP(BJ466/'🎚️ Escenario'!$C$11,0)))))</f>
        <v>0</v>
      </c>
      <c r="BK467" s="237" t="n">
        <f aca="false" t="array" ref="BK467:BK467">IF(BK466=0,0,IF(BK466/'🎚️ Escenario'!$C$11&gt;=36,$AL$23,INDEX($C$23:$AL$23,MAX(1,ROUNDUP(BK466/'🎚️ Escenario'!$C$11,0)))))</f>
        <v>0</v>
      </c>
      <c r="BL467" s="237" t="n">
        <f aca="false" t="array" ref="BL467:BL467">IF(BL466=0,0,IF(BL466/'🎚️ Escenario'!$C$11&gt;=36,$AL$23,INDEX($C$23:$AL$23,MAX(1,ROUNDUP(BL466/'🎚️ Escenario'!$C$11,0)))))</f>
        <v>0</v>
      </c>
      <c r="BM467" s="237" t="n">
        <f aca="false" t="array" ref="BM467:BM467">IF(BM466=0,0,IF(BM466/'🎚️ Escenario'!$C$11&gt;=36,$AL$23,INDEX($C$23:$AL$23,MAX(1,ROUNDUP(BM466/'🎚️ Escenario'!$C$11,0)))))</f>
        <v>0</v>
      </c>
      <c r="BN467" s="237" t="n">
        <f aca="false" t="array" ref="BN467:BN467">IF(BN466=0,0,IF(BN466/'🎚️ Escenario'!$C$11&gt;=36,$AL$23,INDEX($C$23:$AL$23,MAX(1,ROUNDUP(BN466/'🎚️ Escenario'!$C$11,0)))))</f>
        <v>0</v>
      </c>
      <c r="BO467" s="237" t="n">
        <f aca="false" t="array" ref="BO467:BO467">IF(BO466=0,0,IF(BO466/'🎚️ Escenario'!$C$11&gt;=36,$AL$23,INDEX($C$23:$AL$23,MAX(1,ROUNDUP(BO466/'🎚️ Escenario'!$C$11,0)))))</f>
        <v>0</v>
      </c>
      <c r="BP467" s="237" t="n">
        <f aca="false" t="array" ref="BP467:BP467">IF(BP466=0,0,IF(BP466/'🎚️ Escenario'!$C$11&gt;=36,$AL$23,INDEX($C$23:$AL$23,MAX(1,ROUNDUP(BP466/'🎚️ Escenario'!$C$11,0)))))</f>
        <v>0</v>
      </c>
      <c r="BQ467" s="237" t="n">
        <f aca="false" t="array" ref="BQ467:BQ467">IF(BQ466=0,0,IF(BQ466/'🎚️ Escenario'!$C$11&gt;=36,$AL$23,INDEX($C$23:$AL$23,MAX(1,ROUNDUP(BQ466/'🎚️ Escenario'!$C$11,0)))))</f>
        <v>0</v>
      </c>
      <c r="BR467" s="237" t="n">
        <f aca="false" t="array" ref="BR467:BR467">IF(BR466=0,0,IF(BR466/'🎚️ Escenario'!$C$11&gt;=36,$AL$23,INDEX($C$23:$AL$23,MAX(1,ROUNDUP(BR466/'🎚️ Escenario'!$C$11,0)))))</f>
        <v>0</v>
      </c>
      <c r="BS467" s="237" t="n">
        <f aca="false" t="array" ref="BS467:BS467">IF(BS466=0,0,IF(BS466/'🎚️ Escenario'!$C$11&gt;=36,$AL$23,INDEX($C$23:$AL$23,MAX(1,ROUNDUP(BS466/'🎚️ Escenario'!$C$11,0)))))</f>
        <v>0</v>
      </c>
      <c r="BT467" s="237" t="n">
        <f aca="false" t="array" ref="BT467:BT467">IF(BT466=0,0,IF(BT466/'🎚️ Escenario'!$C$11&gt;=36,$AL$23,INDEX($C$23:$AL$23,MAX(1,ROUNDUP(BT466/'🎚️ Escenario'!$C$11,0)))))</f>
        <v>0</v>
      </c>
      <c r="BU467" s="237" t="n">
        <f aca="false" t="array" ref="BU467:BU467">IF(BU466=0,0,IF(BU466/'🎚️ Escenario'!$C$11&gt;=36,$AL$23,INDEX($C$23:$AL$23,MAX(1,ROUNDUP(BU466/'🎚️ Escenario'!$C$11,0)))))</f>
        <v>0</v>
      </c>
      <c r="BV467" s="237" t="n">
        <f aca="false" t="array" ref="BV467:BV467">IF(BV466=0,0,IF(BV466/'🎚️ Escenario'!$C$11&gt;=36,$AL$23,INDEX($C$23:$AL$23,MAX(1,ROUNDUP(BV466/'🎚️ Escenario'!$C$11,0)))))</f>
        <v>0</v>
      </c>
      <c r="BW467" s="237" t="n">
        <f aca="false" t="array" ref="BW467:BW467">IF(BW466=0,0,IF(BW466/'🎚️ Escenario'!$C$11&gt;=36,$AL$23,INDEX($C$23:$AL$23,MAX(1,ROUNDUP(BW466/'🎚️ Escenario'!$C$11,0)))))</f>
        <v>0</v>
      </c>
      <c r="BX467" s="237" t="n">
        <f aca="false" t="array" ref="BX467:BX467">IF(BX466=0,0,IF(BX466/'🎚️ Escenario'!$C$11&gt;=36,$AL$23,INDEX($C$23:$AL$23,MAX(1,ROUNDUP(BX466/'🎚️ Escenario'!$C$11,0)))))</f>
        <v>0</v>
      </c>
      <c r="BY467" s="237" t="n">
        <f aca="false" t="array" ref="BY467:BY467">IF(BY466=0,0,IF(BY466/'🎚️ Escenario'!$C$11&gt;=36,$AL$23,INDEX($C$23:$AL$23,MAX(1,ROUNDUP(BY466/'🎚️ Escenario'!$C$11,0)))))</f>
        <v>0</v>
      </c>
      <c r="BZ467" s="237" t="n">
        <f aca="false" t="array" ref="BZ467:BZ467">IF(BZ466=0,0,IF(BZ466/'🎚️ Escenario'!$C$11&gt;=36,$AL$23,INDEX($C$23:$AL$23,MAX(1,ROUNDUP(BZ466/'🎚️ Escenario'!$C$11,0)))))</f>
        <v>0</v>
      </c>
      <c r="CA467" s="237" t="n">
        <f aca="false" t="array" ref="CA467:CA467">IF(CA466=0,0,IF(CA466/'🎚️ Escenario'!$C$11&gt;=36,$AL$23,INDEX($C$23:$AL$23,MAX(1,ROUNDUP(CA466/'🎚️ Escenario'!$C$11,0)))))</f>
        <v>0</v>
      </c>
      <c r="CB467" s="237" t="n">
        <f aca="false" t="array" ref="CB467:CB467">IF(CB466=0,0,IF(CB466/'🎚️ Escenario'!$C$11&gt;=36,$AL$23,INDEX($C$23:$AL$23,MAX(1,ROUNDUP(CB466/'🎚️ Escenario'!$C$11,0)))))</f>
        <v>0</v>
      </c>
      <c r="CC467" s="237" t="n">
        <f aca="false" t="array" ref="CC467:CC467">IF(CC466=0,0,IF(CC466/'🎚️ Escenario'!$C$11&gt;=36,$AL$23,INDEX($C$23:$AL$23,MAX(1,ROUNDUP(CC466/'🎚️ Escenario'!$C$11,0)))))</f>
        <v>0</v>
      </c>
      <c r="CD467" s="237" t="n">
        <f aca="false" t="array" ref="CD467:CD467">IF(CD466=0,0,IF(CD466/'🎚️ Escenario'!$C$11&gt;=36,$AL$23,INDEX($C$23:$AL$23,MAX(1,ROUNDUP(CD466/'🎚️ Escenario'!$C$11,0)))))</f>
        <v>0</v>
      </c>
      <c r="CE467" s="237" t="n">
        <f aca="false" t="array" ref="CE467:CE467">IF(CE466=0,0,IF(CE466/'🎚️ Escenario'!$C$11&gt;=36,$AL$23,INDEX($C$23:$AL$23,MAX(1,ROUNDUP(CE466/'🎚️ Escenario'!$C$11,0)))))</f>
        <v>0</v>
      </c>
      <c r="CF467" s="237" t="n">
        <f aca="false" t="array" ref="CF467:CF467">IF(CF466=0,0,IF(CF466/'🎚️ Escenario'!$C$11&gt;=36,$AL$23,INDEX($C$23:$AL$23,MAX(1,ROUNDUP(CF466/'🎚️ Escenario'!$C$11,0)))))</f>
        <v>0</v>
      </c>
      <c r="CG467" s="237" t="n">
        <f aca="false" t="array" ref="CG467:CG467">IF(CG466=0,0,IF(CG466/'🎚️ Escenario'!$C$11&gt;=36,$AL$23,INDEX($C$23:$AL$23,MAX(1,ROUNDUP(CG466/'🎚️ Escenario'!$C$11,0)))))</f>
        <v>0</v>
      </c>
      <c r="CH467" s="237" t="n">
        <f aca="false" t="array" ref="CH467:CH467">IF(CH466=0,0,IF(CH466/'🎚️ Escenario'!$C$11&gt;=36,$AL$23,INDEX($C$23:$AL$23,MAX(1,ROUNDUP(CH466/'🎚️ Escenario'!$C$11,0)))))</f>
        <v>0</v>
      </c>
      <c r="CI467" s="237" t="n">
        <f aca="false" t="array" ref="CI467:CI467">IF(CI466=0,0,IF(CI466/'🎚️ Escenario'!$C$11&gt;=36,$AL$23,INDEX($C$23:$AL$23,MAX(1,ROUNDUP(CI466/'🎚️ Escenario'!$C$11,0)))))</f>
        <v>0</v>
      </c>
      <c r="CJ467" s="237" t="n">
        <f aca="false" t="array" ref="CJ467:CJ467">IF(CJ466=0,0,IF(CJ466/'🎚️ Escenario'!$C$11&gt;=36,$AL$23,INDEX($C$23:$AL$23,MAX(1,ROUNDUP(CJ466/'🎚️ Escenario'!$C$11,0)))))</f>
        <v>0</v>
      </c>
      <c r="CK467" s="237" t="n">
        <f aca="false" t="array" ref="CK467:CK467">IF(CK466=0,0,IF(CK466/'🎚️ Escenario'!$C$11&gt;=36,$AL$23,INDEX($C$23:$AL$23,MAX(1,ROUNDUP(CK466/'🎚️ Escenario'!$C$11,0)))))</f>
        <v>0</v>
      </c>
      <c r="CL467" s="237" t="n">
        <f aca="false" t="array" ref="CL467:CL467">IF(CL466=0,0,IF(CL466/'🎚️ Escenario'!$C$11&gt;=36,$AL$23,INDEX($C$23:$AL$23,MAX(1,ROUNDUP(CL466/'🎚️ Escenario'!$C$11,0)))))</f>
        <v>0</v>
      </c>
      <c r="CM467" s="237" t="n">
        <f aca="false" t="array" ref="CM467:CM467">IF(CM466=0,0,IF(CM466/'🎚️ Escenario'!$C$11&gt;=36,$AL$23,INDEX($C$23:$AL$23,MAX(1,ROUNDUP(CM466/'🎚️ Escenario'!$C$11,0)))))</f>
        <v>0</v>
      </c>
      <c r="CN467" s="237" t="n">
        <f aca="false" t="array" ref="CN467:CN467">IF(CN466=0,0,IF(CN466/'🎚️ Escenario'!$C$11&gt;=36,$AL$23,INDEX($C$23:$AL$23,MAX(1,ROUNDUP(CN466/'🎚️ Escenario'!$C$11,0)))))</f>
        <v>0</v>
      </c>
      <c r="CO467" s="237" t="n">
        <f aca="false" t="array" ref="CO467:CO467">IF(CO466=0,0,IF(CO466/'🎚️ Escenario'!$C$11&gt;=36,$AL$23,INDEX($C$23:$AL$23,MAX(1,ROUNDUP(CO466/'🎚️ Escenario'!$C$11,0)))))</f>
        <v>0</v>
      </c>
      <c r="CP467" s="237" t="n">
        <f aca="false" t="array" ref="CP467:CP467">IF(CP466=0,0,IF(CP466/'🎚️ Escenario'!$C$11&gt;=36,$AL$23,INDEX($C$23:$AL$23,MAX(1,ROUNDUP(CP466/'🎚️ Escenario'!$C$11,0)))))</f>
        <v>0</v>
      </c>
      <c r="CQ467" s="237" t="n">
        <f aca="false" t="array" ref="CQ467:CQ467">IF(CQ466=0,0,IF(CQ466/'🎚️ Escenario'!$C$11&gt;=36,$AL$23,INDEX($C$23:$AL$23,MAX(1,ROUNDUP(CQ466/'🎚️ Escenario'!$C$11,0)))))</f>
        <v>0</v>
      </c>
      <c r="CR467" s="237" t="n">
        <f aca="false" t="array" ref="CR467:CR467">IF(CR466=0,0,IF(CR466/'🎚️ Escenario'!$C$11&gt;=36,$AL$23,INDEX($C$23:$AL$23,MAX(1,ROUNDUP(CR466/'🎚️ Escenario'!$C$11,0)))))</f>
        <v>0</v>
      </c>
      <c r="CS467" s="237" t="n">
        <f aca="false" t="array" ref="CS467:CS467">IF(CS466=0,0,IF(CS466/'🎚️ Escenario'!$C$11&gt;=36,$AL$23,INDEX($C$23:$AL$23,MAX(1,ROUNDUP(CS466/'🎚️ Escenario'!$C$11,0)))))</f>
        <v>0</v>
      </c>
      <c r="CT467" s="237" t="n">
        <f aca="false" t="array" ref="CT467:CT467">IF(CT466=0,0,IF(CT466/'🎚️ Escenario'!$C$11&gt;=36,$AL$23,INDEX($C$23:$AL$23,MAX(1,ROUNDUP(CT466/'🎚️ Escenario'!$C$11,0)))))</f>
        <v>0</v>
      </c>
      <c r="CU467" s="237" t="n">
        <f aca="false" t="array" ref="CU467:CU467">IF(CU466=0,0,IF(CU466/'🎚️ Escenario'!$C$11&gt;=36,$AL$23,INDEX($C$23:$AL$23,MAX(1,ROUNDUP(CU466/'🎚️ Escenario'!$C$11,0)))))</f>
        <v>0</v>
      </c>
      <c r="CV467" s="237" t="n">
        <f aca="false" t="array" ref="CV467:CV467">IF(CV466=0,0,IF(CV466/'🎚️ Escenario'!$C$11&gt;=36,$AL$23,INDEX($C$23:$AL$23,MAX(1,ROUNDUP(CV466/'🎚️ Escenario'!$C$11,0)))))</f>
        <v>0</v>
      </c>
      <c r="CW467" s="237" t="n">
        <f aca="false" t="array" ref="CW467:CW467">IF(CW466=0,0,IF(CW466/'🎚️ Escenario'!$C$11&gt;=36,$AL$23,INDEX($C$23:$AL$23,MAX(1,ROUNDUP(CW466/'🎚️ Escenario'!$C$11,0)))))</f>
        <v>0</v>
      </c>
      <c r="CX467" s="237" t="n">
        <f aca="false" t="array" ref="CX467:CX467">IF(CX466=0,0,IF(CX466/'🎚️ Escenario'!$C$11&gt;=36,$AL$23,INDEX($C$23:$AL$23,MAX(1,ROUNDUP(CX466/'🎚️ Escenario'!$C$11,0)))))</f>
        <v>0</v>
      </c>
      <c r="CY467" s="237" t="n">
        <f aca="false" t="array" ref="CY467:CY467">IF(CY466=0,0,IF(CY466/'🎚️ Escenario'!$C$11&gt;=36,$AL$23,INDEX($C$23:$AL$23,MAX(1,ROUNDUP(CY466/'🎚️ Escenario'!$C$11,0)))))</f>
        <v>0</v>
      </c>
      <c r="CZ467" s="237" t="n">
        <f aca="false" t="array" ref="CZ467:CZ467">IF(CZ466=0,0,IF(CZ466/'🎚️ Escenario'!$C$11&gt;=36,$AL$23,INDEX($C$23:$AL$23,MAX(1,ROUNDUP(CZ466/'🎚️ Escenario'!$C$11,0)))))</f>
        <v>0</v>
      </c>
      <c r="DA467" s="237" t="n">
        <f aca="false" t="array" ref="DA467:DA467">IF(DA466=0,0,IF(DA466/'🎚️ Escenario'!$C$11&gt;=36,$AL$23,INDEX($C$23:$AL$23,MAX(1,ROUNDUP(DA466/'🎚️ Escenario'!$C$11,0)))))</f>
        <v>0</v>
      </c>
      <c r="DB467" s="237" t="n">
        <f aca="false" t="array" ref="DB467:DB467">IF(DB466=0,0,IF(DB466/'🎚️ Escenario'!$C$11&gt;=36,$AL$23,INDEX($C$23:$AL$23,MAX(1,ROUNDUP(DB466/'🎚️ Escenario'!$C$11,0)))))</f>
        <v>0</v>
      </c>
      <c r="DC467" s="237" t="n">
        <f aca="false" t="array" ref="DC467:DC467">IF(DC466=0,0,IF(DC466/'🎚️ Escenario'!$C$11&gt;=36,$AL$23,INDEX($C$23:$AL$23,MAX(1,ROUNDUP(DC466/'🎚️ Escenario'!$C$11,0)))))</f>
        <v>0</v>
      </c>
      <c r="DD467" s="237" t="n">
        <f aca="false" t="array" ref="DD467:DD467">IF(DD466=0,0,IF(DD466/'🎚️ Escenario'!$C$11&gt;=36,$AL$23,INDEX($C$23:$AL$23,MAX(1,ROUNDUP(DD466/'🎚️ Escenario'!$C$11,0)))))</f>
        <v>0</v>
      </c>
      <c r="DE467" s="237" t="n">
        <f aca="false" t="array" ref="DE467:DE467">IF(DE466=0,0,IF(DE466/'🎚️ Escenario'!$C$11&gt;=36,$AL$23,INDEX($C$23:$AL$23,MAX(1,ROUNDUP(DE466/'🎚️ Escenario'!$C$11,0)))))</f>
        <v>0</v>
      </c>
      <c r="DF467" s="237" t="n">
        <f aca="false" t="array" ref="DF467:DF467">IF(DF466=0,0,IF(DF466/'🎚️ Escenario'!$C$11&gt;=36,$AL$23,INDEX($C$23:$AL$23,MAX(1,ROUNDUP(DF466/'🎚️ Escenario'!$C$11,0)))))</f>
        <v>0</v>
      </c>
      <c r="DG467" s="237" t="n">
        <f aca="false" t="array" ref="DG467:DG467">IF(DG466=0,0,IF(DG466/'🎚️ Escenario'!$C$11&gt;=36,$AL$23,INDEX($C$23:$AL$23,MAX(1,ROUNDUP(DG466/'🎚️ Escenario'!$C$11,0)))))</f>
        <v>0</v>
      </c>
      <c r="DH467" s="237" t="n">
        <f aca="false" t="array" ref="DH467:DH467">IF(DH466=0,0,IF(DH466/'🎚️ Escenario'!$C$11&gt;=36,$AL$23,INDEX($C$23:$AL$23,MAX(1,ROUNDUP(DH466/'🎚️ Escenario'!$C$11,0)))))</f>
        <v>0</v>
      </c>
      <c r="DI467" s="237" t="n">
        <f aca="false" t="array" ref="DI467:DI467">IF(DI466=0,0,IF(DI466/'🎚️ Escenario'!$C$11&gt;=36,$AL$23,INDEX($C$23:$AL$23,MAX(1,ROUNDUP(DI466/'🎚️ Escenario'!$C$11,0)))))</f>
        <v>0</v>
      </c>
      <c r="DJ467" s="237" t="n">
        <f aca="false" t="array" ref="DJ467:DJ467">IF(DJ466=0,0,IF(DJ466/'🎚️ Escenario'!$C$11&gt;=36,$AL$23,INDEX($C$23:$AL$23,MAX(1,ROUNDUP(DJ466/'🎚️ Escenario'!$C$11,0)))))</f>
        <v>0</v>
      </c>
      <c r="DK467" s="237" t="n">
        <f aca="false" t="array" ref="DK467:DK467">IF(DK466=0,0,IF(DK466/'🎚️ Escenario'!$C$11&gt;=36,$AL$23,INDEX($C$23:$AL$23,MAX(1,ROUNDUP(DK466/'🎚️ Escenario'!$C$11,0)))))</f>
        <v>0</v>
      </c>
      <c r="DL467" s="237" t="n">
        <f aca="false" t="array" ref="DL467:DL467">IF(DL466=0,0,IF(DL466/'🎚️ Escenario'!$C$11&gt;=36,$AL$23,INDEX($C$23:$AL$23,MAX(1,ROUNDUP(DL466/'🎚️ Escenario'!$C$11,0)))))</f>
        <v>0</v>
      </c>
      <c r="DM467" s="237" t="n">
        <f aca="false" t="array" ref="DM467:DM467">IF(DM466=0,0,IF(DM466/'🎚️ Escenario'!$C$11&gt;=36,$AL$23,INDEX($C$23:$AL$23,MAX(1,ROUNDUP(DM466/'🎚️ Escenario'!$C$11,0)))))</f>
        <v>0</v>
      </c>
      <c r="DN467" s="237" t="n">
        <f aca="false" t="array" ref="DN467:DN467">IF(DN466=0,0,IF(DN466/'🎚️ Escenario'!$C$11&gt;=36,$AL$23,INDEX($C$23:$AL$23,MAX(1,ROUNDUP(DN466/'🎚️ Escenario'!$C$11,0)))))</f>
        <v>0</v>
      </c>
      <c r="DO467" s="237" t="n">
        <f aca="false" t="array" ref="DO467:DO467">IF(DO466=0,0,IF(DO466/'🎚️ Escenario'!$C$11&gt;=36,$AL$23,INDEX($C$23:$AL$23,MAX(1,ROUNDUP(DO466/'🎚️ Escenario'!$C$11,0)))))</f>
        <v>0</v>
      </c>
      <c r="DP467" s="237" t="n">
        <f aca="false" t="array" ref="DP467:DP467">IF(DP466=0,0,IF(DP466/'🎚️ Escenario'!$C$11&gt;=36,$AL$23,INDEX($C$23:$AL$23,MAX(1,ROUNDUP(DP466/'🎚️ Escenario'!$C$11,0)))))</f>
        <v>0</v>
      </c>
      <c r="DQ467" s="237" t="n">
        <f aca="false" t="array" ref="DQ467:DQ467">IF(DQ466=0,0,IF(DQ466/'🎚️ Escenario'!$C$11&gt;=36,$AL$23,INDEX($C$23:$AL$23,MAX(1,ROUNDUP(DQ466/'🎚️ Escenario'!$C$11,0)))))</f>
        <v>0</v>
      </c>
      <c r="DR467" s="237" t="n">
        <f aca="false" t="array" ref="DR467:DR467">IF(DR466=0,0,IF(DR466/'🎚️ Escenario'!$C$11&gt;=36,$AL$23,INDEX($C$23:$AL$23,MAX(1,ROUNDUP(DR466/'🎚️ Escenario'!$C$11,0)))))</f>
        <v>0</v>
      </c>
      <c r="DS467" s="237" t="n">
        <f aca="false" t="array" ref="DS467:DS467">IF(DS466=0,0,IF(DS466/'🎚️ Escenario'!$C$11&gt;=36,$AL$23,INDEX($C$23:$AL$23,MAX(1,ROUNDUP(DS466/'🎚️ Escenario'!$C$11,0)))))</f>
        <v>0</v>
      </c>
      <c r="DT467" s="237" t="n">
        <f aca="false" t="array" ref="DT467:DT467">IF(DT466=0,0,IF(DT466/'🎚️ Escenario'!$C$11&gt;=36,$AL$23,INDEX($C$23:$AL$23,MAX(1,ROUNDUP(DT466/'🎚️ Escenario'!$C$11,0)))))</f>
        <v>0</v>
      </c>
      <c r="DU467" s="237" t="n">
        <f aca="false" t="array" ref="DU467:DU467">IF(DU466=0,0,IF(DU466/'🎚️ Escenario'!$C$11&gt;=36,$AL$23,INDEX($C$23:$AL$23,MAX(1,ROUNDUP(DU466/'🎚️ Escenario'!$C$11,0)))))</f>
        <v>0</v>
      </c>
      <c r="DV467" s="237" t="n">
        <f aca="false" t="array" ref="DV467:DV467">IF(DV466=0,0,IF(DV466/'🎚️ Escenario'!$C$11&gt;=36,$AL$23,INDEX($C$23:$AL$23,MAX(1,ROUNDUP(DV466/'🎚️ Escenario'!$C$11,0)))))</f>
        <v>0</v>
      </c>
      <c r="DW467" s="237" t="n">
        <f aca="false" t="array" ref="DW467:DW467">IF(DW466=0,0,IF(DW466/'🎚️ Escenario'!$C$11&gt;=36,$AL$23,INDEX($C$23:$AL$23,MAX(1,ROUNDUP(DW466/'🎚️ Escenario'!$C$11,0)))))</f>
        <v>0</v>
      </c>
      <c r="DX467" s="237" t="n">
        <f aca="false" t="array" ref="DX467:DX467">IF(DX466=0,0,IF(DX466/'🎚️ Escenario'!$C$11&gt;=36,$AL$23,INDEX($C$23:$AL$23,MAX(1,ROUNDUP(DX466/'🎚️ Escenario'!$C$11,0)))))</f>
        <v>0</v>
      </c>
      <c r="DY467" s="237" t="n">
        <f aca="false" t="array" ref="DY467:DY467">IF(DY466=0,0,IF(DY466/'🎚️ Escenario'!$C$11&gt;=36,$AL$23,INDEX($C$23:$AL$23,MAX(1,ROUNDUP(DY466/'🎚️ Escenario'!$C$11,0)))))</f>
        <v>0</v>
      </c>
      <c r="DZ467" s="237" t="n">
        <f aca="false" t="array" ref="DZ467:DZ467">IF(DZ466=0,0,IF(DZ466/'🎚️ Escenario'!$C$11&gt;=36,$AL$23,INDEX($C$23:$AL$23,MAX(1,ROUNDUP(DZ466/'🎚️ Escenario'!$C$11,0)))))</f>
        <v>0</v>
      </c>
      <c r="EA467" s="237" t="n">
        <f aca="false" t="array" ref="EA467:EA467">IF(EA466=0,0,IF(EA466/'🎚️ Escenario'!$C$11&gt;=36,$AL$23,INDEX($C$23:$AL$23,MAX(1,ROUNDUP(EA466/'🎚️ Escenario'!$C$11,0)))))</f>
        <v>0</v>
      </c>
      <c r="EB467" s="237" t="n">
        <f aca="false" t="array" ref="EB467:EB467">IF(EB466=0,0,IF(EB466/'🎚️ Escenario'!$C$11&gt;=36,$AL$23,INDEX($C$23:$AL$23,MAX(1,ROUNDUP(EB466/'🎚️ Escenario'!$C$11,0)))))</f>
        <v>0</v>
      </c>
      <c r="EC467" s="237" t="n">
        <f aca="false" t="array" ref="EC467:EC467">IF(EC466=0,0,IF(EC466/'🎚️ Escenario'!$C$11&gt;=36,$AL$23,INDEX($C$23:$AL$23,MAX(1,ROUNDUP(EC466/'🎚️ Escenario'!$C$11,0)))))</f>
        <v>0</v>
      </c>
      <c r="ED467" s="237" t="n">
        <f aca="false" t="array" ref="ED467:ED467">IF(ED466=0,0,IF(ED466/'🎚️ Escenario'!$C$11&gt;=36,$AL$23,INDEX($C$23:$AL$23,MAX(1,ROUNDUP(ED466/'🎚️ Escenario'!$C$11,0)))))</f>
        <v>0</v>
      </c>
      <c r="EE467" s="237" t="n">
        <f aca="false" t="array" ref="EE467:EE467">IF(EE466=0,0,IF(EE466/'🎚️ Escenario'!$C$11&gt;=36,$AL$23,INDEX($C$23:$AL$23,MAX(1,ROUNDUP(EE466/'🎚️ Escenario'!$C$11,0)))))</f>
        <v>0</v>
      </c>
      <c r="EF467" s="237" t="n">
        <f aca="false" t="array" ref="EF467:EF467">IF(EF466=0,0,IF(EF466/'🎚️ Escenario'!$C$11&gt;=36,$AL$23,INDEX($C$23:$AL$23,MAX(1,ROUNDUP(EF466/'🎚️ Escenario'!$C$11,0)))))</f>
        <v>0</v>
      </c>
      <c r="EG467" s="237" t="n">
        <f aca="false" t="array" ref="EG467:EG467">IF(EG466=0,0,IF(EG466/'🎚️ Escenario'!$C$11&gt;=36,$AL$23,INDEX($C$23:$AL$23,MAX(1,ROUNDUP(EG466/'🎚️ Escenario'!$C$11,0)))))</f>
        <v>0</v>
      </c>
      <c r="EH467" s="237" t="n">
        <f aca="false" t="array" ref="EH467:EH467">IF(EH466=0,0,IF(EH466/'🎚️ Escenario'!$C$11&gt;=36,$AL$23,INDEX($C$23:$AL$23,MAX(1,ROUNDUP(EH466/'🎚️ Escenario'!$C$11,0)))))</f>
        <v>0</v>
      </c>
      <c r="EI467" s="237" t="n">
        <f aca="false" t="array" ref="EI467:EI467">IF(EI466=0,0,IF(EI466/'🎚️ Escenario'!$C$11&gt;=36,$AL$23,INDEX($C$23:$AL$23,MAX(1,ROUNDUP(EI466/'🎚️ Escenario'!$C$11,0)))))</f>
        <v>0</v>
      </c>
      <c r="EJ467" s="237" t="n">
        <f aca="false" t="array" ref="EJ467:EJ467">IF(EJ466=0,0,IF(EJ466/'🎚️ Escenario'!$C$11&gt;=36,$AL$23,INDEX($C$23:$AL$23,MAX(1,ROUNDUP(EJ466/'🎚️ Escenario'!$C$11,0)))))</f>
        <v>0</v>
      </c>
      <c r="EK467" s="237" t="n">
        <f aca="false" t="array" ref="EK467:EK467">IF(EK466=0,0,IF(EK466/'🎚️ Escenario'!$C$11&gt;=36,$AL$23,INDEX($C$23:$AL$23,MAX(1,ROUNDUP(EK466/'🎚️ Escenario'!$C$11,0)))))</f>
        <v>0</v>
      </c>
      <c r="EL467" s="237" t="n">
        <f aca="false" t="array" ref="EL467:EL467">IF(EL466=0,0,IF(EL466/'🎚️ Escenario'!$C$11&gt;=36,$AL$23,INDEX($C$23:$AL$23,MAX(1,ROUNDUP(EL466/'🎚️ Escenario'!$C$11,0)))))</f>
        <v>0</v>
      </c>
      <c r="EM467" s="237" t="n">
        <f aca="false" t="array" ref="EM467:EM467">IF(EM466=0,0,IF(EM466/'🎚️ Escenario'!$C$11&gt;=36,$AL$23,INDEX($C$23:$AL$23,MAX(1,ROUNDUP(EM466/'🎚️ Escenario'!$C$11,0)))))</f>
        <v>0</v>
      </c>
      <c r="EN467" s="237" t="n">
        <f aca="false" t="array" ref="EN467:EN467">IF(EN466=0,0,IF(EN466/'🎚️ Escenario'!$C$11&gt;=36,$AL$23,INDEX($C$23:$AL$23,MAX(1,ROUNDUP(EN466/'🎚️ Escenario'!$C$11,0)))))</f>
        <v>0</v>
      </c>
      <c r="EO467" s="237" t="n">
        <f aca="false" t="array" ref="EO467:EO467">IF(EO466=0,0,IF(EO466/'🎚️ Escenario'!$C$11&gt;=36,$AL$23,INDEX($C$23:$AL$23,MAX(1,ROUNDUP(EO466/'🎚️ Escenario'!$C$11,0)))))</f>
        <v>0.2</v>
      </c>
      <c r="EP467" s="237" t="n">
        <f aca="false" t="array" ref="EP467:EP467">IF(EP466=0,0,IF(EP466/'🎚️ Escenario'!$C$11&gt;=36,$AL$23,INDEX($C$23:$AL$23,MAX(1,ROUNDUP(EP466/'🎚️ Escenario'!$C$11,0)))))</f>
        <v>0.22</v>
      </c>
      <c r="EQ467" s="237" t="n">
        <f aca="false" t="array" ref="EQ467:EQ467">IF(EQ466=0,0,IF(EQ466/'🎚️ Escenario'!$C$11&gt;=36,$AL$23,INDEX($C$23:$AL$23,MAX(1,ROUNDUP(EQ466/'🎚️ Escenario'!$C$11,0)))))</f>
        <v>0.24</v>
      </c>
      <c r="ER467" s="237" t="n">
        <f aca="false" t="array" ref="ER467:ER467">IF(ER466=0,0,IF(ER466/'🎚️ Escenario'!$C$11&gt;=36,$AL$23,INDEX($C$23:$AL$23,MAX(1,ROUNDUP(ER466/'🎚️ Escenario'!$C$11,0)))))</f>
        <v>0.27</v>
      </c>
      <c r="ES467" s="9" t="n">
        <f aca="false" t="array" ref="ES467:ES467">IF(ES466=0,0,IF(ES466/'🎚️ Escenario'!$C$11&gt;=36,$AL$23,INDEX($C$23:$AL$23,MAX(1,ROUNDUP(ES466/'🎚️ Escenario'!$C$11,0)))))</f>
        <v>0.27</v>
      </c>
      <c r="ET467" s="9" t="n">
        <f aca="false" t="array" ref="ET467:ET467">IF(ET466=0,0,IF(ET466/'🎚️ Escenario'!$C$11&gt;=36,$AL$23,INDEX($C$23:$AL$23,MAX(1,ROUNDUP(ET466/'🎚️ Escenario'!$C$11,0)))))</f>
        <v>0.31</v>
      </c>
      <c r="EU467" s="9" t="n">
        <f aca="false" t="array" ref="EU467:EU467">IF(EU466=0,0,IF(EU466/'🎚️ Escenario'!$C$11&gt;=36,$AL$23,INDEX($C$23:$AL$23,MAX(1,ROUNDUP(EU466/'🎚️ Escenario'!$C$11,0)))))</f>
        <v>0.35</v>
      </c>
      <c r="EV467" s="9" t="n">
        <f aca="false" t="array" ref="EV467:EV467">IF(EV466=0,0,IF(EV466/'🎚️ Escenario'!$C$11&gt;=36,$AL$23,INDEX($C$23:$AL$23,MAX(1,ROUNDUP(EV466/'🎚️ Escenario'!$C$11,0)))))</f>
        <v>0.39</v>
      </c>
      <c r="EW467" s="9" t="n">
        <f aca="false" t="array" ref="EW467:EW467">IF(EW466=0,0,IF(EW466/'🎚️ Escenario'!$C$11&gt;=36,$AL$23,INDEX($C$23:$AL$23,MAX(1,ROUNDUP(EW466/'🎚️ Escenario'!$C$11,0)))))</f>
        <v>0.44</v>
      </c>
      <c r="EX467" s="9" t="n">
        <f aca="false" t="array" ref="EX467:EX467">IF(EX466=0,0,IF(EX466/'🎚️ Escenario'!$C$11&gt;=36,$AL$23,INDEX($C$23:$AL$23,MAX(1,ROUNDUP(EX466/'🎚️ Escenario'!$C$11,0)))))</f>
        <v>0.44</v>
      </c>
      <c r="EY467" s="9" t="n">
        <f aca="false" t="array" ref="EY467:EY467">IF(EY466=0,0,IF(EY466/'🎚️ Escenario'!$C$11&gt;=36,$AL$23,INDEX($C$23:$AL$23,MAX(1,ROUNDUP(EY466/'🎚️ Escenario'!$C$11,0)))))</f>
        <v>0.48</v>
      </c>
      <c r="EZ467" s="9" t="n">
        <f aca="false" t="array" ref="EZ467:EZ467">IF(EZ466=0,0,IF(EZ466/'🎚️ Escenario'!$C$11&gt;=36,$AL$23,INDEX($C$23:$AL$23,MAX(1,ROUNDUP(EZ466/'🎚️ Escenario'!$C$11,0)))))</f>
        <v>0.52</v>
      </c>
      <c r="FA467" s="9" t="n">
        <f aca="false" t="array" ref="FA467:FA467">IF(FA466=0,0,IF(FA466/'🎚️ Escenario'!$C$11&gt;=36,$AL$23,INDEX($C$23:$AL$23,MAX(1,ROUNDUP(FA466/'🎚️ Escenario'!$C$11,0)))))</f>
        <v>0.56</v>
      </c>
      <c r="FB467" s="9" t="n">
        <f aca="false" t="array" ref="FB467:FB467">IF(FB466=0,0,IF(FB466/'🎚️ Escenario'!$C$11&gt;=36,$AL$23,INDEX($C$23:$AL$23,MAX(1,ROUNDUP(FB466/'🎚️ Escenario'!$C$11,0)))))</f>
        <v>0.6</v>
      </c>
      <c r="FC467" s="9" t="n">
        <f aca="false" t="array" ref="FC467:FC467">IF(FC466=0,0,IF(FC466/'🎚️ Escenario'!$C$11&gt;=36,$AL$23,INDEX($C$23:$AL$23,MAX(1,ROUNDUP(FC466/'🎚️ Escenario'!$C$11,0)))))</f>
        <v>0.6</v>
      </c>
      <c r="FD467" s="9" t="n">
        <f aca="false" t="array" ref="FD467:FD467">IF(FD466=0,0,IF(FD466/'🎚️ Escenario'!$C$11&gt;=36,$AL$23,INDEX($C$23:$AL$23,MAX(1,ROUNDUP(FD466/'🎚️ Escenario'!$C$11,0)))))</f>
        <v>0.63</v>
      </c>
      <c r="FE467" s="9" t="n">
        <f aca="false" t="array" ref="FE467:FE467">IF(FE466=0,0,IF(FE466/'🎚️ Escenario'!$C$11&gt;=36,$AL$23,INDEX($C$23:$AL$23,MAX(1,ROUNDUP(FE466/'🎚️ Escenario'!$C$11,0)))))</f>
        <v>0.66</v>
      </c>
      <c r="FF467" s="9" t="n">
        <f aca="false" t="array" ref="FF467:FF467">IF(FF466=0,0,IF(FF466/'🎚️ Escenario'!$C$11&gt;=36,$AL$23,INDEX($C$23:$AL$23,MAX(1,ROUNDUP(FF466/'🎚️ Escenario'!$C$11,0)))))</f>
        <v>0.69</v>
      </c>
      <c r="FG467" s="9" t="n">
        <f aca="false" t="array" ref="FG467:FG467">IF(FG466=0,0,IF(FG466/'🎚️ Escenario'!$C$11&gt;=36,$AL$23,INDEX($C$23:$AL$23,MAX(1,ROUNDUP(FG466/'🎚️ Escenario'!$C$11,0)))))</f>
        <v>0.71</v>
      </c>
      <c r="FH467" s="9" t="n">
        <f aca="false" t="array" ref="FH467:FH467">IF(FH466=0,0,IF(FH466/'🎚️ Escenario'!$C$11&gt;=36,$AL$23,INDEX($C$23:$AL$23,MAX(1,ROUNDUP(FH466/'🎚️ Escenario'!$C$11,0)))))</f>
        <v>0.71</v>
      </c>
      <c r="FI467" s="9" t="n">
        <f aca="false" t="array" ref="FI467:FI467">IF(FI466=0,0,IF(FI466/'🎚️ Escenario'!$C$11&gt;=36,$AL$23,INDEX($C$23:$AL$23,MAX(1,ROUNDUP(FI466/'🎚️ Escenario'!$C$11,0)))))</f>
        <v>0.73</v>
      </c>
      <c r="FJ467" s="9" t="n">
        <f aca="false" t="array" ref="FJ467:FJ467">IF(FJ466=0,0,IF(FJ466/'🎚️ Escenario'!$C$11&gt;=36,$AL$23,INDEX($C$23:$AL$23,MAX(1,ROUNDUP(FJ466/'🎚️ Escenario'!$C$11,0)))))</f>
        <v>0.75</v>
      </c>
      <c r="FK467" s="9" t="n">
        <f aca="false" t="array" ref="FK467:FK467">IF(FK466=0,0,IF(FK466/'🎚️ Escenario'!$C$11&gt;=36,$AL$23,INDEX($C$23:$AL$23,MAX(1,ROUNDUP(FK466/'🎚️ Escenario'!$C$11,0)))))</f>
        <v>0.77</v>
      </c>
      <c r="FL467" s="9" t="n">
        <f aca="false" t="array" ref="FL467:FL467">IF(FL466=0,0,IF(FL466/'🎚️ Escenario'!$C$11&gt;=36,$AL$23,INDEX($C$23:$AL$23,MAX(1,ROUNDUP(FL466/'🎚️ Escenario'!$C$11,0)))))</f>
        <v>0.79</v>
      </c>
      <c r="FM467" s="9" t="n">
        <f aca="false" t="array" ref="FM467:FM467">IF(FM466=0,0,IF(FM466/'🎚️ Escenario'!$C$11&gt;=36,$AL$23,INDEX($C$23:$AL$23,MAX(1,ROUNDUP(FM466/'🎚️ Escenario'!$C$11,0)))))</f>
        <v>0.79</v>
      </c>
      <c r="FN467" s="9" t="n">
        <f aca="false" t="array" ref="FN467:FN467">IF(FN466=0,0,IF(FN466/'🎚️ Escenario'!$C$11&gt;=36,$AL$23,INDEX($C$23:$AL$23,MAX(1,ROUNDUP(FN466/'🎚️ Escenario'!$C$11,0)))))</f>
        <v>0.8</v>
      </c>
      <c r="FO467" s="9" t="n">
        <f aca="false" t="array" ref="FO467:FO467">IF(FO466=0,0,IF(FO466/'🎚️ Escenario'!$C$11&gt;=36,$AL$23,INDEX($C$23:$AL$23,MAX(1,ROUNDUP(FO466/'🎚️ Escenario'!$C$11,0)))))</f>
        <v>0.82</v>
      </c>
      <c r="FP467" s="9" t="n">
        <f aca="false" t="array" ref="FP467:FP467">IF(FP466=0,0,IF(FP466/'🎚️ Escenario'!$C$11&gt;=36,$AL$23,INDEX($C$23:$AL$23,MAX(1,ROUNDUP(FP466/'🎚️ Escenario'!$C$11,0)))))</f>
        <v>0.84</v>
      </c>
    </row>
    <row r="468" customFormat="false" ht="15" hidden="false" customHeight="false" outlineLevel="2" collapsed="false">
      <c r="B468" s="47" t="s">
        <v>875</v>
      </c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237" t="n">
        <f aca="false">IF(AC466=0,0,IF(AC466&lt;=12*'🎚️ Escenario'!$C$11,1,1+$C$6))</f>
        <v>0</v>
      </c>
      <c r="AD468" s="237" t="n">
        <f aca="false">IF(AD466=0,0,IF(AD466&lt;=12*'🎚️ Escenario'!$C$11,1,1+$C$6))</f>
        <v>0</v>
      </c>
      <c r="AE468" s="237" t="n">
        <f aca="false">IF(AE466=0,0,IF(AE466&lt;=12*'🎚️ Escenario'!$C$11,1,1+$C$6))</f>
        <v>0</v>
      </c>
      <c r="AF468" s="237" t="n">
        <f aca="false">IF(AF466=0,0,IF(AF466&lt;=12*'🎚️ Escenario'!$C$11,1,1+$C$6))</f>
        <v>0</v>
      </c>
      <c r="AG468" s="237" t="n">
        <f aca="false">IF(AG466=0,0,IF(AG466&lt;=12*'🎚️ Escenario'!$C$11,1,1+$C$6))</f>
        <v>0</v>
      </c>
      <c r="AH468" s="237" t="n">
        <f aca="false">IF(AH466=0,0,IF(AH466&lt;=12*'🎚️ Escenario'!$C$11,1,1+$C$6))</f>
        <v>0</v>
      </c>
      <c r="AI468" s="237" t="n">
        <f aca="false">IF(AI466=0,0,IF(AI466&lt;=12*'🎚️ Escenario'!$C$11,1,1+$C$6))</f>
        <v>0</v>
      </c>
      <c r="AJ468" s="237" t="n">
        <f aca="false">IF(AJ466=0,0,IF(AJ466&lt;=12*'🎚️ Escenario'!$C$11,1,1+$C$6))</f>
        <v>0</v>
      </c>
      <c r="AK468" s="237" t="n">
        <f aca="false">IF(AK466=0,0,IF(AK466&lt;=12*'🎚️ Escenario'!$C$11,1,1+$C$6))</f>
        <v>0</v>
      </c>
      <c r="AL468" s="237" t="n">
        <f aca="false">IF(AL466=0,0,IF(AL466&lt;=12*'🎚️ Escenario'!$C$11,1,1+$C$6))</f>
        <v>0</v>
      </c>
      <c r="AM468" s="237" t="n">
        <f aca="false">IF(AM466=0,0,IF(AM466&lt;=12*'🎚️ Escenario'!$C$11,1,1+$C$6))</f>
        <v>0</v>
      </c>
      <c r="AN468" s="237" t="n">
        <f aca="false">IF(AN466=0,0,IF(AN466&lt;=12*'🎚️ Escenario'!$C$11,1,1+$C$6))</f>
        <v>0</v>
      </c>
      <c r="AO468" s="237" t="n">
        <f aca="false">IF(AO466=0,0,IF(AO466&lt;=12*'🎚️ Escenario'!$C$11,1,1+$C$6))</f>
        <v>0</v>
      </c>
      <c r="AP468" s="237" t="n">
        <f aca="false">IF(AP466=0,0,IF(AP466&lt;=12*'🎚️ Escenario'!$C$11,1,1+$C$6))</f>
        <v>0</v>
      </c>
      <c r="AQ468" s="237" t="n">
        <f aca="false">IF(AQ466=0,0,IF(AQ466&lt;=12*'🎚️ Escenario'!$C$11,1,1+$C$6))</f>
        <v>0</v>
      </c>
      <c r="AR468" s="237" t="n">
        <f aca="false">IF(AR466=0,0,IF(AR466&lt;=12*'🎚️ Escenario'!$C$11,1,1+$C$6))</f>
        <v>0</v>
      </c>
      <c r="AS468" s="237" t="n">
        <f aca="false">IF(AS466=0,0,IF(AS466&lt;=12*'🎚️ Escenario'!$C$11,1,1+$C$6))</f>
        <v>0</v>
      </c>
      <c r="AT468" s="237" t="n">
        <f aca="false">IF(AT466=0,0,IF(AT466&lt;=12*'🎚️ Escenario'!$C$11,1,1+$C$6))</f>
        <v>0</v>
      </c>
      <c r="AU468" s="237" t="n">
        <f aca="false">IF(AU466=0,0,IF(AU466&lt;=12*'🎚️ Escenario'!$C$11,1,1+$C$6))</f>
        <v>0</v>
      </c>
      <c r="AV468" s="237" t="n">
        <f aca="false">IF(AV466=0,0,IF(AV466&lt;=12*'🎚️ Escenario'!$C$11,1,1+$C$6))</f>
        <v>0</v>
      </c>
      <c r="AW468" s="237" t="n">
        <f aca="false">IF(AW466=0,0,IF(AW466&lt;=12*'🎚️ Escenario'!$C$11,1,1+$C$6))</f>
        <v>0</v>
      </c>
      <c r="AX468" s="237" t="n">
        <f aca="false">IF(AX466=0,0,IF(AX466&lt;=12*'🎚️ Escenario'!$C$11,1,1+$C$6))</f>
        <v>0</v>
      </c>
      <c r="AY468" s="237" t="n">
        <f aca="false">IF(AY466=0,0,IF(AY466&lt;=12*'🎚️ Escenario'!$C$11,1,1+$C$6))</f>
        <v>0</v>
      </c>
      <c r="AZ468" s="237" t="n">
        <f aca="false">IF(AZ466=0,0,IF(AZ466&lt;=12*'🎚️ Escenario'!$C$11,1,1+$C$6))</f>
        <v>0</v>
      </c>
      <c r="BA468" s="237" t="n">
        <f aca="false">IF(BA466=0,0,IF(BA466&lt;=12*'🎚️ Escenario'!$C$11,1,1+$C$6))</f>
        <v>0</v>
      </c>
      <c r="BB468" s="237" t="n">
        <f aca="false">IF(BB466=0,0,IF(BB466&lt;=12*'🎚️ Escenario'!$C$11,1,1+$C$6))</f>
        <v>0</v>
      </c>
      <c r="BC468" s="237" t="n">
        <f aca="false">IF(BC466=0,0,IF(BC466&lt;=12*'🎚️ Escenario'!$C$11,1,1+$C$6))</f>
        <v>0</v>
      </c>
      <c r="BD468" s="237" t="n">
        <f aca="false">IF(BD466=0,0,IF(BD466&lt;=12*'🎚️ Escenario'!$C$11,1,1+$C$6))</f>
        <v>0</v>
      </c>
      <c r="BE468" s="237" t="n">
        <f aca="false">IF(BE466=0,0,IF(BE466&lt;=12*'🎚️ Escenario'!$C$11,1,1+$C$6))</f>
        <v>0</v>
      </c>
      <c r="BF468" s="237" t="n">
        <f aca="false">IF(BF466=0,0,IF(BF466&lt;=12*'🎚️ Escenario'!$C$11,1,1+$C$6))</f>
        <v>0</v>
      </c>
      <c r="BG468" s="237" t="n">
        <f aca="false">IF(BG466=0,0,IF(BG466&lt;=12*'🎚️ Escenario'!$C$11,1,1+$C$6))</f>
        <v>0</v>
      </c>
      <c r="BH468" s="237" t="n">
        <f aca="false">IF(BH466=0,0,IF(BH466&lt;=12*'🎚️ Escenario'!$C$11,1,1+$C$6))</f>
        <v>0</v>
      </c>
      <c r="BI468" s="237" t="n">
        <f aca="false">IF(BI466=0,0,IF(BI466&lt;=12*'🎚️ Escenario'!$C$11,1,1+$C$6))</f>
        <v>0</v>
      </c>
      <c r="BJ468" s="237" t="n">
        <f aca="false">IF(BJ466=0,0,IF(BJ466&lt;=12*'🎚️ Escenario'!$C$11,1,1+$C$6))</f>
        <v>0</v>
      </c>
      <c r="BK468" s="237" t="n">
        <f aca="false">IF(BK466=0,0,IF(BK466&lt;=12*'🎚️ Escenario'!$C$11,1,1+$C$6))</f>
        <v>0</v>
      </c>
      <c r="BL468" s="237" t="n">
        <f aca="false">IF(BL466=0,0,IF(BL466&lt;=12*'🎚️ Escenario'!$C$11,1,1+$C$6))</f>
        <v>0</v>
      </c>
      <c r="BM468" s="237" t="n">
        <f aca="false">IF(BM466=0,0,IF(BM466&lt;=12*'🎚️ Escenario'!$C$11,1,1+$C$6))</f>
        <v>0</v>
      </c>
      <c r="BN468" s="237" t="n">
        <f aca="false">IF(BN466=0,0,IF(BN466&lt;=12*'🎚️ Escenario'!$C$11,1,1+$C$6))</f>
        <v>0</v>
      </c>
      <c r="BO468" s="237" t="n">
        <f aca="false">IF(BO466=0,0,IF(BO466&lt;=12*'🎚️ Escenario'!$C$11,1,1+$C$6))</f>
        <v>0</v>
      </c>
      <c r="BP468" s="237" t="n">
        <f aca="false">IF(BP466=0,0,IF(BP466&lt;=12*'🎚️ Escenario'!$C$11,1,1+$C$6))</f>
        <v>0</v>
      </c>
      <c r="BQ468" s="237" t="n">
        <f aca="false">IF(BQ466=0,0,IF(BQ466&lt;=12*'🎚️ Escenario'!$C$11,1,1+$C$6))</f>
        <v>0</v>
      </c>
      <c r="BR468" s="237" t="n">
        <f aca="false">IF(BR466=0,0,IF(BR466&lt;=12*'🎚️ Escenario'!$C$11,1,1+$C$6))</f>
        <v>0</v>
      </c>
      <c r="BS468" s="237" t="n">
        <f aca="false">IF(BS466=0,0,IF(BS466&lt;=12*'🎚️ Escenario'!$C$11,1,1+$C$6))</f>
        <v>0</v>
      </c>
      <c r="BT468" s="237" t="n">
        <f aca="false">IF(BT466=0,0,IF(BT466&lt;=12*'🎚️ Escenario'!$C$11,1,1+$C$6))</f>
        <v>0</v>
      </c>
      <c r="BU468" s="237" t="n">
        <f aca="false">IF(BU466=0,0,IF(BU466&lt;=12*'🎚️ Escenario'!$C$11,1,1+$C$6))</f>
        <v>0</v>
      </c>
      <c r="BV468" s="237" t="n">
        <f aca="false">IF(BV466=0,0,IF(BV466&lt;=12*'🎚️ Escenario'!$C$11,1,1+$C$6))</f>
        <v>0</v>
      </c>
      <c r="BW468" s="237" t="n">
        <f aca="false">IF(BW466=0,0,IF(BW466&lt;=12*'🎚️ Escenario'!$C$11,1,1+$C$6))</f>
        <v>0</v>
      </c>
      <c r="BX468" s="237" t="n">
        <f aca="false">IF(BX466=0,0,IF(BX466&lt;=12*'🎚️ Escenario'!$C$11,1,1+$C$6))</f>
        <v>0</v>
      </c>
      <c r="BY468" s="237" t="n">
        <f aca="false">IF(BY466=0,0,IF(BY466&lt;=12*'🎚️ Escenario'!$C$11,1,1+$C$6))</f>
        <v>0</v>
      </c>
      <c r="BZ468" s="237" t="n">
        <f aca="false">IF(BZ466=0,0,IF(BZ466&lt;=12*'🎚️ Escenario'!$C$11,1,1+$C$6))</f>
        <v>0</v>
      </c>
      <c r="CA468" s="237" t="n">
        <f aca="false">IF(CA466=0,0,IF(CA466&lt;=12*'🎚️ Escenario'!$C$11,1,1+$C$6))</f>
        <v>0</v>
      </c>
      <c r="CB468" s="237" t="n">
        <f aca="false">IF(CB466=0,0,IF(CB466&lt;=12*'🎚️ Escenario'!$C$11,1,1+$C$6))</f>
        <v>0</v>
      </c>
      <c r="CC468" s="237" t="n">
        <f aca="false">IF(CC466=0,0,IF(CC466&lt;=12*'🎚️ Escenario'!$C$11,1,1+$C$6))</f>
        <v>0</v>
      </c>
      <c r="CD468" s="237" t="n">
        <f aca="false">IF(CD466=0,0,IF(CD466&lt;=12*'🎚️ Escenario'!$C$11,1,1+$C$6))</f>
        <v>0</v>
      </c>
      <c r="CE468" s="237" t="n">
        <f aca="false">IF(CE466=0,0,IF(CE466&lt;=12*'🎚️ Escenario'!$C$11,1,1+$C$6))</f>
        <v>0</v>
      </c>
      <c r="CF468" s="237" t="n">
        <f aca="false">IF(CF466=0,0,IF(CF466&lt;=12*'🎚️ Escenario'!$C$11,1,1+$C$6))</f>
        <v>0</v>
      </c>
      <c r="CG468" s="237" t="n">
        <f aca="false">IF(CG466=0,0,IF(CG466&lt;=12*'🎚️ Escenario'!$C$11,1,1+$C$6))</f>
        <v>0</v>
      </c>
      <c r="CH468" s="237" t="n">
        <f aca="false">IF(CH466=0,0,IF(CH466&lt;=12*'🎚️ Escenario'!$C$11,1,1+$C$6))</f>
        <v>0</v>
      </c>
      <c r="CI468" s="237" t="n">
        <f aca="false">IF(CI466=0,0,IF(CI466&lt;=12*'🎚️ Escenario'!$C$11,1,1+$C$6))</f>
        <v>0</v>
      </c>
      <c r="CJ468" s="237" t="n">
        <f aca="false">IF(CJ466=0,0,IF(CJ466&lt;=12*'🎚️ Escenario'!$C$11,1,1+$C$6))</f>
        <v>0</v>
      </c>
      <c r="CK468" s="237" t="n">
        <f aca="false">IF(CK466=0,0,IF(CK466&lt;=12*'🎚️ Escenario'!$C$11,1,1+$C$6))</f>
        <v>0</v>
      </c>
      <c r="CL468" s="237" t="n">
        <f aca="false">IF(CL466=0,0,IF(CL466&lt;=12*'🎚️ Escenario'!$C$11,1,1+$C$6))</f>
        <v>0</v>
      </c>
      <c r="CM468" s="237" t="n">
        <f aca="false">IF(CM466=0,0,IF(CM466&lt;=12*'🎚️ Escenario'!$C$11,1,1+$C$6))</f>
        <v>0</v>
      </c>
      <c r="CN468" s="237" t="n">
        <f aca="false">IF(CN466=0,0,IF(CN466&lt;=12*'🎚️ Escenario'!$C$11,1,1+$C$6))</f>
        <v>0</v>
      </c>
      <c r="CO468" s="237" t="n">
        <f aca="false">IF(CO466=0,0,IF(CO466&lt;=12*'🎚️ Escenario'!$C$11,1,1+$C$6))</f>
        <v>0</v>
      </c>
      <c r="CP468" s="237" t="n">
        <f aca="false">IF(CP466=0,0,IF(CP466&lt;=12*'🎚️ Escenario'!$C$11,1,1+$C$6))</f>
        <v>0</v>
      </c>
      <c r="CQ468" s="237" t="n">
        <f aca="false">IF(CQ466=0,0,IF(CQ466&lt;=12*'🎚️ Escenario'!$C$11,1,1+$C$6))</f>
        <v>0</v>
      </c>
      <c r="CR468" s="237" t="n">
        <f aca="false">IF(CR466=0,0,IF(CR466&lt;=12*'🎚️ Escenario'!$C$11,1,1+$C$6))</f>
        <v>0</v>
      </c>
      <c r="CS468" s="237" t="n">
        <f aca="false">IF(CS466=0,0,IF(CS466&lt;=12*'🎚️ Escenario'!$C$11,1,1+$C$6))</f>
        <v>0</v>
      </c>
      <c r="CT468" s="237" t="n">
        <f aca="false">IF(CT466=0,0,IF(CT466&lt;=12*'🎚️ Escenario'!$C$11,1,1+$C$6))</f>
        <v>0</v>
      </c>
      <c r="CU468" s="237" t="n">
        <f aca="false">IF(CU466=0,0,IF(CU466&lt;=12*'🎚️ Escenario'!$C$11,1,1+$C$6))</f>
        <v>0</v>
      </c>
      <c r="CV468" s="237" t="n">
        <f aca="false">IF(CV466=0,0,IF(CV466&lt;=12*'🎚️ Escenario'!$C$11,1,1+$C$6))</f>
        <v>0</v>
      </c>
      <c r="CW468" s="237" t="n">
        <f aca="false">IF(CW466=0,0,IF(CW466&lt;=12*'🎚️ Escenario'!$C$11,1,1+$C$6))</f>
        <v>0</v>
      </c>
      <c r="CX468" s="237" t="n">
        <f aca="false">IF(CX466=0,0,IF(CX466&lt;=12*'🎚️ Escenario'!$C$11,1,1+$C$6))</f>
        <v>0</v>
      </c>
      <c r="CY468" s="237" t="n">
        <f aca="false">IF(CY466=0,0,IF(CY466&lt;=12*'🎚️ Escenario'!$C$11,1,1+$C$6))</f>
        <v>0</v>
      </c>
      <c r="CZ468" s="237" t="n">
        <f aca="false">IF(CZ466=0,0,IF(CZ466&lt;=12*'🎚️ Escenario'!$C$11,1,1+$C$6))</f>
        <v>0</v>
      </c>
      <c r="DA468" s="237" t="n">
        <f aca="false">IF(DA466=0,0,IF(DA466&lt;=12*'🎚️ Escenario'!$C$11,1,1+$C$6))</f>
        <v>0</v>
      </c>
      <c r="DB468" s="237" t="n">
        <f aca="false">IF(DB466=0,0,IF(DB466&lt;=12*'🎚️ Escenario'!$C$11,1,1+$C$6))</f>
        <v>0</v>
      </c>
      <c r="DC468" s="237" t="n">
        <f aca="false">IF(DC466=0,0,IF(DC466&lt;=12*'🎚️ Escenario'!$C$11,1,1+$C$6))</f>
        <v>0</v>
      </c>
      <c r="DD468" s="237" t="n">
        <f aca="false">IF(DD466=0,0,IF(DD466&lt;=12*'🎚️ Escenario'!$C$11,1,1+$C$6))</f>
        <v>0</v>
      </c>
      <c r="DE468" s="237" t="n">
        <f aca="false">IF(DE466=0,0,IF(DE466&lt;=12*'🎚️ Escenario'!$C$11,1,1+$C$6))</f>
        <v>0</v>
      </c>
      <c r="DF468" s="237" t="n">
        <f aca="false">IF(DF466=0,0,IF(DF466&lt;=12*'🎚️ Escenario'!$C$11,1,1+$C$6))</f>
        <v>0</v>
      </c>
      <c r="DG468" s="237" t="n">
        <f aca="false">IF(DG466=0,0,IF(DG466&lt;=12*'🎚️ Escenario'!$C$11,1,1+$C$6))</f>
        <v>0</v>
      </c>
      <c r="DH468" s="237" t="n">
        <f aca="false">IF(DH466=0,0,IF(DH466&lt;=12*'🎚️ Escenario'!$C$11,1,1+$C$6))</f>
        <v>0</v>
      </c>
      <c r="DI468" s="237" t="n">
        <f aca="false">IF(DI466=0,0,IF(DI466&lt;=12*'🎚️ Escenario'!$C$11,1,1+$C$6))</f>
        <v>0</v>
      </c>
      <c r="DJ468" s="237" t="n">
        <f aca="false">IF(DJ466=0,0,IF(DJ466&lt;=12*'🎚️ Escenario'!$C$11,1,1+$C$6))</f>
        <v>0</v>
      </c>
      <c r="DK468" s="237" t="n">
        <f aca="false">IF(DK466=0,0,IF(DK466&lt;=12*'🎚️ Escenario'!$C$11,1,1+$C$6))</f>
        <v>0</v>
      </c>
      <c r="DL468" s="237" t="n">
        <f aca="false">IF(DL466=0,0,IF(DL466&lt;=12*'🎚️ Escenario'!$C$11,1,1+$C$6))</f>
        <v>0</v>
      </c>
      <c r="DM468" s="237" t="n">
        <f aca="false">IF(DM466=0,0,IF(DM466&lt;=12*'🎚️ Escenario'!$C$11,1,1+$C$6))</f>
        <v>0</v>
      </c>
      <c r="DN468" s="237" t="n">
        <f aca="false">IF(DN466=0,0,IF(DN466&lt;=12*'🎚️ Escenario'!$C$11,1,1+$C$6))</f>
        <v>0</v>
      </c>
      <c r="DO468" s="237" t="n">
        <f aca="false">IF(DO466=0,0,IF(DO466&lt;=12*'🎚️ Escenario'!$C$11,1,1+$C$6))</f>
        <v>0</v>
      </c>
      <c r="DP468" s="237" t="n">
        <f aca="false">IF(DP466=0,0,IF(DP466&lt;=12*'🎚️ Escenario'!$C$11,1,1+$C$6))</f>
        <v>0</v>
      </c>
      <c r="DQ468" s="237" t="n">
        <f aca="false">IF(DQ466=0,0,IF(DQ466&lt;=12*'🎚️ Escenario'!$C$11,1,1+$C$6))</f>
        <v>0</v>
      </c>
      <c r="DR468" s="237" t="n">
        <f aca="false">IF(DR466=0,0,IF(DR466&lt;=12*'🎚️ Escenario'!$C$11,1,1+$C$6))</f>
        <v>0</v>
      </c>
      <c r="DS468" s="237" t="n">
        <f aca="false">IF(DS466=0,0,IF(DS466&lt;=12*'🎚️ Escenario'!$C$11,1,1+$C$6))</f>
        <v>0</v>
      </c>
      <c r="DT468" s="237" t="n">
        <f aca="false">IF(DT466=0,0,IF(DT466&lt;=12*'🎚️ Escenario'!$C$11,1,1+$C$6))</f>
        <v>0</v>
      </c>
      <c r="DU468" s="237" t="n">
        <f aca="false">IF(DU466=0,0,IF(DU466&lt;=12*'🎚️ Escenario'!$C$11,1,1+$C$6))</f>
        <v>0</v>
      </c>
      <c r="DV468" s="237" t="n">
        <f aca="false">IF(DV466=0,0,IF(DV466&lt;=12*'🎚️ Escenario'!$C$11,1,1+$C$6))</f>
        <v>0</v>
      </c>
      <c r="DW468" s="237" t="n">
        <f aca="false">IF(DW466=0,0,IF(DW466&lt;=12*'🎚️ Escenario'!$C$11,1,1+$C$6))</f>
        <v>0</v>
      </c>
      <c r="DX468" s="237" t="n">
        <f aca="false">IF(DX466=0,0,IF(DX466&lt;=12*'🎚️ Escenario'!$C$11,1,1+$C$6))</f>
        <v>0</v>
      </c>
      <c r="DY468" s="237" t="n">
        <f aca="false">IF(DY466=0,0,IF(DY466&lt;=12*'🎚️ Escenario'!$C$11,1,1+$C$6))</f>
        <v>0</v>
      </c>
      <c r="DZ468" s="237" t="n">
        <f aca="false">IF(DZ466=0,0,IF(DZ466&lt;=12*'🎚️ Escenario'!$C$11,1,1+$C$6))</f>
        <v>0</v>
      </c>
      <c r="EA468" s="237" t="n">
        <f aca="false">IF(EA466=0,0,IF(EA466&lt;=12*'🎚️ Escenario'!$C$11,1,1+$C$6))</f>
        <v>0</v>
      </c>
      <c r="EB468" s="237" t="n">
        <f aca="false">IF(EB466=0,0,IF(EB466&lt;=12*'🎚️ Escenario'!$C$11,1,1+$C$6))</f>
        <v>0</v>
      </c>
      <c r="EC468" s="237" t="n">
        <f aca="false">IF(EC466=0,0,IF(EC466&lt;=12*'🎚️ Escenario'!$C$11,1,1+$C$6))</f>
        <v>0</v>
      </c>
      <c r="ED468" s="237" t="n">
        <f aca="false">IF(ED466=0,0,IF(ED466&lt;=12*'🎚️ Escenario'!$C$11,1,1+$C$6))</f>
        <v>0</v>
      </c>
      <c r="EE468" s="237" t="n">
        <f aca="false">IF(EE466=0,0,IF(EE466&lt;=12*'🎚️ Escenario'!$C$11,1,1+$C$6))</f>
        <v>0</v>
      </c>
      <c r="EF468" s="237" t="n">
        <f aca="false">IF(EF466=0,0,IF(EF466&lt;=12*'🎚️ Escenario'!$C$11,1,1+$C$6))</f>
        <v>0</v>
      </c>
      <c r="EG468" s="237" t="n">
        <f aca="false">IF(EG466=0,0,IF(EG466&lt;=12*'🎚️ Escenario'!$C$11,1,1+$C$6))</f>
        <v>0</v>
      </c>
      <c r="EH468" s="237" t="n">
        <f aca="false">IF(EH466=0,0,IF(EH466&lt;=12*'🎚️ Escenario'!$C$11,1,1+$C$6))</f>
        <v>0</v>
      </c>
      <c r="EI468" s="237" t="n">
        <f aca="false">IF(EI466=0,0,IF(EI466&lt;=12*'🎚️ Escenario'!$C$11,1,1+$C$6))</f>
        <v>0</v>
      </c>
      <c r="EJ468" s="237" t="n">
        <f aca="false">IF(EJ466=0,0,IF(EJ466&lt;=12*'🎚️ Escenario'!$C$11,1,1+$C$6))</f>
        <v>0</v>
      </c>
      <c r="EK468" s="237" t="n">
        <f aca="false">IF(EK466=0,0,IF(EK466&lt;=12*'🎚️ Escenario'!$C$11,1,1+$C$6))</f>
        <v>0</v>
      </c>
      <c r="EL468" s="237" t="n">
        <f aca="false">IF(EL466=0,0,IF(EL466&lt;=12*'🎚️ Escenario'!$C$11,1,1+$C$6))</f>
        <v>0</v>
      </c>
      <c r="EM468" s="237" t="n">
        <f aca="false">IF(EM466=0,0,IF(EM466&lt;=12*'🎚️ Escenario'!$C$11,1,1+$C$6))</f>
        <v>0</v>
      </c>
      <c r="EN468" s="237" t="n">
        <f aca="false">IF(EN466=0,0,IF(EN466&lt;=12*'🎚️ Escenario'!$C$11,1,1+$C$6))</f>
        <v>0</v>
      </c>
      <c r="EO468" s="237" t="n">
        <f aca="false">IF(EO466=0,0,IF(EO466&lt;=12*'🎚️ Escenario'!$C$11,1,1+$C$6))</f>
        <v>1</v>
      </c>
      <c r="EP468" s="237" t="n">
        <f aca="false">IF(EP466=0,0,IF(EP466&lt;=12*'🎚️ Escenario'!$C$11,1,1+$C$6))</f>
        <v>1</v>
      </c>
      <c r="EQ468" s="237" t="n">
        <f aca="false">IF(EQ466=0,0,IF(EQ466&lt;=12*'🎚️ Escenario'!$C$11,1,1+$C$6))</f>
        <v>1</v>
      </c>
      <c r="ER468" s="237" t="n">
        <f aca="false">IF(ER466=0,0,IF(ER466&lt;=12*'🎚️ Escenario'!$C$11,1,1+$C$6))</f>
        <v>1</v>
      </c>
      <c r="ES468" s="9" t="n">
        <f aca="false">IF(ES466=0,0,IF(ES466&lt;=12*'🎚️ Escenario'!$C$11,1,1+$C$6))</f>
        <v>1</v>
      </c>
      <c r="ET468" s="9" t="n">
        <f aca="false">IF(ET466=0,0,IF(ET466&lt;=12*'🎚️ Escenario'!$C$11,1,1+$C$6))</f>
        <v>1</v>
      </c>
      <c r="EU468" s="9" t="n">
        <f aca="false">IF(EU466=0,0,IF(EU466&lt;=12*'🎚️ Escenario'!$C$11,1,1+$C$6))</f>
        <v>1</v>
      </c>
      <c r="EV468" s="9" t="n">
        <f aca="false">IF(EV466=0,0,IF(EV466&lt;=12*'🎚️ Escenario'!$C$11,1,1+$C$6))</f>
        <v>1</v>
      </c>
      <c r="EW468" s="9" t="n">
        <f aca="false">IF(EW466=0,0,IF(EW466&lt;=12*'🎚️ Escenario'!$C$11,1,1+$C$6))</f>
        <v>1</v>
      </c>
      <c r="EX468" s="9" t="n">
        <f aca="false">IF(EX466=0,0,IF(EX466&lt;=12*'🎚️ Escenario'!$C$11,1,1+$C$6))</f>
        <v>1</v>
      </c>
      <c r="EY468" s="9" t="n">
        <f aca="false">IF(EY466=0,0,IF(EY466&lt;=12*'🎚️ Escenario'!$C$11,1,1+$C$6))</f>
        <v>1</v>
      </c>
      <c r="EZ468" s="9" t="n">
        <f aca="false">IF(EZ466=0,0,IF(EZ466&lt;=12*'🎚️ Escenario'!$C$11,1,1+$C$6))</f>
        <v>1</v>
      </c>
      <c r="FA468" s="9" t="n">
        <f aca="false">IF(FA466=0,0,IF(FA466&lt;=12*'🎚️ Escenario'!$C$11,1,1+$C$6))</f>
        <v>1</v>
      </c>
      <c r="FB468" s="9" t="n">
        <f aca="false">IF(FB466=0,0,IF(FB466&lt;=12*'🎚️ Escenario'!$C$11,1,1+$C$6))</f>
        <v>1</v>
      </c>
      <c r="FC468" s="9" t="n">
        <f aca="false">IF(FC466=0,0,IF(FC466&lt;=12*'🎚️ Escenario'!$C$11,1,1+$C$6))</f>
        <v>1</v>
      </c>
      <c r="FD468" s="238" t="n">
        <f aca="false">IF(FD466=0,0,IF(FD466&lt;=12*'🎚️ Escenario'!$C$11,1,1+$C$6))</f>
        <v>1.2</v>
      </c>
      <c r="FE468" s="238" t="n">
        <f aca="false">IF(FE466=0,0,IF(FE466&lt;=12*'🎚️ Escenario'!$C$11,1,1+$C$6))</f>
        <v>1.2</v>
      </c>
      <c r="FF468" s="238" t="n">
        <f aca="false">IF(FF466=0,0,IF(FF466&lt;=12*'🎚️ Escenario'!$C$11,1,1+$C$6))</f>
        <v>1.2</v>
      </c>
      <c r="FG468" s="238" t="n">
        <f aca="false">IF(FG466=0,0,IF(FG466&lt;=12*'🎚️ Escenario'!$C$11,1,1+$C$6))</f>
        <v>1.2</v>
      </c>
      <c r="FH468" s="238" t="n">
        <f aca="false">IF(FH466=0,0,IF(FH466&lt;=12*'🎚️ Escenario'!$C$11,1,1+$C$6))</f>
        <v>1.2</v>
      </c>
      <c r="FI468" s="238" t="n">
        <f aca="false">IF(FI466=0,0,IF(FI466&lt;=12*'🎚️ Escenario'!$C$11,1,1+$C$6))</f>
        <v>1.2</v>
      </c>
      <c r="FJ468" s="238" t="n">
        <f aca="false">IF(FJ466=0,0,IF(FJ466&lt;=12*'🎚️ Escenario'!$C$11,1,1+$C$6))</f>
        <v>1.2</v>
      </c>
      <c r="FK468" s="238" t="n">
        <f aca="false">IF(FK466=0,0,IF(FK466&lt;=12*'🎚️ Escenario'!$C$11,1,1+$C$6))</f>
        <v>1.2</v>
      </c>
      <c r="FL468" s="238" t="n">
        <f aca="false">IF(FL466=0,0,IF(FL466&lt;=12*'🎚️ Escenario'!$C$11,1,1+$C$6))</f>
        <v>1.2</v>
      </c>
      <c r="FM468" s="238" t="n">
        <f aca="false">IF(FM466=0,0,IF(FM466&lt;=12*'🎚️ Escenario'!$C$11,1,1+$C$6))</f>
        <v>1.2</v>
      </c>
      <c r="FN468" s="238" t="n">
        <f aca="false">IF(FN466=0,0,IF(FN466&lt;=12*'🎚️ Escenario'!$C$11,1,1+$C$6))</f>
        <v>1.2</v>
      </c>
      <c r="FO468" s="238" t="n">
        <f aca="false">IF(FO466=0,0,IF(FO466&lt;=12*'🎚️ Escenario'!$C$11,1,1+$C$6))</f>
        <v>1.2</v>
      </c>
      <c r="FP468" s="238" t="n">
        <f aca="false">IF(FP466=0,0,IF(FP466&lt;=12*'🎚️ Escenario'!$C$11,1,1+$C$6))</f>
        <v>1.2</v>
      </c>
    </row>
    <row r="469" customFormat="false" ht="15" hidden="false" customHeight="false" outlineLevel="2" collapsed="false">
      <c r="B469" s="47" t="s">
        <v>876</v>
      </c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237" t="n">
        <f aca="false">AC467*$AC$465*AC468*AC$38*'⑫ Roll-out Plan'!$O$51</f>
        <v>0</v>
      </c>
      <c r="AD469" s="237" t="n">
        <f aca="false">AD467*$AC$465*AD468*AD$38*'⑫ Roll-out Plan'!$O$51</f>
        <v>0</v>
      </c>
      <c r="AE469" s="237" t="n">
        <f aca="false">AE467*$AC$465*AE468*AE$38*'⑫ Roll-out Plan'!$O$51</f>
        <v>0</v>
      </c>
      <c r="AF469" s="237" t="n">
        <f aca="false">AF467*$AC$465*AF468*AF$38*'⑫ Roll-out Plan'!$O$51</f>
        <v>0</v>
      </c>
      <c r="AG469" s="237" t="n">
        <f aca="false">AG467*$AC$465*AG468*AG$38*'⑫ Roll-out Plan'!$O$51</f>
        <v>0</v>
      </c>
      <c r="AH469" s="237" t="n">
        <f aca="false">AH467*$AC$465*AH468*AH$38*'⑫ Roll-out Plan'!$O$51</f>
        <v>0</v>
      </c>
      <c r="AI469" s="237" t="n">
        <f aca="false">AI467*$AC$465*AI468*AI$38*'⑫ Roll-out Plan'!$O$51</f>
        <v>0</v>
      </c>
      <c r="AJ469" s="237" t="n">
        <f aca="false">AJ467*$AC$465*AJ468*AJ$38*'⑫ Roll-out Plan'!$O$51</f>
        <v>0</v>
      </c>
      <c r="AK469" s="237" t="n">
        <f aca="false">AK467*$AC$465*AK468*AK$38*'⑫ Roll-out Plan'!$O$51</f>
        <v>0</v>
      </c>
      <c r="AL469" s="237" t="n">
        <f aca="false">AL467*$AC$465*AL468*AL$38*'⑫ Roll-out Plan'!$O$51</f>
        <v>0</v>
      </c>
      <c r="AM469" s="237" t="n">
        <f aca="false">AM467*$AC$465*AM468*AM$38*'⑫ Roll-out Plan'!$O$51</f>
        <v>0</v>
      </c>
      <c r="AN469" s="237" t="n">
        <f aca="false">AN467*$AC$465*AN468*AN$38*'⑫ Roll-out Plan'!$O$51</f>
        <v>0</v>
      </c>
      <c r="AO469" s="237" t="n">
        <f aca="false">AO467*$AC$465*AO468*AO$38*'⑫ Roll-out Plan'!$O$51</f>
        <v>0</v>
      </c>
      <c r="AP469" s="237" t="n">
        <f aca="false">AP467*$AC$465*AP468*AP$38*'⑫ Roll-out Plan'!$O$51</f>
        <v>0</v>
      </c>
      <c r="AQ469" s="237" t="n">
        <f aca="false">AQ467*$AC$465*AQ468*AQ$38*'⑫ Roll-out Plan'!$O$51</f>
        <v>0</v>
      </c>
      <c r="AR469" s="237" t="n">
        <f aca="false">AR467*$AC$465*AR468*AR$38*'⑫ Roll-out Plan'!$O$51</f>
        <v>0</v>
      </c>
      <c r="AS469" s="237" t="n">
        <f aca="false">AS467*$AC$465*AS468*AS$38*'⑫ Roll-out Plan'!$O$51</f>
        <v>0</v>
      </c>
      <c r="AT469" s="237" t="n">
        <f aca="false">AT467*$AC$465*AT468*AT$38*'⑫ Roll-out Plan'!$O$51</f>
        <v>0</v>
      </c>
      <c r="AU469" s="237" t="n">
        <f aca="false">AU467*$AC$465*AU468*AU$38*'⑫ Roll-out Plan'!$O$51</f>
        <v>0</v>
      </c>
      <c r="AV469" s="237" t="n">
        <f aca="false">AV467*$AC$465*AV468*AV$38*'⑫ Roll-out Plan'!$O$51</f>
        <v>0</v>
      </c>
      <c r="AW469" s="237" t="n">
        <f aca="false">AW467*$AC$465*AW468*AW$38*'⑫ Roll-out Plan'!$O$51</f>
        <v>0</v>
      </c>
      <c r="AX469" s="237" t="n">
        <f aca="false">AX467*$AC$465*AX468*AX$38*'⑫ Roll-out Plan'!$O$51</f>
        <v>0</v>
      </c>
      <c r="AY469" s="237" t="n">
        <f aca="false">AY467*$AC$465*AY468*AY$38*'⑫ Roll-out Plan'!$O$51</f>
        <v>0</v>
      </c>
      <c r="AZ469" s="237" t="n">
        <f aca="false">AZ467*$AC$465*AZ468*AZ$38*'⑫ Roll-out Plan'!$O$51</f>
        <v>0</v>
      </c>
      <c r="BA469" s="237" t="n">
        <f aca="false">BA467*$AC$465*BA468*BA$38*'⑫ Roll-out Plan'!$O$51</f>
        <v>0</v>
      </c>
      <c r="BB469" s="237" t="n">
        <f aca="false">BB467*$AC$465*BB468*BB$38*'⑫ Roll-out Plan'!$O$51</f>
        <v>0</v>
      </c>
      <c r="BC469" s="237" t="n">
        <f aca="false">BC467*$AC$465*BC468*BC$38*'⑫ Roll-out Plan'!$O$51</f>
        <v>0</v>
      </c>
      <c r="BD469" s="237" t="n">
        <f aca="false">BD467*$AC$465*BD468*BD$38*'⑫ Roll-out Plan'!$O$51</f>
        <v>0</v>
      </c>
      <c r="BE469" s="237" t="n">
        <f aca="false">BE467*$AC$465*BE468*BE$38*'⑫ Roll-out Plan'!$O$51</f>
        <v>0</v>
      </c>
      <c r="BF469" s="237" t="n">
        <f aca="false">BF467*$AC$465*BF468*BF$38*'⑫ Roll-out Plan'!$O$51</f>
        <v>0</v>
      </c>
      <c r="BG469" s="237" t="n">
        <f aca="false">BG467*$AC$465*BG468*BG$38*'⑫ Roll-out Plan'!$O$51</f>
        <v>0</v>
      </c>
      <c r="BH469" s="237" t="n">
        <f aca="false">BH467*$AC$465*BH468*BH$38*'⑫ Roll-out Plan'!$O$51</f>
        <v>0</v>
      </c>
      <c r="BI469" s="237" t="n">
        <f aca="false">BI467*$AC$465*BI468*BI$38*'⑫ Roll-out Plan'!$O$51</f>
        <v>0</v>
      </c>
      <c r="BJ469" s="237" t="n">
        <f aca="false">BJ467*$AC$465*BJ468*BJ$38*'⑫ Roll-out Plan'!$O$51</f>
        <v>0</v>
      </c>
      <c r="BK469" s="237" t="n">
        <f aca="false">BK467*$AC$465*BK468*BK$38*'⑫ Roll-out Plan'!$O$51</f>
        <v>0</v>
      </c>
      <c r="BL469" s="237" t="n">
        <f aca="false">BL467*$AC$465*BL468*BL$38*'⑫ Roll-out Plan'!$O$51</f>
        <v>0</v>
      </c>
      <c r="BM469" s="237" t="n">
        <f aca="false">BM467*$AC$465*BM468*BM$38*'⑫ Roll-out Plan'!$O$51</f>
        <v>0</v>
      </c>
      <c r="BN469" s="237" t="n">
        <f aca="false">BN467*$AC$465*BN468*BN$38*'⑫ Roll-out Plan'!$O$51</f>
        <v>0</v>
      </c>
      <c r="BO469" s="237" t="n">
        <f aca="false">BO467*$AC$465*BO468*BO$38*'⑫ Roll-out Plan'!$O$51</f>
        <v>0</v>
      </c>
      <c r="BP469" s="237" t="n">
        <f aca="false">BP467*$AC$465*BP468*BP$38*'⑫ Roll-out Plan'!$O$51</f>
        <v>0</v>
      </c>
      <c r="BQ469" s="237" t="n">
        <f aca="false">BQ467*$AC$465*BQ468*BQ$38*'⑫ Roll-out Plan'!$O$51</f>
        <v>0</v>
      </c>
      <c r="BR469" s="237" t="n">
        <f aca="false">BR467*$AC$465*BR468*BR$38*'⑫ Roll-out Plan'!$O$51</f>
        <v>0</v>
      </c>
      <c r="BS469" s="237" t="n">
        <f aca="false">BS467*$AC$465*BS468*BS$38*'⑫ Roll-out Plan'!$O$51</f>
        <v>0</v>
      </c>
      <c r="BT469" s="237" t="n">
        <f aca="false">BT467*$AC$465*BT468*BT$38*'⑫ Roll-out Plan'!$O$51</f>
        <v>0</v>
      </c>
      <c r="BU469" s="237" t="n">
        <f aca="false">BU467*$AC$465*BU468*BU$38*'⑫ Roll-out Plan'!$O$51</f>
        <v>0</v>
      </c>
      <c r="BV469" s="237" t="n">
        <f aca="false">BV467*$AC$465*BV468*BV$38*'⑫ Roll-out Plan'!$O$51</f>
        <v>0</v>
      </c>
      <c r="BW469" s="237" t="n">
        <f aca="false">BW467*$AC$465*BW468*BW$38*'⑫ Roll-out Plan'!$O$51</f>
        <v>0</v>
      </c>
      <c r="BX469" s="237" t="n">
        <f aca="false">BX467*$AC$465*BX468*BX$38*'⑫ Roll-out Plan'!$O$51</f>
        <v>0</v>
      </c>
      <c r="BY469" s="237" t="n">
        <f aca="false">BY467*$AC$465*BY468*BY$38*'⑫ Roll-out Plan'!$O$51</f>
        <v>0</v>
      </c>
      <c r="BZ469" s="237" t="n">
        <f aca="false">BZ467*$AC$465*BZ468*BZ$38*'⑫ Roll-out Plan'!$O$51</f>
        <v>0</v>
      </c>
      <c r="CA469" s="237" t="n">
        <f aca="false">CA467*$AC$465*CA468*CA$38*'⑫ Roll-out Plan'!$O$51</f>
        <v>0</v>
      </c>
      <c r="CB469" s="237" t="n">
        <f aca="false">CB467*$AC$465*CB468*CB$38*'⑫ Roll-out Plan'!$O$51</f>
        <v>0</v>
      </c>
      <c r="CC469" s="237" t="n">
        <f aca="false">CC467*$AC$465*CC468*CC$38*'⑫ Roll-out Plan'!$O$51</f>
        <v>0</v>
      </c>
      <c r="CD469" s="237" t="n">
        <f aca="false">CD467*$AC$465*CD468*CD$38*'⑫ Roll-out Plan'!$O$51</f>
        <v>0</v>
      </c>
      <c r="CE469" s="237" t="n">
        <f aca="false">CE467*$AC$465*CE468*CE$38*'⑫ Roll-out Plan'!$O$51</f>
        <v>0</v>
      </c>
      <c r="CF469" s="237" t="n">
        <f aca="false">CF467*$AC$465*CF468*CF$38*'⑫ Roll-out Plan'!$O$51</f>
        <v>0</v>
      </c>
      <c r="CG469" s="237" t="n">
        <f aca="false">CG467*$AC$465*CG468*CG$38*'⑫ Roll-out Plan'!$O$51</f>
        <v>0</v>
      </c>
      <c r="CH469" s="237" t="n">
        <f aca="false">CH467*$AC$465*CH468*CH$38*'⑫ Roll-out Plan'!$O$51</f>
        <v>0</v>
      </c>
      <c r="CI469" s="237" t="n">
        <f aca="false">CI467*$AC$465*CI468*CI$38*'⑫ Roll-out Plan'!$O$51</f>
        <v>0</v>
      </c>
      <c r="CJ469" s="237" t="n">
        <f aca="false">CJ467*$AC$465*CJ468*CJ$38*'⑫ Roll-out Plan'!$O$51</f>
        <v>0</v>
      </c>
      <c r="CK469" s="237" t="n">
        <f aca="false">CK467*$AC$465*CK468*CK$38*'⑫ Roll-out Plan'!$O$51</f>
        <v>0</v>
      </c>
      <c r="CL469" s="237" t="n">
        <f aca="false">CL467*$AC$465*CL468*CL$38*'⑫ Roll-out Plan'!$O$51</f>
        <v>0</v>
      </c>
      <c r="CM469" s="237" t="n">
        <f aca="false">CM467*$AC$465*CM468*CM$38*'⑫ Roll-out Plan'!$O$51</f>
        <v>0</v>
      </c>
      <c r="CN469" s="237" t="n">
        <f aca="false">CN467*$AC$465*CN468*CN$38*'⑫ Roll-out Plan'!$O$51</f>
        <v>0</v>
      </c>
      <c r="CO469" s="237" t="n">
        <f aca="false">CO467*$AC$465*CO468*CO$38*'⑫ Roll-out Plan'!$O$51</f>
        <v>0</v>
      </c>
      <c r="CP469" s="237" t="n">
        <f aca="false">CP467*$AC$465*CP468*CP$38*'⑫ Roll-out Plan'!$O$51</f>
        <v>0</v>
      </c>
      <c r="CQ469" s="237" t="n">
        <f aca="false">CQ467*$AC$465*CQ468*CQ$38*'⑫ Roll-out Plan'!$O$51</f>
        <v>0</v>
      </c>
      <c r="CR469" s="237" t="n">
        <f aca="false">CR467*$AC$465*CR468*CR$38*'⑫ Roll-out Plan'!$O$51</f>
        <v>0</v>
      </c>
      <c r="CS469" s="237" t="n">
        <f aca="false">CS467*$AC$465*CS468*CS$38*'⑫ Roll-out Plan'!$O$51</f>
        <v>0</v>
      </c>
      <c r="CT469" s="237" t="n">
        <f aca="false">CT467*$AC$465*CT468*CT$38*'⑫ Roll-out Plan'!$O$51</f>
        <v>0</v>
      </c>
      <c r="CU469" s="237" t="n">
        <f aca="false">CU467*$AC$465*CU468*CU$38*'⑫ Roll-out Plan'!$O$51</f>
        <v>0</v>
      </c>
      <c r="CV469" s="237" t="n">
        <f aca="false">CV467*$AC$465*CV468*CV$38*'⑫ Roll-out Plan'!$O$51</f>
        <v>0</v>
      </c>
      <c r="CW469" s="237" t="n">
        <f aca="false">CW467*$AC$465*CW468*CW$38*'⑫ Roll-out Plan'!$O$51</f>
        <v>0</v>
      </c>
      <c r="CX469" s="237" t="n">
        <f aca="false">CX467*$AC$465*CX468*CX$38*'⑫ Roll-out Plan'!$O$51</f>
        <v>0</v>
      </c>
      <c r="CY469" s="237" t="n">
        <f aca="false">CY467*$AC$465*CY468*CY$38*'⑫ Roll-out Plan'!$O$51</f>
        <v>0</v>
      </c>
      <c r="CZ469" s="237" t="n">
        <f aca="false">CZ467*$AC$465*CZ468*CZ$38*'⑫ Roll-out Plan'!$O$51</f>
        <v>0</v>
      </c>
      <c r="DA469" s="237" t="n">
        <f aca="false">DA467*$AC$465*DA468*DA$38*'⑫ Roll-out Plan'!$O$51</f>
        <v>0</v>
      </c>
      <c r="DB469" s="237" t="n">
        <f aca="false">DB467*$AC$465*DB468*DB$38*'⑫ Roll-out Plan'!$O$51</f>
        <v>0</v>
      </c>
      <c r="DC469" s="237" t="n">
        <f aca="false">DC467*$AC$465*DC468*DC$38*'⑫ Roll-out Plan'!$O$51</f>
        <v>0</v>
      </c>
      <c r="DD469" s="237" t="n">
        <f aca="false">DD467*$AC$465*DD468*DD$38*'⑫ Roll-out Plan'!$O$51</f>
        <v>0</v>
      </c>
      <c r="DE469" s="237" t="n">
        <f aca="false">DE467*$AC$465*DE468*DE$38*'⑫ Roll-out Plan'!$O$51</f>
        <v>0</v>
      </c>
      <c r="DF469" s="237" t="n">
        <f aca="false">DF467*$AC$465*DF468*DF$38*'⑫ Roll-out Plan'!$O$51</f>
        <v>0</v>
      </c>
      <c r="DG469" s="237" t="n">
        <f aca="false">DG467*$AC$465*DG468*DG$38*'⑫ Roll-out Plan'!$O$51</f>
        <v>0</v>
      </c>
      <c r="DH469" s="237" t="n">
        <f aca="false">DH467*$AC$465*DH468*DH$38*'⑫ Roll-out Plan'!$O$51</f>
        <v>0</v>
      </c>
      <c r="DI469" s="237" t="n">
        <f aca="false">DI467*$AC$465*DI468*DI$38*'⑫ Roll-out Plan'!$O$51</f>
        <v>0</v>
      </c>
      <c r="DJ469" s="237" t="n">
        <f aca="false">DJ467*$AC$465*DJ468*DJ$38*'⑫ Roll-out Plan'!$O$51</f>
        <v>0</v>
      </c>
      <c r="DK469" s="237" t="n">
        <f aca="false">DK467*$AC$465*DK468*DK$38*'⑫ Roll-out Plan'!$O$51</f>
        <v>0</v>
      </c>
      <c r="DL469" s="237" t="n">
        <f aca="false">DL467*$AC$465*DL468*DL$38*'⑫ Roll-out Plan'!$O$51</f>
        <v>0</v>
      </c>
      <c r="DM469" s="237" t="n">
        <f aca="false">DM467*$AC$465*DM468*DM$38*'⑫ Roll-out Plan'!$O$51</f>
        <v>0</v>
      </c>
      <c r="DN469" s="237" t="n">
        <f aca="false">DN467*$AC$465*DN468*DN$38*'⑫ Roll-out Plan'!$O$51</f>
        <v>0</v>
      </c>
      <c r="DO469" s="237" t="n">
        <f aca="false">DO467*$AC$465*DO468*DO$38*'⑫ Roll-out Plan'!$O$51</f>
        <v>0</v>
      </c>
      <c r="DP469" s="237" t="n">
        <f aca="false">DP467*$AC$465*DP468*DP$38*'⑫ Roll-out Plan'!$O$51</f>
        <v>0</v>
      </c>
      <c r="DQ469" s="237" t="n">
        <f aca="false">DQ467*$AC$465*DQ468*DQ$38*'⑫ Roll-out Plan'!$O$51</f>
        <v>0</v>
      </c>
      <c r="DR469" s="237" t="n">
        <f aca="false">DR467*$AC$465*DR468*DR$38*'⑫ Roll-out Plan'!$O$51</f>
        <v>0</v>
      </c>
      <c r="DS469" s="237" t="n">
        <f aca="false">DS467*$AC$465*DS468*DS$38*'⑫ Roll-out Plan'!$O$51</f>
        <v>0</v>
      </c>
      <c r="DT469" s="237" t="n">
        <f aca="false">DT467*$AC$465*DT468*DT$38*'⑫ Roll-out Plan'!$O$51</f>
        <v>0</v>
      </c>
      <c r="DU469" s="237" t="n">
        <f aca="false">DU467*$AC$465*DU468*DU$38*'⑫ Roll-out Plan'!$O$51</f>
        <v>0</v>
      </c>
      <c r="DV469" s="237" t="n">
        <f aca="false">DV467*$AC$465*DV468*DV$38*'⑫ Roll-out Plan'!$O$51</f>
        <v>0</v>
      </c>
      <c r="DW469" s="237" t="n">
        <f aca="false">DW467*$AC$465*DW468*DW$38*'⑫ Roll-out Plan'!$O$51</f>
        <v>0</v>
      </c>
      <c r="DX469" s="237" t="n">
        <f aca="false">DX467*$AC$465*DX468*DX$38*'⑫ Roll-out Plan'!$O$51</f>
        <v>0</v>
      </c>
      <c r="DY469" s="237" t="n">
        <f aca="false">DY467*$AC$465*DY468*DY$38*'⑫ Roll-out Plan'!$O$51</f>
        <v>0</v>
      </c>
      <c r="DZ469" s="237" t="n">
        <f aca="false">DZ467*$AC$465*DZ468*DZ$38*'⑫ Roll-out Plan'!$O$51</f>
        <v>0</v>
      </c>
      <c r="EA469" s="237" t="n">
        <f aca="false">EA467*$AC$465*EA468*EA$38*'⑫ Roll-out Plan'!$O$51</f>
        <v>0</v>
      </c>
      <c r="EB469" s="237" t="n">
        <f aca="false">EB467*$AC$465*EB468*EB$38*'⑫ Roll-out Plan'!$O$51</f>
        <v>0</v>
      </c>
      <c r="EC469" s="237" t="n">
        <f aca="false">EC467*$AC$465*EC468*EC$38*'⑫ Roll-out Plan'!$O$51</f>
        <v>0</v>
      </c>
      <c r="ED469" s="237" t="n">
        <f aca="false">ED467*$AC$465*ED468*ED$38*'⑫ Roll-out Plan'!$O$51</f>
        <v>0</v>
      </c>
      <c r="EE469" s="237" t="n">
        <f aca="false">EE467*$AC$465*EE468*EE$38*'⑫ Roll-out Plan'!$O$51</f>
        <v>0</v>
      </c>
      <c r="EF469" s="237" t="n">
        <f aca="false">EF467*$AC$465*EF468*EF$38*'⑫ Roll-out Plan'!$O$51</f>
        <v>0</v>
      </c>
      <c r="EG469" s="237" t="n">
        <f aca="false">EG467*$AC$465*EG468*EG$38*'⑫ Roll-out Plan'!$O$51</f>
        <v>0</v>
      </c>
      <c r="EH469" s="237" t="n">
        <f aca="false">EH467*$AC$465*EH468*EH$38*'⑫ Roll-out Plan'!$O$51</f>
        <v>0</v>
      </c>
      <c r="EI469" s="237" t="n">
        <f aca="false">EI467*$AC$465*EI468*EI$38*'⑫ Roll-out Plan'!$O$51</f>
        <v>0</v>
      </c>
      <c r="EJ469" s="237" t="n">
        <f aca="false">EJ467*$AC$465*EJ468*EJ$38*'⑫ Roll-out Plan'!$O$51</f>
        <v>0</v>
      </c>
      <c r="EK469" s="237" t="n">
        <f aca="false">EK467*$AC$465*EK468*EK$38*'⑫ Roll-out Plan'!$O$51</f>
        <v>0</v>
      </c>
      <c r="EL469" s="237" t="n">
        <f aca="false">EL467*$AC$465*EL468*EL$38*'⑫ Roll-out Plan'!$O$51</f>
        <v>0</v>
      </c>
      <c r="EM469" s="237" t="n">
        <f aca="false">EM467*$AC$465*EM468*EM$38*'⑫ Roll-out Plan'!$O$51</f>
        <v>0</v>
      </c>
      <c r="EN469" s="237" t="n">
        <f aca="false">EN467*$AC$465*EN468*EN$38*'⑫ Roll-out Plan'!$O$51</f>
        <v>0</v>
      </c>
      <c r="EO469" s="237" t="n">
        <f aca="false">EO467*$AC$465*EO468*EO$38*'⑫ Roll-out Plan'!$O$51</f>
        <v>25.52</v>
      </c>
      <c r="EP469" s="237" t="n">
        <f aca="false">EP467*$AC$465*EP468*EP$38*'⑫ Roll-out Plan'!$O$51</f>
        <v>23.232</v>
      </c>
      <c r="EQ469" s="237" t="n">
        <f aca="false">EQ467*$AC$465*EQ468*EQ$38*'⑫ Roll-out Plan'!$O$51</f>
        <v>19.008</v>
      </c>
      <c r="ER469" s="237" t="n">
        <f aca="false">ER467*$AC$465*ER468*ER$38*'⑫ Roll-out Plan'!$O$51</f>
        <v>30.294</v>
      </c>
      <c r="ES469" s="9" t="n">
        <f aca="false">ES467*$AC$465*ES468*ES$38*'⑫ Roll-out Plan'!$O$51</f>
        <v>32.076</v>
      </c>
      <c r="ET469" s="9" t="n">
        <f aca="false">ET467*$AC$465*ET468*ET$38*'⑫ Roll-out Plan'!$O$51</f>
        <v>27.962</v>
      </c>
      <c r="EU469" s="9" t="n">
        <f aca="false">EU467*$AC$465*EU468*EU$38*'⑫ Roll-out Plan'!$O$51</f>
        <v>44.66</v>
      </c>
      <c r="EV469" s="9" t="n">
        <f aca="false">EV467*$AC$465*EV468*EV$38*'⑫ Roll-out Plan'!$O$51</f>
        <v>47.19</v>
      </c>
      <c r="EW469" s="9" t="n">
        <f aca="false">EW467*$AC$465*EW468*EW$38*'⑫ Roll-out Plan'!$O$51</f>
        <v>44.528</v>
      </c>
      <c r="EX469" s="9" t="n">
        <f aca="false">EX467*$AC$465*EX468*EX$38*'⑫ Roll-out Plan'!$O$51</f>
        <v>38.72</v>
      </c>
      <c r="EY469" s="9" t="n">
        <f aca="false">EY467*$AC$465*EY468*EY$38*'⑫ Roll-out Plan'!$O$51</f>
        <v>44.352</v>
      </c>
      <c r="EZ469" s="9" t="n">
        <f aca="false">EZ467*$AC$465*EZ468*EZ$38*'⑫ Roll-out Plan'!$O$51</f>
        <v>81.224</v>
      </c>
      <c r="FA469" s="9" t="n">
        <f aca="false">FA467*$AC$465*FA468*FA$38*'⑫ Roll-out Plan'!$O$51</f>
        <v>71.456</v>
      </c>
      <c r="FB469" s="9" t="n">
        <f aca="false">FB467*$AC$465*FB468*FB$38*'⑫ Roll-out Plan'!$O$51</f>
        <v>63.36</v>
      </c>
      <c r="FC469" s="9" t="n">
        <f aca="false">FC467*$AC$465*FC468*FC$38*'⑫ Roll-out Plan'!$O$51</f>
        <v>47.52</v>
      </c>
      <c r="FD469" s="9" t="n">
        <f aca="false">FD467*$AC$465*FD468*FD$38*'⑫ Roll-out Plan'!$O$51</f>
        <v>84.8232</v>
      </c>
      <c r="FE469" s="9" t="n">
        <f aca="false">FE467*$AC$465*FE468*FE$38*'⑫ Roll-out Plan'!$O$51</f>
        <v>94.0896</v>
      </c>
      <c r="FF469" s="9" t="n">
        <f aca="false">FF467*$AC$465*FF468*FF$38*'⑫ Roll-out Plan'!$O$51</f>
        <v>74.6856</v>
      </c>
      <c r="FG469" s="9" t="n">
        <f aca="false">FG467*$AC$465*FG468*FG$38*'⑫ Roll-out Plan'!$O$51</f>
        <v>108.7152</v>
      </c>
      <c r="FH469" s="9" t="n">
        <f aca="false">FH467*$AC$465*FH468*FH$38*'⑫ Roll-out Plan'!$O$51</f>
        <v>103.092</v>
      </c>
      <c r="FI469" s="9" t="n">
        <f aca="false">FI467*$AC$465*FI468*FI$38*'⑫ Roll-out Plan'!$O$51</f>
        <v>88.6512</v>
      </c>
      <c r="FJ469" s="9" t="n">
        <f aca="false">FJ467*$AC$465*FJ468*FJ$38*'⑫ Roll-out Plan'!$O$51</f>
        <v>79.2</v>
      </c>
      <c r="FK469" s="9" t="n">
        <f aca="false">FK467*$AC$465*FK468*FK$38*'⑫ Roll-out Plan'!$O$51</f>
        <v>85.3776</v>
      </c>
      <c r="FL469" s="9" t="n">
        <f aca="false">FL467*$AC$465*FL468*FL$38*'⑫ Roll-out Plan'!$O$51</f>
        <v>148.0776</v>
      </c>
      <c r="FM469" s="9" t="n">
        <f aca="false">FM467*$AC$465*FM468*FM$38*'⑫ Roll-out Plan'!$O$51</f>
        <v>120.9648</v>
      </c>
      <c r="FN469" s="9" t="n">
        <f aca="false">FN467*$AC$465*FN468*FN$38*'⑫ Roll-out Plan'!$O$51</f>
        <v>101.376</v>
      </c>
      <c r="FO469" s="9" t="n">
        <f aca="false">FO467*$AC$465*FO468*FO$38*'⑫ Roll-out Plan'!$O$51</f>
        <v>77.9328</v>
      </c>
      <c r="FP469" s="9" t="n">
        <f aca="false">FP467*$AC$465*FP468*FP$38*'⑫ Roll-out Plan'!$O$51</f>
        <v>113.0976</v>
      </c>
    </row>
    <row r="470" customFormat="false" ht="15" hidden="false" customHeight="false" outlineLevel="2" collapsed="false">
      <c r="B470" s="47" t="s">
        <v>877</v>
      </c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237" t="n">
        <f aca="true">IFERROR(SUMPRODUCT(OFFSET($BJ$31,0,1-MIN(60,COLUMN()-29),1,MIN(60,COLUMN()-29)),OFFSET(AC469,0,-MIN(60,COLUMN()-29),1,MIN(60,COLUMN()-29))),0)</f>
        <v>0</v>
      </c>
      <c r="AD470" s="237" t="n">
        <f aca="true">IFERROR(SUMPRODUCT(OFFSET($BJ$31,0,1-MIN(60,COLUMN()-29),1,MIN(60,COLUMN()-29)),OFFSET(AD469,0,-MIN(60,COLUMN()-29),1,MIN(60,COLUMN()-29))),0)</f>
        <v>0</v>
      </c>
      <c r="AE470" s="237" t="n">
        <f aca="true">IFERROR(SUMPRODUCT(OFFSET($BJ$31,0,1-MIN(60,COLUMN()-29),1,MIN(60,COLUMN()-29)),OFFSET(AE469,0,-MIN(60,COLUMN()-29),1,MIN(60,COLUMN()-29))),0)</f>
        <v>0</v>
      </c>
      <c r="AF470" s="237" t="n">
        <f aca="true">IFERROR(SUMPRODUCT(OFFSET($BJ$31,0,1-MIN(60,COLUMN()-29),1,MIN(60,COLUMN()-29)),OFFSET(AF469,0,-MIN(60,COLUMN()-29),1,MIN(60,COLUMN()-29))),0)</f>
        <v>0</v>
      </c>
      <c r="AG470" s="237" t="n">
        <f aca="true">IFERROR(SUMPRODUCT(OFFSET($BJ$31,0,1-MIN(60,COLUMN()-29),1,MIN(60,COLUMN()-29)),OFFSET(AG469,0,-MIN(60,COLUMN()-29),1,MIN(60,COLUMN()-29))),0)</f>
        <v>0</v>
      </c>
      <c r="AH470" s="237" t="n">
        <f aca="true">IFERROR(SUMPRODUCT(OFFSET($BJ$31,0,1-MIN(60,COLUMN()-29),1,MIN(60,COLUMN()-29)),OFFSET(AH469,0,-MIN(60,COLUMN()-29),1,MIN(60,COLUMN()-29))),0)</f>
        <v>0</v>
      </c>
      <c r="AI470" s="237" t="n">
        <f aca="true">IFERROR(SUMPRODUCT(OFFSET($BJ$31,0,1-MIN(60,COLUMN()-29),1,MIN(60,COLUMN()-29)),OFFSET(AI469,0,-MIN(60,COLUMN()-29),1,MIN(60,COLUMN()-29))),0)</f>
        <v>0</v>
      </c>
      <c r="AJ470" s="237" t="n">
        <f aca="true">IFERROR(SUMPRODUCT(OFFSET($BJ$31,0,1-MIN(60,COLUMN()-29),1,MIN(60,COLUMN()-29)),OFFSET(AJ469,0,-MIN(60,COLUMN()-29),1,MIN(60,COLUMN()-29))),0)</f>
        <v>0</v>
      </c>
      <c r="AK470" s="237" t="n">
        <f aca="true">IFERROR(SUMPRODUCT(OFFSET($BJ$31,0,1-MIN(60,COLUMN()-29),1,MIN(60,COLUMN()-29)),OFFSET(AK469,0,-MIN(60,COLUMN()-29),1,MIN(60,COLUMN()-29))),0)</f>
        <v>0</v>
      </c>
      <c r="AL470" s="237" t="n">
        <f aca="true">IFERROR(SUMPRODUCT(OFFSET($BJ$31,0,1-MIN(60,COLUMN()-29),1,MIN(60,COLUMN()-29)),OFFSET(AL469,0,-MIN(60,COLUMN()-29),1,MIN(60,COLUMN()-29))),0)</f>
        <v>0</v>
      </c>
      <c r="AM470" s="237" t="n">
        <f aca="true">IFERROR(SUMPRODUCT(OFFSET($BJ$31,0,1-MIN(60,COLUMN()-29),1,MIN(60,COLUMN()-29)),OFFSET(AM469,0,-MIN(60,COLUMN()-29),1,MIN(60,COLUMN()-29))),0)</f>
        <v>0</v>
      </c>
      <c r="AN470" s="237" t="n">
        <f aca="true">IFERROR(SUMPRODUCT(OFFSET($BJ$31,0,1-MIN(60,COLUMN()-29),1,MIN(60,COLUMN()-29)),OFFSET(AN469,0,-MIN(60,COLUMN()-29),1,MIN(60,COLUMN()-29))),0)</f>
        <v>0</v>
      </c>
      <c r="AO470" s="237" t="n">
        <f aca="true">IFERROR(SUMPRODUCT(OFFSET($BJ$31,0,1-MIN(60,COLUMN()-29),1,MIN(60,COLUMN()-29)),OFFSET(AO469,0,-MIN(60,COLUMN()-29),1,MIN(60,COLUMN()-29))),0)</f>
        <v>0</v>
      </c>
      <c r="AP470" s="237" t="n">
        <f aca="true">IFERROR(SUMPRODUCT(OFFSET($BJ$31,0,1-MIN(60,COLUMN()-29),1,MIN(60,COLUMN()-29)),OFFSET(AP469,0,-MIN(60,COLUMN()-29),1,MIN(60,COLUMN()-29))),0)</f>
        <v>0</v>
      </c>
      <c r="AQ470" s="237" t="n">
        <f aca="true">IFERROR(SUMPRODUCT(OFFSET($BJ$31,0,1-MIN(60,COLUMN()-29),1,MIN(60,COLUMN()-29)),OFFSET(AQ469,0,-MIN(60,COLUMN()-29),1,MIN(60,COLUMN()-29))),0)</f>
        <v>0</v>
      </c>
      <c r="AR470" s="237" t="n">
        <f aca="true">IFERROR(SUMPRODUCT(OFFSET($BJ$31,0,1-MIN(60,COLUMN()-29),1,MIN(60,COLUMN()-29)),OFFSET(AR469,0,-MIN(60,COLUMN()-29),1,MIN(60,COLUMN()-29))),0)</f>
        <v>0</v>
      </c>
      <c r="AS470" s="237" t="n">
        <f aca="true">IFERROR(SUMPRODUCT(OFFSET($BJ$31,0,1-MIN(60,COLUMN()-29),1,MIN(60,COLUMN()-29)),OFFSET(AS469,0,-MIN(60,COLUMN()-29),1,MIN(60,COLUMN()-29))),0)</f>
        <v>0</v>
      </c>
      <c r="AT470" s="237" t="n">
        <f aca="true">IFERROR(SUMPRODUCT(OFFSET($BJ$31,0,1-MIN(60,COLUMN()-29),1,MIN(60,COLUMN()-29)),OFFSET(AT469,0,-MIN(60,COLUMN()-29),1,MIN(60,COLUMN()-29))),0)</f>
        <v>0</v>
      </c>
      <c r="AU470" s="237" t="n">
        <f aca="true">IFERROR(SUMPRODUCT(OFFSET($BJ$31,0,1-MIN(60,COLUMN()-29),1,MIN(60,COLUMN()-29)),OFFSET(AU469,0,-MIN(60,COLUMN()-29),1,MIN(60,COLUMN()-29))),0)</f>
        <v>0</v>
      </c>
      <c r="AV470" s="237" t="n">
        <f aca="true">IFERROR(SUMPRODUCT(OFFSET($BJ$31,0,1-MIN(60,COLUMN()-29),1,MIN(60,COLUMN()-29)),OFFSET(AV469,0,-MIN(60,COLUMN()-29),1,MIN(60,COLUMN()-29))),0)</f>
        <v>0</v>
      </c>
      <c r="AW470" s="237" t="n">
        <f aca="true">IFERROR(SUMPRODUCT(OFFSET($BJ$31,0,1-MIN(60,COLUMN()-29),1,MIN(60,COLUMN()-29)),OFFSET(AW469,0,-MIN(60,COLUMN()-29),1,MIN(60,COLUMN()-29))),0)</f>
        <v>0</v>
      </c>
      <c r="AX470" s="237" t="n">
        <f aca="true">IFERROR(SUMPRODUCT(OFFSET($BJ$31,0,1-MIN(60,COLUMN()-29),1,MIN(60,COLUMN()-29)),OFFSET(AX469,0,-MIN(60,COLUMN()-29),1,MIN(60,COLUMN()-29))),0)</f>
        <v>0</v>
      </c>
      <c r="AY470" s="237" t="n">
        <f aca="true">IFERROR(SUMPRODUCT(OFFSET($BJ$31,0,1-MIN(60,COLUMN()-29),1,MIN(60,COLUMN()-29)),OFFSET(AY469,0,-MIN(60,COLUMN()-29),1,MIN(60,COLUMN()-29))),0)</f>
        <v>0</v>
      </c>
      <c r="AZ470" s="237" t="n">
        <f aca="true">IFERROR(SUMPRODUCT(OFFSET($BJ$31,0,1-MIN(60,COLUMN()-29),1,MIN(60,COLUMN()-29)),OFFSET(AZ469,0,-MIN(60,COLUMN()-29),1,MIN(60,COLUMN()-29))),0)</f>
        <v>0</v>
      </c>
      <c r="BA470" s="237" t="n">
        <f aca="true">IFERROR(SUMPRODUCT(OFFSET($BJ$31,0,1-MIN(60,COLUMN()-29),1,MIN(60,COLUMN()-29)),OFFSET(BA469,0,-MIN(60,COLUMN()-29),1,MIN(60,COLUMN()-29))),0)</f>
        <v>0</v>
      </c>
      <c r="BB470" s="237" t="n">
        <f aca="true">IFERROR(SUMPRODUCT(OFFSET($BJ$31,0,1-MIN(60,COLUMN()-29),1,MIN(60,COLUMN()-29)),OFFSET(BB469,0,-MIN(60,COLUMN()-29),1,MIN(60,COLUMN()-29))),0)</f>
        <v>0</v>
      </c>
      <c r="BC470" s="237" t="n">
        <f aca="true">IFERROR(SUMPRODUCT(OFFSET($BJ$31,0,1-MIN(60,COLUMN()-29),1,MIN(60,COLUMN()-29)),OFFSET(BC469,0,-MIN(60,COLUMN()-29),1,MIN(60,COLUMN()-29))),0)</f>
        <v>0</v>
      </c>
      <c r="BD470" s="237" t="n">
        <f aca="true">IFERROR(SUMPRODUCT(OFFSET($BJ$31,0,1-MIN(60,COLUMN()-29),1,MIN(60,COLUMN()-29)),OFFSET(BD469,0,-MIN(60,COLUMN()-29),1,MIN(60,COLUMN()-29))),0)</f>
        <v>0</v>
      </c>
      <c r="BE470" s="237" t="n">
        <f aca="true">IFERROR(SUMPRODUCT(OFFSET($BJ$31,0,1-MIN(60,COLUMN()-29),1,MIN(60,COLUMN()-29)),OFFSET(BE469,0,-MIN(60,COLUMN()-29),1,MIN(60,COLUMN()-29))),0)</f>
        <v>0</v>
      </c>
      <c r="BF470" s="237" t="n">
        <f aca="true">IFERROR(SUMPRODUCT(OFFSET($BJ$31,0,1-MIN(60,COLUMN()-29),1,MIN(60,COLUMN()-29)),OFFSET(BF469,0,-MIN(60,COLUMN()-29),1,MIN(60,COLUMN()-29))),0)</f>
        <v>0</v>
      </c>
      <c r="BG470" s="237" t="n">
        <f aca="true">IFERROR(SUMPRODUCT(OFFSET($BJ$31,0,1-MIN(60,COLUMN()-29),1,MIN(60,COLUMN()-29)),OFFSET(BG469,0,-MIN(60,COLUMN()-29),1,MIN(60,COLUMN()-29))),0)</f>
        <v>0</v>
      </c>
      <c r="BH470" s="237" t="n">
        <f aca="true">IFERROR(SUMPRODUCT(OFFSET($BJ$31,0,1-MIN(60,COLUMN()-29),1,MIN(60,COLUMN()-29)),OFFSET(BH469,0,-MIN(60,COLUMN()-29),1,MIN(60,COLUMN()-29))),0)</f>
        <v>0</v>
      </c>
      <c r="BI470" s="237" t="n">
        <f aca="true">IFERROR(SUMPRODUCT(OFFSET($BJ$31,0,1-MIN(60,COLUMN()-29),1,MIN(60,COLUMN()-29)),OFFSET(BI469,0,-MIN(60,COLUMN()-29),1,MIN(60,COLUMN()-29))),0)</f>
        <v>0</v>
      </c>
      <c r="BJ470" s="237" t="n">
        <f aca="true">IFERROR(SUMPRODUCT(OFFSET($BJ$31,0,1-MIN(60,COLUMN()-29),1,MIN(60,COLUMN()-29)),OFFSET(BJ469,0,-MIN(60,COLUMN()-29),1,MIN(60,COLUMN()-29))),0)</f>
        <v>0</v>
      </c>
      <c r="BK470" s="237" t="n">
        <f aca="true">IFERROR(SUMPRODUCT(OFFSET($BJ$31,0,1-MIN(60,COLUMN()-29),1,MIN(60,COLUMN()-29)),OFFSET(BK469,0,-MIN(60,COLUMN()-29),1,MIN(60,COLUMN()-29))),0)</f>
        <v>0</v>
      </c>
      <c r="BL470" s="237" t="n">
        <f aca="true">IFERROR(SUMPRODUCT(OFFSET($BJ$31,0,1-MIN(60,COLUMN()-29),1,MIN(60,COLUMN()-29)),OFFSET(BL469,0,-MIN(60,COLUMN()-29),1,MIN(60,COLUMN()-29))),0)</f>
        <v>0</v>
      </c>
      <c r="BM470" s="237" t="n">
        <f aca="true">IFERROR(SUMPRODUCT(OFFSET($BJ$31,0,1-MIN(60,COLUMN()-29),1,MIN(60,COLUMN()-29)),OFFSET(BM469,0,-MIN(60,COLUMN()-29),1,MIN(60,COLUMN()-29))),0)</f>
        <v>0</v>
      </c>
      <c r="BN470" s="237" t="n">
        <f aca="true">IFERROR(SUMPRODUCT(OFFSET($BJ$31,0,1-MIN(60,COLUMN()-29),1,MIN(60,COLUMN()-29)),OFFSET(BN469,0,-MIN(60,COLUMN()-29),1,MIN(60,COLUMN()-29))),0)</f>
        <v>0</v>
      </c>
      <c r="BO470" s="237" t="n">
        <f aca="true">IFERROR(SUMPRODUCT(OFFSET($BJ$31,0,1-MIN(60,COLUMN()-29),1,MIN(60,COLUMN()-29)),OFFSET(BO469,0,-MIN(60,COLUMN()-29),1,MIN(60,COLUMN()-29))),0)</f>
        <v>0</v>
      </c>
      <c r="BP470" s="237" t="n">
        <f aca="true">IFERROR(SUMPRODUCT(OFFSET($BJ$31,0,1-MIN(60,COLUMN()-29),1,MIN(60,COLUMN()-29)),OFFSET(BP469,0,-MIN(60,COLUMN()-29),1,MIN(60,COLUMN()-29))),0)</f>
        <v>0</v>
      </c>
      <c r="BQ470" s="237" t="n">
        <f aca="true">IFERROR(SUMPRODUCT(OFFSET($BJ$31,0,1-MIN(60,COLUMN()-29),1,MIN(60,COLUMN()-29)),OFFSET(BQ469,0,-MIN(60,COLUMN()-29),1,MIN(60,COLUMN()-29))),0)</f>
        <v>0</v>
      </c>
      <c r="BR470" s="237" t="n">
        <f aca="true">IFERROR(SUMPRODUCT(OFFSET($BJ$31,0,1-MIN(60,COLUMN()-29),1,MIN(60,COLUMN()-29)),OFFSET(BR469,0,-MIN(60,COLUMN()-29),1,MIN(60,COLUMN()-29))),0)</f>
        <v>0</v>
      </c>
      <c r="BS470" s="237" t="n">
        <f aca="true">IFERROR(SUMPRODUCT(OFFSET($BJ$31,0,1-MIN(60,COLUMN()-29),1,MIN(60,COLUMN()-29)),OFFSET(BS469,0,-MIN(60,COLUMN()-29),1,MIN(60,COLUMN()-29))),0)</f>
        <v>0</v>
      </c>
      <c r="BT470" s="237" t="n">
        <f aca="true">IFERROR(SUMPRODUCT(OFFSET($BJ$31,0,1-MIN(60,COLUMN()-29),1,MIN(60,COLUMN()-29)),OFFSET(BT469,0,-MIN(60,COLUMN()-29),1,MIN(60,COLUMN()-29))),0)</f>
        <v>0</v>
      </c>
      <c r="BU470" s="237" t="n">
        <f aca="true">IFERROR(SUMPRODUCT(OFFSET($BJ$31,0,1-MIN(60,COLUMN()-29),1,MIN(60,COLUMN()-29)),OFFSET(BU469,0,-MIN(60,COLUMN()-29),1,MIN(60,COLUMN()-29))),0)</f>
        <v>0</v>
      </c>
      <c r="BV470" s="237" t="n">
        <f aca="true">IFERROR(SUMPRODUCT(OFFSET($BJ$31,0,1-MIN(60,COLUMN()-29),1,MIN(60,COLUMN()-29)),OFFSET(BV469,0,-MIN(60,COLUMN()-29),1,MIN(60,COLUMN()-29))),0)</f>
        <v>0</v>
      </c>
      <c r="BW470" s="237" t="n">
        <f aca="true">IFERROR(SUMPRODUCT(OFFSET($BJ$31,0,1-MIN(60,COLUMN()-29),1,MIN(60,COLUMN()-29)),OFFSET(BW469,0,-MIN(60,COLUMN()-29),1,MIN(60,COLUMN()-29))),0)</f>
        <v>0</v>
      </c>
      <c r="BX470" s="237" t="n">
        <f aca="true">IFERROR(SUMPRODUCT(OFFSET($BJ$31,0,1-MIN(60,COLUMN()-29),1,MIN(60,COLUMN()-29)),OFFSET(BX469,0,-MIN(60,COLUMN()-29),1,MIN(60,COLUMN()-29))),0)</f>
        <v>0</v>
      </c>
      <c r="BY470" s="237" t="n">
        <f aca="true">IFERROR(SUMPRODUCT(OFFSET($BJ$31,0,1-MIN(60,COLUMN()-29),1,MIN(60,COLUMN()-29)),OFFSET(BY469,0,-MIN(60,COLUMN()-29),1,MIN(60,COLUMN()-29))),0)</f>
        <v>0</v>
      </c>
      <c r="BZ470" s="237" t="n">
        <f aca="true">IFERROR(SUMPRODUCT(OFFSET($BJ$31,0,1-MIN(60,COLUMN()-29),1,MIN(60,COLUMN()-29)),OFFSET(BZ469,0,-MIN(60,COLUMN()-29),1,MIN(60,COLUMN()-29))),0)</f>
        <v>0</v>
      </c>
      <c r="CA470" s="237" t="n">
        <f aca="true">IFERROR(SUMPRODUCT(OFFSET($BJ$31,0,1-MIN(60,COLUMN()-29),1,MIN(60,COLUMN()-29)),OFFSET(CA469,0,-MIN(60,COLUMN()-29),1,MIN(60,COLUMN()-29))),0)</f>
        <v>0</v>
      </c>
      <c r="CB470" s="237" t="n">
        <f aca="true">IFERROR(SUMPRODUCT(OFFSET($BJ$31,0,1-MIN(60,COLUMN()-29),1,MIN(60,COLUMN()-29)),OFFSET(CB469,0,-MIN(60,COLUMN()-29),1,MIN(60,COLUMN()-29))),0)</f>
        <v>0</v>
      </c>
      <c r="CC470" s="237" t="n">
        <f aca="true">IFERROR(SUMPRODUCT(OFFSET($BJ$31,0,1-MIN(60,COLUMN()-29),1,MIN(60,COLUMN()-29)),OFFSET(CC469,0,-MIN(60,COLUMN()-29),1,MIN(60,COLUMN()-29))),0)</f>
        <v>0</v>
      </c>
      <c r="CD470" s="237" t="n">
        <f aca="true">IFERROR(SUMPRODUCT(OFFSET($BJ$31,0,1-MIN(60,COLUMN()-29),1,MIN(60,COLUMN()-29)),OFFSET(CD469,0,-MIN(60,COLUMN()-29),1,MIN(60,COLUMN()-29))),0)</f>
        <v>0</v>
      </c>
      <c r="CE470" s="237" t="n">
        <f aca="true">IFERROR(SUMPRODUCT(OFFSET($BJ$31,0,1-MIN(60,COLUMN()-29),1,MIN(60,COLUMN()-29)),OFFSET(CE469,0,-MIN(60,COLUMN()-29),1,MIN(60,COLUMN()-29))),0)</f>
        <v>0</v>
      </c>
      <c r="CF470" s="237" t="n">
        <f aca="true">IFERROR(SUMPRODUCT(OFFSET($BJ$31,0,1-MIN(60,COLUMN()-29),1,MIN(60,COLUMN()-29)),OFFSET(CF469,0,-MIN(60,COLUMN()-29),1,MIN(60,COLUMN()-29))),0)</f>
        <v>0</v>
      </c>
      <c r="CG470" s="237" t="n">
        <f aca="true">IFERROR(SUMPRODUCT(OFFSET($BJ$31,0,1-MIN(60,COLUMN()-29),1,MIN(60,COLUMN()-29)),OFFSET(CG469,0,-MIN(60,COLUMN()-29),1,MIN(60,COLUMN()-29))),0)</f>
        <v>0</v>
      </c>
      <c r="CH470" s="237" t="n">
        <f aca="true">IFERROR(SUMPRODUCT(OFFSET($BJ$31,0,1-MIN(60,COLUMN()-29),1,MIN(60,COLUMN()-29)),OFFSET(CH469,0,-MIN(60,COLUMN()-29),1,MIN(60,COLUMN()-29))),0)</f>
        <v>0</v>
      </c>
      <c r="CI470" s="237" t="n">
        <f aca="true">IFERROR(SUMPRODUCT(OFFSET($BJ$31,0,1-MIN(60,COLUMN()-29),1,MIN(60,COLUMN()-29)),OFFSET(CI469,0,-MIN(60,COLUMN()-29),1,MIN(60,COLUMN()-29))),0)</f>
        <v>0</v>
      </c>
      <c r="CJ470" s="237" t="n">
        <f aca="true">IFERROR(SUMPRODUCT(OFFSET($BJ$31,0,1-MIN(60,COLUMN()-29),1,MIN(60,COLUMN()-29)),OFFSET(CJ469,0,-MIN(60,COLUMN()-29),1,MIN(60,COLUMN()-29))),0)</f>
        <v>0</v>
      </c>
      <c r="CK470" s="237" t="n">
        <f aca="true">IFERROR(SUMPRODUCT(OFFSET($BJ$31,0,1-MIN(60,COLUMN()-29),1,MIN(60,COLUMN()-29)),OFFSET(CK469,0,-MIN(60,COLUMN()-29),1,MIN(60,COLUMN()-29))),0)</f>
        <v>0</v>
      </c>
      <c r="CL470" s="237" t="n">
        <f aca="true">IFERROR(SUMPRODUCT(OFFSET($BJ$31,0,1-MIN(60,COLUMN()-29),1,MIN(60,COLUMN()-29)),OFFSET(CL469,0,-MIN(60,COLUMN()-29),1,MIN(60,COLUMN()-29))),0)</f>
        <v>0</v>
      </c>
      <c r="CM470" s="237" t="n">
        <f aca="true">IFERROR(SUMPRODUCT(OFFSET($BJ$31,0,1-MIN(60,COLUMN()-29),1,MIN(60,COLUMN()-29)),OFFSET(CM469,0,-MIN(60,COLUMN()-29),1,MIN(60,COLUMN()-29))),0)</f>
        <v>0</v>
      </c>
      <c r="CN470" s="237" t="n">
        <f aca="true">IFERROR(SUMPRODUCT(OFFSET($BJ$31,0,1-MIN(60,COLUMN()-29),1,MIN(60,COLUMN()-29)),OFFSET(CN469,0,-MIN(60,COLUMN()-29),1,MIN(60,COLUMN()-29))),0)</f>
        <v>0</v>
      </c>
      <c r="CO470" s="237" t="n">
        <f aca="true">IFERROR(SUMPRODUCT(OFFSET($BJ$31,0,1-MIN(60,COLUMN()-29),1,MIN(60,COLUMN()-29)),OFFSET(CO469,0,-MIN(60,COLUMN()-29),1,MIN(60,COLUMN()-29))),0)</f>
        <v>0</v>
      </c>
      <c r="CP470" s="237" t="n">
        <f aca="true">IFERROR(SUMPRODUCT(OFFSET($BJ$31,0,1-MIN(60,COLUMN()-29),1,MIN(60,COLUMN()-29)),OFFSET(CP469,0,-MIN(60,COLUMN()-29),1,MIN(60,COLUMN()-29))),0)</f>
        <v>0</v>
      </c>
      <c r="CQ470" s="237" t="n">
        <f aca="true">IFERROR(SUMPRODUCT(OFFSET($BJ$31,0,1-MIN(60,COLUMN()-29),1,MIN(60,COLUMN()-29)),OFFSET(CQ469,0,-MIN(60,COLUMN()-29),1,MIN(60,COLUMN()-29))),0)</f>
        <v>0</v>
      </c>
      <c r="CR470" s="237" t="n">
        <f aca="true">IFERROR(SUMPRODUCT(OFFSET($BJ$31,0,1-MIN(60,COLUMN()-29),1,MIN(60,COLUMN()-29)),OFFSET(CR469,0,-MIN(60,COLUMN()-29),1,MIN(60,COLUMN()-29))),0)</f>
        <v>0</v>
      </c>
      <c r="CS470" s="237" t="n">
        <f aca="true">IFERROR(SUMPRODUCT(OFFSET($BJ$31,0,1-MIN(60,COLUMN()-29),1,MIN(60,COLUMN()-29)),OFFSET(CS469,0,-MIN(60,COLUMN()-29),1,MIN(60,COLUMN()-29))),0)</f>
        <v>0</v>
      </c>
      <c r="CT470" s="237" t="n">
        <f aca="true">IFERROR(SUMPRODUCT(OFFSET($BJ$31,0,1-MIN(60,COLUMN()-29),1,MIN(60,COLUMN()-29)),OFFSET(CT469,0,-MIN(60,COLUMN()-29),1,MIN(60,COLUMN()-29))),0)</f>
        <v>0</v>
      </c>
      <c r="CU470" s="237" t="n">
        <f aca="true">IFERROR(SUMPRODUCT(OFFSET($BJ$31,0,1-MIN(60,COLUMN()-29),1,MIN(60,COLUMN()-29)),OFFSET(CU469,0,-MIN(60,COLUMN()-29),1,MIN(60,COLUMN()-29))),0)</f>
        <v>0</v>
      </c>
      <c r="CV470" s="237" t="n">
        <f aca="true">IFERROR(SUMPRODUCT(OFFSET($BJ$31,0,1-MIN(60,COLUMN()-29),1,MIN(60,COLUMN()-29)),OFFSET(CV469,0,-MIN(60,COLUMN()-29),1,MIN(60,COLUMN()-29))),0)</f>
        <v>0</v>
      </c>
      <c r="CW470" s="237" t="n">
        <f aca="true">IFERROR(SUMPRODUCT(OFFSET($BJ$31,0,1-MIN(60,COLUMN()-29),1,MIN(60,COLUMN()-29)),OFFSET(CW469,0,-MIN(60,COLUMN()-29),1,MIN(60,COLUMN()-29))),0)</f>
        <v>0</v>
      </c>
      <c r="CX470" s="237" t="n">
        <f aca="true">IFERROR(SUMPRODUCT(OFFSET($BJ$31,0,1-MIN(60,COLUMN()-29),1,MIN(60,COLUMN()-29)),OFFSET(CX469,0,-MIN(60,COLUMN()-29),1,MIN(60,COLUMN()-29))),0)</f>
        <v>0</v>
      </c>
      <c r="CY470" s="237" t="n">
        <f aca="true">IFERROR(SUMPRODUCT(OFFSET($BJ$31,0,1-MIN(60,COLUMN()-29),1,MIN(60,COLUMN()-29)),OFFSET(CY469,0,-MIN(60,COLUMN()-29),1,MIN(60,COLUMN()-29))),0)</f>
        <v>0</v>
      </c>
      <c r="CZ470" s="237" t="n">
        <f aca="true">IFERROR(SUMPRODUCT(OFFSET($BJ$31,0,1-MIN(60,COLUMN()-29),1,MIN(60,COLUMN()-29)),OFFSET(CZ469,0,-MIN(60,COLUMN()-29),1,MIN(60,COLUMN()-29))),0)</f>
        <v>0</v>
      </c>
      <c r="DA470" s="237" t="n">
        <f aca="true">IFERROR(SUMPRODUCT(OFFSET($BJ$31,0,1-MIN(60,COLUMN()-29),1,MIN(60,COLUMN()-29)),OFFSET(DA469,0,-MIN(60,COLUMN()-29),1,MIN(60,COLUMN()-29))),0)</f>
        <v>0</v>
      </c>
      <c r="DB470" s="237" t="n">
        <f aca="true">IFERROR(SUMPRODUCT(OFFSET($BJ$31,0,1-MIN(60,COLUMN()-29),1,MIN(60,COLUMN()-29)),OFFSET(DB469,0,-MIN(60,COLUMN()-29),1,MIN(60,COLUMN()-29))),0)</f>
        <v>0</v>
      </c>
      <c r="DC470" s="237" t="n">
        <f aca="true">IFERROR(SUMPRODUCT(OFFSET($BJ$31,0,1-MIN(60,COLUMN()-29),1,MIN(60,COLUMN()-29)),OFFSET(DC469,0,-MIN(60,COLUMN()-29),1,MIN(60,COLUMN()-29))),0)</f>
        <v>0</v>
      </c>
      <c r="DD470" s="237" t="n">
        <f aca="true">IFERROR(SUMPRODUCT(OFFSET($BJ$31,0,1-MIN(60,COLUMN()-29),1,MIN(60,COLUMN()-29)),OFFSET(DD469,0,-MIN(60,COLUMN()-29),1,MIN(60,COLUMN()-29))),0)</f>
        <v>0</v>
      </c>
      <c r="DE470" s="237" t="n">
        <f aca="true">IFERROR(SUMPRODUCT(OFFSET($BJ$31,0,1-MIN(60,COLUMN()-29),1,MIN(60,COLUMN()-29)),OFFSET(DE469,0,-MIN(60,COLUMN()-29),1,MIN(60,COLUMN()-29))),0)</f>
        <v>0</v>
      </c>
      <c r="DF470" s="237" t="n">
        <f aca="true">IFERROR(SUMPRODUCT(OFFSET($BJ$31,0,1-MIN(60,COLUMN()-29),1,MIN(60,COLUMN()-29)),OFFSET(DF469,0,-MIN(60,COLUMN()-29),1,MIN(60,COLUMN()-29))),0)</f>
        <v>0</v>
      </c>
      <c r="DG470" s="237" t="n">
        <f aca="true">IFERROR(SUMPRODUCT(OFFSET($BJ$31,0,1-MIN(60,COLUMN()-29),1,MIN(60,COLUMN()-29)),OFFSET(DG469,0,-MIN(60,COLUMN()-29),1,MIN(60,COLUMN()-29))),0)</f>
        <v>0</v>
      </c>
      <c r="DH470" s="237" t="n">
        <f aca="true">IFERROR(SUMPRODUCT(OFFSET($BJ$31,0,1-MIN(60,COLUMN()-29),1,MIN(60,COLUMN()-29)),OFFSET(DH469,0,-MIN(60,COLUMN()-29),1,MIN(60,COLUMN()-29))),0)</f>
        <v>0</v>
      </c>
      <c r="DI470" s="237" t="n">
        <f aca="true">IFERROR(SUMPRODUCT(OFFSET($BJ$31,0,1-MIN(60,COLUMN()-29),1,MIN(60,COLUMN()-29)),OFFSET(DI469,0,-MIN(60,COLUMN()-29),1,MIN(60,COLUMN()-29))),0)</f>
        <v>0</v>
      </c>
      <c r="DJ470" s="237" t="n">
        <f aca="true">IFERROR(SUMPRODUCT(OFFSET($BJ$31,0,1-MIN(60,COLUMN()-29),1,MIN(60,COLUMN()-29)),OFFSET(DJ469,0,-MIN(60,COLUMN()-29),1,MIN(60,COLUMN()-29))),0)</f>
        <v>0</v>
      </c>
      <c r="DK470" s="237" t="n">
        <f aca="true">IFERROR(SUMPRODUCT(OFFSET($BJ$31,0,1-MIN(60,COLUMN()-29),1,MIN(60,COLUMN()-29)),OFFSET(DK469,0,-MIN(60,COLUMN()-29),1,MIN(60,COLUMN()-29))),0)</f>
        <v>0</v>
      </c>
      <c r="DL470" s="237" t="n">
        <f aca="true">IFERROR(SUMPRODUCT(OFFSET($BJ$31,0,1-MIN(60,COLUMN()-29),1,MIN(60,COLUMN()-29)),OFFSET(DL469,0,-MIN(60,COLUMN()-29),1,MIN(60,COLUMN()-29))),0)</f>
        <v>0</v>
      </c>
      <c r="DM470" s="237" t="n">
        <f aca="true">IFERROR(SUMPRODUCT(OFFSET($BJ$31,0,1-MIN(60,COLUMN()-29),1,MIN(60,COLUMN()-29)),OFFSET(DM469,0,-MIN(60,COLUMN()-29),1,MIN(60,COLUMN()-29))),0)</f>
        <v>0</v>
      </c>
      <c r="DN470" s="237" t="n">
        <f aca="true">IFERROR(SUMPRODUCT(OFFSET($BJ$31,0,1-MIN(60,COLUMN()-29),1,MIN(60,COLUMN()-29)),OFFSET(DN469,0,-MIN(60,COLUMN()-29),1,MIN(60,COLUMN()-29))),0)</f>
        <v>0</v>
      </c>
      <c r="DO470" s="237" t="n">
        <f aca="true">IFERROR(SUMPRODUCT(OFFSET($BJ$31,0,1-MIN(60,COLUMN()-29),1,MIN(60,COLUMN()-29)),OFFSET(DO469,0,-MIN(60,COLUMN()-29),1,MIN(60,COLUMN()-29))),0)</f>
        <v>0</v>
      </c>
      <c r="DP470" s="237" t="n">
        <f aca="true">IFERROR(SUMPRODUCT(OFFSET($BJ$31,0,1-MIN(60,COLUMN()-29),1,MIN(60,COLUMN()-29)),OFFSET(DP469,0,-MIN(60,COLUMN()-29),1,MIN(60,COLUMN()-29))),0)</f>
        <v>0</v>
      </c>
      <c r="DQ470" s="237" t="n">
        <f aca="true">IFERROR(SUMPRODUCT(OFFSET($BJ$31,0,1-MIN(60,COLUMN()-29),1,MIN(60,COLUMN()-29)),OFFSET(DQ469,0,-MIN(60,COLUMN()-29),1,MIN(60,COLUMN()-29))),0)</f>
        <v>0</v>
      </c>
      <c r="DR470" s="237" t="n">
        <f aca="true">IFERROR(SUMPRODUCT(OFFSET($BJ$31,0,1-MIN(60,COLUMN()-29),1,MIN(60,COLUMN()-29)),OFFSET(DR469,0,-MIN(60,COLUMN()-29),1,MIN(60,COLUMN()-29))),0)</f>
        <v>0</v>
      </c>
      <c r="DS470" s="237" t="n">
        <f aca="true">IFERROR(SUMPRODUCT(OFFSET($BJ$31,0,1-MIN(60,COLUMN()-29),1,MIN(60,COLUMN()-29)),OFFSET(DS469,0,-MIN(60,COLUMN()-29),1,MIN(60,COLUMN()-29))),0)</f>
        <v>0</v>
      </c>
      <c r="DT470" s="237" t="n">
        <f aca="true">IFERROR(SUMPRODUCT(OFFSET($BJ$31,0,1-MIN(60,COLUMN()-29),1,MIN(60,COLUMN()-29)),OFFSET(DT469,0,-MIN(60,COLUMN()-29),1,MIN(60,COLUMN()-29))),0)</f>
        <v>0</v>
      </c>
      <c r="DU470" s="237" t="n">
        <f aca="true">IFERROR(SUMPRODUCT(OFFSET($BJ$31,0,1-MIN(60,COLUMN()-29),1,MIN(60,COLUMN()-29)),OFFSET(DU469,0,-MIN(60,COLUMN()-29),1,MIN(60,COLUMN()-29))),0)</f>
        <v>0</v>
      </c>
      <c r="DV470" s="237" t="n">
        <f aca="true">IFERROR(SUMPRODUCT(OFFSET($BJ$31,0,1-MIN(60,COLUMN()-29),1,MIN(60,COLUMN()-29)),OFFSET(DV469,0,-MIN(60,COLUMN()-29),1,MIN(60,COLUMN()-29))),0)</f>
        <v>0</v>
      </c>
      <c r="DW470" s="237" t="n">
        <f aca="true">IFERROR(SUMPRODUCT(OFFSET($BJ$31,0,1-MIN(60,COLUMN()-29),1,MIN(60,COLUMN()-29)),OFFSET(DW469,0,-MIN(60,COLUMN()-29),1,MIN(60,COLUMN()-29))),0)</f>
        <v>0</v>
      </c>
      <c r="DX470" s="237" t="n">
        <f aca="true">IFERROR(SUMPRODUCT(OFFSET($BJ$31,0,1-MIN(60,COLUMN()-29),1,MIN(60,COLUMN()-29)),OFFSET(DX469,0,-MIN(60,COLUMN()-29),1,MIN(60,COLUMN()-29))),0)</f>
        <v>0</v>
      </c>
      <c r="DY470" s="237" t="n">
        <f aca="true">IFERROR(SUMPRODUCT(OFFSET($BJ$31,0,1-MIN(60,COLUMN()-29),1,MIN(60,COLUMN()-29)),OFFSET(DY469,0,-MIN(60,COLUMN()-29),1,MIN(60,COLUMN()-29))),0)</f>
        <v>0</v>
      </c>
      <c r="DZ470" s="237" t="n">
        <f aca="true">IFERROR(SUMPRODUCT(OFFSET($BJ$31,0,1-MIN(60,COLUMN()-29),1,MIN(60,COLUMN()-29)),OFFSET(DZ469,0,-MIN(60,COLUMN()-29),1,MIN(60,COLUMN()-29))),0)</f>
        <v>0</v>
      </c>
      <c r="EA470" s="237" t="n">
        <f aca="true">IFERROR(SUMPRODUCT(OFFSET($BJ$31,0,1-MIN(60,COLUMN()-29),1,MIN(60,COLUMN()-29)),OFFSET(EA469,0,-MIN(60,COLUMN()-29),1,MIN(60,COLUMN()-29))),0)</f>
        <v>0</v>
      </c>
      <c r="EB470" s="237" t="n">
        <f aca="true">IFERROR(SUMPRODUCT(OFFSET($BJ$31,0,1-MIN(60,COLUMN()-29),1,MIN(60,COLUMN()-29)),OFFSET(EB469,0,-MIN(60,COLUMN()-29),1,MIN(60,COLUMN()-29))),0)</f>
        <v>0</v>
      </c>
      <c r="EC470" s="237" t="n">
        <f aca="true">IFERROR(SUMPRODUCT(OFFSET($BJ$31,0,1-MIN(60,COLUMN()-29),1,MIN(60,COLUMN()-29)),OFFSET(EC469,0,-MIN(60,COLUMN()-29),1,MIN(60,COLUMN()-29))),0)</f>
        <v>0</v>
      </c>
      <c r="ED470" s="237" t="n">
        <f aca="true">IFERROR(SUMPRODUCT(OFFSET($BJ$31,0,1-MIN(60,COLUMN()-29),1,MIN(60,COLUMN()-29)),OFFSET(ED469,0,-MIN(60,COLUMN()-29),1,MIN(60,COLUMN()-29))),0)</f>
        <v>0</v>
      </c>
      <c r="EE470" s="237" t="n">
        <f aca="true">IFERROR(SUMPRODUCT(OFFSET($BJ$31,0,1-MIN(60,COLUMN()-29),1,MIN(60,COLUMN()-29)),OFFSET(EE469,0,-MIN(60,COLUMN()-29),1,MIN(60,COLUMN()-29))),0)</f>
        <v>0</v>
      </c>
      <c r="EF470" s="237" t="n">
        <f aca="true">IFERROR(SUMPRODUCT(OFFSET($BJ$31,0,1-MIN(60,COLUMN()-29),1,MIN(60,COLUMN()-29)),OFFSET(EF469,0,-MIN(60,COLUMN()-29),1,MIN(60,COLUMN()-29))),0)</f>
        <v>0</v>
      </c>
      <c r="EG470" s="237" t="n">
        <f aca="true">IFERROR(SUMPRODUCT(OFFSET($BJ$31,0,1-MIN(60,COLUMN()-29),1,MIN(60,COLUMN()-29)),OFFSET(EG469,0,-MIN(60,COLUMN()-29),1,MIN(60,COLUMN()-29))),0)</f>
        <v>0</v>
      </c>
      <c r="EH470" s="237" t="n">
        <f aca="true">IFERROR(SUMPRODUCT(OFFSET($BJ$31,0,1-MIN(60,COLUMN()-29),1,MIN(60,COLUMN()-29)),OFFSET(EH469,0,-MIN(60,COLUMN()-29),1,MIN(60,COLUMN()-29))),0)</f>
        <v>0</v>
      </c>
      <c r="EI470" s="237" t="n">
        <f aca="true">IFERROR(SUMPRODUCT(OFFSET($BJ$31,0,1-MIN(60,COLUMN()-29),1,MIN(60,COLUMN()-29)),OFFSET(EI469,0,-MIN(60,COLUMN()-29),1,MIN(60,COLUMN()-29))),0)</f>
        <v>0</v>
      </c>
      <c r="EJ470" s="237" t="n">
        <f aca="true">IFERROR(SUMPRODUCT(OFFSET($BJ$31,0,1-MIN(60,COLUMN()-29),1,MIN(60,COLUMN()-29)),OFFSET(EJ469,0,-MIN(60,COLUMN()-29),1,MIN(60,COLUMN()-29))),0)</f>
        <v>0</v>
      </c>
      <c r="EK470" s="237" t="n">
        <f aca="true">IFERROR(SUMPRODUCT(OFFSET($BJ$31,0,1-MIN(60,COLUMN()-29),1,MIN(60,COLUMN()-29)),OFFSET(EK469,0,-MIN(60,COLUMN()-29),1,MIN(60,COLUMN()-29))),0)</f>
        <v>0</v>
      </c>
      <c r="EL470" s="237" t="n">
        <f aca="true">IFERROR(SUMPRODUCT(OFFSET($BJ$31,0,1-MIN(60,COLUMN()-29),1,MIN(60,COLUMN()-29)),OFFSET(EL469,0,-MIN(60,COLUMN()-29),1,MIN(60,COLUMN()-29))),0)</f>
        <v>0</v>
      </c>
      <c r="EM470" s="237" t="n">
        <f aca="true">IFERROR(SUMPRODUCT(OFFSET($BJ$31,0,1-MIN(60,COLUMN()-29),1,MIN(60,COLUMN()-29)),OFFSET(EM469,0,-MIN(60,COLUMN()-29),1,MIN(60,COLUMN()-29))),0)</f>
        <v>0</v>
      </c>
      <c r="EN470" s="237" t="n">
        <f aca="true">IFERROR(SUMPRODUCT(OFFSET($BJ$31,0,1-MIN(60,COLUMN()-29),1,MIN(60,COLUMN()-29)),OFFSET(EN469,0,-MIN(60,COLUMN()-29),1,MIN(60,COLUMN()-29))),0)</f>
        <v>0</v>
      </c>
      <c r="EO470" s="237" t="n">
        <f aca="true">IFERROR(SUMPRODUCT(OFFSET($BJ$31,0,1-MIN(60,COLUMN()-29),1,MIN(60,COLUMN()-29)),OFFSET(EO469,0,-MIN(60,COLUMN()-29),1,MIN(60,COLUMN()-29))),0)</f>
        <v>0</v>
      </c>
      <c r="EP470" s="237" t="n">
        <f aca="true">IFERROR(SUMPRODUCT(OFFSET($BJ$31,0,1-MIN(60,COLUMN()-29),1,MIN(60,COLUMN()-29)),OFFSET(EP469,0,-MIN(60,COLUMN()-29),1,MIN(60,COLUMN()-29))),0)</f>
        <v>3.26656</v>
      </c>
      <c r="EQ470" s="237" t="n">
        <f aca="true">IFERROR(SUMPRODUCT(OFFSET($BJ$31,0,1-MIN(60,COLUMN()-29),1,MIN(60,COLUMN()-29)),OFFSET(EQ469,0,-MIN(60,COLUMN()-29),1,MIN(60,COLUMN()-29))),0)</f>
        <v>3.422848</v>
      </c>
      <c r="ER470" s="237" t="n">
        <f aca="true">IFERROR(SUMPRODUCT(OFFSET($BJ$31,0,1-MIN(60,COLUMN()-29),1,MIN(60,COLUMN()-29)),OFFSET(ER469,0,-MIN(60,COLUMN()-29),1,MIN(60,COLUMN()-29))),0)</f>
        <v>3.4135552</v>
      </c>
      <c r="ES470" s="9" t="n">
        <f aca="true">IFERROR(SUMPRODUCT(OFFSET($BJ$31,0,1-MIN(60,COLUMN()-29),1,MIN(60,COLUMN()-29)),OFFSET(ES469,0,-MIN(60,COLUMN()-29),1,MIN(60,COLUMN()-29))),0)</f>
        <v>5.0592256</v>
      </c>
      <c r="ET470" s="9" t="n">
        <f aca="true">IFERROR(SUMPRODUCT(OFFSET($BJ$31,0,1-MIN(60,COLUMN()-29),1,MIN(60,COLUMN()-29)),OFFSET(ET469,0,-MIN(60,COLUMN()-29),1,MIN(60,COLUMN()-29))),0)</f>
        <v>5.6070432</v>
      </c>
      <c r="EU470" s="9" t="n">
        <f aca="true">IFERROR(SUMPRODUCT(OFFSET($BJ$31,0,1-MIN(60,COLUMN()-29),1,MIN(60,COLUMN()-29)),OFFSET(EU469,0,-MIN(60,COLUMN()-29),1,MIN(60,COLUMN()-29))),0)</f>
        <v>5.4110848</v>
      </c>
      <c r="EV470" s="9" t="n">
        <f aca="true">IFERROR(SUMPRODUCT(OFFSET($BJ$31,0,1-MIN(60,COLUMN()-29),1,MIN(60,COLUMN()-29)),OFFSET(EV469,0,-MIN(60,COLUMN()-29),1,MIN(60,COLUMN()-29))),0)</f>
        <v>8.0171872</v>
      </c>
      <c r="EW470" s="9" t="n">
        <f aca="true">IFERROR(SUMPRODUCT(OFFSET($BJ$31,0,1-MIN(60,COLUMN()-29),1,MIN(60,COLUMN()-29)),OFFSET(EW469,0,-MIN(60,COLUMN()-29),1,MIN(60,COLUMN()-29))),0)</f>
        <v>8.7395264</v>
      </c>
      <c r="EX470" s="9" t="n">
        <f aca="true">IFERROR(SUMPRODUCT(OFFSET($BJ$31,0,1-MIN(60,COLUMN()-29),1,MIN(60,COLUMN()-29)),OFFSET(EX469,0,-MIN(60,COLUMN()-29),1,MIN(60,COLUMN()-29))),0)</f>
        <v>9.0024</v>
      </c>
      <c r="EY470" s="9" t="n">
        <f aca="true">IFERROR(SUMPRODUCT(OFFSET($BJ$31,0,1-MIN(60,COLUMN()-29),1,MIN(60,COLUMN()-29)),OFFSET(EY469,0,-MIN(60,COLUMN()-29),1,MIN(60,COLUMN()-29))),0)</f>
        <v>9.0390784</v>
      </c>
      <c r="EZ470" s="9" t="n">
        <f aca="true">IFERROR(SUMPRODUCT(OFFSET($BJ$31,0,1-MIN(60,COLUMN()-29),1,MIN(60,COLUMN()-29)),OFFSET(EZ469,0,-MIN(60,COLUMN()-29),1,MIN(60,COLUMN()-29))),0)</f>
        <v>9.854592</v>
      </c>
      <c r="FA470" s="9" t="n">
        <f aca="true">IFERROR(SUMPRODUCT(OFFSET($BJ$31,0,1-MIN(60,COLUMN()-29),1,MIN(60,COLUMN()-29)),OFFSET(FA469,0,-MIN(60,COLUMN()-29),1,MIN(60,COLUMN()-29))),0)</f>
        <v>15.277152</v>
      </c>
      <c r="FB470" s="9" t="n">
        <f aca="true">IFERROR(SUMPRODUCT(OFFSET($BJ$31,0,1-MIN(60,COLUMN()-29),1,MIN(60,COLUMN()-29)),OFFSET(FB469,0,-MIN(60,COLUMN()-29),1,MIN(60,COLUMN()-29))),0)</f>
        <v>15.9999136</v>
      </c>
      <c r="FC470" s="9" t="n">
        <f aca="true">IFERROR(SUMPRODUCT(OFFSET($BJ$31,0,1-MIN(60,COLUMN()-29),1,MIN(60,COLUMN()-29)),OFFSET(FC469,0,-MIN(60,COLUMN()-29),1,MIN(60,COLUMN()-29))),0)</f>
        <v>15.8602048</v>
      </c>
      <c r="FD470" s="9" t="n">
        <f aca="true">IFERROR(SUMPRODUCT(OFFSET($BJ$31,0,1-MIN(60,COLUMN()-29),1,MIN(60,COLUMN()-29)),OFFSET(FD469,0,-MIN(60,COLUMN()-29),1,MIN(60,COLUMN()-29))),0)</f>
        <v>14.451184</v>
      </c>
      <c r="FE470" s="9" t="n">
        <f aca="true">IFERROR(SUMPRODUCT(OFFSET($BJ$31,0,1-MIN(60,COLUMN()-29),1,MIN(60,COLUMN()-29)),OFFSET(FE469,0,-MIN(60,COLUMN()-29),1,MIN(60,COLUMN()-29))),0)</f>
        <v>19.7980992</v>
      </c>
      <c r="FF470" s="9" t="n">
        <f aca="true">IFERROR(SUMPRODUCT(OFFSET($BJ$31,0,1-MIN(60,COLUMN()-29),1,MIN(60,COLUMN()-29)),OFFSET(FF469,0,-MIN(60,COLUMN()-29),1,MIN(60,COLUMN()-29))),0)</f>
        <v>22.16204672</v>
      </c>
      <c r="FG470" s="9" t="n">
        <f aca="true">IFERROR(SUMPRODUCT(OFFSET($BJ$31,0,1-MIN(60,COLUMN()-29),1,MIN(60,COLUMN()-29)),OFFSET(FG469,0,-MIN(60,COLUMN()-29),1,MIN(60,COLUMN()-29))),0)</f>
        <v>21.97709184</v>
      </c>
      <c r="FH470" s="9" t="n">
        <f aca="true">IFERROR(SUMPRODUCT(OFFSET($BJ$31,0,1-MIN(60,COLUMN()-29),1,MIN(60,COLUMN()-29)),OFFSET(FH469,0,-MIN(60,COLUMN()-29),1,MIN(60,COLUMN()-29))),0)</f>
        <v>27.72910976</v>
      </c>
      <c r="FI470" s="9" t="n">
        <f aca="true">IFERROR(SUMPRODUCT(OFFSET($BJ$31,0,1-MIN(60,COLUMN()-29),1,MIN(60,COLUMN()-29)),OFFSET(FI469,0,-MIN(60,COLUMN()-29),1,MIN(60,COLUMN()-29))),0)</f>
        <v>28.89487656</v>
      </c>
      <c r="FJ470" s="9" t="n">
        <f aca="true">IFERROR(SUMPRODUCT(OFFSET($BJ$31,0,1-MIN(60,COLUMN()-29),1,MIN(60,COLUMN()-29)),OFFSET(FJ469,0,-MIN(60,COLUMN()-29),1,MIN(60,COLUMN()-29))),0)</f>
        <v>28.88408248</v>
      </c>
      <c r="FK470" s="9" t="n">
        <f aca="true">IFERROR(SUMPRODUCT(OFFSET($BJ$31,0,1-MIN(60,COLUMN()-29),1,MIN(60,COLUMN()-29)),OFFSET(FK469,0,-MIN(60,COLUMN()-29),1,MIN(60,COLUMN()-29))),0)</f>
        <v>28.88009872</v>
      </c>
      <c r="FL470" s="9" t="n">
        <f aca="true">IFERROR(SUMPRODUCT(OFFSET($BJ$31,0,1-MIN(60,COLUMN()-29),1,MIN(60,COLUMN()-29)),OFFSET(FL469,0,-MIN(60,COLUMN()-29),1,MIN(60,COLUMN()-29))),0)</f>
        <v>31.78363584</v>
      </c>
      <c r="FM470" s="9" t="n">
        <f aca="true">IFERROR(SUMPRODUCT(OFFSET($BJ$31,0,1-MIN(60,COLUMN()-29),1,MIN(60,COLUMN()-29)),OFFSET(FM469,0,-MIN(60,COLUMN()-29),1,MIN(60,COLUMN()-29))),0)</f>
        <v>41.81452968</v>
      </c>
      <c r="FN470" s="9" t="n">
        <f aca="true">IFERROR(SUMPRODUCT(OFFSET($BJ$31,0,1-MIN(60,COLUMN()-29),1,MIN(60,COLUMN()-29)),OFFSET(FN469,0,-MIN(60,COLUMN()-29),1,MIN(60,COLUMN()-29))),0)</f>
        <v>41.62019048</v>
      </c>
      <c r="FO470" s="9" t="n">
        <f aca="true">IFERROR(SUMPRODUCT(OFFSET($BJ$31,0,1-MIN(60,COLUMN()-29),1,MIN(60,COLUMN()-29)),OFFSET(FO469,0,-MIN(60,COLUMN()-29),1,MIN(60,COLUMN()-29))),0)</f>
        <v>40.89985768</v>
      </c>
      <c r="FP470" s="9" t="n">
        <f aca="true">IFERROR(SUMPRODUCT(OFFSET($BJ$31,0,1-MIN(60,COLUMN()-29),1,MIN(60,COLUMN()-29)),OFFSET(FP469,0,-MIN(60,COLUMN()-29),1,MIN(60,COLUMN()-29))),0)</f>
        <v>39.3762468</v>
      </c>
    </row>
    <row r="471" customFormat="false" ht="15" hidden="false" customHeight="false" outlineLevel="2" collapsed="false">
      <c r="B471" s="47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237"/>
      <c r="AD471" s="237"/>
      <c r="AE471" s="237"/>
      <c r="AF471" s="237"/>
      <c r="AG471" s="237"/>
      <c r="AH471" s="237"/>
      <c r="AI471" s="237"/>
      <c r="AJ471" s="237"/>
      <c r="AK471" s="237"/>
      <c r="AL471" s="237"/>
      <c r="AM471" s="237"/>
      <c r="AN471" s="237"/>
      <c r="AO471" s="237"/>
      <c r="AP471" s="237"/>
      <c r="AQ471" s="237"/>
      <c r="AR471" s="237"/>
      <c r="AS471" s="237"/>
      <c r="AT471" s="237"/>
      <c r="AU471" s="237"/>
      <c r="AV471" s="237"/>
      <c r="AW471" s="237"/>
      <c r="AX471" s="237"/>
      <c r="AY471" s="237"/>
      <c r="AZ471" s="237"/>
      <c r="BA471" s="237"/>
      <c r="BB471" s="237"/>
      <c r="BC471" s="237"/>
      <c r="BD471" s="237"/>
      <c r="BE471" s="237"/>
      <c r="BF471" s="237"/>
      <c r="BG471" s="237"/>
      <c r="BH471" s="237"/>
      <c r="BI471" s="237"/>
      <c r="BJ471" s="237"/>
      <c r="BK471" s="237"/>
      <c r="BL471" s="237"/>
      <c r="BM471" s="237"/>
      <c r="BN471" s="237"/>
      <c r="BO471" s="237"/>
      <c r="BP471" s="237"/>
      <c r="BQ471" s="237"/>
      <c r="BR471" s="237"/>
      <c r="BS471" s="237"/>
      <c r="BT471" s="237"/>
      <c r="BU471" s="237"/>
      <c r="BV471" s="237"/>
      <c r="BW471" s="237"/>
      <c r="BX471" s="237"/>
      <c r="BY471" s="237"/>
      <c r="BZ471" s="237"/>
      <c r="CA471" s="237"/>
      <c r="CB471" s="237"/>
      <c r="CC471" s="237"/>
      <c r="CD471" s="237"/>
      <c r="CE471" s="237"/>
      <c r="CF471" s="237"/>
      <c r="CG471" s="237"/>
      <c r="CH471" s="237"/>
      <c r="CI471" s="237"/>
      <c r="CJ471" s="237"/>
      <c r="CK471" s="237"/>
      <c r="CL471" s="237"/>
      <c r="CM471" s="237"/>
      <c r="CN471" s="237"/>
      <c r="CO471" s="237"/>
      <c r="CP471" s="237"/>
      <c r="CQ471" s="237"/>
      <c r="CR471" s="237"/>
      <c r="CS471" s="237"/>
      <c r="CT471" s="237"/>
      <c r="CU471" s="237"/>
      <c r="CV471" s="237"/>
      <c r="CW471" s="237"/>
      <c r="CX471" s="237"/>
      <c r="CY471" s="237"/>
      <c r="CZ471" s="237"/>
      <c r="DA471" s="237"/>
      <c r="DB471" s="237"/>
      <c r="DC471" s="237"/>
      <c r="DD471" s="237"/>
      <c r="DE471" s="237"/>
      <c r="DF471" s="237"/>
      <c r="DG471" s="237"/>
      <c r="DH471" s="237"/>
      <c r="DI471" s="237"/>
      <c r="DJ471" s="237"/>
      <c r="DK471" s="237"/>
      <c r="DL471" s="237"/>
      <c r="DM471" s="237"/>
      <c r="DN471" s="237"/>
      <c r="DO471" s="237"/>
      <c r="DP471" s="237"/>
      <c r="DQ471" s="237"/>
      <c r="DR471" s="237"/>
      <c r="DS471" s="237"/>
      <c r="DT471" s="237"/>
      <c r="DU471" s="237"/>
      <c r="DV471" s="237"/>
      <c r="DW471" s="237"/>
      <c r="DX471" s="237"/>
      <c r="DY471" s="237"/>
      <c r="DZ471" s="237"/>
      <c r="EA471" s="237"/>
      <c r="EB471" s="237"/>
      <c r="EC471" s="237"/>
      <c r="ED471" s="237"/>
      <c r="EE471" s="237"/>
      <c r="EF471" s="237"/>
      <c r="EG471" s="237"/>
      <c r="EH471" s="237"/>
      <c r="EI471" s="237"/>
      <c r="EJ471" s="237"/>
      <c r="EK471" s="237"/>
      <c r="EL471" s="237"/>
      <c r="EM471" s="237"/>
      <c r="EN471" s="237"/>
      <c r="EO471" s="237"/>
      <c r="EP471" s="237"/>
      <c r="EQ471" s="237"/>
      <c r="ER471" s="237"/>
      <c r="ES471" s="9"/>
      <c r="ET471" s="9"/>
      <c r="EU471" s="9"/>
      <c r="EV471" s="9"/>
      <c r="EW471" s="9"/>
      <c r="EX471" s="9"/>
      <c r="EY471" s="9"/>
      <c r="EZ471" s="9"/>
      <c r="FA471" s="9"/>
      <c r="FB471" s="9"/>
      <c r="FC471" s="9"/>
      <c r="FD471" s="9"/>
      <c r="FE471" s="9"/>
      <c r="FF471" s="9"/>
      <c r="FG471" s="9"/>
      <c r="FH471" s="9"/>
      <c r="FI471" s="9"/>
      <c r="FJ471" s="9"/>
      <c r="FK471" s="9"/>
      <c r="FL471" s="9"/>
      <c r="FM471" s="9"/>
      <c r="FN471" s="9"/>
      <c r="FO471" s="9"/>
      <c r="FP471" s="9"/>
    </row>
    <row r="472" customFormat="false" ht="15" hidden="false" customHeight="false" outlineLevel="2" collapsed="false">
      <c r="B472" s="47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237"/>
      <c r="AD472" s="237"/>
      <c r="AE472" s="237"/>
      <c r="AF472" s="237"/>
      <c r="AG472" s="237"/>
      <c r="AH472" s="237"/>
      <c r="AI472" s="237"/>
      <c r="AJ472" s="237"/>
      <c r="AK472" s="237"/>
      <c r="AL472" s="237"/>
      <c r="AM472" s="237"/>
      <c r="AN472" s="237"/>
      <c r="AO472" s="237"/>
      <c r="AP472" s="237"/>
      <c r="AQ472" s="237"/>
      <c r="AR472" s="237"/>
      <c r="AS472" s="237"/>
      <c r="AT472" s="237"/>
      <c r="AU472" s="237"/>
      <c r="AV472" s="237"/>
      <c r="AW472" s="237"/>
      <c r="AX472" s="237"/>
      <c r="AY472" s="237"/>
      <c r="AZ472" s="237"/>
      <c r="BA472" s="237"/>
      <c r="BB472" s="237"/>
      <c r="BC472" s="237"/>
      <c r="BD472" s="237"/>
      <c r="BE472" s="237"/>
      <c r="BF472" s="237"/>
      <c r="BG472" s="237"/>
      <c r="BH472" s="237"/>
      <c r="BI472" s="237"/>
      <c r="BJ472" s="237"/>
      <c r="BK472" s="237"/>
      <c r="BL472" s="237"/>
      <c r="BM472" s="237"/>
      <c r="BN472" s="237"/>
      <c r="BO472" s="237"/>
      <c r="BP472" s="237"/>
      <c r="BQ472" s="237"/>
      <c r="BR472" s="237"/>
      <c r="BS472" s="237"/>
      <c r="BT472" s="237"/>
      <c r="BU472" s="237"/>
      <c r="BV472" s="237"/>
      <c r="BW472" s="237"/>
      <c r="BX472" s="237"/>
      <c r="BY472" s="237"/>
      <c r="BZ472" s="237"/>
      <c r="CA472" s="237"/>
      <c r="CB472" s="237"/>
      <c r="CC472" s="237"/>
      <c r="CD472" s="237"/>
      <c r="CE472" s="237"/>
      <c r="CF472" s="237"/>
      <c r="CG472" s="237"/>
      <c r="CH472" s="237"/>
      <c r="CI472" s="237"/>
      <c r="CJ472" s="237"/>
      <c r="CK472" s="237"/>
      <c r="CL472" s="237"/>
      <c r="CM472" s="237"/>
      <c r="CN472" s="237"/>
      <c r="CO472" s="237"/>
      <c r="CP472" s="237"/>
      <c r="CQ472" s="237"/>
      <c r="CR472" s="237"/>
      <c r="CS472" s="237"/>
      <c r="CT472" s="237"/>
      <c r="CU472" s="237"/>
      <c r="CV472" s="237"/>
      <c r="CW472" s="237"/>
      <c r="CX472" s="237"/>
      <c r="CY472" s="237"/>
      <c r="CZ472" s="237"/>
      <c r="DA472" s="237"/>
      <c r="DB472" s="237"/>
      <c r="DC472" s="237"/>
      <c r="DD472" s="237"/>
      <c r="DE472" s="237"/>
      <c r="DF472" s="237"/>
      <c r="DG472" s="237"/>
      <c r="DH472" s="237"/>
      <c r="DI472" s="237"/>
      <c r="DJ472" s="237"/>
      <c r="DK472" s="237"/>
      <c r="DL472" s="237"/>
      <c r="DM472" s="237"/>
      <c r="DN472" s="237"/>
      <c r="DO472" s="237"/>
      <c r="DP472" s="237"/>
      <c r="DQ472" s="237"/>
      <c r="DR472" s="237"/>
      <c r="DS472" s="237"/>
      <c r="DT472" s="237"/>
      <c r="DU472" s="237"/>
      <c r="DV472" s="237"/>
      <c r="DW472" s="237"/>
      <c r="DX472" s="237"/>
      <c r="DY472" s="237"/>
      <c r="DZ472" s="237"/>
      <c r="EA472" s="237"/>
      <c r="EB472" s="237"/>
      <c r="EC472" s="237"/>
      <c r="ED472" s="237"/>
      <c r="EE472" s="237"/>
      <c r="EF472" s="237"/>
      <c r="EG472" s="237"/>
      <c r="EH472" s="237"/>
      <c r="EI472" s="237"/>
      <c r="EJ472" s="237"/>
      <c r="EK472" s="237"/>
      <c r="EL472" s="237"/>
      <c r="EM472" s="237"/>
      <c r="EN472" s="237"/>
      <c r="EO472" s="237"/>
      <c r="EP472" s="237"/>
      <c r="EQ472" s="237"/>
      <c r="ER472" s="237"/>
      <c r="ES472" s="9"/>
      <c r="ET472" s="9"/>
      <c r="EU472" s="9"/>
      <c r="EV472" s="9"/>
      <c r="EW472" s="9"/>
      <c r="EX472" s="9"/>
      <c r="EY472" s="9"/>
      <c r="EZ472" s="9"/>
      <c r="FA472" s="9"/>
      <c r="FB472" s="9"/>
      <c r="FC472" s="9"/>
      <c r="FD472" s="9"/>
      <c r="FE472" s="9"/>
      <c r="FF472" s="9"/>
      <c r="FG472" s="9"/>
      <c r="FH472" s="9"/>
      <c r="FI472" s="9"/>
      <c r="FJ472" s="9"/>
      <c r="FK472" s="9"/>
      <c r="FL472" s="9"/>
      <c r="FM472" s="9"/>
      <c r="FN472" s="9"/>
      <c r="FO472" s="9"/>
      <c r="FP472" s="9"/>
    </row>
    <row r="473" customFormat="false" ht="15" hidden="false" customHeight="false" outlineLevel="2" collapsed="false">
      <c r="B473" s="47" t="s">
        <v>920</v>
      </c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237"/>
      <c r="AD473" s="237"/>
      <c r="AE473" s="237"/>
      <c r="AF473" s="237"/>
      <c r="AG473" s="237"/>
      <c r="AH473" s="237"/>
      <c r="AI473" s="237"/>
      <c r="AJ473" s="237"/>
      <c r="AK473" s="237"/>
      <c r="AL473" s="237"/>
      <c r="AM473" s="237"/>
      <c r="AN473" s="237"/>
      <c r="AO473" s="237"/>
      <c r="AP473" s="237"/>
      <c r="AQ473" s="237"/>
      <c r="AR473" s="237"/>
      <c r="AS473" s="237"/>
      <c r="AT473" s="237"/>
      <c r="AU473" s="237"/>
      <c r="AV473" s="237"/>
      <c r="AW473" s="237"/>
      <c r="AX473" s="237"/>
      <c r="AY473" s="237"/>
      <c r="AZ473" s="237"/>
      <c r="BA473" s="237"/>
      <c r="BB473" s="237"/>
      <c r="BC473" s="237"/>
      <c r="BD473" s="237"/>
      <c r="BE473" s="237"/>
      <c r="BF473" s="237"/>
      <c r="BG473" s="237"/>
      <c r="BH473" s="237"/>
      <c r="BI473" s="237"/>
      <c r="BJ473" s="237"/>
      <c r="BK473" s="237"/>
      <c r="BL473" s="237"/>
      <c r="BM473" s="237"/>
      <c r="BN473" s="237"/>
      <c r="BO473" s="237"/>
      <c r="BP473" s="237"/>
      <c r="BQ473" s="237"/>
      <c r="BR473" s="237"/>
      <c r="BS473" s="237"/>
      <c r="BT473" s="237"/>
      <c r="BU473" s="237"/>
      <c r="BV473" s="237"/>
      <c r="BW473" s="237"/>
      <c r="BX473" s="237"/>
      <c r="BY473" s="237"/>
      <c r="BZ473" s="237"/>
      <c r="CA473" s="237"/>
      <c r="CB473" s="237"/>
      <c r="CC473" s="237"/>
      <c r="CD473" s="237"/>
      <c r="CE473" s="237"/>
      <c r="CF473" s="237"/>
      <c r="CG473" s="237"/>
      <c r="CH473" s="237"/>
      <c r="CI473" s="237"/>
      <c r="CJ473" s="237"/>
      <c r="CK473" s="237"/>
      <c r="CL473" s="237"/>
      <c r="CM473" s="237"/>
      <c r="CN473" s="237"/>
      <c r="CO473" s="237"/>
      <c r="CP473" s="237"/>
      <c r="CQ473" s="237"/>
      <c r="CR473" s="237"/>
      <c r="CS473" s="237"/>
      <c r="CT473" s="237"/>
      <c r="CU473" s="237"/>
      <c r="CV473" s="237"/>
      <c r="CW473" s="237"/>
      <c r="CX473" s="237"/>
      <c r="CY473" s="237"/>
      <c r="CZ473" s="237"/>
      <c r="DA473" s="237"/>
      <c r="DB473" s="237"/>
      <c r="DC473" s="237"/>
      <c r="DD473" s="237"/>
      <c r="DE473" s="237"/>
      <c r="DF473" s="237"/>
      <c r="DG473" s="237"/>
      <c r="DH473" s="237"/>
      <c r="DI473" s="237"/>
      <c r="DJ473" s="237"/>
      <c r="DK473" s="237"/>
      <c r="DL473" s="237"/>
      <c r="DM473" s="237"/>
      <c r="DN473" s="237"/>
      <c r="DO473" s="237"/>
      <c r="DP473" s="237"/>
      <c r="DQ473" s="237"/>
      <c r="DR473" s="237"/>
      <c r="DS473" s="237"/>
      <c r="DT473" s="237"/>
      <c r="DU473" s="237"/>
      <c r="DV473" s="237"/>
      <c r="DW473" s="237"/>
      <c r="DX473" s="237"/>
      <c r="DY473" s="237"/>
      <c r="DZ473" s="237"/>
      <c r="EA473" s="237"/>
      <c r="EB473" s="237"/>
      <c r="EC473" s="237"/>
      <c r="ED473" s="237"/>
      <c r="EE473" s="237"/>
      <c r="EF473" s="237"/>
      <c r="EG473" s="237"/>
      <c r="EH473" s="237"/>
      <c r="EI473" s="237"/>
      <c r="EJ473" s="237"/>
      <c r="EK473" s="237"/>
      <c r="EL473" s="237"/>
      <c r="EM473" s="237"/>
      <c r="EN473" s="237"/>
      <c r="EO473" s="237"/>
      <c r="EP473" s="237"/>
      <c r="EQ473" s="237"/>
      <c r="ER473" s="237"/>
      <c r="ES473" s="9"/>
      <c r="ET473" s="9"/>
      <c r="EU473" s="9"/>
      <c r="EV473" s="9"/>
      <c r="EW473" s="9"/>
      <c r="EX473" s="9"/>
      <c r="EY473" s="9"/>
      <c r="EZ473" s="9"/>
      <c r="FA473" s="9"/>
      <c r="FB473" s="9"/>
      <c r="FC473" s="9"/>
      <c r="FD473" s="9"/>
      <c r="FE473" s="9"/>
      <c r="FF473" s="9"/>
      <c r="FG473" s="9"/>
      <c r="FH473" s="9"/>
      <c r="FI473" s="9"/>
      <c r="FJ473" s="9"/>
      <c r="FK473" s="9"/>
      <c r="FL473" s="9"/>
      <c r="FM473" s="9"/>
      <c r="FN473" s="9"/>
      <c r="FO473" s="9"/>
      <c r="FP473" s="9"/>
    </row>
    <row r="474" customFormat="false" ht="15" hidden="false" customHeight="false" outlineLevel="2" collapsed="false">
      <c r="B474" s="47" t="s">
        <v>872</v>
      </c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237" t="n">
        <f aca="false">('⑫ Roll-out Plan'!G52-2025)*12+'⑫ Roll-out Plan'!F52</f>
        <v>111</v>
      </c>
      <c r="AD474" s="237"/>
      <c r="AE474" s="237"/>
      <c r="AF474" s="237"/>
      <c r="AG474" s="237"/>
      <c r="AH474" s="237"/>
      <c r="AI474" s="237"/>
      <c r="AJ474" s="237"/>
      <c r="AK474" s="237"/>
      <c r="AL474" s="237"/>
      <c r="AM474" s="237"/>
      <c r="AN474" s="237"/>
      <c r="AO474" s="237"/>
      <c r="AP474" s="237"/>
      <c r="AQ474" s="237"/>
      <c r="AR474" s="237"/>
      <c r="AS474" s="237"/>
      <c r="AT474" s="237"/>
      <c r="AU474" s="237"/>
      <c r="AV474" s="237"/>
      <c r="AW474" s="237"/>
      <c r="AX474" s="237"/>
      <c r="AY474" s="237"/>
      <c r="AZ474" s="237"/>
      <c r="BA474" s="237"/>
      <c r="BB474" s="237"/>
      <c r="BC474" s="237"/>
      <c r="BD474" s="237"/>
      <c r="BE474" s="237"/>
      <c r="BF474" s="237"/>
      <c r="BG474" s="237"/>
      <c r="BH474" s="237"/>
      <c r="BI474" s="237"/>
      <c r="BJ474" s="237"/>
      <c r="BK474" s="237"/>
      <c r="BL474" s="237"/>
      <c r="BM474" s="237"/>
      <c r="BN474" s="237"/>
      <c r="BO474" s="237"/>
      <c r="BP474" s="237"/>
      <c r="BQ474" s="237"/>
      <c r="BR474" s="237"/>
      <c r="BS474" s="237"/>
      <c r="BT474" s="237"/>
      <c r="BU474" s="237"/>
      <c r="BV474" s="237"/>
      <c r="BW474" s="237"/>
      <c r="BX474" s="237"/>
      <c r="BY474" s="237"/>
      <c r="BZ474" s="237"/>
      <c r="CA474" s="237"/>
      <c r="CB474" s="237"/>
      <c r="CC474" s="237"/>
      <c r="CD474" s="237"/>
      <c r="CE474" s="237"/>
      <c r="CF474" s="237"/>
      <c r="CG474" s="237"/>
      <c r="CH474" s="237"/>
      <c r="CI474" s="237"/>
      <c r="CJ474" s="237"/>
      <c r="CK474" s="237"/>
      <c r="CL474" s="237"/>
      <c r="CM474" s="237"/>
      <c r="CN474" s="237"/>
      <c r="CO474" s="237"/>
      <c r="CP474" s="237"/>
      <c r="CQ474" s="237"/>
      <c r="CR474" s="237"/>
      <c r="CS474" s="237"/>
      <c r="CT474" s="237"/>
      <c r="CU474" s="237"/>
      <c r="CV474" s="237"/>
      <c r="CW474" s="237"/>
      <c r="CX474" s="237"/>
      <c r="CY474" s="237"/>
      <c r="CZ474" s="237"/>
      <c r="DA474" s="237"/>
      <c r="DB474" s="237"/>
      <c r="DC474" s="237"/>
      <c r="DD474" s="237"/>
      <c r="DE474" s="237"/>
      <c r="DF474" s="237"/>
      <c r="DG474" s="237"/>
      <c r="DH474" s="237"/>
      <c r="DI474" s="237"/>
      <c r="DJ474" s="237"/>
      <c r="DK474" s="237"/>
      <c r="DL474" s="237"/>
      <c r="DM474" s="237"/>
      <c r="DN474" s="237"/>
      <c r="DO474" s="237"/>
      <c r="DP474" s="237"/>
      <c r="DQ474" s="237"/>
      <c r="DR474" s="237"/>
      <c r="DS474" s="237"/>
      <c r="DT474" s="237"/>
      <c r="DU474" s="237"/>
      <c r="DV474" s="237"/>
      <c r="DW474" s="237"/>
      <c r="DX474" s="237"/>
      <c r="DY474" s="237"/>
      <c r="DZ474" s="237"/>
      <c r="EA474" s="237"/>
      <c r="EB474" s="237"/>
      <c r="EC474" s="237"/>
      <c r="ED474" s="237"/>
      <c r="EE474" s="237"/>
      <c r="EF474" s="237"/>
      <c r="EG474" s="237"/>
      <c r="EH474" s="237"/>
      <c r="EI474" s="237"/>
      <c r="EJ474" s="237"/>
      <c r="EK474" s="237"/>
      <c r="EL474" s="237"/>
      <c r="EM474" s="237"/>
      <c r="EN474" s="237"/>
      <c r="EO474" s="237"/>
      <c r="EP474" s="237"/>
      <c r="EQ474" s="237"/>
      <c r="ER474" s="237"/>
      <c r="ES474" s="9"/>
      <c r="ET474" s="9"/>
      <c r="EU474" s="9"/>
      <c r="EV474" s="9"/>
      <c r="EW474" s="9"/>
      <c r="EX474" s="9"/>
      <c r="EY474" s="9"/>
      <c r="EZ474" s="9"/>
      <c r="FA474" s="9"/>
      <c r="FB474" s="9"/>
      <c r="FC474" s="9"/>
      <c r="FD474" s="9"/>
      <c r="FE474" s="9"/>
      <c r="FF474" s="9"/>
      <c r="FG474" s="9"/>
      <c r="FH474" s="9"/>
      <c r="FI474" s="9"/>
      <c r="FJ474" s="9"/>
      <c r="FK474" s="9"/>
      <c r="FL474" s="9"/>
      <c r="FM474" s="9"/>
      <c r="FN474" s="9"/>
      <c r="FO474" s="9"/>
      <c r="FP474" s="9"/>
    </row>
    <row r="475" customFormat="false" ht="15" hidden="false" customHeight="false" outlineLevel="2" collapsed="false">
      <c r="B475" s="47" t="s">
        <v>873</v>
      </c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237" t="n">
        <f aca="false">VLOOKUP("C",$B$14:$C$18,2,FALSE())</f>
        <v>110</v>
      </c>
      <c r="AD475" s="237"/>
      <c r="AE475" s="237"/>
      <c r="AF475" s="237"/>
      <c r="AG475" s="237"/>
      <c r="AH475" s="237"/>
      <c r="AI475" s="237"/>
      <c r="AJ475" s="237"/>
      <c r="AK475" s="237"/>
      <c r="AL475" s="237"/>
      <c r="AM475" s="237"/>
      <c r="AN475" s="237"/>
      <c r="AO475" s="237"/>
      <c r="AP475" s="237"/>
      <c r="AQ475" s="237"/>
      <c r="AR475" s="237"/>
      <c r="AS475" s="237"/>
      <c r="AT475" s="237"/>
      <c r="AU475" s="237"/>
      <c r="AV475" s="237"/>
      <c r="AW475" s="237"/>
      <c r="AX475" s="237"/>
      <c r="AY475" s="237"/>
      <c r="AZ475" s="237"/>
      <c r="BA475" s="237"/>
      <c r="BB475" s="237"/>
      <c r="BC475" s="237"/>
      <c r="BD475" s="237"/>
      <c r="BE475" s="237"/>
      <c r="BF475" s="237"/>
      <c r="BG475" s="237"/>
      <c r="BH475" s="237"/>
      <c r="BI475" s="237"/>
      <c r="BJ475" s="237"/>
      <c r="BK475" s="237"/>
      <c r="BL475" s="237"/>
      <c r="BM475" s="237"/>
      <c r="BN475" s="237"/>
      <c r="BO475" s="237"/>
      <c r="BP475" s="237"/>
      <c r="BQ475" s="237"/>
      <c r="BR475" s="237"/>
      <c r="BS475" s="237"/>
      <c r="BT475" s="237"/>
      <c r="BU475" s="237"/>
      <c r="BV475" s="237"/>
      <c r="BW475" s="237"/>
      <c r="BX475" s="237"/>
      <c r="BY475" s="237"/>
      <c r="BZ475" s="237"/>
      <c r="CA475" s="237"/>
      <c r="CB475" s="237"/>
      <c r="CC475" s="237"/>
      <c r="CD475" s="237"/>
      <c r="CE475" s="237"/>
      <c r="CF475" s="237"/>
      <c r="CG475" s="237"/>
      <c r="CH475" s="237"/>
      <c r="CI475" s="237"/>
      <c r="CJ475" s="237"/>
      <c r="CK475" s="237"/>
      <c r="CL475" s="237"/>
      <c r="CM475" s="237"/>
      <c r="CN475" s="237"/>
      <c r="CO475" s="237"/>
      <c r="CP475" s="237"/>
      <c r="CQ475" s="237"/>
      <c r="CR475" s="237"/>
      <c r="CS475" s="237"/>
      <c r="CT475" s="237"/>
      <c r="CU475" s="237"/>
      <c r="CV475" s="237"/>
      <c r="CW475" s="237"/>
      <c r="CX475" s="237"/>
      <c r="CY475" s="237"/>
      <c r="CZ475" s="237"/>
      <c r="DA475" s="237"/>
      <c r="DB475" s="237"/>
      <c r="DC475" s="237"/>
      <c r="DD475" s="237"/>
      <c r="DE475" s="237"/>
      <c r="DF475" s="237"/>
      <c r="DG475" s="237"/>
      <c r="DH475" s="237"/>
      <c r="DI475" s="237"/>
      <c r="DJ475" s="237"/>
      <c r="DK475" s="237"/>
      <c r="DL475" s="237"/>
      <c r="DM475" s="237"/>
      <c r="DN475" s="237"/>
      <c r="DO475" s="237"/>
      <c r="DP475" s="237"/>
      <c r="DQ475" s="237"/>
      <c r="DR475" s="237"/>
      <c r="DS475" s="237"/>
      <c r="DT475" s="237"/>
      <c r="DU475" s="237"/>
      <c r="DV475" s="237"/>
      <c r="DW475" s="237"/>
      <c r="DX475" s="237"/>
      <c r="DY475" s="237"/>
      <c r="DZ475" s="237"/>
      <c r="EA475" s="237"/>
      <c r="EB475" s="237"/>
      <c r="EC475" s="237"/>
      <c r="ED475" s="237"/>
      <c r="EE475" s="237"/>
      <c r="EF475" s="237"/>
      <c r="EG475" s="237"/>
      <c r="EH475" s="237"/>
      <c r="EI475" s="237"/>
      <c r="EJ475" s="237"/>
      <c r="EK475" s="237"/>
      <c r="EL475" s="237"/>
      <c r="EM475" s="237"/>
      <c r="EN475" s="237"/>
      <c r="EO475" s="237"/>
      <c r="EP475" s="237"/>
      <c r="EQ475" s="237"/>
      <c r="ER475" s="237"/>
      <c r="ES475" s="9"/>
      <c r="ET475" s="9"/>
      <c r="EU475" s="9"/>
      <c r="EV475" s="9"/>
      <c r="EW475" s="9"/>
      <c r="EX475" s="9"/>
      <c r="EY475" s="9"/>
      <c r="EZ475" s="9"/>
      <c r="FA475" s="9"/>
      <c r="FB475" s="9"/>
      <c r="FC475" s="9"/>
      <c r="FD475" s="9"/>
      <c r="FE475" s="9"/>
      <c r="FF475" s="9"/>
      <c r="FG475" s="9"/>
      <c r="FH475" s="9"/>
      <c r="FI475" s="9"/>
      <c r="FJ475" s="9"/>
      <c r="FK475" s="9"/>
      <c r="FL475" s="9"/>
      <c r="FM475" s="9"/>
      <c r="FN475" s="9"/>
      <c r="FO475" s="9"/>
      <c r="FP475" s="9"/>
    </row>
    <row r="476" customFormat="false" ht="15" hidden="false" customHeight="false" outlineLevel="2" collapsed="false">
      <c r="B476" s="47" t="s">
        <v>799</v>
      </c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237" t="n">
        <f aca="false">IF(AC$35&gt;=$AC$474,AC$35-$AC$474+1,0)</f>
        <v>0</v>
      </c>
      <c r="AD476" s="237" t="n">
        <f aca="false">IF(AD$35&gt;=$AC$474,AD$35-$AC$474+1,0)</f>
        <v>0</v>
      </c>
      <c r="AE476" s="237" t="n">
        <f aca="false">IF(AE$35&gt;=$AC$474,AE$35-$AC$474+1,0)</f>
        <v>0</v>
      </c>
      <c r="AF476" s="237" t="n">
        <f aca="false">IF(AF$35&gt;=$AC$474,AF$35-$AC$474+1,0)</f>
        <v>0</v>
      </c>
      <c r="AG476" s="237" t="n">
        <f aca="false">IF(AG$35&gt;=$AC$474,AG$35-$AC$474+1,0)</f>
        <v>0</v>
      </c>
      <c r="AH476" s="237" t="n">
        <f aca="false">IF(AH$35&gt;=$AC$474,AH$35-$AC$474+1,0)</f>
        <v>0</v>
      </c>
      <c r="AI476" s="237" t="n">
        <f aca="false">IF(AI$35&gt;=$AC$474,AI$35-$AC$474+1,0)</f>
        <v>0</v>
      </c>
      <c r="AJ476" s="237" t="n">
        <f aca="false">IF(AJ$35&gt;=$AC$474,AJ$35-$AC$474+1,0)</f>
        <v>0</v>
      </c>
      <c r="AK476" s="237" t="n">
        <f aca="false">IF(AK$35&gt;=$AC$474,AK$35-$AC$474+1,0)</f>
        <v>0</v>
      </c>
      <c r="AL476" s="237" t="n">
        <f aca="false">IF(AL$35&gt;=$AC$474,AL$35-$AC$474+1,0)</f>
        <v>0</v>
      </c>
      <c r="AM476" s="237" t="n">
        <f aca="false">IF(AM$35&gt;=$AC$474,AM$35-$AC$474+1,0)</f>
        <v>0</v>
      </c>
      <c r="AN476" s="237" t="n">
        <f aca="false">IF(AN$35&gt;=$AC$474,AN$35-$AC$474+1,0)</f>
        <v>0</v>
      </c>
      <c r="AO476" s="237" t="n">
        <f aca="false">IF(AO$35&gt;=$AC$474,AO$35-$AC$474+1,0)</f>
        <v>0</v>
      </c>
      <c r="AP476" s="237" t="n">
        <f aca="false">IF(AP$35&gt;=$AC$474,AP$35-$AC$474+1,0)</f>
        <v>0</v>
      </c>
      <c r="AQ476" s="237" t="n">
        <f aca="false">IF(AQ$35&gt;=$AC$474,AQ$35-$AC$474+1,0)</f>
        <v>0</v>
      </c>
      <c r="AR476" s="237" t="n">
        <f aca="false">IF(AR$35&gt;=$AC$474,AR$35-$AC$474+1,0)</f>
        <v>0</v>
      </c>
      <c r="AS476" s="237" t="n">
        <f aca="false">IF(AS$35&gt;=$AC$474,AS$35-$AC$474+1,0)</f>
        <v>0</v>
      </c>
      <c r="AT476" s="237" t="n">
        <f aca="false">IF(AT$35&gt;=$AC$474,AT$35-$AC$474+1,0)</f>
        <v>0</v>
      </c>
      <c r="AU476" s="237" t="n">
        <f aca="false">IF(AU$35&gt;=$AC$474,AU$35-$AC$474+1,0)</f>
        <v>0</v>
      </c>
      <c r="AV476" s="237" t="n">
        <f aca="false">IF(AV$35&gt;=$AC$474,AV$35-$AC$474+1,0)</f>
        <v>0</v>
      </c>
      <c r="AW476" s="237" t="n">
        <f aca="false">IF(AW$35&gt;=$AC$474,AW$35-$AC$474+1,0)</f>
        <v>0</v>
      </c>
      <c r="AX476" s="237" t="n">
        <f aca="false">IF(AX$35&gt;=$AC$474,AX$35-$AC$474+1,0)</f>
        <v>0</v>
      </c>
      <c r="AY476" s="237" t="n">
        <f aca="false">IF(AY$35&gt;=$AC$474,AY$35-$AC$474+1,0)</f>
        <v>0</v>
      </c>
      <c r="AZ476" s="237" t="n">
        <f aca="false">IF(AZ$35&gt;=$AC$474,AZ$35-$AC$474+1,0)</f>
        <v>0</v>
      </c>
      <c r="BA476" s="237" t="n">
        <f aca="false">IF(BA$35&gt;=$AC$474,BA$35-$AC$474+1,0)</f>
        <v>0</v>
      </c>
      <c r="BB476" s="237" t="n">
        <f aca="false">IF(BB$35&gt;=$AC$474,BB$35-$AC$474+1,0)</f>
        <v>0</v>
      </c>
      <c r="BC476" s="237" t="n">
        <f aca="false">IF(BC$35&gt;=$AC$474,BC$35-$AC$474+1,0)</f>
        <v>0</v>
      </c>
      <c r="BD476" s="237" t="n">
        <f aca="false">IF(BD$35&gt;=$AC$474,BD$35-$AC$474+1,0)</f>
        <v>0</v>
      </c>
      <c r="BE476" s="237" t="n">
        <f aca="false">IF(BE$35&gt;=$AC$474,BE$35-$AC$474+1,0)</f>
        <v>0</v>
      </c>
      <c r="BF476" s="237" t="n">
        <f aca="false">IF(BF$35&gt;=$AC$474,BF$35-$AC$474+1,0)</f>
        <v>0</v>
      </c>
      <c r="BG476" s="237" t="n">
        <f aca="false">IF(BG$35&gt;=$AC$474,BG$35-$AC$474+1,0)</f>
        <v>0</v>
      </c>
      <c r="BH476" s="237" t="n">
        <f aca="false">IF(BH$35&gt;=$AC$474,BH$35-$AC$474+1,0)</f>
        <v>0</v>
      </c>
      <c r="BI476" s="237" t="n">
        <f aca="false">IF(BI$35&gt;=$AC$474,BI$35-$AC$474+1,0)</f>
        <v>0</v>
      </c>
      <c r="BJ476" s="237" t="n">
        <f aca="false">IF(BJ$35&gt;=$AC$474,BJ$35-$AC$474+1,0)</f>
        <v>0</v>
      </c>
      <c r="BK476" s="237" t="n">
        <f aca="false">IF(BK$35&gt;=$AC$474,BK$35-$AC$474+1,0)</f>
        <v>0</v>
      </c>
      <c r="BL476" s="237" t="n">
        <f aca="false">IF(BL$35&gt;=$AC$474,BL$35-$AC$474+1,0)</f>
        <v>0</v>
      </c>
      <c r="BM476" s="237" t="n">
        <f aca="false">IF(BM$35&gt;=$AC$474,BM$35-$AC$474+1,0)</f>
        <v>0</v>
      </c>
      <c r="BN476" s="237" t="n">
        <f aca="false">IF(BN$35&gt;=$AC$474,BN$35-$AC$474+1,0)</f>
        <v>0</v>
      </c>
      <c r="BO476" s="237" t="n">
        <f aca="false">IF(BO$35&gt;=$AC$474,BO$35-$AC$474+1,0)</f>
        <v>0</v>
      </c>
      <c r="BP476" s="237" t="n">
        <f aca="false">IF(BP$35&gt;=$AC$474,BP$35-$AC$474+1,0)</f>
        <v>0</v>
      </c>
      <c r="BQ476" s="237" t="n">
        <f aca="false">IF(BQ$35&gt;=$AC$474,BQ$35-$AC$474+1,0)</f>
        <v>0</v>
      </c>
      <c r="BR476" s="237" t="n">
        <f aca="false">IF(BR$35&gt;=$AC$474,BR$35-$AC$474+1,0)</f>
        <v>0</v>
      </c>
      <c r="BS476" s="237" t="n">
        <f aca="false">IF(BS$35&gt;=$AC$474,BS$35-$AC$474+1,0)</f>
        <v>0</v>
      </c>
      <c r="BT476" s="237" t="n">
        <f aca="false">IF(BT$35&gt;=$AC$474,BT$35-$AC$474+1,0)</f>
        <v>0</v>
      </c>
      <c r="BU476" s="237" t="n">
        <f aca="false">IF(BU$35&gt;=$AC$474,BU$35-$AC$474+1,0)</f>
        <v>0</v>
      </c>
      <c r="BV476" s="237" t="n">
        <f aca="false">IF(BV$35&gt;=$AC$474,BV$35-$AC$474+1,0)</f>
        <v>0</v>
      </c>
      <c r="BW476" s="237" t="n">
        <f aca="false">IF(BW$35&gt;=$AC$474,BW$35-$AC$474+1,0)</f>
        <v>0</v>
      </c>
      <c r="BX476" s="237" t="n">
        <f aca="false">IF(BX$35&gt;=$AC$474,BX$35-$AC$474+1,0)</f>
        <v>0</v>
      </c>
      <c r="BY476" s="237" t="n">
        <f aca="false">IF(BY$35&gt;=$AC$474,BY$35-$AC$474+1,0)</f>
        <v>0</v>
      </c>
      <c r="BZ476" s="237" t="n">
        <f aca="false">IF(BZ$35&gt;=$AC$474,BZ$35-$AC$474+1,0)</f>
        <v>0</v>
      </c>
      <c r="CA476" s="237" t="n">
        <f aca="false">IF(CA$35&gt;=$AC$474,CA$35-$AC$474+1,0)</f>
        <v>0</v>
      </c>
      <c r="CB476" s="237" t="n">
        <f aca="false">IF(CB$35&gt;=$AC$474,CB$35-$AC$474+1,0)</f>
        <v>0</v>
      </c>
      <c r="CC476" s="237" t="n">
        <f aca="false">IF(CC$35&gt;=$AC$474,CC$35-$AC$474+1,0)</f>
        <v>0</v>
      </c>
      <c r="CD476" s="237" t="n">
        <f aca="false">IF(CD$35&gt;=$AC$474,CD$35-$AC$474+1,0)</f>
        <v>0</v>
      </c>
      <c r="CE476" s="237" t="n">
        <f aca="false">IF(CE$35&gt;=$AC$474,CE$35-$AC$474+1,0)</f>
        <v>0</v>
      </c>
      <c r="CF476" s="237" t="n">
        <f aca="false">IF(CF$35&gt;=$AC$474,CF$35-$AC$474+1,0)</f>
        <v>0</v>
      </c>
      <c r="CG476" s="237" t="n">
        <f aca="false">IF(CG$35&gt;=$AC$474,CG$35-$AC$474+1,0)</f>
        <v>0</v>
      </c>
      <c r="CH476" s="237" t="n">
        <f aca="false">IF(CH$35&gt;=$AC$474,CH$35-$AC$474+1,0)</f>
        <v>0</v>
      </c>
      <c r="CI476" s="237" t="n">
        <f aca="false">IF(CI$35&gt;=$AC$474,CI$35-$AC$474+1,0)</f>
        <v>0</v>
      </c>
      <c r="CJ476" s="237" t="n">
        <f aca="false">IF(CJ$35&gt;=$AC$474,CJ$35-$AC$474+1,0)</f>
        <v>0</v>
      </c>
      <c r="CK476" s="237" t="n">
        <f aca="false">IF(CK$35&gt;=$AC$474,CK$35-$AC$474+1,0)</f>
        <v>0</v>
      </c>
      <c r="CL476" s="237" t="n">
        <f aca="false">IF(CL$35&gt;=$AC$474,CL$35-$AC$474+1,0)</f>
        <v>0</v>
      </c>
      <c r="CM476" s="237" t="n">
        <f aca="false">IF(CM$35&gt;=$AC$474,CM$35-$AC$474+1,0)</f>
        <v>0</v>
      </c>
      <c r="CN476" s="237" t="n">
        <f aca="false">IF(CN$35&gt;=$AC$474,CN$35-$AC$474+1,0)</f>
        <v>0</v>
      </c>
      <c r="CO476" s="237" t="n">
        <f aca="false">IF(CO$35&gt;=$AC$474,CO$35-$AC$474+1,0)</f>
        <v>0</v>
      </c>
      <c r="CP476" s="237" t="n">
        <f aca="false">IF(CP$35&gt;=$AC$474,CP$35-$AC$474+1,0)</f>
        <v>0</v>
      </c>
      <c r="CQ476" s="237" t="n">
        <f aca="false">IF(CQ$35&gt;=$AC$474,CQ$35-$AC$474+1,0)</f>
        <v>0</v>
      </c>
      <c r="CR476" s="237" t="n">
        <f aca="false">IF(CR$35&gt;=$AC$474,CR$35-$AC$474+1,0)</f>
        <v>0</v>
      </c>
      <c r="CS476" s="237" t="n">
        <f aca="false">IF(CS$35&gt;=$AC$474,CS$35-$AC$474+1,0)</f>
        <v>0</v>
      </c>
      <c r="CT476" s="237" t="n">
        <f aca="false">IF(CT$35&gt;=$AC$474,CT$35-$AC$474+1,0)</f>
        <v>0</v>
      </c>
      <c r="CU476" s="237" t="n">
        <f aca="false">IF(CU$35&gt;=$AC$474,CU$35-$AC$474+1,0)</f>
        <v>0</v>
      </c>
      <c r="CV476" s="237" t="n">
        <f aca="false">IF(CV$35&gt;=$AC$474,CV$35-$AC$474+1,0)</f>
        <v>0</v>
      </c>
      <c r="CW476" s="237" t="n">
        <f aca="false">IF(CW$35&gt;=$AC$474,CW$35-$AC$474+1,0)</f>
        <v>0</v>
      </c>
      <c r="CX476" s="237" t="n">
        <f aca="false">IF(CX$35&gt;=$AC$474,CX$35-$AC$474+1,0)</f>
        <v>0</v>
      </c>
      <c r="CY476" s="237" t="n">
        <f aca="false">IF(CY$35&gt;=$AC$474,CY$35-$AC$474+1,0)</f>
        <v>0</v>
      </c>
      <c r="CZ476" s="237" t="n">
        <f aca="false">IF(CZ$35&gt;=$AC$474,CZ$35-$AC$474+1,0)</f>
        <v>0</v>
      </c>
      <c r="DA476" s="237" t="n">
        <f aca="false">IF(DA$35&gt;=$AC$474,DA$35-$AC$474+1,0)</f>
        <v>0</v>
      </c>
      <c r="DB476" s="237" t="n">
        <f aca="false">IF(DB$35&gt;=$AC$474,DB$35-$AC$474+1,0)</f>
        <v>0</v>
      </c>
      <c r="DC476" s="237" t="n">
        <f aca="false">IF(DC$35&gt;=$AC$474,DC$35-$AC$474+1,0)</f>
        <v>0</v>
      </c>
      <c r="DD476" s="237" t="n">
        <f aca="false">IF(DD$35&gt;=$AC$474,DD$35-$AC$474+1,0)</f>
        <v>0</v>
      </c>
      <c r="DE476" s="237" t="n">
        <f aca="false">IF(DE$35&gt;=$AC$474,DE$35-$AC$474+1,0)</f>
        <v>0</v>
      </c>
      <c r="DF476" s="237" t="n">
        <f aca="false">IF(DF$35&gt;=$AC$474,DF$35-$AC$474+1,0)</f>
        <v>0</v>
      </c>
      <c r="DG476" s="237" t="n">
        <f aca="false">IF(DG$35&gt;=$AC$474,DG$35-$AC$474+1,0)</f>
        <v>0</v>
      </c>
      <c r="DH476" s="237" t="n">
        <f aca="false">IF(DH$35&gt;=$AC$474,DH$35-$AC$474+1,0)</f>
        <v>0</v>
      </c>
      <c r="DI476" s="237" t="n">
        <f aca="false">IF(DI$35&gt;=$AC$474,DI$35-$AC$474+1,0)</f>
        <v>0</v>
      </c>
      <c r="DJ476" s="237" t="n">
        <f aca="false">IF(DJ$35&gt;=$AC$474,DJ$35-$AC$474+1,0)</f>
        <v>0</v>
      </c>
      <c r="DK476" s="237" t="n">
        <f aca="false">IF(DK$35&gt;=$AC$474,DK$35-$AC$474+1,0)</f>
        <v>0</v>
      </c>
      <c r="DL476" s="237" t="n">
        <f aca="false">IF(DL$35&gt;=$AC$474,DL$35-$AC$474+1,0)</f>
        <v>0</v>
      </c>
      <c r="DM476" s="237" t="n">
        <f aca="false">IF(DM$35&gt;=$AC$474,DM$35-$AC$474+1,0)</f>
        <v>0</v>
      </c>
      <c r="DN476" s="237" t="n">
        <f aca="false">IF(DN$35&gt;=$AC$474,DN$35-$AC$474+1,0)</f>
        <v>0</v>
      </c>
      <c r="DO476" s="237" t="n">
        <f aca="false">IF(DO$35&gt;=$AC$474,DO$35-$AC$474+1,0)</f>
        <v>0</v>
      </c>
      <c r="DP476" s="237" t="n">
        <f aca="false">IF(DP$35&gt;=$AC$474,DP$35-$AC$474+1,0)</f>
        <v>0</v>
      </c>
      <c r="DQ476" s="237" t="n">
        <f aca="false">IF(DQ$35&gt;=$AC$474,DQ$35-$AC$474+1,0)</f>
        <v>0</v>
      </c>
      <c r="DR476" s="237" t="n">
        <f aca="false">IF(DR$35&gt;=$AC$474,DR$35-$AC$474+1,0)</f>
        <v>0</v>
      </c>
      <c r="DS476" s="237" t="n">
        <f aca="false">IF(DS$35&gt;=$AC$474,DS$35-$AC$474+1,0)</f>
        <v>0</v>
      </c>
      <c r="DT476" s="237" t="n">
        <f aca="false">IF(DT$35&gt;=$AC$474,DT$35-$AC$474+1,0)</f>
        <v>0</v>
      </c>
      <c r="DU476" s="237" t="n">
        <f aca="false">IF(DU$35&gt;=$AC$474,DU$35-$AC$474+1,0)</f>
        <v>0</v>
      </c>
      <c r="DV476" s="237" t="n">
        <f aca="false">IF(DV$35&gt;=$AC$474,DV$35-$AC$474+1,0)</f>
        <v>0</v>
      </c>
      <c r="DW476" s="237" t="n">
        <f aca="false">IF(DW$35&gt;=$AC$474,DW$35-$AC$474+1,0)</f>
        <v>0</v>
      </c>
      <c r="DX476" s="237" t="n">
        <f aca="false">IF(DX$35&gt;=$AC$474,DX$35-$AC$474+1,0)</f>
        <v>0</v>
      </c>
      <c r="DY476" s="237" t="n">
        <f aca="false">IF(DY$35&gt;=$AC$474,DY$35-$AC$474+1,0)</f>
        <v>0</v>
      </c>
      <c r="DZ476" s="237" t="n">
        <f aca="false">IF(DZ$35&gt;=$AC$474,DZ$35-$AC$474+1,0)</f>
        <v>0</v>
      </c>
      <c r="EA476" s="237" t="n">
        <f aca="false">IF(EA$35&gt;=$AC$474,EA$35-$AC$474+1,0)</f>
        <v>0</v>
      </c>
      <c r="EB476" s="237" t="n">
        <f aca="false">IF(EB$35&gt;=$AC$474,EB$35-$AC$474+1,0)</f>
        <v>0</v>
      </c>
      <c r="EC476" s="237" t="n">
        <f aca="false">IF(EC$35&gt;=$AC$474,EC$35-$AC$474+1,0)</f>
        <v>0</v>
      </c>
      <c r="ED476" s="237" t="n">
        <f aca="false">IF(ED$35&gt;=$AC$474,ED$35-$AC$474+1,0)</f>
        <v>0</v>
      </c>
      <c r="EE476" s="237" t="n">
        <f aca="false">IF(EE$35&gt;=$AC$474,EE$35-$AC$474+1,0)</f>
        <v>0</v>
      </c>
      <c r="EF476" s="237" t="n">
        <f aca="false">IF(EF$35&gt;=$AC$474,EF$35-$AC$474+1,0)</f>
        <v>0</v>
      </c>
      <c r="EG476" s="237" t="n">
        <f aca="false">IF(EG$35&gt;=$AC$474,EG$35-$AC$474+1,0)</f>
        <v>0</v>
      </c>
      <c r="EH476" s="237" t="n">
        <f aca="false">IF(EH$35&gt;=$AC$474,EH$35-$AC$474+1,0)</f>
        <v>0</v>
      </c>
      <c r="EI476" s="237" t="n">
        <f aca="false">IF(EI$35&gt;=$AC$474,EI$35-$AC$474+1,0)</f>
        <v>1</v>
      </c>
      <c r="EJ476" s="237" t="n">
        <f aca="false">IF(EJ$35&gt;=$AC$474,EJ$35-$AC$474+1,0)</f>
        <v>2</v>
      </c>
      <c r="EK476" s="237" t="n">
        <f aca="false">IF(EK$35&gt;=$AC$474,EK$35-$AC$474+1,0)</f>
        <v>3</v>
      </c>
      <c r="EL476" s="237" t="n">
        <f aca="false">IF(EL$35&gt;=$AC$474,EL$35-$AC$474+1,0)</f>
        <v>4</v>
      </c>
      <c r="EM476" s="237" t="n">
        <f aca="false">IF(EM$35&gt;=$AC$474,EM$35-$AC$474+1,0)</f>
        <v>5</v>
      </c>
      <c r="EN476" s="237" t="n">
        <f aca="false">IF(EN$35&gt;=$AC$474,EN$35-$AC$474+1,0)</f>
        <v>6</v>
      </c>
      <c r="EO476" s="237" t="n">
        <f aca="false">IF(EO$35&gt;=$AC$474,EO$35-$AC$474+1,0)</f>
        <v>7</v>
      </c>
      <c r="EP476" s="237" t="n">
        <f aca="false">IF(EP$35&gt;=$AC$474,EP$35-$AC$474+1,0)</f>
        <v>8</v>
      </c>
      <c r="EQ476" s="237" t="n">
        <f aca="false">IF(EQ$35&gt;=$AC$474,EQ$35-$AC$474+1,0)</f>
        <v>9</v>
      </c>
      <c r="ER476" s="237" t="n">
        <f aca="false">IF(ER$35&gt;=$AC$474,ER$35-$AC$474+1,0)</f>
        <v>10</v>
      </c>
      <c r="ES476" s="9" t="n">
        <f aca="false">IF(ES$35&gt;=$AC$474,ES$35-$AC$474+1,0)</f>
        <v>11</v>
      </c>
      <c r="ET476" s="9" t="n">
        <f aca="false">IF(ET$35&gt;=$AC$474,ET$35-$AC$474+1,0)</f>
        <v>12</v>
      </c>
      <c r="EU476" s="9" t="n">
        <f aca="false">IF(EU$35&gt;=$AC$474,EU$35-$AC$474+1,0)</f>
        <v>13</v>
      </c>
      <c r="EV476" s="9" t="n">
        <f aca="false">IF(EV$35&gt;=$AC$474,EV$35-$AC$474+1,0)</f>
        <v>14</v>
      </c>
      <c r="EW476" s="9" t="n">
        <f aca="false">IF(EW$35&gt;=$AC$474,EW$35-$AC$474+1,0)</f>
        <v>15</v>
      </c>
      <c r="EX476" s="9" t="n">
        <f aca="false">IF(EX$35&gt;=$AC$474,EX$35-$AC$474+1,0)</f>
        <v>16</v>
      </c>
      <c r="EY476" s="9" t="n">
        <f aca="false">IF(EY$35&gt;=$AC$474,EY$35-$AC$474+1,0)</f>
        <v>17</v>
      </c>
      <c r="EZ476" s="9" t="n">
        <f aca="false">IF(EZ$35&gt;=$AC$474,EZ$35-$AC$474+1,0)</f>
        <v>18</v>
      </c>
      <c r="FA476" s="9" t="n">
        <f aca="false">IF(FA$35&gt;=$AC$474,FA$35-$AC$474+1,0)</f>
        <v>19</v>
      </c>
      <c r="FB476" s="9" t="n">
        <f aca="false">IF(FB$35&gt;=$AC$474,FB$35-$AC$474+1,0)</f>
        <v>20</v>
      </c>
      <c r="FC476" s="9" t="n">
        <f aca="false">IF(FC$35&gt;=$AC$474,FC$35-$AC$474+1,0)</f>
        <v>21</v>
      </c>
      <c r="FD476" s="9" t="n">
        <f aca="false">IF(FD$35&gt;=$AC$474,FD$35-$AC$474+1,0)</f>
        <v>22</v>
      </c>
      <c r="FE476" s="9" t="n">
        <f aca="false">IF(FE$35&gt;=$AC$474,FE$35-$AC$474+1,0)</f>
        <v>23</v>
      </c>
      <c r="FF476" s="9" t="n">
        <f aca="false">IF(FF$35&gt;=$AC$474,FF$35-$AC$474+1,0)</f>
        <v>24</v>
      </c>
      <c r="FG476" s="9" t="n">
        <f aca="false">IF(FG$35&gt;=$AC$474,FG$35-$AC$474+1,0)</f>
        <v>25</v>
      </c>
      <c r="FH476" s="9" t="n">
        <f aca="false">IF(FH$35&gt;=$AC$474,FH$35-$AC$474+1,0)</f>
        <v>26</v>
      </c>
      <c r="FI476" s="9" t="n">
        <f aca="false">IF(FI$35&gt;=$AC$474,FI$35-$AC$474+1,0)</f>
        <v>27</v>
      </c>
      <c r="FJ476" s="9" t="n">
        <f aca="false">IF(FJ$35&gt;=$AC$474,FJ$35-$AC$474+1,0)</f>
        <v>28</v>
      </c>
      <c r="FK476" s="9" t="n">
        <f aca="false">IF(FK$35&gt;=$AC$474,FK$35-$AC$474+1,0)</f>
        <v>29</v>
      </c>
      <c r="FL476" s="9" t="n">
        <f aca="false">IF(FL$35&gt;=$AC$474,FL$35-$AC$474+1,0)</f>
        <v>30</v>
      </c>
      <c r="FM476" s="9" t="n">
        <f aca="false">IF(FM$35&gt;=$AC$474,FM$35-$AC$474+1,0)</f>
        <v>31</v>
      </c>
      <c r="FN476" s="9" t="n">
        <f aca="false">IF(FN$35&gt;=$AC$474,FN$35-$AC$474+1,0)</f>
        <v>32</v>
      </c>
      <c r="FO476" s="9" t="n">
        <f aca="false">IF(FO$35&gt;=$AC$474,FO$35-$AC$474+1,0)</f>
        <v>33</v>
      </c>
      <c r="FP476" s="9" t="n">
        <f aca="false">IF(FP$35&gt;=$AC$474,FP$35-$AC$474+1,0)</f>
        <v>34</v>
      </c>
    </row>
    <row r="477" customFormat="false" ht="15" hidden="false" customHeight="false" outlineLevel="2" collapsed="false">
      <c r="B477" s="47" t="s">
        <v>874</v>
      </c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237" t="n">
        <f aca="false" t="array" ref="AC477:AC477">IF(AC476=0,0,IF(AC476/'🎚️ Escenario'!$C$11&gt;=36,$AL$23,INDEX($C$23:$AL$23,MAX(1,ROUNDUP(AC476/'🎚️ Escenario'!$C$11,0)))))</f>
        <v>0</v>
      </c>
      <c r="AD477" s="237" t="n">
        <f aca="false" t="array" ref="AD477:AD477">IF(AD476=0,0,IF(AD476/'🎚️ Escenario'!$C$11&gt;=36,$AL$23,INDEX($C$23:$AL$23,MAX(1,ROUNDUP(AD476/'🎚️ Escenario'!$C$11,0)))))</f>
        <v>0</v>
      </c>
      <c r="AE477" s="237" t="n">
        <f aca="false" t="array" ref="AE477:AE477">IF(AE476=0,0,IF(AE476/'🎚️ Escenario'!$C$11&gt;=36,$AL$23,INDEX($C$23:$AL$23,MAX(1,ROUNDUP(AE476/'🎚️ Escenario'!$C$11,0)))))</f>
        <v>0</v>
      </c>
      <c r="AF477" s="237" t="n">
        <f aca="false" t="array" ref="AF477:AF477">IF(AF476=0,0,IF(AF476/'🎚️ Escenario'!$C$11&gt;=36,$AL$23,INDEX($C$23:$AL$23,MAX(1,ROUNDUP(AF476/'🎚️ Escenario'!$C$11,0)))))</f>
        <v>0</v>
      </c>
      <c r="AG477" s="237" t="n">
        <f aca="false" t="array" ref="AG477:AG477">IF(AG476=0,0,IF(AG476/'🎚️ Escenario'!$C$11&gt;=36,$AL$23,INDEX($C$23:$AL$23,MAX(1,ROUNDUP(AG476/'🎚️ Escenario'!$C$11,0)))))</f>
        <v>0</v>
      </c>
      <c r="AH477" s="237" t="n">
        <f aca="false" t="array" ref="AH477:AH477">IF(AH476=0,0,IF(AH476/'🎚️ Escenario'!$C$11&gt;=36,$AL$23,INDEX($C$23:$AL$23,MAX(1,ROUNDUP(AH476/'🎚️ Escenario'!$C$11,0)))))</f>
        <v>0</v>
      </c>
      <c r="AI477" s="237" t="n">
        <f aca="false" t="array" ref="AI477:AI477">IF(AI476=0,0,IF(AI476/'🎚️ Escenario'!$C$11&gt;=36,$AL$23,INDEX($C$23:$AL$23,MAX(1,ROUNDUP(AI476/'🎚️ Escenario'!$C$11,0)))))</f>
        <v>0</v>
      </c>
      <c r="AJ477" s="237" t="n">
        <f aca="false" t="array" ref="AJ477:AJ477">IF(AJ476=0,0,IF(AJ476/'🎚️ Escenario'!$C$11&gt;=36,$AL$23,INDEX($C$23:$AL$23,MAX(1,ROUNDUP(AJ476/'🎚️ Escenario'!$C$11,0)))))</f>
        <v>0</v>
      </c>
      <c r="AK477" s="237" t="n">
        <f aca="false" t="array" ref="AK477:AK477">IF(AK476=0,0,IF(AK476/'🎚️ Escenario'!$C$11&gt;=36,$AL$23,INDEX($C$23:$AL$23,MAX(1,ROUNDUP(AK476/'🎚️ Escenario'!$C$11,0)))))</f>
        <v>0</v>
      </c>
      <c r="AL477" s="237" t="n">
        <f aca="false" t="array" ref="AL477:AL477">IF(AL476=0,0,IF(AL476/'🎚️ Escenario'!$C$11&gt;=36,$AL$23,INDEX($C$23:$AL$23,MAX(1,ROUNDUP(AL476/'🎚️ Escenario'!$C$11,0)))))</f>
        <v>0</v>
      </c>
      <c r="AM477" s="237" t="n">
        <f aca="false" t="array" ref="AM477:AM477">IF(AM476=0,0,IF(AM476/'🎚️ Escenario'!$C$11&gt;=36,$AL$23,INDEX($C$23:$AL$23,MAX(1,ROUNDUP(AM476/'🎚️ Escenario'!$C$11,0)))))</f>
        <v>0</v>
      </c>
      <c r="AN477" s="237" t="n">
        <f aca="false" t="array" ref="AN477:AN477">IF(AN476=0,0,IF(AN476/'🎚️ Escenario'!$C$11&gt;=36,$AL$23,INDEX($C$23:$AL$23,MAX(1,ROUNDUP(AN476/'🎚️ Escenario'!$C$11,0)))))</f>
        <v>0</v>
      </c>
      <c r="AO477" s="237" t="n">
        <f aca="false" t="array" ref="AO477:AO477">IF(AO476=0,0,IF(AO476/'🎚️ Escenario'!$C$11&gt;=36,$AL$23,INDEX($C$23:$AL$23,MAX(1,ROUNDUP(AO476/'🎚️ Escenario'!$C$11,0)))))</f>
        <v>0</v>
      </c>
      <c r="AP477" s="237" t="n">
        <f aca="false" t="array" ref="AP477:AP477">IF(AP476=0,0,IF(AP476/'🎚️ Escenario'!$C$11&gt;=36,$AL$23,INDEX($C$23:$AL$23,MAX(1,ROUNDUP(AP476/'🎚️ Escenario'!$C$11,0)))))</f>
        <v>0</v>
      </c>
      <c r="AQ477" s="237" t="n">
        <f aca="false" t="array" ref="AQ477:AQ477">IF(AQ476=0,0,IF(AQ476/'🎚️ Escenario'!$C$11&gt;=36,$AL$23,INDEX($C$23:$AL$23,MAX(1,ROUNDUP(AQ476/'🎚️ Escenario'!$C$11,0)))))</f>
        <v>0</v>
      </c>
      <c r="AR477" s="237" t="n">
        <f aca="false" t="array" ref="AR477:AR477">IF(AR476=0,0,IF(AR476/'🎚️ Escenario'!$C$11&gt;=36,$AL$23,INDEX($C$23:$AL$23,MAX(1,ROUNDUP(AR476/'🎚️ Escenario'!$C$11,0)))))</f>
        <v>0</v>
      </c>
      <c r="AS477" s="237" t="n">
        <f aca="false" t="array" ref="AS477:AS477">IF(AS476=0,0,IF(AS476/'🎚️ Escenario'!$C$11&gt;=36,$AL$23,INDEX($C$23:$AL$23,MAX(1,ROUNDUP(AS476/'🎚️ Escenario'!$C$11,0)))))</f>
        <v>0</v>
      </c>
      <c r="AT477" s="237" t="n">
        <f aca="false" t="array" ref="AT477:AT477">IF(AT476=0,0,IF(AT476/'🎚️ Escenario'!$C$11&gt;=36,$AL$23,INDEX($C$23:$AL$23,MAX(1,ROUNDUP(AT476/'🎚️ Escenario'!$C$11,0)))))</f>
        <v>0</v>
      </c>
      <c r="AU477" s="237" t="n">
        <f aca="false" t="array" ref="AU477:AU477">IF(AU476=0,0,IF(AU476/'🎚️ Escenario'!$C$11&gt;=36,$AL$23,INDEX($C$23:$AL$23,MAX(1,ROUNDUP(AU476/'🎚️ Escenario'!$C$11,0)))))</f>
        <v>0</v>
      </c>
      <c r="AV477" s="237" t="n">
        <f aca="false" t="array" ref="AV477:AV477">IF(AV476=0,0,IF(AV476/'🎚️ Escenario'!$C$11&gt;=36,$AL$23,INDEX($C$23:$AL$23,MAX(1,ROUNDUP(AV476/'🎚️ Escenario'!$C$11,0)))))</f>
        <v>0</v>
      </c>
      <c r="AW477" s="237" t="n">
        <f aca="false" t="array" ref="AW477:AW477">IF(AW476=0,0,IF(AW476/'🎚️ Escenario'!$C$11&gt;=36,$AL$23,INDEX($C$23:$AL$23,MAX(1,ROUNDUP(AW476/'🎚️ Escenario'!$C$11,0)))))</f>
        <v>0</v>
      </c>
      <c r="AX477" s="237" t="n">
        <f aca="false" t="array" ref="AX477:AX477">IF(AX476=0,0,IF(AX476/'🎚️ Escenario'!$C$11&gt;=36,$AL$23,INDEX($C$23:$AL$23,MAX(1,ROUNDUP(AX476/'🎚️ Escenario'!$C$11,0)))))</f>
        <v>0</v>
      </c>
      <c r="AY477" s="237" t="n">
        <f aca="false" t="array" ref="AY477:AY477">IF(AY476=0,0,IF(AY476/'🎚️ Escenario'!$C$11&gt;=36,$AL$23,INDEX($C$23:$AL$23,MAX(1,ROUNDUP(AY476/'🎚️ Escenario'!$C$11,0)))))</f>
        <v>0</v>
      </c>
      <c r="AZ477" s="237" t="n">
        <f aca="false" t="array" ref="AZ477:AZ477">IF(AZ476=0,0,IF(AZ476/'🎚️ Escenario'!$C$11&gt;=36,$AL$23,INDEX($C$23:$AL$23,MAX(1,ROUNDUP(AZ476/'🎚️ Escenario'!$C$11,0)))))</f>
        <v>0</v>
      </c>
      <c r="BA477" s="237" t="n">
        <f aca="false" t="array" ref="BA477:BA477">IF(BA476=0,0,IF(BA476/'🎚️ Escenario'!$C$11&gt;=36,$AL$23,INDEX($C$23:$AL$23,MAX(1,ROUNDUP(BA476/'🎚️ Escenario'!$C$11,0)))))</f>
        <v>0</v>
      </c>
      <c r="BB477" s="237" t="n">
        <f aca="false" t="array" ref="BB477:BB477">IF(BB476=0,0,IF(BB476/'🎚️ Escenario'!$C$11&gt;=36,$AL$23,INDEX($C$23:$AL$23,MAX(1,ROUNDUP(BB476/'🎚️ Escenario'!$C$11,0)))))</f>
        <v>0</v>
      </c>
      <c r="BC477" s="237" t="n">
        <f aca="false" t="array" ref="BC477:BC477">IF(BC476=0,0,IF(BC476/'🎚️ Escenario'!$C$11&gt;=36,$AL$23,INDEX($C$23:$AL$23,MAX(1,ROUNDUP(BC476/'🎚️ Escenario'!$C$11,0)))))</f>
        <v>0</v>
      </c>
      <c r="BD477" s="237" t="n">
        <f aca="false" t="array" ref="BD477:BD477">IF(BD476=0,0,IF(BD476/'🎚️ Escenario'!$C$11&gt;=36,$AL$23,INDEX($C$23:$AL$23,MAX(1,ROUNDUP(BD476/'🎚️ Escenario'!$C$11,0)))))</f>
        <v>0</v>
      </c>
      <c r="BE477" s="237" t="n">
        <f aca="false" t="array" ref="BE477:BE477">IF(BE476=0,0,IF(BE476/'🎚️ Escenario'!$C$11&gt;=36,$AL$23,INDEX($C$23:$AL$23,MAX(1,ROUNDUP(BE476/'🎚️ Escenario'!$C$11,0)))))</f>
        <v>0</v>
      </c>
      <c r="BF477" s="237" t="n">
        <f aca="false" t="array" ref="BF477:BF477">IF(BF476=0,0,IF(BF476/'🎚️ Escenario'!$C$11&gt;=36,$AL$23,INDEX($C$23:$AL$23,MAX(1,ROUNDUP(BF476/'🎚️ Escenario'!$C$11,0)))))</f>
        <v>0</v>
      </c>
      <c r="BG477" s="237" t="n">
        <f aca="false" t="array" ref="BG477:BG477">IF(BG476=0,0,IF(BG476/'🎚️ Escenario'!$C$11&gt;=36,$AL$23,INDEX($C$23:$AL$23,MAX(1,ROUNDUP(BG476/'🎚️ Escenario'!$C$11,0)))))</f>
        <v>0</v>
      </c>
      <c r="BH477" s="237" t="n">
        <f aca="false" t="array" ref="BH477:BH477">IF(BH476=0,0,IF(BH476/'🎚️ Escenario'!$C$11&gt;=36,$AL$23,INDEX($C$23:$AL$23,MAX(1,ROUNDUP(BH476/'🎚️ Escenario'!$C$11,0)))))</f>
        <v>0</v>
      </c>
      <c r="BI477" s="237" t="n">
        <f aca="false" t="array" ref="BI477:BI477">IF(BI476=0,0,IF(BI476/'🎚️ Escenario'!$C$11&gt;=36,$AL$23,INDEX($C$23:$AL$23,MAX(1,ROUNDUP(BI476/'🎚️ Escenario'!$C$11,0)))))</f>
        <v>0</v>
      </c>
      <c r="BJ477" s="237" t="n">
        <f aca="false" t="array" ref="BJ477:BJ477">IF(BJ476=0,0,IF(BJ476/'🎚️ Escenario'!$C$11&gt;=36,$AL$23,INDEX($C$23:$AL$23,MAX(1,ROUNDUP(BJ476/'🎚️ Escenario'!$C$11,0)))))</f>
        <v>0</v>
      </c>
      <c r="BK477" s="237" t="n">
        <f aca="false" t="array" ref="BK477:BK477">IF(BK476=0,0,IF(BK476/'🎚️ Escenario'!$C$11&gt;=36,$AL$23,INDEX($C$23:$AL$23,MAX(1,ROUNDUP(BK476/'🎚️ Escenario'!$C$11,0)))))</f>
        <v>0</v>
      </c>
      <c r="BL477" s="237" t="n">
        <f aca="false" t="array" ref="BL477:BL477">IF(BL476=0,0,IF(BL476/'🎚️ Escenario'!$C$11&gt;=36,$AL$23,INDEX($C$23:$AL$23,MAX(1,ROUNDUP(BL476/'🎚️ Escenario'!$C$11,0)))))</f>
        <v>0</v>
      </c>
      <c r="BM477" s="237" t="n">
        <f aca="false" t="array" ref="BM477:BM477">IF(BM476=0,0,IF(BM476/'🎚️ Escenario'!$C$11&gt;=36,$AL$23,INDEX($C$23:$AL$23,MAX(1,ROUNDUP(BM476/'🎚️ Escenario'!$C$11,0)))))</f>
        <v>0</v>
      </c>
      <c r="BN477" s="237" t="n">
        <f aca="false" t="array" ref="BN477:BN477">IF(BN476=0,0,IF(BN476/'🎚️ Escenario'!$C$11&gt;=36,$AL$23,INDEX($C$23:$AL$23,MAX(1,ROUNDUP(BN476/'🎚️ Escenario'!$C$11,0)))))</f>
        <v>0</v>
      </c>
      <c r="BO477" s="237" t="n">
        <f aca="false" t="array" ref="BO477:BO477">IF(BO476=0,0,IF(BO476/'🎚️ Escenario'!$C$11&gt;=36,$AL$23,INDEX($C$23:$AL$23,MAX(1,ROUNDUP(BO476/'🎚️ Escenario'!$C$11,0)))))</f>
        <v>0</v>
      </c>
      <c r="BP477" s="237" t="n">
        <f aca="false" t="array" ref="BP477:BP477">IF(BP476=0,0,IF(BP476/'🎚️ Escenario'!$C$11&gt;=36,$AL$23,INDEX($C$23:$AL$23,MAX(1,ROUNDUP(BP476/'🎚️ Escenario'!$C$11,0)))))</f>
        <v>0</v>
      </c>
      <c r="BQ477" s="237" t="n">
        <f aca="false" t="array" ref="BQ477:BQ477">IF(BQ476=0,0,IF(BQ476/'🎚️ Escenario'!$C$11&gt;=36,$AL$23,INDEX($C$23:$AL$23,MAX(1,ROUNDUP(BQ476/'🎚️ Escenario'!$C$11,0)))))</f>
        <v>0</v>
      </c>
      <c r="BR477" s="237" t="n">
        <f aca="false" t="array" ref="BR477:BR477">IF(BR476=0,0,IF(BR476/'🎚️ Escenario'!$C$11&gt;=36,$AL$23,INDEX($C$23:$AL$23,MAX(1,ROUNDUP(BR476/'🎚️ Escenario'!$C$11,0)))))</f>
        <v>0</v>
      </c>
      <c r="BS477" s="237" t="n">
        <f aca="false" t="array" ref="BS477:BS477">IF(BS476=0,0,IF(BS476/'🎚️ Escenario'!$C$11&gt;=36,$AL$23,INDEX($C$23:$AL$23,MAX(1,ROUNDUP(BS476/'🎚️ Escenario'!$C$11,0)))))</f>
        <v>0</v>
      </c>
      <c r="BT477" s="237" t="n">
        <f aca="false" t="array" ref="BT477:BT477">IF(BT476=0,0,IF(BT476/'🎚️ Escenario'!$C$11&gt;=36,$AL$23,INDEX($C$23:$AL$23,MAX(1,ROUNDUP(BT476/'🎚️ Escenario'!$C$11,0)))))</f>
        <v>0</v>
      </c>
      <c r="BU477" s="237" t="n">
        <f aca="false" t="array" ref="BU477:BU477">IF(BU476=0,0,IF(BU476/'🎚️ Escenario'!$C$11&gt;=36,$AL$23,INDEX($C$23:$AL$23,MAX(1,ROUNDUP(BU476/'🎚️ Escenario'!$C$11,0)))))</f>
        <v>0</v>
      </c>
      <c r="BV477" s="237" t="n">
        <f aca="false" t="array" ref="BV477:BV477">IF(BV476=0,0,IF(BV476/'🎚️ Escenario'!$C$11&gt;=36,$AL$23,INDEX($C$23:$AL$23,MAX(1,ROUNDUP(BV476/'🎚️ Escenario'!$C$11,0)))))</f>
        <v>0</v>
      </c>
      <c r="BW477" s="237" t="n">
        <f aca="false" t="array" ref="BW477:BW477">IF(BW476=0,0,IF(BW476/'🎚️ Escenario'!$C$11&gt;=36,$AL$23,INDEX($C$23:$AL$23,MAX(1,ROUNDUP(BW476/'🎚️ Escenario'!$C$11,0)))))</f>
        <v>0</v>
      </c>
      <c r="BX477" s="237" t="n">
        <f aca="false" t="array" ref="BX477:BX477">IF(BX476=0,0,IF(BX476/'🎚️ Escenario'!$C$11&gt;=36,$AL$23,INDEX($C$23:$AL$23,MAX(1,ROUNDUP(BX476/'🎚️ Escenario'!$C$11,0)))))</f>
        <v>0</v>
      </c>
      <c r="BY477" s="237" t="n">
        <f aca="false" t="array" ref="BY477:BY477">IF(BY476=0,0,IF(BY476/'🎚️ Escenario'!$C$11&gt;=36,$AL$23,INDEX($C$23:$AL$23,MAX(1,ROUNDUP(BY476/'🎚️ Escenario'!$C$11,0)))))</f>
        <v>0</v>
      </c>
      <c r="BZ477" s="237" t="n">
        <f aca="false" t="array" ref="BZ477:BZ477">IF(BZ476=0,0,IF(BZ476/'🎚️ Escenario'!$C$11&gt;=36,$AL$23,INDEX($C$23:$AL$23,MAX(1,ROUNDUP(BZ476/'🎚️ Escenario'!$C$11,0)))))</f>
        <v>0</v>
      </c>
      <c r="CA477" s="237" t="n">
        <f aca="false" t="array" ref="CA477:CA477">IF(CA476=0,0,IF(CA476/'🎚️ Escenario'!$C$11&gt;=36,$AL$23,INDEX($C$23:$AL$23,MAX(1,ROUNDUP(CA476/'🎚️ Escenario'!$C$11,0)))))</f>
        <v>0</v>
      </c>
      <c r="CB477" s="237" t="n">
        <f aca="false" t="array" ref="CB477:CB477">IF(CB476=0,0,IF(CB476/'🎚️ Escenario'!$C$11&gt;=36,$AL$23,INDEX($C$23:$AL$23,MAX(1,ROUNDUP(CB476/'🎚️ Escenario'!$C$11,0)))))</f>
        <v>0</v>
      </c>
      <c r="CC477" s="237" t="n">
        <f aca="false" t="array" ref="CC477:CC477">IF(CC476=0,0,IF(CC476/'🎚️ Escenario'!$C$11&gt;=36,$AL$23,INDEX($C$23:$AL$23,MAX(1,ROUNDUP(CC476/'🎚️ Escenario'!$C$11,0)))))</f>
        <v>0</v>
      </c>
      <c r="CD477" s="237" t="n">
        <f aca="false" t="array" ref="CD477:CD477">IF(CD476=0,0,IF(CD476/'🎚️ Escenario'!$C$11&gt;=36,$AL$23,INDEX($C$23:$AL$23,MAX(1,ROUNDUP(CD476/'🎚️ Escenario'!$C$11,0)))))</f>
        <v>0</v>
      </c>
      <c r="CE477" s="237" t="n">
        <f aca="false" t="array" ref="CE477:CE477">IF(CE476=0,0,IF(CE476/'🎚️ Escenario'!$C$11&gt;=36,$AL$23,INDEX($C$23:$AL$23,MAX(1,ROUNDUP(CE476/'🎚️ Escenario'!$C$11,0)))))</f>
        <v>0</v>
      </c>
      <c r="CF477" s="237" t="n">
        <f aca="false" t="array" ref="CF477:CF477">IF(CF476=0,0,IF(CF476/'🎚️ Escenario'!$C$11&gt;=36,$AL$23,INDEX($C$23:$AL$23,MAX(1,ROUNDUP(CF476/'🎚️ Escenario'!$C$11,0)))))</f>
        <v>0</v>
      </c>
      <c r="CG477" s="237" t="n">
        <f aca="false" t="array" ref="CG477:CG477">IF(CG476=0,0,IF(CG476/'🎚️ Escenario'!$C$11&gt;=36,$AL$23,INDEX($C$23:$AL$23,MAX(1,ROUNDUP(CG476/'🎚️ Escenario'!$C$11,0)))))</f>
        <v>0</v>
      </c>
      <c r="CH477" s="237" t="n">
        <f aca="false" t="array" ref="CH477:CH477">IF(CH476=0,0,IF(CH476/'🎚️ Escenario'!$C$11&gt;=36,$AL$23,INDEX($C$23:$AL$23,MAX(1,ROUNDUP(CH476/'🎚️ Escenario'!$C$11,0)))))</f>
        <v>0</v>
      </c>
      <c r="CI477" s="237" t="n">
        <f aca="false" t="array" ref="CI477:CI477">IF(CI476=0,0,IF(CI476/'🎚️ Escenario'!$C$11&gt;=36,$AL$23,INDEX($C$23:$AL$23,MAX(1,ROUNDUP(CI476/'🎚️ Escenario'!$C$11,0)))))</f>
        <v>0</v>
      </c>
      <c r="CJ477" s="237" t="n">
        <f aca="false" t="array" ref="CJ477:CJ477">IF(CJ476=0,0,IF(CJ476/'🎚️ Escenario'!$C$11&gt;=36,$AL$23,INDEX($C$23:$AL$23,MAX(1,ROUNDUP(CJ476/'🎚️ Escenario'!$C$11,0)))))</f>
        <v>0</v>
      </c>
      <c r="CK477" s="237" t="n">
        <f aca="false" t="array" ref="CK477:CK477">IF(CK476=0,0,IF(CK476/'🎚️ Escenario'!$C$11&gt;=36,$AL$23,INDEX($C$23:$AL$23,MAX(1,ROUNDUP(CK476/'🎚️ Escenario'!$C$11,0)))))</f>
        <v>0</v>
      </c>
      <c r="CL477" s="237" t="n">
        <f aca="false" t="array" ref="CL477:CL477">IF(CL476=0,0,IF(CL476/'🎚️ Escenario'!$C$11&gt;=36,$AL$23,INDEX($C$23:$AL$23,MAX(1,ROUNDUP(CL476/'🎚️ Escenario'!$C$11,0)))))</f>
        <v>0</v>
      </c>
      <c r="CM477" s="237" t="n">
        <f aca="false" t="array" ref="CM477:CM477">IF(CM476=0,0,IF(CM476/'🎚️ Escenario'!$C$11&gt;=36,$AL$23,INDEX($C$23:$AL$23,MAX(1,ROUNDUP(CM476/'🎚️ Escenario'!$C$11,0)))))</f>
        <v>0</v>
      </c>
      <c r="CN477" s="237" t="n">
        <f aca="false" t="array" ref="CN477:CN477">IF(CN476=0,0,IF(CN476/'🎚️ Escenario'!$C$11&gt;=36,$AL$23,INDEX($C$23:$AL$23,MAX(1,ROUNDUP(CN476/'🎚️ Escenario'!$C$11,0)))))</f>
        <v>0</v>
      </c>
      <c r="CO477" s="237" t="n">
        <f aca="false" t="array" ref="CO477:CO477">IF(CO476=0,0,IF(CO476/'🎚️ Escenario'!$C$11&gt;=36,$AL$23,INDEX($C$23:$AL$23,MAX(1,ROUNDUP(CO476/'🎚️ Escenario'!$C$11,0)))))</f>
        <v>0</v>
      </c>
      <c r="CP477" s="237" t="n">
        <f aca="false" t="array" ref="CP477:CP477">IF(CP476=0,0,IF(CP476/'🎚️ Escenario'!$C$11&gt;=36,$AL$23,INDEX($C$23:$AL$23,MAX(1,ROUNDUP(CP476/'🎚️ Escenario'!$C$11,0)))))</f>
        <v>0</v>
      </c>
      <c r="CQ477" s="237" t="n">
        <f aca="false" t="array" ref="CQ477:CQ477">IF(CQ476=0,0,IF(CQ476/'🎚️ Escenario'!$C$11&gt;=36,$AL$23,INDEX($C$23:$AL$23,MAX(1,ROUNDUP(CQ476/'🎚️ Escenario'!$C$11,0)))))</f>
        <v>0</v>
      </c>
      <c r="CR477" s="237" t="n">
        <f aca="false" t="array" ref="CR477:CR477">IF(CR476=0,0,IF(CR476/'🎚️ Escenario'!$C$11&gt;=36,$AL$23,INDEX($C$23:$AL$23,MAX(1,ROUNDUP(CR476/'🎚️ Escenario'!$C$11,0)))))</f>
        <v>0</v>
      </c>
      <c r="CS477" s="237" t="n">
        <f aca="false" t="array" ref="CS477:CS477">IF(CS476=0,0,IF(CS476/'🎚️ Escenario'!$C$11&gt;=36,$AL$23,INDEX($C$23:$AL$23,MAX(1,ROUNDUP(CS476/'🎚️ Escenario'!$C$11,0)))))</f>
        <v>0</v>
      </c>
      <c r="CT477" s="237" t="n">
        <f aca="false" t="array" ref="CT477:CT477">IF(CT476=0,0,IF(CT476/'🎚️ Escenario'!$C$11&gt;=36,$AL$23,INDEX($C$23:$AL$23,MAX(1,ROUNDUP(CT476/'🎚️ Escenario'!$C$11,0)))))</f>
        <v>0</v>
      </c>
      <c r="CU477" s="237" t="n">
        <f aca="false" t="array" ref="CU477:CU477">IF(CU476=0,0,IF(CU476/'🎚️ Escenario'!$C$11&gt;=36,$AL$23,INDEX($C$23:$AL$23,MAX(1,ROUNDUP(CU476/'🎚️ Escenario'!$C$11,0)))))</f>
        <v>0</v>
      </c>
      <c r="CV477" s="237" t="n">
        <f aca="false" t="array" ref="CV477:CV477">IF(CV476=0,0,IF(CV476/'🎚️ Escenario'!$C$11&gt;=36,$AL$23,INDEX($C$23:$AL$23,MAX(1,ROUNDUP(CV476/'🎚️ Escenario'!$C$11,0)))))</f>
        <v>0</v>
      </c>
      <c r="CW477" s="237" t="n">
        <f aca="false" t="array" ref="CW477:CW477">IF(CW476=0,0,IF(CW476/'🎚️ Escenario'!$C$11&gt;=36,$AL$23,INDEX($C$23:$AL$23,MAX(1,ROUNDUP(CW476/'🎚️ Escenario'!$C$11,0)))))</f>
        <v>0</v>
      </c>
      <c r="CX477" s="237" t="n">
        <f aca="false" t="array" ref="CX477:CX477">IF(CX476=0,0,IF(CX476/'🎚️ Escenario'!$C$11&gt;=36,$AL$23,INDEX($C$23:$AL$23,MAX(1,ROUNDUP(CX476/'🎚️ Escenario'!$C$11,0)))))</f>
        <v>0</v>
      </c>
      <c r="CY477" s="237" t="n">
        <f aca="false" t="array" ref="CY477:CY477">IF(CY476=0,0,IF(CY476/'🎚️ Escenario'!$C$11&gt;=36,$AL$23,INDEX($C$23:$AL$23,MAX(1,ROUNDUP(CY476/'🎚️ Escenario'!$C$11,0)))))</f>
        <v>0</v>
      </c>
      <c r="CZ477" s="237" t="n">
        <f aca="false" t="array" ref="CZ477:CZ477">IF(CZ476=0,0,IF(CZ476/'🎚️ Escenario'!$C$11&gt;=36,$AL$23,INDEX($C$23:$AL$23,MAX(1,ROUNDUP(CZ476/'🎚️ Escenario'!$C$11,0)))))</f>
        <v>0</v>
      </c>
      <c r="DA477" s="237" t="n">
        <f aca="false" t="array" ref="DA477:DA477">IF(DA476=0,0,IF(DA476/'🎚️ Escenario'!$C$11&gt;=36,$AL$23,INDEX($C$23:$AL$23,MAX(1,ROUNDUP(DA476/'🎚️ Escenario'!$C$11,0)))))</f>
        <v>0</v>
      </c>
      <c r="DB477" s="237" t="n">
        <f aca="false" t="array" ref="DB477:DB477">IF(DB476=0,0,IF(DB476/'🎚️ Escenario'!$C$11&gt;=36,$AL$23,INDEX($C$23:$AL$23,MAX(1,ROUNDUP(DB476/'🎚️ Escenario'!$C$11,0)))))</f>
        <v>0</v>
      </c>
      <c r="DC477" s="237" t="n">
        <f aca="false" t="array" ref="DC477:DC477">IF(DC476=0,0,IF(DC476/'🎚️ Escenario'!$C$11&gt;=36,$AL$23,INDEX($C$23:$AL$23,MAX(1,ROUNDUP(DC476/'🎚️ Escenario'!$C$11,0)))))</f>
        <v>0</v>
      </c>
      <c r="DD477" s="237" t="n">
        <f aca="false" t="array" ref="DD477:DD477">IF(DD476=0,0,IF(DD476/'🎚️ Escenario'!$C$11&gt;=36,$AL$23,INDEX($C$23:$AL$23,MAX(1,ROUNDUP(DD476/'🎚️ Escenario'!$C$11,0)))))</f>
        <v>0</v>
      </c>
      <c r="DE477" s="237" t="n">
        <f aca="false" t="array" ref="DE477:DE477">IF(DE476=0,0,IF(DE476/'🎚️ Escenario'!$C$11&gt;=36,$AL$23,INDEX($C$23:$AL$23,MAX(1,ROUNDUP(DE476/'🎚️ Escenario'!$C$11,0)))))</f>
        <v>0</v>
      </c>
      <c r="DF477" s="237" t="n">
        <f aca="false" t="array" ref="DF477:DF477">IF(DF476=0,0,IF(DF476/'🎚️ Escenario'!$C$11&gt;=36,$AL$23,INDEX($C$23:$AL$23,MAX(1,ROUNDUP(DF476/'🎚️ Escenario'!$C$11,0)))))</f>
        <v>0</v>
      </c>
      <c r="DG477" s="237" t="n">
        <f aca="false" t="array" ref="DG477:DG477">IF(DG476=0,0,IF(DG476/'🎚️ Escenario'!$C$11&gt;=36,$AL$23,INDEX($C$23:$AL$23,MAX(1,ROUNDUP(DG476/'🎚️ Escenario'!$C$11,0)))))</f>
        <v>0</v>
      </c>
      <c r="DH477" s="237" t="n">
        <f aca="false" t="array" ref="DH477:DH477">IF(DH476=0,0,IF(DH476/'🎚️ Escenario'!$C$11&gt;=36,$AL$23,INDEX($C$23:$AL$23,MAX(1,ROUNDUP(DH476/'🎚️ Escenario'!$C$11,0)))))</f>
        <v>0</v>
      </c>
      <c r="DI477" s="237" t="n">
        <f aca="false" t="array" ref="DI477:DI477">IF(DI476=0,0,IF(DI476/'🎚️ Escenario'!$C$11&gt;=36,$AL$23,INDEX($C$23:$AL$23,MAX(1,ROUNDUP(DI476/'🎚️ Escenario'!$C$11,0)))))</f>
        <v>0</v>
      </c>
      <c r="DJ477" s="237" t="n">
        <f aca="false" t="array" ref="DJ477:DJ477">IF(DJ476=0,0,IF(DJ476/'🎚️ Escenario'!$C$11&gt;=36,$AL$23,INDEX($C$23:$AL$23,MAX(1,ROUNDUP(DJ476/'🎚️ Escenario'!$C$11,0)))))</f>
        <v>0</v>
      </c>
      <c r="DK477" s="237" t="n">
        <f aca="false" t="array" ref="DK477:DK477">IF(DK476=0,0,IF(DK476/'🎚️ Escenario'!$C$11&gt;=36,$AL$23,INDEX($C$23:$AL$23,MAX(1,ROUNDUP(DK476/'🎚️ Escenario'!$C$11,0)))))</f>
        <v>0</v>
      </c>
      <c r="DL477" s="237" t="n">
        <f aca="false" t="array" ref="DL477:DL477">IF(DL476=0,0,IF(DL476/'🎚️ Escenario'!$C$11&gt;=36,$AL$23,INDEX($C$23:$AL$23,MAX(1,ROUNDUP(DL476/'🎚️ Escenario'!$C$11,0)))))</f>
        <v>0</v>
      </c>
      <c r="DM477" s="237" t="n">
        <f aca="false" t="array" ref="DM477:DM477">IF(DM476=0,0,IF(DM476/'🎚️ Escenario'!$C$11&gt;=36,$AL$23,INDEX($C$23:$AL$23,MAX(1,ROUNDUP(DM476/'🎚️ Escenario'!$C$11,0)))))</f>
        <v>0</v>
      </c>
      <c r="DN477" s="237" t="n">
        <f aca="false" t="array" ref="DN477:DN477">IF(DN476=0,0,IF(DN476/'🎚️ Escenario'!$C$11&gt;=36,$AL$23,INDEX($C$23:$AL$23,MAX(1,ROUNDUP(DN476/'🎚️ Escenario'!$C$11,0)))))</f>
        <v>0</v>
      </c>
      <c r="DO477" s="237" t="n">
        <f aca="false" t="array" ref="DO477:DO477">IF(DO476=0,0,IF(DO476/'🎚️ Escenario'!$C$11&gt;=36,$AL$23,INDEX($C$23:$AL$23,MAX(1,ROUNDUP(DO476/'🎚️ Escenario'!$C$11,0)))))</f>
        <v>0</v>
      </c>
      <c r="DP477" s="237" t="n">
        <f aca="false" t="array" ref="DP477:DP477">IF(DP476=0,0,IF(DP476/'🎚️ Escenario'!$C$11&gt;=36,$AL$23,INDEX($C$23:$AL$23,MAX(1,ROUNDUP(DP476/'🎚️ Escenario'!$C$11,0)))))</f>
        <v>0</v>
      </c>
      <c r="DQ477" s="237" t="n">
        <f aca="false" t="array" ref="DQ477:DQ477">IF(DQ476=0,0,IF(DQ476/'🎚️ Escenario'!$C$11&gt;=36,$AL$23,INDEX($C$23:$AL$23,MAX(1,ROUNDUP(DQ476/'🎚️ Escenario'!$C$11,0)))))</f>
        <v>0</v>
      </c>
      <c r="DR477" s="237" t="n">
        <f aca="false" t="array" ref="DR477:DR477">IF(DR476=0,0,IF(DR476/'🎚️ Escenario'!$C$11&gt;=36,$AL$23,INDEX($C$23:$AL$23,MAX(1,ROUNDUP(DR476/'🎚️ Escenario'!$C$11,0)))))</f>
        <v>0</v>
      </c>
      <c r="DS477" s="237" t="n">
        <f aca="false" t="array" ref="DS477:DS477">IF(DS476=0,0,IF(DS476/'🎚️ Escenario'!$C$11&gt;=36,$AL$23,INDEX($C$23:$AL$23,MAX(1,ROUNDUP(DS476/'🎚️ Escenario'!$C$11,0)))))</f>
        <v>0</v>
      </c>
      <c r="DT477" s="237" t="n">
        <f aca="false" t="array" ref="DT477:DT477">IF(DT476=0,0,IF(DT476/'🎚️ Escenario'!$C$11&gt;=36,$AL$23,INDEX($C$23:$AL$23,MAX(1,ROUNDUP(DT476/'🎚️ Escenario'!$C$11,0)))))</f>
        <v>0</v>
      </c>
      <c r="DU477" s="237" t="n">
        <f aca="false" t="array" ref="DU477:DU477">IF(DU476=0,0,IF(DU476/'🎚️ Escenario'!$C$11&gt;=36,$AL$23,INDEX($C$23:$AL$23,MAX(1,ROUNDUP(DU476/'🎚️ Escenario'!$C$11,0)))))</f>
        <v>0</v>
      </c>
      <c r="DV477" s="237" t="n">
        <f aca="false" t="array" ref="DV477:DV477">IF(DV476=0,0,IF(DV476/'🎚️ Escenario'!$C$11&gt;=36,$AL$23,INDEX($C$23:$AL$23,MAX(1,ROUNDUP(DV476/'🎚️ Escenario'!$C$11,0)))))</f>
        <v>0</v>
      </c>
      <c r="DW477" s="237" t="n">
        <f aca="false" t="array" ref="DW477:DW477">IF(DW476=0,0,IF(DW476/'🎚️ Escenario'!$C$11&gt;=36,$AL$23,INDEX($C$23:$AL$23,MAX(1,ROUNDUP(DW476/'🎚️ Escenario'!$C$11,0)))))</f>
        <v>0</v>
      </c>
      <c r="DX477" s="237" t="n">
        <f aca="false" t="array" ref="DX477:DX477">IF(DX476=0,0,IF(DX476/'🎚️ Escenario'!$C$11&gt;=36,$AL$23,INDEX($C$23:$AL$23,MAX(1,ROUNDUP(DX476/'🎚️ Escenario'!$C$11,0)))))</f>
        <v>0</v>
      </c>
      <c r="DY477" s="237" t="n">
        <f aca="false" t="array" ref="DY477:DY477">IF(DY476=0,0,IF(DY476/'🎚️ Escenario'!$C$11&gt;=36,$AL$23,INDEX($C$23:$AL$23,MAX(1,ROUNDUP(DY476/'🎚️ Escenario'!$C$11,0)))))</f>
        <v>0</v>
      </c>
      <c r="DZ477" s="237" t="n">
        <f aca="false" t="array" ref="DZ477:DZ477">IF(DZ476=0,0,IF(DZ476/'🎚️ Escenario'!$C$11&gt;=36,$AL$23,INDEX($C$23:$AL$23,MAX(1,ROUNDUP(DZ476/'🎚️ Escenario'!$C$11,0)))))</f>
        <v>0</v>
      </c>
      <c r="EA477" s="237" t="n">
        <f aca="false" t="array" ref="EA477:EA477">IF(EA476=0,0,IF(EA476/'🎚️ Escenario'!$C$11&gt;=36,$AL$23,INDEX($C$23:$AL$23,MAX(1,ROUNDUP(EA476/'🎚️ Escenario'!$C$11,0)))))</f>
        <v>0</v>
      </c>
      <c r="EB477" s="237" t="n">
        <f aca="false" t="array" ref="EB477:EB477">IF(EB476=0,0,IF(EB476/'🎚️ Escenario'!$C$11&gt;=36,$AL$23,INDEX($C$23:$AL$23,MAX(1,ROUNDUP(EB476/'🎚️ Escenario'!$C$11,0)))))</f>
        <v>0</v>
      </c>
      <c r="EC477" s="237" t="n">
        <f aca="false" t="array" ref="EC477:EC477">IF(EC476=0,0,IF(EC476/'🎚️ Escenario'!$C$11&gt;=36,$AL$23,INDEX($C$23:$AL$23,MAX(1,ROUNDUP(EC476/'🎚️ Escenario'!$C$11,0)))))</f>
        <v>0</v>
      </c>
      <c r="ED477" s="237" t="n">
        <f aca="false" t="array" ref="ED477:ED477">IF(ED476=0,0,IF(ED476/'🎚️ Escenario'!$C$11&gt;=36,$AL$23,INDEX($C$23:$AL$23,MAX(1,ROUNDUP(ED476/'🎚️ Escenario'!$C$11,0)))))</f>
        <v>0</v>
      </c>
      <c r="EE477" s="237" t="n">
        <f aca="false" t="array" ref="EE477:EE477">IF(EE476=0,0,IF(EE476/'🎚️ Escenario'!$C$11&gt;=36,$AL$23,INDEX($C$23:$AL$23,MAX(1,ROUNDUP(EE476/'🎚️ Escenario'!$C$11,0)))))</f>
        <v>0</v>
      </c>
      <c r="EF477" s="237" t="n">
        <f aca="false" t="array" ref="EF477:EF477">IF(EF476=0,0,IF(EF476/'🎚️ Escenario'!$C$11&gt;=36,$AL$23,INDEX($C$23:$AL$23,MAX(1,ROUNDUP(EF476/'🎚️ Escenario'!$C$11,0)))))</f>
        <v>0</v>
      </c>
      <c r="EG477" s="237" t="n">
        <f aca="false" t="array" ref="EG477:EG477">IF(EG476=0,0,IF(EG476/'🎚️ Escenario'!$C$11&gt;=36,$AL$23,INDEX($C$23:$AL$23,MAX(1,ROUNDUP(EG476/'🎚️ Escenario'!$C$11,0)))))</f>
        <v>0</v>
      </c>
      <c r="EH477" s="237" t="n">
        <f aca="false" t="array" ref="EH477:EH477">IF(EH476=0,0,IF(EH476/'🎚️ Escenario'!$C$11&gt;=36,$AL$23,INDEX($C$23:$AL$23,MAX(1,ROUNDUP(EH476/'🎚️ Escenario'!$C$11,0)))))</f>
        <v>0</v>
      </c>
      <c r="EI477" s="237" t="n">
        <f aca="false" t="array" ref="EI477:EI477">IF(EI476=0,0,IF(EI476/'🎚️ Escenario'!$C$11&gt;=36,$AL$23,INDEX($C$23:$AL$23,MAX(1,ROUNDUP(EI476/'🎚️ Escenario'!$C$11,0)))))</f>
        <v>0.2</v>
      </c>
      <c r="EJ477" s="237" t="n">
        <f aca="false" t="array" ref="EJ477:EJ477">IF(EJ476=0,0,IF(EJ476/'🎚️ Escenario'!$C$11&gt;=36,$AL$23,INDEX($C$23:$AL$23,MAX(1,ROUNDUP(EJ476/'🎚️ Escenario'!$C$11,0)))))</f>
        <v>0.22</v>
      </c>
      <c r="EK477" s="237" t="n">
        <f aca="false" t="array" ref="EK477:EK477">IF(EK476=0,0,IF(EK476/'🎚️ Escenario'!$C$11&gt;=36,$AL$23,INDEX($C$23:$AL$23,MAX(1,ROUNDUP(EK476/'🎚️ Escenario'!$C$11,0)))))</f>
        <v>0.24</v>
      </c>
      <c r="EL477" s="237" t="n">
        <f aca="false" t="array" ref="EL477:EL477">IF(EL476=0,0,IF(EL476/'🎚️ Escenario'!$C$11&gt;=36,$AL$23,INDEX($C$23:$AL$23,MAX(1,ROUNDUP(EL476/'🎚️ Escenario'!$C$11,0)))))</f>
        <v>0.27</v>
      </c>
      <c r="EM477" s="237" t="n">
        <f aca="false" t="array" ref="EM477:EM477">IF(EM476=0,0,IF(EM476/'🎚️ Escenario'!$C$11&gt;=36,$AL$23,INDEX($C$23:$AL$23,MAX(1,ROUNDUP(EM476/'🎚️ Escenario'!$C$11,0)))))</f>
        <v>0.27</v>
      </c>
      <c r="EN477" s="237" t="n">
        <f aca="false" t="array" ref="EN477:EN477">IF(EN476=0,0,IF(EN476/'🎚️ Escenario'!$C$11&gt;=36,$AL$23,INDEX($C$23:$AL$23,MAX(1,ROUNDUP(EN476/'🎚️ Escenario'!$C$11,0)))))</f>
        <v>0.31</v>
      </c>
      <c r="EO477" s="237" t="n">
        <f aca="false" t="array" ref="EO477:EO477">IF(EO476=0,0,IF(EO476/'🎚️ Escenario'!$C$11&gt;=36,$AL$23,INDEX($C$23:$AL$23,MAX(1,ROUNDUP(EO476/'🎚️ Escenario'!$C$11,0)))))</f>
        <v>0.35</v>
      </c>
      <c r="EP477" s="237" t="n">
        <f aca="false" t="array" ref="EP477:EP477">IF(EP476=0,0,IF(EP476/'🎚️ Escenario'!$C$11&gt;=36,$AL$23,INDEX($C$23:$AL$23,MAX(1,ROUNDUP(EP476/'🎚️ Escenario'!$C$11,0)))))</f>
        <v>0.39</v>
      </c>
      <c r="EQ477" s="237" t="n">
        <f aca="false" t="array" ref="EQ477:EQ477">IF(EQ476=0,0,IF(EQ476/'🎚️ Escenario'!$C$11&gt;=36,$AL$23,INDEX($C$23:$AL$23,MAX(1,ROUNDUP(EQ476/'🎚️ Escenario'!$C$11,0)))))</f>
        <v>0.44</v>
      </c>
      <c r="ER477" s="237" t="n">
        <f aca="false" t="array" ref="ER477:ER477">IF(ER476=0,0,IF(ER476/'🎚️ Escenario'!$C$11&gt;=36,$AL$23,INDEX($C$23:$AL$23,MAX(1,ROUNDUP(ER476/'🎚️ Escenario'!$C$11,0)))))</f>
        <v>0.44</v>
      </c>
      <c r="ES477" s="9" t="n">
        <f aca="false" t="array" ref="ES477:ES477">IF(ES476=0,0,IF(ES476/'🎚️ Escenario'!$C$11&gt;=36,$AL$23,INDEX($C$23:$AL$23,MAX(1,ROUNDUP(ES476/'🎚️ Escenario'!$C$11,0)))))</f>
        <v>0.48</v>
      </c>
      <c r="ET477" s="9" t="n">
        <f aca="false" t="array" ref="ET477:ET477">IF(ET476=0,0,IF(ET476/'🎚️ Escenario'!$C$11&gt;=36,$AL$23,INDEX($C$23:$AL$23,MAX(1,ROUNDUP(ET476/'🎚️ Escenario'!$C$11,0)))))</f>
        <v>0.52</v>
      </c>
      <c r="EU477" s="9" t="n">
        <f aca="false" t="array" ref="EU477:EU477">IF(EU476=0,0,IF(EU476/'🎚️ Escenario'!$C$11&gt;=36,$AL$23,INDEX($C$23:$AL$23,MAX(1,ROUNDUP(EU476/'🎚️ Escenario'!$C$11,0)))))</f>
        <v>0.56</v>
      </c>
      <c r="EV477" s="9" t="n">
        <f aca="false" t="array" ref="EV477:EV477">IF(EV476=0,0,IF(EV476/'🎚️ Escenario'!$C$11&gt;=36,$AL$23,INDEX($C$23:$AL$23,MAX(1,ROUNDUP(EV476/'🎚️ Escenario'!$C$11,0)))))</f>
        <v>0.6</v>
      </c>
      <c r="EW477" s="9" t="n">
        <f aca="false" t="array" ref="EW477:EW477">IF(EW476=0,0,IF(EW476/'🎚️ Escenario'!$C$11&gt;=36,$AL$23,INDEX($C$23:$AL$23,MAX(1,ROUNDUP(EW476/'🎚️ Escenario'!$C$11,0)))))</f>
        <v>0.6</v>
      </c>
      <c r="EX477" s="9" t="n">
        <f aca="false" t="array" ref="EX477:EX477">IF(EX476=0,0,IF(EX476/'🎚️ Escenario'!$C$11&gt;=36,$AL$23,INDEX($C$23:$AL$23,MAX(1,ROUNDUP(EX476/'🎚️ Escenario'!$C$11,0)))))</f>
        <v>0.63</v>
      </c>
      <c r="EY477" s="9" t="n">
        <f aca="false" t="array" ref="EY477:EY477">IF(EY476=0,0,IF(EY476/'🎚️ Escenario'!$C$11&gt;=36,$AL$23,INDEX($C$23:$AL$23,MAX(1,ROUNDUP(EY476/'🎚️ Escenario'!$C$11,0)))))</f>
        <v>0.66</v>
      </c>
      <c r="EZ477" s="9" t="n">
        <f aca="false" t="array" ref="EZ477:EZ477">IF(EZ476=0,0,IF(EZ476/'🎚️ Escenario'!$C$11&gt;=36,$AL$23,INDEX($C$23:$AL$23,MAX(1,ROUNDUP(EZ476/'🎚️ Escenario'!$C$11,0)))))</f>
        <v>0.69</v>
      </c>
      <c r="FA477" s="9" t="n">
        <f aca="false" t="array" ref="FA477:FA477">IF(FA476=0,0,IF(FA476/'🎚️ Escenario'!$C$11&gt;=36,$AL$23,INDEX($C$23:$AL$23,MAX(1,ROUNDUP(FA476/'🎚️ Escenario'!$C$11,0)))))</f>
        <v>0.71</v>
      </c>
      <c r="FB477" s="9" t="n">
        <f aca="false" t="array" ref="FB477:FB477">IF(FB476=0,0,IF(FB476/'🎚️ Escenario'!$C$11&gt;=36,$AL$23,INDEX($C$23:$AL$23,MAX(1,ROUNDUP(FB476/'🎚️ Escenario'!$C$11,0)))))</f>
        <v>0.71</v>
      </c>
      <c r="FC477" s="9" t="n">
        <f aca="false" t="array" ref="FC477:FC477">IF(FC476=0,0,IF(FC476/'🎚️ Escenario'!$C$11&gt;=36,$AL$23,INDEX($C$23:$AL$23,MAX(1,ROUNDUP(FC476/'🎚️ Escenario'!$C$11,0)))))</f>
        <v>0.73</v>
      </c>
      <c r="FD477" s="9" t="n">
        <f aca="false" t="array" ref="FD477:FD477">IF(FD476=0,0,IF(FD476/'🎚️ Escenario'!$C$11&gt;=36,$AL$23,INDEX($C$23:$AL$23,MAX(1,ROUNDUP(FD476/'🎚️ Escenario'!$C$11,0)))))</f>
        <v>0.75</v>
      </c>
      <c r="FE477" s="9" t="n">
        <f aca="false" t="array" ref="FE477:FE477">IF(FE476=0,0,IF(FE476/'🎚️ Escenario'!$C$11&gt;=36,$AL$23,INDEX($C$23:$AL$23,MAX(1,ROUNDUP(FE476/'🎚️ Escenario'!$C$11,0)))))</f>
        <v>0.77</v>
      </c>
      <c r="FF477" s="9" t="n">
        <f aca="false" t="array" ref="FF477:FF477">IF(FF476=0,0,IF(FF476/'🎚️ Escenario'!$C$11&gt;=36,$AL$23,INDEX($C$23:$AL$23,MAX(1,ROUNDUP(FF476/'🎚️ Escenario'!$C$11,0)))))</f>
        <v>0.79</v>
      </c>
      <c r="FG477" s="9" t="n">
        <f aca="false" t="array" ref="FG477:FG477">IF(FG476=0,0,IF(FG476/'🎚️ Escenario'!$C$11&gt;=36,$AL$23,INDEX($C$23:$AL$23,MAX(1,ROUNDUP(FG476/'🎚️ Escenario'!$C$11,0)))))</f>
        <v>0.79</v>
      </c>
      <c r="FH477" s="9" t="n">
        <f aca="false" t="array" ref="FH477:FH477">IF(FH476=0,0,IF(FH476/'🎚️ Escenario'!$C$11&gt;=36,$AL$23,INDEX($C$23:$AL$23,MAX(1,ROUNDUP(FH476/'🎚️ Escenario'!$C$11,0)))))</f>
        <v>0.8</v>
      </c>
      <c r="FI477" s="9" t="n">
        <f aca="false" t="array" ref="FI477:FI477">IF(FI476=0,0,IF(FI476/'🎚️ Escenario'!$C$11&gt;=36,$AL$23,INDEX($C$23:$AL$23,MAX(1,ROUNDUP(FI476/'🎚️ Escenario'!$C$11,0)))))</f>
        <v>0.82</v>
      </c>
      <c r="FJ477" s="9" t="n">
        <f aca="false" t="array" ref="FJ477:FJ477">IF(FJ476=0,0,IF(FJ476/'🎚️ Escenario'!$C$11&gt;=36,$AL$23,INDEX($C$23:$AL$23,MAX(1,ROUNDUP(FJ476/'🎚️ Escenario'!$C$11,0)))))</f>
        <v>0.84</v>
      </c>
      <c r="FK477" s="9" t="n">
        <f aca="false" t="array" ref="FK477:FK477">IF(FK476=0,0,IF(FK476/'🎚️ Escenario'!$C$11&gt;=36,$AL$23,INDEX($C$23:$AL$23,MAX(1,ROUNDUP(FK476/'🎚️ Escenario'!$C$11,0)))))</f>
        <v>0.85</v>
      </c>
      <c r="FL477" s="9" t="n">
        <f aca="false" t="array" ref="FL477:FL477">IF(FL476=0,0,IF(FL476/'🎚️ Escenario'!$C$11&gt;=36,$AL$23,INDEX($C$23:$AL$23,MAX(1,ROUNDUP(FL476/'🎚️ Escenario'!$C$11,0)))))</f>
        <v>0.85</v>
      </c>
      <c r="FM477" s="9" t="n">
        <f aca="false" t="array" ref="FM477:FM477">IF(FM476=0,0,IF(FM476/'🎚️ Escenario'!$C$11&gt;=36,$AL$23,INDEX($C$23:$AL$23,MAX(1,ROUNDUP(FM476/'🎚️ Escenario'!$C$11,0)))))</f>
        <v>0.86</v>
      </c>
      <c r="FN477" s="9" t="n">
        <f aca="false" t="array" ref="FN477:FN477">IF(FN476=0,0,IF(FN476/'🎚️ Escenario'!$C$11&gt;=36,$AL$23,INDEX($C$23:$AL$23,MAX(1,ROUNDUP(FN476/'🎚️ Escenario'!$C$11,0)))))</f>
        <v>0.88</v>
      </c>
      <c r="FO477" s="9" t="n">
        <f aca="false" t="array" ref="FO477:FO477">IF(FO476=0,0,IF(FO476/'🎚️ Escenario'!$C$11&gt;=36,$AL$23,INDEX($C$23:$AL$23,MAX(1,ROUNDUP(FO476/'🎚️ Escenario'!$C$11,0)))))</f>
        <v>0.89</v>
      </c>
      <c r="FP477" s="9" t="n">
        <f aca="false" t="array" ref="FP477:FP477">IF(FP476=0,0,IF(FP476/'🎚️ Escenario'!$C$11&gt;=36,$AL$23,INDEX($C$23:$AL$23,MAX(1,ROUNDUP(FP476/'🎚️ Escenario'!$C$11,0)))))</f>
        <v>0.9</v>
      </c>
    </row>
    <row r="478" customFormat="false" ht="15" hidden="false" customHeight="false" outlineLevel="2" collapsed="false">
      <c r="B478" s="47" t="s">
        <v>875</v>
      </c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237" t="n">
        <f aca="false">IF(AC476=0,0,IF(AC476&lt;=12*'🎚️ Escenario'!$C$11,1,1+$C$6))</f>
        <v>0</v>
      </c>
      <c r="AD478" s="237" t="n">
        <f aca="false">IF(AD476=0,0,IF(AD476&lt;=12*'🎚️ Escenario'!$C$11,1,1+$C$6))</f>
        <v>0</v>
      </c>
      <c r="AE478" s="237" t="n">
        <f aca="false">IF(AE476=0,0,IF(AE476&lt;=12*'🎚️ Escenario'!$C$11,1,1+$C$6))</f>
        <v>0</v>
      </c>
      <c r="AF478" s="237" t="n">
        <f aca="false">IF(AF476=0,0,IF(AF476&lt;=12*'🎚️ Escenario'!$C$11,1,1+$C$6))</f>
        <v>0</v>
      </c>
      <c r="AG478" s="237" t="n">
        <f aca="false">IF(AG476=0,0,IF(AG476&lt;=12*'🎚️ Escenario'!$C$11,1,1+$C$6))</f>
        <v>0</v>
      </c>
      <c r="AH478" s="237" t="n">
        <f aca="false">IF(AH476=0,0,IF(AH476&lt;=12*'🎚️ Escenario'!$C$11,1,1+$C$6))</f>
        <v>0</v>
      </c>
      <c r="AI478" s="237" t="n">
        <f aca="false">IF(AI476=0,0,IF(AI476&lt;=12*'🎚️ Escenario'!$C$11,1,1+$C$6))</f>
        <v>0</v>
      </c>
      <c r="AJ478" s="237" t="n">
        <f aca="false">IF(AJ476=0,0,IF(AJ476&lt;=12*'🎚️ Escenario'!$C$11,1,1+$C$6))</f>
        <v>0</v>
      </c>
      <c r="AK478" s="237" t="n">
        <f aca="false">IF(AK476=0,0,IF(AK476&lt;=12*'🎚️ Escenario'!$C$11,1,1+$C$6))</f>
        <v>0</v>
      </c>
      <c r="AL478" s="237" t="n">
        <f aca="false">IF(AL476=0,0,IF(AL476&lt;=12*'🎚️ Escenario'!$C$11,1,1+$C$6))</f>
        <v>0</v>
      </c>
      <c r="AM478" s="237" t="n">
        <f aca="false">IF(AM476=0,0,IF(AM476&lt;=12*'🎚️ Escenario'!$C$11,1,1+$C$6))</f>
        <v>0</v>
      </c>
      <c r="AN478" s="237" t="n">
        <f aca="false">IF(AN476=0,0,IF(AN476&lt;=12*'🎚️ Escenario'!$C$11,1,1+$C$6))</f>
        <v>0</v>
      </c>
      <c r="AO478" s="237" t="n">
        <f aca="false">IF(AO476=0,0,IF(AO476&lt;=12*'🎚️ Escenario'!$C$11,1,1+$C$6))</f>
        <v>0</v>
      </c>
      <c r="AP478" s="237" t="n">
        <f aca="false">IF(AP476=0,0,IF(AP476&lt;=12*'🎚️ Escenario'!$C$11,1,1+$C$6))</f>
        <v>0</v>
      </c>
      <c r="AQ478" s="237" t="n">
        <f aca="false">IF(AQ476=0,0,IF(AQ476&lt;=12*'🎚️ Escenario'!$C$11,1,1+$C$6))</f>
        <v>0</v>
      </c>
      <c r="AR478" s="237" t="n">
        <f aca="false">IF(AR476=0,0,IF(AR476&lt;=12*'🎚️ Escenario'!$C$11,1,1+$C$6))</f>
        <v>0</v>
      </c>
      <c r="AS478" s="237" t="n">
        <f aca="false">IF(AS476=0,0,IF(AS476&lt;=12*'🎚️ Escenario'!$C$11,1,1+$C$6))</f>
        <v>0</v>
      </c>
      <c r="AT478" s="237" t="n">
        <f aca="false">IF(AT476=0,0,IF(AT476&lt;=12*'🎚️ Escenario'!$C$11,1,1+$C$6))</f>
        <v>0</v>
      </c>
      <c r="AU478" s="237" t="n">
        <f aca="false">IF(AU476=0,0,IF(AU476&lt;=12*'🎚️ Escenario'!$C$11,1,1+$C$6))</f>
        <v>0</v>
      </c>
      <c r="AV478" s="237" t="n">
        <f aca="false">IF(AV476=0,0,IF(AV476&lt;=12*'🎚️ Escenario'!$C$11,1,1+$C$6))</f>
        <v>0</v>
      </c>
      <c r="AW478" s="237" t="n">
        <f aca="false">IF(AW476=0,0,IF(AW476&lt;=12*'🎚️ Escenario'!$C$11,1,1+$C$6))</f>
        <v>0</v>
      </c>
      <c r="AX478" s="237" t="n">
        <f aca="false">IF(AX476=0,0,IF(AX476&lt;=12*'🎚️ Escenario'!$C$11,1,1+$C$6))</f>
        <v>0</v>
      </c>
      <c r="AY478" s="237" t="n">
        <f aca="false">IF(AY476=0,0,IF(AY476&lt;=12*'🎚️ Escenario'!$C$11,1,1+$C$6))</f>
        <v>0</v>
      </c>
      <c r="AZ478" s="237" t="n">
        <f aca="false">IF(AZ476=0,0,IF(AZ476&lt;=12*'🎚️ Escenario'!$C$11,1,1+$C$6))</f>
        <v>0</v>
      </c>
      <c r="BA478" s="237" t="n">
        <f aca="false">IF(BA476=0,0,IF(BA476&lt;=12*'🎚️ Escenario'!$C$11,1,1+$C$6))</f>
        <v>0</v>
      </c>
      <c r="BB478" s="237" t="n">
        <f aca="false">IF(BB476=0,0,IF(BB476&lt;=12*'🎚️ Escenario'!$C$11,1,1+$C$6))</f>
        <v>0</v>
      </c>
      <c r="BC478" s="237" t="n">
        <f aca="false">IF(BC476=0,0,IF(BC476&lt;=12*'🎚️ Escenario'!$C$11,1,1+$C$6))</f>
        <v>0</v>
      </c>
      <c r="BD478" s="237" t="n">
        <f aca="false">IF(BD476=0,0,IF(BD476&lt;=12*'🎚️ Escenario'!$C$11,1,1+$C$6))</f>
        <v>0</v>
      </c>
      <c r="BE478" s="237" t="n">
        <f aca="false">IF(BE476=0,0,IF(BE476&lt;=12*'🎚️ Escenario'!$C$11,1,1+$C$6))</f>
        <v>0</v>
      </c>
      <c r="BF478" s="237" t="n">
        <f aca="false">IF(BF476=0,0,IF(BF476&lt;=12*'🎚️ Escenario'!$C$11,1,1+$C$6))</f>
        <v>0</v>
      </c>
      <c r="BG478" s="237" t="n">
        <f aca="false">IF(BG476=0,0,IF(BG476&lt;=12*'🎚️ Escenario'!$C$11,1,1+$C$6))</f>
        <v>0</v>
      </c>
      <c r="BH478" s="237" t="n">
        <f aca="false">IF(BH476=0,0,IF(BH476&lt;=12*'🎚️ Escenario'!$C$11,1,1+$C$6))</f>
        <v>0</v>
      </c>
      <c r="BI478" s="237" t="n">
        <f aca="false">IF(BI476=0,0,IF(BI476&lt;=12*'🎚️ Escenario'!$C$11,1,1+$C$6))</f>
        <v>0</v>
      </c>
      <c r="BJ478" s="237" t="n">
        <f aca="false">IF(BJ476=0,0,IF(BJ476&lt;=12*'🎚️ Escenario'!$C$11,1,1+$C$6))</f>
        <v>0</v>
      </c>
      <c r="BK478" s="237" t="n">
        <f aca="false">IF(BK476=0,0,IF(BK476&lt;=12*'🎚️ Escenario'!$C$11,1,1+$C$6))</f>
        <v>0</v>
      </c>
      <c r="BL478" s="237" t="n">
        <f aca="false">IF(BL476=0,0,IF(BL476&lt;=12*'🎚️ Escenario'!$C$11,1,1+$C$6))</f>
        <v>0</v>
      </c>
      <c r="BM478" s="237" t="n">
        <f aca="false">IF(BM476=0,0,IF(BM476&lt;=12*'🎚️ Escenario'!$C$11,1,1+$C$6))</f>
        <v>0</v>
      </c>
      <c r="BN478" s="237" t="n">
        <f aca="false">IF(BN476=0,0,IF(BN476&lt;=12*'🎚️ Escenario'!$C$11,1,1+$C$6))</f>
        <v>0</v>
      </c>
      <c r="BO478" s="237" t="n">
        <f aca="false">IF(BO476=0,0,IF(BO476&lt;=12*'🎚️ Escenario'!$C$11,1,1+$C$6))</f>
        <v>0</v>
      </c>
      <c r="BP478" s="237" t="n">
        <f aca="false">IF(BP476=0,0,IF(BP476&lt;=12*'🎚️ Escenario'!$C$11,1,1+$C$6))</f>
        <v>0</v>
      </c>
      <c r="BQ478" s="237" t="n">
        <f aca="false">IF(BQ476=0,0,IF(BQ476&lt;=12*'🎚️ Escenario'!$C$11,1,1+$C$6))</f>
        <v>0</v>
      </c>
      <c r="BR478" s="237" t="n">
        <f aca="false">IF(BR476=0,0,IF(BR476&lt;=12*'🎚️ Escenario'!$C$11,1,1+$C$6))</f>
        <v>0</v>
      </c>
      <c r="BS478" s="237" t="n">
        <f aca="false">IF(BS476=0,0,IF(BS476&lt;=12*'🎚️ Escenario'!$C$11,1,1+$C$6))</f>
        <v>0</v>
      </c>
      <c r="BT478" s="237" t="n">
        <f aca="false">IF(BT476=0,0,IF(BT476&lt;=12*'🎚️ Escenario'!$C$11,1,1+$C$6))</f>
        <v>0</v>
      </c>
      <c r="BU478" s="237" t="n">
        <f aca="false">IF(BU476=0,0,IF(BU476&lt;=12*'🎚️ Escenario'!$C$11,1,1+$C$6))</f>
        <v>0</v>
      </c>
      <c r="BV478" s="237" t="n">
        <f aca="false">IF(BV476=0,0,IF(BV476&lt;=12*'🎚️ Escenario'!$C$11,1,1+$C$6))</f>
        <v>0</v>
      </c>
      <c r="BW478" s="237" t="n">
        <f aca="false">IF(BW476=0,0,IF(BW476&lt;=12*'🎚️ Escenario'!$C$11,1,1+$C$6))</f>
        <v>0</v>
      </c>
      <c r="BX478" s="237" t="n">
        <f aca="false">IF(BX476=0,0,IF(BX476&lt;=12*'🎚️ Escenario'!$C$11,1,1+$C$6))</f>
        <v>0</v>
      </c>
      <c r="BY478" s="237" t="n">
        <f aca="false">IF(BY476=0,0,IF(BY476&lt;=12*'🎚️ Escenario'!$C$11,1,1+$C$6))</f>
        <v>0</v>
      </c>
      <c r="BZ478" s="237" t="n">
        <f aca="false">IF(BZ476=0,0,IF(BZ476&lt;=12*'🎚️ Escenario'!$C$11,1,1+$C$6))</f>
        <v>0</v>
      </c>
      <c r="CA478" s="237" t="n">
        <f aca="false">IF(CA476=0,0,IF(CA476&lt;=12*'🎚️ Escenario'!$C$11,1,1+$C$6))</f>
        <v>0</v>
      </c>
      <c r="CB478" s="237" t="n">
        <f aca="false">IF(CB476=0,0,IF(CB476&lt;=12*'🎚️ Escenario'!$C$11,1,1+$C$6))</f>
        <v>0</v>
      </c>
      <c r="CC478" s="237" t="n">
        <f aca="false">IF(CC476=0,0,IF(CC476&lt;=12*'🎚️ Escenario'!$C$11,1,1+$C$6))</f>
        <v>0</v>
      </c>
      <c r="CD478" s="237" t="n">
        <f aca="false">IF(CD476=0,0,IF(CD476&lt;=12*'🎚️ Escenario'!$C$11,1,1+$C$6))</f>
        <v>0</v>
      </c>
      <c r="CE478" s="237" t="n">
        <f aca="false">IF(CE476=0,0,IF(CE476&lt;=12*'🎚️ Escenario'!$C$11,1,1+$C$6))</f>
        <v>0</v>
      </c>
      <c r="CF478" s="237" t="n">
        <f aca="false">IF(CF476=0,0,IF(CF476&lt;=12*'🎚️ Escenario'!$C$11,1,1+$C$6))</f>
        <v>0</v>
      </c>
      <c r="CG478" s="237" t="n">
        <f aca="false">IF(CG476=0,0,IF(CG476&lt;=12*'🎚️ Escenario'!$C$11,1,1+$C$6))</f>
        <v>0</v>
      </c>
      <c r="CH478" s="237" t="n">
        <f aca="false">IF(CH476=0,0,IF(CH476&lt;=12*'🎚️ Escenario'!$C$11,1,1+$C$6))</f>
        <v>0</v>
      </c>
      <c r="CI478" s="237" t="n">
        <f aca="false">IF(CI476=0,0,IF(CI476&lt;=12*'🎚️ Escenario'!$C$11,1,1+$C$6))</f>
        <v>0</v>
      </c>
      <c r="CJ478" s="237" t="n">
        <f aca="false">IF(CJ476=0,0,IF(CJ476&lt;=12*'🎚️ Escenario'!$C$11,1,1+$C$6))</f>
        <v>0</v>
      </c>
      <c r="CK478" s="237" t="n">
        <f aca="false">IF(CK476=0,0,IF(CK476&lt;=12*'🎚️ Escenario'!$C$11,1,1+$C$6))</f>
        <v>0</v>
      </c>
      <c r="CL478" s="237" t="n">
        <f aca="false">IF(CL476=0,0,IF(CL476&lt;=12*'🎚️ Escenario'!$C$11,1,1+$C$6))</f>
        <v>0</v>
      </c>
      <c r="CM478" s="237" t="n">
        <f aca="false">IF(CM476=0,0,IF(CM476&lt;=12*'🎚️ Escenario'!$C$11,1,1+$C$6))</f>
        <v>0</v>
      </c>
      <c r="CN478" s="237" t="n">
        <f aca="false">IF(CN476=0,0,IF(CN476&lt;=12*'🎚️ Escenario'!$C$11,1,1+$C$6))</f>
        <v>0</v>
      </c>
      <c r="CO478" s="237" t="n">
        <f aca="false">IF(CO476=0,0,IF(CO476&lt;=12*'🎚️ Escenario'!$C$11,1,1+$C$6))</f>
        <v>0</v>
      </c>
      <c r="CP478" s="237" t="n">
        <f aca="false">IF(CP476=0,0,IF(CP476&lt;=12*'🎚️ Escenario'!$C$11,1,1+$C$6))</f>
        <v>0</v>
      </c>
      <c r="CQ478" s="237" t="n">
        <f aca="false">IF(CQ476=0,0,IF(CQ476&lt;=12*'🎚️ Escenario'!$C$11,1,1+$C$6))</f>
        <v>0</v>
      </c>
      <c r="CR478" s="237" t="n">
        <f aca="false">IF(CR476=0,0,IF(CR476&lt;=12*'🎚️ Escenario'!$C$11,1,1+$C$6))</f>
        <v>0</v>
      </c>
      <c r="CS478" s="237" t="n">
        <f aca="false">IF(CS476=0,0,IF(CS476&lt;=12*'🎚️ Escenario'!$C$11,1,1+$C$6))</f>
        <v>0</v>
      </c>
      <c r="CT478" s="237" t="n">
        <f aca="false">IF(CT476=0,0,IF(CT476&lt;=12*'🎚️ Escenario'!$C$11,1,1+$C$6))</f>
        <v>0</v>
      </c>
      <c r="CU478" s="237" t="n">
        <f aca="false">IF(CU476=0,0,IF(CU476&lt;=12*'🎚️ Escenario'!$C$11,1,1+$C$6))</f>
        <v>0</v>
      </c>
      <c r="CV478" s="237" t="n">
        <f aca="false">IF(CV476=0,0,IF(CV476&lt;=12*'🎚️ Escenario'!$C$11,1,1+$C$6))</f>
        <v>0</v>
      </c>
      <c r="CW478" s="237" t="n">
        <f aca="false">IF(CW476=0,0,IF(CW476&lt;=12*'🎚️ Escenario'!$C$11,1,1+$C$6))</f>
        <v>0</v>
      </c>
      <c r="CX478" s="237" t="n">
        <f aca="false">IF(CX476=0,0,IF(CX476&lt;=12*'🎚️ Escenario'!$C$11,1,1+$C$6))</f>
        <v>0</v>
      </c>
      <c r="CY478" s="237" t="n">
        <f aca="false">IF(CY476=0,0,IF(CY476&lt;=12*'🎚️ Escenario'!$C$11,1,1+$C$6))</f>
        <v>0</v>
      </c>
      <c r="CZ478" s="237" t="n">
        <f aca="false">IF(CZ476=0,0,IF(CZ476&lt;=12*'🎚️ Escenario'!$C$11,1,1+$C$6))</f>
        <v>0</v>
      </c>
      <c r="DA478" s="237" t="n">
        <f aca="false">IF(DA476=0,0,IF(DA476&lt;=12*'🎚️ Escenario'!$C$11,1,1+$C$6))</f>
        <v>0</v>
      </c>
      <c r="DB478" s="237" t="n">
        <f aca="false">IF(DB476=0,0,IF(DB476&lt;=12*'🎚️ Escenario'!$C$11,1,1+$C$6))</f>
        <v>0</v>
      </c>
      <c r="DC478" s="237" t="n">
        <f aca="false">IF(DC476=0,0,IF(DC476&lt;=12*'🎚️ Escenario'!$C$11,1,1+$C$6))</f>
        <v>0</v>
      </c>
      <c r="DD478" s="237" t="n">
        <f aca="false">IF(DD476=0,0,IF(DD476&lt;=12*'🎚️ Escenario'!$C$11,1,1+$C$6))</f>
        <v>0</v>
      </c>
      <c r="DE478" s="237" t="n">
        <f aca="false">IF(DE476=0,0,IF(DE476&lt;=12*'🎚️ Escenario'!$C$11,1,1+$C$6))</f>
        <v>0</v>
      </c>
      <c r="DF478" s="237" t="n">
        <f aca="false">IF(DF476=0,0,IF(DF476&lt;=12*'🎚️ Escenario'!$C$11,1,1+$C$6))</f>
        <v>0</v>
      </c>
      <c r="DG478" s="237" t="n">
        <f aca="false">IF(DG476=0,0,IF(DG476&lt;=12*'🎚️ Escenario'!$C$11,1,1+$C$6))</f>
        <v>0</v>
      </c>
      <c r="DH478" s="237" t="n">
        <f aca="false">IF(DH476=0,0,IF(DH476&lt;=12*'🎚️ Escenario'!$C$11,1,1+$C$6))</f>
        <v>0</v>
      </c>
      <c r="DI478" s="237" t="n">
        <f aca="false">IF(DI476=0,0,IF(DI476&lt;=12*'🎚️ Escenario'!$C$11,1,1+$C$6))</f>
        <v>0</v>
      </c>
      <c r="DJ478" s="237" t="n">
        <f aca="false">IF(DJ476=0,0,IF(DJ476&lt;=12*'🎚️ Escenario'!$C$11,1,1+$C$6))</f>
        <v>0</v>
      </c>
      <c r="DK478" s="237" t="n">
        <f aca="false">IF(DK476=0,0,IF(DK476&lt;=12*'🎚️ Escenario'!$C$11,1,1+$C$6))</f>
        <v>0</v>
      </c>
      <c r="DL478" s="237" t="n">
        <f aca="false">IF(DL476=0,0,IF(DL476&lt;=12*'🎚️ Escenario'!$C$11,1,1+$C$6))</f>
        <v>0</v>
      </c>
      <c r="DM478" s="237" t="n">
        <f aca="false">IF(DM476=0,0,IF(DM476&lt;=12*'🎚️ Escenario'!$C$11,1,1+$C$6))</f>
        <v>0</v>
      </c>
      <c r="DN478" s="237" t="n">
        <f aca="false">IF(DN476=0,0,IF(DN476&lt;=12*'🎚️ Escenario'!$C$11,1,1+$C$6))</f>
        <v>0</v>
      </c>
      <c r="DO478" s="237" t="n">
        <f aca="false">IF(DO476=0,0,IF(DO476&lt;=12*'🎚️ Escenario'!$C$11,1,1+$C$6))</f>
        <v>0</v>
      </c>
      <c r="DP478" s="237" t="n">
        <f aca="false">IF(DP476=0,0,IF(DP476&lt;=12*'🎚️ Escenario'!$C$11,1,1+$C$6))</f>
        <v>0</v>
      </c>
      <c r="DQ478" s="237" t="n">
        <f aca="false">IF(DQ476=0,0,IF(DQ476&lt;=12*'🎚️ Escenario'!$C$11,1,1+$C$6))</f>
        <v>0</v>
      </c>
      <c r="DR478" s="237" t="n">
        <f aca="false">IF(DR476=0,0,IF(DR476&lt;=12*'🎚️ Escenario'!$C$11,1,1+$C$6))</f>
        <v>0</v>
      </c>
      <c r="DS478" s="237" t="n">
        <f aca="false">IF(DS476=0,0,IF(DS476&lt;=12*'🎚️ Escenario'!$C$11,1,1+$C$6))</f>
        <v>0</v>
      </c>
      <c r="DT478" s="237" t="n">
        <f aca="false">IF(DT476=0,0,IF(DT476&lt;=12*'🎚️ Escenario'!$C$11,1,1+$C$6))</f>
        <v>0</v>
      </c>
      <c r="DU478" s="237" t="n">
        <f aca="false">IF(DU476=0,0,IF(DU476&lt;=12*'🎚️ Escenario'!$C$11,1,1+$C$6))</f>
        <v>0</v>
      </c>
      <c r="DV478" s="237" t="n">
        <f aca="false">IF(DV476=0,0,IF(DV476&lt;=12*'🎚️ Escenario'!$C$11,1,1+$C$6))</f>
        <v>0</v>
      </c>
      <c r="DW478" s="237" t="n">
        <f aca="false">IF(DW476=0,0,IF(DW476&lt;=12*'🎚️ Escenario'!$C$11,1,1+$C$6))</f>
        <v>0</v>
      </c>
      <c r="DX478" s="237" t="n">
        <f aca="false">IF(DX476=0,0,IF(DX476&lt;=12*'🎚️ Escenario'!$C$11,1,1+$C$6))</f>
        <v>0</v>
      </c>
      <c r="DY478" s="237" t="n">
        <f aca="false">IF(DY476=0,0,IF(DY476&lt;=12*'🎚️ Escenario'!$C$11,1,1+$C$6))</f>
        <v>0</v>
      </c>
      <c r="DZ478" s="237" t="n">
        <f aca="false">IF(DZ476=0,0,IF(DZ476&lt;=12*'🎚️ Escenario'!$C$11,1,1+$C$6))</f>
        <v>0</v>
      </c>
      <c r="EA478" s="237" t="n">
        <f aca="false">IF(EA476=0,0,IF(EA476&lt;=12*'🎚️ Escenario'!$C$11,1,1+$C$6))</f>
        <v>0</v>
      </c>
      <c r="EB478" s="237" t="n">
        <f aca="false">IF(EB476=0,0,IF(EB476&lt;=12*'🎚️ Escenario'!$C$11,1,1+$C$6))</f>
        <v>0</v>
      </c>
      <c r="EC478" s="237" t="n">
        <f aca="false">IF(EC476=0,0,IF(EC476&lt;=12*'🎚️ Escenario'!$C$11,1,1+$C$6))</f>
        <v>0</v>
      </c>
      <c r="ED478" s="237" t="n">
        <f aca="false">IF(ED476=0,0,IF(ED476&lt;=12*'🎚️ Escenario'!$C$11,1,1+$C$6))</f>
        <v>0</v>
      </c>
      <c r="EE478" s="237" t="n">
        <f aca="false">IF(EE476=0,0,IF(EE476&lt;=12*'🎚️ Escenario'!$C$11,1,1+$C$6))</f>
        <v>0</v>
      </c>
      <c r="EF478" s="237" t="n">
        <f aca="false">IF(EF476=0,0,IF(EF476&lt;=12*'🎚️ Escenario'!$C$11,1,1+$C$6))</f>
        <v>0</v>
      </c>
      <c r="EG478" s="237" t="n">
        <f aca="false">IF(EG476=0,0,IF(EG476&lt;=12*'🎚️ Escenario'!$C$11,1,1+$C$6))</f>
        <v>0</v>
      </c>
      <c r="EH478" s="237" t="n">
        <f aca="false">IF(EH476=0,0,IF(EH476&lt;=12*'🎚️ Escenario'!$C$11,1,1+$C$6))</f>
        <v>0</v>
      </c>
      <c r="EI478" s="237" t="n">
        <f aca="false">IF(EI476=0,0,IF(EI476&lt;=12*'🎚️ Escenario'!$C$11,1,1+$C$6))</f>
        <v>1</v>
      </c>
      <c r="EJ478" s="237" t="n">
        <f aca="false">IF(EJ476=0,0,IF(EJ476&lt;=12*'🎚️ Escenario'!$C$11,1,1+$C$6))</f>
        <v>1</v>
      </c>
      <c r="EK478" s="237" t="n">
        <f aca="false">IF(EK476=0,0,IF(EK476&lt;=12*'🎚️ Escenario'!$C$11,1,1+$C$6))</f>
        <v>1</v>
      </c>
      <c r="EL478" s="237" t="n">
        <f aca="false">IF(EL476=0,0,IF(EL476&lt;=12*'🎚️ Escenario'!$C$11,1,1+$C$6))</f>
        <v>1</v>
      </c>
      <c r="EM478" s="237" t="n">
        <f aca="false">IF(EM476=0,0,IF(EM476&lt;=12*'🎚️ Escenario'!$C$11,1,1+$C$6))</f>
        <v>1</v>
      </c>
      <c r="EN478" s="237" t="n">
        <f aca="false">IF(EN476=0,0,IF(EN476&lt;=12*'🎚️ Escenario'!$C$11,1,1+$C$6))</f>
        <v>1</v>
      </c>
      <c r="EO478" s="237" t="n">
        <f aca="false">IF(EO476=0,0,IF(EO476&lt;=12*'🎚️ Escenario'!$C$11,1,1+$C$6))</f>
        <v>1</v>
      </c>
      <c r="EP478" s="237" t="n">
        <f aca="false">IF(EP476=0,0,IF(EP476&lt;=12*'🎚️ Escenario'!$C$11,1,1+$C$6))</f>
        <v>1</v>
      </c>
      <c r="EQ478" s="237" t="n">
        <f aca="false">IF(EQ476=0,0,IF(EQ476&lt;=12*'🎚️ Escenario'!$C$11,1,1+$C$6))</f>
        <v>1</v>
      </c>
      <c r="ER478" s="237" t="n">
        <f aca="false">IF(ER476=0,0,IF(ER476&lt;=12*'🎚️ Escenario'!$C$11,1,1+$C$6))</f>
        <v>1</v>
      </c>
      <c r="ES478" s="9" t="n">
        <f aca="false">IF(ES476=0,0,IF(ES476&lt;=12*'🎚️ Escenario'!$C$11,1,1+$C$6))</f>
        <v>1</v>
      </c>
      <c r="ET478" s="9" t="n">
        <f aca="false">IF(ET476=0,0,IF(ET476&lt;=12*'🎚️ Escenario'!$C$11,1,1+$C$6))</f>
        <v>1</v>
      </c>
      <c r="EU478" s="9" t="n">
        <f aca="false">IF(EU476=0,0,IF(EU476&lt;=12*'🎚️ Escenario'!$C$11,1,1+$C$6))</f>
        <v>1</v>
      </c>
      <c r="EV478" s="9" t="n">
        <f aca="false">IF(EV476=0,0,IF(EV476&lt;=12*'🎚️ Escenario'!$C$11,1,1+$C$6))</f>
        <v>1</v>
      </c>
      <c r="EW478" s="9" t="n">
        <f aca="false">IF(EW476=0,0,IF(EW476&lt;=12*'🎚️ Escenario'!$C$11,1,1+$C$6))</f>
        <v>1</v>
      </c>
      <c r="EX478" s="238" t="n">
        <f aca="false">IF(EX476=0,0,IF(EX476&lt;=12*'🎚️ Escenario'!$C$11,1,1+$C$6))</f>
        <v>1.2</v>
      </c>
      <c r="EY478" s="238" t="n">
        <f aca="false">IF(EY476=0,0,IF(EY476&lt;=12*'🎚️ Escenario'!$C$11,1,1+$C$6))</f>
        <v>1.2</v>
      </c>
      <c r="EZ478" s="238" t="n">
        <f aca="false">IF(EZ476=0,0,IF(EZ476&lt;=12*'🎚️ Escenario'!$C$11,1,1+$C$6))</f>
        <v>1.2</v>
      </c>
      <c r="FA478" s="238" t="n">
        <f aca="false">IF(FA476=0,0,IF(FA476&lt;=12*'🎚️ Escenario'!$C$11,1,1+$C$6))</f>
        <v>1.2</v>
      </c>
      <c r="FB478" s="238" t="n">
        <f aca="false">IF(FB476=0,0,IF(FB476&lt;=12*'🎚️ Escenario'!$C$11,1,1+$C$6))</f>
        <v>1.2</v>
      </c>
      <c r="FC478" s="238" t="n">
        <f aca="false">IF(FC476=0,0,IF(FC476&lt;=12*'🎚️ Escenario'!$C$11,1,1+$C$6))</f>
        <v>1.2</v>
      </c>
      <c r="FD478" s="238" t="n">
        <f aca="false">IF(FD476=0,0,IF(FD476&lt;=12*'🎚️ Escenario'!$C$11,1,1+$C$6))</f>
        <v>1.2</v>
      </c>
      <c r="FE478" s="238" t="n">
        <f aca="false">IF(FE476=0,0,IF(FE476&lt;=12*'🎚️ Escenario'!$C$11,1,1+$C$6))</f>
        <v>1.2</v>
      </c>
      <c r="FF478" s="238" t="n">
        <f aca="false">IF(FF476=0,0,IF(FF476&lt;=12*'🎚️ Escenario'!$C$11,1,1+$C$6))</f>
        <v>1.2</v>
      </c>
      <c r="FG478" s="238" t="n">
        <f aca="false">IF(FG476=0,0,IF(FG476&lt;=12*'🎚️ Escenario'!$C$11,1,1+$C$6))</f>
        <v>1.2</v>
      </c>
      <c r="FH478" s="238" t="n">
        <f aca="false">IF(FH476=0,0,IF(FH476&lt;=12*'🎚️ Escenario'!$C$11,1,1+$C$6))</f>
        <v>1.2</v>
      </c>
      <c r="FI478" s="238" t="n">
        <f aca="false">IF(FI476=0,0,IF(FI476&lt;=12*'🎚️ Escenario'!$C$11,1,1+$C$6))</f>
        <v>1.2</v>
      </c>
      <c r="FJ478" s="238" t="n">
        <f aca="false">IF(FJ476=0,0,IF(FJ476&lt;=12*'🎚️ Escenario'!$C$11,1,1+$C$6))</f>
        <v>1.2</v>
      </c>
      <c r="FK478" s="238" t="n">
        <f aca="false">IF(FK476=0,0,IF(FK476&lt;=12*'🎚️ Escenario'!$C$11,1,1+$C$6))</f>
        <v>1.2</v>
      </c>
      <c r="FL478" s="238" t="n">
        <f aca="false">IF(FL476=0,0,IF(FL476&lt;=12*'🎚️ Escenario'!$C$11,1,1+$C$6))</f>
        <v>1.2</v>
      </c>
      <c r="FM478" s="238" t="n">
        <f aca="false">IF(FM476=0,0,IF(FM476&lt;=12*'🎚️ Escenario'!$C$11,1,1+$C$6))</f>
        <v>1.2</v>
      </c>
      <c r="FN478" s="238" t="n">
        <f aca="false">IF(FN476=0,0,IF(FN476&lt;=12*'🎚️ Escenario'!$C$11,1,1+$C$6))</f>
        <v>1.2</v>
      </c>
      <c r="FO478" s="238" t="n">
        <f aca="false">IF(FO476=0,0,IF(FO476&lt;=12*'🎚️ Escenario'!$C$11,1,1+$C$6))</f>
        <v>1.2</v>
      </c>
      <c r="FP478" s="238" t="n">
        <f aca="false">IF(FP476=0,0,IF(FP476&lt;=12*'🎚️ Escenario'!$C$11,1,1+$C$6))</f>
        <v>1.2</v>
      </c>
    </row>
    <row r="479" customFormat="false" ht="15" hidden="false" customHeight="false" outlineLevel="2" collapsed="false">
      <c r="B479" s="47" t="s">
        <v>876</v>
      </c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237" t="n">
        <f aca="false">AC477*$AC$475*AC478*AC$38*'⑫ Roll-out Plan'!$O$52</f>
        <v>0</v>
      </c>
      <c r="AD479" s="237" t="n">
        <f aca="false">AD477*$AC$475*AD478*AD$38*'⑫ Roll-out Plan'!$O$52</f>
        <v>0</v>
      </c>
      <c r="AE479" s="237" t="n">
        <f aca="false">AE477*$AC$475*AE478*AE$38*'⑫ Roll-out Plan'!$O$52</f>
        <v>0</v>
      </c>
      <c r="AF479" s="237" t="n">
        <f aca="false">AF477*$AC$475*AF478*AF$38*'⑫ Roll-out Plan'!$O$52</f>
        <v>0</v>
      </c>
      <c r="AG479" s="237" t="n">
        <f aca="false">AG477*$AC$475*AG478*AG$38*'⑫ Roll-out Plan'!$O$52</f>
        <v>0</v>
      </c>
      <c r="AH479" s="237" t="n">
        <f aca="false">AH477*$AC$475*AH478*AH$38*'⑫ Roll-out Plan'!$O$52</f>
        <v>0</v>
      </c>
      <c r="AI479" s="237" t="n">
        <f aca="false">AI477*$AC$475*AI478*AI$38*'⑫ Roll-out Plan'!$O$52</f>
        <v>0</v>
      </c>
      <c r="AJ479" s="237" t="n">
        <f aca="false">AJ477*$AC$475*AJ478*AJ$38*'⑫ Roll-out Plan'!$O$52</f>
        <v>0</v>
      </c>
      <c r="AK479" s="237" t="n">
        <f aca="false">AK477*$AC$475*AK478*AK$38*'⑫ Roll-out Plan'!$O$52</f>
        <v>0</v>
      </c>
      <c r="AL479" s="237" t="n">
        <f aca="false">AL477*$AC$475*AL478*AL$38*'⑫ Roll-out Plan'!$O$52</f>
        <v>0</v>
      </c>
      <c r="AM479" s="237" t="n">
        <f aca="false">AM477*$AC$475*AM478*AM$38*'⑫ Roll-out Plan'!$O$52</f>
        <v>0</v>
      </c>
      <c r="AN479" s="237" t="n">
        <f aca="false">AN477*$AC$475*AN478*AN$38*'⑫ Roll-out Plan'!$O$52</f>
        <v>0</v>
      </c>
      <c r="AO479" s="237" t="n">
        <f aca="false">AO477*$AC$475*AO478*AO$38*'⑫ Roll-out Plan'!$O$52</f>
        <v>0</v>
      </c>
      <c r="AP479" s="237" t="n">
        <f aca="false">AP477*$AC$475*AP478*AP$38*'⑫ Roll-out Plan'!$O$52</f>
        <v>0</v>
      </c>
      <c r="AQ479" s="237" t="n">
        <f aca="false">AQ477*$AC$475*AQ478*AQ$38*'⑫ Roll-out Plan'!$O$52</f>
        <v>0</v>
      </c>
      <c r="AR479" s="237" t="n">
        <f aca="false">AR477*$AC$475*AR478*AR$38*'⑫ Roll-out Plan'!$O$52</f>
        <v>0</v>
      </c>
      <c r="AS479" s="237" t="n">
        <f aca="false">AS477*$AC$475*AS478*AS$38*'⑫ Roll-out Plan'!$O$52</f>
        <v>0</v>
      </c>
      <c r="AT479" s="237" t="n">
        <f aca="false">AT477*$AC$475*AT478*AT$38*'⑫ Roll-out Plan'!$O$52</f>
        <v>0</v>
      </c>
      <c r="AU479" s="237" t="n">
        <f aca="false">AU477*$AC$475*AU478*AU$38*'⑫ Roll-out Plan'!$O$52</f>
        <v>0</v>
      </c>
      <c r="AV479" s="237" t="n">
        <f aca="false">AV477*$AC$475*AV478*AV$38*'⑫ Roll-out Plan'!$O$52</f>
        <v>0</v>
      </c>
      <c r="AW479" s="237" t="n">
        <f aca="false">AW477*$AC$475*AW478*AW$38*'⑫ Roll-out Plan'!$O$52</f>
        <v>0</v>
      </c>
      <c r="AX479" s="237" t="n">
        <f aca="false">AX477*$AC$475*AX478*AX$38*'⑫ Roll-out Plan'!$O$52</f>
        <v>0</v>
      </c>
      <c r="AY479" s="237" t="n">
        <f aca="false">AY477*$AC$475*AY478*AY$38*'⑫ Roll-out Plan'!$O$52</f>
        <v>0</v>
      </c>
      <c r="AZ479" s="237" t="n">
        <f aca="false">AZ477*$AC$475*AZ478*AZ$38*'⑫ Roll-out Plan'!$O$52</f>
        <v>0</v>
      </c>
      <c r="BA479" s="237" t="n">
        <f aca="false">BA477*$AC$475*BA478*BA$38*'⑫ Roll-out Plan'!$O$52</f>
        <v>0</v>
      </c>
      <c r="BB479" s="237" t="n">
        <f aca="false">BB477*$AC$475*BB478*BB$38*'⑫ Roll-out Plan'!$O$52</f>
        <v>0</v>
      </c>
      <c r="BC479" s="237" t="n">
        <f aca="false">BC477*$AC$475*BC478*BC$38*'⑫ Roll-out Plan'!$O$52</f>
        <v>0</v>
      </c>
      <c r="BD479" s="237" t="n">
        <f aca="false">BD477*$AC$475*BD478*BD$38*'⑫ Roll-out Plan'!$O$52</f>
        <v>0</v>
      </c>
      <c r="BE479" s="237" t="n">
        <f aca="false">BE477*$AC$475*BE478*BE$38*'⑫ Roll-out Plan'!$O$52</f>
        <v>0</v>
      </c>
      <c r="BF479" s="237" t="n">
        <f aca="false">BF477*$AC$475*BF478*BF$38*'⑫ Roll-out Plan'!$O$52</f>
        <v>0</v>
      </c>
      <c r="BG479" s="237" t="n">
        <f aca="false">BG477*$AC$475*BG478*BG$38*'⑫ Roll-out Plan'!$O$52</f>
        <v>0</v>
      </c>
      <c r="BH479" s="237" t="n">
        <f aca="false">BH477*$AC$475*BH478*BH$38*'⑫ Roll-out Plan'!$O$52</f>
        <v>0</v>
      </c>
      <c r="BI479" s="237" t="n">
        <f aca="false">BI477*$AC$475*BI478*BI$38*'⑫ Roll-out Plan'!$O$52</f>
        <v>0</v>
      </c>
      <c r="BJ479" s="237" t="n">
        <f aca="false">BJ477*$AC$475*BJ478*BJ$38*'⑫ Roll-out Plan'!$O$52</f>
        <v>0</v>
      </c>
      <c r="BK479" s="237" t="n">
        <f aca="false">BK477*$AC$475*BK478*BK$38*'⑫ Roll-out Plan'!$O$52</f>
        <v>0</v>
      </c>
      <c r="BL479" s="237" t="n">
        <f aca="false">BL477*$AC$475*BL478*BL$38*'⑫ Roll-out Plan'!$O$52</f>
        <v>0</v>
      </c>
      <c r="BM479" s="237" t="n">
        <f aca="false">BM477*$AC$475*BM478*BM$38*'⑫ Roll-out Plan'!$O$52</f>
        <v>0</v>
      </c>
      <c r="BN479" s="237" t="n">
        <f aca="false">BN477*$AC$475*BN478*BN$38*'⑫ Roll-out Plan'!$O$52</f>
        <v>0</v>
      </c>
      <c r="BO479" s="237" t="n">
        <f aca="false">BO477*$AC$475*BO478*BO$38*'⑫ Roll-out Plan'!$O$52</f>
        <v>0</v>
      </c>
      <c r="BP479" s="237" t="n">
        <f aca="false">BP477*$AC$475*BP478*BP$38*'⑫ Roll-out Plan'!$O$52</f>
        <v>0</v>
      </c>
      <c r="BQ479" s="237" t="n">
        <f aca="false">BQ477*$AC$475*BQ478*BQ$38*'⑫ Roll-out Plan'!$O$52</f>
        <v>0</v>
      </c>
      <c r="BR479" s="237" t="n">
        <f aca="false">BR477*$AC$475*BR478*BR$38*'⑫ Roll-out Plan'!$O$52</f>
        <v>0</v>
      </c>
      <c r="BS479" s="237" t="n">
        <f aca="false">BS477*$AC$475*BS478*BS$38*'⑫ Roll-out Plan'!$O$52</f>
        <v>0</v>
      </c>
      <c r="BT479" s="237" t="n">
        <f aca="false">BT477*$AC$475*BT478*BT$38*'⑫ Roll-out Plan'!$O$52</f>
        <v>0</v>
      </c>
      <c r="BU479" s="237" t="n">
        <f aca="false">BU477*$AC$475*BU478*BU$38*'⑫ Roll-out Plan'!$O$52</f>
        <v>0</v>
      </c>
      <c r="BV479" s="237" t="n">
        <f aca="false">BV477*$AC$475*BV478*BV$38*'⑫ Roll-out Plan'!$O$52</f>
        <v>0</v>
      </c>
      <c r="BW479" s="237" t="n">
        <f aca="false">BW477*$AC$475*BW478*BW$38*'⑫ Roll-out Plan'!$O$52</f>
        <v>0</v>
      </c>
      <c r="BX479" s="237" t="n">
        <f aca="false">BX477*$AC$475*BX478*BX$38*'⑫ Roll-out Plan'!$O$52</f>
        <v>0</v>
      </c>
      <c r="BY479" s="237" t="n">
        <f aca="false">BY477*$AC$475*BY478*BY$38*'⑫ Roll-out Plan'!$O$52</f>
        <v>0</v>
      </c>
      <c r="BZ479" s="237" t="n">
        <f aca="false">BZ477*$AC$475*BZ478*BZ$38*'⑫ Roll-out Plan'!$O$52</f>
        <v>0</v>
      </c>
      <c r="CA479" s="237" t="n">
        <f aca="false">CA477*$AC$475*CA478*CA$38*'⑫ Roll-out Plan'!$O$52</f>
        <v>0</v>
      </c>
      <c r="CB479" s="237" t="n">
        <f aca="false">CB477*$AC$475*CB478*CB$38*'⑫ Roll-out Plan'!$O$52</f>
        <v>0</v>
      </c>
      <c r="CC479" s="237" t="n">
        <f aca="false">CC477*$AC$475*CC478*CC$38*'⑫ Roll-out Plan'!$O$52</f>
        <v>0</v>
      </c>
      <c r="CD479" s="237" t="n">
        <f aca="false">CD477*$AC$475*CD478*CD$38*'⑫ Roll-out Plan'!$O$52</f>
        <v>0</v>
      </c>
      <c r="CE479" s="237" t="n">
        <f aca="false">CE477*$AC$475*CE478*CE$38*'⑫ Roll-out Plan'!$O$52</f>
        <v>0</v>
      </c>
      <c r="CF479" s="237" t="n">
        <f aca="false">CF477*$AC$475*CF478*CF$38*'⑫ Roll-out Plan'!$O$52</f>
        <v>0</v>
      </c>
      <c r="CG479" s="237" t="n">
        <f aca="false">CG477*$AC$475*CG478*CG$38*'⑫ Roll-out Plan'!$O$52</f>
        <v>0</v>
      </c>
      <c r="CH479" s="237" t="n">
        <f aca="false">CH477*$AC$475*CH478*CH$38*'⑫ Roll-out Plan'!$O$52</f>
        <v>0</v>
      </c>
      <c r="CI479" s="237" t="n">
        <f aca="false">CI477*$AC$475*CI478*CI$38*'⑫ Roll-out Plan'!$O$52</f>
        <v>0</v>
      </c>
      <c r="CJ479" s="237" t="n">
        <f aca="false">CJ477*$AC$475*CJ478*CJ$38*'⑫ Roll-out Plan'!$O$52</f>
        <v>0</v>
      </c>
      <c r="CK479" s="237" t="n">
        <f aca="false">CK477*$AC$475*CK478*CK$38*'⑫ Roll-out Plan'!$O$52</f>
        <v>0</v>
      </c>
      <c r="CL479" s="237" t="n">
        <f aca="false">CL477*$AC$475*CL478*CL$38*'⑫ Roll-out Plan'!$O$52</f>
        <v>0</v>
      </c>
      <c r="CM479" s="237" t="n">
        <f aca="false">CM477*$AC$475*CM478*CM$38*'⑫ Roll-out Plan'!$O$52</f>
        <v>0</v>
      </c>
      <c r="CN479" s="237" t="n">
        <f aca="false">CN477*$AC$475*CN478*CN$38*'⑫ Roll-out Plan'!$O$52</f>
        <v>0</v>
      </c>
      <c r="CO479" s="237" t="n">
        <f aca="false">CO477*$AC$475*CO478*CO$38*'⑫ Roll-out Plan'!$O$52</f>
        <v>0</v>
      </c>
      <c r="CP479" s="237" t="n">
        <f aca="false">CP477*$AC$475*CP478*CP$38*'⑫ Roll-out Plan'!$O$52</f>
        <v>0</v>
      </c>
      <c r="CQ479" s="237" t="n">
        <f aca="false">CQ477*$AC$475*CQ478*CQ$38*'⑫ Roll-out Plan'!$O$52</f>
        <v>0</v>
      </c>
      <c r="CR479" s="237" t="n">
        <f aca="false">CR477*$AC$475*CR478*CR$38*'⑫ Roll-out Plan'!$O$52</f>
        <v>0</v>
      </c>
      <c r="CS479" s="237" t="n">
        <f aca="false">CS477*$AC$475*CS478*CS$38*'⑫ Roll-out Plan'!$O$52</f>
        <v>0</v>
      </c>
      <c r="CT479" s="237" t="n">
        <f aca="false">CT477*$AC$475*CT478*CT$38*'⑫ Roll-out Plan'!$O$52</f>
        <v>0</v>
      </c>
      <c r="CU479" s="237" t="n">
        <f aca="false">CU477*$AC$475*CU478*CU$38*'⑫ Roll-out Plan'!$O$52</f>
        <v>0</v>
      </c>
      <c r="CV479" s="237" t="n">
        <f aca="false">CV477*$AC$475*CV478*CV$38*'⑫ Roll-out Plan'!$O$52</f>
        <v>0</v>
      </c>
      <c r="CW479" s="237" t="n">
        <f aca="false">CW477*$AC$475*CW478*CW$38*'⑫ Roll-out Plan'!$O$52</f>
        <v>0</v>
      </c>
      <c r="CX479" s="237" t="n">
        <f aca="false">CX477*$AC$475*CX478*CX$38*'⑫ Roll-out Plan'!$O$52</f>
        <v>0</v>
      </c>
      <c r="CY479" s="237" t="n">
        <f aca="false">CY477*$AC$475*CY478*CY$38*'⑫ Roll-out Plan'!$O$52</f>
        <v>0</v>
      </c>
      <c r="CZ479" s="237" t="n">
        <f aca="false">CZ477*$AC$475*CZ478*CZ$38*'⑫ Roll-out Plan'!$O$52</f>
        <v>0</v>
      </c>
      <c r="DA479" s="237" t="n">
        <f aca="false">DA477*$AC$475*DA478*DA$38*'⑫ Roll-out Plan'!$O$52</f>
        <v>0</v>
      </c>
      <c r="DB479" s="237" t="n">
        <f aca="false">DB477*$AC$475*DB478*DB$38*'⑫ Roll-out Plan'!$O$52</f>
        <v>0</v>
      </c>
      <c r="DC479" s="237" t="n">
        <f aca="false">DC477*$AC$475*DC478*DC$38*'⑫ Roll-out Plan'!$O$52</f>
        <v>0</v>
      </c>
      <c r="DD479" s="237" t="n">
        <f aca="false">DD477*$AC$475*DD478*DD$38*'⑫ Roll-out Plan'!$O$52</f>
        <v>0</v>
      </c>
      <c r="DE479" s="237" t="n">
        <f aca="false">DE477*$AC$475*DE478*DE$38*'⑫ Roll-out Plan'!$O$52</f>
        <v>0</v>
      </c>
      <c r="DF479" s="237" t="n">
        <f aca="false">DF477*$AC$475*DF478*DF$38*'⑫ Roll-out Plan'!$O$52</f>
        <v>0</v>
      </c>
      <c r="DG479" s="237" t="n">
        <f aca="false">DG477*$AC$475*DG478*DG$38*'⑫ Roll-out Plan'!$O$52</f>
        <v>0</v>
      </c>
      <c r="DH479" s="237" t="n">
        <f aca="false">DH477*$AC$475*DH478*DH$38*'⑫ Roll-out Plan'!$O$52</f>
        <v>0</v>
      </c>
      <c r="DI479" s="237" t="n">
        <f aca="false">DI477*$AC$475*DI478*DI$38*'⑫ Roll-out Plan'!$O$52</f>
        <v>0</v>
      </c>
      <c r="DJ479" s="237" t="n">
        <f aca="false">DJ477*$AC$475*DJ478*DJ$38*'⑫ Roll-out Plan'!$O$52</f>
        <v>0</v>
      </c>
      <c r="DK479" s="237" t="n">
        <f aca="false">DK477*$AC$475*DK478*DK$38*'⑫ Roll-out Plan'!$O$52</f>
        <v>0</v>
      </c>
      <c r="DL479" s="237" t="n">
        <f aca="false">DL477*$AC$475*DL478*DL$38*'⑫ Roll-out Plan'!$O$52</f>
        <v>0</v>
      </c>
      <c r="DM479" s="237" t="n">
        <f aca="false">DM477*$AC$475*DM478*DM$38*'⑫ Roll-out Plan'!$O$52</f>
        <v>0</v>
      </c>
      <c r="DN479" s="237" t="n">
        <f aca="false">DN477*$AC$475*DN478*DN$38*'⑫ Roll-out Plan'!$O$52</f>
        <v>0</v>
      </c>
      <c r="DO479" s="237" t="n">
        <f aca="false">DO477*$AC$475*DO478*DO$38*'⑫ Roll-out Plan'!$O$52</f>
        <v>0</v>
      </c>
      <c r="DP479" s="237" t="n">
        <f aca="false">DP477*$AC$475*DP478*DP$38*'⑫ Roll-out Plan'!$O$52</f>
        <v>0</v>
      </c>
      <c r="DQ479" s="237" t="n">
        <f aca="false">DQ477*$AC$475*DQ478*DQ$38*'⑫ Roll-out Plan'!$O$52</f>
        <v>0</v>
      </c>
      <c r="DR479" s="237" t="n">
        <f aca="false">DR477*$AC$475*DR478*DR$38*'⑫ Roll-out Plan'!$O$52</f>
        <v>0</v>
      </c>
      <c r="DS479" s="237" t="n">
        <f aca="false">DS477*$AC$475*DS478*DS$38*'⑫ Roll-out Plan'!$O$52</f>
        <v>0</v>
      </c>
      <c r="DT479" s="237" t="n">
        <f aca="false">DT477*$AC$475*DT478*DT$38*'⑫ Roll-out Plan'!$O$52</f>
        <v>0</v>
      </c>
      <c r="DU479" s="237" t="n">
        <f aca="false">DU477*$AC$475*DU478*DU$38*'⑫ Roll-out Plan'!$O$52</f>
        <v>0</v>
      </c>
      <c r="DV479" s="237" t="n">
        <f aca="false">DV477*$AC$475*DV478*DV$38*'⑫ Roll-out Plan'!$O$52</f>
        <v>0</v>
      </c>
      <c r="DW479" s="237" t="n">
        <f aca="false">DW477*$AC$475*DW478*DW$38*'⑫ Roll-out Plan'!$O$52</f>
        <v>0</v>
      </c>
      <c r="DX479" s="237" t="n">
        <f aca="false">DX477*$AC$475*DX478*DX$38*'⑫ Roll-out Plan'!$O$52</f>
        <v>0</v>
      </c>
      <c r="DY479" s="237" t="n">
        <f aca="false">DY477*$AC$475*DY478*DY$38*'⑫ Roll-out Plan'!$O$52</f>
        <v>0</v>
      </c>
      <c r="DZ479" s="237" t="n">
        <f aca="false">DZ477*$AC$475*DZ478*DZ$38*'⑫ Roll-out Plan'!$O$52</f>
        <v>0</v>
      </c>
      <c r="EA479" s="237" t="n">
        <f aca="false">EA477*$AC$475*EA478*EA$38*'⑫ Roll-out Plan'!$O$52</f>
        <v>0</v>
      </c>
      <c r="EB479" s="237" t="n">
        <f aca="false">EB477*$AC$475*EB478*EB$38*'⑫ Roll-out Plan'!$O$52</f>
        <v>0</v>
      </c>
      <c r="EC479" s="237" t="n">
        <f aca="false">EC477*$AC$475*EC478*EC$38*'⑫ Roll-out Plan'!$O$52</f>
        <v>0</v>
      </c>
      <c r="ED479" s="237" t="n">
        <f aca="false">ED477*$AC$475*ED478*ED$38*'⑫ Roll-out Plan'!$O$52</f>
        <v>0</v>
      </c>
      <c r="EE479" s="237" t="n">
        <f aca="false">EE477*$AC$475*EE478*EE$38*'⑫ Roll-out Plan'!$O$52</f>
        <v>0</v>
      </c>
      <c r="EF479" s="237" t="n">
        <f aca="false">EF477*$AC$475*EF478*EF$38*'⑫ Roll-out Plan'!$O$52</f>
        <v>0</v>
      </c>
      <c r="EG479" s="237" t="n">
        <f aca="false">EG477*$AC$475*EG478*EG$38*'⑫ Roll-out Plan'!$O$52</f>
        <v>0</v>
      </c>
      <c r="EH479" s="237" t="n">
        <f aca="false">EH477*$AC$475*EH478*EH$38*'⑫ Roll-out Plan'!$O$52</f>
        <v>0</v>
      </c>
      <c r="EI479" s="237" t="n">
        <f aca="false">EI477*$AC$475*EI478*EI$38*'⑫ Roll-out Plan'!$O$52</f>
        <v>25.52</v>
      </c>
      <c r="EJ479" s="237" t="n">
        <f aca="false">EJ477*$AC$475*EJ478*EJ$38*'⑫ Roll-out Plan'!$O$52</f>
        <v>26.62</v>
      </c>
      <c r="EK479" s="237" t="n">
        <f aca="false">EK477*$AC$475*EK478*EK$38*'⑫ Roll-out Plan'!$O$52</f>
        <v>24.288</v>
      </c>
      <c r="EL479" s="237" t="n">
        <f aca="false">EL477*$AC$475*EL478*EL$38*'⑫ Roll-out Plan'!$O$52</f>
        <v>23.76</v>
      </c>
      <c r="EM479" s="237" t="n">
        <f aca="false">EM477*$AC$475*EM478*EM$38*'⑫ Roll-out Plan'!$O$52</f>
        <v>24.948</v>
      </c>
      <c r="EN479" s="237" t="n">
        <f aca="false">EN477*$AC$475*EN478*EN$38*'⑫ Roll-out Plan'!$O$52</f>
        <v>48.422</v>
      </c>
      <c r="EO479" s="237" t="n">
        <f aca="false">EO477*$AC$475*EO478*EO$38*'⑫ Roll-out Plan'!$O$52</f>
        <v>44.66</v>
      </c>
      <c r="EP479" s="237" t="n">
        <f aca="false">EP477*$AC$475*EP478*EP$38*'⑫ Roll-out Plan'!$O$52</f>
        <v>41.184</v>
      </c>
      <c r="EQ479" s="237" t="n">
        <f aca="false">EQ477*$AC$475*EQ478*EQ$38*'⑫ Roll-out Plan'!$O$52</f>
        <v>34.848</v>
      </c>
      <c r="ER479" s="237" t="n">
        <f aca="false">ER477*$AC$475*ER478*ER$38*'⑫ Roll-out Plan'!$O$52</f>
        <v>49.368</v>
      </c>
      <c r="ES479" s="9" t="n">
        <f aca="false">ES477*$AC$475*ES478*ES$38*'⑫ Roll-out Plan'!$O$52</f>
        <v>57.024</v>
      </c>
      <c r="ET479" s="9" t="n">
        <f aca="false">ET477*$AC$475*ET478*ET$38*'⑫ Roll-out Plan'!$O$52</f>
        <v>46.904</v>
      </c>
      <c r="EU479" s="9" t="n">
        <f aca="false">EU477*$AC$475*EU478*EU$38*'⑫ Roll-out Plan'!$O$52</f>
        <v>71.456</v>
      </c>
      <c r="EV479" s="9" t="n">
        <f aca="false">EV477*$AC$475*EV478*EV$38*'⑫ Roll-out Plan'!$O$52</f>
        <v>72.6</v>
      </c>
      <c r="EW479" s="9" t="n">
        <f aca="false">EW477*$AC$475*EW478*EW$38*'⑫ Roll-out Plan'!$O$52</f>
        <v>60.72</v>
      </c>
      <c r="EX479" s="9" t="n">
        <f aca="false">EX477*$AC$475*EX478*EX$38*'⑫ Roll-out Plan'!$O$52</f>
        <v>66.528</v>
      </c>
      <c r="EY479" s="9" t="n">
        <f aca="false">EY477*$AC$475*EY478*EY$38*'⑫ Roll-out Plan'!$O$52</f>
        <v>73.1808</v>
      </c>
      <c r="EZ479" s="9" t="n">
        <f aca="false">EZ477*$AC$475*EZ478*EZ$38*'⑫ Roll-out Plan'!$O$52</f>
        <v>129.3336</v>
      </c>
      <c r="FA479" s="9" t="n">
        <f aca="false">FA477*$AC$475*FA478*FA$38*'⑫ Roll-out Plan'!$O$52</f>
        <v>108.7152</v>
      </c>
      <c r="FB479" s="9" t="n">
        <f aca="false">FB477*$AC$475*FB478*FB$38*'⑫ Roll-out Plan'!$O$52</f>
        <v>89.9712</v>
      </c>
      <c r="FC479" s="9" t="n">
        <f aca="false">FC477*$AC$475*FC478*FC$38*'⑫ Roll-out Plan'!$O$52</f>
        <v>69.3792</v>
      </c>
      <c r="FD479" s="9" t="n">
        <f aca="false">FD477*$AC$475*FD478*FD$38*'⑫ Roll-out Plan'!$O$52</f>
        <v>100.98</v>
      </c>
      <c r="FE479" s="9" t="n">
        <f aca="false">FE477*$AC$475*FE478*FE$38*'⑫ Roll-out Plan'!$O$52</f>
        <v>109.7712</v>
      </c>
      <c r="FF479" s="9" t="n">
        <f aca="false">FF477*$AC$475*FF478*FF$38*'⑫ Roll-out Plan'!$O$52</f>
        <v>85.5096</v>
      </c>
      <c r="FG479" s="9" t="n">
        <f aca="false">FG477*$AC$475*FG478*FG$38*'⑫ Roll-out Plan'!$O$52</f>
        <v>120.9648</v>
      </c>
      <c r="FH479" s="9" t="n">
        <f aca="false">FH477*$AC$475*FH478*FH$38*'⑫ Roll-out Plan'!$O$52</f>
        <v>116.16</v>
      </c>
      <c r="FI479" s="9" t="n">
        <f aca="false">FI477*$AC$475*FI478*FI$38*'⑫ Roll-out Plan'!$O$52</f>
        <v>99.5808</v>
      </c>
      <c r="FJ479" s="9" t="n">
        <f aca="false">FJ477*$AC$475*FJ478*FJ$38*'⑫ Roll-out Plan'!$O$52</f>
        <v>88.704</v>
      </c>
      <c r="FK479" s="9" t="n">
        <f aca="false">FK477*$AC$475*FK478*FK$38*'⑫ Roll-out Plan'!$O$52</f>
        <v>94.248</v>
      </c>
      <c r="FL479" s="9" t="n">
        <f aca="false">FL477*$AC$475*FL478*FL$38*'⑫ Roll-out Plan'!$O$52</f>
        <v>159.324</v>
      </c>
      <c r="FM479" s="9" t="n">
        <f aca="false">FM477*$AC$475*FM478*FM$38*'⑫ Roll-out Plan'!$O$52</f>
        <v>131.6832</v>
      </c>
      <c r="FN479" s="9" t="n">
        <f aca="false">FN477*$AC$475*FN478*FN$38*'⑫ Roll-out Plan'!$O$52</f>
        <v>111.5136</v>
      </c>
      <c r="FO479" s="9" t="n">
        <f aca="false">FO477*$AC$475*FO478*FO$38*'⑫ Roll-out Plan'!$O$52</f>
        <v>84.5856</v>
      </c>
      <c r="FP479" s="9" t="n">
        <f aca="false">FP477*$AC$475*FP478*FP$38*'⑫ Roll-out Plan'!$O$52</f>
        <v>121.176</v>
      </c>
    </row>
    <row r="480" customFormat="false" ht="15" hidden="false" customHeight="false" outlineLevel="2" collapsed="false">
      <c r="B480" s="47" t="s">
        <v>877</v>
      </c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237" t="n">
        <f aca="true">IFERROR(SUMPRODUCT(OFFSET($BJ$31,0,1-MIN(60,COLUMN()-29),1,MIN(60,COLUMN()-29)),OFFSET(AC479,0,-MIN(60,COLUMN()-29),1,MIN(60,COLUMN()-29))),0)</f>
        <v>0</v>
      </c>
      <c r="AD480" s="237" t="n">
        <f aca="true">IFERROR(SUMPRODUCT(OFFSET($BJ$31,0,1-MIN(60,COLUMN()-29),1,MIN(60,COLUMN()-29)),OFFSET(AD479,0,-MIN(60,COLUMN()-29),1,MIN(60,COLUMN()-29))),0)</f>
        <v>0</v>
      </c>
      <c r="AE480" s="237" t="n">
        <f aca="true">IFERROR(SUMPRODUCT(OFFSET($BJ$31,0,1-MIN(60,COLUMN()-29),1,MIN(60,COLUMN()-29)),OFFSET(AE479,0,-MIN(60,COLUMN()-29),1,MIN(60,COLUMN()-29))),0)</f>
        <v>0</v>
      </c>
      <c r="AF480" s="237" t="n">
        <f aca="true">IFERROR(SUMPRODUCT(OFFSET($BJ$31,0,1-MIN(60,COLUMN()-29),1,MIN(60,COLUMN()-29)),OFFSET(AF479,0,-MIN(60,COLUMN()-29),1,MIN(60,COLUMN()-29))),0)</f>
        <v>0</v>
      </c>
      <c r="AG480" s="237" t="n">
        <f aca="true">IFERROR(SUMPRODUCT(OFFSET($BJ$31,0,1-MIN(60,COLUMN()-29),1,MIN(60,COLUMN()-29)),OFFSET(AG479,0,-MIN(60,COLUMN()-29),1,MIN(60,COLUMN()-29))),0)</f>
        <v>0</v>
      </c>
      <c r="AH480" s="237" t="n">
        <f aca="true">IFERROR(SUMPRODUCT(OFFSET($BJ$31,0,1-MIN(60,COLUMN()-29),1,MIN(60,COLUMN()-29)),OFFSET(AH479,0,-MIN(60,COLUMN()-29),1,MIN(60,COLUMN()-29))),0)</f>
        <v>0</v>
      </c>
      <c r="AI480" s="237" t="n">
        <f aca="true">IFERROR(SUMPRODUCT(OFFSET($BJ$31,0,1-MIN(60,COLUMN()-29),1,MIN(60,COLUMN()-29)),OFFSET(AI479,0,-MIN(60,COLUMN()-29),1,MIN(60,COLUMN()-29))),0)</f>
        <v>0</v>
      </c>
      <c r="AJ480" s="237" t="n">
        <f aca="true">IFERROR(SUMPRODUCT(OFFSET($BJ$31,0,1-MIN(60,COLUMN()-29),1,MIN(60,COLUMN()-29)),OFFSET(AJ479,0,-MIN(60,COLUMN()-29),1,MIN(60,COLUMN()-29))),0)</f>
        <v>0</v>
      </c>
      <c r="AK480" s="237" t="n">
        <f aca="true">IFERROR(SUMPRODUCT(OFFSET($BJ$31,0,1-MIN(60,COLUMN()-29),1,MIN(60,COLUMN()-29)),OFFSET(AK479,0,-MIN(60,COLUMN()-29),1,MIN(60,COLUMN()-29))),0)</f>
        <v>0</v>
      </c>
      <c r="AL480" s="237" t="n">
        <f aca="true">IFERROR(SUMPRODUCT(OFFSET($BJ$31,0,1-MIN(60,COLUMN()-29),1,MIN(60,COLUMN()-29)),OFFSET(AL479,0,-MIN(60,COLUMN()-29),1,MIN(60,COLUMN()-29))),0)</f>
        <v>0</v>
      </c>
      <c r="AM480" s="237" t="n">
        <f aca="true">IFERROR(SUMPRODUCT(OFFSET($BJ$31,0,1-MIN(60,COLUMN()-29),1,MIN(60,COLUMN()-29)),OFFSET(AM479,0,-MIN(60,COLUMN()-29),1,MIN(60,COLUMN()-29))),0)</f>
        <v>0</v>
      </c>
      <c r="AN480" s="237" t="n">
        <f aca="true">IFERROR(SUMPRODUCT(OFFSET($BJ$31,0,1-MIN(60,COLUMN()-29),1,MIN(60,COLUMN()-29)),OFFSET(AN479,0,-MIN(60,COLUMN()-29),1,MIN(60,COLUMN()-29))),0)</f>
        <v>0</v>
      </c>
      <c r="AO480" s="237" t="n">
        <f aca="true">IFERROR(SUMPRODUCT(OFFSET($BJ$31,0,1-MIN(60,COLUMN()-29),1,MIN(60,COLUMN()-29)),OFFSET(AO479,0,-MIN(60,COLUMN()-29),1,MIN(60,COLUMN()-29))),0)</f>
        <v>0</v>
      </c>
      <c r="AP480" s="237" t="n">
        <f aca="true">IFERROR(SUMPRODUCT(OFFSET($BJ$31,0,1-MIN(60,COLUMN()-29),1,MIN(60,COLUMN()-29)),OFFSET(AP479,0,-MIN(60,COLUMN()-29),1,MIN(60,COLUMN()-29))),0)</f>
        <v>0</v>
      </c>
      <c r="AQ480" s="237" t="n">
        <f aca="true">IFERROR(SUMPRODUCT(OFFSET($BJ$31,0,1-MIN(60,COLUMN()-29),1,MIN(60,COLUMN()-29)),OFFSET(AQ479,0,-MIN(60,COLUMN()-29),1,MIN(60,COLUMN()-29))),0)</f>
        <v>0</v>
      </c>
      <c r="AR480" s="237" t="n">
        <f aca="true">IFERROR(SUMPRODUCT(OFFSET($BJ$31,0,1-MIN(60,COLUMN()-29),1,MIN(60,COLUMN()-29)),OFFSET(AR479,0,-MIN(60,COLUMN()-29),1,MIN(60,COLUMN()-29))),0)</f>
        <v>0</v>
      </c>
      <c r="AS480" s="237" t="n">
        <f aca="true">IFERROR(SUMPRODUCT(OFFSET($BJ$31,0,1-MIN(60,COLUMN()-29),1,MIN(60,COLUMN()-29)),OFFSET(AS479,0,-MIN(60,COLUMN()-29),1,MIN(60,COLUMN()-29))),0)</f>
        <v>0</v>
      </c>
      <c r="AT480" s="237" t="n">
        <f aca="true">IFERROR(SUMPRODUCT(OFFSET($BJ$31,0,1-MIN(60,COLUMN()-29),1,MIN(60,COLUMN()-29)),OFFSET(AT479,0,-MIN(60,COLUMN()-29),1,MIN(60,COLUMN()-29))),0)</f>
        <v>0</v>
      </c>
      <c r="AU480" s="237" t="n">
        <f aca="true">IFERROR(SUMPRODUCT(OFFSET($BJ$31,0,1-MIN(60,COLUMN()-29),1,MIN(60,COLUMN()-29)),OFFSET(AU479,0,-MIN(60,COLUMN()-29),1,MIN(60,COLUMN()-29))),0)</f>
        <v>0</v>
      </c>
      <c r="AV480" s="237" t="n">
        <f aca="true">IFERROR(SUMPRODUCT(OFFSET($BJ$31,0,1-MIN(60,COLUMN()-29),1,MIN(60,COLUMN()-29)),OFFSET(AV479,0,-MIN(60,COLUMN()-29),1,MIN(60,COLUMN()-29))),0)</f>
        <v>0</v>
      </c>
      <c r="AW480" s="237" t="n">
        <f aca="true">IFERROR(SUMPRODUCT(OFFSET($BJ$31,0,1-MIN(60,COLUMN()-29),1,MIN(60,COLUMN()-29)),OFFSET(AW479,0,-MIN(60,COLUMN()-29),1,MIN(60,COLUMN()-29))),0)</f>
        <v>0</v>
      </c>
      <c r="AX480" s="237" t="n">
        <f aca="true">IFERROR(SUMPRODUCT(OFFSET($BJ$31,0,1-MIN(60,COLUMN()-29),1,MIN(60,COLUMN()-29)),OFFSET(AX479,0,-MIN(60,COLUMN()-29),1,MIN(60,COLUMN()-29))),0)</f>
        <v>0</v>
      </c>
      <c r="AY480" s="237" t="n">
        <f aca="true">IFERROR(SUMPRODUCT(OFFSET($BJ$31,0,1-MIN(60,COLUMN()-29),1,MIN(60,COLUMN()-29)),OFFSET(AY479,0,-MIN(60,COLUMN()-29),1,MIN(60,COLUMN()-29))),0)</f>
        <v>0</v>
      </c>
      <c r="AZ480" s="237" t="n">
        <f aca="true">IFERROR(SUMPRODUCT(OFFSET($BJ$31,0,1-MIN(60,COLUMN()-29),1,MIN(60,COLUMN()-29)),OFFSET(AZ479,0,-MIN(60,COLUMN()-29),1,MIN(60,COLUMN()-29))),0)</f>
        <v>0</v>
      </c>
      <c r="BA480" s="237" t="n">
        <f aca="true">IFERROR(SUMPRODUCT(OFFSET($BJ$31,0,1-MIN(60,COLUMN()-29),1,MIN(60,COLUMN()-29)),OFFSET(BA479,0,-MIN(60,COLUMN()-29),1,MIN(60,COLUMN()-29))),0)</f>
        <v>0</v>
      </c>
      <c r="BB480" s="237" t="n">
        <f aca="true">IFERROR(SUMPRODUCT(OFFSET($BJ$31,0,1-MIN(60,COLUMN()-29),1,MIN(60,COLUMN()-29)),OFFSET(BB479,0,-MIN(60,COLUMN()-29),1,MIN(60,COLUMN()-29))),0)</f>
        <v>0</v>
      </c>
      <c r="BC480" s="237" t="n">
        <f aca="true">IFERROR(SUMPRODUCT(OFFSET($BJ$31,0,1-MIN(60,COLUMN()-29),1,MIN(60,COLUMN()-29)),OFFSET(BC479,0,-MIN(60,COLUMN()-29),1,MIN(60,COLUMN()-29))),0)</f>
        <v>0</v>
      </c>
      <c r="BD480" s="237" t="n">
        <f aca="true">IFERROR(SUMPRODUCT(OFFSET($BJ$31,0,1-MIN(60,COLUMN()-29),1,MIN(60,COLUMN()-29)),OFFSET(BD479,0,-MIN(60,COLUMN()-29),1,MIN(60,COLUMN()-29))),0)</f>
        <v>0</v>
      </c>
      <c r="BE480" s="237" t="n">
        <f aca="true">IFERROR(SUMPRODUCT(OFFSET($BJ$31,0,1-MIN(60,COLUMN()-29),1,MIN(60,COLUMN()-29)),OFFSET(BE479,0,-MIN(60,COLUMN()-29),1,MIN(60,COLUMN()-29))),0)</f>
        <v>0</v>
      </c>
      <c r="BF480" s="237" t="n">
        <f aca="true">IFERROR(SUMPRODUCT(OFFSET($BJ$31,0,1-MIN(60,COLUMN()-29),1,MIN(60,COLUMN()-29)),OFFSET(BF479,0,-MIN(60,COLUMN()-29),1,MIN(60,COLUMN()-29))),0)</f>
        <v>0</v>
      </c>
      <c r="BG480" s="237" t="n">
        <f aca="true">IFERROR(SUMPRODUCT(OFFSET($BJ$31,0,1-MIN(60,COLUMN()-29),1,MIN(60,COLUMN()-29)),OFFSET(BG479,0,-MIN(60,COLUMN()-29),1,MIN(60,COLUMN()-29))),0)</f>
        <v>0</v>
      </c>
      <c r="BH480" s="237" t="n">
        <f aca="true">IFERROR(SUMPRODUCT(OFFSET($BJ$31,0,1-MIN(60,COLUMN()-29),1,MIN(60,COLUMN()-29)),OFFSET(BH479,0,-MIN(60,COLUMN()-29),1,MIN(60,COLUMN()-29))),0)</f>
        <v>0</v>
      </c>
      <c r="BI480" s="237" t="n">
        <f aca="true">IFERROR(SUMPRODUCT(OFFSET($BJ$31,0,1-MIN(60,COLUMN()-29),1,MIN(60,COLUMN()-29)),OFFSET(BI479,0,-MIN(60,COLUMN()-29),1,MIN(60,COLUMN()-29))),0)</f>
        <v>0</v>
      </c>
      <c r="BJ480" s="237" t="n">
        <f aca="true">IFERROR(SUMPRODUCT(OFFSET($BJ$31,0,1-MIN(60,COLUMN()-29),1,MIN(60,COLUMN()-29)),OFFSET(BJ479,0,-MIN(60,COLUMN()-29),1,MIN(60,COLUMN()-29))),0)</f>
        <v>0</v>
      </c>
      <c r="BK480" s="237" t="n">
        <f aca="true">IFERROR(SUMPRODUCT(OFFSET($BJ$31,0,1-MIN(60,COLUMN()-29),1,MIN(60,COLUMN()-29)),OFFSET(BK479,0,-MIN(60,COLUMN()-29),1,MIN(60,COLUMN()-29))),0)</f>
        <v>0</v>
      </c>
      <c r="BL480" s="237" t="n">
        <f aca="true">IFERROR(SUMPRODUCT(OFFSET($BJ$31,0,1-MIN(60,COLUMN()-29),1,MIN(60,COLUMN()-29)),OFFSET(BL479,0,-MIN(60,COLUMN()-29),1,MIN(60,COLUMN()-29))),0)</f>
        <v>0</v>
      </c>
      <c r="BM480" s="237" t="n">
        <f aca="true">IFERROR(SUMPRODUCT(OFFSET($BJ$31,0,1-MIN(60,COLUMN()-29),1,MIN(60,COLUMN()-29)),OFFSET(BM479,0,-MIN(60,COLUMN()-29),1,MIN(60,COLUMN()-29))),0)</f>
        <v>0</v>
      </c>
      <c r="BN480" s="237" t="n">
        <f aca="true">IFERROR(SUMPRODUCT(OFFSET($BJ$31,0,1-MIN(60,COLUMN()-29),1,MIN(60,COLUMN()-29)),OFFSET(BN479,0,-MIN(60,COLUMN()-29),1,MIN(60,COLUMN()-29))),0)</f>
        <v>0</v>
      </c>
      <c r="BO480" s="237" t="n">
        <f aca="true">IFERROR(SUMPRODUCT(OFFSET($BJ$31,0,1-MIN(60,COLUMN()-29),1,MIN(60,COLUMN()-29)),OFFSET(BO479,0,-MIN(60,COLUMN()-29),1,MIN(60,COLUMN()-29))),0)</f>
        <v>0</v>
      </c>
      <c r="BP480" s="237" t="n">
        <f aca="true">IFERROR(SUMPRODUCT(OFFSET($BJ$31,0,1-MIN(60,COLUMN()-29),1,MIN(60,COLUMN()-29)),OFFSET(BP479,0,-MIN(60,COLUMN()-29),1,MIN(60,COLUMN()-29))),0)</f>
        <v>0</v>
      </c>
      <c r="BQ480" s="237" t="n">
        <f aca="true">IFERROR(SUMPRODUCT(OFFSET($BJ$31,0,1-MIN(60,COLUMN()-29),1,MIN(60,COLUMN()-29)),OFFSET(BQ479,0,-MIN(60,COLUMN()-29),1,MIN(60,COLUMN()-29))),0)</f>
        <v>0</v>
      </c>
      <c r="BR480" s="237" t="n">
        <f aca="true">IFERROR(SUMPRODUCT(OFFSET($BJ$31,0,1-MIN(60,COLUMN()-29),1,MIN(60,COLUMN()-29)),OFFSET(BR479,0,-MIN(60,COLUMN()-29),1,MIN(60,COLUMN()-29))),0)</f>
        <v>0</v>
      </c>
      <c r="BS480" s="237" t="n">
        <f aca="true">IFERROR(SUMPRODUCT(OFFSET($BJ$31,0,1-MIN(60,COLUMN()-29),1,MIN(60,COLUMN()-29)),OFFSET(BS479,0,-MIN(60,COLUMN()-29),1,MIN(60,COLUMN()-29))),0)</f>
        <v>0</v>
      </c>
      <c r="BT480" s="237" t="n">
        <f aca="true">IFERROR(SUMPRODUCT(OFFSET($BJ$31,0,1-MIN(60,COLUMN()-29),1,MIN(60,COLUMN()-29)),OFFSET(BT479,0,-MIN(60,COLUMN()-29),1,MIN(60,COLUMN()-29))),0)</f>
        <v>0</v>
      </c>
      <c r="BU480" s="237" t="n">
        <f aca="true">IFERROR(SUMPRODUCT(OFFSET($BJ$31,0,1-MIN(60,COLUMN()-29),1,MIN(60,COLUMN()-29)),OFFSET(BU479,0,-MIN(60,COLUMN()-29),1,MIN(60,COLUMN()-29))),0)</f>
        <v>0</v>
      </c>
      <c r="BV480" s="237" t="n">
        <f aca="true">IFERROR(SUMPRODUCT(OFFSET($BJ$31,0,1-MIN(60,COLUMN()-29),1,MIN(60,COLUMN()-29)),OFFSET(BV479,0,-MIN(60,COLUMN()-29),1,MIN(60,COLUMN()-29))),0)</f>
        <v>0</v>
      </c>
      <c r="BW480" s="237" t="n">
        <f aca="true">IFERROR(SUMPRODUCT(OFFSET($BJ$31,0,1-MIN(60,COLUMN()-29),1,MIN(60,COLUMN()-29)),OFFSET(BW479,0,-MIN(60,COLUMN()-29),1,MIN(60,COLUMN()-29))),0)</f>
        <v>0</v>
      </c>
      <c r="BX480" s="237" t="n">
        <f aca="true">IFERROR(SUMPRODUCT(OFFSET($BJ$31,0,1-MIN(60,COLUMN()-29),1,MIN(60,COLUMN()-29)),OFFSET(BX479,0,-MIN(60,COLUMN()-29),1,MIN(60,COLUMN()-29))),0)</f>
        <v>0</v>
      </c>
      <c r="BY480" s="237" t="n">
        <f aca="true">IFERROR(SUMPRODUCT(OFFSET($BJ$31,0,1-MIN(60,COLUMN()-29),1,MIN(60,COLUMN()-29)),OFFSET(BY479,0,-MIN(60,COLUMN()-29),1,MIN(60,COLUMN()-29))),0)</f>
        <v>0</v>
      </c>
      <c r="BZ480" s="237" t="n">
        <f aca="true">IFERROR(SUMPRODUCT(OFFSET($BJ$31,0,1-MIN(60,COLUMN()-29),1,MIN(60,COLUMN()-29)),OFFSET(BZ479,0,-MIN(60,COLUMN()-29),1,MIN(60,COLUMN()-29))),0)</f>
        <v>0</v>
      </c>
      <c r="CA480" s="237" t="n">
        <f aca="true">IFERROR(SUMPRODUCT(OFFSET($BJ$31,0,1-MIN(60,COLUMN()-29),1,MIN(60,COLUMN()-29)),OFFSET(CA479,0,-MIN(60,COLUMN()-29),1,MIN(60,COLUMN()-29))),0)</f>
        <v>0</v>
      </c>
      <c r="CB480" s="237" t="n">
        <f aca="true">IFERROR(SUMPRODUCT(OFFSET($BJ$31,0,1-MIN(60,COLUMN()-29),1,MIN(60,COLUMN()-29)),OFFSET(CB479,0,-MIN(60,COLUMN()-29),1,MIN(60,COLUMN()-29))),0)</f>
        <v>0</v>
      </c>
      <c r="CC480" s="237" t="n">
        <f aca="true">IFERROR(SUMPRODUCT(OFFSET($BJ$31,0,1-MIN(60,COLUMN()-29),1,MIN(60,COLUMN()-29)),OFFSET(CC479,0,-MIN(60,COLUMN()-29),1,MIN(60,COLUMN()-29))),0)</f>
        <v>0</v>
      </c>
      <c r="CD480" s="237" t="n">
        <f aca="true">IFERROR(SUMPRODUCT(OFFSET($BJ$31,0,1-MIN(60,COLUMN()-29),1,MIN(60,COLUMN()-29)),OFFSET(CD479,0,-MIN(60,COLUMN()-29),1,MIN(60,COLUMN()-29))),0)</f>
        <v>0</v>
      </c>
      <c r="CE480" s="237" t="n">
        <f aca="true">IFERROR(SUMPRODUCT(OFFSET($BJ$31,0,1-MIN(60,COLUMN()-29),1,MIN(60,COLUMN()-29)),OFFSET(CE479,0,-MIN(60,COLUMN()-29),1,MIN(60,COLUMN()-29))),0)</f>
        <v>0</v>
      </c>
      <c r="CF480" s="237" t="n">
        <f aca="true">IFERROR(SUMPRODUCT(OFFSET($BJ$31,0,1-MIN(60,COLUMN()-29),1,MIN(60,COLUMN()-29)),OFFSET(CF479,0,-MIN(60,COLUMN()-29),1,MIN(60,COLUMN()-29))),0)</f>
        <v>0</v>
      </c>
      <c r="CG480" s="237" t="n">
        <f aca="true">IFERROR(SUMPRODUCT(OFFSET($BJ$31,0,1-MIN(60,COLUMN()-29),1,MIN(60,COLUMN()-29)),OFFSET(CG479,0,-MIN(60,COLUMN()-29),1,MIN(60,COLUMN()-29))),0)</f>
        <v>0</v>
      </c>
      <c r="CH480" s="237" t="n">
        <f aca="true">IFERROR(SUMPRODUCT(OFFSET($BJ$31,0,1-MIN(60,COLUMN()-29),1,MIN(60,COLUMN()-29)),OFFSET(CH479,0,-MIN(60,COLUMN()-29),1,MIN(60,COLUMN()-29))),0)</f>
        <v>0</v>
      </c>
      <c r="CI480" s="237" t="n">
        <f aca="true">IFERROR(SUMPRODUCT(OFFSET($BJ$31,0,1-MIN(60,COLUMN()-29),1,MIN(60,COLUMN()-29)),OFFSET(CI479,0,-MIN(60,COLUMN()-29),1,MIN(60,COLUMN()-29))),0)</f>
        <v>0</v>
      </c>
      <c r="CJ480" s="237" t="n">
        <f aca="true">IFERROR(SUMPRODUCT(OFFSET($BJ$31,0,1-MIN(60,COLUMN()-29),1,MIN(60,COLUMN()-29)),OFFSET(CJ479,0,-MIN(60,COLUMN()-29),1,MIN(60,COLUMN()-29))),0)</f>
        <v>0</v>
      </c>
      <c r="CK480" s="237" t="n">
        <f aca="true">IFERROR(SUMPRODUCT(OFFSET($BJ$31,0,1-MIN(60,COLUMN()-29),1,MIN(60,COLUMN()-29)),OFFSET(CK479,0,-MIN(60,COLUMN()-29),1,MIN(60,COLUMN()-29))),0)</f>
        <v>0</v>
      </c>
      <c r="CL480" s="237" t="n">
        <f aca="true">IFERROR(SUMPRODUCT(OFFSET($BJ$31,0,1-MIN(60,COLUMN()-29),1,MIN(60,COLUMN()-29)),OFFSET(CL479,0,-MIN(60,COLUMN()-29),1,MIN(60,COLUMN()-29))),0)</f>
        <v>0</v>
      </c>
      <c r="CM480" s="237" t="n">
        <f aca="true">IFERROR(SUMPRODUCT(OFFSET($BJ$31,0,1-MIN(60,COLUMN()-29),1,MIN(60,COLUMN()-29)),OFFSET(CM479,0,-MIN(60,COLUMN()-29),1,MIN(60,COLUMN()-29))),0)</f>
        <v>0</v>
      </c>
      <c r="CN480" s="237" t="n">
        <f aca="true">IFERROR(SUMPRODUCT(OFFSET($BJ$31,0,1-MIN(60,COLUMN()-29),1,MIN(60,COLUMN()-29)),OFFSET(CN479,0,-MIN(60,COLUMN()-29),1,MIN(60,COLUMN()-29))),0)</f>
        <v>0</v>
      </c>
      <c r="CO480" s="237" t="n">
        <f aca="true">IFERROR(SUMPRODUCT(OFFSET($BJ$31,0,1-MIN(60,COLUMN()-29),1,MIN(60,COLUMN()-29)),OFFSET(CO479,0,-MIN(60,COLUMN()-29),1,MIN(60,COLUMN()-29))),0)</f>
        <v>0</v>
      </c>
      <c r="CP480" s="237" t="n">
        <f aca="true">IFERROR(SUMPRODUCT(OFFSET($BJ$31,0,1-MIN(60,COLUMN()-29),1,MIN(60,COLUMN()-29)),OFFSET(CP479,0,-MIN(60,COLUMN()-29),1,MIN(60,COLUMN()-29))),0)</f>
        <v>0</v>
      </c>
      <c r="CQ480" s="237" t="n">
        <f aca="true">IFERROR(SUMPRODUCT(OFFSET($BJ$31,0,1-MIN(60,COLUMN()-29),1,MIN(60,COLUMN()-29)),OFFSET(CQ479,0,-MIN(60,COLUMN()-29),1,MIN(60,COLUMN()-29))),0)</f>
        <v>0</v>
      </c>
      <c r="CR480" s="237" t="n">
        <f aca="true">IFERROR(SUMPRODUCT(OFFSET($BJ$31,0,1-MIN(60,COLUMN()-29),1,MIN(60,COLUMN()-29)),OFFSET(CR479,0,-MIN(60,COLUMN()-29),1,MIN(60,COLUMN()-29))),0)</f>
        <v>0</v>
      </c>
      <c r="CS480" s="237" t="n">
        <f aca="true">IFERROR(SUMPRODUCT(OFFSET($BJ$31,0,1-MIN(60,COLUMN()-29),1,MIN(60,COLUMN()-29)),OFFSET(CS479,0,-MIN(60,COLUMN()-29),1,MIN(60,COLUMN()-29))),0)</f>
        <v>0</v>
      </c>
      <c r="CT480" s="237" t="n">
        <f aca="true">IFERROR(SUMPRODUCT(OFFSET($BJ$31,0,1-MIN(60,COLUMN()-29),1,MIN(60,COLUMN()-29)),OFFSET(CT479,0,-MIN(60,COLUMN()-29),1,MIN(60,COLUMN()-29))),0)</f>
        <v>0</v>
      </c>
      <c r="CU480" s="237" t="n">
        <f aca="true">IFERROR(SUMPRODUCT(OFFSET($BJ$31,0,1-MIN(60,COLUMN()-29),1,MIN(60,COLUMN()-29)),OFFSET(CU479,0,-MIN(60,COLUMN()-29),1,MIN(60,COLUMN()-29))),0)</f>
        <v>0</v>
      </c>
      <c r="CV480" s="237" t="n">
        <f aca="true">IFERROR(SUMPRODUCT(OFFSET($BJ$31,0,1-MIN(60,COLUMN()-29),1,MIN(60,COLUMN()-29)),OFFSET(CV479,0,-MIN(60,COLUMN()-29),1,MIN(60,COLUMN()-29))),0)</f>
        <v>0</v>
      </c>
      <c r="CW480" s="237" t="n">
        <f aca="true">IFERROR(SUMPRODUCT(OFFSET($BJ$31,0,1-MIN(60,COLUMN()-29),1,MIN(60,COLUMN()-29)),OFFSET(CW479,0,-MIN(60,COLUMN()-29),1,MIN(60,COLUMN()-29))),0)</f>
        <v>0</v>
      </c>
      <c r="CX480" s="237" t="n">
        <f aca="true">IFERROR(SUMPRODUCT(OFFSET($BJ$31,0,1-MIN(60,COLUMN()-29),1,MIN(60,COLUMN()-29)),OFFSET(CX479,0,-MIN(60,COLUMN()-29),1,MIN(60,COLUMN()-29))),0)</f>
        <v>0</v>
      </c>
      <c r="CY480" s="237" t="n">
        <f aca="true">IFERROR(SUMPRODUCT(OFFSET($BJ$31,0,1-MIN(60,COLUMN()-29),1,MIN(60,COLUMN()-29)),OFFSET(CY479,0,-MIN(60,COLUMN()-29),1,MIN(60,COLUMN()-29))),0)</f>
        <v>0</v>
      </c>
      <c r="CZ480" s="237" t="n">
        <f aca="true">IFERROR(SUMPRODUCT(OFFSET($BJ$31,0,1-MIN(60,COLUMN()-29),1,MIN(60,COLUMN()-29)),OFFSET(CZ479,0,-MIN(60,COLUMN()-29),1,MIN(60,COLUMN()-29))),0)</f>
        <v>0</v>
      </c>
      <c r="DA480" s="237" t="n">
        <f aca="true">IFERROR(SUMPRODUCT(OFFSET($BJ$31,0,1-MIN(60,COLUMN()-29),1,MIN(60,COLUMN()-29)),OFFSET(DA479,0,-MIN(60,COLUMN()-29),1,MIN(60,COLUMN()-29))),0)</f>
        <v>0</v>
      </c>
      <c r="DB480" s="237" t="n">
        <f aca="true">IFERROR(SUMPRODUCT(OFFSET($BJ$31,0,1-MIN(60,COLUMN()-29),1,MIN(60,COLUMN()-29)),OFFSET(DB479,0,-MIN(60,COLUMN()-29),1,MIN(60,COLUMN()-29))),0)</f>
        <v>0</v>
      </c>
      <c r="DC480" s="237" t="n">
        <f aca="true">IFERROR(SUMPRODUCT(OFFSET($BJ$31,0,1-MIN(60,COLUMN()-29),1,MIN(60,COLUMN()-29)),OFFSET(DC479,0,-MIN(60,COLUMN()-29),1,MIN(60,COLUMN()-29))),0)</f>
        <v>0</v>
      </c>
      <c r="DD480" s="237" t="n">
        <f aca="true">IFERROR(SUMPRODUCT(OFFSET($BJ$31,0,1-MIN(60,COLUMN()-29),1,MIN(60,COLUMN()-29)),OFFSET(DD479,0,-MIN(60,COLUMN()-29),1,MIN(60,COLUMN()-29))),0)</f>
        <v>0</v>
      </c>
      <c r="DE480" s="237" t="n">
        <f aca="true">IFERROR(SUMPRODUCT(OFFSET($BJ$31,0,1-MIN(60,COLUMN()-29),1,MIN(60,COLUMN()-29)),OFFSET(DE479,0,-MIN(60,COLUMN()-29),1,MIN(60,COLUMN()-29))),0)</f>
        <v>0</v>
      </c>
      <c r="DF480" s="237" t="n">
        <f aca="true">IFERROR(SUMPRODUCT(OFFSET($BJ$31,0,1-MIN(60,COLUMN()-29),1,MIN(60,COLUMN()-29)),OFFSET(DF479,0,-MIN(60,COLUMN()-29),1,MIN(60,COLUMN()-29))),0)</f>
        <v>0</v>
      </c>
      <c r="DG480" s="237" t="n">
        <f aca="true">IFERROR(SUMPRODUCT(OFFSET($BJ$31,0,1-MIN(60,COLUMN()-29),1,MIN(60,COLUMN()-29)),OFFSET(DG479,0,-MIN(60,COLUMN()-29),1,MIN(60,COLUMN()-29))),0)</f>
        <v>0</v>
      </c>
      <c r="DH480" s="237" t="n">
        <f aca="true">IFERROR(SUMPRODUCT(OFFSET($BJ$31,0,1-MIN(60,COLUMN()-29),1,MIN(60,COLUMN()-29)),OFFSET(DH479,0,-MIN(60,COLUMN()-29),1,MIN(60,COLUMN()-29))),0)</f>
        <v>0</v>
      </c>
      <c r="DI480" s="237" t="n">
        <f aca="true">IFERROR(SUMPRODUCT(OFFSET($BJ$31,0,1-MIN(60,COLUMN()-29),1,MIN(60,COLUMN()-29)),OFFSET(DI479,0,-MIN(60,COLUMN()-29),1,MIN(60,COLUMN()-29))),0)</f>
        <v>0</v>
      </c>
      <c r="DJ480" s="237" t="n">
        <f aca="true">IFERROR(SUMPRODUCT(OFFSET($BJ$31,0,1-MIN(60,COLUMN()-29),1,MIN(60,COLUMN()-29)),OFFSET(DJ479,0,-MIN(60,COLUMN()-29),1,MIN(60,COLUMN()-29))),0)</f>
        <v>0</v>
      </c>
      <c r="DK480" s="237" t="n">
        <f aca="true">IFERROR(SUMPRODUCT(OFFSET($BJ$31,0,1-MIN(60,COLUMN()-29),1,MIN(60,COLUMN()-29)),OFFSET(DK479,0,-MIN(60,COLUMN()-29),1,MIN(60,COLUMN()-29))),0)</f>
        <v>0</v>
      </c>
      <c r="DL480" s="237" t="n">
        <f aca="true">IFERROR(SUMPRODUCT(OFFSET($BJ$31,0,1-MIN(60,COLUMN()-29),1,MIN(60,COLUMN()-29)),OFFSET(DL479,0,-MIN(60,COLUMN()-29),1,MIN(60,COLUMN()-29))),0)</f>
        <v>0</v>
      </c>
      <c r="DM480" s="237" t="n">
        <f aca="true">IFERROR(SUMPRODUCT(OFFSET($BJ$31,0,1-MIN(60,COLUMN()-29),1,MIN(60,COLUMN()-29)),OFFSET(DM479,0,-MIN(60,COLUMN()-29),1,MIN(60,COLUMN()-29))),0)</f>
        <v>0</v>
      </c>
      <c r="DN480" s="237" t="n">
        <f aca="true">IFERROR(SUMPRODUCT(OFFSET($BJ$31,0,1-MIN(60,COLUMN()-29),1,MIN(60,COLUMN()-29)),OFFSET(DN479,0,-MIN(60,COLUMN()-29),1,MIN(60,COLUMN()-29))),0)</f>
        <v>0</v>
      </c>
      <c r="DO480" s="237" t="n">
        <f aca="true">IFERROR(SUMPRODUCT(OFFSET($BJ$31,0,1-MIN(60,COLUMN()-29),1,MIN(60,COLUMN()-29)),OFFSET(DO479,0,-MIN(60,COLUMN()-29),1,MIN(60,COLUMN()-29))),0)</f>
        <v>0</v>
      </c>
      <c r="DP480" s="237" t="n">
        <f aca="true">IFERROR(SUMPRODUCT(OFFSET($BJ$31,0,1-MIN(60,COLUMN()-29),1,MIN(60,COLUMN()-29)),OFFSET(DP479,0,-MIN(60,COLUMN()-29),1,MIN(60,COLUMN()-29))),0)</f>
        <v>0</v>
      </c>
      <c r="DQ480" s="237" t="n">
        <f aca="true">IFERROR(SUMPRODUCT(OFFSET($BJ$31,0,1-MIN(60,COLUMN()-29),1,MIN(60,COLUMN()-29)),OFFSET(DQ479,0,-MIN(60,COLUMN()-29),1,MIN(60,COLUMN()-29))),0)</f>
        <v>0</v>
      </c>
      <c r="DR480" s="237" t="n">
        <f aca="true">IFERROR(SUMPRODUCT(OFFSET($BJ$31,0,1-MIN(60,COLUMN()-29),1,MIN(60,COLUMN()-29)),OFFSET(DR479,0,-MIN(60,COLUMN()-29),1,MIN(60,COLUMN()-29))),0)</f>
        <v>0</v>
      </c>
      <c r="DS480" s="237" t="n">
        <f aca="true">IFERROR(SUMPRODUCT(OFFSET($BJ$31,0,1-MIN(60,COLUMN()-29),1,MIN(60,COLUMN()-29)),OFFSET(DS479,0,-MIN(60,COLUMN()-29),1,MIN(60,COLUMN()-29))),0)</f>
        <v>0</v>
      </c>
      <c r="DT480" s="237" t="n">
        <f aca="true">IFERROR(SUMPRODUCT(OFFSET($BJ$31,0,1-MIN(60,COLUMN()-29),1,MIN(60,COLUMN()-29)),OFFSET(DT479,0,-MIN(60,COLUMN()-29),1,MIN(60,COLUMN()-29))),0)</f>
        <v>0</v>
      </c>
      <c r="DU480" s="237" t="n">
        <f aca="true">IFERROR(SUMPRODUCT(OFFSET($BJ$31,0,1-MIN(60,COLUMN()-29),1,MIN(60,COLUMN()-29)),OFFSET(DU479,0,-MIN(60,COLUMN()-29),1,MIN(60,COLUMN()-29))),0)</f>
        <v>0</v>
      </c>
      <c r="DV480" s="237" t="n">
        <f aca="true">IFERROR(SUMPRODUCT(OFFSET($BJ$31,0,1-MIN(60,COLUMN()-29),1,MIN(60,COLUMN()-29)),OFFSET(DV479,0,-MIN(60,COLUMN()-29),1,MIN(60,COLUMN()-29))),0)</f>
        <v>0</v>
      </c>
      <c r="DW480" s="237" t="n">
        <f aca="true">IFERROR(SUMPRODUCT(OFFSET($BJ$31,0,1-MIN(60,COLUMN()-29),1,MIN(60,COLUMN()-29)),OFFSET(DW479,0,-MIN(60,COLUMN()-29),1,MIN(60,COLUMN()-29))),0)</f>
        <v>0</v>
      </c>
      <c r="DX480" s="237" t="n">
        <f aca="true">IFERROR(SUMPRODUCT(OFFSET($BJ$31,0,1-MIN(60,COLUMN()-29),1,MIN(60,COLUMN()-29)),OFFSET(DX479,0,-MIN(60,COLUMN()-29),1,MIN(60,COLUMN()-29))),0)</f>
        <v>0</v>
      </c>
      <c r="DY480" s="237" t="n">
        <f aca="true">IFERROR(SUMPRODUCT(OFFSET($BJ$31,0,1-MIN(60,COLUMN()-29),1,MIN(60,COLUMN()-29)),OFFSET(DY479,0,-MIN(60,COLUMN()-29),1,MIN(60,COLUMN()-29))),0)</f>
        <v>0</v>
      </c>
      <c r="DZ480" s="237" t="n">
        <f aca="true">IFERROR(SUMPRODUCT(OFFSET($BJ$31,0,1-MIN(60,COLUMN()-29),1,MIN(60,COLUMN()-29)),OFFSET(DZ479,0,-MIN(60,COLUMN()-29),1,MIN(60,COLUMN()-29))),0)</f>
        <v>0</v>
      </c>
      <c r="EA480" s="237" t="n">
        <f aca="true">IFERROR(SUMPRODUCT(OFFSET($BJ$31,0,1-MIN(60,COLUMN()-29),1,MIN(60,COLUMN()-29)),OFFSET(EA479,0,-MIN(60,COLUMN()-29),1,MIN(60,COLUMN()-29))),0)</f>
        <v>0</v>
      </c>
      <c r="EB480" s="237" t="n">
        <f aca="true">IFERROR(SUMPRODUCT(OFFSET($BJ$31,0,1-MIN(60,COLUMN()-29),1,MIN(60,COLUMN()-29)),OFFSET(EB479,0,-MIN(60,COLUMN()-29),1,MIN(60,COLUMN()-29))),0)</f>
        <v>0</v>
      </c>
      <c r="EC480" s="237" t="n">
        <f aca="true">IFERROR(SUMPRODUCT(OFFSET($BJ$31,0,1-MIN(60,COLUMN()-29),1,MIN(60,COLUMN()-29)),OFFSET(EC479,0,-MIN(60,COLUMN()-29),1,MIN(60,COLUMN()-29))),0)</f>
        <v>0</v>
      </c>
      <c r="ED480" s="237" t="n">
        <f aca="true">IFERROR(SUMPRODUCT(OFFSET($BJ$31,0,1-MIN(60,COLUMN()-29),1,MIN(60,COLUMN()-29)),OFFSET(ED479,0,-MIN(60,COLUMN()-29),1,MIN(60,COLUMN()-29))),0)</f>
        <v>0</v>
      </c>
      <c r="EE480" s="237" t="n">
        <f aca="true">IFERROR(SUMPRODUCT(OFFSET($BJ$31,0,1-MIN(60,COLUMN()-29),1,MIN(60,COLUMN()-29)),OFFSET(EE479,0,-MIN(60,COLUMN()-29),1,MIN(60,COLUMN()-29))),0)</f>
        <v>0</v>
      </c>
      <c r="EF480" s="237" t="n">
        <f aca="true">IFERROR(SUMPRODUCT(OFFSET($BJ$31,0,1-MIN(60,COLUMN()-29),1,MIN(60,COLUMN()-29)),OFFSET(EF479,0,-MIN(60,COLUMN()-29),1,MIN(60,COLUMN()-29))),0)</f>
        <v>0</v>
      </c>
      <c r="EG480" s="237" t="n">
        <f aca="true">IFERROR(SUMPRODUCT(OFFSET($BJ$31,0,1-MIN(60,COLUMN()-29),1,MIN(60,COLUMN()-29)),OFFSET(EG479,0,-MIN(60,COLUMN()-29),1,MIN(60,COLUMN()-29))),0)</f>
        <v>0</v>
      </c>
      <c r="EH480" s="237" t="n">
        <f aca="true">IFERROR(SUMPRODUCT(OFFSET($BJ$31,0,1-MIN(60,COLUMN()-29),1,MIN(60,COLUMN()-29)),OFFSET(EH479,0,-MIN(60,COLUMN()-29),1,MIN(60,COLUMN()-29))),0)</f>
        <v>0</v>
      </c>
      <c r="EI480" s="237" t="n">
        <f aca="true">IFERROR(SUMPRODUCT(OFFSET($BJ$31,0,1-MIN(60,COLUMN()-29),1,MIN(60,COLUMN()-29)),OFFSET(EI479,0,-MIN(60,COLUMN()-29),1,MIN(60,COLUMN()-29))),0)</f>
        <v>0</v>
      </c>
      <c r="EJ480" s="237" t="n">
        <f aca="true">IFERROR(SUMPRODUCT(OFFSET($BJ$31,0,1-MIN(60,COLUMN()-29),1,MIN(60,COLUMN()-29)),OFFSET(EJ479,0,-MIN(60,COLUMN()-29),1,MIN(60,COLUMN()-29))),0)</f>
        <v>3.26656</v>
      </c>
      <c r="EK480" s="237" t="n">
        <f aca="true">IFERROR(SUMPRODUCT(OFFSET($BJ$31,0,1-MIN(60,COLUMN()-29),1,MIN(60,COLUMN()-29)),OFFSET(EK479,0,-MIN(60,COLUMN()-29),1,MIN(60,COLUMN()-29))),0)</f>
        <v>3.856512</v>
      </c>
      <c r="EL480" s="237" t="n">
        <f aca="true">IFERROR(SUMPRODUCT(OFFSET($BJ$31,0,1-MIN(60,COLUMN()-29),1,MIN(60,COLUMN()-29)),OFFSET(EL479,0,-MIN(60,COLUMN()-29),1,MIN(60,COLUMN()-29))),0)</f>
        <v>4.149024</v>
      </c>
      <c r="EM480" s="237" t="n">
        <f aca="true">IFERROR(SUMPRODUCT(OFFSET($BJ$31,0,1-MIN(60,COLUMN()-29),1,MIN(60,COLUMN()-29)),OFFSET(EM479,0,-MIN(60,COLUMN()-29),1,MIN(60,COLUMN()-29))),0)</f>
        <v>4.3916928</v>
      </c>
      <c r="EN480" s="237" t="n">
        <f aca="true">IFERROR(SUMPRODUCT(OFFSET($BJ$31,0,1-MIN(60,COLUMN()-29),1,MIN(60,COLUMN()-29)),OFFSET(EN479,0,-MIN(60,COLUMN()-29),1,MIN(60,COLUMN()-29))),0)</f>
        <v>4.7412992</v>
      </c>
      <c r="EO480" s="237" t="n">
        <f aca="true">IFERROR(SUMPRODUCT(OFFSET($BJ$31,0,1-MIN(60,COLUMN()-29),1,MIN(60,COLUMN()-29)),OFFSET(EO479,0,-MIN(60,COLUMN()-29),1,MIN(60,COLUMN()-29))),0)</f>
        <v>7.8582592</v>
      </c>
      <c r="EP480" s="237" t="n">
        <f aca="true">IFERROR(SUMPRODUCT(OFFSET($BJ$31,0,1-MIN(60,COLUMN()-29),1,MIN(60,COLUMN()-29)),OFFSET(EP479,0,-MIN(60,COLUMN()-29),1,MIN(60,COLUMN()-29))),0)</f>
        <v>8.2009312</v>
      </c>
      <c r="EQ480" s="237" t="n">
        <f aca="true">IFERROR(SUMPRODUCT(OFFSET($BJ$31,0,1-MIN(60,COLUMN()-29),1,MIN(60,COLUMN()-29)),OFFSET(EQ479,0,-MIN(60,COLUMN()-29),1,MIN(60,COLUMN()-29))),0)</f>
        <v>8.3546496</v>
      </c>
      <c r="ER480" s="237" t="n">
        <f aca="true">IFERROR(SUMPRODUCT(OFFSET($BJ$31,0,1-MIN(60,COLUMN()-29),1,MIN(60,COLUMN()-29)),OFFSET(ER479,0,-MIN(60,COLUMN()-29),1,MIN(60,COLUMN()-29))),0)</f>
        <v>7.9204928</v>
      </c>
      <c r="ES480" s="9" t="n">
        <f aca="true">IFERROR(SUMPRODUCT(OFFSET($BJ$31,0,1-MIN(60,COLUMN()-29),1,MIN(60,COLUMN()-29)),OFFSET(ES479,0,-MIN(60,COLUMN()-29),1,MIN(60,COLUMN()-29))),0)</f>
        <v>10.2126464</v>
      </c>
      <c r="ET480" s="9" t="n">
        <f aca="true">IFERROR(SUMPRODUCT(OFFSET($BJ$31,0,1-MIN(60,COLUMN()-29),1,MIN(60,COLUMN()-29)),OFFSET(ET479,0,-MIN(60,COLUMN()-29),1,MIN(60,COLUMN()-29))),0)</f>
        <v>11.4334176</v>
      </c>
      <c r="EU480" s="9" t="n">
        <f aca="true">IFERROR(SUMPRODUCT(OFFSET($BJ$31,0,1-MIN(60,COLUMN()-29),1,MIN(60,COLUMN()-29)),OFFSET(EU479,0,-MIN(60,COLUMN()-29),1,MIN(60,COLUMN()-29))),0)</f>
        <v>11.4983616</v>
      </c>
      <c r="EV480" s="9" t="n">
        <f aca="true">IFERROR(SUMPRODUCT(OFFSET($BJ$31,0,1-MIN(60,COLUMN()-29),1,MIN(60,COLUMN()-29)),OFFSET(EV479,0,-MIN(60,COLUMN()-29),1,MIN(60,COLUMN()-29))),0)</f>
        <v>15.7181024</v>
      </c>
      <c r="EW480" s="9" t="n">
        <f aca="true">IFERROR(SUMPRODUCT(OFFSET($BJ$31,0,1-MIN(60,COLUMN()-29),1,MIN(60,COLUMN()-29)),OFFSET(EW479,0,-MIN(60,COLUMN()-29),1,MIN(60,COLUMN()-29))),0)</f>
        <v>16.7089472</v>
      </c>
      <c r="EX480" s="9" t="n">
        <f aca="true">IFERROR(SUMPRODUCT(OFFSET($BJ$31,0,1-MIN(60,COLUMN()-29),1,MIN(60,COLUMN()-29)),OFFSET(EX479,0,-MIN(60,COLUMN()-29),1,MIN(60,COLUMN()-29))),0)</f>
        <v>16.236528</v>
      </c>
      <c r="EY480" s="9" t="n">
        <f aca="true">IFERROR(SUMPRODUCT(OFFSET($BJ$31,0,1-MIN(60,COLUMN()-29),1,MIN(60,COLUMN()-29)),OFFSET(EY479,0,-MIN(60,COLUMN()-29),1,MIN(60,COLUMN()-29))),0)</f>
        <v>17.4318848</v>
      </c>
      <c r="EZ480" s="9" t="n">
        <f aca="true">IFERROR(SUMPRODUCT(OFFSET($BJ$31,0,1-MIN(60,COLUMN()-29),1,MIN(60,COLUMN()-29)),OFFSET(EZ479,0,-MIN(60,COLUMN()-29),1,MIN(60,COLUMN()-29))),0)</f>
        <v>19.7868352</v>
      </c>
      <c r="FA480" s="9" t="n">
        <f aca="true">IFERROR(SUMPRODUCT(OFFSET($BJ$31,0,1-MIN(60,COLUMN()-29),1,MIN(60,COLUMN()-29)),OFFSET(FA479,0,-MIN(60,COLUMN()-29),1,MIN(60,COLUMN()-29))),0)</f>
        <v>28.58525648</v>
      </c>
      <c r="FB480" s="9" t="n">
        <f aca="true">IFERROR(SUMPRODUCT(OFFSET($BJ$31,0,1-MIN(60,COLUMN()-29),1,MIN(60,COLUMN()-29)),OFFSET(FB479,0,-MIN(60,COLUMN()-29),1,MIN(60,COLUMN()-29))),0)</f>
        <v>28.46131728</v>
      </c>
      <c r="FC480" s="9" t="n">
        <f aca="true">IFERROR(SUMPRODUCT(OFFSET($BJ$31,0,1-MIN(60,COLUMN()-29),1,MIN(60,COLUMN()-29)),OFFSET(FC479,0,-MIN(60,COLUMN()-29),1,MIN(60,COLUMN()-29))),0)</f>
        <v>27.895252</v>
      </c>
      <c r="FD480" s="9" t="n">
        <f aca="true">IFERROR(SUMPRODUCT(OFFSET($BJ$31,0,1-MIN(60,COLUMN()-29),1,MIN(60,COLUMN()-29)),OFFSET(FD479,0,-MIN(60,COLUMN()-29),1,MIN(60,COLUMN()-29))),0)</f>
        <v>26.18784256</v>
      </c>
      <c r="FE480" s="9" t="n">
        <f aca="true">IFERROR(SUMPRODUCT(OFFSET($BJ$31,0,1-MIN(60,COLUMN()-29),1,MIN(60,COLUMN()-29)),OFFSET(FE479,0,-MIN(60,COLUMN()-29),1,MIN(60,COLUMN()-29))),0)</f>
        <v>32.20712616</v>
      </c>
      <c r="FF480" s="9" t="n">
        <f aca="true">IFERROR(SUMPRODUCT(OFFSET($BJ$31,0,1-MIN(60,COLUMN()-29),1,MIN(60,COLUMN()-29)),OFFSET(FF479,0,-MIN(60,COLUMN()-29),1,MIN(60,COLUMN()-29))),0)</f>
        <v>34.74904664</v>
      </c>
      <c r="FG480" s="9" t="n">
        <f aca="true">IFERROR(SUMPRODUCT(OFFSET($BJ$31,0,1-MIN(60,COLUMN()-29),1,MIN(60,COLUMN()-29)),OFFSET(FG479,0,-MIN(60,COLUMN()-29),1,MIN(60,COLUMN()-29))),0)</f>
        <v>34.4644476</v>
      </c>
      <c r="FH480" s="9" t="n">
        <f aca="true">IFERROR(SUMPRODUCT(OFFSET($BJ$31,0,1-MIN(60,COLUMN()-29),1,MIN(60,COLUMN()-29)),OFFSET(FH479,0,-MIN(60,COLUMN()-29),1,MIN(60,COLUMN()-29))),0)</f>
        <v>40.96562008</v>
      </c>
      <c r="FI480" s="9" t="n">
        <f aca="true">IFERROR(SUMPRODUCT(OFFSET($BJ$31,0,1-MIN(60,COLUMN()-29),1,MIN(60,COLUMN()-29)),OFFSET(FI479,0,-MIN(60,COLUMN()-29),1,MIN(60,COLUMN()-29))),0)</f>
        <v>42.41551864</v>
      </c>
      <c r="FJ480" s="9" t="n">
        <f aca="true">IFERROR(SUMPRODUCT(OFFSET($BJ$31,0,1-MIN(60,COLUMN()-29),1,MIN(60,COLUMN()-29)),OFFSET(FJ479,0,-MIN(60,COLUMN()-29),1,MIN(60,COLUMN()-29))),0)</f>
        <v>42.94388472</v>
      </c>
      <c r="FK480" s="9" t="n">
        <f aca="true">IFERROR(SUMPRODUCT(OFFSET($BJ$31,0,1-MIN(60,COLUMN()-29),1,MIN(60,COLUMN()-29)),OFFSET(FK479,0,-MIN(60,COLUMN()-29),1,MIN(60,COLUMN()-29))),0)</f>
        <v>43.29952792</v>
      </c>
      <c r="FL480" s="9" t="n">
        <f aca="true">IFERROR(SUMPRODUCT(OFFSET($BJ$31,0,1-MIN(60,COLUMN()-29),1,MIN(60,COLUMN()-29)),OFFSET(FL479,0,-MIN(60,COLUMN()-29),1,MIN(60,COLUMN()-29))),0)</f>
        <v>47.11104024</v>
      </c>
      <c r="FM480" s="9" t="n">
        <f aca="true">IFERROR(SUMPRODUCT(OFFSET($BJ$31,0,1-MIN(60,COLUMN()-29),1,MIN(60,COLUMN()-29)),OFFSET(FM479,0,-MIN(60,COLUMN()-29),1,MIN(60,COLUMN()-29))),0)</f>
        <v>58.33624632</v>
      </c>
      <c r="FN480" s="9" t="n">
        <f aca="true">IFERROR(SUMPRODUCT(OFFSET($BJ$31,0,1-MIN(60,COLUMN()-29),1,MIN(60,COLUMN()-29)),OFFSET(FN479,0,-MIN(60,COLUMN()-29),1,MIN(60,COLUMN()-29))),0)</f>
        <v>58.07125368</v>
      </c>
      <c r="FO480" s="9" t="n">
        <f aca="true">IFERROR(SUMPRODUCT(OFFSET($BJ$31,0,1-MIN(60,COLUMN()-29),1,MIN(60,COLUMN()-29)),OFFSET(FO479,0,-MIN(60,COLUMN()-29),1,MIN(60,COLUMN()-29))),0)</f>
        <v>57.65121912</v>
      </c>
      <c r="FP480" s="9" t="n">
        <f aca="true">IFERROR(SUMPRODUCT(OFFSET($BJ$31,0,1-MIN(60,COLUMN()-29),1,MIN(60,COLUMN()-29)),OFFSET(FP479,0,-MIN(60,COLUMN()-29),1,MIN(60,COLUMN()-29))),0)</f>
        <v>56.01203256</v>
      </c>
    </row>
    <row r="481" customFormat="false" ht="15" hidden="false" customHeight="false" outlineLevel="2" collapsed="false">
      <c r="B481" s="47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237"/>
      <c r="AD481" s="237"/>
      <c r="AE481" s="237"/>
      <c r="AF481" s="237"/>
      <c r="AG481" s="237"/>
      <c r="AH481" s="237"/>
      <c r="AI481" s="237"/>
      <c r="AJ481" s="237"/>
      <c r="AK481" s="237"/>
      <c r="AL481" s="237"/>
      <c r="AM481" s="237"/>
      <c r="AN481" s="237"/>
      <c r="AO481" s="237"/>
      <c r="AP481" s="237"/>
      <c r="AQ481" s="237"/>
      <c r="AR481" s="237"/>
      <c r="AS481" s="237"/>
      <c r="AT481" s="237"/>
      <c r="AU481" s="237"/>
      <c r="AV481" s="237"/>
      <c r="AW481" s="237"/>
      <c r="AX481" s="237"/>
      <c r="AY481" s="237"/>
      <c r="AZ481" s="237"/>
      <c r="BA481" s="237"/>
      <c r="BB481" s="237"/>
      <c r="BC481" s="237"/>
      <c r="BD481" s="237"/>
      <c r="BE481" s="237"/>
      <c r="BF481" s="237"/>
      <c r="BG481" s="237"/>
      <c r="BH481" s="237"/>
      <c r="BI481" s="237"/>
      <c r="BJ481" s="237"/>
      <c r="BK481" s="237"/>
      <c r="BL481" s="237"/>
      <c r="BM481" s="237"/>
      <c r="BN481" s="237"/>
      <c r="BO481" s="237"/>
      <c r="BP481" s="237"/>
      <c r="BQ481" s="237"/>
      <c r="BR481" s="237"/>
      <c r="BS481" s="237"/>
      <c r="BT481" s="237"/>
      <c r="BU481" s="237"/>
      <c r="BV481" s="237"/>
      <c r="BW481" s="237"/>
      <c r="BX481" s="237"/>
      <c r="BY481" s="237"/>
      <c r="BZ481" s="237"/>
      <c r="CA481" s="237"/>
      <c r="CB481" s="237"/>
      <c r="CC481" s="237"/>
      <c r="CD481" s="237"/>
      <c r="CE481" s="237"/>
      <c r="CF481" s="237"/>
      <c r="CG481" s="237"/>
      <c r="CH481" s="237"/>
      <c r="CI481" s="237"/>
      <c r="CJ481" s="237"/>
      <c r="CK481" s="237"/>
      <c r="CL481" s="237"/>
      <c r="CM481" s="237"/>
      <c r="CN481" s="237"/>
      <c r="CO481" s="237"/>
      <c r="CP481" s="237"/>
      <c r="CQ481" s="237"/>
      <c r="CR481" s="237"/>
      <c r="CS481" s="237"/>
      <c r="CT481" s="237"/>
      <c r="CU481" s="237"/>
      <c r="CV481" s="237"/>
      <c r="CW481" s="237"/>
      <c r="CX481" s="237"/>
      <c r="CY481" s="237"/>
      <c r="CZ481" s="237"/>
      <c r="DA481" s="237"/>
      <c r="DB481" s="237"/>
      <c r="DC481" s="237"/>
      <c r="DD481" s="237"/>
      <c r="DE481" s="237"/>
      <c r="DF481" s="237"/>
      <c r="DG481" s="237"/>
      <c r="DH481" s="237"/>
      <c r="DI481" s="237"/>
      <c r="DJ481" s="237"/>
      <c r="DK481" s="237"/>
      <c r="DL481" s="237"/>
      <c r="DM481" s="237"/>
      <c r="DN481" s="237"/>
      <c r="DO481" s="237"/>
      <c r="DP481" s="237"/>
      <c r="DQ481" s="237"/>
      <c r="DR481" s="237"/>
      <c r="DS481" s="237"/>
      <c r="DT481" s="237"/>
      <c r="DU481" s="237"/>
      <c r="DV481" s="237"/>
      <c r="DW481" s="237"/>
      <c r="DX481" s="237"/>
      <c r="DY481" s="237"/>
      <c r="DZ481" s="237"/>
      <c r="EA481" s="237"/>
      <c r="EB481" s="237"/>
      <c r="EC481" s="237"/>
      <c r="ED481" s="237"/>
      <c r="EE481" s="237"/>
      <c r="EF481" s="237"/>
      <c r="EG481" s="237"/>
      <c r="EH481" s="237"/>
      <c r="EI481" s="237"/>
      <c r="EJ481" s="237"/>
      <c r="EK481" s="237"/>
      <c r="EL481" s="237"/>
      <c r="EM481" s="237"/>
      <c r="EN481" s="237"/>
      <c r="EO481" s="237"/>
      <c r="EP481" s="237"/>
      <c r="EQ481" s="237"/>
      <c r="ER481" s="237"/>
      <c r="ES481" s="9"/>
      <c r="ET481" s="9"/>
      <c r="EU481" s="9"/>
      <c r="EV481" s="9"/>
      <c r="EW481" s="9"/>
      <c r="EX481" s="9"/>
      <c r="EY481" s="9"/>
      <c r="EZ481" s="9"/>
      <c r="FA481" s="9"/>
      <c r="FB481" s="9"/>
      <c r="FC481" s="9"/>
      <c r="FD481" s="9"/>
      <c r="FE481" s="9"/>
      <c r="FF481" s="9"/>
      <c r="FG481" s="9"/>
      <c r="FH481" s="9"/>
      <c r="FI481" s="9"/>
      <c r="FJ481" s="9"/>
      <c r="FK481" s="9"/>
      <c r="FL481" s="9"/>
      <c r="FM481" s="9"/>
      <c r="FN481" s="9"/>
      <c r="FO481" s="9"/>
      <c r="FP481" s="9"/>
    </row>
    <row r="482" customFormat="false" ht="15" hidden="false" customHeight="false" outlineLevel="2" collapsed="false">
      <c r="B482" s="47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237"/>
      <c r="AD482" s="237"/>
      <c r="AE482" s="237"/>
      <c r="AF482" s="237"/>
      <c r="AG482" s="237"/>
      <c r="AH482" s="237"/>
      <c r="AI482" s="237"/>
      <c r="AJ482" s="237"/>
      <c r="AK482" s="237"/>
      <c r="AL482" s="237"/>
      <c r="AM482" s="237"/>
      <c r="AN482" s="237"/>
      <c r="AO482" s="237"/>
      <c r="AP482" s="237"/>
      <c r="AQ482" s="237"/>
      <c r="AR482" s="237"/>
      <c r="AS482" s="237"/>
      <c r="AT482" s="237"/>
      <c r="AU482" s="237"/>
      <c r="AV482" s="237"/>
      <c r="AW482" s="237"/>
      <c r="AX482" s="237"/>
      <c r="AY482" s="237"/>
      <c r="AZ482" s="237"/>
      <c r="BA482" s="237"/>
      <c r="BB482" s="237"/>
      <c r="BC482" s="237"/>
      <c r="BD482" s="237"/>
      <c r="BE482" s="237"/>
      <c r="BF482" s="237"/>
      <c r="BG482" s="237"/>
      <c r="BH482" s="237"/>
      <c r="BI482" s="237"/>
      <c r="BJ482" s="237"/>
      <c r="BK482" s="237"/>
      <c r="BL482" s="237"/>
      <c r="BM482" s="237"/>
      <c r="BN482" s="237"/>
      <c r="BO482" s="237"/>
      <c r="BP482" s="237"/>
      <c r="BQ482" s="237"/>
      <c r="BR482" s="237"/>
      <c r="BS482" s="237"/>
      <c r="BT482" s="237"/>
      <c r="BU482" s="237"/>
      <c r="BV482" s="237"/>
      <c r="BW482" s="237"/>
      <c r="BX482" s="237"/>
      <c r="BY482" s="237"/>
      <c r="BZ482" s="237"/>
      <c r="CA482" s="237"/>
      <c r="CB482" s="237"/>
      <c r="CC482" s="237"/>
      <c r="CD482" s="237"/>
      <c r="CE482" s="237"/>
      <c r="CF482" s="237"/>
      <c r="CG482" s="237"/>
      <c r="CH482" s="237"/>
      <c r="CI482" s="237"/>
      <c r="CJ482" s="237"/>
      <c r="CK482" s="237"/>
      <c r="CL482" s="237"/>
      <c r="CM482" s="237"/>
      <c r="CN482" s="237"/>
      <c r="CO482" s="237"/>
      <c r="CP482" s="237"/>
      <c r="CQ482" s="237"/>
      <c r="CR482" s="237"/>
      <c r="CS482" s="237"/>
      <c r="CT482" s="237"/>
      <c r="CU482" s="237"/>
      <c r="CV482" s="237"/>
      <c r="CW482" s="237"/>
      <c r="CX482" s="237"/>
      <c r="CY482" s="237"/>
      <c r="CZ482" s="237"/>
      <c r="DA482" s="237"/>
      <c r="DB482" s="237"/>
      <c r="DC482" s="237"/>
      <c r="DD482" s="237"/>
      <c r="DE482" s="237"/>
      <c r="DF482" s="237"/>
      <c r="DG482" s="237"/>
      <c r="DH482" s="237"/>
      <c r="DI482" s="237"/>
      <c r="DJ482" s="237"/>
      <c r="DK482" s="237"/>
      <c r="DL482" s="237"/>
      <c r="DM482" s="237"/>
      <c r="DN482" s="237"/>
      <c r="DO482" s="237"/>
      <c r="DP482" s="237"/>
      <c r="DQ482" s="237"/>
      <c r="DR482" s="237"/>
      <c r="DS482" s="237"/>
      <c r="DT482" s="237"/>
      <c r="DU482" s="237"/>
      <c r="DV482" s="237"/>
      <c r="DW482" s="237"/>
      <c r="DX482" s="237"/>
      <c r="DY482" s="237"/>
      <c r="DZ482" s="237"/>
      <c r="EA482" s="237"/>
      <c r="EB482" s="237"/>
      <c r="EC482" s="237"/>
      <c r="ED482" s="237"/>
      <c r="EE482" s="237"/>
      <c r="EF482" s="237"/>
      <c r="EG482" s="237"/>
      <c r="EH482" s="237"/>
      <c r="EI482" s="237"/>
      <c r="EJ482" s="237"/>
      <c r="EK482" s="237"/>
      <c r="EL482" s="237"/>
      <c r="EM482" s="237"/>
      <c r="EN482" s="237"/>
      <c r="EO482" s="237"/>
      <c r="EP482" s="237"/>
      <c r="EQ482" s="237"/>
      <c r="ER482" s="237"/>
      <c r="ES482" s="9"/>
      <c r="ET482" s="9"/>
      <c r="EU482" s="9"/>
      <c r="EV482" s="9"/>
      <c r="EW482" s="9"/>
      <c r="EX482" s="9"/>
      <c r="EY482" s="9"/>
      <c r="EZ482" s="9"/>
      <c r="FA482" s="9"/>
      <c r="FB482" s="9"/>
      <c r="FC482" s="9"/>
      <c r="FD482" s="9"/>
      <c r="FE482" s="9"/>
      <c r="FF482" s="9"/>
      <c r="FG482" s="9"/>
      <c r="FH482" s="9"/>
      <c r="FI482" s="9"/>
      <c r="FJ482" s="9"/>
      <c r="FK482" s="9"/>
      <c r="FL482" s="9"/>
      <c r="FM482" s="9"/>
      <c r="FN482" s="9"/>
      <c r="FO482" s="9"/>
      <c r="FP482" s="9"/>
    </row>
    <row r="483" customFormat="false" ht="15" hidden="false" customHeight="false" outlineLevel="2" collapsed="false">
      <c r="B483" s="47" t="s">
        <v>921</v>
      </c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237"/>
      <c r="AD483" s="237"/>
      <c r="AE483" s="237"/>
      <c r="AF483" s="237"/>
      <c r="AG483" s="237"/>
      <c r="AH483" s="237"/>
      <c r="AI483" s="237"/>
      <c r="AJ483" s="237"/>
      <c r="AK483" s="237"/>
      <c r="AL483" s="237"/>
      <c r="AM483" s="237"/>
      <c r="AN483" s="237"/>
      <c r="AO483" s="237"/>
      <c r="AP483" s="237"/>
      <c r="AQ483" s="237"/>
      <c r="AR483" s="237"/>
      <c r="AS483" s="237"/>
      <c r="AT483" s="237"/>
      <c r="AU483" s="237"/>
      <c r="AV483" s="237"/>
      <c r="AW483" s="237"/>
      <c r="AX483" s="237"/>
      <c r="AY483" s="237"/>
      <c r="AZ483" s="237"/>
      <c r="BA483" s="237"/>
      <c r="BB483" s="237"/>
      <c r="BC483" s="237"/>
      <c r="BD483" s="237"/>
      <c r="BE483" s="237"/>
      <c r="BF483" s="237"/>
      <c r="BG483" s="237"/>
      <c r="BH483" s="237"/>
      <c r="BI483" s="237"/>
      <c r="BJ483" s="237"/>
      <c r="BK483" s="237"/>
      <c r="BL483" s="237"/>
      <c r="BM483" s="237"/>
      <c r="BN483" s="237"/>
      <c r="BO483" s="237"/>
      <c r="BP483" s="237"/>
      <c r="BQ483" s="237"/>
      <c r="BR483" s="237"/>
      <c r="BS483" s="237"/>
      <c r="BT483" s="237"/>
      <c r="BU483" s="237"/>
      <c r="BV483" s="237"/>
      <c r="BW483" s="237"/>
      <c r="BX483" s="237"/>
      <c r="BY483" s="237"/>
      <c r="BZ483" s="237"/>
      <c r="CA483" s="237"/>
      <c r="CB483" s="237"/>
      <c r="CC483" s="237"/>
      <c r="CD483" s="237"/>
      <c r="CE483" s="237"/>
      <c r="CF483" s="237"/>
      <c r="CG483" s="237"/>
      <c r="CH483" s="237"/>
      <c r="CI483" s="237"/>
      <c r="CJ483" s="237"/>
      <c r="CK483" s="237"/>
      <c r="CL483" s="237"/>
      <c r="CM483" s="237"/>
      <c r="CN483" s="237"/>
      <c r="CO483" s="237"/>
      <c r="CP483" s="237"/>
      <c r="CQ483" s="237"/>
      <c r="CR483" s="237"/>
      <c r="CS483" s="237"/>
      <c r="CT483" s="237"/>
      <c r="CU483" s="237"/>
      <c r="CV483" s="237"/>
      <c r="CW483" s="237"/>
      <c r="CX483" s="237"/>
      <c r="CY483" s="237"/>
      <c r="CZ483" s="237"/>
      <c r="DA483" s="237"/>
      <c r="DB483" s="237"/>
      <c r="DC483" s="237"/>
      <c r="DD483" s="237"/>
      <c r="DE483" s="237"/>
      <c r="DF483" s="237"/>
      <c r="DG483" s="237"/>
      <c r="DH483" s="237"/>
      <c r="DI483" s="237"/>
      <c r="DJ483" s="237"/>
      <c r="DK483" s="237"/>
      <c r="DL483" s="237"/>
      <c r="DM483" s="237"/>
      <c r="DN483" s="237"/>
      <c r="DO483" s="237"/>
      <c r="DP483" s="237"/>
      <c r="DQ483" s="237"/>
      <c r="DR483" s="237"/>
      <c r="DS483" s="237"/>
      <c r="DT483" s="237"/>
      <c r="DU483" s="237"/>
      <c r="DV483" s="237"/>
      <c r="DW483" s="237"/>
      <c r="DX483" s="237"/>
      <c r="DY483" s="237"/>
      <c r="DZ483" s="237"/>
      <c r="EA483" s="237"/>
      <c r="EB483" s="237"/>
      <c r="EC483" s="237"/>
      <c r="ED483" s="237"/>
      <c r="EE483" s="237"/>
      <c r="EF483" s="237"/>
      <c r="EG483" s="237"/>
      <c r="EH483" s="237"/>
      <c r="EI483" s="237"/>
      <c r="EJ483" s="237"/>
      <c r="EK483" s="237"/>
      <c r="EL483" s="237"/>
      <c r="EM483" s="237"/>
      <c r="EN483" s="237"/>
      <c r="EO483" s="237"/>
      <c r="EP483" s="237"/>
      <c r="EQ483" s="237"/>
      <c r="ER483" s="237"/>
      <c r="ES483" s="9"/>
      <c r="ET483" s="9"/>
      <c r="EU483" s="9"/>
      <c r="EV483" s="9"/>
      <c r="EW483" s="9"/>
      <c r="EX483" s="9"/>
      <c r="EY483" s="9"/>
      <c r="EZ483" s="9"/>
      <c r="FA483" s="9"/>
      <c r="FB483" s="9"/>
      <c r="FC483" s="9"/>
      <c r="FD483" s="9"/>
      <c r="FE483" s="9"/>
      <c r="FF483" s="9"/>
      <c r="FG483" s="9"/>
      <c r="FH483" s="9"/>
      <c r="FI483" s="9"/>
      <c r="FJ483" s="9"/>
      <c r="FK483" s="9"/>
      <c r="FL483" s="9"/>
      <c r="FM483" s="9"/>
      <c r="FN483" s="9"/>
      <c r="FO483" s="9"/>
      <c r="FP483" s="9"/>
    </row>
    <row r="484" customFormat="false" ht="15" hidden="false" customHeight="false" outlineLevel="2" collapsed="false">
      <c r="B484" s="47" t="s">
        <v>872</v>
      </c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237" t="n">
        <f aca="false">('⑫ Roll-out Plan'!G53-2025)*12+'⑫ Roll-out Plan'!F53</f>
        <v>109</v>
      </c>
      <c r="AD484" s="237"/>
      <c r="AE484" s="237"/>
      <c r="AF484" s="237"/>
      <c r="AG484" s="237"/>
      <c r="AH484" s="237"/>
      <c r="AI484" s="237"/>
      <c r="AJ484" s="237"/>
      <c r="AK484" s="237"/>
      <c r="AL484" s="237"/>
      <c r="AM484" s="237"/>
      <c r="AN484" s="237"/>
      <c r="AO484" s="237"/>
      <c r="AP484" s="237"/>
      <c r="AQ484" s="237"/>
      <c r="AR484" s="237"/>
      <c r="AS484" s="237"/>
      <c r="AT484" s="237"/>
      <c r="AU484" s="237"/>
      <c r="AV484" s="237"/>
      <c r="AW484" s="237"/>
      <c r="AX484" s="237"/>
      <c r="AY484" s="237"/>
      <c r="AZ484" s="237"/>
      <c r="BA484" s="237"/>
      <c r="BB484" s="237"/>
      <c r="BC484" s="237"/>
      <c r="BD484" s="237"/>
      <c r="BE484" s="237"/>
      <c r="BF484" s="237"/>
      <c r="BG484" s="237"/>
      <c r="BH484" s="237"/>
      <c r="BI484" s="237"/>
      <c r="BJ484" s="237"/>
      <c r="BK484" s="237"/>
      <c r="BL484" s="237"/>
      <c r="BM484" s="237"/>
      <c r="BN484" s="237"/>
      <c r="BO484" s="237"/>
      <c r="BP484" s="237"/>
      <c r="BQ484" s="237"/>
      <c r="BR484" s="237"/>
      <c r="BS484" s="237"/>
      <c r="BT484" s="237"/>
      <c r="BU484" s="237"/>
      <c r="BV484" s="237"/>
      <c r="BW484" s="237"/>
      <c r="BX484" s="237"/>
      <c r="BY484" s="237"/>
      <c r="BZ484" s="237"/>
      <c r="CA484" s="237"/>
      <c r="CB484" s="237"/>
      <c r="CC484" s="237"/>
      <c r="CD484" s="237"/>
      <c r="CE484" s="237"/>
      <c r="CF484" s="237"/>
      <c r="CG484" s="237"/>
      <c r="CH484" s="237"/>
      <c r="CI484" s="237"/>
      <c r="CJ484" s="237"/>
      <c r="CK484" s="237"/>
      <c r="CL484" s="237"/>
      <c r="CM484" s="237"/>
      <c r="CN484" s="237"/>
      <c r="CO484" s="237"/>
      <c r="CP484" s="237"/>
      <c r="CQ484" s="237"/>
      <c r="CR484" s="237"/>
      <c r="CS484" s="237"/>
      <c r="CT484" s="237"/>
      <c r="CU484" s="237"/>
      <c r="CV484" s="237"/>
      <c r="CW484" s="237"/>
      <c r="CX484" s="237"/>
      <c r="CY484" s="237"/>
      <c r="CZ484" s="237"/>
      <c r="DA484" s="237"/>
      <c r="DB484" s="237"/>
      <c r="DC484" s="237"/>
      <c r="DD484" s="237"/>
      <c r="DE484" s="237"/>
      <c r="DF484" s="237"/>
      <c r="DG484" s="237"/>
      <c r="DH484" s="237"/>
      <c r="DI484" s="237"/>
      <c r="DJ484" s="237"/>
      <c r="DK484" s="237"/>
      <c r="DL484" s="237"/>
      <c r="DM484" s="237"/>
      <c r="DN484" s="237"/>
      <c r="DO484" s="237"/>
      <c r="DP484" s="237"/>
      <c r="DQ484" s="237"/>
      <c r="DR484" s="237"/>
      <c r="DS484" s="237"/>
      <c r="DT484" s="237"/>
      <c r="DU484" s="237"/>
      <c r="DV484" s="237"/>
      <c r="DW484" s="237"/>
      <c r="DX484" s="237"/>
      <c r="DY484" s="237"/>
      <c r="DZ484" s="237"/>
      <c r="EA484" s="237"/>
      <c r="EB484" s="237"/>
      <c r="EC484" s="237"/>
      <c r="ED484" s="237"/>
      <c r="EE484" s="237"/>
      <c r="EF484" s="237"/>
      <c r="EG484" s="237"/>
      <c r="EH484" s="237"/>
      <c r="EI484" s="237"/>
      <c r="EJ484" s="237"/>
      <c r="EK484" s="237"/>
      <c r="EL484" s="237"/>
      <c r="EM484" s="237"/>
      <c r="EN484" s="237"/>
      <c r="EO484" s="237"/>
      <c r="EP484" s="237"/>
      <c r="EQ484" s="237"/>
      <c r="ER484" s="237"/>
      <c r="ES484" s="9"/>
      <c r="ET484" s="9"/>
      <c r="EU484" s="9"/>
      <c r="EV484" s="9"/>
      <c r="EW484" s="9"/>
      <c r="EX484" s="9"/>
      <c r="EY484" s="9"/>
      <c r="EZ484" s="9"/>
      <c r="FA484" s="9"/>
      <c r="FB484" s="9"/>
      <c r="FC484" s="9"/>
      <c r="FD484" s="9"/>
      <c r="FE484" s="9"/>
      <c r="FF484" s="9"/>
      <c r="FG484" s="9"/>
      <c r="FH484" s="9"/>
      <c r="FI484" s="9"/>
      <c r="FJ484" s="9"/>
      <c r="FK484" s="9"/>
      <c r="FL484" s="9"/>
      <c r="FM484" s="9"/>
      <c r="FN484" s="9"/>
      <c r="FO484" s="9"/>
      <c r="FP484" s="9"/>
    </row>
    <row r="485" customFormat="false" ht="15" hidden="false" customHeight="false" outlineLevel="2" collapsed="false">
      <c r="B485" s="47" t="s">
        <v>873</v>
      </c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237" t="n">
        <f aca="false">VLOOKUP("B",$B$14:$C$18,2,FALSE())</f>
        <v>185</v>
      </c>
      <c r="AD485" s="237"/>
      <c r="AE485" s="237"/>
      <c r="AF485" s="237"/>
      <c r="AG485" s="237"/>
      <c r="AH485" s="237"/>
      <c r="AI485" s="237"/>
      <c r="AJ485" s="237"/>
      <c r="AK485" s="237"/>
      <c r="AL485" s="237"/>
      <c r="AM485" s="237"/>
      <c r="AN485" s="237"/>
      <c r="AO485" s="237"/>
      <c r="AP485" s="237"/>
      <c r="AQ485" s="237"/>
      <c r="AR485" s="237"/>
      <c r="AS485" s="237"/>
      <c r="AT485" s="237"/>
      <c r="AU485" s="237"/>
      <c r="AV485" s="237"/>
      <c r="AW485" s="237"/>
      <c r="AX485" s="237"/>
      <c r="AY485" s="237"/>
      <c r="AZ485" s="237"/>
      <c r="BA485" s="237"/>
      <c r="BB485" s="237"/>
      <c r="BC485" s="237"/>
      <c r="BD485" s="237"/>
      <c r="BE485" s="237"/>
      <c r="BF485" s="237"/>
      <c r="BG485" s="237"/>
      <c r="BH485" s="237"/>
      <c r="BI485" s="237"/>
      <c r="BJ485" s="237"/>
      <c r="BK485" s="237"/>
      <c r="BL485" s="237"/>
      <c r="BM485" s="237"/>
      <c r="BN485" s="237"/>
      <c r="BO485" s="237"/>
      <c r="BP485" s="237"/>
      <c r="BQ485" s="237"/>
      <c r="BR485" s="237"/>
      <c r="BS485" s="237"/>
      <c r="BT485" s="237"/>
      <c r="BU485" s="237"/>
      <c r="BV485" s="237"/>
      <c r="BW485" s="237"/>
      <c r="BX485" s="237"/>
      <c r="BY485" s="237"/>
      <c r="BZ485" s="237"/>
      <c r="CA485" s="237"/>
      <c r="CB485" s="237"/>
      <c r="CC485" s="237"/>
      <c r="CD485" s="237"/>
      <c r="CE485" s="237"/>
      <c r="CF485" s="237"/>
      <c r="CG485" s="237"/>
      <c r="CH485" s="237"/>
      <c r="CI485" s="237"/>
      <c r="CJ485" s="237"/>
      <c r="CK485" s="237"/>
      <c r="CL485" s="237"/>
      <c r="CM485" s="237"/>
      <c r="CN485" s="237"/>
      <c r="CO485" s="237"/>
      <c r="CP485" s="237"/>
      <c r="CQ485" s="237"/>
      <c r="CR485" s="237"/>
      <c r="CS485" s="237"/>
      <c r="CT485" s="237"/>
      <c r="CU485" s="237"/>
      <c r="CV485" s="237"/>
      <c r="CW485" s="237"/>
      <c r="CX485" s="237"/>
      <c r="CY485" s="237"/>
      <c r="CZ485" s="237"/>
      <c r="DA485" s="237"/>
      <c r="DB485" s="237"/>
      <c r="DC485" s="237"/>
      <c r="DD485" s="237"/>
      <c r="DE485" s="237"/>
      <c r="DF485" s="237"/>
      <c r="DG485" s="237"/>
      <c r="DH485" s="237"/>
      <c r="DI485" s="237"/>
      <c r="DJ485" s="237"/>
      <c r="DK485" s="237"/>
      <c r="DL485" s="237"/>
      <c r="DM485" s="237"/>
      <c r="DN485" s="237"/>
      <c r="DO485" s="237"/>
      <c r="DP485" s="237"/>
      <c r="DQ485" s="237"/>
      <c r="DR485" s="237"/>
      <c r="DS485" s="237"/>
      <c r="DT485" s="237"/>
      <c r="DU485" s="237"/>
      <c r="DV485" s="237"/>
      <c r="DW485" s="237"/>
      <c r="DX485" s="237"/>
      <c r="DY485" s="237"/>
      <c r="DZ485" s="237"/>
      <c r="EA485" s="237"/>
      <c r="EB485" s="237"/>
      <c r="EC485" s="237"/>
      <c r="ED485" s="237"/>
      <c r="EE485" s="237"/>
      <c r="EF485" s="237"/>
      <c r="EG485" s="237"/>
      <c r="EH485" s="237"/>
      <c r="EI485" s="237"/>
      <c r="EJ485" s="237"/>
      <c r="EK485" s="237"/>
      <c r="EL485" s="237"/>
      <c r="EM485" s="237"/>
      <c r="EN485" s="237"/>
      <c r="EO485" s="237"/>
      <c r="EP485" s="237"/>
      <c r="EQ485" s="237"/>
      <c r="ER485" s="237"/>
      <c r="ES485" s="9"/>
      <c r="ET485" s="9"/>
      <c r="EU485" s="9"/>
      <c r="EV485" s="9"/>
      <c r="EW485" s="9"/>
      <c r="EX485" s="9"/>
      <c r="EY485" s="9"/>
      <c r="EZ485" s="9"/>
      <c r="FA485" s="9"/>
      <c r="FB485" s="9"/>
      <c r="FC485" s="9"/>
      <c r="FD485" s="9"/>
      <c r="FE485" s="9"/>
      <c r="FF485" s="9"/>
      <c r="FG485" s="9"/>
      <c r="FH485" s="9"/>
      <c r="FI485" s="9"/>
      <c r="FJ485" s="9"/>
      <c r="FK485" s="9"/>
      <c r="FL485" s="9"/>
      <c r="FM485" s="9"/>
      <c r="FN485" s="9"/>
      <c r="FO485" s="9"/>
      <c r="FP485" s="9"/>
    </row>
    <row r="486" customFormat="false" ht="15" hidden="false" customHeight="false" outlineLevel="2" collapsed="false">
      <c r="B486" s="47" t="s">
        <v>799</v>
      </c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237" t="n">
        <f aca="false">IF(AC$35&gt;=$AC$484,AC$35-$AC$484+1,0)</f>
        <v>0</v>
      </c>
      <c r="AD486" s="237" t="n">
        <f aca="false">IF(AD$35&gt;=$AC$484,AD$35-$AC$484+1,0)</f>
        <v>0</v>
      </c>
      <c r="AE486" s="237" t="n">
        <f aca="false">IF(AE$35&gt;=$AC$484,AE$35-$AC$484+1,0)</f>
        <v>0</v>
      </c>
      <c r="AF486" s="237" t="n">
        <f aca="false">IF(AF$35&gt;=$AC$484,AF$35-$AC$484+1,0)</f>
        <v>0</v>
      </c>
      <c r="AG486" s="237" t="n">
        <f aca="false">IF(AG$35&gt;=$AC$484,AG$35-$AC$484+1,0)</f>
        <v>0</v>
      </c>
      <c r="AH486" s="237" t="n">
        <f aca="false">IF(AH$35&gt;=$AC$484,AH$35-$AC$484+1,0)</f>
        <v>0</v>
      </c>
      <c r="AI486" s="237" t="n">
        <f aca="false">IF(AI$35&gt;=$AC$484,AI$35-$AC$484+1,0)</f>
        <v>0</v>
      </c>
      <c r="AJ486" s="237" t="n">
        <f aca="false">IF(AJ$35&gt;=$AC$484,AJ$35-$AC$484+1,0)</f>
        <v>0</v>
      </c>
      <c r="AK486" s="237" t="n">
        <f aca="false">IF(AK$35&gt;=$AC$484,AK$35-$AC$484+1,0)</f>
        <v>0</v>
      </c>
      <c r="AL486" s="237" t="n">
        <f aca="false">IF(AL$35&gt;=$AC$484,AL$35-$AC$484+1,0)</f>
        <v>0</v>
      </c>
      <c r="AM486" s="237" t="n">
        <f aca="false">IF(AM$35&gt;=$AC$484,AM$35-$AC$484+1,0)</f>
        <v>0</v>
      </c>
      <c r="AN486" s="237" t="n">
        <f aca="false">IF(AN$35&gt;=$AC$484,AN$35-$AC$484+1,0)</f>
        <v>0</v>
      </c>
      <c r="AO486" s="237" t="n">
        <f aca="false">IF(AO$35&gt;=$AC$484,AO$35-$AC$484+1,0)</f>
        <v>0</v>
      </c>
      <c r="AP486" s="237" t="n">
        <f aca="false">IF(AP$35&gt;=$AC$484,AP$35-$AC$484+1,0)</f>
        <v>0</v>
      </c>
      <c r="AQ486" s="237" t="n">
        <f aca="false">IF(AQ$35&gt;=$AC$484,AQ$35-$AC$484+1,0)</f>
        <v>0</v>
      </c>
      <c r="AR486" s="237" t="n">
        <f aca="false">IF(AR$35&gt;=$AC$484,AR$35-$AC$484+1,0)</f>
        <v>0</v>
      </c>
      <c r="AS486" s="237" t="n">
        <f aca="false">IF(AS$35&gt;=$AC$484,AS$35-$AC$484+1,0)</f>
        <v>0</v>
      </c>
      <c r="AT486" s="237" t="n">
        <f aca="false">IF(AT$35&gt;=$AC$484,AT$35-$AC$484+1,0)</f>
        <v>0</v>
      </c>
      <c r="AU486" s="237" t="n">
        <f aca="false">IF(AU$35&gt;=$AC$484,AU$35-$AC$484+1,0)</f>
        <v>0</v>
      </c>
      <c r="AV486" s="237" t="n">
        <f aca="false">IF(AV$35&gt;=$AC$484,AV$35-$AC$484+1,0)</f>
        <v>0</v>
      </c>
      <c r="AW486" s="237" t="n">
        <f aca="false">IF(AW$35&gt;=$AC$484,AW$35-$AC$484+1,0)</f>
        <v>0</v>
      </c>
      <c r="AX486" s="237" t="n">
        <f aca="false">IF(AX$35&gt;=$AC$484,AX$35-$AC$484+1,0)</f>
        <v>0</v>
      </c>
      <c r="AY486" s="237" t="n">
        <f aca="false">IF(AY$35&gt;=$AC$484,AY$35-$AC$484+1,0)</f>
        <v>0</v>
      </c>
      <c r="AZ486" s="237" t="n">
        <f aca="false">IF(AZ$35&gt;=$AC$484,AZ$35-$AC$484+1,0)</f>
        <v>0</v>
      </c>
      <c r="BA486" s="237" t="n">
        <f aca="false">IF(BA$35&gt;=$AC$484,BA$35-$AC$484+1,0)</f>
        <v>0</v>
      </c>
      <c r="BB486" s="237" t="n">
        <f aca="false">IF(BB$35&gt;=$AC$484,BB$35-$AC$484+1,0)</f>
        <v>0</v>
      </c>
      <c r="BC486" s="237" t="n">
        <f aca="false">IF(BC$35&gt;=$AC$484,BC$35-$AC$484+1,0)</f>
        <v>0</v>
      </c>
      <c r="BD486" s="237" t="n">
        <f aca="false">IF(BD$35&gt;=$AC$484,BD$35-$AC$484+1,0)</f>
        <v>0</v>
      </c>
      <c r="BE486" s="237" t="n">
        <f aca="false">IF(BE$35&gt;=$AC$484,BE$35-$AC$484+1,0)</f>
        <v>0</v>
      </c>
      <c r="BF486" s="237" t="n">
        <f aca="false">IF(BF$35&gt;=$AC$484,BF$35-$AC$484+1,0)</f>
        <v>0</v>
      </c>
      <c r="BG486" s="237" t="n">
        <f aca="false">IF(BG$35&gt;=$AC$484,BG$35-$AC$484+1,0)</f>
        <v>0</v>
      </c>
      <c r="BH486" s="237" t="n">
        <f aca="false">IF(BH$35&gt;=$AC$484,BH$35-$AC$484+1,0)</f>
        <v>0</v>
      </c>
      <c r="BI486" s="237" t="n">
        <f aca="false">IF(BI$35&gt;=$AC$484,BI$35-$AC$484+1,0)</f>
        <v>0</v>
      </c>
      <c r="BJ486" s="237" t="n">
        <f aca="false">IF(BJ$35&gt;=$AC$484,BJ$35-$AC$484+1,0)</f>
        <v>0</v>
      </c>
      <c r="BK486" s="237" t="n">
        <f aca="false">IF(BK$35&gt;=$AC$484,BK$35-$AC$484+1,0)</f>
        <v>0</v>
      </c>
      <c r="BL486" s="237" t="n">
        <f aca="false">IF(BL$35&gt;=$AC$484,BL$35-$AC$484+1,0)</f>
        <v>0</v>
      </c>
      <c r="BM486" s="237" t="n">
        <f aca="false">IF(BM$35&gt;=$AC$484,BM$35-$AC$484+1,0)</f>
        <v>0</v>
      </c>
      <c r="BN486" s="237" t="n">
        <f aca="false">IF(BN$35&gt;=$AC$484,BN$35-$AC$484+1,0)</f>
        <v>0</v>
      </c>
      <c r="BO486" s="237" t="n">
        <f aca="false">IF(BO$35&gt;=$AC$484,BO$35-$AC$484+1,0)</f>
        <v>0</v>
      </c>
      <c r="BP486" s="237" t="n">
        <f aca="false">IF(BP$35&gt;=$AC$484,BP$35-$AC$484+1,0)</f>
        <v>0</v>
      </c>
      <c r="BQ486" s="237" t="n">
        <f aca="false">IF(BQ$35&gt;=$AC$484,BQ$35-$AC$484+1,0)</f>
        <v>0</v>
      </c>
      <c r="BR486" s="237" t="n">
        <f aca="false">IF(BR$35&gt;=$AC$484,BR$35-$AC$484+1,0)</f>
        <v>0</v>
      </c>
      <c r="BS486" s="237" t="n">
        <f aca="false">IF(BS$35&gt;=$AC$484,BS$35-$AC$484+1,0)</f>
        <v>0</v>
      </c>
      <c r="BT486" s="237" t="n">
        <f aca="false">IF(BT$35&gt;=$AC$484,BT$35-$AC$484+1,0)</f>
        <v>0</v>
      </c>
      <c r="BU486" s="237" t="n">
        <f aca="false">IF(BU$35&gt;=$AC$484,BU$35-$AC$484+1,0)</f>
        <v>0</v>
      </c>
      <c r="BV486" s="237" t="n">
        <f aca="false">IF(BV$35&gt;=$AC$484,BV$35-$AC$484+1,0)</f>
        <v>0</v>
      </c>
      <c r="BW486" s="237" t="n">
        <f aca="false">IF(BW$35&gt;=$AC$484,BW$35-$AC$484+1,0)</f>
        <v>0</v>
      </c>
      <c r="BX486" s="237" t="n">
        <f aca="false">IF(BX$35&gt;=$AC$484,BX$35-$AC$484+1,0)</f>
        <v>0</v>
      </c>
      <c r="BY486" s="237" t="n">
        <f aca="false">IF(BY$35&gt;=$AC$484,BY$35-$AC$484+1,0)</f>
        <v>0</v>
      </c>
      <c r="BZ486" s="237" t="n">
        <f aca="false">IF(BZ$35&gt;=$AC$484,BZ$35-$AC$484+1,0)</f>
        <v>0</v>
      </c>
      <c r="CA486" s="237" t="n">
        <f aca="false">IF(CA$35&gt;=$AC$484,CA$35-$AC$484+1,0)</f>
        <v>0</v>
      </c>
      <c r="CB486" s="237" t="n">
        <f aca="false">IF(CB$35&gt;=$AC$484,CB$35-$AC$484+1,0)</f>
        <v>0</v>
      </c>
      <c r="CC486" s="237" t="n">
        <f aca="false">IF(CC$35&gt;=$AC$484,CC$35-$AC$484+1,0)</f>
        <v>0</v>
      </c>
      <c r="CD486" s="237" t="n">
        <f aca="false">IF(CD$35&gt;=$AC$484,CD$35-$AC$484+1,0)</f>
        <v>0</v>
      </c>
      <c r="CE486" s="237" t="n">
        <f aca="false">IF(CE$35&gt;=$AC$484,CE$35-$AC$484+1,0)</f>
        <v>0</v>
      </c>
      <c r="CF486" s="237" t="n">
        <f aca="false">IF(CF$35&gt;=$AC$484,CF$35-$AC$484+1,0)</f>
        <v>0</v>
      </c>
      <c r="CG486" s="237" t="n">
        <f aca="false">IF(CG$35&gt;=$AC$484,CG$35-$AC$484+1,0)</f>
        <v>0</v>
      </c>
      <c r="CH486" s="237" t="n">
        <f aca="false">IF(CH$35&gt;=$AC$484,CH$35-$AC$484+1,0)</f>
        <v>0</v>
      </c>
      <c r="CI486" s="237" t="n">
        <f aca="false">IF(CI$35&gt;=$AC$484,CI$35-$AC$484+1,0)</f>
        <v>0</v>
      </c>
      <c r="CJ486" s="237" t="n">
        <f aca="false">IF(CJ$35&gt;=$AC$484,CJ$35-$AC$484+1,0)</f>
        <v>0</v>
      </c>
      <c r="CK486" s="237" t="n">
        <f aca="false">IF(CK$35&gt;=$AC$484,CK$35-$AC$484+1,0)</f>
        <v>0</v>
      </c>
      <c r="CL486" s="237" t="n">
        <f aca="false">IF(CL$35&gt;=$AC$484,CL$35-$AC$484+1,0)</f>
        <v>0</v>
      </c>
      <c r="CM486" s="237" t="n">
        <f aca="false">IF(CM$35&gt;=$AC$484,CM$35-$AC$484+1,0)</f>
        <v>0</v>
      </c>
      <c r="CN486" s="237" t="n">
        <f aca="false">IF(CN$35&gt;=$AC$484,CN$35-$AC$484+1,0)</f>
        <v>0</v>
      </c>
      <c r="CO486" s="237" t="n">
        <f aca="false">IF(CO$35&gt;=$AC$484,CO$35-$AC$484+1,0)</f>
        <v>0</v>
      </c>
      <c r="CP486" s="237" t="n">
        <f aca="false">IF(CP$35&gt;=$AC$484,CP$35-$AC$484+1,0)</f>
        <v>0</v>
      </c>
      <c r="CQ486" s="237" t="n">
        <f aca="false">IF(CQ$35&gt;=$AC$484,CQ$35-$AC$484+1,0)</f>
        <v>0</v>
      </c>
      <c r="CR486" s="237" t="n">
        <f aca="false">IF(CR$35&gt;=$AC$484,CR$35-$AC$484+1,0)</f>
        <v>0</v>
      </c>
      <c r="CS486" s="237" t="n">
        <f aca="false">IF(CS$35&gt;=$AC$484,CS$35-$AC$484+1,0)</f>
        <v>0</v>
      </c>
      <c r="CT486" s="237" t="n">
        <f aca="false">IF(CT$35&gt;=$AC$484,CT$35-$AC$484+1,0)</f>
        <v>0</v>
      </c>
      <c r="CU486" s="237" t="n">
        <f aca="false">IF(CU$35&gt;=$AC$484,CU$35-$AC$484+1,0)</f>
        <v>0</v>
      </c>
      <c r="CV486" s="237" t="n">
        <f aca="false">IF(CV$35&gt;=$AC$484,CV$35-$AC$484+1,0)</f>
        <v>0</v>
      </c>
      <c r="CW486" s="237" t="n">
        <f aca="false">IF(CW$35&gt;=$AC$484,CW$35-$AC$484+1,0)</f>
        <v>0</v>
      </c>
      <c r="CX486" s="237" t="n">
        <f aca="false">IF(CX$35&gt;=$AC$484,CX$35-$AC$484+1,0)</f>
        <v>0</v>
      </c>
      <c r="CY486" s="237" t="n">
        <f aca="false">IF(CY$35&gt;=$AC$484,CY$35-$AC$484+1,0)</f>
        <v>0</v>
      </c>
      <c r="CZ486" s="237" t="n">
        <f aca="false">IF(CZ$35&gt;=$AC$484,CZ$35-$AC$484+1,0)</f>
        <v>0</v>
      </c>
      <c r="DA486" s="237" t="n">
        <f aca="false">IF(DA$35&gt;=$AC$484,DA$35-$AC$484+1,0)</f>
        <v>0</v>
      </c>
      <c r="DB486" s="237" t="n">
        <f aca="false">IF(DB$35&gt;=$AC$484,DB$35-$AC$484+1,0)</f>
        <v>0</v>
      </c>
      <c r="DC486" s="237" t="n">
        <f aca="false">IF(DC$35&gt;=$AC$484,DC$35-$AC$484+1,0)</f>
        <v>0</v>
      </c>
      <c r="DD486" s="237" t="n">
        <f aca="false">IF(DD$35&gt;=$AC$484,DD$35-$AC$484+1,0)</f>
        <v>0</v>
      </c>
      <c r="DE486" s="237" t="n">
        <f aca="false">IF(DE$35&gt;=$AC$484,DE$35-$AC$484+1,0)</f>
        <v>0</v>
      </c>
      <c r="DF486" s="237" t="n">
        <f aca="false">IF(DF$35&gt;=$AC$484,DF$35-$AC$484+1,0)</f>
        <v>0</v>
      </c>
      <c r="DG486" s="237" t="n">
        <f aca="false">IF(DG$35&gt;=$AC$484,DG$35-$AC$484+1,0)</f>
        <v>0</v>
      </c>
      <c r="DH486" s="237" t="n">
        <f aca="false">IF(DH$35&gt;=$AC$484,DH$35-$AC$484+1,0)</f>
        <v>0</v>
      </c>
      <c r="DI486" s="237" t="n">
        <f aca="false">IF(DI$35&gt;=$AC$484,DI$35-$AC$484+1,0)</f>
        <v>0</v>
      </c>
      <c r="DJ486" s="237" t="n">
        <f aca="false">IF(DJ$35&gt;=$AC$484,DJ$35-$AC$484+1,0)</f>
        <v>0</v>
      </c>
      <c r="DK486" s="237" t="n">
        <f aca="false">IF(DK$35&gt;=$AC$484,DK$35-$AC$484+1,0)</f>
        <v>0</v>
      </c>
      <c r="DL486" s="237" t="n">
        <f aca="false">IF(DL$35&gt;=$AC$484,DL$35-$AC$484+1,0)</f>
        <v>0</v>
      </c>
      <c r="DM486" s="237" t="n">
        <f aca="false">IF(DM$35&gt;=$AC$484,DM$35-$AC$484+1,0)</f>
        <v>0</v>
      </c>
      <c r="DN486" s="237" t="n">
        <f aca="false">IF(DN$35&gt;=$AC$484,DN$35-$AC$484+1,0)</f>
        <v>0</v>
      </c>
      <c r="DO486" s="237" t="n">
        <f aca="false">IF(DO$35&gt;=$AC$484,DO$35-$AC$484+1,0)</f>
        <v>0</v>
      </c>
      <c r="DP486" s="237" t="n">
        <f aca="false">IF(DP$35&gt;=$AC$484,DP$35-$AC$484+1,0)</f>
        <v>0</v>
      </c>
      <c r="DQ486" s="237" t="n">
        <f aca="false">IF(DQ$35&gt;=$AC$484,DQ$35-$AC$484+1,0)</f>
        <v>0</v>
      </c>
      <c r="DR486" s="237" t="n">
        <f aca="false">IF(DR$35&gt;=$AC$484,DR$35-$AC$484+1,0)</f>
        <v>0</v>
      </c>
      <c r="DS486" s="237" t="n">
        <f aca="false">IF(DS$35&gt;=$AC$484,DS$35-$AC$484+1,0)</f>
        <v>0</v>
      </c>
      <c r="DT486" s="237" t="n">
        <f aca="false">IF(DT$35&gt;=$AC$484,DT$35-$AC$484+1,0)</f>
        <v>0</v>
      </c>
      <c r="DU486" s="237" t="n">
        <f aca="false">IF(DU$35&gt;=$AC$484,DU$35-$AC$484+1,0)</f>
        <v>0</v>
      </c>
      <c r="DV486" s="237" t="n">
        <f aca="false">IF(DV$35&gt;=$AC$484,DV$35-$AC$484+1,0)</f>
        <v>0</v>
      </c>
      <c r="DW486" s="237" t="n">
        <f aca="false">IF(DW$35&gt;=$AC$484,DW$35-$AC$484+1,0)</f>
        <v>0</v>
      </c>
      <c r="DX486" s="237" t="n">
        <f aca="false">IF(DX$35&gt;=$AC$484,DX$35-$AC$484+1,0)</f>
        <v>0</v>
      </c>
      <c r="DY486" s="237" t="n">
        <f aca="false">IF(DY$35&gt;=$AC$484,DY$35-$AC$484+1,0)</f>
        <v>0</v>
      </c>
      <c r="DZ486" s="237" t="n">
        <f aca="false">IF(DZ$35&gt;=$AC$484,DZ$35-$AC$484+1,0)</f>
        <v>0</v>
      </c>
      <c r="EA486" s="237" t="n">
        <f aca="false">IF(EA$35&gt;=$AC$484,EA$35-$AC$484+1,0)</f>
        <v>0</v>
      </c>
      <c r="EB486" s="237" t="n">
        <f aca="false">IF(EB$35&gt;=$AC$484,EB$35-$AC$484+1,0)</f>
        <v>0</v>
      </c>
      <c r="EC486" s="237" t="n">
        <f aca="false">IF(EC$35&gt;=$AC$484,EC$35-$AC$484+1,0)</f>
        <v>0</v>
      </c>
      <c r="ED486" s="237" t="n">
        <f aca="false">IF(ED$35&gt;=$AC$484,ED$35-$AC$484+1,0)</f>
        <v>0</v>
      </c>
      <c r="EE486" s="237" t="n">
        <f aca="false">IF(EE$35&gt;=$AC$484,EE$35-$AC$484+1,0)</f>
        <v>0</v>
      </c>
      <c r="EF486" s="237" t="n">
        <f aca="false">IF(EF$35&gt;=$AC$484,EF$35-$AC$484+1,0)</f>
        <v>0</v>
      </c>
      <c r="EG486" s="237" t="n">
        <f aca="false">IF(EG$35&gt;=$AC$484,EG$35-$AC$484+1,0)</f>
        <v>1</v>
      </c>
      <c r="EH486" s="237" t="n">
        <f aca="false">IF(EH$35&gt;=$AC$484,EH$35-$AC$484+1,0)</f>
        <v>2</v>
      </c>
      <c r="EI486" s="237" t="n">
        <f aca="false">IF(EI$35&gt;=$AC$484,EI$35-$AC$484+1,0)</f>
        <v>3</v>
      </c>
      <c r="EJ486" s="237" t="n">
        <f aca="false">IF(EJ$35&gt;=$AC$484,EJ$35-$AC$484+1,0)</f>
        <v>4</v>
      </c>
      <c r="EK486" s="237" t="n">
        <f aca="false">IF(EK$35&gt;=$AC$484,EK$35-$AC$484+1,0)</f>
        <v>5</v>
      </c>
      <c r="EL486" s="237" t="n">
        <f aca="false">IF(EL$35&gt;=$AC$484,EL$35-$AC$484+1,0)</f>
        <v>6</v>
      </c>
      <c r="EM486" s="237" t="n">
        <f aca="false">IF(EM$35&gt;=$AC$484,EM$35-$AC$484+1,0)</f>
        <v>7</v>
      </c>
      <c r="EN486" s="237" t="n">
        <f aca="false">IF(EN$35&gt;=$AC$484,EN$35-$AC$484+1,0)</f>
        <v>8</v>
      </c>
      <c r="EO486" s="237" t="n">
        <f aca="false">IF(EO$35&gt;=$AC$484,EO$35-$AC$484+1,0)</f>
        <v>9</v>
      </c>
      <c r="EP486" s="237" t="n">
        <f aca="false">IF(EP$35&gt;=$AC$484,EP$35-$AC$484+1,0)</f>
        <v>10</v>
      </c>
      <c r="EQ486" s="237" t="n">
        <f aca="false">IF(EQ$35&gt;=$AC$484,EQ$35-$AC$484+1,0)</f>
        <v>11</v>
      </c>
      <c r="ER486" s="237" t="n">
        <f aca="false">IF(ER$35&gt;=$AC$484,ER$35-$AC$484+1,0)</f>
        <v>12</v>
      </c>
      <c r="ES486" s="9" t="n">
        <f aca="false">IF(ES$35&gt;=$AC$484,ES$35-$AC$484+1,0)</f>
        <v>13</v>
      </c>
      <c r="ET486" s="9" t="n">
        <f aca="false">IF(ET$35&gt;=$AC$484,ET$35-$AC$484+1,0)</f>
        <v>14</v>
      </c>
      <c r="EU486" s="9" t="n">
        <f aca="false">IF(EU$35&gt;=$AC$484,EU$35-$AC$484+1,0)</f>
        <v>15</v>
      </c>
      <c r="EV486" s="9" t="n">
        <f aca="false">IF(EV$35&gt;=$AC$484,EV$35-$AC$484+1,0)</f>
        <v>16</v>
      </c>
      <c r="EW486" s="9" t="n">
        <f aca="false">IF(EW$35&gt;=$AC$484,EW$35-$AC$484+1,0)</f>
        <v>17</v>
      </c>
      <c r="EX486" s="9" t="n">
        <f aca="false">IF(EX$35&gt;=$AC$484,EX$35-$AC$484+1,0)</f>
        <v>18</v>
      </c>
      <c r="EY486" s="9" t="n">
        <f aca="false">IF(EY$35&gt;=$AC$484,EY$35-$AC$484+1,0)</f>
        <v>19</v>
      </c>
      <c r="EZ486" s="9" t="n">
        <f aca="false">IF(EZ$35&gt;=$AC$484,EZ$35-$AC$484+1,0)</f>
        <v>20</v>
      </c>
      <c r="FA486" s="9" t="n">
        <f aca="false">IF(FA$35&gt;=$AC$484,FA$35-$AC$484+1,0)</f>
        <v>21</v>
      </c>
      <c r="FB486" s="9" t="n">
        <f aca="false">IF(FB$35&gt;=$AC$484,FB$35-$AC$484+1,0)</f>
        <v>22</v>
      </c>
      <c r="FC486" s="9" t="n">
        <f aca="false">IF(FC$35&gt;=$AC$484,FC$35-$AC$484+1,0)</f>
        <v>23</v>
      </c>
      <c r="FD486" s="9" t="n">
        <f aca="false">IF(FD$35&gt;=$AC$484,FD$35-$AC$484+1,0)</f>
        <v>24</v>
      </c>
      <c r="FE486" s="9" t="n">
        <f aca="false">IF(FE$35&gt;=$AC$484,FE$35-$AC$484+1,0)</f>
        <v>25</v>
      </c>
      <c r="FF486" s="9" t="n">
        <f aca="false">IF(FF$35&gt;=$AC$484,FF$35-$AC$484+1,0)</f>
        <v>26</v>
      </c>
      <c r="FG486" s="9" t="n">
        <f aca="false">IF(FG$35&gt;=$AC$484,FG$35-$AC$484+1,0)</f>
        <v>27</v>
      </c>
      <c r="FH486" s="9" t="n">
        <f aca="false">IF(FH$35&gt;=$AC$484,FH$35-$AC$484+1,0)</f>
        <v>28</v>
      </c>
      <c r="FI486" s="9" t="n">
        <f aca="false">IF(FI$35&gt;=$AC$484,FI$35-$AC$484+1,0)</f>
        <v>29</v>
      </c>
      <c r="FJ486" s="9" t="n">
        <f aca="false">IF(FJ$35&gt;=$AC$484,FJ$35-$AC$484+1,0)</f>
        <v>30</v>
      </c>
      <c r="FK486" s="9" t="n">
        <f aca="false">IF(FK$35&gt;=$AC$484,FK$35-$AC$484+1,0)</f>
        <v>31</v>
      </c>
      <c r="FL486" s="9" t="n">
        <f aca="false">IF(FL$35&gt;=$AC$484,FL$35-$AC$484+1,0)</f>
        <v>32</v>
      </c>
      <c r="FM486" s="9" t="n">
        <f aca="false">IF(FM$35&gt;=$AC$484,FM$35-$AC$484+1,0)</f>
        <v>33</v>
      </c>
      <c r="FN486" s="9" t="n">
        <f aca="false">IF(FN$35&gt;=$AC$484,FN$35-$AC$484+1,0)</f>
        <v>34</v>
      </c>
      <c r="FO486" s="9" t="n">
        <f aca="false">IF(FO$35&gt;=$AC$484,FO$35-$AC$484+1,0)</f>
        <v>35</v>
      </c>
      <c r="FP486" s="9" t="n">
        <f aca="false">IF(FP$35&gt;=$AC$484,FP$35-$AC$484+1,0)</f>
        <v>36</v>
      </c>
    </row>
    <row r="487" customFormat="false" ht="15" hidden="false" customHeight="false" outlineLevel="2" collapsed="false">
      <c r="B487" s="47" t="s">
        <v>874</v>
      </c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237" t="n">
        <f aca="false" t="array" ref="AC487:AC487">IF(AC486=0,0,IF(AC486/'🎚️ Escenario'!$C$11&gt;=36,$AL$23,INDEX($C$23:$AL$23,MAX(1,ROUNDUP(AC486/'🎚️ Escenario'!$C$11,0)))))</f>
        <v>0</v>
      </c>
      <c r="AD487" s="237" t="n">
        <f aca="false" t="array" ref="AD487:AD487">IF(AD486=0,0,IF(AD486/'🎚️ Escenario'!$C$11&gt;=36,$AL$23,INDEX($C$23:$AL$23,MAX(1,ROUNDUP(AD486/'🎚️ Escenario'!$C$11,0)))))</f>
        <v>0</v>
      </c>
      <c r="AE487" s="237" t="n">
        <f aca="false" t="array" ref="AE487:AE487">IF(AE486=0,0,IF(AE486/'🎚️ Escenario'!$C$11&gt;=36,$AL$23,INDEX($C$23:$AL$23,MAX(1,ROUNDUP(AE486/'🎚️ Escenario'!$C$11,0)))))</f>
        <v>0</v>
      </c>
      <c r="AF487" s="237" t="n">
        <f aca="false" t="array" ref="AF487:AF487">IF(AF486=0,0,IF(AF486/'🎚️ Escenario'!$C$11&gt;=36,$AL$23,INDEX($C$23:$AL$23,MAX(1,ROUNDUP(AF486/'🎚️ Escenario'!$C$11,0)))))</f>
        <v>0</v>
      </c>
      <c r="AG487" s="237" t="n">
        <f aca="false" t="array" ref="AG487:AG487">IF(AG486=0,0,IF(AG486/'🎚️ Escenario'!$C$11&gt;=36,$AL$23,INDEX($C$23:$AL$23,MAX(1,ROUNDUP(AG486/'🎚️ Escenario'!$C$11,0)))))</f>
        <v>0</v>
      </c>
      <c r="AH487" s="237" t="n">
        <f aca="false" t="array" ref="AH487:AH487">IF(AH486=0,0,IF(AH486/'🎚️ Escenario'!$C$11&gt;=36,$AL$23,INDEX($C$23:$AL$23,MAX(1,ROUNDUP(AH486/'🎚️ Escenario'!$C$11,0)))))</f>
        <v>0</v>
      </c>
      <c r="AI487" s="237" t="n">
        <f aca="false" t="array" ref="AI487:AI487">IF(AI486=0,0,IF(AI486/'🎚️ Escenario'!$C$11&gt;=36,$AL$23,INDEX($C$23:$AL$23,MAX(1,ROUNDUP(AI486/'🎚️ Escenario'!$C$11,0)))))</f>
        <v>0</v>
      </c>
      <c r="AJ487" s="237" t="n">
        <f aca="false" t="array" ref="AJ487:AJ487">IF(AJ486=0,0,IF(AJ486/'🎚️ Escenario'!$C$11&gt;=36,$AL$23,INDEX($C$23:$AL$23,MAX(1,ROUNDUP(AJ486/'🎚️ Escenario'!$C$11,0)))))</f>
        <v>0</v>
      </c>
      <c r="AK487" s="237" t="n">
        <f aca="false" t="array" ref="AK487:AK487">IF(AK486=0,0,IF(AK486/'🎚️ Escenario'!$C$11&gt;=36,$AL$23,INDEX($C$23:$AL$23,MAX(1,ROUNDUP(AK486/'🎚️ Escenario'!$C$11,0)))))</f>
        <v>0</v>
      </c>
      <c r="AL487" s="237" t="n">
        <f aca="false" t="array" ref="AL487:AL487">IF(AL486=0,0,IF(AL486/'🎚️ Escenario'!$C$11&gt;=36,$AL$23,INDEX($C$23:$AL$23,MAX(1,ROUNDUP(AL486/'🎚️ Escenario'!$C$11,0)))))</f>
        <v>0</v>
      </c>
      <c r="AM487" s="237" t="n">
        <f aca="false" t="array" ref="AM487:AM487">IF(AM486=0,0,IF(AM486/'🎚️ Escenario'!$C$11&gt;=36,$AL$23,INDEX($C$23:$AL$23,MAX(1,ROUNDUP(AM486/'🎚️ Escenario'!$C$11,0)))))</f>
        <v>0</v>
      </c>
      <c r="AN487" s="237" t="n">
        <f aca="false" t="array" ref="AN487:AN487">IF(AN486=0,0,IF(AN486/'🎚️ Escenario'!$C$11&gt;=36,$AL$23,INDEX($C$23:$AL$23,MAX(1,ROUNDUP(AN486/'🎚️ Escenario'!$C$11,0)))))</f>
        <v>0</v>
      </c>
      <c r="AO487" s="237" t="n">
        <f aca="false" t="array" ref="AO487:AO487">IF(AO486=0,0,IF(AO486/'🎚️ Escenario'!$C$11&gt;=36,$AL$23,INDEX($C$23:$AL$23,MAX(1,ROUNDUP(AO486/'🎚️ Escenario'!$C$11,0)))))</f>
        <v>0</v>
      </c>
      <c r="AP487" s="237" t="n">
        <f aca="false" t="array" ref="AP487:AP487">IF(AP486=0,0,IF(AP486/'🎚️ Escenario'!$C$11&gt;=36,$AL$23,INDEX($C$23:$AL$23,MAX(1,ROUNDUP(AP486/'🎚️ Escenario'!$C$11,0)))))</f>
        <v>0</v>
      </c>
      <c r="AQ487" s="237" t="n">
        <f aca="false" t="array" ref="AQ487:AQ487">IF(AQ486=0,0,IF(AQ486/'🎚️ Escenario'!$C$11&gt;=36,$AL$23,INDEX($C$23:$AL$23,MAX(1,ROUNDUP(AQ486/'🎚️ Escenario'!$C$11,0)))))</f>
        <v>0</v>
      </c>
      <c r="AR487" s="237" t="n">
        <f aca="false" t="array" ref="AR487:AR487">IF(AR486=0,0,IF(AR486/'🎚️ Escenario'!$C$11&gt;=36,$AL$23,INDEX($C$23:$AL$23,MAX(1,ROUNDUP(AR486/'🎚️ Escenario'!$C$11,0)))))</f>
        <v>0</v>
      </c>
      <c r="AS487" s="237" t="n">
        <f aca="false" t="array" ref="AS487:AS487">IF(AS486=0,0,IF(AS486/'🎚️ Escenario'!$C$11&gt;=36,$AL$23,INDEX($C$23:$AL$23,MAX(1,ROUNDUP(AS486/'🎚️ Escenario'!$C$11,0)))))</f>
        <v>0</v>
      </c>
      <c r="AT487" s="237" t="n">
        <f aca="false" t="array" ref="AT487:AT487">IF(AT486=0,0,IF(AT486/'🎚️ Escenario'!$C$11&gt;=36,$AL$23,INDEX($C$23:$AL$23,MAX(1,ROUNDUP(AT486/'🎚️ Escenario'!$C$11,0)))))</f>
        <v>0</v>
      </c>
      <c r="AU487" s="237" t="n">
        <f aca="false" t="array" ref="AU487:AU487">IF(AU486=0,0,IF(AU486/'🎚️ Escenario'!$C$11&gt;=36,$AL$23,INDEX($C$23:$AL$23,MAX(1,ROUNDUP(AU486/'🎚️ Escenario'!$C$11,0)))))</f>
        <v>0</v>
      </c>
      <c r="AV487" s="237" t="n">
        <f aca="false" t="array" ref="AV487:AV487">IF(AV486=0,0,IF(AV486/'🎚️ Escenario'!$C$11&gt;=36,$AL$23,INDEX($C$23:$AL$23,MAX(1,ROUNDUP(AV486/'🎚️ Escenario'!$C$11,0)))))</f>
        <v>0</v>
      </c>
      <c r="AW487" s="237" t="n">
        <f aca="false" t="array" ref="AW487:AW487">IF(AW486=0,0,IF(AW486/'🎚️ Escenario'!$C$11&gt;=36,$AL$23,INDEX($C$23:$AL$23,MAX(1,ROUNDUP(AW486/'🎚️ Escenario'!$C$11,0)))))</f>
        <v>0</v>
      </c>
      <c r="AX487" s="237" t="n">
        <f aca="false" t="array" ref="AX487:AX487">IF(AX486=0,0,IF(AX486/'🎚️ Escenario'!$C$11&gt;=36,$AL$23,INDEX($C$23:$AL$23,MAX(1,ROUNDUP(AX486/'🎚️ Escenario'!$C$11,0)))))</f>
        <v>0</v>
      </c>
      <c r="AY487" s="237" t="n">
        <f aca="false" t="array" ref="AY487:AY487">IF(AY486=0,0,IF(AY486/'🎚️ Escenario'!$C$11&gt;=36,$AL$23,INDEX($C$23:$AL$23,MAX(1,ROUNDUP(AY486/'🎚️ Escenario'!$C$11,0)))))</f>
        <v>0</v>
      </c>
      <c r="AZ487" s="237" t="n">
        <f aca="false" t="array" ref="AZ487:AZ487">IF(AZ486=0,0,IF(AZ486/'🎚️ Escenario'!$C$11&gt;=36,$AL$23,INDEX($C$23:$AL$23,MAX(1,ROUNDUP(AZ486/'🎚️ Escenario'!$C$11,0)))))</f>
        <v>0</v>
      </c>
      <c r="BA487" s="237" t="n">
        <f aca="false" t="array" ref="BA487:BA487">IF(BA486=0,0,IF(BA486/'🎚️ Escenario'!$C$11&gt;=36,$AL$23,INDEX($C$23:$AL$23,MAX(1,ROUNDUP(BA486/'🎚️ Escenario'!$C$11,0)))))</f>
        <v>0</v>
      </c>
      <c r="BB487" s="237" t="n">
        <f aca="false" t="array" ref="BB487:BB487">IF(BB486=0,0,IF(BB486/'🎚️ Escenario'!$C$11&gt;=36,$AL$23,INDEX($C$23:$AL$23,MAX(1,ROUNDUP(BB486/'🎚️ Escenario'!$C$11,0)))))</f>
        <v>0</v>
      </c>
      <c r="BC487" s="237" t="n">
        <f aca="false" t="array" ref="BC487:BC487">IF(BC486=0,0,IF(BC486/'🎚️ Escenario'!$C$11&gt;=36,$AL$23,INDEX($C$23:$AL$23,MAX(1,ROUNDUP(BC486/'🎚️ Escenario'!$C$11,0)))))</f>
        <v>0</v>
      </c>
      <c r="BD487" s="237" t="n">
        <f aca="false" t="array" ref="BD487:BD487">IF(BD486=0,0,IF(BD486/'🎚️ Escenario'!$C$11&gt;=36,$AL$23,INDEX($C$23:$AL$23,MAX(1,ROUNDUP(BD486/'🎚️ Escenario'!$C$11,0)))))</f>
        <v>0</v>
      </c>
      <c r="BE487" s="237" t="n">
        <f aca="false" t="array" ref="BE487:BE487">IF(BE486=0,0,IF(BE486/'🎚️ Escenario'!$C$11&gt;=36,$AL$23,INDEX($C$23:$AL$23,MAX(1,ROUNDUP(BE486/'🎚️ Escenario'!$C$11,0)))))</f>
        <v>0</v>
      </c>
      <c r="BF487" s="237" t="n">
        <f aca="false" t="array" ref="BF487:BF487">IF(BF486=0,0,IF(BF486/'🎚️ Escenario'!$C$11&gt;=36,$AL$23,INDEX($C$23:$AL$23,MAX(1,ROUNDUP(BF486/'🎚️ Escenario'!$C$11,0)))))</f>
        <v>0</v>
      </c>
      <c r="BG487" s="237" t="n">
        <f aca="false" t="array" ref="BG487:BG487">IF(BG486=0,0,IF(BG486/'🎚️ Escenario'!$C$11&gt;=36,$AL$23,INDEX($C$23:$AL$23,MAX(1,ROUNDUP(BG486/'🎚️ Escenario'!$C$11,0)))))</f>
        <v>0</v>
      </c>
      <c r="BH487" s="237" t="n">
        <f aca="false" t="array" ref="BH487:BH487">IF(BH486=0,0,IF(BH486/'🎚️ Escenario'!$C$11&gt;=36,$AL$23,INDEX($C$23:$AL$23,MAX(1,ROUNDUP(BH486/'🎚️ Escenario'!$C$11,0)))))</f>
        <v>0</v>
      </c>
      <c r="BI487" s="237" t="n">
        <f aca="false" t="array" ref="BI487:BI487">IF(BI486=0,0,IF(BI486/'🎚️ Escenario'!$C$11&gt;=36,$AL$23,INDEX($C$23:$AL$23,MAX(1,ROUNDUP(BI486/'🎚️ Escenario'!$C$11,0)))))</f>
        <v>0</v>
      </c>
      <c r="BJ487" s="237" t="n">
        <f aca="false" t="array" ref="BJ487:BJ487">IF(BJ486=0,0,IF(BJ486/'🎚️ Escenario'!$C$11&gt;=36,$AL$23,INDEX($C$23:$AL$23,MAX(1,ROUNDUP(BJ486/'🎚️ Escenario'!$C$11,0)))))</f>
        <v>0</v>
      </c>
      <c r="BK487" s="237" t="n">
        <f aca="false" t="array" ref="BK487:BK487">IF(BK486=0,0,IF(BK486/'🎚️ Escenario'!$C$11&gt;=36,$AL$23,INDEX($C$23:$AL$23,MAX(1,ROUNDUP(BK486/'🎚️ Escenario'!$C$11,0)))))</f>
        <v>0</v>
      </c>
      <c r="BL487" s="237" t="n">
        <f aca="false" t="array" ref="BL487:BL487">IF(BL486=0,0,IF(BL486/'🎚️ Escenario'!$C$11&gt;=36,$AL$23,INDEX($C$23:$AL$23,MAX(1,ROUNDUP(BL486/'🎚️ Escenario'!$C$11,0)))))</f>
        <v>0</v>
      </c>
      <c r="BM487" s="237" t="n">
        <f aca="false" t="array" ref="BM487:BM487">IF(BM486=0,0,IF(BM486/'🎚️ Escenario'!$C$11&gt;=36,$AL$23,INDEX($C$23:$AL$23,MAX(1,ROUNDUP(BM486/'🎚️ Escenario'!$C$11,0)))))</f>
        <v>0</v>
      </c>
      <c r="BN487" s="237" t="n">
        <f aca="false" t="array" ref="BN487:BN487">IF(BN486=0,0,IF(BN486/'🎚️ Escenario'!$C$11&gt;=36,$AL$23,INDEX($C$23:$AL$23,MAX(1,ROUNDUP(BN486/'🎚️ Escenario'!$C$11,0)))))</f>
        <v>0</v>
      </c>
      <c r="BO487" s="237" t="n">
        <f aca="false" t="array" ref="BO487:BO487">IF(BO486=0,0,IF(BO486/'🎚️ Escenario'!$C$11&gt;=36,$AL$23,INDEX($C$23:$AL$23,MAX(1,ROUNDUP(BO486/'🎚️ Escenario'!$C$11,0)))))</f>
        <v>0</v>
      </c>
      <c r="BP487" s="237" t="n">
        <f aca="false" t="array" ref="BP487:BP487">IF(BP486=0,0,IF(BP486/'🎚️ Escenario'!$C$11&gt;=36,$AL$23,INDEX($C$23:$AL$23,MAX(1,ROUNDUP(BP486/'🎚️ Escenario'!$C$11,0)))))</f>
        <v>0</v>
      </c>
      <c r="BQ487" s="237" t="n">
        <f aca="false" t="array" ref="BQ487:BQ487">IF(BQ486=0,0,IF(BQ486/'🎚️ Escenario'!$C$11&gt;=36,$AL$23,INDEX($C$23:$AL$23,MAX(1,ROUNDUP(BQ486/'🎚️ Escenario'!$C$11,0)))))</f>
        <v>0</v>
      </c>
      <c r="BR487" s="237" t="n">
        <f aca="false" t="array" ref="BR487:BR487">IF(BR486=0,0,IF(BR486/'🎚️ Escenario'!$C$11&gt;=36,$AL$23,INDEX($C$23:$AL$23,MAX(1,ROUNDUP(BR486/'🎚️ Escenario'!$C$11,0)))))</f>
        <v>0</v>
      </c>
      <c r="BS487" s="237" t="n">
        <f aca="false" t="array" ref="BS487:BS487">IF(BS486=0,0,IF(BS486/'🎚️ Escenario'!$C$11&gt;=36,$AL$23,INDEX($C$23:$AL$23,MAX(1,ROUNDUP(BS486/'🎚️ Escenario'!$C$11,0)))))</f>
        <v>0</v>
      </c>
      <c r="BT487" s="237" t="n">
        <f aca="false" t="array" ref="BT487:BT487">IF(BT486=0,0,IF(BT486/'🎚️ Escenario'!$C$11&gt;=36,$AL$23,INDEX($C$23:$AL$23,MAX(1,ROUNDUP(BT486/'🎚️ Escenario'!$C$11,0)))))</f>
        <v>0</v>
      </c>
      <c r="BU487" s="237" t="n">
        <f aca="false" t="array" ref="BU487:BU487">IF(BU486=0,0,IF(BU486/'🎚️ Escenario'!$C$11&gt;=36,$AL$23,INDEX($C$23:$AL$23,MAX(1,ROUNDUP(BU486/'🎚️ Escenario'!$C$11,0)))))</f>
        <v>0</v>
      </c>
      <c r="BV487" s="237" t="n">
        <f aca="false" t="array" ref="BV487:BV487">IF(BV486=0,0,IF(BV486/'🎚️ Escenario'!$C$11&gt;=36,$AL$23,INDEX($C$23:$AL$23,MAX(1,ROUNDUP(BV486/'🎚️ Escenario'!$C$11,0)))))</f>
        <v>0</v>
      </c>
      <c r="BW487" s="237" t="n">
        <f aca="false" t="array" ref="BW487:BW487">IF(BW486=0,0,IF(BW486/'🎚️ Escenario'!$C$11&gt;=36,$AL$23,INDEX($C$23:$AL$23,MAX(1,ROUNDUP(BW486/'🎚️ Escenario'!$C$11,0)))))</f>
        <v>0</v>
      </c>
      <c r="BX487" s="237" t="n">
        <f aca="false" t="array" ref="BX487:BX487">IF(BX486=0,0,IF(BX486/'🎚️ Escenario'!$C$11&gt;=36,$AL$23,INDEX($C$23:$AL$23,MAX(1,ROUNDUP(BX486/'🎚️ Escenario'!$C$11,0)))))</f>
        <v>0</v>
      </c>
      <c r="BY487" s="237" t="n">
        <f aca="false" t="array" ref="BY487:BY487">IF(BY486=0,0,IF(BY486/'🎚️ Escenario'!$C$11&gt;=36,$AL$23,INDEX($C$23:$AL$23,MAX(1,ROUNDUP(BY486/'🎚️ Escenario'!$C$11,0)))))</f>
        <v>0</v>
      </c>
      <c r="BZ487" s="237" t="n">
        <f aca="false" t="array" ref="BZ487:BZ487">IF(BZ486=0,0,IF(BZ486/'🎚️ Escenario'!$C$11&gt;=36,$AL$23,INDEX($C$23:$AL$23,MAX(1,ROUNDUP(BZ486/'🎚️ Escenario'!$C$11,0)))))</f>
        <v>0</v>
      </c>
      <c r="CA487" s="237" t="n">
        <f aca="false" t="array" ref="CA487:CA487">IF(CA486=0,0,IF(CA486/'🎚️ Escenario'!$C$11&gt;=36,$AL$23,INDEX($C$23:$AL$23,MAX(1,ROUNDUP(CA486/'🎚️ Escenario'!$C$11,0)))))</f>
        <v>0</v>
      </c>
      <c r="CB487" s="237" t="n">
        <f aca="false" t="array" ref="CB487:CB487">IF(CB486=0,0,IF(CB486/'🎚️ Escenario'!$C$11&gt;=36,$AL$23,INDEX($C$23:$AL$23,MAX(1,ROUNDUP(CB486/'🎚️ Escenario'!$C$11,0)))))</f>
        <v>0</v>
      </c>
      <c r="CC487" s="237" t="n">
        <f aca="false" t="array" ref="CC487:CC487">IF(CC486=0,0,IF(CC486/'🎚️ Escenario'!$C$11&gt;=36,$AL$23,INDEX($C$23:$AL$23,MAX(1,ROUNDUP(CC486/'🎚️ Escenario'!$C$11,0)))))</f>
        <v>0</v>
      </c>
      <c r="CD487" s="237" t="n">
        <f aca="false" t="array" ref="CD487:CD487">IF(CD486=0,0,IF(CD486/'🎚️ Escenario'!$C$11&gt;=36,$AL$23,INDEX($C$23:$AL$23,MAX(1,ROUNDUP(CD486/'🎚️ Escenario'!$C$11,0)))))</f>
        <v>0</v>
      </c>
      <c r="CE487" s="237" t="n">
        <f aca="false" t="array" ref="CE487:CE487">IF(CE486=0,0,IF(CE486/'🎚️ Escenario'!$C$11&gt;=36,$AL$23,INDEX($C$23:$AL$23,MAX(1,ROUNDUP(CE486/'🎚️ Escenario'!$C$11,0)))))</f>
        <v>0</v>
      </c>
      <c r="CF487" s="237" t="n">
        <f aca="false" t="array" ref="CF487:CF487">IF(CF486=0,0,IF(CF486/'🎚️ Escenario'!$C$11&gt;=36,$AL$23,INDEX($C$23:$AL$23,MAX(1,ROUNDUP(CF486/'🎚️ Escenario'!$C$11,0)))))</f>
        <v>0</v>
      </c>
      <c r="CG487" s="237" t="n">
        <f aca="false" t="array" ref="CG487:CG487">IF(CG486=0,0,IF(CG486/'🎚️ Escenario'!$C$11&gt;=36,$AL$23,INDEX($C$23:$AL$23,MAX(1,ROUNDUP(CG486/'🎚️ Escenario'!$C$11,0)))))</f>
        <v>0</v>
      </c>
      <c r="CH487" s="237" t="n">
        <f aca="false" t="array" ref="CH487:CH487">IF(CH486=0,0,IF(CH486/'🎚️ Escenario'!$C$11&gt;=36,$AL$23,INDEX($C$23:$AL$23,MAX(1,ROUNDUP(CH486/'🎚️ Escenario'!$C$11,0)))))</f>
        <v>0</v>
      </c>
      <c r="CI487" s="237" t="n">
        <f aca="false" t="array" ref="CI487:CI487">IF(CI486=0,0,IF(CI486/'🎚️ Escenario'!$C$11&gt;=36,$AL$23,INDEX($C$23:$AL$23,MAX(1,ROUNDUP(CI486/'🎚️ Escenario'!$C$11,0)))))</f>
        <v>0</v>
      </c>
      <c r="CJ487" s="237" t="n">
        <f aca="false" t="array" ref="CJ487:CJ487">IF(CJ486=0,0,IF(CJ486/'🎚️ Escenario'!$C$11&gt;=36,$AL$23,INDEX($C$23:$AL$23,MAX(1,ROUNDUP(CJ486/'🎚️ Escenario'!$C$11,0)))))</f>
        <v>0</v>
      </c>
      <c r="CK487" s="237" t="n">
        <f aca="false" t="array" ref="CK487:CK487">IF(CK486=0,0,IF(CK486/'🎚️ Escenario'!$C$11&gt;=36,$AL$23,INDEX($C$23:$AL$23,MAX(1,ROUNDUP(CK486/'🎚️ Escenario'!$C$11,0)))))</f>
        <v>0</v>
      </c>
      <c r="CL487" s="237" t="n">
        <f aca="false" t="array" ref="CL487:CL487">IF(CL486=0,0,IF(CL486/'🎚️ Escenario'!$C$11&gt;=36,$AL$23,INDEX($C$23:$AL$23,MAX(1,ROUNDUP(CL486/'🎚️ Escenario'!$C$11,0)))))</f>
        <v>0</v>
      </c>
      <c r="CM487" s="237" t="n">
        <f aca="false" t="array" ref="CM487:CM487">IF(CM486=0,0,IF(CM486/'🎚️ Escenario'!$C$11&gt;=36,$AL$23,INDEX($C$23:$AL$23,MAX(1,ROUNDUP(CM486/'🎚️ Escenario'!$C$11,0)))))</f>
        <v>0</v>
      </c>
      <c r="CN487" s="237" t="n">
        <f aca="false" t="array" ref="CN487:CN487">IF(CN486=0,0,IF(CN486/'🎚️ Escenario'!$C$11&gt;=36,$AL$23,INDEX($C$23:$AL$23,MAX(1,ROUNDUP(CN486/'🎚️ Escenario'!$C$11,0)))))</f>
        <v>0</v>
      </c>
      <c r="CO487" s="237" t="n">
        <f aca="false" t="array" ref="CO487:CO487">IF(CO486=0,0,IF(CO486/'🎚️ Escenario'!$C$11&gt;=36,$AL$23,INDEX($C$23:$AL$23,MAX(1,ROUNDUP(CO486/'🎚️ Escenario'!$C$11,0)))))</f>
        <v>0</v>
      </c>
      <c r="CP487" s="237" t="n">
        <f aca="false" t="array" ref="CP487:CP487">IF(CP486=0,0,IF(CP486/'🎚️ Escenario'!$C$11&gt;=36,$AL$23,INDEX($C$23:$AL$23,MAX(1,ROUNDUP(CP486/'🎚️ Escenario'!$C$11,0)))))</f>
        <v>0</v>
      </c>
      <c r="CQ487" s="237" t="n">
        <f aca="false" t="array" ref="CQ487:CQ487">IF(CQ486=0,0,IF(CQ486/'🎚️ Escenario'!$C$11&gt;=36,$AL$23,INDEX($C$23:$AL$23,MAX(1,ROUNDUP(CQ486/'🎚️ Escenario'!$C$11,0)))))</f>
        <v>0</v>
      </c>
      <c r="CR487" s="237" t="n">
        <f aca="false" t="array" ref="CR487:CR487">IF(CR486=0,0,IF(CR486/'🎚️ Escenario'!$C$11&gt;=36,$AL$23,INDEX($C$23:$AL$23,MAX(1,ROUNDUP(CR486/'🎚️ Escenario'!$C$11,0)))))</f>
        <v>0</v>
      </c>
      <c r="CS487" s="237" t="n">
        <f aca="false" t="array" ref="CS487:CS487">IF(CS486=0,0,IF(CS486/'🎚️ Escenario'!$C$11&gt;=36,$AL$23,INDEX($C$23:$AL$23,MAX(1,ROUNDUP(CS486/'🎚️ Escenario'!$C$11,0)))))</f>
        <v>0</v>
      </c>
      <c r="CT487" s="237" t="n">
        <f aca="false" t="array" ref="CT487:CT487">IF(CT486=0,0,IF(CT486/'🎚️ Escenario'!$C$11&gt;=36,$AL$23,INDEX($C$23:$AL$23,MAX(1,ROUNDUP(CT486/'🎚️ Escenario'!$C$11,0)))))</f>
        <v>0</v>
      </c>
      <c r="CU487" s="237" t="n">
        <f aca="false" t="array" ref="CU487:CU487">IF(CU486=0,0,IF(CU486/'🎚️ Escenario'!$C$11&gt;=36,$AL$23,INDEX($C$23:$AL$23,MAX(1,ROUNDUP(CU486/'🎚️ Escenario'!$C$11,0)))))</f>
        <v>0</v>
      </c>
      <c r="CV487" s="237" t="n">
        <f aca="false" t="array" ref="CV487:CV487">IF(CV486=0,0,IF(CV486/'🎚️ Escenario'!$C$11&gt;=36,$AL$23,INDEX($C$23:$AL$23,MAX(1,ROUNDUP(CV486/'🎚️ Escenario'!$C$11,0)))))</f>
        <v>0</v>
      </c>
      <c r="CW487" s="237" t="n">
        <f aca="false" t="array" ref="CW487:CW487">IF(CW486=0,0,IF(CW486/'🎚️ Escenario'!$C$11&gt;=36,$AL$23,INDEX($C$23:$AL$23,MAX(1,ROUNDUP(CW486/'🎚️ Escenario'!$C$11,0)))))</f>
        <v>0</v>
      </c>
      <c r="CX487" s="237" t="n">
        <f aca="false" t="array" ref="CX487:CX487">IF(CX486=0,0,IF(CX486/'🎚️ Escenario'!$C$11&gt;=36,$AL$23,INDEX($C$23:$AL$23,MAX(1,ROUNDUP(CX486/'🎚️ Escenario'!$C$11,0)))))</f>
        <v>0</v>
      </c>
      <c r="CY487" s="237" t="n">
        <f aca="false" t="array" ref="CY487:CY487">IF(CY486=0,0,IF(CY486/'🎚️ Escenario'!$C$11&gt;=36,$AL$23,INDEX($C$23:$AL$23,MAX(1,ROUNDUP(CY486/'🎚️ Escenario'!$C$11,0)))))</f>
        <v>0</v>
      </c>
      <c r="CZ487" s="237" t="n">
        <f aca="false" t="array" ref="CZ487:CZ487">IF(CZ486=0,0,IF(CZ486/'🎚️ Escenario'!$C$11&gt;=36,$AL$23,INDEX($C$23:$AL$23,MAX(1,ROUNDUP(CZ486/'🎚️ Escenario'!$C$11,0)))))</f>
        <v>0</v>
      </c>
      <c r="DA487" s="237" t="n">
        <f aca="false" t="array" ref="DA487:DA487">IF(DA486=0,0,IF(DA486/'🎚️ Escenario'!$C$11&gt;=36,$AL$23,INDEX($C$23:$AL$23,MAX(1,ROUNDUP(DA486/'🎚️ Escenario'!$C$11,0)))))</f>
        <v>0</v>
      </c>
      <c r="DB487" s="237" t="n">
        <f aca="false" t="array" ref="DB487:DB487">IF(DB486=0,0,IF(DB486/'🎚️ Escenario'!$C$11&gt;=36,$AL$23,INDEX($C$23:$AL$23,MAX(1,ROUNDUP(DB486/'🎚️ Escenario'!$C$11,0)))))</f>
        <v>0</v>
      </c>
      <c r="DC487" s="237" t="n">
        <f aca="false" t="array" ref="DC487:DC487">IF(DC486=0,0,IF(DC486/'🎚️ Escenario'!$C$11&gt;=36,$AL$23,INDEX($C$23:$AL$23,MAX(1,ROUNDUP(DC486/'🎚️ Escenario'!$C$11,0)))))</f>
        <v>0</v>
      </c>
      <c r="DD487" s="237" t="n">
        <f aca="false" t="array" ref="DD487:DD487">IF(DD486=0,0,IF(DD486/'🎚️ Escenario'!$C$11&gt;=36,$AL$23,INDEX($C$23:$AL$23,MAX(1,ROUNDUP(DD486/'🎚️ Escenario'!$C$11,0)))))</f>
        <v>0</v>
      </c>
      <c r="DE487" s="237" t="n">
        <f aca="false" t="array" ref="DE487:DE487">IF(DE486=0,0,IF(DE486/'🎚️ Escenario'!$C$11&gt;=36,$AL$23,INDEX($C$23:$AL$23,MAX(1,ROUNDUP(DE486/'🎚️ Escenario'!$C$11,0)))))</f>
        <v>0</v>
      </c>
      <c r="DF487" s="237" t="n">
        <f aca="false" t="array" ref="DF487:DF487">IF(DF486=0,0,IF(DF486/'🎚️ Escenario'!$C$11&gt;=36,$AL$23,INDEX($C$23:$AL$23,MAX(1,ROUNDUP(DF486/'🎚️ Escenario'!$C$11,0)))))</f>
        <v>0</v>
      </c>
      <c r="DG487" s="237" t="n">
        <f aca="false" t="array" ref="DG487:DG487">IF(DG486=0,0,IF(DG486/'🎚️ Escenario'!$C$11&gt;=36,$AL$23,INDEX($C$23:$AL$23,MAX(1,ROUNDUP(DG486/'🎚️ Escenario'!$C$11,0)))))</f>
        <v>0</v>
      </c>
      <c r="DH487" s="237" t="n">
        <f aca="false" t="array" ref="DH487:DH487">IF(DH486=0,0,IF(DH486/'🎚️ Escenario'!$C$11&gt;=36,$AL$23,INDEX($C$23:$AL$23,MAX(1,ROUNDUP(DH486/'🎚️ Escenario'!$C$11,0)))))</f>
        <v>0</v>
      </c>
      <c r="DI487" s="237" t="n">
        <f aca="false" t="array" ref="DI487:DI487">IF(DI486=0,0,IF(DI486/'🎚️ Escenario'!$C$11&gt;=36,$AL$23,INDEX($C$23:$AL$23,MAX(1,ROUNDUP(DI486/'🎚️ Escenario'!$C$11,0)))))</f>
        <v>0</v>
      </c>
      <c r="DJ487" s="237" t="n">
        <f aca="false" t="array" ref="DJ487:DJ487">IF(DJ486=0,0,IF(DJ486/'🎚️ Escenario'!$C$11&gt;=36,$AL$23,INDEX($C$23:$AL$23,MAX(1,ROUNDUP(DJ486/'🎚️ Escenario'!$C$11,0)))))</f>
        <v>0</v>
      </c>
      <c r="DK487" s="237" t="n">
        <f aca="false" t="array" ref="DK487:DK487">IF(DK486=0,0,IF(DK486/'🎚️ Escenario'!$C$11&gt;=36,$AL$23,INDEX($C$23:$AL$23,MAX(1,ROUNDUP(DK486/'🎚️ Escenario'!$C$11,0)))))</f>
        <v>0</v>
      </c>
      <c r="DL487" s="237" t="n">
        <f aca="false" t="array" ref="DL487:DL487">IF(DL486=0,0,IF(DL486/'🎚️ Escenario'!$C$11&gt;=36,$AL$23,INDEX($C$23:$AL$23,MAX(1,ROUNDUP(DL486/'🎚️ Escenario'!$C$11,0)))))</f>
        <v>0</v>
      </c>
      <c r="DM487" s="237" t="n">
        <f aca="false" t="array" ref="DM487:DM487">IF(DM486=0,0,IF(DM486/'🎚️ Escenario'!$C$11&gt;=36,$AL$23,INDEX($C$23:$AL$23,MAX(1,ROUNDUP(DM486/'🎚️ Escenario'!$C$11,0)))))</f>
        <v>0</v>
      </c>
      <c r="DN487" s="237" t="n">
        <f aca="false" t="array" ref="DN487:DN487">IF(DN486=0,0,IF(DN486/'🎚️ Escenario'!$C$11&gt;=36,$AL$23,INDEX($C$23:$AL$23,MAX(1,ROUNDUP(DN486/'🎚️ Escenario'!$C$11,0)))))</f>
        <v>0</v>
      </c>
      <c r="DO487" s="237" t="n">
        <f aca="false" t="array" ref="DO487:DO487">IF(DO486=0,0,IF(DO486/'🎚️ Escenario'!$C$11&gt;=36,$AL$23,INDEX($C$23:$AL$23,MAX(1,ROUNDUP(DO486/'🎚️ Escenario'!$C$11,0)))))</f>
        <v>0</v>
      </c>
      <c r="DP487" s="237" t="n">
        <f aca="false" t="array" ref="DP487:DP487">IF(DP486=0,0,IF(DP486/'🎚️ Escenario'!$C$11&gt;=36,$AL$23,INDEX($C$23:$AL$23,MAX(1,ROUNDUP(DP486/'🎚️ Escenario'!$C$11,0)))))</f>
        <v>0</v>
      </c>
      <c r="DQ487" s="237" t="n">
        <f aca="false" t="array" ref="DQ487:DQ487">IF(DQ486=0,0,IF(DQ486/'🎚️ Escenario'!$C$11&gt;=36,$AL$23,INDEX($C$23:$AL$23,MAX(1,ROUNDUP(DQ486/'🎚️ Escenario'!$C$11,0)))))</f>
        <v>0</v>
      </c>
      <c r="DR487" s="237" t="n">
        <f aca="false" t="array" ref="DR487:DR487">IF(DR486=0,0,IF(DR486/'🎚️ Escenario'!$C$11&gt;=36,$AL$23,INDEX($C$23:$AL$23,MAX(1,ROUNDUP(DR486/'🎚️ Escenario'!$C$11,0)))))</f>
        <v>0</v>
      </c>
      <c r="DS487" s="237" t="n">
        <f aca="false" t="array" ref="DS487:DS487">IF(DS486=0,0,IF(DS486/'🎚️ Escenario'!$C$11&gt;=36,$AL$23,INDEX($C$23:$AL$23,MAX(1,ROUNDUP(DS486/'🎚️ Escenario'!$C$11,0)))))</f>
        <v>0</v>
      </c>
      <c r="DT487" s="237" t="n">
        <f aca="false" t="array" ref="DT487:DT487">IF(DT486=0,0,IF(DT486/'🎚️ Escenario'!$C$11&gt;=36,$AL$23,INDEX($C$23:$AL$23,MAX(1,ROUNDUP(DT486/'🎚️ Escenario'!$C$11,0)))))</f>
        <v>0</v>
      </c>
      <c r="DU487" s="237" t="n">
        <f aca="false" t="array" ref="DU487:DU487">IF(DU486=0,0,IF(DU486/'🎚️ Escenario'!$C$11&gt;=36,$AL$23,INDEX($C$23:$AL$23,MAX(1,ROUNDUP(DU486/'🎚️ Escenario'!$C$11,0)))))</f>
        <v>0</v>
      </c>
      <c r="DV487" s="237" t="n">
        <f aca="false" t="array" ref="DV487:DV487">IF(DV486=0,0,IF(DV486/'🎚️ Escenario'!$C$11&gt;=36,$AL$23,INDEX($C$23:$AL$23,MAX(1,ROUNDUP(DV486/'🎚️ Escenario'!$C$11,0)))))</f>
        <v>0</v>
      </c>
      <c r="DW487" s="237" t="n">
        <f aca="false" t="array" ref="DW487:DW487">IF(DW486=0,0,IF(DW486/'🎚️ Escenario'!$C$11&gt;=36,$AL$23,INDEX($C$23:$AL$23,MAX(1,ROUNDUP(DW486/'🎚️ Escenario'!$C$11,0)))))</f>
        <v>0</v>
      </c>
      <c r="DX487" s="237" t="n">
        <f aca="false" t="array" ref="DX487:DX487">IF(DX486=0,0,IF(DX486/'🎚️ Escenario'!$C$11&gt;=36,$AL$23,INDEX($C$23:$AL$23,MAX(1,ROUNDUP(DX486/'🎚️ Escenario'!$C$11,0)))))</f>
        <v>0</v>
      </c>
      <c r="DY487" s="237" t="n">
        <f aca="false" t="array" ref="DY487:DY487">IF(DY486=0,0,IF(DY486/'🎚️ Escenario'!$C$11&gt;=36,$AL$23,INDEX($C$23:$AL$23,MAX(1,ROUNDUP(DY486/'🎚️ Escenario'!$C$11,0)))))</f>
        <v>0</v>
      </c>
      <c r="DZ487" s="237" t="n">
        <f aca="false" t="array" ref="DZ487:DZ487">IF(DZ486=0,0,IF(DZ486/'🎚️ Escenario'!$C$11&gt;=36,$AL$23,INDEX($C$23:$AL$23,MAX(1,ROUNDUP(DZ486/'🎚️ Escenario'!$C$11,0)))))</f>
        <v>0</v>
      </c>
      <c r="EA487" s="237" t="n">
        <f aca="false" t="array" ref="EA487:EA487">IF(EA486=0,0,IF(EA486/'🎚️ Escenario'!$C$11&gt;=36,$AL$23,INDEX($C$23:$AL$23,MAX(1,ROUNDUP(EA486/'🎚️ Escenario'!$C$11,0)))))</f>
        <v>0</v>
      </c>
      <c r="EB487" s="237" t="n">
        <f aca="false" t="array" ref="EB487:EB487">IF(EB486=0,0,IF(EB486/'🎚️ Escenario'!$C$11&gt;=36,$AL$23,INDEX($C$23:$AL$23,MAX(1,ROUNDUP(EB486/'🎚️ Escenario'!$C$11,0)))))</f>
        <v>0</v>
      </c>
      <c r="EC487" s="237" t="n">
        <f aca="false" t="array" ref="EC487:EC487">IF(EC486=0,0,IF(EC486/'🎚️ Escenario'!$C$11&gt;=36,$AL$23,INDEX($C$23:$AL$23,MAX(1,ROUNDUP(EC486/'🎚️ Escenario'!$C$11,0)))))</f>
        <v>0</v>
      </c>
      <c r="ED487" s="237" t="n">
        <f aca="false" t="array" ref="ED487:ED487">IF(ED486=0,0,IF(ED486/'🎚️ Escenario'!$C$11&gt;=36,$AL$23,INDEX($C$23:$AL$23,MAX(1,ROUNDUP(ED486/'🎚️ Escenario'!$C$11,0)))))</f>
        <v>0</v>
      </c>
      <c r="EE487" s="237" t="n">
        <f aca="false" t="array" ref="EE487:EE487">IF(EE486=0,0,IF(EE486/'🎚️ Escenario'!$C$11&gt;=36,$AL$23,INDEX($C$23:$AL$23,MAX(1,ROUNDUP(EE486/'🎚️ Escenario'!$C$11,0)))))</f>
        <v>0</v>
      </c>
      <c r="EF487" s="237" t="n">
        <f aca="false" t="array" ref="EF487:EF487">IF(EF486=0,0,IF(EF486/'🎚️ Escenario'!$C$11&gt;=36,$AL$23,INDEX($C$23:$AL$23,MAX(1,ROUNDUP(EF486/'🎚️ Escenario'!$C$11,0)))))</f>
        <v>0</v>
      </c>
      <c r="EG487" s="237" t="n">
        <f aca="false" t="array" ref="EG487:EG487">IF(EG486=0,0,IF(EG486/'🎚️ Escenario'!$C$11&gt;=36,$AL$23,INDEX($C$23:$AL$23,MAX(1,ROUNDUP(EG486/'🎚️ Escenario'!$C$11,0)))))</f>
        <v>0.2</v>
      </c>
      <c r="EH487" s="237" t="n">
        <f aca="false" t="array" ref="EH487:EH487">IF(EH486=0,0,IF(EH486/'🎚️ Escenario'!$C$11&gt;=36,$AL$23,INDEX($C$23:$AL$23,MAX(1,ROUNDUP(EH486/'🎚️ Escenario'!$C$11,0)))))</f>
        <v>0.22</v>
      </c>
      <c r="EI487" s="237" t="n">
        <f aca="false" t="array" ref="EI487:EI487">IF(EI486=0,0,IF(EI486/'🎚️ Escenario'!$C$11&gt;=36,$AL$23,INDEX($C$23:$AL$23,MAX(1,ROUNDUP(EI486/'🎚️ Escenario'!$C$11,0)))))</f>
        <v>0.24</v>
      </c>
      <c r="EJ487" s="237" t="n">
        <f aca="false" t="array" ref="EJ487:EJ487">IF(EJ486=0,0,IF(EJ486/'🎚️ Escenario'!$C$11&gt;=36,$AL$23,INDEX($C$23:$AL$23,MAX(1,ROUNDUP(EJ486/'🎚️ Escenario'!$C$11,0)))))</f>
        <v>0.27</v>
      </c>
      <c r="EK487" s="237" t="n">
        <f aca="false" t="array" ref="EK487:EK487">IF(EK486=0,0,IF(EK486/'🎚️ Escenario'!$C$11&gt;=36,$AL$23,INDEX($C$23:$AL$23,MAX(1,ROUNDUP(EK486/'🎚️ Escenario'!$C$11,0)))))</f>
        <v>0.27</v>
      </c>
      <c r="EL487" s="237" t="n">
        <f aca="false" t="array" ref="EL487:EL487">IF(EL486=0,0,IF(EL486/'🎚️ Escenario'!$C$11&gt;=36,$AL$23,INDEX($C$23:$AL$23,MAX(1,ROUNDUP(EL486/'🎚️ Escenario'!$C$11,0)))))</f>
        <v>0.31</v>
      </c>
      <c r="EM487" s="237" t="n">
        <f aca="false" t="array" ref="EM487:EM487">IF(EM486=0,0,IF(EM486/'🎚️ Escenario'!$C$11&gt;=36,$AL$23,INDEX($C$23:$AL$23,MAX(1,ROUNDUP(EM486/'🎚️ Escenario'!$C$11,0)))))</f>
        <v>0.35</v>
      </c>
      <c r="EN487" s="237" t="n">
        <f aca="false" t="array" ref="EN487:EN487">IF(EN486=0,0,IF(EN486/'🎚️ Escenario'!$C$11&gt;=36,$AL$23,INDEX($C$23:$AL$23,MAX(1,ROUNDUP(EN486/'🎚️ Escenario'!$C$11,0)))))</f>
        <v>0.39</v>
      </c>
      <c r="EO487" s="237" t="n">
        <f aca="false" t="array" ref="EO487:EO487">IF(EO486=0,0,IF(EO486/'🎚️ Escenario'!$C$11&gt;=36,$AL$23,INDEX($C$23:$AL$23,MAX(1,ROUNDUP(EO486/'🎚️ Escenario'!$C$11,0)))))</f>
        <v>0.44</v>
      </c>
      <c r="EP487" s="237" t="n">
        <f aca="false" t="array" ref="EP487:EP487">IF(EP486=0,0,IF(EP486/'🎚️ Escenario'!$C$11&gt;=36,$AL$23,INDEX($C$23:$AL$23,MAX(1,ROUNDUP(EP486/'🎚️ Escenario'!$C$11,0)))))</f>
        <v>0.44</v>
      </c>
      <c r="EQ487" s="237" t="n">
        <f aca="false" t="array" ref="EQ487:EQ487">IF(EQ486=0,0,IF(EQ486/'🎚️ Escenario'!$C$11&gt;=36,$AL$23,INDEX($C$23:$AL$23,MAX(1,ROUNDUP(EQ486/'🎚️ Escenario'!$C$11,0)))))</f>
        <v>0.48</v>
      </c>
      <c r="ER487" s="237" t="n">
        <f aca="false" t="array" ref="ER487:ER487">IF(ER486=0,0,IF(ER486/'🎚️ Escenario'!$C$11&gt;=36,$AL$23,INDEX($C$23:$AL$23,MAX(1,ROUNDUP(ER486/'🎚️ Escenario'!$C$11,0)))))</f>
        <v>0.52</v>
      </c>
      <c r="ES487" s="9" t="n">
        <f aca="false" t="array" ref="ES487:ES487">IF(ES486=0,0,IF(ES486/'🎚️ Escenario'!$C$11&gt;=36,$AL$23,INDEX($C$23:$AL$23,MAX(1,ROUNDUP(ES486/'🎚️ Escenario'!$C$11,0)))))</f>
        <v>0.56</v>
      </c>
      <c r="ET487" s="9" t="n">
        <f aca="false" t="array" ref="ET487:ET487">IF(ET486=0,0,IF(ET486/'🎚️ Escenario'!$C$11&gt;=36,$AL$23,INDEX($C$23:$AL$23,MAX(1,ROUNDUP(ET486/'🎚️ Escenario'!$C$11,0)))))</f>
        <v>0.6</v>
      </c>
      <c r="EU487" s="9" t="n">
        <f aca="false" t="array" ref="EU487:EU487">IF(EU486=0,0,IF(EU486/'🎚️ Escenario'!$C$11&gt;=36,$AL$23,INDEX($C$23:$AL$23,MAX(1,ROUNDUP(EU486/'🎚️ Escenario'!$C$11,0)))))</f>
        <v>0.6</v>
      </c>
      <c r="EV487" s="9" t="n">
        <f aca="false" t="array" ref="EV487:EV487">IF(EV486=0,0,IF(EV486/'🎚️ Escenario'!$C$11&gt;=36,$AL$23,INDEX($C$23:$AL$23,MAX(1,ROUNDUP(EV486/'🎚️ Escenario'!$C$11,0)))))</f>
        <v>0.63</v>
      </c>
      <c r="EW487" s="9" t="n">
        <f aca="false" t="array" ref="EW487:EW487">IF(EW486=0,0,IF(EW486/'🎚️ Escenario'!$C$11&gt;=36,$AL$23,INDEX($C$23:$AL$23,MAX(1,ROUNDUP(EW486/'🎚️ Escenario'!$C$11,0)))))</f>
        <v>0.66</v>
      </c>
      <c r="EX487" s="9" t="n">
        <f aca="false" t="array" ref="EX487:EX487">IF(EX486=0,0,IF(EX486/'🎚️ Escenario'!$C$11&gt;=36,$AL$23,INDEX($C$23:$AL$23,MAX(1,ROUNDUP(EX486/'🎚️ Escenario'!$C$11,0)))))</f>
        <v>0.69</v>
      </c>
      <c r="EY487" s="9" t="n">
        <f aca="false" t="array" ref="EY487:EY487">IF(EY486=0,0,IF(EY486/'🎚️ Escenario'!$C$11&gt;=36,$AL$23,INDEX($C$23:$AL$23,MAX(1,ROUNDUP(EY486/'🎚️ Escenario'!$C$11,0)))))</f>
        <v>0.71</v>
      </c>
      <c r="EZ487" s="9" t="n">
        <f aca="false" t="array" ref="EZ487:EZ487">IF(EZ486=0,0,IF(EZ486/'🎚️ Escenario'!$C$11&gt;=36,$AL$23,INDEX($C$23:$AL$23,MAX(1,ROUNDUP(EZ486/'🎚️ Escenario'!$C$11,0)))))</f>
        <v>0.71</v>
      </c>
      <c r="FA487" s="9" t="n">
        <f aca="false" t="array" ref="FA487:FA487">IF(FA486=0,0,IF(FA486/'🎚️ Escenario'!$C$11&gt;=36,$AL$23,INDEX($C$23:$AL$23,MAX(1,ROUNDUP(FA486/'🎚️ Escenario'!$C$11,0)))))</f>
        <v>0.73</v>
      </c>
      <c r="FB487" s="9" t="n">
        <f aca="false" t="array" ref="FB487:FB487">IF(FB486=0,0,IF(FB486/'🎚️ Escenario'!$C$11&gt;=36,$AL$23,INDEX($C$23:$AL$23,MAX(1,ROUNDUP(FB486/'🎚️ Escenario'!$C$11,0)))))</f>
        <v>0.75</v>
      </c>
      <c r="FC487" s="9" t="n">
        <f aca="false" t="array" ref="FC487:FC487">IF(FC486=0,0,IF(FC486/'🎚️ Escenario'!$C$11&gt;=36,$AL$23,INDEX($C$23:$AL$23,MAX(1,ROUNDUP(FC486/'🎚️ Escenario'!$C$11,0)))))</f>
        <v>0.77</v>
      </c>
      <c r="FD487" s="9" t="n">
        <f aca="false" t="array" ref="FD487:FD487">IF(FD486=0,0,IF(FD486/'🎚️ Escenario'!$C$11&gt;=36,$AL$23,INDEX($C$23:$AL$23,MAX(1,ROUNDUP(FD486/'🎚️ Escenario'!$C$11,0)))))</f>
        <v>0.79</v>
      </c>
      <c r="FE487" s="9" t="n">
        <f aca="false" t="array" ref="FE487:FE487">IF(FE486=0,0,IF(FE486/'🎚️ Escenario'!$C$11&gt;=36,$AL$23,INDEX($C$23:$AL$23,MAX(1,ROUNDUP(FE486/'🎚️ Escenario'!$C$11,0)))))</f>
        <v>0.79</v>
      </c>
      <c r="FF487" s="9" t="n">
        <f aca="false" t="array" ref="FF487:FF487">IF(FF486=0,0,IF(FF486/'🎚️ Escenario'!$C$11&gt;=36,$AL$23,INDEX($C$23:$AL$23,MAX(1,ROUNDUP(FF486/'🎚️ Escenario'!$C$11,0)))))</f>
        <v>0.8</v>
      </c>
      <c r="FG487" s="9" t="n">
        <f aca="false" t="array" ref="FG487:FG487">IF(FG486=0,0,IF(FG486/'🎚️ Escenario'!$C$11&gt;=36,$AL$23,INDEX($C$23:$AL$23,MAX(1,ROUNDUP(FG486/'🎚️ Escenario'!$C$11,0)))))</f>
        <v>0.82</v>
      </c>
      <c r="FH487" s="9" t="n">
        <f aca="false" t="array" ref="FH487:FH487">IF(FH486=0,0,IF(FH486/'🎚️ Escenario'!$C$11&gt;=36,$AL$23,INDEX($C$23:$AL$23,MAX(1,ROUNDUP(FH486/'🎚️ Escenario'!$C$11,0)))))</f>
        <v>0.84</v>
      </c>
      <c r="FI487" s="9" t="n">
        <f aca="false" t="array" ref="FI487:FI487">IF(FI486=0,0,IF(FI486/'🎚️ Escenario'!$C$11&gt;=36,$AL$23,INDEX($C$23:$AL$23,MAX(1,ROUNDUP(FI486/'🎚️ Escenario'!$C$11,0)))))</f>
        <v>0.85</v>
      </c>
      <c r="FJ487" s="9" t="n">
        <f aca="false" t="array" ref="FJ487:FJ487">IF(FJ486=0,0,IF(FJ486/'🎚️ Escenario'!$C$11&gt;=36,$AL$23,INDEX($C$23:$AL$23,MAX(1,ROUNDUP(FJ486/'🎚️ Escenario'!$C$11,0)))))</f>
        <v>0.85</v>
      </c>
      <c r="FK487" s="9" t="n">
        <f aca="false" t="array" ref="FK487:FK487">IF(FK486=0,0,IF(FK486/'🎚️ Escenario'!$C$11&gt;=36,$AL$23,INDEX($C$23:$AL$23,MAX(1,ROUNDUP(FK486/'🎚️ Escenario'!$C$11,0)))))</f>
        <v>0.86</v>
      </c>
      <c r="FL487" s="9" t="n">
        <f aca="false" t="array" ref="FL487:FL487">IF(FL486=0,0,IF(FL486/'🎚️ Escenario'!$C$11&gt;=36,$AL$23,INDEX($C$23:$AL$23,MAX(1,ROUNDUP(FL486/'🎚️ Escenario'!$C$11,0)))))</f>
        <v>0.88</v>
      </c>
      <c r="FM487" s="9" t="n">
        <f aca="false" t="array" ref="FM487:FM487">IF(FM486=0,0,IF(FM486/'🎚️ Escenario'!$C$11&gt;=36,$AL$23,INDEX($C$23:$AL$23,MAX(1,ROUNDUP(FM486/'🎚️ Escenario'!$C$11,0)))))</f>
        <v>0.89</v>
      </c>
      <c r="FN487" s="9" t="n">
        <f aca="false" t="array" ref="FN487:FN487">IF(FN486=0,0,IF(FN486/'🎚️ Escenario'!$C$11&gt;=36,$AL$23,INDEX($C$23:$AL$23,MAX(1,ROUNDUP(FN486/'🎚️ Escenario'!$C$11,0)))))</f>
        <v>0.9</v>
      </c>
      <c r="FO487" s="9" t="n">
        <f aca="false" t="array" ref="FO487:FO487">IF(FO486=0,0,IF(FO486/'🎚️ Escenario'!$C$11&gt;=36,$AL$23,INDEX($C$23:$AL$23,MAX(1,ROUNDUP(FO486/'🎚️ Escenario'!$C$11,0)))))</f>
        <v>0.9</v>
      </c>
      <c r="FP487" s="9" t="n">
        <f aca="false" t="array" ref="FP487:FP487">IF(FP486=0,0,IF(FP486/'🎚️ Escenario'!$C$11&gt;=36,$AL$23,INDEX($C$23:$AL$23,MAX(1,ROUNDUP(FP486/'🎚️ Escenario'!$C$11,0)))))</f>
        <v>0.92</v>
      </c>
    </row>
    <row r="488" customFormat="false" ht="15" hidden="false" customHeight="false" outlineLevel="2" collapsed="false">
      <c r="B488" s="47" t="s">
        <v>875</v>
      </c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237" t="n">
        <f aca="false">IF(AC486=0,0,IF(AC486&lt;=12*'🎚️ Escenario'!$C$11,1,1+$C$6))</f>
        <v>0</v>
      </c>
      <c r="AD488" s="237" t="n">
        <f aca="false">IF(AD486=0,0,IF(AD486&lt;=12*'🎚️ Escenario'!$C$11,1,1+$C$6))</f>
        <v>0</v>
      </c>
      <c r="AE488" s="237" t="n">
        <f aca="false">IF(AE486=0,0,IF(AE486&lt;=12*'🎚️ Escenario'!$C$11,1,1+$C$6))</f>
        <v>0</v>
      </c>
      <c r="AF488" s="237" t="n">
        <f aca="false">IF(AF486=0,0,IF(AF486&lt;=12*'🎚️ Escenario'!$C$11,1,1+$C$6))</f>
        <v>0</v>
      </c>
      <c r="AG488" s="237" t="n">
        <f aca="false">IF(AG486=0,0,IF(AG486&lt;=12*'🎚️ Escenario'!$C$11,1,1+$C$6))</f>
        <v>0</v>
      </c>
      <c r="AH488" s="237" t="n">
        <f aca="false">IF(AH486=0,0,IF(AH486&lt;=12*'🎚️ Escenario'!$C$11,1,1+$C$6))</f>
        <v>0</v>
      </c>
      <c r="AI488" s="237" t="n">
        <f aca="false">IF(AI486=0,0,IF(AI486&lt;=12*'🎚️ Escenario'!$C$11,1,1+$C$6))</f>
        <v>0</v>
      </c>
      <c r="AJ488" s="237" t="n">
        <f aca="false">IF(AJ486=0,0,IF(AJ486&lt;=12*'🎚️ Escenario'!$C$11,1,1+$C$6))</f>
        <v>0</v>
      </c>
      <c r="AK488" s="237" t="n">
        <f aca="false">IF(AK486=0,0,IF(AK486&lt;=12*'🎚️ Escenario'!$C$11,1,1+$C$6))</f>
        <v>0</v>
      </c>
      <c r="AL488" s="237" t="n">
        <f aca="false">IF(AL486=0,0,IF(AL486&lt;=12*'🎚️ Escenario'!$C$11,1,1+$C$6))</f>
        <v>0</v>
      </c>
      <c r="AM488" s="237" t="n">
        <f aca="false">IF(AM486=0,0,IF(AM486&lt;=12*'🎚️ Escenario'!$C$11,1,1+$C$6))</f>
        <v>0</v>
      </c>
      <c r="AN488" s="237" t="n">
        <f aca="false">IF(AN486=0,0,IF(AN486&lt;=12*'🎚️ Escenario'!$C$11,1,1+$C$6))</f>
        <v>0</v>
      </c>
      <c r="AO488" s="237" t="n">
        <f aca="false">IF(AO486=0,0,IF(AO486&lt;=12*'🎚️ Escenario'!$C$11,1,1+$C$6))</f>
        <v>0</v>
      </c>
      <c r="AP488" s="237" t="n">
        <f aca="false">IF(AP486=0,0,IF(AP486&lt;=12*'🎚️ Escenario'!$C$11,1,1+$C$6))</f>
        <v>0</v>
      </c>
      <c r="AQ488" s="237" t="n">
        <f aca="false">IF(AQ486=0,0,IF(AQ486&lt;=12*'🎚️ Escenario'!$C$11,1,1+$C$6))</f>
        <v>0</v>
      </c>
      <c r="AR488" s="237" t="n">
        <f aca="false">IF(AR486=0,0,IF(AR486&lt;=12*'🎚️ Escenario'!$C$11,1,1+$C$6))</f>
        <v>0</v>
      </c>
      <c r="AS488" s="237" t="n">
        <f aca="false">IF(AS486=0,0,IF(AS486&lt;=12*'🎚️ Escenario'!$C$11,1,1+$C$6))</f>
        <v>0</v>
      </c>
      <c r="AT488" s="237" t="n">
        <f aca="false">IF(AT486=0,0,IF(AT486&lt;=12*'🎚️ Escenario'!$C$11,1,1+$C$6))</f>
        <v>0</v>
      </c>
      <c r="AU488" s="237" t="n">
        <f aca="false">IF(AU486=0,0,IF(AU486&lt;=12*'🎚️ Escenario'!$C$11,1,1+$C$6))</f>
        <v>0</v>
      </c>
      <c r="AV488" s="237" t="n">
        <f aca="false">IF(AV486=0,0,IF(AV486&lt;=12*'🎚️ Escenario'!$C$11,1,1+$C$6))</f>
        <v>0</v>
      </c>
      <c r="AW488" s="237" t="n">
        <f aca="false">IF(AW486=0,0,IF(AW486&lt;=12*'🎚️ Escenario'!$C$11,1,1+$C$6))</f>
        <v>0</v>
      </c>
      <c r="AX488" s="237" t="n">
        <f aca="false">IF(AX486=0,0,IF(AX486&lt;=12*'🎚️ Escenario'!$C$11,1,1+$C$6))</f>
        <v>0</v>
      </c>
      <c r="AY488" s="237" t="n">
        <f aca="false">IF(AY486=0,0,IF(AY486&lt;=12*'🎚️ Escenario'!$C$11,1,1+$C$6))</f>
        <v>0</v>
      </c>
      <c r="AZ488" s="237" t="n">
        <f aca="false">IF(AZ486=0,0,IF(AZ486&lt;=12*'🎚️ Escenario'!$C$11,1,1+$C$6))</f>
        <v>0</v>
      </c>
      <c r="BA488" s="237" t="n">
        <f aca="false">IF(BA486=0,0,IF(BA486&lt;=12*'🎚️ Escenario'!$C$11,1,1+$C$6))</f>
        <v>0</v>
      </c>
      <c r="BB488" s="237" t="n">
        <f aca="false">IF(BB486=0,0,IF(BB486&lt;=12*'🎚️ Escenario'!$C$11,1,1+$C$6))</f>
        <v>0</v>
      </c>
      <c r="BC488" s="237" t="n">
        <f aca="false">IF(BC486=0,0,IF(BC486&lt;=12*'🎚️ Escenario'!$C$11,1,1+$C$6))</f>
        <v>0</v>
      </c>
      <c r="BD488" s="237" t="n">
        <f aca="false">IF(BD486=0,0,IF(BD486&lt;=12*'🎚️ Escenario'!$C$11,1,1+$C$6))</f>
        <v>0</v>
      </c>
      <c r="BE488" s="237" t="n">
        <f aca="false">IF(BE486=0,0,IF(BE486&lt;=12*'🎚️ Escenario'!$C$11,1,1+$C$6))</f>
        <v>0</v>
      </c>
      <c r="BF488" s="237" t="n">
        <f aca="false">IF(BF486=0,0,IF(BF486&lt;=12*'🎚️ Escenario'!$C$11,1,1+$C$6))</f>
        <v>0</v>
      </c>
      <c r="BG488" s="237" t="n">
        <f aca="false">IF(BG486=0,0,IF(BG486&lt;=12*'🎚️ Escenario'!$C$11,1,1+$C$6))</f>
        <v>0</v>
      </c>
      <c r="BH488" s="237" t="n">
        <f aca="false">IF(BH486=0,0,IF(BH486&lt;=12*'🎚️ Escenario'!$C$11,1,1+$C$6))</f>
        <v>0</v>
      </c>
      <c r="BI488" s="237" t="n">
        <f aca="false">IF(BI486=0,0,IF(BI486&lt;=12*'🎚️ Escenario'!$C$11,1,1+$C$6))</f>
        <v>0</v>
      </c>
      <c r="BJ488" s="237" t="n">
        <f aca="false">IF(BJ486=0,0,IF(BJ486&lt;=12*'🎚️ Escenario'!$C$11,1,1+$C$6))</f>
        <v>0</v>
      </c>
      <c r="BK488" s="237" t="n">
        <f aca="false">IF(BK486=0,0,IF(BK486&lt;=12*'🎚️ Escenario'!$C$11,1,1+$C$6))</f>
        <v>0</v>
      </c>
      <c r="BL488" s="237" t="n">
        <f aca="false">IF(BL486=0,0,IF(BL486&lt;=12*'🎚️ Escenario'!$C$11,1,1+$C$6))</f>
        <v>0</v>
      </c>
      <c r="BM488" s="237" t="n">
        <f aca="false">IF(BM486=0,0,IF(BM486&lt;=12*'🎚️ Escenario'!$C$11,1,1+$C$6))</f>
        <v>0</v>
      </c>
      <c r="BN488" s="237" t="n">
        <f aca="false">IF(BN486=0,0,IF(BN486&lt;=12*'🎚️ Escenario'!$C$11,1,1+$C$6))</f>
        <v>0</v>
      </c>
      <c r="BO488" s="237" t="n">
        <f aca="false">IF(BO486=0,0,IF(BO486&lt;=12*'🎚️ Escenario'!$C$11,1,1+$C$6))</f>
        <v>0</v>
      </c>
      <c r="BP488" s="237" t="n">
        <f aca="false">IF(BP486=0,0,IF(BP486&lt;=12*'🎚️ Escenario'!$C$11,1,1+$C$6))</f>
        <v>0</v>
      </c>
      <c r="BQ488" s="237" t="n">
        <f aca="false">IF(BQ486=0,0,IF(BQ486&lt;=12*'🎚️ Escenario'!$C$11,1,1+$C$6))</f>
        <v>0</v>
      </c>
      <c r="BR488" s="237" t="n">
        <f aca="false">IF(BR486=0,0,IF(BR486&lt;=12*'🎚️ Escenario'!$C$11,1,1+$C$6))</f>
        <v>0</v>
      </c>
      <c r="BS488" s="237" t="n">
        <f aca="false">IF(BS486=0,0,IF(BS486&lt;=12*'🎚️ Escenario'!$C$11,1,1+$C$6))</f>
        <v>0</v>
      </c>
      <c r="BT488" s="237" t="n">
        <f aca="false">IF(BT486=0,0,IF(BT486&lt;=12*'🎚️ Escenario'!$C$11,1,1+$C$6))</f>
        <v>0</v>
      </c>
      <c r="BU488" s="237" t="n">
        <f aca="false">IF(BU486=0,0,IF(BU486&lt;=12*'🎚️ Escenario'!$C$11,1,1+$C$6))</f>
        <v>0</v>
      </c>
      <c r="BV488" s="237" t="n">
        <f aca="false">IF(BV486=0,0,IF(BV486&lt;=12*'🎚️ Escenario'!$C$11,1,1+$C$6))</f>
        <v>0</v>
      </c>
      <c r="BW488" s="237" t="n">
        <f aca="false">IF(BW486=0,0,IF(BW486&lt;=12*'🎚️ Escenario'!$C$11,1,1+$C$6))</f>
        <v>0</v>
      </c>
      <c r="BX488" s="237" t="n">
        <f aca="false">IF(BX486=0,0,IF(BX486&lt;=12*'🎚️ Escenario'!$C$11,1,1+$C$6))</f>
        <v>0</v>
      </c>
      <c r="BY488" s="237" t="n">
        <f aca="false">IF(BY486=0,0,IF(BY486&lt;=12*'🎚️ Escenario'!$C$11,1,1+$C$6))</f>
        <v>0</v>
      </c>
      <c r="BZ488" s="237" t="n">
        <f aca="false">IF(BZ486=0,0,IF(BZ486&lt;=12*'🎚️ Escenario'!$C$11,1,1+$C$6))</f>
        <v>0</v>
      </c>
      <c r="CA488" s="237" t="n">
        <f aca="false">IF(CA486=0,0,IF(CA486&lt;=12*'🎚️ Escenario'!$C$11,1,1+$C$6))</f>
        <v>0</v>
      </c>
      <c r="CB488" s="237" t="n">
        <f aca="false">IF(CB486=0,0,IF(CB486&lt;=12*'🎚️ Escenario'!$C$11,1,1+$C$6))</f>
        <v>0</v>
      </c>
      <c r="CC488" s="237" t="n">
        <f aca="false">IF(CC486=0,0,IF(CC486&lt;=12*'🎚️ Escenario'!$C$11,1,1+$C$6))</f>
        <v>0</v>
      </c>
      <c r="CD488" s="237" t="n">
        <f aca="false">IF(CD486=0,0,IF(CD486&lt;=12*'🎚️ Escenario'!$C$11,1,1+$C$6))</f>
        <v>0</v>
      </c>
      <c r="CE488" s="237" t="n">
        <f aca="false">IF(CE486=0,0,IF(CE486&lt;=12*'🎚️ Escenario'!$C$11,1,1+$C$6))</f>
        <v>0</v>
      </c>
      <c r="CF488" s="237" t="n">
        <f aca="false">IF(CF486=0,0,IF(CF486&lt;=12*'🎚️ Escenario'!$C$11,1,1+$C$6))</f>
        <v>0</v>
      </c>
      <c r="CG488" s="237" t="n">
        <f aca="false">IF(CG486=0,0,IF(CG486&lt;=12*'🎚️ Escenario'!$C$11,1,1+$C$6))</f>
        <v>0</v>
      </c>
      <c r="CH488" s="237" t="n">
        <f aca="false">IF(CH486=0,0,IF(CH486&lt;=12*'🎚️ Escenario'!$C$11,1,1+$C$6))</f>
        <v>0</v>
      </c>
      <c r="CI488" s="237" t="n">
        <f aca="false">IF(CI486=0,0,IF(CI486&lt;=12*'🎚️ Escenario'!$C$11,1,1+$C$6))</f>
        <v>0</v>
      </c>
      <c r="CJ488" s="237" t="n">
        <f aca="false">IF(CJ486=0,0,IF(CJ486&lt;=12*'🎚️ Escenario'!$C$11,1,1+$C$6))</f>
        <v>0</v>
      </c>
      <c r="CK488" s="237" t="n">
        <f aca="false">IF(CK486=0,0,IF(CK486&lt;=12*'🎚️ Escenario'!$C$11,1,1+$C$6))</f>
        <v>0</v>
      </c>
      <c r="CL488" s="237" t="n">
        <f aca="false">IF(CL486=0,0,IF(CL486&lt;=12*'🎚️ Escenario'!$C$11,1,1+$C$6))</f>
        <v>0</v>
      </c>
      <c r="CM488" s="237" t="n">
        <f aca="false">IF(CM486=0,0,IF(CM486&lt;=12*'🎚️ Escenario'!$C$11,1,1+$C$6))</f>
        <v>0</v>
      </c>
      <c r="CN488" s="237" t="n">
        <f aca="false">IF(CN486=0,0,IF(CN486&lt;=12*'🎚️ Escenario'!$C$11,1,1+$C$6))</f>
        <v>0</v>
      </c>
      <c r="CO488" s="237" t="n">
        <f aca="false">IF(CO486=0,0,IF(CO486&lt;=12*'🎚️ Escenario'!$C$11,1,1+$C$6))</f>
        <v>0</v>
      </c>
      <c r="CP488" s="237" t="n">
        <f aca="false">IF(CP486=0,0,IF(CP486&lt;=12*'🎚️ Escenario'!$C$11,1,1+$C$6))</f>
        <v>0</v>
      </c>
      <c r="CQ488" s="237" t="n">
        <f aca="false">IF(CQ486=0,0,IF(CQ486&lt;=12*'🎚️ Escenario'!$C$11,1,1+$C$6))</f>
        <v>0</v>
      </c>
      <c r="CR488" s="237" t="n">
        <f aca="false">IF(CR486=0,0,IF(CR486&lt;=12*'🎚️ Escenario'!$C$11,1,1+$C$6))</f>
        <v>0</v>
      </c>
      <c r="CS488" s="237" t="n">
        <f aca="false">IF(CS486=0,0,IF(CS486&lt;=12*'🎚️ Escenario'!$C$11,1,1+$C$6))</f>
        <v>0</v>
      </c>
      <c r="CT488" s="237" t="n">
        <f aca="false">IF(CT486=0,0,IF(CT486&lt;=12*'🎚️ Escenario'!$C$11,1,1+$C$6))</f>
        <v>0</v>
      </c>
      <c r="CU488" s="237" t="n">
        <f aca="false">IF(CU486=0,0,IF(CU486&lt;=12*'🎚️ Escenario'!$C$11,1,1+$C$6))</f>
        <v>0</v>
      </c>
      <c r="CV488" s="237" t="n">
        <f aca="false">IF(CV486=0,0,IF(CV486&lt;=12*'🎚️ Escenario'!$C$11,1,1+$C$6))</f>
        <v>0</v>
      </c>
      <c r="CW488" s="237" t="n">
        <f aca="false">IF(CW486=0,0,IF(CW486&lt;=12*'🎚️ Escenario'!$C$11,1,1+$C$6))</f>
        <v>0</v>
      </c>
      <c r="CX488" s="237" t="n">
        <f aca="false">IF(CX486=0,0,IF(CX486&lt;=12*'🎚️ Escenario'!$C$11,1,1+$C$6))</f>
        <v>0</v>
      </c>
      <c r="CY488" s="237" t="n">
        <f aca="false">IF(CY486=0,0,IF(CY486&lt;=12*'🎚️ Escenario'!$C$11,1,1+$C$6))</f>
        <v>0</v>
      </c>
      <c r="CZ488" s="237" t="n">
        <f aca="false">IF(CZ486=0,0,IF(CZ486&lt;=12*'🎚️ Escenario'!$C$11,1,1+$C$6))</f>
        <v>0</v>
      </c>
      <c r="DA488" s="237" t="n">
        <f aca="false">IF(DA486=0,0,IF(DA486&lt;=12*'🎚️ Escenario'!$C$11,1,1+$C$6))</f>
        <v>0</v>
      </c>
      <c r="DB488" s="237" t="n">
        <f aca="false">IF(DB486=0,0,IF(DB486&lt;=12*'🎚️ Escenario'!$C$11,1,1+$C$6))</f>
        <v>0</v>
      </c>
      <c r="DC488" s="237" t="n">
        <f aca="false">IF(DC486=0,0,IF(DC486&lt;=12*'🎚️ Escenario'!$C$11,1,1+$C$6))</f>
        <v>0</v>
      </c>
      <c r="DD488" s="237" t="n">
        <f aca="false">IF(DD486=0,0,IF(DD486&lt;=12*'🎚️ Escenario'!$C$11,1,1+$C$6))</f>
        <v>0</v>
      </c>
      <c r="DE488" s="237" t="n">
        <f aca="false">IF(DE486=0,0,IF(DE486&lt;=12*'🎚️ Escenario'!$C$11,1,1+$C$6))</f>
        <v>0</v>
      </c>
      <c r="DF488" s="237" t="n">
        <f aca="false">IF(DF486=0,0,IF(DF486&lt;=12*'🎚️ Escenario'!$C$11,1,1+$C$6))</f>
        <v>0</v>
      </c>
      <c r="DG488" s="237" t="n">
        <f aca="false">IF(DG486=0,0,IF(DG486&lt;=12*'🎚️ Escenario'!$C$11,1,1+$C$6))</f>
        <v>0</v>
      </c>
      <c r="DH488" s="237" t="n">
        <f aca="false">IF(DH486=0,0,IF(DH486&lt;=12*'🎚️ Escenario'!$C$11,1,1+$C$6))</f>
        <v>0</v>
      </c>
      <c r="DI488" s="237" t="n">
        <f aca="false">IF(DI486=0,0,IF(DI486&lt;=12*'🎚️ Escenario'!$C$11,1,1+$C$6))</f>
        <v>0</v>
      </c>
      <c r="DJ488" s="237" t="n">
        <f aca="false">IF(DJ486=0,0,IF(DJ486&lt;=12*'🎚️ Escenario'!$C$11,1,1+$C$6))</f>
        <v>0</v>
      </c>
      <c r="DK488" s="237" t="n">
        <f aca="false">IF(DK486=0,0,IF(DK486&lt;=12*'🎚️ Escenario'!$C$11,1,1+$C$6))</f>
        <v>0</v>
      </c>
      <c r="DL488" s="237" t="n">
        <f aca="false">IF(DL486=0,0,IF(DL486&lt;=12*'🎚️ Escenario'!$C$11,1,1+$C$6))</f>
        <v>0</v>
      </c>
      <c r="DM488" s="237" t="n">
        <f aca="false">IF(DM486=0,0,IF(DM486&lt;=12*'🎚️ Escenario'!$C$11,1,1+$C$6))</f>
        <v>0</v>
      </c>
      <c r="DN488" s="237" t="n">
        <f aca="false">IF(DN486=0,0,IF(DN486&lt;=12*'🎚️ Escenario'!$C$11,1,1+$C$6))</f>
        <v>0</v>
      </c>
      <c r="DO488" s="237" t="n">
        <f aca="false">IF(DO486=0,0,IF(DO486&lt;=12*'🎚️ Escenario'!$C$11,1,1+$C$6))</f>
        <v>0</v>
      </c>
      <c r="DP488" s="237" t="n">
        <f aca="false">IF(DP486=0,0,IF(DP486&lt;=12*'🎚️ Escenario'!$C$11,1,1+$C$6))</f>
        <v>0</v>
      </c>
      <c r="DQ488" s="237" t="n">
        <f aca="false">IF(DQ486=0,0,IF(DQ486&lt;=12*'🎚️ Escenario'!$C$11,1,1+$C$6))</f>
        <v>0</v>
      </c>
      <c r="DR488" s="237" t="n">
        <f aca="false">IF(DR486=0,0,IF(DR486&lt;=12*'🎚️ Escenario'!$C$11,1,1+$C$6))</f>
        <v>0</v>
      </c>
      <c r="DS488" s="237" t="n">
        <f aca="false">IF(DS486=0,0,IF(DS486&lt;=12*'🎚️ Escenario'!$C$11,1,1+$C$6))</f>
        <v>0</v>
      </c>
      <c r="DT488" s="237" t="n">
        <f aca="false">IF(DT486=0,0,IF(DT486&lt;=12*'🎚️ Escenario'!$C$11,1,1+$C$6))</f>
        <v>0</v>
      </c>
      <c r="DU488" s="237" t="n">
        <f aca="false">IF(DU486=0,0,IF(DU486&lt;=12*'🎚️ Escenario'!$C$11,1,1+$C$6))</f>
        <v>0</v>
      </c>
      <c r="DV488" s="237" t="n">
        <f aca="false">IF(DV486=0,0,IF(DV486&lt;=12*'🎚️ Escenario'!$C$11,1,1+$C$6))</f>
        <v>0</v>
      </c>
      <c r="DW488" s="237" t="n">
        <f aca="false">IF(DW486=0,0,IF(DW486&lt;=12*'🎚️ Escenario'!$C$11,1,1+$C$6))</f>
        <v>0</v>
      </c>
      <c r="DX488" s="237" t="n">
        <f aca="false">IF(DX486=0,0,IF(DX486&lt;=12*'🎚️ Escenario'!$C$11,1,1+$C$6))</f>
        <v>0</v>
      </c>
      <c r="DY488" s="237" t="n">
        <f aca="false">IF(DY486=0,0,IF(DY486&lt;=12*'🎚️ Escenario'!$C$11,1,1+$C$6))</f>
        <v>0</v>
      </c>
      <c r="DZ488" s="237" t="n">
        <f aca="false">IF(DZ486=0,0,IF(DZ486&lt;=12*'🎚️ Escenario'!$C$11,1,1+$C$6))</f>
        <v>0</v>
      </c>
      <c r="EA488" s="237" t="n">
        <f aca="false">IF(EA486=0,0,IF(EA486&lt;=12*'🎚️ Escenario'!$C$11,1,1+$C$6))</f>
        <v>0</v>
      </c>
      <c r="EB488" s="237" t="n">
        <f aca="false">IF(EB486=0,0,IF(EB486&lt;=12*'🎚️ Escenario'!$C$11,1,1+$C$6))</f>
        <v>0</v>
      </c>
      <c r="EC488" s="237" t="n">
        <f aca="false">IF(EC486=0,0,IF(EC486&lt;=12*'🎚️ Escenario'!$C$11,1,1+$C$6))</f>
        <v>0</v>
      </c>
      <c r="ED488" s="237" t="n">
        <f aca="false">IF(ED486=0,0,IF(ED486&lt;=12*'🎚️ Escenario'!$C$11,1,1+$C$6))</f>
        <v>0</v>
      </c>
      <c r="EE488" s="237" t="n">
        <f aca="false">IF(EE486=0,0,IF(EE486&lt;=12*'🎚️ Escenario'!$C$11,1,1+$C$6))</f>
        <v>0</v>
      </c>
      <c r="EF488" s="237" t="n">
        <f aca="false">IF(EF486=0,0,IF(EF486&lt;=12*'🎚️ Escenario'!$C$11,1,1+$C$6))</f>
        <v>0</v>
      </c>
      <c r="EG488" s="237" t="n">
        <f aca="false">IF(EG486=0,0,IF(EG486&lt;=12*'🎚️ Escenario'!$C$11,1,1+$C$6))</f>
        <v>1</v>
      </c>
      <c r="EH488" s="237" t="n">
        <f aca="false">IF(EH486=0,0,IF(EH486&lt;=12*'🎚️ Escenario'!$C$11,1,1+$C$6))</f>
        <v>1</v>
      </c>
      <c r="EI488" s="237" t="n">
        <f aca="false">IF(EI486=0,0,IF(EI486&lt;=12*'🎚️ Escenario'!$C$11,1,1+$C$6))</f>
        <v>1</v>
      </c>
      <c r="EJ488" s="237" t="n">
        <f aca="false">IF(EJ486=0,0,IF(EJ486&lt;=12*'🎚️ Escenario'!$C$11,1,1+$C$6))</f>
        <v>1</v>
      </c>
      <c r="EK488" s="237" t="n">
        <f aca="false">IF(EK486=0,0,IF(EK486&lt;=12*'🎚️ Escenario'!$C$11,1,1+$C$6))</f>
        <v>1</v>
      </c>
      <c r="EL488" s="237" t="n">
        <f aca="false">IF(EL486=0,0,IF(EL486&lt;=12*'🎚️ Escenario'!$C$11,1,1+$C$6))</f>
        <v>1</v>
      </c>
      <c r="EM488" s="237" t="n">
        <f aca="false">IF(EM486=0,0,IF(EM486&lt;=12*'🎚️ Escenario'!$C$11,1,1+$C$6))</f>
        <v>1</v>
      </c>
      <c r="EN488" s="237" t="n">
        <f aca="false">IF(EN486=0,0,IF(EN486&lt;=12*'🎚️ Escenario'!$C$11,1,1+$C$6))</f>
        <v>1</v>
      </c>
      <c r="EO488" s="237" t="n">
        <f aca="false">IF(EO486=0,0,IF(EO486&lt;=12*'🎚️ Escenario'!$C$11,1,1+$C$6))</f>
        <v>1</v>
      </c>
      <c r="EP488" s="237" t="n">
        <f aca="false">IF(EP486=0,0,IF(EP486&lt;=12*'🎚️ Escenario'!$C$11,1,1+$C$6))</f>
        <v>1</v>
      </c>
      <c r="EQ488" s="237" t="n">
        <f aca="false">IF(EQ486=0,0,IF(EQ486&lt;=12*'🎚️ Escenario'!$C$11,1,1+$C$6))</f>
        <v>1</v>
      </c>
      <c r="ER488" s="237" t="n">
        <f aca="false">IF(ER486=0,0,IF(ER486&lt;=12*'🎚️ Escenario'!$C$11,1,1+$C$6))</f>
        <v>1</v>
      </c>
      <c r="ES488" s="9" t="n">
        <f aca="false">IF(ES486=0,0,IF(ES486&lt;=12*'🎚️ Escenario'!$C$11,1,1+$C$6))</f>
        <v>1</v>
      </c>
      <c r="ET488" s="9" t="n">
        <f aca="false">IF(ET486=0,0,IF(ET486&lt;=12*'🎚️ Escenario'!$C$11,1,1+$C$6))</f>
        <v>1</v>
      </c>
      <c r="EU488" s="9" t="n">
        <f aca="false">IF(EU486=0,0,IF(EU486&lt;=12*'🎚️ Escenario'!$C$11,1,1+$C$6))</f>
        <v>1</v>
      </c>
      <c r="EV488" s="238" t="n">
        <f aca="false">IF(EV486=0,0,IF(EV486&lt;=12*'🎚️ Escenario'!$C$11,1,1+$C$6))</f>
        <v>1.2</v>
      </c>
      <c r="EW488" s="238" t="n">
        <f aca="false">IF(EW486=0,0,IF(EW486&lt;=12*'🎚️ Escenario'!$C$11,1,1+$C$6))</f>
        <v>1.2</v>
      </c>
      <c r="EX488" s="238" t="n">
        <f aca="false">IF(EX486=0,0,IF(EX486&lt;=12*'🎚️ Escenario'!$C$11,1,1+$C$6))</f>
        <v>1.2</v>
      </c>
      <c r="EY488" s="238" t="n">
        <f aca="false">IF(EY486=0,0,IF(EY486&lt;=12*'🎚️ Escenario'!$C$11,1,1+$C$6))</f>
        <v>1.2</v>
      </c>
      <c r="EZ488" s="238" t="n">
        <f aca="false">IF(EZ486=0,0,IF(EZ486&lt;=12*'🎚️ Escenario'!$C$11,1,1+$C$6))</f>
        <v>1.2</v>
      </c>
      <c r="FA488" s="238" t="n">
        <f aca="false">IF(FA486=0,0,IF(FA486&lt;=12*'🎚️ Escenario'!$C$11,1,1+$C$6))</f>
        <v>1.2</v>
      </c>
      <c r="FB488" s="238" t="n">
        <f aca="false">IF(FB486=0,0,IF(FB486&lt;=12*'🎚️ Escenario'!$C$11,1,1+$C$6))</f>
        <v>1.2</v>
      </c>
      <c r="FC488" s="238" t="n">
        <f aca="false">IF(FC486=0,0,IF(FC486&lt;=12*'🎚️ Escenario'!$C$11,1,1+$C$6))</f>
        <v>1.2</v>
      </c>
      <c r="FD488" s="238" t="n">
        <f aca="false">IF(FD486=0,0,IF(FD486&lt;=12*'🎚️ Escenario'!$C$11,1,1+$C$6))</f>
        <v>1.2</v>
      </c>
      <c r="FE488" s="238" t="n">
        <f aca="false">IF(FE486=0,0,IF(FE486&lt;=12*'🎚️ Escenario'!$C$11,1,1+$C$6))</f>
        <v>1.2</v>
      </c>
      <c r="FF488" s="238" t="n">
        <f aca="false">IF(FF486=0,0,IF(FF486&lt;=12*'🎚️ Escenario'!$C$11,1,1+$C$6))</f>
        <v>1.2</v>
      </c>
      <c r="FG488" s="238" t="n">
        <f aca="false">IF(FG486=0,0,IF(FG486&lt;=12*'🎚️ Escenario'!$C$11,1,1+$C$6))</f>
        <v>1.2</v>
      </c>
      <c r="FH488" s="238" t="n">
        <f aca="false">IF(FH486=0,0,IF(FH486&lt;=12*'🎚️ Escenario'!$C$11,1,1+$C$6))</f>
        <v>1.2</v>
      </c>
      <c r="FI488" s="238" t="n">
        <f aca="false">IF(FI486=0,0,IF(FI486&lt;=12*'🎚️ Escenario'!$C$11,1,1+$C$6))</f>
        <v>1.2</v>
      </c>
      <c r="FJ488" s="238" t="n">
        <f aca="false">IF(FJ486=0,0,IF(FJ486&lt;=12*'🎚️ Escenario'!$C$11,1,1+$C$6))</f>
        <v>1.2</v>
      </c>
      <c r="FK488" s="238" t="n">
        <f aca="false">IF(FK486=0,0,IF(FK486&lt;=12*'🎚️ Escenario'!$C$11,1,1+$C$6))</f>
        <v>1.2</v>
      </c>
      <c r="FL488" s="238" t="n">
        <f aca="false">IF(FL486=0,0,IF(FL486&lt;=12*'🎚️ Escenario'!$C$11,1,1+$C$6))</f>
        <v>1.2</v>
      </c>
      <c r="FM488" s="238" t="n">
        <f aca="false">IF(FM486=0,0,IF(FM486&lt;=12*'🎚️ Escenario'!$C$11,1,1+$C$6))</f>
        <v>1.2</v>
      </c>
      <c r="FN488" s="238" t="n">
        <f aca="false">IF(FN486=0,0,IF(FN486&lt;=12*'🎚️ Escenario'!$C$11,1,1+$C$6))</f>
        <v>1.2</v>
      </c>
      <c r="FO488" s="238" t="n">
        <f aca="false">IF(FO486=0,0,IF(FO486&lt;=12*'🎚️ Escenario'!$C$11,1,1+$C$6))</f>
        <v>1.2</v>
      </c>
      <c r="FP488" s="238" t="n">
        <f aca="false">IF(FP486=0,0,IF(FP486&lt;=12*'🎚️ Escenario'!$C$11,1,1+$C$6))</f>
        <v>1.2</v>
      </c>
    </row>
    <row r="489" customFormat="false" ht="15" hidden="false" customHeight="false" outlineLevel="2" collapsed="false">
      <c r="B489" s="47" t="s">
        <v>876</v>
      </c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237" t="n">
        <f aca="false">AC487*$AC$485*AC488*AC$38*'⑫ Roll-out Plan'!$O$53</f>
        <v>0</v>
      </c>
      <c r="AD489" s="237" t="n">
        <f aca="false">AD487*$AC$485*AD488*AD$38*'⑫ Roll-out Plan'!$O$53</f>
        <v>0</v>
      </c>
      <c r="AE489" s="237" t="n">
        <f aca="false">AE487*$AC$485*AE488*AE$38*'⑫ Roll-out Plan'!$O$53</f>
        <v>0</v>
      </c>
      <c r="AF489" s="237" t="n">
        <f aca="false">AF487*$AC$485*AF488*AF$38*'⑫ Roll-out Plan'!$O$53</f>
        <v>0</v>
      </c>
      <c r="AG489" s="237" t="n">
        <f aca="false">AG487*$AC$485*AG488*AG$38*'⑫ Roll-out Plan'!$O$53</f>
        <v>0</v>
      </c>
      <c r="AH489" s="237" t="n">
        <f aca="false">AH487*$AC$485*AH488*AH$38*'⑫ Roll-out Plan'!$O$53</f>
        <v>0</v>
      </c>
      <c r="AI489" s="237" t="n">
        <f aca="false">AI487*$AC$485*AI488*AI$38*'⑫ Roll-out Plan'!$O$53</f>
        <v>0</v>
      </c>
      <c r="AJ489" s="237" t="n">
        <f aca="false">AJ487*$AC$485*AJ488*AJ$38*'⑫ Roll-out Plan'!$O$53</f>
        <v>0</v>
      </c>
      <c r="AK489" s="237" t="n">
        <f aca="false">AK487*$AC$485*AK488*AK$38*'⑫ Roll-out Plan'!$O$53</f>
        <v>0</v>
      </c>
      <c r="AL489" s="237" t="n">
        <f aca="false">AL487*$AC$485*AL488*AL$38*'⑫ Roll-out Plan'!$O$53</f>
        <v>0</v>
      </c>
      <c r="AM489" s="237" t="n">
        <f aca="false">AM487*$AC$485*AM488*AM$38*'⑫ Roll-out Plan'!$O$53</f>
        <v>0</v>
      </c>
      <c r="AN489" s="237" t="n">
        <f aca="false">AN487*$AC$485*AN488*AN$38*'⑫ Roll-out Plan'!$O$53</f>
        <v>0</v>
      </c>
      <c r="AO489" s="237" t="n">
        <f aca="false">AO487*$AC$485*AO488*AO$38*'⑫ Roll-out Plan'!$O$53</f>
        <v>0</v>
      </c>
      <c r="AP489" s="237" t="n">
        <f aca="false">AP487*$AC$485*AP488*AP$38*'⑫ Roll-out Plan'!$O$53</f>
        <v>0</v>
      </c>
      <c r="AQ489" s="237" t="n">
        <f aca="false">AQ487*$AC$485*AQ488*AQ$38*'⑫ Roll-out Plan'!$O$53</f>
        <v>0</v>
      </c>
      <c r="AR489" s="237" t="n">
        <f aca="false">AR487*$AC$485*AR488*AR$38*'⑫ Roll-out Plan'!$O$53</f>
        <v>0</v>
      </c>
      <c r="AS489" s="237" t="n">
        <f aca="false">AS487*$AC$485*AS488*AS$38*'⑫ Roll-out Plan'!$O$53</f>
        <v>0</v>
      </c>
      <c r="AT489" s="237" t="n">
        <f aca="false">AT487*$AC$485*AT488*AT$38*'⑫ Roll-out Plan'!$O$53</f>
        <v>0</v>
      </c>
      <c r="AU489" s="237" t="n">
        <f aca="false">AU487*$AC$485*AU488*AU$38*'⑫ Roll-out Plan'!$O$53</f>
        <v>0</v>
      </c>
      <c r="AV489" s="237" t="n">
        <f aca="false">AV487*$AC$485*AV488*AV$38*'⑫ Roll-out Plan'!$O$53</f>
        <v>0</v>
      </c>
      <c r="AW489" s="237" t="n">
        <f aca="false">AW487*$AC$485*AW488*AW$38*'⑫ Roll-out Plan'!$O$53</f>
        <v>0</v>
      </c>
      <c r="AX489" s="237" t="n">
        <f aca="false">AX487*$AC$485*AX488*AX$38*'⑫ Roll-out Plan'!$O$53</f>
        <v>0</v>
      </c>
      <c r="AY489" s="237" t="n">
        <f aca="false">AY487*$AC$485*AY488*AY$38*'⑫ Roll-out Plan'!$O$53</f>
        <v>0</v>
      </c>
      <c r="AZ489" s="237" t="n">
        <f aca="false">AZ487*$AC$485*AZ488*AZ$38*'⑫ Roll-out Plan'!$O$53</f>
        <v>0</v>
      </c>
      <c r="BA489" s="237" t="n">
        <f aca="false">BA487*$AC$485*BA488*BA$38*'⑫ Roll-out Plan'!$O$53</f>
        <v>0</v>
      </c>
      <c r="BB489" s="237" t="n">
        <f aca="false">BB487*$AC$485*BB488*BB$38*'⑫ Roll-out Plan'!$O$53</f>
        <v>0</v>
      </c>
      <c r="BC489" s="237" t="n">
        <f aca="false">BC487*$AC$485*BC488*BC$38*'⑫ Roll-out Plan'!$O$53</f>
        <v>0</v>
      </c>
      <c r="BD489" s="237" t="n">
        <f aca="false">BD487*$AC$485*BD488*BD$38*'⑫ Roll-out Plan'!$O$53</f>
        <v>0</v>
      </c>
      <c r="BE489" s="237" t="n">
        <f aca="false">BE487*$AC$485*BE488*BE$38*'⑫ Roll-out Plan'!$O$53</f>
        <v>0</v>
      </c>
      <c r="BF489" s="237" t="n">
        <f aca="false">BF487*$AC$485*BF488*BF$38*'⑫ Roll-out Plan'!$O$53</f>
        <v>0</v>
      </c>
      <c r="BG489" s="237" t="n">
        <f aca="false">BG487*$AC$485*BG488*BG$38*'⑫ Roll-out Plan'!$O$53</f>
        <v>0</v>
      </c>
      <c r="BH489" s="237" t="n">
        <f aca="false">BH487*$AC$485*BH488*BH$38*'⑫ Roll-out Plan'!$O$53</f>
        <v>0</v>
      </c>
      <c r="BI489" s="237" t="n">
        <f aca="false">BI487*$AC$485*BI488*BI$38*'⑫ Roll-out Plan'!$O$53</f>
        <v>0</v>
      </c>
      <c r="BJ489" s="237" t="n">
        <f aca="false">BJ487*$AC$485*BJ488*BJ$38*'⑫ Roll-out Plan'!$O$53</f>
        <v>0</v>
      </c>
      <c r="BK489" s="237" t="n">
        <f aca="false">BK487*$AC$485*BK488*BK$38*'⑫ Roll-out Plan'!$O$53</f>
        <v>0</v>
      </c>
      <c r="BL489" s="237" t="n">
        <f aca="false">BL487*$AC$485*BL488*BL$38*'⑫ Roll-out Plan'!$O$53</f>
        <v>0</v>
      </c>
      <c r="BM489" s="237" t="n">
        <f aca="false">BM487*$AC$485*BM488*BM$38*'⑫ Roll-out Plan'!$O$53</f>
        <v>0</v>
      </c>
      <c r="BN489" s="237" t="n">
        <f aca="false">BN487*$AC$485*BN488*BN$38*'⑫ Roll-out Plan'!$O$53</f>
        <v>0</v>
      </c>
      <c r="BO489" s="237" t="n">
        <f aca="false">BO487*$AC$485*BO488*BO$38*'⑫ Roll-out Plan'!$O$53</f>
        <v>0</v>
      </c>
      <c r="BP489" s="237" t="n">
        <f aca="false">BP487*$AC$485*BP488*BP$38*'⑫ Roll-out Plan'!$O$53</f>
        <v>0</v>
      </c>
      <c r="BQ489" s="237" t="n">
        <f aca="false">BQ487*$AC$485*BQ488*BQ$38*'⑫ Roll-out Plan'!$O$53</f>
        <v>0</v>
      </c>
      <c r="BR489" s="237" t="n">
        <f aca="false">BR487*$AC$485*BR488*BR$38*'⑫ Roll-out Plan'!$O$53</f>
        <v>0</v>
      </c>
      <c r="BS489" s="237" t="n">
        <f aca="false">BS487*$AC$485*BS488*BS$38*'⑫ Roll-out Plan'!$O$53</f>
        <v>0</v>
      </c>
      <c r="BT489" s="237" t="n">
        <f aca="false">BT487*$AC$485*BT488*BT$38*'⑫ Roll-out Plan'!$O$53</f>
        <v>0</v>
      </c>
      <c r="BU489" s="237" t="n">
        <f aca="false">BU487*$AC$485*BU488*BU$38*'⑫ Roll-out Plan'!$O$53</f>
        <v>0</v>
      </c>
      <c r="BV489" s="237" t="n">
        <f aca="false">BV487*$AC$485*BV488*BV$38*'⑫ Roll-out Plan'!$O$53</f>
        <v>0</v>
      </c>
      <c r="BW489" s="237" t="n">
        <f aca="false">BW487*$AC$485*BW488*BW$38*'⑫ Roll-out Plan'!$O$53</f>
        <v>0</v>
      </c>
      <c r="BX489" s="237" t="n">
        <f aca="false">BX487*$AC$485*BX488*BX$38*'⑫ Roll-out Plan'!$O$53</f>
        <v>0</v>
      </c>
      <c r="BY489" s="237" t="n">
        <f aca="false">BY487*$AC$485*BY488*BY$38*'⑫ Roll-out Plan'!$O$53</f>
        <v>0</v>
      </c>
      <c r="BZ489" s="237" t="n">
        <f aca="false">BZ487*$AC$485*BZ488*BZ$38*'⑫ Roll-out Plan'!$O$53</f>
        <v>0</v>
      </c>
      <c r="CA489" s="237" t="n">
        <f aca="false">CA487*$AC$485*CA488*CA$38*'⑫ Roll-out Plan'!$O$53</f>
        <v>0</v>
      </c>
      <c r="CB489" s="237" t="n">
        <f aca="false">CB487*$AC$485*CB488*CB$38*'⑫ Roll-out Plan'!$O$53</f>
        <v>0</v>
      </c>
      <c r="CC489" s="237" t="n">
        <f aca="false">CC487*$AC$485*CC488*CC$38*'⑫ Roll-out Plan'!$O$53</f>
        <v>0</v>
      </c>
      <c r="CD489" s="237" t="n">
        <f aca="false">CD487*$AC$485*CD488*CD$38*'⑫ Roll-out Plan'!$O$53</f>
        <v>0</v>
      </c>
      <c r="CE489" s="237" t="n">
        <f aca="false">CE487*$AC$485*CE488*CE$38*'⑫ Roll-out Plan'!$O$53</f>
        <v>0</v>
      </c>
      <c r="CF489" s="237" t="n">
        <f aca="false">CF487*$AC$485*CF488*CF$38*'⑫ Roll-out Plan'!$O$53</f>
        <v>0</v>
      </c>
      <c r="CG489" s="237" t="n">
        <f aca="false">CG487*$AC$485*CG488*CG$38*'⑫ Roll-out Plan'!$O$53</f>
        <v>0</v>
      </c>
      <c r="CH489" s="237" t="n">
        <f aca="false">CH487*$AC$485*CH488*CH$38*'⑫ Roll-out Plan'!$O$53</f>
        <v>0</v>
      </c>
      <c r="CI489" s="237" t="n">
        <f aca="false">CI487*$AC$485*CI488*CI$38*'⑫ Roll-out Plan'!$O$53</f>
        <v>0</v>
      </c>
      <c r="CJ489" s="237" t="n">
        <f aca="false">CJ487*$AC$485*CJ488*CJ$38*'⑫ Roll-out Plan'!$O$53</f>
        <v>0</v>
      </c>
      <c r="CK489" s="237" t="n">
        <f aca="false">CK487*$AC$485*CK488*CK$38*'⑫ Roll-out Plan'!$O$53</f>
        <v>0</v>
      </c>
      <c r="CL489" s="237" t="n">
        <f aca="false">CL487*$AC$485*CL488*CL$38*'⑫ Roll-out Plan'!$O$53</f>
        <v>0</v>
      </c>
      <c r="CM489" s="237" t="n">
        <f aca="false">CM487*$AC$485*CM488*CM$38*'⑫ Roll-out Plan'!$O$53</f>
        <v>0</v>
      </c>
      <c r="CN489" s="237" t="n">
        <f aca="false">CN487*$AC$485*CN488*CN$38*'⑫ Roll-out Plan'!$O$53</f>
        <v>0</v>
      </c>
      <c r="CO489" s="237" t="n">
        <f aca="false">CO487*$AC$485*CO488*CO$38*'⑫ Roll-out Plan'!$O$53</f>
        <v>0</v>
      </c>
      <c r="CP489" s="237" t="n">
        <f aca="false">CP487*$AC$485*CP488*CP$38*'⑫ Roll-out Plan'!$O$53</f>
        <v>0</v>
      </c>
      <c r="CQ489" s="237" t="n">
        <f aca="false">CQ487*$AC$485*CQ488*CQ$38*'⑫ Roll-out Plan'!$O$53</f>
        <v>0</v>
      </c>
      <c r="CR489" s="237" t="n">
        <f aca="false">CR487*$AC$485*CR488*CR$38*'⑫ Roll-out Plan'!$O$53</f>
        <v>0</v>
      </c>
      <c r="CS489" s="237" t="n">
        <f aca="false">CS487*$AC$485*CS488*CS$38*'⑫ Roll-out Plan'!$O$53</f>
        <v>0</v>
      </c>
      <c r="CT489" s="237" t="n">
        <f aca="false">CT487*$AC$485*CT488*CT$38*'⑫ Roll-out Plan'!$O$53</f>
        <v>0</v>
      </c>
      <c r="CU489" s="237" t="n">
        <f aca="false">CU487*$AC$485*CU488*CU$38*'⑫ Roll-out Plan'!$O$53</f>
        <v>0</v>
      </c>
      <c r="CV489" s="237" t="n">
        <f aca="false">CV487*$AC$485*CV488*CV$38*'⑫ Roll-out Plan'!$O$53</f>
        <v>0</v>
      </c>
      <c r="CW489" s="237" t="n">
        <f aca="false">CW487*$AC$485*CW488*CW$38*'⑫ Roll-out Plan'!$O$53</f>
        <v>0</v>
      </c>
      <c r="CX489" s="237" t="n">
        <f aca="false">CX487*$AC$485*CX488*CX$38*'⑫ Roll-out Plan'!$O$53</f>
        <v>0</v>
      </c>
      <c r="CY489" s="237" t="n">
        <f aca="false">CY487*$AC$485*CY488*CY$38*'⑫ Roll-out Plan'!$O$53</f>
        <v>0</v>
      </c>
      <c r="CZ489" s="237" t="n">
        <f aca="false">CZ487*$AC$485*CZ488*CZ$38*'⑫ Roll-out Plan'!$O$53</f>
        <v>0</v>
      </c>
      <c r="DA489" s="237" t="n">
        <f aca="false">DA487*$AC$485*DA488*DA$38*'⑫ Roll-out Plan'!$O$53</f>
        <v>0</v>
      </c>
      <c r="DB489" s="237" t="n">
        <f aca="false">DB487*$AC$485*DB488*DB$38*'⑫ Roll-out Plan'!$O$53</f>
        <v>0</v>
      </c>
      <c r="DC489" s="237" t="n">
        <f aca="false">DC487*$AC$485*DC488*DC$38*'⑫ Roll-out Plan'!$O$53</f>
        <v>0</v>
      </c>
      <c r="DD489" s="237" t="n">
        <f aca="false">DD487*$AC$485*DD488*DD$38*'⑫ Roll-out Plan'!$O$53</f>
        <v>0</v>
      </c>
      <c r="DE489" s="237" t="n">
        <f aca="false">DE487*$AC$485*DE488*DE$38*'⑫ Roll-out Plan'!$O$53</f>
        <v>0</v>
      </c>
      <c r="DF489" s="237" t="n">
        <f aca="false">DF487*$AC$485*DF488*DF$38*'⑫ Roll-out Plan'!$O$53</f>
        <v>0</v>
      </c>
      <c r="DG489" s="237" t="n">
        <f aca="false">DG487*$AC$485*DG488*DG$38*'⑫ Roll-out Plan'!$O$53</f>
        <v>0</v>
      </c>
      <c r="DH489" s="237" t="n">
        <f aca="false">DH487*$AC$485*DH488*DH$38*'⑫ Roll-out Plan'!$O$53</f>
        <v>0</v>
      </c>
      <c r="DI489" s="237" t="n">
        <f aca="false">DI487*$AC$485*DI488*DI$38*'⑫ Roll-out Plan'!$O$53</f>
        <v>0</v>
      </c>
      <c r="DJ489" s="237" t="n">
        <f aca="false">DJ487*$AC$485*DJ488*DJ$38*'⑫ Roll-out Plan'!$O$53</f>
        <v>0</v>
      </c>
      <c r="DK489" s="237" t="n">
        <f aca="false">DK487*$AC$485*DK488*DK$38*'⑫ Roll-out Plan'!$O$53</f>
        <v>0</v>
      </c>
      <c r="DL489" s="237" t="n">
        <f aca="false">DL487*$AC$485*DL488*DL$38*'⑫ Roll-out Plan'!$O$53</f>
        <v>0</v>
      </c>
      <c r="DM489" s="237" t="n">
        <f aca="false">DM487*$AC$485*DM488*DM$38*'⑫ Roll-out Plan'!$O$53</f>
        <v>0</v>
      </c>
      <c r="DN489" s="237" t="n">
        <f aca="false">DN487*$AC$485*DN488*DN$38*'⑫ Roll-out Plan'!$O$53</f>
        <v>0</v>
      </c>
      <c r="DO489" s="237" t="n">
        <f aca="false">DO487*$AC$485*DO488*DO$38*'⑫ Roll-out Plan'!$O$53</f>
        <v>0</v>
      </c>
      <c r="DP489" s="237" t="n">
        <f aca="false">DP487*$AC$485*DP488*DP$38*'⑫ Roll-out Plan'!$O$53</f>
        <v>0</v>
      </c>
      <c r="DQ489" s="237" t="n">
        <f aca="false">DQ487*$AC$485*DQ488*DQ$38*'⑫ Roll-out Plan'!$O$53</f>
        <v>0</v>
      </c>
      <c r="DR489" s="237" t="n">
        <f aca="false">DR487*$AC$485*DR488*DR$38*'⑫ Roll-out Plan'!$O$53</f>
        <v>0</v>
      </c>
      <c r="DS489" s="237" t="n">
        <f aca="false">DS487*$AC$485*DS488*DS$38*'⑫ Roll-out Plan'!$O$53</f>
        <v>0</v>
      </c>
      <c r="DT489" s="237" t="n">
        <f aca="false">DT487*$AC$485*DT488*DT$38*'⑫ Roll-out Plan'!$O$53</f>
        <v>0</v>
      </c>
      <c r="DU489" s="237" t="n">
        <f aca="false">DU487*$AC$485*DU488*DU$38*'⑫ Roll-out Plan'!$O$53</f>
        <v>0</v>
      </c>
      <c r="DV489" s="237" t="n">
        <f aca="false">DV487*$AC$485*DV488*DV$38*'⑫ Roll-out Plan'!$O$53</f>
        <v>0</v>
      </c>
      <c r="DW489" s="237" t="n">
        <f aca="false">DW487*$AC$485*DW488*DW$38*'⑫ Roll-out Plan'!$O$53</f>
        <v>0</v>
      </c>
      <c r="DX489" s="237" t="n">
        <f aca="false">DX487*$AC$485*DX488*DX$38*'⑫ Roll-out Plan'!$O$53</f>
        <v>0</v>
      </c>
      <c r="DY489" s="237" t="n">
        <f aca="false">DY487*$AC$485*DY488*DY$38*'⑫ Roll-out Plan'!$O$53</f>
        <v>0</v>
      </c>
      <c r="DZ489" s="237" t="n">
        <f aca="false">DZ487*$AC$485*DZ488*DZ$38*'⑫ Roll-out Plan'!$O$53</f>
        <v>0</v>
      </c>
      <c r="EA489" s="237" t="n">
        <f aca="false">EA487*$AC$485*EA488*EA$38*'⑫ Roll-out Plan'!$O$53</f>
        <v>0</v>
      </c>
      <c r="EB489" s="237" t="n">
        <f aca="false">EB487*$AC$485*EB488*EB$38*'⑫ Roll-out Plan'!$O$53</f>
        <v>0</v>
      </c>
      <c r="EC489" s="237" t="n">
        <f aca="false">EC487*$AC$485*EC488*EC$38*'⑫ Roll-out Plan'!$O$53</f>
        <v>0</v>
      </c>
      <c r="ED489" s="237" t="n">
        <f aca="false">ED487*$AC$485*ED488*ED$38*'⑫ Roll-out Plan'!$O$53</f>
        <v>0</v>
      </c>
      <c r="EE489" s="237" t="n">
        <f aca="false">EE487*$AC$485*EE488*EE$38*'⑫ Roll-out Plan'!$O$53</f>
        <v>0</v>
      </c>
      <c r="EF489" s="237" t="n">
        <f aca="false">EF487*$AC$485*EF488*EF$38*'⑫ Roll-out Plan'!$O$53</f>
        <v>0</v>
      </c>
      <c r="EG489" s="237" t="n">
        <f aca="false">EG487*$AC$485*EG488*EG$38*'⑫ Roll-out Plan'!$O$53</f>
        <v>39.96</v>
      </c>
      <c r="EH489" s="237" t="n">
        <f aca="false">EH487*$AC$485*EH488*EH$38*'⑫ Roll-out Plan'!$O$53</f>
        <v>33.374</v>
      </c>
      <c r="EI489" s="237" t="n">
        <f aca="false">EI487*$AC$485*EI488*EI$38*'⑫ Roll-out Plan'!$O$53</f>
        <v>51.504</v>
      </c>
      <c r="EJ489" s="237" t="n">
        <f aca="false">EJ487*$AC$485*EJ488*EJ$38*'⑫ Roll-out Plan'!$O$53</f>
        <v>54.945</v>
      </c>
      <c r="EK489" s="237" t="n">
        <f aca="false">EK487*$AC$485*EK488*EK$38*'⑫ Roll-out Plan'!$O$53</f>
        <v>45.954</v>
      </c>
      <c r="EL489" s="237" t="n">
        <f aca="false">EL487*$AC$485*EL488*EL$38*'⑫ Roll-out Plan'!$O$53</f>
        <v>45.88</v>
      </c>
      <c r="EM489" s="237" t="n">
        <f aca="false">EM487*$AC$485*EM488*EM$38*'⑫ Roll-out Plan'!$O$53</f>
        <v>54.39</v>
      </c>
      <c r="EN489" s="237" t="n">
        <f aca="false">EN487*$AC$485*EN488*EN$38*'⑫ Roll-out Plan'!$O$53</f>
        <v>102.453</v>
      </c>
      <c r="EO489" s="237" t="n">
        <f aca="false">EO487*$AC$485*EO488*EO$38*'⑫ Roll-out Plan'!$O$53</f>
        <v>94.424</v>
      </c>
      <c r="EP489" s="237" t="n">
        <f aca="false">EP487*$AC$485*EP488*EP$38*'⑫ Roll-out Plan'!$O$53</f>
        <v>78.144</v>
      </c>
      <c r="EQ489" s="237" t="n">
        <f aca="false">EQ487*$AC$485*EQ488*EQ$38*'⑫ Roll-out Plan'!$O$53</f>
        <v>63.936</v>
      </c>
      <c r="ER489" s="237" t="n">
        <f aca="false">ER487*$AC$485*ER488*ER$38*'⑫ Roll-out Plan'!$O$53</f>
        <v>98.124</v>
      </c>
      <c r="ES489" s="9" t="n">
        <f aca="false">ES487*$AC$485*ES488*ES$38*'⑫ Roll-out Plan'!$O$53</f>
        <v>111.888</v>
      </c>
      <c r="ET489" s="9" t="n">
        <f aca="false">ET487*$AC$485*ET488*ET$38*'⑫ Roll-out Plan'!$O$53</f>
        <v>91.02</v>
      </c>
      <c r="EU489" s="9" t="n">
        <f aca="false">EU487*$AC$485*EU488*EU$38*'⑫ Roll-out Plan'!$O$53</f>
        <v>128.76</v>
      </c>
      <c r="EV489" s="9" t="n">
        <f aca="false">EV487*$AC$485*EV488*EV$38*'⑫ Roll-out Plan'!$O$53</f>
        <v>153.846</v>
      </c>
      <c r="EW489" s="9" t="n">
        <f aca="false">EW487*$AC$485*EW488*EW$38*'⑫ Roll-out Plan'!$O$53</f>
        <v>134.7984</v>
      </c>
      <c r="EX489" s="9" t="n">
        <f aca="false">EX487*$AC$485*EX488*EX$38*'⑫ Roll-out Plan'!$O$53</f>
        <v>122.544</v>
      </c>
      <c r="EY489" s="9" t="n">
        <f aca="false">EY487*$AC$485*EY488*EY$38*'⑫ Roll-out Plan'!$O$53</f>
        <v>132.4008</v>
      </c>
      <c r="EZ489" s="9" t="n">
        <f aca="false">EZ487*$AC$485*EZ488*EZ$38*'⑫ Roll-out Plan'!$O$53</f>
        <v>223.8204</v>
      </c>
      <c r="FA489" s="9" t="n">
        <f aca="false">FA487*$AC$485*FA488*FA$38*'⑫ Roll-out Plan'!$O$53</f>
        <v>187.9896</v>
      </c>
      <c r="FB489" s="9" t="n">
        <f aca="false">FB487*$AC$485*FB488*FB$38*'⑫ Roll-out Plan'!$O$53</f>
        <v>159.84</v>
      </c>
      <c r="FC489" s="9" t="n">
        <f aca="false">FC487*$AC$485*FC488*FC$38*'⑫ Roll-out Plan'!$O$53</f>
        <v>123.0768</v>
      </c>
      <c r="FD489" s="9" t="n">
        <f aca="false">FD487*$AC$485*FD488*FD$38*'⑫ Roll-out Plan'!$O$53</f>
        <v>178.8876</v>
      </c>
      <c r="FE489" s="9" t="n">
        <f aca="false">FE487*$AC$485*FE488*FE$38*'⑫ Roll-out Plan'!$O$53</f>
        <v>189.4104</v>
      </c>
      <c r="FF489" s="9" t="n">
        <f aca="false">FF487*$AC$485*FF488*FF$38*'⑫ Roll-out Plan'!$O$53</f>
        <v>145.632</v>
      </c>
      <c r="FG489" s="9" t="n">
        <f aca="false">FG487*$AC$485*FG488*FG$38*'⑫ Roll-out Plan'!$O$53</f>
        <v>211.1664</v>
      </c>
      <c r="FH489" s="9" t="n">
        <f aca="false">FH487*$AC$485*FH488*FH$38*'⑫ Roll-out Plan'!$O$53</f>
        <v>205.128</v>
      </c>
      <c r="FI489" s="9" t="n">
        <f aca="false">FI487*$AC$485*FI488*FI$38*'⑫ Roll-out Plan'!$O$53</f>
        <v>173.604</v>
      </c>
      <c r="FJ489" s="9" t="n">
        <f aca="false">FJ487*$AC$485*FJ488*FJ$38*'⑫ Roll-out Plan'!$O$53</f>
        <v>150.96</v>
      </c>
      <c r="FK489" s="9" t="n">
        <f aca="false">FK487*$AC$485*FK488*FK$38*'⑫ Roll-out Plan'!$O$53</f>
        <v>160.3728</v>
      </c>
      <c r="FL489" s="9" t="n">
        <f aca="false">FL487*$AC$485*FL488*FL$38*'⑫ Roll-out Plan'!$O$53</f>
        <v>277.4112</v>
      </c>
      <c r="FM489" s="9" t="n">
        <f aca="false">FM487*$AC$485*FM488*FM$38*'⑫ Roll-out Plan'!$O$53</f>
        <v>229.1928</v>
      </c>
      <c r="FN489" s="9" t="n">
        <f aca="false">FN487*$AC$485*FN488*FN$38*'⑫ Roll-out Plan'!$O$53</f>
        <v>191.808</v>
      </c>
      <c r="FO489" s="9" t="n">
        <f aca="false">FO487*$AC$485*FO488*FO$38*'⑫ Roll-out Plan'!$O$53</f>
        <v>143.856</v>
      </c>
      <c r="FP489" s="9" t="n">
        <f aca="false">FP487*$AC$485*FP488*FP$38*'⑫ Roll-out Plan'!$O$53</f>
        <v>208.3248</v>
      </c>
    </row>
    <row r="490" customFormat="false" ht="15" hidden="false" customHeight="false" outlineLevel="2" collapsed="false">
      <c r="B490" s="47" t="s">
        <v>877</v>
      </c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237" t="n">
        <f aca="true">IFERROR(SUMPRODUCT(OFFSET($BJ$31,0,1-MIN(60,COLUMN()-29),1,MIN(60,COLUMN()-29)),OFFSET(AC489,0,-MIN(60,COLUMN()-29),1,MIN(60,COLUMN()-29))),0)</f>
        <v>0</v>
      </c>
      <c r="AD490" s="237" t="n">
        <f aca="true">IFERROR(SUMPRODUCT(OFFSET($BJ$31,0,1-MIN(60,COLUMN()-29),1,MIN(60,COLUMN()-29)),OFFSET(AD489,0,-MIN(60,COLUMN()-29),1,MIN(60,COLUMN()-29))),0)</f>
        <v>0</v>
      </c>
      <c r="AE490" s="237" t="n">
        <f aca="true">IFERROR(SUMPRODUCT(OFFSET($BJ$31,0,1-MIN(60,COLUMN()-29),1,MIN(60,COLUMN()-29)),OFFSET(AE489,0,-MIN(60,COLUMN()-29),1,MIN(60,COLUMN()-29))),0)</f>
        <v>0</v>
      </c>
      <c r="AF490" s="237" t="n">
        <f aca="true">IFERROR(SUMPRODUCT(OFFSET($BJ$31,0,1-MIN(60,COLUMN()-29),1,MIN(60,COLUMN()-29)),OFFSET(AF489,0,-MIN(60,COLUMN()-29),1,MIN(60,COLUMN()-29))),0)</f>
        <v>0</v>
      </c>
      <c r="AG490" s="237" t="n">
        <f aca="true">IFERROR(SUMPRODUCT(OFFSET($BJ$31,0,1-MIN(60,COLUMN()-29),1,MIN(60,COLUMN()-29)),OFFSET(AG489,0,-MIN(60,COLUMN()-29),1,MIN(60,COLUMN()-29))),0)</f>
        <v>0</v>
      </c>
      <c r="AH490" s="237" t="n">
        <f aca="true">IFERROR(SUMPRODUCT(OFFSET($BJ$31,0,1-MIN(60,COLUMN()-29),1,MIN(60,COLUMN()-29)),OFFSET(AH489,0,-MIN(60,COLUMN()-29),1,MIN(60,COLUMN()-29))),0)</f>
        <v>0</v>
      </c>
      <c r="AI490" s="237" t="n">
        <f aca="true">IFERROR(SUMPRODUCT(OFFSET($BJ$31,0,1-MIN(60,COLUMN()-29),1,MIN(60,COLUMN()-29)),OFFSET(AI489,0,-MIN(60,COLUMN()-29),1,MIN(60,COLUMN()-29))),0)</f>
        <v>0</v>
      </c>
      <c r="AJ490" s="237" t="n">
        <f aca="true">IFERROR(SUMPRODUCT(OFFSET($BJ$31,0,1-MIN(60,COLUMN()-29),1,MIN(60,COLUMN()-29)),OFFSET(AJ489,0,-MIN(60,COLUMN()-29),1,MIN(60,COLUMN()-29))),0)</f>
        <v>0</v>
      </c>
      <c r="AK490" s="237" t="n">
        <f aca="true">IFERROR(SUMPRODUCT(OFFSET($BJ$31,0,1-MIN(60,COLUMN()-29),1,MIN(60,COLUMN()-29)),OFFSET(AK489,0,-MIN(60,COLUMN()-29),1,MIN(60,COLUMN()-29))),0)</f>
        <v>0</v>
      </c>
      <c r="AL490" s="237" t="n">
        <f aca="true">IFERROR(SUMPRODUCT(OFFSET($BJ$31,0,1-MIN(60,COLUMN()-29),1,MIN(60,COLUMN()-29)),OFFSET(AL489,0,-MIN(60,COLUMN()-29),1,MIN(60,COLUMN()-29))),0)</f>
        <v>0</v>
      </c>
      <c r="AM490" s="237" t="n">
        <f aca="true">IFERROR(SUMPRODUCT(OFFSET($BJ$31,0,1-MIN(60,COLUMN()-29),1,MIN(60,COLUMN()-29)),OFFSET(AM489,0,-MIN(60,COLUMN()-29),1,MIN(60,COLUMN()-29))),0)</f>
        <v>0</v>
      </c>
      <c r="AN490" s="237" t="n">
        <f aca="true">IFERROR(SUMPRODUCT(OFFSET($BJ$31,0,1-MIN(60,COLUMN()-29),1,MIN(60,COLUMN()-29)),OFFSET(AN489,0,-MIN(60,COLUMN()-29),1,MIN(60,COLUMN()-29))),0)</f>
        <v>0</v>
      </c>
      <c r="AO490" s="237" t="n">
        <f aca="true">IFERROR(SUMPRODUCT(OFFSET($BJ$31,0,1-MIN(60,COLUMN()-29),1,MIN(60,COLUMN()-29)),OFFSET(AO489,0,-MIN(60,COLUMN()-29),1,MIN(60,COLUMN()-29))),0)</f>
        <v>0</v>
      </c>
      <c r="AP490" s="237" t="n">
        <f aca="true">IFERROR(SUMPRODUCT(OFFSET($BJ$31,0,1-MIN(60,COLUMN()-29),1,MIN(60,COLUMN()-29)),OFFSET(AP489,0,-MIN(60,COLUMN()-29),1,MIN(60,COLUMN()-29))),0)</f>
        <v>0</v>
      </c>
      <c r="AQ490" s="237" t="n">
        <f aca="true">IFERROR(SUMPRODUCT(OFFSET($BJ$31,0,1-MIN(60,COLUMN()-29),1,MIN(60,COLUMN()-29)),OFFSET(AQ489,0,-MIN(60,COLUMN()-29),1,MIN(60,COLUMN()-29))),0)</f>
        <v>0</v>
      </c>
      <c r="AR490" s="237" t="n">
        <f aca="true">IFERROR(SUMPRODUCT(OFFSET($BJ$31,0,1-MIN(60,COLUMN()-29),1,MIN(60,COLUMN()-29)),OFFSET(AR489,0,-MIN(60,COLUMN()-29),1,MIN(60,COLUMN()-29))),0)</f>
        <v>0</v>
      </c>
      <c r="AS490" s="237" t="n">
        <f aca="true">IFERROR(SUMPRODUCT(OFFSET($BJ$31,0,1-MIN(60,COLUMN()-29),1,MIN(60,COLUMN()-29)),OFFSET(AS489,0,-MIN(60,COLUMN()-29),1,MIN(60,COLUMN()-29))),0)</f>
        <v>0</v>
      </c>
      <c r="AT490" s="237" t="n">
        <f aca="true">IFERROR(SUMPRODUCT(OFFSET($BJ$31,0,1-MIN(60,COLUMN()-29),1,MIN(60,COLUMN()-29)),OFFSET(AT489,0,-MIN(60,COLUMN()-29),1,MIN(60,COLUMN()-29))),0)</f>
        <v>0</v>
      </c>
      <c r="AU490" s="237" t="n">
        <f aca="true">IFERROR(SUMPRODUCT(OFFSET($BJ$31,0,1-MIN(60,COLUMN()-29),1,MIN(60,COLUMN()-29)),OFFSET(AU489,0,-MIN(60,COLUMN()-29),1,MIN(60,COLUMN()-29))),0)</f>
        <v>0</v>
      </c>
      <c r="AV490" s="237" t="n">
        <f aca="true">IFERROR(SUMPRODUCT(OFFSET($BJ$31,0,1-MIN(60,COLUMN()-29),1,MIN(60,COLUMN()-29)),OFFSET(AV489,0,-MIN(60,COLUMN()-29),1,MIN(60,COLUMN()-29))),0)</f>
        <v>0</v>
      </c>
      <c r="AW490" s="237" t="n">
        <f aca="true">IFERROR(SUMPRODUCT(OFFSET($BJ$31,0,1-MIN(60,COLUMN()-29),1,MIN(60,COLUMN()-29)),OFFSET(AW489,0,-MIN(60,COLUMN()-29),1,MIN(60,COLUMN()-29))),0)</f>
        <v>0</v>
      </c>
      <c r="AX490" s="237" t="n">
        <f aca="true">IFERROR(SUMPRODUCT(OFFSET($BJ$31,0,1-MIN(60,COLUMN()-29),1,MIN(60,COLUMN()-29)),OFFSET(AX489,0,-MIN(60,COLUMN()-29),1,MIN(60,COLUMN()-29))),0)</f>
        <v>0</v>
      </c>
      <c r="AY490" s="237" t="n">
        <f aca="true">IFERROR(SUMPRODUCT(OFFSET($BJ$31,0,1-MIN(60,COLUMN()-29),1,MIN(60,COLUMN()-29)),OFFSET(AY489,0,-MIN(60,COLUMN()-29),1,MIN(60,COLUMN()-29))),0)</f>
        <v>0</v>
      </c>
      <c r="AZ490" s="237" t="n">
        <f aca="true">IFERROR(SUMPRODUCT(OFFSET($BJ$31,0,1-MIN(60,COLUMN()-29),1,MIN(60,COLUMN()-29)),OFFSET(AZ489,0,-MIN(60,COLUMN()-29),1,MIN(60,COLUMN()-29))),0)</f>
        <v>0</v>
      </c>
      <c r="BA490" s="237" t="n">
        <f aca="true">IFERROR(SUMPRODUCT(OFFSET($BJ$31,0,1-MIN(60,COLUMN()-29),1,MIN(60,COLUMN()-29)),OFFSET(BA489,0,-MIN(60,COLUMN()-29),1,MIN(60,COLUMN()-29))),0)</f>
        <v>0</v>
      </c>
      <c r="BB490" s="237" t="n">
        <f aca="true">IFERROR(SUMPRODUCT(OFFSET($BJ$31,0,1-MIN(60,COLUMN()-29),1,MIN(60,COLUMN()-29)),OFFSET(BB489,0,-MIN(60,COLUMN()-29),1,MIN(60,COLUMN()-29))),0)</f>
        <v>0</v>
      </c>
      <c r="BC490" s="237" t="n">
        <f aca="true">IFERROR(SUMPRODUCT(OFFSET($BJ$31,0,1-MIN(60,COLUMN()-29),1,MIN(60,COLUMN()-29)),OFFSET(BC489,0,-MIN(60,COLUMN()-29),1,MIN(60,COLUMN()-29))),0)</f>
        <v>0</v>
      </c>
      <c r="BD490" s="237" t="n">
        <f aca="true">IFERROR(SUMPRODUCT(OFFSET($BJ$31,0,1-MIN(60,COLUMN()-29),1,MIN(60,COLUMN()-29)),OFFSET(BD489,0,-MIN(60,COLUMN()-29),1,MIN(60,COLUMN()-29))),0)</f>
        <v>0</v>
      </c>
      <c r="BE490" s="237" t="n">
        <f aca="true">IFERROR(SUMPRODUCT(OFFSET($BJ$31,0,1-MIN(60,COLUMN()-29),1,MIN(60,COLUMN()-29)),OFFSET(BE489,0,-MIN(60,COLUMN()-29),1,MIN(60,COLUMN()-29))),0)</f>
        <v>0</v>
      </c>
      <c r="BF490" s="237" t="n">
        <f aca="true">IFERROR(SUMPRODUCT(OFFSET($BJ$31,0,1-MIN(60,COLUMN()-29),1,MIN(60,COLUMN()-29)),OFFSET(BF489,0,-MIN(60,COLUMN()-29),1,MIN(60,COLUMN()-29))),0)</f>
        <v>0</v>
      </c>
      <c r="BG490" s="237" t="n">
        <f aca="true">IFERROR(SUMPRODUCT(OFFSET($BJ$31,0,1-MIN(60,COLUMN()-29),1,MIN(60,COLUMN()-29)),OFFSET(BG489,0,-MIN(60,COLUMN()-29),1,MIN(60,COLUMN()-29))),0)</f>
        <v>0</v>
      </c>
      <c r="BH490" s="237" t="n">
        <f aca="true">IFERROR(SUMPRODUCT(OFFSET($BJ$31,0,1-MIN(60,COLUMN()-29),1,MIN(60,COLUMN()-29)),OFFSET(BH489,0,-MIN(60,COLUMN()-29),1,MIN(60,COLUMN()-29))),0)</f>
        <v>0</v>
      </c>
      <c r="BI490" s="237" t="n">
        <f aca="true">IFERROR(SUMPRODUCT(OFFSET($BJ$31,0,1-MIN(60,COLUMN()-29),1,MIN(60,COLUMN()-29)),OFFSET(BI489,0,-MIN(60,COLUMN()-29),1,MIN(60,COLUMN()-29))),0)</f>
        <v>0</v>
      </c>
      <c r="BJ490" s="237" t="n">
        <f aca="true">IFERROR(SUMPRODUCT(OFFSET($BJ$31,0,1-MIN(60,COLUMN()-29),1,MIN(60,COLUMN()-29)),OFFSET(BJ489,0,-MIN(60,COLUMN()-29),1,MIN(60,COLUMN()-29))),0)</f>
        <v>0</v>
      </c>
      <c r="BK490" s="237" t="n">
        <f aca="true">IFERROR(SUMPRODUCT(OFFSET($BJ$31,0,1-MIN(60,COLUMN()-29),1,MIN(60,COLUMN()-29)),OFFSET(BK489,0,-MIN(60,COLUMN()-29),1,MIN(60,COLUMN()-29))),0)</f>
        <v>0</v>
      </c>
      <c r="BL490" s="237" t="n">
        <f aca="true">IFERROR(SUMPRODUCT(OFFSET($BJ$31,0,1-MIN(60,COLUMN()-29),1,MIN(60,COLUMN()-29)),OFFSET(BL489,0,-MIN(60,COLUMN()-29),1,MIN(60,COLUMN()-29))),0)</f>
        <v>0</v>
      </c>
      <c r="BM490" s="237" t="n">
        <f aca="true">IFERROR(SUMPRODUCT(OFFSET($BJ$31,0,1-MIN(60,COLUMN()-29),1,MIN(60,COLUMN()-29)),OFFSET(BM489,0,-MIN(60,COLUMN()-29),1,MIN(60,COLUMN()-29))),0)</f>
        <v>0</v>
      </c>
      <c r="BN490" s="237" t="n">
        <f aca="true">IFERROR(SUMPRODUCT(OFFSET($BJ$31,0,1-MIN(60,COLUMN()-29),1,MIN(60,COLUMN()-29)),OFFSET(BN489,0,-MIN(60,COLUMN()-29),1,MIN(60,COLUMN()-29))),0)</f>
        <v>0</v>
      </c>
      <c r="BO490" s="237" t="n">
        <f aca="true">IFERROR(SUMPRODUCT(OFFSET($BJ$31,0,1-MIN(60,COLUMN()-29),1,MIN(60,COLUMN()-29)),OFFSET(BO489,0,-MIN(60,COLUMN()-29),1,MIN(60,COLUMN()-29))),0)</f>
        <v>0</v>
      </c>
      <c r="BP490" s="237" t="n">
        <f aca="true">IFERROR(SUMPRODUCT(OFFSET($BJ$31,0,1-MIN(60,COLUMN()-29),1,MIN(60,COLUMN()-29)),OFFSET(BP489,0,-MIN(60,COLUMN()-29),1,MIN(60,COLUMN()-29))),0)</f>
        <v>0</v>
      </c>
      <c r="BQ490" s="237" t="n">
        <f aca="true">IFERROR(SUMPRODUCT(OFFSET($BJ$31,0,1-MIN(60,COLUMN()-29),1,MIN(60,COLUMN()-29)),OFFSET(BQ489,0,-MIN(60,COLUMN()-29),1,MIN(60,COLUMN()-29))),0)</f>
        <v>0</v>
      </c>
      <c r="BR490" s="237" t="n">
        <f aca="true">IFERROR(SUMPRODUCT(OFFSET($BJ$31,0,1-MIN(60,COLUMN()-29),1,MIN(60,COLUMN()-29)),OFFSET(BR489,0,-MIN(60,COLUMN()-29),1,MIN(60,COLUMN()-29))),0)</f>
        <v>0</v>
      </c>
      <c r="BS490" s="237" t="n">
        <f aca="true">IFERROR(SUMPRODUCT(OFFSET($BJ$31,0,1-MIN(60,COLUMN()-29),1,MIN(60,COLUMN()-29)),OFFSET(BS489,0,-MIN(60,COLUMN()-29),1,MIN(60,COLUMN()-29))),0)</f>
        <v>0</v>
      </c>
      <c r="BT490" s="237" t="n">
        <f aca="true">IFERROR(SUMPRODUCT(OFFSET($BJ$31,0,1-MIN(60,COLUMN()-29),1,MIN(60,COLUMN()-29)),OFFSET(BT489,0,-MIN(60,COLUMN()-29),1,MIN(60,COLUMN()-29))),0)</f>
        <v>0</v>
      </c>
      <c r="BU490" s="237" t="n">
        <f aca="true">IFERROR(SUMPRODUCT(OFFSET($BJ$31,0,1-MIN(60,COLUMN()-29),1,MIN(60,COLUMN()-29)),OFFSET(BU489,0,-MIN(60,COLUMN()-29),1,MIN(60,COLUMN()-29))),0)</f>
        <v>0</v>
      </c>
      <c r="BV490" s="237" t="n">
        <f aca="true">IFERROR(SUMPRODUCT(OFFSET($BJ$31,0,1-MIN(60,COLUMN()-29),1,MIN(60,COLUMN()-29)),OFFSET(BV489,0,-MIN(60,COLUMN()-29),1,MIN(60,COLUMN()-29))),0)</f>
        <v>0</v>
      </c>
      <c r="BW490" s="237" t="n">
        <f aca="true">IFERROR(SUMPRODUCT(OFFSET($BJ$31,0,1-MIN(60,COLUMN()-29),1,MIN(60,COLUMN()-29)),OFFSET(BW489,0,-MIN(60,COLUMN()-29),1,MIN(60,COLUMN()-29))),0)</f>
        <v>0</v>
      </c>
      <c r="BX490" s="237" t="n">
        <f aca="true">IFERROR(SUMPRODUCT(OFFSET($BJ$31,0,1-MIN(60,COLUMN()-29),1,MIN(60,COLUMN()-29)),OFFSET(BX489,0,-MIN(60,COLUMN()-29),1,MIN(60,COLUMN()-29))),0)</f>
        <v>0</v>
      </c>
      <c r="BY490" s="237" t="n">
        <f aca="true">IFERROR(SUMPRODUCT(OFFSET($BJ$31,0,1-MIN(60,COLUMN()-29),1,MIN(60,COLUMN()-29)),OFFSET(BY489,0,-MIN(60,COLUMN()-29),1,MIN(60,COLUMN()-29))),0)</f>
        <v>0</v>
      </c>
      <c r="BZ490" s="237" t="n">
        <f aca="true">IFERROR(SUMPRODUCT(OFFSET($BJ$31,0,1-MIN(60,COLUMN()-29),1,MIN(60,COLUMN()-29)),OFFSET(BZ489,0,-MIN(60,COLUMN()-29),1,MIN(60,COLUMN()-29))),0)</f>
        <v>0</v>
      </c>
      <c r="CA490" s="237" t="n">
        <f aca="true">IFERROR(SUMPRODUCT(OFFSET($BJ$31,0,1-MIN(60,COLUMN()-29),1,MIN(60,COLUMN()-29)),OFFSET(CA489,0,-MIN(60,COLUMN()-29),1,MIN(60,COLUMN()-29))),0)</f>
        <v>0</v>
      </c>
      <c r="CB490" s="237" t="n">
        <f aca="true">IFERROR(SUMPRODUCT(OFFSET($BJ$31,0,1-MIN(60,COLUMN()-29),1,MIN(60,COLUMN()-29)),OFFSET(CB489,0,-MIN(60,COLUMN()-29),1,MIN(60,COLUMN()-29))),0)</f>
        <v>0</v>
      </c>
      <c r="CC490" s="237" t="n">
        <f aca="true">IFERROR(SUMPRODUCT(OFFSET($BJ$31,0,1-MIN(60,COLUMN()-29),1,MIN(60,COLUMN()-29)),OFFSET(CC489,0,-MIN(60,COLUMN()-29),1,MIN(60,COLUMN()-29))),0)</f>
        <v>0</v>
      </c>
      <c r="CD490" s="237" t="n">
        <f aca="true">IFERROR(SUMPRODUCT(OFFSET($BJ$31,0,1-MIN(60,COLUMN()-29),1,MIN(60,COLUMN()-29)),OFFSET(CD489,0,-MIN(60,COLUMN()-29),1,MIN(60,COLUMN()-29))),0)</f>
        <v>0</v>
      </c>
      <c r="CE490" s="237" t="n">
        <f aca="true">IFERROR(SUMPRODUCT(OFFSET($BJ$31,0,1-MIN(60,COLUMN()-29),1,MIN(60,COLUMN()-29)),OFFSET(CE489,0,-MIN(60,COLUMN()-29),1,MIN(60,COLUMN()-29))),0)</f>
        <v>0</v>
      </c>
      <c r="CF490" s="237" t="n">
        <f aca="true">IFERROR(SUMPRODUCT(OFFSET($BJ$31,0,1-MIN(60,COLUMN()-29),1,MIN(60,COLUMN()-29)),OFFSET(CF489,0,-MIN(60,COLUMN()-29),1,MIN(60,COLUMN()-29))),0)</f>
        <v>0</v>
      </c>
      <c r="CG490" s="237" t="n">
        <f aca="true">IFERROR(SUMPRODUCT(OFFSET($BJ$31,0,1-MIN(60,COLUMN()-29),1,MIN(60,COLUMN()-29)),OFFSET(CG489,0,-MIN(60,COLUMN()-29),1,MIN(60,COLUMN()-29))),0)</f>
        <v>0</v>
      </c>
      <c r="CH490" s="237" t="n">
        <f aca="true">IFERROR(SUMPRODUCT(OFFSET($BJ$31,0,1-MIN(60,COLUMN()-29),1,MIN(60,COLUMN()-29)),OFFSET(CH489,0,-MIN(60,COLUMN()-29),1,MIN(60,COLUMN()-29))),0)</f>
        <v>0</v>
      </c>
      <c r="CI490" s="237" t="n">
        <f aca="true">IFERROR(SUMPRODUCT(OFFSET($BJ$31,0,1-MIN(60,COLUMN()-29),1,MIN(60,COLUMN()-29)),OFFSET(CI489,0,-MIN(60,COLUMN()-29),1,MIN(60,COLUMN()-29))),0)</f>
        <v>0</v>
      </c>
      <c r="CJ490" s="237" t="n">
        <f aca="true">IFERROR(SUMPRODUCT(OFFSET($BJ$31,0,1-MIN(60,COLUMN()-29),1,MIN(60,COLUMN()-29)),OFFSET(CJ489,0,-MIN(60,COLUMN()-29),1,MIN(60,COLUMN()-29))),0)</f>
        <v>0</v>
      </c>
      <c r="CK490" s="237" t="n">
        <f aca="true">IFERROR(SUMPRODUCT(OFFSET($BJ$31,0,1-MIN(60,COLUMN()-29),1,MIN(60,COLUMN()-29)),OFFSET(CK489,0,-MIN(60,COLUMN()-29),1,MIN(60,COLUMN()-29))),0)</f>
        <v>0</v>
      </c>
      <c r="CL490" s="237" t="n">
        <f aca="true">IFERROR(SUMPRODUCT(OFFSET($BJ$31,0,1-MIN(60,COLUMN()-29),1,MIN(60,COLUMN()-29)),OFFSET(CL489,0,-MIN(60,COLUMN()-29),1,MIN(60,COLUMN()-29))),0)</f>
        <v>0</v>
      </c>
      <c r="CM490" s="237" t="n">
        <f aca="true">IFERROR(SUMPRODUCT(OFFSET($BJ$31,0,1-MIN(60,COLUMN()-29),1,MIN(60,COLUMN()-29)),OFFSET(CM489,0,-MIN(60,COLUMN()-29),1,MIN(60,COLUMN()-29))),0)</f>
        <v>0</v>
      </c>
      <c r="CN490" s="237" t="n">
        <f aca="true">IFERROR(SUMPRODUCT(OFFSET($BJ$31,0,1-MIN(60,COLUMN()-29),1,MIN(60,COLUMN()-29)),OFFSET(CN489,0,-MIN(60,COLUMN()-29),1,MIN(60,COLUMN()-29))),0)</f>
        <v>0</v>
      </c>
      <c r="CO490" s="237" t="n">
        <f aca="true">IFERROR(SUMPRODUCT(OFFSET($BJ$31,0,1-MIN(60,COLUMN()-29),1,MIN(60,COLUMN()-29)),OFFSET(CO489,0,-MIN(60,COLUMN()-29),1,MIN(60,COLUMN()-29))),0)</f>
        <v>0</v>
      </c>
      <c r="CP490" s="237" t="n">
        <f aca="true">IFERROR(SUMPRODUCT(OFFSET($BJ$31,0,1-MIN(60,COLUMN()-29),1,MIN(60,COLUMN()-29)),OFFSET(CP489,0,-MIN(60,COLUMN()-29),1,MIN(60,COLUMN()-29))),0)</f>
        <v>0</v>
      </c>
      <c r="CQ490" s="237" t="n">
        <f aca="true">IFERROR(SUMPRODUCT(OFFSET($BJ$31,0,1-MIN(60,COLUMN()-29),1,MIN(60,COLUMN()-29)),OFFSET(CQ489,0,-MIN(60,COLUMN()-29),1,MIN(60,COLUMN()-29))),0)</f>
        <v>0</v>
      </c>
      <c r="CR490" s="237" t="n">
        <f aca="true">IFERROR(SUMPRODUCT(OFFSET($BJ$31,0,1-MIN(60,COLUMN()-29),1,MIN(60,COLUMN()-29)),OFFSET(CR489,0,-MIN(60,COLUMN()-29),1,MIN(60,COLUMN()-29))),0)</f>
        <v>0</v>
      </c>
      <c r="CS490" s="237" t="n">
        <f aca="true">IFERROR(SUMPRODUCT(OFFSET($BJ$31,0,1-MIN(60,COLUMN()-29),1,MIN(60,COLUMN()-29)),OFFSET(CS489,0,-MIN(60,COLUMN()-29),1,MIN(60,COLUMN()-29))),0)</f>
        <v>0</v>
      </c>
      <c r="CT490" s="237" t="n">
        <f aca="true">IFERROR(SUMPRODUCT(OFFSET($BJ$31,0,1-MIN(60,COLUMN()-29),1,MIN(60,COLUMN()-29)),OFFSET(CT489,0,-MIN(60,COLUMN()-29),1,MIN(60,COLUMN()-29))),0)</f>
        <v>0</v>
      </c>
      <c r="CU490" s="237" t="n">
        <f aca="true">IFERROR(SUMPRODUCT(OFFSET($BJ$31,0,1-MIN(60,COLUMN()-29),1,MIN(60,COLUMN()-29)),OFFSET(CU489,0,-MIN(60,COLUMN()-29),1,MIN(60,COLUMN()-29))),0)</f>
        <v>0</v>
      </c>
      <c r="CV490" s="237" t="n">
        <f aca="true">IFERROR(SUMPRODUCT(OFFSET($BJ$31,0,1-MIN(60,COLUMN()-29),1,MIN(60,COLUMN()-29)),OFFSET(CV489,0,-MIN(60,COLUMN()-29),1,MIN(60,COLUMN()-29))),0)</f>
        <v>0</v>
      </c>
      <c r="CW490" s="237" t="n">
        <f aca="true">IFERROR(SUMPRODUCT(OFFSET($BJ$31,0,1-MIN(60,COLUMN()-29),1,MIN(60,COLUMN()-29)),OFFSET(CW489,0,-MIN(60,COLUMN()-29),1,MIN(60,COLUMN()-29))),0)</f>
        <v>0</v>
      </c>
      <c r="CX490" s="237" t="n">
        <f aca="true">IFERROR(SUMPRODUCT(OFFSET($BJ$31,0,1-MIN(60,COLUMN()-29),1,MIN(60,COLUMN()-29)),OFFSET(CX489,0,-MIN(60,COLUMN()-29),1,MIN(60,COLUMN()-29))),0)</f>
        <v>0</v>
      </c>
      <c r="CY490" s="237" t="n">
        <f aca="true">IFERROR(SUMPRODUCT(OFFSET($BJ$31,0,1-MIN(60,COLUMN()-29),1,MIN(60,COLUMN()-29)),OFFSET(CY489,0,-MIN(60,COLUMN()-29),1,MIN(60,COLUMN()-29))),0)</f>
        <v>0</v>
      </c>
      <c r="CZ490" s="237" t="n">
        <f aca="true">IFERROR(SUMPRODUCT(OFFSET($BJ$31,0,1-MIN(60,COLUMN()-29),1,MIN(60,COLUMN()-29)),OFFSET(CZ489,0,-MIN(60,COLUMN()-29),1,MIN(60,COLUMN()-29))),0)</f>
        <v>0</v>
      </c>
      <c r="DA490" s="237" t="n">
        <f aca="true">IFERROR(SUMPRODUCT(OFFSET($BJ$31,0,1-MIN(60,COLUMN()-29),1,MIN(60,COLUMN()-29)),OFFSET(DA489,0,-MIN(60,COLUMN()-29),1,MIN(60,COLUMN()-29))),0)</f>
        <v>0</v>
      </c>
      <c r="DB490" s="237" t="n">
        <f aca="true">IFERROR(SUMPRODUCT(OFFSET($BJ$31,0,1-MIN(60,COLUMN()-29),1,MIN(60,COLUMN()-29)),OFFSET(DB489,0,-MIN(60,COLUMN()-29),1,MIN(60,COLUMN()-29))),0)</f>
        <v>0</v>
      </c>
      <c r="DC490" s="237" t="n">
        <f aca="true">IFERROR(SUMPRODUCT(OFFSET($BJ$31,0,1-MIN(60,COLUMN()-29),1,MIN(60,COLUMN()-29)),OFFSET(DC489,0,-MIN(60,COLUMN()-29),1,MIN(60,COLUMN()-29))),0)</f>
        <v>0</v>
      </c>
      <c r="DD490" s="237" t="n">
        <f aca="true">IFERROR(SUMPRODUCT(OFFSET($BJ$31,0,1-MIN(60,COLUMN()-29),1,MIN(60,COLUMN()-29)),OFFSET(DD489,0,-MIN(60,COLUMN()-29),1,MIN(60,COLUMN()-29))),0)</f>
        <v>0</v>
      </c>
      <c r="DE490" s="237" t="n">
        <f aca="true">IFERROR(SUMPRODUCT(OFFSET($BJ$31,0,1-MIN(60,COLUMN()-29),1,MIN(60,COLUMN()-29)),OFFSET(DE489,0,-MIN(60,COLUMN()-29),1,MIN(60,COLUMN()-29))),0)</f>
        <v>0</v>
      </c>
      <c r="DF490" s="237" t="n">
        <f aca="true">IFERROR(SUMPRODUCT(OFFSET($BJ$31,0,1-MIN(60,COLUMN()-29),1,MIN(60,COLUMN()-29)),OFFSET(DF489,0,-MIN(60,COLUMN()-29),1,MIN(60,COLUMN()-29))),0)</f>
        <v>0</v>
      </c>
      <c r="DG490" s="237" t="n">
        <f aca="true">IFERROR(SUMPRODUCT(OFFSET($BJ$31,0,1-MIN(60,COLUMN()-29),1,MIN(60,COLUMN()-29)),OFFSET(DG489,0,-MIN(60,COLUMN()-29),1,MIN(60,COLUMN()-29))),0)</f>
        <v>0</v>
      </c>
      <c r="DH490" s="237" t="n">
        <f aca="true">IFERROR(SUMPRODUCT(OFFSET($BJ$31,0,1-MIN(60,COLUMN()-29),1,MIN(60,COLUMN()-29)),OFFSET(DH489,0,-MIN(60,COLUMN()-29),1,MIN(60,COLUMN()-29))),0)</f>
        <v>0</v>
      </c>
      <c r="DI490" s="237" t="n">
        <f aca="true">IFERROR(SUMPRODUCT(OFFSET($BJ$31,0,1-MIN(60,COLUMN()-29),1,MIN(60,COLUMN()-29)),OFFSET(DI489,0,-MIN(60,COLUMN()-29),1,MIN(60,COLUMN()-29))),0)</f>
        <v>0</v>
      </c>
      <c r="DJ490" s="237" t="n">
        <f aca="true">IFERROR(SUMPRODUCT(OFFSET($BJ$31,0,1-MIN(60,COLUMN()-29),1,MIN(60,COLUMN()-29)),OFFSET(DJ489,0,-MIN(60,COLUMN()-29),1,MIN(60,COLUMN()-29))),0)</f>
        <v>0</v>
      </c>
      <c r="DK490" s="237" t="n">
        <f aca="true">IFERROR(SUMPRODUCT(OFFSET($BJ$31,0,1-MIN(60,COLUMN()-29),1,MIN(60,COLUMN()-29)),OFFSET(DK489,0,-MIN(60,COLUMN()-29),1,MIN(60,COLUMN()-29))),0)</f>
        <v>0</v>
      </c>
      <c r="DL490" s="237" t="n">
        <f aca="true">IFERROR(SUMPRODUCT(OFFSET($BJ$31,0,1-MIN(60,COLUMN()-29),1,MIN(60,COLUMN()-29)),OFFSET(DL489,0,-MIN(60,COLUMN()-29),1,MIN(60,COLUMN()-29))),0)</f>
        <v>0</v>
      </c>
      <c r="DM490" s="237" t="n">
        <f aca="true">IFERROR(SUMPRODUCT(OFFSET($BJ$31,0,1-MIN(60,COLUMN()-29),1,MIN(60,COLUMN()-29)),OFFSET(DM489,0,-MIN(60,COLUMN()-29),1,MIN(60,COLUMN()-29))),0)</f>
        <v>0</v>
      </c>
      <c r="DN490" s="237" t="n">
        <f aca="true">IFERROR(SUMPRODUCT(OFFSET($BJ$31,0,1-MIN(60,COLUMN()-29),1,MIN(60,COLUMN()-29)),OFFSET(DN489,0,-MIN(60,COLUMN()-29),1,MIN(60,COLUMN()-29))),0)</f>
        <v>0</v>
      </c>
      <c r="DO490" s="237" t="n">
        <f aca="true">IFERROR(SUMPRODUCT(OFFSET($BJ$31,0,1-MIN(60,COLUMN()-29),1,MIN(60,COLUMN()-29)),OFFSET(DO489,0,-MIN(60,COLUMN()-29),1,MIN(60,COLUMN()-29))),0)</f>
        <v>0</v>
      </c>
      <c r="DP490" s="237" t="n">
        <f aca="true">IFERROR(SUMPRODUCT(OFFSET($BJ$31,0,1-MIN(60,COLUMN()-29),1,MIN(60,COLUMN()-29)),OFFSET(DP489,0,-MIN(60,COLUMN()-29),1,MIN(60,COLUMN()-29))),0)</f>
        <v>0</v>
      </c>
      <c r="DQ490" s="237" t="n">
        <f aca="true">IFERROR(SUMPRODUCT(OFFSET($BJ$31,0,1-MIN(60,COLUMN()-29),1,MIN(60,COLUMN()-29)),OFFSET(DQ489,0,-MIN(60,COLUMN()-29),1,MIN(60,COLUMN()-29))),0)</f>
        <v>0</v>
      </c>
      <c r="DR490" s="237" t="n">
        <f aca="true">IFERROR(SUMPRODUCT(OFFSET($BJ$31,0,1-MIN(60,COLUMN()-29),1,MIN(60,COLUMN()-29)),OFFSET(DR489,0,-MIN(60,COLUMN()-29),1,MIN(60,COLUMN()-29))),0)</f>
        <v>0</v>
      </c>
      <c r="DS490" s="237" t="n">
        <f aca="true">IFERROR(SUMPRODUCT(OFFSET($BJ$31,0,1-MIN(60,COLUMN()-29),1,MIN(60,COLUMN()-29)),OFFSET(DS489,0,-MIN(60,COLUMN()-29),1,MIN(60,COLUMN()-29))),0)</f>
        <v>0</v>
      </c>
      <c r="DT490" s="237" t="n">
        <f aca="true">IFERROR(SUMPRODUCT(OFFSET($BJ$31,0,1-MIN(60,COLUMN()-29),1,MIN(60,COLUMN()-29)),OFFSET(DT489,0,-MIN(60,COLUMN()-29),1,MIN(60,COLUMN()-29))),0)</f>
        <v>0</v>
      </c>
      <c r="DU490" s="237" t="n">
        <f aca="true">IFERROR(SUMPRODUCT(OFFSET($BJ$31,0,1-MIN(60,COLUMN()-29),1,MIN(60,COLUMN()-29)),OFFSET(DU489,0,-MIN(60,COLUMN()-29),1,MIN(60,COLUMN()-29))),0)</f>
        <v>0</v>
      </c>
      <c r="DV490" s="237" t="n">
        <f aca="true">IFERROR(SUMPRODUCT(OFFSET($BJ$31,0,1-MIN(60,COLUMN()-29),1,MIN(60,COLUMN()-29)),OFFSET(DV489,0,-MIN(60,COLUMN()-29),1,MIN(60,COLUMN()-29))),0)</f>
        <v>0</v>
      </c>
      <c r="DW490" s="237" t="n">
        <f aca="true">IFERROR(SUMPRODUCT(OFFSET($BJ$31,0,1-MIN(60,COLUMN()-29),1,MIN(60,COLUMN()-29)),OFFSET(DW489,0,-MIN(60,COLUMN()-29),1,MIN(60,COLUMN()-29))),0)</f>
        <v>0</v>
      </c>
      <c r="DX490" s="237" t="n">
        <f aca="true">IFERROR(SUMPRODUCT(OFFSET($BJ$31,0,1-MIN(60,COLUMN()-29),1,MIN(60,COLUMN()-29)),OFFSET(DX489,0,-MIN(60,COLUMN()-29),1,MIN(60,COLUMN()-29))),0)</f>
        <v>0</v>
      </c>
      <c r="DY490" s="237" t="n">
        <f aca="true">IFERROR(SUMPRODUCT(OFFSET($BJ$31,0,1-MIN(60,COLUMN()-29),1,MIN(60,COLUMN()-29)),OFFSET(DY489,0,-MIN(60,COLUMN()-29),1,MIN(60,COLUMN()-29))),0)</f>
        <v>0</v>
      </c>
      <c r="DZ490" s="237" t="n">
        <f aca="true">IFERROR(SUMPRODUCT(OFFSET($BJ$31,0,1-MIN(60,COLUMN()-29),1,MIN(60,COLUMN()-29)),OFFSET(DZ489,0,-MIN(60,COLUMN()-29),1,MIN(60,COLUMN()-29))),0)</f>
        <v>0</v>
      </c>
      <c r="EA490" s="237" t="n">
        <f aca="true">IFERROR(SUMPRODUCT(OFFSET($BJ$31,0,1-MIN(60,COLUMN()-29),1,MIN(60,COLUMN()-29)),OFFSET(EA489,0,-MIN(60,COLUMN()-29),1,MIN(60,COLUMN()-29))),0)</f>
        <v>0</v>
      </c>
      <c r="EB490" s="237" t="n">
        <f aca="true">IFERROR(SUMPRODUCT(OFFSET($BJ$31,0,1-MIN(60,COLUMN()-29),1,MIN(60,COLUMN()-29)),OFFSET(EB489,0,-MIN(60,COLUMN()-29),1,MIN(60,COLUMN()-29))),0)</f>
        <v>0</v>
      </c>
      <c r="EC490" s="237" t="n">
        <f aca="true">IFERROR(SUMPRODUCT(OFFSET($BJ$31,0,1-MIN(60,COLUMN()-29),1,MIN(60,COLUMN()-29)),OFFSET(EC489,0,-MIN(60,COLUMN()-29),1,MIN(60,COLUMN()-29))),0)</f>
        <v>0</v>
      </c>
      <c r="ED490" s="237" t="n">
        <f aca="true">IFERROR(SUMPRODUCT(OFFSET($BJ$31,0,1-MIN(60,COLUMN()-29),1,MIN(60,COLUMN()-29)),OFFSET(ED489,0,-MIN(60,COLUMN()-29),1,MIN(60,COLUMN()-29))),0)</f>
        <v>0</v>
      </c>
      <c r="EE490" s="237" t="n">
        <f aca="true">IFERROR(SUMPRODUCT(OFFSET($BJ$31,0,1-MIN(60,COLUMN()-29),1,MIN(60,COLUMN()-29)),OFFSET(EE489,0,-MIN(60,COLUMN()-29),1,MIN(60,COLUMN()-29))),0)</f>
        <v>0</v>
      </c>
      <c r="EF490" s="237" t="n">
        <f aca="true">IFERROR(SUMPRODUCT(OFFSET($BJ$31,0,1-MIN(60,COLUMN()-29),1,MIN(60,COLUMN()-29)),OFFSET(EF489,0,-MIN(60,COLUMN()-29),1,MIN(60,COLUMN()-29))),0)</f>
        <v>0</v>
      </c>
      <c r="EG490" s="237" t="n">
        <f aca="true">IFERROR(SUMPRODUCT(OFFSET($BJ$31,0,1-MIN(60,COLUMN()-29),1,MIN(60,COLUMN()-29)),OFFSET(EG489,0,-MIN(60,COLUMN()-29),1,MIN(60,COLUMN()-29))),0)</f>
        <v>0</v>
      </c>
      <c r="EH490" s="237" t="n">
        <f aca="true">IFERROR(SUMPRODUCT(OFFSET($BJ$31,0,1-MIN(60,COLUMN()-29),1,MIN(60,COLUMN()-29)),OFFSET(EH489,0,-MIN(60,COLUMN()-29),1,MIN(60,COLUMN()-29))),0)</f>
        <v>5.11488</v>
      </c>
      <c r="EI490" s="237" t="n">
        <f aca="true">IFERROR(SUMPRODUCT(OFFSET($BJ$31,0,1-MIN(60,COLUMN()-29),1,MIN(60,COLUMN()-29)),OFFSET(EI489,0,-MIN(60,COLUMN()-29),1,MIN(60,COLUMN()-29))),0)</f>
        <v>4.975168</v>
      </c>
      <c r="EJ490" s="237" t="n">
        <f aca="true">IFERROR(SUMPRODUCT(OFFSET($BJ$31,0,1-MIN(60,COLUMN()-29),1,MIN(60,COLUMN()-29)),OFFSET(EJ489,0,-MIN(60,COLUMN()-29),1,MIN(60,COLUMN()-29))),0)</f>
        <v>8.0749984</v>
      </c>
      <c r="EK490" s="237" t="n">
        <f aca="true">IFERROR(SUMPRODUCT(OFFSET($BJ$31,0,1-MIN(60,COLUMN()-29),1,MIN(60,COLUMN()-29)),OFFSET(EK489,0,-MIN(60,COLUMN()-29),1,MIN(60,COLUMN()-29))),0)</f>
        <v>9.198496</v>
      </c>
      <c r="EL490" s="237" t="n">
        <f aca="true">IFERROR(SUMPRODUCT(OFFSET($BJ$31,0,1-MIN(60,COLUMN()-29),1,MIN(60,COLUMN()-29)),OFFSET(EL489,0,-MIN(60,COLUMN()-29),1,MIN(60,COLUMN()-29))),0)</f>
        <v>8.8136368</v>
      </c>
      <c r="EM490" s="237" t="n">
        <f aca="true">IFERROR(SUMPRODUCT(OFFSET($BJ$31,0,1-MIN(60,COLUMN()-29),1,MIN(60,COLUMN()-29)),OFFSET(EM489,0,-MIN(60,COLUMN()-29),1,MIN(60,COLUMN()-29))),0)</f>
        <v>9.083648</v>
      </c>
      <c r="EN490" s="237" t="n">
        <f aca="true">IFERROR(SUMPRODUCT(OFFSET($BJ$31,0,1-MIN(60,COLUMN()-29),1,MIN(60,COLUMN()-29)),OFFSET(EN489,0,-MIN(60,COLUMN()-29),1,MIN(60,COLUMN()-29))),0)</f>
        <v>10.7960672</v>
      </c>
      <c r="EO490" s="237" t="n">
        <f aca="true">IFERROR(SUMPRODUCT(OFFSET($BJ$31,0,1-MIN(60,COLUMN()-29),1,MIN(60,COLUMN()-29)),OFFSET(EO489,0,-MIN(60,COLUMN()-29),1,MIN(60,COLUMN()-29))),0)</f>
        <v>17.1876544</v>
      </c>
      <c r="EP490" s="237" t="n">
        <f aca="true">IFERROR(SUMPRODUCT(OFFSET($BJ$31,0,1-MIN(60,COLUMN()-29),1,MIN(60,COLUMN()-29)),OFFSET(EP489,0,-MIN(60,COLUMN()-29),1,MIN(60,COLUMN()-29))),0)</f>
        <v>17.7678144</v>
      </c>
      <c r="EQ490" s="237" t="n">
        <f aca="true">IFERROR(SUMPRODUCT(OFFSET($BJ$31,0,1-MIN(60,COLUMN()-29),1,MIN(60,COLUMN()-29)),OFFSET(EQ489,0,-MIN(60,COLUMN()-29),1,MIN(60,COLUMN()-29))),0)</f>
        <v>17.4664864</v>
      </c>
      <c r="ER490" s="237" t="n">
        <f aca="true">IFERROR(SUMPRODUCT(OFFSET($BJ$31,0,1-MIN(60,COLUMN()-29),1,MIN(60,COLUMN()-29)),OFFSET(ER489,0,-MIN(60,COLUMN()-29),1,MIN(60,COLUMN()-29))),0)</f>
        <v>15.9366992</v>
      </c>
      <c r="ES490" s="9" t="n">
        <f aca="true">IFERROR(SUMPRODUCT(OFFSET($BJ$31,0,1-MIN(60,COLUMN()-29),1,MIN(60,COLUMN()-29)),OFFSET(ES489,0,-MIN(60,COLUMN()-29),1,MIN(60,COLUMN()-29))),0)</f>
        <v>21.4711296</v>
      </c>
      <c r="ET490" s="9" t="n">
        <f aca="true">IFERROR(SUMPRODUCT(OFFSET($BJ$31,0,1-MIN(60,COLUMN()-29),1,MIN(60,COLUMN()-29)),OFFSET(ET489,0,-MIN(60,COLUMN()-29),1,MIN(60,COLUMN()-29))),0)</f>
        <v>24.8571328</v>
      </c>
      <c r="EU490" s="9" t="n">
        <f aca="true">IFERROR(SUMPRODUCT(OFFSET($BJ$31,0,1-MIN(60,COLUMN()-29),1,MIN(60,COLUMN()-29)),OFFSET(EU489,0,-MIN(60,COLUMN()-29),1,MIN(60,COLUMN()-29))),0)</f>
        <v>24.1881728</v>
      </c>
      <c r="EV490" s="9" t="n">
        <f aca="true">IFERROR(SUMPRODUCT(OFFSET($BJ$31,0,1-MIN(60,COLUMN()-29),1,MIN(60,COLUMN()-29)),OFFSET(EV489,0,-MIN(60,COLUMN()-29),1,MIN(60,COLUMN()-29))),0)</f>
        <v>30.442416</v>
      </c>
      <c r="EW490" s="9" t="n">
        <f aca="true">IFERROR(SUMPRODUCT(OFFSET($BJ$31,0,1-MIN(60,COLUMN()-29),1,MIN(60,COLUMN()-29)),OFFSET(EW489,0,-MIN(60,COLUMN()-29),1,MIN(60,COLUMN()-29))),0)</f>
        <v>34.923856</v>
      </c>
      <c r="EX490" s="9" t="n">
        <f aca="true">IFERROR(SUMPRODUCT(OFFSET($BJ$31,0,1-MIN(60,COLUMN()-29),1,MIN(60,COLUMN()-29)),OFFSET(EX489,0,-MIN(60,COLUMN()-29),1,MIN(60,COLUMN()-29))),0)</f>
        <v>35.3376048</v>
      </c>
      <c r="EY490" s="9" t="n">
        <f aca="true">IFERROR(SUMPRODUCT(OFFSET($BJ$31,0,1-MIN(60,COLUMN()-29),1,MIN(60,COLUMN()-29)),OFFSET(EY489,0,-MIN(60,COLUMN()-29),1,MIN(60,COLUMN()-29))),0)</f>
        <v>35.97249224</v>
      </c>
      <c r="EZ490" s="9" t="n">
        <f aca="true">IFERROR(SUMPRODUCT(OFFSET($BJ$31,0,1-MIN(60,COLUMN()-29),1,MIN(60,COLUMN()-29)),OFFSET(EZ489,0,-MIN(60,COLUMN()-29),1,MIN(60,COLUMN()-29))),0)</f>
        <v>40.15784936</v>
      </c>
      <c r="FA490" s="9" t="n">
        <f aca="true">IFERROR(SUMPRODUCT(OFFSET($BJ$31,0,1-MIN(60,COLUMN()-29),1,MIN(60,COLUMN()-29)),OFFSET(FA489,0,-MIN(60,COLUMN()-29),1,MIN(60,COLUMN()-29))),0)</f>
        <v>54.8063018</v>
      </c>
      <c r="FB490" s="9" t="n">
        <f aca="true">IFERROR(SUMPRODUCT(OFFSET($BJ$31,0,1-MIN(60,COLUMN()-29),1,MIN(60,COLUMN()-29)),OFFSET(FB489,0,-MIN(60,COLUMN()-29),1,MIN(60,COLUMN()-29))),0)</f>
        <v>54.2811238</v>
      </c>
      <c r="FC490" s="9" t="n">
        <f aca="true">IFERROR(SUMPRODUCT(OFFSET($BJ$31,0,1-MIN(60,COLUMN()-29),1,MIN(60,COLUMN()-29)),OFFSET(FC489,0,-MIN(60,COLUMN()-29),1,MIN(60,COLUMN()-29))),0)</f>
        <v>53.65191068</v>
      </c>
      <c r="FD490" s="9" t="n">
        <f aca="true">IFERROR(SUMPRODUCT(OFFSET($BJ$31,0,1-MIN(60,COLUMN()-29),1,MIN(60,COLUMN()-29)),OFFSET(FD489,0,-MIN(60,COLUMN()-29),1,MIN(60,COLUMN()-29))),0)</f>
        <v>50.84997764</v>
      </c>
      <c r="FE490" s="9" t="n">
        <f aca="true">IFERROR(SUMPRODUCT(OFFSET($BJ$31,0,1-MIN(60,COLUMN()-29),1,MIN(60,COLUMN()-29)),OFFSET(FE489,0,-MIN(60,COLUMN()-29),1,MIN(60,COLUMN()-29))),0)</f>
        <v>61.91747536</v>
      </c>
      <c r="FF490" s="9" t="n">
        <f aca="true">IFERROR(SUMPRODUCT(OFFSET($BJ$31,0,1-MIN(60,COLUMN()-29),1,MIN(60,COLUMN()-29)),OFFSET(FF489,0,-MIN(60,COLUMN()-29),1,MIN(60,COLUMN()-29))),0)</f>
        <v>66.4224888</v>
      </c>
      <c r="FG490" s="9" t="n">
        <f aca="true">IFERROR(SUMPRODUCT(OFFSET($BJ$31,0,1-MIN(60,COLUMN()-29),1,MIN(60,COLUMN()-29)),OFFSET(FG489,0,-MIN(60,COLUMN()-29),1,MIN(60,COLUMN()-29))),0)</f>
        <v>65.49165168</v>
      </c>
      <c r="FH490" s="9" t="n">
        <f aca="true">IFERROR(SUMPRODUCT(OFFSET($BJ$31,0,1-MIN(60,COLUMN()-29),1,MIN(60,COLUMN()-29)),OFFSET(FH489,0,-MIN(60,COLUMN()-29),1,MIN(60,COLUMN()-29))),0)</f>
        <v>77.3395608</v>
      </c>
      <c r="FI490" s="9" t="n">
        <f aca="true">IFERROR(SUMPRODUCT(OFFSET($BJ$31,0,1-MIN(60,COLUMN()-29),1,MIN(60,COLUMN()-29)),OFFSET(FI489,0,-MIN(60,COLUMN()-29),1,MIN(60,COLUMN()-29))),0)</f>
        <v>81.17179584</v>
      </c>
      <c r="FJ490" s="9" t="n">
        <f aca="true">IFERROR(SUMPRODUCT(OFFSET($BJ$31,0,1-MIN(60,COLUMN()-29),1,MIN(60,COLUMN()-29)),OFFSET(FJ489,0,-MIN(60,COLUMN()-29),1,MIN(60,COLUMN()-29))),0)</f>
        <v>81.70260672</v>
      </c>
      <c r="FK490" s="9" t="n">
        <f aca="true">IFERROR(SUMPRODUCT(OFFSET($BJ$31,0,1-MIN(60,COLUMN()-29),1,MIN(60,COLUMN()-29)),OFFSET(FK489,0,-MIN(60,COLUMN()-29),1,MIN(60,COLUMN()-29))),0)</f>
        <v>81.57365136</v>
      </c>
      <c r="FL490" s="9" t="n">
        <f aca="true">IFERROR(SUMPRODUCT(OFFSET($BJ$31,0,1-MIN(60,COLUMN()-29),1,MIN(60,COLUMN()-29)),OFFSET(FL489,0,-MIN(60,COLUMN()-29),1,MIN(60,COLUMN()-29))),0)</f>
        <v>87.95798064</v>
      </c>
      <c r="FM490" s="9" t="n">
        <f aca="true">IFERROR(SUMPRODUCT(OFFSET($BJ$31,0,1-MIN(60,COLUMN()-29),1,MIN(60,COLUMN()-29)),OFFSET(FM489,0,-MIN(60,COLUMN()-29),1,MIN(60,COLUMN()-29))),0)</f>
        <v>108.18636312</v>
      </c>
      <c r="FN490" s="9" t="n">
        <f aca="true">IFERROR(SUMPRODUCT(OFFSET($BJ$31,0,1-MIN(60,COLUMN()-29),1,MIN(60,COLUMN()-29)),OFFSET(FN489,0,-MIN(60,COLUMN()-29),1,MIN(60,COLUMN()-29))),0)</f>
        <v>108.44015352</v>
      </c>
      <c r="FO490" s="9" t="n">
        <f aca="true">IFERROR(SUMPRODUCT(OFFSET($BJ$31,0,1-MIN(60,COLUMN()-29),1,MIN(60,COLUMN()-29)),OFFSET(FO489,0,-MIN(60,COLUMN()-29),1,MIN(60,COLUMN()-29))),0)</f>
        <v>107.6545932</v>
      </c>
      <c r="FP490" s="9" t="n">
        <f aca="true">IFERROR(SUMPRODUCT(OFFSET($BJ$31,0,1-MIN(60,COLUMN()-29),1,MIN(60,COLUMN()-29)),OFFSET(FP489,0,-MIN(60,COLUMN()-29),1,MIN(60,COLUMN()-29))),0)</f>
        <v>104.74871976</v>
      </c>
    </row>
    <row r="491" customFormat="false" ht="15" hidden="false" customHeight="false" outlineLevel="2" collapsed="false">
      <c r="B491" s="47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237"/>
      <c r="AD491" s="237"/>
      <c r="AE491" s="237"/>
      <c r="AF491" s="237"/>
      <c r="AG491" s="237"/>
      <c r="AH491" s="237"/>
      <c r="AI491" s="237"/>
      <c r="AJ491" s="237"/>
      <c r="AK491" s="237"/>
      <c r="AL491" s="237"/>
      <c r="AM491" s="237"/>
      <c r="AN491" s="237"/>
      <c r="AO491" s="237"/>
      <c r="AP491" s="237"/>
      <c r="AQ491" s="237"/>
      <c r="AR491" s="237"/>
      <c r="AS491" s="237"/>
      <c r="AT491" s="237"/>
      <c r="AU491" s="237"/>
      <c r="AV491" s="237"/>
      <c r="AW491" s="237"/>
      <c r="AX491" s="237"/>
      <c r="AY491" s="237"/>
      <c r="AZ491" s="237"/>
      <c r="BA491" s="237"/>
      <c r="BB491" s="237"/>
      <c r="BC491" s="237"/>
      <c r="BD491" s="237"/>
      <c r="BE491" s="237"/>
      <c r="BF491" s="237"/>
      <c r="BG491" s="237"/>
      <c r="BH491" s="237"/>
      <c r="BI491" s="237"/>
      <c r="BJ491" s="237"/>
      <c r="BK491" s="237"/>
      <c r="BL491" s="237"/>
      <c r="BM491" s="237"/>
      <c r="BN491" s="237"/>
      <c r="BO491" s="237"/>
      <c r="BP491" s="237"/>
      <c r="BQ491" s="237"/>
      <c r="BR491" s="237"/>
      <c r="BS491" s="237"/>
      <c r="BT491" s="237"/>
      <c r="BU491" s="237"/>
      <c r="BV491" s="237"/>
      <c r="BW491" s="237"/>
      <c r="BX491" s="237"/>
      <c r="BY491" s="237"/>
      <c r="BZ491" s="237"/>
      <c r="CA491" s="237"/>
      <c r="CB491" s="237"/>
      <c r="CC491" s="237"/>
      <c r="CD491" s="237"/>
      <c r="CE491" s="237"/>
      <c r="CF491" s="237"/>
      <c r="CG491" s="237"/>
      <c r="CH491" s="237"/>
      <c r="CI491" s="237"/>
      <c r="CJ491" s="237"/>
      <c r="CK491" s="237"/>
      <c r="CL491" s="237"/>
      <c r="CM491" s="237"/>
      <c r="CN491" s="237"/>
      <c r="CO491" s="237"/>
      <c r="CP491" s="237"/>
      <c r="CQ491" s="237"/>
      <c r="CR491" s="237"/>
      <c r="CS491" s="237"/>
      <c r="CT491" s="237"/>
      <c r="CU491" s="237"/>
      <c r="CV491" s="237"/>
      <c r="CW491" s="237"/>
      <c r="CX491" s="237"/>
      <c r="CY491" s="237"/>
      <c r="CZ491" s="237"/>
      <c r="DA491" s="237"/>
      <c r="DB491" s="237"/>
      <c r="DC491" s="237"/>
      <c r="DD491" s="237"/>
      <c r="DE491" s="237"/>
      <c r="DF491" s="237"/>
      <c r="DG491" s="237"/>
      <c r="DH491" s="237"/>
      <c r="DI491" s="237"/>
      <c r="DJ491" s="237"/>
      <c r="DK491" s="237"/>
      <c r="DL491" s="237"/>
      <c r="DM491" s="237"/>
      <c r="DN491" s="237"/>
      <c r="DO491" s="237"/>
      <c r="DP491" s="237"/>
      <c r="DQ491" s="237"/>
      <c r="DR491" s="237"/>
      <c r="DS491" s="237"/>
      <c r="DT491" s="237"/>
      <c r="DU491" s="237"/>
      <c r="DV491" s="237"/>
      <c r="DW491" s="237"/>
      <c r="DX491" s="237"/>
      <c r="DY491" s="237"/>
      <c r="DZ491" s="237"/>
      <c r="EA491" s="237"/>
      <c r="EB491" s="237"/>
      <c r="EC491" s="237"/>
      <c r="ED491" s="237"/>
      <c r="EE491" s="237"/>
      <c r="EF491" s="237"/>
      <c r="EG491" s="237"/>
      <c r="EH491" s="237"/>
      <c r="EI491" s="237"/>
      <c r="EJ491" s="237"/>
      <c r="EK491" s="237"/>
      <c r="EL491" s="237"/>
      <c r="EM491" s="237"/>
      <c r="EN491" s="237"/>
      <c r="EO491" s="237"/>
      <c r="EP491" s="237"/>
      <c r="EQ491" s="237"/>
      <c r="ER491" s="237"/>
      <c r="ES491" s="9"/>
      <c r="ET491" s="9"/>
      <c r="EU491" s="9"/>
      <c r="EV491" s="9"/>
      <c r="EW491" s="9"/>
      <c r="EX491" s="9"/>
      <c r="EY491" s="9"/>
      <c r="EZ491" s="9"/>
      <c r="FA491" s="9"/>
      <c r="FB491" s="9"/>
      <c r="FC491" s="9"/>
      <c r="FD491" s="9"/>
      <c r="FE491" s="9"/>
      <c r="FF491" s="9"/>
      <c r="FG491" s="9"/>
      <c r="FH491" s="9"/>
      <c r="FI491" s="9"/>
      <c r="FJ491" s="9"/>
      <c r="FK491" s="9"/>
      <c r="FL491" s="9"/>
      <c r="FM491" s="9"/>
      <c r="FN491" s="9"/>
      <c r="FO491" s="9"/>
      <c r="FP491" s="9"/>
    </row>
    <row r="492" customFormat="false" ht="15" hidden="false" customHeight="false" outlineLevel="2" collapsed="false">
      <c r="B492" s="47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237"/>
      <c r="AD492" s="237"/>
      <c r="AE492" s="237"/>
      <c r="AF492" s="237"/>
      <c r="AG492" s="237"/>
      <c r="AH492" s="237"/>
      <c r="AI492" s="237"/>
      <c r="AJ492" s="237"/>
      <c r="AK492" s="237"/>
      <c r="AL492" s="237"/>
      <c r="AM492" s="237"/>
      <c r="AN492" s="237"/>
      <c r="AO492" s="237"/>
      <c r="AP492" s="237"/>
      <c r="AQ492" s="237"/>
      <c r="AR492" s="237"/>
      <c r="AS492" s="237"/>
      <c r="AT492" s="237"/>
      <c r="AU492" s="237"/>
      <c r="AV492" s="237"/>
      <c r="AW492" s="237"/>
      <c r="AX492" s="237"/>
      <c r="AY492" s="237"/>
      <c r="AZ492" s="237"/>
      <c r="BA492" s="237"/>
      <c r="BB492" s="237"/>
      <c r="BC492" s="237"/>
      <c r="BD492" s="237"/>
      <c r="BE492" s="237"/>
      <c r="BF492" s="237"/>
      <c r="BG492" s="237"/>
      <c r="BH492" s="237"/>
      <c r="BI492" s="237"/>
      <c r="BJ492" s="237"/>
      <c r="BK492" s="237"/>
      <c r="BL492" s="237"/>
      <c r="BM492" s="237"/>
      <c r="BN492" s="237"/>
      <c r="BO492" s="237"/>
      <c r="BP492" s="237"/>
      <c r="BQ492" s="237"/>
      <c r="BR492" s="237"/>
      <c r="BS492" s="237"/>
      <c r="BT492" s="237"/>
      <c r="BU492" s="237"/>
      <c r="BV492" s="237"/>
      <c r="BW492" s="237"/>
      <c r="BX492" s="237"/>
      <c r="BY492" s="237"/>
      <c r="BZ492" s="237"/>
      <c r="CA492" s="237"/>
      <c r="CB492" s="237"/>
      <c r="CC492" s="237"/>
      <c r="CD492" s="237"/>
      <c r="CE492" s="237"/>
      <c r="CF492" s="237"/>
      <c r="CG492" s="237"/>
      <c r="CH492" s="237"/>
      <c r="CI492" s="237"/>
      <c r="CJ492" s="237"/>
      <c r="CK492" s="237"/>
      <c r="CL492" s="237"/>
      <c r="CM492" s="237"/>
      <c r="CN492" s="237"/>
      <c r="CO492" s="237"/>
      <c r="CP492" s="237"/>
      <c r="CQ492" s="237"/>
      <c r="CR492" s="237"/>
      <c r="CS492" s="237"/>
      <c r="CT492" s="237"/>
      <c r="CU492" s="237"/>
      <c r="CV492" s="237"/>
      <c r="CW492" s="237"/>
      <c r="CX492" s="237"/>
      <c r="CY492" s="237"/>
      <c r="CZ492" s="237"/>
      <c r="DA492" s="237"/>
      <c r="DB492" s="237"/>
      <c r="DC492" s="237"/>
      <c r="DD492" s="237"/>
      <c r="DE492" s="237"/>
      <c r="DF492" s="237"/>
      <c r="DG492" s="237"/>
      <c r="DH492" s="237"/>
      <c r="DI492" s="237"/>
      <c r="DJ492" s="237"/>
      <c r="DK492" s="237"/>
      <c r="DL492" s="237"/>
      <c r="DM492" s="237"/>
      <c r="DN492" s="237"/>
      <c r="DO492" s="237"/>
      <c r="DP492" s="237"/>
      <c r="DQ492" s="237"/>
      <c r="DR492" s="237"/>
      <c r="DS492" s="237"/>
      <c r="DT492" s="237"/>
      <c r="DU492" s="237"/>
      <c r="DV492" s="237"/>
      <c r="DW492" s="237"/>
      <c r="DX492" s="237"/>
      <c r="DY492" s="237"/>
      <c r="DZ492" s="237"/>
      <c r="EA492" s="237"/>
      <c r="EB492" s="237"/>
      <c r="EC492" s="237"/>
      <c r="ED492" s="237"/>
      <c r="EE492" s="237"/>
      <c r="EF492" s="237"/>
      <c r="EG492" s="237"/>
      <c r="EH492" s="237"/>
      <c r="EI492" s="237"/>
      <c r="EJ492" s="237"/>
      <c r="EK492" s="237"/>
      <c r="EL492" s="237"/>
      <c r="EM492" s="237"/>
      <c r="EN492" s="237"/>
      <c r="EO492" s="237"/>
      <c r="EP492" s="237"/>
      <c r="EQ492" s="237"/>
      <c r="ER492" s="237"/>
      <c r="ES492" s="9"/>
      <c r="ET492" s="9"/>
      <c r="EU492" s="9"/>
      <c r="EV492" s="9"/>
      <c r="EW492" s="9"/>
      <c r="EX492" s="9"/>
      <c r="EY492" s="9"/>
      <c r="EZ492" s="9"/>
      <c r="FA492" s="9"/>
      <c r="FB492" s="9"/>
      <c r="FC492" s="9"/>
      <c r="FD492" s="9"/>
      <c r="FE492" s="9"/>
      <c r="FF492" s="9"/>
      <c r="FG492" s="9"/>
      <c r="FH492" s="9"/>
      <c r="FI492" s="9"/>
      <c r="FJ492" s="9"/>
      <c r="FK492" s="9"/>
      <c r="FL492" s="9"/>
      <c r="FM492" s="9"/>
      <c r="FN492" s="9"/>
      <c r="FO492" s="9"/>
      <c r="FP492" s="9"/>
    </row>
    <row r="493" customFormat="false" ht="15" hidden="false" customHeight="false" outlineLevel="2" collapsed="false">
      <c r="B493" s="47" t="s">
        <v>922</v>
      </c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237"/>
      <c r="AD493" s="237"/>
      <c r="AE493" s="237"/>
      <c r="AF493" s="237"/>
      <c r="AG493" s="237"/>
      <c r="AH493" s="237"/>
      <c r="AI493" s="237"/>
      <c r="AJ493" s="237"/>
      <c r="AK493" s="237"/>
      <c r="AL493" s="237"/>
      <c r="AM493" s="237"/>
      <c r="AN493" s="237"/>
      <c r="AO493" s="237"/>
      <c r="AP493" s="237"/>
      <c r="AQ493" s="237"/>
      <c r="AR493" s="237"/>
      <c r="AS493" s="237"/>
      <c r="AT493" s="237"/>
      <c r="AU493" s="237"/>
      <c r="AV493" s="237"/>
      <c r="AW493" s="237"/>
      <c r="AX493" s="237"/>
      <c r="AY493" s="237"/>
      <c r="AZ493" s="237"/>
      <c r="BA493" s="237"/>
      <c r="BB493" s="237"/>
      <c r="BC493" s="237"/>
      <c r="BD493" s="237"/>
      <c r="BE493" s="237"/>
      <c r="BF493" s="237"/>
      <c r="BG493" s="237"/>
      <c r="BH493" s="237"/>
      <c r="BI493" s="237"/>
      <c r="BJ493" s="237"/>
      <c r="BK493" s="237"/>
      <c r="BL493" s="237"/>
      <c r="BM493" s="237"/>
      <c r="BN493" s="237"/>
      <c r="BO493" s="237"/>
      <c r="BP493" s="237"/>
      <c r="BQ493" s="237"/>
      <c r="BR493" s="237"/>
      <c r="BS493" s="237"/>
      <c r="BT493" s="237"/>
      <c r="BU493" s="237"/>
      <c r="BV493" s="237"/>
      <c r="BW493" s="237"/>
      <c r="BX493" s="237"/>
      <c r="BY493" s="237"/>
      <c r="BZ493" s="237"/>
      <c r="CA493" s="237"/>
      <c r="CB493" s="237"/>
      <c r="CC493" s="237"/>
      <c r="CD493" s="237"/>
      <c r="CE493" s="237"/>
      <c r="CF493" s="237"/>
      <c r="CG493" s="237"/>
      <c r="CH493" s="237"/>
      <c r="CI493" s="237"/>
      <c r="CJ493" s="237"/>
      <c r="CK493" s="237"/>
      <c r="CL493" s="237"/>
      <c r="CM493" s="237"/>
      <c r="CN493" s="237"/>
      <c r="CO493" s="237"/>
      <c r="CP493" s="237"/>
      <c r="CQ493" s="237"/>
      <c r="CR493" s="237"/>
      <c r="CS493" s="237"/>
      <c r="CT493" s="237"/>
      <c r="CU493" s="237"/>
      <c r="CV493" s="237"/>
      <c r="CW493" s="237"/>
      <c r="CX493" s="237"/>
      <c r="CY493" s="237"/>
      <c r="CZ493" s="237"/>
      <c r="DA493" s="237"/>
      <c r="DB493" s="237"/>
      <c r="DC493" s="237"/>
      <c r="DD493" s="237"/>
      <c r="DE493" s="237"/>
      <c r="DF493" s="237"/>
      <c r="DG493" s="237"/>
      <c r="DH493" s="237"/>
      <c r="DI493" s="237"/>
      <c r="DJ493" s="237"/>
      <c r="DK493" s="237"/>
      <c r="DL493" s="237"/>
      <c r="DM493" s="237"/>
      <c r="DN493" s="237"/>
      <c r="DO493" s="237"/>
      <c r="DP493" s="237"/>
      <c r="DQ493" s="237"/>
      <c r="DR493" s="237"/>
      <c r="DS493" s="237"/>
      <c r="DT493" s="237"/>
      <c r="DU493" s="237"/>
      <c r="DV493" s="237"/>
      <c r="DW493" s="237"/>
      <c r="DX493" s="237"/>
      <c r="DY493" s="237"/>
      <c r="DZ493" s="237"/>
      <c r="EA493" s="237"/>
      <c r="EB493" s="237"/>
      <c r="EC493" s="237"/>
      <c r="ED493" s="237"/>
      <c r="EE493" s="237"/>
      <c r="EF493" s="237"/>
      <c r="EG493" s="237"/>
      <c r="EH493" s="237"/>
      <c r="EI493" s="237"/>
      <c r="EJ493" s="237"/>
      <c r="EK493" s="237"/>
      <c r="EL493" s="237"/>
      <c r="EM493" s="237"/>
      <c r="EN493" s="237"/>
      <c r="EO493" s="237"/>
      <c r="EP493" s="237"/>
      <c r="EQ493" s="237"/>
      <c r="ER493" s="237"/>
      <c r="ES493" s="9"/>
      <c r="ET493" s="9"/>
      <c r="EU493" s="9"/>
      <c r="EV493" s="9"/>
      <c r="EW493" s="9"/>
      <c r="EX493" s="9"/>
      <c r="EY493" s="9"/>
      <c r="EZ493" s="9"/>
      <c r="FA493" s="9"/>
      <c r="FB493" s="9"/>
      <c r="FC493" s="9"/>
      <c r="FD493" s="9"/>
      <c r="FE493" s="9"/>
      <c r="FF493" s="9"/>
      <c r="FG493" s="9"/>
      <c r="FH493" s="9"/>
      <c r="FI493" s="9"/>
      <c r="FJ493" s="9"/>
      <c r="FK493" s="9"/>
      <c r="FL493" s="9"/>
      <c r="FM493" s="9"/>
      <c r="FN493" s="9"/>
      <c r="FO493" s="9"/>
      <c r="FP493" s="9"/>
    </row>
    <row r="494" customFormat="false" ht="15" hidden="false" customHeight="false" outlineLevel="2" collapsed="false">
      <c r="B494" s="47" t="s">
        <v>872</v>
      </c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237" t="n">
        <f aca="false">('⑫ Roll-out Plan'!G54-2025)*12+'⑫ Roll-out Plan'!F54</f>
        <v>110</v>
      </c>
      <c r="AD494" s="237"/>
      <c r="AE494" s="237"/>
      <c r="AF494" s="237"/>
      <c r="AG494" s="237"/>
      <c r="AH494" s="237"/>
      <c r="AI494" s="237"/>
      <c r="AJ494" s="237"/>
      <c r="AK494" s="237"/>
      <c r="AL494" s="237"/>
      <c r="AM494" s="237"/>
      <c r="AN494" s="237"/>
      <c r="AO494" s="237"/>
      <c r="AP494" s="237"/>
      <c r="AQ494" s="237"/>
      <c r="AR494" s="237"/>
      <c r="AS494" s="237"/>
      <c r="AT494" s="237"/>
      <c r="AU494" s="237"/>
      <c r="AV494" s="237"/>
      <c r="AW494" s="237"/>
      <c r="AX494" s="237"/>
      <c r="AY494" s="237"/>
      <c r="AZ494" s="237"/>
      <c r="BA494" s="237"/>
      <c r="BB494" s="237"/>
      <c r="BC494" s="237"/>
      <c r="BD494" s="237"/>
      <c r="BE494" s="237"/>
      <c r="BF494" s="237"/>
      <c r="BG494" s="237"/>
      <c r="BH494" s="237"/>
      <c r="BI494" s="237"/>
      <c r="BJ494" s="237"/>
      <c r="BK494" s="237"/>
      <c r="BL494" s="237"/>
      <c r="BM494" s="237"/>
      <c r="BN494" s="237"/>
      <c r="BO494" s="237"/>
      <c r="BP494" s="237"/>
      <c r="BQ494" s="237"/>
      <c r="BR494" s="237"/>
      <c r="BS494" s="237"/>
      <c r="BT494" s="237"/>
      <c r="BU494" s="237"/>
      <c r="BV494" s="237"/>
      <c r="BW494" s="237"/>
      <c r="BX494" s="237"/>
      <c r="BY494" s="237"/>
      <c r="BZ494" s="237"/>
      <c r="CA494" s="237"/>
      <c r="CB494" s="237"/>
      <c r="CC494" s="237"/>
      <c r="CD494" s="237"/>
      <c r="CE494" s="237"/>
      <c r="CF494" s="237"/>
      <c r="CG494" s="237"/>
      <c r="CH494" s="237"/>
      <c r="CI494" s="237"/>
      <c r="CJ494" s="237"/>
      <c r="CK494" s="237"/>
      <c r="CL494" s="237"/>
      <c r="CM494" s="237"/>
      <c r="CN494" s="237"/>
      <c r="CO494" s="237"/>
      <c r="CP494" s="237"/>
      <c r="CQ494" s="237"/>
      <c r="CR494" s="237"/>
      <c r="CS494" s="237"/>
      <c r="CT494" s="237"/>
      <c r="CU494" s="237"/>
      <c r="CV494" s="237"/>
      <c r="CW494" s="237"/>
      <c r="CX494" s="237"/>
      <c r="CY494" s="237"/>
      <c r="CZ494" s="237"/>
      <c r="DA494" s="237"/>
      <c r="DB494" s="237"/>
      <c r="DC494" s="237"/>
      <c r="DD494" s="237"/>
      <c r="DE494" s="237"/>
      <c r="DF494" s="237"/>
      <c r="DG494" s="237"/>
      <c r="DH494" s="237"/>
      <c r="DI494" s="237"/>
      <c r="DJ494" s="237"/>
      <c r="DK494" s="237"/>
      <c r="DL494" s="237"/>
      <c r="DM494" s="237"/>
      <c r="DN494" s="237"/>
      <c r="DO494" s="237"/>
      <c r="DP494" s="237"/>
      <c r="DQ494" s="237"/>
      <c r="DR494" s="237"/>
      <c r="DS494" s="237"/>
      <c r="DT494" s="237"/>
      <c r="DU494" s="237"/>
      <c r="DV494" s="237"/>
      <c r="DW494" s="237"/>
      <c r="DX494" s="237"/>
      <c r="DY494" s="237"/>
      <c r="DZ494" s="237"/>
      <c r="EA494" s="237"/>
      <c r="EB494" s="237"/>
      <c r="EC494" s="237"/>
      <c r="ED494" s="237"/>
      <c r="EE494" s="237"/>
      <c r="EF494" s="237"/>
      <c r="EG494" s="237"/>
      <c r="EH494" s="237"/>
      <c r="EI494" s="237"/>
      <c r="EJ494" s="237"/>
      <c r="EK494" s="237"/>
      <c r="EL494" s="237"/>
      <c r="EM494" s="237"/>
      <c r="EN494" s="237"/>
      <c r="EO494" s="237"/>
      <c r="EP494" s="237"/>
      <c r="EQ494" s="237"/>
      <c r="ER494" s="237"/>
      <c r="ES494" s="9"/>
      <c r="ET494" s="9"/>
      <c r="EU494" s="9"/>
      <c r="EV494" s="9"/>
      <c r="EW494" s="9"/>
      <c r="EX494" s="9"/>
      <c r="EY494" s="9"/>
      <c r="EZ494" s="9"/>
      <c r="FA494" s="9"/>
      <c r="FB494" s="9"/>
      <c r="FC494" s="9"/>
      <c r="FD494" s="9"/>
      <c r="FE494" s="9"/>
      <c r="FF494" s="9"/>
      <c r="FG494" s="9"/>
      <c r="FH494" s="9"/>
      <c r="FI494" s="9"/>
      <c r="FJ494" s="9"/>
      <c r="FK494" s="9"/>
      <c r="FL494" s="9"/>
      <c r="FM494" s="9"/>
      <c r="FN494" s="9"/>
      <c r="FO494" s="9"/>
      <c r="FP494" s="9"/>
    </row>
    <row r="495" customFormat="false" ht="15" hidden="false" customHeight="false" outlineLevel="2" collapsed="false">
      <c r="B495" s="47" t="s">
        <v>873</v>
      </c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237" t="n">
        <f aca="false">VLOOKUP("B",$B$14:$C$18,2,FALSE())</f>
        <v>185</v>
      </c>
      <c r="AD495" s="237"/>
      <c r="AE495" s="237"/>
      <c r="AF495" s="237"/>
      <c r="AG495" s="237"/>
      <c r="AH495" s="237"/>
      <c r="AI495" s="237"/>
      <c r="AJ495" s="237"/>
      <c r="AK495" s="237"/>
      <c r="AL495" s="237"/>
      <c r="AM495" s="237"/>
      <c r="AN495" s="237"/>
      <c r="AO495" s="237"/>
      <c r="AP495" s="237"/>
      <c r="AQ495" s="237"/>
      <c r="AR495" s="237"/>
      <c r="AS495" s="237"/>
      <c r="AT495" s="237"/>
      <c r="AU495" s="237"/>
      <c r="AV495" s="237"/>
      <c r="AW495" s="237"/>
      <c r="AX495" s="237"/>
      <c r="AY495" s="237"/>
      <c r="AZ495" s="237"/>
      <c r="BA495" s="237"/>
      <c r="BB495" s="237"/>
      <c r="BC495" s="237"/>
      <c r="BD495" s="237"/>
      <c r="BE495" s="237"/>
      <c r="BF495" s="237"/>
      <c r="BG495" s="237"/>
      <c r="BH495" s="237"/>
      <c r="BI495" s="237"/>
      <c r="BJ495" s="237"/>
      <c r="BK495" s="237"/>
      <c r="BL495" s="237"/>
      <c r="BM495" s="237"/>
      <c r="BN495" s="237"/>
      <c r="BO495" s="237"/>
      <c r="BP495" s="237"/>
      <c r="BQ495" s="237"/>
      <c r="BR495" s="237"/>
      <c r="BS495" s="237"/>
      <c r="BT495" s="237"/>
      <c r="BU495" s="237"/>
      <c r="BV495" s="237"/>
      <c r="BW495" s="237"/>
      <c r="BX495" s="237"/>
      <c r="BY495" s="237"/>
      <c r="BZ495" s="237"/>
      <c r="CA495" s="237"/>
      <c r="CB495" s="237"/>
      <c r="CC495" s="237"/>
      <c r="CD495" s="237"/>
      <c r="CE495" s="237"/>
      <c r="CF495" s="237"/>
      <c r="CG495" s="237"/>
      <c r="CH495" s="237"/>
      <c r="CI495" s="237"/>
      <c r="CJ495" s="237"/>
      <c r="CK495" s="237"/>
      <c r="CL495" s="237"/>
      <c r="CM495" s="237"/>
      <c r="CN495" s="237"/>
      <c r="CO495" s="237"/>
      <c r="CP495" s="237"/>
      <c r="CQ495" s="237"/>
      <c r="CR495" s="237"/>
      <c r="CS495" s="237"/>
      <c r="CT495" s="237"/>
      <c r="CU495" s="237"/>
      <c r="CV495" s="237"/>
      <c r="CW495" s="237"/>
      <c r="CX495" s="237"/>
      <c r="CY495" s="237"/>
      <c r="CZ495" s="237"/>
      <c r="DA495" s="237"/>
      <c r="DB495" s="237"/>
      <c r="DC495" s="237"/>
      <c r="DD495" s="237"/>
      <c r="DE495" s="237"/>
      <c r="DF495" s="237"/>
      <c r="DG495" s="237"/>
      <c r="DH495" s="237"/>
      <c r="DI495" s="237"/>
      <c r="DJ495" s="237"/>
      <c r="DK495" s="237"/>
      <c r="DL495" s="237"/>
      <c r="DM495" s="237"/>
      <c r="DN495" s="237"/>
      <c r="DO495" s="237"/>
      <c r="DP495" s="237"/>
      <c r="DQ495" s="237"/>
      <c r="DR495" s="237"/>
      <c r="DS495" s="237"/>
      <c r="DT495" s="237"/>
      <c r="DU495" s="237"/>
      <c r="DV495" s="237"/>
      <c r="DW495" s="237"/>
      <c r="DX495" s="237"/>
      <c r="DY495" s="237"/>
      <c r="DZ495" s="237"/>
      <c r="EA495" s="237"/>
      <c r="EB495" s="237"/>
      <c r="EC495" s="237"/>
      <c r="ED495" s="237"/>
      <c r="EE495" s="237"/>
      <c r="EF495" s="237"/>
      <c r="EG495" s="237"/>
      <c r="EH495" s="237"/>
      <c r="EI495" s="237"/>
      <c r="EJ495" s="237"/>
      <c r="EK495" s="237"/>
      <c r="EL495" s="237"/>
      <c r="EM495" s="237"/>
      <c r="EN495" s="237"/>
      <c r="EO495" s="237"/>
      <c r="EP495" s="237"/>
      <c r="EQ495" s="237"/>
      <c r="ER495" s="237"/>
      <c r="ES495" s="9"/>
      <c r="ET495" s="9"/>
      <c r="EU495" s="9"/>
      <c r="EV495" s="9"/>
      <c r="EW495" s="9"/>
      <c r="EX495" s="9"/>
      <c r="EY495" s="9"/>
      <c r="EZ495" s="9"/>
      <c r="FA495" s="9"/>
      <c r="FB495" s="9"/>
      <c r="FC495" s="9"/>
      <c r="FD495" s="9"/>
      <c r="FE495" s="9"/>
      <c r="FF495" s="9"/>
      <c r="FG495" s="9"/>
      <c r="FH495" s="9"/>
      <c r="FI495" s="9"/>
      <c r="FJ495" s="9"/>
      <c r="FK495" s="9"/>
      <c r="FL495" s="9"/>
      <c r="FM495" s="9"/>
      <c r="FN495" s="9"/>
      <c r="FO495" s="9"/>
      <c r="FP495" s="9"/>
    </row>
    <row r="496" customFormat="false" ht="15" hidden="false" customHeight="false" outlineLevel="2" collapsed="false">
      <c r="B496" s="47" t="s">
        <v>799</v>
      </c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237" t="n">
        <f aca="false">IF(AC$35&gt;=$AC$494,AC$35-$AC$494+1,0)</f>
        <v>0</v>
      </c>
      <c r="AD496" s="237" t="n">
        <f aca="false">IF(AD$35&gt;=$AC$494,AD$35-$AC$494+1,0)</f>
        <v>0</v>
      </c>
      <c r="AE496" s="237" t="n">
        <f aca="false">IF(AE$35&gt;=$AC$494,AE$35-$AC$494+1,0)</f>
        <v>0</v>
      </c>
      <c r="AF496" s="237" t="n">
        <f aca="false">IF(AF$35&gt;=$AC$494,AF$35-$AC$494+1,0)</f>
        <v>0</v>
      </c>
      <c r="AG496" s="237" t="n">
        <f aca="false">IF(AG$35&gt;=$AC$494,AG$35-$AC$494+1,0)</f>
        <v>0</v>
      </c>
      <c r="AH496" s="237" t="n">
        <f aca="false">IF(AH$35&gt;=$AC$494,AH$35-$AC$494+1,0)</f>
        <v>0</v>
      </c>
      <c r="AI496" s="237" t="n">
        <f aca="false">IF(AI$35&gt;=$AC$494,AI$35-$AC$494+1,0)</f>
        <v>0</v>
      </c>
      <c r="AJ496" s="237" t="n">
        <f aca="false">IF(AJ$35&gt;=$AC$494,AJ$35-$AC$494+1,0)</f>
        <v>0</v>
      </c>
      <c r="AK496" s="237" t="n">
        <f aca="false">IF(AK$35&gt;=$AC$494,AK$35-$AC$494+1,0)</f>
        <v>0</v>
      </c>
      <c r="AL496" s="237" t="n">
        <f aca="false">IF(AL$35&gt;=$AC$494,AL$35-$AC$494+1,0)</f>
        <v>0</v>
      </c>
      <c r="AM496" s="237" t="n">
        <f aca="false">IF(AM$35&gt;=$AC$494,AM$35-$AC$494+1,0)</f>
        <v>0</v>
      </c>
      <c r="AN496" s="237" t="n">
        <f aca="false">IF(AN$35&gt;=$AC$494,AN$35-$AC$494+1,0)</f>
        <v>0</v>
      </c>
      <c r="AO496" s="237" t="n">
        <f aca="false">IF(AO$35&gt;=$AC$494,AO$35-$AC$494+1,0)</f>
        <v>0</v>
      </c>
      <c r="AP496" s="237" t="n">
        <f aca="false">IF(AP$35&gt;=$AC$494,AP$35-$AC$494+1,0)</f>
        <v>0</v>
      </c>
      <c r="AQ496" s="237" t="n">
        <f aca="false">IF(AQ$35&gt;=$AC$494,AQ$35-$AC$494+1,0)</f>
        <v>0</v>
      </c>
      <c r="AR496" s="237" t="n">
        <f aca="false">IF(AR$35&gt;=$AC$494,AR$35-$AC$494+1,0)</f>
        <v>0</v>
      </c>
      <c r="AS496" s="237" t="n">
        <f aca="false">IF(AS$35&gt;=$AC$494,AS$35-$AC$494+1,0)</f>
        <v>0</v>
      </c>
      <c r="AT496" s="237" t="n">
        <f aca="false">IF(AT$35&gt;=$AC$494,AT$35-$AC$494+1,0)</f>
        <v>0</v>
      </c>
      <c r="AU496" s="237" t="n">
        <f aca="false">IF(AU$35&gt;=$AC$494,AU$35-$AC$494+1,0)</f>
        <v>0</v>
      </c>
      <c r="AV496" s="237" t="n">
        <f aca="false">IF(AV$35&gt;=$AC$494,AV$35-$AC$494+1,0)</f>
        <v>0</v>
      </c>
      <c r="AW496" s="237" t="n">
        <f aca="false">IF(AW$35&gt;=$AC$494,AW$35-$AC$494+1,0)</f>
        <v>0</v>
      </c>
      <c r="AX496" s="237" t="n">
        <f aca="false">IF(AX$35&gt;=$AC$494,AX$35-$AC$494+1,0)</f>
        <v>0</v>
      </c>
      <c r="AY496" s="237" t="n">
        <f aca="false">IF(AY$35&gt;=$AC$494,AY$35-$AC$494+1,0)</f>
        <v>0</v>
      </c>
      <c r="AZ496" s="237" t="n">
        <f aca="false">IF(AZ$35&gt;=$AC$494,AZ$35-$AC$494+1,0)</f>
        <v>0</v>
      </c>
      <c r="BA496" s="237" t="n">
        <f aca="false">IF(BA$35&gt;=$AC$494,BA$35-$AC$494+1,0)</f>
        <v>0</v>
      </c>
      <c r="BB496" s="237" t="n">
        <f aca="false">IF(BB$35&gt;=$AC$494,BB$35-$AC$494+1,0)</f>
        <v>0</v>
      </c>
      <c r="BC496" s="237" t="n">
        <f aca="false">IF(BC$35&gt;=$AC$494,BC$35-$AC$494+1,0)</f>
        <v>0</v>
      </c>
      <c r="BD496" s="237" t="n">
        <f aca="false">IF(BD$35&gt;=$AC$494,BD$35-$AC$494+1,0)</f>
        <v>0</v>
      </c>
      <c r="BE496" s="237" t="n">
        <f aca="false">IF(BE$35&gt;=$AC$494,BE$35-$AC$494+1,0)</f>
        <v>0</v>
      </c>
      <c r="BF496" s="237" t="n">
        <f aca="false">IF(BF$35&gt;=$AC$494,BF$35-$AC$494+1,0)</f>
        <v>0</v>
      </c>
      <c r="BG496" s="237" t="n">
        <f aca="false">IF(BG$35&gt;=$AC$494,BG$35-$AC$494+1,0)</f>
        <v>0</v>
      </c>
      <c r="BH496" s="237" t="n">
        <f aca="false">IF(BH$35&gt;=$AC$494,BH$35-$AC$494+1,0)</f>
        <v>0</v>
      </c>
      <c r="BI496" s="237" t="n">
        <f aca="false">IF(BI$35&gt;=$AC$494,BI$35-$AC$494+1,0)</f>
        <v>0</v>
      </c>
      <c r="BJ496" s="237" t="n">
        <f aca="false">IF(BJ$35&gt;=$AC$494,BJ$35-$AC$494+1,0)</f>
        <v>0</v>
      </c>
      <c r="BK496" s="237" t="n">
        <f aca="false">IF(BK$35&gt;=$AC$494,BK$35-$AC$494+1,0)</f>
        <v>0</v>
      </c>
      <c r="BL496" s="237" t="n">
        <f aca="false">IF(BL$35&gt;=$AC$494,BL$35-$AC$494+1,0)</f>
        <v>0</v>
      </c>
      <c r="BM496" s="237" t="n">
        <f aca="false">IF(BM$35&gt;=$AC$494,BM$35-$AC$494+1,0)</f>
        <v>0</v>
      </c>
      <c r="BN496" s="237" t="n">
        <f aca="false">IF(BN$35&gt;=$AC$494,BN$35-$AC$494+1,0)</f>
        <v>0</v>
      </c>
      <c r="BO496" s="237" t="n">
        <f aca="false">IF(BO$35&gt;=$AC$494,BO$35-$AC$494+1,0)</f>
        <v>0</v>
      </c>
      <c r="BP496" s="237" t="n">
        <f aca="false">IF(BP$35&gt;=$AC$494,BP$35-$AC$494+1,0)</f>
        <v>0</v>
      </c>
      <c r="BQ496" s="237" t="n">
        <f aca="false">IF(BQ$35&gt;=$AC$494,BQ$35-$AC$494+1,0)</f>
        <v>0</v>
      </c>
      <c r="BR496" s="237" t="n">
        <f aca="false">IF(BR$35&gt;=$AC$494,BR$35-$AC$494+1,0)</f>
        <v>0</v>
      </c>
      <c r="BS496" s="237" t="n">
        <f aca="false">IF(BS$35&gt;=$AC$494,BS$35-$AC$494+1,0)</f>
        <v>0</v>
      </c>
      <c r="BT496" s="237" t="n">
        <f aca="false">IF(BT$35&gt;=$AC$494,BT$35-$AC$494+1,0)</f>
        <v>0</v>
      </c>
      <c r="BU496" s="237" t="n">
        <f aca="false">IF(BU$35&gt;=$AC$494,BU$35-$AC$494+1,0)</f>
        <v>0</v>
      </c>
      <c r="BV496" s="237" t="n">
        <f aca="false">IF(BV$35&gt;=$AC$494,BV$35-$AC$494+1,0)</f>
        <v>0</v>
      </c>
      <c r="BW496" s="237" t="n">
        <f aca="false">IF(BW$35&gt;=$AC$494,BW$35-$AC$494+1,0)</f>
        <v>0</v>
      </c>
      <c r="BX496" s="237" t="n">
        <f aca="false">IF(BX$35&gt;=$AC$494,BX$35-$AC$494+1,0)</f>
        <v>0</v>
      </c>
      <c r="BY496" s="237" t="n">
        <f aca="false">IF(BY$35&gt;=$AC$494,BY$35-$AC$494+1,0)</f>
        <v>0</v>
      </c>
      <c r="BZ496" s="237" t="n">
        <f aca="false">IF(BZ$35&gt;=$AC$494,BZ$35-$AC$494+1,0)</f>
        <v>0</v>
      </c>
      <c r="CA496" s="237" t="n">
        <f aca="false">IF(CA$35&gt;=$AC$494,CA$35-$AC$494+1,0)</f>
        <v>0</v>
      </c>
      <c r="CB496" s="237" t="n">
        <f aca="false">IF(CB$35&gt;=$AC$494,CB$35-$AC$494+1,0)</f>
        <v>0</v>
      </c>
      <c r="CC496" s="237" t="n">
        <f aca="false">IF(CC$35&gt;=$AC$494,CC$35-$AC$494+1,0)</f>
        <v>0</v>
      </c>
      <c r="CD496" s="237" t="n">
        <f aca="false">IF(CD$35&gt;=$AC$494,CD$35-$AC$494+1,0)</f>
        <v>0</v>
      </c>
      <c r="CE496" s="237" t="n">
        <f aca="false">IF(CE$35&gt;=$AC$494,CE$35-$AC$494+1,0)</f>
        <v>0</v>
      </c>
      <c r="CF496" s="237" t="n">
        <f aca="false">IF(CF$35&gt;=$AC$494,CF$35-$AC$494+1,0)</f>
        <v>0</v>
      </c>
      <c r="CG496" s="237" t="n">
        <f aca="false">IF(CG$35&gt;=$AC$494,CG$35-$AC$494+1,0)</f>
        <v>0</v>
      </c>
      <c r="CH496" s="237" t="n">
        <f aca="false">IF(CH$35&gt;=$AC$494,CH$35-$AC$494+1,0)</f>
        <v>0</v>
      </c>
      <c r="CI496" s="237" t="n">
        <f aca="false">IF(CI$35&gt;=$AC$494,CI$35-$AC$494+1,0)</f>
        <v>0</v>
      </c>
      <c r="CJ496" s="237" t="n">
        <f aca="false">IF(CJ$35&gt;=$AC$494,CJ$35-$AC$494+1,0)</f>
        <v>0</v>
      </c>
      <c r="CK496" s="237" t="n">
        <f aca="false">IF(CK$35&gt;=$AC$494,CK$35-$AC$494+1,0)</f>
        <v>0</v>
      </c>
      <c r="CL496" s="237" t="n">
        <f aca="false">IF(CL$35&gt;=$AC$494,CL$35-$AC$494+1,0)</f>
        <v>0</v>
      </c>
      <c r="CM496" s="237" t="n">
        <f aca="false">IF(CM$35&gt;=$AC$494,CM$35-$AC$494+1,0)</f>
        <v>0</v>
      </c>
      <c r="CN496" s="237" t="n">
        <f aca="false">IF(CN$35&gt;=$AC$494,CN$35-$AC$494+1,0)</f>
        <v>0</v>
      </c>
      <c r="CO496" s="237" t="n">
        <f aca="false">IF(CO$35&gt;=$AC$494,CO$35-$AC$494+1,0)</f>
        <v>0</v>
      </c>
      <c r="CP496" s="237" t="n">
        <f aca="false">IF(CP$35&gt;=$AC$494,CP$35-$AC$494+1,0)</f>
        <v>0</v>
      </c>
      <c r="CQ496" s="237" t="n">
        <f aca="false">IF(CQ$35&gt;=$AC$494,CQ$35-$AC$494+1,0)</f>
        <v>0</v>
      </c>
      <c r="CR496" s="237" t="n">
        <f aca="false">IF(CR$35&gt;=$AC$494,CR$35-$AC$494+1,0)</f>
        <v>0</v>
      </c>
      <c r="CS496" s="237" t="n">
        <f aca="false">IF(CS$35&gt;=$AC$494,CS$35-$AC$494+1,0)</f>
        <v>0</v>
      </c>
      <c r="CT496" s="237" t="n">
        <f aca="false">IF(CT$35&gt;=$AC$494,CT$35-$AC$494+1,0)</f>
        <v>0</v>
      </c>
      <c r="CU496" s="237" t="n">
        <f aca="false">IF(CU$35&gt;=$AC$494,CU$35-$AC$494+1,0)</f>
        <v>0</v>
      </c>
      <c r="CV496" s="237" t="n">
        <f aca="false">IF(CV$35&gt;=$AC$494,CV$35-$AC$494+1,0)</f>
        <v>0</v>
      </c>
      <c r="CW496" s="237" t="n">
        <f aca="false">IF(CW$35&gt;=$AC$494,CW$35-$AC$494+1,0)</f>
        <v>0</v>
      </c>
      <c r="CX496" s="237" t="n">
        <f aca="false">IF(CX$35&gt;=$AC$494,CX$35-$AC$494+1,0)</f>
        <v>0</v>
      </c>
      <c r="CY496" s="237" t="n">
        <f aca="false">IF(CY$35&gt;=$AC$494,CY$35-$AC$494+1,0)</f>
        <v>0</v>
      </c>
      <c r="CZ496" s="237" t="n">
        <f aca="false">IF(CZ$35&gt;=$AC$494,CZ$35-$AC$494+1,0)</f>
        <v>0</v>
      </c>
      <c r="DA496" s="237" t="n">
        <f aca="false">IF(DA$35&gt;=$AC$494,DA$35-$AC$494+1,0)</f>
        <v>0</v>
      </c>
      <c r="DB496" s="237" t="n">
        <f aca="false">IF(DB$35&gt;=$AC$494,DB$35-$AC$494+1,0)</f>
        <v>0</v>
      </c>
      <c r="DC496" s="237" t="n">
        <f aca="false">IF(DC$35&gt;=$AC$494,DC$35-$AC$494+1,0)</f>
        <v>0</v>
      </c>
      <c r="DD496" s="237" t="n">
        <f aca="false">IF(DD$35&gt;=$AC$494,DD$35-$AC$494+1,0)</f>
        <v>0</v>
      </c>
      <c r="DE496" s="237" t="n">
        <f aca="false">IF(DE$35&gt;=$AC$494,DE$35-$AC$494+1,0)</f>
        <v>0</v>
      </c>
      <c r="DF496" s="237" t="n">
        <f aca="false">IF(DF$35&gt;=$AC$494,DF$35-$AC$494+1,0)</f>
        <v>0</v>
      </c>
      <c r="DG496" s="237" t="n">
        <f aca="false">IF(DG$35&gt;=$AC$494,DG$35-$AC$494+1,0)</f>
        <v>0</v>
      </c>
      <c r="DH496" s="237" t="n">
        <f aca="false">IF(DH$35&gt;=$AC$494,DH$35-$AC$494+1,0)</f>
        <v>0</v>
      </c>
      <c r="DI496" s="237" t="n">
        <f aca="false">IF(DI$35&gt;=$AC$494,DI$35-$AC$494+1,0)</f>
        <v>0</v>
      </c>
      <c r="DJ496" s="237" t="n">
        <f aca="false">IF(DJ$35&gt;=$AC$494,DJ$35-$AC$494+1,0)</f>
        <v>0</v>
      </c>
      <c r="DK496" s="237" t="n">
        <f aca="false">IF(DK$35&gt;=$AC$494,DK$35-$AC$494+1,0)</f>
        <v>0</v>
      </c>
      <c r="DL496" s="237" t="n">
        <f aca="false">IF(DL$35&gt;=$AC$494,DL$35-$AC$494+1,0)</f>
        <v>0</v>
      </c>
      <c r="DM496" s="237" t="n">
        <f aca="false">IF(DM$35&gt;=$AC$494,DM$35-$AC$494+1,0)</f>
        <v>0</v>
      </c>
      <c r="DN496" s="237" t="n">
        <f aca="false">IF(DN$35&gt;=$AC$494,DN$35-$AC$494+1,0)</f>
        <v>0</v>
      </c>
      <c r="DO496" s="237" t="n">
        <f aca="false">IF(DO$35&gt;=$AC$494,DO$35-$AC$494+1,0)</f>
        <v>0</v>
      </c>
      <c r="DP496" s="237" t="n">
        <f aca="false">IF(DP$35&gt;=$AC$494,DP$35-$AC$494+1,0)</f>
        <v>0</v>
      </c>
      <c r="DQ496" s="237" t="n">
        <f aca="false">IF(DQ$35&gt;=$AC$494,DQ$35-$AC$494+1,0)</f>
        <v>0</v>
      </c>
      <c r="DR496" s="237" t="n">
        <f aca="false">IF(DR$35&gt;=$AC$494,DR$35-$AC$494+1,0)</f>
        <v>0</v>
      </c>
      <c r="DS496" s="237" t="n">
        <f aca="false">IF(DS$35&gt;=$AC$494,DS$35-$AC$494+1,0)</f>
        <v>0</v>
      </c>
      <c r="DT496" s="237" t="n">
        <f aca="false">IF(DT$35&gt;=$AC$494,DT$35-$AC$494+1,0)</f>
        <v>0</v>
      </c>
      <c r="DU496" s="237" t="n">
        <f aca="false">IF(DU$35&gt;=$AC$494,DU$35-$AC$494+1,0)</f>
        <v>0</v>
      </c>
      <c r="DV496" s="237" t="n">
        <f aca="false">IF(DV$35&gt;=$AC$494,DV$35-$AC$494+1,0)</f>
        <v>0</v>
      </c>
      <c r="DW496" s="237" t="n">
        <f aca="false">IF(DW$35&gt;=$AC$494,DW$35-$AC$494+1,0)</f>
        <v>0</v>
      </c>
      <c r="DX496" s="237" t="n">
        <f aca="false">IF(DX$35&gt;=$AC$494,DX$35-$AC$494+1,0)</f>
        <v>0</v>
      </c>
      <c r="DY496" s="237" t="n">
        <f aca="false">IF(DY$35&gt;=$AC$494,DY$35-$AC$494+1,0)</f>
        <v>0</v>
      </c>
      <c r="DZ496" s="237" t="n">
        <f aca="false">IF(DZ$35&gt;=$AC$494,DZ$35-$AC$494+1,0)</f>
        <v>0</v>
      </c>
      <c r="EA496" s="237" t="n">
        <f aca="false">IF(EA$35&gt;=$AC$494,EA$35-$AC$494+1,0)</f>
        <v>0</v>
      </c>
      <c r="EB496" s="237" t="n">
        <f aca="false">IF(EB$35&gt;=$AC$494,EB$35-$AC$494+1,0)</f>
        <v>0</v>
      </c>
      <c r="EC496" s="237" t="n">
        <f aca="false">IF(EC$35&gt;=$AC$494,EC$35-$AC$494+1,0)</f>
        <v>0</v>
      </c>
      <c r="ED496" s="237" t="n">
        <f aca="false">IF(ED$35&gt;=$AC$494,ED$35-$AC$494+1,0)</f>
        <v>0</v>
      </c>
      <c r="EE496" s="237" t="n">
        <f aca="false">IF(EE$35&gt;=$AC$494,EE$35-$AC$494+1,0)</f>
        <v>0</v>
      </c>
      <c r="EF496" s="237" t="n">
        <f aca="false">IF(EF$35&gt;=$AC$494,EF$35-$AC$494+1,0)</f>
        <v>0</v>
      </c>
      <c r="EG496" s="237" t="n">
        <f aca="false">IF(EG$35&gt;=$AC$494,EG$35-$AC$494+1,0)</f>
        <v>0</v>
      </c>
      <c r="EH496" s="237" t="n">
        <f aca="false">IF(EH$35&gt;=$AC$494,EH$35-$AC$494+1,0)</f>
        <v>1</v>
      </c>
      <c r="EI496" s="237" t="n">
        <f aca="false">IF(EI$35&gt;=$AC$494,EI$35-$AC$494+1,0)</f>
        <v>2</v>
      </c>
      <c r="EJ496" s="237" t="n">
        <f aca="false">IF(EJ$35&gt;=$AC$494,EJ$35-$AC$494+1,0)</f>
        <v>3</v>
      </c>
      <c r="EK496" s="237" t="n">
        <f aca="false">IF(EK$35&gt;=$AC$494,EK$35-$AC$494+1,0)</f>
        <v>4</v>
      </c>
      <c r="EL496" s="237" t="n">
        <f aca="false">IF(EL$35&gt;=$AC$494,EL$35-$AC$494+1,0)</f>
        <v>5</v>
      </c>
      <c r="EM496" s="237" t="n">
        <f aca="false">IF(EM$35&gt;=$AC$494,EM$35-$AC$494+1,0)</f>
        <v>6</v>
      </c>
      <c r="EN496" s="237" t="n">
        <f aca="false">IF(EN$35&gt;=$AC$494,EN$35-$AC$494+1,0)</f>
        <v>7</v>
      </c>
      <c r="EO496" s="237" t="n">
        <f aca="false">IF(EO$35&gt;=$AC$494,EO$35-$AC$494+1,0)</f>
        <v>8</v>
      </c>
      <c r="EP496" s="237" t="n">
        <f aca="false">IF(EP$35&gt;=$AC$494,EP$35-$AC$494+1,0)</f>
        <v>9</v>
      </c>
      <c r="EQ496" s="237" t="n">
        <f aca="false">IF(EQ$35&gt;=$AC$494,EQ$35-$AC$494+1,0)</f>
        <v>10</v>
      </c>
      <c r="ER496" s="237" t="n">
        <f aca="false">IF(ER$35&gt;=$AC$494,ER$35-$AC$494+1,0)</f>
        <v>11</v>
      </c>
      <c r="ES496" s="9" t="n">
        <f aca="false">IF(ES$35&gt;=$AC$494,ES$35-$AC$494+1,0)</f>
        <v>12</v>
      </c>
      <c r="ET496" s="9" t="n">
        <f aca="false">IF(ET$35&gt;=$AC$494,ET$35-$AC$494+1,0)</f>
        <v>13</v>
      </c>
      <c r="EU496" s="9" t="n">
        <f aca="false">IF(EU$35&gt;=$AC$494,EU$35-$AC$494+1,0)</f>
        <v>14</v>
      </c>
      <c r="EV496" s="9" t="n">
        <f aca="false">IF(EV$35&gt;=$AC$494,EV$35-$AC$494+1,0)</f>
        <v>15</v>
      </c>
      <c r="EW496" s="9" t="n">
        <f aca="false">IF(EW$35&gt;=$AC$494,EW$35-$AC$494+1,0)</f>
        <v>16</v>
      </c>
      <c r="EX496" s="9" t="n">
        <f aca="false">IF(EX$35&gt;=$AC$494,EX$35-$AC$494+1,0)</f>
        <v>17</v>
      </c>
      <c r="EY496" s="9" t="n">
        <f aca="false">IF(EY$35&gt;=$AC$494,EY$35-$AC$494+1,0)</f>
        <v>18</v>
      </c>
      <c r="EZ496" s="9" t="n">
        <f aca="false">IF(EZ$35&gt;=$AC$494,EZ$35-$AC$494+1,0)</f>
        <v>19</v>
      </c>
      <c r="FA496" s="9" t="n">
        <f aca="false">IF(FA$35&gt;=$AC$494,FA$35-$AC$494+1,0)</f>
        <v>20</v>
      </c>
      <c r="FB496" s="9" t="n">
        <f aca="false">IF(FB$35&gt;=$AC$494,FB$35-$AC$494+1,0)</f>
        <v>21</v>
      </c>
      <c r="FC496" s="9" t="n">
        <f aca="false">IF(FC$35&gt;=$AC$494,FC$35-$AC$494+1,0)</f>
        <v>22</v>
      </c>
      <c r="FD496" s="9" t="n">
        <f aca="false">IF(FD$35&gt;=$AC$494,FD$35-$AC$494+1,0)</f>
        <v>23</v>
      </c>
      <c r="FE496" s="9" t="n">
        <f aca="false">IF(FE$35&gt;=$AC$494,FE$35-$AC$494+1,0)</f>
        <v>24</v>
      </c>
      <c r="FF496" s="9" t="n">
        <f aca="false">IF(FF$35&gt;=$AC$494,FF$35-$AC$494+1,0)</f>
        <v>25</v>
      </c>
      <c r="FG496" s="9" t="n">
        <f aca="false">IF(FG$35&gt;=$AC$494,FG$35-$AC$494+1,0)</f>
        <v>26</v>
      </c>
      <c r="FH496" s="9" t="n">
        <f aca="false">IF(FH$35&gt;=$AC$494,FH$35-$AC$494+1,0)</f>
        <v>27</v>
      </c>
      <c r="FI496" s="9" t="n">
        <f aca="false">IF(FI$35&gt;=$AC$494,FI$35-$AC$494+1,0)</f>
        <v>28</v>
      </c>
      <c r="FJ496" s="9" t="n">
        <f aca="false">IF(FJ$35&gt;=$AC$494,FJ$35-$AC$494+1,0)</f>
        <v>29</v>
      </c>
      <c r="FK496" s="9" t="n">
        <f aca="false">IF(FK$35&gt;=$AC$494,FK$35-$AC$494+1,0)</f>
        <v>30</v>
      </c>
      <c r="FL496" s="9" t="n">
        <f aca="false">IF(FL$35&gt;=$AC$494,FL$35-$AC$494+1,0)</f>
        <v>31</v>
      </c>
      <c r="FM496" s="9" t="n">
        <f aca="false">IF(FM$35&gt;=$AC$494,FM$35-$AC$494+1,0)</f>
        <v>32</v>
      </c>
      <c r="FN496" s="9" t="n">
        <f aca="false">IF(FN$35&gt;=$AC$494,FN$35-$AC$494+1,0)</f>
        <v>33</v>
      </c>
      <c r="FO496" s="9" t="n">
        <f aca="false">IF(FO$35&gt;=$AC$494,FO$35-$AC$494+1,0)</f>
        <v>34</v>
      </c>
      <c r="FP496" s="9" t="n">
        <f aca="false">IF(FP$35&gt;=$AC$494,FP$35-$AC$494+1,0)</f>
        <v>35</v>
      </c>
    </row>
    <row r="497" customFormat="false" ht="15" hidden="false" customHeight="false" outlineLevel="2" collapsed="false">
      <c r="B497" s="47" t="s">
        <v>874</v>
      </c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237" t="n">
        <f aca="false" t="array" ref="AC497:AC497">IF(AC496=0,0,IF(AC496/'🎚️ Escenario'!$C$11&gt;=36,$AL$23,INDEX($C$23:$AL$23,MAX(1,ROUNDUP(AC496/'🎚️ Escenario'!$C$11,0)))))</f>
        <v>0</v>
      </c>
      <c r="AD497" s="237" t="n">
        <f aca="false" t="array" ref="AD497:AD497">IF(AD496=0,0,IF(AD496/'🎚️ Escenario'!$C$11&gt;=36,$AL$23,INDEX($C$23:$AL$23,MAX(1,ROUNDUP(AD496/'🎚️ Escenario'!$C$11,0)))))</f>
        <v>0</v>
      </c>
      <c r="AE497" s="237" t="n">
        <f aca="false" t="array" ref="AE497:AE497">IF(AE496=0,0,IF(AE496/'🎚️ Escenario'!$C$11&gt;=36,$AL$23,INDEX($C$23:$AL$23,MAX(1,ROUNDUP(AE496/'🎚️ Escenario'!$C$11,0)))))</f>
        <v>0</v>
      </c>
      <c r="AF497" s="237" t="n">
        <f aca="false" t="array" ref="AF497:AF497">IF(AF496=0,0,IF(AF496/'🎚️ Escenario'!$C$11&gt;=36,$AL$23,INDEX($C$23:$AL$23,MAX(1,ROUNDUP(AF496/'🎚️ Escenario'!$C$11,0)))))</f>
        <v>0</v>
      </c>
      <c r="AG497" s="237" t="n">
        <f aca="false" t="array" ref="AG497:AG497">IF(AG496=0,0,IF(AG496/'🎚️ Escenario'!$C$11&gt;=36,$AL$23,INDEX($C$23:$AL$23,MAX(1,ROUNDUP(AG496/'🎚️ Escenario'!$C$11,0)))))</f>
        <v>0</v>
      </c>
      <c r="AH497" s="237" t="n">
        <f aca="false" t="array" ref="AH497:AH497">IF(AH496=0,0,IF(AH496/'🎚️ Escenario'!$C$11&gt;=36,$AL$23,INDEX($C$23:$AL$23,MAX(1,ROUNDUP(AH496/'🎚️ Escenario'!$C$11,0)))))</f>
        <v>0</v>
      </c>
      <c r="AI497" s="237" t="n">
        <f aca="false" t="array" ref="AI497:AI497">IF(AI496=0,0,IF(AI496/'🎚️ Escenario'!$C$11&gt;=36,$AL$23,INDEX($C$23:$AL$23,MAX(1,ROUNDUP(AI496/'🎚️ Escenario'!$C$11,0)))))</f>
        <v>0</v>
      </c>
      <c r="AJ497" s="237" t="n">
        <f aca="false" t="array" ref="AJ497:AJ497">IF(AJ496=0,0,IF(AJ496/'🎚️ Escenario'!$C$11&gt;=36,$AL$23,INDEX($C$23:$AL$23,MAX(1,ROUNDUP(AJ496/'🎚️ Escenario'!$C$11,0)))))</f>
        <v>0</v>
      </c>
      <c r="AK497" s="237" t="n">
        <f aca="false" t="array" ref="AK497:AK497">IF(AK496=0,0,IF(AK496/'🎚️ Escenario'!$C$11&gt;=36,$AL$23,INDEX($C$23:$AL$23,MAX(1,ROUNDUP(AK496/'🎚️ Escenario'!$C$11,0)))))</f>
        <v>0</v>
      </c>
      <c r="AL497" s="237" t="n">
        <f aca="false" t="array" ref="AL497:AL497">IF(AL496=0,0,IF(AL496/'🎚️ Escenario'!$C$11&gt;=36,$AL$23,INDEX($C$23:$AL$23,MAX(1,ROUNDUP(AL496/'🎚️ Escenario'!$C$11,0)))))</f>
        <v>0</v>
      </c>
      <c r="AM497" s="237" t="n">
        <f aca="false" t="array" ref="AM497:AM497">IF(AM496=0,0,IF(AM496/'🎚️ Escenario'!$C$11&gt;=36,$AL$23,INDEX($C$23:$AL$23,MAX(1,ROUNDUP(AM496/'🎚️ Escenario'!$C$11,0)))))</f>
        <v>0</v>
      </c>
      <c r="AN497" s="237" t="n">
        <f aca="false" t="array" ref="AN497:AN497">IF(AN496=0,0,IF(AN496/'🎚️ Escenario'!$C$11&gt;=36,$AL$23,INDEX($C$23:$AL$23,MAX(1,ROUNDUP(AN496/'🎚️ Escenario'!$C$11,0)))))</f>
        <v>0</v>
      </c>
      <c r="AO497" s="237" t="n">
        <f aca="false" t="array" ref="AO497:AO497">IF(AO496=0,0,IF(AO496/'🎚️ Escenario'!$C$11&gt;=36,$AL$23,INDEX($C$23:$AL$23,MAX(1,ROUNDUP(AO496/'🎚️ Escenario'!$C$11,0)))))</f>
        <v>0</v>
      </c>
      <c r="AP497" s="237" t="n">
        <f aca="false" t="array" ref="AP497:AP497">IF(AP496=0,0,IF(AP496/'🎚️ Escenario'!$C$11&gt;=36,$AL$23,INDEX($C$23:$AL$23,MAX(1,ROUNDUP(AP496/'🎚️ Escenario'!$C$11,0)))))</f>
        <v>0</v>
      </c>
      <c r="AQ497" s="237" t="n">
        <f aca="false" t="array" ref="AQ497:AQ497">IF(AQ496=0,0,IF(AQ496/'🎚️ Escenario'!$C$11&gt;=36,$AL$23,INDEX($C$23:$AL$23,MAX(1,ROUNDUP(AQ496/'🎚️ Escenario'!$C$11,0)))))</f>
        <v>0</v>
      </c>
      <c r="AR497" s="237" t="n">
        <f aca="false" t="array" ref="AR497:AR497">IF(AR496=0,0,IF(AR496/'🎚️ Escenario'!$C$11&gt;=36,$AL$23,INDEX($C$23:$AL$23,MAX(1,ROUNDUP(AR496/'🎚️ Escenario'!$C$11,0)))))</f>
        <v>0</v>
      </c>
      <c r="AS497" s="237" t="n">
        <f aca="false" t="array" ref="AS497:AS497">IF(AS496=0,0,IF(AS496/'🎚️ Escenario'!$C$11&gt;=36,$AL$23,INDEX($C$23:$AL$23,MAX(1,ROUNDUP(AS496/'🎚️ Escenario'!$C$11,0)))))</f>
        <v>0</v>
      </c>
      <c r="AT497" s="237" t="n">
        <f aca="false" t="array" ref="AT497:AT497">IF(AT496=0,0,IF(AT496/'🎚️ Escenario'!$C$11&gt;=36,$AL$23,INDEX($C$23:$AL$23,MAX(1,ROUNDUP(AT496/'🎚️ Escenario'!$C$11,0)))))</f>
        <v>0</v>
      </c>
      <c r="AU497" s="237" t="n">
        <f aca="false" t="array" ref="AU497:AU497">IF(AU496=0,0,IF(AU496/'🎚️ Escenario'!$C$11&gt;=36,$AL$23,INDEX($C$23:$AL$23,MAX(1,ROUNDUP(AU496/'🎚️ Escenario'!$C$11,0)))))</f>
        <v>0</v>
      </c>
      <c r="AV497" s="237" t="n">
        <f aca="false" t="array" ref="AV497:AV497">IF(AV496=0,0,IF(AV496/'🎚️ Escenario'!$C$11&gt;=36,$AL$23,INDEX($C$23:$AL$23,MAX(1,ROUNDUP(AV496/'🎚️ Escenario'!$C$11,0)))))</f>
        <v>0</v>
      </c>
      <c r="AW497" s="237" t="n">
        <f aca="false" t="array" ref="AW497:AW497">IF(AW496=0,0,IF(AW496/'🎚️ Escenario'!$C$11&gt;=36,$AL$23,INDEX($C$23:$AL$23,MAX(1,ROUNDUP(AW496/'🎚️ Escenario'!$C$11,0)))))</f>
        <v>0</v>
      </c>
      <c r="AX497" s="237" t="n">
        <f aca="false" t="array" ref="AX497:AX497">IF(AX496=0,0,IF(AX496/'🎚️ Escenario'!$C$11&gt;=36,$AL$23,INDEX($C$23:$AL$23,MAX(1,ROUNDUP(AX496/'🎚️ Escenario'!$C$11,0)))))</f>
        <v>0</v>
      </c>
      <c r="AY497" s="237" t="n">
        <f aca="false" t="array" ref="AY497:AY497">IF(AY496=0,0,IF(AY496/'🎚️ Escenario'!$C$11&gt;=36,$AL$23,INDEX($C$23:$AL$23,MAX(1,ROUNDUP(AY496/'🎚️ Escenario'!$C$11,0)))))</f>
        <v>0</v>
      </c>
      <c r="AZ497" s="237" t="n">
        <f aca="false" t="array" ref="AZ497:AZ497">IF(AZ496=0,0,IF(AZ496/'🎚️ Escenario'!$C$11&gt;=36,$AL$23,INDEX($C$23:$AL$23,MAX(1,ROUNDUP(AZ496/'🎚️ Escenario'!$C$11,0)))))</f>
        <v>0</v>
      </c>
      <c r="BA497" s="237" t="n">
        <f aca="false" t="array" ref="BA497:BA497">IF(BA496=0,0,IF(BA496/'🎚️ Escenario'!$C$11&gt;=36,$AL$23,INDEX($C$23:$AL$23,MAX(1,ROUNDUP(BA496/'🎚️ Escenario'!$C$11,0)))))</f>
        <v>0</v>
      </c>
      <c r="BB497" s="237" t="n">
        <f aca="false" t="array" ref="BB497:BB497">IF(BB496=0,0,IF(BB496/'🎚️ Escenario'!$C$11&gt;=36,$AL$23,INDEX($C$23:$AL$23,MAX(1,ROUNDUP(BB496/'🎚️ Escenario'!$C$11,0)))))</f>
        <v>0</v>
      </c>
      <c r="BC497" s="237" t="n">
        <f aca="false" t="array" ref="BC497:BC497">IF(BC496=0,0,IF(BC496/'🎚️ Escenario'!$C$11&gt;=36,$AL$23,INDEX($C$23:$AL$23,MAX(1,ROUNDUP(BC496/'🎚️ Escenario'!$C$11,0)))))</f>
        <v>0</v>
      </c>
      <c r="BD497" s="237" t="n">
        <f aca="false" t="array" ref="BD497:BD497">IF(BD496=0,0,IF(BD496/'🎚️ Escenario'!$C$11&gt;=36,$AL$23,INDEX($C$23:$AL$23,MAX(1,ROUNDUP(BD496/'🎚️ Escenario'!$C$11,0)))))</f>
        <v>0</v>
      </c>
      <c r="BE497" s="237" t="n">
        <f aca="false" t="array" ref="BE497:BE497">IF(BE496=0,0,IF(BE496/'🎚️ Escenario'!$C$11&gt;=36,$AL$23,INDEX($C$23:$AL$23,MAX(1,ROUNDUP(BE496/'🎚️ Escenario'!$C$11,0)))))</f>
        <v>0</v>
      </c>
      <c r="BF497" s="237" t="n">
        <f aca="false" t="array" ref="BF497:BF497">IF(BF496=0,0,IF(BF496/'🎚️ Escenario'!$C$11&gt;=36,$AL$23,INDEX($C$23:$AL$23,MAX(1,ROUNDUP(BF496/'🎚️ Escenario'!$C$11,0)))))</f>
        <v>0</v>
      </c>
      <c r="BG497" s="237" t="n">
        <f aca="false" t="array" ref="BG497:BG497">IF(BG496=0,0,IF(BG496/'🎚️ Escenario'!$C$11&gt;=36,$AL$23,INDEX($C$23:$AL$23,MAX(1,ROUNDUP(BG496/'🎚️ Escenario'!$C$11,0)))))</f>
        <v>0</v>
      </c>
      <c r="BH497" s="237" t="n">
        <f aca="false" t="array" ref="BH497:BH497">IF(BH496=0,0,IF(BH496/'🎚️ Escenario'!$C$11&gt;=36,$AL$23,INDEX($C$23:$AL$23,MAX(1,ROUNDUP(BH496/'🎚️ Escenario'!$C$11,0)))))</f>
        <v>0</v>
      </c>
      <c r="BI497" s="237" t="n">
        <f aca="false" t="array" ref="BI497:BI497">IF(BI496=0,0,IF(BI496/'🎚️ Escenario'!$C$11&gt;=36,$AL$23,INDEX($C$23:$AL$23,MAX(1,ROUNDUP(BI496/'🎚️ Escenario'!$C$11,0)))))</f>
        <v>0</v>
      </c>
      <c r="BJ497" s="237" t="n">
        <f aca="false" t="array" ref="BJ497:BJ497">IF(BJ496=0,0,IF(BJ496/'🎚️ Escenario'!$C$11&gt;=36,$AL$23,INDEX($C$23:$AL$23,MAX(1,ROUNDUP(BJ496/'🎚️ Escenario'!$C$11,0)))))</f>
        <v>0</v>
      </c>
      <c r="BK497" s="237" t="n">
        <f aca="false" t="array" ref="BK497:BK497">IF(BK496=0,0,IF(BK496/'🎚️ Escenario'!$C$11&gt;=36,$AL$23,INDEX($C$23:$AL$23,MAX(1,ROUNDUP(BK496/'🎚️ Escenario'!$C$11,0)))))</f>
        <v>0</v>
      </c>
      <c r="BL497" s="237" t="n">
        <f aca="false" t="array" ref="BL497:BL497">IF(BL496=0,0,IF(BL496/'🎚️ Escenario'!$C$11&gt;=36,$AL$23,INDEX($C$23:$AL$23,MAX(1,ROUNDUP(BL496/'🎚️ Escenario'!$C$11,0)))))</f>
        <v>0</v>
      </c>
      <c r="BM497" s="237" t="n">
        <f aca="false" t="array" ref="BM497:BM497">IF(BM496=0,0,IF(BM496/'🎚️ Escenario'!$C$11&gt;=36,$AL$23,INDEX($C$23:$AL$23,MAX(1,ROUNDUP(BM496/'🎚️ Escenario'!$C$11,0)))))</f>
        <v>0</v>
      </c>
      <c r="BN497" s="237" t="n">
        <f aca="false" t="array" ref="BN497:BN497">IF(BN496=0,0,IF(BN496/'🎚️ Escenario'!$C$11&gt;=36,$AL$23,INDEX($C$23:$AL$23,MAX(1,ROUNDUP(BN496/'🎚️ Escenario'!$C$11,0)))))</f>
        <v>0</v>
      </c>
      <c r="BO497" s="237" t="n">
        <f aca="false" t="array" ref="BO497:BO497">IF(BO496=0,0,IF(BO496/'🎚️ Escenario'!$C$11&gt;=36,$AL$23,INDEX($C$23:$AL$23,MAX(1,ROUNDUP(BO496/'🎚️ Escenario'!$C$11,0)))))</f>
        <v>0</v>
      </c>
      <c r="BP497" s="237" t="n">
        <f aca="false" t="array" ref="BP497:BP497">IF(BP496=0,0,IF(BP496/'🎚️ Escenario'!$C$11&gt;=36,$AL$23,INDEX($C$23:$AL$23,MAX(1,ROUNDUP(BP496/'🎚️ Escenario'!$C$11,0)))))</f>
        <v>0</v>
      </c>
      <c r="BQ497" s="237" t="n">
        <f aca="false" t="array" ref="BQ497:BQ497">IF(BQ496=0,0,IF(BQ496/'🎚️ Escenario'!$C$11&gt;=36,$AL$23,INDEX($C$23:$AL$23,MAX(1,ROUNDUP(BQ496/'🎚️ Escenario'!$C$11,0)))))</f>
        <v>0</v>
      </c>
      <c r="BR497" s="237" t="n">
        <f aca="false" t="array" ref="BR497:BR497">IF(BR496=0,0,IF(BR496/'🎚️ Escenario'!$C$11&gt;=36,$AL$23,INDEX($C$23:$AL$23,MAX(1,ROUNDUP(BR496/'🎚️ Escenario'!$C$11,0)))))</f>
        <v>0</v>
      </c>
      <c r="BS497" s="237" t="n">
        <f aca="false" t="array" ref="BS497:BS497">IF(BS496=0,0,IF(BS496/'🎚️ Escenario'!$C$11&gt;=36,$AL$23,INDEX($C$23:$AL$23,MAX(1,ROUNDUP(BS496/'🎚️ Escenario'!$C$11,0)))))</f>
        <v>0</v>
      </c>
      <c r="BT497" s="237" t="n">
        <f aca="false" t="array" ref="BT497:BT497">IF(BT496=0,0,IF(BT496/'🎚️ Escenario'!$C$11&gt;=36,$AL$23,INDEX($C$23:$AL$23,MAX(1,ROUNDUP(BT496/'🎚️ Escenario'!$C$11,0)))))</f>
        <v>0</v>
      </c>
      <c r="BU497" s="237" t="n">
        <f aca="false" t="array" ref="BU497:BU497">IF(BU496=0,0,IF(BU496/'🎚️ Escenario'!$C$11&gt;=36,$AL$23,INDEX($C$23:$AL$23,MAX(1,ROUNDUP(BU496/'🎚️ Escenario'!$C$11,0)))))</f>
        <v>0</v>
      </c>
      <c r="BV497" s="237" t="n">
        <f aca="false" t="array" ref="BV497:BV497">IF(BV496=0,0,IF(BV496/'🎚️ Escenario'!$C$11&gt;=36,$AL$23,INDEX($C$23:$AL$23,MAX(1,ROUNDUP(BV496/'🎚️ Escenario'!$C$11,0)))))</f>
        <v>0</v>
      </c>
      <c r="BW497" s="237" t="n">
        <f aca="false" t="array" ref="BW497:BW497">IF(BW496=0,0,IF(BW496/'🎚️ Escenario'!$C$11&gt;=36,$AL$23,INDEX($C$23:$AL$23,MAX(1,ROUNDUP(BW496/'🎚️ Escenario'!$C$11,0)))))</f>
        <v>0</v>
      </c>
      <c r="BX497" s="237" t="n">
        <f aca="false" t="array" ref="BX497:BX497">IF(BX496=0,0,IF(BX496/'🎚️ Escenario'!$C$11&gt;=36,$AL$23,INDEX($C$23:$AL$23,MAX(1,ROUNDUP(BX496/'🎚️ Escenario'!$C$11,0)))))</f>
        <v>0</v>
      </c>
      <c r="BY497" s="237" t="n">
        <f aca="false" t="array" ref="BY497:BY497">IF(BY496=0,0,IF(BY496/'🎚️ Escenario'!$C$11&gt;=36,$AL$23,INDEX($C$23:$AL$23,MAX(1,ROUNDUP(BY496/'🎚️ Escenario'!$C$11,0)))))</f>
        <v>0</v>
      </c>
      <c r="BZ497" s="237" t="n">
        <f aca="false" t="array" ref="BZ497:BZ497">IF(BZ496=0,0,IF(BZ496/'🎚️ Escenario'!$C$11&gt;=36,$AL$23,INDEX($C$23:$AL$23,MAX(1,ROUNDUP(BZ496/'🎚️ Escenario'!$C$11,0)))))</f>
        <v>0</v>
      </c>
      <c r="CA497" s="237" t="n">
        <f aca="false" t="array" ref="CA497:CA497">IF(CA496=0,0,IF(CA496/'🎚️ Escenario'!$C$11&gt;=36,$AL$23,INDEX($C$23:$AL$23,MAX(1,ROUNDUP(CA496/'🎚️ Escenario'!$C$11,0)))))</f>
        <v>0</v>
      </c>
      <c r="CB497" s="237" t="n">
        <f aca="false" t="array" ref="CB497:CB497">IF(CB496=0,0,IF(CB496/'🎚️ Escenario'!$C$11&gt;=36,$AL$23,INDEX($C$23:$AL$23,MAX(1,ROUNDUP(CB496/'🎚️ Escenario'!$C$11,0)))))</f>
        <v>0</v>
      </c>
      <c r="CC497" s="237" t="n">
        <f aca="false" t="array" ref="CC497:CC497">IF(CC496=0,0,IF(CC496/'🎚️ Escenario'!$C$11&gt;=36,$AL$23,INDEX($C$23:$AL$23,MAX(1,ROUNDUP(CC496/'🎚️ Escenario'!$C$11,0)))))</f>
        <v>0</v>
      </c>
      <c r="CD497" s="237" t="n">
        <f aca="false" t="array" ref="CD497:CD497">IF(CD496=0,0,IF(CD496/'🎚️ Escenario'!$C$11&gt;=36,$AL$23,INDEX($C$23:$AL$23,MAX(1,ROUNDUP(CD496/'🎚️ Escenario'!$C$11,0)))))</f>
        <v>0</v>
      </c>
      <c r="CE497" s="237" t="n">
        <f aca="false" t="array" ref="CE497:CE497">IF(CE496=0,0,IF(CE496/'🎚️ Escenario'!$C$11&gt;=36,$AL$23,INDEX($C$23:$AL$23,MAX(1,ROUNDUP(CE496/'🎚️ Escenario'!$C$11,0)))))</f>
        <v>0</v>
      </c>
      <c r="CF497" s="237" t="n">
        <f aca="false" t="array" ref="CF497:CF497">IF(CF496=0,0,IF(CF496/'🎚️ Escenario'!$C$11&gt;=36,$AL$23,INDEX($C$23:$AL$23,MAX(1,ROUNDUP(CF496/'🎚️ Escenario'!$C$11,0)))))</f>
        <v>0</v>
      </c>
      <c r="CG497" s="237" t="n">
        <f aca="false" t="array" ref="CG497:CG497">IF(CG496=0,0,IF(CG496/'🎚️ Escenario'!$C$11&gt;=36,$AL$23,INDEX($C$23:$AL$23,MAX(1,ROUNDUP(CG496/'🎚️ Escenario'!$C$11,0)))))</f>
        <v>0</v>
      </c>
      <c r="CH497" s="237" t="n">
        <f aca="false" t="array" ref="CH497:CH497">IF(CH496=0,0,IF(CH496/'🎚️ Escenario'!$C$11&gt;=36,$AL$23,INDEX($C$23:$AL$23,MAX(1,ROUNDUP(CH496/'🎚️ Escenario'!$C$11,0)))))</f>
        <v>0</v>
      </c>
      <c r="CI497" s="237" t="n">
        <f aca="false" t="array" ref="CI497:CI497">IF(CI496=0,0,IF(CI496/'🎚️ Escenario'!$C$11&gt;=36,$AL$23,INDEX($C$23:$AL$23,MAX(1,ROUNDUP(CI496/'🎚️ Escenario'!$C$11,0)))))</f>
        <v>0</v>
      </c>
      <c r="CJ497" s="237" t="n">
        <f aca="false" t="array" ref="CJ497:CJ497">IF(CJ496=0,0,IF(CJ496/'🎚️ Escenario'!$C$11&gt;=36,$AL$23,INDEX($C$23:$AL$23,MAX(1,ROUNDUP(CJ496/'🎚️ Escenario'!$C$11,0)))))</f>
        <v>0</v>
      </c>
      <c r="CK497" s="237" t="n">
        <f aca="false" t="array" ref="CK497:CK497">IF(CK496=0,0,IF(CK496/'🎚️ Escenario'!$C$11&gt;=36,$AL$23,INDEX($C$23:$AL$23,MAX(1,ROUNDUP(CK496/'🎚️ Escenario'!$C$11,0)))))</f>
        <v>0</v>
      </c>
      <c r="CL497" s="237" t="n">
        <f aca="false" t="array" ref="CL497:CL497">IF(CL496=0,0,IF(CL496/'🎚️ Escenario'!$C$11&gt;=36,$AL$23,INDEX($C$23:$AL$23,MAX(1,ROUNDUP(CL496/'🎚️ Escenario'!$C$11,0)))))</f>
        <v>0</v>
      </c>
      <c r="CM497" s="237" t="n">
        <f aca="false" t="array" ref="CM497:CM497">IF(CM496=0,0,IF(CM496/'🎚️ Escenario'!$C$11&gt;=36,$AL$23,INDEX($C$23:$AL$23,MAX(1,ROUNDUP(CM496/'🎚️ Escenario'!$C$11,0)))))</f>
        <v>0</v>
      </c>
      <c r="CN497" s="237" t="n">
        <f aca="false" t="array" ref="CN497:CN497">IF(CN496=0,0,IF(CN496/'🎚️ Escenario'!$C$11&gt;=36,$AL$23,INDEX($C$23:$AL$23,MAX(1,ROUNDUP(CN496/'🎚️ Escenario'!$C$11,0)))))</f>
        <v>0</v>
      </c>
      <c r="CO497" s="237" t="n">
        <f aca="false" t="array" ref="CO497:CO497">IF(CO496=0,0,IF(CO496/'🎚️ Escenario'!$C$11&gt;=36,$AL$23,INDEX($C$23:$AL$23,MAX(1,ROUNDUP(CO496/'🎚️ Escenario'!$C$11,0)))))</f>
        <v>0</v>
      </c>
      <c r="CP497" s="237" t="n">
        <f aca="false" t="array" ref="CP497:CP497">IF(CP496=0,0,IF(CP496/'🎚️ Escenario'!$C$11&gt;=36,$AL$23,INDEX($C$23:$AL$23,MAX(1,ROUNDUP(CP496/'🎚️ Escenario'!$C$11,0)))))</f>
        <v>0</v>
      </c>
      <c r="CQ497" s="237" t="n">
        <f aca="false" t="array" ref="CQ497:CQ497">IF(CQ496=0,0,IF(CQ496/'🎚️ Escenario'!$C$11&gt;=36,$AL$23,INDEX($C$23:$AL$23,MAX(1,ROUNDUP(CQ496/'🎚️ Escenario'!$C$11,0)))))</f>
        <v>0</v>
      </c>
      <c r="CR497" s="237" t="n">
        <f aca="false" t="array" ref="CR497:CR497">IF(CR496=0,0,IF(CR496/'🎚️ Escenario'!$C$11&gt;=36,$AL$23,INDEX($C$23:$AL$23,MAX(1,ROUNDUP(CR496/'🎚️ Escenario'!$C$11,0)))))</f>
        <v>0</v>
      </c>
      <c r="CS497" s="237" t="n">
        <f aca="false" t="array" ref="CS497:CS497">IF(CS496=0,0,IF(CS496/'🎚️ Escenario'!$C$11&gt;=36,$AL$23,INDEX($C$23:$AL$23,MAX(1,ROUNDUP(CS496/'🎚️ Escenario'!$C$11,0)))))</f>
        <v>0</v>
      </c>
      <c r="CT497" s="237" t="n">
        <f aca="false" t="array" ref="CT497:CT497">IF(CT496=0,0,IF(CT496/'🎚️ Escenario'!$C$11&gt;=36,$AL$23,INDEX($C$23:$AL$23,MAX(1,ROUNDUP(CT496/'🎚️ Escenario'!$C$11,0)))))</f>
        <v>0</v>
      </c>
      <c r="CU497" s="237" t="n">
        <f aca="false" t="array" ref="CU497:CU497">IF(CU496=0,0,IF(CU496/'🎚️ Escenario'!$C$11&gt;=36,$AL$23,INDEX($C$23:$AL$23,MAX(1,ROUNDUP(CU496/'🎚️ Escenario'!$C$11,0)))))</f>
        <v>0</v>
      </c>
      <c r="CV497" s="237" t="n">
        <f aca="false" t="array" ref="CV497:CV497">IF(CV496=0,0,IF(CV496/'🎚️ Escenario'!$C$11&gt;=36,$AL$23,INDEX($C$23:$AL$23,MAX(1,ROUNDUP(CV496/'🎚️ Escenario'!$C$11,0)))))</f>
        <v>0</v>
      </c>
      <c r="CW497" s="237" t="n">
        <f aca="false" t="array" ref="CW497:CW497">IF(CW496=0,0,IF(CW496/'🎚️ Escenario'!$C$11&gt;=36,$AL$23,INDEX($C$23:$AL$23,MAX(1,ROUNDUP(CW496/'🎚️ Escenario'!$C$11,0)))))</f>
        <v>0</v>
      </c>
      <c r="CX497" s="237" t="n">
        <f aca="false" t="array" ref="CX497:CX497">IF(CX496=0,0,IF(CX496/'🎚️ Escenario'!$C$11&gt;=36,$AL$23,INDEX($C$23:$AL$23,MAX(1,ROUNDUP(CX496/'🎚️ Escenario'!$C$11,0)))))</f>
        <v>0</v>
      </c>
      <c r="CY497" s="237" t="n">
        <f aca="false" t="array" ref="CY497:CY497">IF(CY496=0,0,IF(CY496/'🎚️ Escenario'!$C$11&gt;=36,$AL$23,INDEX($C$23:$AL$23,MAX(1,ROUNDUP(CY496/'🎚️ Escenario'!$C$11,0)))))</f>
        <v>0</v>
      </c>
      <c r="CZ497" s="237" t="n">
        <f aca="false" t="array" ref="CZ497:CZ497">IF(CZ496=0,0,IF(CZ496/'🎚️ Escenario'!$C$11&gt;=36,$AL$23,INDEX($C$23:$AL$23,MAX(1,ROUNDUP(CZ496/'🎚️ Escenario'!$C$11,0)))))</f>
        <v>0</v>
      </c>
      <c r="DA497" s="237" t="n">
        <f aca="false" t="array" ref="DA497:DA497">IF(DA496=0,0,IF(DA496/'🎚️ Escenario'!$C$11&gt;=36,$AL$23,INDEX($C$23:$AL$23,MAX(1,ROUNDUP(DA496/'🎚️ Escenario'!$C$11,0)))))</f>
        <v>0</v>
      </c>
      <c r="DB497" s="237" t="n">
        <f aca="false" t="array" ref="DB497:DB497">IF(DB496=0,0,IF(DB496/'🎚️ Escenario'!$C$11&gt;=36,$AL$23,INDEX($C$23:$AL$23,MAX(1,ROUNDUP(DB496/'🎚️ Escenario'!$C$11,0)))))</f>
        <v>0</v>
      </c>
      <c r="DC497" s="237" t="n">
        <f aca="false" t="array" ref="DC497:DC497">IF(DC496=0,0,IF(DC496/'🎚️ Escenario'!$C$11&gt;=36,$AL$23,INDEX($C$23:$AL$23,MAX(1,ROUNDUP(DC496/'🎚️ Escenario'!$C$11,0)))))</f>
        <v>0</v>
      </c>
      <c r="DD497" s="237" t="n">
        <f aca="false" t="array" ref="DD497:DD497">IF(DD496=0,0,IF(DD496/'🎚️ Escenario'!$C$11&gt;=36,$AL$23,INDEX($C$23:$AL$23,MAX(1,ROUNDUP(DD496/'🎚️ Escenario'!$C$11,0)))))</f>
        <v>0</v>
      </c>
      <c r="DE497" s="237" t="n">
        <f aca="false" t="array" ref="DE497:DE497">IF(DE496=0,0,IF(DE496/'🎚️ Escenario'!$C$11&gt;=36,$AL$23,INDEX($C$23:$AL$23,MAX(1,ROUNDUP(DE496/'🎚️ Escenario'!$C$11,0)))))</f>
        <v>0</v>
      </c>
      <c r="DF497" s="237" t="n">
        <f aca="false" t="array" ref="DF497:DF497">IF(DF496=0,0,IF(DF496/'🎚️ Escenario'!$C$11&gt;=36,$AL$23,INDEX($C$23:$AL$23,MAX(1,ROUNDUP(DF496/'🎚️ Escenario'!$C$11,0)))))</f>
        <v>0</v>
      </c>
      <c r="DG497" s="237" t="n">
        <f aca="false" t="array" ref="DG497:DG497">IF(DG496=0,0,IF(DG496/'🎚️ Escenario'!$C$11&gt;=36,$AL$23,INDEX($C$23:$AL$23,MAX(1,ROUNDUP(DG496/'🎚️ Escenario'!$C$11,0)))))</f>
        <v>0</v>
      </c>
      <c r="DH497" s="237" t="n">
        <f aca="false" t="array" ref="DH497:DH497">IF(DH496=0,0,IF(DH496/'🎚️ Escenario'!$C$11&gt;=36,$AL$23,INDEX($C$23:$AL$23,MAX(1,ROUNDUP(DH496/'🎚️ Escenario'!$C$11,0)))))</f>
        <v>0</v>
      </c>
      <c r="DI497" s="237" t="n">
        <f aca="false" t="array" ref="DI497:DI497">IF(DI496=0,0,IF(DI496/'🎚️ Escenario'!$C$11&gt;=36,$AL$23,INDEX($C$23:$AL$23,MAX(1,ROUNDUP(DI496/'🎚️ Escenario'!$C$11,0)))))</f>
        <v>0</v>
      </c>
      <c r="DJ497" s="237" t="n">
        <f aca="false" t="array" ref="DJ497:DJ497">IF(DJ496=0,0,IF(DJ496/'🎚️ Escenario'!$C$11&gt;=36,$AL$23,INDEX($C$23:$AL$23,MAX(1,ROUNDUP(DJ496/'🎚️ Escenario'!$C$11,0)))))</f>
        <v>0</v>
      </c>
      <c r="DK497" s="237" t="n">
        <f aca="false" t="array" ref="DK497:DK497">IF(DK496=0,0,IF(DK496/'🎚️ Escenario'!$C$11&gt;=36,$AL$23,INDEX($C$23:$AL$23,MAX(1,ROUNDUP(DK496/'🎚️ Escenario'!$C$11,0)))))</f>
        <v>0</v>
      </c>
      <c r="DL497" s="237" t="n">
        <f aca="false" t="array" ref="DL497:DL497">IF(DL496=0,0,IF(DL496/'🎚️ Escenario'!$C$11&gt;=36,$AL$23,INDEX($C$23:$AL$23,MAX(1,ROUNDUP(DL496/'🎚️ Escenario'!$C$11,0)))))</f>
        <v>0</v>
      </c>
      <c r="DM497" s="237" t="n">
        <f aca="false" t="array" ref="DM497:DM497">IF(DM496=0,0,IF(DM496/'🎚️ Escenario'!$C$11&gt;=36,$AL$23,INDEX($C$23:$AL$23,MAX(1,ROUNDUP(DM496/'🎚️ Escenario'!$C$11,0)))))</f>
        <v>0</v>
      </c>
      <c r="DN497" s="237" t="n">
        <f aca="false" t="array" ref="DN497:DN497">IF(DN496=0,0,IF(DN496/'🎚️ Escenario'!$C$11&gt;=36,$AL$23,INDEX($C$23:$AL$23,MAX(1,ROUNDUP(DN496/'🎚️ Escenario'!$C$11,0)))))</f>
        <v>0</v>
      </c>
      <c r="DO497" s="237" t="n">
        <f aca="false" t="array" ref="DO497:DO497">IF(DO496=0,0,IF(DO496/'🎚️ Escenario'!$C$11&gt;=36,$AL$23,INDEX($C$23:$AL$23,MAX(1,ROUNDUP(DO496/'🎚️ Escenario'!$C$11,0)))))</f>
        <v>0</v>
      </c>
      <c r="DP497" s="237" t="n">
        <f aca="false" t="array" ref="DP497:DP497">IF(DP496=0,0,IF(DP496/'🎚️ Escenario'!$C$11&gt;=36,$AL$23,INDEX($C$23:$AL$23,MAX(1,ROUNDUP(DP496/'🎚️ Escenario'!$C$11,0)))))</f>
        <v>0</v>
      </c>
      <c r="DQ497" s="237" t="n">
        <f aca="false" t="array" ref="DQ497:DQ497">IF(DQ496=0,0,IF(DQ496/'🎚️ Escenario'!$C$11&gt;=36,$AL$23,INDEX($C$23:$AL$23,MAX(1,ROUNDUP(DQ496/'🎚️ Escenario'!$C$11,0)))))</f>
        <v>0</v>
      </c>
      <c r="DR497" s="237" t="n">
        <f aca="false" t="array" ref="DR497:DR497">IF(DR496=0,0,IF(DR496/'🎚️ Escenario'!$C$11&gt;=36,$AL$23,INDEX($C$23:$AL$23,MAX(1,ROUNDUP(DR496/'🎚️ Escenario'!$C$11,0)))))</f>
        <v>0</v>
      </c>
      <c r="DS497" s="237" t="n">
        <f aca="false" t="array" ref="DS497:DS497">IF(DS496=0,0,IF(DS496/'🎚️ Escenario'!$C$11&gt;=36,$AL$23,INDEX($C$23:$AL$23,MAX(1,ROUNDUP(DS496/'🎚️ Escenario'!$C$11,0)))))</f>
        <v>0</v>
      </c>
      <c r="DT497" s="237" t="n">
        <f aca="false" t="array" ref="DT497:DT497">IF(DT496=0,0,IF(DT496/'🎚️ Escenario'!$C$11&gt;=36,$AL$23,INDEX($C$23:$AL$23,MAX(1,ROUNDUP(DT496/'🎚️ Escenario'!$C$11,0)))))</f>
        <v>0</v>
      </c>
      <c r="DU497" s="237" t="n">
        <f aca="false" t="array" ref="DU497:DU497">IF(DU496=0,0,IF(DU496/'🎚️ Escenario'!$C$11&gt;=36,$AL$23,INDEX($C$23:$AL$23,MAX(1,ROUNDUP(DU496/'🎚️ Escenario'!$C$11,0)))))</f>
        <v>0</v>
      </c>
      <c r="DV497" s="237" t="n">
        <f aca="false" t="array" ref="DV497:DV497">IF(DV496=0,0,IF(DV496/'🎚️ Escenario'!$C$11&gt;=36,$AL$23,INDEX($C$23:$AL$23,MAX(1,ROUNDUP(DV496/'🎚️ Escenario'!$C$11,0)))))</f>
        <v>0</v>
      </c>
      <c r="DW497" s="237" t="n">
        <f aca="false" t="array" ref="DW497:DW497">IF(DW496=0,0,IF(DW496/'🎚️ Escenario'!$C$11&gt;=36,$AL$23,INDEX($C$23:$AL$23,MAX(1,ROUNDUP(DW496/'🎚️ Escenario'!$C$11,0)))))</f>
        <v>0</v>
      </c>
      <c r="DX497" s="237" t="n">
        <f aca="false" t="array" ref="DX497:DX497">IF(DX496=0,0,IF(DX496/'🎚️ Escenario'!$C$11&gt;=36,$AL$23,INDEX($C$23:$AL$23,MAX(1,ROUNDUP(DX496/'🎚️ Escenario'!$C$11,0)))))</f>
        <v>0</v>
      </c>
      <c r="DY497" s="237" t="n">
        <f aca="false" t="array" ref="DY497:DY497">IF(DY496=0,0,IF(DY496/'🎚️ Escenario'!$C$11&gt;=36,$AL$23,INDEX($C$23:$AL$23,MAX(1,ROUNDUP(DY496/'🎚️ Escenario'!$C$11,0)))))</f>
        <v>0</v>
      </c>
      <c r="DZ497" s="237" t="n">
        <f aca="false" t="array" ref="DZ497:DZ497">IF(DZ496=0,0,IF(DZ496/'🎚️ Escenario'!$C$11&gt;=36,$AL$23,INDEX($C$23:$AL$23,MAX(1,ROUNDUP(DZ496/'🎚️ Escenario'!$C$11,0)))))</f>
        <v>0</v>
      </c>
      <c r="EA497" s="237" t="n">
        <f aca="false" t="array" ref="EA497:EA497">IF(EA496=0,0,IF(EA496/'🎚️ Escenario'!$C$11&gt;=36,$AL$23,INDEX($C$23:$AL$23,MAX(1,ROUNDUP(EA496/'🎚️ Escenario'!$C$11,0)))))</f>
        <v>0</v>
      </c>
      <c r="EB497" s="237" t="n">
        <f aca="false" t="array" ref="EB497:EB497">IF(EB496=0,0,IF(EB496/'🎚️ Escenario'!$C$11&gt;=36,$AL$23,INDEX($C$23:$AL$23,MAX(1,ROUNDUP(EB496/'🎚️ Escenario'!$C$11,0)))))</f>
        <v>0</v>
      </c>
      <c r="EC497" s="237" t="n">
        <f aca="false" t="array" ref="EC497:EC497">IF(EC496=0,0,IF(EC496/'🎚️ Escenario'!$C$11&gt;=36,$AL$23,INDEX($C$23:$AL$23,MAX(1,ROUNDUP(EC496/'🎚️ Escenario'!$C$11,0)))))</f>
        <v>0</v>
      </c>
      <c r="ED497" s="237" t="n">
        <f aca="false" t="array" ref="ED497:ED497">IF(ED496=0,0,IF(ED496/'🎚️ Escenario'!$C$11&gt;=36,$AL$23,INDEX($C$23:$AL$23,MAX(1,ROUNDUP(ED496/'🎚️ Escenario'!$C$11,0)))))</f>
        <v>0</v>
      </c>
      <c r="EE497" s="237" t="n">
        <f aca="false" t="array" ref="EE497:EE497">IF(EE496=0,0,IF(EE496/'🎚️ Escenario'!$C$11&gt;=36,$AL$23,INDEX($C$23:$AL$23,MAX(1,ROUNDUP(EE496/'🎚️ Escenario'!$C$11,0)))))</f>
        <v>0</v>
      </c>
      <c r="EF497" s="237" t="n">
        <f aca="false" t="array" ref="EF497:EF497">IF(EF496=0,0,IF(EF496/'🎚️ Escenario'!$C$11&gt;=36,$AL$23,INDEX($C$23:$AL$23,MAX(1,ROUNDUP(EF496/'🎚️ Escenario'!$C$11,0)))))</f>
        <v>0</v>
      </c>
      <c r="EG497" s="237" t="n">
        <f aca="false" t="array" ref="EG497:EG497">IF(EG496=0,0,IF(EG496/'🎚️ Escenario'!$C$11&gt;=36,$AL$23,INDEX($C$23:$AL$23,MAX(1,ROUNDUP(EG496/'🎚️ Escenario'!$C$11,0)))))</f>
        <v>0</v>
      </c>
      <c r="EH497" s="237" t="n">
        <f aca="false" t="array" ref="EH497:EH497">IF(EH496=0,0,IF(EH496/'🎚️ Escenario'!$C$11&gt;=36,$AL$23,INDEX($C$23:$AL$23,MAX(1,ROUNDUP(EH496/'🎚️ Escenario'!$C$11,0)))))</f>
        <v>0.2</v>
      </c>
      <c r="EI497" s="237" t="n">
        <f aca="false" t="array" ref="EI497:EI497">IF(EI496=0,0,IF(EI496/'🎚️ Escenario'!$C$11&gt;=36,$AL$23,INDEX($C$23:$AL$23,MAX(1,ROUNDUP(EI496/'🎚️ Escenario'!$C$11,0)))))</f>
        <v>0.22</v>
      </c>
      <c r="EJ497" s="237" t="n">
        <f aca="false" t="array" ref="EJ497:EJ497">IF(EJ496=0,0,IF(EJ496/'🎚️ Escenario'!$C$11&gt;=36,$AL$23,INDEX($C$23:$AL$23,MAX(1,ROUNDUP(EJ496/'🎚️ Escenario'!$C$11,0)))))</f>
        <v>0.24</v>
      </c>
      <c r="EK497" s="237" t="n">
        <f aca="false" t="array" ref="EK497:EK497">IF(EK496=0,0,IF(EK496/'🎚️ Escenario'!$C$11&gt;=36,$AL$23,INDEX($C$23:$AL$23,MAX(1,ROUNDUP(EK496/'🎚️ Escenario'!$C$11,0)))))</f>
        <v>0.27</v>
      </c>
      <c r="EL497" s="237" t="n">
        <f aca="false" t="array" ref="EL497:EL497">IF(EL496=0,0,IF(EL496/'🎚️ Escenario'!$C$11&gt;=36,$AL$23,INDEX($C$23:$AL$23,MAX(1,ROUNDUP(EL496/'🎚️ Escenario'!$C$11,0)))))</f>
        <v>0.27</v>
      </c>
      <c r="EM497" s="237" t="n">
        <f aca="false" t="array" ref="EM497:EM497">IF(EM496=0,0,IF(EM496/'🎚️ Escenario'!$C$11&gt;=36,$AL$23,INDEX($C$23:$AL$23,MAX(1,ROUNDUP(EM496/'🎚️ Escenario'!$C$11,0)))))</f>
        <v>0.31</v>
      </c>
      <c r="EN497" s="237" t="n">
        <f aca="false" t="array" ref="EN497:EN497">IF(EN496=0,0,IF(EN496/'🎚️ Escenario'!$C$11&gt;=36,$AL$23,INDEX($C$23:$AL$23,MAX(1,ROUNDUP(EN496/'🎚️ Escenario'!$C$11,0)))))</f>
        <v>0.35</v>
      </c>
      <c r="EO497" s="237" t="n">
        <f aca="false" t="array" ref="EO497:EO497">IF(EO496=0,0,IF(EO496/'🎚️ Escenario'!$C$11&gt;=36,$AL$23,INDEX($C$23:$AL$23,MAX(1,ROUNDUP(EO496/'🎚️ Escenario'!$C$11,0)))))</f>
        <v>0.39</v>
      </c>
      <c r="EP497" s="237" t="n">
        <f aca="false" t="array" ref="EP497:EP497">IF(EP496=0,0,IF(EP496/'🎚️ Escenario'!$C$11&gt;=36,$AL$23,INDEX($C$23:$AL$23,MAX(1,ROUNDUP(EP496/'🎚️ Escenario'!$C$11,0)))))</f>
        <v>0.44</v>
      </c>
      <c r="EQ497" s="237" t="n">
        <f aca="false" t="array" ref="EQ497:EQ497">IF(EQ496=0,0,IF(EQ496/'🎚️ Escenario'!$C$11&gt;=36,$AL$23,INDEX($C$23:$AL$23,MAX(1,ROUNDUP(EQ496/'🎚️ Escenario'!$C$11,0)))))</f>
        <v>0.44</v>
      </c>
      <c r="ER497" s="237" t="n">
        <f aca="false" t="array" ref="ER497:ER497">IF(ER496=0,0,IF(ER496/'🎚️ Escenario'!$C$11&gt;=36,$AL$23,INDEX($C$23:$AL$23,MAX(1,ROUNDUP(ER496/'🎚️ Escenario'!$C$11,0)))))</f>
        <v>0.48</v>
      </c>
      <c r="ES497" s="9" t="n">
        <f aca="false" t="array" ref="ES497:ES497">IF(ES496=0,0,IF(ES496/'🎚️ Escenario'!$C$11&gt;=36,$AL$23,INDEX($C$23:$AL$23,MAX(1,ROUNDUP(ES496/'🎚️ Escenario'!$C$11,0)))))</f>
        <v>0.52</v>
      </c>
      <c r="ET497" s="9" t="n">
        <f aca="false" t="array" ref="ET497:ET497">IF(ET496=0,0,IF(ET496/'🎚️ Escenario'!$C$11&gt;=36,$AL$23,INDEX($C$23:$AL$23,MAX(1,ROUNDUP(ET496/'🎚️ Escenario'!$C$11,0)))))</f>
        <v>0.56</v>
      </c>
      <c r="EU497" s="9" t="n">
        <f aca="false" t="array" ref="EU497:EU497">IF(EU496=0,0,IF(EU496/'🎚️ Escenario'!$C$11&gt;=36,$AL$23,INDEX($C$23:$AL$23,MAX(1,ROUNDUP(EU496/'🎚️ Escenario'!$C$11,0)))))</f>
        <v>0.6</v>
      </c>
      <c r="EV497" s="9" t="n">
        <f aca="false" t="array" ref="EV497:EV497">IF(EV496=0,0,IF(EV496/'🎚️ Escenario'!$C$11&gt;=36,$AL$23,INDEX($C$23:$AL$23,MAX(1,ROUNDUP(EV496/'🎚️ Escenario'!$C$11,0)))))</f>
        <v>0.6</v>
      </c>
      <c r="EW497" s="9" t="n">
        <f aca="false" t="array" ref="EW497:EW497">IF(EW496=0,0,IF(EW496/'🎚️ Escenario'!$C$11&gt;=36,$AL$23,INDEX($C$23:$AL$23,MAX(1,ROUNDUP(EW496/'🎚️ Escenario'!$C$11,0)))))</f>
        <v>0.63</v>
      </c>
      <c r="EX497" s="9" t="n">
        <f aca="false" t="array" ref="EX497:EX497">IF(EX496=0,0,IF(EX496/'🎚️ Escenario'!$C$11&gt;=36,$AL$23,INDEX($C$23:$AL$23,MAX(1,ROUNDUP(EX496/'🎚️ Escenario'!$C$11,0)))))</f>
        <v>0.66</v>
      </c>
      <c r="EY497" s="9" t="n">
        <f aca="false" t="array" ref="EY497:EY497">IF(EY496=0,0,IF(EY496/'🎚️ Escenario'!$C$11&gt;=36,$AL$23,INDEX($C$23:$AL$23,MAX(1,ROUNDUP(EY496/'🎚️ Escenario'!$C$11,0)))))</f>
        <v>0.69</v>
      </c>
      <c r="EZ497" s="9" t="n">
        <f aca="false" t="array" ref="EZ497:EZ497">IF(EZ496=0,0,IF(EZ496/'🎚️ Escenario'!$C$11&gt;=36,$AL$23,INDEX($C$23:$AL$23,MAX(1,ROUNDUP(EZ496/'🎚️ Escenario'!$C$11,0)))))</f>
        <v>0.71</v>
      </c>
      <c r="FA497" s="9" t="n">
        <f aca="false" t="array" ref="FA497:FA497">IF(FA496=0,0,IF(FA496/'🎚️ Escenario'!$C$11&gt;=36,$AL$23,INDEX($C$23:$AL$23,MAX(1,ROUNDUP(FA496/'🎚️ Escenario'!$C$11,0)))))</f>
        <v>0.71</v>
      </c>
      <c r="FB497" s="9" t="n">
        <f aca="false" t="array" ref="FB497:FB497">IF(FB496=0,0,IF(FB496/'🎚️ Escenario'!$C$11&gt;=36,$AL$23,INDEX($C$23:$AL$23,MAX(1,ROUNDUP(FB496/'🎚️ Escenario'!$C$11,0)))))</f>
        <v>0.73</v>
      </c>
      <c r="FC497" s="9" t="n">
        <f aca="false" t="array" ref="FC497:FC497">IF(FC496=0,0,IF(FC496/'🎚️ Escenario'!$C$11&gt;=36,$AL$23,INDEX($C$23:$AL$23,MAX(1,ROUNDUP(FC496/'🎚️ Escenario'!$C$11,0)))))</f>
        <v>0.75</v>
      </c>
      <c r="FD497" s="9" t="n">
        <f aca="false" t="array" ref="FD497:FD497">IF(FD496=0,0,IF(FD496/'🎚️ Escenario'!$C$11&gt;=36,$AL$23,INDEX($C$23:$AL$23,MAX(1,ROUNDUP(FD496/'🎚️ Escenario'!$C$11,0)))))</f>
        <v>0.77</v>
      </c>
      <c r="FE497" s="9" t="n">
        <f aca="false" t="array" ref="FE497:FE497">IF(FE496=0,0,IF(FE496/'🎚️ Escenario'!$C$11&gt;=36,$AL$23,INDEX($C$23:$AL$23,MAX(1,ROUNDUP(FE496/'🎚️ Escenario'!$C$11,0)))))</f>
        <v>0.79</v>
      </c>
      <c r="FF497" s="9" t="n">
        <f aca="false" t="array" ref="FF497:FF497">IF(FF496=0,0,IF(FF496/'🎚️ Escenario'!$C$11&gt;=36,$AL$23,INDEX($C$23:$AL$23,MAX(1,ROUNDUP(FF496/'🎚️ Escenario'!$C$11,0)))))</f>
        <v>0.79</v>
      </c>
      <c r="FG497" s="9" t="n">
        <f aca="false" t="array" ref="FG497:FG497">IF(FG496=0,0,IF(FG496/'🎚️ Escenario'!$C$11&gt;=36,$AL$23,INDEX($C$23:$AL$23,MAX(1,ROUNDUP(FG496/'🎚️ Escenario'!$C$11,0)))))</f>
        <v>0.8</v>
      </c>
      <c r="FH497" s="9" t="n">
        <f aca="false" t="array" ref="FH497:FH497">IF(FH496=0,0,IF(FH496/'🎚️ Escenario'!$C$11&gt;=36,$AL$23,INDEX($C$23:$AL$23,MAX(1,ROUNDUP(FH496/'🎚️ Escenario'!$C$11,0)))))</f>
        <v>0.82</v>
      </c>
      <c r="FI497" s="9" t="n">
        <f aca="false" t="array" ref="FI497:FI497">IF(FI496=0,0,IF(FI496/'🎚️ Escenario'!$C$11&gt;=36,$AL$23,INDEX($C$23:$AL$23,MAX(1,ROUNDUP(FI496/'🎚️ Escenario'!$C$11,0)))))</f>
        <v>0.84</v>
      </c>
      <c r="FJ497" s="9" t="n">
        <f aca="false" t="array" ref="FJ497:FJ497">IF(FJ496=0,0,IF(FJ496/'🎚️ Escenario'!$C$11&gt;=36,$AL$23,INDEX($C$23:$AL$23,MAX(1,ROUNDUP(FJ496/'🎚️ Escenario'!$C$11,0)))))</f>
        <v>0.85</v>
      </c>
      <c r="FK497" s="9" t="n">
        <f aca="false" t="array" ref="FK497:FK497">IF(FK496=0,0,IF(FK496/'🎚️ Escenario'!$C$11&gt;=36,$AL$23,INDEX($C$23:$AL$23,MAX(1,ROUNDUP(FK496/'🎚️ Escenario'!$C$11,0)))))</f>
        <v>0.85</v>
      </c>
      <c r="FL497" s="9" t="n">
        <f aca="false" t="array" ref="FL497:FL497">IF(FL496=0,0,IF(FL496/'🎚️ Escenario'!$C$11&gt;=36,$AL$23,INDEX($C$23:$AL$23,MAX(1,ROUNDUP(FL496/'🎚️ Escenario'!$C$11,0)))))</f>
        <v>0.86</v>
      </c>
      <c r="FM497" s="9" t="n">
        <f aca="false" t="array" ref="FM497:FM497">IF(FM496=0,0,IF(FM496/'🎚️ Escenario'!$C$11&gt;=36,$AL$23,INDEX($C$23:$AL$23,MAX(1,ROUNDUP(FM496/'🎚️ Escenario'!$C$11,0)))))</f>
        <v>0.88</v>
      </c>
      <c r="FN497" s="9" t="n">
        <f aca="false" t="array" ref="FN497:FN497">IF(FN496=0,0,IF(FN496/'🎚️ Escenario'!$C$11&gt;=36,$AL$23,INDEX($C$23:$AL$23,MAX(1,ROUNDUP(FN496/'🎚️ Escenario'!$C$11,0)))))</f>
        <v>0.89</v>
      </c>
      <c r="FO497" s="9" t="n">
        <f aca="false" t="array" ref="FO497:FO497">IF(FO496=0,0,IF(FO496/'🎚️ Escenario'!$C$11&gt;=36,$AL$23,INDEX($C$23:$AL$23,MAX(1,ROUNDUP(FO496/'🎚️ Escenario'!$C$11,0)))))</f>
        <v>0.9</v>
      </c>
      <c r="FP497" s="9" t="n">
        <f aca="false" t="array" ref="FP497:FP497">IF(FP496=0,0,IF(FP496/'🎚️ Escenario'!$C$11&gt;=36,$AL$23,INDEX($C$23:$AL$23,MAX(1,ROUNDUP(FP496/'🎚️ Escenario'!$C$11,0)))))</f>
        <v>0.9</v>
      </c>
    </row>
    <row r="498" customFormat="false" ht="15" hidden="false" customHeight="false" outlineLevel="2" collapsed="false">
      <c r="B498" s="47" t="s">
        <v>875</v>
      </c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237" t="n">
        <f aca="false">IF(AC496=0,0,IF(AC496&lt;=12*'🎚️ Escenario'!$C$11,1,1+$C$6))</f>
        <v>0</v>
      </c>
      <c r="AD498" s="237" t="n">
        <f aca="false">IF(AD496=0,0,IF(AD496&lt;=12*'🎚️ Escenario'!$C$11,1,1+$C$6))</f>
        <v>0</v>
      </c>
      <c r="AE498" s="237" t="n">
        <f aca="false">IF(AE496=0,0,IF(AE496&lt;=12*'🎚️ Escenario'!$C$11,1,1+$C$6))</f>
        <v>0</v>
      </c>
      <c r="AF498" s="237" t="n">
        <f aca="false">IF(AF496=0,0,IF(AF496&lt;=12*'🎚️ Escenario'!$C$11,1,1+$C$6))</f>
        <v>0</v>
      </c>
      <c r="AG498" s="237" t="n">
        <f aca="false">IF(AG496=0,0,IF(AG496&lt;=12*'🎚️ Escenario'!$C$11,1,1+$C$6))</f>
        <v>0</v>
      </c>
      <c r="AH498" s="237" t="n">
        <f aca="false">IF(AH496=0,0,IF(AH496&lt;=12*'🎚️ Escenario'!$C$11,1,1+$C$6))</f>
        <v>0</v>
      </c>
      <c r="AI498" s="237" t="n">
        <f aca="false">IF(AI496=0,0,IF(AI496&lt;=12*'🎚️ Escenario'!$C$11,1,1+$C$6))</f>
        <v>0</v>
      </c>
      <c r="AJ498" s="237" t="n">
        <f aca="false">IF(AJ496=0,0,IF(AJ496&lt;=12*'🎚️ Escenario'!$C$11,1,1+$C$6))</f>
        <v>0</v>
      </c>
      <c r="AK498" s="237" t="n">
        <f aca="false">IF(AK496=0,0,IF(AK496&lt;=12*'🎚️ Escenario'!$C$11,1,1+$C$6))</f>
        <v>0</v>
      </c>
      <c r="AL498" s="237" t="n">
        <f aca="false">IF(AL496=0,0,IF(AL496&lt;=12*'🎚️ Escenario'!$C$11,1,1+$C$6))</f>
        <v>0</v>
      </c>
      <c r="AM498" s="237" t="n">
        <f aca="false">IF(AM496=0,0,IF(AM496&lt;=12*'🎚️ Escenario'!$C$11,1,1+$C$6))</f>
        <v>0</v>
      </c>
      <c r="AN498" s="237" t="n">
        <f aca="false">IF(AN496=0,0,IF(AN496&lt;=12*'🎚️ Escenario'!$C$11,1,1+$C$6))</f>
        <v>0</v>
      </c>
      <c r="AO498" s="237" t="n">
        <f aca="false">IF(AO496=0,0,IF(AO496&lt;=12*'🎚️ Escenario'!$C$11,1,1+$C$6))</f>
        <v>0</v>
      </c>
      <c r="AP498" s="237" t="n">
        <f aca="false">IF(AP496=0,0,IF(AP496&lt;=12*'🎚️ Escenario'!$C$11,1,1+$C$6))</f>
        <v>0</v>
      </c>
      <c r="AQ498" s="237" t="n">
        <f aca="false">IF(AQ496=0,0,IF(AQ496&lt;=12*'🎚️ Escenario'!$C$11,1,1+$C$6))</f>
        <v>0</v>
      </c>
      <c r="AR498" s="237" t="n">
        <f aca="false">IF(AR496=0,0,IF(AR496&lt;=12*'🎚️ Escenario'!$C$11,1,1+$C$6))</f>
        <v>0</v>
      </c>
      <c r="AS498" s="237" t="n">
        <f aca="false">IF(AS496=0,0,IF(AS496&lt;=12*'🎚️ Escenario'!$C$11,1,1+$C$6))</f>
        <v>0</v>
      </c>
      <c r="AT498" s="237" t="n">
        <f aca="false">IF(AT496=0,0,IF(AT496&lt;=12*'🎚️ Escenario'!$C$11,1,1+$C$6))</f>
        <v>0</v>
      </c>
      <c r="AU498" s="237" t="n">
        <f aca="false">IF(AU496=0,0,IF(AU496&lt;=12*'🎚️ Escenario'!$C$11,1,1+$C$6))</f>
        <v>0</v>
      </c>
      <c r="AV498" s="237" t="n">
        <f aca="false">IF(AV496=0,0,IF(AV496&lt;=12*'🎚️ Escenario'!$C$11,1,1+$C$6))</f>
        <v>0</v>
      </c>
      <c r="AW498" s="237" t="n">
        <f aca="false">IF(AW496=0,0,IF(AW496&lt;=12*'🎚️ Escenario'!$C$11,1,1+$C$6))</f>
        <v>0</v>
      </c>
      <c r="AX498" s="237" t="n">
        <f aca="false">IF(AX496=0,0,IF(AX496&lt;=12*'🎚️ Escenario'!$C$11,1,1+$C$6))</f>
        <v>0</v>
      </c>
      <c r="AY498" s="237" t="n">
        <f aca="false">IF(AY496=0,0,IF(AY496&lt;=12*'🎚️ Escenario'!$C$11,1,1+$C$6))</f>
        <v>0</v>
      </c>
      <c r="AZ498" s="237" t="n">
        <f aca="false">IF(AZ496=0,0,IF(AZ496&lt;=12*'🎚️ Escenario'!$C$11,1,1+$C$6))</f>
        <v>0</v>
      </c>
      <c r="BA498" s="237" t="n">
        <f aca="false">IF(BA496=0,0,IF(BA496&lt;=12*'🎚️ Escenario'!$C$11,1,1+$C$6))</f>
        <v>0</v>
      </c>
      <c r="BB498" s="237" t="n">
        <f aca="false">IF(BB496=0,0,IF(BB496&lt;=12*'🎚️ Escenario'!$C$11,1,1+$C$6))</f>
        <v>0</v>
      </c>
      <c r="BC498" s="237" t="n">
        <f aca="false">IF(BC496=0,0,IF(BC496&lt;=12*'🎚️ Escenario'!$C$11,1,1+$C$6))</f>
        <v>0</v>
      </c>
      <c r="BD498" s="237" t="n">
        <f aca="false">IF(BD496=0,0,IF(BD496&lt;=12*'🎚️ Escenario'!$C$11,1,1+$C$6))</f>
        <v>0</v>
      </c>
      <c r="BE498" s="237" t="n">
        <f aca="false">IF(BE496=0,0,IF(BE496&lt;=12*'🎚️ Escenario'!$C$11,1,1+$C$6))</f>
        <v>0</v>
      </c>
      <c r="BF498" s="237" t="n">
        <f aca="false">IF(BF496=0,0,IF(BF496&lt;=12*'🎚️ Escenario'!$C$11,1,1+$C$6))</f>
        <v>0</v>
      </c>
      <c r="BG498" s="237" t="n">
        <f aca="false">IF(BG496=0,0,IF(BG496&lt;=12*'🎚️ Escenario'!$C$11,1,1+$C$6))</f>
        <v>0</v>
      </c>
      <c r="BH498" s="237" t="n">
        <f aca="false">IF(BH496=0,0,IF(BH496&lt;=12*'🎚️ Escenario'!$C$11,1,1+$C$6))</f>
        <v>0</v>
      </c>
      <c r="BI498" s="237" t="n">
        <f aca="false">IF(BI496=0,0,IF(BI496&lt;=12*'🎚️ Escenario'!$C$11,1,1+$C$6))</f>
        <v>0</v>
      </c>
      <c r="BJ498" s="237" t="n">
        <f aca="false">IF(BJ496=0,0,IF(BJ496&lt;=12*'🎚️ Escenario'!$C$11,1,1+$C$6))</f>
        <v>0</v>
      </c>
      <c r="BK498" s="237" t="n">
        <f aca="false">IF(BK496=0,0,IF(BK496&lt;=12*'🎚️ Escenario'!$C$11,1,1+$C$6))</f>
        <v>0</v>
      </c>
      <c r="BL498" s="237" t="n">
        <f aca="false">IF(BL496=0,0,IF(BL496&lt;=12*'🎚️ Escenario'!$C$11,1,1+$C$6))</f>
        <v>0</v>
      </c>
      <c r="BM498" s="237" t="n">
        <f aca="false">IF(BM496=0,0,IF(BM496&lt;=12*'🎚️ Escenario'!$C$11,1,1+$C$6))</f>
        <v>0</v>
      </c>
      <c r="BN498" s="237" t="n">
        <f aca="false">IF(BN496=0,0,IF(BN496&lt;=12*'🎚️ Escenario'!$C$11,1,1+$C$6))</f>
        <v>0</v>
      </c>
      <c r="BO498" s="237" t="n">
        <f aca="false">IF(BO496=0,0,IF(BO496&lt;=12*'🎚️ Escenario'!$C$11,1,1+$C$6))</f>
        <v>0</v>
      </c>
      <c r="BP498" s="237" t="n">
        <f aca="false">IF(BP496=0,0,IF(BP496&lt;=12*'🎚️ Escenario'!$C$11,1,1+$C$6))</f>
        <v>0</v>
      </c>
      <c r="BQ498" s="237" t="n">
        <f aca="false">IF(BQ496=0,0,IF(BQ496&lt;=12*'🎚️ Escenario'!$C$11,1,1+$C$6))</f>
        <v>0</v>
      </c>
      <c r="BR498" s="237" t="n">
        <f aca="false">IF(BR496=0,0,IF(BR496&lt;=12*'🎚️ Escenario'!$C$11,1,1+$C$6))</f>
        <v>0</v>
      </c>
      <c r="BS498" s="237" t="n">
        <f aca="false">IF(BS496=0,0,IF(BS496&lt;=12*'🎚️ Escenario'!$C$11,1,1+$C$6))</f>
        <v>0</v>
      </c>
      <c r="BT498" s="237" t="n">
        <f aca="false">IF(BT496=0,0,IF(BT496&lt;=12*'🎚️ Escenario'!$C$11,1,1+$C$6))</f>
        <v>0</v>
      </c>
      <c r="BU498" s="237" t="n">
        <f aca="false">IF(BU496=0,0,IF(BU496&lt;=12*'🎚️ Escenario'!$C$11,1,1+$C$6))</f>
        <v>0</v>
      </c>
      <c r="BV498" s="237" t="n">
        <f aca="false">IF(BV496=0,0,IF(BV496&lt;=12*'🎚️ Escenario'!$C$11,1,1+$C$6))</f>
        <v>0</v>
      </c>
      <c r="BW498" s="237" t="n">
        <f aca="false">IF(BW496=0,0,IF(BW496&lt;=12*'🎚️ Escenario'!$C$11,1,1+$C$6))</f>
        <v>0</v>
      </c>
      <c r="BX498" s="237" t="n">
        <f aca="false">IF(BX496=0,0,IF(BX496&lt;=12*'🎚️ Escenario'!$C$11,1,1+$C$6))</f>
        <v>0</v>
      </c>
      <c r="BY498" s="237" t="n">
        <f aca="false">IF(BY496=0,0,IF(BY496&lt;=12*'🎚️ Escenario'!$C$11,1,1+$C$6))</f>
        <v>0</v>
      </c>
      <c r="BZ498" s="237" t="n">
        <f aca="false">IF(BZ496=0,0,IF(BZ496&lt;=12*'🎚️ Escenario'!$C$11,1,1+$C$6))</f>
        <v>0</v>
      </c>
      <c r="CA498" s="237" t="n">
        <f aca="false">IF(CA496=0,0,IF(CA496&lt;=12*'🎚️ Escenario'!$C$11,1,1+$C$6))</f>
        <v>0</v>
      </c>
      <c r="CB498" s="237" t="n">
        <f aca="false">IF(CB496=0,0,IF(CB496&lt;=12*'🎚️ Escenario'!$C$11,1,1+$C$6))</f>
        <v>0</v>
      </c>
      <c r="CC498" s="237" t="n">
        <f aca="false">IF(CC496=0,0,IF(CC496&lt;=12*'🎚️ Escenario'!$C$11,1,1+$C$6))</f>
        <v>0</v>
      </c>
      <c r="CD498" s="237" t="n">
        <f aca="false">IF(CD496=0,0,IF(CD496&lt;=12*'🎚️ Escenario'!$C$11,1,1+$C$6))</f>
        <v>0</v>
      </c>
      <c r="CE498" s="237" t="n">
        <f aca="false">IF(CE496=0,0,IF(CE496&lt;=12*'🎚️ Escenario'!$C$11,1,1+$C$6))</f>
        <v>0</v>
      </c>
      <c r="CF498" s="237" t="n">
        <f aca="false">IF(CF496=0,0,IF(CF496&lt;=12*'🎚️ Escenario'!$C$11,1,1+$C$6))</f>
        <v>0</v>
      </c>
      <c r="CG498" s="237" t="n">
        <f aca="false">IF(CG496=0,0,IF(CG496&lt;=12*'🎚️ Escenario'!$C$11,1,1+$C$6))</f>
        <v>0</v>
      </c>
      <c r="CH498" s="237" t="n">
        <f aca="false">IF(CH496=0,0,IF(CH496&lt;=12*'🎚️ Escenario'!$C$11,1,1+$C$6))</f>
        <v>0</v>
      </c>
      <c r="CI498" s="237" t="n">
        <f aca="false">IF(CI496=0,0,IF(CI496&lt;=12*'🎚️ Escenario'!$C$11,1,1+$C$6))</f>
        <v>0</v>
      </c>
      <c r="CJ498" s="237" t="n">
        <f aca="false">IF(CJ496=0,0,IF(CJ496&lt;=12*'🎚️ Escenario'!$C$11,1,1+$C$6))</f>
        <v>0</v>
      </c>
      <c r="CK498" s="237" t="n">
        <f aca="false">IF(CK496=0,0,IF(CK496&lt;=12*'🎚️ Escenario'!$C$11,1,1+$C$6))</f>
        <v>0</v>
      </c>
      <c r="CL498" s="237" t="n">
        <f aca="false">IF(CL496=0,0,IF(CL496&lt;=12*'🎚️ Escenario'!$C$11,1,1+$C$6))</f>
        <v>0</v>
      </c>
      <c r="CM498" s="237" t="n">
        <f aca="false">IF(CM496=0,0,IF(CM496&lt;=12*'🎚️ Escenario'!$C$11,1,1+$C$6))</f>
        <v>0</v>
      </c>
      <c r="CN498" s="237" t="n">
        <f aca="false">IF(CN496=0,0,IF(CN496&lt;=12*'🎚️ Escenario'!$C$11,1,1+$C$6))</f>
        <v>0</v>
      </c>
      <c r="CO498" s="237" t="n">
        <f aca="false">IF(CO496=0,0,IF(CO496&lt;=12*'🎚️ Escenario'!$C$11,1,1+$C$6))</f>
        <v>0</v>
      </c>
      <c r="CP498" s="237" t="n">
        <f aca="false">IF(CP496=0,0,IF(CP496&lt;=12*'🎚️ Escenario'!$C$11,1,1+$C$6))</f>
        <v>0</v>
      </c>
      <c r="CQ498" s="237" t="n">
        <f aca="false">IF(CQ496=0,0,IF(CQ496&lt;=12*'🎚️ Escenario'!$C$11,1,1+$C$6))</f>
        <v>0</v>
      </c>
      <c r="CR498" s="237" t="n">
        <f aca="false">IF(CR496=0,0,IF(CR496&lt;=12*'🎚️ Escenario'!$C$11,1,1+$C$6))</f>
        <v>0</v>
      </c>
      <c r="CS498" s="237" t="n">
        <f aca="false">IF(CS496=0,0,IF(CS496&lt;=12*'🎚️ Escenario'!$C$11,1,1+$C$6))</f>
        <v>0</v>
      </c>
      <c r="CT498" s="237" t="n">
        <f aca="false">IF(CT496=0,0,IF(CT496&lt;=12*'🎚️ Escenario'!$C$11,1,1+$C$6))</f>
        <v>0</v>
      </c>
      <c r="CU498" s="237" t="n">
        <f aca="false">IF(CU496=0,0,IF(CU496&lt;=12*'🎚️ Escenario'!$C$11,1,1+$C$6))</f>
        <v>0</v>
      </c>
      <c r="CV498" s="237" t="n">
        <f aca="false">IF(CV496=0,0,IF(CV496&lt;=12*'🎚️ Escenario'!$C$11,1,1+$C$6))</f>
        <v>0</v>
      </c>
      <c r="CW498" s="237" t="n">
        <f aca="false">IF(CW496=0,0,IF(CW496&lt;=12*'🎚️ Escenario'!$C$11,1,1+$C$6))</f>
        <v>0</v>
      </c>
      <c r="CX498" s="237" t="n">
        <f aca="false">IF(CX496=0,0,IF(CX496&lt;=12*'🎚️ Escenario'!$C$11,1,1+$C$6))</f>
        <v>0</v>
      </c>
      <c r="CY498" s="237" t="n">
        <f aca="false">IF(CY496=0,0,IF(CY496&lt;=12*'🎚️ Escenario'!$C$11,1,1+$C$6))</f>
        <v>0</v>
      </c>
      <c r="CZ498" s="237" t="n">
        <f aca="false">IF(CZ496=0,0,IF(CZ496&lt;=12*'🎚️ Escenario'!$C$11,1,1+$C$6))</f>
        <v>0</v>
      </c>
      <c r="DA498" s="237" t="n">
        <f aca="false">IF(DA496=0,0,IF(DA496&lt;=12*'🎚️ Escenario'!$C$11,1,1+$C$6))</f>
        <v>0</v>
      </c>
      <c r="DB498" s="237" t="n">
        <f aca="false">IF(DB496=0,0,IF(DB496&lt;=12*'🎚️ Escenario'!$C$11,1,1+$C$6))</f>
        <v>0</v>
      </c>
      <c r="DC498" s="237" t="n">
        <f aca="false">IF(DC496=0,0,IF(DC496&lt;=12*'🎚️ Escenario'!$C$11,1,1+$C$6))</f>
        <v>0</v>
      </c>
      <c r="DD498" s="237" t="n">
        <f aca="false">IF(DD496=0,0,IF(DD496&lt;=12*'🎚️ Escenario'!$C$11,1,1+$C$6))</f>
        <v>0</v>
      </c>
      <c r="DE498" s="237" t="n">
        <f aca="false">IF(DE496=0,0,IF(DE496&lt;=12*'🎚️ Escenario'!$C$11,1,1+$C$6))</f>
        <v>0</v>
      </c>
      <c r="DF498" s="237" t="n">
        <f aca="false">IF(DF496=0,0,IF(DF496&lt;=12*'🎚️ Escenario'!$C$11,1,1+$C$6))</f>
        <v>0</v>
      </c>
      <c r="DG498" s="237" t="n">
        <f aca="false">IF(DG496=0,0,IF(DG496&lt;=12*'🎚️ Escenario'!$C$11,1,1+$C$6))</f>
        <v>0</v>
      </c>
      <c r="DH498" s="237" t="n">
        <f aca="false">IF(DH496=0,0,IF(DH496&lt;=12*'🎚️ Escenario'!$C$11,1,1+$C$6))</f>
        <v>0</v>
      </c>
      <c r="DI498" s="237" t="n">
        <f aca="false">IF(DI496=0,0,IF(DI496&lt;=12*'🎚️ Escenario'!$C$11,1,1+$C$6))</f>
        <v>0</v>
      </c>
      <c r="DJ498" s="237" t="n">
        <f aca="false">IF(DJ496=0,0,IF(DJ496&lt;=12*'🎚️ Escenario'!$C$11,1,1+$C$6))</f>
        <v>0</v>
      </c>
      <c r="DK498" s="237" t="n">
        <f aca="false">IF(DK496=0,0,IF(DK496&lt;=12*'🎚️ Escenario'!$C$11,1,1+$C$6))</f>
        <v>0</v>
      </c>
      <c r="DL498" s="237" t="n">
        <f aca="false">IF(DL496=0,0,IF(DL496&lt;=12*'🎚️ Escenario'!$C$11,1,1+$C$6))</f>
        <v>0</v>
      </c>
      <c r="DM498" s="237" t="n">
        <f aca="false">IF(DM496=0,0,IF(DM496&lt;=12*'🎚️ Escenario'!$C$11,1,1+$C$6))</f>
        <v>0</v>
      </c>
      <c r="DN498" s="237" t="n">
        <f aca="false">IF(DN496=0,0,IF(DN496&lt;=12*'🎚️ Escenario'!$C$11,1,1+$C$6))</f>
        <v>0</v>
      </c>
      <c r="DO498" s="237" t="n">
        <f aca="false">IF(DO496=0,0,IF(DO496&lt;=12*'🎚️ Escenario'!$C$11,1,1+$C$6))</f>
        <v>0</v>
      </c>
      <c r="DP498" s="237" t="n">
        <f aca="false">IF(DP496=0,0,IF(DP496&lt;=12*'🎚️ Escenario'!$C$11,1,1+$C$6))</f>
        <v>0</v>
      </c>
      <c r="DQ498" s="237" t="n">
        <f aca="false">IF(DQ496=0,0,IF(DQ496&lt;=12*'🎚️ Escenario'!$C$11,1,1+$C$6))</f>
        <v>0</v>
      </c>
      <c r="DR498" s="237" t="n">
        <f aca="false">IF(DR496=0,0,IF(DR496&lt;=12*'🎚️ Escenario'!$C$11,1,1+$C$6))</f>
        <v>0</v>
      </c>
      <c r="DS498" s="237" t="n">
        <f aca="false">IF(DS496=0,0,IF(DS496&lt;=12*'🎚️ Escenario'!$C$11,1,1+$C$6))</f>
        <v>0</v>
      </c>
      <c r="DT498" s="237" t="n">
        <f aca="false">IF(DT496=0,0,IF(DT496&lt;=12*'🎚️ Escenario'!$C$11,1,1+$C$6))</f>
        <v>0</v>
      </c>
      <c r="DU498" s="237" t="n">
        <f aca="false">IF(DU496=0,0,IF(DU496&lt;=12*'🎚️ Escenario'!$C$11,1,1+$C$6))</f>
        <v>0</v>
      </c>
      <c r="DV498" s="237" t="n">
        <f aca="false">IF(DV496=0,0,IF(DV496&lt;=12*'🎚️ Escenario'!$C$11,1,1+$C$6))</f>
        <v>0</v>
      </c>
      <c r="DW498" s="237" t="n">
        <f aca="false">IF(DW496=0,0,IF(DW496&lt;=12*'🎚️ Escenario'!$C$11,1,1+$C$6))</f>
        <v>0</v>
      </c>
      <c r="DX498" s="237" t="n">
        <f aca="false">IF(DX496=0,0,IF(DX496&lt;=12*'🎚️ Escenario'!$C$11,1,1+$C$6))</f>
        <v>0</v>
      </c>
      <c r="DY498" s="237" t="n">
        <f aca="false">IF(DY496=0,0,IF(DY496&lt;=12*'🎚️ Escenario'!$C$11,1,1+$C$6))</f>
        <v>0</v>
      </c>
      <c r="DZ498" s="237" t="n">
        <f aca="false">IF(DZ496=0,0,IF(DZ496&lt;=12*'🎚️ Escenario'!$C$11,1,1+$C$6))</f>
        <v>0</v>
      </c>
      <c r="EA498" s="237" t="n">
        <f aca="false">IF(EA496=0,0,IF(EA496&lt;=12*'🎚️ Escenario'!$C$11,1,1+$C$6))</f>
        <v>0</v>
      </c>
      <c r="EB498" s="237" t="n">
        <f aca="false">IF(EB496=0,0,IF(EB496&lt;=12*'🎚️ Escenario'!$C$11,1,1+$C$6))</f>
        <v>0</v>
      </c>
      <c r="EC498" s="237" t="n">
        <f aca="false">IF(EC496=0,0,IF(EC496&lt;=12*'🎚️ Escenario'!$C$11,1,1+$C$6))</f>
        <v>0</v>
      </c>
      <c r="ED498" s="237" t="n">
        <f aca="false">IF(ED496=0,0,IF(ED496&lt;=12*'🎚️ Escenario'!$C$11,1,1+$C$6))</f>
        <v>0</v>
      </c>
      <c r="EE498" s="237" t="n">
        <f aca="false">IF(EE496=0,0,IF(EE496&lt;=12*'🎚️ Escenario'!$C$11,1,1+$C$6))</f>
        <v>0</v>
      </c>
      <c r="EF498" s="237" t="n">
        <f aca="false">IF(EF496=0,0,IF(EF496&lt;=12*'🎚️ Escenario'!$C$11,1,1+$C$6))</f>
        <v>0</v>
      </c>
      <c r="EG498" s="237" t="n">
        <f aca="false">IF(EG496=0,0,IF(EG496&lt;=12*'🎚️ Escenario'!$C$11,1,1+$C$6))</f>
        <v>0</v>
      </c>
      <c r="EH498" s="237" t="n">
        <f aca="false">IF(EH496=0,0,IF(EH496&lt;=12*'🎚️ Escenario'!$C$11,1,1+$C$6))</f>
        <v>1</v>
      </c>
      <c r="EI498" s="237" t="n">
        <f aca="false">IF(EI496=0,0,IF(EI496&lt;=12*'🎚️ Escenario'!$C$11,1,1+$C$6))</f>
        <v>1</v>
      </c>
      <c r="EJ498" s="237" t="n">
        <f aca="false">IF(EJ496=0,0,IF(EJ496&lt;=12*'🎚️ Escenario'!$C$11,1,1+$C$6))</f>
        <v>1</v>
      </c>
      <c r="EK498" s="237" t="n">
        <f aca="false">IF(EK496=0,0,IF(EK496&lt;=12*'🎚️ Escenario'!$C$11,1,1+$C$6))</f>
        <v>1</v>
      </c>
      <c r="EL498" s="237" t="n">
        <f aca="false">IF(EL496=0,0,IF(EL496&lt;=12*'🎚️ Escenario'!$C$11,1,1+$C$6))</f>
        <v>1</v>
      </c>
      <c r="EM498" s="237" t="n">
        <f aca="false">IF(EM496=0,0,IF(EM496&lt;=12*'🎚️ Escenario'!$C$11,1,1+$C$6))</f>
        <v>1</v>
      </c>
      <c r="EN498" s="237" t="n">
        <f aca="false">IF(EN496=0,0,IF(EN496&lt;=12*'🎚️ Escenario'!$C$11,1,1+$C$6))</f>
        <v>1</v>
      </c>
      <c r="EO498" s="237" t="n">
        <f aca="false">IF(EO496=0,0,IF(EO496&lt;=12*'🎚️ Escenario'!$C$11,1,1+$C$6))</f>
        <v>1</v>
      </c>
      <c r="EP498" s="237" t="n">
        <f aca="false">IF(EP496=0,0,IF(EP496&lt;=12*'🎚️ Escenario'!$C$11,1,1+$C$6))</f>
        <v>1</v>
      </c>
      <c r="EQ498" s="237" t="n">
        <f aca="false">IF(EQ496=0,0,IF(EQ496&lt;=12*'🎚️ Escenario'!$C$11,1,1+$C$6))</f>
        <v>1</v>
      </c>
      <c r="ER498" s="237" t="n">
        <f aca="false">IF(ER496=0,0,IF(ER496&lt;=12*'🎚️ Escenario'!$C$11,1,1+$C$6))</f>
        <v>1</v>
      </c>
      <c r="ES498" s="9" t="n">
        <f aca="false">IF(ES496=0,0,IF(ES496&lt;=12*'🎚️ Escenario'!$C$11,1,1+$C$6))</f>
        <v>1</v>
      </c>
      <c r="ET498" s="9" t="n">
        <f aca="false">IF(ET496=0,0,IF(ET496&lt;=12*'🎚️ Escenario'!$C$11,1,1+$C$6))</f>
        <v>1</v>
      </c>
      <c r="EU498" s="9" t="n">
        <f aca="false">IF(EU496=0,0,IF(EU496&lt;=12*'🎚️ Escenario'!$C$11,1,1+$C$6))</f>
        <v>1</v>
      </c>
      <c r="EV498" s="9" t="n">
        <f aca="false">IF(EV496=0,0,IF(EV496&lt;=12*'🎚️ Escenario'!$C$11,1,1+$C$6))</f>
        <v>1</v>
      </c>
      <c r="EW498" s="238" t="n">
        <f aca="false">IF(EW496=0,0,IF(EW496&lt;=12*'🎚️ Escenario'!$C$11,1,1+$C$6))</f>
        <v>1.2</v>
      </c>
      <c r="EX498" s="238" t="n">
        <f aca="false">IF(EX496=0,0,IF(EX496&lt;=12*'🎚️ Escenario'!$C$11,1,1+$C$6))</f>
        <v>1.2</v>
      </c>
      <c r="EY498" s="238" t="n">
        <f aca="false">IF(EY496=0,0,IF(EY496&lt;=12*'🎚️ Escenario'!$C$11,1,1+$C$6))</f>
        <v>1.2</v>
      </c>
      <c r="EZ498" s="238" t="n">
        <f aca="false">IF(EZ496=0,0,IF(EZ496&lt;=12*'🎚️ Escenario'!$C$11,1,1+$C$6))</f>
        <v>1.2</v>
      </c>
      <c r="FA498" s="238" t="n">
        <f aca="false">IF(FA496=0,0,IF(FA496&lt;=12*'🎚️ Escenario'!$C$11,1,1+$C$6))</f>
        <v>1.2</v>
      </c>
      <c r="FB498" s="238" t="n">
        <f aca="false">IF(FB496=0,0,IF(FB496&lt;=12*'🎚️ Escenario'!$C$11,1,1+$C$6))</f>
        <v>1.2</v>
      </c>
      <c r="FC498" s="238" t="n">
        <f aca="false">IF(FC496=0,0,IF(FC496&lt;=12*'🎚️ Escenario'!$C$11,1,1+$C$6))</f>
        <v>1.2</v>
      </c>
      <c r="FD498" s="238" t="n">
        <f aca="false">IF(FD496=0,0,IF(FD496&lt;=12*'🎚️ Escenario'!$C$11,1,1+$C$6))</f>
        <v>1.2</v>
      </c>
      <c r="FE498" s="238" t="n">
        <f aca="false">IF(FE496=0,0,IF(FE496&lt;=12*'🎚️ Escenario'!$C$11,1,1+$C$6))</f>
        <v>1.2</v>
      </c>
      <c r="FF498" s="238" t="n">
        <f aca="false">IF(FF496=0,0,IF(FF496&lt;=12*'🎚️ Escenario'!$C$11,1,1+$C$6))</f>
        <v>1.2</v>
      </c>
      <c r="FG498" s="238" t="n">
        <f aca="false">IF(FG496=0,0,IF(FG496&lt;=12*'🎚️ Escenario'!$C$11,1,1+$C$6))</f>
        <v>1.2</v>
      </c>
      <c r="FH498" s="238" t="n">
        <f aca="false">IF(FH496=0,0,IF(FH496&lt;=12*'🎚️ Escenario'!$C$11,1,1+$C$6))</f>
        <v>1.2</v>
      </c>
      <c r="FI498" s="238" t="n">
        <f aca="false">IF(FI496=0,0,IF(FI496&lt;=12*'🎚️ Escenario'!$C$11,1,1+$C$6))</f>
        <v>1.2</v>
      </c>
      <c r="FJ498" s="238" t="n">
        <f aca="false">IF(FJ496=0,0,IF(FJ496&lt;=12*'🎚️ Escenario'!$C$11,1,1+$C$6))</f>
        <v>1.2</v>
      </c>
      <c r="FK498" s="238" t="n">
        <f aca="false">IF(FK496=0,0,IF(FK496&lt;=12*'🎚️ Escenario'!$C$11,1,1+$C$6))</f>
        <v>1.2</v>
      </c>
      <c r="FL498" s="238" t="n">
        <f aca="false">IF(FL496=0,0,IF(FL496&lt;=12*'🎚️ Escenario'!$C$11,1,1+$C$6))</f>
        <v>1.2</v>
      </c>
      <c r="FM498" s="238" t="n">
        <f aca="false">IF(FM496=0,0,IF(FM496&lt;=12*'🎚️ Escenario'!$C$11,1,1+$C$6))</f>
        <v>1.2</v>
      </c>
      <c r="FN498" s="238" t="n">
        <f aca="false">IF(FN496=0,0,IF(FN496&lt;=12*'🎚️ Escenario'!$C$11,1,1+$C$6))</f>
        <v>1.2</v>
      </c>
      <c r="FO498" s="238" t="n">
        <f aca="false">IF(FO496=0,0,IF(FO496&lt;=12*'🎚️ Escenario'!$C$11,1,1+$C$6))</f>
        <v>1.2</v>
      </c>
      <c r="FP498" s="238" t="n">
        <f aca="false">IF(FP496=0,0,IF(FP496&lt;=12*'🎚️ Escenario'!$C$11,1,1+$C$6))</f>
        <v>1.2</v>
      </c>
    </row>
    <row r="499" customFormat="false" ht="15" hidden="false" customHeight="false" outlineLevel="2" collapsed="false">
      <c r="B499" s="47" t="s">
        <v>876</v>
      </c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237" t="n">
        <f aca="false">AC497*$AC$495*AC498*AC$38*'⑫ Roll-out Plan'!$O$54</f>
        <v>0</v>
      </c>
      <c r="AD499" s="237" t="n">
        <f aca="false">AD497*$AC$495*AD498*AD$38*'⑫ Roll-out Plan'!$O$54</f>
        <v>0</v>
      </c>
      <c r="AE499" s="237" t="n">
        <f aca="false">AE497*$AC$495*AE498*AE$38*'⑫ Roll-out Plan'!$O$54</f>
        <v>0</v>
      </c>
      <c r="AF499" s="237" t="n">
        <f aca="false">AF497*$AC$495*AF498*AF$38*'⑫ Roll-out Plan'!$O$54</f>
        <v>0</v>
      </c>
      <c r="AG499" s="237" t="n">
        <f aca="false">AG497*$AC$495*AG498*AG$38*'⑫ Roll-out Plan'!$O$54</f>
        <v>0</v>
      </c>
      <c r="AH499" s="237" t="n">
        <f aca="false">AH497*$AC$495*AH498*AH$38*'⑫ Roll-out Plan'!$O$54</f>
        <v>0</v>
      </c>
      <c r="AI499" s="237" t="n">
        <f aca="false">AI497*$AC$495*AI498*AI$38*'⑫ Roll-out Plan'!$O$54</f>
        <v>0</v>
      </c>
      <c r="AJ499" s="237" t="n">
        <f aca="false">AJ497*$AC$495*AJ498*AJ$38*'⑫ Roll-out Plan'!$O$54</f>
        <v>0</v>
      </c>
      <c r="AK499" s="237" t="n">
        <f aca="false">AK497*$AC$495*AK498*AK$38*'⑫ Roll-out Plan'!$O$54</f>
        <v>0</v>
      </c>
      <c r="AL499" s="237" t="n">
        <f aca="false">AL497*$AC$495*AL498*AL$38*'⑫ Roll-out Plan'!$O$54</f>
        <v>0</v>
      </c>
      <c r="AM499" s="237" t="n">
        <f aca="false">AM497*$AC$495*AM498*AM$38*'⑫ Roll-out Plan'!$O$54</f>
        <v>0</v>
      </c>
      <c r="AN499" s="237" t="n">
        <f aca="false">AN497*$AC$495*AN498*AN$38*'⑫ Roll-out Plan'!$O$54</f>
        <v>0</v>
      </c>
      <c r="AO499" s="237" t="n">
        <f aca="false">AO497*$AC$495*AO498*AO$38*'⑫ Roll-out Plan'!$O$54</f>
        <v>0</v>
      </c>
      <c r="AP499" s="237" t="n">
        <f aca="false">AP497*$AC$495*AP498*AP$38*'⑫ Roll-out Plan'!$O$54</f>
        <v>0</v>
      </c>
      <c r="AQ499" s="237" t="n">
        <f aca="false">AQ497*$AC$495*AQ498*AQ$38*'⑫ Roll-out Plan'!$O$54</f>
        <v>0</v>
      </c>
      <c r="AR499" s="237" t="n">
        <f aca="false">AR497*$AC$495*AR498*AR$38*'⑫ Roll-out Plan'!$O$54</f>
        <v>0</v>
      </c>
      <c r="AS499" s="237" t="n">
        <f aca="false">AS497*$AC$495*AS498*AS$38*'⑫ Roll-out Plan'!$O$54</f>
        <v>0</v>
      </c>
      <c r="AT499" s="237" t="n">
        <f aca="false">AT497*$AC$495*AT498*AT$38*'⑫ Roll-out Plan'!$O$54</f>
        <v>0</v>
      </c>
      <c r="AU499" s="237" t="n">
        <f aca="false">AU497*$AC$495*AU498*AU$38*'⑫ Roll-out Plan'!$O$54</f>
        <v>0</v>
      </c>
      <c r="AV499" s="237" t="n">
        <f aca="false">AV497*$AC$495*AV498*AV$38*'⑫ Roll-out Plan'!$O$54</f>
        <v>0</v>
      </c>
      <c r="AW499" s="237" t="n">
        <f aca="false">AW497*$AC$495*AW498*AW$38*'⑫ Roll-out Plan'!$O$54</f>
        <v>0</v>
      </c>
      <c r="AX499" s="237" t="n">
        <f aca="false">AX497*$AC$495*AX498*AX$38*'⑫ Roll-out Plan'!$O$54</f>
        <v>0</v>
      </c>
      <c r="AY499" s="237" t="n">
        <f aca="false">AY497*$AC$495*AY498*AY$38*'⑫ Roll-out Plan'!$O$54</f>
        <v>0</v>
      </c>
      <c r="AZ499" s="237" t="n">
        <f aca="false">AZ497*$AC$495*AZ498*AZ$38*'⑫ Roll-out Plan'!$O$54</f>
        <v>0</v>
      </c>
      <c r="BA499" s="237" t="n">
        <f aca="false">BA497*$AC$495*BA498*BA$38*'⑫ Roll-out Plan'!$O$54</f>
        <v>0</v>
      </c>
      <c r="BB499" s="237" t="n">
        <f aca="false">BB497*$AC$495*BB498*BB$38*'⑫ Roll-out Plan'!$O$54</f>
        <v>0</v>
      </c>
      <c r="BC499" s="237" t="n">
        <f aca="false">BC497*$AC$495*BC498*BC$38*'⑫ Roll-out Plan'!$O$54</f>
        <v>0</v>
      </c>
      <c r="BD499" s="237" t="n">
        <f aca="false">BD497*$AC$495*BD498*BD$38*'⑫ Roll-out Plan'!$O$54</f>
        <v>0</v>
      </c>
      <c r="BE499" s="237" t="n">
        <f aca="false">BE497*$AC$495*BE498*BE$38*'⑫ Roll-out Plan'!$O$54</f>
        <v>0</v>
      </c>
      <c r="BF499" s="237" t="n">
        <f aca="false">BF497*$AC$495*BF498*BF$38*'⑫ Roll-out Plan'!$O$54</f>
        <v>0</v>
      </c>
      <c r="BG499" s="237" t="n">
        <f aca="false">BG497*$AC$495*BG498*BG$38*'⑫ Roll-out Plan'!$O$54</f>
        <v>0</v>
      </c>
      <c r="BH499" s="237" t="n">
        <f aca="false">BH497*$AC$495*BH498*BH$38*'⑫ Roll-out Plan'!$O$54</f>
        <v>0</v>
      </c>
      <c r="BI499" s="237" t="n">
        <f aca="false">BI497*$AC$495*BI498*BI$38*'⑫ Roll-out Plan'!$O$54</f>
        <v>0</v>
      </c>
      <c r="BJ499" s="237" t="n">
        <f aca="false">BJ497*$AC$495*BJ498*BJ$38*'⑫ Roll-out Plan'!$O$54</f>
        <v>0</v>
      </c>
      <c r="BK499" s="237" t="n">
        <f aca="false">BK497*$AC$495*BK498*BK$38*'⑫ Roll-out Plan'!$O$54</f>
        <v>0</v>
      </c>
      <c r="BL499" s="237" t="n">
        <f aca="false">BL497*$AC$495*BL498*BL$38*'⑫ Roll-out Plan'!$O$54</f>
        <v>0</v>
      </c>
      <c r="BM499" s="237" t="n">
        <f aca="false">BM497*$AC$495*BM498*BM$38*'⑫ Roll-out Plan'!$O$54</f>
        <v>0</v>
      </c>
      <c r="BN499" s="237" t="n">
        <f aca="false">BN497*$AC$495*BN498*BN$38*'⑫ Roll-out Plan'!$O$54</f>
        <v>0</v>
      </c>
      <c r="BO499" s="237" t="n">
        <f aca="false">BO497*$AC$495*BO498*BO$38*'⑫ Roll-out Plan'!$O$54</f>
        <v>0</v>
      </c>
      <c r="BP499" s="237" t="n">
        <f aca="false">BP497*$AC$495*BP498*BP$38*'⑫ Roll-out Plan'!$O$54</f>
        <v>0</v>
      </c>
      <c r="BQ499" s="237" t="n">
        <f aca="false">BQ497*$AC$495*BQ498*BQ$38*'⑫ Roll-out Plan'!$O$54</f>
        <v>0</v>
      </c>
      <c r="BR499" s="237" t="n">
        <f aca="false">BR497*$AC$495*BR498*BR$38*'⑫ Roll-out Plan'!$O$54</f>
        <v>0</v>
      </c>
      <c r="BS499" s="237" t="n">
        <f aca="false">BS497*$AC$495*BS498*BS$38*'⑫ Roll-out Plan'!$O$54</f>
        <v>0</v>
      </c>
      <c r="BT499" s="237" t="n">
        <f aca="false">BT497*$AC$495*BT498*BT$38*'⑫ Roll-out Plan'!$O$54</f>
        <v>0</v>
      </c>
      <c r="BU499" s="237" t="n">
        <f aca="false">BU497*$AC$495*BU498*BU$38*'⑫ Roll-out Plan'!$O$54</f>
        <v>0</v>
      </c>
      <c r="BV499" s="237" t="n">
        <f aca="false">BV497*$AC$495*BV498*BV$38*'⑫ Roll-out Plan'!$O$54</f>
        <v>0</v>
      </c>
      <c r="BW499" s="237" t="n">
        <f aca="false">BW497*$AC$495*BW498*BW$38*'⑫ Roll-out Plan'!$O$54</f>
        <v>0</v>
      </c>
      <c r="BX499" s="237" t="n">
        <f aca="false">BX497*$AC$495*BX498*BX$38*'⑫ Roll-out Plan'!$O$54</f>
        <v>0</v>
      </c>
      <c r="BY499" s="237" t="n">
        <f aca="false">BY497*$AC$495*BY498*BY$38*'⑫ Roll-out Plan'!$O$54</f>
        <v>0</v>
      </c>
      <c r="BZ499" s="237" t="n">
        <f aca="false">BZ497*$AC$495*BZ498*BZ$38*'⑫ Roll-out Plan'!$O$54</f>
        <v>0</v>
      </c>
      <c r="CA499" s="237" t="n">
        <f aca="false">CA497*$AC$495*CA498*CA$38*'⑫ Roll-out Plan'!$O$54</f>
        <v>0</v>
      </c>
      <c r="CB499" s="237" t="n">
        <f aca="false">CB497*$AC$495*CB498*CB$38*'⑫ Roll-out Plan'!$O$54</f>
        <v>0</v>
      </c>
      <c r="CC499" s="237" t="n">
        <f aca="false">CC497*$AC$495*CC498*CC$38*'⑫ Roll-out Plan'!$O$54</f>
        <v>0</v>
      </c>
      <c r="CD499" s="237" t="n">
        <f aca="false">CD497*$AC$495*CD498*CD$38*'⑫ Roll-out Plan'!$O$54</f>
        <v>0</v>
      </c>
      <c r="CE499" s="237" t="n">
        <f aca="false">CE497*$AC$495*CE498*CE$38*'⑫ Roll-out Plan'!$O$54</f>
        <v>0</v>
      </c>
      <c r="CF499" s="237" t="n">
        <f aca="false">CF497*$AC$495*CF498*CF$38*'⑫ Roll-out Plan'!$O$54</f>
        <v>0</v>
      </c>
      <c r="CG499" s="237" t="n">
        <f aca="false">CG497*$AC$495*CG498*CG$38*'⑫ Roll-out Plan'!$O$54</f>
        <v>0</v>
      </c>
      <c r="CH499" s="237" t="n">
        <f aca="false">CH497*$AC$495*CH498*CH$38*'⑫ Roll-out Plan'!$O$54</f>
        <v>0</v>
      </c>
      <c r="CI499" s="237" t="n">
        <f aca="false">CI497*$AC$495*CI498*CI$38*'⑫ Roll-out Plan'!$O$54</f>
        <v>0</v>
      </c>
      <c r="CJ499" s="237" t="n">
        <f aca="false">CJ497*$AC$495*CJ498*CJ$38*'⑫ Roll-out Plan'!$O$54</f>
        <v>0</v>
      </c>
      <c r="CK499" s="237" t="n">
        <f aca="false">CK497*$AC$495*CK498*CK$38*'⑫ Roll-out Plan'!$O$54</f>
        <v>0</v>
      </c>
      <c r="CL499" s="237" t="n">
        <f aca="false">CL497*$AC$495*CL498*CL$38*'⑫ Roll-out Plan'!$O$54</f>
        <v>0</v>
      </c>
      <c r="CM499" s="237" t="n">
        <f aca="false">CM497*$AC$495*CM498*CM$38*'⑫ Roll-out Plan'!$O$54</f>
        <v>0</v>
      </c>
      <c r="CN499" s="237" t="n">
        <f aca="false">CN497*$AC$495*CN498*CN$38*'⑫ Roll-out Plan'!$O$54</f>
        <v>0</v>
      </c>
      <c r="CO499" s="237" t="n">
        <f aca="false">CO497*$AC$495*CO498*CO$38*'⑫ Roll-out Plan'!$O$54</f>
        <v>0</v>
      </c>
      <c r="CP499" s="237" t="n">
        <f aca="false">CP497*$AC$495*CP498*CP$38*'⑫ Roll-out Plan'!$O$54</f>
        <v>0</v>
      </c>
      <c r="CQ499" s="237" t="n">
        <f aca="false">CQ497*$AC$495*CQ498*CQ$38*'⑫ Roll-out Plan'!$O$54</f>
        <v>0</v>
      </c>
      <c r="CR499" s="237" t="n">
        <f aca="false">CR497*$AC$495*CR498*CR$38*'⑫ Roll-out Plan'!$O$54</f>
        <v>0</v>
      </c>
      <c r="CS499" s="237" t="n">
        <f aca="false">CS497*$AC$495*CS498*CS$38*'⑫ Roll-out Plan'!$O$54</f>
        <v>0</v>
      </c>
      <c r="CT499" s="237" t="n">
        <f aca="false">CT497*$AC$495*CT498*CT$38*'⑫ Roll-out Plan'!$O$54</f>
        <v>0</v>
      </c>
      <c r="CU499" s="237" t="n">
        <f aca="false">CU497*$AC$495*CU498*CU$38*'⑫ Roll-out Plan'!$O$54</f>
        <v>0</v>
      </c>
      <c r="CV499" s="237" t="n">
        <f aca="false">CV497*$AC$495*CV498*CV$38*'⑫ Roll-out Plan'!$O$54</f>
        <v>0</v>
      </c>
      <c r="CW499" s="237" t="n">
        <f aca="false">CW497*$AC$495*CW498*CW$38*'⑫ Roll-out Plan'!$O$54</f>
        <v>0</v>
      </c>
      <c r="CX499" s="237" t="n">
        <f aca="false">CX497*$AC$495*CX498*CX$38*'⑫ Roll-out Plan'!$O$54</f>
        <v>0</v>
      </c>
      <c r="CY499" s="237" t="n">
        <f aca="false">CY497*$AC$495*CY498*CY$38*'⑫ Roll-out Plan'!$O$54</f>
        <v>0</v>
      </c>
      <c r="CZ499" s="237" t="n">
        <f aca="false">CZ497*$AC$495*CZ498*CZ$38*'⑫ Roll-out Plan'!$O$54</f>
        <v>0</v>
      </c>
      <c r="DA499" s="237" t="n">
        <f aca="false">DA497*$AC$495*DA498*DA$38*'⑫ Roll-out Plan'!$O$54</f>
        <v>0</v>
      </c>
      <c r="DB499" s="237" t="n">
        <f aca="false">DB497*$AC$495*DB498*DB$38*'⑫ Roll-out Plan'!$O$54</f>
        <v>0</v>
      </c>
      <c r="DC499" s="237" t="n">
        <f aca="false">DC497*$AC$495*DC498*DC$38*'⑫ Roll-out Plan'!$O$54</f>
        <v>0</v>
      </c>
      <c r="DD499" s="237" t="n">
        <f aca="false">DD497*$AC$495*DD498*DD$38*'⑫ Roll-out Plan'!$O$54</f>
        <v>0</v>
      </c>
      <c r="DE499" s="237" t="n">
        <f aca="false">DE497*$AC$495*DE498*DE$38*'⑫ Roll-out Plan'!$O$54</f>
        <v>0</v>
      </c>
      <c r="DF499" s="237" t="n">
        <f aca="false">DF497*$AC$495*DF498*DF$38*'⑫ Roll-out Plan'!$O$54</f>
        <v>0</v>
      </c>
      <c r="DG499" s="237" t="n">
        <f aca="false">DG497*$AC$495*DG498*DG$38*'⑫ Roll-out Plan'!$O$54</f>
        <v>0</v>
      </c>
      <c r="DH499" s="237" t="n">
        <f aca="false">DH497*$AC$495*DH498*DH$38*'⑫ Roll-out Plan'!$O$54</f>
        <v>0</v>
      </c>
      <c r="DI499" s="237" t="n">
        <f aca="false">DI497*$AC$495*DI498*DI$38*'⑫ Roll-out Plan'!$O$54</f>
        <v>0</v>
      </c>
      <c r="DJ499" s="237" t="n">
        <f aca="false">DJ497*$AC$495*DJ498*DJ$38*'⑫ Roll-out Plan'!$O$54</f>
        <v>0</v>
      </c>
      <c r="DK499" s="237" t="n">
        <f aca="false">DK497*$AC$495*DK498*DK$38*'⑫ Roll-out Plan'!$O$54</f>
        <v>0</v>
      </c>
      <c r="DL499" s="237" t="n">
        <f aca="false">DL497*$AC$495*DL498*DL$38*'⑫ Roll-out Plan'!$O$54</f>
        <v>0</v>
      </c>
      <c r="DM499" s="237" t="n">
        <f aca="false">DM497*$AC$495*DM498*DM$38*'⑫ Roll-out Plan'!$O$54</f>
        <v>0</v>
      </c>
      <c r="DN499" s="237" t="n">
        <f aca="false">DN497*$AC$495*DN498*DN$38*'⑫ Roll-out Plan'!$O$54</f>
        <v>0</v>
      </c>
      <c r="DO499" s="237" t="n">
        <f aca="false">DO497*$AC$495*DO498*DO$38*'⑫ Roll-out Plan'!$O$54</f>
        <v>0</v>
      </c>
      <c r="DP499" s="237" t="n">
        <f aca="false">DP497*$AC$495*DP498*DP$38*'⑫ Roll-out Plan'!$O$54</f>
        <v>0</v>
      </c>
      <c r="DQ499" s="237" t="n">
        <f aca="false">DQ497*$AC$495*DQ498*DQ$38*'⑫ Roll-out Plan'!$O$54</f>
        <v>0</v>
      </c>
      <c r="DR499" s="237" t="n">
        <f aca="false">DR497*$AC$495*DR498*DR$38*'⑫ Roll-out Plan'!$O$54</f>
        <v>0</v>
      </c>
      <c r="DS499" s="237" t="n">
        <f aca="false">DS497*$AC$495*DS498*DS$38*'⑫ Roll-out Plan'!$O$54</f>
        <v>0</v>
      </c>
      <c r="DT499" s="237" t="n">
        <f aca="false">DT497*$AC$495*DT498*DT$38*'⑫ Roll-out Plan'!$O$54</f>
        <v>0</v>
      </c>
      <c r="DU499" s="237" t="n">
        <f aca="false">DU497*$AC$495*DU498*DU$38*'⑫ Roll-out Plan'!$O$54</f>
        <v>0</v>
      </c>
      <c r="DV499" s="237" t="n">
        <f aca="false">DV497*$AC$495*DV498*DV$38*'⑫ Roll-out Plan'!$O$54</f>
        <v>0</v>
      </c>
      <c r="DW499" s="237" t="n">
        <f aca="false">DW497*$AC$495*DW498*DW$38*'⑫ Roll-out Plan'!$O$54</f>
        <v>0</v>
      </c>
      <c r="DX499" s="237" t="n">
        <f aca="false">DX497*$AC$495*DX498*DX$38*'⑫ Roll-out Plan'!$O$54</f>
        <v>0</v>
      </c>
      <c r="DY499" s="237" t="n">
        <f aca="false">DY497*$AC$495*DY498*DY$38*'⑫ Roll-out Plan'!$O$54</f>
        <v>0</v>
      </c>
      <c r="DZ499" s="237" t="n">
        <f aca="false">DZ497*$AC$495*DZ498*DZ$38*'⑫ Roll-out Plan'!$O$54</f>
        <v>0</v>
      </c>
      <c r="EA499" s="237" t="n">
        <f aca="false">EA497*$AC$495*EA498*EA$38*'⑫ Roll-out Plan'!$O$54</f>
        <v>0</v>
      </c>
      <c r="EB499" s="237" t="n">
        <f aca="false">EB497*$AC$495*EB498*EB$38*'⑫ Roll-out Plan'!$O$54</f>
        <v>0</v>
      </c>
      <c r="EC499" s="237" t="n">
        <f aca="false">EC497*$AC$495*EC498*EC$38*'⑫ Roll-out Plan'!$O$54</f>
        <v>0</v>
      </c>
      <c r="ED499" s="237" t="n">
        <f aca="false">ED497*$AC$495*ED498*ED$38*'⑫ Roll-out Plan'!$O$54</f>
        <v>0</v>
      </c>
      <c r="EE499" s="237" t="n">
        <f aca="false">EE497*$AC$495*EE498*EE$38*'⑫ Roll-out Plan'!$O$54</f>
        <v>0</v>
      </c>
      <c r="EF499" s="237" t="n">
        <f aca="false">EF497*$AC$495*EF498*EF$38*'⑫ Roll-out Plan'!$O$54</f>
        <v>0</v>
      </c>
      <c r="EG499" s="237" t="n">
        <f aca="false">EG497*$AC$495*EG498*EG$38*'⑫ Roll-out Plan'!$O$54</f>
        <v>0</v>
      </c>
      <c r="EH499" s="237" t="n">
        <f aca="false">EH497*$AC$495*EH498*EH$38*'⑫ Roll-out Plan'!$O$54</f>
        <v>30.34</v>
      </c>
      <c r="EI499" s="237" t="n">
        <f aca="false">EI497*$AC$495*EI498*EI$38*'⑫ Roll-out Plan'!$O$54</f>
        <v>47.212</v>
      </c>
      <c r="EJ499" s="237" t="n">
        <f aca="false">EJ497*$AC$495*EJ498*EJ$38*'⑫ Roll-out Plan'!$O$54</f>
        <v>48.84</v>
      </c>
      <c r="EK499" s="237" t="n">
        <f aca="false">EK497*$AC$495*EK498*EK$38*'⑫ Roll-out Plan'!$O$54</f>
        <v>45.954</v>
      </c>
      <c r="EL499" s="237" t="n">
        <f aca="false">EL497*$AC$495*EL498*EL$38*'⑫ Roll-out Plan'!$O$54</f>
        <v>39.96</v>
      </c>
      <c r="EM499" s="237" t="n">
        <f aca="false">EM497*$AC$495*EM498*EM$38*'⑫ Roll-out Plan'!$O$54</f>
        <v>48.174</v>
      </c>
      <c r="EN499" s="237" t="n">
        <f aca="false">EN497*$AC$495*EN498*EN$38*'⑫ Roll-out Plan'!$O$54</f>
        <v>91.945</v>
      </c>
      <c r="EO499" s="237" t="n">
        <f aca="false">EO497*$AC$495*EO498*EO$38*'⑫ Roll-out Plan'!$O$54</f>
        <v>83.694</v>
      </c>
      <c r="EP499" s="237" t="n">
        <f aca="false">EP497*$AC$495*EP498*EP$38*'⑫ Roll-out Plan'!$O$54</f>
        <v>78.144</v>
      </c>
      <c r="EQ499" s="237" t="n">
        <f aca="false">EQ497*$AC$495*EQ498*EQ$38*'⑫ Roll-out Plan'!$O$54</f>
        <v>58.608</v>
      </c>
      <c r="ER499" s="237" t="n">
        <f aca="false">ER497*$AC$495*ER498*ER$38*'⑫ Roll-out Plan'!$O$54</f>
        <v>90.576</v>
      </c>
      <c r="ES499" s="9" t="n">
        <f aca="false">ES497*$AC$495*ES498*ES$38*'⑫ Roll-out Plan'!$O$54</f>
        <v>103.896</v>
      </c>
      <c r="ET499" s="9" t="n">
        <f aca="false">ET497*$AC$495*ET498*ET$38*'⑫ Roll-out Plan'!$O$54</f>
        <v>84.952</v>
      </c>
      <c r="EU499" s="9" t="n">
        <f aca="false">EU497*$AC$495*EU498*EU$38*'⑫ Roll-out Plan'!$O$54</f>
        <v>128.76</v>
      </c>
      <c r="EV499" s="9" t="n">
        <f aca="false">EV497*$AC$495*EV498*EV$38*'⑫ Roll-out Plan'!$O$54</f>
        <v>122.1</v>
      </c>
      <c r="EW499" s="9" t="n">
        <f aca="false">EW497*$AC$495*EW498*EW$38*'⑫ Roll-out Plan'!$O$54</f>
        <v>128.6712</v>
      </c>
      <c r="EX499" s="9" t="n">
        <f aca="false">EX497*$AC$495*EX498*EX$38*'⑫ Roll-out Plan'!$O$54</f>
        <v>117.216</v>
      </c>
      <c r="EY499" s="9" t="n">
        <f aca="false">EY497*$AC$495*EY498*EY$38*'⑫ Roll-out Plan'!$O$54</f>
        <v>128.6712</v>
      </c>
      <c r="EZ499" s="9" t="n">
        <f aca="false">EZ497*$AC$495*EZ498*EZ$38*'⑫ Roll-out Plan'!$O$54</f>
        <v>223.8204</v>
      </c>
      <c r="FA499" s="9" t="n">
        <f aca="false">FA497*$AC$495*FA498*FA$38*'⑫ Roll-out Plan'!$O$54</f>
        <v>182.8392</v>
      </c>
      <c r="FB499" s="9" t="n">
        <f aca="false">FB497*$AC$495*FB498*FB$38*'⑫ Roll-out Plan'!$O$54</f>
        <v>155.5776</v>
      </c>
      <c r="FC499" s="9" t="n">
        <f aca="false">FC497*$AC$495*FC498*FC$38*'⑫ Roll-out Plan'!$O$54</f>
        <v>119.88</v>
      </c>
      <c r="FD499" s="9" t="n">
        <f aca="false">FD497*$AC$495*FD498*FD$38*'⑫ Roll-out Plan'!$O$54</f>
        <v>174.3588</v>
      </c>
      <c r="FE499" s="9" t="n">
        <f aca="false">FE497*$AC$495*FE498*FE$38*'⑫ Roll-out Plan'!$O$54</f>
        <v>189.4104</v>
      </c>
      <c r="FF499" s="9" t="n">
        <f aca="false">FF497*$AC$495*FF498*FF$38*'⑫ Roll-out Plan'!$O$54</f>
        <v>143.8116</v>
      </c>
      <c r="FG499" s="9" t="n">
        <f aca="false">FG497*$AC$495*FG498*FG$38*'⑫ Roll-out Plan'!$O$54</f>
        <v>206.016</v>
      </c>
      <c r="FH499" s="9" t="n">
        <f aca="false">FH497*$AC$495*FH498*FH$38*'⑫ Roll-out Plan'!$O$54</f>
        <v>200.244</v>
      </c>
      <c r="FI499" s="9" t="n">
        <f aca="false">FI497*$AC$495*FI498*FI$38*'⑫ Roll-out Plan'!$O$54</f>
        <v>171.5616</v>
      </c>
      <c r="FJ499" s="9" t="n">
        <f aca="false">FJ497*$AC$495*FJ498*FJ$38*'⑫ Roll-out Plan'!$O$54</f>
        <v>150.96</v>
      </c>
      <c r="FK499" s="9" t="n">
        <f aca="false">FK497*$AC$495*FK498*FK$38*'⑫ Roll-out Plan'!$O$54</f>
        <v>158.508</v>
      </c>
      <c r="FL499" s="9" t="n">
        <f aca="false">FL497*$AC$495*FL498*FL$38*'⑫ Roll-out Plan'!$O$54</f>
        <v>271.1064</v>
      </c>
      <c r="FM499" s="9" t="n">
        <f aca="false">FM497*$AC$495*FM498*FM$38*'⑫ Roll-out Plan'!$O$54</f>
        <v>226.6176</v>
      </c>
      <c r="FN499" s="9" t="n">
        <f aca="false">FN497*$AC$495*FN498*FN$38*'⑫ Roll-out Plan'!$O$54</f>
        <v>189.6768</v>
      </c>
      <c r="FO499" s="9" t="n">
        <f aca="false">FO497*$AC$495*FO498*FO$38*'⑫ Roll-out Plan'!$O$54</f>
        <v>143.856</v>
      </c>
      <c r="FP499" s="9" t="n">
        <f aca="false">FP497*$AC$495*FP498*FP$38*'⑫ Roll-out Plan'!$O$54</f>
        <v>203.796</v>
      </c>
    </row>
    <row r="500" customFormat="false" ht="15" hidden="false" customHeight="false" outlineLevel="2" collapsed="false">
      <c r="B500" s="47" t="s">
        <v>877</v>
      </c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237" t="n">
        <f aca="true">IFERROR(SUMPRODUCT(OFFSET($BJ$31,0,1-MIN(60,COLUMN()-29),1,MIN(60,COLUMN()-29)),OFFSET(AC499,0,-MIN(60,COLUMN()-29),1,MIN(60,COLUMN()-29))),0)</f>
        <v>0</v>
      </c>
      <c r="AD500" s="237" t="n">
        <f aca="true">IFERROR(SUMPRODUCT(OFFSET($BJ$31,0,1-MIN(60,COLUMN()-29),1,MIN(60,COLUMN()-29)),OFFSET(AD499,0,-MIN(60,COLUMN()-29),1,MIN(60,COLUMN()-29))),0)</f>
        <v>0</v>
      </c>
      <c r="AE500" s="237" t="n">
        <f aca="true">IFERROR(SUMPRODUCT(OFFSET($BJ$31,0,1-MIN(60,COLUMN()-29),1,MIN(60,COLUMN()-29)),OFFSET(AE499,0,-MIN(60,COLUMN()-29),1,MIN(60,COLUMN()-29))),0)</f>
        <v>0</v>
      </c>
      <c r="AF500" s="237" t="n">
        <f aca="true">IFERROR(SUMPRODUCT(OFFSET($BJ$31,0,1-MIN(60,COLUMN()-29),1,MIN(60,COLUMN()-29)),OFFSET(AF499,0,-MIN(60,COLUMN()-29),1,MIN(60,COLUMN()-29))),0)</f>
        <v>0</v>
      </c>
      <c r="AG500" s="237" t="n">
        <f aca="true">IFERROR(SUMPRODUCT(OFFSET($BJ$31,0,1-MIN(60,COLUMN()-29),1,MIN(60,COLUMN()-29)),OFFSET(AG499,0,-MIN(60,COLUMN()-29),1,MIN(60,COLUMN()-29))),0)</f>
        <v>0</v>
      </c>
      <c r="AH500" s="237" t="n">
        <f aca="true">IFERROR(SUMPRODUCT(OFFSET($BJ$31,0,1-MIN(60,COLUMN()-29),1,MIN(60,COLUMN()-29)),OFFSET(AH499,0,-MIN(60,COLUMN()-29),1,MIN(60,COLUMN()-29))),0)</f>
        <v>0</v>
      </c>
      <c r="AI500" s="237" t="n">
        <f aca="true">IFERROR(SUMPRODUCT(OFFSET($BJ$31,0,1-MIN(60,COLUMN()-29),1,MIN(60,COLUMN()-29)),OFFSET(AI499,0,-MIN(60,COLUMN()-29),1,MIN(60,COLUMN()-29))),0)</f>
        <v>0</v>
      </c>
      <c r="AJ500" s="237" t="n">
        <f aca="true">IFERROR(SUMPRODUCT(OFFSET($BJ$31,0,1-MIN(60,COLUMN()-29),1,MIN(60,COLUMN()-29)),OFFSET(AJ499,0,-MIN(60,COLUMN()-29),1,MIN(60,COLUMN()-29))),0)</f>
        <v>0</v>
      </c>
      <c r="AK500" s="237" t="n">
        <f aca="true">IFERROR(SUMPRODUCT(OFFSET($BJ$31,0,1-MIN(60,COLUMN()-29),1,MIN(60,COLUMN()-29)),OFFSET(AK499,0,-MIN(60,COLUMN()-29),1,MIN(60,COLUMN()-29))),0)</f>
        <v>0</v>
      </c>
      <c r="AL500" s="237" t="n">
        <f aca="true">IFERROR(SUMPRODUCT(OFFSET($BJ$31,0,1-MIN(60,COLUMN()-29),1,MIN(60,COLUMN()-29)),OFFSET(AL499,0,-MIN(60,COLUMN()-29),1,MIN(60,COLUMN()-29))),0)</f>
        <v>0</v>
      </c>
      <c r="AM500" s="237" t="n">
        <f aca="true">IFERROR(SUMPRODUCT(OFFSET($BJ$31,0,1-MIN(60,COLUMN()-29),1,MIN(60,COLUMN()-29)),OFFSET(AM499,0,-MIN(60,COLUMN()-29),1,MIN(60,COLUMN()-29))),0)</f>
        <v>0</v>
      </c>
      <c r="AN500" s="237" t="n">
        <f aca="true">IFERROR(SUMPRODUCT(OFFSET($BJ$31,0,1-MIN(60,COLUMN()-29),1,MIN(60,COLUMN()-29)),OFFSET(AN499,0,-MIN(60,COLUMN()-29),1,MIN(60,COLUMN()-29))),0)</f>
        <v>0</v>
      </c>
      <c r="AO500" s="237" t="n">
        <f aca="true">IFERROR(SUMPRODUCT(OFFSET($BJ$31,0,1-MIN(60,COLUMN()-29),1,MIN(60,COLUMN()-29)),OFFSET(AO499,0,-MIN(60,COLUMN()-29),1,MIN(60,COLUMN()-29))),0)</f>
        <v>0</v>
      </c>
      <c r="AP500" s="237" t="n">
        <f aca="true">IFERROR(SUMPRODUCT(OFFSET($BJ$31,0,1-MIN(60,COLUMN()-29),1,MIN(60,COLUMN()-29)),OFFSET(AP499,0,-MIN(60,COLUMN()-29),1,MIN(60,COLUMN()-29))),0)</f>
        <v>0</v>
      </c>
      <c r="AQ500" s="237" t="n">
        <f aca="true">IFERROR(SUMPRODUCT(OFFSET($BJ$31,0,1-MIN(60,COLUMN()-29),1,MIN(60,COLUMN()-29)),OFFSET(AQ499,0,-MIN(60,COLUMN()-29),1,MIN(60,COLUMN()-29))),0)</f>
        <v>0</v>
      </c>
      <c r="AR500" s="237" t="n">
        <f aca="true">IFERROR(SUMPRODUCT(OFFSET($BJ$31,0,1-MIN(60,COLUMN()-29),1,MIN(60,COLUMN()-29)),OFFSET(AR499,0,-MIN(60,COLUMN()-29),1,MIN(60,COLUMN()-29))),0)</f>
        <v>0</v>
      </c>
      <c r="AS500" s="237" t="n">
        <f aca="true">IFERROR(SUMPRODUCT(OFFSET($BJ$31,0,1-MIN(60,COLUMN()-29),1,MIN(60,COLUMN()-29)),OFFSET(AS499,0,-MIN(60,COLUMN()-29),1,MIN(60,COLUMN()-29))),0)</f>
        <v>0</v>
      </c>
      <c r="AT500" s="237" t="n">
        <f aca="true">IFERROR(SUMPRODUCT(OFFSET($BJ$31,0,1-MIN(60,COLUMN()-29),1,MIN(60,COLUMN()-29)),OFFSET(AT499,0,-MIN(60,COLUMN()-29),1,MIN(60,COLUMN()-29))),0)</f>
        <v>0</v>
      </c>
      <c r="AU500" s="237" t="n">
        <f aca="true">IFERROR(SUMPRODUCT(OFFSET($BJ$31,0,1-MIN(60,COLUMN()-29),1,MIN(60,COLUMN()-29)),OFFSET(AU499,0,-MIN(60,COLUMN()-29),1,MIN(60,COLUMN()-29))),0)</f>
        <v>0</v>
      </c>
      <c r="AV500" s="237" t="n">
        <f aca="true">IFERROR(SUMPRODUCT(OFFSET($BJ$31,0,1-MIN(60,COLUMN()-29),1,MIN(60,COLUMN()-29)),OFFSET(AV499,0,-MIN(60,COLUMN()-29),1,MIN(60,COLUMN()-29))),0)</f>
        <v>0</v>
      </c>
      <c r="AW500" s="237" t="n">
        <f aca="true">IFERROR(SUMPRODUCT(OFFSET($BJ$31,0,1-MIN(60,COLUMN()-29),1,MIN(60,COLUMN()-29)),OFFSET(AW499,0,-MIN(60,COLUMN()-29),1,MIN(60,COLUMN()-29))),0)</f>
        <v>0</v>
      </c>
      <c r="AX500" s="237" t="n">
        <f aca="true">IFERROR(SUMPRODUCT(OFFSET($BJ$31,0,1-MIN(60,COLUMN()-29),1,MIN(60,COLUMN()-29)),OFFSET(AX499,0,-MIN(60,COLUMN()-29),1,MIN(60,COLUMN()-29))),0)</f>
        <v>0</v>
      </c>
      <c r="AY500" s="237" t="n">
        <f aca="true">IFERROR(SUMPRODUCT(OFFSET($BJ$31,0,1-MIN(60,COLUMN()-29),1,MIN(60,COLUMN()-29)),OFFSET(AY499,0,-MIN(60,COLUMN()-29),1,MIN(60,COLUMN()-29))),0)</f>
        <v>0</v>
      </c>
      <c r="AZ500" s="237" t="n">
        <f aca="true">IFERROR(SUMPRODUCT(OFFSET($BJ$31,0,1-MIN(60,COLUMN()-29),1,MIN(60,COLUMN()-29)),OFFSET(AZ499,0,-MIN(60,COLUMN()-29),1,MIN(60,COLUMN()-29))),0)</f>
        <v>0</v>
      </c>
      <c r="BA500" s="237" t="n">
        <f aca="true">IFERROR(SUMPRODUCT(OFFSET($BJ$31,0,1-MIN(60,COLUMN()-29),1,MIN(60,COLUMN()-29)),OFFSET(BA499,0,-MIN(60,COLUMN()-29),1,MIN(60,COLUMN()-29))),0)</f>
        <v>0</v>
      </c>
      <c r="BB500" s="237" t="n">
        <f aca="true">IFERROR(SUMPRODUCT(OFFSET($BJ$31,0,1-MIN(60,COLUMN()-29),1,MIN(60,COLUMN()-29)),OFFSET(BB499,0,-MIN(60,COLUMN()-29),1,MIN(60,COLUMN()-29))),0)</f>
        <v>0</v>
      </c>
      <c r="BC500" s="237" t="n">
        <f aca="true">IFERROR(SUMPRODUCT(OFFSET($BJ$31,0,1-MIN(60,COLUMN()-29),1,MIN(60,COLUMN()-29)),OFFSET(BC499,0,-MIN(60,COLUMN()-29),1,MIN(60,COLUMN()-29))),0)</f>
        <v>0</v>
      </c>
      <c r="BD500" s="237" t="n">
        <f aca="true">IFERROR(SUMPRODUCT(OFFSET($BJ$31,0,1-MIN(60,COLUMN()-29),1,MIN(60,COLUMN()-29)),OFFSET(BD499,0,-MIN(60,COLUMN()-29),1,MIN(60,COLUMN()-29))),0)</f>
        <v>0</v>
      </c>
      <c r="BE500" s="237" t="n">
        <f aca="true">IFERROR(SUMPRODUCT(OFFSET($BJ$31,0,1-MIN(60,COLUMN()-29),1,MIN(60,COLUMN()-29)),OFFSET(BE499,0,-MIN(60,COLUMN()-29),1,MIN(60,COLUMN()-29))),0)</f>
        <v>0</v>
      </c>
      <c r="BF500" s="237" t="n">
        <f aca="true">IFERROR(SUMPRODUCT(OFFSET($BJ$31,0,1-MIN(60,COLUMN()-29),1,MIN(60,COLUMN()-29)),OFFSET(BF499,0,-MIN(60,COLUMN()-29),1,MIN(60,COLUMN()-29))),0)</f>
        <v>0</v>
      </c>
      <c r="BG500" s="237" t="n">
        <f aca="true">IFERROR(SUMPRODUCT(OFFSET($BJ$31,0,1-MIN(60,COLUMN()-29),1,MIN(60,COLUMN()-29)),OFFSET(BG499,0,-MIN(60,COLUMN()-29),1,MIN(60,COLUMN()-29))),0)</f>
        <v>0</v>
      </c>
      <c r="BH500" s="237" t="n">
        <f aca="true">IFERROR(SUMPRODUCT(OFFSET($BJ$31,0,1-MIN(60,COLUMN()-29),1,MIN(60,COLUMN()-29)),OFFSET(BH499,0,-MIN(60,COLUMN()-29),1,MIN(60,COLUMN()-29))),0)</f>
        <v>0</v>
      </c>
      <c r="BI500" s="237" t="n">
        <f aca="true">IFERROR(SUMPRODUCT(OFFSET($BJ$31,0,1-MIN(60,COLUMN()-29),1,MIN(60,COLUMN()-29)),OFFSET(BI499,0,-MIN(60,COLUMN()-29),1,MIN(60,COLUMN()-29))),0)</f>
        <v>0</v>
      </c>
      <c r="BJ500" s="237" t="n">
        <f aca="true">IFERROR(SUMPRODUCT(OFFSET($BJ$31,0,1-MIN(60,COLUMN()-29),1,MIN(60,COLUMN()-29)),OFFSET(BJ499,0,-MIN(60,COLUMN()-29),1,MIN(60,COLUMN()-29))),0)</f>
        <v>0</v>
      </c>
      <c r="BK500" s="237" t="n">
        <f aca="true">IFERROR(SUMPRODUCT(OFFSET($BJ$31,0,1-MIN(60,COLUMN()-29),1,MIN(60,COLUMN()-29)),OFFSET(BK499,0,-MIN(60,COLUMN()-29),1,MIN(60,COLUMN()-29))),0)</f>
        <v>0</v>
      </c>
      <c r="BL500" s="237" t="n">
        <f aca="true">IFERROR(SUMPRODUCT(OFFSET($BJ$31,0,1-MIN(60,COLUMN()-29),1,MIN(60,COLUMN()-29)),OFFSET(BL499,0,-MIN(60,COLUMN()-29),1,MIN(60,COLUMN()-29))),0)</f>
        <v>0</v>
      </c>
      <c r="BM500" s="237" t="n">
        <f aca="true">IFERROR(SUMPRODUCT(OFFSET($BJ$31,0,1-MIN(60,COLUMN()-29),1,MIN(60,COLUMN()-29)),OFFSET(BM499,0,-MIN(60,COLUMN()-29),1,MIN(60,COLUMN()-29))),0)</f>
        <v>0</v>
      </c>
      <c r="BN500" s="237" t="n">
        <f aca="true">IFERROR(SUMPRODUCT(OFFSET($BJ$31,0,1-MIN(60,COLUMN()-29),1,MIN(60,COLUMN()-29)),OFFSET(BN499,0,-MIN(60,COLUMN()-29),1,MIN(60,COLUMN()-29))),0)</f>
        <v>0</v>
      </c>
      <c r="BO500" s="237" t="n">
        <f aca="true">IFERROR(SUMPRODUCT(OFFSET($BJ$31,0,1-MIN(60,COLUMN()-29),1,MIN(60,COLUMN()-29)),OFFSET(BO499,0,-MIN(60,COLUMN()-29),1,MIN(60,COLUMN()-29))),0)</f>
        <v>0</v>
      </c>
      <c r="BP500" s="237" t="n">
        <f aca="true">IFERROR(SUMPRODUCT(OFFSET($BJ$31,0,1-MIN(60,COLUMN()-29),1,MIN(60,COLUMN()-29)),OFFSET(BP499,0,-MIN(60,COLUMN()-29),1,MIN(60,COLUMN()-29))),0)</f>
        <v>0</v>
      </c>
      <c r="BQ500" s="237" t="n">
        <f aca="true">IFERROR(SUMPRODUCT(OFFSET($BJ$31,0,1-MIN(60,COLUMN()-29),1,MIN(60,COLUMN()-29)),OFFSET(BQ499,0,-MIN(60,COLUMN()-29),1,MIN(60,COLUMN()-29))),0)</f>
        <v>0</v>
      </c>
      <c r="BR500" s="237" t="n">
        <f aca="true">IFERROR(SUMPRODUCT(OFFSET($BJ$31,0,1-MIN(60,COLUMN()-29),1,MIN(60,COLUMN()-29)),OFFSET(BR499,0,-MIN(60,COLUMN()-29),1,MIN(60,COLUMN()-29))),0)</f>
        <v>0</v>
      </c>
      <c r="BS500" s="237" t="n">
        <f aca="true">IFERROR(SUMPRODUCT(OFFSET($BJ$31,0,1-MIN(60,COLUMN()-29),1,MIN(60,COLUMN()-29)),OFFSET(BS499,0,-MIN(60,COLUMN()-29),1,MIN(60,COLUMN()-29))),0)</f>
        <v>0</v>
      </c>
      <c r="BT500" s="237" t="n">
        <f aca="true">IFERROR(SUMPRODUCT(OFFSET($BJ$31,0,1-MIN(60,COLUMN()-29),1,MIN(60,COLUMN()-29)),OFFSET(BT499,0,-MIN(60,COLUMN()-29),1,MIN(60,COLUMN()-29))),0)</f>
        <v>0</v>
      </c>
      <c r="BU500" s="237" t="n">
        <f aca="true">IFERROR(SUMPRODUCT(OFFSET($BJ$31,0,1-MIN(60,COLUMN()-29),1,MIN(60,COLUMN()-29)),OFFSET(BU499,0,-MIN(60,COLUMN()-29),1,MIN(60,COLUMN()-29))),0)</f>
        <v>0</v>
      </c>
      <c r="BV500" s="237" t="n">
        <f aca="true">IFERROR(SUMPRODUCT(OFFSET($BJ$31,0,1-MIN(60,COLUMN()-29),1,MIN(60,COLUMN()-29)),OFFSET(BV499,0,-MIN(60,COLUMN()-29),1,MIN(60,COLUMN()-29))),0)</f>
        <v>0</v>
      </c>
      <c r="BW500" s="237" t="n">
        <f aca="true">IFERROR(SUMPRODUCT(OFFSET($BJ$31,0,1-MIN(60,COLUMN()-29),1,MIN(60,COLUMN()-29)),OFFSET(BW499,0,-MIN(60,COLUMN()-29),1,MIN(60,COLUMN()-29))),0)</f>
        <v>0</v>
      </c>
      <c r="BX500" s="237" t="n">
        <f aca="true">IFERROR(SUMPRODUCT(OFFSET($BJ$31,0,1-MIN(60,COLUMN()-29),1,MIN(60,COLUMN()-29)),OFFSET(BX499,0,-MIN(60,COLUMN()-29),1,MIN(60,COLUMN()-29))),0)</f>
        <v>0</v>
      </c>
      <c r="BY500" s="237" t="n">
        <f aca="true">IFERROR(SUMPRODUCT(OFFSET($BJ$31,0,1-MIN(60,COLUMN()-29),1,MIN(60,COLUMN()-29)),OFFSET(BY499,0,-MIN(60,COLUMN()-29),1,MIN(60,COLUMN()-29))),0)</f>
        <v>0</v>
      </c>
      <c r="BZ500" s="237" t="n">
        <f aca="true">IFERROR(SUMPRODUCT(OFFSET($BJ$31,0,1-MIN(60,COLUMN()-29),1,MIN(60,COLUMN()-29)),OFFSET(BZ499,0,-MIN(60,COLUMN()-29),1,MIN(60,COLUMN()-29))),0)</f>
        <v>0</v>
      </c>
      <c r="CA500" s="237" t="n">
        <f aca="true">IFERROR(SUMPRODUCT(OFFSET($BJ$31,0,1-MIN(60,COLUMN()-29),1,MIN(60,COLUMN()-29)),OFFSET(CA499,0,-MIN(60,COLUMN()-29),1,MIN(60,COLUMN()-29))),0)</f>
        <v>0</v>
      </c>
      <c r="CB500" s="237" t="n">
        <f aca="true">IFERROR(SUMPRODUCT(OFFSET($BJ$31,0,1-MIN(60,COLUMN()-29),1,MIN(60,COLUMN()-29)),OFFSET(CB499,0,-MIN(60,COLUMN()-29),1,MIN(60,COLUMN()-29))),0)</f>
        <v>0</v>
      </c>
      <c r="CC500" s="237" t="n">
        <f aca="true">IFERROR(SUMPRODUCT(OFFSET($BJ$31,0,1-MIN(60,COLUMN()-29),1,MIN(60,COLUMN()-29)),OFFSET(CC499,0,-MIN(60,COLUMN()-29),1,MIN(60,COLUMN()-29))),0)</f>
        <v>0</v>
      </c>
      <c r="CD500" s="237" t="n">
        <f aca="true">IFERROR(SUMPRODUCT(OFFSET($BJ$31,0,1-MIN(60,COLUMN()-29),1,MIN(60,COLUMN()-29)),OFFSET(CD499,0,-MIN(60,COLUMN()-29),1,MIN(60,COLUMN()-29))),0)</f>
        <v>0</v>
      </c>
      <c r="CE500" s="237" t="n">
        <f aca="true">IFERROR(SUMPRODUCT(OFFSET($BJ$31,0,1-MIN(60,COLUMN()-29),1,MIN(60,COLUMN()-29)),OFFSET(CE499,0,-MIN(60,COLUMN()-29),1,MIN(60,COLUMN()-29))),0)</f>
        <v>0</v>
      </c>
      <c r="CF500" s="237" t="n">
        <f aca="true">IFERROR(SUMPRODUCT(OFFSET($BJ$31,0,1-MIN(60,COLUMN()-29),1,MIN(60,COLUMN()-29)),OFFSET(CF499,0,-MIN(60,COLUMN()-29),1,MIN(60,COLUMN()-29))),0)</f>
        <v>0</v>
      </c>
      <c r="CG500" s="237" t="n">
        <f aca="true">IFERROR(SUMPRODUCT(OFFSET($BJ$31,0,1-MIN(60,COLUMN()-29),1,MIN(60,COLUMN()-29)),OFFSET(CG499,0,-MIN(60,COLUMN()-29),1,MIN(60,COLUMN()-29))),0)</f>
        <v>0</v>
      </c>
      <c r="CH500" s="237" t="n">
        <f aca="true">IFERROR(SUMPRODUCT(OFFSET($BJ$31,0,1-MIN(60,COLUMN()-29),1,MIN(60,COLUMN()-29)),OFFSET(CH499,0,-MIN(60,COLUMN()-29),1,MIN(60,COLUMN()-29))),0)</f>
        <v>0</v>
      </c>
      <c r="CI500" s="237" t="n">
        <f aca="true">IFERROR(SUMPRODUCT(OFFSET($BJ$31,0,1-MIN(60,COLUMN()-29),1,MIN(60,COLUMN()-29)),OFFSET(CI499,0,-MIN(60,COLUMN()-29),1,MIN(60,COLUMN()-29))),0)</f>
        <v>0</v>
      </c>
      <c r="CJ500" s="237" t="n">
        <f aca="true">IFERROR(SUMPRODUCT(OFFSET($BJ$31,0,1-MIN(60,COLUMN()-29),1,MIN(60,COLUMN()-29)),OFFSET(CJ499,0,-MIN(60,COLUMN()-29),1,MIN(60,COLUMN()-29))),0)</f>
        <v>0</v>
      </c>
      <c r="CK500" s="237" t="n">
        <f aca="true">IFERROR(SUMPRODUCT(OFFSET($BJ$31,0,1-MIN(60,COLUMN()-29),1,MIN(60,COLUMN()-29)),OFFSET(CK499,0,-MIN(60,COLUMN()-29),1,MIN(60,COLUMN()-29))),0)</f>
        <v>0</v>
      </c>
      <c r="CL500" s="237" t="n">
        <f aca="true">IFERROR(SUMPRODUCT(OFFSET($BJ$31,0,1-MIN(60,COLUMN()-29),1,MIN(60,COLUMN()-29)),OFFSET(CL499,0,-MIN(60,COLUMN()-29),1,MIN(60,COLUMN()-29))),0)</f>
        <v>0</v>
      </c>
      <c r="CM500" s="237" t="n">
        <f aca="true">IFERROR(SUMPRODUCT(OFFSET($BJ$31,0,1-MIN(60,COLUMN()-29),1,MIN(60,COLUMN()-29)),OFFSET(CM499,0,-MIN(60,COLUMN()-29),1,MIN(60,COLUMN()-29))),0)</f>
        <v>0</v>
      </c>
      <c r="CN500" s="237" t="n">
        <f aca="true">IFERROR(SUMPRODUCT(OFFSET($BJ$31,0,1-MIN(60,COLUMN()-29),1,MIN(60,COLUMN()-29)),OFFSET(CN499,0,-MIN(60,COLUMN()-29),1,MIN(60,COLUMN()-29))),0)</f>
        <v>0</v>
      </c>
      <c r="CO500" s="237" t="n">
        <f aca="true">IFERROR(SUMPRODUCT(OFFSET($BJ$31,0,1-MIN(60,COLUMN()-29),1,MIN(60,COLUMN()-29)),OFFSET(CO499,0,-MIN(60,COLUMN()-29),1,MIN(60,COLUMN()-29))),0)</f>
        <v>0</v>
      </c>
      <c r="CP500" s="237" t="n">
        <f aca="true">IFERROR(SUMPRODUCT(OFFSET($BJ$31,0,1-MIN(60,COLUMN()-29),1,MIN(60,COLUMN()-29)),OFFSET(CP499,0,-MIN(60,COLUMN()-29),1,MIN(60,COLUMN()-29))),0)</f>
        <v>0</v>
      </c>
      <c r="CQ500" s="237" t="n">
        <f aca="true">IFERROR(SUMPRODUCT(OFFSET($BJ$31,0,1-MIN(60,COLUMN()-29),1,MIN(60,COLUMN()-29)),OFFSET(CQ499,0,-MIN(60,COLUMN()-29),1,MIN(60,COLUMN()-29))),0)</f>
        <v>0</v>
      </c>
      <c r="CR500" s="237" t="n">
        <f aca="true">IFERROR(SUMPRODUCT(OFFSET($BJ$31,0,1-MIN(60,COLUMN()-29),1,MIN(60,COLUMN()-29)),OFFSET(CR499,0,-MIN(60,COLUMN()-29),1,MIN(60,COLUMN()-29))),0)</f>
        <v>0</v>
      </c>
      <c r="CS500" s="237" t="n">
        <f aca="true">IFERROR(SUMPRODUCT(OFFSET($BJ$31,0,1-MIN(60,COLUMN()-29),1,MIN(60,COLUMN()-29)),OFFSET(CS499,0,-MIN(60,COLUMN()-29),1,MIN(60,COLUMN()-29))),0)</f>
        <v>0</v>
      </c>
      <c r="CT500" s="237" t="n">
        <f aca="true">IFERROR(SUMPRODUCT(OFFSET($BJ$31,0,1-MIN(60,COLUMN()-29),1,MIN(60,COLUMN()-29)),OFFSET(CT499,0,-MIN(60,COLUMN()-29),1,MIN(60,COLUMN()-29))),0)</f>
        <v>0</v>
      </c>
      <c r="CU500" s="237" t="n">
        <f aca="true">IFERROR(SUMPRODUCT(OFFSET($BJ$31,0,1-MIN(60,COLUMN()-29),1,MIN(60,COLUMN()-29)),OFFSET(CU499,0,-MIN(60,COLUMN()-29),1,MIN(60,COLUMN()-29))),0)</f>
        <v>0</v>
      </c>
      <c r="CV500" s="237" t="n">
        <f aca="true">IFERROR(SUMPRODUCT(OFFSET($BJ$31,0,1-MIN(60,COLUMN()-29),1,MIN(60,COLUMN()-29)),OFFSET(CV499,0,-MIN(60,COLUMN()-29),1,MIN(60,COLUMN()-29))),0)</f>
        <v>0</v>
      </c>
      <c r="CW500" s="237" t="n">
        <f aca="true">IFERROR(SUMPRODUCT(OFFSET($BJ$31,0,1-MIN(60,COLUMN()-29),1,MIN(60,COLUMN()-29)),OFFSET(CW499,0,-MIN(60,COLUMN()-29),1,MIN(60,COLUMN()-29))),0)</f>
        <v>0</v>
      </c>
      <c r="CX500" s="237" t="n">
        <f aca="true">IFERROR(SUMPRODUCT(OFFSET($BJ$31,0,1-MIN(60,COLUMN()-29),1,MIN(60,COLUMN()-29)),OFFSET(CX499,0,-MIN(60,COLUMN()-29),1,MIN(60,COLUMN()-29))),0)</f>
        <v>0</v>
      </c>
      <c r="CY500" s="237" t="n">
        <f aca="true">IFERROR(SUMPRODUCT(OFFSET($BJ$31,0,1-MIN(60,COLUMN()-29),1,MIN(60,COLUMN()-29)),OFFSET(CY499,0,-MIN(60,COLUMN()-29),1,MIN(60,COLUMN()-29))),0)</f>
        <v>0</v>
      </c>
      <c r="CZ500" s="237" t="n">
        <f aca="true">IFERROR(SUMPRODUCT(OFFSET($BJ$31,0,1-MIN(60,COLUMN()-29),1,MIN(60,COLUMN()-29)),OFFSET(CZ499,0,-MIN(60,COLUMN()-29),1,MIN(60,COLUMN()-29))),0)</f>
        <v>0</v>
      </c>
      <c r="DA500" s="237" t="n">
        <f aca="true">IFERROR(SUMPRODUCT(OFFSET($BJ$31,0,1-MIN(60,COLUMN()-29),1,MIN(60,COLUMN()-29)),OFFSET(DA499,0,-MIN(60,COLUMN()-29),1,MIN(60,COLUMN()-29))),0)</f>
        <v>0</v>
      </c>
      <c r="DB500" s="237" t="n">
        <f aca="true">IFERROR(SUMPRODUCT(OFFSET($BJ$31,0,1-MIN(60,COLUMN()-29),1,MIN(60,COLUMN()-29)),OFFSET(DB499,0,-MIN(60,COLUMN()-29),1,MIN(60,COLUMN()-29))),0)</f>
        <v>0</v>
      </c>
      <c r="DC500" s="237" t="n">
        <f aca="true">IFERROR(SUMPRODUCT(OFFSET($BJ$31,0,1-MIN(60,COLUMN()-29),1,MIN(60,COLUMN()-29)),OFFSET(DC499,0,-MIN(60,COLUMN()-29),1,MIN(60,COLUMN()-29))),0)</f>
        <v>0</v>
      </c>
      <c r="DD500" s="237" t="n">
        <f aca="true">IFERROR(SUMPRODUCT(OFFSET($BJ$31,0,1-MIN(60,COLUMN()-29),1,MIN(60,COLUMN()-29)),OFFSET(DD499,0,-MIN(60,COLUMN()-29),1,MIN(60,COLUMN()-29))),0)</f>
        <v>0</v>
      </c>
      <c r="DE500" s="237" t="n">
        <f aca="true">IFERROR(SUMPRODUCT(OFFSET($BJ$31,0,1-MIN(60,COLUMN()-29),1,MIN(60,COLUMN()-29)),OFFSET(DE499,0,-MIN(60,COLUMN()-29),1,MIN(60,COLUMN()-29))),0)</f>
        <v>0</v>
      </c>
      <c r="DF500" s="237" t="n">
        <f aca="true">IFERROR(SUMPRODUCT(OFFSET($BJ$31,0,1-MIN(60,COLUMN()-29),1,MIN(60,COLUMN()-29)),OFFSET(DF499,0,-MIN(60,COLUMN()-29),1,MIN(60,COLUMN()-29))),0)</f>
        <v>0</v>
      </c>
      <c r="DG500" s="237" t="n">
        <f aca="true">IFERROR(SUMPRODUCT(OFFSET($BJ$31,0,1-MIN(60,COLUMN()-29),1,MIN(60,COLUMN()-29)),OFFSET(DG499,0,-MIN(60,COLUMN()-29),1,MIN(60,COLUMN()-29))),0)</f>
        <v>0</v>
      </c>
      <c r="DH500" s="237" t="n">
        <f aca="true">IFERROR(SUMPRODUCT(OFFSET($BJ$31,0,1-MIN(60,COLUMN()-29),1,MIN(60,COLUMN()-29)),OFFSET(DH499,0,-MIN(60,COLUMN()-29),1,MIN(60,COLUMN()-29))),0)</f>
        <v>0</v>
      </c>
      <c r="DI500" s="237" t="n">
        <f aca="true">IFERROR(SUMPRODUCT(OFFSET($BJ$31,0,1-MIN(60,COLUMN()-29),1,MIN(60,COLUMN()-29)),OFFSET(DI499,0,-MIN(60,COLUMN()-29),1,MIN(60,COLUMN()-29))),0)</f>
        <v>0</v>
      </c>
      <c r="DJ500" s="237" t="n">
        <f aca="true">IFERROR(SUMPRODUCT(OFFSET($BJ$31,0,1-MIN(60,COLUMN()-29),1,MIN(60,COLUMN()-29)),OFFSET(DJ499,0,-MIN(60,COLUMN()-29),1,MIN(60,COLUMN()-29))),0)</f>
        <v>0</v>
      </c>
      <c r="DK500" s="237" t="n">
        <f aca="true">IFERROR(SUMPRODUCT(OFFSET($BJ$31,0,1-MIN(60,COLUMN()-29),1,MIN(60,COLUMN()-29)),OFFSET(DK499,0,-MIN(60,COLUMN()-29),1,MIN(60,COLUMN()-29))),0)</f>
        <v>0</v>
      </c>
      <c r="DL500" s="237" t="n">
        <f aca="true">IFERROR(SUMPRODUCT(OFFSET($BJ$31,0,1-MIN(60,COLUMN()-29),1,MIN(60,COLUMN()-29)),OFFSET(DL499,0,-MIN(60,COLUMN()-29),1,MIN(60,COLUMN()-29))),0)</f>
        <v>0</v>
      </c>
      <c r="DM500" s="237" t="n">
        <f aca="true">IFERROR(SUMPRODUCT(OFFSET($BJ$31,0,1-MIN(60,COLUMN()-29),1,MIN(60,COLUMN()-29)),OFFSET(DM499,0,-MIN(60,COLUMN()-29),1,MIN(60,COLUMN()-29))),0)</f>
        <v>0</v>
      </c>
      <c r="DN500" s="237" t="n">
        <f aca="true">IFERROR(SUMPRODUCT(OFFSET($BJ$31,0,1-MIN(60,COLUMN()-29),1,MIN(60,COLUMN()-29)),OFFSET(DN499,0,-MIN(60,COLUMN()-29),1,MIN(60,COLUMN()-29))),0)</f>
        <v>0</v>
      </c>
      <c r="DO500" s="237" t="n">
        <f aca="true">IFERROR(SUMPRODUCT(OFFSET($BJ$31,0,1-MIN(60,COLUMN()-29),1,MIN(60,COLUMN()-29)),OFFSET(DO499,0,-MIN(60,COLUMN()-29),1,MIN(60,COLUMN()-29))),0)</f>
        <v>0</v>
      </c>
      <c r="DP500" s="237" t="n">
        <f aca="true">IFERROR(SUMPRODUCT(OFFSET($BJ$31,0,1-MIN(60,COLUMN()-29),1,MIN(60,COLUMN()-29)),OFFSET(DP499,0,-MIN(60,COLUMN()-29),1,MIN(60,COLUMN()-29))),0)</f>
        <v>0</v>
      </c>
      <c r="DQ500" s="237" t="n">
        <f aca="true">IFERROR(SUMPRODUCT(OFFSET($BJ$31,0,1-MIN(60,COLUMN()-29),1,MIN(60,COLUMN()-29)),OFFSET(DQ499,0,-MIN(60,COLUMN()-29),1,MIN(60,COLUMN()-29))),0)</f>
        <v>0</v>
      </c>
      <c r="DR500" s="237" t="n">
        <f aca="true">IFERROR(SUMPRODUCT(OFFSET($BJ$31,0,1-MIN(60,COLUMN()-29),1,MIN(60,COLUMN()-29)),OFFSET(DR499,0,-MIN(60,COLUMN()-29),1,MIN(60,COLUMN()-29))),0)</f>
        <v>0</v>
      </c>
      <c r="DS500" s="237" t="n">
        <f aca="true">IFERROR(SUMPRODUCT(OFFSET($BJ$31,0,1-MIN(60,COLUMN()-29),1,MIN(60,COLUMN()-29)),OFFSET(DS499,0,-MIN(60,COLUMN()-29),1,MIN(60,COLUMN()-29))),0)</f>
        <v>0</v>
      </c>
      <c r="DT500" s="237" t="n">
        <f aca="true">IFERROR(SUMPRODUCT(OFFSET($BJ$31,0,1-MIN(60,COLUMN()-29),1,MIN(60,COLUMN()-29)),OFFSET(DT499,0,-MIN(60,COLUMN()-29),1,MIN(60,COLUMN()-29))),0)</f>
        <v>0</v>
      </c>
      <c r="DU500" s="237" t="n">
        <f aca="true">IFERROR(SUMPRODUCT(OFFSET($BJ$31,0,1-MIN(60,COLUMN()-29),1,MIN(60,COLUMN()-29)),OFFSET(DU499,0,-MIN(60,COLUMN()-29),1,MIN(60,COLUMN()-29))),0)</f>
        <v>0</v>
      </c>
      <c r="DV500" s="237" t="n">
        <f aca="true">IFERROR(SUMPRODUCT(OFFSET($BJ$31,0,1-MIN(60,COLUMN()-29),1,MIN(60,COLUMN()-29)),OFFSET(DV499,0,-MIN(60,COLUMN()-29),1,MIN(60,COLUMN()-29))),0)</f>
        <v>0</v>
      </c>
      <c r="DW500" s="237" t="n">
        <f aca="true">IFERROR(SUMPRODUCT(OFFSET($BJ$31,0,1-MIN(60,COLUMN()-29),1,MIN(60,COLUMN()-29)),OFFSET(DW499,0,-MIN(60,COLUMN()-29),1,MIN(60,COLUMN()-29))),0)</f>
        <v>0</v>
      </c>
      <c r="DX500" s="237" t="n">
        <f aca="true">IFERROR(SUMPRODUCT(OFFSET($BJ$31,0,1-MIN(60,COLUMN()-29),1,MIN(60,COLUMN()-29)),OFFSET(DX499,0,-MIN(60,COLUMN()-29),1,MIN(60,COLUMN()-29))),0)</f>
        <v>0</v>
      </c>
      <c r="DY500" s="237" t="n">
        <f aca="true">IFERROR(SUMPRODUCT(OFFSET($BJ$31,0,1-MIN(60,COLUMN()-29),1,MIN(60,COLUMN()-29)),OFFSET(DY499,0,-MIN(60,COLUMN()-29),1,MIN(60,COLUMN()-29))),0)</f>
        <v>0</v>
      </c>
      <c r="DZ500" s="237" t="n">
        <f aca="true">IFERROR(SUMPRODUCT(OFFSET($BJ$31,0,1-MIN(60,COLUMN()-29),1,MIN(60,COLUMN()-29)),OFFSET(DZ499,0,-MIN(60,COLUMN()-29),1,MIN(60,COLUMN()-29))),0)</f>
        <v>0</v>
      </c>
      <c r="EA500" s="237" t="n">
        <f aca="true">IFERROR(SUMPRODUCT(OFFSET($BJ$31,0,1-MIN(60,COLUMN()-29),1,MIN(60,COLUMN()-29)),OFFSET(EA499,0,-MIN(60,COLUMN()-29),1,MIN(60,COLUMN()-29))),0)</f>
        <v>0</v>
      </c>
      <c r="EB500" s="237" t="n">
        <f aca="true">IFERROR(SUMPRODUCT(OFFSET($BJ$31,0,1-MIN(60,COLUMN()-29),1,MIN(60,COLUMN()-29)),OFFSET(EB499,0,-MIN(60,COLUMN()-29),1,MIN(60,COLUMN()-29))),0)</f>
        <v>0</v>
      </c>
      <c r="EC500" s="237" t="n">
        <f aca="true">IFERROR(SUMPRODUCT(OFFSET($BJ$31,0,1-MIN(60,COLUMN()-29),1,MIN(60,COLUMN()-29)),OFFSET(EC499,0,-MIN(60,COLUMN()-29),1,MIN(60,COLUMN()-29))),0)</f>
        <v>0</v>
      </c>
      <c r="ED500" s="237" t="n">
        <f aca="true">IFERROR(SUMPRODUCT(OFFSET($BJ$31,0,1-MIN(60,COLUMN()-29),1,MIN(60,COLUMN()-29)),OFFSET(ED499,0,-MIN(60,COLUMN()-29),1,MIN(60,COLUMN()-29))),0)</f>
        <v>0</v>
      </c>
      <c r="EE500" s="237" t="n">
        <f aca="true">IFERROR(SUMPRODUCT(OFFSET($BJ$31,0,1-MIN(60,COLUMN()-29),1,MIN(60,COLUMN()-29)),OFFSET(EE499,0,-MIN(60,COLUMN()-29),1,MIN(60,COLUMN()-29))),0)</f>
        <v>0</v>
      </c>
      <c r="EF500" s="237" t="n">
        <f aca="true">IFERROR(SUMPRODUCT(OFFSET($BJ$31,0,1-MIN(60,COLUMN()-29),1,MIN(60,COLUMN()-29)),OFFSET(EF499,0,-MIN(60,COLUMN()-29),1,MIN(60,COLUMN()-29))),0)</f>
        <v>0</v>
      </c>
      <c r="EG500" s="237" t="n">
        <f aca="true">IFERROR(SUMPRODUCT(OFFSET($BJ$31,0,1-MIN(60,COLUMN()-29),1,MIN(60,COLUMN()-29)),OFFSET(EG499,0,-MIN(60,COLUMN()-29),1,MIN(60,COLUMN()-29))),0)</f>
        <v>0</v>
      </c>
      <c r="EH500" s="237" t="n">
        <f aca="true">IFERROR(SUMPRODUCT(OFFSET($BJ$31,0,1-MIN(60,COLUMN()-29),1,MIN(60,COLUMN()-29)),OFFSET(EH499,0,-MIN(60,COLUMN()-29),1,MIN(60,COLUMN()-29))),0)</f>
        <v>0</v>
      </c>
      <c r="EI500" s="237" t="n">
        <f aca="true">IFERROR(SUMPRODUCT(OFFSET($BJ$31,0,1-MIN(60,COLUMN()-29),1,MIN(60,COLUMN()-29)),OFFSET(EI499,0,-MIN(60,COLUMN()-29),1,MIN(60,COLUMN()-29))),0)</f>
        <v>3.88352</v>
      </c>
      <c r="EJ500" s="237" t="n">
        <f aca="true">IFERROR(SUMPRODUCT(OFFSET($BJ$31,0,1-MIN(60,COLUMN()-29),1,MIN(60,COLUMN()-29)),OFFSET(EJ499,0,-MIN(60,COLUMN()-29),1,MIN(60,COLUMN()-29))),0)</f>
        <v>6.57712</v>
      </c>
      <c r="EK500" s="237" t="n">
        <f aca="true">IFERROR(SUMPRODUCT(OFFSET($BJ$31,0,1-MIN(60,COLUMN()-29),1,MIN(60,COLUMN()-29)),OFFSET(EK499,0,-MIN(60,COLUMN()-29),1,MIN(60,COLUMN()-29))),0)</f>
        <v>7.7620672</v>
      </c>
      <c r="EL500" s="237" t="n">
        <f aca="true">IFERROR(SUMPRODUCT(OFFSET($BJ$31,0,1-MIN(60,COLUMN()-29),1,MIN(60,COLUMN()-29)),OFFSET(EL499,0,-MIN(60,COLUMN()-29),1,MIN(60,COLUMN()-29))),0)</f>
        <v>8.1875968</v>
      </c>
      <c r="EM500" s="237" t="n">
        <f aca="true">IFERROR(SUMPRODUCT(OFFSET($BJ$31,0,1-MIN(60,COLUMN()-29),1,MIN(60,COLUMN()-29)),OFFSET(EM499,0,-MIN(60,COLUMN()-29),1,MIN(60,COLUMN()-29))),0)</f>
        <v>7.913264</v>
      </c>
      <c r="EN500" s="237" t="n">
        <f aca="true">IFERROR(SUMPRODUCT(OFFSET($BJ$31,0,1-MIN(60,COLUMN()-29),1,MIN(60,COLUMN()-29)),OFFSET(EN499,0,-MIN(60,COLUMN()-29),1,MIN(60,COLUMN()-29))),0)</f>
        <v>9.1229568</v>
      </c>
      <c r="EO500" s="237" t="n">
        <f aca="true">IFERROR(SUMPRODUCT(OFFSET($BJ$31,0,1-MIN(60,COLUMN()-29),1,MIN(60,COLUMN()-29)),OFFSET(EO499,0,-MIN(60,COLUMN()-29),1,MIN(60,COLUMN()-29))),0)</f>
        <v>15.2810592</v>
      </c>
      <c r="EP500" s="237" t="n">
        <f aca="true">IFERROR(SUMPRODUCT(OFFSET($BJ$31,0,1-MIN(60,COLUMN()-29),1,MIN(60,COLUMN()-29)),OFFSET(EP499,0,-MIN(60,COLUMN()-29),1,MIN(60,COLUMN()-29))),0)</f>
        <v>15.498264</v>
      </c>
      <c r="EQ500" s="237" t="n">
        <f aca="true">IFERROR(SUMPRODUCT(OFFSET($BJ$31,0,1-MIN(60,COLUMN()-29),1,MIN(60,COLUMN()-29)),OFFSET(EQ499,0,-MIN(60,COLUMN()-29),1,MIN(60,COLUMN()-29))),0)</f>
        <v>16.0551584</v>
      </c>
      <c r="ER500" s="237" t="n">
        <f aca="true">IFERROR(SUMPRODUCT(OFFSET($BJ$31,0,1-MIN(60,COLUMN()-29),1,MIN(60,COLUMN()-29)),OFFSET(ER499,0,-MIN(60,COLUMN()-29),1,MIN(60,COLUMN()-29))),0)</f>
        <v>14.5399936</v>
      </c>
      <c r="ES500" s="9" t="n">
        <f aca="true">IFERROR(SUMPRODUCT(OFFSET($BJ$31,0,1-MIN(60,COLUMN()-29),1,MIN(60,COLUMN()-29)),OFFSET(ES499,0,-MIN(60,COLUMN()-29),1,MIN(60,COLUMN()-29))),0)</f>
        <v>18.8176672</v>
      </c>
      <c r="ET500" s="9" t="n">
        <f aca="true">IFERROR(SUMPRODUCT(OFFSET($BJ$31,0,1-MIN(60,COLUMN()-29),1,MIN(60,COLUMN()-29)),OFFSET(ET499,0,-MIN(60,COLUMN()-29),1,MIN(60,COLUMN()-29))),0)</f>
        <v>21.6903472</v>
      </c>
      <c r="EU500" s="9" t="n">
        <f aca="true">IFERROR(SUMPRODUCT(OFFSET($BJ$31,0,1-MIN(60,COLUMN()-29),1,MIN(60,COLUMN()-29)),OFFSET(EU499,0,-MIN(60,COLUMN()-29),1,MIN(60,COLUMN()-29))),0)</f>
        <v>22.036608</v>
      </c>
      <c r="EV500" s="9" t="n">
        <f aca="true">IFERROR(SUMPRODUCT(OFFSET($BJ$31,0,1-MIN(60,COLUMN()-29),1,MIN(60,COLUMN()-29)),OFFSET(EV499,0,-MIN(60,COLUMN()-29),1,MIN(60,COLUMN()-29))),0)</f>
        <v>28.824184</v>
      </c>
      <c r="EW500" s="9" t="n">
        <f aca="true">IFERROR(SUMPRODUCT(OFFSET($BJ$31,0,1-MIN(60,COLUMN()-29),1,MIN(60,COLUMN()-29)),OFFSET(EW499,0,-MIN(60,COLUMN()-29),1,MIN(60,COLUMN()-29))),0)</f>
        <v>29.6267584</v>
      </c>
      <c r="EX500" s="9" t="n">
        <f aca="true">IFERROR(SUMPRODUCT(OFFSET($BJ$31,0,1-MIN(60,COLUMN()-29),1,MIN(60,COLUMN()-29)),OFFSET(EX499,0,-MIN(60,COLUMN()-29),1,MIN(60,COLUMN()-29))),0)</f>
        <v>31.9343152</v>
      </c>
      <c r="EY500" s="9" t="n">
        <f aca="true">IFERROR(SUMPRODUCT(OFFSET($BJ$31,0,1-MIN(60,COLUMN()-29),1,MIN(60,COLUMN()-29)),OFFSET(EY499,0,-MIN(60,COLUMN()-29),1,MIN(60,COLUMN()-29))),0)</f>
        <v>32.26193392</v>
      </c>
      <c r="EZ500" s="9" t="n">
        <f aca="true">IFERROR(SUMPRODUCT(OFFSET($BJ$31,0,1-MIN(60,COLUMN()-29),1,MIN(60,COLUMN()-29)),OFFSET(EZ499,0,-MIN(60,COLUMN()-29),1,MIN(60,COLUMN()-29))),0)</f>
        <v>36.75440288</v>
      </c>
      <c r="FA500" s="9" t="n">
        <f aca="true">IFERROR(SUMPRODUCT(OFFSET($BJ$31,0,1-MIN(60,COLUMN()-29),1,MIN(60,COLUMN()-29)),OFFSET(FA499,0,-MIN(60,COLUMN()-29),1,MIN(60,COLUMN()-29))),0)</f>
        <v>51.56908448</v>
      </c>
      <c r="FB500" s="9" t="n">
        <f aca="true">IFERROR(SUMPRODUCT(OFFSET($BJ$31,0,1-MIN(60,COLUMN()-29),1,MIN(60,COLUMN()-29)),OFFSET(FB499,0,-MIN(60,COLUMN()-29),1,MIN(60,COLUMN()-29))),0)</f>
        <v>50.82112504</v>
      </c>
      <c r="FC500" s="9" t="n">
        <f aca="true">IFERROR(SUMPRODUCT(OFFSET($BJ$31,0,1-MIN(60,COLUMN()-29),1,MIN(60,COLUMN()-29)),OFFSET(FC499,0,-MIN(60,COLUMN()-29),1,MIN(60,COLUMN()-29))),0)</f>
        <v>49.980118</v>
      </c>
      <c r="FD500" s="9" t="n">
        <f aca="true">IFERROR(SUMPRODUCT(OFFSET($BJ$31,0,1-MIN(60,COLUMN()-29),1,MIN(60,COLUMN()-29)),OFFSET(FD499,0,-MIN(60,COLUMN()-29),1,MIN(60,COLUMN()-29))),0)</f>
        <v>47.28264928</v>
      </c>
      <c r="FE500" s="9" t="n">
        <f aca="true">IFERROR(SUMPRODUCT(OFFSET($BJ$31,0,1-MIN(60,COLUMN()-29),1,MIN(60,COLUMN()-29)),OFFSET(FE499,0,-MIN(60,COLUMN()-29),1,MIN(60,COLUMN()-29))),0)</f>
        <v>57.79936796</v>
      </c>
      <c r="FF500" s="9" t="n">
        <f aca="true">IFERROR(SUMPRODUCT(OFFSET($BJ$31,0,1-MIN(60,COLUMN()-29),1,MIN(60,COLUMN()-29)),OFFSET(FF499,0,-MIN(60,COLUMN()-29),1,MIN(60,COLUMN()-29))),0)</f>
        <v>62.32290212</v>
      </c>
      <c r="FG500" s="9" t="n">
        <f aca="true">IFERROR(SUMPRODUCT(OFFSET($BJ$31,0,1-MIN(60,COLUMN()-29),1,MIN(60,COLUMN()-29)),OFFSET(FG499,0,-MIN(60,COLUMN()-29),1,MIN(60,COLUMN()-29))),0)</f>
        <v>61.79100196</v>
      </c>
      <c r="FH500" s="9" t="n">
        <f aca="true">IFERROR(SUMPRODUCT(OFFSET($BJ$31,0,1-MIN(60,COLUMN()-29),1,MIN(60,COLUMN()-29)),OFFSET(FH499,0,-MIN(60,COLUMN()-29),1,MIN(60,COLUMN()-29))),0)</f>
        <v>72.51868132</v>
      </c>
      <c r="FI500" s="9" t="n">
        <f aca="true">IFERROR(SUMPRODUCT(OFFSET($BJ$31,0,1-MIN(60,COLUMN()-29),1,MIN(60,COLUMN()-29)),OFFSET(FI499,0,-MIN(60,COLUMN()-29),1,MIN(60,COLUMN()-29))),0)</f>
        <v>75.8353258</v>
      </c>
      <c r="FJ500" s="9" t="n">
        <f aca="true">IFERROR(SUMPRODUCT(OFFSET($BJ$31,0,1-MIN(60,COLUMN()-29),1,MIN(60,COLUMN()-29)),OFFSET(FJ499,0,-MIN(60,COLUMN()-29),1,MIN(60,COLUMN()-29))),0)</f>
        <v>77.13271748</v>
      </c>
      <c r="FK500" s="9" t="n">
        <f aca="true">IFERROR(SUMPRODUCT(OFFSET($BJ$31,0,1-MIN(60,COLUMN()-29),1,MIN(60,COLUMN()-29)),OFFSET(FK499,0,-MIN(60,COLUMN()-29),1,MIN(60,COLUMN()-29))),0)</f>
        <v>77.06955108</v>
      </c>
      <c r="FL500" s="9" t="n">
        <f aca="true">IFERROR(SUMPRODUCT(OFFSET($BJ$31,0,1-MIN(60,COLUMN()-29),1,MIN(60,COLUMN()-29)),OFFSET(FL499,0,-MIN(60,COLUMN()-29),1,MIN(60,COLUMN()-29))),0)</f>
        <v>83.55255492</v>
      </c>
      <c r="FM500" s="9" t="n">
        <f aca="true">IFERROR(SUMPRODUCT(OFFSET($BJ$31,0,1-MIN(60,COLUMN()-29),1,MIN(60,COLUMN()-29)),OFFSET(FM499,0,-MIN(60,COLUMN()-29),1,MIN(60,COLUMN()-29))),0)</f>
        <v>102.53957556</v>
      </c>
      <c r="FN500" s="9" t="n">
        <f aca="true">IFERROR(SUMPRODUCT(OFFSET($BJ$31,0,1-MIN(60,COLUMN()-29),1,MIN(60,COLUMN()-29)),OFFSET(FN499,0,-MIN(60,COLUMN()-29),1,MIN(60,COLUMN()-29))),0)</f>
        <v>102.89575236</v>
      </c>
      <c r="FO500" s="9" t="n">
        <f aca="true">IFERROR(SUMPRODUCT(OFFSET($BJ$31,0,1-MIN(60,COLUMN()-29),1,MIN(60,COLUMN()-29)),OFFSET(FO499,0,-MIN(60,COLUMN()-29),1,MIN(60,COLUMN()-29))),0)</f>
        <v>102.08930628</v>
      </c>
      <c r="FP500" s="9" t="n">
        <f aca="true">IFERROR(SUMPRODUCT(OFFSET($BJ$31,0,1-MIN(60,COLUMN()-29),1,MIN(60,COLUMN()-29)),OFFSET(FP499,0,-MIN(60,COLUMN()-29),1,MIN(60,COLUMN()-29))),0)</f>
        <v>99.35360916</v>
      </c>
    </row>
    <row r="501" customFormat="false" ht="15" hidden="false" customHeight="false" outlineLevel="2" collapsed="false">
      <c r="B501" s="47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237"/>
      <c r="AD501" s="237"/>
      <c r="AE501" s="237"/>
      <c r="AF501" s="237"/>
      <c r="AG501" s="237"/>
      <c r="AH501" s="237"/>
      <c r="AI501" s="237"/>
      <c r="AJ501" s="237"/>
      <c r="AK501" s="237"/>
      <c r="AL501" s="237"/>
      <c r="AM501" s="237"/>
      <c r="AN501" s="237"/>
      <c r="AO501" s="237"/>
      <c r="AP501" s="237"/>
      <c r="AQ501" s="237"/>
      <c r="AR501" s="237"/>
      <c r="AS501" s="237"/>
      <c r="AT501" s="237"/>
      <c r="AU501" s="237"/>
      <c r="AV501" s="237"/>
      <c r="AW501" s="237"/>
      <c r="AX501" s="237"/>
      <c r="AY501" s="237"/>
      <c r="AZ501" s="237"/>
      <c r="BA501" s="237"/>
      <c r="BB501" s="237"/>
      <c r="BC501" s="237"/>
      <c r="BD501" s="237"/>
      <c r="BE501" s="237"/>
      <c r="BF501" s="237"/>
      <c r="BG501" s="237"/>
      <c r="BH501" s="237"/>
      <c r="BI501" s="237"/>
      <c r="BJ501" s="237"/>
      <c r="BK501" s="237"/>
      <c r="BL501" s="237"/>
      <c r="BM501" s="237"/>
      <c r="BN501" s="237"/>
      <c r="BO501" s="237"/>
      <c r="BP501" s="237"/>
      <c r="BQ501" s="237"/>
      <c r="BR501" s="237"/>
      <c r="BS501" s="237"/>
      <c r="BT501" s="237"/>
      <c r="BU501" s="237"/>
      <c r="BV501" s="237"/>
      <c r="BW501" s="237"/>
      <c r="BX501" s="237"/>
      <c r="BY501" s="237"/>
      <c r="BZ501" s="237"/>
      <c r="CA501" s="237"/>
      <c r="CB501" s="237"/>
      <c r="CC501" s="237"/>
      <c r="CD501" s="237"/>
      <c r="CE501" s="237"/>
      <c r="CF501" s="237"/>
      <c r="CG501" s="237"/>
      <c r="CH501" s="237"/>
      <c r="CI501" s="237"/>
      <c r="CJ501" s="237"/>
      <c r="CK501" s="237"/>
      <c r="CL501" s="237"/>
      <c r="CM501" s="237"/>
      <c r="CN501" s="237"/>
      <c r="CO501" s="237"/>
      <c r="CP501" s="237"/>
      <c r="CQ501" s="237"/>
      <c r="CR501" s="237"/>
      <c r="CS501" s="237"/>
      <c r="CT501" s="237"/>
      <c r="CU501" s="237"/>
      <c r="CV501" s="237"/>
      <c r="CW501" s="237"/>
      <c r="CX501" s="237"/>
      <c r="CY501" s="237"/>
      <c r="CZ501" s="237"/>
      <c r="DA501" s="237"/>
      <c r="DB501" s="237"/>
      <c r="DC501" s="237"/>
      <c r="DD501" s="237"/>
      <c r="DE501" s="237"/>
      <c r="DF501" s="237"/>
      <c r="DG501" s="237"/>
      <c r="DH501" s="237"/>
      <c r="DI501" s="237"/>
      <c r="DJ501" s="237"/>
      <c r="DK501" s="237"/>
      <c r="DL501" s="237"/>
      <c r="DM501" s="237"/>
      <c r="DN501" s="237"/>
      <c r="DO501" s="237"/>
      <c r="DP501" s="237"/>
      <c r="DQ501" s="237"/>
      <c r="DR501" s="237"/>
      <c r="DS501" s="237"/>
      <c r="DT501" s="237"/>
      <c r="DU501" s="237"/>
      <c r="DV501" s="237"/>
      <c r="DW501" s="237"/>
      <c r="DX501" s="237"/>
      <c r="DY501" s="237"/>
      <c r="DZ501" s="237"/>
      <c r="EA501" s="237"/>
      <c r="EB501" s="237"/>
      <c r="EC501" s="237"/>
      <c r="ED501" s="237"/>
      <c r="EE501" s="237"/>
      <c r="EF501" s="237"/>
      <c r="EG501" s="237"/>
      <c r="EH501" s="237"/>
      <c r="EI501" s="237"/>
      <c r="EJ501" s="237"/>
      <c r="EK501" s="237"/>
      <c r="EL501" s="237"/>
      <c r="EM501" s="237"/>
      <c r="EN501" s="237"/>
      <c r="EO501" s="237"/>
      <c r="EP501" s="237"/>
      <c r="EQ501" s="237"/>
      <c r="ER501" s="237"/>
      <c r="ES501" s="9"/>
      <c r="ET501" s="9"/>
      <c r="EU501" s="9"/>
      <c r="EV501" s="9"/>
      <c r="EW501" s="9"/>
      <c r="EX501" s="9"/>
      <c r="EY501" s="9"/>
      <c r="EZ501" s="9"/>
      <c r="FA501" s="9"/>
      <c r="FB501" s="9"/>
      <c r="FC501" s="9"/>
      <c r="FD501" s="9"/>
      <c r="FE501" s="9"/>
      <c r="FF501" s="9"/>
      <c r="FG501" s="9"/>
      <c r="FH501" s="9"/>
      <c r="FI501" s="9"/>
      <c r="FJ501" s="9"/>
      <c r="FK501" s="9"/>
      <c r="FL501" s="9"/>
      <c r="FM501" s="9"/>
      <c r="FN501" s="9"/>
      <c r="FO501" s="9"/>
      <c r="FP501" s="9"/>
    </row>
    <row r="502" customFormat="false" ht="15" hidden="false" customHeight="false" outlineLevel="2" collapsed="false">
      <c r="B502" s="47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237"/>
      <c r="AD502" s="237"/>
      <c r="AE502" s="237"/>
      <c r="AF502" s="237"/>
      <c r="AG502" s="237"/>
      <c r="AH502" s="237"/>
      <c r="AI502" s="237"/>
      <c r="AJ502" s="237"/>
      <c r="AK502" s="237"/>
      <c r="AL502" s="237"/>
      <c r="AM502" s="237"/>
      <c r="AN502" s="237"/>
      <c r="AO502" s="237"/>
      <c r="AP502" s="237"/>
      <c r="AQ502" s="237"/>
      <c r="AR502" s="237"/>
      <c r="AS502" s="237"/>
      <c r="AT502" s="237"/>
      <c r="AU502" s="237"/>
      <c r="AV502" s="237"/>
      <c r="AW502" s="237"/>
      <c r="AX502" s="237"/>
      <c r="AY502" s="237"/>
      <c r="AZ502" s="237"/>
      <c r="BA502" s="237"/>
      <c r="BB502" s="237"/>
      <c r="BC502" s="237"/>
      <c r="BD502" s="237"/>
      <c r="BE502" s="237"/>
      <c r="BF502" s="237"/>
      <c r="BG502" s="237"/>
      <c r="BH502" s="237"/>
      <c r="BI502" s="237"/>
      <c r="BJ502" s="237"/>
      <c r="BK502" s="237"/>
      <c r="BL502" s="237"/>
      <c r="BM502" s="237"/>
      <c r="BN502" s="237"/>
      <c r="BO502" s="237"/>
      <c r="BP502" s="237"/>
      <c r="BQ502" s="237"/>
      <c r="BR502" s="237"/>
      <c r="BS502" s="237"/>
      <c r="BT502" s="237"/>
      <c r="BU502" s="237"/>
      <c r="BV502" s="237"/>
      <c r="BW502" s="237"/>
      <c r="BX502" s="237"/>
      <c r="BY502" s="237"/>
      <c r="BZ502" s="237"/>
      <c r="CA502" s="237"/>
      <c r="CB502" s="237"/>
      <c r="CC502" s="237"/>
      <c r="CD502" s="237"/>
      <c r="CE502" s="237"/>
      <c r="CF502" s="237"/>
      <c r="CG502" s="237"/>
      <c r="CH502" s="237"/>
      <c r="CI502" s="237"/>
      <c r="CJ502" s="237"/>
      <c r="CK502" s="237"/>
      <c r="CL502" s="237"/>
      <c r="CM502" s="237"/>
      <c r="CN502" s="237"/>
      <c r="CO502" s="237"/>
      <c r="CP502" s="237"/>
      <c r="CQ502" s="237"/>
      <c r="CR502" s="237"/>
      <c r="CS502" s="237"/>
      <c r="CT502" s="237"/>
      <c r="CU502" s="237"/>
      <c r="CV502" s="237"/>
      <c r="CW502" s="237"/>
      <c r="CX502" s="237"/>
      <c r="CY502" s="237"/>
      <c r="CZ502" s="237"/>
      <c r="DA502" s="237"/>
      <c r="DB502" s="237"/>
      <c r="DC502" s="237"/>
      <c r="DD502" s="237"/>
      <c r="DE502" s="237"/>
      <c r="DF502" s="237"/>
      <c r="DG502" s="237"/>
      <c r="DH502" s="237"/>
      <c r="DI502" s="237"/>
      <c r="DJ502" s="237"/>
      <c r="DK502" s="237"/>
      <c r="DL502" s="237"/>
      <c r="DM502" s="237"/>
      <c r="DN502" s="237"/>
      <c r="DO502" s="237"/>
      <c r="DP502" s="237"/>
      <c r="DQ502" s="237"/>
      <c r="DR502" s="237"/>
      <c r="DS502" s="237"/>
      <c r="DT502" s="237"/>
      <c r="DU502" s="237"/>
      <c r="DV502" s="237"/>
      <c r="DW502" s="237"/>
      <c r="DX502" s="237"/>
      <c r="DY502" s="237"/>
      <c r="DZ502" s="237"/>
      <c r="EA502" s="237"/>
      <c r="EB502" s="237"/>
      <c r="EC502" s="237"/>
      <c r="ED502" s="237"/>
      <c r="EE502" s="237"/>
      <c r="EF502" s="237"/>
      <c r="EG502" s="237"/>
      <c r="EH502" s="237"/>
      <c r="EI502" s="237"/>
      <c r="EJ502" s="237"/>
      <c r="EK502" s="237"/>
      <c r="EL502" s="237"/>
      <c r="EM502" s="237"/>
      <c r="EN502" s="237"/>
      <c r="EO502" s="237"/>
      <c r="EP502" s="237"/>
      <c r="EQ502" s="237"/>
      <c r="ER502" s="237"/>
      <c r="ES502" s="9"/>
      <c r="ET502" s="9"/>
      <c r="EU502" s="9"/>
      <c r="EV502" s="9"/>
      <c r="EW502" s="9"/>
      <c r="EX502" s="9"/>
      <c r="EY502" s="9"/>
      <c r="EZ502" s="9"/>
      <c r="FA502" s="9"/>
      <c r="FB502" s="9"/>
      <c r="FC502" s="9"/>
      <c r="FD502" s="9"/>
      <c r="FE502" s="9"/>
      <c r="FF502" s="9"/>
      <c r="FG502" s="9"/>
      <c r="FH502" s="9"/>
      <c r="FI502" s="9"/>
      <c r="FJ502" s="9"/>
      <c r="FK502" s="9"/>
      <c r="FL502" s="9"/>
      <c r="FM502" s="9"/>
      <c r="FN502" s="9"/>
      <c r="FO502" s="9"/>
      <c r="FP502" s="9"/>
    </row>
    <row r="503" customFormat="false" ht="15" hidden="false" customHeight="false" outlineLevel="2" collapsed="false">
      <c r="B503" s="47" t="s">
        <v>923</v>
      </c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237"/>
      <c r="AD503" s="237"/>
      <c r="AE503" s="237"/>
      <c r="AF503" s="237"/>
      <c r="AG503" s="237"/>
      <c r="AH503" s="237"/>
      <c r="AI503" s="237"/>
      <c r="AJ503" s="237"/>
      <c r="AK503" s="237"/>
      <c r="AL503" s="237"/>
      <c r="AM503" s="237"/>
      <c r="AN503" s="237"/>
      <c r="AO503" s="237"/>
      <c r="AP503" s="237"/>
      <c r="AQ503" s="237"/>
      <c r="AR503" s="237"/>
      <c r="AS503" s="237"/>
      <c r="AT503" s="237"/>
      <c r="AU503" s="237"/>
      <c r="AV503" s="237"/>
      <c r="AW503" s="237"/>
      <c r="AX503" s="237"/>
      <c r="AY503" s="237"/>
      <c r="AZ503" s="237"/>
      <c r="BA503" s="237"/>
      <c r="BB503" s="237"/>
      <c r="BC503" s="237"/>
      <c r="BD503" s="237"/>
      <c r="BE503" s="237"/>
      <c r="BF503" s="237"/>
      <c r="BG503" s="237"/>
      <c r="BH503" s="237"/>
      <c r="BI503" s="237"/>
      <c r="BJ503" s="237"/>
      <c r="BK503" s="237"/>
      <c r="BL503" s="237"/>
      <c r="BM503" s="237"/>
      <c r="BN503" s="237"/>
      <c r="BO503" s="237"/>
      <c r="BP503" s="237"/>
      <c r="BQ503" s="237"/>
      <c r="BR503" s="237"/>
      <c r="BS503" s="237"/>
      <c r="BT503" s="237"/>
      <c r="BU503" s="237"/>
      <c r="BV503" s="237"/>
      <c r="BW503" s="237"/>
      <c r="BX503" s="237"/>
      <c r="BY503" s="237"/>
      <c r="BZ503" s="237"/>
      <c r="CA503" s="237"/>
      <c r="CB503" s="237"/>
      <c r="CC503" s="237"/>
      <c r="CD503" s="237"/>
      <c r="CE503" s="237"/>
      <c r="CF503" s="237"/>
      <c r="CG503" s="237"/>
      <c r="CH503" s="237"/>
      <c r="CI503" s="237"/>
      <c r="CJ503" s="237"/>
      <c r="CK503" s="237"/>
      <c r="CL503" s="237"/>
      <c r="CM503" s="237"/>
      <c r="CN503" s="237"/>
      <c r="CO503" s="237"/>
      <c r="CP503" s="237"/>
      <c r="CQ503" s="237"/>
      <c r="CR503" s="237"/>
      <c r="CS503" s="237"/>
      <c r="CT503" s="237"/>
      <c r="CU503" s="237"/>
      <c r="CV503" s="237"/>
      <c r="CW503" s="237"/>
      <c r="CX503" s="237"/>
      <c r="CY503" s="237"/>
      <c r="CZ503" s="237"/>
      <c r="DA503" s="237"/>
      <c r="DB503" s="237"/>
      <c r="DC503" s="237"/>
      <c r="DD503" s="237"/>
      <c r="DE503" s="237"/>
      <c r="DF503" s="237"/>
      <c r="DG503" s="237"/>
      <c r="DH503" s="237"/>
      <c r="DI503" s="237"/>
      <c r="DJ503" s="237"/>
      <c r="DK503" s="237"/>
      <c r="DL503" s="237"/>
      <c r="DM503" s="237"/>
      <c r="DN503" s="237"/>
      <c r="DO503" s="237"/>
      <c r="DP503" s="237"/>
      <c r="DQ503" s="237"/>
      <c r="DR503" s="237"/>
      <c r="DS503" s="237"/>
      <c r="DT503" s="237"/>
      <c r="DU503" s="237"/>
      <c r="DV503" s="237"/>
      <c r="DW503" s="237"/>
      <c r="DX503" s="237"/>
      <c r="DY503" s="237"/>
      <c r="DZ503" s="237"/>
      <c r="EA503" s="237"/>
      <c r="EB503" s="237"/>
      <c r="EC503" s="237"/>
      <c r="ED503" s="237"/>
      <c r="EE503" s="237"/>
      <c r="EF503" s="237"/>
      <c r="EG503" s="237"/>
      <c r="EH503" s="237"/>
      <c r="EI503" s="237"/>
      <c r="EJ503" s="237"/>
      <c r="EK503" s="237"/>
      <c r="EL503" s="237"/>
      <c r="EM503" s="237"/>
      <c r="EN503" s="237"/>
      <c r="EO503" s="237"/>
      <c r="EP503" s="237"/>
      <c r="EQ503" s="237"/>
      <c r="ER503" s="237"/>
      <c r="ES503" s="9"/>
      <c r="ET503" s="9"/>
      <c r="EU503" s="9"/>
      <c r="EV503" s="9"/>
      <c r="EW503" s="9"/>
      <c r="EX503" s="9"/>
      <c r="EY503" s="9"/>
      <c r="EZ503" s="9"/>
      <c r="FA503" s="9"/>
      <c r="FB503" s="9"/>
      <c r="FC503" s="9"/>
      <c r="FD503" s="9"/>
      <c r="FE503" s="9"/>
      <c r="FF503" s="9"/>
      <c r="FG503" s="9"/>
      <c r="FH503" s="9"/>
      <c r="FI503" s="9"/>
      <c r="FJ503" s="9"/>
      <c r="FK503" s="9"/>
      <c r="FL503" s="9"/>
      <c r="FM503" s="9"/>
      <c r="FN503" s="9"/>
      <c r="FO503" s="9"/>
      <c r="FP503" s="9"/>
    </row>
    <row r="504" customFormat="false" ht="15" hidden="false" customHeight="false" outlineLevel="2" collapsed="false">
      <c r="B504" s="47" t="s">
        <v>872</v>
      </c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237" t="n">
        <f aca="false">('⑫ Roll-out Plan'!G55-2025)*12+'⑫ Roll-out Plan'!F55</f>
        <v>118</v>
      </c>
      <c r="AD504" s="237"/>
      <c r="AE504" s="237"/>
      <c r="AF504" s="237"/>
      <c r="AG504" s="237"/>
      <c r="AH504" s="237"/>
      <c r="AI504" s="237"/>
      <c r="AJ504" s="237"/>
      <c r="AK504" s="237"/>
      <c r="AL504" s="237"/>
      <c r="AM504" s="237"/>
      <c r="AN504" s="237"/>
      <c r="AO504" s="237"/>
      <c r="AP504" s="237"/>
      <c r="AQ504" s="237"/>
      <c r="AR504" s="237"/>
      <c r="AS504" s="237"/>
      <c r="AT504" s="237"/>
      <c r="AU504" s="237"/>
      <c r="AV504" s="237"/>
      <c r="AW504" s="237"/>
      <c r="AX504" s="237"/>
      <c r="AY504" s="237"/>
      <c r="AZ504" s="237"/>
      <c r="BA504" s="237"/>
      <c r="BB504" s="237"/>
      <c r="BC504" s="237"/>
      <c r="BD504" s="237"/>
      <c r="BE504" s="237"/>
      <c r="BF504" s="237"/>
      <c r="BG504" s="237"/>
      <c r="BH504" s="237"/>
      <c r="BI504" s="237"/>
      <c r="BJ504" s="237"/>
      <c r="BK504" s="237"/>
      <c r="BL504" s="237"/>
      <c r="BM504" s="237"/>
      <c r="BN504" s="237"/>
      <c r="BO504" s="237"/>
      <c r="BP504" s="237"/>
      <c r="BQ504" s="237"/>
      <c r="BR504" s="237"/>
      <c r="BS504" s="237"/>
      <c r="BT504" s="237"/>
      <c r="BU504" s="237"/>
      <c r="BV504" s="237"/>
      <c r="BW504" s="237"/>
      <c r="BX504" s="237"/>
      <c r="BY504" s="237"/>
      <c r="BZ504" s="237"/>
      <c r="CA504" s="237"/>
      <c r="CB504" s="237"/>
      <c r="CC504" s="237"/>
      <c r="CD504" s="237"/>
      <c r="CE504" s="237"/>
      <c r="CF504" s="237"/>
      <c r="CG504" s="237"/>
      <c r="CH504" s="237"/>
      <c r="CI504" s="237"/>
      <c r="CJ504" s="237"/>
      <c r="CK504" s="237"/>
      <c r="CL504" s="237"/>
      <c r="CM504" s="237"/>
      <c r="CN504" s="237"/>
      <c r="CO504" s="237"/>
      <c r="CP504" s="237"/>
      <c r="CQ504" s="237"/>
      <c r="CR504" s="237"/>
      <c r="CS504" s="237"/>
      <c r="CT504" s="237"/>
      <c r="CU504" s="237"/>
      <c r="CV504" s="237"/>
      <c r="CW504" s="237"/>
      <c r="CX504" s="237"/>
      <c r="CY504" s="237"/>
      <c r="CZ504" s="237"/>
      <c r="DA504" s="237"/>
      <c r="DB504" s="237"/>
      <c r="DC504" s="237"/>
      <c r="DD504" s="237"/>
      <c r="DE504" s="237"/>
      <c r="DF504" s="237"/>
      <c r="DG504" s="237"/>
      <c r="DH504" s="237"/>
      <c r="DI504" s="237"/>
      <c r="DJ504" s="237"/>
      <c r="DK504" s="237"/>
      <c r="DL504" s="237"/>
      <c r="DM504" s="237"/>
      <c r="DN504" s="237"/>
      <c r="DO504" s="237"/>
      <c r="DP504" s="237"/>
      <c r="DQ504" s="237"/>
      <c r="DR504" s="237"/>
      <c r="DS504" s="237"/>
      <c r="DT504" s="237"/>
      <c r="DU504" s="237"/>
      <c r="DV504" s="237"/>
      <c r="DW504" s="237"/>
      <c r="DX504" s="237"/>
      <c r="DY504" s="237"/>
      <c r="DZ504" s="237"/>
      <c r="EA504" s="237"/>
      <c r="EB504" s="237"/>
      <c r="EC504" s="237"/>
      <c r="ED504" s="237"/>
      <c r="EE504" s="237"/>
      <c r="EF504" s="237"/>
      <c r="EG504" s="237"/>
      <c r="EH504" s="237"/>
      <c r="EI504" s="237"/>
      <c r="EJ504" s="237"/>
      <c r="EK504" s="237"/>
      <c r="EL504" s="237"/>
      <c r="EM504" s="237"/>
      <c r="EN504" s="237"/>
      <c r="EO504" s="237"/>
      <c r="EP504" s="237"/>
      <c r="EQ504" s="237"/>
      <c r="ER504" s="237"/>
      <c r="ES504" s="9"/>
      <c r="ET504" s="9"/>
      <c r="EU504" s="9"/>
      <c r="EV504" s="9"/>
      <c r="EW504" s="9"/>
      <c r="EX504" s="9"/>
      <c r="EY504" s="9"/>
      <c r="EZ504" s="9"/>
      <c r="FA504" s="9"/>
      <c r="FB504" s="9"/>
      <c r="FC504" s="9"/>
      <c r="FD504" s="9"/>
      <c r="FE504" s="9"/>
      <c r="FF504" s="9"/>
      <c r="FG504" s="9"/>
      <c r="FH504" s="9"/>
      <c r="FI504" s="9"/>
      <c r="FJ504" s="9"/>
      <c r="FK504" s="9"/>
      <c r="FL504" s="9"/>
      <c r="FM504" s="9"/>
      <c r="FN504" s="9"/>
      <c r="FO504" s="9"/>
      <c r="FP504" s="9"/>
    </row>
    <row r="505" customFormat="false" ht="15" hidden="false" customHeight="false" outlineLevel="2" collapsed="false">
      <c r="B505" s="47" t="s">
        <v>873</v>
      </c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237" t="n">
        <f aca="false">VLOOKUP("A",$B$14:$C$18,2,FALSE())</f>
        <v>210</v>
      </c>
      <c r="AD505" s="237"/>
      <c r="AE505" s="237"/>
      <c r="AF505" s="237"/>
      <c r="AG505" s="237"/>
      <c r="AH505" s="237"/>
      <c r="AI505" s="237"/>
      <c r="AJ505" s="237"/>
      <c r="AK505" s="237"/>
      <c r="AL505" s="237"/>
      <c r="AM505" s="237"/>
      <c r="AN505" s="237"/>
      <c r="AO505" s="237"/>
      <c r="AP505" s="237"/>
      <c r="AQ505" s="237"/>
      <c r="AR505" s="237"/>
      <c r="AS505" s="237"/>
      <c r="AT505" s="237"/>
      <c r="AU505" s="237"/>
      <c r="AV505" s="237"/>
      <c r="AW505" s="237"/>
      <c r="AX505" s="237"/>
      <c r="AY505" s="237"/>
      <c r="AZ505" s="237"/>
      <c r="BA505" s="237"/>
      <c r="BB505" s="237"/>
      <c r="BC505" s="237"/>
      <c r="BD505" s="237"/>
      <c r="BE505" s="237"/>
      <c r="BF505" s="237"/>
      <c r="BG505" s="237"/>
      <c r="BH505" s="237"/>
      <c r="BI505" s="237"/>
      <c r="BJ505" s="237"/>
      <c r="BK505" s="237"/>
      <c r="BL505" s="237"/>
      <c r="BM505" s="237"/>
      <c r="BN505" s="237"/>
      <c r="BO505" s="237"/>
      <c r="BP505" s="237"/>
      <c r="BQ505" s="237"/>
      <c r="BR505" s="237"/>
      <c r="BS505" s="237"/>
      <c r="BT505" s="237"/>
      <c r="BU505" s="237"/>
      <c r="BV505" s="237"/>
      <c r="BW505" s="237"/>
      <c r="BX505" s="237"/>
      <c r="BY505" s="237"/>
      <c r="BZ505" s="237"/>
      <c r="CA505" s="237"/>
      <c r="CB505" s="237"/>
      <c r="CC505" s="237"/>
      <c r="CD505" s="237"/>
      <c r="CE505" s="237"/>
      <c r="CF505" s="237"/>
      <c r="CG505" s="237"/>
      <c r="CH505" s="237"/>
      <c r="CI505" s="237"/>
      <c r="CJ505" s="237"/>
      <c r="CK505" s="237"/>
      <c r="CL505" s="237"/>
      <c r="CM505" s="237"/>
      <c r="CN505" s="237"/>
      <c r="CO505" s="237"/>
      <c r="CP505" s="237"/>
      <c r="CQ505" s="237"/>
      <c r="CR505" s="237"/>
      <c r="CS505" s="237"/>
      <c r="CT505" s="237"/>
      <c r="CU505" s="237"/>
      <c r="CV505" s="237"/>
      <c r="CW505" s="237"/>
      <c r="CX505" s="237"/>
      <c r="CY505" s="237"/>
      <c r="CZ505" s="237"/>
      <c r="DA505" s="237"/>
      <c r="DB505" s="237"/>
      <c r="DC505" s="237"/>
      <c r="DD505" s="237"/>
      <c r="DE505" s="237"/>
      <c r="DF505" s="237"/>
      <c r="DG505" s="237"/>
      <c r="DH505" s="237"/>
      <c r="DI505" s="237"/>
      <c r="DJ505" s="237"/>
      <c r="DK505" s="237"/>
      <c r="DL505" s="237"/>
      <c r="DM505" s="237"/>
      <c r="DN505" s="237"/>
      <c r="DO505" s="237"/>
      <c r="DP505" s="237"/>
      <c r="DQ505" s="237"/>
      <c r="DR505" s="237"/>
      <c r="DS505" s="237"/>
      <c r="DT505" s="237"/>
      <c r="DU505" s="237"/>
      <c r="DV505" s="237"/>
      <c r="DW505" s="237"/>
      <c r="DX505" s="237"/>
      <c r="DY505" s="237"/>
      <c r="DZ505" s="237"/>
      <c r="EA505" s="237"/>
      <c r="EB505" s="237"/>
      <c r="EC505" s="237"/>
      <c r="ED505" s="237"/>
      <c r="EE505" s="237"/>
      <c r="EF505" s="237"/>
      <c r="EG505" s="237"/>
      <c r="EH505" s="237"/>
      <c r="EI505" s="237"/>
      <c r="EJ505" s="237"/>
      <c r="EK505" s="237"/>
      <c r="EL505" s="237"/>
      <c r="EM505" s="237"/>
      <c r="EN505" s="237"/>
      <c r="EO505" s="237"/>
      <c r="EP505" s="237"/>
      <c r="EQ505" s="237"/>
      <c r="ER505" s="237"/>
      <c r="ES505" s="9"/>
      <c r="ET505" s="9"/>
      <c r="EU505" s="9"/>
      <c r="EV505" s="9"/>
      <c r="EW505" s="9"/>
      <c r="EX505" s="9"/>
      <c r="EY505" s="9"/>
      <c r="EZ505" s="9"/>
      <c r="FA505" s="9"/>
      <c r="FB505" s="9"/>
      <c r="FC505" s="9"/>
      <c r="FD505" s="9"/>
      <c r="FE505" s="9"/>
      <c r="FF505" s="9"/>
      <c r="FG505" s="9"/>
      <c r="FH505" s="9"/>
      <c r="FI505" s="9"/>
      <c r="FJ505" s="9"/>
      <c r="FK505" s="9"/>
      <c r="FL505" s="9"/>
      <c r="FM505" s="9"/>
      <c r="FN505" s="9"/>
      <c r="FO505" s="9"/>
      <c r="FP505" s="9"/>
    </row>
    <row r="506" customFormat="false" ht="15" hidden="false" customHeight="false" outlineLevel="2" collapsed="false">
      <c r="B506" s="47" t="s">
        <v>799</v>
      </c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237" t="n">
        <f aca="false">IF(AC$35&gt;=$AC$504,AC$35-$AC$504+1,0)</f>
        <v>0</v>
      </c>
      <c r="AD506" s="237" t="n">
        <f aca="false">IF(AD$35&gt;=$AC$504,AD$35-$AC$504+1,0)</f>
        <v>0</v>
      </c>
      <c r="AE506" s="237" t="n">
        <f aca="false">IF(AE$35&gt;=$AC$504,AE$35-$AC$504+1,0)</f>
        <v>0</v>
      </c>
      <c r="AF506" s="237" t="n">
        <f aca="false">IF(AF$35&gt;=$AC$504,AF$35-$AC$504+1,0)</f>
        <v>0</v>
      </c>
      <c r="AG506" s="237" t="n">
        <f aca="false">IF(AG$35&gt;=$AC$504,AG$35-$AC$504+1,0)</f>
        <v>0</v>
      </c>
      <c r="AH506" s="237" t="n">
        <f aca="false">IF(AH$35&gt;=$AC$504,AH$35-$AC$504+1,0)</f>
        <v>0</v>
      </c>
      <c r="AI506" s="237" t="n">
        <f aca="false">IF(AI$35&gt;=$AC$504,AI$35-$AC$504+1,0)</f>
        <v>0</v>
      </c>
      <c r="AJ506" s="237" t="n">
        <f aca="false">IF(AJ$35&gt;=$AC$504,AJ$35-$AC$504+1,0)</f>
        <v>0</v>
      </c>
      <c r="AK506" s="237" t="n">
        <f aca="false">IF(AK$35&gt;=$AC$504,AK$35-$AC$504+1,0)</f>
        <v>0</v>
      </c>
      <c r="AL506" s="237" t="n">
        <f aca="false">IF(AL$35&gt;=$AC$504,AL$35-$AC$504+1,0)</f>
        <v>0</v>
      </c>
      <c r="AM506" s="237" t="n">
        <f aca="false">IF(AM$35&gt;=$AC$504,AM$35-$AC$504+1,0)</f>
        <v>0</v>
      </c>
      <c r="AN506" s="237" t="n">
        <f aca="false">IF(AN$35&gt;=$AC$504,AN$35-$AC$504+1,0)</f>
        <v>0</v>
      </c>
      <c r="AO506" s="237" t="n">
        <f aca="false">IF(AO$35&gt;=$AC$504,AO$35-$AC$504+1,0)</f>
        <v>0</v>
      </c>
      <c r="AP506" s="237" t="n">
        <f aca="false">IF(AP$35&gt;=$AC$504,AP$35-$AC$504+1,0)</f>
        <v>0</v>
      </c>
      <c r="AQ506" s="237" t="n">
        <f aca="false">IF(AQ$35&gt;=$AC$504,AQ$35-$AC$504+1,0)</f>
        <v>0</v>
      </c>
      <c r="AR506" s="237" t="n">
        <f aca="false">IF(AR$35&gt;=$AC$504,AR$35-$AC$504+1,0)</f>
        <v>0</v>
      </c>
      <c r="AS506" s="237" t="n">
        <f aca="false">IF(AS$35&gt;=$AC$504,AS$35-$AC$504+1,0)</f>
        <v>0</v>
      </c>
      <c r="AT506" s="237" t="n">
        <f aca="false">IF(AT$35&gt;=$AC$504,AT$35-$AC$504+1,0)</f>
        <v>0</v>
      </c>
      <c r="AU506" s="237" t="n">
        <f aca="false">IF(AU$35&gt;=$AC$504,AU$35-$AC$504+1,0)</f>
        <v>0</v>
      </c>
      <c r="AV506" s="237" t="n">
        <f aca="false">IF(AV$35&gt;=$AC$504,AV$35-$AC$504+1,0)</f>
        <v>0</v>
      </c>
      <c r="AW506" s="237" t="n">
        <f aca="false">IF(AW$35&gt;=$AC$504,AW$35-$AC$504+1,0)</f>
        <v>0</v>
      </c>
      <c r="AX506" s="237" t="n">
        <f aca="false">IF(AX$35&gt;=$AC$504,AX$35-$AC$504+1,0)</f>
        <v>0</v>
      </c>
      <c r="AY506" s="237" t="n">
        <f aca="false">IF(AY$35&gt;=$AC$504,AY$35-$AC$504+1,0)</f>
        <v>0</v>
      </c>
      <c r="AZ506" s="237" t="n">
        <f aca="false">IF(AZ$35&gt;=$AC$504,AZ$35-$AC$504+1,0)</f>
        <v>0</v>
      </c>
      <c r="BA506" s="237" t="n">
        <f aca="false">IF(BA$35&gt;=$AC$504,BA$35-$AC$504+1,0)</f>
        <v>0</v>
      </c>
      <c r="BB506" s="237" t="n">
        <f aca="false">IF(BB$35&gt;=$AC$504,BB$35-$AC$504+1,0)</f>
        <v>0</v>
      </c>
      <c r="BC506" s="237" t="n">
        <f aca="false">IF(BC$35&gt;=$AC$504,BC$35-$AC$504+1,0)</f>
        <v>0</v>
      </c>
      <c r="BD506" s="237" t="n">
        <f aca="false">IF(BD$35&gt;=$AC$504,BD$35-$AC$504+1,0)</f>
        <v>0</v>
      </c>
      <c r="BE506" s="237" t="n">
        <f aca="false">IF(BE$35&gt;=$AC$504,BE$35-$AC$504+1,0)</f>
        <v>0</v>
      </c>
      <c r="BF506" s="237" t="n">
        <f aca="false">IF(BF$35&gt;=$AC$504,BF$35-$AC$504+1,0)</f>
        <v>0</v>
      </c>
      <c r="BG506" s="237" t="n">
        <f aca="false">IF(BG$35&gt;=$AC$504,BG$35-$AC$504+1,0)</f>
        <v>0</v>
      </c>
      <c r="BH506" s="237" t="n">
        <f aca="false">IF(BH$35&gt;=$AC$504,BH$35-$AC$504+1,0)</f>
        <v>0</v>
      </c>
      <c r="BI506" s="237" t="n">
        <f aca="false">IF(BI$35&gt;=$AC$504,BI$35-$AC$504+1,0)</f>
        <v>0</v>
      </c>
      <c r="BJ506" s="237" t="n">
        <f aca="false">IF(BJ$35&gt;=$AC$504,BJ$35-$AC$504+1,0)</f>
        <v>0</v>
      </c>
      <c r="BK506" s="237" t="n">
        <f aca="false">IF(BK$35&gt;=$AC$504,BK$35-$AC$504+1,0)</f>
        <v>0</v>
      </c>
      <c r="BL506" s="237" t="n">
        <f aca="false">IF(BL$35&gt;=$AC$504,BL$35-$AC$504+1,0)</f>
        <v>0</v>
      </c>
      <c r="BM506" s="237" t="n">
        <f aca="false">IF(BM$35&gt;=$AC$504,BM$35-$AC$504+1,0)</f>
        <v>0</v>
      </c>
      <c r="BN506" s="237" t="n">
        <f aca="false">IF(BN$35&gt;=$AC$504,BN$35-$AC$504+1,0)</f>
        <v>0</v>
      </c>
      <c r="BO506" s="237" t="n">
        <f aca="false">IF(BO$35&gt;=$AC$504,BO$35-$AC$504+1,0)</f>
        <v>0</v>
      </c>
      <c r="BP506" s="237" t="n">
        <f aca="false">IF(BP$35&gt;=$AC$504,BP$35-$AC$504+1,0)</f>
        <v>0</v>
      </c>
      <c r="BQ506" s="237" t="n">
        <f aca="false">IF(BQ$35&gt;=$AC$504,BQ$35-$AC$504+1,0)</f>
        <v>0</v>
      </c>
      <c r="BR506" s="237" t="n">
        <f aca="false">IF(BR$35&gt;=$AC$504,BR$35-$AC$504+1,0)</f>
        <v>0</v>
      </c>
      <c r="BS506" s="237" t="n">
        <f aca="false">IF(BS$35&gt;=$AC$504,BS$35-$AC$504+1,0)</f>
        <v>0</v>
      </c>
      <c r="BT506" s="237" t="n">
        <f aca="false">IF(BT$35&gt;=$AC$504,BT$35-$AC$504+1,0)</f>
        <v>0</v>
      </c>
      <c r="BU506" s="237" t="n">
        <f aca="false">IF(BU$35&gt;=$AC$504,BU$35-$AC$504+1,0)</f>
        <v>0</v>
      </c>
      <c r="BV506" s="237" t="n">
        <f aca="false">IF(BV$35&gt;=$AC$504,BV$35-$AC$504+1,0)</f>
        <v>0</v>
      </c>
      <c r="BW506" s="237" t="n">
        <f aca="false">IF(BW$35&gt;=$AC$504,BW$35-$AC$504+1,0)</f>
        <v>0</v>
      </c>
      <c r="BX506" s="237" t="n">
        <f aca="false">IF(BX$35&gt;=$AC$504,BX$35-$AC$504+1,0)</f>
        <v>0</v>
      </c>
      <c r="BY506" s="237" t="n">
        <f aca="false">IF(BY$35&gt;=$AC$504,BY$35-$AC$504+1,0)</f>
        <v>0</v>
      </c>
      <c r="BZ506" s="237" t="n">
        <f aca="false">IF(BZ$35&gt;=$AC$504,BZ$35-$AC$504+1,0)</f>
        <v>0</v>
      </c>
      <c r="CA506" s="237" t="n">
        <f aca="false">IF(CA$35&gt;=$AC$504,CA$35-$AC$504+1,0)</f>
        <v>0</v>
      </c>
      <c r="CB506" s="237" t="n">
        <f aca="false">IF(CB$35&gt;=$AC$504,CB$35-$AC$504+1,0)</f>
        <v>0</v>
      </c>
      <c r="CC506" s="237" t="n">
        <f aca="false">IF(CC$35&gt;=$AC$504,CC$35-$AC$504+1,0)</f>
        <v>0</v>
      </c>
      <c r="CD506" s="237" t="n">
        <f aca="false">IF(CD$35&gt;=$AC$504,CD$35-$AC$504+1,0)</f>
        <v>0</v>
      </c>
      <c r="CE506" s="237" t="n">
        <f aca="false">IF(CE$35&gt;=$AC$504,CE$35-$AC$504+1,0)</f>
        <v>0</v>
      </c>
      <c r="CF506" s="237" t="n">
        <f aca="false">IF(CF$35&gt;=$AC$504,CF$35-$AC$504+1,0)</f>
        <v>0</v>
      </c>
      <c r="CG506" s="237" t="n">
        <f aca="false">IF(CG$35&gt;=$AC$504,CG$35-$AC$504+1,0)</f>
        <v>0</v>
      </c>
      <c r="CH506" s="237" t="n">
        <f aca="false">IF(CH$35&gt;=$AC$504,CH$35-$AC$504+1,0)</f>
        <v>0</v>
      </c>
      <c r="CI506" s="237" t="n">
        <f aca="false">IF(CI$35&gt;=$AC$504,CI$35-$AC$504+1,0)</f>
        <v>0</v>
      </c>
      <c r="CJ506" s="237" t="n">
        <f aca="false">IF(CJ$35&gt;=$AC$504,CJ$35-$AC$504+1,0)</f>
        <v>0</v>
      </c>
      <c r="CK506" s="237" t="n">
        <f aca="false">IF(CK$35&gt;=$AC$504,CK$35-$AC$504+1,0)</f>
        <v>0</v>
      </c>
      <c r="CL506" s="237" t="n">
        <f aca="false">IF(CL$35&gt;=$AC$504,CL$35-$AC$504+1,0)</f>
        <v>0</v>
      </c>
      <c r="CM506" s="237" t="n">
        <f aca="false">IF(CM$35&gt;=$AC$504,CM$35-$AC$504+1,0)</f>
        <v>0</v>
      </c>
      <c r="CN506" s="237" t="n">
        <f aca="false">IF(CN$35&gt;=$AC$504,CN$35-$AC$504+1,0)</f>
        <v>0</v>
      </c>
      <c r="CO506" s="237" t="n">
        <f aca="false">IF(CO$35&gt;=$AC$504,CO$35-$AC$504+1,0)</f>
        <v>0</v>
      </c>
      <c r="CP506" s="237" t="n">
        <f aca="false">IF(CP$35&gt;=$AC$504,CP$35-$AC$504+1,0)</f>
        <v>0</v>
      </c>
      <c r="CQ506" s="237" t="n">
        <f aca="false">IF(CQ$35&gt;=$AC$504,CQ$35-$AC$504+1,0)</f>
        <v>0</v>
      </c>
      <c r="CR506" s="237" t="n">
        <f aca="false">IF(CR$35&gt;=$AC$504,CR$35-$AC$504+1,0)</f>
        <v>0</v>
      </c>
      <c r="CS506" s="237" t="n">
        <f aca="false">IF(CS$35&gt;=$AC$504,CS$35-$AC$504+1,0)</f>
        <v>0</v>
      </c>
      <c r="CT506" s="237" t="n">
        <f aca="false">IF(CT$35&gt;=$AC$504,CT$35-$AC$504+1,0)</f>
        <v>0</v>
      </c>
      <c r="CU506" s="237" t="n">
        <f aca="false">IF(CU$35&gt;=$AC$504,CU$35-$AC$504+1,0)</f>
        <v>0</v>
      </c>
      <c r="CV506" s="237" t="n">
        <f aca="false">IF(CV$35&gt;=$AC$504,CV$35-$AC$504+1,0)</f>
        <v>0</v>
      </c>
      <c r="CW506" s="237" t="n">
        <f aca="false">IF(CW$35&gt;=$AC$504,CW$35-$AC$504+1,0)</f>
        <v>0</v>
      </c>
      <c r="CX506" s="237" t="n">
        <f aca="false">IF(CX$35&gt;=$AC$504,CX$35-$AC$504+1,0)</f>
        <v>0</v>
      </c>
      <c r="CY506" s="237" t="n">
        <f aca="false">IF(CY$35&gt;=$AC$504,CY$35-$AC$504+1,0)</f>
        <v>0</v>
      </c>
      <c r="CZ506" s="237" t="n">
        <f aca="false">IF(CZ$35&gt;=$AC$504,CZ$35-$AC$504+1,0)</f>
        <v>0</v>
      </c>
      <c r="DA506" s="237" t="n">
        <f aca="false">IF(DA$35&gt;=$AC$504,DA$35-$AC$504+1,0)</f>
        <v>0</v>
      </c>
      <c r="DB506" s="237" t="n">
        <f aca="false">IF(DB$35&gt;=$AC$504,DB$35-$AC$504+1,0)</f>
        <v>0</v>
      </c>
      <c r="DC506" s="237" t="n">
        <f aca="false">IF(DC$35&gt;=$AC$504,DC$35-$AC$504+1,0)</f>
        <v>0</v>
      </c>
      <c r="DD506" s="237" t="n">
        <f aca="false">IF(DD$35&gt;=$AC$504,DD$35-$AC$504+1,0)</f>
        <v>0</v>
      </c>
      <c r="DE506" s="237" t="n">
        <f aca="false">IF(DE$35&gt;=$AC$504,DE$35-$AC$504+1,0)</f>
        <v>0</v>
      </c>
      <c r="DF506" s="237" t="n">
        <f aca="false">IF(DF$35&gt;=$AC$504,DF$35-$AC$504+1,0)</f>
        <v>0</v>
      </c>
      <c r="DG506" s="237" t="n">
        <f aca="false">IF(DG$35&gt;=$AC$504,DG$35-$AC$504+1,0)</f>
        <v>0</v>
      </c>
      <c r="DH506" s="237" t="n">
        <f aca="false">IF(DH$35&gt;=$AC$504,DH$35-$AC$504+1,0)</f>
        <v>0</v>
      </c>
      <c r="DI506" s="237" t="n">
        <f aca="false">IF(DI$35&gt;=$AC$504,DI$35-$AC$504+1,0)</f>
        <v>0</v>
      </c>
      <c r="DJ506" s="237" t="n">
        <f aca="false">IF(DJ$35&gt;=$AC$504,DJ$35-$AC$504+1,0)</f>
        <v>0</v>
      </c>
      <c r="DK506" s="237" t="n">
        <f aca="false">IF(DK$35&gt;=$AC$504,DK$35-$AC$504+1,0)</f>
        <v>0</v>
      </c>
      <c r="DL506" s="237" t="n">
        <f aca="false">IF(DL$35&gt;=$AC$504,DL$35-$AC$504+1,0)</f>
        <v>0</v>
      </c>
      <c r="DM506" s="237" t="n">
        <f aca="false">IF(DM$35&gt;=$AC$504,DM$35-$AC$504+1,0)</f>
        <v>0</v>
      </c>
      <c r="DN506" s="237" t="n">
        <f aca="false">IF(DN$35&gt;=$AC$504,DN$35-$AC$504+1,0)</f>
        <v>0</v>
      </c>
      <c r="DO506" s="237" t="n">
        <f aca="false">IF(DO$35&gt;=$AC$504,DO$35-$AC$504+1,0)</f>
        <v>0</v>
      </c>
      <c r="DP506" s="237" t="n">
        <f aca="false">IF(DP$35&gt;=$AC$504,DP$35-$AC$504+1,0)</f>
        <v>0</v>
      </c>
      <c r="DQ506" s="237" t="n">
        <f aca="false">IF(DQ$35&gt;=$AC$504,DQ$35-$AC$504+1,0)</f>
        <v>0</v>
      </c>
      <c r="DR506" s="237" t="n">
        <f aca="false">IF(DR$35&gt;=$AC$504,DR$35-$AC$504+1,0)</f>
        <v>0</v>
      </c>
      <c r="DS506" s="237" t="n">
        <f aca="false">IF(DS$35&gt;=$AC$504,DS$35-$AC$504+1,0)</f>
        <v>0</v>
      </c>
      <c r="DT506" s="237" t="n">
        <f aca="false">IF(DT$35&gt;=$AC$504,DT$35-$AC$504+1,0)</f>
        <v>0</v>
      </c>
      <c r="DU506" s="237" t="n">
        <f aca="false">IF(DU$35&gt;=$AC$504,DU$35-$AC$504+1,0)</f>
        <v>0</v>
      </c>
      <c r="DV506" s="237" t="n">
        <f aca="false">IF(DV$35&gt;=$AC$504,DV$35-$AC$504+1,0)</f>
        <v>0</v>
      </c>
      <c r="DW506" s="237" t="n">
        <f aca="false">IF(DW$35&gt;=$AC$504,DW$35-$AC$504+1,0)</f>
        <v>0</v>
      </c>
      <c r="DX506" s="237" t="n">
        <f aca="false">IF(DX$35&gt;=$AC$504,DX$35-$AC$504+1,0)</f>
        <v>0</v>
      </c>
      <c r="DY506" s="237" t="n">
        <f aca="false">IF(DY$35&gt;=$AC$504,DY$35-$AC$504+1,0)</f>
        <v>0</v>
      </c>
      <c r="DZ506" s="237" t="n">
        <f aca="false">IF(DZ$35&gt;=$AC$504,DZ$35-$AC$504+1,0)</f>
        <v>0</v>
      </c>
      <c r="EA506" s="237" t="n">
        <f aca="false">IF(EA$35&gt;=$AC$504,EA$35-$AC$504+1,0)</f>
        <v>0</v>
      </c>
      <c r="EB506" s="237" t="n">
        <f aca="false">IF(EB$35&gt;=$AC$504,EB$35-$AC$504+1,0)</f>
        <v>0</v>
      </c>
      <c r="EC506" s="237" t="n">
        <f aca="false">IF(EC$35&gt;=$AC$504,EC$35-$AC$504+1,0)</f>
        <v>0</v>
      </c>
      <c r="ED506" s="237" t="n">
        <f aca="false">IF(ED$35&gt;=$AC$504,ED$35-$AC$504+1,0)</f>
        <v>0</v>
      </c>
      <c r="EE506" s="237" t="n">
        <f aca="false">IF(EE$35&gt;=$AC$504,EE$35-$AC$504+1,0)</f>
        <v>0</v>
      </c>
      <c r="EF506" s="237" t="n">
        <f aca="false">IF(EF$35&gt;=$AC$504,EF$35-$AC$504+1,0)</f>
        <v>0</v>
      </c>
      <c r="EG506" s="237" t="n">
        <f aca="false">IF(EG$35&gt;=$AC$504,EG$35-$AC$504+1,0)</f>
        <v>0</v>
      </c>
      <c r="EH506" s="237" t="n">
        <f aca="false">IF(EH$35&gt;=$AC$504,EH$35-$AC$504+1,0)</f>
        <v>0</v>
      </c>
      <c r="EI506" s="237" t="n">
        <f aca="false">IF(EI$35&gt;=$AC$504,EI$35-$AC$504+1,0)</f>
        <v>0</v>
      </c>
      <c r="EJ506" s="237" t="n">
        <f aca="false">IF(EJ$35&gt;=$AC$504,EJ$35-$AC$504+1,0)</f>
        <v>0</v>
      </c>
      <c r="EK506" s="237" t="n">
        <f aca="false">IF(EK$35&gt;=$AC$504,EK$35-$AC$504+1,0)</f>
        <v>0</v>
      </c>
      <c r="EL506" s="237" t="n">
        <f aca="false">IF(EL$35&gt;=$AC$504,EL$35-$AC$504+1,0)</f>
        <v>0</v>
      </c>
      <c r="EM506" s="237" t="n">
        <f aca="false">IF(EM$35&gt;=$AC$504,EM$35-$AC$504+1,0)</f>
        <v>0</v>
      </c>
      <c r="EN506" s="237" t="n">
        <f aca="false">IF(EN$35&gt;=$AC$504,EN$35-$AC$504+1,0)</f>
        <v>0</v>
      </c>
      <c r="EO506" s="237" t="n">
        <f aca="false">IF(EO$35&gt;=$AC$504,EO$35-$AC$504+1,0)</f>
        <v>0</v>
      </c>
      <c r="EP506" s="237" t="n">
        <f aca="false">IF(EP$35&gt;=$AC$504,EP$35-$AC$504+1,0)</f>
        <v>1</v>
      </c>
      <c r="EQ506" s="237" t="n">
        <f aca="false">IF(EQ$35&gt;=$AC$504,EQ$35-$AC$504+1,0)</f>
        <v>2</v>
      </c>
      <c r="ER506" s="237" t="n">
        <f aca="false">IF(ER$35&gt;=$AC$504,ER$35-$AC$504+1,0)</f>
        <v>3</v>
      </c>
      <c r="ES506" s="9" t="n">
        <f aca="false">IF(ES$35&gt;=$AC$504,ES$35-$AC$504+1,0)</f>
        <v>4</v>
      </c>
      <c r="ET506" s="9" t="n">
        <f aca="false">IF(ET$35&gt;=$AC$504,ET$35-$AC$504+1,0)</f>
        <v>5</v>
      </c>
      <c r="EU506" s="9" t="n">
        <f aca="false">IF(EU$35&gt;=$AC$504,EU$35-$AC$504+1,0)</f>
        <v>6</v>
      </c>
      <c r="EV506" s="9" t="n">
        <f aca="false">IF(EV$35&gt;=$AC$504,EV$35-$AC$504+1,0)</f>
        <v>7</v>
      </c>
      <c r="EW506" s="9" t="n">
        <f aca="false">IF(EW$35&gt;=$AC$504,EW$35-$AC$504+1,0)</f>
        <v>8</v>
      </c>
      <c r="EX506" s="9" t="n">
        <f aca="false">IF(EX$35&gt;=$AC$504,EX$35-$AC$504+1,0)</f>
        <v>9</v>
      </c>
      <c r="EY506" s="9" t="n">
        <f aca="false">IF(EY$35&gt;=$AC$504,EY$35-$AC$504+1,0)</f>
        <v>10</v>
      </c>
      <c r="EZ506" s="9" t="n">
        <f aca="false">IF(EZ$35&gt;=$AC$504,EZ$35-$AC$504+1,0)</f>
        <v>11</v>
      </c>
      <c r="FA506" s="9" t="n">
        <f aca="false">IF(FA$35&gt;=$AC$504,FA$35-$AC$504+1,0)</f>
        <v>12</v>
      </c>
      <c r="FB506" s="9" t="n">
        <f aca="false">IF(FB$35&gt;=$AC$504,FB$35-$AC$504+1,0)</f>
        <v>13</v>
      </c>
      <c r="FC506" s="9" t="n">
        <f aca="false">IF(FC$35&gt;=$AC$504,FC$35-$AC$504+1,0)</f>
        <v>14</v>
      </c>
      <c r="FD506" s="9" t="n">
        <f aca="false">IF(FD$35&gt;=$AC$504,FD$35-$AC$504+1,0)</f>
        <v>15</v>
      </c>
      <c r="FE506" s="9" t="n">
        <f aca="false">IF(FE$35&gt;=$AC$504,FE$35-$AC$504+1,0)</f>
        <v>16</v>
      </c>
      <c r="FF506" s="9" t="n">
        <f aca="false">IF(FF$35&gt;=$AC$504,FF$35-$AC$504+1,0)</f>
        <v>17</v>
      </c>
      <c r="FG506" s="9" t="n">
        <f aca="false">IF(FG$35&gt;=$AC$504,FG$35-$AC$504+1,0)</f>
        <v>18</v>
      </c>
      <c r="FH506" s="9" t="n">
        <f aca="false">IF(FH$35&gt;=$AC$504,FH$35-$AC$504+1,0)</f>
        <v>19</v>
      </c>
      <c r="FI506" s="9" t="n">
        <f aca="false">IF(FI$35&gt;=$AC$504,FI$35-$AC$504+1,0)</f>
        <v>20</v>
      </c>
      <c r="FJ506" s="9" t="n">
        <f aca="false">IF(FJ$35&gt;=$AC$504,FJ$35-$AC$504+1,0)</f>
        <v>21</v>
      </c>
      <c r="FK506" s="9" t="n">
        <f aca="false">IF(FK$35&gt;=$AC$504,FK$35-$AC$504+1,0)</f>
        <v>22</v>
      </c>
      <c r="FL506" s="9" t="n">
        <f aca="false">IF(FL$35&gt;=$AC$504,FL$35-$AC$504+1,0)</f>
        <v>23</v>
      </c>
      <c r="FM506" s="9" t="n">
        <f aca="false">IF(FM$35&gt;=$AC$504,FM$35-$AC$504+1,0)</f>
        <v>24</v>
      </c>
      <c r="FN506" s="9" t="n">
        <f aca="false">IF(FN$35&gt;=$AC$504,FN$35-$AC$504+1,0)</f>
        <v>25</v>
      </c>
      <c r="FO506" s="9" t="n">
        <f aca="false">IF(FO$35&gt;=$AC$504,FO$35-$AC$504+1,0)</f>
        <v>26</v>
      </c>
      <c r="FP506" s="9" t="n">
        <f aca="false">IF(FP$35&gt;=$AC$504,FP$35-$AC$504+1,0)</f>
        <v>27</v>
      </c>
    </row>
    <row r="507" customFormat="false" ht="15" hidden="false" customHeight="false" outlineLevel="2" collapsed="false">
      <c r="B507" s="47" t="s">
        <v>874</v>
      </c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237" t="n">
        <f aca="false" t="array" ref="AC507:AC507">IF(AC506=0,0,IF(AC506/'🎚️ Escenario'!$C$11&gt;=36,$AL$23,INDEX($C$23:$AL$23,MAX(1,ROUNDUP(AC506/'🎚️ Escenario'!$C$11,0)))))</f>
        <v>0</v>
      </c>
      <c r="AD507" s="237" t="n">
        <f aca="false" t="array" ref="AD507:AD507">IF(AD506=0,0,IF(AD506/'🎚️ Escenario'!$C$11&gt;=36,$AL$23,INDEX($C$23:$AL$23,MAX(1,ROUNDUP(AD506/'🎚️ Escenario'!$C$11,0)))))</f>
        <v>0</v>
      </c>
      <c r="AE507" s="237" t="n">
        <f aca="false" t="array" ref="AE507:AE507">IF(AE506=0,0,IF(AE506/'🎚️ Escenario'!$C$11&gt;=36,$AL$23,INDEX($C$23:$AL$23,MAX(1,ROUNDUP(AE506/'🎚️ Escenario'!$C$11,0)))))</f>
        <v>0</v>
      </c>
      <c r="AF507" s="237" t="n">
        <f aca="false" t="array" ref="AF507:AF507">IF(AF506=0,0,IF(AF506/'🎚️ Escenario'!$C$11&gt;=36,$AL$23,INDEX($C$23:$AL$23,MAX(1,ROUNDUP(AF506/'🎚️ Escenario'!$C$11,0)))))</f>
        <v>0</v>
      </c>
      <c r="AG507" s="237" t="n">
        <f aca="false" t="array" ref="AG507:AG507">IF(AG506=0,0,IF(AG506/'🎚️ Escenario'!$C$11&gt;=36,$AL$23,INDEX($C$23:$AL$23,MAX(1,ROUNDUP(AG506/'🎚️ Escenario'!$C$11,0)))))</f>
        <v>0</v>
      </c>
      <c r="AH507" s="237" t="n">
        <f aca="false" t="array" ref="AH507:AH507">IF(AH506=0,0,IF(AH506/'🎚️ Escenario'!$C$11&gt;=36,$AL$23,INDEX($C$23:$AL$23,MAX(1,ROUNDUP(AH506/'🎚️ Escenario'!$C$11,0)))))</f>
        <v>0</v>
      </c>
      <c r="AI507" s="237" t="n">
        <f aca="false" t="array" ref="AI507:AI507">IF(AI506=0,0,IF(AI506/'🎚️ Escenario'!$C$11&gt;=36,$AL$23,INDEX($C$23:$AL$23,MAX(1,ROUNDUP(AI506/'🎚️ Escenario'!$C$11,0)))))</f>
        <v>0</v>
      </c>
      <c r="AJ507" s="237" t="n">
        <f aca="false" t="array" ref="AJ507:AJ507">IF(AJ506=0,0,IF(AJ506/'🎚️ Escenario'!$C$11&gt;=36,$AL$23,INDEX($C$23:$AL$23,MAX(1,ROUNDUP(AJ506/'🎚️ Escenario'!$C$11,0)))))</f>
        <v>0</v>
      </c>
      <c r="AK507" s="237" t="n">
        <f aca="false" t="array" ref="AK507:AK507">IF(AK506=0,0,IF(AK506/'🎚️ Escenario'!$C$11&gt;=36,$AL$23,INDEX($C$23:$AL$23,MAX(1,ROUNDUP(AK506/'🎚️ Escenario'!$C$11,0)))))</f>
        <v>0</v>
      </c>
      <c r="AL507" s="237" t="n">
        <f aca="false" t="array" ref="AL507:AL507">IF(AL506=0,0,IF(AL506/'🎚️ Escenario'!$C$11&gt;=36,$AL$23,INDEX($C$23:$AL$23,MAX(1,ROUNDUP(AL506/'🎚️ Escenario'!$C$11,0)))))</f>
        <v>0</v>
      </c>
      <c r="AM507" s="237" t="n">
        <f aca="false" t="array" ref="AM507:AM507">IF(AM506=0,0,IF(AM506/'🎚️ Escenario'!$C$11&gt;=36,$AL$23,INDEX($C$23:$AL$23,MAX(1,ROUNDUP(AM506/'🎚️ Escenario'!$C$11,0)))))</f>
        <v>0</v>
      </c>
      <c r="AN507" s="237" t="n">
        <f aca="false" t="array" ref="AN507:AN507">IF(AN506=0,0,IF(AN506/'🎚️ Escenario'!$C$11&gt;=36,$AL$23,INDEX($C$23:$AL$23,MAX(1,ROUNDUP(AN506/'🎚️ Escenario'!$C$11,0)))))</f>
        <v>0</v>
      </c>
      <c r="AO507" s="237" t="n">
        <f aca="false" t="array" ref="AO507:AO507">IF(AO506=0,0,IF(AO506/'🎚️ Escenario'!$C$11&gt;=36,$AL$23,INDEX($C$23:$AL$23,MAX(1,ROUNDUP(AO506/'🎚️ Escenario'!$C$11,0)))))</f>
        <v>0</v>
      </c>
      <c r="AP507" s="237" t="n">
        <f aca="false" t="array" ref="AP507:AP507">IF(AP506=0,0,IF(AP506/'🎚️ Escenario'!$C$11&gt;=36,$AL$23,INDEX($C$23:$AL$23,MAX(1,ROUNDUP(AP506/'🎚️ Escenario'!$C$11,0)))))</f>
        <v>0</v>
      </c>
      <c r="AQ507" s="237" t="n">
        <f aca="false" t="array" ref="AQ507:AQ507">IF(AQ506=0,0,IF(AQ506/'🎚️ Escenario'!$C$11&gt;=36,$AL$23,INDEX($C$23:$AL$23,MAX(1,ROUNDUP(AQ506/'🎚️ Escenario'!$C$11,0)))))</f>
        <v>0</v>
      </c>
      <c r="AR507" s="237" t="n">
        <f aca="false" t="array" ref="AR507:AR507">IF(AR506=0,0,IF(AR506/'🎚️ Escenario'!$C$11&gt;=36,$AL$23,INDEX($C$23:$AL$23,MAX(1,ROUNDUP(AR506/'🎚️ Escenario'!$C$11,0)))))</f>
        <v>0</v>
      </c>
      <c r="AS507" s="237" t="n">
        <f aca="false" t="array" ref="AS507:AS507">IF(AS506=0,0,IF(AS506/'🎚️ Escenario'!$C$11&gt;=36,$AL$23,INDEX($C$23:$AL$23,MAX(1,ROUNDUP(AS506/'🎚️ Escenario'!$C$11,0)))))</f>
        <v>0</v>
      </c>
      <c r="AT507" s="237" t="n">
        <f aca="false" t="array" ref="AT507:AT507">IF(AT506=0,0,IF(AT506/'🎚️ Escenario'!$C$11&gt;=36,$AL$23,INDEX($C$23:$AL$23,MAX(1,ROUNDUP(AT506/'🎚️ Escenario'!$C$11,0)))))</f>
        <v>0</v>
      </c>
      <c r="AU507" s="237" t="n">
        <f aca="false" t="array" ref="AU507:AU507">IF(AU506=0,0,IF(AU506/'🎚️ Escenario'!$C$11&gt;=36,$AL$23,INDEX($C$23:$AL$23,MAX(1,ROUNDUP(AU506/'🎚️ Escenario'!$C$11,0)))))</f>
        <v>0</v>
      </c>
      <c r="AV507" s="237" t="n">
        <f aca="false" t="array" ref="AV507:AV507">IF(AV506=0,0,IF(AV506/'🎚️ Escenario'!$C$11&gt;=36,$AL$23,INDEX($C$23:$AL$23,MAX(1,ROUNDUP(AV506/'🎚️ Escenario'!$C$11,0)))))</f>
        <v>0</v>
      </c>
      <c r="AW507" s="237" t="n">
        <f aca="false" t="array" ref="AW507:AW507">IF(AW506=0,0,IF(AW506/'🎚️ Escenario'!$C$11&gt;=36,$AL$23,INDEX($C$23:$AL$23,MAX(1,ROUNDUP(AW506/'🎚️ Escenario'!$C$11,0)))))</f>
        <v>0</v>
      </c>
      <c r="AX507" s="237" t="n">
        <f aca="false" t="array" ref="AX507:AX507">IF(AX506=0,0,IF(AX506/'🎚️ Escenario'!$C$11&gt;=36,$AL$23,INDEX($C$23:$AL$23,MAX(1,ROUNDUP(AX506/'🎚️ Escenario'!$C$11,0)))))</f>
        <v>0</v>
      </c>
      <c r="AY507" s="237" t="n">
        <f aca="false" t="array" ref="AY507:AY507">IF(AY506=0,0,IF(AY506/'🎚️ Escenario'!$C$11&gt;=36,$AL$23,INDEX($C$23:$AL$23,MAX(1,ROUNDUP(AY506/'🎚️ Escenario'!$C$11,0)))))</f>
        <v>0</v>
      </c>
      <c r="AZ507" s="237" t="n">
        <f aca="false" t="array" ref="AZ507:AZ507">IF(AZ506=0,0,IF(AZ506/'🎚️ Escenario'!$C$11&gt;=36,$AL$23,INDEX($C$23:$AL$23,MAX(1,ROUNDUP(AZ506/'🎚️ Escenario'!$C$11,0)))))</f>
        <v>0</v>
      </c>
      <c r="BA507" s="237" t="n">
        <f aca="false" t="array" ref="BA507:BA507">IF(BA506=0,0,IF(BA506/'🎚️ Escenario'!$C$11&gt;=36,$AL$23,INDEX($C$23:$AL$23,MAX(1,ROUNDUP(BA506/'🎚️ Escenario'!$C$11,0)))))</f>
        <v>0</v>
      </c>
      <c r="BB507" s="237" t="n">
        <f aca="false" t="array" ref="BB507:BB507">IF(BB506=0,0,IF(BB506/'🎚️ Escenario'!$C$11&gt;=36,$AL$23,INDEX($C$23:$AL$23,MAX(1,ROUNDUP(BB506/'🎚️ Escenario'!$C$11,0)))))</f>
        <v>0</v>
      </c>
      <c r="BC507" s="237" t="n">
        <f aca="false" t="array" ref="BC507:BC507">IF(BC506=0,0,IF(BC506/'🎚️ Escenario'!$C$11&gt;=36,$AL$23,INDEX($C$23:$AL$23,MAX(1,ROUNDUP(BC506/'🎚️ Escenario'!$C$11,0)))))</f>
        <v>0</v>
      </c>
      <c r="BD507" s="237" t="n">
        <f aca="false" t="array" ref="BD507:BD507">IF(BD506=0,0,IF(BD506/'🎚️ Escenario'!$C$11&gt;=36,$AL$23,INDEX($C$23:$AL$23,MAX(1,ROUNDUP(BD506/'🎚️ Escenario'!$C$11,0)))))</f>
        <v>0</v>
      </c>
      <c r="BE507" s="237" t="n">
        <f aca="false" t="array" ref="BE507:BE507">IF(BE506=0,0,IF(BE506/'🎚️ Escenario'!$C$11&gt;=36,$AL$23,INDEX($C$23:$AL$23,MAX(1,ROUNDUP(BE506/'🎚️ Escenario'!$C$11,0)))))</f>
        <v>0</v>
      </c>
      <c r="BF507" s="237" t="n">
        <f aca="false" t="array" ref="BF507:BF507">IF(BF506=0,0,IF(BF506/'🎚️ Escenario'!$C$11&gt;=36,$AL$23,INDEX($C$23:$AL$23,MAX(1,ROUNDUP(BF506/'🎚️ Escenario'!$C$11,0)))))</f>
        <v>0</v>
      </c>
      <c r="BG507" s="237" t="n">
        <f aca="false" t="array" ref="BG507:BG507">IF(BG506=0,0,IF(BG506/'🎚️ Escenario'!$C$11&gt;=36,$AL$23,INDEX($C$23:$AL$23,MAX(1,ROUNDUP(BG506/'🎚️ Escenario'!$C$11,0)))))</f>
        <v>0</v>
      </c>
      <c r="BH507" s="237" t="n">
        <f aca="false" t="array" ref="BH507:BH507">IF(BH506=0,0,IF(BH506/'🎚️ Escenario'!$C$11&gt;=36,$AL$23,INDEX($C$23:$AL$23,MAX(1,ROUNDUP(BH506/'🎚️ Escenario'!$C$11,0)))))</f>
        <v>0</v>
      </c>
      <c r="BI507" s="237" t="n">
        <f aca="false" t="array" ref="BI507:BI507">IF(BI506=0,0,IF(BI506/'🎚️ Escenario'!$C$11&gt;=36,$AL$23,INDEX($C$23:$AL$23,MAX(1,ROUNDUP(BI506/'🎚️ Escenario'!$C$11,0)))))</f>
        <v>0</v>
      </c>
      <c r="BJ507" s="237" t="n">
        <f aca="false" t="array" ref="BJ507:BJ507">IF(BJ506=0,0,IF(BJ506/'🎚️ Escenario'!$C$11&gt;=36,$AL$23,INDEX($C$23:$AL$23,MAX(1,ROUNDUP(BJ506/'🎚️ Escenario'!$C$11,0)))))</f>
        <v>0</v>
      </c>
      <c r="BK507" s="237" t="n">
        <f aca="false" t="array" ref="BK507:BK507">IF(BK506=0,0,IF(BK506/'🎚️ Escenario'!$C$11&gt;=36,$AL$23,INDEX($C$23:$AL$23,MAX(1,ROUNDUP(BK506/'🎚️ Escenario'!$C$11,0)))))</f>
        <v>0</v>
      </c>
      <c r="BL507" s="237" t="n">
        <f aca="false" t="array" ref="BL507:BL507">IF(BL506=0,0,IF(BL506/'🎚️ Escenario'!$C$11&gt;=36,$AL$23,INDEX($C$23:$AL$23,MAX(1,ROUNDUP(BL506/'🎚️ Escenario'!$C$11,0)))))</f>
        <v>0</v>
      </c>
      <c r="BM507" s="237" t="n">
        <f aca="false" t="array" ref="BM507:BM507">IF(BM506=0,0,IF(BM506/'🎚️ Escenario'!$C$11&gt;=36,$AL$23,INDEX($C$23:$AL$23,MAX(1,ROUNDUP(BM506/'🎚️ Escenario'!$C$11,0)))))</f>
        <v>0</v>
      </c>
      <c r="BN507" s="237" t="n">
        <f aca="false" t="array" ref="BN507:BN507">IF(BN506=0,0,IF(BN506/'🎚️ Escenario'!$C$11&gt;=36,$AL$23,INDEX($C$23:$AL$23,MAX(1,ROUNDUP(BN506/'🎚️ Escenario'!$C$11,0)))))</f>
        <v>0</v>
      </c>
      <c r="BO507" s="237" t="n">
        <f aca="false" t="array" ref="BO507:BO507">IF(BO506=0,0,IF(BO506/'🎚️ Escenario'!$C$11&gt;=36,$AL$23,INDEX($C$23:$AL$23,MAX(1,ROUNDUP(BO506/'🎚️ Escenario'!$C$11,0)))))</f>
        <v>0</v>
      </c>
      <c r="BP507" s="237" t="n">
        <f aca="false" t="array" ref="BP507:BP507">IF(BP506=0,0,IF(BP506/'🎚️ Escenario'!$C$11&gt;=36,$AL$23,INDEX($C$23:$AL$23,MAX(1,ROUNDUP(BP506/'🎚️ Escenario'!$C$11,0)))))</f>
        <v>0</v>
      </c>
      <c r="BQ507" s="237" t="n">
        <f aca="false" t="array" ref="BQ507:BQ507">IF(BQ506=0,0,IF(BQ506/'🎚️ Escenario'!$C$11&gt;=36,$AL$23,INDEX($C$23:$AL$23,MAX(1,ROUNDUP(BQ506/'🎚️ Escenario'!$C$11,0)))))</f>
        <v>0</v>
      </c>
      <c r="BR507" s="237" t="n">
        <f aca="false" t="array" ref="BR507:BR507">IF(BR506=0,0,IF(BR506/'🎚️ Escenario'!$C$11&gt;=36,$AL$23,INDEX($C$23:$AL$23,MAX(1,ROUNDUP(BR506/'🎚️ Escenario'!$C$11,0)))))</f>
        <v>0</v>
      </c>
      <c r="BS507" s="237" t="n">
        <f aca="false" t="array" ref="BS507:BS507">IF(BS506=0,0,IF(BS506/'🎚️ Escenario'!$C$11&gt;=36,$AL$23,INDEX($C$23:$AL$23,MAX(1,ROUNDUP(BS506/'🎚️ Escenario'!$C$11,0)))))</f>
        <v>0</v>
      </c>
      <c r="BT507" s="237" t="n">
        <f aca="false" t="array" ref="BT507:BT507">IF(BT506=0,0,IF(BT506/'🎚️ Escenario'!$C$11&gt;=36,$AL$23,INDEX($C$23:$AL$23,MAX(1,ROUNDUP(BT506/'🎚️ Escenario'!$C$11,0)))))</f>
        <v>0</v>
      </c>
      <c r="BU507" s="237" t="n">
        <f aca="false" t="array" ref="BU507:BU507">IF(BU506=0,0,IF(BU506/'🎚️ Escenario'!$C$11&gt;=36,$AL$23,INDEX($C$23:$AL$23,MAX(1,ROUNDUP(BU506/'🎚️ Escenario'!$C$11,0)))))</f>
        <v>0</v>
      </c>
      <c r="BV507" s="237" t="n">
        <f aca="false" t="array" ref="BV507:BV507">IF(BV506=0,0,IF(BV506/'🎚️ Escenario'!$C$11&gt;=36,$AL$23,INDEX($C$23:$AL$23,MAX(1,ROUNDUP(BV506/'🎚️ Escenario'!$C$11,0)))))</f>
        <v>0</v>
      </c>
      <c r="BW507" s="237" t="n">
        <f aca="false" t="array" ref="BW507:BW507">IF(BW506=0,0,IF(BW506/'🎚️ Escenario'!$C$11&gt;=36,$AL$23,INDEX($C$23:$AL$23,MAX(1,ROUNDUP(BW506/'🎚️ Escenario'!$C$11,0)))))</f>
        <v>0</v>
      </c>
      <c r="BX507" s="237" t="n">
        <f aca="false" t="array" ref="BX507:BX507">IF(BX506=0,0,IF(BX506/'🎚️ Escenario'!$C$11&gt;=36,$AL$23,INDEX($C$23:$AL$23,MAX(1,ROUNDUP(BX506/'🎚️ Escenario'!$C$11,0)))))</f>
        <v>0</v>
      </c>
      <c r="BY507" s="237" t="n">
        <f aca="false" t="array" ref="BY507:BY507">IF(BY506=0,0,IF(BY506/'🎚️ Escenario'!$C$11&gt;=36,$AL$23,INDEX($C$23:$AL$23,MAX(1,ROUNDUP(BY506/'🎚️ Escenario'!$C$11,0)))))</f>
        <v>0</v>
      </c>
      <c r="BZ507" s="237" t="n">
        <f aca="false" t="array" ref="BZ507:BZ507">IF(BZ506=0,0,IF(BZ506/'🎚️ Escenario'!$C$11&gt;=36,$AL$23,INDEX($C$23:$AL$23,MAX(1,ROUNDUP(BZ506/'🎚️ Escenario'!$C$11,0)))))</f>
        <v>0</v>
      </c>
      <c r="CA507" s="237" t="n">
        <f aca="false" t="array" ref="CA507:CA507">IF(CA506=0,0,IF(CA506/'🎚️ Escenario'!$C$11&gt;=36,$AL$23,INDEX($C$23:$AL$23,MAX(1,ROUNDUP(CA506/'🎚️ Escenario'!$C$11,0)))))</f>
        <v>0</v>
      </c>
      <c r="CB507" s="237" t="n">
        <f aca="false" t="array" ref="CB507:CB507">IF(CB506=0,0,IF(CB506/'🎚️ Escenario'!$C$11&gt;=36,$AL$23,INDEX($C$23:$AL$23,MAX(1,ROUNDUP(CB506/'🎚️ Escenario'!$C$11,0)))))</f>
        <v>0</v>
      </c>
      <c r="CC507" s="237" t="n">
        <f aca="false" t="array" ref="CC507:CC507">IF(CC506=0,0,IF(CC506/'🎚️ Escenario'!$C$11&gt;=36,$AL$23,INDEX($C$23:$AL$23,MAX(1,ROUNDUP(CC506/'🎚️ Escenario'!$C$11,0)))))</f>
        <v>0</v>
      </c>
      <c r="CD507" s="237" t="n">
        <f aca="false" t="array" ref="CD507:CD507">IF(CD506=0,0,IF(CD506/'🎚️ Escenario'!$C$11&gt;=36,$AL$23,INDEX($C$23:$AL$23,MAX(1,ROUNDUP(CD506/'🎚️ Escenario'!$C$11,0)))))</f>
        <v>0</v>
      </c>
      <c r="CE507" s="237" t="n">
        <f aca="false" t="array" ref="CE507:CE507">IF(CE506=0,0,IF(CE506/'🎚️ Escenario'!$C$11&gt;=36,$AL$23,INDEX($C$23:$AL$23,MAX(1,ROUNDUP(CE506/'🎚️ Escenario'!$C$11,0)))))</f>
        <v>0</v>
      </c>
      <c r="CF507" s="237" t="n">
        <f aca="false" t="array" ref="CF507:CF507">IF(CF506=0,0,IF(CF506/'🎚️ Escenario'!$C$11&gt;=36,$AL$23,INDEX($C$23:$AL$23,MAX(1,ROUNDUP(CF506/'🎚️ Escenario'!$C$11,0)))))</f>
        <v>0</v>
      </c>
      <c r="CG507" s="237" t="n">
        <f aca="false" t="array" ref="CG507:CG507">IF(CG506=0,0,IF(CG506/'🎚️ Escenario'!$C$11&gt;=36,$AL$23,INDEX($C$23:$AL$23,MAX(1,ROUNDUP(CG506/'🎚️ Escenario'!$C$11,0)))))</f>
        <v>0</v>
      </c>
      <c r="CH507" s="237" t="n">
        <f aca="false" t="array" ref="CH507:CH507">IF(CH506=0,0,IF(CH506/'🎚️ Escenario'!$C$11&gt;=36,$AL$23,INDEX($C$23:$AL$23,MAX(1,ROUNDUP(CH506/'🎚️ Escenario'!$C$11,0)))))</f>
        <v>0</v>
      </c>
      <c r="CI507" s="237" t="n">
        <f aca="false" t="array" ref="CI507:CI507">IF(CI506=0,0,IF(CI506/'🎚️ Escenario'!$C$11&gt;=36,$AL$23,INDEX($C$23:$AL$23,MAX(1,ROUNDUP(CI506/'🎚️ Escenario'!$C$11,0)))))</f>
        <v>0</v>
      </c>
      <c r="CJ507" s="237" t="n">
        <f aca="false" t="array" ref="CJ507:CJ507">IF(CJ506=0,0,IF(CJ506/'🎚️ Escenario'!$C$11&gt;=36,$AL$23,INDEX($C$23:$AL$23,MAX(1,ROUNDUP(CJ506/'🎚️ Escenario'!$C$11,0)))))</f>
        <v>0</v>
      </c>
      <c r="CK507" s="237" t="n">
        <f aca="false" t="array" ref="CK507:CK507">IF(CK506=0,0,IF(CK506/'🎚️ Escenario'!$C$11&gt;=36,$AL$23,INDEX($C$23:$AL$23,MAX(1,ROUNDUP(CK506/'🎚️ Escenario'!$C$11,0)))))</f>
        <v>0</v>
      </c>
      <c r="CL507" s="237" t="n">
        <f aca="false" t="array" ref="CL507:CL507">IF(CL506=0,0,IF(CL506/'🎚️ Escenario'!$C$11&gt;=36,$AL$23,INDEX($C$23:$AL$23,MAX(1,ROUNDUP(CL506/'🎚️ Escenario'!$C$11,0)))))</f>
        <v>0</v>
      </c>
      <c r="CM507" s="237" t="n">
        <f aca="false" t="array" ref="CM507:CM507">IF(CM506=0,0,IF(CM506/'🎚️ Escenario'!$C$11&gt;=36,$AL$23,INDEX($C$23:$AL$23,MAX(1,ROUNDUP(CM506/'🎚️ Escenario'!$C$11,0)))))</f>
        <v>0</v>
      </c>
      <c r="CN507" s="237" t="n">
        <f aca="false" t="array" ref="CN507:CN507">IF(CN506=0,0,IF(CN506/'🎚️ Escenario'!$C$11&gt;=36,$AL$23,INDEX($C$23:$AL$23,MAX(1,ROUNDUP(CN506/'🎚️ Escenario'!$C$11,0)))))</f>
        <v>0</v>
      </c>
      <c r="CO507" s="237" t="n">
        <f aca="false" t="array" ref="CO507:CO507">IF(CO506=0,0,IF(CO506/'🎚️ Escenario'!$C$11&gt;=36,$AL$23,INDEX($C$23:$AL$23,MAX(1,ROUNDUP(CO506/'🎚️ Escenario'!$C$11,0)))))</f>
        <v>0</v>
      </c>
      <c r="CP507" s="237" t="n">
        <f aca="false" t="array" ref="CP507:CP507">IF(CP506=0,0,IF(CP506/'🎚️ Escenario'!$C$11&gt;=36,$AL$23,INDEX($C$23:$AL$23,MAX(1,ROUNDUP(CP506/'🎚️ Escenario'!$C$11,0)))))</f>
        <v>0</v>
      </c>
      <c r="CQ507" s="237" t="n">
        <f aca="false" t="array" ref="CQ507:CQ507">IF(CQ506=0,0,IF(CQ506/'🎚️ Escenario'!$C$11&gt;=36,$AL$23,INDEX($C$23:$AL$23,MAX(1,ROUNDUP(CQ506/'🎚️ Escenario'!$C$11,0)))))</f>
        <v>0</v>
      </c>
      <c r="CR507" s="237" t="n">
        <f aca="false" t="array" ref="CR507:CR507">IF(CR506=0,0,IF(CR506/'🎚️ Escenario'!$C$11&gt;=36,$AL$23,INDEX($C$23:$AL$23,MAX(1,ROUNDUP(CR506/'🎚️ Escenario'!$C$11,0)))))</f>
        <v>0</v>
      </c>
      <c r="CS507" s="237" t="n">
        <f aca="false" t="array" ref="CS507:CS507">IF(CS506=0,0,IF(CS506/'🎚️ Escenario'!$C$11&gt;=36,$AL$23,INDEX($C$23:$AL$23,MAX(1,ROUNDUP(CS506/'🎚️ Escenario'!$C$11,0)))))</f>
        <v>0</v>
      </c>
      <c r="CT507" s="237" t="n">
        <f aca="false" t="array" ref="CT507:CT507">IF(CT506=0,0,IF(CT506/'🎚️ Escenario'!$C$11&gt;=36,$AL$23,INDEX($C$23:$AL$23,MAX(1,ROUNDUP(CT506/'🎚️ Escenario'!$C$11,0)))))</f>
        <v>0</v>
      </c>
      <c r="CU507" s="237" t="n">
        <f aca="false" t="array" ref="CU507:CU507">IF(CU506=0,0,IF(CU506/'🎚️ Escenario'!$C$11&gt;=36,$AL$23,INDEX($C$23:$AL$23,MAX(1,ROUNDUP(CU506/'🎚️ Escenario'!$C$11,0)))))</f>
        <v>0</v>
      </c>
      <c r="CV507" s="237" t="n">
        <f aca="false" t="array" ref="CV507:CV507">IF(CV506=0,0,IF(CV506/'🎚️ Escenario'!$C$11&gt;=36,$AL$23,INDEX($C$23:$AL$23,MAX(1,ROUNDUP(CV506/'🎚️ Escenario'!$C$11,0)))))</f>
        <v>0</v>
      </c>
      <c r="CW507" s="237" t="n">
        <f aca="false" t="array" ref="CW507:CW507">IF(CW506=0,0,IF(CW506/'🎚️ Escenario'!$C$11&gt;=36,$AL$23,INDEX($C$23:$AL$23,MAX(1,ROUNDUP(CW506/'🎚️ Escenario'!$C$11,0)))))</f>
        <v>0</v>
      </c>
      <c r="CX507" s="237" t="n">
        <f aca="false" t="array" ref="CX507:CX507">IF(CX506=0,0,IF(CX506/'🎚️ Escenario'!$C$11&gt;=36,$AL$23,INDEX($C$23:$AL$23,MAX(1,ROUNDUP(CX506/'🎚️ Escenario'!$C$11,0)))))</f>
        <v>0</v>
      </c>
      <c r="CY507" s="237" t="n">
        <f aca="false" t="array" ref="CY507:CY507">IF(CY506=0,0,IF(CY506/'🎚️ Escenario'!$C$11&gt;=36,$AL$23,INDEX($C$23:$AL$23,MAX(1,ROUNDUP(CY506/'🎚️ Escenario'!$C$11,0)))))</f>
        <v>0</v>
      </c>
      <c r="CZ507" s="237" t="n">
        <f aca="false" t="array" ref="CZ507:CZ507">IF(CZ506=0,0,IF(CZ506/'🎚️ Escenario'!$C$11&gt;=36,$AL$23,INDEX($C$23:$AL$23,MAX(1,ROUNDUP(CZ506/'🎚️ Escenario'!$C$11,0)))))</f>
        <v>0</v>
      </c>
      <c r="DA507" s="237" t="n">
        <f aca="false" t="array" ref="DA507:DA507">IF(DA506=0,0,IF(DA506/'🎚️ Escenario'!$C$11&gt;=36,$AL$23,INDEX($C$23:$AL$23,MAX(1,ROUNDUP(DA506/'🎚️ Escenario'!$C$11,0)))))</f>
        <v>0</v>
      </c>
      <c r="DB507" s="237" t="n">
        <f aca="false" t="array" ref="DB507:DB507">IF(DB506=0,0,IF(DB506/'🎚️ Escenario'!$C$11&gt;=36,$AL$23,INDEX($C$23:$AL$23,MAX(1,ROUNDUP(DB506/'🎚️ Escenario'!$C$11,0)))))</f>
        <v>0</v>
      </c>
      <c r="DC507" s="237" t="n">
        <f aca="false" t="array" ref="DC507:DC507">IF(DC506=0,0,IF(DC506/'🎚️ Escenario'!$C$11&gt;=36,$AL$23,INDEX($C$23:$AL$23,MAX(1,ROUNDUP(DC506/'🎚️ Escenario'!$C$11,0)))))</f>
        <v>0</v>
      </c>
      <c r="DD507" s="237" t="n">
        <f aca="false" t="array" ref="DD507:DD507">IF(DD506=0,0,IF(DD506/'🎚️ Escenario'!$C$11&gt;=36,$AL$23,INDEX($C$23:$AL$23,MAX(1,ROUNDUP(DD506/'🎚️ Escenario'!$C$11,0)))))</f>
        <v>0</v>
      </c>
      <c r="DE507" s="237" t="n">
        <f aca="false" t="array" ref="DE507:DE507">IF(DE506=0,0,IF(DE506/'🎚️ Escenario'!$C$11&gt;=36,$AL$23,INDEX($C$23:$AL$23,MAX(1,ROUNDUP(DE506/'🎚️ Escenario'!$C$11,0)))))</f>
        <v>0</v>
      </c>
      <c r="DF507" s="237" t="n">
        <f aca="false" t="array" ref="DF507:DF507">IF(DF506=0,0,IF(DF506/'🎚️ Escenario'!$C$11&gt;=36,$AL$23,INDEX($C$23:$AL$23,MAX(1,ROUNDUP(DF506/'🎚️ Escenario'!$C$11,0)))))</f>
        <v>0</v>
      </c>
      <c r="DG507" s="237" t="n">
        <f aca="false" t="array" ref="DG507:DG507">IF(DG506=0,0,IF(DG506/'🎚️ Escenario'!$C$11&gt;=36,$AL$23,INDEX($C$23:$AL$23,MAX(1,ROUNDUP(DG506/'🎚️ Escenario'!$C$11,0)))))</f>
        <v>0</v>
      </c>
      <c r="DH507" s="237" t="n">
        <f aca="false" t="array" ref="DH507:DH507">IF(DH506=0,0,IF(DH506/'🎚️ Escenario'!$C$11&gt;=36,$AL$23,INDEX($C$23:$AL$23,MAX(1,ROUNDUP(DH506/'🎚️ Escenario'!$C$11,0)))))</f>
        <v>0</v>
      </c>
      <c r="DI507" s="237" t="n">
        <f aca="false" t="array" ref="DI507:DI507">IF(DI506=0,0,IF(DI506/'🎚️ Escenario'!$C$11&gt;=36,$AL$23,INDEX($C$23:$AL$23,MAX(1,ROUNDUP(DI506/'🎚️ Escenario'!$C$11,0)))))</f>
        <v>0</v>
      </c>
      <c r="DJ507" s="237" t="n">
        <f aca="false" t="array" ref="DJ507:DJ507">IF(DJ506=0,0,IF(DJ506/'🎚️ Escenario'!$C$11&gt;=36,$AL$23,INDEX($C$23:$AL$23,MAX(1,ROUNDUP(DJ506/'🎚️ Escenario'!$C$11,0)))))</f>
        <v>0</v>
      </c>
      <c r="DK507" s="237" t="n">
        <f aca="false" t="array" ref="DK507:DK507">IF(DK506=0,0,IF(DK506/'🎚️ Escenario'!$C$11&gt;=36,$AL$23,INDEX($C$23:$AL$23,MAX(1,ROUNDUP(DK506/'🎚️ Escenario'!$C$11,0)))))</f>
        <v>0</v>
      </c>
      <c r="DL507" s="237" t="n">
        <f aca="false" t="array" ref="DL507:DL507">IF(DL506=0,0,IF(DL506/'🎚️ Escenario'!$C$11&gt;=36,$AL$23,INDEX($C$23:$AL$23,MAX(1,ROUNDUP(DL506/'🎚️ Escenario'!$C$11,0)))))</f>
        <v>0</v>
      </c>
      <c r="DM507" s="237" t="n">
        <f aca="false" t="array" ref="DM507:DM507">IF(DM506=0,0,IF(DM506/'🎚️ Escenario'!$C$11&gt;=36,$AL$23,INDEX($C$23:$AL$23,MAX(1,ROUNDUP(DM506/'🎚️ Escenario'!$C$11,0)))))</f>
        <v>0</v>
      </c>
      <c r="DN507" s="237" t="n">
        <f aca="false" t="array" ref="DN507:DN507">IF(DN506=0,0,IF(DN506/'🎚️ Escenario'!$C$11&gt;=36,$AL$23,INDEX($C$23:$AL$23,MAX(1,ROUNDUP(DN506/'🎚️ Escenario'!$C$11,0)))))</f>
        <v>0</v>
      </c>
      <c r="DO507" s="237" t="n">
        <f aca="false" t="array" ref="DO507:DO507">IF(DO506=0,0,IF(DO506/'🎚️ Escenario'!$C$11&gt;=36,$AL$23,INDEX($C$23:$AL$23,MAX(1,ROUNDUP(DO506/'🎚️ Escenario'!$C$11,0)))))</f>
        <v>0</v>
      </c>
      <c r="DP507" s="237" t="n">
        <f aca="false" t="array" ref="DP507:DP507">IF(DP506=0,0,IF(DP506/'🎚️ Escenario'!$C$11&gt;=36,$AL$23,INDEX($C$23:$AL$23,MAX(1,ROUNDUP(DP506/'🎚️ Escenario'!$C$11,0)))))</f>
        <v>0</v>
      </c>
      <c r="DQ507" s="237" t="n">
        <f aca="false" t="array" ref="DQ507:DQ507">IF(DQ506=0,0,IF(DQ506/'🎚️ Escenario'!$C$11&gt;=36,$AL$23,INDEX($C$23:$AL$23,MAX(1,ROUNDUP(DQ506/'🎚️ Escenario'!$C$11,0)))))</f>
        <v>0</v>
      </c>
      <c r="DR507" s="237" t="n">
        <f aca="false" t="array" ref="DR507:DR507">IF(DR506=0,0,IF(DR506/'🎚️ Escenario'!$C$11&gt;=36,$AL$23,INDEX($C$23:$AL$23,MAX(1,ROUNDUP(DR506/'🎚️ Escenario'!$C$11,0)))))</f>
        <v>0</v>
      </c>
      <c r="DS507" s="237" t="n">
        <f aca="false" t="array" ref="DS507:DS507">IF(DS506=0,0,IF(DS506/'🎚️ Escenario'!$C$11&gt;=36,$AL$23,INDEX($C$23:$AL$23,MAX(1,ROUNDUP(DS506/'🎚️ Escenario'!$C$11,0)))))</f>
        <v>0</v>
      </c>
      <c r="DT507" s="237" t="n">
        <f aca="false" t="array" ref="DT507:DT507">IF(DT506=0,0,IF(DT506/'🎚️ Escenario'!$C$11&gt;=36,$AL$23,INDEX($C$23:$AL$23,MAX(1,ROUNDUP(DT506/'🎚️ Escenario'!$C$11,0)))))</f>
        <v>0</v>
      </c>
      <c r="DU507" s="237" t="n">
        <f aca="false" t="array" ref="DU507:DU507">IF(DU506=0,0,IF(DU506/'🎚️ Escenario'!$C$11&gt;=36,$AL$23,INDEX($C$23:$AL$23,MAX(1,ROUNDUP(DU506/'🎚️ Escenario'!$C$11,0)))))</f>
        <v>0</v>
      </c>
      <c r="DV507" s="237" t="n">
        <f aca="false" t="array" ref="DV507:DV507">IF(DV506=0,0,IF(DV506/'🎚️ Escenario'!$C$11&gt;=36,$AL$23,INDEX($C$23:$AL$23,MAX(1,ROUNDUP(DV506/'🎚️ Escenario'!$C$11,0)))))</f>
        <v>0</v>
      </c>
      <c r="DW507" s="237" t="n">
        <f aca="false" t="array" ref="DW507:DW507">IF(DW506=0,0,IF(DW506/'🎚️ Escenario'!$C$11&gt;=36,$AL$23,INDEX($C$23:$AL$23,MAX(1,ROUNDUP(DW506/'🎚️ Escenario'!$C$11,0)))))</f>
        <v>0</v>
      </c>
      <c r="DX507" s="237" t="n">
        <f aca="false" t="array" ref="DX507:DX507">IF(DX506=0,0,IF(DX506/'🎚️ Escenario'!$C$11&gt;=36,$AL$23,INDEX($C$23:$AL$23,MAX(1,ROUNDUP(DX506/'🎚️ Escenario'!$C$11,0)))))</f>
        <v>0</v>
      </c>
      <c r="DY507" s="237" t="n">
        <f aca="false" t="array" ref="DY507:DY507">IF(DY506=0,0,IF(DY506/'🎚️ Escenario'!$C$11&gt;=36,$AL$23,INDEX($C$23:$AL$23,MAX(1,ROUNDUP(DY506/'🎚️ Escenario'!$C$11,0)))))</f>
        <v>0</v>
      </c>
      <c r="DZ507" s="237" t="n">
        <f aca="false" t="array" ref="DZ507:DZ507">IF(DZ506=0,0,IF(DZ506/'🎚️ Escenario'!$C$11&gt;=36,$AL$23,INDEX($C$23:$AL$23,MAX(1,ROUNDUP(DZ506/'🎚️ Escenario'!$C$11,0)))))</f>
        <v>0</v>
      </c>
      <c r="EA507" s="237" t="n">
        <f aca="false" t="array" ref="EA507:EA507">IF(EA506=0,0,IF(EA506/'🎚️ Escenario'!$C$11&gt;=36,$AL$23,INDEX($C$23:$AL$23,MAX(1,ROUNDUP(EA506/'🎚️ Escenario'!$C$11,0)))))</f>
        <v>0</v>
      </c>
      <c r="EB507" s="237" t="n">
        <f aca="false" t="array" ref="EB507:EB507">IF(EB506=0,0,IF(EB506/'🎚️ Escenario'!$C$11&gt;=36,$AL$23,INDEX($C$23:$AL$23,MAX(1,ROUNDUP(EB506/'🎚️ Escenario'!$C$11,0)))))</f>
        <v>0</v>
      </c>
      <c r="EC507" s="237" t="n">
        <f aca="false" t="array" ref="EC507:EC507">IF(EC506=0,0,IF(EC506/'🎚️ Escenario'!$C$11&gt;=36,$AL$23,INDEX($C$23:$AL$23,MAX(1,ROUNDUP(EC506/'🎚️ Escenario'!$C$11,0)))))</f>
        <v>0</v>
      </c>
      <c r="ED507" s="237" t="n">
        <f aca="false" t="array" ref="ED507:ED507">IF(ED506=0,0,IF(ED506/'🎚️ Escenario'!$C$11&gt;=36,$AL$23,INDEX($C$23:$AL$23,MAX(1,ROUNDUP(ED506/'🎚️ Escenario'!$C$11,0)))))</f>
        <v>0</v>
      </c>
      <c r="EE507" s="237" t="n">
        <f aca="false" t="array" ref="EE507:EE507">IF(EE506=0,0,IF(EE506/'🎚️ Escenario'!$C$11&gt;=36,$AL$23,INDEX($C$23:$AL$23,MAX(1,ROUNDUP(EE506/'🎚️ Escenario'!$C$11,0)))))</f>
        <v>0</v>
      </c>
      <c r="EF507" s="237" t="n">
        <f aca="false" t="array" ref="EF507:EF507">IF(EF506=0,0,IF(EF506/'🎚️ Escenario'!$C$11&gt;=36,$AL$23,INDEX($C$23:$AL$23,MAX(1,ROUNDUP(EF506/'🎚️ Escenario'!$C$11,0)))))</f>
        <v>0</v>
      </c>
      <c r="EG507" s="237" t="n">
        <f aca="false" t="array" ref="EG507:EG507">IF(EG506=0,0,IF(EG506/'🎚️ Escenario'!$C$11&gt;=36,$AL$23,INDEX($C$23:$AL$23,MAX(1,ROUNDUP(EG506/'🎚️ Escenario'!$C$11,0)))))</f>
        <v>0</v>
      </c>
      <c r="EH507" s="237" t="n">
        <f aca="false" t="array" ref="EH507:EH507">IF(EH506=0,0,IF(EH506/'🎚️ Escenario'!$C$11&gt;=36,$AL$23,INDEX($C$23:$AL$23,MAX(1,ROUNDUP(EH506/'🎚️ Escenario'!$C$11,0)))))</f>
        <v>0</v>
      </c>
      <c r="EI507" s="237" t="n">
        <f aca="false" t="array" ref="EI507:EI507">IF(EI506=0,0,IF(EI506/'🎚️ Escenario'!$C$11&gt;=36,$AL$23,INDEX($C$23:$AL$23,MAX(1,ROUNDUP(EI506/'🎚️ Escenario'!$C$11,0)))))</f>
        <v>0</v>
      </c>
      <c r="EJ507" s="237" t="n">
        <f aca="false" t="array" ref="EJ507:EJ507">IF(EJ506=0,0,IF(EJ506/'🎚️ Escenario'!$C$11&gt;=36,$AL$23,INDEX($C$23:$AL$23,MAX(1,ROUNDUP(EJ506/'🎚️ Escenario'!$C$11,0)))))</f>
        <v>0</v>
      </c>
      <c r="EK507" s="237" t="n">
        <f aca="false" t="array" ref="EK507:EK507">IF(EK506=0,0,IF(EK506/'🎚️ Escenario'!$C$11&gt;=36,$AL$23,INDEX($C$23:$AL$23,MAX(1,ROUNDUP(EK506/'🎚️ Escenario'!$C$11,0)))))</f>
        <v>0</v>
      </c>
      <c r="EL507" s="237" t="n">
        <f aca="false" t="array" ref="EL507:EL507">IF(EL506=0,0,IF(EL506/'🎚️ Escenario'!$C$11&gt;=36,$AL$23,INDEX($C$23:$AL$23,MAX(1,ROUNDUP(EL506/'🎚️ Escenario'!$C$11,0)))))</f>
        <v>0</v>
      </c>
      <c r="EM507" s="237" t="n">
        <f aca="false" t="array" ref="EM507:EM507">IF(EM506=0,0,IF(EM506/'🎚️ Escenario'!$C$11&gt;=36,$AL$23,INDEX($C$23:$AL$23,MAX(1,ROUNDUP(EM506/'🎚️ Escenario'!$C$11,0)))))</f>
        <v>0</v>
      </c>
      <c r="EN507" s="237" t="n">
        <f aca="false" t="array" ref="EN507:EN507">IF(EN506=0,0,IF(EN506/'🎚️ Escenario'!$C$11&gt;=36,$AL$23,INDEX($C$23:$AL$23,MAX(1,ROUNDUP(EN506/'🎚️ Escenario'!$C$11,0)))))</f>
        <v>0</v>
      </c>
      <c r="EO507" s="237" t="n">
        <f aca="false" t="array" ref="EO507:EO507">IF(EO506=0,0,IF(EO506/'🎚️ Escenario'!$C$11&gt;=36,$AL$23,INDEX($C$23:$AL$23,MAX(1,ROUNDUP(EO506/'🎚️ Escenario'!$C$11,0)))))</f>
        <v>0</v>
      </c>
      <c r="EP507" s="237" t="n">
        <f aca="false" t="array" ref="EP507:EP507">IF(EP506=0,0,IF(EP506/'🎚️ Escenario'!$C$11&gt;=36,$AL$23,INDEX($C$23:$AL$23,MAX(1,ROUNDUP(EP506/'🎚️ Escenario'!$C$11,0)))))</f>
        <v>0.2</v>
      </c>
      <c r="EQ507" s="237" t="n">
        <f aca="false" t="array" ref="EQ507:EQ507">IF(EQ506=0,0,IF(EQ506/'🎚️ Escenario'!$C$11&gt;=36,$AL$23,INDEX($C$23:$AL$23,MAX(1,ROUNDUP(EQ506/'🎚️ Escenario'!$C$11,0)))))</f>
        <v>0.22</v>
      </c>
      <c r="ER507" s="237" t="n">
        <f aca="false" t="array" ref="ER507:ER507">IF(ER506=0,0,IF(ER506/'🎚️ Escenario'!$C$11&gt;=36,$AL$23,INDEX($C$23:$AL$23,MAX(1,ROUNDUP(ER506/'🎚️ Escenario'!$C$11,0)))))</f>
        <v>0.24</v>
      </c>
      <c r="ES507" s="9" t="n">
        <f aca="false" t="array" ref="ES507:ES507">IF(ES506=0,0,IF(ES506/'🎚️ Escenario'!$C$11&gt;=36,$AL$23,INDEX($C$23:$AL$23,MAX(1,ROUNDUP(ES506/'🎚️ Escenario'!$C$11,0)))))</f>
        <v>0.27</v>
      </c>
      <c r="ET507" s="9" t="n">
        <f aca="false" t="array" ref="ET507:ET507">IF(ET506=0,0,IF(ET506/'🎚️ Escenario'!$C$11&gt;=36,$AL$23,INDEX($C$23:$AL$23,MAX(1,ROUNDUP(ET506/'🎚️ Escenario'!$C$11,0)))))</f>
        <v>0.27</v>
      </c>
      <c r="EU507" s="9" t="n">
        <f aca="false" t="array" ref="EU507:EU507">IF(EU506=0,0,IF(EU506/'🎚️ Escenario'!$C$11&gt;=36,$AL$23,INDEX($C$23:$AL$23,MAX(1,ROUNDUP(EU506/'🎚️ Escenario'!$C$11,0)))))</f>
        <v>0.31</v>
      </c>
      <c r="EV507" s="9" t="n">
        <f aca="false" t="array" ref="EV507:EV507">IF(EV506=0,0,IF(EV506/'🎚️ Escenario'!$C$11&gt;=36,$AL$23,INDEX($C$23:$AL$23,MAX(1,ROUNDUP(EV506/'🎚️ Escenario'!$C$11,0)))))</f>
        <v>0.35</v>
      </c>
      <c r="EW507" s="9" t="n">
        <f aca="false" t="array" ref="EW507:EW507">IF(EW506=0,0,IF(EW506/'🎚️ Escenario'!$C$11&gt;=36,$AL$23,INDEX($C$23:$AL$23,MAX(1,ROUNDUP(EW506/'🎚️ Escenario'!$C$11,0)))))</f>
        <v>0.39</v>
      </c>
      <c r="EX507" s="9" t="n">
        <f aca="false" t="array" ref="EX507:EX507">IF(EX506=0,0,IF(EX506/'🎚️ Escenario'!$C$11&gt;=36,$AL$23,INDEX($C$23:$AL$23,MAX(1,ROUNDUP(EX506/'🎚️ Escenario'!$C$11,0)))))</f>
        <v>0.44</v>
      </c>
      <c r="EY507" s="9" t="n">
        <f aca="false" t="array" ref="EY507:EY507">IF(EY506=0,0,IF(EY506/'🎚️ Escenario'!$C$11&gt;=36,$AL$23,INDEX($C$23:$AL$23,MAX(1,ROUNDUP(EY506/'🎚️ Escenario'!$C$11,0)))))</f>
        <v>0.44</v>
      </c>
      <c r="EZ507" s="9" t="n">
        <f aca="false" t="array" ref="EZ507:EZ507">IF(EZ506=0,0,IF(EZ506/'🎚️ Escenario'!$C$11&gt;=36,$AL$23,INDEX($C$23:$AL$23,MAX(1,ROUNDUP(EZ506/'🎚️ Escenario'!$C$11,0)))))</f>
        <v>0.48</v>
      </c>
      <c r="FA507" s="9" t="n">
        <f aca="false" t="array" ref="FA507:FA507">IF(FA506=0,0,IF(FA506/'🎚️ Escenario'!$C$11&gt;=36,$AL$23,INDEX($C$23:$AL$23,MAX(1,ROUNDUP(FA506/'🎚️ Escenario'!$C$11,0)))))</f>
        <v>0.52</v>
      </c>
      <c r="FB507" s="9" t="n">
        <f aca="false" t="array" ref="FB507:FB507">IF(FB506=0,0,IF(FB506/'🎚️ Escenario'!$C$11&gt;=36,$AL$23,INDEX($C$23:$AL$23,MAX(1,ROUNDUP(FB506/'🎚️ Escenario'!$C$11,0)))))</f>
        <v>0.56</v>
      </c>
      <c r="FC507" s="9" t="n">
        <f aca="false" t="array" ref="FC507:FC507">IF(FC506=0,0,IF(FC506/'🎚️ Escenario'!$C$11&gt;=36,$AL$23,INDEX($C$23:$AL$23,MAX(1,ROUNDUP(FC506/'🎚️ Escenario'!$C$11,0)))))</f>
        <v>0.6</v>
      </c>
      <c r="FD507" s="9" t="n">
        <f aca="false" t="array" ref="FD507:FD507">IF(FD506=0,0,IF(FD506/'🎚️ Escenario'!$C$11&gt;=36,$AL$23,INDEX($C$23:$AL$23,MAX(1,ROUNDUP(FD506/'🎚️ Escenario'!$C$11,0)))))</f>
        <v>0.6</v>
      </c>
      <c r="FE507" s="9" t="n">
        <f aca="false" t="array" ref="FE507:FE507">IF(FE506=0,0,IF(FE506/'🎚️ Escenario'!$C$11&gt;=36,$AL$23,INDEX($C$23:$AL$23,MAX(1,ROUNDUP(FE506/'🎚️ Escenario'!$C$11,0)))))</f>
        <v>0.63</v>
      </c>
      <c r="FF507" s="9" t="n">
        <f aca="false" t="array" ref="FF507:FF507">IF(FF506=0,0,IF(FF506/'🎚️ Escenario'!$C$11&gt;=36,$AL$23,INDEX($C$23:$AL$23,MAX(1,ROUNDUP(FF506/'🎚️ Escenario'!$C$11,0)))))</f>
        <v>0.66</v>
      </c>
      <c r="FG507" s="9" t="n">
        <f aca="false" t="array" ref="FG507:FG507">IF(FG506=0,0,IF(FG506/'🎚️ Escenario'!$C$11&gt;=36,$AL$23,INDEX($C$23:$AL$23,MAX(1,ROUNDUP(FG506/'🎚️ Escenario'!$C$11,0)))))</f>
        <v>0.69</v>
      </c>
      <c r="FH507" s="9" t="n">
        <f aca="false" t="array" ref="FH507:FH507">IF(FH506=0,0,IF(FH506/'🎚️ Escenario'!$C$11&gt;=36,$AL$23,INDEX($C$23:$AL$23,MAX(1,ROUNDUP(FH506/'🎚️ Escenario'!$C$11,0)))))</f>
        <v>0.71</v>
      </c>
      <c r="FI507" s="9" t="n">
        <f aca="false" t="array" ref="FI507:FI507">IF(FI506=0,0,IF(FI506/'🎚️ Escenario'!$C$11&gt;=36,$AL$23,INDEX($C$23:$AL$23,MAX(1,ROUNDUP(FI506/'🎚️ Escenario'!$C$11,0)))))</f>
        <v>0.71</v>
      </c>
      <c r="FJ507" s="9" t="n">
        <f aca="false" t="array" ref="FJ507:FJ507">IF(FJ506=0,0,IF(FJ506/'🎚️ Escenario'!$C$11&gt;=36,$AL$23,INDEX($C$23:$AL$23,MAX(1,ROUNDUP(FJ506/'🎚️ Escenario'!$C$11,0)))))</f>
        <v>0.73</v>
      </c>
      <c r="FK507" s="9" t="n">
        <f aca="false" t="array" ref="FK507:FK507">IF(FK506=0,0,IF(FK506/'🎚️ Escenario'!$C$11&gt;=36,$AL$23,INDEX($C$23:$AL$23,MAX(1,ROUNDUP(FK506/'🎚️ Escenario'!$C$11,0)))))</f>
        <v>0.75</v>
      </c>
      <c r="FL507" s="9" t="n">
        <f aca="false" t="array" ref="FL507:FL507">IF(FL506=0,0,IF(FL506/'🎚️ Escenario'!$C$11&gt;=36,$AL$23,INDEX($C$23:$AL$23,MAX(1,ROUNDUP(FL506/'🎚️ Escenario'!$C$11,0)))))</f>
        <v>0.77</v>
      </c>
      <c r="FM507" s="9" t="n">
        <f aca="false" t="array" ref="FM507:FM507">IF(FM506=0,0,IF(FM506/'🎚️ Escenario'!$C$11&gt;=36,$AL$23,INDEX($C$23:$AL$23,MAX(1,ROUNDUP(FM506/'🎚️ Escenario'!$C$11,0)))))</f>
        <v>0.79</v>
      </c>
      <c r="FN507" s="9" t="n">
        <f aca="false" t="array" ref="FN507:FN507">IF(FN506=0,0,IF(FN506/'🎚️ Escenario'!$C$11&gt;=36,$AL$23,INDEX($C$23:$AL$23,MAX(1,ROUNDUP(FN506/'🎚️ Escenario'!$C$11,0)))))</f>
        <v>0.79</v>
      </c>
      <c r="FO507" s="9" t="n">
        <f aca="false" t="array" ref="FO507:FO507">IF(FO506=0,0,IF(FO506/'🎚️ Escenario'!$C$11&gt;=36,$AL$23,INDEX($C$23:$AL$23,MAX(1,ROUNDUP(FO506/'🎚️ Escenario'!$C$11,0)))))</f>
        <v>0.8</v>
      </c>
      <c r="FP507" s="9" t="n">
        <f aca="false" t="array" ref="FP507:FP507">IF(FP506=0,0,IF(FP506/'🎚️ Escenario'!$C$11&gt;=36,$AL$23,INDEX($C$23:$AL$23,MAX(1,ROUNDUP(FP506/'🎚️ Escenario'!$C$11,0)))))</f>
        <v>0.82</v>
      </c>
    </row>
    <row r="508" customFormat="false" ht="15" hidden="false" customHeight="false" outlineLevel="2" collapsed="false">
      <c r="B508" s="47" t="s">
        <v>875</v>
      </c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237" t="n">
        <f aca="false">IF(AC506=0,0,IF(AC506&lt;=12*'🎚️ Escenario'!$C$11,1,1+$C$6))</f>
        <v>0</v>
      </c>
      <c r="AD508" s="237" t="n">
        <f aca="false">IF(AD506=0,0,IF(AD506&lt;=12*'🎚️ Escenario'!$C$11,1,1+$C$6))</f>
        <v>0</v>
      </c>
      <c r="AE508" s="237" t="n">
        <f aca="false">IF(AE506=0,0,IF(AE506&lt;=12*'🎚️ Escenario'!$C$11,1,1+$C$6))</f>
        <v>0</v>
      </c>
      <c r="AF508" s="237" t="n">
        <f aca="false">IF(AF506=0,0,IF(AF506&lt;=12*'🎚️ Escenario'!$C$11,1,1+$C$6))</f>
        <v>0</v>
      </c>
      <c r="AG508" s="237" t="n">
        <f aca="false">IF(AG506=0,0,IF(AG506&lt;=12*'🎚️ Escenario'!$C$11,1,1+$C$6))</f>
        <v>0</v>
      </c>
      <c r="AH508" s="237" t="n">
        <f aca="false">IF(AH506=0,0,IF(AH506&lt;=12*'🎚️ Escenario'!$C$11,1,1+$C$6))</f>
        <v>0</v>
      </c>
      <c r="AI508" s="237" t="n">
        <f aca="false">IF(AI506=0,0,IF(AI506&lt;=12*'🎚️ Escenario'!$C$11,1,1+$C$6))</f>
        <v>0</v>
      </c>
      <c r="AJ508" s="237" t="n">
        <f aca="false">IF(AJ506=0,0,IF(AJ506&lt;=12*'🎚️ Escenario'!$C$11,1,1+$C$6))</f>
        <v>0</v>
      </c>
      <c r="AK508" s="237" t="n">
        <f aca="false">IF(AK506=0,0,IF(AK506&lt;=12*'🎚️ Escenario'!$C$11,1,1+$C$6))</f>
        <v>0</v>
      </c>
      <c r="AL508" s="237" t="n">
        <f aca="false">IF(AL506=0,0,IF(AL506&lt;=12*'🎚️ Escenario'!$C$11,1,1+$C$6))</f>
        <v>0</v>
      </c>
      <c r="AM508" s="237" t="n">
        <f aca="false">IF(AM506=0,0,IF(AM506&lt;=12*'🎚️ Escenario'!$C$11,1,1+$C$6))</f>
        <v>0</v>
      </c>
      <c r="AN508" s="237" t="n">
        <f aca="false">IF(AN506=0,0,IF(AN506&lt;=12*'🎚️ Escenario'!$C$11,1,1+$C$6))</f>
        <v>0</v>
      </c>
      <c r="AO508" s="237" t="n">
        <f aca="false">IF(AO506=0,0,IF(AO506&lt;=12*'🎚️ Escenario'!$C$11,1,1+$C$6))</f>
        <v>0</v>
      </c>
      <c r="AP508" s="237" t="n">
        <f aca="false">IF(AP506=0,0,IF(AP506&lt;=12*'🎚️ Escenario'!$C$11,1,1+$C$6))</f>
        <v>0</v>
      </c>
      <c r="AQ508" s="237" t="n">
        <f aca="false">IF(AQ506=0,0,IF(AQ506&lt;=12*'🎚️ Escenario'!$C$11,1,1+$C$6))</f>
        <v>0</v>
      </c>
      <c r="AR508" s="237" t="n">
        <f aca="false">IF(AR506=0,0,IF(AR506&lt;=12*'🎚️ Escenario'!$C$11,1,1+$C$6))</f>
        <v>0</v>
      </c>
      <c r="AS508" s="237" t="n">
        <f aca="false">IF(AS506=0,0,IF(AS506&lt;=12*'🎚️ Escenario'!$C$11,1,1+$C$6))</f>
        <v>0</v>
      </c>
      <c r="AT508" s="237" t="n">
        <f aca="false">IF(AT506=0,0,IF(AT506&lt;=12*'🎚️ Escenario'!$C$11,1,1+$C$6))</f>
        <v>0</v>
      </c>
      <c r="AU508" s="237" t="n">
        <f aca="false">IF(AU506=0,0,IF(AU506&lt;=12*'🎚️ Escenario'!$C$11,1,1+$C$6))</f>
        <v>0</v>
      </c>
      <c r="AV508" s="237" t="n">
        <f aca="false">IF(AV506=0,0,IF(AV506&lt;=12*'🎚️ Escenario'!$C$11,1,1+$C$6))</f>
        <v>0</v>
      </c>
      <c r="AW508" s="237" t="n">
        <f aca="false">IF(AW506=0,0,IF(AW506&lt;=12*'🎚️ Escenario'!$C$11,1,1+$C$6))</f>
        <v>0</v>
      </c>
      <c r="AX508" s="237" t="n">
        <f aca="false">IF(AX506=0,0,IF(AX506&lt;=12*'🎚️ Escenario'!$C$11,1,1+$C$6))</f>
        <v>0</v>
      </c>
      <c r="AY508" s="237" t="n">
        <f aca="false">IF(AY506=0,0,IF(AY506&lt;=12*'🎚️ Escenario'!$C$11,1,1+$C$6))</f>
        <v>0</v>
      </c>
      <c r="AZ508" s="237" t="n">
        <f aca="false">IF(AZ506=0,0,IF(AZ506&lt;=12*'🎚️ Escenario'!$C$11,1,1+$C$6))</f>
        <v>0</v>
      </c>
      <c r="BA508" s="237" t="n">
        <f aca="false">IF(BA506=0,0,IF(BA506&lt;=12*'🎚️ Escenario'!$C$11,1,1+$C$6))</f>
        <v>0</v>
      </c>
      <c r="BB508" s="237" t="n">
        <f aca="false">IF(BB506=0,0,IF(BB506&lt;=12*'🎚️ Escenario'!$C$11,1,1+$C$6))</f>
        <v>0</v>
      </c>
      <c r="BC508" s="237" t="n">
        <f aca="false">IF(BC506=0,0,IF(BC506&lt;=12*'🎚️ Escenario'!$C$11,1,1+$C$6))</f>
        <v>0</v>
      </c>
      <c r="BD508" s="237" t="n">
        <f aca="false">IF(BD506=0,0,IF(BD506&lt;=12*'🎚️ Escenario'!$C$11,1,1+$C$6))</f>
        <v>0</v>
      </c>
      <c r="BE508" s="237" t="n">
        <f aca="false">IF(BE506=0,0,IF(BE506&lt;=12*'🎚️ Escenario'!$C$11,1,1+$C$6))</f>
        <v>0</v>
      </c>
      <c r="BF508" s="237" t="n">
        <f aca="false">IF(BF506=0,0,IF(BF506&lt;=12*'🎚️ Escenario'!$C$11,1,1+$C$6))</f>
        <v>0</v>
      </c>
      <c r="BG508" s="237" t="n">
        <f aca="false">IF(BG506=0,0,IF(BG506&lt;=12*'🎚️ Escenario'!$C$11,1,1+$C$6))</f>
        <v>0</v>
      </c>
      <c r="BH508" s="237" t="n">
        <f aca="false">IF(BH506=0,0,IF(BH506&lt;=12*'🎚️ Escenario'!$C$11,1,1+$C$6))</f>
        <v>0</v>
      </c>
      <c r="BI508" s="237" t="n">
        <f aca="false">IF(BI506=0,0,IF(BI506&lt;=12*'🎚️ Escenario'!$C$11,1,1+$C$6))</f>
        <v>0</v>
      </c>
      <c r="BJ508" s="237" t="n">
        <f aca="false">IF(BJ506=0,0,IF(BJ506&lt;=12*'🎚️ Escenario'!$C$11,1,1+$C$6))</f>
        <v>0</v>
      </c>
      <c r="BK508" s="237" t="n">
        <f aca="false">IF(BK506=0,0,IF(BK506&lt;=12*'🎚️ Escenario'!$C$11,1,1+$C$6))</f>
        <v>0</v>
      </c>
      <c r="BL508" s="237" t="n">
        <f aca="false">IF(BL506=0,0,IF(BL506&lt;=12*'🎚️ Escenario'!$C$11,1,1+$C$6))</f>
        <v>0</v>
      </c>
      <c r="BM508" s="237" t="n">
        <f aca="false">IF(BM506=0,0,IF(BM506&lt;=12*'🎚️ Escenario'!$C$11,1,1+$C$6))</f>
        <v>0</v>
      </c>
      <c r="BN508" s="237" t="n">
        <f aca="false">IF(BN506=0,0,IF(BN506&lt;=12*'🎚️ Escenario'!$C$11,1,1+$C$6))</f>
        <v>0</v>
      </c>
      <c r="BO508" s="237" t="n">
        <f aca="false">IF(BO506=0,0,IF(BO506&lt;=12*'🎚️ Escenario'!$C$11,1,1+$C$6))</f>
        <v>0</v>
      </c>
      <c r="BP508" s="237" t="n">
        <f aca="false">IF(BP506=0,0,IF(BP506&lt;=12*'🎚️ Escenario'!$C$11,1,1+$C$6))</f>
        <v>0</v>
      </c>
      <c r="BQ508" s="237" t="n">
        <f aca="false">IF(BQ506=0,0,IF(BQ506&lt;=12*'🎚️ Escenario'!$C$11,1,1+$C$6))</f>
        <v>0</v>
      </c>
      <c r="BR508" s="237" t="n">
        <f aca="false">IF(BR506=0,0,IF(BR506&lt;=12*'🎚️ Escenario'!$C$11,1,1+$C$6))</f>
        <v>0</v>
      </c>
      <c r="BS508" s="237" t="n">
        <f aca="false">IF(BS506=0,0,IF(BS506&lt;=12*'🎚️ Escenario'!$C$11,1,1+$C$6))</f>
        <v>0</v>
      </c>
      <c r="BT508" s="237" t="n">
        <f aca="false">IF(BT506=0,0,IF(BT506&lt;=12*'🎚️ Escenario'!$C$11,1,1+$C$6))</f>
        <v>0</v>
      </c>
      <c r="BU508" s="237" t="n">
        <f aca="false">IF(BU506=0,0,IF(BU506&lt;=12*'🎚️ Escenario'!$C$11,1,1+$C$6))</f>
        <v>0</v>
      </c>
      <c r="BV508" s="237" t="n">
        <f aca="false">IF(BV506=0,0,IF(BV506&lt;=12*'🎚️ Escenario'!$C$11,1,1+$C$6))</f>
        <v>0</v>
      </c>
      <c r="BW508" s="237" t="n">
        <f aca="false">IF(BW506=0,0,IF(BW506&lt;=12*'🎚️ Escenario'!$C$11,1,1+$C$6))</f>
        <v>0</v>
      </c>
      <c r="BX508" s="237" t="n">
        <f aca="false">IF(BX506=0,0,IF(BX506&lt;=12*'🎚️ Escenario'!$C$11,1,1+$C$6))</f>
        <v>0</v>
      </c>
      <c r="BY508" s="237" t="n">
        <f aca="false">IF(BY506=0,0,IF(BY506&lt;=12*'🎚️ Escenario'!$C$11,1,1+$C$6))</f>
        <v>0</v>
      </c>
      <c r="BZ508" s="237" t="n">
        <f aca="false">IF(BZ506=0,0,IF(BZ506&lt;=12*'🎚️ Escenario'!$C$11,1,1+$C$6))</f>
        <v>0</v>
      </c>
      <c r="CA508" s="237" t="n">
        <f aca="false">IF(CA506=0,0,IF(CA506&lt;=12*'🎚️ Escenario'!$C$11,1,1+$C$6))</f>
        <v>0</v>
      </c>
      <c r="CB508" s="237" t="n">
        <f aca="false">IF(CB506=0,0,IF(CB506&lt;=12*'🎚️ Escenario'!$C$11,1,1+$C$6))</f>
        <v>0</v>
      </c>
      <c r="CC508" s="237" t="n">
        <f aca="false">IF(CC506=0,0,IF(CC506&lt;=12*'🎚️ Escenario'!$C$11,1,1+$C$6))</f>
        <v>0</v>
      </c>
      <c r="CD508" s="237" t="n">
        <f aca="false">IF(CD506=0,0,IF(CD506&lt;=12*'🎚️ Escenario'!$C$11,1,1+$C$6))</f>
        <v>0</v>
      </c>
      <c r="CE508" s="237" t="n">
        <f aca="false">IF(CE506=0,0,IF(CE506&lt;=12*'🎚️ Escenario'!$C$11,1,1+$C$6))</f>
        <v>0</v>
      </c>
      <c r="CF508" s="237" t="n">
        <f aca="false">IF(CF506=0,0,IF(CF506&lt;=12*'🎚️ Escenario'!$C$11,1,1+$C$6))</f>
        <v>0</v>
      </c>
      <c r="CG508" s="237" t="n">
        <f aca="false">IF(CG506=0,0,IF(CG506&lt;=12*'🎚️ Escenario'!$C$11,1,1+$C$6))</f>
        <v>0</v>
      </c>
      <c r="CH508" s="237" t="n">
        <f aca="false">IF(CH506=0,0,IF(CH506&lt;=12*'🎚️ Escenario'!$C$11,1,1+$C$6))</f>
        <v>0</v>
      </c>
      <c r="CI508" s="237" t="n">
        <f aca="false">IF(CI506=0,0,IF(CI506&lt;=12*'🎚️ Escenario'!$C$11,1,1+$C$6))</f>
        <v>0</v>
      </c>
      <c r="CJ508" s="237" t="n">
        <f aca="false">IF(CJ506=0,0,IF(CJ506&lt;=12*'🎚️ Escenario'!$C$11,1,1+$C$6))</f>
        <v>0</v>
      </c>
      <c r="CK508" s="237" t="n">
        <f aca="false">IF(CK506=0,0,IF(CK506&lt;=12*'🎚️ Escenario'!$C$11,1,1+$C$6))</f>
        <v>0</v>
      </c>
      <c r="CL508" s="237" t="n">
        <f aca="false">IF(CL506=0,0,IF(CL506&lt;=12*'🎚️ Escenario'!$C$11,1,1+$C$6))</f>
        <v>0</v>
      </c>
      <c r="CM508" s="237" t="n">
        <f aca="false">IF(CM506=0,0,IF(CM506&lt;=12*'🎚️ Escenario'!$C$11,1,1+$C$6))</f>
        <v>0</v>
      </c>
      <c r="CN508" s="237" t="n">
        <f aca="false">IF(CN506=0,0,IF(CN506&lt;=12*'🎚️ Escenario'!$C$11,1,1+$C$6))</f>
        <v>0</v>
      </c>
      <c r="CO508" s="237" t="n">
        <f aca="false">IF(CO506=0,0,IF(CO506&lt;=12*'🎚️ Escenario'!$C$11,1,1+$C$6))</f>
        <v>0</v>
      </c>
      <c r="CP508" s="237" t="n">
        <f aca="false">IF(CP506=0,0,IF(CP506&lt;=12*'🎚️ Escenario'!$C$11,1,1+$C$6))</f>
        <v>0</v>
      </c>
      <c r="CQ508" s="237" t="n">
        <f aca="false">IF(CQ506=0,0,IF(CQ506&lt;=12*'🎚️ Escenario'!$C$11,1,1+$C$6))</f>
        <v>0</v>
      </c>
      <c r="CR508" s="237" t="n">
        <f aca="false">IF(CR506=0,0,IF(CR506&lt;=12*'🎚️ Escenario'!$C$11,1,1+$C$6))</f>
        <v>0</v>
      </c>
      <c r="CS508" s="237" t="n">
        <f aca="false">IF(CS506=0,0,IF(CS506&lt;=12*'🎚️ Escenario'!$C$11,1,1+$C$6))</f>
        <v>0</v>
      </c>
      <c r="CT508" s="237" t="n">
        <f aca="false">IF(CT506=0,0,IF(CT506&lt;=12*'🎚️ Escenario'!$C$11,1,1+$C$6))</f>
        <v>0</v>
      </c>
      <c r="CU508" s="237" t="n">
        <f aca="false">IF(CU506=0,0,IF(CU506&lt;=12*'🎚️ Escenario'!$C$11,1,1+$C$6))</f>
        <v>0</v>
      </c>
      <c r="CV508" s="237" t="n">
        <f aca="false">IF(CV506=0,0,IF(CV506&lt;=12*'🎚️ Escenario'!$C$11,1,1+$C$6))</f>
        <v>0</v>
      </c>
      <c r="CW508" s="237" t="n">
        <f aca="false">IF(CW506=0,0,IF(CW506&lt;=12*'🎚️ Escenario'!$C$11,1,1+$C$6))</f>
        <v>0</v>
      </c>
      <c r="CX508" s="237" t="n">
        <f aca="false">IF(CX506=0,0,IF(CX506&lt;=12*'🎚️ Escenario'!$C$11,1,1+$C$6))</f>
        <v>0</v>
      </c>
      <c r="CY508" s="237" t="n">
        <f aca="false">IF(CY506=0,0,IF(CY506&lt;=12*'🎚️ Escenario'!$C$11,1,1+$C$6))</f>
        <v>0</v>
      </c>
      <c r="CZ508" s="237" t="n">
        <f aca="false">IF(CZ506=0,0,IF(CZ506&lt;=12*'🎚️ Escenario'!$C$11,1,1+$C$6))</f>
        <v>0</v>
      </c>
      <c r="DA508" s="237" t="n">
        <f aca="false">IF(DA506=0,0,IF(DA506&lt;=12*'🎚️ Escenario'!$C$11,1,1+$C$6))</f>
        <v>0</v>
      </c>
      <c r="DB508" s="237" t="n">
        <f aca="false">IF(DB506=0,0,IF(DB506&lt;=12*'🎚️ Escenario'!$C$11,1,1+$C$6))</f>
        <v>0</v>
      </c>
      <c r="DC508" s="237" t="n">
        <f aca="false">IF(DC506=0,0,IF(DC506&lt;=12*'🎚️ Escenario'!$C$11,1,1+$C$6))</f>
        <v>0</v>
      </c>
      <c r="DD508" s="237" t="n">
        <f aca="false">IF(DD506=0,0,IF(DD506&lt;=12*'🎚️ Escenario'!$C$11,1,1+$C$6))</f>
        <v>0</v>
      </c>
      <c r="DE508" s="237" t="n">
        <f aca="false">IF(DE506=0,0,IF(DE506&lt;=12*'🎚️ Escenario'!$C$11,1,1+$C$6))</f>
        <v>0</v>
      </c>
      <c r="DF508" s="237" t="n">
        <f aca="false">IF(DF506=0,0,IF(DF506&lt;=12*'🎚️ Escenario'!$C$11,1,1+$C$6))</f>
        <v>0</v>
      </c>
      <c r="DG508" s="237" t="n">
        <f aca="false">IF(DG506=0,0,IF(DG506&lt;=12*'🎚️ Escenario'!$C$11,1,1+$C$6))</f>
        <v>0</v>
      </c>
      <c r="DH508" s="237" t="n">
        <f aca="false">IF(DH506=0,0,IF(DH506&lt;=12*'🎚️ Escenario'!$C$11,1,1+$C$6))</f>
        <v>0</v>
      </c>
      <c r="DI508" s="237" t="n">
        <f aca="false">IF(DI506=0,0,IF(DI506&lt;=12*'🎚️ Escenario'!$C$11,1,1+$C$6))</f>
        <v>0</v>
      </c>
      <c r="DJ508" s="237" t="n">
        <f aca="false">IF(DJ506=0,0,IF(DJ506&lt;=12*'🎚️ Escenario'!$C$11,1,1+$C$6))</f>
        <v>0</v>
      </c>
      <c r="DK508" s="237" t="n">
        <f aca="false">IF(DK506=0,0,IF(DK506&lt;=12*'🎚️ Escenario'!$C$11,1,1+$C$6))</f>
        <v>0</v>
      </c>
      <c r="DL508" s="237" t="n">
        <f aca="false">IF(DL506=0,0,IF(DL506&lt;=12*'🎚️ Escenario'!$C$11,1,1+$C$6))</f>
        <v>0</v>
      </c>
      <c r="DM508" s="237" t="n">
        <f aca="false">IF(DM506=0,0,IF(DM506&lt;=12*'🎚️ Escenario'!$C$11,1,1+$C$6))</f>
        <v>0</v>
      </c>
      <c r="DN508" s="237" t="n">
        <f aca="false">IF(DN506=0,0,IF(DN506&lt;=12*'🎚️ Escenario'!$C$11,1,1+$C$6))</f>
        <v>0</v>
      </c>
      <c r="DO508" s="237" t="n">
        <f aca="false">IF(DO506=0,0,IF(DO506&lt;=12*'🎚️ Escenario'!$C$11,1,1+$C$6))</f>
        <v>0</v>
      </c>
      <c r="DP508" s="237" t="n">
        <f aca="false">IF(DP506=0,0,IF(DP506&lt;=12*'🎚️ Escenario'!$C$11,1,1+$C$6))</f>
        <v>0</v>
      </c>
      <c r="DQ508" s="237" t="n">
        <f aca="false">IF(DQ506=0,0,IF(DQ506&lt;=12*'🎚️ Escenario'!$C$11,1,1+$C$6))</f>
        <v>0</v>
      </c>
      <c r="DR508" s="237" t="n">
        <f aca="false">IF(DR506=0,0,IF(DR506&lt;=12*'🎚️ Escenario'!$C$11,1,1+$C$6))</f>
        <v>0</v>
      </c>
      <c r="DS508" s="237" t="n">
        <f aca="false">IF(DS506=0,0,IF(DS506&lt;=12*'🎚️ Escenario'!$C$11,1,1+$C$6))</f>
        <v>0</v>
      </c>
      <c r="DT508" s="237" t="n">
        <f aca="false">IF(DT506=0,0,IF(DT506&lt;=12*'🎚️ Escenario'!$C$11,1,1+$C$6))</f>
        <v>0</v>
      </c>
      <c r="DU508" s="237" t="n">
        <f aca="false">IF(DU506=0,0,IF(DU506&lt;=12*'🎚️ Escenario'!$C$11,1,1+$C$6))</f>
        <v>0</v>
      </c>
      <c r="DV508" s="237" t="n">
        <f aca="false">IF(DV506=0,0,IF(DV506&lt;=12*'🎚️ Escenario'!$C$11,1,1+$C$6))</f>
        <v>0</v>
      </c>
      <c r="DW508" s="237" t="n">
        <f aca="false">IF(DW506=0,0,IF(DW506&lt;=12*'🎚️ Escenario'!$C$11,1,1+$C$6))</f>
        <v>0</v>
      </c>
      <c r="DX508" s="237" t="n">
        <f aca="false">IF(DX506=0,0,IF(DX506&lt;=12*'🎚️ Escenario'!$C$11,1,1+$C$6))</f>
        <v>0</v>
      </c>
      <c r="DY508" s="237" t="n">
        <f aca="false">IF(DY506=0,0,IF(DY506&lt;=12*'🎚️ Escenario'!$C$11,1,1+$C$6))</f>
        <v>0</v>
      </c>
      <c r="DZ508" s="237" t="n">
        <f aca="false">IF(DZ506=0,0,IF(DZ506&lt;=12*'🎚️ Escenario'!$C$11,1,1+$C$6))</f>
        <v>0</v>
      </c>
      <c r="EA508" s="237" t="n">
        <f aca="false">IF(EA506=0,0,IF(EA506&lt;=12*'🎚️ Escenario'!$C$11,1,1+$C$6))</f>
        <v>0</v>
      </c>
      <c r="EB508" s="237" t="n">
        <f aca="false">IF(EB506=0,0,IF(EB506&lt;=12*'🎚️ Escenario'!$C$11,1,1+$C$6))</f>
        <v>0</v>
      </c>
      <c r="EC508" s="237" t="n">
        <f aca="false">IF(EC506=0,0,IF(EC506&lt;=12*'🎚️ Escenario'!$C$11,1,1+$C$6))</f>
        <v>0</v>
      </c>
      <c r="ED508" s="237" t="n">
        <f aca="false">IF(ED506=0,0,IF(ED506&lt;=12*'🎚️ Escenario'!$C$11,1,1+$C$6))</f>
        <v>0</v>
      </c>
      <c r="EE508" s="237" t="n">
        <f aca="false">IF(EE506=0,0,IF(EE506&lt;=12*'🎚️ Escenario'!$C$11,1,1+$C$6))</f>
        <v>0</v>
      </c>
      <c r="EF508" s="237" t="n">
        <f aca="false">IF(EF506=0,0,IF(EF506&lt;=12*'🎚️ Escenario'!$C$11,1,1+$C$6))</f>
        <v>0</v>
      </c>
      <c r="EG508" s="237" t="n">
        <f aca="false">IF(EG506=0,0,IF(EG506&lt;=12*'🎚️ Escenario'!$C$11,1,1+$C$6))</f>
        <v>0</v>
      </c>
      <c r="EH508" s="237" t="n">
        <f aca="false">IF(EH506=0,0,IF(EH506&lt;=12*'🎚️ Escenario'!$C$11,1,1+$C$6))</f>
        <v>0</v>
      </c>
      <c r="EI508" s="237" t="n">
        <f aca="false">IF(EI506=0,0,IF(EI506&lt;=12*'🎚️ Escenario'!$C$11,1,1+$C$6))</f>
        <v>0</v>
      </c>
      <c r="EJ508" s="237" t="n">
        <f aca="false">IF(EJ506=0,0,IF(EJ506&lt;=12*'🎚️ Escenario'!$C$11,1,1+$C$6))</f>
        <v>0</v>
      </c>
      <c r="EK508" s="237" t="n">
        <f aca="false">IF(EK506=0,0,IF(EK506&lt;=12*'🎚️ Escenario'!$C$11,1,1+$C$6))</f>
        <v>0</v>
      </c>
      <c r="EL508" s="237" t="n">
        <f aca="false">IF(EL506=0,0,IF(EL506&lt;=12*'🎚️ Escenario'!$C$11,1,1+$C$6))</f>
        <v>0</v>
      </c>
      <c r="EM508" s="237" t="n">
        <f aca="false">IF(EM506=0,0,IF(EM506&lt;=12*'🎚️ Escenario'!$C$11,1,1+$C$6))</f>
        <v>0</v>
      </c>
      <c r="EN508" s="237" t="n">
        <f aca="false">IF(EN506=0,0,IF(EN506&lt;=12*'🎚️ Escenario'!$C$11,1,1+$C$6))</f>
        <v>0</v>
      </c>
      <c r="EO508" s="237" t="n">
        <f aca="false">IF(EO506=0,0,IF(EO506&lt;=12*'🎚️ Escenario'!$C$11,1,1+$C$6))</f>
        <v>0</v>
      </c>
      <c r="EP508" s="237" t="n">
        <f aca="false">IF(EP506=0,0,IF(EP506&lt;=12*'🎚️ Escenario'!$C$11,1,1+$C$6))</f>
        <v>1</v>
      </c>
      <c r="EQ508" s="237" t="n">
        <f aca="false">IF(EQ506=0,0,IF(EQ506&lt;=12*'🎚️ Escenario'!$C$11,1,1+$C$6))</f>
        <v>1</v>
      </c>
      <c r="ER508" s="237" t="n">
        <f aca="false">IF(ER506=0,0,IF(ER506&lt;=12*'🎚️ Escenario'!$C$11,1,1+$C$6))</f>
        <v>1</v>
      </c>
      <c r="ES508" s="9" t="n">
        <f aca="false">IF(ES506=0,0,IF(ES506&lt;=12*'🎚️ Escenario'!$C$11,1,1+$C$6))</f>
        <v>1</v>
      </c>
      <c r="ET508" s="9" t="n">
        <f aca="false">IF(ET506=0,0,IF(ET506&lt;=12*'🎚️ Escenario'!$C$11,1,1+$C$6))</f>
        <v>1</v>
      </c>
      <c r="EU508" s="9" t="n">
        <f aca="false">IF(EU506=0,0,IF(EU506&lt;=12*'🎚️ Escenario'!$C$11,1,1+$C$6))</f>
        <v>1</v>
      </c>
      <c r="EV508" s="9" t="n">
        <f aca="false">IF(EV506=0,0,IF(EV506&lt;=12*'🎚️ Escenario'!$C$11,1,1+$C$6))</f>
        <v>1</v>
      </c>
      <c r="EW508" s="9" t="n">
        <f aca="false">IF(EW506=0,0,IF(EW506&lt;=12*'🎚️ Escenario'!$C$11,1,1+$C$6))</f>
        <v>1</v>
      </c>
      <c r="EX508" s="9" t="n">
        <f aca="false">IF(EX506=0,0,IF(EX506&lt;=12*'🎚️ Escenario'!$C$11,1,1+$C$6))</f>
        <v>1</v>
      </c>
      <c r="EY508" s="9" t="n">
        <f aca="false">IF(EY506=0,0,IF(EY506&lt;=12*'🎚️ Escenario'!$C$11,1,1+$C$6))</f>
        <v>1</v>
      </c>
      <c r="EZ508" s="9" t="n">
        <f aca="false">IF(EZ506=0,0,IF(EZ506&lt;=12*'🎚️ Escenario'!$C$11,1,1+$C$6))</f>
        <v>1</v>
      </c>
      <c r="FA508" s="9" t="n">
        <f aca="false">IF(FA506=0,0,IF(FA506&lt;=12*'🎚️ Escenario'!$C$11,1,1+$C$6))</f>
        <v>1</v>
      </c>
      <c r="FB508" s="9" t="n">
        <f aca="false">IF(FB506=0,0,IF(FB506&lt;=12*'🎚️ Escenario'!$C$11,1,1+$C$6))</f>
        <v>1</v>
      </c>
      <c r="FC508" s="9" t="n">
        <f aca="false">IF(FC506=0,0,IF(FC506&lt;=12*'🎚️ Escenario'!$C$11,1,1+$C$6))</f>
        <v>1</v>
      </c>
      <c r="FD508" s="9" t="n">
        <f aca="false">IF(FD506=0,0,IF(FD506&lt;=12*'🎚️ Escenario'!$C$11,1,1+$C$6))</f>
        <v>1</v>
      </c>
      <c r="FE508" s="238" t="n">
        <f aca="false">IF(FE506=0,0,IF(FE506&lt;=12*'🎚️ Escenario'!$C$11,1,1+$C$6))</f>
        <v>1.2</v>
      </c>
      <c r="FF508" s="238" t="n">
        <f aca="false">IF(FF506=0,0,IF(FF506&lt;=12*'🎚️ Escenario'!$C$11,1,1+$C$6))</f>
        <v>1.2</v>
      </c>
      <c r="FG508" s="238" t="n">
        <f aca="false">IF(FG506=0,0,IF(FG506&lt;=12*'🎚️ Escenario'!$C$11,1,1+$C$6))</f>
        <v>1.2</v>
      </c>
      <c r="FH508" s="238" t="n">
        <f aca="false">IF(FH506=0,0,IF(FH506&lt;=12*'🎚️ Escenario'!$C$11,1,1+$C$6))</f>
        <v>1.2</v>
      </c>
      <c r="FI508" s="238" t="n">
        <f aca="false">IF(FI506=0,0,IF(FI506&lt;=12*'🎚️ Escenario'!$C$11,1,1+$C$6))</f>
        <v>1.2</v>
      </c>
      <c r="FJ508" s="238" t="n">
        <f aca="false">IF(FJ506=0,0,IF(FJ506&lt;=12*'🎚️ Escenario'!$C$11,1,1+$C$6))</f>
        <v>1.2</v>
      </c>
      <c r="FK508" s="238" t="n">
        <f aca="false">IF(FK506=0,0,IF(FK506&lt;=12*'🎚️ Escenario'!$C$11,1,1+$C$6))</f>
        <v>1.2</v>
      </c>
      <c r="FL508" s="238" t="n">
        <f aca="false">IF(FL506=0,0,IF(FL506&lt;=12*'🎚️ Escenario'!$C$11,1,1+$C$6))</f>
        <v>1.2</v>
      </c>
      <c r="FM508" s="238" t="n">
        <f aca="false">IF(FM506=0,0,IF(FM506&lt;=12*'🎚️ Escenario'!$C$11,1,1+$C$6))</f>
        <v>1.2</v>
      </c>
      <c r="FN508" s="238" t="n">
        <f aca="false">IF(FN506=0,0,IF(FN506&lt;=12*'🎚️ Escenario'!$C$11,1,1+$C$6))</f>
        <v>1.2</v>
      </c>
      <c r="FO508" s="238" t="n">
        <f aca="false">IF(FO506=0,0,IF(FO506&lt;=12*'🎚️ Escenario'!$C$11,1,1+$C$6))</f>
        <v>1.2</v>
      </c>
      <c r="FP508" s="238" t="n">
        <f aca="false">IF(FP506=0,0,IF(FP506&lt;=12*'🎚️ Escenario'!$C$11,1,1+$C$6))</f>
        <v>1.2</v>
      </c>
    </row>
    <row r="509" customFormat="false" ht="15" hidden="false" customHeight="false" outlineLevel="2" collapsed="false">
      <c r="B509" s="47" t="s">
        <v>876</v>
      </c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237" t="n">
        <f aca="false">AC507*$AC$505*AC508*AC$38*'⑫ Roll-out Plan'!$O$55</f>
        <v>0</v>
      </c>
      <c r="AD509" s="237" t="n">
        <f aca="false">AD507*$AC$505*AD508*AD$38*'⑫ Roll-out Plan'!$O$55</f>
        <v>0</v>
      </c>
      <c r="AE509" s="237" t="n">
        <f aca="false">AE507*$AC$505*AE508*AE$38*'⑫ Roll-out Plan'!$O$55</f>
        <v>0</v>
      </c>
      <c r="AF509" s="237" t="n">
        <f aca="false">AF507*$AC$505*AF508*AF$38*'⑫ Roll-out Plan'!$O$55</f>
        <v>0</v>
      </c>
      <c r="AG509" s="237" t="n">
        <f aca="false">AG507*$AC$505*AG508*AG$38*'⑫ Roll-out Plan'!$O$55</f>
        <v>0</v>
      </c>
      <c r="AH509" s="237" t="n">
        <f aca="false">AH507*$AC$505*AH508*AH$38*'⑫ Roll-out Plan'!$O$55</f>
        <v>0</v>
      </c>
      <c r="AI509" s="237" t="n">
        <f aca="false">AI507*$AC$505*AI508*AI$38*'⑫ Roll-out Plan'!$O$55</f>
        <v>0</v>
      </c>
      <c r="AJ509" s="237" t="n">
        <f aca="false">AJ507*$AC$505*AJ508*AJ$38*'⑫ Roll-out Plan'!$O$55</f>
        <v>0</v>
      </c>
      <c r="AK509" s="237" t="n">
        <f aca="false">AK507*$AC$505*AK508*AK$38*'⑫ Roll-out Plan'!$O$55</f>
        <v>0</v>
      </c>
      <c r="AL509" s="237" t="n">
        <f aca="false">AL507*$AC$505*AL508*AL$38*'⑫ Roll-out Plan'!$O$55</f>
        <v>0</v>
      </c>
      <c r="AM509" s="237" t="n">
        <f aca="false">AM507*$AC$505*AM508*AM$38*'⑫ Roll-out Plan'!$O$55</f>
        <v>0</v>
      </c>
      <c r="AN509" s="237" t="n">
        <f aca="false">AN507*$AC$505*AN508*AN$38*'⑫ Roll-out Plan'!$O$55</f>
        <v>0</v>
      </c>
      <c r="AO509" s="237" t="n">
        <f aca="false">AO507*$AC$505*AO508*AO$38*'⑫ Roll-out Plan'!$O$55</f>
        <v>0</v>
      </c>
      <c r="AP509" s="237" t="n">
        <f aca="false">AP507*$AC$505*AP508*AP$38*'⑫ Roll-out Plan'!$O$55</f>
        <v>0</v>
      </c>
      <c r="AQ509" s="237" t="n">
        <f aca="false">AQ507*$AC$505*AQ508*AQ$38*'⑫ Roll-out Plan'!$O$55</f>
        <v>0</v>
      </c>
      <c r="AR509" s="237" t="n">
        <f aca="false">AR507*$AC$505*AR508*AR$38*'⑫ Roll-out Plan'!$O$55</f>
        <v>0</v>
      </c>
      <c r="AS509" s="237" t="n">
        <f aca="false">AS507*$AC$505*AS508*AS$38*'⑫ Roll-out Plan'!$O$55</f>
        <v>0</v>
      </c>
      <c r="AT509" s="237" t="n">
        <f aca="false">AT507*$AC$505*AT508*AT$38*'⑫ Roll-out Plan'!$O$55</f>
        <v>0</v>
      </c>
      <c r="AU509" s="237" t="n">
        <f aca="false">AU507*$AC$505*AU508*AU$38*'⑫ Roll-out Plan'!$O$55</f>
        <v>0</v>
      </c>
      <c r="AV509" s="237" t="n">
        <f aca="false">AV507*$AC$505*AV508*AV$38*'⑫ Roll-out Plan'!$O$55</f>
        <v>0</v>
      </c>
      <c r="AW509" s="237" t="n">
        <f aca="false">AW507*$AC$505*AW508*AW$38*'⑫ Roll-out Plan'!$O$55</f>
        <v>0</v>
      </c>
      <c r="AX509" s="237" t="n">
        <f aca="false">AX507*$AC$505*AX508*AX$38*'⑫ Roll-out Plan'!$O$55</f>
        <v>0</v>
      </c>
      <c r="AY509" s="237" t="n">
        <f aca="false">AY507*$AC$505*AY508*AY$38*'⑫ Roll-out Plan'!$O$55</f>
        <v>0</v>
      </c>
      <c r="AZ509" s="237" t="n">
        <f aca="false">AZ507*$AC$505*AZ508*AZ$38*'⑫ Roll-out Plan'!$O$55</f>
        <v>0</v>
      </c>
      <c r="BA509" s="237" t="n">
        <f aca="false">BA507*$AC$505*BA508*BA$38*'⑫ Roll-out Plan'!$O$55</f>
        <v>0</v>
      </c>
      <c r="BB509" s="237" t="n">
        <f aca="false">BB507*$AC$505*BB508*BB$38*'⑫ Roll-out Plan'!$O$55</f>
        <v>0</v>
      </c>
      <c r="BC509" s="237" t="n">
        <f aca="false">BC507*$AC$505*BC508*BC$38*'⑫ Roll-out Plan'!$O$55</f>
        <v>0</v>
      </c>
      <c r="BD509" s="237" t="n">
        <f aca="false">BD507*$AC$505*BD508*BD$38*'⑫ Roll-out Plan'!$O$55</f>
        <v>0</v>
      </c>
      <c r="BE509" s="237" t="n">
        <f aca="false">BE507*$AC$505*BE508*BE$38*'⑫ Roll-out Plan'!$O$55</f>
        <v>0</v>
      </c>
      <c r="BF509" s="237" t="n">
        <f aca="false">BF507*$AC$505*BF508*BF$38*'⑫ Roll-out Plan'!$O$55</f>
        <v>0</v>
      </c>
      <c r="BG509" s="237" t="n">
        <f aca="false">BG507*$AC$505*BG508*BG$38*'⑫ Roll-out Plan'!$O$55</f>
        <v>0</v>
      </c>
      <c r="BH509" s="237" t="n">
        <f aca="false">BH507*$AC$505*BH508*BH$38*'⑫ Roll-out Plan'!$O$55</f>
        <v>0</v>
      </c>
      <c r="BI509" s="237" t="n">
        <f aca="false">BI507*$AC$505*BI508*BI$38*'⑫ Roll-out Plan'!$O$55</f>
        <v>0</v>
      </c>
      <c r="BJ509" s="237" t="n">
        <f aca="false">BJ507*$AC$505*BJ508*BJ$38*'⑫ Roll-out Plan'!$O$55</f>
        <v>0</v>
      </c>
      <c r="BK509" s="237" t="n">
        <f aca="false">BK507*$AC$505*BK508*BK$38*'⑫ Roll-out Plan'!$O$55</f>
        <v>0</v>
      </c>
      <c r="BL509" s="237" t="n">
        <f aca="false">BL507*$AC$505*BL508*BL$38*'⑫ Roll-out Plan'!$O$55</f>
        <v>0</v>
      </c>
      <c r="BM509" s="237" t="n">
        <f aca="false">BM507*$AC$505*BM508*BM$38*'⑫ Roll-out Plan'!$O$55</f>
        <v>0</v>
      </c>
      <c r="BN509" s="237" t="n">
        <f aca="false">BN507*$AC$505*BN508*BN$38*'⑫ Roll-out Plan'!$O$55</f>
        <v>0</v>
      </c>
      <c r="BO509" s="237" t="n">
        <f aca="false">BO507*$AC$505*BO508*BO$38*'⑫ Roll-out Plan'!$O$55</f>
        <v>0</v>
      </c>
      <c r="BP509" s="237" t="n">
        <f aca="false">BP507*$AC$505*BP508*BP$38*'⑫ Roll-out Plan'!$O$55</f>
        <v>0</v>
      </c>
      <c r="BQ509" s="237" t="n">
        <f aca="false">BQ507*$AC$505*BQ508*BQ$38*'⑫ Roll-out Plan'!$O$55</f>
        <v>0</v>
      </c>
      <c r="BR509" s="237" t="n">
        <f aca="false">BR507*$AC$505*BR508*BR$38*'⑫ Roll-out Plan'!$O$55</f>
        <v>0</v>
      </c>
      <c r="BS509" s="237" t="n">
        <f aca="false">BS507*$AC$505*BS508*BS$38*'⑫ Roll-out Plan'!$O$55</f>
        <v>0</v>
      </c>
      <c r="BT509" s="237" t="n">
        <f aca="false">BT507*$AC$505*BT508*BT$38*'⑫ Roll-out Plan'!$O$55</f>
        <v>0</v>
      </c>
      <c r="BU509" s="237" t="n">
        <f aca="false">BU507*$AC$505*BU508*BU$38*'⑫ Roll-out Plan'!$O$55</f>
        <v>0</v>
      </c>
      <c r="BV509" s="237" t="n">
        <f aca="false">BV507*$AC$505*BV508*BV$38*'⑫ Roll-out Plan'!$O$55</f>
        <v>0</v>
      </c>
      <c r="BW509" s="237" t="n">
        <f aca="false">BW507*$AC$505*BW508*BW$38*'⑫ Roll-out Plan'!$O$55</f>
        <v>0</v>
      </c>
      <c r="BX509" s="237" t="n">
        <f aca="false">BX507*$AC$505*BX508*BX$38*'⑫ Roll-out Plan'!$O$55</f>
        <v>0</v>
      </c>
      <c r="BY509" s="237" t="n">
        <f aca="false">BY507*$AC$505*BY508*BY$38*'⑫ Roll-out Plan'!$O$55</f>
        <v>0</v>
      </c>
      <c r="BZ509" s="237" t="n">
        <f aca="false">BZ507*$AC$505*BZ508*BZ$38*'⑫ Roll-out Plan'!$O$55</f>
        <v>0</v>
      </c>
      <c r="CA509" s="237" t="n">
        <f aca="false">CA507*$AC$505*CA508*CA$38*'⑫ Roll-out Plan'!$O$55</f>
        <v>0</v>
      </c>
      <c r="CB509" s="237" t="n">
        <f aca="false">CB507*$AC$505*CB508*CB$38*'⑫ Roll-out Plan'!$O$55</f>
        <v>0</v>
      </c>
      <c r="CC509" s="237" t="n">
        <f aca="false">CC507*$AC$505*CC508*CC$38*'⑫ Roll-out Plan'!$O$55</f>
        <v>0</v>
      </c>
      <c r="CD509" s="237" t="n">
        <f aca="false">CD507*$AC$505*CD508*CD$38*'⑫ Roll-out Plan'!$O$55</f>
        <v>0</v>
      </c>
      <c r="CE509" s="237" t="n">
        <f aca="false">CE507*$AC$505*CE508*CE$38*'⑫ Roll-out Plan'!$O$55</f>
        <v>0</v>
      </c>
      <c r="CF509" s="237" t="n">
        <f aca="false">CF507*$AC$505*CF508*CF$38*'⑫ Roll-out Plan'!$O$55</f>
        <v>0</v>
      </c>
      <c r="CG509" s="237" t="n">
        <f aca="false">CG507*$AC$505*CG508*CG$38*'⑫ Roll-out Plan'!$O$55</f>
        <v>0</v>
      </c>
      <c r="CH509" s="237" t="n">
        <f aca="false">CH507*$AC$505*CH508*CH$38*'⑫ Roll-out Plan'!$O$55</f>
        <v>0</v>
      </c>
      <c r="CI509" s="237" t="n">
        <f aca="false">CI507*$AC$505*CI508*CI$38*'⑫ Roll-out Plan'!$O$55</f>
        <v>0</v>
      </c>
      <c r="CJ509" s="237" t="n">
        <f aca="false">CJ507*$AC$505*CJ508*CJ$38*'⑫ Roll-out Plan'!$O$55</f>
        <v>0</v>
      </c>
      <c r="CK509" s="237" t="n">
        <f aca="false">CK507*$AC$505*CK508*CK$38*'⑫ Roll-out Plan'!$O$55</f>
        <v>0</v>
      </c>
      <c r="CL509" s="237" t="n">
        <f aca="false">CL507*$AC$505*CL508*CL$38*'⑫ Roll-out Plan'!$O$55</f>
        <v>0</v>
      </c>
      <c r="CM509" s="237" t="n">
        <f aca="false">CM507*$AC$505*CM508*CM$38*'⑫ Roll-out Plan'!$O$55</f>
        <v>0</v>
      </c>
      <c r="CN509" s="237" t="n">
        <f aca="false">CN507*$AC$505*CN508*CN$38*'⑫ Roll-out Plan'!$O$55</f>
        <v>0</v>
      </c>
      <c r="CO509" s="237" t="n">
        <f aca="false">CO507*$AC$505*CO508*CO$38*'⑫ Roll-out Plan'!$O$55</f>
        <v>0</v>
      </c>
      <c r="CP509" s="237" t="n">
        <f aca="false">CP507*$AC$505*CP508*CP$38*'⑫ Roll-out Plan'!$O$55</f>
        <v>0</v>
      </c>
      <c r="CQ509" s="237" t="n">
        <f aca="false">CQ507*$AC$505*CQ508*CQ$38*'⑫ Roll-out Plan'!$O$55</f>
        <v>0</v>
      </c>
      <c r="CR509" s="237" t="n">
        <f aca="false">CR507*$AC$505*CR508*CR$38*'⑫ Roll-out Plan'!$O$55</f>
        <v>0</v>
      </c>
      <c r="CS509" s="237" t="n">
        <f aca="false">CS507*$AC$505*CS508*CS$38*'⑫ Roll-out Plan'!$O$55</f>
        <v>0</v>
      </c>
      <c r="CT509" s="237" t="n">
        <f aca="false">CT507*$AC$505*CT508*CT$38*'⑫ Roll-out Plan'!$O$55</f>
        <v>0</v>
      </c>
      <c r="CU509" s="237" t="n">
        <f aca="false">CU507*$AC$505*CU508*CU$38*'⑫ Roll-out Plan'!$O$55</f>
        <v>0</v>
      </c>
      <c r="CV509" s="237" t="n">
        <f aca="false">CV507*$AC$505*CV508*CV$38*'⑫ Roll-out Plan'!$O$55</f>
        <v>0</v>
      </c>
      <c r="CW509" s="237" t="n">
        <f aca="false">CW507*$AC$505*CW508*CW$38*'⑫ Roll-out Plan'!$O$55</f>
        <v>0</v>
      </c>
      <c r="CX509" s="237" t="n">
        <f aca="false">CX507*$AC$505*CX508*CX$38*'⑫ Roll-out Plan'!$O$55</f>
        <v>0</v>
      </c>
      <c r="CY509" s="237" t="n">
        <f aca="false">CY507*$AC$505*CY508*CY$38*'⑫ Roll-out Plan'!$O$55</f>
        <v>0</v>
      </c>
      <c r="CZ509" s="237" t="n">
        <f aca="false">CZ507*$AC$505*CZ508*CZ$38*'⑫ Roll-out Plan'!$O$55</f>
        <v>0</v>
      </c>
      <c r="DA509" s="237" t="n">
        <f aca="false">DA507*$AC$505*DA508*DA$38*'⑫ Roll-out Plan'!$O$55</f>
        <v>0</v>
      </c>
      <c r="DB509" s="237" t="n">
        <f aca="false">DB507*$AC$505*DB508*DB$38*'⑫ Roll-out Plan'!$O$55</f>
        <v>0</v>
      </c>
      <c r="DC509" s="237" t="n">
        <f aca="false">DC507*$AC$505*DC508*DC$38*'⑫ Roll-out Plan'!$O$55</f>
        <v>0</v>
      </c>
      <c r="DD509" s="237" t="n">
        <f aca="false">DD507*$AC$505*DD508*DD$38*'⑫ Roll-out Plan'!$O$55</f>
        <v>0</v>
      </c>
      <c r="DE509" s="237" t="n">
        <f aca="false">DE507*$AC$505*DE508*DE$38*'⑫ Roll-out Plan'!$O$55</f>
        <v>0</v>
      </c>
      <c r="DF509" s="237" t="n">
        <f aca="false">DF507*$AC$505*DF508*DF$38*'⑫ Roll-out Plan'!$O$55</f>
        <v>0</v>
      </c>
      <c r="DG509" s="237" t="n">
        <f aca="false">DG507*$AC$505*DG508*DG$38*'⑫ Roll-out Plan'!$O$55</f>
        <v>0</v>
      </c>
      <c r="DH509" s="237" t="n">
        <f aca="false">DH507*$AC$505*DH508*DH$38*'⑫ Roll-out Plan'!$O$55</f>
        <v>0</v>
      </c>
      <c r="DI509" s="237" t="n">
        <f aca="false">DI507*$AC$505*DI508*DI$38*'⑫ Roll-out Plan'!$O$55</f>
        <v>0</v>
      </c>
      <c r="DJ509" s="237" t="n">
        <f aca="false">DJ507*$AC$505*DJ508*DJ$38*'⑫ Roll-out Plan'!$O$55</f>
        <v>0</v>
      </c>
      <c r="DK509" s="237" t="n">
        <f aca="false">DK507*$AC$505*DK508*DK$38*'⑫ Roll-out Plan'!$O$55</f>
        <v>0</v>
      </c>
      <c r="DL509" s="237" t="n">
        <f aca="false">DL507*$AC$505*DL508*DL$38*'⑫ Roll-out Plan'!$O$55</f>
        <v>0</v>
      </c>
      <c r="DM509" s="237" t="n">
        <f aca="false">DM507*$AC$505*DM508*DM$38*'⑫ Roll-out Plan'!$O$55</f>
        <v>0</v>
      </c>
      <c r="DN509" s="237" t="n">
        <f aca="false">DN507*$AC$505*DN508*DN$38*'⑫ Roll-out Plan'!$O$55</f>
        <v>0</v>
      </c>
      <c r="DO509" s="237" t="n">
        <f aca="false">DO507*$AC$505*DO508*DO$38*'⑫ Roll-out Plan'!$O$55</f>
        <v>0</v>
      </c>
      <c r="DP509" s="237" t="n">
        <f aca="false">DP507*$AC$505*DP508*DP$38*'⑫ Roll-out Plan'!$O$55</f>
        <v>0</v>
      </c>
      <c r="DQ509" s="237" t="n">
        <f aca="false">DQ507*$AC$505*DQ508*DQ$38*'⑫ Roll-out Plan'!$O$55</f>
        <v>0</v>
      </c>
      <c r="DR509" s="237" t="n">
        <f aca="false">DR507*$AC$505*DR508*DR$38*'⑫ Roll-out Plan'!$O$55</f>
        <v>0</v>
      </c>
      <c r="DS509" s="237" t="n">
        <f aca="false">DS507*$AC$505*DS508*DS$38*'⑫ Roll-out Plan'!$O$55</f>
        <v>0</v>
      </c>
      <c r="DT509" s="237" t="n">
        <f aca="false">DT507*$AC$505*DT508*DT$38*'⑫ Roll-out Plan'!$O$55</f>
        <v>0</v>
      </c>
      <c r="DU509" s="237" t="n">
        <f aca="false">DU507*$AC$505*DU508*DU$38*'⑫ Roll-out Plan'!$O$55</f>
        <v>0</v>
      </c>
      <c r="DV509" s="237" t="n">
        <f aca="false">DV507*$AC$505*DV508*DV$38*'⑫ Roll-out Plan'!$O$55</f>
        <v>0</v>
      </c>
      <c r="DW509" s="237" t="n">
        <f aca="false">DW507*$AC$505*DW508*DW$38*'⑫ Roll-out Plan'!$O$55</f>
        <v>0</v>
      </c>
      <c r="DX509" s="237" t="n">
        <f aca="false">DX507*$AC$505*DX508*DX$38*'⑫ Roll-out Plan'!$O$55</f>
        <v>0</v>
      </c>
      <c r="DY509" s="237" t="n">
        <f aca="false">DY507*$AC$505*DY508*DY$38*'⑫ Roll-out Plan'!$O$55</f>
        <v>0</v>
      </c>
      <c r="DZ509" s="237" t="n">
        <f aca="false">DZ507*$AC$505*DZ508*DZ$38*'⑫ Roll-out Plan'!$O$55</f>
        <v>0</v>
      </c>
      <c r="EA509" s="237" t="n">
        <f aca="false">EA507*$AC$505*EA508*EA$38*'⑫ Roll-out Plan'!$O$55</f>
        <v>0</v>
      </c>
      <c r="EB509" s="237" t="n">
        <f aca="false">EB507*$AC$505*EB508*EB$38*'⑫ Roll-out Plan'!$O$55</f>
        <v>0</v>
      </c>
      <c r="EC509" s="237" t="n">
        <f aca="false">EC507*$AC$505*EC508*EC$38*'⑫ Roll-out Plan'!$O$55</f>
        <v>0</v>
      </c>
      <c r="ED509" s="237" t="n">
        <f aca="false">ED507*$AC$505*ED508*ED$38*'⑫ Roll-out Plan'!$O$55</f>
        <v>0</v>
      </c>
      <c r="EE509" s="237" t="n">
        <f aca="false">EE507*$AC$505*EE508*EE$38*'⑫ Roll-out Plan'!$O$55</f>
        <v>0</v>
      </c>
      <c r="EF509" s="237" t="n">
        <f aca="false">EF507*$AC$505*EF508*EF$38*'⑫ Roll-out Plan'!$O$55</f>
        <v>0</v>
      </c>
      <c r="EG509" s="237" t="n">
        <f aca="false">EG507*$AC$505*EG508*EG$38*'⑫ Roll-out Plan'!$O$55</f>
        <v>0</v>
      </c>
      <c r="EH509" s="237" t="n">
        <f aca="false">EH507*$AC$505*EH508*EH$38*'⑫ Roll-out Plan'!$O$55</f>
        <v>0</v>
      </c>
      <c r="EI509" s="237" t="n">
        <f aca="false">EI507*$AC$505*EI508*EI$38*'⑫ Roll-out Plan'!$O$55</f>
        <v>0</v>
      </c>
      <c r="EJ509" s="237" t="n">
        <f aca="false">EJ507*$AC$505*EJ508*EJ$38*'⑫ Roll-out Plan'!$O$55</f>
        <v>0</v>
      </c>
      <c r="EK509" s="237" t="n">
        <f aca="false">EK507*$AC$505*EK508*EK$38*'⑫ Roll-out Plan'!$O$55</f>
        <v>0</v>
      </c>
      <c r="EL509" s="237" t="n">
        <f aca="false">EL507*$AC$505*EL508*EL$38*'⑫ Roll-out Plan'!$O$55</f>
        <v>0</v>
      </c>
      <c r="EM509" s="237" t="n">
        <f aca="false">EM507*$AC$505*EM508*EM$38*'⑫ Roll-out Plan'!$O$55</f>
        <v>0</v>
      </c>
      <c r="EN509" s="237" t="n">
        <f aca="false">EN507*$AC$505*EN508*EN$38*'⑫ Roll-out Plan'!$O$55</f>
        <v>0</v>
      </c>
      <c r="EO509" s="237" t="n">
        <f aca="false">EO507*$AC$505*EO508*EO$38*'⑫ Roll-out Plan'!$O$55</f>
        <v>0</v>
      </c>
      <c r="EP509" s="237" t="n">
        <f aca="false">EP507*$AC$505*EP508*EP$38*'⑫ Roll-out Plan'!$O$55</f>
        <v>40.32</v>
      </c>
      <c r="EQ509" s="237" t="n">
        <f aca="false">EQ507*$AC$505*EQ508*EQ$38*'⑫ Roll-out Plan'!$O$55</f>
        <v>33.264</v>
      </c>
      <c r="ER509" s="237" t="n">
        <f aca="false">ER507*$AC$505*ER508*ER$38*'⑫ Roll-out Plan'!$O$55</f>
        <v>51.408</v>
      </c>
      <c r="ES509" s="9" t="n">
        <f aca="false">ES507*$AC$505*ES508*ES$38*'⑫ Roll-out Plan'!$O$55</f>
        <v>61.236</v>
      </c>
      <c r="ET509" s="9" t="n">
        <f aca="false">ET507*$AC$505*ET508*ET$38*'⑫ Roll-out Plan'!$O$55</f>
        <v>46.494</v>
      </c>
      <c r="EU509" s="9" t="n">
        <f aca="false">EU507*$AC$505*EU508*EU$38*'⑫ Roll-out Plan'!$O$55</f>
        <v>75.516</v>
      </c>
      <c r="EV509" s="9" t="n">
        <f aca="false">EV507*$AC$505*EV508*EV$38*'⑫ Roll-out Plan'!$O$55</f>
        <v>80.85</v>
      </c>
      <c r="EW509" s="9" t="n">
        <f aca="false">EW507*$AC$505*EW508*EW$38*'⑫ Roll-out Plan'!$O$55</f>
        <v>75.348</v>
      </c>
      <c r="EX509" s="9" t="n">
        <f aca="false">EX507*$AC$505*EX508*EX$38*'⑫ Roll-out Plan'!$O$55</f>
        <v>73.92</v>
      </c>
      <c r="EY509" s="9" t="n">
        <f aca="false">EY507*$AC$505*EY508*EY$38*'⑫ Roll-out Plan'!$O$55</f>
        <v>77.616</v>
      </c>
      <c r="EZ509" s="9" t="n">
        <f aca="false">EZ507*$AC$505*EZ508*EZ$38*'⑫ Roll-out Plan'!$O$55</f>
        <v>143.136</v>
      </c>
      <c r="FA509" s="9" t="n">
        <f aca="false">FA507*$AC$505*FA508*FA$38*'⑫ Roll-out Plan'!$O$55</f>
        <v>126.672</v>
      </c>
      <c r="FB509" s="9" t="n">
        <f aca="false">FB507*$AC$505*FB508*FB$38*'⑫ Roll-out Plan'!$O$55</f>
        <v>112.896</v>
      </c>
      <c r="FC509" s="9" t="n">
        <f aca="false">FC507*$AC$505*FC508*FC$38*'⑫ Roll-out Plan'!$O$55</f>
        <v>90.72</v>
      </c>
      <c r="FD509" s="9" t="n">
        <f aca="false">FD507*$AC$505*FD508*FD$38*'⑫ Roll-out Plan'!$O$55</f>
        <v>128.52</v>
      </c>
      <c r="FE509" s="9" t="n">
        <f aca="false">FE507*$AC$505*FE508*FE$38*'⑫ Roll-out Plan'!$O$55</f>
        <v>171.4608</v>
      </c>
      <c r="FF509" s="9" t="n">
        <f aca="false">FF507*$AC$505*FF508*FF$38*'⑫ Roll-out Plan'!$O$55</f>
        <v>136.3824</v>
      </c>
      <c r="FG509" s="9" t="n">
        <f aca="false">FG507*$AC$505*FG508*FG$38*'⑫ Roll-out Plan'!$O$55</f>
        <v>201.7008</v>
      </c>
      <c r="FH509" s="9" t="n">
        <f aca="false">FH507*$AC$505*FH508*FH$38*'⑫ Roll-out Plan'!$O$55</f>
        <v>196.812</v>
      </c>
      <c r="FI509" s="9" t="n">
        <f aca="false">FI507*$AC$505*FI508*FI$38*'⑫ Roll-out Plan'!$O$55</f>
        <v>164.6064</v>
      </c>
      <c r="FJ509" s="9" t="n">
        <f aca="false">FJ507*$AC$505*FJ508*FJ$38*'⑫ Roll-out Plan'!$O$55</f>
        <v>147.168</v>
      </c>
      <c r="FK509" s="9" t="n">
        <f aca="false">FK507*$AC$505*FK508*FK$38*'⑫ Roll-out Plan'!$O$55</f>
        <v>158.76</v>
      </c>
      <c r="FL509" s="9" t="n">
        <f aca="false">FL507*$AC$505*FL508*FL$38*'⑫ Roll-out Plan'!$O$55</f>
        <v>275.5368</v>
      </c>
      <c r="FM509" s="9" t="n">
        <f aca="false">FM507*$AC$505*FM508*FM$38*'⑫ Roll-out Plan'!$O$55</f>
        <v>230.9328</v>
      </c>
      <c r="FN509" s="9" t="n">
        <f aca="false">FN507*$AC$505*FN508*FN$38*'⑫ Roll-out Plan'!$O$55</f>
        <v>191.1168</v>
      </c>
      <c r="FO509" s="9" t="n">
        <f aca="false">FO507*$AC$505*FO508*FO$38*'⑫ Roll-out Plan'!$O$55</f>
        <v>145.152</v>
      </c>
      <c r="FP509" s="9" t="n">
        <f aca="false">FP507*$AC$505*FP508*FP$38*'⑫ Roll-out Plan'!$O$55</f>
        <v>210.7728</v>
      </c>
    </row>
    <row r="510" customFormat="false" ht="15" hidden="false" customHeight="false" outlineLevel="2" collapsed="false">
      <c r="B510" s="47" t="s">
        <v>877</v>
      </c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237" t="n">
        <f aca="true">IFERROR(SUMPRODUCT(OFFSET($BJ$31,0,1-MIN(60,COLUMN()-29),1,MIN(60,COLUMN()-29)),OFFSET(AC509,0,-MIN(60,COLUMN()-29),1,MIN(60,COLUMN()-29))),0)</f>
        <v>0</v>
      </c>
      <c r="AD510" s="237" t="n">
        <f aca="true">IFERROR(SUMPRODUCT(OFFSET($BJ$31,0,1-MIN(60,COLUMN()-29),1,MIN(60,COLUMN()-29)),OFFSET(AD509,0,-MIN(60,COLUMN()-29),1,MIN(60,COLUMN()-29))),0)</f>
        <v>0</v>
      </c>
      <c r="AE510" s="237" t="n">
        <f aca="true">IFERROR(SUMPRODUCT(OFFSET($BJ$31,0,1-MIN(60,COLUMN()-29),1,MIN(60,COLUMN()-29)),OFFSET(AE509,0,-MIN(60,COLUMN()-29),1,MIN(60,COLUMN()-29))),0)</f>
        <v>0</v>
      </c>
      <c r="AF510" s="237" t="n">
        <f aca="true">IFERROR(SUMPRODUCT(OFFSET($BJ$31,0,1-MIN(60,COLUMN()-29),1,MIN(60,COLUMN()-29)),OFFSET(AF509,0,-MIN(60,COLUMN()-29),1,MIN(60,COLUMN()-29))),0)</f>
        <v>0</v>
      </c>
      <c r="AG510" s="237" t="n">
        <f aca="true">IFERROR(SUMPRODUCT(OFFSET($BJ$31,0,1-MIN(60,COLUMN()-29),1,MIN(60,COLUMN()-29)),OFFSET(AG509,0,-MIN(60,COLUMN()-29),1,MIN(60,COLUMN()-29))),0)</f>
        <v>0</v>
      </c>
      <c r="AH510" s="237" t="n">
        <f aca="true">IFERROR(SUMPRODUCT(OFFSET($BJ$31,0,1-MIN(60,COLUMN()-29),1,MIN(60,COLUMN()-29)),OFFSET(AH509,0,-MIN(60,COLUMN()-29),1,MIN(60,COLUMN()-29))),0)</f>
        <v>0</v>
      </c>
      <c r="AI510" s="237" t="n">
        <f aca="true">IFERROR(SUMPRODUCT(OFFSET($BJ$31,0,1-MIN(60,COLUMN()-29),1,MIN(60,COLUMN()-29)),OFFSET(AI509,0,-MIN(60,COLUMN()-29),1,MIN(60,COLUMN()-29))),0)</f>
        <v>0</v>
      </c>
      <c r="AJ510" s="237" t="n">
        <f aca="true">IFERROR(SUMPRODUCT(OFFSET($BJ$31,0,1-MIN(60,COLUMN()-29),1,MIN(60,COLUMN()-29)),OFFSET(AJ509,0,-MIN(60,COLUMN()-29),1,MIN(60,COLUMN()-29))),0)</f>
        <v>0</v>
      </c>
      <c r="AK510" s="237" t="n">
        <f aca="true">IFERROR(SUMPRODUCT(OFFSET($BJ$31,0,1-MIN(60,COLUMN()-29),1,MIN(60,COLUMN()-29)),OFFSET(AK509,0,-MIN(60,COLUMN()-29),1,MIN(60,COLUMN()-29))),0)</f>
        <v>0</v>
      </c>
      <c r="AL510" s="237" t="n">
        <f aca="true">IFERROR(SUMPRODUCT(OFFSET($BJ$31,0,1-MIN(60,COLUMN()-29),1,MIN(60,COLUMN()-29)),OFFSET(AL509,0,-MIN(60,COLUMN()-29),1,MIN(60,COLUMN()-29))),0)</f>
        <v>0</v>
      </c>
      <c r="AM510" s="237" t="n">
        <f aca="true">IFERROR(SUMPRODUCT(OFFSET($BJ$31,0,1-MIN(60,COLUMN()-29),1,MIN(60,COLUMN()-29)),OFFSET(AM509,0,-MIN(60,COLUMN()-29),1,MIN(60,COLUMN()-29))),0)</f>
        <v>0</v>
      </c>
      <c r="AN510" s="237" t="n">
        <f aca="true">IFERROR(SUMPRODUCT(OFFSET($BJ$31,0,1-MIN(60,COLUMN()-29),1,MIN(60,COLUMN()-29)),OFFSET(AN509,0,-MIN(60,COLUMN()-29),1,MIN(60,COLUMN()-29))),0)</f>
        <v>0</v>
      </c>
      <c r="AO510" s="237" t="n">
        <f aca="true">IFERROR(SUMPRODUCT(OFFSET($BJ$31,0,1-MIN(60,COLUMN()-29),1,MIN(60,COLUMN()-29)),OFFSET(AO509,0,-MIN(60,COLUMN()-29),1,MIN(60,COLUMN()-29))),0)</f>
        <v>0</v>
      </c>
      <c r="AP510" s="237" t="n">
        <f aca="true">IFERROR(SUMPRODUCT(OFFSET($BJ$31,0,1-MIN(60,COLUMN()-29),1,MIN(60,COLUMN()-29)),OFFSET(AP509,0,-MIN(60,COLUMN()-29),1,MIN(60,COLUMN()-29))),0)</f>
        <v>0</v>
      </c>
      <c r="AQ510" s="237" t="n">
        <f aca="true">IFERROR(SUMPRODUCT(OFFSET($BJ$31,0,1-MIN(60,COLUMN()-29),1,MIN(60,COLUMN()-29)),OFFSET(AQ509,0,-MIN(60,COLUMN()-29),1,MIN(60,COLUMN()-29))),0)</f>
        <v>0</v>
      </c>
      <c r="AR510" s="237" t="n">
        <f aca="true">IFERROR(SUMPRODUCT(OFFSET($BJ$31,0,1-MIN(60,COLUMN()-29),1,MIN(60,COLUMN()-29)),OFFSET(AR509,0,-MIN(60,COLUMN()-29),1,MIN(60,COLUMN()-29))),0)</f>
        <v>0</v>
      </c>
      <c r="AS510" s="237" t="n">
        <f aca="true">IFERROR(SUMPRODUCT(OFFSET($BJ$31,0,1-MIN(60,COLUMN()-29),1,MIN(60,COLUMN()-29)),OFFSET(AS509,0,-MIN(60,COLUMN()-29),1,MIN(60,COLUMN()-29))),0)</f>
        <v>0</v>
      </c>
      <c r="AT510" s="237" t="n">
        <f aca="true">IFERROR(SUMPRODUCT(OFFSET($BJ$31,0,1-MIN(60,COLUMN()-29),1,MIN(60,COLUMN()-29)),OFFSET(AT509,0,-MIN(60,COLUMN()-29),1,MIN(60,COLUMN()-29))),0)</f>
        <v>0</v>
      </c>
      <c r="AU510" s="237" t="n">
        <f aca="true">IFERROR(SUMPRODUCT(OFFSET($BJ$31,0,1-MIN(60,COLUMN()-29),1,MIN(60,COLUMN()-29)),OFFSET(AU509,0,-MIN(60,COLUMN()-29),1,MIN(60,COLUMN()-29))),0)</f>
        <v>0</v>
      </c>
      <c r="AV510" s="237" t="n">
        <f aca="true">IFERROR(SUMPRODUCT(OFFSET($BJ$31,0,1-MIN(60,COLUMN()-29),1,MIN(60,COLUMN()-29)),OFFSET(AV509,0,-MIN(60,COLUMN()-29),1,MIN(60,COLUMN()-29))),0)</f>
        <v>0</v>
      </c>
      <c r="AW510" s="237" t="n">
        <f aca="true">IFERROR(SUMPRODUCT(OFFSET($BJ$31,0,1-MIN(60,COLUMN()-29),1,MIN(60,COLUMN()-29)),OFFSET(AW509,0,-MIN(60,COLUMN()-29),1,MIN(60,COLUMN()-29))),0)</f>
        <v>0</v>
      </c>
      <c r="AX510" s="237" t="n">
        <f aca="true">IFERROR(SUMPRODUCT(OFFSET($BJ$31,0,1-MIN(60,COLUMN()-29),1,MIN(60,COLUMN()-29)),OFFSET(AX509,0,-MIN(60,COLUMN()-29),1,MIN(60,COLUMN()-29))),0)</f>
        <v>0</v>
      </c>
      <c r="AY510" s="237" t="n">
        <f aca="true">IFERROR(SUMPRODUCT(OFFSET($BJ$31,0,1-MIN(60,COLUMN()-29),1,MIN(60,COLUMN()-29)),OFFSET(AY509,0,-MIN(60,COLUMN()-29),1,MIN(60,COLUMN()-29))),0)</f>
        <v>0</v>
      </c>
      <c r="AZ510" s="237" t="n">
        <f aca="true">IFERROR(SUMPRODUCT(OFFSET($BJ$31,0,1-MIN(60,COLUMN()-29),1,MIN(60,COLUMN()-29)),OFFSET(AZ509,0,-MIN(60,COLUMN()-29),1,MIN(60,COLUMN()-29))),0)</f>
        <v>0</v>
      </c>
      <c r="BA510" s="237" t="n">
        <f aca="true">IFERROR(SUMPRODUCT(OFFSET($BJ$31,0,1-MIN(60,COLUMN()-29),1,MIN(60,COLUMN()-29)),OFFSET(BA509,0,-MIN(60,COLUMN()-29),1,MIN(60,COLUMN()-29))),0)</f>
        <v>0</v>
      </c>
      <c r="BB510" s="237" t="n">
        <f aca="true">IFERROR(SUMPRODUCT(OFFSET($BJ$31,0,1-MIN(60,COLUMN()-29),1,MIN(60,COLUMN()-29)),OFFSET(BB509,0,-MIN(60,COLUMN()-29),1,MIN(60,COLUMN()-29))),0)</f>
        <v>0</v>
      </c>
      <c r="BC510" s="237" t="n">
        <f aca="true">IFERROR(SUMPRODUCT(OFFSET($BJ$31,0,1-MIN(60,COLUMN()-29),1,MIN(60,COLUMN()-29)),OFFSET(BC509,0,-MIN(60,COLUMN()-29),1,MIN(60,COLUMN()-29))),0)</f>
        <v>0</v>
      </c>
      <c r="BD510" s="237" t="n">
        <f aca="true">IFERROR(SUMPRODUCT(OFFSET($BJ$31,0,1-MIN(60,COLUMN()-29),1,MIN(60,COLUMN()-29)),OFFSET(BD509,0,-MIN(60,COLUMN()-29),1,MIN(60,COLUMN()-29))),0)</f>
        <v>0</v>
      </c>
      <c r="BE510" s="237" t="n">
        <f aca="true">IFERROR(SUMPRODUCT(OFFSET($BJ$31,0,1-MIN(60,COLUMN()-29),1,MIN(60,COLUMN()-29)),OFFSET(BE509,0,-MIN(60,COLUMN()-29),1,MIN(60,COLUMN()-29))),0)</f>
        <v>0</v>
      </c>
      <c r="BF510" s="237" t="n">
        <f aca="true">IFERROR(SUMPRODUCT(OFFSET($BJ$31,0,1-MIN(60,COLUMN()-29),1,MIN(60,COLUMN()-29)),OFFSET(BF509,0,-MIN(60,COLUMN()-29),1,MIN(60,COLUMN()-29))),0)</f>
        <v>0</v>
      </c>
      <c r="BG510" s="237" t="n">
        <f aca="true">IFERROR(SUMPRODUCT(OFFSET($BJ$31,0,1-MIN(60,COLUMN()-29),1,MIN(60,COLUMN()-29)),OFFSET(BG509,0,-MIN(60,COLUMN()-29),1,MIN(60,COLUMN()-29))),0)</f>
        <v>0</v>
      </c>
      <c r="BH510" s="237" t="n">
        <f aca="true">IFERROR(SUMPRODUCT(OFFSET($BJ$31,0,1-MIN(60,COLUMN()-29),1,MIN(60,COLUMN()-29)),OFFSET(BH509,0,-MIN(60,COLUMN()-29),1,MIN(60,COLUMN()-29))),0)</f>
        <v>0</v>
      </c>
      <c r="BI510" s="237" t="n">
        <f aca="true">IFERROR(SUMPRODUCT(OFFSET($BJ$31,0,1-MIN(60,COLUMN()-29),1,MIN(60,COLUMN()-29)),OFFSET(BI509,0,-MIN(60,COLUMN()-29),1,MIN(60,COLUMN()-29))),0)</f>
        <v>0</v>
      </c>
      <c r="BJ510" s="237" t="n">
        <f aca="true">IFERROR(SUMPRODUCT(OFFSET($BJ$31,0,1-MIN(60,COLUMN()-29),1,MIN(60,COLUMN()-29)),OFFSET(BJ509,0,-MIN(60,COLUMN()-29),1,MIN(60,COLUMN()-29))),0)</f>
        <v>0</v>
      </c>
      <c r="BK510" s="237" t="n">
        <f aca="true">IFERROR(SUMPRODUCT(OFFSET($BJ$31,0,1-MIN(60,COLUMN()-29),1,MIN(60,COLUMN()-29)),OFFSET(BK509,0,-MIN(60,COLUMN()-29),1,MIN(60,COLUMN()-29))),0)</f>
        <v>0</v>
      </c>
      <c r="BL510" s="237" t="n">
        <f aca="true">IFERROR(SUMPRODUCT(OFFSET($BJ$31,0,1-MIN(60,COLUMN()-29),1,MIN(60,COLUMN()-29)),OFFSET(BL509,0,-MIN(60,COLUMN()-29),1,MIN(60,COLUMN()-29))),0)</f>
        <v>0</v>
      </c>
      <c r="BM510" s="237" t="n">
        <f aca="true">IFERROR(SUMPRODUCT(OFFSET($BJ$31,0,1-MIN(60,COLUMN()-29),1,MIN(60,COLUMN()-29)),OFFSET(BM509,0,-MIN(60,COLUMN()-29),1,MIN(60,COLUMN()-29))),0)</f>
        <v>0</v>
      </c>
      <c r="BN510" s="237" t="n">
        <f aca="true">IFERROR(SUMPRODUCT(OFFSET($BJ$31,0,1-MIN(60,COLUMN()-29),1,MIN(60,COLUMN()-29)),OFFSET(BN509,0,-MIN(60,COLUMN()-29),1,MIN(60,COLUMN()-29))),0)</f>
        <v>0</v>
      </c>
      <c r="BO510" s="237" t="n">
        <f aca="true">IFERROR(SUMPRODUCT(OFFSET($BJ$31,0,1-MIN(60,COLUMN()-29),1,MIN(60,COLUMN()-29)),OFFSET(BO509,0,-MIN(60,COLUMN()-29),1,MIN(60,COLUMN()-29))),0)</f>
        <v>0</v>
      </c>
      <c r="BP510" s="237" t="n">
        <f aca="true">IFERROR(SUMPRODUCT(OFFSET($BJ$31,0,1-MIN(60,COLUMN()-29),1,MIN(60,COLUMN()-29)),OFFSET(BP509,0,-MIN(60,COLUMN()-29),1,MIN(60,COLUMN()-29))),0)</f>
        <v>0</v>
      </c>
      <c r="BQ510" s="237" t="n">
        <f aca="true">IFERROR(SUMPRODUCT(OFFSET($BJ$31,0,1-MIN(60,COLUMN()-29),1,MIN(60,COLUMN()-29)),OFFSET(BQ509,0,-MIN(60,COLUMN()-29),1,MIN(60,COLUMN()-29))),0)</f>
        <v>0</v>
      </c>
      <c r="BR510" s="237" t="n">
        <f aca="true">IFERROR(SUMPRODUCT(OFFSET($BJ$31,0,1-MIN(60,COLUMN()-29),1,MIN(60,COLUMN()-29)),OFFSET(BR509,0,-MIN(60,COLUMN()-29),1,MIN(60,COLUMN()-29))),0)</f>
        <v>0</v>
      </c>
      <c r="BS510" s="237" t="n">
        <f aca="true">IFERROR(SUMPRODUCT(OFFSET($BJ$31,0,1-MIN(60,COLUMN()-29),1,MIN(60,COLUMN()-29)),OFFSET(BS509,0,-MIN(60,COLUMN()-29),1,MIN(60,COLUMN()-29))),0)</f>
        <v>0</v>
      </c>
      <c r="BT510" s="237" t="n">
        <f aca="true">IFERROR(SUMPRODUCT(OFFSET($BJ$31,0,1-MIN(60,COLUMN()-29),1,MIN(60,COLUMN()-29)),OFFSET(BT509,0,-MIN(60,COLUMN()-29),1,MIN(60,COLUMN()-29))),0)</f>
        <v>0</v>
      </c>
      <c r="BU510" s="237" t="n">
        <f aca="true">IFERROR(SUMPRODUCT(OFFSET($BJ$31,0,1-MIN(60,COLUMN()-29),1,MIN(60,COLUMN()-29)),OFFSET(BU509,0,-MIN(60,COLUMN()-29),1,MIN(60,COLUMN()-29))),0)</f>
        <v>0</v>
      </c>
      <c r="BV510" s="237" t="n">
        <f aca="true">IFERROR(SUMPRODUCT(OFFSET($BJ$31,0,1-MIN(60,COLUMN()-29),1,MIN(60,COLUMN()-29)),OFFSET(BV509,0,-MIN(60,COLUMN()-29),1,MIN(60,COLUMN()-29))),0)</f>
        <v>0</v>
      </c>
      <c r="BW510" s="237" t="n">
        <f aca="true">IFERROR(SUMPRODUCT(OFFSET($BJ$31,0,1-MIN(60,COLUMN()-29),1,MIN(60,COLUMN()-29)),OFFSET(BW509,0,-MIN(60,COLUMN()-29),1,MIN(60,COLUMN()-29))),0)</f>
        <v>0</v>
      </c>
      <c r="BX510" s="237" t="n">
        <f aca="true">IFERROR(SUMPRODUCT(OFFSET($BJ$31,0,1-MIN(60,COLUMN()-29),1,MIN(60,COLUMN()-29)),OFFSET(BX509,0,-MIN(60,COLUMN()-29),1,MIN(60,COLUMN()-29))),0)</f>
        <v>0</v>
      </c>
      <c r="BY510" s="237" t="n">
        <f aca="true">IFERROR(SUMPRODUCT(OFFSET($BJ$31,0,1-MIN(60,COLUMN()-29),1,MIN(60,COLUMN()-29)),OFFSET(BY509,0,-MIN(60,COLUMN()-29),1,MIN(60,COLUMN()-29))),0)</f>
        <v>0</v>
      </c>
      <c r="BZ510" s="237" t="n">
        <f aca="true">IFERROR(SUMPRODUCT(OFFSET($BJ$31,0,1-MIN(60,COLUMN()-29),1,MIN(60,COLUMN()-29)),OFFSET(BZ509,0,-MIN(60,COLUMN()-29),1,MIN(60,COLUMN()-29))),0)</f>
        <v>0</v>
      </c>
      <c r="CA510" s="237" t="n">
        <f aca="true">IFERROR(SUMPRODUCT(OFFSET($BJ$31,0,1-MIN(60,COLUMN()-29),1,MIN(60,COLUMN()-29)),OFFSET(CA509,0,-MIN(60,COLUMN()-29),1,MIN(60,COLUMN()-29))),0)</f>
        <v>0</v>
      </c>
      <c r="CB510" s="237" t="n">
        <f aca="true">IFERROR(SUMPRODUCT(OFFSET($BJ$31,0,1-MIN(60,COLUMN()-29),1,MIN(60,COLUMN()-29)),OFFSET(CB509,0,-MIN(60,COLUMN()-29),1,MIN(60,COLUMN()-29))),0)</f>
        <v>0</v>
      </c>
      <c r="CC510" s="237" t="n">
        <f aca="true">IFERROR(SUMPRODUCT(OFFSET($BJ$31,0,1-MIN(60,COLUMN()-29),1,MIN(60,COLUMN()-29)),OFFSET(CC509,0,-MIN(60,COLUMN()-29),1,MIN(60,COLUMN()-29))),0)</f>
        <v>0</v>
      </c>
      <c r="CD510" s="237" t="n">
        <f aca="true">IFERROR(SUMPRODUCT(OFFSET($BJ$31,0,1-MIN(60,COLUMN()-29),1,MIN(60,COLUMN()-29)),OFFSET(CD509,0,-MIN(60,COLUMN()-29),1,MIN(60,COLUMN()-29))),0)</f>
        <v>0</v>
      </c>
      <c r="CE510" s="237" t="n">
        <f aca="true">IFERROR(SUMPRODUCT(OFFSET($BJ$31,0,1-MIN(60,COLUMN()-29),1,MIN(60,COLUMN()-29)),OFFSET(CE509,0,-MIN(60,COLUMN()-29),1,MIN(60,COLUMN()-29))),0)</f>
        <v>0</v>
      </c>
      <c r="CF510" s="237" t="n">
        <f aca="true">IFERROR(SUMPRODUCT(OFFSET($BJ$31,0,1-MIN(60,COLUMN()-29),1,MIN(60,COLUMN()-29)),OFFSET(CF509,0,-MIN(60,COLUMN()-29),1,MIN(60,COLUMN()-29))),0)</f>
        <v>0</v>
      </c>
      <c r="CG510" s="237" t="n">
        <f aca="true">IFERROR(SUMPRODUCT(OFFSET($BJ$31,0,1-MIN(60,COLUMN()-29),1,MIN(60,COLUMN()-29)),OFFSET(CG509,0,-MIN(60,COLUMN()-29),1,MIN(60,COLUMN()-29))),0)</f>
        <v>0</v>
      </c>
      <c r="CH510" s="237" t="n">
        <f aca="true">IFERROR(SUMPRODUCT(OFFSET($BJ$31,0,1-MIN(60,COLUMN()-29),1,MIN(60,COLUMN()-29)),OFFSET(CH509,0,-MIN(60,COLUMN()-29),1,MIN(60,COLUMN()-29))),0)</f>
        <v>0</v>
      </c>
      <c r="CI510" s="237" t="n">
        <f aca="true">IFERROR(SUMPRODUCT(OFFSET($BJ$31,0,1-MIN(60,COLUMN()-29),1,MIN(60,COLUMN()-29)),OFFSET(CI509,0,-MIN(60,COLUMN()-29),1,MIN(60,COLUMN()-29))),0)</f>
        <v>0</v>
      </c>
      <c r="CJ510" s="237" t="n">
        <f aca="true">IFERROR(SUMPRODUCT(OFFSET($BJ$31,0,1-MIN(60,COLUMN()-29),1,MIN(60,COLUMN()-29)),OFFSET(CJ509,0,-MIN(60,COLUMN()-29),1,MIN(60,COLUMN()-29))),0)</f>
        <v>0</v>
      </c>
      <c r="CK510" s="237" t="n">
        <f aca="true">IFERROR(SUMPRODUCT(OFFSET($BJ$31,0,1-MIN(60,COLUMN()-29),1,MIN(60,COLUMN()-29)),OFFSET(CK509,0,-MIN(60,COLUMN()-29),1,MIN(60,COLUMN()-29))),0)</f>
        <v>0</v>
      </c>
      <c r="CL510" s="237" t="n">
        <f aca="true">IFERROR(SUMPRODUCT(OFFSET($BJ$31,0,1-MIN(60,COLUMN()-29),1,MIN(60,COLUMN()-29)),OFFSET(CL509,0,-MIN(60,COLUMN()-29),1,MIN(60,COLUMN()-29))),0)</f>
        <v>0</v>
      </c>
      <c r="CM510" s="237" t="n">
        <f aca="true">IFERROR(SUMPRODUCT(OFFSET($BJ$31,0,1-MIN(60,COLUMN()-29),1,MIN(60,COLUMN()-29)),OFFSET(CM509,0,-MIN(60,COLUMN()-29),1,MIN(60,COLUMN()-29))),0)</f>
        <v>0</v>
      </c>
      <c r="CN510" s="237" t="n">
        <f aca="true">IFERROR(SUMPRODUCT(OFFSET($BJ$31,0,1-MIN(60,COLUMN()-29),1,MIN(60,COLUMN()-29)),OFFSET(CN509,0,-MIN(60,COLUMN()-29),1,MIN(60,COLUMN()-29))),0)</f>
        <v>0</v>
      </c>
      <c r="CO510" s="237" t="n">
        <f aca="true">IFERROR(SUMPRODUCT(OFFSET($BJ$31,0,1-MIN(60,COLUMN()-29),1,MIN(60,COLUMN()-29)),OFFSET(CO509,0,-MIN(60,COLUMN()-29),1,MIN(60,COLUMN()-29))),0)</f>
        <v>0</v>
      </c>
      <c r="CP510" s="237" t="n">
        <f aca="true">IFERROR(SUMPRODUCT(OFFSET($BJ$31,0,1-MIN(60,COLUMN()-29),1,MIN(60,COLUMN()-29)),OFFSET(CP509,0,-MIN(60,COLUMN()-29),1,MIN(60,COLUMN()-29))),0)</f>
        <v>0</v>
      </c>
      <c r="CQ510" s="237" t="n">
        <f aca="true">IFERROR(SUMPRODUCT(OFFSET($BJ$31,0,1-MIN(60,COLUMN()-29),1,MIN(60,COLUMN()-29)),OFFSET(CQ509,0,-MIN(60,COLUMN()-29),1,MIN(60,COLUMN()-29))),0)</f>
        <v>0</v>
      </c>
      <c r="CR510" s="237" t="n">
        <f aca="true">IFERROR(SUMPRODUCT(OFFSET($BJ$31,0,1-MIN(60,COLUMN()-29),1,MIN(60,COLUMN()-29)),OFFSET(CR509,0,-MIN(60,COLUMN()-29),1,MIN(60,COLUMN()-29))),0)</f>
        <v>0</v>
      </c>
      <c r="CS510" s="237" t="n">
        <f aca="true">IFERROR(SUMPRODUCT(OFFSET($BJ$31,0,1-MIN(60,COLUMN()-29),1,MIN(60,COLUMN()-29)),OFFSET(CS509,0,-MIN(60,COLUMN()-29),1,MIN(60,COLUMN()-29))),0)</f>
        <v>0</v>
      </c>
      <c r="CT510" s="237" t="n">
        <f aca="true">IFERROR(SUMPRODUCT(OFFSET($BJ$31,0,1-MIN(60,COLUMN()-29),1,MIN(60,COLUMN()-29)),OFFSET(CT509,0,-MIN(60,COLUMN()-29),1,MIN(60,COLUMN()-29))),0)</f>
        <v>0</v>
      </c>
      <c r="CU510" s="237" t="n">
        <f aca="true">IFERROR(SUMPRODUCT(OFFSET($BJ$31,0,1-MIN(60,COLUMN()-29),1,MIN(60,COLUMN()-29)),OFFSET(CU509,0,-MIN(60,COLUMN()-29),1,MIN(60,COLUMN()-29))),0)</f>
        <v>0</v>
      </c>
      <c r="CV510" s="237" t="n">
        <f aca="true">IFERROR(SUMPRODUCT(OFFSET($BJ$31,0,1-MIN(60,COLUMN()-29),1,MIN(60,COLUMN()-29)),OFFSET(CV509,0,-MIN(60,COLUMN()-29),1,MIN(60,COLUMN()-29))),0)</f>
        <v>0</v>
      </c>
      <c r="CW510" s="237" t="n">
        <f aca="true">IFERROR(SUMPRODUCT(OFFSET($BJ$31,0,1-MIN(60,COLUMN()-29),1,MIN(60,COLUMN()-29)),OFFSET(CW509,0,-MIN(60,COLUMN()-29),1,MIN(60,COLUMN()-29))),0)</f>
        <v>0</v>
      </c>
      <c r="CX510" s="237" t="n">
        <f aca="true">IFERROR(SUMPRODUCT(OFFSET($BJ$31,0,1-MIN(60,COLUMN()-29),1,MIN(60,COLUMN()-29)),OFFSET(CX509,0,-MIN(60,COLUMN()-29),1,MIN(60,COLUMN()-29))),0)</f>
        <v>0</v>
      </c>
      <c r="CY510" s="237" t="n">
        <f aca="true">IFERROR(SUMPRODUCT(OFFSET($BJ$31,0,1-MIN(60,COLUMN()-29),1,MIN(60,COLUMN()-29)),OFFSET(CY509,0,-MIN(60,COLUMN()-29),1,MIN(60,COLUMN()-29))),0)</f>
        <v>0</v>
      </c>
      <c r="CZ510" s="237" t="n">
        <f aca="true">IFERROR(SUMPRODUCT(OFFSET($BJ$31,0,1-MIN(60,COLUMN()-29),1,MIN(60,COLUMN()-29)),OFFSET(CZ509,0,-MIN(60,COLUMN()-29),1,MIN(60,COLUMN()-29))),0)</f>
        <v>0</v>
      </c>
      <c r="DA510" s="237" t="n">
        <f aca="true">IFERROR(SUMPRODUCT(OFFSET($BJ$31,0,1-MIN(60,COLUMN()-29),1,MIN(60,COLUMN()-29)),OFFSET(DA509,0,-MIN(60,COLUMN()-29),1,MIN(60,COLUMN()-29))),0)</f>
        <v>0</v>
      </c>
      <c r="DB510" s="237" t="n">
        <f aca="true">IFERROR(SUMPRODUCT(OFFSET($BJ$31,0,1-MIN(60,COLUMN()-29),1,MIN(60,COLUMN()-29)),OFFSET(DB509,0,-MIN(60,COLUMN()-29),1,MIN(60,COLUMN()-29))),0)</f>
        <v>0</v>
      </c>
      <c r="DC510" s="237" t="n">
        <f aca="true">IFERROR(SUMPRODUCT(OFFSET($BJ$31,0,1-MIN(60,COLUMN()-29),1,MIN(60,COLUMN()-29)),OFFSET(DC509,0,-MIN(60,COLUMN()-29),1,MIN(60,COLUMN()-29))),0)</f>
        <v>0</v>
      </c>
      <c r="DD510" s="237" t="n">
        <f aca="true">IFERROR(SUMPRODUCT(OFFSET($BJ$31,0,1-MIN(60,COLUMN()-29),1,MIN(60,COLUMN()-29)),OFFSET(DD509,0,-MIN(60,COLUMN()-29),1,MIN(60,COLUMN()-29))),0)</f>
        <v>0</v>
      </c>
      <c r="DE510" s="237" t="n">
        <f aca="true">IFERROR(SUMPRODUCT(OFFSET($BJ$31,0,1-MIN(60,COLUMN()-29),1,MIN(60,COLUMN()-29)),OFFSET(DE509,0,-MIN(60,COLUMN()-29),1,MIN(60,COLUMN()-29))),0)</f>
        <v>0</v>
      </c>
      <c r="DF510" s="237" t="n">
        <f aca="true">IFERROR(SUMPRODUCT(OFFSET($BJ$31,0,1-MIN(60,COLUMN()-29),1,MIN(60,COLUMN()-29)),OFFSET(DF509,0,-MIN(60,COLUMN()-29),1,MIN(60,COLUMN()-29))),0)</f>
        <v>0</v>
      </c>
      <c r="DG510" s="237" t="n">
        <f aca="true">IFERROR(SUMPRODUCT(OFFSET($BJ$31,0,1-MIN(60,COLUMN()-29),1,MIN(60,COLUMN()-29)),OFFSET(DG509,0,-MIN(60,COLUMN()-29),1,MIN(60,COLUMN()-29))),0)</f>
        <v>0</v>
      </c>
      <c r="DH510" s="237" t="n">
        <f aca="true">IFERROR(SUMPRODUCT(OFFSET($BJ$31,0,1-MIN(60,COLUMN()-29),1,MIN(60,COLUMN()-29)),OFFSET(DH509,0,-MIN(60,COLUMN()-29),1,MIN(60,COLUMN()-29))),0)</f>
        <v>0</v>
      </c>
      <c r="DI510" s="237" t="n">
        <f aca="true">IFERROR(SUMPRODUCT(OFFSET($BJ$31,0,1-MIN(60,COLUMN()-29),1,MIN(60,COLUMN()-29)),OFFSET(DI509,0,-MIN(60,COLUMN()-29),1,MIN(60,COLUMN()-29))),0)</f>
        <v>0</v>
      </c>
      <c r="DJ510" s="237" t="n">
        <f aca="true">IFERROR(SUMPRODUCT(OFFSET($BJ$31,0,1-MIN(60,COLUMN()-29),1,MIN(60,COLUMN()-29)),OFFSET(DJ509,0,-MIN(60,COLUMN()-29),1,MIN(60,COLUMN()-29))),0)</f>
        <v>0</v>
      </c>
      <c r="DK510" s="237" t="n">
        <f aca="true">IFERROR(SUMPRODUCT(OFFSET($BJ$31,0,1-MIN(60,COLUMN()-29),1,MIN(60,COLUMN()-29)),OFFSET(DK509,0,-MIN(60,COLUMN()-29),1,MIN(60,COLUMN()-29))),0)</f>
        <v>0</v>
      </c>
      <c r="DL510" s="237" t="n">
        <f aca="true">IFERROR(SUMPRODUCT(OFFSET($BJ$31,0,1-MIN(60,COLUMN()-29),1,MIN(60,COLUMN()-29)),OFFSET(DL509,0,-MIN(60,COLUMN()-29),1,MIN(60,COLUMN()-29))),0)</f>
        <v>0</v>
      </c>
      <c r="DM510" s="237" t="n">
        <f aca="true">IFERROR(SUMPRODUCT(OFFSET($BJ$31,0,1-MIN(60,COLUMN()-29),1,MIN(60,COLUMN()-29)),OFFSET(DM509,0,-MIN(60,COLUMN()-29),1,MIN(60,COLUMN()-29))),0)</f>
        <v>0</v>
      </c>
      <c r="DN510" s="237" t="n">
        <f aca="true">IFERROR(SUMPRODUCT(OFFSET($BJ$31,0,1-MIN(60,COLUMN()-29),1,MIN(60,COLUMN()-29)),OFFSET(DN509,0,-MIN(60,COLUMN()-29),1,MIN(60,COLUMN()-29))),0)</f>
        <v>0</v>
      </c>
      <c r="DO510" s="237" t="n">
        <f aca="true">IFERROR(SUMPRODUCT(OFFSET($BJ$31,0,1-MIN(60,COLUMN()-29),1,MIN(60,COLUMN()-29)),OFFSET(DO509,0,-MIN(60,COLUMN()-29),1,MIN(60,COLUMN()-29))),0)</f>
        <v>0</v>
      </c>
      <c r="DP510" s="237" t="n">
        <f aca="true">IFERROR(SUMPRODUCT(OFFSET($BJ$31,0,1-MIN(60,COLUMN()-29),1,MIN(60,COLUMN()-29)),OFFSET(DP509,0,-MIN(60,COLUMN()-29),1,MIN(60,COLUMN()-29))),0)</f>
        <v>0</v>
      </c>
      <c r="DQ510" s="237" t="n">
        <f aca="true">IFERROR(SUMPRODUCT(OFFSET($BJ$31,0,1-MIN(60,COLUMN()-29),1,MIN(60,COLUMN()-29)),OFFSET(DQ509,0,-MIN(60,COLUMN()-29),1,MIN(60,COLUMN()-29))),0)</f>
        <v>0</v>
      </c>
      <c r="DR510" s="237" t="n">
        <f aca="true">IFERROR(SUMPRODUCT(OFFSET($BJ$31,0,1-MIN(60,COLUMN()-29),1,MIN(60,COLUMN()-29)),OFFSET(DR509,0,-MIN(60,COLUMN()-29),1,MIN(60,COLUMN()-29))),0)</f>
        <v>0</v>
      </c>
      <c r="DS510" s="237" t="n">
        <f aca="true">IFERROR(SUMPRODUCT(OFFSET($BJ$31,0,1-MIN(60,COLUMN()-29),1,MIN(60,COLUMN()-29)),OFFSET(DS509,0,-MIN(60,COLUMN()-29),1,MIN(60,COLUMN()-29))),0)</f>
        <v>0</v>
      </c>
      <c r="DT510" s="237" t="n">
        <f aca="true">IFERROR(SUMPRODUCT(OFFSET($BJ$31,0,1-MIN(60,COLUMN()-29),1,MIN(60,COLUMN()-29)),OFFSET(DT509,0,-MIN(60,COLUMN()-29),1,MIN(60,COLUMN()-29))),0)</f>
        <v>0</v>
      </c>
      <c r="DU510" s="237" t="n">
        <f aca="true">IFERROR(SUMPRODUCT(OFFSET($BJ$31,0,1-MIN(60,COLUMN()-29),1,MIN(60,COLUMN()-29)),OFFSET(DU509,0,-MIN(60,COLUMN()-29),1,MIN(60,COLUMN()-29))),0)</f>
        <v>0</v>
      </c>
      <c r="DV510" s="237" t="n">
        <f aca="true">IFERROR(SUMPRODUCT(OFFSET($BJ$31,0,1-MIN(60,COLUMN()-29),1,MIN(60,COLUMN()-29)),OFFSET(DV509,0,-MIN(60,COLUMN()-29),1,MIN(60,COLUMN()-29))),0)</f>
        <v>0</v>
      </c>
      <c r="DW510" s="237" t="n">
        <f aca="true">IFERROR(SUMPRODUCT(OFFSET($BJ$31,0,1-MIN(60,COLUMN()-29),1,MIN(60,COLUMN()-29)),OFFSET(DW509,0,-MIN(60,COLUMN()-29),1,MIN(60,COLUMN()-29))),0)</f>
        <v>0</v>
      </c>
      <c r="DX510" s="237" t="n">
        <f aca="true">IFERROR(SUMPRODUCT(OFFSET($BJ$31,0,1-MIN(60,COLUMN()-29),1,MIN(60,COLUMN()-29)),OFFSET(DX509,0,-MIN(60,COLUMN()-29),1,MIN(60,COLUMN()-29))),0)</f>
        <v>0</v>
      </c>
      <c r="DY510" s="237" t="n">
        <f aca="true">IFERROR(SUMPRODUCT(OFFSET($BJ$31,0,1-MIN(60,COLUMN()-29),1,MIN(60,COLUMN()-29)),OFFSET(DY509,0,-MIN(60,COLUMN()-29),1,MIN(60,COLUMN()-29))),0)</f>
        <v>0</v>
      </c>
      <c r="DZ510" s="237" t="n">
        <f aca="true">IFERROR(SUMPRODUCT(OFFSET($BJ$31,0,1-MIN(60,COLUMN()-29),1,MIN(60,COLUMN()-29)),OFFSET(DZ509,0,-MIN(60,COLUMN()-29),1,MIN(60,COLUMN()-29))),0)</f>
        <v>0</v>
      </c>
      <c r="EA510" s="237" t="n">
        <f aca="true">IFERROR(SUMPRODUCT(OFFSET($BJ$31,0,1-MIN(60,COLUMN()-29),1,MIN(60,COLUMN()-29)),OFFSET(EA509,0,-MIN(60,COLUMN()-29),1,MIN(60,COLUMN()-29))),0)</f>
        <v>0</v>
      </c>
      <c r="EB510" s="237" t="n">
        <f aca="true">IFERROR(SUMPRODUCT(OFFSET($BJ$31,0,1-MIN(60,COLUMN()-29),1,MIN(60,COLUMN()-29)),OFFSET(EB509,0,-MIN(60,COLUMN()-29),1,MIN(60,COLUMN()-29))),0)</f>
        <v>0</v>
      </c>
      <c r="EC510" s="237" t="n">
        <f aca="true">IFERROR(SUMPRODUCT(OFFSET($BJ$31,0,1-MIN(60,COLUMN()-29),1,MIN(60,COLUMN()-29)),OFFSET(EC509,0,-MIN(60,COLUMN()-29),1,MIN(60,COLUMN()-29))),0)</f>
        <v>0</v>
      </c>
      <c r="ED510" s="237" t="n">
        <f aca="true">IFERROR(SUMPRODUCT(OFFSET($BJ$31,0,1-MIN(60,COLUMN()-29),1,MIN(60,COLUMN()-29)),OFFSET(ED509,0,-MIN(60,COLUMN()-29),1,MIN(60,COLUMN()-29))),0)</f>
        <v>0</v>
      </c>
      <c r="EE510" s="237" t="n">
        <f aca="true">IFERROR(SUMPRODUCT(OFFSET($BJ$31,0,1-MIN(60,COLUMN()-29),1,MIN(60,COLUMN()-29)),OFFSET(EE509,0,-MIN(60,COLUMN()-29),1,MIN(60,COLUMN()-29))),0)</f>
        <v>0</v>
      </c>
      <c r="EF510" s="237" t="n">
        <f aca="true">IFERROR(SUMPRODUCT(OFFSET($BJ$31,0,1-MIN(60,COLUMN()-29),1,MIN(60,COLUMN()-29)),OFFSET(EF509,0,-MIN(60,COLUMN()-29),1,MIN(60,COLUMN()-29))),0)</f>
        <v>0</v>
      </c>
      <c r="EG510" s="237" t="n">
        <f aca="true">IFERROR(SUMPRODUCT(OFFSET($BJ$31,0,1-MIN(60,COLUMN()-29),1,MIN(60,COLUMN()-29)),OFFSET(EG509,0,-MIN(60,COLUMN()-29),1,MIN(60,COLUMN()-29))),0)</f>
        <v>0</v>
      </c>
      <c r="EH510" s="237" t="n">
        <f aca="true">IFERROR(SUMPRODUCT(OFFSET($BJ$31,0,1-MIN(60,COLUMN()-29),1,MIN(60,COLUMN()-29)),OFFSET(EH509,0,-MIN(60,COLUMN()-29),1,MIN(60,COLUMN()-29))),0)</f>
        <v>0</v>
      </c>
      <c r="EI510" s="237" t="n">
        <f aca="true">IFERROR(SUMPRODUCT(OFFSET($BJ$31,0,1-MIN(60,COLUMN()-29),1,MIN(60,COLUMN()-29)),OFFSET(EI509,0,-MIN(60,COLUMN()-29),1,MIN(60,COLUMN()-29))),0)</f>
        <v>0</v>
      </c>
      <c r="EJ510" s="237" t="n">
        <f aca="true">IFERROR(SUMPRODUCT(OFFSET($BJ$31,0,1-MIN(60,COLUMN()-29),1,MIN(60,COLUMN()-29)),OFFSET(EJ509,0,-MIN(60,COLUMN()-29),1,MIN(60,COLUMN()-29))),0)</f>
        <v>0</v>
      </c>
      <c r="EK510" s="237" t="n">
        <f aca="true">IFERROR(SUMPRODUCT(OFFSET($BJ$31,0,1-MIN(60,COLUMN()-29),1,MIN(60,COLUMN()-29)),OFFSET(EK509,0,-MIN(60,COLUMN()-29),1,MIN(60,COLUMN()-29))),0)</f>
        <v>0</v>
      </c>
      <c r="EL510" s="237" t="n">
        <f aca="true">IFERROR(SUMPRODUCT(OFFSET($BJ$31,0,1-MIN(60,COLUMN()-29),1,MIN(60,COLUMN()-29)),OFFSET(EL509,0,-MIN(60,COLUMN()-29),1,MIN(60,COLUMN()-29))),0)</f>
        <v>0</v>
      </c>
      <c r="EM510" s="237" t="n">
        <f aca="true">IFERROR(SUMPRODUCT(OFFSET($BJ$31,0,1-MIN(60,COLUMN()-29),1,MIN(60,COLUMN()-29)),OFFSET(EM509,0,-MIN(60,COLUMN()-29),1,MIN(60,COLUMN()-29))),0)</f>
        <v>0</v>
      </c>
      <c r="EN510" s="237" t="n">
        <f aca="true">IFERROR(SUMPRODUCT(OFFSET($BJ$31,0,1-MIN(60,COLUMN()-29),1,MIN(60,COLUMN()-29)),OFFSET(EN509,0,-MIN(60,COLUMN()-29),1,MIN(60,COLUMN()-29))),0)</f>
        <v>0</v>
      </c>
      <c r="EO510" s="237" t="n">
        <f aca="true">IFERROR(SUMPRODUCT(OFFSET($BJ$31,0,1-MIN(60,COLUMN()-29),1,MIN(60,COLUMN()-29)),OFFSET(EO509,0,-MIN(60,COLUMN()-29),1,MIN(60,COLUMN()-29))),0)</f>
        <v>0</v>
      </c>
      <c r="EP510" s="237" t="n">
        <f aca="true">IFERROR(SUMPRODUCT(OFFSET($BJ$31,0,1-MIN(60,COLUMN()-29),1,MIN(60,COLUMN()-29)),OFFSET(EP509,0,-MIN(60,COLUMN()-29),1,MIN(60,COLUMN()-29))),0)</f>
        <v>0</v>
      </c>
      <c r="EQ510" s="237" t="n">
        <f aca="true">IFERROR(SUMPRODUCT(OFFSET($BJ$31,0,1-MIN(60,COLUMN()-29),1,MIN(60,COLUMN()-29)),OFFSET(EQ509,0,-MIN(60,COLUMN()-29),1,MIN(60,COLUMN()-29))),0)</f>
        <v>5.16096</v>
      </c>
      <c r="ER510" s="237" t="n">
        <f aca="true">IFERROR(SUMPRODUCT(OFFSET($BJ$31,0,1-MIN(60,COLUMN()-29),1,MIN(60,COLUMN()-29)),OFFSET(ER509,0,-MIN(60,COLUMN()-29),1,MIN(60,COLUMN()-29))),0)</f>
        <v>4.967424</v>
      </c>
      <c r="ES510" s="9" t="n">
        <f aca="true">IFERROR(SUMPRODUCT(OFFSET($BJ$31,0,1-MIN(60,COLUMN()-29),1,MIN(60,COLUMN()-29)),OFFSET(ES509,0,-MIN(60,COLUMN()-29),1,MIN(60,COLUMN()-29))),0)</f>
        <v>8.0688384</v>
      </c>
      <c r="ET510" s="9" t="n">
        <f aca="true">IFERROR(SUMPRODUCT(OFFSET($BJ$31,0,1-MIN(60,COLUMN()-29),1,MIN(60,COLUMN()-29)),OFFSET(ET509,0,-MIN(60,COLUMN()-29),1,MIN(60,COLUMN()-29))),0)</f>
        <v>10.0041984</v>
      </c>
      <c r="EU510" s="9" t="n">
        <f aca="true">IFERROR(SUMPRODUCT(OFFSET($BJ$31,0,1-MIN(60,COLUMN()-29),1,MIN(60,COLUMN()-29)),OFFSET(EU509,0,-MIN(60,COLUMN()-29),1,MIN(60,COLUMN()-29))),0)</f>
        <v>8.993376</v>
      </c>
      <c r="EV510" s="9" t="n">
        <f aca="true">IFERROR(SUMPRODUCT(OFFSET($BJ$31,0,1-MIN(60,COLUMN()-29),1,MIN(60,COLUMN()-29)),OFFSET(EV509,0,-MIN(60,COLUMN()-29),1,MIN(60,COLUMN()-29))),0)</f>
        <v>13.0269216</v>
      </c>
      <c r="EW510" s="9" t="n">
        <f aca="true">IFERROR(SUMPRODUCT(OFFSET($BJ$31,0,1-MIN(60,COLUMN()-29),1,MIN(60,COLUMN()-29)),OFFSET(EW509,0,-MIN(60,COLUMN()-29),1,MIN(60,COLUMN()-29))),0)</f>
        <v>14.801472</v>
      </c>
      <c r="EX510" s="9" t="n">
        <f aca="true">IFERROR(SUMPRODUCT(OFFSET($BJ$31,0,1-MIN(60,COLUMN()-29),1,MIN(60,COLUMN()-29)),OFFSET(EX509,0,-MIN(60,COLUMN()-29),1,MIN(60,COLUMN()-29))),0)</f>
        <v>14.9145696</v>
      </c>
      <c r="EY510" s="9" t="n">
        <f aca="true">IFERROR(SUMPRODUCT(OFFSET($BJ$31,0,1-MIN(60,COLUMN()-29),1,MIN(60,COLUMN()-29)),OFFSET(EY509,0,-MIN(60,COLUMN()-29),1,MIN(60,COLUMN()-29))),0)</f>
        <v>15.675072</v>
      </c>
      <c r="EZ510" s="9" t="n">
        <f aca="true">IFERROR(SUMPRODUCT(OFFSET($BJ$31,0,1-MIN(60,COLUMN()-29),1,MIN(60,COLUMN()-29)),OFFSET(EZ509,0,-MIN(60,COLUMN()-29),1,MIN(60,COLUMN()-29))),0)</f>
        <v>17.1621408</v>
      </c>
      <c r="FA510" s="9" t="n">
        <f aca="true">IFERROR(SUMPRODUCT(OFFSET($BJ$31,0,1-MIN(60,COLUMN()-29),1,MIN(60,COLUMN()-29)),OFFSET(FA509,0,-MIN(60,COLUMN()-29),1,MIN(60,COLUMN()-29))),0)</f>
        <v>25.6921728</v>
      </c>
      <c r="FB510" s="9" t="n">
        <f aca="true">IFERROR(SUMPRODUCT(OFFSET($BJ$31,0,1-MIN(60,COLUMN()-29),1,MIN(60,COLUMN()-29)),OFFSET(FB509,0,-MIN(60,COLUMN()-29),1,MIN(60,COLUMN()-29))),0)</f>
        <v>26.6566272</v>
      </c>
      <c r="FC510" s="9" t="n">
        <f aca="true">IFERROR(SUMPRODUCT(OFFSET($BJ$31,0,1-MIN(60,COLUMN()-29),1,MIN(60,COLUMN()-29)),OFFSET(FC509,0,-MIN(60,COLUMN()-29),1,MIN(60,COLUMN()-29))),0)</f>
        <v>27.619872</v>
      </c>
      <c r="FD510" s="9" t="n">
        <f aca="true">IFERROR(SUMPRODUCT(OFFSET($BJ$31,0,1-MIN(60,COLUMN()-29),1,MIN(60,COLUMN()-29)),OFFSET(FD509,0,-MIN(60,COLUMN()-29),1,MIN(60,COLUMN()-29))),0)</f>
        <v>25.7222784</v>
      </c>
      <c r="FE510" s="9" t="n">
        <f aca="true">IFERROR(SUMPRODUCT(OFFSET($BJ$31,0,1-MIN(60,COLUMN()-29),1,MIN(60,COLUMN()-29)),OFFSET(FE509,0,-MIN(60,COLUMN()-29),1,MIN(60,COLUMN()-29))),0)</f>
        <v>32.0419008</v>
      </c>
      <c r="FF510" s="9" t="n">
        <f aca="true">IFERROR(SUMPRODUCT(OFFSET($BJ$31,0,1-MIN(60,COLUMN()-29),1,MIN(60,COLUMN()-29)),OFFSET(FF509,0,-MIN(60,COLUMN()-29),1,MIN(60,COLUMN()-29))),0)</f>
        <v>38.2648896</v>
      </c>
      <c r="FG510" s="9" t="n">
        <f aca="true">IFERROR(SUMPRODUCT(OFFSET($BJ$31,0,1-MIN(60,COLUMN()-29),1,MIN(60,COLUMN()-29)),OFFSET(FG509,0,-MIN(60,COLUMN()-29),1,MIN(60,COLUMN()-29))),0)</f>
        <v>37.56751488</v>
      </c>
      <c r="FH510" s="9" t="n">
        <f aca="true">IFERROR(SUMPRODUCT(OFFSET($BJ$31,0,1-MIN(60,COLUMN()-29),1,MIN(60,COLUMN()-29)),OFFSET(FH509,0,-MIN(60,COLUMN()-29),1,MIN(60,COLUMN()-29))),0)</f>
        <v>48.75614016</v>
      </c>
      <c r="FI510" s="9" t="n">
        <f aca="true">IFERROR(SUMPRODUCT(OFFSET($BJ$31,0,1-MIN(60,COLUMN()-29),1,MIN(60,COLUMN()-29)),OFFSET(FI509,0,-MIN(60,COLUMN()-29),1,MIN(60,COLUMN()-29))),0)</f>
        <v>51.47838528</v>
      </c>
      <c r="FJ510" s="9" t="n">
        <f aca="true">IFERROR(SUMPRODUCT(OFFSET($BJ$31,0,1-MIN(60,COLUMN()-29),1,MIN(60,COLUMN()-29)),OFFSET(FJ509,0,-MIN(60,COLUMN()-29),1,MIN(60,COLUMN()-29))),0)</f>
        <v>51.29848752</v>
      </c>
      <c r="FK510" s="9" t="n">
        <f aca="true">IFERROR(SUMPRODUCT(OFFSET($BJ$31,0,1-MIN(60,COLUMN()-29),1,MIN(60,COLUMN()-29)),OFFSET(FK509,0,-MIN(60,COLUMN()-29),1,MIN(60,COLUMN()-29))),0)</f>
        <v>51.02897016</v>
      </c>
      <c r="FL510" s="9" t="n">
        <f aca="true">IFERROR(SUMPRODUCT(OFFSET($BJ$31,0,1-MIN(60,COLUMN()-29),1,MIN(60,COLUMN()-29)),OFFSET(FL509,0,-MIN(60,COLUMN()-29),1,MIN(60,COLUMN()-29))),0)</f>
        <v>56.33845896</v>
      </c>
      <c r="FM510" s="9" t="n">
        <f aca="true">IFERROR(SUMPRODUCT(OFFSET($BJ$31,0,1-MIN(60,COLUMN()-29),1,MIN(60,COLUMN()-29)),OFFSET(FM509,0,-MIN(60,COLUMN()-29),1,MIN(60,COLUMN()-29))),0)</f>
        <v>74.743872</v>
      </c>
      <c r="FN510" s="9" t="n">
        <f aca="true">IFERROR(SUMPRODUCT(OFFSET($BJ$31,0,1-MIN(60,COLUMN()-29),1,MIN(60,COLUMN()-29)),OFFSET(FN509,0,-MIN(60,COLUMN()-29),1,MIN(60,COLUMN()-29))),0)</f>
        <v>74.70169392</v>
      </c>
      <c r="FO510" s="9" t="n">
        <f aca="true">IFERROR(SUMPRODUCT(OFFSET($BJ$31,0,1-MIN(60,COLUMN()-29),1,MIN(60,COLUMN()-29)),OFFSET(FO509,0,-MIN(60,COLUMN()-29),1,MIN(60,COLUMN()-29))),0)</f>
        <v>73.70181168</v>
      </c>
      <c r="FP510" s="9" t="n">
        <f aca="true">IFERROR(SUMPRODUCT(OFFSET($BJ$31,0,1-MIN(60,COLUMN()-29),1,MIN(60,COLUMN()-29)),OFFSET(FP509,0,-MIN(60,COLUMN()-29),1,MIN(60,COLUMN()-29))),0)</f>
        <v>69.96402672</v>
      </c>
    </row>
    <row r="511" customFormat="false" ht="15" hidden="false" customHeight="false" outlineLevel="2" collapsed="false">
      <c r="B511" s="47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237"/>
      <c r="AD511" s="237"/>
      <c r="AE511" s="237"/>
      <c r="AF511" s="237"/>
      <c r="AG511" s="237"/>
      <c r="AH511" s="237"/>
      <c r="AI511" s="237"/>
      <c r="AJ511" s="237"/>
      <c r="AK511" s="237"/>
      <c r="AL511" s="237"/>
      <c r="AM511" s="237"/>
      <c r="AN511" s="237"/>
      <c r="AO511" s="237"/>
      <c r="AP511" s="237"/>
      <c r="AQ511" s="237"/>
      <c r="AR511" s="237"/>
      <c r="AS511" s="237"/>
      <c r="AT511" s="237"/>
      <c r="AU511" s="237"/>
      <c r="AV511" s="237"/>
      <c r="AW511" s="237"/>
      <c r="AX511" s="237"/>
      <c r="AY511" s="237"/>
      <c r="AZ511" s="237"/>
      <c r="BA511" s="237"/>
      <c r="BB511" s="237"/>
      <c r="BC511" s="237"/>
      <c r="BD511" s="237"/>
      <c r="BE511" s="237"/>
      <c r="BF511" s="237"/>
      <c r="BG511" s="237"/>
      <c r="BH511" s="237"/>
      <c r="BI511" s="237"/>
      <c r="BJ511" s="237"/>
      <c r="BK511" s="237"/>
      <c r="BL511" s="237"/>
      <c r="BM511" s="237"/>
      <c r="BN511" s="237"/>
      <c r="BO511" s="237"/>
      <c r="BP511" s="237"/>
      <c r="BQ511" s="237"/>
      <c r="BR511" s="237"/>
      <c r="BS511" s="237"/>
      <c r="BT511" s="237"/>
      <c r="BU511" s="237"/>
      <c r="BV511" s="237"/>
      <c r="BW511" s="237"/>
      <c r="BX511" s="237"/>
      <c r="BY511" s="237"/>
      <c r="BZ511" s="237"/>
      <c r="CA511" s="237"/>
      <c r="CB511" s="237"/>
      <c r="CC511" s="237"/>
      <c r="CD511" s="237"/>
      <c r="CE511" s="237"/>
      <c r="CF511" s="237"/>
      <c r="CG511" s="237"/>
      <c r="CH511" s="237"/>
      <c r="CI511" s="237"/>
      <c r="CJ511" s="237"/>
      <c r="CK511" s="237"/>
      <c r="CL511" s="237"/>
      <c r="CM511" s="237"/>
      <c r="CN511" s="237"/>
      <c r="CO511" s="237"/>
      <c r="CP511" s="237"/>
      <c r="CQ511" s="237"/>
      <c r="CR511" s="237"/>
      <c r="CS511" s="237"/>
      <c r="CT511" s="237"/>
      <c r="CU511" s="237"/>
      <c r="CV511" s="237"/>
      <c r="CW511" s="237"/>
      <c r="CX511" s="237"/>
      <c r="CY511" s="237"/>
      <c r="CZ511" s="237"/>
      <c r="DA511" s="237"/>
      <c r="DB511" s="237"/>
      <c r="DC511" s="237"/>
      <c r="DD511" s="237"/>
      <c r="DE511" s="237"/>
      <c r="DF511" s="237"/>
      <c r="DG511" s="237"/>
      <c r="DH511" s="237"/>
      <c r="DI511" s="237"/>
      <c r="DJ511" s="237"/>
      <c r="DK511" s="237"/>
      <c r="DL511" s="237"/>
      <c r="DM511" s="237"/>
      <c r="DN511" s="237"/>
      <c r="DO511" s="237"/>
      <c r="DP511" s="237"/>
      <c r="DQ511" s="237"/>
      <c r="DR511" s="237"/>
      <c r="DS511" s="237"/>
      <c r="DT511" s="237"/>
      <c r="DU511" s="237"/>
      <c r="DV511" s="237"/>
      <c r="DW511" s="237"/>
      <c r="DX511" s="237"/>
      <c r="DY511" s="237"/>
      <c r="DZ511" s="237"/>
      <c r="EA511" s="237"/>
      <c r="EB511" s="237"/>
      <c r="EC511" s="237"/>
      <c r="ED511" s="237"/>
      <c r="EE511" s="237"/>
      <c r="EF511" s="237"/>
      <c r="EG511" s="237"/>
      <c r="EH511" s="237"/>
      <c r="EI511" s="237"/>
      <c r="EJ511" s="237"/>
      <c r="EK511" s="237"/>
      <c r="EL511" s="237"/>
      <c r="EM511" s="237"/>
      <c r="EN511" s="237"/>
      <c r="EO511" s="237"/>
      <c r="EP511" s="237"/>
      <c r="EQ511" s="237"/>
      <c r="ER511" s="237"/>
      <c r="ES511" s="9"/>
      <c r="ET511" s="9"/>
      <c r="EU511" s="9"/>
      <c r="EV511" s="9"/>
      <c r="EW511" s="9"/>
      <c r="EX511" s="9"/>
      <c r="EY511" s="9"/>
      <c r="EZ511" s="9"/>
      <c r="FA511" s="9"/>
      <c r="FB511" s="9"/>
      <c r="FC511" s="9"/>
      <c r="FD511" s="9"/>
      <c r="FE511" s="9"/>
      <c r="FF511" s="9"/>
      <c r="FG511" s="9"/>
      <c r="FH511" s="9"/>
      <c r="FI511" s="9"/>
      <c r="FJ511" s="9"/>
      <c r="FK511" s="9"/>
      <c r="FL511" s="9"/>
      <c r="FM511" s="9"/>
      <c r="FN511" s="9"/>
      <c r="FO511" s="9"/>
      <c r="FP511" s="9"/>
    </row>
    <row r="512" customFormat="false" ht="15" hidden="false" customHeight="false" outlineLevel="2" collapsed="false">
      <c r="B512" s="47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237"/>
      <c r="AD512" s="237"/>
      <c r="AE512" s="237"/>
      <c r="AF512" s="237"/>
      <c r="AG512" s="237"/>
      <c r="AH512" s="237"/>
      <c r="AI512" s="237"/>
      <c r="AJ512" s="237"/>
      <c r="AK512" s="237"/>
      <c r="AL512" s="237"/>
      <c r="AM512" s="237"/>
      <c r="AN512" s="237"/>
      <c r="AO512" s="237"/>
      <c r="AP512" s="237"/>
      <c r="AQ512" s="237"/>
      <c r="AR512" s="237"/>
      <c r="AS512" s="237"/>
      <c r="AT512" s="237"/>
      <c r="AU512" s="237"/>
      <c r="AV512" s="237"/>
      <c r="AW512" s="237"/>
      <c r="AX512" s="237"/>
      <c r="AY512" s="237"/>
      <c r="AZ512" s="237"/>
      <c r="BA512" s="237"/>
      <c r="BB512" s="237"/>
      <c r="BC512" s="237"/>
      <c r="BD512" s="237"/>
      <c r="BE512" s="237"/>
      <c r="BF512" s="237"/>
      <c r="BG512" s="237"/>
      <c r="BH512" s="237"/>
      <c r="BI512" s="237"/>
      <c r="BJ512" s="237"/>
      <c r="BK512" s="237"/>
      <c r="BL512" s="237"/>
      <c r="BM512" s="237"/>
      <c r="BN512" s="237"/>
      <c r="BO512" s="237"/>
      <c r="BP512" s="237"/>
      <c r="BQ512" s="237"/>
      <c r="BR512" s="237"/>
      <c r="BS512" s="237"/>
      <c r="BT512" s="237"/>
      <c r="BU512" s="237"/>
      <c r="BV512" s="237"/>
      <c r="BW512" s="237"/>
      <c r="BX512" s="237"/>
      <c r="BY512" s="237"/>
      <c r="BZ512" s="237"/>
      <c r="CA512" s="237"/>
      <c r="CB512" s="237"/>
      <c r="CC512" s="237"/>
      <c r="CD512" s="237"/>
      <c r="CE512" s="237"/>
      <c r="CF512" s="237"/>
      <c r="CG512" s="237"/>
      <c r="CH512" s="237"/>
      <c r="CI512" s="237"/>
      <c r="CJ512" s="237"/>
      <c r="CK512" s="237"/>
      <c r="CL512" s="237"/>
      <c r="CM512" s="237"/>
      <c r="CN512" s="237"/>
      <c r="CO512" s="237"/>
      <c r="CP512" s="237"/>
      <c r="CQ512" s="237"/>
      <c r="CR512" s="237"/>
      <c r="CS512" s="237"/>
      <c r="CT512" s="237"/>
      <c r="CU512" s="237"/>
      <c r="CV512" s="237"/>
      <c r="CW512" s="237"/>
      <c r="CX512" s="237"/>
      <c r="CY512" s="237"/>
      <c r="CZ512" s="237"/>
      <c r="DA512" s="237"/>
      <c r="DB512" s="237"/>
      <c r="DC512" s="237"/>
      <c r="DD512" s="237"/>
      <c r="DE512" s="237"/>
      <c r="DF512" s="237"/>
      <c r="DG512" s="237"/>
      <c r="DH512" s="237"/>
      <c r="DI512" s="237"/>
      <c r="DJ512" s="237"/>
      <c r="DK512" s="237"/>
      <c r="DL512" s="237"/>
      <c r="DM512" s="237"/>
      <c r="DN512" s="237"/>
      <c r="DO512" s="237"/>
      <c r="DP512" s="237"/>
      <c r="DQ512" s="237"/>
      <c r="DR512" s="237"/>
      <c r="DS512" s="237"/>
      <c r="DT512" s="237"/>
      <c r="DU512" s="237"/>
      <c r="DV512" s="237"/>
      <c r="DW512" s="237"/>
      <c r="DX512" s="237"/>
      <c r="DY512" s="237"/>
      <c r="DZ512" s="237"/>
      <c r="EA512" s="237"/>
      <c r="EB512" s="237"/>
      <c r="EC512" s="237"/>
      <c r="ED512" s="237"/>
      <c r="EE512" s="237"/>
      <c r="EF512" s="237"/>
      <c r="EG512" s="237"/>
      <c r="EH512" s="237"/>
      <c r="EI512" s="237"/>
      <c r="EJ512" s="237"/>
      <c r="EK512" s="237"/>
      <c r="EL512" s="237"/>
      <c r="EM512" s="237"/>
      <c r="EN512" s="237"/>
      <c r="EO512" s="237"/>
      <c r="EP512" s="237"/>
      <c r="EQ512" s="237"/>
      <c r="ER512" s="237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9"/>
      <c r="FH512" s="9"/>
      <c r="FI512" s="9"/>
      <c r="FJ512" s="9"/>
      <c r="FK512" s="9"/>
      <c r="FL512" s="9"/>
      <c r="FM512" s="9"/>
      <c r="FN512" s="9"/>
      <c r="FO512" s="9"/>
      <c r="FP512" s="9"/>
    </row>
    <row r="513" customFormat="false" ht="15" hidden="false" customHeight="false" outlineLevel="2" collapsed="false">
      <c r="B513" s="47" t="s">
        <v>924</v>
      </c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237"/>
      <c r="AD513" s="237"/>
      <c r="AE513" s="237"/>
      <c r="AF513" s="237"/>
      <c r="AG513" s="237"/>
      <c r="AH513" s="237"/>
      <c r="AI513" s="237"/>
      <c r="AJ513" s="237"/>
      <c r="AK513" s="237"/>
      <c r="AL513" s="237"/>
      <c r="AM513" s="237"/>
      <c r="AN513" s="237"/>
      <c r="AO513" s="237"/>
      <c r="AP513" s="237"/>
      <c r="AQ513" s="237"/>
      <c r="AR513" s="237"/>
      <c r="AS513" s="237"/>
      <c r="AT513" s="237"/>
      <c r="AU513" s="237"/>
      <c r="AV513" s="237"/>
      <c r="AW513" s="237"/>
      <c r="AX513" s="237"/>
      <c r="AY513" s="237"/>
      <c r="AZ513" s="237"/>
      <c r="BA513" s="237"/>
      <c r="BB513" s="237"/>
      <c r="BC513" s="237"/>
      <c r="BD513" s="237"/>
      <c r="BE513" s="237"/>
      <c r="BF513" s="237"/>
      <c r="BG513" s="237"/>
      <c r="BH513" s="237"/>
      <c r="BI513" s="237"/>
      <c r="BJ513" s="237"/>
      <c r="BK513" s="237"/>
      <c r="BL513" s="237"/>
      <c r="BM513" s="237"/>
      <c r="BN513" s="237"/>
      <c r="BO513" s="237"/>
      <c r="BP513" s="237"/>
      <c r="BQ513" s="237"/>
      <c r="BR513" s="237"/>
      <c r="BS513" s="237"/>
      <c r="BT513" s="237"/>
      <c r="BU513" s="237"/>
      <c r="BV513" s="237"/>
      <c r="BW513" s="237"/>
      <c r="BX513" s="237"/>
      <c r="BY513" s="237"/>
      <c r="BZ513" s="237"/>
      <c r="CA513" s="237"/>
      <c r="CB513" s="237"/>
      <c r="CC513" s="237"/>
      <c r="CD513" s="237"/>
      <c r="CE513" s="237"/>
      <c r="CF513" s="237"/>
      <c r="CG513" s="237"/>
      <c r="CH513" s="237"/>
      <c r="CI513" s="237"/>
      <c r="CJ513" s="237"/>
      <c r="CK513" s="237"/>
      <c r="CL513" s="237"/>
      <c r="CM513" s="237"/>
      <c r="CN513" s="237"/>
      <c r="CO513" s="237"/>
      <c r="CP513" s="237"/>
      <c r="CQ513" s="237"/>
      <c r="CR513" s="237"/>
      <c r="CS513" s="237"/>
      <c r="CT513" s="237"/>
      <c r="CU513" s="237"/>
      <c r="CV513" s="237"/>
      <c r="CW513" s="237"/>
      <c r="CX513" s="237"/>
      <c r="CY513" s="237"/>
      <c r="CZ513" s="237"/>
      <c r="DA513" s="237"/>
      <c r="DB513" s="237"/>
      <c r="DC513" s="237"/>
      <c r="DD513" s="237"/>
      <c r="DE513" s="237"/>
      <c r="DF513" s="237"/>
      <c r="DG513" s="237"/>
      <c r="DH513" s="237"/>
      <c r="DI513" s="237"/>
      <c r="DJ513" s="237"/>
      <c r="DK513" s="237"/>
      <c r="DL513" s="237"/>
      <c r="DM513" s="237"/>
      <c r="DN513" s="237"/>
      <c r="DO513" s="237"/>
      <c r="DP513" s="237"/>
      <c r="DQ513" s="237"/>
      <c r="DR513" s="237"/>
      <c r="DS513" s="237"/>
      <c r="DT513" s="237"/>
      <c r="DU513" s="237"/>
      <c r="DV513" s="237"/>
      <c r="DW513" s="237"/>
      <c r="DX513" s="237"/>
      <c r="DY513" s="237"/>
      <c r="DZ513" s="237"/>
      <c r="EA513" s="237"/>
      <c r="EB513" s="237"/>
      <c r="EC513" s="237"/>
      <c r="ED513" s="237"/>
      <c r="EE513" s="237"/>
      <c r="EF513" s="237"/>
      <c r="EG513" s="237"/>
      <c r="EH513" s="237"/>
      <c r="EI513" s="237"/>
      <c r="EJ513" s="237"/>
      <c r="EK513" s="237"/>
      <c r="EL513" s="237"/>
      <c r="EM513" s="237"/>
      <c r="EN513" s="237"/>
      <c r="EO513" s="237"/>
      <c r="EP513" s="237"/>
      <c r="EQ513" s="237"/>
      <c r="ER513" s="237"/>
      <c r="ES513" s="9"/>
      <c r="ET513" s="9"/>
      <c r="EU513" s="9"/>
      <c r="EV513" s="9"/>
      <c r="EW513" s="9"/>
      <c r="EX513" s="9"/>
      <c r="EY513" s="9"/>
      <c r="EZ513" s="9"/>
      <c r="FA513" s="9"/>
      <c r="FB513" s="9"/>
      <c r="FC513" s="9"/>
      <c r="FD513" s="9"/>
      <c r="FE513" s="9"/>
      <c r="FF513" s="9"/>
      <c r="FG513" s="9"/>
      <c r="FH513" s="9"/>
      <c r="FI513" s="9"/>
      <c r="FJ513" s="9"/>
      <c r="FK513" s="9"/>
      <c r="FL513" s="9"/>
      <c r="FM513" s="9"/>
      <c r="FN513" s="9"/>
      <c r="FO513" s="9"/>
      <c r="FP513" s="9"/>
    </row>
    <row r="514" customFormat="false" ht="15" hidden="false" customHeight="false" outlineLevel="2" collapsed="false">
      <c r="B514" s="47" t="s">
        <v>872</v>
      </c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237" t="n">
        <f aca="false">('⑫ Roll-out Plan'!G56-2025)*12+'⑫ Roll-out Plan'!F56</f>
        <v>111</v>
      </c>
      <c r="AD514" s="237"/>
      <c r="AE514" s="237"/>
      <c r="AF514" s="237"/>
      <c r="AG514" s="237"/>
      <c r="AH514" s="237"/>
      <c r="AI514" s="237"/>
      <c r="AJ514" s="237"/>
      <c r="AK514" s="237"/>
      <c r="AL514" s="237"/>
      <c r="AM514" s="237"/>
      <c r="AN514" s="237"/>
      <c r="AO514" s="237"/>
      <c r="AP514" s="237"/>
      <c r="AQ514" s="237"/>
      <c r="AR514" s="237"/>
      <c r="AS514" s="237"/>
      <c r="AT514" s="237"/>
      <c r="AU514" s="237"/>
      <c r="AV514" s="237"/>
      <c r="AW514" s="237"/>
      <c r="AX514" s="237"/>
      <c r="AY514" s="237"/>
      <c r="AZ514" s="237"/>
      <c r="BA514" s="237"/>
      <c r="BB514" s="237"/>
      <c r="BC514" s="237"/>
      <c r="BD514" s="237"/>
      <c r="BE514" s="237"/>
      <c r="BF514" s="237"/>
      <c r="BG514" s="237"/>
      <c r="BH514" s="237"/>
      <c r="BI514" s="237"/>
      <c r="BJ514" s="237"/>
      <c r="BK514" s="237"/>
      <c r="BL514" s="237"/>
      <c r="BM514" s="237"/>
      <c r="BN514" s="237"/>
      <c r="BO514" s="237"/>
      <c r="BP514" s="237"/>
      <c r="BQ514" s="237"/>
      <c r="BR514" s="237"/>
      <c r="BS514" s="237"/>
      <c r="BT514" s="237"/>
      <c r="BU514" s="237"/>
      <c r="BV514" s="237"/>
      <c r="BW514" s="237"/>
      <c r="BX514" s="237"/>
      <c r="BY514" s="237"/>
      <c r="BZ514" s="237"/>
      <c r="CA514" s="237"/>
      <c r="CB514" s="237"/>
      <c r="CC514" s="237"/>
      <c r="CD514" s="237"/>
      <c r="CE514" s="237"/>
      <c r="CF514" s="237"/>
      <c r="CG514" s="237"/>
      <c r="CH514" s="237"/>
      <c r="CI514" s="237"/>
      <c r="CJ514" s="237"/>
      <c r="CK514" s="237"/>
      <c r="CL514" s="237"/>
      <c r="CM514" s="237"/>
      <c r="CN514" s="237"/>
      <c r="CO514" s="237"/>
      <c r="CP514" s="237"/>
      <c r="CQ514" s="237"/>
      <c r="CR514" s="237"/>
      <c r="CS514" s="237"/>
      <c r="CT514" s="237"/>
      <c r="CU514" s="237"/>
      <c r="CV514" s="237"/>
      <c r="CW514" s="237"/>
      <c r="CX514" s="237"/>
      <c r="CY514" s="237"/>
      <c r="CZ514" s="237"/>
      <c r="DA514" s="237"/>
      <c r="DB514" s="237"/>
      <c r="DC514" s="237"/>
      <c r="DD514" s="237"/>
      <c r="DE514" s="237"/>
      <c r="DF514" s="237"/>
      <c r="DG514" s="237"/>
      <c r="DH514" s="237"/>
      <c r="DI514" s="237"/>
      <c r="DJ514" s="237"/>
      <c r="DK514" s="237"/>
      <c r="DL514" s="237"/>
      <c r="DM514" s="237"/>
      <c r="DN514" s="237"/>
      <c r="DO514" s="237"/>
      <c r="DP514" s="237"/>
      <c r="DQ514" s="237"/>
      <c r="DR514" s="237"/>
      <c r="DS514" s="237"/>
      <c r="DT514" s="237"/>
      <c r="DU514" s="237"/>
      <c r="DV514" s="237"/>
      <c r="DW514" s="237"/>
      <c r="DX514" s="237"/>
      <c r="DY514" s="237"/>
      <c r="DZ514" s="237"/>
      <c r="EA514" s="237"/>
      <c r="EB514" s="237"/>
      <c r="EC514" s="237"/>
      <c r="ED514" s="237"/>
      <c r="EE514" s="237"/>
      <c r="EF514" s="237"/>
      <c r="EG514" s="237"/>
      <c r="EH514" s="237"/>
      <c r="EI514" s="237"/>
      <c r="EJ514" s="237"/>
      <c r="EK514" s="237"/>
      <c r="EL514" s="237"/>
      <c r="EM514" s="237"/>
      <c r="EN514" s="237"/>
      <c r="EO514" s="237"/>
      <c r="EP514" s="237"/>
      <c r="EQ514" s="237"/>
      <c r="ER514" s="237"/>
      <c r="ES514" s="9"/>
      <c r="ET514" s="9"/>
      <c r="EU514" s="9"/>
      <c r="EV514" s="9"/>
      <c r="EW514" s="9"/>
      <c r="EX514" s="9"/>
      <c r="EY514" s="9"/>
      <c r="EZ514" s="9"/>
      <c r="FA514" s="9"/>
      <c r="FB514" s="9"/>
      <c r="FC514" s="9"/>
      <c r="FD514" s="9"/>
      <c r="FE514" s="9"/>
      <c r="FF514" s="9"/>
      <c r="FG514" s="9"/>
      <c r="FH514" s="9"/>
      <c r="FI514" s="9"/>
      <c r="FJ514" s="9"/>
      <c r="FK514" s="9"/>
      <c r="FL514" s="9"/>
      <c r="FM514" s="9"/>
      <c r="FN514" s="9"/>
      <c r="FO514" s="9"/>
      <c r="FP514" s="9"/>
    </row>
    <row r="515" customFormat="false" ht="15" hidden="false" customHeight="false" outlineLevel="2" collapsed="false">
      <c r="B515" s="47" t="s">
        <v>873</v>
      </c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237" t="n">
        <f aca="false">VLOOKUP("B",$B$14:$C$18,2,FALSE())</f>
        <v>185</v>
      </c>
      <c r="AD515" s="237"/>
      <c r="AE515" s="237"/>
      <c r="AF515" s="237"/>
      <c r="AG515" s="237"/>
      <c r="AH515" s="237"/>
      <c r="AI515" s="237"/>
      <c r="AJ515" s="237"/>
      <c r="AK515" s="237"/>
      <c r="AL515" s="237"/>
      <c r="AM515" s="237"/>
      <c r="AN515" s="237"/>
      <c r="AO515" s="237"/>
      <c r="AP515" s="237"/>
      <c r="AQ515" s="237"/>
      <c r="AR515" s="237"/>
      <c r="AS515" s="237"/>
      <c r="AT515" s="237"/>
      <c r="AU515" s="237"/>
      <c r="AV515" s="237"/>
      <c r="AW515" s="237"/>
      <c r="AX515" s="237"/>
      <c r="AY515" s="237"/>
      <c r="AZ515" s="237"/>
      <c r="BA515" s="237"/>
      <c r="BB515" s="237"/>
      <c r="BC515" s="237"/>
      <c r="BD515" s="237"/>
      <c r="BE515" s="237"/>
      <c r="BF515" s="237"/>
      <c r="BG515" s="237"/>
      <c r="BH515" s="237"/>
      <c r="BI515" s="237"/>
      <c r="BJ515" s="237"/>
      <c r="BK515" s="237"/>
      <c r="BL515" s="237"/>
      <c r="BM515" s="237"/>
      <c r="BN515" s="237"/>
      <c r="BO515" s="237"/>
      <c r="BP515" s="237"/>
      <c r="BQ515" s="237"/>
      <c r="BR515" s="237"/>
      <c r="BS515" s="237"/>
      <c r="BT515" s="237"/>
      <c r="BU515" s="237"/>
      <c r="BV515" s="237"/>
      <c r="BW515" s="237"/>
      <c r="BX515" s="237"/>
      <c r="BY515" s="237"/>
      <c r="BZ515" s="237"/>
      <c r="CA515" s="237"/>
      <c r="CB515" s="237"/>
      <c r="CC515" s="237"/>
      <c r="CD515" s="237"/>
      <c r="CE515" s="237"/>
      <c r="CF515" s="237"/>
      <c r="CG515" s="237"/>
      <c r="CH515" s="237"/>
      <c r="CI515" s="237"/>
      <c r="CJ515" s="237"/>
      <c r="CK515" s="237"/>
      <c r="CL515" s="237"/>
      <c r="CM515" s="237"/>
      <c r="CN515" s="237"/>
      <c r="CO515" s="237"/>
      <c r="CP515" s="237"/>
      <c r="CQ515" s="237"/>
      <c r="CR515" s="237"/>
      <c r="CS515" s="237"/>
      <c r="CT515" s="237"/>
      <c r="CU515" s="237"/>
      <c r="CV515" s="237"/>
      <c r="CW515" s="237"/>
      <c r="CX515" s="237"/>
      <c r="CY515" s="237"/>
      <c r="CZ515" s="237"/>
      <c r="DA515" s="237"/>
      <c r="DB515" s="237"/>
      <c r="DC515" s="237"/>
      <c r="DD515" s="237"/>
      <c r="DE515" s="237"/>
      <c r="DF515" s="237"/>
      <c r="DG515" s="237"/>
      <c r="DH515" s="237"/>
      <c r="DI515" s="237"/>
      <c r="DJ515" s="237"/>
      <c r="DK515" s="237"/>
      <c r="DL515" s="237"/>
      <c r="DM515" s="237"/>
      <c r="DN515" s="237"/>
      <c r="DO515" s="237"/>
      <c r="DP515" s="237"/>
      <c r="DQ515" s="237"/>
      <c r="DR515" s="237"/>
      <c r="DS515" s="237"/>
      <c r="DT515" s="237"/>
      <c r="DU515" s="237"/>
      <c r="DV515" s="237"/>
      <c r="DW515" s="237"/>
      <c r="DX515" s="237"/>
      <c r="DY515" s="237"/>
      <c r="DZ515" s="237"/>
      <c r="EA515" s="237"/>
      <c r="EB515" s="237"/>
      <c r="EC515" s="237"/>
      <c r="ED515" s="237"/>
      <c r="EE515" s="237"/>
      <c r="EF515" s="237"/>
      <c r="EG515" s="237"/>
      <c r="EH515" s="237"/>
      <c r="EI515" s="237"/>
      <c r="EJ515" s="237"/>
      <c r="EK515" s="237"/>
      <c r="EL515" s="237"/>
      <c r="EM515" s="237"/>
      <c r="EN515" s="237"/>
      <c r="EO515" s="237"/>
      <c r="EP515" s="237"/>
      <c r="EQ515" s="237"/>
      <c r="ER515" s="237"/>
      <c r="ES515" s="9"/>
      <c r="ET515" s="9"/>
      <c r="EU515" s="9"/>
      <c r="EV515" s="9"/>
      <c r="EW515" s="9"/>
      <c r="EX515" s="9"/>
      <c r="EY515" s="9"/>
      <c r="EZ515" s="9"/>
      <c r="FA515" s="9"/>
      <c r="FB515" s="9"/>
      <c r="FC515" s="9"/>
      <c r="FD515" s="9"/>
      <c r="FE515" s="9"/>
      <c r="FF515" s="9"/>
      <c r="FG515" s="9"/>
      <c r="FH515" s="9"/>
      <c r="FI515" s="9"/>
      <c r="FJ515" s="9"/>
      <c r="FK515" s="9"/>
      <c r="FL515" s="9"/>
      <c r="FM515" s="9"/>
      <c r="FN515" s="9"/>
      <c r="FO515" s="9"/>
      <c r="FP515" s="9"/>
    </row>
    <row r="516" customFormat="false" ht="15" hidden="false" customHeight="false" outlineLevel="2" collapsed="false">
      <c r="B516" s="47" t="s">
        <v>799</v>
      </c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237" t="n">
        <f aca="false">IF(AC$35&gt;=$AC$514,AC$35-$AC$514+1,0)</f>
        <v>0</v>
      </c>
      <c r="AD516" s="237" t="n">
        <f aca="false">IF(AD$35&gt;=$AC$514,AD$35-$AC$514+1,0)</f>
        <v>0</v>
      </c>
      <c r="AE516" s="237" t="n">
        <f aca="false">IF(AE$35&gt;=$AC$514,AE$35-$AC$514+1,0)</f>
        <v>0</v>
      </c>
      <c r="AF516" s="237" t="n">
        <f aca="false">IF(AF$35&gt;=$AC$514,AF$35-$AC$514+1,0)</f>
        <v>0</v>
      </c>
      <c r="AG516" s="237" t="n">
        <f aca="false">IF(AG$35&gt;=$AC$514,AG$35-$AC$514+1,0)</f>
        <v>0</v>
      </c>
      <c r="AH516" s="237" t="n">
        <f aca="false">IF(AH$35&gt;=$AC$514,AH$35-$AC$514+1,0)</f>
        <v>0</v>
      </c>
      <c r="AI516" s="237" t="n">
        <f aca="false">IF(AI$35&gt;=$AC$514,AI$35-$AC$514+1,0)</f>
        <v>0</v>
      </c>
      <c r="AJ516" s="237" t="n">
        <f aca="false">IF(AJ$35&gt;=$AC$514,AJ$35-$AC$514+1,0)</f>
        <v>0</v>
      </c>
      <c r="AK516" s="237" t="n">
        <f aca="false">IF(AK$35&gt;=$AC$514,AK$35-$AC$514+1,0)</f>
        <v>0</v>
      </c>
      <c r="AL516" s="237" t="n">
        <f aca="false">IF(AL$35&gt;=$AC$514,AL$35-$AC$514+1,0)</f>
        <v>0</v>
      </c>
      <c r="AM516" s="237" t="n">
        <f aca="false">IF(AM$35&gt;=$AC$514,AM$35-$AC$514+1,0)</f>
        <v>0</v>
      </c>
      <c r="AN516" s="237" t="n">
        <f aca="false">IF(AN$35&gt;=$AC$514,AN$35-$AC$514+1,0)</f>
        <v>0</v>
      </c>
      <c r="AO516" s="237" t="n">
        <f aca="false">IF(AO$35&gt;=$AC$514,AO$35-$AC$514+1,0)</f>
        <v>0</v>
      </c>
      <c r="AP516" s="237" t="n">
        <f aca="false">IF(AP$35&gt;=$AC$514,AP$35-$AC$514+1,0)</f>
        <v>0</v>
      </c>
      <c r="AQ516" s="237" t="n">
        <f aca="false">IF(AQ$35&gt;=$AC$514,AQ$35-$AC$514+1,0)</f>
        <v>0</v>
      </c>
      <c r="AR516" s="237" t="n">
        <f aca="false">IF(AR$35&gt;=$AC$514,AR$35-$AC$514+1,0)</f>
        <v>0</v>
      </c>
      <c r="AS516" s="237" t="n">
        <f aca="false">IF(AS$35&gt;=$AC$514,AS$35-$AC$514+1,0)</f>
        <v>0</v>
      </c>
      <c r="AT516" s="237" t="n">
        <f aca="false">IF(AT$35&gt;=$AC$514,AT$35-$AC$514+1,0)</f>
        <v>0</v>
      </c>
      <c r="AU516" s="237" t="n">
        <f aca="false">IF(AU$35&gt;=$AC$514,AU$35-$AC$514+1,0)</f>
        <v>0</v>
      </c>
      <c r="AV516" s="237" t="n">
        <f aca="false">IF(AV$35&gt;=$AC$514,AV$35-$AC$514+1,0)</f>
        <v>0</v>
      </c>
      <c r="AW516" s="237" t="n">
        <f aca="false">IF(AW$35&gt;=$AC$514,AW$35-$AC$514+1,0)</f>
        <v>0</v>
      </c>
      <c r="AX516" s="237" t="n">
        <f aca="false">IF(AX$35&gt;=$AC$514,AX$35-$AC$514+1,0)</f>
        <v>0</v>
      </c>
      <c r="AY516" s="237" t="n">
        <f aca="false">IF(AY$35&gt;=$AC$514,AY$35-$AC$514+1,0)</f>
        <v>0</v>
      </c>
      <c r="AZ516" s="237" t="n">
        <f aca="false">IF(AZ$35&gt;=$AC$514,AZ$35-$AC$514+1,0)</f>
        <v>0</v>
      </c>
      <c r="BA516" s="237" t="n">
        <f aca="false">IF(BA$35&gt;=$AC$514,BA$35-$AC$514+1,0)</f>
        <v>0</v>
      </c>
      <c r="BB516" s="237" t="n">
        <f aca="false">IF(BB$35&gt;=$AC$514,BB$35-$AC$514+1,0)</f>
        <v>0</v>
      </c>
      <c r="BC516" s="237" t="n">
        <f aca="false">IF(BC$35&gt;=$AC$514,BC$35-$AC$514+1,0)</f>
        <v>0</v>
      </c>
      <c r="BD516" s="237" t="n">
        <f aca="false">IF(BD$35&gt;=$AC$514,BD$35-$AC$514+1,0)</f>
        <v>0</v>
      </c>
      <c r="BE516" s="237" t="n">
        <f aca="false">IF(BE$35&gt;=$AC$514,BE$35-$AC$514+1,0)</f>
        <v>0</v>
      </c>
      <c r="BF516" s="237" t="n">
        <f aca="false">IF(BF$35&gt;=$AC$514,BF$35-$AC$514+1,0)</f>
        <v>0</v>
      </c>
      <c r="BG516" s="237" t="n">
        <f aca="false">IF(BG$35&gt;=$AC$514,BG$35-$AC$514+1,0)</f>
        <v>0</v>
      </c>
      <c r="BH516" s="237" t="n">
        <f aca="false">IF(BH$35&gt;=$AC$514,BH$35-$AC$514+1,0)</f>
        <v>0</v>
      </c>
      <c r="BI516" s="237" t="n">
        <f aca="false">IF(BI$35&gt;=$AC$514,BI$35-$AC$514+1,0)</f>
        <v>0</v>
      </c>
      <c r="BJ516" s="237" t="n">
        <f aca="false">IF(BJ$35&gt;=$AC$514,BJ$35-$AC$514+1,0)</f>
        <v>0</v>
      </c>
      <c r="BK516" s="237" t="n">
        <f aca="false">IF(BK$35&gt;=$AC$514,BK$35-$AC$514+1,0)</f>
        <v>0</v>
      </c>
      <c r="BL516" s="237" t="n">
        <f aca="false">IF(BL$35&gt;=$AC$514,BL$35-$AC$514+1,0)</f>
        <v>0</v>
      </c>
      <c r="BM516" s="237" t="n">
        <f aca="false">IF(BM$35&gt;=$AC$514,BM$35-$AC$514+1,0)</f>
        <v>0</v>
      </c>
      <c r="BN516" s="237" t="n">
        <f aca="false">IF(BN$35&gt;=$AC$514,BN$35-$AC$514+1,0)</f>
        <v>0</v>
      </c>
      <c r="BO516" s="237" t="n">
        <f aca="false">IF(BO$35&gt;=$AC$514,BO$35-$AC$514+1,0)</f>
        <v>0</v>
      </c>
      <c r="BP516" s="237" t="n">
        <f aca="false">IF(BP$35&gt;=$AC$514,BP$35-$AC$514+1,0)</f>
        <v>0</v>
      </c>
      <c r="BQ516" s="237" t="n">
        <f aca="false">IF(BQ$35&gt;=$AC$514,BQ$35-$AC$514+1,0)</f>
        <v>0</v>
      </c>
      <c r="BR516" s="237" t="n">
        <f aca="false">IF(BR$35&gt;=$AC$514,BR$35-$AC$514+1,0)</f>
        <v>0</v>
      </c>
      <c r="BS516" s="237" t="n">
        <f aca="false">IF(BS$35&gt;=$AC$514,BS$35-$AC$514+1,0)</f>
        <v>0</v>
      </c>
      <c r="BT516" s="237" t="n">
        <f aca="false">IF(BT$35&gt;=$AC$514,BT$35-$AC$514+1,0)</f>
        <v>0</v>
      </c>
      <c r="BU516" s="237" t="n">
        <f aca="false">IF(BU$35&gt;=$AC$514,BU$35-$AC$514+1,0)</f>
        <v>0</v>
      </c>
      <c r="BV516" s="237" t="n">
        <f aca="false">IF(BV$35&gt;=$AC$514,BV$35-$AC$514+1,0)</f>
        <v>0</v>
      </c>
      <c r="BW516" s="237" t="n">
        <f aca="false">IF(BW$35&gt;=$AC$514,BW$35-$AC$514+1,0)</f>
        <v>0</v>
      </c>
      <c r="BX516" s="237" t="n">
        <f aca="false">IF(BX$35&gt;=$AC$514,BX$35-$AC$514+1,0)</f>
        <v>0</v>
      </c>
      <c r="BY516" s="237" t="n">
        <f aca="false">IF(BY$35&gt;=$AC$514,BY$35-$AC$514+1,0)</f>
        <v>0</v>
      </c>
      <c r="BZ516" s="237" t="n">
        <f aca="false">IF(BZ$35&gt;=$AC$514,BZ$35-$AC$514+1,0)</f>
        <v>0</v>
      </c>
      <c r="CA516" s="237" t="n">
        <f aca="false">IF(CA$35&gt;=$AC$514,CA$35-$AC$514+1,0)</f>
        <v>0</v>
      </c>
      <c r="CB516" s="237" t="n">
        <f aca="false">IF(CB$35&gt;=$AC$514,CB$35-$AC$514+1,0)</f>
        <v>0</v>
      </c>
      <c r="CC516" s="237" t="n">
        <f aca="false">IF(CC$35&gt;=$AC$514,CC$35-$AC$514+1,0)</f>
        <v>0</v>
      </c>
      <c r="CD516" s="237" t="n">
        <f aca="false">IF(CD$35&gt;=$AC$514,CD$35-$AC$514+1,0)</f>
        <v>0</v>
      </c>
      <c r="CE516" s="237" t="n">
        <f aca="false">IF(CE$35&gt;=$AC$514,CE$35-$AC$514+1,0)</f>
        <v>0</v>
      </c>
      <c r="CF516" s="237" t="n">
        <f aca="false">IF(CF$35&gt;=$AC$514,CF$35-$AC$514+1,0)</f>
        <v>0</v>
      </c>
      <c r="CG516" s="237" t="n">
        <f aca="false">IF(CG$35&gt;=$AC$514,CG$35-$AC$514+1,0)</f>
        <v>0</v>
      </c>
      <c r="CH516" s="237" t="n">
        <f aca="false">IF(CH$35&gt;=$AC$514,CH$35-$AC$514+1,0)</f>
        <v>0</v>
      </c>
      <c r="CI516" s="237" t="n">
        <f aca="false">IF(CI$35&gt;=$AC$514,CI$35-$AC$514+1,0)</f>
        <v>0</v>
      </c>
      <c r="CJ516" s="237" t="n">
        <f aca="false">IF(CJ$35&gt;=$AC$514,CJ$35-$AC$514+1,0)</f>
        <v>0</v>
      </c>
      <c r="CK516" s="237" t="n">
        <f aca="false">IF(CK$35&gt;=$AC$514,CK$35-$AC$514+1,0)</f>
        <v>0</v>
      </c>
      <c r="CL516" s="237" t="n">
        <f aca="false">IF(CL$35&gt;=$AC$514,CL$35-$AC$514+1,0)</f>
        <v>0</v>
      </c>
      <c r="CM516" s="237" t="n">
        <f aca="false">IF(CM$35&gt;=$AC$514,CM$35-$AC$514+1,0)</f>
        <v>0</v>
      </c>
      <c r="CN516" s="237" t="n">
        <f aca="false">IF(CN$35&gt;=$AC$514,CN$35-$AC$514+1,0)</f>
        <v>0</v>
      </c>
      <c r="CO516" s="237" t="n">
        <f aca="false">IF(CO$35&gt;=$AC$514,CO$35-$AC$514+1,0)</f>
        <v>0</v>
      </c>
      <c r="CP516" s="237" t="n">
        <f aca="false">IF(CP$35&gt;=$AC$514,CP$35-$AC$514+1,0)</f>
        <v>0</v>
      </c>
      <c r="CQ516" s="237" t="n">
        <f aca="false">IF(CQ$35&gt;=$AC$514,CQ$35-$AC$514+1,0)</f>
        <v>0</v>
      </c>
      <c r="CR516" s="237" t="n">
        <f aca="false">IF(CR$35&gt;=$AC$514,CR$35-$AC$514+1,0)</f>
        <v>0</v>
      </c>
      <c r="CS516" s="237" t="n">
        <f aca="false">IF(CS$35&gt;=$AC$514,CS$35-$AC$514+1,0)</f>
        <v>0</v>
      </c>
      <c r="CT516" s="237" t="n">
        <f aca="false">IF(CT$35&gt;=$AC$514,CT$35-$AC$514+1,0)</f>
        <v>0</v>
      </c>
      <c r="CU516" s="237" t="n">
        <f aca="false">IF(CU$35&gt;=$AC$514,CU$35-$AC$514+1,0)</f>
        <v>0</v>
      </c>
      <c r="CV516" s="237" t="n">
        <f aca="false">IF(CV$35&gt;=$AC$514,CV$35-$AC$514+1,0)</f>
        <v>0</v>
      </c>
      <c r="CW516" s="237" t="n">
        <f aca="false">IF(CW$35&gt;=$AC$514,CW$35-$AC$514+1,0)</f>
        <v>0</v>
      </c>
      <c r="CX516" s="237" t="n">
        <f aca="false">IF(CX$35&gt;=$AC$514,CX$35-$AC$514+1,0)</f>
        <v>0</v>
      </c>
      <c r="CY516" s="237" t="n">
        <f aca="false">IF(CY$35&gt;=$AC$514,CY$35-$AC$514+1,0)</f>
        <v>0</v>
      </c>
      <c r="CZ516" s="237" t="n">
        <f aca="false">IF(CZ$35&gt;=$AC$514,CZ$35-$AC$514+1,0)</f>
        <v>0</v>
      </c>
      <c r="DA516" s="237" t="n">
        <f aca="false">IF(DA$35&gt;=$AC$514,DA$35-$AC$514+1,0)</f>
        <v>0</v>
      </c>
      <c r="DB516" s="237" t="n">
        <f aca="false">IF(DB$35&gt;=$AC$514,DB$35-$AC$514+1,0)</f>
        <v>0</v>
      </c>
      <c r="DC516" s="237" t="n">
        <f aca="false">IF(DC$35&gt;=$AC$514,DC$35-$AC$514+1,0)</f>
        <v>0</v>
      </c>
      <c r="DD516" s="237" t="n">
        <f aca="false">IF(DD$35&gt;=$AC$514,DD$35-$AC$514+1,0)</f>
        <v>0</v>
      </c>
      <c r="DE516" s="237" t="n">
        <f aca="false">IF(DE$35&gt;=$AC$514,DE$35-$AC$514+1,0)</f>
        <v>0</v>
      </c>
      <c r="DF516" s="237" t="n">
        <f aca="false">IF(DF$35&gt;=$AC$514,DF$35-$AC$514+1,0)</f>
        <v>0</v>
      </c>
      <c r="DG516" s="237" t="n">
        <f aca="false">IF(DG$35&gt;=$AC$514,DG$35-$AC$514+1,0)</f>
        <v>0</v>
      </c>
      <c r="DH516" s="237" t="n">
        <f aca="false">IF(DH$35&gt;=$AC$514,DH$35-$AC$514+1,0)</f>
        <v>0</v>
      </c>
      <c r="DI516" s="237" t="n">
        <f aca="false">IF(DI$35&gt;=$AC$514,DI$35-$AC$514+1,0)</f>
        <v>0</v>
      </c>
      <c r="DJ516" s="237" t="n">
        <f aca="false">IF(DJ$35&gt;=$AC$514,DJ$35-$AC$514+1,0)</f>
        <v>0</v>
      </c>
      <c r="DK516" s="237" t="n">
        <f aca="false">IF(DK$35&gt;=$AC$514,DK$35-$AC$514+1,0)</f>
        <v>0</v>
      </c>
      <c r="DL516" s="237" t="n">
        <f aca="false">IF(DL$35&gt;=$AC$514,DL$35-$AC$514+1,0)</f>
        <v>0</v>
      </c>
      <c r="DM516" s="237" t="n">
        <f aca="false">IF(DM$35&gt;=$AC$514,DM$35-$AC$514+1,0)</f>
        <v>0</v>
      </c>
      <c r="DN516" s="237" t="n">
        <f aca="false">IF(DN$35&gt;=$AC$514,DN$35-$AC$514+1,0)</f>
        <v>0</v>
      </c>
      <c r="DO516" s="237" t="n">
        <f aca="false">IF(DO$35&gt;=$AC$514,DO$35-$AC$514+1,0)</f>
        <v>0</v>
      </c>
      <c r="DP516" s="237" t="n">
        <f aca="false">IF(DP$35&gt;=$AC$514,DP$35-$AC$514+1,0)</f>
        <v>0</v>
      </c>
      <c r="DQ516" s="237" t="n">
        <f aca="false">IF(DQ$35&gt;=$AC$514,DQ$35-$AC$514+1,0)</f>
        <v>0</v>
      </c>
      <c r="DR516" s="237" t="n">
        <f aca="false">IF(DR$35&gt;=$AC$514,DR$35-$AC$514+1,0)</f>
        <v>0</v>
      </c>
      <c r="DS516" s="237" t="n">
        <f aca="false">IF(DS$35&gt;=$AC$514,DS$35-$AC$514+1,0)</f>
        <v>0</v>
      </c>
      <c r="DT516" s="237" t="n">
        <f aca="false">IF(DT$35&gt;=$AC$514,DT$35-$AC$514+1,0)</f>
        <v>0</v>
      </c>
      <c r="DU516" s="237" t="n">
        <f aca="false">IF(DU$35&gt;=$AC$514,DU$35-$AC$514+1,0)</f>
        <v>0</v>
      </c>
      <c r="DV516" s="237" t="n">
        <f aca="false">IF(DV$35&gt;=$AC$514,DV$35-$AC$514+1,0)</f>
        <v>0</v>
      </c>
      <c r="DW516" s="237" t="n">
        <f aca="false">IF(DW$35&gt;=$AC$514,DW$35-$AC$514+1,0)</f>
        <v>0</v>
      </c>
      <c r="DX516" s="237" t="n">
        <f aca="false">IF(DX$35&gt;=$AC$514,DX$35-$AC$514+1,0)</f>
        <v>0</v>
      </c>
      <c r="DY516" s="237" t="n">
        <f aca="false">IF(DY$35&gt;=$AC$514,DY$35-$AC$514+1,0)</f>
        <v>0</v>
      </c>
      <c r="DZ516" s="237" t="n">
        <f aca="false">IF(DZ$35&gt;=$AC$514,DZ$35-$AC$514+1,0)</f>
        <v>0</v>
      </c>
      <c r="EA516" s="237" t="n">
        <f aca="false">IF(EA$35&gt;=$AC$514,EA$35-$AC$514+1,0)</f>
        <v>0</v>
      </c>
      <c r="EB516" s="237" t="n">
        <f aca="false">IF(EB$35&gt;=$AC$514,EB$35-$AC$514+1,0)</f>
        <v>0</v>
      </c>
      <c r="EC516" s="237" t="n">
        <f aca="false">IF(EC$35&gt;=$AC$514,EC$35-$AC$514+1,0)</f>
        <v>0</v>
      </c>
      <c r="ED516" s="237" t="n">
        <f aca="false">IF(ED$35&gt;=$AC$514,ED$35-$AC$514+1,0)</f>
        <v>0</v>
      </c>
      <c r="EE516" s="237" t="n">
        <f aca="false">IF(EE$35&gt;=$AC$514,EE$35-$AC$514+1,0)</f>
        <v>0</v>
      </c>
      <c r="EF516" s="237" t="n">
        <f aca="false">IF(EF$35&gt;=$AC$514,EF$35-$AC$514+1,0)</f>
        <v>0</v>
      </c>
      <c r="EG516" s="237" t="n">
        <f aca="false">IF(EG$35&gt;=$AC$514,EG$35-$AC$514+1,0)</f>
        <v>0</v>
      </c>
      <c r="EH516" s="237" t="n">
        <f aca="false">IF(EH$35&gt;=$AC$514,EH$35-$AC$514+1,0)</f>
        <v>0</v>
      </c>
      <c r="EI516" s="237" t="n">
        <f aca="false">IF(EI$35&gt;=$AC$514,EI$35-$AC$514+1,0)</f>
        <v>1</v>
      </c>
      <c r="EJ516" s="237" t="n">
        <f aca="false">IF(EJ$35&gt;=$AC$514,EJ$35-$AC$514+1,0)</f>
        <v>2</v>
      </c>
      <c r="EK516" s="237" t="n">
        <f aca="false">IF(EK$35&gt;=$AC$514,EK$35-$AC$514+1,0)</f>
        <v>3</v>
      </c>
      <c r="EL516" s="237" t="n">
        <f aca="false">IF(EL$35&gt;=$AC$514,EL$35-$AC$514+1,0)</f>
        <v>4</v>
      </c>
      <c r="EM516" s="237" t="n">
        <f aca="false">IF(EM$35&gt;=$AC$514,EM$35-$AC$514+1,0)</f>
        <v>5</v>
      </c>
      <c r="EN516" s="237" t="n">
        <f aca="false">IF(EN$35&gt;=$AC$514,EN$35-$AC$514+1,0)</f>
        <v>6</v>
      </c>
      <c r="EO516" s="237" t="n">
        <f aca="false">IF(EO$35&gt;=$AC$514,EO$35-$AC$514+1,0)</f>
        <v>7</v>
      </c>
      <c r="EP516" s="237" t="n">
        <f aca="false">IF(EP$35&gt;=$AC$514,EP$35-$AC$514+1,0)</f>
        <v>8</v>
      </c>
      <c r="EQ516" s="237" t="n">
        <f aca="false">IF(EQ$35&gt;=$AC$514,EQ$35-$AC$514+1,0)</f>
        <v>9</v>
      </c>
      <c r="ER516" s="237" t="n">
        <f aca="false">IF(ER$35&gt;=$AC$514,ER$35-$AC$514+1,0)</f>
        <v>10</v>
      </c>
      <c r="ES516" s="9" t="n">
        <f aca="false">IF(ES$35&gt;=$AC$514,ES$35-$AC$514+1,0)</f>
        <v>11</v>
      </c>
      <c r="ET516" s="9" t="n">
        <f aca="false">IF(ET$35&gt;=$AC$514,ET$35-$AC$514+1,0)</f>
        <v>12</v>
      </c>
      <c r="EU516" s="9" t="n">
        <f aca="false">IF(EU$35&gt;=$AC$514,EU$35-$AC$514+1,0)</f>
        <v>13</v>
      </c>
      <c r="EV516" s="9" t="n">
        <f aca="false">IF(EV$35&gt;=$AC$514,EV$35-$AC$514+1,0)</f>
        <v>14</v>
      </c>
      <c r="EW516" s="9" t="n">
        <f aca="false">IF(EW$35&gt;=$AC$514,EW$35-$AC$514+1,0)</f>
        <v>15</v>
      </c>
      <c r="EX516" s="9" t="n">
        <f aca="false">IF(EX$35&gt;=$AC$514,EX$35-$AC$514+1,0)</f>
        <v>16</v>
      </c>
      <c r="EY516" s="9" t="n">
        <f aca="false">IF(EY$35&gt;=$AC$514,EY$35-$AC$514+1,0)</f>
        <v>17</v>
      </c>
      <c r="EZ516" s="9" t="n">
        <f aca="false">IF(EZ$35&gt;=$AC$514,EZ$35-$AC$514+1,0)</f>
        <v>18</v>
      </c>
      <c r="FA516" s="9" t="n">
        <f aca="false">IF(FA$35&gt;=$AC$514,FA$35-$AC$514+1,0)</f>
        <v>19</v>
      </c>
      <c r="FB516" s="9" t="n">
        <f aca="false">IF(FB$35&gt;=$AC$514,FB$35-$AC$514+1,0)</f>
        <v>20</v>
      </c>
      <c r="FC516" s="9" t="n">
        <f aca="false">IF(FC$35&gt;=$AC$514,FC$35-$AC$514+1,0)</f>
        <v>21</v>
      </c>
      <c r="FD516" s="9" t="n">
        <f aca="false">IF(FD$35&gt;=$AC$514,FD$35-$AC$514+1,0)</f>
        <v>22</v>
      </c>
      <c r="FE516" s="9" t="n">
        <f aca="false">IF(FE$35&gt;=$AC$514,FE$35-$AC$514+1,0)</f>
        <v>23</v>
      </c>
      <c r="FF516" s="9" t="n">
        <f aca="false">IF(FF$35&gt;=$AC$514,FF$35-$AC$514+1,0)</f>
        <v>24</v>
      </c>
      <c r="FG516" s="9" t="n">
        <f aca="false">IF(FG$35&gt;=$AC$514,FG$35-$AC$514+1,0)</f>
        <v>25</v>
      </c>
      <c r="FH516" s="9" t="n">
        <f aca="false">IF(FH$35&gt;=$AC$514,FH$35-$AC$514+1,0)</f>
        <v>26</v>
      </c>
      <c r="FI516" s="9" t="n">
        <f aca="false">IF(FI$35&gt;=$AC$514,FI$35-$AC$514+1,0)</f>
        <v>27</v>
      </c>
      <c r="FJ516" s="9" t="n">
        <f aca="false">IF(FJ$35&gt;=$AC$514,FJ$35-$AC$514+1,0)</f>
        <v>28</v>
      </c>
      <c r="FK516" s="9" t="n">
        <f aca="false">IF(FK$35&gt;=$AC$514,FK$35-$AC$514+1,0)</f>
        <v>29</v>
      </c>
      <c r="FL516" s="9" t="n">
        <f aca="false">IF(FL$35&gt;=$AC$514,FL$35-$AC$514+1,0)</f>
        <v>30</v>
      </c>
      <c r="FM516" s="9" t="n">
        <f aca="false">IF(FM$35&gt;=$AC$514,FM$35-$AC$514+1,0)</f>
        <v>31</v>
      </c>
      <c r="FN516" s="9" t="n">
        <f aca="false">IF(FN$35&gt;=$AC$514,FN$35-$AC$514+1,0)</f>
        <v>32</v>
      </c>
      <c r="FO516" s="9" t="n">
        <f aca="false">IF(FO$35&gt;=$AC$514,FO$35-$AC$514+1,0)</f>
        <v>33</v>
      </c>
      <c r="FP516" s="9" t="n">
        <f aca="false">IF(FP$35&gt;=$AC$514,FP$35-$AC$514+1,0)</f>
        <v>34</v>
      </c>
    </row>
    <row r="517" customFormat="false" ht="15" hidden="false" customHeight="false" outlineLevel="2" collapsed="false">
      <c r="B517" s="47" t="s">
        <v>874</v>
      </c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237" t="n">
        <f aca="false" t="array" ref="AC517:AC517">IF(AC516=0,0,IF(AC516/'🎚️ Escenario'!$C$11&gt;=36,$AL$23,INDEX($C$23:$AL$23,MAX(1,ROUNDUP(AC516/'🎚️ Escenario'!$C$11,0)))))</f>
        <v>0</v>
      </c>
      <c r="AD517" s="237" t="n">
        <f aca="false" t="array" ref="AD517:AD517">IF(AD516=0,0,IF(AD516/'🎚️ Escenario'!$C$11&gt;=36,$AL$23,INDEX($C$23:$AL$23,MAX(1,ROUNDUP(AD516/'🎚️ Escenario'!$C$11,0)))))</f>
        <v>0</v>
      </c>
      <c r="AE517" s="237" t="n">
        <f aca="false" t="array" ref="AE517:AE517">IF(AE516=0,0,IF(AE516/'🎚️ Escenario'!$C$11&gt;=36,$AL$23,INDEX($C$23:$AL$23,MAX(1,ROUNDUP(AE516/'🎚️ Escenario'!$C$11,0)))))</f>
        <v>0</v>
      </c>
      <c r="AF517" s="237" t="n">
        <f aca="false" t="array" ref="AF517:AF517">IF(AF516=0,0,IF(AF516/'🎚️ Escenario'!$C$11&gt;=36,$AL$23,INDEX($C$23:$AL$23,MAX(1,ROUNDUP(AF516/'🎚️ Escenario'!$C$11,0)))))</f>
        <v>0</v>
      </c>
      <c r="AG517" s="237" t="n">
        <f aca="false" t="array" ref="AG517:AG517">IF(AG516=0,0,IF(AG516/'🎚️ Escenario'!$C$11&gt;=36,$AL$23,INDEX($C$23:$AL$23,MAX(1,ROUNDUP(AG516/'🎚️ Escenario'!$C$11,0)))))</f>
        <v>0</v>
      </c>
      <c r="AH517" s="237" t="n">
        <f aca="false" t="array" ref="AH517:AH517">IF(AH516=0,0,IF(AH516/'🎚️ Escenario'!$C$11&gt;=36,$AL$23,INDEX($C$23:$AL$23,MAX(1,ROUNDUP(AH516/'🎚️ Escenario'!$C$11,0)))))</f>
        <v>0</v>
      </c>
      <c r="AI517" s="237" t="n">
        <f aca="false" t="array" ref="AI517:AI517">IF(AI516=0,0,IF(AI516/'🎚️ Escenario'!$C$11&gt;=36,$AL$23,INDEX($C$23:$AL$23,MAX(1,ROUNDUP(AI516/'🎚️ Escenario'!$C$11,0)))))</f>
        <v>0</v>
      </c>
      <c r="AJ517" s="237" t="n">
        <f aca="false" t="array" ref="AJ517:AJ517">IF(AJ516=0,0,IF(AJ516/'🎚️ Escenario'!$C$11&gt;=36,$AL$23,INDEX($C$23:$AL$23,MAX(1,ROUNDUP(AJ516/'🎚️ Escenario'!$C$11,0)))))</f>
        <v>0</v>
      </c>
      <c r="AK517" s="237" t="n">
        <f aca="false" t="array" ref="AK517:AK517">IF(AK516=0,0,IF(AK516/'🎚️ Escenario'!$C$11&gt;=36,$AL$23,INDEX($C$23:$AL$23,MAX(1,ROUNDUP(AK516/'🎚️ Escenario'!$C$11,0)))))</f>
        <v>0</v>
      </c>
      <c r="AL517" s="237" t="n">
        <f aca="false" t="array" ref="AL517:AL517">IF(AL516=0,0,IF(AL516/'🎚️ Escenario'!$C$11&gt;=36,$AL$23,INDEX($C$23:$AL$23,MAX(1,ROUNDUP(AL516/'🎚️ Escenario'!$C$11,0)))))</f>
        <v>0</v>
      </c>
      <c r="AM517" s="237" t="n">
        <f aca="false" t="array" ref="AM517:AM517">IF(AM516=0,0,IF(AM516/'🎚️ Escenario'!$C$11&gt;=36,$AL$23,INDEX($C$23:$AL$23,MAX(1,ROUNDUP(AM516/'🎚️ Escenario'!$C$11,0)))))</f>
        <v>0</v>
      </c>
      <c r="AN517" s="237" t="n">
        <f aca="false" t="array" ref="AN517:AN517">IF(AN516=0,0,IF(AN516/'🎚️ Escenario'!$C$11&gt;=36,$AL$23,INDEX($C$23:$AL$23,MAX(1,ROUNDUP(AN516/'🎚️ Escenario'!$C$11,0)))))</f>
        <v>0</v>
      </c>
      <c r="AO517" s="237" t="n">
        <f aca="false" t="array" ref="AO517:AO517">IF(AO516=0,0,IF(AO516/'🎚️ Escenario'!$C$11&gt;=36,$AL$23,INDEX($C$23:$AL$23,MAX(1,ROUNDUP(AO516/'🎚️ Escenario'!$C$11,0)))))</f>
        <v>0</v>
      </c>
      <c r="AP517" s="237" t="n">
        <f aca="false" t="array" ref="AP517:AP517">IF(AP516=0,0,IF(AP516/'🎚️ Escenario'!$C$11&gt;=36,$AL$23,INDEX($C$23:$AL$23,MAX(1,ROUNDUP(AP516/'🎚️ Escenario'!$C$11,0)))))</f>
        <v>0</v>
      </c>
      <c r="AQ517" s="237" t="n">
        <f aca="false" t="array" ref="AQ517:AQ517">IF(AQ516=0,0,IF(AQ516/'🎚️ Escenario'!$C$11&gt;=36,$AL$23,INDEX($C$23:$AL$23,MAX(1,ROUNDUP(AQ516/'🎚️ Escenario'!$C$11,0)))))</f>
        <v>0</v>
      </c>
      <c r="AR517" s="237" t="n">
        <f aca="false" t="array" ref="AR517:AR517">IF(AR516=0,0,IF(AR516/'🎚️ Escenario'!$C$11&gt;=36,$AL$23,INDEX($C$23:$AL$23,MAX(1,ROUNDUP(AR516/'🎚️ Escenario'!$C$11,0)))))</f>
        <v>0</v>
      </c>
      <c r="AS517" s="237" t="n">
        <f aca="false" t="array" ref="AS517:AS517">IF(AS516=0,0,IF(AS516/'🎚️ Escenario'!$C$11&gt;=36,$AL$23,INDEX($C$23:$AL$23,MAX(1,ROUNDUP(AS516/'🎚️ Escenario'!$C$11,0)))))</f>
        <v>0</v>
      </c>
      <c r="AT517" s="237" t="n">
        <f aca="false" t="array" ref="AT517:AT517">IF(AT516=0,0,IF(AT516/'🎚️ Escenario'!$C$11&gt;=36,$AL$23,INDEX($C$23:$AL$23,MAX(1,ROUNDUP(AT516/'🎚️ Escenario'!$C$11,0)))))</f>
        <v>0</v>
      </c>
      <c r="AU517" s="237" t="n">
        <f aca="false" t="array" ref="AU517:AU517">IF(AU516=0,0,IF(AU516/'🎚️ Escenario'!$C$11&gt;=36,$AL$23,INDEX($C$23:$AL$23,MAX(1,ROUNDUP(AU516/'🎚️ Escenario'!$C$11,0)))))</f>
        <v>0</v>
      </c>
      <c r="AV517" s="237" t="n">
        <f aca="false" t="array" ref="AV517:AV517">IF(AV516=0,0,IF(AV516/'🎚️ Escenario'!$C$11&gt;=36,$AL$23,INDEX($C$23:$AL$23,MAX(1,ROUNDUP(AV516/'🎚️ Escenario'!$C$11,0)))))</f>
        <v>0</v>
      </c>
      <c r="AW517" s="237" t="n">
        <f aca="false" t="array" ref="AW517:AW517">IF(AW516=0,0,IF(AW516/'🎚️ Escenario'!$C$11&gt;=36,$AL$23,INDEX($C$23:$AL$23,MAX(1,ROUNDUP(AW516/'🎚️ Escenario'!$C$11,0)))))</f>
        <v>0</v>
      </c>
      <c r="AX517" s="237" t="n">
        <f aca="false" t="array" ref="AX517:AX517">IF(AX516=0,0,IF(AX516/'🎚️ Escenario'!$C$11&gt;=36,$AL$23,INDEX($C$23:$AL$23,MAX(1,ROUNDUP(AX516/'🎚️ Escenario'!$C$11,0)))))</f>
        <v>0</v>
      </c>
      <c r="AY517" s="237" t="n">
        <f aca="false" t="array" ref="AY517:AY517">IF(AY516=0,0,IF(AY516/'🎚️ Escenario'!$C$11&gt;=36,$AL$23,INDEX($C$23:$AL$23,MAX(1,ROUNDUP(AY516/'🎚️ Escenario'!$C$11,0)))))</f>
        <v>0</v>
      </c>
      <c r="AZ517" s="237" t="n">
        <f aca="false" t="array" ref="AZ517:AZ517">IF(AZ516=0,0,IF(AZ516/'🎚️ Escenario'!$C$11&gt;=36,$AL$23,INDEX($C$23:$AL$23,MAX(1,ROUNDUP(AZ516/'🎚️ Escenario'!$C$11,0)))))</f>
        <v>0</v>
      </c>
      <c r="BA517" s="237" t="n">
        <f aca="false" t="array" ref="BA517:BA517">IF(BA516=0,0,IF(BA516/'🎚️ Escenario'!$C$11&gt;=36,$AL$23,INDEX($C$23:$AL$23,MAX(1,ROUNDUP(BA516/'🎚️ Escenario'!$C$11,0)))))</f>
        <v>0</v>
      </c>
      <c r="BB517" s="237" t="n">
        <f aca="false" t="array" ref="BB517:BB517">IF(BB516=0,0,IF(BB516/'🎚️ Escenario'!$C$11&gt;=36,$AL$23,INDEX($C$23:$AL$23,MAX(1,ROUNDUP(BB516/'🎚️ Escenario'!$C$11,0)))))</f>
        <v>0</v>
      </c>
      <c r="BC517" s="237" t="n">
        <f aca="false" t="array" ref="BC517:BC517">IF(BC516=0,0,IF(BC516/'🎚️ Escenario'!$C$11&gt;=36,$AL$23,INDEX($C$23:$AL$23,MAX(1,ROUNDUP(BC516/'🎚️ Escenario'!$C$11,0)))))</f>
        <v>0</v>
      </c>
      <c r="BD517" s="237" t="n">
        <f aca="false" t="array" ref="BD517:BD517">IF(BD516=0,0,IF(BD516/'🎚️ Escenario'!$C$11&gt;=36,$AL$23,INDEX($C$23:$AL$23,MAX(1,ROUNDUP(BD516/'🎚️ Escenario'!$C$11,0)))))</f>
        <v>0</v>
      </c>
      <c r="BE517" s="237" t="n">
        <f aca="false" t="array" ref="BE517:BE517">IF(BE516=0,0,IF(BE516/'🎚️ Escenario'!$C$11&gt;=36,$AL$23,INDEX($C$23:$AL$23,MAX(1,ROUNDUP(BE516/'🎚️ Escenario'!$C$11,0)))))</f>
        <v>0</v>
      </c>
      <c r="BF517" s="237" t="n">
        <f aca="false" t="array" ref="BF517:BF517">IF(BF516=0,0,IF(BF516/'🎚️ Escenario'!$C$11&gt;=36,$AL$23,INDEX($C$23:$AL$23,MAX(1,ROUNDUP(BF516/'🎚️ Escenario'!$C$11,0)))))</f>
        <v>0</v>
      </c>
      <c r="BG517" s="237" t="n">
        <f aca="false" t="array" ref="BG517:BG517">IF(BG516=0,0,IF(BG516/'🎚️ Escenario'!$C$11&gt;=36,$AL$23,INDEX($C$23:$AL$23,MAX(1,ROUNDUP(BG516/'🎚️ Escenario'!$C$11,0)))))</f>
        <v>0</v>
      </c>
      <c r="BH517" s="237" t="n">
        <f aca="false" t="array" ref="BH517:BH517">IF(BH516=0,0,IF(BH516/'🎚️ Escenario'!$C$11&gt;=36,$AL$23,INDEX($C$23:$AL$23,MAX(1,ROUNDUP(BH516/'🎚️ Escenario'!$C$11,0)))))</f>
        <v>0</v>
      </c>
      <c r="BI517" s="237" t="n">
        <f aca="false" t="array" ref="BI517:BI517">IF(BI516=0,0,IF(BI516/'🎚️ Escenario'!$C$11&gt;=36,$AL$23,INDEX($C$23:$AL$23,MAX(1,ROUNDUP(BI516/'🎚️ Escenario'!$C$11,0)))))</f>
        <v>0</v>
      </c>
      <c r="BJ517" s="237" t="n">
        <f aca="false" t="array" ref="BJ517:BJ517">IF(BJ516=0,0,IF(BJ516/'🎚️ Escenario'!$C$11&gt;=36,$AL$23,INDEX($C$23:$AL$23,MAX(1,ROUNDUP(BJ516/'🎚️ Escenario'!$C$11,0)))))</f>
        <v>0</v>
      </c>
      <c r="BK517" s="237" t="n">
        <f aca="false" t="array" ref="BK517:BK517">IF(BK516=0,0,IF(BK516/'🎚️ Escenario'!$C$11&gt;=36,$AL$23,INDEX($C$23:$AL$23,MAX(1,ROUNDUP(BK516/'🎚️ Escenario'!$C$11,0)))))</f>
        <v>0</v>
      </c>
      <c r="BL517" s="237" t="n">
        <f aca="false" t="array" ref="BL517:BL517">IF(BL516=0,0,IF(BL516/'🎚️ Escenario'!$C$11&gt;=36,$AL$23,INDEX($C$23:$AL$23,MAX(1,ROUNDUP(BL516/'🎚️ Escenario'!$C$11,0)))))</f>
        <v>0</v>
      </c>
      <c r="BM517" s="237" t="n">
        <f aca="false" t="array" ref="BM517:BM517">IF(BM516=0,0,IF(BM516/'🎚️ Escenario'!$C$11&gt;=36,$AL$23,INDEX($C$23:$AL$23,MAX(1,ROUNDUP(BM516/'🎚️ Escenario'!$C$11,0)))))</f>
        <v>0</v>
      </c>
      <c r="BN517" s="237" t="n">
        <f aca="false" t="array" ref="BN517:BN517">IF(BN516=0,0,IF(BN516/'🎚️ Escenario'!$C$11&gt;=36,$AL$23,INDEX($C$23:$AL$23,MAX(1,ROUNDUP(BN516/'🎚️ Escenario'!$C$11,0)))))</f>
        <v>0</v>
      </c>
      <c r="BO517" s="237" t="n">
        <f aca="false" t="array" ref="BO517:BO517">IF(BO516=0,0,IF(BO516/'🎚️ Escenario'!$C$11&gt;=36,$AL$23,INDEX($C$23:$AL$23,MAX(1,ROUNDUP(BO516/'🎚️ Escenario'!$C$11,0)))))</f>
        <v>0</v>
      </c>
      <c r="BP517" s="237" t="n">
        <f aca="false" t="array" ref="BP517:BP517">IF(BP516=0,0,IF(BP516/'🎚️ Escenario'!$C$11&gt;=36,$AL$23,INDEX($C$23:$AL$23,MAX(1,ROUNDUP(BP516/'🎚️ Escenario'!$C$11,0)))))</f>
        <v>0</v>
      </c>
      <c r="BQ517" s="237" t="n">
        <f aca="false" t="array" ref="BQ517:BQ517">IF(BQ516=0,0,IF(BQ516/'🎚️ Escenario'!$C$11&gt;=36,$AL$23,INDEX($C$23:$AL$23,MAX(1,ROUNDUP(BQ516/'🎚️ Escenario'!$C$11,0)))))</f>
        <v>0</v>
      </c>
      <c r="BR517" s="237" t="n">
        <f aca="false" t="array" ref="BR517:BR517">IF(BR516=0,0,IF(BR516/'🎚️ Escenario'!$C$11&gt;=36,$AL$23,INDEX($C$23:$AL$23,MAX(1,ROUNDUP(BR516/'🎚️ Escenario'!$C$11,0)))))</f>
        <v>0</v>
      </c>
      <c r="BS517" s="237" t="n">
        <f aca="false" t="array" ref="BS517:BS517">IF(BS516=0,0,IF(BS516/'🎚️ Escenario'!$C$11&gt;=36,$AL$23,INDEX($C$23:$AL$23,MAX(1,ROUNDUP(BS516/'🎚️ Escenario'!$C$11,0)))))</f>
        <v>0</v>
      </c>
      <c r="BT517" s="237" t="n">
        <f aca="false" t="array" ref="BT517:BT517">IF(BT516=0,0,IF(BT516/'🎚️ Escenario'!$C$11&gt;=36,$AL$23,INDEX($C$23:$AL$23,MAX(1,ROUNDUP(BT516/'🎚️ Escenario'!$C$11,0)))))</f>
        <v>0</v>
      </c>
      <c r="BU517" s="237" t="n">
        <f aca="false" t="array" ref="BU517:BU517">IF(BU516=0,0,IF(BU516/'🎚️ Escenario'!$C$11&gt;=36,$AL$23,INDEX($C$23:$AL$23,MAX(1,ROUNDUP(BU516/'🎚️ Escenario'!$C$11,0)))))</f>
        <v>0</v>
      </c>
      <c r="BV517" s="237" t="n">
        <f aca="false" t="array" ref="BV517:BV517">IF(BV516=0,0,IF(BV516/'🎚️ Escenario'!$C$11&gt;=36,$AL$23,INDEX($C$23:$AL$23,MAX(1,ROUNDUP(BV516/'🎚️ Escenario'!$C$11,0)))))</f>
        <v>0</v>
      </c>
      <c r="BW517" s="237" t="n">
        <f aca="false" t="array" ref="BW517:BW517">IF(BW516=0,0,IF(BW516/'🎚️ Escenario'!$C$11&gt;=36,$AL$23,INDEX($C$23:$AL$23,MAX(1,ROUNDUP(BW516/'🎚️ Escenario'!$C$11,0)))))</f>
        <v>0</v>
      </c>
      <c r="BX517" s="237" t="n">
        <f aca="false" t="array" ref="BX517:BX517">IF(BX516=0,0,IF(BX516/'🎚️ Escenario'!$C$11&gt;=36,$AL$23,INDEX($C$23:$AL$23,MAX(1,ROUNDUP(BX516/'🎚️ Escenario'!$C$11,0)))))</f>
        <v>0</v>
      </c>
      <c r="BY517" s="237" t="n">
        <f aca="false" t="array" ref="BY517:BY517">IF(BY516=0,0,IF(BY516/'🎚️ Escenario'!$C$11&gt;=36,$AL$23,INDEX($C$23:$AL$23,MAX(1,ROUNDUP(BY516/'🎚️ Escenario'!$C$11,0)))))</f>
        <v>0</v>
      </c>
      <c r="BZ517" s="237" t="n">
        <f aca="false" t="array" ref="BZ517:BZ517">IF(BZ516=0,0,IF(BZ516/'🎚️ Escenario'!$C$11&gt;=36,$AL$23,INDEX($C$23:$AL$23,MAX(1,ROUNDUP(BZ516/'🎚️ Escenario'!$C$11,0)))))</f>
        <v>0</v>
      </c>
      <c r="CA517" s="237" t="n">
        <f aca="false" t="array" ref="CA517:CA517">IF(CA516=0,0,IF(CA516/'🎚️ Escenario'!$C$11&gt;=36,$AL$23,INDEX($C$23:$AL$23,MAX(1,ROUNDUP(CA516/'🎚️ Escenario'!$C$11,0)))))</f>
        <v>0</v>
      </c>
      <c r="CB517" s="237" t="n">
        <f aca="false" t="array" ref="CB517:CB517">IF(CB516=0,0,IF(CB516/'🎚️ Escenario'!$C$11&gt;=36,$AL$23,INDEX($C$23:$AL$23,MAX(1,ROUNDUP(CB516/'🎚️ Escenario'!$C$11,0)))))</f>
        <v>0</v>
      </c>
      <c r="CC517" s="237" t="n">
        <f aca="false" t="array" ref="CC517:CC517">IF(CC516=0,0,IF(CC516/'🎚️ Escenario'!$C$11&gt;=36,$AL$23,INDEX($C$23:$AL$23,MAX(1,ROUNDUP(CC516/'🎚️ Escenario'!$C$11,0)))))</f>
        <v>0</v>
      </c>
      <c r="CD517" s="237" t="n">
        <f aca="false" t="array" ref="CD517:CD517">IF(CD516=0,0,IF(CD516/'🎚️ Escenario'!$C$11&gt;=36,$AL$23,INDEX($C$23:$AL$23,MAX(1,ROUNDUP(CD516/'🎚️ Escenario'!$C$11,0)))))</f>
        <v>0</v>
      </c>
      <c r="CE517" s="237" t="n">
        <f aca="false" t="array" ref="CE517:CE517">IF(CE516=0,0,IF(CE516/'🎚️ Escenario'!$C$11&gt;=36,$AL$23,INDEX($C$23:$AL$23,MAX(1,ROUNDUP(CE516/'🎚️ Escenario'!$C$11,0)))))</f>
        <v>0</v>
      </c>
      <c r="CF517" s="237" t="n">
        <f aca="false" t="array" ref="CF517:CF517">IF(CF516=0,0,IF(CF516/'🎚️ Escenario'!$C$11&gt;=36,$AL$23,INDEX($C$23:$AL$23,MAX(1,ROUNDUP(CF516/'🎚️ Escenario'!$C$11,0)))))</f>
        <v>0</v>
      </c>
      <c r="CG517" s="237" t="n">
        <f aca="false" t="array" ref="CG517:CG517">IF(CG516=0,0,IF(CG516/'🎚️ Escenario'!$C$11&gt;=36,$AL$23,INDEX($C$23:$AL$23,MAX(1,ROUNDUP(CG516/'🎚️ Escenario'!$C$11,0)))))</f>
        <v>0</v>
      </c>
      <c r="CH517" s="237" t="n">
        <f aca="false" t="array" ref="CH517:CH517">IF(CH516=0,0,IF(CH516/'🎚️ Escenario'!$C$11&gt;=36,$AL$23,INDEX($C$23:$AL$23,MAX(1,ROUNDUP(CH516/'🎚️ Escenario'!$C$11,0)))))</f>
        <v>0</v>
      </c>
      <c r="CI517" s="237" t="n">
        <f aca="false" t="array" ref="CI517:CI517">IF(CI516=0,0,IF(CI516/'🎚️ Escenario'!$C$11&gt;=36,$AL$23,INDEX($C$23:$AL$23,MAX(1,ROUNDUP(CI516/'🎚️ Escenario'!$C$11,0)))))</f>
        <v>0</v>
      </c>
      <c r="CJ517" s="237" t="n">
        <f aca="false" t="array" ref="CJ517:CJ517">IF(CJ516=0,0,IF(CJ516/'🎚️ Escenario'!$C$11&gt;=36,$AL$23,INDEX($C$23:$AL$23,MAX(1,ROUNDUP(CJ516/'🎚️ Escenario'!$C$11,0)))))</f>
        <v>0</v>
      </c>
      <c r="CK517" s="237" t="n">
        <f aca="false" t="array" ref="CK517:CK517">IF(CK516=0,0,IF(CK516/'🎚️ Escenario'!$C$11&gt;=36,$AL$23,INDEX($C$23:$AL$23,MAX(1,ROUNDUP(CK516/'🎚️ Escenario'!$C$11,0)))))</f>
        <v>0</v>
      </c>
      <c r="CL517" s="237" t="n">
        <f aca="false" t="array" ref="CL517:CL517">IF(CL516=0,0,IF(CL516/'🎚️ Escenario'!$C$11&gt;=36,$AL$23,INDEX($C$23:$AL$23,MAX(1,ROUNDUP(CL516/'🎚️ Escenario'!$C$11,0)))))</f>
        <v>0</v>
      </c>
      <c r="CM517" s="237" t="n">
        <f aca="false" t="array" ref="CM517:CM517">IF(CM516=0,0,IF(CM516/'🎚️ Escenario'!$C$11&gt;=36,$AL$23,INDEX($C$23:$AL$23,MAX(1,ROUNDUP(CM516/'🎚️ Escenario'!$C$11,0)))))</f>
        <v>0</v>
      </c>
      <c r="CN517" s="237" t="n">
        <f aca="false" t="array" ref="CN517:CN517">IF(CN516=0,0,IF(CN516/'🎚️ Escenario'!$C$11&gt;=36,$AL$23,INDEX($C$23:$AL$23,MAX(1,ROUNDUP(CN516/'🎚️ Escenario'!$C$11,0)))))</f>
        <v>0</v>
      </c>
      <c r="CO517" s="237" t="n">
        <f aca="false" t="array" ref="CO517:CO517">IF(CO516=0,0,IF(CO516/'🎚️ Escenario'!$C$11&gt;=36,$AL$23,INDEX($C$23:$AL$23,MAX(1,ROUNDUP(CO516/'🎚️ Escenario'!$C$11,0)))))</f>
        <v>0</v>
      </c>
      <c r="CP517" s="237" t="n">
        <f aca="false" t="array" ref="CP517:CP517">IF(CP516=0,0,IF(CP516/'🎚️ Escenario'!$C$11&gt;=36,$AL$23,INDEX($C$23:$AL$23,MAX(1,ROUNDUP(CP516/'🎚️ Escenario'!$C$11,0)))))</f>
        <v>0</v>
      </c>
      <c r="CQ517" s="237" t="n">
        <f aca="false" t="array" ref="CQ517:CQ517">IF(CQ516=0,0,IF(CQ516/'🎚️ Escenario'!$C$11&gt;=36,$AL$23,INDEX($C$23:$AL$23,MAX(1,ROUNDUP(CQ516/'🎚️ Escenario'!$C$11,0)))))</f>
        <v>0</v>
      </c>
      <c r="CR517" s="237" t="n">
        <f aca="false" t="array" ref="CR517:CR517">IF(CR516=0,0,IF(CR516/'🎚️ Escenario'!$C$11&gt;=36,$AL$23,INDEX($C$23:$AL$23,MAX(1,ROUNDUP(CR516/'🎚️ Escenario'!$C$11,0)))))</f>
        <v>0</v>
      </c>
      <c r="CS517" s="237" t="n">
        <f aca="false" t="array" ref="CS517:CS517">IF(CS516=0,0,IF(CS516/'🎚️ Escenario'!$C$11&gt;=36,$AL$23,INDEX($C$23:$AL$23,MAX(1,ROUNDUP(CS516/'🎚️ Escenario'!$C$11,0)))))</f>
        <v>0</v>
      </c>
      <c r="CT517" s="237" t="n">
        <f aca="false" t="array" ref="CT517:CT517">IF(CT516=0,0,IF(CT516/'🎚️ Escenario'!$C$11&gt;=36,$AL$23,INDEX($C$23:$AL$23,MAX(1,ROUNDUP(CT516/'🎚️ Escenario'!$C$11,0)))))</f>
        <v>0</v>
      </c>
      <c r="CU517" s="237" t="n">
        <f aca="false" t="array" ref="CU517:CU517">IF(CU516=0,0,IF(CU516/'🎚️ Escenario'!$C$11&gt;=36,$AL$23,INDEX($C$23:$AL$23,MAX(1,ROUNDUP(CU516/'🎚️ Escenario'!$C$11,0)))))</f>
        <v>0</v>
      </c>
      <c r="CV517" s="237" t="n">
        <f aca="false" t="array" ref="CV517:CV517">IF(CV516=0,0,IF(CV516/'🎚️ Escenario'!$C$11&gt;=36,$AL$23,INDEX($C$23:$AL$23,MAX(1,ROUNDUP(CV516/'🎚️ Escenario'!$C$11,0)))))</f>
        <v>0</v>
      </c>
      <c r="CW517" s="237" t="n">
        <f aca="false" t="array" ref="CW517:CW517">IF(CW516=0,0,IF(CW516/'🎚️ Escenario'!$C$11&gt;=36,$AL$23,INDEX($C$23:$AL$23,MAX(1,ROUNDUP(CW516/'🎚️ Escenario'!$C$11,0)))))</f>
        <v>0</v>
      </c>
      <c r="CX517" s="237" t="n">
        <f aca="false" t="array" ref="CX517:CX517">IF(CX516=0,0,IF(CX516/'🎚️ Escenario'!$C$11&gt;=36,$AL$23,INDEX($C$23:$AL$23,MAX(1,ROUNDUP(CX516/'🎚️ Escenario'!$C$11,0)))))</f>
        <v>0</v>
      </c>
      <c r="CY517" s="237" t="n">
        <f aca="false" t="array" ref="CY517:CY517">IF(CY516=0,0,IF(CY516/'🎚️ Escenario'!$C$11&gt;=36,$AL$23,INDEX($C$23:$AL$23,MAX(1,ROUNDUP(CY516/'🎚️ Escenario'!$C$11,0)))))</f>
        <v>0</v>
      </c>
      <c r="CZ517" s="237" t="n">
        <f aca="false" t="array" ref="CZ517:CZ517">IF(CZ516=0,0,IF(CZ516/'🎚️ Escenario'!$C$11&gt;=36,$AL$23,INDEX($C$23:$AL$23,MAX(1,ROUNDUP(CZ516/'🎚️ Escenario'!$C$11,0)))))</f>
        <v>0</v>
      </c>
      <c r="DA517" s="237" t="n">
        <f aca="false" t="array" ref="DA517:DA517">IF(DA516=0,0,IF(DA516/'🎚️ Escenario'!$C$11&gt;=36,$AL$23,INDEX($C$23:$AL$23,MAX(1,ROUNDUP(DA516/'🎚️ Escenario'!$C$11,0)))))</f>
        <v>0</v>
      </c>
      <c r="DB517" s="237" t="n">
        <f aca="false" t="array" ref="DB517:DB517">IF(DB516=0,0,IF(DB516/'🎚️ Escenario'!$C$11&gt;=36,$AL$23,INDEX($C$23:$AL$23,MAX(1,ROUNDUP(DB516/'🎚️ Escenario'!$C$11,0)))))</f>
        <v>0</v>
      </c>
      <c r="DC517" s="237" t="n">
        <f aca="false" t="array" ref="DC517:DC517">IF(DC516=0,0,IF(DC516/'🎚️ Escenario'!$C$11&gt;=36,$AL$23,INDEX($C$23:$AL$23,MAX(1,ROUNDUP(DC516/'🎚️ Escenario'!$C$11,0)))))</f>
        <v>0</v>
      </c>
      <c r="DD517" s="237" t="n">
        <f aca="false" t="array" ref="DD517:DD517">IF(DD516=0,0,IF(DD516/'🎚️ Escenario'!$C$11&gt;=36,$AL$23,INDEX($C$23:$AL$23,MAX(1,ROUNDUP(DD516/'🎚️ Escenario'!$C$11,0)))))</f>
        <v>0</v>
      </c>
      <c r="DE517" s="237" t="n">
        <f aca="false" t="array" ref="DE517:DE517">IF(DE516=0,0,IF(DE516/'🎚️ Escenario'!$C$11&gt;=36,$AL$23,INDEX($C$23:$AL$23,MAX(1,ROUNDUP(DE516/'🎚️ Escenario'!$C$11,0)))))</f>
        <v>0</v>
      </c>
      <c r="DF517" s="237" t="n">
        <f aca="false" t="array" ref="DF517:DF517">IF(DF516=0,0,IF(DF516/'🎚️ Escenario'!$C$11&gt;=36,$AL$23,INDEX($C$23:$AL$23,MAX(1,ROUNDUP(DF516/'🎚️ Escenario'!$C$11,0)))))</f>
        <v>0</v>
      </c>
      <c r="DG517" s="237" t="n">
        <f aca="false" t="array" ref="DG517:DG517">IF(DG516=0,0,IF(DG516/'🎚️ Escenario'!$C$11&gt;=36,$AL$23,INDEX($C$23:$AL$23,MAX(1,ROUNDUP(DG516/'🎚️ Escenario'!$C$11,0)))))</f>
        <v>0</v>
      </c>
      <c r="DH517" s="237" t="n">
        <f aca="false" t="array" ref="DH517:DH517">IF(DH516=0,0,IF(DH516/'🎚️ Escenario'!$C$11&gt;=36,$AL$23,INDEX($C$23:$AL$23,MAX(1,ROUNDUP(DH516/'🎚️ Escenario'!$C$11,0)))))</f>
        <v>0</v>
      </c>
      <c r="DI517" s="237" t="n">
        <f aca="false" t="array" ref="DI517:DI517">IF(DI516=0,0,IF(DI516/'🎚️ Escenario'!$C$11&gt;=36,$AL$23,INDEX($C$23:$AL$23,MAX(1,ROUNDUP(DI516/'🎚️ Escenario'!$C$11,0)))))</f>
        <v>0</v>
      </c>
      <c r="DJ517" s="237" t="n">
        <f aca="false" t="array" ref="DJ517:DJ517">IF(DJ516=0,0,IF(DJ516/'🎚️ Escenario'!$C$11&gt;=36,$AL$23,INDEX($C$23:$AL$23,MAX(1,ROUNDUP(DJ516/'🎚️ Escenario'!$C$11,0)))))</f>
        <v>0</v>
      </c>
      <c r="DK517" s="237" t="n">
        <f aca="false" t="array" ref="DK517:DK517">IF(DK516=0,0,IF(DK516/'🎚️ Escenario'!$C$11&gt;=36,$AL$23,INDEX($C$23:$AL$23,MAX(1,ROUNDUP(DK516/'🎚️ Escenario'!$C$11,0)))))</f>
        <v>0</v>
      </c>
      <c r="DL517" s="237" t="n">
        <f aca="false" t="array" ref="DL517:DL517">IF(DL516=0,0,IF(DL516/'🎚️ Escenario'!$C$11&gt;=36,$AL$23,INDEX($C$23:$AL$23,MAX(1,ROUNDUP(DL516/'🎚️ Escenario'!$C$11,0)))))</f>
        <v>0</v>
      </c>
      <c r="DM517" s="237" t="n">
        <f aca="false" t="array" ref="DM517:DM517">IF(DM516=0,0,IF(DM516/'🎚️ Escenario'!$C$11&gt;=36,$AL$23,INDEX($C$23:$AL$23,MAX(1,ROUNDUP(DM516/'🎚️ Escenario'!$C$11,0)))))</f>
        <v>0</v>
      </c>
      <c r="DN517" s="237" t="n">
        <f aca="false" t="array" ref="DN517:DN517">IF(DN516=0,0,IF(DN516/'🎚️ Escenario'!$C$11&gt;=36,$AL$23,INDEX($C$23:$AL$23,MAX(1,ROUNDUP(DN516/'🎚️ Escenario'!$C$11,0)))))</f>
        <v>0</v>
      </c>
      <c r="DO517" s="237" t="n">
        <f aca="false" t="array" ref="DO517:DO517">IF(DO516=0,0,IF(DO516/'🎚️ Escenario'!$C$11&gt;=36,$AL$23,INDEX($C$23:$AL$23,MAX(1,ROUNDUP(DO516/'🎚️ Escenario'!$C$11,0)))))</f>
        <v>0</v>
      </c>
      <c r="DP517" s="237" t="n">
        <f aca="false" t="array" ref="DP517:DP517">IF(DP516=0,0,IF(DP516/'🎚️ Escenario'!$C$11&gt;=36,$AL$23,INDEX($C$23:$AL$23,MAX(1,ROUNDUP(DP516/'🎚️ Escenario'!$C$11,0)))))</f>
        <v>0</v>
      </c>
      <c r="DQ517" s="237" t="n">
        <f aca="false" t="array" ref="DQ517:DQ517">IF(DQ516=0,0,IF(DQ516/'🎚️ Escenario'!$C$11&gt;=36,$AL$23,INDEX($C$23:$AL$23,MAX(1,ROUNDUP(DQ516/'🎚️ Escenario'!$C$11,0)))))</f>
        <v>0</v>
      </c>
      <c r="DR517" s="237" t="n">
        <f aca="false" t="array" ref="DR517:DR517">IF(DR516=0,0,IF(DR516/'🎚️ Escenario'!$C$11&gt;=36,$AL$23,INDEX($C$23:$AL$23,MAX(1,ROUNDUP(DR516/'🎚️ Escenario'!$C$11,0)))))</f>
        <v>0</v>
      </c>
      <c r="DS517" s="237" t="n">
        <f aca="false" t="array" ref="DS517:DS517">IF(DS516=0,0,IF(DS516/'🎚️ Escenario'!$C$11&gt;=36,$AL$23,INDEX($C$23:$AL$23,MAX(1,ROUNDUP(DS516/'🎚️ Escenario'!$C$11,0)))))</f>
        <v>0</v>
      </c>
      <c r="DT517" s="237" t="n">
        <f aca="false" t="array" ref="DT517:DT517">IF(DT516=0,0,IF(DT516/'🎚️ Escenario'!$C$11&gt;=36,$AL$23,INDEX($C$23:$AL$23,MAX(1,ROUNDUP(DT516/'🎚️ Escenario'!$C$11,0)))))</f>
        <v>0</v>
      </c>
      <c r="DU517" s="237" t="n">
        <f aca="false" t="array" ref="DU517:DU517">IF(DU516=0,0,IF(DU516/'🎚️ Escenario'!$C$11&gt;=36,$AL$23,INDEX($C$23:$AL$23,MAX(1,ROUNDUP(DU516/'🎚️ Escenario'!$C$11,0)))))</f>
        <v>0</v>
      </c>
      <c r="DV517" s="237" t="n">
        <f aca="false" t="array" ref="DV517:DV517">IF(DV516=0,0,IF(DV516/'🎚️ Escenario'!$C$11&gt;=36,$AL$23,INDEX($C$23:$AL$23,MAX(1,ROUNDUP(DV516/'🎚️ Escenario'!$C$11,0)))))</f>
        <v>0</v>
      </c>
      <c r="DW517" s="237" t="n">
        <f aca="false" t="array" ref="DW517:DW517">IF(DW516=0,0,IF(DW516/'🎚️ Escenario'!$C$11&gt;=36,$AL$23,INDEX($C$23:$AL$23,MAX(1,ROUNDUP(DW516/'🎚️ Escenario'!$C$11,0)))))</f>
        <v>0</v>
      </c>
      <c r="DX517" s="237" t="n">
        <f aca="false" t="array" ref="DX517:DX517">IF(DX516=0,0,IF(DX516/'🎚️ Escenario'!$C$11&gt;=36,$AL$23,INDEX($C$23:$AL$23,MAX(1,ROUNDUP(DX516/'🎚️ Escenario'!$C$11,0)))))</f>
        <v>0</v>
      </c>
      <c r="DY517" s="237" t="n">
        <f aca="false" t="array" ref="DY517:DY517">IF(DY516=0,0,IF(DY516/'🎚️ Escenario'!$C$11&gt;=36,$AL$23,INDEX($C$23:$AL$23,MAX(1,ROUNDUP(DY516/'🎚️ Escenario'!$C$11,0)))))</f>
        <v>0</v>
      </c>
      <c r="DZ517" s="237" t="n">
        <f aca="false" t="array" ref="DZ517:DZ517">IF(DZ516=0,0,IF(DZ516/'🎚️ Escenario'!$C$11&gt;=36,$AL$23,INDEX($C$23:$AL$23,MAX(1,ROUNDUP(DZ516/'🎚️ Escenario'!$C$11,0)))))</f>
        <v>0</v>
      </c>
      <c r="EA517" s="237" t="n">
        <f aca="false" t="array" ref="EA517:EA517">IF(EA516=0,0,IF(EA516/'🎚️ Escenario'!$C$11&gt;=36,$AL$23,INDEX($C$23:$AL$23,MAX(1,ROUNDUP(EA516/'🎚️ Escenario'!$C$11,0)))))</f>
        <v>0</v>
      </c>
      <c r="EB517" s="237" t="n">
        <f aca="false" t="array" ref="EB517:EB517">IF(EB516=0,0,IF(EB516/'🎚️ Escenario'!$C$11&gt;=36,$AL$23,INDEX($C$23:$AL$23,MAX(1,ROUNDUP(EB516/'🎚️ Escenario'!$C$11,0)))))</f>
        <v>0</v>
      </c>
      <c r="EC517" s="237" t="n">
        <f aca="false" t="array" ref="EC517:EC517">IF(EC516=0,0,IF(EC516/'🎚️ Escenario'!$C$11&gt;=36,$AL$23,INDEX($C$23:$AL$23,MAX(1,ROUNDUP(EC516/'🎚️ Escenario'!$C$11,0)))))</f>
        <v>0</v>
      </c>
      <c r="ED517" s="237" t="n">
        <f aca="false" t="array" ref="ED517:ED517">IF(ED516=0,0,IF(ED516/'🎚️ Escenario'!$C$11&gt;=36,$AL$23,INDEX($C$23:$AL$23,MAX(1,ROUNDUP(ED516/'🎚️ Escenario'!$C$11,0)))))</f>
        <v>0</v>
      </c>
      <c r="EE517" s="237" t="n">
        <f aca="false" t="array" ref="EE517:EE517">IF(EE516=0,0,IF(EE516/'🎚️ Escenario'!$C$11&gt;=36,$AL$23,INDEX($C$23:$AL$23,MAX(1,ROUNDUP(EE516/'🎚️ Escenario'!$C$11,0)))))</f>
        <v>0</v>
      </c>
      <c r="EF517" s="237" t="n">
        <f aca="false" t="array" ref="EF517:EF517">IF(EF516=0,0,IF(EF516/'🎚️ Escenario'!$C$11&gt;=36,$AL$23,INDEX($C$23:$AL$23,MAX(1,ROUNDUP(EF516/'🎚️ Escenario'!$C$11,0)))))</f>
        <v>0</v>
      </c>
      <c r="EG517" s="237" t="n">
        <f aca="false" t="array" ref="EG517:EG517">IF(EG516=0,0,IF(EG516/'🎚️ Escenario'!$C$11&gt;=36,$AL$23,INDEX($C$23:$AL$23,MAX(1,ROUNDUP(EG516/'🎚️ Escenario'!$C$11,0)))))</f>
        <v>0</v>
      </c>
      <c r="EH517" s="237" t="n">
        <f aca="false" t="array" ref="EH517:EH517">IF(EH516=0,0,IF(EH516/'🎚️ Escenario'!$C$11&gt;=36,$AL$23,INDEX($C$23:$AL$23,MAX(1,ROUNDUP(EH516/'🎚️ Escenario'!$C$11,0)))))</f>
        <v>0</v>
      </c>
      <c r="EI517" s="237" t="n">
        <f aca="false" t="array" ref="EI517:EI517">IF(EI516=0,0,IF(EI516/'🎚️ Escenario'!$C$11&gt;=36,$AL$23,INDEX($C$23:$AL$23,MAX(1,ROUNDUP(EI516/'🎚️ Escenario'!$C$11,0)))))</f>
        <v>0.2</v>
      </c>
      <c r="EJ517" s="237" t="n">
        <f aca="false" t="array" ref="EJ517:EJ517">IF(EJ516=0,0,IF(EJ516/'🎚️ Escenario'!$C$11&gt;=36,$AL$23,INDEX($C$23:$AL$23,MAX(1,ROUNDUP(EJ516/'🎚️ Escenario'!$C$11,0)))))</f>
        <v>0.22</v>
      </c>
      <c r="EK517" s="237" t="n">
        <f aca="false" t="array" ref="EK517:EK517">IF(EK516=0,0,IF(EK516/'🎚️ Escenario'!$C$11&gt;=36,$AL$23,INDEX($C$23:$AL$23,MAX(1,ROUNDUP(EK516/'🎚️ Escenario'!$C$11,0)))))</f>
        <v>0.24</v>
      </c>
      <c r="EL517" s="237" t="n">
        <f aca="false" t="array" ref="EL517:EL517">IF(EL516=0,0,IF(EL516/'🎚️ Escenario'!$C$11&gt;=36,$AL$23,INDEX($C$23:$AL$23,MAX(1,ROUNDUP(EL516/'🎚️ Escenario'!$C$11,0)))))</f>
        <v>0.27</v>
      </c>
      <c r="EM517" s="237" t="n">
        <f aca="false" t="array" ref="EM517:EM517">IF(EM516=0,0,IF(EM516/'🎚️ Escenario'!$C$11&gt;=36,$AL$23,INDEX($C$23:$AL$23,MAX(1,ROUNDUP(EM516/'🎚️ Escenario'!$C$11,0)))))</f>
        <v>0.27</v>
      </c>
      <c r="EN517" s="237" t="n">
        <f aca="false" t="array" ref="EN517:EN517">IF(EN516=0,0,IF(EN516/'🎚️ Escenario'!$C$11&gt;=36,$AL$23,INDEX($C$23:$AL$23,MAX(1,ROUNDUP(EN516/'🎚️ Escenario'!$C$11,0)))))</f>
        <v>0.31</v>
      </c>
      <c r="EO517" s="237" t="n">
        <f aca="false" t="array" ref="EO517:EO517">IF(EO516=0,0,IF(EO516/'🎚️ Escenario'!$C$11&gt;=36,$AL$23,INDEX($C$23:$AL$23,MAX(1,ROUNDUP(EO516/'🎚️ Escenario'!$C$11,0)))))</f>
        <v>0.35</v>
      </c>
      <c r="EP517" s="237" t="n">
        <f aca="false" t="array" ref="EP517:EP517">IF(EP516=0,0,IF(EP516/'🎚️ Escenario'!$C$11&gt;=36,$AL$23,INDEX($C$23:$AL$23,MAX(1,ROUNDUP(EP516/'🎚️ Escenario'!$C$11,0)))))</f>
        <v>0.39</v>
      </c>
      <c r="EQ517" s="237" t="n">
        <f aca="false" t="array" ref="EQ517:EQ517">IF(EQ516=0,0,IF(EQ516/'🎚️ Escenario'!$C$11&gt;=36,$AL$23,INDEX($C$23:$AL$23,MAX(1,ROUNDUP(EQ516/'🎚️ Escenario'!$C$11,0)))))</f>
        <v>0.44</v>
      </c>
      <c r="ER517" s="237" t="n">
        <f aca="false" t="array" ref="ER517:ER517">IF(ER516=0,0,IF(ER516/'🎚️ Escenario'!$C$11&gt;=36,$AL$23,INDEX($C$23:$AL$23,MAX(1,ROUNDUP(ER516/'🎚️ Escenario'!$C$11,0)))))</f>
        <v>0.44</v>
      </c>
      <c r="ES517" s="9" t="n">
        <f aca="false" t="array" ref="ES517:ES517">IF(ES516=0,0,IF(ES516/'🎚️ Escenario'!$C$11&gt;=36,$AL$23,INDEX($C$23:$AL$23,MAX(1,ROUNDUP(ES516/'🎚️ Escenario'!$C$11,0)))))</f>
        <v>0.48</v>
      </c>
      <c r="ET517" s="9" t="n">
        <f aca="false" t="array" ref="ET517:ET517">IF(ET516=0,0,IF(ET516/'🎚️ Escenario'!$C$11&gt;=36,$AL$23,INDEX($C$23:$AL$23,MAX(1,ROUNDUP(ET516/'🎚️ Escenario'!$C$11,0)))))</f>
        <v>0.52</v>
      </c>
      <c r="EU517" s="9" t="n">
        <f aca="false" t="array" ref="EU517:EU517">IF(EU516=0,0,IF(EU516/'🎚️ Escenario'!$C$11&gt;=36,$AL$23,INDEX($C$23:$AL$23,MAX(1,ROUNDUP(EU516/'🎚️ Escenario'!$C$11,0)))))</f>
        <v>0.56</v>
      </c>
      <c r="EV517" s="9" t="n">
        <f aca="false" t="array" ref="EV517:EV517">IF(EV516=0,0,IF(EV516/'🎚️ Escenario'!$C$11&gt;=36,$AL$23,INDEX($C$23:$AL$23,MAX(1,ROUNDUP(EV516/'🎚️ Escenario'!$C$11,0)))))</f>
        <v>0.6</v>
      </c>
      <c r="EW517" s="9" t="n">
        <f aca="false" t="array" ref="EW517:EW517">IF(EW516=0,0,IF(EW516/'🎚️ Escenario'!$C$11&gt;=36,$AL$23,INDEX($C$23:$AL$23,MAX(1,ROUNDUP(EW516/'🎚️ Escenario'!$C$11,0)))))</f>
        <v>0.6</v>
      </c>
      <c r="EX517" s="9" t="n">
        <f aca="false" t="array" ref="EX517:EX517">IF(EX516=0,0,IF(EX516/'🎚️ Escenario'!$C$11&gt;=36,$AL$23,INDEX($C$23:$AL$23,MAX(1,ROUNDUP(EX516/'🎚️ Escenario'!$C$11,0)))))</f>
        <v>0.63</v>
      </c>
      <c r="EY517" s="9" t="n">
        <f aca="false" t="array" ref="EY517:EY517">IF(EY516=0,0,IF(EY516/'🎚️ Escenario'!$C$11&gt;=36,$AL$23,INDEX($C$23:$AL$23,MAX(1,ROUNDUP(EY516/'🎚️ Escenario'!$C$11,0)))))</f>
        <v>0.66</v>
      </c>
      <c r="EZ517" s="9" t="n">
        <f aca="false" t="array" ref="EZ517:EZ517">IF(EZ516=0,0,IF(EZ516/'🎚️ Escenario'!$C$11&gt;=36,$AL$23,INDEX($C$23:$AL$23,MAX(1,ROUNDUP(EZ516/'🎚️ Escenario'!$C$11,0)))))</f>
        <v>0.69</v>
      </c>
      <c r="FA517" s="9" t="n">
        <f aca="false" t="array" ref="FA517:FA517">IF(FA516=0,0,IF(FA516/'🎚️ Escenario'!$C$11&gt;=36,$AL$23,INDEX($C$23:$AL$23,MAX(1,ROUNDUP(FA516/'🎚️ Escenario'!$C$11,0)))))</f>
        <v>0.71</v>
      </c>
      <c r="FB517" s="9" t="n">
        <f aca="false" t="array" ref="FB517:FB517">IF(FB516=0,0,IF(FB516/'🎚️ Escenario'!$C$11&gt;=36,$AL$23,INDEX($C$23:$AL$23,MAX(1,ROUNDUP(FB516/'🎚️ Escenario'!$C$11,0)))))</f>
        <v>0.71</v>
      </c>
      <c r="FC517" s="9" t="n">
        <f aca="false" t="array" ref="FC517:FC517">IF(FC516=0,0,IF(FC516/'🎚️ Escenario'!$C$11&gt;=36,$AL$23,INDEX($C$23:$AL$23,MAX(1,ROUNDUP(FC516/'🎚️ Escenario'!$C$11,0)))))</f>
        <v>0.73</v>
      </c>
      <c r="FD517" s="9" t="n">
        <f aca="false" t="array" ref="FD517:FD517">IF(FD516=0,0,IF(FD516/'🎚️ Escenario'!$C$11&gt;=36,$AL$23,INDEX($C$23:$AL$23,MAX(1,ROUNDUP(FD516/'🎚️ Escenario'!$C$11,0)))))</f>
        <v>0.75</v>
      </c>
      <c r="FE517" s="9" t="n">
        <f aca="false" t="array" ref="FE517:FE517">IF(FE516=0,0,IF(FE516/'🎚️ Escenario'!$C$11&gt;=36,$AL$23,INDEX($C$23:$AL$23,MAX(1,ROUNDUP(FE516/'🎚️ Escenario'!$C$11,0)))))</f>
        <v>0.77</v>
      </c>
      <c r="FF517" s="9" t="n">
        <f aca="false" t="array" ref="FF517:FF517">IF(FF516=0,0,IF(FF516/'🎚️ Escenario'!$C$11&gt;=36,$AL$23,INDEX($C$23:$AL$23,MAX(1,ROUNDUP(FF516/'🎚️ Escenario'!$C$11,0)))))</f>
        <v>0.79</v>
      </c>
      <c r="FG517" s="9" t="n">
        <f aca="false" t="array" ref="FG517:FG517">IF(FG516=0,0,IF(FG516/'🎚️ Escenario'!$C$11&gt;=36,$AL$23,INDEX($C$23:$AL$23,MAX(1,ROUNDUP(FG516/'🎚️ Escenario'!$C$11,0)))))</f>
        <v>0.79</v>
      </c>
      <c r="FH517" s="9" t="n">
        <f aca="false" t="array" ref="FH517:FH517">IF(FH516=0,0,IF(FH516/'🎚️ Escenario'!$C$11&gt;=36,$AL$23,INDEX($C$23:$AL$23,MAX(1,ROUNDUP(FH516/'🎚️ Escenario'!$C$11,0)))))</f>
        <v>0.8</v>
      </c>
      <c r="FI517" s="9" t="n">
        <f aca="false" t="array" ref="FI517:FI517">IF(FI516=0,0,IF(FI516/'🎚️ Escenario'!$C$11&gt;=36,$AL$23,INDEX($C$23:$AL$23,MAX(1,ROUNDUP(FI516/'🎚️ Escenario'!$C$11,0)))))</f>
        <v>0.82</v>
      </c>
      <c r="FJ517" s="9" t="n">
        <f aca="false" t="array" ref="FJ517:FJ517">IF(FJ516=0,0,IF(FJ516/'🎚️ Escenario'!$C$11&gt;=36,$AL$23,INDEX($C$23:$AL$23,MAX(1,ROUNDUP(FJ516/'🎚️ Escenario'!$C$11,0)))))</f>
        <v>0.84</v>
      </c>
      <c r="FK517" s="9" t="n">
        <f aca="false" t="array" ref="FK517:FK517">IF(FK516=0,0,IF(FK516/'🎚️ Escenario'!$C$11&gt;=36,$AL$23,INDEX($C$23:$AL$23,MAX(1,ROUNDUP(FK516/'🎚️ Escenario'!$C$11,0)))))</f>
        <v>0.85</v>
      </c>
      <c r="FL517" s="9" t="n">
        <f aca="false" t="array" ref="FL517:FL517">IF(FL516=0,0,IF(FL516/'🎚️ Escenario'!$C$11&gt;=36,$AL$23,INDEX($C$23:$AL$23,MAX(1,ROUNDUP(FL516/'🎚️ Escenario'!$C$11,0)))))</f>
        <v>0.85</v>
      </c>
      <c r="FM517" s="9" t="n">
        <f aca="false" t="array" ref="FM517:FM517">IF(FM516=0,0,IF(FM516/'🎚️ Escenario'!$C$11&gt;=36,$AL$23,INDEX($C$23:$AL$23,MAX(1,ROUNDUP(FM516/'🎚️ Escenario'!$C$11,0)))))</f>
        <v>0.86</v>
      </c>
      <c r="FN517" s="9" t="n">
        <f aca="false" t="array" ref="FN517:FN517">IF(FN516=0,0,IF(FN516/'🎚️ Escenario'!$C$11&gt;=36,$AL$23,INDEX($C$23:$AL$23,MAX(1,ROUNDUP(FN516/'🎚️ Escenario'!$C$11,0)))))</f>
        <v>0.88</v>
      </c>
      <c r="FO517" s="9" t="n">
        <f aca="false" t="array" ref="FO517:FO517">IF(FO516=0,0,IF(FO516/'🎚️ Escenario'!$C$11&gt;=36,$AL$23,INDEX($C$23:$AL$23,MAX(1,ROUNDUP(FO516/'🎚️ Escenario'!$C$11,0)))))</f>
        <v>0.89</v>
      </c>
      <c r="FP517" s="9" t="n">
        <f aca="false" t="array" ref="FP517:FP517">IF(FP516=0,0,IF(FP516/'🎚️ Escenario'!$C$11&gt;=36,$AL$23,INDEX($C$23:$AL$23,MAX(1,ROUNDUP(FP516/'🎚️ Escenario'!$C$11,0)))))</f>
        <v>0.9</v>
      </c>
    </row>
    <row r="518" customFormat="false" ht="15" hidden="false" customHeight="false" outlineLevel="2" collapsed="false">
      <c r="B518" s="47" t="s">
        <v>875</v>
      </c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237" t="n">
        <f aca="false">IF(AC516=0,0,IF(AC516&lt;=12*'🎚️ Escenario'!$C$11,1,1+$C$6))</f>
        <v>0</v>
      </c>
      <c r="AD518" s="237" t="n">
        <f aca="false">IF(AD516=0,0,IF(AD516&lt;=12*'🎚️ Escenario'!$C$11,1,1+$C$6))</f>
        <v>0</v>
      </c>
      <c r="AE518" s="237" t="n">
        <f aca="false">IF(AE516=0,0,IF(AE516&lt;=12*'🎚️ Escenario'!$C$11,1,1+$C$6))</f>
        <v>0</v>
      </c>
      <c r="AF518" s="237" t="n">
        <f aca="false">IF(AF516=0,0,IF(AF516&lt;=12*'🎚️ Escenario'!$C$11,1,1+$C$6))</f>
        <v>0</v>
      </c>
      <c r="AG518" s="237" t="n">
        <f aca="false">IF(AG516=0,0,IF(AG516&lt;=12*'🎚️ Escenario'!$C$11,1,1+$C$6))</f>
        <v>0</v>
      </c>
      <c r="AH518" s="237" t="n">
        <f aca="false">IF(AH516=0,0,IF(AH516&lt;=12*'🎚️ Escenario'!$C$11,1,1+$C$6))</f>
        <v>0</v>
      </c>
      <c r="AI518" s="237" t="n">
        <f aca="false">IF(AI516=0,0,IF(AI516&lt;=12*'🎚️ Escenario'!$C$11,1,1+$C$6))</f>
        <v>0</v>
      </c>
      <c r="AJ518" s="237" t="n">
        <f aca="false">IF(AJ516=0,0,IF(AJ516&lt;=12*'🎚️ Escenario'!$C$11,1,1+$C$6))</f>
        <v>0</v>
      </c>
      <c r="AK518" s="237" t="n">
        <f aca="false">IF(AK516=0,0,IF(AK516&lt;=12*'🎚️ Escenario'!$C$11,1,1+$C$6))</f>
        <v>0</v>
      </c>
      <c r="AL518" s="237" t="n">
        <f aca="false">IF(AL516=0,0,IF(AL516&lt;=12*'🎚️ Escenario'!$C$11,1,1+$C$6))</f>
        <v>0</v>
      </c>
      <c r="AM518" s="237" t="n">
        <f aca="false">IF(AM516=0,0,IF(AM516&lt;=12*'🎚️ Escenario'!$C$11,1,1+$C$6))</f>
        <v>0</v>
      </c>
      <c r="AN518" s="237" t="n">
        <f aca="false">IF(AN516=0,0,IF(AN516&lt;=12*'🎚️ Escenario'!$C$11,1,1+$C$6))</f>
        <v>0</v>
      </c>
      <c r="AO518" s="237" t="n">
        <f aca="false">IF(AO516=0,0,IF(AO516&lt;=12*'🎚️ Escenario'!$C$11,1,1+$C$6))</f>
        <v>0</v>
      </c>
      <c r="AP518" s="237" t="n">
        <f aca="false">IF(AP516=0,0,IF(AP516&lt;=12*'🎚️ Escenario'!$C$11,1,1+$C$6))</f>
        <v>0</v>
      </c>
      <c r="AQ518" s="237" t="n">
        <f aca="false">IF(AQ516=0,0,IF(AQ516&lt;=12*'🎚️ Escenario'!$C$11,1,1+$C$6))</f>
        <v>0</v>
      </c>
      <c r="AR518" s="237" t="n">
        <f aca="false">IF(AR516=0,0,IF(AR516&lt;=12*'🎚️ Escenario'!$C$11,1,1+$C$6))</f>
        <v>0</v>
      </c>
      <c r="AS518" s="237" t="n">
        <f aca="false">IF(AS516=0,0,IF(AS516&lt;=12*'🎚️ Escenario'!$C$11,1,1+$C$6))</f>
        <v>0</v>
      </c>
      <c r="AT518" s="237" t="n">
        <f aca="false">IF(AT516=0,0,IF(AT516&lt;=12*'🎚️ Escenario'!$C$11,1,1+$C$6))</f>
        <v>0</v>
      </c>
      <c r="AU518" s="237" t="n">
        <f aca="false">IF(AU516=0,0,IF(AU516&lt;=12*'🎚️ Escenario'!$C$11,1,1+$C$6))</f>
        <v>0</v>
      </c>
      <c r="AV518" s="237" t="n">
        <f aca="false">IF(AV516=0,0,IF(AV516&lt;=12*'🎚️ Escenario'!$C$11,1,1+$C$6))</f>
        <v>0</v>
      </c>
      <c r="AW518" s="237" t="n">
        <f aca="false">IF(AW516=0,0,IF(AW516&lt;=12*'🎚️ Escenario'!$C$11,1,1+$C$6))</f>
        <v>0</v>
      </c>
      <c r="AX518" s="237" t="n">
        <f aca="false">IF(AX516=0,0,IF(AX516&lt;=12*'🎚️ Escenario'!$C$11,1,1+$C$6))</f>
        <v>0</v>
      </c>
      <c r="AY518" s="237" t="n">
        <f aca="false">IF(AY516=0,0,IF(AY516&lt;=12*'🎚️ Escenario'!$C$11,1,1+$C$6))</f>
        <v>0</v>
      </c>
      <c r="AZ518" s="237" t="n">
        <f aca="false">IF(AZ516=0,0,IF(AZ516&lt;=12*'🎚️ Escenario'!$C$11,1,1+$C$6))</f>
        <v>0</v>
      </c>
      <c r="BA518" s="237" t="n">
        <f aca="false">IF(BA516=0,0,IF(BA516&lt;=12*'🎚️ Escenario'!$C$11,1,1+$C$6))</f>
        <v>0</v>
      </c>
      <c r="BB518" s="237" t="n">
        <f aca="false">IF(BB516=0,0,IF(BB516&lt;=12*'🎚️ Escenario'!$C$11,1,1+$C$6))</f>
        <v>0</v>
      </c>
      <c r="BC518" s="237" t="n">
        <f aca="false">IF(BC516=0,0,IF(BC516&lt;=12*'🎚️ Escenario'!$C$11,1,1+$C$6))</f>
        <v>0</v>
      </c>
      <c r="BD518" s="237" t="n">
        <f aca="false">IF(BD516=0,0,IF(BD516&lt;=12*'🎚️ Escenario'!$C$11,1,1+$C$6))</f>
        <v>0</v>
      </c>
      <c r="BE518" s="237" t="n">
        <f aca="false">IF(BE516=0,0,IF(BE516&lt;=12*'🎚️ Escenario'!$C$11,1,1+$C$6))</f>
        <v>0</v>
      </c>
      <c r="BF518" s="237" t="n">
        <f aca="false">IF(BF516=0,0,IF(BF516&lt;=12*'🎚️ Escenario'!$C$11,1,1+$C$6))</f>
        <v>0</v>
      </c>
      <c r="BG518" s="237" t="n">
        <f aca="false">IF(BG516=0,0,IF(BG516&lt;=12*'🎚️ Escenario'!$C$11,1,1+$C$6))</f>
        <v>0</v>
      </c>
      <c r="BH518" s="237" t="n">
        <f aca="false">IF(BH516=0,0,IF(BH516&lt;=12*'🎚️ Escenario'!$C$11,1,1+$C$6))</f>
        <v>0</v>
      </c>
      <c r="BI518" s="237" t="n">
        <f aca="false">IF(BI516=0,0,IF(BI516&lt;=12*'🎚️ Escenario'!$C$11,1,1+$C$6))</f>
        <v>0</v>
      </c>
      <c r="BJ518" s="237" t="n">
        <f aca="false">IF(BJ516=0,0,IF(BJ516&lt;=12*'🎚️ Escenario'!$C$11,1,1+$C$6))</f>
        <v>0</v>
      </c>
      <c r="BK518" s="237" t="n">
        <f aca="false">IF(BK516=0,0,IF(BK516&lt;=12*'🎚️ Escenario'!$C$11,1,1+$C$6))</f>
        <v>0</v>
      </c>
      <c r="BL518" s="237" t="n">
        <f aca="false">IF(BL516=0,0,IF(BL516&lt;=12*'🎚️ Escenario'!$C$11,1,1+$C$6))</f>
        <v>0</v>
      </c>
      <c r="BM518" s="237" t="n">
        <f aca="false">IF(BM516=0,0,IF(BM516&lt;=12*'🎚️ Escenario'!$C$11,1,1+$C$6))</f>
        <v>0</v>
      </c>
      <c r="BN518" s="237" t="n">
        <f aca="false">IF(BN516=0,0,IF(BN516&lt;=12*'🎚️ Escenario'!$C$11,1,1+$C$6))</f>
        <v>0</v>
      </c>
      <c r="BO518" s="237" t="n">
        <f aca="false">IF(BO516=0,0,IF(BO516&lt;=12*'🎚️ Escenario'!$C$11,1,1+$C$6))</f>
        <v>0</v>
      </c>
      <c r="BP518" s="237" t="n">
        <f aca="false">IF(BP516=0,0,IF(BP516&lt;=12*'🎚️ Escenario'!$C$11,1,1+$C$6))</f>
        <v>0</v>
      </c>
      <c r="BQ518" s="237" t="n">
        <f aca="false">IF(BQ516=0,0,IF(BQ516&lt;=12*'🎚️ Escenario'!$C$11,1,1+$C$6))</f>
        <v>0</v>
      </c>
      <c r="BR518" s="237" t="n">
        <f aca="false">IF(BR516=0,0,IF(BR516&lt;=12*'🎚️ Escenario'!$C$11,1,1+$C$6))</f>
        <v>0</v>
      </c>
      <c r="BS518" s="237" t="n">
        <f aca="false">IF(BS516=0,0,IF(BS516&lt;=12*'🎚️ Escenario'!$C$11,1,1+$C$6))</f>
        <v>0</v>
      </c>
      <c r="BT518" s="237" t="n">
        <f aca="false">IF(BT516=0,0,IF(BT516&lt;=12*'🎚️ Escenario'!$C$11,1,1+$C$6))</f>
        <v>0</v>
      </c>
      <c r="BU518" s="237" t="n">
        <f aca="false">IF(BU516=0,0,IF(BU516&lt;=12*'🎚️ Escenario'!$C$11,1,1+$C$6))</f>
        <v>0</v>
      </c>
      <c r="BV518" s="237" t="n">
        <f aca="false">IF(BV516=0,0,IF(BV516&lt;=12*'🎚️ Escenario'!$C$11,1,1+$C$6))</f>
        <v>0</v>
      </c>
      <c r="BW518" s="237" t="n">
        <f aca="false">IF(BW516=0,0,IF(BW516&lt;=12*'🎚️ Escenario'!$C$11,1,1+$C$6))</f>
        <v>0</v>
      </c>
      <c r="BX518" s="237" t="n">
        <f aca="false">IF(BX516=0,0,IF(BX516&lt;=12*'🎚️ Escenario'!$C$11,1,1+$C$6))</f>
        <v>0</v>
      </c>
      <c r="BY518" s="237" t="n">
        <f aca="false">IF(BY516=0,0,IF(BY516&lt;=12*'🎚️ Escenario'!$C$11,1,1+$C$6))</f>
        <v>0</v>
      </c>
      <c r="BZ518" s="237" t="n">
        <f aca="false">IF(BZ516=0,0,IF(BZ516&lt;=12*'🎚️ Escenario'!$C$11,1,1+$C$6))</f>
        <v>0</v>
      </c>
      <c r="CA518" s="237" t="n">
        <f aca="false">IF(CA516=0,0,IF(CA516&lt;=12*'🎚️ Escenario'!$C$11,1,1+$C$6))</f>
        <v>0</v>
      </c>
      <c r="CB518" s="237" t="n">
        <f aca="false">IF(CB516=0,0,IF(CB516&lt;=12*'🎚️ Escenario'!$C$11,1,1+$C$6))</f>
        <v>0</v>
      </c>
      <c r="CC518" s="237" t="n">
        <f aca="false">IF(CC516=0,0,IF(CC516&lt;=12*'🎚️ Escenario'!$C$11,1,1+$C$6))</f>
        <v>0</v>
      </c>
      <c r="CD518" s="237" t="n">
        <f aca="false">IF(CD516=0,0,IF(CD516&lt;=12*'🎚️ Escenario'!$C$11,1,1+$C$6))</f>
        <v>0</v>
      </c>
      <c r="CE518" s="237" t="n">
        <f aca="false">IF(CE516=0,0,IF(CE516&lt;=12*'🎚️ Escenario'!$C$11,1,1+$C$6))</f>
        <v>0</v>
      </c>
      <c r="CF518" s="237" t="n">
        <f aca="false">IF(CF516=0,0,IF(CF516&lt;=12*'🎚️ Escenario'!$C$11,1,1+$C$6))</f>
        <v>0</v>
      </c>
      <c r="CG518" s="237" t="n">
        <f aca="false">IF(CG516=0,0,IF(CG516&lt;=12*'🎚️ Escenario'!$C$11,1,1+$C$6))</f>
        <v>0</v>
      </c>
      <c r="CH518" s="237" t="n">
        <f aca="false">IF(CH516=0,0,IF(CH516&lt;=12*'🎚️ Escenario'!$C$11,1,1+$C$6))</f>
        <v>0</v>
      </c>
      <c r="CI518" s="237" t="n">
        <f aca="false">IF(CI516=0,0,IF(CI516&lt;=12*'🎚️ Escenario'!$C$11,1,1+$C$6))</f>
        <v>0</v>
      </c>
      <c r="CJ518" s="237" t="n">
        <f aca="false">IF(CJ516=0,0,IF(CJ516&lt;=12*'🎚️ Escenario'!$C$11,1,1+$C$6))</f>
        <v>0</v>
      </c>
      <c r="CK518" s="237" t="n">
        <f aca="false">IF(CK516=0,0,IF(CK516&lt;=12*'🎚️ Escenario'!$C$11,1,1+$C$6))</f>
        <v>0</v>
      </c>
      <c r="CL518" s="237" t="n">
        <f aca="false">IF(CL516=0,0,IF(CL516&lt;=12*'🎚️ Escenario'!$C$11,1,1+$C$6))</f>
        <v>0</v>
      </c>
      <c r="CM518" s="237" t="n">
        <f aca="false">IF(CM516=0,0,IF(CM516&lt;=12*'🎚️ Escenario'!$C$11,1,1+$C$6))</f>
        <v>0</v>
      </c>
      <c r="CN518" s="237" t="n">
        <f aca="false">IF(CN516=0,0,IF(CN516&lt;=12*'🎚️ Escenario'!$C$11,1,1+$C$6))</f>
        <v>0</v>
      </c>
      <c r="CO518" s="237" t="n">
        <f aca="false">IF(CO516=0,0,IF(CO516&lt;=12*'🎚️ Escenario'!$C$11,1,1+$C$6))</f>
        <v>0</v>
      </c>
      <c r="CP518" s="237" t="n">
        <f aca="false">IF(CP516=0,0,IF(CP516&lt;=12*'🎚️ Escenario'!$C$11,1,1+$C$6))</f>
        <v>0</v>
      </c>
      <c r="CQ518" s="237" t="n">
        <f aca="false">IF(CQ516=0,0,IF(CQ516&lt;=12*'🎚️ Escenario'!$C$11,1,1+$C$6))</f>
        <v>0</v>
      </c>
      <c r="CR518" s="237" t="n">
        <f aca="false">IF(CR516=0,0,IF(CR516&lt;=12*'🎚️ Escenario'!$C$11,1,1+$C$6))</f>
        <v>0</v>
      </c>
      <c r="CS518" s="237" t="n">
        <f aca="false">IF(CS516=0,0,IF(CS516&lt;=12*'🎚️ Escenario'!$C$11,1,1+$C$6))</f>
        <v>0</v>
      </c>
      <c r="CT518" s="237" t="n">
        <f aca="false">IF(CT516=0,0,IF(CT516&lt;=12*'🎚️ Escenario'!$C$11,1,1+$C$6))</f>
        <v>0</v>
      </c>
      <c r="CU518" s="237" t="n">
        <f aca="false">IF(CU516=0,0,IF(CU516&lt;=12*'🎚️ Escenario'!$C$11,1,1+$C$6))</f>
        <v>0</v>
      </c>
      <c r="CV518" s="237" t="n">
        <f aca="false">IF(CV516=0,0,IF(CV516&lt;=12*'🎚️ Escenario'!$C$11,1,1+$C$6))</f>
        <v>0</v>
      </c>
      <c r="CW518" s="237" t="n">
        <f aca="false">IF(CW516=0,0,IF(CW516&lt;=12*'🎚️ Escenario'!$C$11,1,1+$C$6))</f>
        <v>0</v>
      </c>
      <c r="CX518" s="237" t="n">
        <f aca="false">IF(CX516=0,0,IF(CX516&lt;=12*'🎚️ Escenario'!$C$11,1,1+$C$6))</f>
        <v>0</v>
      </c>
      <c r="CY518" s="237" t="n">
        <f aca="false">IF(CY516=0,0,IF(CY516&lt;=12*'🎚️ Escenario'!$C$11,1,1+$C$6))</f>
        <v>0</v>
      </c>
      <c r="CZ518" s="237" t="n">
        <f aca="false">IF(CZ516=0,0,IF(CZ516&lt;=12*'🎚️ Escenario'!$C$11,1,1+$C$6))</f>
        <v>0</v>
      </c>
      <c r="DA518" s="237" t="n">
        <f aca="false">IF(DA516=0,0,IF(DA516&lt;=12*'🎚️ Escenario'!$C$11,1,1+$C$6))</f>
        <v>0</v>
      </c>
      <c r="DB518" s="237" t="n">
        <f aca="false">IF(DB516=0,0,IF(DB516&lt;=12*'🎚️ Escenario'!$C$11,1,1+$C$6))</f>
        <v>0</v>
      </c>
      <c r="DC518" s="237" t="n">
        <f aca="false">IF(DC516=0,0,IF(DC516&lt;=12*'🎚️ Escenario'!$C$11,1,1+$C$6))</f>
        <v>0</v>
      </c>
      <c r="DD518" s="237" t="n">
        <f aca="false">IF(DD516=0,0,IF(DD516&lt;=12*'🎚️ Escenario'!$C$11,1,1+$C$6))</f>
        <v>0</v>
      </c>
      <c r="DE518" s="237" t="n">
        <f aca="false">IF(DE516=0,0,IF(DE516&lt;=12*'🎚️ Escenario'!$C$11,1,1+$C$6))</f>
        <v>0</v>
      </c>
      <c r="DF518" s="237" t="n">
        <f aca="false">IF(DF516=0,0,IF(DF516&lt;=12*'🎚️ Escenario'!$C$11,1,1+$C$6))</f>
        <v>0</v>
      </c>
      <c r="DG518" s="237" t="n">
        <f aca="false">IF(DG516=0,0,IF(DG516&lt;=12*'🎚️ Escenario'!$C$11,1,1+$C$6))</f>
        <v>0</v>
      </c>
      <c r="DH518" s="237" t="n">
        <f aca="false">IF(DH516=0,0,IF(DH516&lt;=12*'🎚️ Escenario'!$C$11,1,1+$C$6))</f>
        <v>0</v>
      </c>
      <c r="DI518" s="237" t="n">
        <f aca="false">IF(DI516=0,0,IF(DI516&lt;=12*'🎚️ Escenario'!$C$11,1,1+$C$6))</f>
        <v>0</v>
      </c>
      <c r="DJ518" s="237" t="n">
        <f aca="false">IF(DJ516=0,0,IF(DJ516&lt;=12*'🎚️ Escenario'!$C$11,1,1+$C$6))</f>
        <v>0</v>
      </c>
      <c r="DK518" s="237" t="n">
        <f aca="false">IF(DK516=0,0,IF(DK516&lt;=12*'🎚️ Escenario'!$C$11,1,1+$C$6))</f>
        <v>0</v>
      </c>
      <c r="DL518" s="237" t="n">
        <f aca="false">IF(DL516=0,0,IF(DL516&lt;=12*'🎚️ Escenario'!$C$11,1,1+$C$6))</f>
        <v>0</v>
      </c>
      <c r="DM518" s="237" t="n">
        <f aca="false">IF(DM516=0,0,IF(DM516&lt;=12*'🎚️ Escenario'!$C$11,1,1+$C$6))</f>
        <v>0</v>
      </c>
      <c r="DN518" s="237" t="n">
        <f aca="false">IF(DN516=0,0,IF(DN516&lt;=12*'🎚️ Escenario'!$C$11,1,1+$C$6))</f>
        <v>0</v>
      </c>
      <c r="DO518" s="237" t="n">
        <f aca="false">IF(DO516=0,0,IF(DO516&lt;=12*'🎚️ Escenario'!$C$11,1,1+$C$6))</f>
        <v>0</v>
      </c>
      <c r="DP518" s="237" t="n">
        <f aca="false">IF(DP516=0,0,IF(DP516&lt;=12*'🎚️ Escenario'!$C$11,1,1+$C$6))</f>
        <v>0</v>
      </c>
      <c r="DQ518" s="237" t="n">
        <f aca="false">IF(DQ516=0,0,IF(DQ516&lt;=12*'🎚️ Escenario'!$C$11,1,1+$C$6))</f>
        <v>0</v>
      </c>
      <c r="DR518" s="237" t="n">
        <f aca="false">IF(DR516=0,0,IF(DR516&lt;=12*'🎚️ Escenario'!$C$11,1,1+$C$6))</f>
        <v>0</v>
      </c>
      <c r="DS518" s="237" t="n">
        <f aca="false">IF(DS516=0,0,IF(DS516&lt;=12*'🎚️ Escenario'!$C$11,1,1+$C$6))</f>
        <v>0</v>
      </c>
      <c r="DT518" s="237" t="n">
        <f aca="false">IF(DT516=0,0,IF(DT516&lt;=12*'🎚️ Escenario'!$C$11,1,1+$C$6))</f>
        <v>0</v>
      </c>
      <c r="DU518" s="237" t="n">
        <f aca="false">IF(DU516=0,0,IF(DU516&lt;=12*'🎚️ Escenario'!$C$11,1,1+$C$6))</f>
        <v>0</v>
      </c>
      <c r="DV518" s="237" t="n">
        <f aca="false">IF(DV516=0,0,IF(DV516&lt;=12*'🎚️ Escenario'!$C$11,1,1+$C$6))</f>
        <v>0</v>
      </c>
      <c r="DW518" s="237" t="n">
        <f aca="false">IF(DW516=0,0,IF(DW516&lt;=12*'🎚️ Escenario'!$C$11,1,1+$C$6))</f>
        <v>0</v>
      </c>
      <c r="DX518" s="237" t="n">
        <f aca="false">IF(DX516=0,0,IF(DX516&lt;=12*'🎚️ Escenario'!$C$11,1,1+$C$6))</f>
        <v>0</v>
      </c>
      <c r="DY518" s="237" t="n">
        <f aca="false">IF(DY516=0,0,IF(DY516&lt;=12*'🎚️ Escenario'!$C$11,1,1+$C$6))</f>
        <v>0</v>
      </c>
      <c r="DZ518" s="237" t="n">
        <f aca="false">IF(DZ516=0,0,IF(DZ516&lt;=12*'🎚️ Escenario'!$C$11,1,1+$C$6))</f>
        <v>0</v>
      </c>
      <c r="EA518" s="237" t="n">
        <f aca="false">IF(EA516=0,0,IF(EA516&lt;=12*'🎚️ Escenario'!$C$11,1,1+$C$6))</f>
        <v>0</v>
      </c>
      <c r="EB518" s="237" t="n">
        <f aca="false">IF(EB516=0,0,IF(EB516&lt;=12*'🎚️ Escenario'!$C$11,1,1+$C$6))</f>
        <v>0</v>
      </c>
      <c r="EC518" s="237" t="n">
        <f aca="false">IF(EC516=0,0,IF(EC516&lt;=12*'🎚️ Escenario'!$C$11,1,1+$C$6))</f>
        <v>0</v>
      </c>
      <c r="ED518" s="237" t="n">
        <f aca="false">IF(ED516=0,0,IF(ED516&lt;=12*'🎚️ Escenario'!$C$11,1,1+$C$6))</f>
        <v>0</v>
      </c>
      <c r="EE518" s="237" t="n">
        <f aca="false">IF(EE516=0,0,IF(EE516&lt;=12*'🎚️ Escenario'!$C$11,1,1+$C$6))</f>
        <v>0</v>
      </c>
      <c r="EF518" s="237" t="n">
        <f aca="false">IF(EF516=0,0,IF(EF516&lt;=12*'🎚️ Escenario'!$C$11,1,1+$C$6))</f>
        <v>0</v>
      </c>
      <c r="EG518" s="237" t="n">
        <f aca="false">IF(EG516=0,0,IF(EG516&lt;=12*'🎚️ Escenario'!$C$11,1,1+$C$6))</f>
        <v>0</v>
      </c>
      <c r="EH518" s="237" t="n">
        <f aca="false">IF(EH516=0,0,IF(EH516&lt;=12*'🎚️ Escenario'!$C$11,1,1+$C$6))</f>
        <v>0</v>
      </c>
      <c r="EI518" s="237" t="n">
        <f aca="false">IF(EI516=0,0,IF(EI516&lt;=12*'🎚️ Escenario'!$C$11,1,1+$C$6))</f>
        <v>1</v>
      </c>
      <c r="EJ518" s="237" t="n">
        <f aca="false">IF(EJ516=0,0,IF(EJ516&lt;=12*'🎚️ Escenario'!$C$11,1,1+$C$6))</f>
        <v>1</v>
      </c>
      <c r="EK518" s="237" t="n">
        <f aca="false">IF(EK516=0,0,IF(EK516&lt;=12*'🎚️ Escenario'!$C$11,1,1+$C$6))</f>
        <v>1</v>
      </c>
      <c r="EL518" s="237" t="n">
        <f aca="false">IF(EL516=0,0,IF(EL516&lt;=12*'🎚️ Escenario'!$C$11,1,1+$C$6))</f>
        <v>1</v>
      </c>
      <c r="EM518" s="237" t="n">
        <f aca="false">IF(EM516=0,0,IF(EM516&lt;=12*'🎚️ Escenario'!$C$11,1,1+$C$6))</f>
        <v>1</v>
      </c>
      <c r="EN518" s="237" t="n">
        <f aca="false">IF(EN516=0,0,IF(EN516&lt;=12*'🎚️ Escenario'!$C$11,1,1+$C$6))</f>
        <v>1</v>
      </c>
      <c r="EO518" s="237" t="n">
        <f aca="false">IF(EO516=0,0,IF(EO516&lt;=12*'🎚️ Escenario'!$C$11,1,1+$C$6))</f>
        <v>1</v>
      </c>
      <c r="EP518" s="237" t="n">
        <f aca="false">IF(EP516=0,0,IF(EP516&lt;=12*'🎚️ Escenario'!$C$11,1,1+$C$6))</f>
        <v>1</v>
      </c>
      <c r="EQ518" s="237" t="n">
        <f aca="false">IF(EQ516=0,0,IF(EQ516&lt;=12*'🎚️ Escenario'!$C$11,1,1+$C$6))</f>
        <v>1</v>
      </c>
      <c r="ER518" s="237" t="n">
        <f aca="false">IF(ER516=0,0,IF(ER516&lt;=12*'🎚️ Escenario'!$C$11,1,1+$C$6))</f>
        <v>1</v>
      </c>
      <c r="ES518" s="9" t="n">
        <f aca="false">IF(ES516=0,0,IF(ES516&lt;=12*'🎚️ Escenario'!$C$11,1,1+$C$6))</f>
        <v>1</v>
      </c>
      <c r="ET518" s="9" t="n">
        <f aca="false">IF(ET516=0,0,IF(ET516&lt;=12*'🎚️ Escenario'!$C$11,1,1+$C$6))</f>
        <v>1</v>
      </c>
      <c r="EU518" s="9" t="n">
        <f aca="false">IF(EU516=0,0,IF(EU516&lt;=12*'🎚️ Escenario'!$C$11,1,1+$C$6))</f>
        <v>1</v>
      </c>
      <c r="EV518" s="9" t="n">
        <f aca="false">IF(EV516=0,0,IF(EV516&lt;=12*'🎚️ Escenario'!$C$11,1,1+$C$6))</f>
        <v>1</v>
      </c>
      <c r="EW518" s="9" t="n">
        <f aca="false">IF(EW516=0,0,IF(EW516&lt;=12*'🎚️ Escenario'!$C$11,1,1+$C$6))</f>
        <v>1</v>
      </c>
      <c r="EX518" s="238" t="n">
        <f aca="false">IF(EX516=0,0,IF(EX516&lt;=12*'🎚️ Escenario'!$C$11,1,1+$C$6))</f>
        <v>1.2</v>
      </c>
      <c r="EY518" s="238" t="n">
        <f aca="false">IF(EY516=0,0,IF(EY516&lt;=12*'🎚️ Escenario'!$C$11,1,1+$C$6))</f>
        <v>1.2</v>
      </c>
      <c r="EZ518" s="238" t="n">
        <f aca="false">IF(EZ516=0,0,IF(EZ516&lt;=12*'🎚️ Escenario'!$C$11,1,1+$C$6))</f>
        <v>1.2</v>
      </c>
      <c r="FA518" s="238" t="n">
        <f aca="false">IF(FA516=0,0,IF(FA516&lt;=12*'🎚️ Escenario'!$C$11,1,1+$C$6))</f>
        <v>1.2</v>
      </c>
      <c r="FB518" s="238" t="n">
        <f aca="false">IF(FB516=0,0,IF(FB516&lt;=12*'🎚️ Escenario'!$C$11,1,1+$C$6))</f>
        <v>1.2</v>
      </c>
      <c r="FC518" s="238" t="n">
        <f aca="false">IF(FC516=0,0,IF(FC516&lt;=12*'🎚️ Escenario'!$C$11,1,1+$C$6))</f>
        <v>1.2</v>
      </c>
      <c r="FD518" s="238" t="n">
        <f aca="false">IF(FD516=0,0,IF(FD516&lt;=12*'🎚️ Escenario'!$C$11,1,1+$C$6))</f>
        <v>1.2</v>
      </c>
      <c r="FE518" s="238" t="n">
        <f aca="false">IF(FE516=0,0,IF(FE516&lt;=12*'🎚️ Escenario'!$C$11,1,1+$C$6))</f>
        <v>1.2</v>
      </c>
      <c r="FF518" s="238" t="n">
        <f aca="false">IF(FF516=0,0,IF(FF516&lt;=12*'🎚️ Escenario'!$C$11,1,1+$C$6))</f>
        <v>1.2</v>
      </c>
      <c r="FG518" s="238" t="n">
        <f aca="false">IF(FG516=0,0,IF(FG516&lt;=12*'🎚️ Escenario'!$C$11,1,1+$C$6))</f>
        <v>1.2</v>
      </c>
      <c r="FH518" s="238" t="n">
        <f aca="false">IF(FH516=0,0,IF(FH516&lt;=12*'🎚️ Escenario'!$C$11,1,1+$C$6))</f>
        <v>1.2</v>
      </c>
      <c r="FI518" s="238" t="n">
        <f aca="false">IF(FI516=0,0,IF(FI516&lt;=12*'🎚️ Escenario'!$C$11,1,1+$C$6))</f>
        <v>1.2</v>
      </c>
      <c r="FJ518" s="238" t="n">
        <f aca="false">IF(FJ516=0,0,IF(FJ516&lt;=12*'🎚️ Escenario'!$C$11,1,1+$C$6))</f>
        <v>1.2</v>
      </c>
      <c r="FK518" s="238" t="n">
        <f aca="false">IF(FK516=0,0,IF(FK516&lt;=12*'🎚️ Escenario'!$C$11,1,1+$C$6))</f>
        <v>1.2</v>
      </c>
      <c r="FL518" s="238" t="n">
        <f aca="false">IF(FL516=0,0,IF(FL516&lt;=12*'🎚️ Escenario'!$C$11,1,1+$C$6))</f>
        <v>1.2</v>
      </c>
      <c r="FM518" s="238" t="n">
        <f aca="false">IF(FM516=0,0,IF(FM516&lt;=12*'🎚️ Escenario'!$C$11,1,1+$C$6))</f>
        <v>1.2</v>
      </c>
      <c r="FN518" s="238" t="n">
        <f aca="false">IF(FN516=0,0,IF(FN516&lt;=12*'🎚️ Escenario'!$C$11,1,1+$C$6))</f>
        <v>1.2</v>
      </c>
      <c r="FO518" s="238" t="n">
        <f aca="false">IF(FO516=0,0,IF(FO516&lt;=12*'🎚️ Escenario'!$C$11,1,1+$C$6))</f>
        <v>1.2</v>
      </c>
      <c r="FP518" s="238" t="n">
        <f aca="false">IF(FP516=0,0,IF(FP516&lt;=12*'🎚️ Escenario'!$C$11,1,1+$C$6))</f>
        <v>1.2</v>
      </c>
    </row>
    <row r="519" customFormat="false" ht="15" hidden="false" customHeight="false" outlineLevel="2" collapsed="false">
      <c r="B519" s="47" t="s">
        <v>876</v>
      </c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237" t="n">
        <f aca="false">AC517*$AC$515*AC518*AC$38*'⑫ Roll-out Plan'!$O$56</f>
        <v>0</v>
      </c>
      <c r="AD519" s="237" t="n">
        <f aca="false">AD517*$AC$515*AD518*AD$38*'⑫ Roll-out Plan'!$O$56</f>
        <v>0</v>
      </c>
      <c r="AE519" s="237" t="n">
        <f aca="false">AE517*$AC$515*AE518*AE$38*'⑫ Roll-out Plan'!$O$56</f>
        <v>0</v>
      </c>
      <c r="AF519" s="237" t="n">
        <f aca="false">AF517*$AC$515*AF518*AF$38*'⑫ Roll-out Plan'!$O$56</f>
        <v>0</v>
      </c>
      <c r="AG519" s="237" t="n">
        <f aca="false">AG517*$AC$515*AG518*AG$38*'⑫ Roll-out Plan'!$O$56</f>
        <v>0</v>
      </c>
      <c r="AH519" s="237" t="n">
        <f aca="false">AH517*$AC$515*AH518*AH$38*'⑫ Roll-out Plan'!$O$56</f>
        <v>0</v>
      </c>
      <c r="AI519" s="237" t="n">
        <f aca="false">AI517*$AC$515*AI518*AI$38*'⑫ Roll-out Plan'!$O$56</f>
        <v>0</v>
      </c>
      <c r="AJ519" s="237" t="n">
        <f aca="false">AJ517*$AC$515*AJ518*AJ$38*'⑫ Roll-out Plan'!$O$56</f>
        <v>0</v>
      </c>
      <c r="AK519" s="237" t="n">
        <f aca="false">AK517*$AC$515*AK518*AK$38*'⑫ Roll-out Plan'!$O$56</f>
        <v>0</v>
      </c>
      <c r="AL519" s="237" t="n">
        <f aca="false">AL517*$AC$515*AL518*AL$38*'⑫ Roll-out Plan'!$O$56</f>
        <v>0</v>
      </c>
      <c r="AM519" s="237" t="n">
        <f aca="false">AM517*$AC$515*AM518*AM$38*'⑫ Roll-out Plan'!$O$56</f>
        <v>0</v>
      </c>
      <c r="AN519" s="237" t="n">
        <f aca="false">AN517*$AC$515*AN518*AN$38*'⑫ Roll-out Plan'!$O$56</f>
        <v>0</v>
      </c>
      <c r="AO519" s="237" t="n">
        <f aca="false">AO517*$AC$515*AO518*AO$38*'⑫ Roll-out Plan'!$O$56</f>
        <v>0</v>
      </c>
      <c r="AP519" s="237" t="n">
        <f aca="false">AP517*$AC$515*AP518*AP$38*'⑫ Roll-out Plan'!$O$56</f>
        <v>0</v>
      </c>
      <c r="AQ519" s="237" t="n">
        <f aca="false">AQ517*$AC$515*AQ518*AQ$38*'⑫ Roll-out Plan'!$O$56</f>
        <v>0</v>
      </c>
      <c r="AR519" s="237" t="n">
        <f aca="false">AR517*$AC$515*AR518*AR$38*'⑫ Roll-out Plan'!$O$56</f>
        <v>0</v>
      </c>
      <c r="AS519" s="237" t="n">
        <f aca="false">AS517*$AC$515*AS518*AS$38*'⑫ Roll-out Plan'!$O$56</f>
        <v>0</v>
      </c>
      <c r="AT519" s="237" t="n">
        <f aca="false">AT517*$AC$515*AT518*AT$38*'⑫ Roll-out Plan'!$O$56</f>
        <v>0</v>
      </c>
      <c r="AU519" s="237" t="n">
        <f aca="false">AU517*$AC$515*AU518*AU$38*'⑫ Roll-out Plan'!$O$56</f>
        <v>0</v>
      </c>
      <c r="AV519" s="237" t="n">
        <f aca="false">AV517*$AC$515*AV518*AV$38*'⑫ Roll-out Plan'!$O$56</f>
        <v>0</v>
      </c>
      <c r="AW519" s="237" t="n">
        <f aca="false">AW517*$AC$515*AW518*AW$38*'⑫ Roll-out Plan'!$O$56</f>
        <v>0</v>
      </c>
      <c r="AX519" s="237" t="n">
        <f aca="false">AX517*$AC$515*AX518*AX$38*'⑫ Roll-out Plan'!$O$56</f>
        <v>0</v>
      </c>
      <c r="AY519" s="237" t="n">
        <f aca="false">AY517*$AC$515*AY518*AY$38*'⑫ Roll-out Plan'!$O$56</f>
        <v>0</v>
      </c>
      <c r="AZ519" s="237" t="n">
        <f aca="false">AZ517*$AC$515*AZ518*AZ$38*'⑫ Roll-out Plan'!$O$56</f>
        <v>0</v>
      </c>
      <c r="BA519" s="237" t="n">
        <f aca="false">BA517*$AC$515*BA518*BA$38*'⑫ Roll-out Plan'!$O$56</f>
        <v>0</v>
      </c>
      <c r="BB519" s="237" t="n">
        <f aca="false">BB517*$AC$515*BB518*BB$38*'⑫ Roll-out Plan'!$O$56</f>
        <v>0</v>
      </c>
      <c r="BC519" s="237" t="n">
        <f aca="false">BC517*$AC$515*BC518*BC$38*'⑫ Roll-out Plan'!$O$56</f>
        <v>0</v>
      </c>
      <c r="BD519" s="237" t="n">
        <f aca="false">BD517*$AC$515*BD518*BD$38*'⑫ Roll-out Plan'!$O$56</f>
        <v>0</v>
      </c>
      <c r="BE519" s="237" t="n">
        <f aca="false">BE517*$AC$515*BE518*BE$38*'⑫ Roll-out Plan'!$O$56</f>
        <v>0</v>
      </c>
      <c r="BF519" s="237" t="n">
        <f aca="false">BF517*$AC$515*BF518*BF$38*'⑫ Roll-out Plan'!$O$56</f>
        <v>0</v>
      </c>
      <c r="BG519" s="237" t="n">
        <f aca="false">BG517*$AC$515*BG518*BG$38*'⑫ Roll-out Plan'!$O$56</f>
        <v>0</v>
      </c>
      <c r="BH519" s="237" t="n">
        <f aca="false">BH517*$AC$515*BH518*BH$38*'⑫ Roll-out Plan'!$O$56</f>
        <v>0</v>
      </c>
      <c r="BI519" s="237" t="n">
        <f aca="false">BI517*$AC$515*BI518*BI$38*'⑫ Roll-out Plan'!$O$56</f>
        <v>0</v>
      </c>
      <c r="BJ519" s="237" t="n">
        <f aca="false">BJ517*$AC$515*BJ518*BJ$38*'⑫ Roll-out Plan'!$O$56</f>
        <v>0</v>
      </c>
      <c r="BK519" s="237" t="n">
        <f aca="false">BK517*$AC$515*BK518*BK$38*'⑫ Roll-out Plan'!$O$56</f>
        <v>0</v>
      </c>
      <c r="BL519" s="237" t="n">
        <f aca="false">BL517*$AC$515*BL518*BL$38*'⑫ Roll-out Plan'!$O$56</f>
        <v>0</v>
      </c>
      <c r="BM519" s="237" t="n">
        <f aca="false">BM517*$AC$515*BM518*BM$38*'⑫ Roll-out Plan'!$O$56</f>
        <v>0</v>
      </c>
      <c r="BN519" s="237" t="n">
        <f aca="false">BN517*$AC$515*BN518*BN$38*'⑫ Roll-out Plan'!$O$56</f>
        <v>0</v>
      </c>
      <c r="BO519" s="237" t="n">
        <f aca="false">BO517*$AC$515*BO518*BO$38*'⑫ Roll-out Plan'!$O$56</f>
        <v>0</v>
      </c>
      <c r="BP519" s="237" t="n">
        <f aca="false">BP517*$AC$515*BP518*BP$38*'⑫ Roll-out Plan'!$O$56</f>
        <v>0</v>
      </c>
      <c r="BQ519" s="237" t="n">
        <f aca="false">BQ517*$AC$515*BQ518*BQ$38*'⑫ Roll-out Plan'!$O$56</f>
        <v>0</v>
      </c>
      <c r="BR519" s="237" t="n">
        <f aca="false">BR517*$AC$515*BR518*BR$38*'⑫ Roll-out Plan'!$O$56</f>
        <v>0</v>
      </c>
      <c r="BS519" s="237" t="n">
        <f aca="false">BS517*$AC$515*BS518*BS$38*'⑫ Roll-out Plan'!$O$56</f>
        <v>0</v>
      </c>
      <c r="BT519" s="237" t="n">
        <f aca="false">BT517*$AC$515*BT518*BT$38*'⑫ Roll-out Plan'!$O$56</f>
        <v>0</v>
      </c>
      <c r="BU519" s="237" t="n">
        <f aca="false">BU517*$AC$515*BU518*BU$38*'⑫ Roll-out Plan'!$O$56</f>
        <v>0</v>
      </c>
      <c r="BV519" s="237" t="n">
        <f aca="false">BV517*$AC$515*BV518*BV$38*'⑫ Roll-out Plan'!$O$56</f>
        <v>0</v>
      </c>
      <c r="BW519" s="237" t="n">
        <f aca="false">BW517*$AC$515*BW518*BW$38*'⑫ Roll-out Plan'!$O$56</f>
        <v>0</v>
      </c>
      <c r="BX519" s="237" t="n">
        <f aca="false">BX517*$AC$515*BX518*BX$38*'⑫ Roll-out Plan'!$O$56</f>
        <v>0</v>
      </c>
      <c r="BY519" s="237" t="n">
        <f aca="false">BY517*$AC$515*BY518*BY$38*'⑫ Roll-out Plan'!$O$56</f>
        <v>0</v>
      </c>
      <c r="BZ519" s="237" t="n">
        <f aca="false">BZ517*$AC$515*BZ518*BZ$38*'⑫ Roll-out Plan'!$O$56</f>
        <v>0</v>
      </c>
      <c r="CA519" s="237" t="n">
        <f aca="false">CA517*$AC$515*CA518*CA$38*'⑫ Roll-out Plan'!$O$56</f>
        <v>0</v>
      </c>
      <c r="CB519" s="237" t="n">
        <f aca="false">CB517*$AC$515*CB518*CB$38*'⑫ Roll-out Plan'!$O$56</f>
        <v>0</v>
      </c>
      <c r="CC519" s="237" t="n">
        <f aca="false">CC517*$AC$515*CC518*CC$38*'⑫ Roll-out Plan'!$O$56</f>
        <v>0</v>
      </c>
      <c r="CD519" s="237" t="n">
        <f aca="false">CD517*$AC$515*CD518*CD$38*'⑫ Roll-out Plan'!$O$56</f>
        <v>0</v>
      </c>
      <c r="CE519" s="237" t="n">
        <f aca="false">CE517*$AC$515*CE518*CE$38*'⑫ Roll-out Plan'!$O$56</f>
        <v>0</v>
      </c>
      <c r="CF519" s="237" t="n">
        <f aca="false">CF517*$AC$515*CF518*CF$38*'⑫ Roll-out Plan'!$O$56</f>
        <v>0</v>
      </c>
      <c r="CG519" s="237" t="n">
        <f aca="false">CG517*$AC$515*CG518*CG$38*'⑫ Roll-out Plan'!$O$56</f>
        <v>0</v>
      </c>
      <c r="CH519" s="237" t="n">
        <f aca="false">CH517*$AC$515*CH518*CH$38*'⑫ Roll-out Plan'!$O$56</f>
        <v>0</v>
      </c>
      <c r="CI519" s="237" t="n">
        <f aca="false">CI517*$AC$515*CI518*CI$38*'⑫ Roll-out Plan'!$O$56</f>
        <v>0</v>
      </c>
      <c r="CJ519" s="237" t="n">
        <f aca="false">CJ517*$AC$515*CJ518*CJ$38*'⑫ Roll-out Plan'!$O$56</f>
        <v>0</v>
      </c>
      <c r="CK519" s="237" t="n">
        <f aca="false">CK517*$AC$515*CK518*CK$38*'⑫ Roll-out Plan'!$O$56</f>
        <v>0</v>
      </c>
      <c r="CL519" s="237" t="n">
        <f aca="false">CL517*$AC$515*CL518*CL$38*'⑫ Roll-out Plan'!$O$56</f>
        <v>0</v>
      </c>
      <c r="CM519" s="237" t="n">
        <f aca="false">CM517*$AC$515*CM518*CM$38*'⑫ Roll-out Plan'!$O$56</f>
        <v>0</v>
      </c>
      <c r="CN519" s="237" t="n">
        <f aca="false">CN517*$AC$515*CN518*CN$38*'⑫ Roll-out Plan'!$O$56</f>
        <v>0</v>
      </c>
      <c r="CO519" s="237" t="n">
        <f aca="false">CO517*$AC$515*CO518*CO$38*'⑫ Roll-out Plan'!$O$56</f>
        <v>0</v>
      </c>
      <c r="CP519" s="237" t="n">
        <f aca="false">CP517*$AC$515*CP518*CP$38*'⑫ Roll-out Plan'!$O$56</f>
        <v>0</v>
      </c>
      <c r="CQ519" s="237" t="n">
        <f aca="false">CQ517*$AC$515*CQ518*CQ$38*'⑫ Roll-out Plan'!$O$56</f>
        <v>0</v>
      </c>
      <c r="CR519" s="237" t="n">
        <f aca="false">CR517*$AC$515*CR518*CR$38*'⑫ Roll-out Plan'!$O$56</f>
        <v>0</v>
      </c>
      <c r="CS519" s="237" t="n">
        <f aca="false">CS517*$AC$515*CS518*CS$38*'⑫ Roll-out Plan'!$O$56</f>
        <v>0</v>
      </c>
      <c r="CT519" s="237" t="n">
        <f aca="false">CT517*$AC$515*CT518*CT$38*'⑫ Roll-out Plan'!$O$56</f>
        <v>0</v>
      </c>
      <c r="CU519" s="237" t="n">
        <f aca="false">CU517*$AC$515*CU518*CU$38*'⑫ Roll-out Plan'!$O$56</f>
        <v>0</v>
      </c>
      <c r="CV519" s="237" t="n">
        <f aca="false">CV517*$AC$515*CV518*CV$38*'⑫ Roll-out Plan'!$O$56</f>
        <v>0</v>
      </c>
      <c r="CW519" s="237" t="n">
        <f aca="false">CW517*$AC$515*CW518*CW$38*'⑫ Roll-out Plan'!$O$56</f>
        <v>0</v>
      </c>
      <c r="CX519" s="237" t="n">
        <f aca="false">CX517*$AC$515*CX518*CX$38*'⑫ Roll-out Plan'!$O$56</f>
        <v>0</v>
      </c>
      <c r="CY519" s="237" t="n">
        <f aca="false">CY517*$AC$515*CY518*CY$38*'⑫ Roll-out Plan'!$O$56</f>
        <v>0</v>
      </c>
      <c r="CZ519" s="237" t="n">
        <f aca="false">CZ517*$AC$515*CZ518*CZ$38*'⑫ Roll-out Plan'!$O$56</f>
        <v>0</v>
      </c>
      <c r="DA519" s="237" t="n">
        <f aca="false">DA517*$AC$515*DA518*DA$38*'⑫ Roll-out Plan'!$O$56</f>
        <v>0</v>
      </c>
      <c r="DB519" s="237" t="n">
        <f aca="false">DB517*$AC$515*DB518*DB$38*'⑫ Roll-out Plan'!$O$56</f>
        <v>0</v>
      </c>
      <c r="DC519" s="237" t="n">
        <f aca="false">DC517*$AC$515*DC518*DC$38*'⑫ Roll-out Plan'!$O$56</f>
        <v>0</v>
      </c>
      <c r="DD519" s="237" t="n">
        <f aca="false">DD517*$AC$515*DD518*DD$38*'⑫ Roll-out Plan'!$O$56</f>
        <v>0</v>
      </c>
      <c r="DE519" s="237" t="n">
        <f aca="false">DE517*$AC$515*DE518*DE$38*'⑫ Roll-out Plan'!$O$56</f>
        <v>0</v>
      </c>
      <c r="DF519" s="237" t="n">
        <f aca="false">DF517*$AC$515*DF518*DF$38*'⑫ Roll-out Plan'!$O$56</f>
        <v>0</v>
      </c>
      <c r="DG519" s="237" t="n">
        <f aca="false">DG517*$AC$515*DG518*DG$38*'⑫ Roll-out Plan'!$O$56</f>
        <v>0</v>
      </c>
      <c r="DH519" s="237" t="n">
        <f aca="false">DH517*$AC$515*DH518*DH$38*'⑫ Roll-out Plan'!$O$56</f>
        <v>0</v>
      </c>
      <c r="DI519" s="237" t="n">
        <f aca="false">DI517*$AC$515*DI518*DI$38*'⑫ Roll-out Plan'!$O$56</f>
        <v>0</v>
      </c>
      <c r="DJ519" s="237" t="n">
        <f aca="false">DJ517*$AC$515*DJ518*DJ$38*'⑫ Roll-out Plan'!$O$56</f>
        <v>0</v>
      </c>
      <c r="DK519" s="237" t="n">
        <f aca="false">DK517*$AC$515*DK518*DK$38*'⑫ Roll-out Plan'!$O$56</f>
        <v>0</v>
      </c>
      <c r="DL519" s="237" t="n">
        <f aca="false">DL517*$AC$515*DL518*DL$38*'⑫ Roll-out Plan'!$O$56</f>
        <v>0</v>
      </c>
      <c r="DM519" s="237" t="n">
        <f aca="false">DM517*$AC$515*DM518*DM$38*'⑫ Roll-out Plan'!$O$56</f>
        <v>0</v>
      </c>
      <c r="DN519" s="237" t="n">
        <f aca="false">DN517*$AC$515*DN518*DN$38*'⑫ Roll-out Plan'!$O$56</f>
        <v>0</v>
      </c>
      <c r="DO519" s="237" t="n">
        <f aca="false">DO517*$AC$515*DO518*DO$38*'⑫ Roll-out Plan'!$O$56</f>
        <v>0</v>
      </c>
      <c r="DP519" s="237" t="n">
        <f aca="false">DP517*$AC$515*DP518*DP$38*'⑫ Roll-out Plan'!$O$56</f>
        <v>0</v>
      </c>
      <c r="DQ519" s="237" t="n">
        <f aca="false">DQ517*$AC$515*DQ518*DQ$38*'⑫ Roll-out Plan'!$O$56</f>
        <v>0</v>
      </c>
      <c r="DR519" s="237" t="n">
        <f aca="false">DR517*$AC$515*DR518*DR$38*'⑫ Roll-out Plan'!$O$56</f>
        <v>0</v>
      </c>
      <c r="DS519" s="237" t="n">
        <f aca="false">DS517*$AC$515*DS518*DS$38*'⑫ Roll-out Plan'!$O$56</f>
        <v>0</v>
      </c>
      <c r="DT519" s="237" t="n">
        <f aca="false">DT517*$AC$515*DT518*DT$38*'⑫ Roll-out Plan'!$O$56</f>
        <v>0</v>
      </c>
      <c r="DU519" s="237" t="n">
        <f aca="false">DU517*$AC$515*DU518*DU$38*'⑫ Roll-out Plan'!$O$56</f>
        <v>0</v>
      </c>
      <c r="DV519" s="237" t="n">
        <f aca="false">DV517*$AC$515*DV518*DV$38*'⑫ Roll-out Plan'!$O$56</f>
        <v>0</v>
      </c>
      <c r="DW519" s="237" t="n">
        <f aca="false">DW517*$AC$515*DW518*DW$38*'⑫ Roll-out Plan'!$O$56</f>
        <v>0</v>
      </c>
      <c r="DX519" s="237" t="n">
        <f aca="false">DX517*$AC$515*DX518*DX$38*'⑫ Roll-out Plan'!$O$56</f>
        <v>0</v>
      </c>
      <c r="DY519" s="237" t="n">
        <f aca="false">DY517*$AC$515*DY518*DY$38*'⑫ Roll-out Plan'!$O$56</f>
        <v>0</v>
      </c>
      <c r="DZ519" s="237" t="n">
        <f aca="false">DZ517*$AC$515*DZ518*DZ$38*'⑫ Roll-out Plan'!$O$56</f>
        <v>0</v>
      </c>
      <c r="EA519" s="237" t="n">
        <f aca="false">EA517*$AC$515*EA518*EA$38*'⑫ Roll-out Plan'!$O$56</f>
        <v>0</v>
      </c>
      <c r="EB519" s="237" t="n">
        <f aca="false">EB517*$AC$515*EB518*EB$38*'⑫ Roll-out Plan'!$O$56</f>
        <v>0</v>
      </c>
      <c r="EC519" s="237" t="n">
        <f aca="false">EC517*$AC$515*EC518*EC$38*'⑫ Roll-out Plan'!$O$56</f>
        <v>0</v>
      </c>
      <c r="ED519" s="237" t="n">
        <f aca="false">ED517*$AC$515*ED518*ED$38*'⑫ Roll-out Plan'!$O$56</f>
        <v>0</v>
      </c>
      <c r="EE519" s="237" t="n">
        <f aca="false">EE517*$AC$515*EE518*EE$38*'⑫ Roll-out Plan'!$O$56</f>
        <v>0</v>
      </c>
      <c r="EF519" s="237" t="n">
        <f aca="false">EF517*$AC$515*EF518*EF$38*'⑫ Roll-out Plan'!$O$56</f>
        <v>0</v>
      </c>
      <c r="EG519" s="237" t="n">
        <f aca="false">EG517*$AC$515*EG518*EG$38*'⑫ Roll-out Plan'!$O$56</f>
        <v>0</v>
      </c>
      <c r="EH519" s="237" t="n">
        <f aca="false">EH517*$AC$515*EH518*EH$38*'⑫ Roll-out Plan'!$O$56</f>
        <v>0</v>
      </c>
      <c r="EI519" s="237" t="n">
        <f aca="false">EI517*$AC$515*EI518*EI$38*'⑫ Roll-out Plan'!$O$56</f>
        <v>42.92</v>
      </c>
      <c r="EJ519" s="237" t="n">
        <f aca="false">EJ517*$AC$515*EJ518*EJ$38*'⑫ Roll-out Plan'!$O$56</f>
        <v>44.77</v>
      </c>
      <c r="EK519" s="237" t="n">
        <f aca="false">EK517*$AC$515*EK518*EK$38*'⑫ Roll-out Plan'!$O$56</f>
        <v>40.848</v>
      </c>
      <c r="EL519" s="237" t="n">
        <f aca="false">EL517*$AC$515*EL518*EL$38*'⑫ Roll-out Plan'!$O$56</f>
        <v>39.96</v>
      </c>
      <c r="EM519" s="237" t="n">
        <f aca="false">EM517*$AC$515*EM518*EM$38*'⑫ Roll-out Plan'!$O$56</f>
        <v>41.958</v>
      </c>
      <c r="EN519" s="237" t="n">
        <f aca="false">EN517*$AC$515*EN518*EN$38*'⑫ Roll-out Plan'!$O$56</f>
        <v>81.437</v>
      </c>
      <c r="EO519" s="237" t="n">
        <f aca="false">EO517*$AC$515*EO518*EO$38*'⑫ Roll-out Plan'!$O$56</f>
        <v>75.11</v>
      </c>
      <c r="EP519" s="237" t="n">
        <f aca="false">EP517*$AC$515*EP518*EP$38*'⑫ Roll-out Plan'!$O$56</f>
        <v>69.264</v>
      </c>
      <c r="EQ519" s="237" t="n">
        <f aca="false">EQ517*$AC$515*EQ518*EQ$38*'⑫ Roll-out Plan'!$O$56</f>
        <v>58.608</v>
      </c>
      <c r="ER519" s="237" t="n">
        <f aca="false">ER517*$AC$515*ER518*ER$38*'⑫ Roll-out Plan'!$O$56</f>
        <v>83.028</v>
      </c>
      <c r="ES519" s="9" t="n">
        <f aca="false">ES517*$AC$515*ES518*ES$38*'⑫ Roll-out Plan'!$O$56</f>
        <v>95.904</v>
      </c>
      <c r="ET519" s="9" t="n">
        <f aca="false">ET517*$AC$515*ET518*ET$38*'⑫ Roll-out Plan'!$O$56</f>
        <v>78.884</v>
      </c>
      <c r="EU519" s="9" t="n">
        <f aca="false">EU517*$AC$515*EU518*EU$38*'⑫ Roll-out Plan'!$O$56</f>
        <v>120.176</v>
      </c>
      <c r="EV519" s="9" t="n">
        <f aca="false">EV517*$AC$515*EV518*EV$38*'⑫ Roll-out Plan'!$O$56</f>
        <v>122.1</v>
      </c>
      <c r="EW519" s="9" t="n">
        <f aca="false">EW517*$AC$515*EW518*EW$38*'⑫ Roll-out Plan'!$O$56</f>
        <v>102.12</v>
      </c>
      <c r="EX519" s="9" t="n">
        <f aca="false">EX517*$AC$515*EX518*EX$38*'⑫ Roll-out Plan'!$O$56</f>
        <v>111.888</v>
      </c>
      <c r="EY519" s="9" t="n">
        <f aca="false">EY517*$AC$515*EY518*EY$38*'⑫ Roll-out Plan'!$O$56</f>
        <v>123.0768</v>
      </c>
      <c r="EZ519" s="9" t="n">
        <f aca="false">EZ517*$AC$515*EZ518*EZ$38*'⑫ Roll-out Plan'!$O$56</f>
        <v>217.5156</v>
      </c>
      <c r="FA519" s="9" t="n">
        <f aca="false">FA517*$AC$515*FA518*FA$38*'⑫ Roll-out Plan'!$O$56</f>
        <v>182.8392</v>
      </c>
      <c r="FB519" s="9" t="n">
        <f aca="false">FB517*$AC$515*FB518*FB$38*'⑫ Roll-out Plan'!$O$56</f>
        <v>151.3152</v>
      </c>
      <c r="FC519" s="9" t="n">
        <f aca="false">FC517*$AC$515*FC518*FC$38*'⑫ Roll-out Plan'!$O$56</f>
        <v>116.6832</v>
      </c>
      <c r="FD519" s="9" t="n">
        <f aca="false">FD517*$AC$515*FD518*FD$38*'⑫ Roll-out Plan'!$O$56</f>
        <v>169.83</v>
      </c>
      <c r="FE519" s="9" t="n">
        <f aca="false">FE517*$AC$515*FE518*FE$38*'⑫ Roll-out Plan'!$O$56</f>
        <v>184.6152</v>
      </c>
      <c r="FF519" s="9" t="n">
        <f aca="false">FF517*$AC$515*FF518*FF$38*'⑫ Roll-out Plan'!$O$56</f>
        <v>143.8116</v>
      </c>
      <c r="FG519" s="9" t="n">
        <f aca="false">FG517*$AC$515*FG518*FG$38*'⑫ Roll-out Plan'!$O$56</f>
        <v>203.4408</v>
      </c>
      <c r="FH519" s="9" t="n">
        <f aca="false">FH517*$AC$515*FH518*FH$38*'⑫ Roll-out Plan'!$O$56</f>
        <v>195.36</v>
      </c>
      <c r="FI519" s="9" t="n">
        <f aca="false">FI517*$AC$515*FI518*FI$38*'⑫ Roll-out Plan'!$O$56</f>
        <v>167.4768</v>
      </c>
      <c r="FJ519" s="9" t="n">
        <f aca="false">FJ517*$AC$515*FJ518*FJ$38*'⑫ Roll-out Plan'!$O$56</f>
        <v>149.184</v>
      </c>
      <c r="FK519" s="9" t="n">
        <f aca="false">FK517*$AC$515*FK518*FK$38*'⑫ Roll-out Plan'!$O$56</f>
        <v>158.508</v>
      </c>
      <c r="FL519" s="9" t="n">
        <f aca="false">FL517*$AC$515*FL518*FL$38*'⑫ Roll-out Plan'!$O$56</f>
        <v>267.954</v>
      </c>
      <c r="FM519" s="9" t="n">
        <f aca="false">FM517*$AC$515*FM518*FM$38*'⑫ Roll-out Plan'!$O$56</f>
        <v>221.4672</v>
      </c>
      <c r="FN519" s="9" t="n">
        <f aca="false">FN517*$AC$515*FN518*FN$38*'⑫ Roll-out Plan'!$O$56</f>
        <v>187.5456</v>
      </c>
      <c r="FO519" s="9" t="n">
        <f aca="false">FO517*$AC$515*FO518*FO$38*'⑫ Roll-out Plan'!$O$56</f>
        <v>142.2576</v>
      </c>
      <c r="FP519" s="9" t="n">
        <f aca="false">FP517*$AC$515*FP518*FP$38*'⑫ Roll-out Plan'!$O$56</f>
        <v>203.796</v>
      </c>
    </row>
    <row r="520" customFormat="false" ht="15" hidden="false" customHeight="false" outlineLevel="2" collapsed="false">
      <c r="B520" s="47" t="s">
        <v>877</v>
      </c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237" t="n">
        <f aca="true">IFERROR(SUMPRODUCT(OFFSET($BJ$31,0,1-MIN(60,COLUMN()-29),1,MIN(60,COLUMN()-29)),OFFSET(AC519,0,-MIN(60,COLUMN()-29),1,MIN(60,COLUMN()-29))),0)</f>
        <v>0</v>
      </c>
      <c r="AD520" s="237" t="n">
        <f aca="true">IFERROR(SUMPRODUCT(OFFSET($BJ$31,0,1-MIN(60,COLUMN()-29),1,MIN(60,COLUMN()-29)),OFFSET(AD519,0,-MIN(60,COLUMN()-29),1,MIN(60,COLUMN()-29))),0)</f>
        <v>0</v>
      </c>
      <c r="AE520" s="237" t="n">
        <f aca="true">IFERROR(SUMPRODUCT(OFFSET($BJ$31,0,1-MIN(60,COLUMN()-29),1,MIN(60,COLUMN()-29)),OFFSET(AE519,0,-MIN(60,COLUMN()-29),1,MIN(60,COLUMN()-29))),0)</f>
        <v>0</v>
      </c>
      <c r="AF520" s="237" t="n">
        <f aca="true">IFERROR(SUMPRODUCT(OFFSET($BJ$31,0,1-MIN(60,COLUMN()-29),1,MIN(60,COLUMN()-29)),OFFSET(AF519,0,-MIN(60,COLUMN()-29),1,MIN(60,COLUMN()-29))),0)</f>
        <v>0</v>
      </c>
      <c r="AG520" s="237" t="n">
        <f aca="true">IFERROR(SUMPRODUCT(OFFSET($BJ$31,0,1-MIN(60,COLUMN()-29),1,MIN(60,COLUMN()-29)),OFFSET(AG519,0,-MIN(60,COLUMN()-29),1,MIN(60,COLUMN()-29))),0)</f>
        <v>0</v>
      </c>
      <c r="AH520" s="237" t="n">
        <f aca="true">IFERROR(SUMPRODUCT(OFFSET($BJ$31,0,1-MIN(60,COLUMN()-29),1,MIN(60,COLUMN()-29)),OFFSET(AH519,0,-MIN(60,COLUMN()-29),1,MIN(60,COLUMN()-29))),0)</f>
        <v>0</v>
      </c>
      <c r="AI520" s="237" t="n">
        <f aca="true">IFERROR(SUMPRODUCT(OFFSET($BJ$31,0,1-MIN(60,COLUMN()-29),1,MIN(60,COLUMN()-29)),OFFSET(AI519,0,-MIN(60,COLUMN()-29),1,MIN(60,COLUMN()-29))),0)</f>
        <v>0</v>
      </c>
      <c r="AJ520" s="237" t="n">
        <f aca="true">IFERROR(SUMPRODUCT(OFFSET($BJ$31,0,1-MIN(60,COLUMN()-29),1,MIN(60,COLUMN()-29)),OFFSET(AJ519,0,-MIN(60,COLUMN()-29),1,MIN(60,COLUMN()-29))),0)</f>
        <v>0</v>
      </c>
      <c r="AK520" s="237" t="n">
        <f aca="true">IFERROR(SUMPRODUCT(OFFSET($BJ$31,0,1-MIN(60,COLUMN()-29),1,MIN(60,COLUMN()-29)),OFFSET(AK519,0,-MIN(60,COLUMN()-29),1,MIN(60,COLUMN()-29))),0)</f>
        <v>0</v>
      </c>
      <c r="AL520" s="237" t="n">
        <f aca="true">IFERROR(SUMPRODUCT(OFFSET($BJ$31,0,1-MIN(60,COLUMN()-29),1,MIN(60,COLUMN()-29)),OFFSET(AL519,0,-MIN(60,COLUMN()-29),1,MIN(60,COLUMN()-29))),0)</f>
        <v>0</v>
      </c>
      <c r="AM520" s="237" t="n">
        <f aca="true">IFERROR(SUMPRODUCT(OFFSET($BJ$31,0,1-MIN(60,COLUMN()-29),1,MIN(60,COLUMN()-29)),OFFSET(AM519,0,-MIN(60,COLUMN()-29),1,MIN(60,COLUMN()-29))),0)</f>
        <v>0</v>
      </c>
      <c r="AN520" s="237" t="n">
        <f aca="true">IFERROR(SUMPRODUCT(OFFSET($BJ$31,0,1-MIN(60,COLUMN()-29),1,MIN(60,COLUMN()-29)),OFFSET(AN519,0,-MIN(60,COLUMN()-29),1,MIN(60,COLUMN()-29))),0)</f>
        <v>0</v>
      </c>
      <c r="AO520" s="237" t="n">
        <f aca="true">IFERROR(SUMPRODUCT(OFFSET($BJ$31,0,1-MIN(60,COLUMN()-29),1,MIN(60,COLUMN()-29)),OFFSET(AO519,0,-MIN(60,COLUMN()-29),1,MIN(60,COLUMN()-29))),0)</f>
        <v>0</v>
      </c>
      <c r="AP520" s="237" t="n">
        <f aca="true">IFERROR(SUMPRODUCT(OFFSET($BJ$31,0,1-MIN(60,COLUMN()-29),1,MIN(60,COLUMN()-29)),OFFSET(AP519,0,-MIN(60,COLUMN()-29),1,MIN(60,COLUMN()-29))),0)</f>
        <v>0</v>
      </c>
      <c r="AQ520" s="237" t="n">
        <f aca="true">IFERROR(SUMPRODUCT(OFFSET($BJ$31,0,1-MIN(60,COLUMN()-29),1,MIN(60,COLUMN()-29)),OFFSET(AQ519,0,-MIN(60,COLUMN()-29),1,MIN(60,COLUMN()-29))),0)</f>
        <v>0</v>
      </c>
      <c r="AR520" s="237" t="n">
        <f aca="true">IFERROR(SUMPRODUCT(OFFSET($BJ$31,0,1-MIN(60,COLUMN()-29),1,MIN(60,COLUMN()-29)),OFFSET(AR519,0,-MIN(60,COLUMN()-29),1,MIN(60,COLUMN()-29))),0)</f>
        <v>0</v>
      </c>
      <c r="AS520" s="237" t="n">
        <f aca="true">IFERROR(SUMPRODUCT(OFFSET($BJ$31,0,1-MIN(60,COLUMN()-29),1,MIN(60,COLUMN()-29)),OFFSET(AS519,0,-MIN(60,COLUMN()-29),1,MIN(60,COLUMN()-29))),0)</f>
        <v>0</v>
      </c>
      <c r="AT520" s="237" t="n">
        <f aca="true">IFERROR(SUMPRODUCT(OFFSET($BJ$31,0,1-MIN(60,COLUMN()-29),1,MIN(60,COLUMN()-29)),OFFSET(AT519,0,-MIN(60,COLUMN()-29),1,MIN(60,COLUMN()-29))),0)</f>
        <v>0</v>
      </c>
      <c r="AU520" s="237" t="n">
        <f aca="true">IFERROR(SUMPRODUCT(OFFSET($BJ$31,0,1-MIN(60,COLUMN()-29),1,MIN(60,COLUMN()-29)),OFFSET(AU519,0,-MIN(60,COLUMN()-29),1,MIN(60,COLUMN()-29))),0)</f>
        <v>0</v>
      </c>
      <c r="AV520" s="237" t="n">
        <f aca="true">IFERROR(SUMPRODUCT(OFFSET($BJ$31,0,1-MIN(60,COLUMN()-29),1,MIN(60,COLUMN()-29)),OFFSET(AV519,0,-MIN(60,COLUMN()-29),1,MIN(60,COLUMN()-29))),0)</f>
        <v>0</v>
      </c>
      <c r="AW520" s="237" t="n">
        <f aca="true">IFERROR(SUMPRODUCT(OFFSET($BJ$31,0,1-MIN(60,COLUMN()-29),1,MIN(60,COLUMN()-29)),OFFSET(AW519,0,-MIN(60,COLUMN()-29),1,MIN(60,COLUMN()-29))),0)</f>
        <v>0</v>
      </c>
      <c r="AX520" s="237" t="n">
        <f aca="true">IFERROR(SUMPRODUCT(OFFSET($BJ$31,0,1-MIN(60,COLUMN()-29),1,MIN(60,COLUMN()-29)),OFFSET(AX519,0,-MIN(60,COLUMN()-29),1,MIN(60,COLUMN()-29))),0)</f>
        <v>0</v>
      </c>
      <c r="AY520" s="237" t="n">
        <f aca="true">IFERROR(SUMPRODUCT(OFFSET($BJ$31,0,1-MIN(60,COLUMN()-29),1,MIN(60,COLUMN()-29)),OFFSET(AY519,0,-MIN(60,COLUMN()-29),1,MIN(60,COLUMN()-29))),0)</f>
        <v>0</v>
      </c>
      <c r="AZ520" s="237" t="n">
        <f aca="true">IFERROR(SUMPRODUCT(OFFSET($BJ$31,0,1-MIN(60,COLUMN()-29),1,MIN(60,COLUMN()-29)),OFFSET(AZ519,0,-MIN(60,COLUMN()-29),1,MIN(60,COLUMN()-29))),0)</f>
        <v>0</v>
      </c>
      <c r="BA520" s="237" t="n">
        <f aca="true">IFERROR(SUMPRODUCT(OFFSET($BJ$31,0,1-MIN(60,COLUMN()-29),1,MIN(60,COLUMN()-29)),OFFSET(BA519,0,-MIN(60,COLUMN()-29),1,MIN(60,COLUMN()-29))),0)</f>
        <v>0</v>
      </c>
      <c r="BB520" s="237" t="n">
        <f aca="true">IFERROR(SUMPRODUCT(OFFSET($BJ$31,0,1-MIN(60,COLUMN()-29),1,MIN(60,COLUMN()-29)),OFFSET(BB519,0,-MIN(60,COLUMN()-29),1,MIN(60,COLUMN()-29))),0)</f>
        <v>0</v>
      </c>
      <c r="BC520" s="237" t="n">
        <f aca="true">IFERROR(SUMPRODUCT(OFFSET($BJ$31,0,1-MIN(60,COLUMN()-29),1,MIN(60,COLUMN()-29)),OFFSET(BC519,0,-MIN(60,COLUMN()-29),1,MIN(60,COLUMN()-29))),0)</f>
        <v>0</v>
      </c>
      <c r="BD520" s="237" t="n">
        <f aca="true">IFERROR(SUMPRODUCT(OFFSET($BJ$31,0,1-MIN(60,COLUMN()-29),1,MIN(60,COLUMN()-29)),OFFSET(BD519,0,-MIN(60,COLUMN()-29),1,MIN(60,COLUMN()-29))),0)</f>
        <v>0</v>
      </c>
      <c r="BE520" s="237" t="n">
        <f aca="true">IFERROR(SUMPRODUCT(OFFSET($BJ$31,0,1-MIN(60,COLUMN()-29),1,MIN(60,COLUMN()-29)),OFFSET(BE519,0,-MIN(60,COLUMN()-29),1,MIN(60,COLUMN()-29))),0)</f>
        <v>0</v>
      </c>
      <c r="BF520" s="237" t="n">
        <f aca="true">IFERROR(SUMPRODUCT(OFFSET($BJ$31,0,1-MIN(60,COLUMN()-29),1,MIN(60,COLUMN()-29)),OFFSET(BF519,0,-MIN(60,COLUMN()-29),1,MIN(60,COLUMN()-29))),0)</f>
        <v>0</v>
      </c>
      <c r="BG520" s="237" t="n">
        <f aca="true">IFERROR(SUMPRODUCT(OFFSET($BJ$31,0,1-MIN(60,COLUMN()-29),1,MIN(60,COLUMN()-29)),OFFSET(BG519,0,-MIN(60,COLUMN()-29),1,MIN(60,COLUMN()-29))),0)</f>
        <v>0</v>
      </c>
      <c r="BH520" s="237" t="n">
        <f aca="true">IFERROR(SUMPRODUCT(OFFSET($BJ$31,0,1-MIN(60,COLUMN()-29),1,MIN(60,COLUMN()-29)),OFFSET(BH519,0,-MIN(60,COLUMN()-29),1,MIN(60,COLUMN()-29))),0)</f>
        <v>0</v>
      </c>
      <c r="BI520" s="237" t="n">
        <f aca="true">IFERROR(SUMPRODUCT(OFFSET($BJ$31,0,1-MIN(60,COLUMN()-29),1,MIN(60,COLUMN()-29)),OFFSET(BI519,0,-MIN(60,COLUMN()-29),1,MIN(60,COLUMN()-29))),0)</f>
        <v>0</v>
      </c>
      <c r="BJ520" s="237" t="n">
        <f aca="true">IFERROR(SUMPRODUCT(OFFSET($BJ$31,0,1-MIN(60,COLUMN()-29),1,MIN(60,COLUMN()-29)),OFFSET(BJ519,0,-MIN(60,COLUMN()-29),1,MIN(60,COLUMN()-29))),0)</f>
        <v>0</v>
      </c>
      <c r="BK520" s="237" t="n">
        <f aca="true">IFERROR(SUMPRODUCT(OFFSET($BJ$31,0,1-MIN(60,COLUMN()-29),1,MIN(60,COLUMN()-29)),OFFSET(BK519,0,-MIN(60,COLUMN()-29),1,MIN(60,COLUMN()-29))),0)</f>
        <v>0</v>
      </c>
      <c r="BL520" s="237" t="n">
        <f aca="true">IFERROR(SUMPRODUCT(OFFSET($BJ$31,0,1-MIN(60,COLUMN()-29),1,MIN(60,COLUMN()-29)),OFFSET(BL519,0,-MIN(60,COLUMN()-29),1,MIN(60,COLUMN()-29))),0)</f>
        <v>0</v>
      </c>
      <c r="BM520" s="237" t="n">
        <f aca="true">IFERROR(SUMPRODUCT(OFFSET($BJ$31,0,1-MIN(60,COLUMN()-29),1,MIN(60,COLUMN()-29)),OFFSET(BM519,0,-MIN(60,COLUMN()-29),1,MIN(60,COLUMN()-29))),0)</f>
        <v>0</v>
      </c>
      <c r="BN520" s="237" t="n">
        <f aca="true">IFERROR(SUMPRODUCT(OFFSET($BJ$31,0,1-MIN(60,COLUMN()-29),1,MIN(60,COLUMN()-29)),OFFSET(BN519,0,-MIN(60,COLUMN()-29),1,MIN(60,COLUMN()-29))),0)</f>
        <v>0</v>
      </c>
      <c r="BO520" s="237" t="n">
        <f aca="true">IFERROR(SUMPRODUCT(OFFSET($BJ$31,0,1-MIN(60,COLUMN()-29),1,MIN(60,COLUMN()-29)),OFFSET(BO519,0,-MIN(60,COLUMN()-29),1,MIN(60,COLUMN()-29))),0)</f>
        <v>0</v>
      </c>
      <c r="BP520" s="237" t="n">
        <f aca="true">IFERROR(SUMPRODUCT(OFFSET($BJ$31,0,1-MIN(60,COLUMN()-29),1,MIN(60,COLUMN()-29)),OFFSET(BP519,0,-MIN(60,COLUMN()-29),1,MIN(60,COLUMN()-29))),0)</f>
        <v>0</v>
      </c>
      <c r="BQ520" s="237" t="n">
        <f aca="true">IFERROR(SUMPRODUCT(OFFSET($BJ$31,0,1-MIN(60,COLUMN()-29),1,MIN(60,COLUMN()-29)),OFFSET(BQ519,0,-MIN(60,COLUMN()-29),1,MIN(60,COLUMN()-29))),0)</f>
        <v>0</v>
      </c>
      <c r="BR520" s="237" t="n">
        <f aca="true">IFERROR(SUMPRODUCT(OFFSET($BJ$31,0,1-MIN(60,COLUMN()-29),1,MIN(60,COLUMN()-29)),OFFSET(BR519,0,-MIN(60,COLUMN()-29),1,MIN(60,COLUMN()-29))),0)</f>
        <v>0</v>
      </c>
      <c r="BS520" s="237" t="n">
        <f aca="true">IFERROR(SUMPRODUCT(OFFSET($BJ$31,0,1-MIN(60,COLUMN()-29),1,MIN(60,COLUMN()-29)),OFFSET(BS519,0,-MIN(60,COLUMN()-29),1,MIN(60,COLUMN()-29))),0)</f>
        <v>0</v>
      </c>
      <c r="BT520" s="237" t="n">
        <f aca="true">IFERROR(SUMPRODUCT(OFFSET($BJ$31,0,1-MIN(60,COLUMN()-29),1,MIN(60,COLUMN()-29)),OFFSET(BT519,0,-MIN(60,COLUMN()-29),1,MIN(60,COLUMN()-29))),0)</f>
        <v>0</v>
      </c>
      <c r="BU520" s="237" t="n">
        <f aca="true">IFERROR(SUMPRODUCT(OFFSET($BJ$31,0,1-MIN(60,COLUMN()-29),1,MIN(60,COLUMN()-29)),OFFSET(BU519,0,-MIN(60,COLUMN()-29),1,MIN(60,COLUMN()-29))),0)</f>
        <v>0</v>
      </c>
      <c r="BV520" s="237" t="n">
        <f aca="true">IFERROR(SUMPRODUCT(OFFSET($BJ$31,0,1-MIN(60,COLUMN()-29),1,MIN(60,COLUMN()-29)),OFFSET(BV519,0,-MIN(60,COLUMN()-29),1,MIN(60,COLUMN()-29))),0)</f>
        <v>0</v>
      </c>
      <c r="BW520" s="237" t="n">
        <f aca="true">IFERROR(SUMPRODUCT(OFFSET($BJ$31,0,1-MIN(60,COLUMN()-29),1,MIN(60,COLUMN()-29)),OFFSET(BW519,0,-MIN(60,COLUMN()-29),1,MIN(60,COLUMN()-29))),0)</f>
        <v>0</v>
      </c>
      <c r="BX520" s="237" t="n">
        <f aca="true">IFERROR(SUMPRODUCT(OFFSET($BJ$31,0,1-MIN(60,COLUMN()-29),1,MIN(60,COLUMN()-29)),OFFSET(BX519,0,-MIN(60,COLUMN()-29),1,MIN(60,COLUMN()-29))),0)</f>
        <v>0</v>
      </c>
      <c r="BY520" s="237" t="n">
        <f aca="true">IFERROR(SUMPRODUCT(OFFSET($BJ$31,0,1-MIN(60,COLUMN()-29),1,MIN(60,COLUMN()-29)),OFFSET(BY519,0,-MIN(60,COLUMN()-29),1,MIN(60,COLUMN()-29))),0)</f>
        <v>0</v>
      </c>
      <c r="BZ520" s="237" t="n">
        <f aca="true">IFERROR(SUMPRODUCT(OFFSET($BJ$31,0,1-MIN(60,COLUMN()-29),1,MIN(60,COLUMN()-29)),OFFSET(BZ519,0,-MIN(60,COLUMN()-29),1,MIN(60,COLUMN()-29))),0)</f>
        <v>0</v>
      </c>
      <c r="CA520" s="237" t="n">
        <f aca="true">IFERROR(SUMPRODUCT(OFFSET($BJ$31,0,1-MIN(60,COLUMN()-29),1,MIN(60,COLUMN()-29)),OFFSET(CA519,0,-MIN(60,COLUMN()-29),1,MIN(60,COLUMN()-29))),0)</f>
        <v>0</v>
      </c>
      <c r="CB520" s="237" t="n">
        <f aca="true">IFERROR(SUMPRODUCT(OFFSET($BJ$31,0,1-MIN(60,COLUMN()-29),1,MIN(60,COLUMN()-29)),OFFSET(CB519,0,-MIN(60,COLUMN()-29),1,MIN(60,COLUMN()-29))),0)</f>
        <v>0</v>
      </c>
      <c r="CC520" s="237" t="n">
        <f aca="true">IFERROR(SUMPRODUCT(OFFSET($BJ$31,0,1-MIN(60,COLUMN()-29),1,MIN(60,COLUMN()-29)),OFFSET(CC519,0,-MIN(60,COLUMN()-29),1,MIN(60,COLUMN()-29))),0)</f>
        <v>0</v>
      </c>
      <c r="CD520" s="237" t="n">
        <f aca="true">IFERROR(SUMPRODUCT(OFFSET($BJ$31,0,1-MIN(60,COLUMN()-29),1,MIN(60,COLUMN()-29)),OFFSET(CD519,0,-MIN(60,COLUMN()-29),1,MIN(60,COLUMN()-29))),0)</f>
        <v>0</v>
      </c>
      <c r="CE520" s="237" t="n">
        <f aca="true">IFERROR(SUMPRODUCT(OFFSET($BJ$31,0,1-MIN(60,COLUMN()-29),1,MIN(60,COLUMN()-29)),OFFSET(CE519,0,-MIN(60,COLUMN()-29),1,MIN(60,COLUMN()-29))),0)</f>
        <v>0</v>
      </c>
      <c r="CF520" s="237" t="n">
        <f aca="true">IFERROR(SUMPRODUCT(OFFSET($BJ$31,0,1-MIN(60,COLUMN()-29),1,MIN(60,COLUMN()-29)),OFFSET(CF519,0,-MIN(60,COLUMN()-29),1,MIN(60,COLUMN()-29))),0)</f>
        <v>0</v>
      </c>
      <c r="CG520" s="237" t="n">
        <f aca="true">IFERROR(SUMPRODUCT(OFFSET($BJ$31,0,1-MIN(60,COLUMN()-29),1,MIN(60,COLUMN()-29)),OFFSET(CG519,0,-MIN(60,COLUMN()-29),1,MIN(60,COLUMN()-29))),0)</f>
        <v>0</v>
      </c>
      <c r="CH520" s="237" t="n">
        <f aca="true">IFERROR(SUMPRODUCT(OFFSET($BJ$31,0,1-MIN(60,COLUMN()-29),1,MIN(60,COLUMN()-29)),OFFSET(CH519,0,-MIN(60,COLUMN()-29),1,MIN(60,COLUMN()-29))),0)</f>
        <v>0</v>
      </c>
      <c r="CI520" s="237" t="n">
        <f aca="true">IFERROR(SUMPRODUCT(OFFSET($BJ$31,0,1-MIN(60,COLUMN()-29),1,MIN(60,COLUMN()-29)),OFFSET(CI519,0,-MIN(60,COLUMN()-29),1,MIN(60,COLUMN()-29))),0)</f>
        <v>0</v>
      </c>
      <c r="CJ520" s="237" t="n">
        <f aca="true">IFERROR(SUMPRODUCT(OFFSET($BJ$31,0,1-MIN(60,COLUMN()-29),1,MIN(60,COLUMN()-29)),OFFSET(CJ519,0,-MIN(60,COLUMN()-29),1,MIN(60,COLUMN()-29))),0)</f>
        <v>0</v>
      </c>
      <c r="CK520" s="237" t="n">
        <f aca="true">IFERROR(SUMPRODUCT(OFFSET($BJ$31,0,1-MIN(60,COLUMN()-29),1,MIN(60,COLUMN()-29)),OFFSET(CK519,0,-MIN(60,COLUMN()-29),1,MIN(60,COLUMN()-29))),0)</f>
        <v>0</v>
      </c>
      <c r="CL520" s="237" t="n">
        <f aca="true">IFERROR(SUMPRODUCT(OFFSET($BJ$31,0,1-MIN(60,COLUMN()-29),1,MIN(60,COLUMN()-29)),OFFSET(CL519,0,-MIN(60,COLUMN()-29),1,MIN(60,COLUMN()-29))),0)</f>
        <v>0</v>
      </c>
      <c r="CM520" s="237" t="n">
        <f aca="true">IFERROR(SUMPRODUCT(OFFSET($BJ$31,0,1-MIN(60,COLUMN()-29),1,MIN(60,COLUMN()-29)),OFFSET(CM519,0,-MIN(60,COLUMN()-29),1,MIN(60,COLUMN()-29))),0)</f>
        <v>0</v>
      </c>
      <c r="CN520" s="237" t="n">
        <f aca="true">IFERROR(SUMPRODUCT(OFFSET($BJ$31,0,1-MIN(60,COLUMN()-29),1,MIN(60,COLUMN()-29)),OFFSET(CN519,0,-MIN(60,COLUMN()-29),1,MIN(60,COLUMN()-29))),0)</f>
        <v>0</v>
      </c>
      <c r="CO520" s="237" t="n">
        <f aca="true">IFERROR(SUMPRODUCT(OFFSET($BJ$31,0,1-MIN(60,COLUMN()-29),1,MIN(60,COLUMN()-29)),OFFSET(CO519,0,-MIN(60,COLUMN()-29),1,MIN(60,COLUMN()-29))),0)</f>
        <v>0</v>
      </c>
      <c r="CP520" s="237" t="n">
        <f aca="true">IFERROR(SUMPRODUCT(OFFSET($BJ$31,0,1-MIN(60,COLUMN()-29),1,MIN(60,COLUMN()-29)),OFFSET(CP519,0,-MIN(60,COLUMN()-29),1,MIN(60,COLUMN()-29))),0)</f>
        <v>0</v>
      </c>
      <c r="CQ520" s="237" t="n">
        <f aca="true">IFERROR(SUMPRODUCT(OFFSET($BJ$31,0,1-MIN(60,COLUMN()-29),1,MIN(60,COLUMN()-29)),OFFSET(CQ519,0,-MIN(60,COLUMN()-29),1,MIN(60,COLUMN()-29))),0)</f>
        <v>0</v>
      </c>
      <c r="CR520" s="237" t="n">
        <f aca="true">IFERROR(SUMPRODUCT(OFFSET($BJ$31,0,1-MIN(60,COLUMN()-29),1,MIN(60,COLUMN()-29)),OFFSET(CR519,0,-MIN(60,COLUMN()-29),1,MIN(60,COLUMN()-29))),0)</f>
        <v>0</v>
      </c>
      <c r="CS520" s="237" t="n">
        <f aca="true">IFERROR(SUMPRODUCT(OFFSET($BJ$31,0,1-MIN(60,COLUMN()-29),1,MIN(60,COLUMN()-29)),OFFSET(CS519,0,-MIN(60,COLUMN()-29),1,MIN(60,COLUMN()-29))),0)</f>
        <v>0</v>
      </c>
      <c r="CT520" s="237" t="n">
        <f aca="true">IFERROR(SUMPRODUCT(OFFSET($BJ$31,0,1-MIN(60,COLUMN()-29),1,MIN(60,COLUMN()-29)),OFFSET(CT519,0,-MIN(60,COLUMN()-29),1,MIN(60,COLUMN()-29))),0)</f>
        <v>0</v>
      </c>
      <c r="CU520" s="237" t="n">
        <f aca="true">IFERROR(SUMPRODUCT(OFFSET($BJ$31,0,1-MIN(60,COLUMN()-29),1,MIN(60,COLUMN()-29)),OFFSET(CU519,0,-MIN(60,COLUMN()-29),1,MIN(60,COLUMN()-29))),0)</f>
        <v>0</v>
      </c>
      <c r="CV520" s="237" t="n">
        <f aca="true">IFERROR(SUMPRODUCT(OFFSET($BJ$31,0,1-MIN(60,COLUMN()-29),1,MIN(60,COLUMN()-29)),OFFSET(CV519,0,-MIN(60,COLUMN()-29),1,MIN(60,COLUMN()-29))),0)</f>
        <v>0</v>
      </c>
      <c r="CW520" s="237" t="n">
        <f aca="true">IFERROR(SUMPRODUCT(OFFSET($BJ$31,0,1-MIN(60,COLUMN()-29),1,MIN(60,COLUMN()-29)),OFFSET(CW519,0,-MIN(60,COLUMN()-29),1,MIN(60,COLUMN()-29))),0)</f>
        <v>0</v>
      </c>
      <c r="CX520" s="237" t="n">
        <f aca="true">IFERROR(SUMPRODUCT(OFFSET($BJ$31,0,1-MIN(60,COLUMN()-29),1,MIN(60,COLUMN()-29)),OFFSET(CX519,0,-MIN(60,COLUMN()-29),1,MIN(60,COLUMN()-29))),0)</f>
        <v>0</v>
      </c>
      <c r="CY520" s="237" t="n">
        <f aca="true">IFERROR(SUMPRODUCT(OFFSET($BJ$31,0,1-MIN(60,COLUMN()-29),1,MIN(60,COLUMN()-29)),OFFSET(CY519,0,-MIN(60,COLUMN()-29),1,MIN(60,COLUMN()-29))),0)</f>
        <v>0</v>
      </c>
      <c r="CZ520" s="237" t="n">
        <f aca="true">IFERROR(SUMPRODUCT(OFFSET($BJ$31,0,1-MIN(60,COLUMN()-29),1,MIN(60,COLUMN()-29)),OFFSET(CZ519,0,-MIN(60,COLUMN()-29),1,MIN(60,COLUMN()-29))),0)</f>
        <v>0</v>
      </c>
      <c r="DA520" s="237" t="n">
        <f aca="true">IFERROR(SUMPRODUCT(OFFSET($BJ$31,0,1-MIN(60,COLUMN()-29),1,MIN(60,COLUMN()-29)),OFFSET(DA519,0,-MIN(60,COLUMN()-29),1,MIN(60,COLUMN()-29))),0)</f>
        <v>0</v>
      </c>
      <c r="DB520" s="237" t="n">
        <f aca="true">IFERROR(SUMPRODUCT(OFFSET($BJ$31,0,1-MIN(60,COLUMN()-29),1,MIN(60,COLUMN()-29)),OFFSET(DB519,0,-MIN(60,COLUMN()-29),1,MIN(60,COLUMN()-29))),0)</f>
        <v>0</v>
      </c>
      <c r="DC520" s="237" t="n">
        <f aca="true">IFERROR(SUMPRODUCT(OFFSET($BJ$31,0,1-MIN(60,COLUMN()-29),1,MIN(60,COLUMN()-29)),OFFSET(DC519,0,-MIN(60,COLUMN()-29),1,MIN(60,COLUMN()-29))),0)</f>
        <v>0</v>
      </c>
      <c r="DD520" s="237" t="n">
        <f aca="true">IFERROR(SUMPRODUCT(OFFSET($BJ$31,0,1-MIN(60,COLUMN()-29),1,MIN(60,COLUMN()-29)),OFFSET(DD519,0,-MIN(60,COLUMN()-29),1,MIN(60,COLUMN()-29))),0)</f>
        <v>0</v>
      </c>
      <c r="DE520" s="237" t="n">
        <f aca="true">IFERROR(SUMPRODUCT(OFFSET($BJ$31,0,1-MIN(60,COLUMN()-29),1,MIN(60,COLUMN()-29)),OFFSET(DE519,0,-MIN(60,COLUMN()-29),1,MIN(60,COLUMN()-29))),0)</f>
        <v>0</v>
      </c>
      <c r="DF520" s="237" t="n">
        <f aca="true">IFERROR(SUMPRODUCT(OFFSET($BJ$31,0,1-MIN(60,COLUMN()-29),1,MIN(60,COLUMN()-29)),OFFSET(DF519,0,-MIN(60,COLUMN()-29),1,MIN(60,COLUMN()-29))),0)</f>
        <v>0</v>
      </c>
      <c r="DG520" s="237" t="n">
        <f aca="true">IFERROR(SUMPRODUCT(OFFSET($BJ$31,0,1-MIN(60,COLUMN()-29),1,MIN(60,COLUMN()-29)),OFFSET(DG519,0,-MIN(60,COLUMN()-29),1,MIN(60,COLUMN()-29))),0)</f>
        <v>0</v>
      </c>
      <c r="DH520" s="237" t="n">
        <f aca="true">IFERROR(SUMPRODUCT(OFFSET($BJ$31,0,1-MIN(60,COLUMN()-29),1,MIN(60,COLUMN()-29)),OFFSET(DH519,0,-MIN(60,COLUMN()-29),1,MIN(60,COLUMN()-29))),0)</f>
        <v>0</v>
      </c>
      <c r="DI520" s="237" t="n">
        <f aca="true">IFERROR(SUMPRODUCT(OFFSET($BJ$31,0,1-MIN(60,COLUMN()-29),1,MIN(60,COLUMN()-29)),OFFSET(DI519,0,-MIN(60,COLUMN()-29),1,MIN(60,COLUMN()-29))),0)</f>
        <v>0</v>
      </c>
      <c r="DJ520" s="237" t="n">
        <f aca="true">IFERROR(SUMPRODUCT(OFFSET($BJ$31,0,1-MIN(60,COLUMN()-29),1,MIN(60,COLUMN()-29)),OFFSET(DJ519,0,-MIN(60,COLUMN()-29),1,MIN(60,COLUMN()-29))),0)</f>
        <v>0</v>
      </c>
      <c r="DK520" s="237" t="n">
        <f aca="true">IFERROR(SUMPRODUCT(OFFSET($BJ$31,0,1-MIN(60,COLUMN()-29),1,MIN(60,COLUMN()-29)),OFFSET(DK519,0,-MIN(60,COLUMN()-29),1,MIN(60,COLUMN()-29))),0)</f>
        <v>0</v>
      </c>
      <c r="DL520" s="237" t="n">
        <f aca="true">IFERROR(SUMPRODUCT(OFFSET($BJ$31,0,1-MIN(60,COLUMN()-29),1,MIN(60,COLUMN()-29)),OFFSET(DL519,0,-MIN(60,COLUMN()-29),1,MIN(60,COLUMN()-29))),0)</f>
        <v>0</v>
      </c>
      <c r="DM520" s="237" t="n">
        <f aca="true">IFERROR(SUMPRODUCT(OFFSET($BJ$31,0,1-MIN(60,COLUMN()-29),1,MIN(60,COLUMN()-29)),OFFSET(DM519,0,-MIN(60,COLUMN()-29),1,MIN(60,COLUMN()-29))),0)</f>
        <v>0</v>
      </c>
      <c r="DN520" s="237" t="n">
        <f aca="true">IFERROR(SUMPRODUCT(OFFSET($BJ$31,0,1-MIN(60,COLUMN()-29),1,MIN(60,COLUMN()-29)),OFFSET(DN519,0,-MIN(60,COLUMN()-29),1,MIN(60,COLUMN()-29))),0)</f>
        <v>0</v>
      </c>
      <c r="DO520" s="237" t="n">
        <f aca="true">IFERROR(SUMPRODUCT(OFFSET($BJ$31,0,1-MIN(60,COLUMN()-29),1,MIN(60,COLUMN()-29)),OFFSET(DO519,0,-MIN(60,COLUMN()-29),1,MIN(60,COLUMN()-29))),0)</f>
        <v>0</v>
      </c>
      <c r="DP520" s="237" t="n">
        <f aca="true">IFERROR(SUMPRODUCT(OFFSET($BJ$31,0,1-MIN(60,COLUMN()-29),1,MIN(60,COLUMN()-29)),OFFSET(DP519,0,-MIN(60,COLUMN()-29),1,MIN(60,COLUMN()-29))),0)</f>
        <v>0</v>
      </c>
      <c r="DQ520" s="237" t="n">
        <f aca="true">IFERROR(SUMPRODUCT(OFFSET($BJ$31,0,1-MIN(60,COLUMN()-29),1,MIN(60,COLUMN()-29)),OFFSET(DQ519,0,-MIN(60,COLUMN()-29),1,MIN(60,COLUMN()-29))),0)</f>
        <v>0</v>
      </c>
      <c r="DR520" s="237" t="n">
        <f aca="true">IFERROR(SUMPRODUCT(OFFSET($BJ$31,0,1-MIN(60,COLUMN()-29),1,MIN(60,COLUMN()-29)),OFFSET(DR519,0,-MIN(60,COLUMN()-29),1,MIN(60,COLUMN()-29))),0)</f>
        <v>0</v>
      </c>
      <c r="DS520" s="237" t="n">
        <f aca="true">IFERROR(SUMPRODUCT(OFFSET($BJ$31,0,1-MIN(60,COLUMN()-29),1,MIN(60,COLUMN()-29)),OFFSET(DS519,0,-MIN(60,COLUMN()-29),1,MIN(60,COLUMN()-29))),0)</f>
        <v>0</v>
      </c>
      <c r="DT520" s="237" t="n">
        <f aca="true">IFERROR(SUMPRODUCT(OFFSET($BJ$31,0,1-MIN(60,COLUMN()-29),1,MIN(60,COLUMN()-29)),OFFSET(DT519,0,-MIN(60,COLUMN()-29),1,MIN(60,COLUMN()-29))),0)</f>
        <v>0</v>
      </c>
      <c r="DU520" s="237" t="n">
        <f aca="true">IFERROR(SUMPRODUCT(OFFSET($BJ$31,0,1-MIN(60,COLUMN()-29),1,MIN(60,COLUMN()-29)),OFFSET(DU519,0,-MIN(60,COLUMN()-29),1,MIN(60,COLUMN()-29))),0)</f>
        <v>0</v>
      </c>
      <c r="DV520" s="237" t="n">
        <f aca="true">IFERROR(SUMPRODUCT(OFFSET($BJ$31,0,1-MIN(60,COLUMN()-29),1,MIN(60,COLUMN()-29)),OFFSET(DV519,0,-MIN(60,COLUMN()-29),1,MIN(60,COLUMN()-29))),0)</f>
        <v>0</v>
      </c>
      <c r="DW520" s="237" t="n">
        <f aca="true">IFERROR(SUMPRODUCT(OFFSET($BJ$31,0,1-MIN(60,COLUMN()-29),1,MIN(60,COLUMN()-29)),OFFSET(DW519,0,-MIN(60,COLUMN()-29),1,MIN(60,COLUMN()-29))),0)</f>
        <v>0</v>
      </c>
      <c r="DX520" s="237" t="n">
        <f aca="true">IFERROR(SUMPRODUCT(OFFSET($BJ$31,0,1-MIN(60,COLUMN()-29),1,MIN(60,COLUMN()-29)),OFFSET(DX519,0,-MIN(60,COLUMN()-29),1,MIN(60,COLUMN()-29))),0)</f>
        <v>0</v>
      </c>
      <c r="DY520" s="237" t="n">
        <f aca="true">IFERROR(SUMPRODUCT(OFFSET($BJ$31,0,1-MIN(60,COLUMN()-29),1,MIN(60,COLUMN()-29)),OFFSET(DY519,0,-MIN(60,COLUMN()-29),1,MIN(60,COLUMN()-29))),0)</f>
        <v>0</v>
      </c>
      <c r="DZ520" s="237" t="n">
        <f aca="true">IFERROR(SUMPRODUCT(OFFSET($BJ$31,0,1-MIN(60,COLUMN()-29),1,MIN(60,COLUMN()-29)),OFFSET(DZ519,0,-MIN(60,COLUMN()-29),1,MIN(60,COLUMN()-29))),0)</f>
        <v>0</v>
      </c>
      <c r="EA520" s="237" t="n">
        <f aca="true">IFERROR(SUMPRODUCT(OFFSET($BJ$31,0,1-MIN(60,COLUMN()-29),1,MIN(60,COLUMN()-29)),OFFSET(EA519,0,-MIN(60,COLUMN()-29),1,MIN(60,COLUMN()-29))),0)</f>
        <v>0</v>
      </c>
      <c r="EB520" s="237" t="n">
        <f aca="true">IFERROR(SUMPRODUCT(OFFSET($BJ$31,0,1-MIN(60,COLUMN()-29),1,MIN(60,COLUMN()-29)),OFFSET(EB519,0,-MIN(60,COLUMN()-29),1,MIN(60,COLUMN()-29))),0)</f>
        <v>0</v>
      </c>
      <c r="EC520" s="237" t="n">
        <f aca="true">IFERROR(SUMPRODUCT(OFFSET($BJ$31,0,1-MIN(60,COLUMN()-29),1,MIN(60,COLUMN()-29)),OFFSET(EC519,0,-MIN(60,COLUMN()-29),1,MIN(60,COLUMN()-29))),0)</f>
        <v>0</v>
      </c>
      <c r="ED520" s="237" t="n">
        <f aca="true">IFERROR(SUMPRODUCT(OFFSET($BJ$31,0,1-MIN(60,COLUMN()-29),1,MIN(60,COLUMN()-29)),OFFSET(ED519,0,-MIN(60,COLUMN()-29),1,MIN(60,COLUMN()-29))),0)</f>
        <v>0</v>
      </c>
      <c r="EE520" s="237" t="n">
        <f aca="true">IFERROR(SUMPRODUCT(OFFSET($BJ$31,0,1-MIN(60,COLUMN()-29),1,MIN(60,COLUMN()-29)),OFFSET(EE519,0,-MIN(60,COLUMN()-29),1,MIN(60,COLUMN()-29))),0)</f>
        <v>0</v>
      </c>
      <c r="EF520" s="237" t="n">
        <f aca="true">IFERROR(SUMPRODUCT(OFFSET($BJ$31,0,1-MIN(60,COLUMN()-29),1,MIN(60,COLUMN()-29)),OFFSET(EF519,0,-MIN(60,COLUMN()-29),1,MIN(60,COLUMN()-29))),0)</f>
        <v>0</v>
      </c>
      <c r="EG520" s="237" t="n">
        <f aca="true">IFERROR(SUMPRODUCT(OFFSET($BJ$31,0,1-MIN(60,COLUMN()-29),1,MIN(60,COLUMN()-29)),OFFSET(EG519,0,-MIN(60,COLUMN()-29),1,MIN(60,COLUMN()-29))),0)</f>
        <v>0</v>
      </c>
      <c r="EH520" s="237" t="n">
        <f aca="true">IFERROR(SUMPRODUCT(OFFSET($BJ$31,0,1-MIN(60,COLUMN()-29),1,MIN(60,COLUMN()-29)),OFFSET(EH519,0,-MIN(60,COLUMN()-29),1,MIN(60,COLUMN()-29))),0)</f>
        <v>0</v>
      </c>
      <c r="EI520" s="237" t="n">
        <f aca="true">IFERROR(SUMPRODUCT(OFFSET($BJ$31,0,1-MIN(60,COLUMN()-29),1,MIN(60,COLUMN()-29)),OFFSET(EI519,0,-MIN(60,COLUMN()-29),1,MIN(60,COLUMN()-29))),0)</f>
        <v>0</v>
      </c>
      <c r="EJ520" s="237" t="n">
        <f aca="true">IFERROR(SUMPRODUCT(OFFSET($BJ$31,0,1-MIN(60,COLUMN()-29),1,MIN(60,COLUMN()-29)),OFFSET(EJ519,0,-MIN(60,COLUMN()-29),1,MIN(60,COLUMN()-29))),0)</f>
        <v>5.49376</v>
      </c>
      <c r="EK520" s="237" t="n">
        <f aca="true">IFERROR(SUMPRODUCT(OFFSET($BJ$31,0,1-MIN(60,COLUMN()-29),1,MIN(60,COLUMN()-29)),OFFSET(EK519,0,-MIN(60,COLUMN()-29),1,MIN(60,COLUMN()-29))),0)</f>
        <v>6.485952</v>
      </c>
      <c r="EL520" s="237" t="n">
        <f aca="true">IFERROR(SUMPRODUCT(OFFSET($BJ$31,0,1-MIN(60,COLUMN()-29),1,MIN(60,COLUMN()-29)),OFFSET(EL519,0,-MIN(60,COLUMN()-29),1,MIN(60,COLUMN()-29))),0)</f>
        <v>6.977904</v>
      </c>
      <c r="EM520" s="237" t="n">
        <f aca="true">IFERROR(SUMPRODUCT(OFFSET($BJ$31,0,1-MIN(60,COLUMN()-29),1,MIN(60,COLUMN()-29)),OFFSET(EM519,0,-MIN(60,COLUMN()-29),1,MIN(60,COLUMN()-29))),0)</f>
        <v>7.3860288</v>
      </c>
      <c r="EN520" s="237" t="n">
        <f aca="true">IFERROR(SUMPRODUCT(OFFSET($BJ$31,0,1-MIN(60,COLUMN()-29),1,MIN(60,COLUMN()-29)),OFFSET(EN519,0,-MIN(60,COLUMN()-29),1,MIN(60,COLUMN()-29))),0)</f>
        <v>7.9740032</v>
      </c>
      <c r="EO520" s="237" t="n">
        <f aca="true">IFERROR(SUMPRODUCT(OFFSET($BJ$31,0,1-MIN(60,COLUMN()-29),1,MIN(60,COLUMN()-29)),OFFSET(EO519,0,-MIN(60,COLUMN()-29),1,MIN(60,COLUMN()-29))),0)</f>
        <v>13.2161632</v>
      </c>
      <c r="EP520" s="237" t="n">
        <f aca="true">IFERROR(SUMPRODUCT(OFFSET($BJ$31,0,1-MIN(60,COLUMN()-29),1,MIN(60,COLUMN()-29)),OFFSET(EP519,0,-MIN(60,COLUMN()-29),1,MIN(60,COLUMN()-29))),0)</f>
        <v>13.7924752</v>
      </c>
      <c r="EQ520" s="237" t="n">
        <f aca="true">IFERROR(SUMPRODUCT(OFFSET($BJ$31,0,1-MIN(60,COLUMN()-29),1,MIN(60,COLUMN()-29)),OFFSET(EQ519,0,-MIN(60,COLUMN()-29),1,MIN(60,COLUMN()-29))),0)</f>
        <v>14.0510016</v>
      </c>
      <c r="ER520" s="237" t="n">
        <f aca="true">IFERROR(SUMPRODUCT(OFFSET($BJ$31,0,1-MIN(60,COLUMN()-29),1,MIN(60,COLUMN()-29)),OFFSET(ER519,0,-MIN(60,COLUMN()-29),1,MIN(60,COLUMN()-29))),0)</f>
        <v>13.3208288</v>
      </c>
      <c r="ES520" s="9" t="n">
        <f aca="true">IFERROR(SUMPRODUCT(OFFSET($BJ$31,0,1-MIN(60,COLUMN()-29),1,MIN(60,COLUMN()-29)),OFFSET(ES519,0,-MIN(60,COLUMN()-29),1,MIN(60,COLUMN()-29))),0)</f>
        <v>17.1758144</v>
      </c>
      <c r="ET520" s="9" t="n">
        <f aca="true">IFERROR(SUMPRODUCT(OFFSET($BJ$31,0,1-MIN(60,COLUMN()-29),1,MIN(60,COLUMN()-29)),OFFSET(ET519,0,-MIN(60,COLUMN()-29),1,MIN(60,COLUMN()-29))),0)</f>
        <v>19.2289296</v>
      </c>
      <c r="EU520" s="9" t="n">
        <f aca="true">IFERROR(SUMPRODUCT(OFFSET($BJ$31,0,1-MIN(60,COLUMN()-29),1,MIN(60,COLUMN()-29)),OFFSET(EU519,0,-MIN(60,COLUMN()-29),1,MIN(60,COLUMN()-29))),0)</f>
        <v>19.3381536</v>
      </c>
      <c r="EV520" s="9" t="n">
        <f aca="true">IFERROR(SUMPRODUCT(OFFSET($BJ$31,0,1-MIN(60,COLUMN()-29),1,MIN(60,COLUMN()-29)),OFFSET(EV519,0,-MIN(60,COLUMN()-29),1,MIN(60,COLUMN()-29))),0)</f>
        <v>26.4349904</v>
      </c>
      <c r="EW520" s="9" t="n">
        <f aca="true">IFERROR(SUMPRODUCT(OFFSET($BJ$31,0,1-MIN(60,COLUMN()-29),1,MIN(60,COLUMN()-29)),OFFSET(EW519,0,-MIN(60,COLUMN()-29),1,MIN(60,COLUMN()-29))),0)</f>
        <v>28.1014112</v>
      </c>
      <c r="EX520" s="9" t="n">
        <f aca="true">IFERROR(SUMPRODUCT(OFFSET($BJ$31,0,1-MIN(60,COLUMN()-29),1,MIN(60,COLUMN()-29)),OFFSET(EX519,0,-MIN(60,COLUMN()-29),1,MIN(60,COLUMN()-29))),0)</f>
        <v>27.306888</v>
      </c>
      <c r="EY520" s="9" t="n">
        <f aca="true">IFERROR(SUMPRODUCT(OFFSET($BJ$31,0,1-MIN(60,COLUMN()-29),1,MIN(60,COLUMN()-29)),OFFSET(EY519,0,-MIN(60,COLUMN()-29),1,MIN(60,COLUMN()-29))),0)</f>
        <v>29.3172608</v>
      </c>
      <c r="EZ520" s="9" t="n">
        <f aca="true">IFERROR(SUMPRODUCT(OFFSET($BJ$31,0,1-MIN(60,COLUMN()-29),1,MIN(60,COLUMN()-29)),OFFSET(EZ519,0,-MIN(60,COLUMN()-29),1,MIN(60,COLUMN()-29))),0)</f>
        <v>33.2778592</v>
      </c>
      <c r="FA520" s="9" t="n">
        <f aca="true">IFERROR(SUMPRODUCT(OFFSET($BJ$31,0,1-MIN(60,COLUMN()-29),1,MIN(60,COLUMN()-29)),OFFSET(FA519,0,-MIN(60,COLUMN()-29),1,MIN(60,COLUMN()-29))),0)</f>
        <v>48.07520408</v>
      </c>
      <c r="FB520" s="9" t="n">
        <f aca="true">IFERROR(SUMPRODUCT(OFFSET($BJ$31,0,1-MIN(60,COLUMN()-29),1,MIN(60,COLUMN()-29)),OFFSET(FB519,0,-MIN(60,COLUMN()-29),1,MIN(60,COLUMN()-29))),0)</f>
        <v>47.86676088</v>
      </c>
      <c r="FC520" s="9" t="n">
        <f aca="true">IFERROR(SUMPRODUCT(OFFSET($BJ$31,0,1-MIN(60,COLUMN()-29),1,MIN(60,COLUMN()-29)),OFFSET(FC519,0,-MIN(60,COLUMN()-29),1,MIN(60,COLUMN()-29))),0)</f>
        <v>46.914742</v>
      </c>
      <c r="FD520" s="9" t="n">
        <f aca="true">IFERROR(SUMPRODUCT(OFFSET($BJ$31,0,1-MIN(60,COLUMN()-29),1,MIN(60,COLUMN()-29)),OFFSET(FD519,0,-MIN(60,COLUMN()-29),1,MIN(60,COLUMN()-29))),0)</f>
        <v>44.04318976</v>
      </c>
      <c r="FE520" s="9" t="n">
        <f aca="true">IFERROR(SUMPRODUCT(OFFSET($BJ$31,0,1-MIN(60,COLUMN()-29),1,MIN(60,COLUMN()-29)),OFFSET(FE519,0,-MIN(60,COLUMN()-29),1,MIN(60,COLUMN()-29))),0)</f>
        <v>54.16653036</v>
      </c>
      <c r="FF520" s="9" t="n">
        <f aca="true">IFERROR(SUMPRODUCT(OFFSET($BJ$31,0,1-MIN(60,COLUMN()-29),1,MIN(60,COLUMN()-29)),OFFSET(FF519,0,-MIN(60,COLUMN()-29),1,MIN(60,COLUMN()-29))),0)</f>
        <v>58.44157844</v>
      </c>
      <c r="FG520" s="9" t="n">
        <f aca="true">IFERROR(SUMPRODUCT(OFFSET($BJ$31,0,1-MIN(60,COLUMN()-29),1,MIN(60,COLUMN()-29)),OFFSET(FG519,0,-MIN(60,COLUMN()-29),1,MIN(60,COLUMN()-29))),0)</f>
        <v>57.9629346</v>
      </c>
      <c r="FH520" s="9" t="n">
        <f aca="true">IFERROR(SUMPRODUCT(OFFSET($BJ$31,0,1-MIN(60,COLUMN()-29),1,MIN(60,COLUMN()-29)),OFFSET(FH519,0,-MIN(60,COLUMN()-29),1,MIN(60,COLUMN()-29))),0)</f>
        <v>68.89672468</v>
      </c>
      <c r="FI520" s="9" t="n">
        <f aca="true">IFERROR(SUMPRODUCT(OFFSET($BJ$31,0,1-MIN(60,COLUMN()-29),1,MIN(60,COLUMN()-29)),OFFSET(FI519,0,-MIN(60,COLUMN()-29),1,MIN(60,COLUMN()-29))),0)</f>
        <v>71.33519044</v>
      </c>
      <c r="FJ520" s="9" t="n">
        <f aca="true">IFERROR(SUMPRODUCT(OFFSET($BJ$31,0,1-MIN(60,COLUMN()-29),1,MIN(60,COLUMN()-29)),OFFSET(FJ519,0,-MIN(60,COLUMN()-29),1,MIN(60,COLUMN()-29))),0)</f>
        <v>72.22380612</v>
      </c>
      <c r="FK520" s="9" t="n">
        <f aca="true">IFERROR(SUMPRODUCT(OFFSET($BJ$31,0,1-MIN(60,COLUMN()-29),1,MIN(60,COLUMN()-29)),OFFSET(FK519,0,-MIN(60,COLUMN()-29),1,MIN(60,COLUMN()-29))),0)</f>
        <v>72.82193332</v>
      </c>
      <c r="FL520" s="9" t="n">
        <f aca="true">IFERROR(SUMPRODUCT(OFFSET($BJ$31,0,1-MIN(60,COLUMN()-29),1,MIN(60,COLUMN()-29)),OFFSET(FL519,0,-MIN(60,COLUMN()-29),1,MIN(60,COLUMN()-29))),0)</f>
        <v>79.23220404</v>
      </c>
      <c r="FM520" s="9" t="n">
        <f aca="true">IFERROR(SUMPRODUCT(OFFSET($BJ$31,0,1-MIN(60,COLUMN()-29),1,MIN(60,COLUMN()-29)),OFFSET(FM519,0,-MIN(60,COLUMN()-29),1,MIN(60,COLUMN()-29))),0)</f>
        <v>98.11095972</v>
      </c>
      <c r="FN520" s="9" t="n">
        <f aca="true">IFERROR(SUMPRODUCT(OFFSET($BJ$31,0,1-MIN(60,COLUMN()-29),1,MIN(60,COLUMN()-29)),OFFSET(FN519,0,-MIN(60,COLUMN()-29),1,MIN(60,COLUMN()-29))),0)</f>
        <v>97.66529028</v>
      </c>
      <c r="FO520" s="9" t="n">
        <f aca="true">IFERROR(SUMPRODUCT(OFFSET($BJ$31,0,1-MIN(60,COLUMN()-29),1,MIN(60,COLUMN()-29)),OFFSET(FO519,0,-MIN(60,COLUMN()-29),1,MIN(60,COLUMN()-29))),0)</f>
        <v>96.95886852</v>
      </c>
      <c r="FP520" s="9" t="n">
        <f aca="true">IFERROR(SUMPRODUCT(OFFSET($BJ$31,0,1-MIN(60,COLUMN()-29),1,MIN(60,COLUMN()-29)),OFFSET(FP519,0,-MIN(60,COLUMN()-29),1,MIN(60,COLUMN()-29))),0)</f>
        <v>94.20205476</v>
      </c>
    </row>
    <row r="521" customFormat="false" ht="15" hidden="false" customHeight="false" outlineLevel="2" collapsed="false">
      <c r="B521" s="47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237"/>
      <c r="AD521" s="237"/>
      <c r="AE521" s="237"/>
      <c r="AF521" s="237"/>
      <c r="AG521" s="237"/>
      <c r="AH521" s="237"/>
      <c r="AI521" s="237"/>
      <c r="AJ521" s="237"/>
      <c r="AK521" s="237"/>
      <c r="AL521" s="237"/>
      <c r="AM521" s="237"/>
      <c r="AN521" s="237"/>
      <c r="AO521" s="237"/>
      <c r="AP521" s="237"/>
      <c r="AQ521" s="237"/>
      <c r="AR521" s="237"/>
      <c r="AS521" s="237"/>
      <c r="AT521" s="237"/>
      <c r="AU521" s="237"/>
      <c r="AV521" s="237"/>
      <c r="AW521" s="237"/>
      <c r="AX521" s="237"/>
      <c r="AY521" s="237"/>
      <c r="AZ521" s="237"/>
      <c r="BA521" s="237"/>
      <c r="BB521" s="237"/>
      <c r="BC521" s="237"/>
      <c r="BD521" s="237"/>
      <c r="BE521" s="237"/>
      <c r="BF521" s="237"/>
      <c r="BG521" s="237"/>
      <c r="BH521" s="237"/>
      <c r="BI521" s="237"/>
      <c r="BJ521" s="237"/>
      <c r="BK521" s="237"/>
      <c r="BL521" s="237"/>
      <c r="BM521" s="237"/>
      <c r="BN521" s="237"/>
      <c r="BO521" s="237"/>
      <c r="BP521" s="237"/>
      <c r="BQ521" s="237"/>
      <c r="BR521" s="237"/>
      <c r="BS521" s="237"/>
      <c r="BT521" s="237"/>
      <c r="BU521" s="237"/>
      <c r="BV521" s="237"/>
      <c r="BW521" s="237"/>
      <c r="BX521" s="237"/>
      <c r="BY521" s="237"/>
      <c r="BZ521" s="237"/>
      <c r="CA521" s="237"/>
      <c r="CB521" s="237"/>
      <c r="CC521" s="237"/>
      <c r="CD521" s="237"/>
      <c r="CE521" s="237"/>
      <c r="CF521" s="237"/>
      <c r="CG521" s="237"/>
      <c r="CH521" s="237"/>
      <c r="CI521" s="237"/>
      <c r="CJ521" s="237"/>
      <c r="CK521" s="237"/>
      <c r="CL521" s="237"/>
      <c r="CM521" s="237"/>
      <c r="CN521" s="237"/>
      <c r="CO521" s="237"/>
      <c r="CP521" s="237"/>
      <c r="CQ521" s="237"/>
      <c r="CR521" s="237"/>
      <c r="CS521" s="237"/>
      <c r="CT521" s="237"/>
      <c r="CU521" s="237"/>
      <c r="CV521" s="237"/>
      <c r="CW521" s="237"/>
      <c r="CX521" s="237"/>
      <c r="CY521" s="237"/>
      <c r="CZ521" s="237"/>
      <c r="DA521" s="237"/>
      <c r="DB521" s="237"/>
      <c r="DC521" s="237"/>
      <c r="DD521" s="237"/>
      <c r="DE521" s="237"/>
      <c r="DF521" s="237"/>
      <c r="DG521" s="237"/>
      <c r="DH521" s="237"/>
      <c r="DI521" s="237"/>
      <c r="DJ521" s="237"/>
      <c r="DK521" s="237"/>
      <c r="DL521" s="237"/>
      <c r="DM521" s="237"/>
      <c r="DN521" s="237"/>
      <c r="DO521" s="237"/>
      <c r="DP521" s="237"/>
      <c r="DQ521" s="237"/>
      <c r="DR521" s="237"/>
      <c r="DS521" s="237"/>
      <c r="DT521" s="237"/>
      <c r="DU521" s="237"/>
      <c r="DV521" s="237"/>
      <c r="DW521" s="237"/>
      <c r="DX521" s="237"/>
      <c r="DY521" s="237"/>
      <c r="DZ521" s="237"/>
      <c r="EA521" s="237"/>
      <c r="EB521" s="237"/>
      <c r="EC521" s="237"/>
      <c r="ED521" s="237"/>
      <c r="EE521" s="237"/>
      <c r="EF521" s="237"/>
      <c r="EG521" s="237"/>
      <c r="EH521" s="237"/>
      <c r="EI521" s="237"/>
      <c r="EJ521" s="237"/>
      <c r="EK521" s="237"/>
      <c r="EL521" s="237"/>
      <c r="EM521" s="237"/>
      <c r="EN521" s="237"/>
      <c r="EO521" s="237"/>
      <c r="EP521" s="237"/>
      <c r="EQ521" s="237"/>
      <c r="ER521" s="237"/>
      <c r="ES521" s="9"/>
      <c r="ET521" s="9"/>
      <c r="EU521" s="9"/>
      <c r="EV521" s="9"/>
      <c r="EW521" s="9"/>
      <c r="EX521" s="9"/>
      <c r="EY521" s="9"/>
      <c r="EZ521" s="9"/>
      <c r="FA521" s="9"/>
      <c r="FB521" s="9"/>
      <c r="FC521" s="9"/>
      <c r="FD521" s="9"/>
      <c r="FE521" s="9"/>
      <c r="FF521" s="9"/>
      <c r="FG521" s="9"/>
      <c r="FH521" s="9"/>
      <c r="FI521" s="9"/>
      <c r="FJ521" s="9"/>
      <c r="FK521" s="9"/>
      <c r="FL521" s="9"/>
      <c r="FM521" s="9"/>
      <c r="FN521" s="9"/>
      <c r="FO521" s="9"/>
      <c r="FP521" s="9"/>
    </row>
    <row r="522" customFormat="false" ht="15" hidden="false" customHeight="false" outlineLevel="2" collapsed="false">
      <c r="B522" s="47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237"/>
      <c r="AD522" s="237"/>
      <c r="AE522" s="237"/>
      <c r="AF522" s="237"/>
      <c r="AG522" s="237"/>
      <c r="AH522" s="237"/>
      <c r="AI522" s="237"/>
      <c r="AJ522" s="237"/>
      <c r="AK522" s="237"/>
      <c r="AL522" s="237"/>
      <c r="AM522" s="237"/>
      <c r="AN522" s="237"/>
      <c r="AO522" s="237"/>
      <c r="AP522" s="237"/>
      <c r="AQ522" s="237"/>
      <c r="AR522" s="237"/>
      <c r="AS522" s="237"/>
      <c r="AT522" s="237"/>
      <c r="AU522" s="237"/>
      <c r="AV522" s="237"/>
      <c r="AW522" s="237"/>
      <c r="AX522" s="237"/>
      <c r="AY522" s="237"/>
      <c r="AZ522" s="237"/>
      <c r="BA522" s="237"/>
      <c r="BB522" s="237"/>
      <c r="BC522" s="237"/>
      <c r="BD522" s="237"/>
      <c r="BE522" s="237"/>
      <c r="BF522" s="237"/>
      <c r="BG522" s="237"/>
      <c r="BH522" s="237"/>
      <c r="BI522" s="237"/>
      <c r="BJ522" s="237"/>
      <c r="BK522" s="237"/>
      <c r="BL522" s="237"/>
      <c r="BM522" s="237"/>
      <c r="BN522" s="237"/>
      <c r="BO522" s="237"/>
      <c r="BP522" s="237"/>
      <c r="BQ522" s="237"/>
      <c r="BR522" s="237"/>
      <c r="BS522" s="237"/>
      <c r="BT522" s="237"/>
      <c r="BU522" s="237"/>
      <c r="BV522" s="237"/>
      <c r="BW522" s="237"/>
      <c r="BX522" s="237"/>
      <c r="BY522" s="237"/>
      <c r="BZ522" s="237"/>
      <c r="CA522" s="237"/>
      <c r="CB522" s="237"/>
      <c r="CC522" s="237"/>
      <c r="CD522" s="237"/>
      <c r="CE522" s="237"/>
      <c r="CF522" s="237"/>
      <c r="CG522" s="237"/>
      <c r="CH522" s="237"/>
      <c r="CI522" s="237"/>
      <c r="CJ522" s="237"/>
      <c r="CK522" s="237"/>
      <c r="CL522" s="237"/>
      <c r="CM522" s="237"/>
      <c r="CN522" s="237"/>
      <c r="CO522" s="237"/>
      <c r="CP522" s="237"/>
      <c r="CQ522" s="237"/>
      <c r="CR522" s="237"/>
      <c r="CS522" s="237"/>
      <c r="CT522" s="237"/>
      <c r="CU522" s="237"/>
      <c r="CV522" s="237"/>
      <c r="CW522" s="237"/>
      <c r="CX522" s="237"/>
      <c r="CY522" s="237"/>
      <c r="CZ522" s="237"/>
      <c r="DA522" s="237"/>
      <c r="DB522" s="237"/>
      <c r="DC522" s="237"/>
      <c r="DD522" s="237"/>
      <c r="DE522" s="237"/>
      <c r="DF522" s="237"/>
      <c r="DG522" s="237"/>
      <c r="DH522" s="237"/>
      <c r="DI522" s="237"/>
      <c r="DJ522" s="237"/>
      <c r="DK522" s="237"/>
      <c r="DL522" s="237"/>
      <c r="DM522" s="237"/>
      <c r="DN522" s="237"/>
      <c r="DO522" s="237"/>
      <c r="DP522" s="237"/>
      <c r="DQ522" s="237"/>
      <c r="DR522" s="237"/>
      <c r="DS522" s="237"/>
      <c r="DT522" s="237"/>
      <c r="DU522" s="237"/>
      <c r="DV522" s="237"/>
      <c r="DW522" s="237"/>
      <c r="DX522" s="237"/>
      <c r="DY522" s="237"/>
      <c r="DZ522" s="237"/>
      <c r="EA522" s="237"/>
      <c r="EB522" s="237"/>
      <c r="EC522" s="237"/>
      <c r="ED522" s="237"/>
      <c r="EE522" s="237"/>
      <c r="EF522" s="237"/>
      <c r="EG522" s="237"/>
      <c r="EH522" s="237"/>
      <c r="EI522" s="237"/>
      <c r="EJ522" s="237"/>
      <c r="EK522" s="237"/>
      <c r="EL522" s="237"/>
      <c r="EM522" s="237"/>
      <c r="EN522" s="237"/>
      <c r="EO522" s="237"/>
      <c r="EP522" s="237"/>
      <c r="EQ522" s="237"/>
      <c r="ER522" s="237"/>
      <c r="ES522" s="9"/>
      <c r="ET522" s="9"/>
      <c r="EU522" s="9"/>
      <c r="EV522" s="9"/>
      <c r="EW522" s="9"/>
      <c r="EX522" s="9"/>
      <c r="EY522" s="9"/>
      <c r="EZ522" s="9"/>
      <c r="FA522" s="9"/>
      <c r="FB522" s="9"/>
      <c r="FC522" s="9"/>
      <c r="FD522" s="9"/>
      <c r="FE522" s="9"/>
      <c r="FF522" s="9"/>
      <c r="FG522" s="9"/>
      <c r="FH522" s="9"/>
      <c r="FI522" s="9"/>
      <c r="FJ522" s="9"/>
      <c r="FK522" s="9"/>
      <c r="FL522" s="9"/>
      <c r="FM522" s="9"/>
      <c r="FN522" s="9"/>
      <c r="FO522" s="9"/>
      <c r="FP522" s="9"/>
    </row>
    <row r="523" customFormat="false" ht="15" hidden="false" customHeight="false" outlineLevel="2" collapsed="false">
      <c r="B523" s="47" t="s">
        <v>925</v>
      </c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237"/>
      <c r="AD523" s="237"/>
      <c r="AE523" s="237"/>
      <c r="AF523" s="237"/>
      <c r="AG523" s="237"/>
      <c r="AH523" s="237"/>
      <c r="AI523" s="237"/>
      <c r="AJ523" s="237"/>
      <c r="AK523" s="237"/>
      <c r="AL523" s="237"/>
      <c r="AM523" s="237"/>
      <c r="AN523" s="237"/>
      <c r="AO523" s="237"/>
      <c r="AP523" s="237"/>
      <c r="AQ523" s="237"/>
      <c r="AR523" s="237"/>
      <c r="AS523" s="237"/>
      <c r="AT523" s="237"/>
      <c r="AU523" s="237"/>
      <c r="AV523" s="237"/>
      <c r="AW523" s="237"/>
      <c r="AX523" s="237"/>
      <c r="AY523" s="237"/>
      <c r="AZ523" s="237"/>
      <c r="BA523" s="237"/>
      <c r="BB523" s="237"/>
      <c r="BC523" s="237"/>
      <c r="BD523" s="237"/>
      <c r="BE523" s="237"/>
      <c r="BF523" s="237"/>
      <c r="BG523" s="237"/>
      <c r="BH523" s="237"/>
      <c r="BI523" s="237"/>
      <c r="BJ523" s="237"/>
      <c r="BK523" s="237"/>
      <c r="BL523" s="237"/>
      <c r="BM523" s="237"/>
      <c r="BN523" s="237"/>
      <c r="BO523" s="237"/>
      <c r="BP523" s="237"/>
      <c r="BQ523" s="237"/>
      <c r="BR523" s="237"/>
      <c r="BS523" s="237"/>
      <c r="BT523" s="237"/>
      <c r="BU523" s="237"/>
      <c r="BV523" s="237"/>
      <c r="BW523" s="237"/>
      <c r="BX523" s="237"/>
      <c r="BY523" s="237"/>
      <c r="BZ523" s="237"/>
      <c r="CA523" s="237"/>
      <c r="CB523" s="237"/>
      <c r="CC523" s="237"/>
      <c r="CD523" s="237"/>
      <c r="CE523" s="237"/>
      <c r="CF523" s="237"/>
      <c r="CG523" s="237"/>
      <c r="CH523" s="237"/>
      <c r="CI523" s="237"/>
      <c r="CJ523" s="237"/>
      <c r="CK523" s="237"/>
      <c r="CL523" s="237"/>
      <c r="CM523" s="237"/>
      <c r="CN523" s="237"/>
      <c r="CO523" s="237"/>
      <c r="CP523" s="237"/>
      <c r="CQ523" s="237"/>
      <c r="CR523" s="237"/>
      <c r="CS523" s="237"/>
      <c r="CT523" s="237"/>
      <c r="CU523" s="237"/>
      <c r="CV523" s="237"/>
      <c r="CW523" s="237"/>
      <c r="CX523" s="237"/>
      <c r="CY523" s="237"/>
      <c r="CZ523" s="237"/>
      <c r="DA523" s="237"/>
      <c r="DB523" s="237"/>
      <c r="DC523" s="237"/>
      <c r="DD523" s="237"/>
      <c r="DE523" s="237"/>
      <c r="DF523" s="237"/>
      <c r="DG523" s="237"/>
      <c r="DH523" s="237"/>
      <c r="DI523" s="237"/>
      <c r="DJ523" s="237"/>
      <c r="DK523" s="237"/>
      <c r="DL523" s="237"/>
      <c r="DM523" s="237"/>
      <c r="DN523" s="237"/>
      <c r="DO523" s="237"/>
      <c r="DP523" s="237"/>
      <c r="DQ523" s="237"/>
      <c r="DR523" s="237"/>
      <c r="DS523" s="237"/>
      <c r="DT523" s="237"/>
      <c r="DU523" s="237"/>
      <c r="DV523" s="237"/>
      <c r="DW523" s="237"/>
      <c r="DX523" s="237"/>
      <c r="DY523" s="237"/>
      <c r="DZ523" s="237"/>
      <c r="EA523" s="237"/>
      <c r="EB523" s="237"/>
      <c r="EC523" s="237"/>
      <c r="ED523" s="237"/>
      <c r="EE523" s="237"/>
      <c r="EF523" s="237"/>
      <c r="EG523" s="237"/>
      <c r="EH523" s="237"/>
      <c r="EI523" s="237"/>
      <c r="EJ523" s="237"/>
      <c r="EK523" s="237"/>
      <c r="EL523" s="237"/>
      <c r="EM523" s="237"/>
      <c r="EN523" s="237"/>
      <c r="EO523" s="237"/>
      <c r="EP523" s="237"/>
      <c r="EQ523" s="237"/>
      <c r="ER523" s="237"/>
      <c r="ES523" s="9"/>
      <c r="ET523" s="9"/>
      <c r="EU523" s="9"/>
      <c r="EV523" s="9"/>
      <c r="EW523" s="9"/>
      <c r="EX523" s="9"/>
      <c r="EY523" s="9"/>
      <c r="EZ523" s="9"/>
      <c r="FA523" s="9"/>
      <c r="FB523" s="9"/>
      <c r="FC523" s="9"/>
      <c r="FD523" s="9"/>
      <c r="FE523" s="9"/>
      <c r="FF523" s="9"/>
      <c r="FG523" s="9"/>
      <c r="FH523" s="9"/>
      <c r="FI523" s="9"/>
      <c r="FJ523" s="9"/>
      <c r="FK523" s="9"/>
      <c r="FL523" s="9"/>
      <c r="FM523" s="9"/>
      <c r="FN523" s="9"/>
      <c r="FO523" s="9"/>
      <c r="FP523" s="9"/>
    </row>
    <row r="524" customFormat="false" ht="15" hidden="false" customHeight="false" outlineLevel="2" collapsed="false">
      <c r="B524" s="47" t="s">
        <v>872</v>
      </c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237" t="n">
        <f aca="false">('⑫ Roll-out Plan'!G57-2025)*12+'⑫ Roll-out Plan'!F57</f>
        <v>112</v>
      </c>
      <c r="AD524" s="237"/>
      <c r="AE524" s="237"/>
      <c r="AF524" s="237"/>
      <c r="AG524" s="237"/>
      <c r="AH524" s="237"/>
      <c r="AI524" s="237"/>
      <c r="AJ524" s="237"/>
      <c r="AK524" s="237"/>
      <c r="AL524" s="237"/>
      <c r="AM524" s="237"/>
      <c r="AN524" s="237"/>
      <c r="AO524" s="237"/>
      <c r="AP524" s="237"/>
      <c r="AQ524" s="237"/>
      <c r="AR524" s="237"/>
      <c r="AS524" s="237"/>
      <c r="AT524" s="237"/>
      <c r="AU524" s="237"/>
      <c r="AV524" s="237"/>
      <c r="AW524" s="237"/>
      <c r="AX524" s="237"/>
      <c r="AY524" s="237"/>
      <c r="AZ524" s="237"/>
      <c r="BA524" s="237"/>
      <c r="BB524" s="237"/>
      <c r="BC524" s="237"/>
      <c r="BD524" s="237"/>
      <c r="BE524" s="237"/>
      <c r="BF524" s="237"/>
      <c r="BG524" s="237"/>
      <c r="BH524" s="237"/>
      <c r="BI524" s="237"/>
      <c r="BJ524" s="237"/>
      <c r="BK524" s="237"/>
      <c r="BL524" s="237"/>
      <c r="BM524" s="237"/>
      <c r="BN524" s="237"/>
      <c r="BO524" s="237"/>
      <c r="BP524" s="237"/>
      <c r="BQ524" s="237"/>
      <c r="BR524" s="237"/>
      <c r="BS524" s="237"/>
      <c r="BT524" s="237"/>
      <c r="BU524" s="237"/>
      <c r="BV524" s="237"/>
      <c r="BW524" s="237"/>
      <c r="BX524" s="237"/>
      <c r="BY524" s="237"/>
      <c r="BZ524" s="237"/>
      <c r="CA524" s="237"/>
      <c r="CB524" s="237"/>
      <c r="CC524" s="237"/>
      <c r="CD524" s="237"/>
      <c r="CE524" s="237"/>
      <c r="CF524" s="237"/>
      <c r="CG524" s="237"/>
      <c r="CH524" s="237"/>
      <c r="CI524" s="237"/>
      <c r="CJ524" s="237"/>
      <c r="CK524" s="237"/>
      <c r="CL524" s="237"/>
      <c r="CM524" s="237"/>
      <c r="CN524" s="237"/>
      <c r="CO524" s="237"/>
      <c r="CP524" s="237"/>
      <c r="CQ524" s="237"/>
      <c r="CR524" s="237"/>
      <c r="CS524" s="237"/>
      <c r="CT524" s="237"/>
      <c r="CU524" s="237"/>
      <c r="CV524" s="237"/>
      <c r="CW524" s="237"/>
      <c r="CX524" s="237"/>
      <c r="CY524" s="237"/>
      <c r="CZ524" s="237"/>
      <c r="DA524" s="237"/>
      <c r="DB524" s="237"/>
      <c r="DC524" s="237"/>
      <c r="DD524" s="237"/>
      <c r="DE524" s="237"/>
      <c r="DF524" s="237"/>
      <c r="DG524" s="237"/>
      <c r="DH524" s="237"/>
      <c r="DI524" s="237"/>
      <c r="DJ524" s="237"/>
      <c r="DK524" s="237"/>
      <c r="DL524" s="237"/>
      <c r="DM524" s="237"/>
      <c r="DN524" s="237"/>
      <c r="DO524" s="237"/>
      <c r="DP524" s="237"/>
      <c r="DQ524" s="237"/>
      <c r="DR524" s="237"/>
      <c r="DS524" s="237"/>
      <c r="DT524" s="237"/>
      <c r="DU524" s="237"/>
      <c r="DV524" s="237"/>
      <c r="DW524" s="237"/>
      <c r="DX524" s="237"/>
      <c r="DY524" s="237"/>
      <c r="DZ524" s="237"/>
      <c r="EA524" s="237"/>
      <c r="EB524" s="237"/>
      <c r="EC524" s="237"/>
      <c r="ED524" s="237"/>
      <c r="EE524" s="237"/>
      <c r="EF524" s="237"/>
      <c r="EG524" s="237"/>
      <c r="EH524" s="237"/>
      <c r="EI524" s="237"/>
      <c r="EJ524" s="237"/>
      <c r="EK524" s="237"/>
      <c r="EL524" s="237"/>
      <c r="EM524" s="237"/>
      <c r="EN524" s="237"/>
      <c r="EO524" s="237"/>
      <c r="EP524" s="237"/>
      <c r="EQ524" s="237"/>
      <c r="ER524" s="237"/>
      <c r="ES524" s="9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9"/>
      <c r="FE524" s="9"/>
      <c r="FF524" s="9"/>
      <c r="FG524" s="9"/>
      <c r="FH524" s="9"/>
      <c r="FI524" s="9"/>
      <c r="FJ524" s="9"/>
      <c r="FK524" s="9"/>
      <c r="FL524" s="9"/>
      <c r="FM524" s="9"/>
      <c r="FN524" s="9"/>
      <c r="FO524" s="9"/>
      <c r="FP524" s="9"/>
    </row>
    <row r="525" customFormat="false" ht="15" hidden="false" customHeight="false" outlineLevel="2" collapsed="false">
      <c r="B525" s="47" t="s">
        <v>873</v>
      </c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237" t="n">
        <f aca="false">VLOOKUP("C",$B$14:$C$18,2,FALSE())</f>
        <v>110</v>
      </c>
      <c r="AD525" s="237"/>
      <c r="AE525" s="237"/>
      <c r="AF525" s="237"/>
      <c r="AG525" s="237"/>
      <c r="AH525" s="237"/>
      <c r="AI525" s="237"/>
      <c r="AJ525" s="237"/>
      <c r="AK525" s="237"/>
      <c r="AL525" s="237"/>
      <c r="AM525" s="237"/>
      <c r="AN525" s="237"/>
      <c r="AO525" s="237"/>
      <c r="AP525" s="237"/>
      <c r="AQ525" s="237"/>
      <c r="AR525" s="237"/>
      <c r="AS525" s="237"/>
      <c r="AT525" s="237"/>
      <c r="AU525" s="237"/>
      <c r="AV525" s="237"/>
      <c r="AW525" s="237"/>
      <c r="AX525" s="237"/>
      <c r="AY525" s="237"/>
      <c r="AZ525" s="237"/>
      <c r="BA525" s="237"/>
      <c r="BB525" s="237"/>
      <c r="BC525" s="237"/>
      <c r="BD525" s="237"/>
      <c r="BE525" s="237"/>
      <c r="BF525" s="237"/>
      <c r="BG525" s="237"/>
      <c r="BH525" s="237"/>
      <c r="BI525" s="237"/>
      <c r="BJ525" s="237"/>
      <c r="BK525" s="237"/>
      <c r="BL525" s="237"/>
      <c r="BM525" s="237"/>
      <c r="BN525" s="237"/>
      <c r="BO525" s="237"/>
      <c r="BP525" s="237"/>
      <c r="BQ525" s="237"/>
      <c r="BR525" s="237"/>
      <c r="BS525" s="237"/>
      <c r="BT525" s="237"/>
      <c r="BU525" s="237"/>
      <c r="BV525" s="237"/>
      <c r="BW525" s="237"/>
      <c r="BX525" s="237"/>
      <c r="BY525" s="237"/>
      <c r="BZ525" s="237"/>
      <c r="CA525" s="237"/>
      <c r="CB525" s="237"/>
      <c r="CC525" s="237"/>
      <c r="CD525" s="237"/>
      <c r="CE525" s="237"/>
      <c r="CF525" s="237"/>
      <c r="CG525" s="237"/>
      <c r="CH525" s="237"/>
      <c r="CI525" s="237"/>
      <c r="CJ525" s="237"/>
      <c r="CK525" s="237"/>
      <c r="CL525" s="237"/>
      <c r="CM525" s="237"/>
      <c r="CN525" s="237"/>
      <c r="CO525" s="237"/>
      <c r="CP525" s="237"/>
      <c r="CQ525" s="237"/>
      <c r="CR525" s="237"/>
      <c r="CS525" s="237"/>
      <c r="CT525" s="237"/>
      <c r="CU525" s="237"/>
      <c r="CV525" s="237"/>
      <c r="CW525" s="237"/>
      <c r="CX525" s="237"/>
      <c r="CY525" s="237"/>
      <c r="CZ525" s="237"/>
      <c r="DA525" s="237"/>
      <c r="DB525" s="237"/>
      <c r="DC525" s="237"/>
      <c r="DD525" s="237"/>
      <c r="DE525" s="237"/>
      <c r="DF525" s="237"/>
      <c r="DG525" s="237"/>
      <c r="DH525" s="237"/>
      <c r="DI525" s="237"/>
      <c r="DJ525" s="237"/>
      <c r="DK525" s="237"/>
      <c r="DL525" s="237"/>
      <c r="DM525" s="237"/>
      <c r="DN525" s="237"/>
      <c r="DO525" s="237"/>
      <c r="DP525" s="237"/>
      <c r="DQ525" s="237"/>
      <c r="DR525" s="237"/>
      <c r="DS525" s="237"/>
      <c r="DT525" s="237"/>
      <c r="DU525" s="237"/>
      <c r="DV525" s="237"/>
      <c r="DW525" s="237"/>
      <c r="DX525" s="237"/>
      <c r="DY525" s="237"/>
      <c r="DZ525" s="237"/>
      <c r="EA525" s="237"/>
      <c r="EB525" s="237"/>
      <c r="EC525" s="237"/>
      <c r="ED525" s="237"/>
      <c r="EE525" s="237"/>
      <c r="EF525" s="237"/>
      <c r="EG525" s="237"/>
      <c r="EH525" s="237"/>
      <c r="EI525" s="237"/>
      <c r="EJ525" s="237"/>
      <c r="EK525" s="237"/>
      <c r="EL525" s="237"/>
      <c r="EM525" s="237"/>
      <c r="EN525" s="237"/>
      <c r="EO525" s="237"/>
      <c r="EP525" s="237"/>
      <c r="EQ525" s="237"/>
      <c r="ER525" s="237"/>
      <c r="ES525" s="9"/>
      <c r="ET525" s="9"/>
      <c r="EU525" s="9"/>
      <c r="EV525" s="9"/>
      <c r="EW525" s="9"/>
      <c r="EX525" s="9"/>
      <c r="EY525" s="9"/>
      <c r="EZ525" s="9"/>
      <c r="FA525" s="9"/>
      <c r="FB525" s="9"/>
      <c r="FC525" s="9"/>
      <c r="FD525" s="9"/>
      <c r="FE525" s="9"/>
      <c r="FF525" s="9"/>
      <c r="FG525" s="9"/>
      <c r="FH525" s="9"/>
      <c r="FI525" s="9"/>
      <c r="FJ525" s="9"/>
      <c r="FK525" s="9"/>
      <c r="FL525" s="9"/>
      <c r="FM525" s="9"/>
      <c r="FN525" s="9"/>
      <c r="FO525" s="9"/>
      <c r="FP525" s="9"/>
    </row>
    <row r="526" customFormat="false" ht="15" hidden="false" customHeight="false" outlineLevel="2" collapsed="false">
      <c r="B526" s="47" t="s">
        <v>799</v>
      </c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237" t="n">
        <f aca="false">IF(AC$35&gt;=$AC$524,AC$35-$AC$524+1,0)</f>
        <v>0</v>
      </c>
      <c r="AD526" s="237" t="n">
        <f aca="false">IF(AD$35&gt;=$AC$524,AD$35-$AC$524+1,0)</f>
        <v>0</v>
      </c>
      <c r="AE526" s="237" t="n">
        <f aca="false">IF(AE$35&gt;=$AC$524,AE$35-$AC$524+1,0)</f>
        <v>0</v>
      </c>
      <c r="AF526" s="237" t="n">
        <f aca="false">IF(AF$35&gt;=$AC$524,AF$35-$AC$524+1,0)</f>
        <v>0</v>
      </c>
      <c r="AG526" s="237" t="n">
        <f aca="false">IF(AG$35&gt;=$AC$524,AG$35-$AC$524+1,0)</f>
        <v>0</v>
      </c>
      <c r="AH526" s="237" t="n">
        <f aca="false">IF(AH$35&gt;=$AC$524,AH$35-$AC$524+1,0)</f>
        <v>0</v>
      </c>
      <c r="AI526" s="237" t="n">
        <f aca="false">IF(AI$35&gt;=$AC$524,AI$35-$AC$524+1,0)</f>
        <v>0</v>
      </c>
      <c r="AJ526" s="237" t="n">
        <f aca="false">IF(AJ$35&gt;=$AC$524,AJ$35-$AC$524+1,0)</f>
        <v>0</v>
      </c>
      <c r="AK526" s="237" t="n">
        <f aca="false">IF(AK$35&gt;=$AC$524,AK$35-$AC$524+1,0)</f>
        <v>0</v>
      </c>
      <c r="AL526" s="237" t="n">
        <f aca="false">IF(AL$35&gt;=$AC$524,AL$35-$AC$524+1,0)</f>
        <v>0</v>
      </c>
      <c r="AM526" s="237" t="n">
        <f aca="false">IF(AM$35&gt;=$AC$524,AM$35-$AC$524+1,0)</f>
        <v>0</v>
      </c>
      <c r="AN526" s="237" t="n">
        <f aca="false">IF(AN$35&gt;=$AC$524,AN$35-$AC$524+1,0)</f>
        <v>0</v>
      </c>
      <c r="AO526" s="237" t="n">
        <f aca="false">IF(AO$35&gt;=$AC$524,AO$35-$AC$524+1,0)</f>
        <v>0</v>
      </c>
      <c r="AP526" s="237" t="n">
        <f aca="false">IF(AP$35&gt;=$AC$524,AP$35-$AC$524+1,0)</f>
        <v>0</v>
      </c>
      <c r="AQ526" s="237" t="n">
        <f aca="false">IF(AQ$35&gt;=$AC$524,AQ$35-$AC$524+1,0)</f>
        <v>0</v>
      </c>
      <c r="AR526" s="237" t="n">
        <f aca="false">IF(AR$35&gt;=$AC$524,AR$35-$AC$524+1,0)</f>
        <v>0</v>
      </c>
      <c r="AS526" s="237" t="n">
        <f aca="false">IF(AS$35&gt;=$AC$524,AS$35-$AC$524+1,0)</f>
        <v>0</v>
      </c>
      <c r="AT526" s="237" t="n">
        <f aca="false">IF(AT$35&gt;=$AC$524,AT$35-$AC$524+1,0)</f>
        <v>0</v>
      </c>
      <c r="AU526" s="237" t="n">
        <f aca="false">IF(AU$35&gt;=$AC$524,AU$35-$AC$524+1,0)</f>
        <v>0</v>
      </c>
      <c r="AV526" s="237" t="n">
        <f aca="false">IF(AV$35&gt;=$AC$524,AV$35-$AC$524+1,0)</f>
        <v>0</v>
      </c>
      <c r="AW526" s="237" t="n">
        <f aca="false">IF(AW$35&gt;=$AC$524,AW$35-$AC$524+1,0)</f>
        <v>0</v>
      </c>
      <c r="AX526" s="237" t="n">
        <f aca="false">IF(AX$35&gt;=$AC$524,AX$35-$AC$524+1,0)</f>
        <v>0</v>
      </c>
      <c r="AY526" s="237" t="n">
        <f aca="false">IF(AY$35&gt;=$AC$524,AY$35-$AC$524+1,0)</f>
        <v>0</v>
      </c>
      <c r="AZ526" s="237" t="n">
        <f aca="false">IF(AZ$35&gt;=$AC$524,AZ$35-$AC$524+1,0)</f>
        <v>0</v>
      </c>
      <c r="BA526" s="237" t="n">
        <f aca="false">IF(BA$35&gt;=$AC$524,BA$35-$AC$524+1,0)</f>
        <v>0</v>
      </c>
      <c r="BB526" s="237" t="n">
        <f aca="false">IF(BB$35&gt;=$AC$524,BB$35-$AC$524+1,0)</f>
        <v>0</v>
      </c>
      <c r="BC526" s="237" t="n">
        <f aca="false">IF(BC$35&gt;=$AC$524,BC$35-$AC$524+1,0)</f>
        <v>0</v>
      </c>
      <c r="BD526" s="237" t="n">
        <f aca="false">IF(BD$35&gt;=$AC$524,BD$35-$AC$524+1,0)</f>
        <v>0</v>
      </c>
      <c r="BE526" s="237" t="n">
        <f aca="false">IF(BE$35&gt;=$AC$524,BE$35-$AC$524+1,0)</f>
        <v>0</v>
      </c>
      <c r="BF526" s="237" t="n">
        <f aca="false">IF(BF$35&gt;=$AC$524,BF$35-$AC$524+1,0)</f>
        <v>0</v>
      </c>
      <c r="BG526" s="237" t="n">
        <f aca="false">IF(BG$35&gt;=$AC$524,BG$35-$AC$524+1,0)</f>
        <v>0</v>
      </c>
      <c r="BH526" s="237" t="n">
        <f aca="false">IF(BH$35&gt;=$AC$524,BH$35-$AC$524+1,0)</f>
        <v>0</v>
      </c>
      <c r="BI526" s="237" t="n">
        <f aca="false">IF(BI$35&gt;=$AC$524,BI$35-$AC$524+1,0)</f>
        <v>0</v>
      </c>
      <c r="BJ526" s="237" t="n">
        <f aca="false">IF(BJ$35&gt;=$AC$524,BJ$35-$AC$524+1,0)</f>
        <v>0</v>
      </c>
      <c r="BK526" s="237" t="n">
        <f aca="false">IF(BK$35&gt;=$AC$524,BK$35-$AC$524+1,0)</f>
        <v>0</v>
      </c>
      <c r="BL526" s="237" t="n">
        <f aca="false">IF(BL$35&gt;=$AC$524,BL$35-$AC$524+1,0)</f>
        <v>0</v>
      </c>
      <c r="BM526" s="237" t="n">
        <f aca="false">IF(BM$35&gt;=$AC$524,BM$35-$AC$524+1,0)</f>
        <v>0</v>
      </c>
      <c r="BN526" s="237" t="n">
        <f aca="false">IF(BN$35&gt;=$AC$524,BN$35-$AC$524+1,0)</f>
        <v>0</v>
      </c>
      <c r="BO526" s="237" t="n">
        <f aca="false">IF(BO$35&gt;=$AC$524,BO$35-$AC$524+1,0)</f>
        <v>0</v>
      </c>
      <c r="BP526" s="237" t="n">
        <f aca="false">IF(BP$35&gt;=$AC$524,BP$35-$AC$524+1,0)</f>
        <v>0</v>
      </c>
      <c r="BQ526" s="237" t="n">
        <f aca="false">IF(BQ$35&gt;=$AC$524,BQ$35-$AC$524+1,0)</f>
        <v>0</v>
      </c>
      <c r="BR526" s="237" t="n">
        <f aca="false">IF(BR$35&gt;=$AC$524,BR$35-$AC$524+1,0)</f>
        <v>0</v>
      </c>
      <c r="BS526" s="237" t="n">
        <f aca="false">IF(BS$35&gt;=$AC$524,BS$35-$AC$524+1,0)</f>
        <v>0</v>
      </c>
      <c r="BT526" s="237" t="n">
        <f aca="false">IF(BT$35&gt;=$AC$524,BT$35-$AC$524+1,0)</f>
        <v>0</v>
      </c>
      <c r="BU526" s="237" t="n">
        <f aca="false">IF(BU$35&gt;=$AC$524,BU$35-$AC$524+1,0)</f>
        <v>0</v>
      </c>
      <c r="BV526" s="237" t="n">
        <f aca="false">IF(BV$35&gt;=$AC$524,BV$35-$AC$524+1,0)</f>
        <v>0</v>
      </c>
      <c r="BW526" s="237" t="n">
        <f aca="false">IF(BW$35&gt;=$AC$524,BW$35-$AC$524+1,0)</f>
        <v>0</v>
      </c>
      <c r="BX526" s="237" t="n">
        <f aca="false">IF(BX$35&gt;=$AC$524,BX$35-$AC$524+1,0)</f>
        <v>0</v>
      </c>
      <c r="BY526" s="237" t="n">
        <f aca="false">IF(BY$35&gt;=$AC$524,BY$35-$AC$524+1,0)</f>
        <v>0</v>
      </c>
      <c r="BZ526" s="237" t="n">
        <f aca="false">IF(BZ$35&gt;=$AC$524,BZ$35-$AC$524+1,0)</f>
        <v>0</v>
      </c>
      <c r="CA526" s="237" t="n">
        <f aca="false">IF(CA$35&gt;=$AC$524,CA$35-$AC$524+1,0)</f>
        <v>0</v>
      </c>
      <c r="CB526" s="237" t="n">
        <f aca="false">IF(CB$35&gt;=$AC$524,CB$35-$AC$524+1,0)</f>
        <v>0</v>
      </c>
      <c r="CC526" s="237" t="n">
        <f aca="false">IF(CC$35&gt;=$AC$524,CC$35-$AC$524+1,0)</f>
        <v>0</v>
      </c>
      <c r="CD526" s="237" t="n">
        <f aca="false">IF(CD$35&gt;=$AC$524,CD$35-$AC$524+1,0)</f>
        <v>0</v>
      </c>
      <c r="CE526" s="237" t="n">
        <f aca="false">IF(CE$35&gt;=$AC$524,CE$35-$AC$524+1,0)</f>
        <v>0</v>
      </c>
      <c r="CF526" s="237" t="n">
        <f aca="false">IF(CF$35&gt;=$AC$524,CF$35-$AC$524+1,0)</f>
        <v>0</v>
      </c>
      <c r="CG526" s="237" t="n">
        <f aca="false">IF(CG$35&gt;=$AC$524,CG$35-$AC$524+1,0)</f>
        <v>0</v>
      </c>
      <c r="CH526" s="237" t="n">
        <f aca="false">IF(CH$35&gt;=$AC$524,CH$35-$AC$524+1,0)</f>
        <v>0</v>
      </c>
      <c r="CI526" s="237" t="n">
        <f aca="false">IF(CI$35&gt;=$AC$524,CI$35-$AC$524+1,0)</f>
        <v>0</v>
      </c>
      <c r="CJ526" s="237" t="n">
        <f aca="false">IF(CJ$35&gt;=$AC$524,CJ$35-$AC$524+1,0)</f>
        <v>0</v>
      </c>
      <c r="CK526" s="237" t="n">
        <f aca="false">IF(CK$35&gt;=$AC$524,CK$35-$AC$524+1,0)</f>
        <v>0</v>
      </c>
      <c r="CL526" s="237" t="n">
        <f aca="false">IF(CL$35&gt;=$AC$524,CL$35-$AC$524+1,0)</f>
        <v>0</v>
      </c>
      <c r="CM526" s="237" t="n">
        <f aca="false">IF(CM$35&gt;=$AC$524,CM$35-$AC$524+1,0)</f>
        <v>0</v>
      </c>
      <c r="CN526" s="237" t="n">
        <f aca="false">IF(CN$35&gt;=$AC$524,CN$35-$AC$524+1,0)</f>
        <v>0</v>
      </c>
      <c r="CO526" s="237" t="n">
        <f aca="false">IF(CO$35&gt;=$AC$524,CO$35-$AC$524+1,0)</f>
        <v>0</v>
      </c>
      <c r="CP526" s="237" t="n">
        <f aca="false">IF(CP$35&gt;=$AC$524,CP$35-$AC$524+1,0)</f>
        <v>0</v>
      </c>
      <c r="CQ526" s="237" t="n">
        <f aca="false">IF(CQ$35&gt;=$AC$524,CQ$35-$AC$524+1,0)</f>
        <v>0</v>
      </c>
      <c r="CR526" s="237" t="n">
        <f aca="false">IF(CR$35&gt;=$AC$524,CR$35-$AC$524+1,0)</f>
        <v>0</v>
      </c>
      <c r="CS526" s="237" t="n">
        <f aca="false">IF(CS$35&gt;=$AC$524,CS$35-$AC$524+1,0)</f>
        <v>0</v>
      </c>
      <c r="CT526" s="237" t="n">
        <f aca="false">IF(CT$35&gt;=$AC$524,CT$35-$AC$524+1,0)</f>
        <v>0</v>
      </c>
      <c r="CU526" s="237" t="n">
        <f aca="false">IF(CU$35&gt;=$AC$524,CU$35-$AC$524+1,0)</f>
        <v>0</v>
      </c>
      <c r="CV526" s="237" t="n">
        <f aca="false">IF(CV$35&gt;=$AC$524,CV$35-$AC$524+1,0)</f>
        <v>0</v>
      </c>
      <c r="CW526" s="237" t="n">
        <f aca="false">IF(CW$35&gt;=$AC$524,CW$35-$AC$524+1,0)</f>
        <v>0</v>
      </c>
      <c r="CX526" s="237" t="n">
        <f aca="false">IF(CX$35&gt;=$AC$524,CX$35-$AC$524+1,0)</f>
        <v>0</v>
      </c>
      <c r="CY526" s="237" t="n">
        <f aca="false">IF(CY$35&gt;=$AC$524,CY$35-$AC$524+1,0)</f>
        <v>0</v>
      </c>
      <c r="CZ526" s="237" t="n">
        <f aca="false">IF(CZ$35&gt;=$AC$524,CZ$35-$AC$524+1,0)</f>
        <v>0</v>
      </c>
      <c r="DA526" s="237" t="n">
        <f aca="false">IF(DA$35&gt;=$AC$524,DA$35-$AC$524+1,0)</f>
        <v>0</v>
      </c>
      <c r="DB526" s="237" t="n">
        <f aca="false">IF(DB$35&gt;=$AC$524,DB$35-$AC$524+1,0)</f>
        <v>0</v>
      </c>
      <c r="DC526" s="237" t="n">
        <f aca="false">IF(DC$35&gt;=$AC$524,DC$35-$AC$524+1,0)</f>
        <v>0</v>
      </c>
      <c r="DD526" s="237" t="n">
        <f aca="false">IF(DD$35&gt;=$AC$524,DD$35-$AC$524+1,0)</f>
        <v>0</v>
      </c>
      <c r="DE526" s="237" t="n">
        <f aca="false">IF(DE$35&gt;=$AC$524,DE$35-$AC$524+1,0)</f>
        <v>0</v>
      </c>
      <c r="DF526" s="237" t="n">
        <f aca="false">IF(DF$35&gt;=$AC$524,DF$35-$AC$524+1,0)</f>
        <v>0</v>
      </c>
      <c r="DG526" s="237" t="n">
        <f aca="false">IF(DG$35&gt;=$AC$524,DG$35-$AC$524+1,0)</f>
        <v>0</v>
      </c>
      <c r="DH526" s="237" t="n">
        <f aca="false">IF(DH$35&gt;=$AC$524,DH$35-$AC$524+1,0)</f>
        <v>0</v>
      </c>
      <c r="DI526" s="237" t="n">
        <f aca="false">IF(DI$35&gt;=$AC$524,DI$35-$AC$524+1,0)</f>
        <v>0</v>
      </c>
      <c r="DJ526" s="237" t="n">
        <f aca="false">IF(DJ$35&gt;=$AC$524,DJ$35-$AC$524+1,0)</f>
        <v>0</v>
      </c>
      <c r="DK526" s="237" t="n">
        <f aca="false">IF(DK$35&gt;=$AC$524,DK$35-$AC$524+1,0)</f>
        <v>0</v>
      </c>
      <c r="DL526" s="237" t="n">
        <f aca="false">IF(DL$35&gt;=$AC$524,DL$35-$AC$524+1,0)</f>
        <v>0</v>
      </c>
      <c r="DM526" s="237" t="n">
        <f aca="false">IF(DM$35&gt;=$AC$524,DM$35-$AC$524+1,0)</f>
        <v>0</v>
      </c>
      <c r="DN526" s="237" t="n">
        <f aca="false">IF(DN$35&gt;=$AC$524,DN$35-$AC$524+1,0)</f>
        <v>0</v>
      </c>
      <c r="DO526" s="237" t="n">
        <f aca="false">IF(DO$35&gt;=$AC$524,DO$35-$AC$524+1,0)</f>
        <v>0</v>
      </c>
      <c r="DP526" s="237" t="n">
        <f aca="false">IF(DP$35&gt;=$AC$524,DP$35-$AC$524+1,0)</f>
        <v>0</v>
      </c>
      <c r="DQ526" s="237" t="n">
        <f aca="false">IF(DQ$35&gt;=$AC$524,DQ$35-$AC$524+1,0)</f>
        <v>0</v>
      </c>
      <c r="DR526" s="237" t="n">
        <f aca="false">IF(DR$35&gt;=$AC$524,DR$35-$AC$524+1,0)</f>
        <v>0</v>
      </c>
      <c r="DS526" s="237" t="n">
        <f aca="false">IF(DS$35&gt;=$AC$524,DS$35-$AC$524+1,0)</f>
        <v>0</v>
      </c>
      <c r="DT526" s="237" t="n">
        <f aca="false">IF(DT$35&gt;=$AC$524,DT$35-$AC$524+1,0)</f>
        <v>0</v>
      </c>
      <c r="DU526" s="237" t="n">
        <f aca="false">IF(DU$35&gt;=$AC$524,DU$35-$AC$524+1,0)</f>
        <v>0</v>
      </c>
      <c r="DV526" s="237" t="n">
        <f aca="false">IF(DV$35&gt;=$AC$524,DV$35-$AC$524+1,0)</f>
        <v>0</v>
      </c>
      <c r="DW526" s="237" t="n">
        <f aca="false">IF(DW$35&gt;=$AC$524,DW$35-$AC$524+1,0)</f>
        <v>0</v>
      </c>
      <c r="DX526" s="237" t="n">
        <f aca="false">IF(DX$35&gt;=$AC$524,DX$35-$AC$524+1,0)</f>
        <v>0</v>
      </c>
      <c r="DY526" s="237" t="n">
        <f aca="false">IF(DY$35&gt;=$AC$524,DY$35-$AC$524+1,0)</f>
        <v>0</v>
      </c>
      <c r="DZ526" s="237" t="n">
        <f aca="false">IF(DZ$35&gt;=$AC$524,DZ$35-$AC$524+1,0)</f>
        <v>0</v>
      </c>
      <c r="EA526" s="237" t="n">
        <f aca="false">IF(EA$35&gt;=$AC$524,EA$35-$AC$524+1,0)</f>
        <v>0</v>
      </c>
      <c r="EB526" s="237" t="n">
        <f aca="false">IF(EB$35&gt;=$AC$524,EB$35-$AC$524+1,0)</f>
        <v>0</v>
      </c>
      <c r="EC526" s="237" t="n">
        <f aca="false">IF(EC$35&gt;=$AC$524,EC$35-$AC$524+1,0)</f>
        <v>0</v>
      </c>
      <c r="ED526" s="237" t="n">
        <f aca="false">IF(ED$35&gt;=$AC$524,ED$35-$AC$524+1,0)</f>
        <v>0</v>
      </c>
      <c r="EE526" s="237" t="n">
        <f aca="false">IF(EE$35&gt;=$AC$524,EE$35-$AC$524+1,0)</f>
        <v>0</v>
      </c>
      <c r="EF526" s="237" t="n">
        <f aca="false">IF(EF$35&gt;=$AC$524,EF$35-$AC$524+1,0)</f>
        <v>0</v>
      </c>
      <c r="EG526" s="237" t="n">
        <f aca="false">IF(EG$35&gt;=$AC$524,EG$35-$AC$524+1,0)</f>
        <v>0</v>
      </c>
      <c r="EH526" s="237" t="n">
        <f aca="false">IF(EH$35&gt;=$AC$524,EH$35-$AC$524+1,0)</f>
        <v>0</v>
      </c>
      <c r="EI526" s="237" t="n">
        <f aca="false">IF(EI$35&gt;=$AC$524,EI$35-$AC$524+1,0)</f>
        <v>0</v>
      </c>
      <c r="EJ526" s="237" t="n">
        <f aca="false">IF(EJ$35&gt;=$AC$524,EJ$35-$AC$524+1,0)</f>
        <v>1</v>
      </c>
      <c r="EK526" s="237" t="n">
        <f aca="false">IF(EK$35&gt;=$AC$524,EK$35-$AC$524+1,0)</f>
        <v>2</v>
      </c>
      <c r="EL526" s="237" t="n">
        <f aca="false">IF(EL$35&gt;=$AC$524,EL$35-$AC$524+1,0)</f>
        <v>3</v>
      </c>
      <c r="EM526" s="237" t="n">
        <f aca="false">IF(EM$35&gt;=$AC$524,EM$35-$AC$524+1,0)</f>
        <v>4</v>
      </c>
      <c r="EN526" s="237" t="n">
        <f aca="false">IF(EN$35&gt;=$AC$524,EN$35-$AC$524+1,0)</f>
        <v>5</v>
      </c>
      <c r="EO526" s="237" t="n">
        <f aca="false">IF(EO$35&gt;=$AC$524,EO$35-$AC$524+1,0)</f>
        <v>6</v>
      </c>
      <c r="EP526" s="237" t="n">
        <f aca="false">IF(EP$35&gt;=$AC$524,EP$35-$AC$524+1,0)</f>
        <v>7</v>
      </c>
      <c r="EQ526" s="237" t="n">
        <f aca="false">IF(EQ$35&gt;=$AC$524,EQ$35-$AC$524+1,0)</f>
        <v>8</v>
      </c>
      <c r="ER526" s="237" t="n">
        <f aca="false">IF(ER$35&gt;=$AC$524,ER$35-$AC$524+1,0)</f>
        <v>9</v>
      </c>
      <c r="ES526" s="9" t="n">
        <f aca="false">IF(ES$35&gt;=$AC$524,ES$35-$AC$524+1,0)</f>
        <v>10</v>
      </c>
      <c r="ET526" s="9" t="n">
        <f aca="false">IF(ET$35&gt;=$AC$524,ET$35-$AC$524+1,0)</f>
        <v>11</v>
      </c>
      <c r="EU526" s="9" t="n">
        <f aca="false">IF(EU$35&gt;=$AC$524,EU$35-$AC$524+1,0)</f>
        <v>12</v>
      </c>
      <c r="EV526" s="9" t="n">
        <f aca="false">IF(EV$35&gt;=$AC$524,EV$35-$AC$524+1,0)</f>
        <v>13</v>
      </c>
      <c r="EW526" s="9" t="n">
        <f aca="false">IF(EW$35&gt;=$AC$524,EW$35-$AC$524+1,0)</f>
        <v>14</v>
      </c>
      <c r="EX526" s="9" t="n">
        <f aca="false">IF(EX$35&gt;=$AC$524,EX$35-$AC$524+1,0)</f>
        <v>15</v>
      </c>
      <c r="EY526" s="9" t="n">
        <f aca="false">IF(EY$35&gt;=$AC$524,EY$35-$AC$524+1,0)</f>
        <v>16</v>
      </c>
      <c r="EZ526" s="9" t="n">
        <f aca="false">IF(EZ$35&gt;=$AC$524,EZ$35-$AC$524+1,0)</f>
        <v>17</v>
      </c>
      <c r="FA526" s="9" t="n">
        <f aca="false">IF(FA$35&gt;=$AC$524,FA$35-$AC$524+1,0)</f>
        <v>18</v>
      </c>
      <c r="FB526" s="9" t="n">
        <f aca="false">IF(FB$35&gt;=$AC$524,FB$35-$AC$524+1,0)</f>
        <v>19</v>
      </c>
      <c r="FC526" s="9" t="n">
        <f aca="false">IF(FC$35&gt;=$AC$524,FC$35-$AC$524+1,0)</f>
        <v>20</v>
      </c>
      <c r="FD526" s="9" t="n">
        <f aca="false">IF(FD$35&gt;=$AC$524,FD$35-$AC$524+1,0)</f>
        <v>21</v>
      </c>
      <c r="FE526" s="9" t="n">
        <f aca="false">IF(FE$35&gt;=$AC$524,FE$35-$AC$524+1,0)</f>
        <v>22</v>
      </c>
      <c r="FF526" s="9" t="n">
        <f aca="false">IF(FF$35&gt;=$AC$524,FF$35-$AC$524+1,0)</f>
        <v>23</v>
      </c>
      <c r="FG526" s="9" t="n">
        <f aca="false">IF(FG$35&gt;=$AC$524,FG$35-$AC$524+1,0)</f>
        <v>24</v>
      </c>
      <c r="FH526" s="9" t="n">
        <f aca="false">IF(FH$35&gt;=$AC$524,FH$35-$AC$524+1,0)</f>
        <v>25</v>
      </c>
      <c r="FI526" s="9" t="n">
        <f aca="false">IF(FI$35&gt;=$AC$524,FI$35-$AC$524+1,0)</f>
        <v>26</v>
      </c>
      <c r="FJ526" s="9" t="n">
        <f aca="false">IF(FJ$35&gt;=$AC$524,FJ$35-$AC$524+1,0)</f>
        <v>27</v>
      </c>
      <c r="FK526" s="9" t="n">
        <f aca="false">IF(FK$35&gt;=$AC$524,FK$35-$AC$524+1,0)</f>
        <v>28</v>
      </c>
      <c r="FL526" s="9" t="n">
        <f aca="false">IF(FL$35&gt;=$AC$524,FL$35-$AC$524+1,0)</f>
        <v>29</v>
      </c>
      <c r="FM526" s="9" t="n">
        <f aca="false">IF(FM$35&gt;=$AC$524,FM$35-$AC$524+1,0)</f>
        <v>30</v>
      </c>
      <c r="FN526" s="9" t="n">
        <f aca="false">IF(FN$35&gt;=$AC$524,FN$35-$AC$524+1,0)</f>
        <v>31</v>
      </c>
      <c r="FO526" s="9" t="n">
        <f aca="false">IF(FO$35&gt;=$AC$524,FO$35-$AC$524+1,0)</f>
        <v>32</v>
      </c>
      <c r="FP526" s="9" t="n">
        <f aca="false">IF(FP$35&gt;=$AC$524,FP$35-$AC$524+1,0)</f>
        <v>33</v>
      </c>
    </row>
    <row r="527" customFormat="false" ht="15" hidden="false" customHeight="false" outlineLevel="2" collapsed="false">
      <c r="B527" s="47" t="s">
        <v>874</v>
      </c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237" t="n">
        <f aca="false" t="array" ref="AC527:AC527">IF(AC526=0,0,IF(AC526/'🎚️ Escenario'!$C$11&gt;=36,$AL$23,INDEX($C$23:$AL$23,MAX(1,ROUNDUP(AC526/'🎚️ Escenario'!$C$11,0)))))</f>
        <v>0</v>
      </c>
      <c r="AD527" s="237" t="n">
        <f aca="false" t="array" ref="AD527:AD527">IF(AD526=0,0,IF(AD526/'🎚️ Escenario'!$C$11&gt;=36,$AL$23,INDEX($C$23:$AL$23,MAX(1,ROUNDUP(AD526/'🎚️ Escenario'!$C$11,0)))))</f>
        <v>0</v>
      </c>
      <c r="AE527" s="237" t="n">
        <f aca="false" t="array" ref="AE527:AE527">IF(AE526=0,0,IF(AE526/'🎚️ Escenario'!$C$11&gt;=36,$AL$23,INDEX($C$23:$AL$23,MAX(1,ROUNDUP(AE526/'🎚️ Escenario'!$C$11,0)))))</f>
        <v>0</v>
      </c>
      <c r="AF527" s="237" t="n">
        <f aca="false" t="array" ref="AF527:AF527">IF(AF526=0,0,IF(AF526/'🎚️ Escenario'!$C$11&gt;=36,$AL$23,INDEX($C$23:$AL$23,MAX(1,ROUNDUP(AF526/'🎚️ Escenario'!$C$11,0)))))</f>
        <v>0</v>
      </c>
      <c r="AG527" s="237" t="n">
        <f aca="false" t="array" ref="AG527:AG527">IF(AG526=0,0,IF(AG526/'🎚️ Escenario'!$C$11&gt;=36,$AL$23,INDEX($C$23:$AL$23,MAX(1,ROUNDUP(AG526/'🎚️ Escenario'!$C$11,0)))))</f>
        <v>0</v>
      </c>
      <c r="AH527" s="237" t="n">
        <f aca="false" t="array" ref="AH527:AH527">IF(AH526=0,0,IF(AH526/'🎚️ Escenario'!$C$11&gt;=36,$AL$23,INDEX($C$23:$AL$23,MAX(1,ROUNDUP(AH526/'🎚️ Escenario'!$C$11,0)))))</f>
        <v>0</v>
      </c>
      <c r="AI527" s="237" t="n">
        <f aca="false" t="array" ref="AI527:AI527">IF(AI526=0,0,IF(AI526/'🎚️ Escenario'!$C$11&gt;=36,$AL$23,INDEX($C$23:$AL$23,MAX(1,ROUNDUP(AI526/'🎚️ Escenario'!$C$11,0)))))</f>
        <v>0</v>
      </c>
      <c r="AJ527" s="237" t="n">
        <f aca="false" t="array" ref="AJ527:AJ527">IF(AJ526=0,0,IF(AJ526/'🎚️ Escenario'!$C$11&gt;=36,$AL$23,INDEX($C$23:$AL$23,MAX(1,ROUNDUP(AJ526/'🎚️ Escenario'!$C$11,0)))))</f>
        <v>0</v>
      </c>
      <c r="AK527" s="237" t="n">
        <f aca="false" t="array" ref="AK527:AK527">IF(AK526=0,0,IF(AK526/'🎚️ Escenario'!$C$11&gt;=36,$AL$23,INDEX($C$23:$AL$23,MAX(1,ROUNDUP(AK526/'🎚️ Escenario'!$C$11,0)))))</f>
        <v>0</v>
      </c>
      <c r="AL527" s="237" t="n">
        <f aca="false" t="array" ref="AL527:AL527">IF(AL526=0,0,IF(AL526/'🎚️ Escenario'!$C$11&gt;=36,$AL$23,INDEX($C$23:$AL$23,MAX(1,ROUNDUP(AL526/'🎚️ Escenario'!$C$11,0)))))</f>
        <v>0</v>
      </c>
      <c r="AM527" s="237" t="n">
        <f aca="false" t="array" ref="AM527:AM527">IF(AM526=0,0,IF(AM526/'🎚️ Escenario'!$C$11&gt;=36,$AL$23,INDEX($C$23:$AL$23,MAX(1,ROUNDUP(AM526/'🎚️ Escenario'!$C$11,0)))))</f>
        <v>0</v>
      </c>
      <c r="AN527" s="237" t="n">
        <f aca="false" t="array" ref="AN527:AN527">IF(AN526=0,0,IF(AN526/'🎚️ Escenario'!$C$11&gt;=36,$AL$23,INDEX($C$23:$AL$23,MAX(1,ROUNDUP(AN526/'🎚️ Escenario'!$C$11,0)))))</f>
        <v>0</v>
      </c>
      <c r="AO527" s="237" t="n">
        <f aca="false" t="array" ref="AO527:AO527">IF(AO526=0,0,IF(AO526/'🎚️ Escenario'!$C$11&gt;=36,$AL$23,INDEX($C$23:$AL$23,MAX(1,ROUNDUP(AO526/'🎚️ Escenario'!$C$11,0)))))</f>
        <v>0</v>
      </c>
      <c r="AP527" s="237" t="n">
        <f aca="false" t="array" ref="AP527:AP527">IF(AP526=0,0,IF(AP526/'🎚️ Escenario'!$C$11&gt;=36,$AL$23,INDEX($C$23:$AL$23,MAX(1,ROUNDUP(AP526/'🎚️ Escenario'!$C$11,0)))))</f>
        <v>0</v>
      </c>
      <c r="AQ527" s="237" t="n">
        <f aca="false" t="array" ref="AQ527:AQ527">IF(AQ526=0,0,IF(AQ526/'🎚️ Escenario'!$C$11&gt;=36,$AL$23,INDEX($C$23:$AL$23,MAX(1,ROUNDUP(AQ526/'🎚️ Escenario'!$C$11,0)))))</f>
        <v>0</v>
      </c>
      <c r="AR527" s="237" t="n">
        <f aca="false" t="array" ref="AR527:AR527">IF(AR526=0,0,IF(AR526/'🎚️ Escenario'!$C$11&gt;=36,$AL$23,INDEX($C$23:$AL$23,MAX(1,ROUNDUP(AR526/'🎚️ Escenario'!$C$11,0)))))</f>
        <v>0</v>
      </c>
      <c r="AS527" s="237" t="n">
        <f aca="false" t="array" ref="AS527:AS527">IF(AS526=0,0,IF(AS526/'🎚️ Escenario'!$C$11&gt;=36,$AL$23,INDEX($C$23:$AL$23,MAX(1,ROUNDUP(AS526/'🎚️ Escenario'!$C$11,0)))))</f>
        <v>0</v>
      </c>
      <c r="AT527" s="237" t="n">
        <f aca="false" t="array" ref="AT527:AT527">IF(AT526=0,0,IF(AT526/'🎚️ Escenario'!$C$11&gt;=36,$AL$23,INDEX($C$23:$AL$23,MAX(1,ROUNDUP(AT526/'🎚️ Escenario'!$C$11,0)))))</f>
        <v>0</v>
      </c>
      <c r="AU527" s="237" t="n">
        <f aca="false" t="array" ref="AU527:AU527">IF(AU526=0,0,IF(AU526/'🎚️ Escenario'!$C$11&gt;=36,$AL$23,INDEX($C$23:$AL$23,MAX(1,ROUNDUP(AU526/'🎚️ Escenario'!$C$11,0)))))</f>
        <v>0</v>
      </c>
      <c r="AV527" s="237" t="n">
        <f aca="false" t="array" ref="AV527:AV527">IF(AV526=0,0,IF(AV526/'🎚️ Escenario'!$C$11&gt;=36,$AL$23,INDEX($C$23:$AL$23,MAX(1,ROUNDUP(AV526/'🎚️ Escenario'!$C$11,0)))))</f>
        <v>0</v>
      </c>
      <c r="AW527" s="237" t="n">
        <f aca="false" t="array" ref="AW527:AW527">IF(AW526=0,0,IF(AW526/'🎚️ Escenario'!$C$11&gt;=36,$AL$23,INDEX($C$23:$AL$23,MAX(1,ROUNDUP(AW526/'🎚️ Escenario'!$C$11,0)))))</f>
        <v>0</v>
      </c>
      <c r="AX527" s="237" t="n">
        <f aca="false" t="array" ref="AX527:AX527">IF(AX526=0,0,IF(AX526/'🎚️ Escenario'!$C$11&gt;=36,$AL$23,INDEX($C$23:$AL$23,MAX(1,ROUNDUP(AX526/'🎚️ Escenario'!$C$11,0)))))</f>
        <v>0</v>
      </c>
      <c r="AY527" s="237" t="n">
        <f aca="false" t="array" ref="AY527:AY527">IF(AY526=0,0,IF(AY526/'🎚️ Escenario'!$C$11&gt;=36,$AL$23,INDEX($C$23:$AL$23,MAX(1,ROUNDUP(AY526/'🎚️ Escenario'!$C$11,0)))))</f>
        <v>0</v>
      </c>
      <c r="AZ527" s="237" t="n">
        <f aca="false" t="array" ref="AZ527:AZ527">IF(AZ526=0,0,IF(AZ526/'🎚️ Escenario'!$C$11&gt;=36,$AL$23,INDEX($C$23:$AL$23,MAX(1,ROUNDUP(AZ526/'🎚️ Escenario'!$C$11,0)))))</f>
        <v>0</v>
      </c>
      <c r="BA527" s="237" t="n">
        <f aca="false" t="array" ref="BA527:BA527">IF(BA526=0,0,IF(BA526/'🎚️ Escenario'!$C$11&gt;=36,$AL$23,INDEX($C$23:$AL$23,MAX(1,ROUNDUP(BA526/'🎚️ Escenario'!$C$11,0)))))</f>
        <v>0</v>
      </c>
      <c r="BB527" s="237" t="n">
        <f aca="false" t="array" ref="BB527:BB527">IF(BB526=0,0,IF(BB526/'🎚️ Escenario'!$C$11&gt;=36,$AL$23,INDEX($C$23:$AL$23,MAX(1,ROUNDUP(BB526/'🎚️ Escenario'!$C$11,0)))))</f>
        <v>0</v>
      </c>
      <c r="BC527" s="237" t="n">
        <f aca="false" t="array" ref="BC527:BC527">IF(BC526=0,0,IF(BC526/'🎚️ Escenario'!$C$11&gt;=36,$AL$23,INDEX($C$23:$AL$23,MAX(1,ROUNDUP(BC526/'🎚️ Escenario'!$C$11,0)))))</f>
        <v>0</v>
      </c>
      <c r="BD527" s="237" t="n">
        <f aca="false" t="array" ref="BD527:BD527">IF(BD526=0,0,IF(BD526/'🎚️ Escenario'!$C$11&gt;=36,$AL$23,INDEX($C$23:$AL$23,MAX(1,ROUNDUP(BD526/'🎚️ Escenario'!$C$11,0)))))</f>
        <v>0</v>
      </c>
      <c r="BE527" s="237" t="n">
        <f aca="false" t="array" ref="BE527:BE527">IF(BE526=0,0,IF(BE526/'🎚️ Escenario'!$C$11&gt;=36,$AL$23,INDEX($C$23:$AL$23,MAX(1,ROUNDUP(BE526/'🎚️ Escenario'!$C$11,0)))))</f>
        <v>0</v>
      </c>
      <c r="BF527" s="237" t="n">
        <f aca="false" t="array" ref="BF527:BF527">IF(BF526=0,0,IF(BF526/'🎚️ Escenario'!$C$11&gt;=36,$AL$23,INDEX($C$23:$AL$23,MAX(1,ROUNDUP(BF526/'🎚️ Escenario'!$C$11,0)))))</f>
        <v>0</v>
      </c>
      <c r="BG527" s="237" t="n">
        <f aca="false" t="array" ref="BG527:BG527">IF(BG526=0,0,IF(BG526/'🎚️ Escenario'!$C$11&gt;=36,$AL$23,INDEX($C$23:$AL$23,MAX(1,ROUNDUP(BG526/'🎚️ Escenario'!$C$11,0)))))</f>
        <v>0</v>
      </c>
      <c r="BH527" s="237" t="n">
        <f aca="false" t="array" ref="BH527:BH527">IF(BH526=0,0,IF(BH526/'🎚️ Escenario'!$C$11&gt;=36,$AL$23,INDEX($C$23:$AL$23,MAX(1,ROUNDUP(BH526/'🎚️ Escenario'!$C$11,0)))))</f>
        <v>0</v>
      </c>
      <c r="BI527" s="237" t="n">
        <f aca="false" t="array" ref="BI527:BI527">IF(BI526=0,0,IF(BI526/'🎚️ Escenario'!$C$11&gt;=36,$AL$23,INDEX($C$23:$AL$23,MAX(1,ROUNDUP(BI526/'🎚️ Escenario'!$C$11,0)))))</f>
        <v>0</v>
      </c>
      <c r="BJ527" s="237" t="n">
        <f aca="false" t="array" ref="BJ527:BJ527">IF(BJ526=0,0,IF(BJ526/'🎚️ Escenario'!$C$11&gt;=36,$AL$23,INDEX($C$23:$AL$23,MAX(1,ROUNDUP(BJ526/'🎚️ Escenario'!$C$11,0)))))</f>
        <v>0</v>
      </c>
      <c r="BK527" s="237" t="n">
        <f aca="false" t="array" ref="BK527:BK527">IF(BK526=0,0,IF(BK526/'🎚️ Escenario'!$C$11&gt;=36,$AL$23,INDEX($C$23:$AL$23,MAX(1,ROUNDUP(BK526/'🎚️ Escenario'!$C$11,0)))))</f>
        <v>0</v>
      </c>
      <c r="BL527" s="237" t="n">
        <f aca="false" t="array" ref="BL527:BL527">IF(BL526=0,0,IF(BL526/'🎚️ Escenario'!$C$11&gt;=36,$AL$23,INDEX($C$23:$AL$23,MAX(1,ROUNDUP(BL526/'🎚️ Escenario'!$C$11,0)))))</f>
        <v>0</v>
      </c>
      <c r="BM527" s="237" t="n">
        <f aca="false" t="array" ref="BM527:BM527">IF(BM526=0,0,IF(BM526/'🎚️ Escenario'!$C$11&gt;=36,$AL$23,INDEX($C$23:$AL$23,MAX(1,ROUNDUP(BM526/'🎚️ Escenario'!$C$11,0)))))</f>
        <v>0</v>
      </c>
      <c r="BN527" s="237" t="n">
        <f aca="false" t="array" ref="BN527:BN527">IF(BN526=0,0,IF(BN526/'🎚️ Escenario'!$C$11&gt;=36,$AL$23,INDEX($C$23:$AL$23,MAX(1,ROUNDUP(BN526/'🎚️ Escenario'!$C$11,0)))))</f>
        <v>0</v>
      </c>
      <c r="BO527" s="237" t="n">
        <f aca="false" t="array" ref="BO527:BO527">IF(BO526=0,0,IF(BO526/'🎚️ Escenario'!$C$11&gt;=36,$AL$23,INDEX($C$23:$AL$23,MAX(1,ROUNDUP(BO526/'🎚️ Escenario'!$C$11,0)))))</f>
        <v>0</v>
      </c>
      <c r="BP527" s="237" t="n">
        <f aca="false" t="array" ref="BP527:BP527">IF(BP526=0,0,IF(BP526/'🎚️ Escenario'!$C$11&gt;=36,$AL$23,INDEX($C$23:$AL$23,MAX(1,ROUNDUP(BP526/'🎚️ Escenario'!$C$11,0)))))</f>
        <v>0</v>
      </c>
      <c r="BQ527" s="237" t="n">
        <f aca="false" t="array" ref="BQ527:BQ527">IF(BQ526=0,0,IF(BQ526/'🎚️ Escenario'!$C$11&gt;=36,$AL$23,INDEX($C$23:$AL$23,MAX(1,ROUNDUP(BQ526/'🎚️ Escenario'!$C$11,0)))))</f>
        <v>0</v>
      </c>
      <c r="BR527" s="237" t="n">
        <f aca="false" t="array" ref="BR527:BR527">IF(BR526=0,0,IF(BR526/'🎚️ Escenario'!$C$11&gt;=36,$AL$23,INDEX($C$23:$AL$23,MAX(1,ROUNDUP(BR526/'🎚️ Escenario'!$C$11,0)))))</f>
        <v>0</v>
      </c>
      <c r="BS527" s="237" t="n">
        <f aca="false" t="array" ref="BS527:BS527">IF(BS526=0,0,IF(BS526/'🎚️ Escenario'!$C$11&gt;=36,$AL$23,INDEX($C$23:$AL$23,MAX(1,ROUNDUP(BS526/'🎚️ Escenario'!$C$11,0)))))</f>
        <v>0</v>
      </c>
      <c r="BT527" s="237" t="n">
        <f aca="false" t="array" ref="BT527:BT527">IF(BT526=0,0,IF(BT526/'🎚️ Escenario'!$C$11&gt;=36,$AL$23,INDEX($C$23:$AL$23,MAX(1,ROUNDUP(BT526/'🎚️ Escenario'!$C$11,0)))))</f>
        <v>0</v>
      </c>
      <c r="BU527" s="237" t="n">
        <f aca="false" t="array" ref="BU527:BU527">IF(BU526=0,0,IF(BU526/'🎚️ Escenario'!$C$11&gt;=36,$AL$23,INDEX($C$23:$AL$23,MAX(1,ROUNDUP(BU526/'🎚️ Escenario'!$C$11,0)))))</f>
        <v>0</v>
      </c>
      <c r="BV527" s="237" t="n">
        <f aca="false" t="array" ref="BV527:BV527">IF(BV526=0,0,IF(BV526/'🎚️ Escenario'!$C$11&gt;=36,$AL$23,INDEX($C$23:$AL$23,MAX(1,ROUNDUP(BV526/'🎚️ Escenario'!$C$11,0)))))</f>
        <v>0</v>
      </c>
      <c r="BW527" s="237" t="n">
        <f aca="false" t="array" ref="BW527:BW527">IF(BW526=0,0,IF(BW526/'🎚️ Escenario'!$C$11&gt;=36,$AL$23,INDEX($C$23:$AL$23,MAX(1,ROUNDUP(BW526/'🎚️ Escenario'!$C$11,0)))))</f>
        <v>0</v>
      </c>
      <c r="BX527" s="237" t="n">
        <f aca="false" t="array" ref="BX527:BX527">IF(BX526=0,0,IF(BX526/'🎚️ Escenario'!$C$11&gt;=36,$AL$23,INDEX($C$23:$AL$23,MAX(1,ROUNDUP(BX526/'🎚️ Escenario'!$C$11,0)))))</f>
        <v>0</v>
      </c>
      <c r="BY527" s="237" t="n">
        <f aca="false" t="array" ref="BY527:BY527">IF(BY526=0,0,IF(BY526/'🎚️ Escenario'!$C$11&gt;=36,$AL$23,INDEX($C$23:$AL$23,MAX(1,ROUNDUP(BY526/'🎚️ Escenario'!$C$11,0)))))</f>
        <v>0</v>
      </c>
      <c r="BZ527" s="237" t="n">
        <f aca="false" t="array" ref="BZ527:BZ527">IF(BZ526=0,0,IF(BZ526/'🎚️ Escenario'!$C$11&gt;=36,$AL$23,INDEX($C$23:$AL$23,MAX(1,ROUNDUP(BZ526/'🎚️ Escenario'!$C$11,0)))))</f>
        <v>0</v>
      </c>
      <c r="CA527" s="237" t="n">
        <f aca="false" t="array" ref="CA527:CA527">IF(CA526=0,0,IF(CA526/'🎚️ Escenario'!$C$11&gt;=36,$AL$23,INDEX($C$23:$AL$23,MAX(1,ROUNDUP(CA526/'🎚️ Escenario'!$C$11,0)))))</f>
        <v>0</v>
      </c>
      <c r="CB527" s="237" t="n">
        <f aca="false" t="array" ref="CB527:CB527">IF(CB526=0,0,IF(CB526/'🎚️ Escenario'!$C$11&gt;=36,$AL$23,INDEX($C$23:$AL$23,MAX(1,ROUNDUP(CB526/'🎚️ Escenario'!$C$11,0)))))</f>
        <v>0</v>
      </c>
      <c r="CC527" s="237" t="n">
        <f aca="false" t="array" ref="CC527:CC527">IF(CC526=0,0,IF(CC526/'🎚️ Escenario'!$C$11&gt;=36,$AL$23,INDEX($C$23:$AL$23,MAX(1,ROUNDUP(CC526/'🎚️ Escenario'!$C$11,0)))))</f>
        <v>0</v>
      </c>
      <c r="CD527" s="237" t="n">
        <f aca="false" t="array" ref="CD527:CD527">IF(CD526=0,0,IF(CD526/'🎚️ Escenario'!$C$11&gt;=36,$AL$23,INDEX($C$23:$AL$23,MAX(1,ROUNDUP(CD526/'🎚️ Escenario'!$C$11,0)))))</f>
        <v>0</v>
      </c>
      <c r="CE527" s="237" t="n">
        <f aca="false" t="array" ref="CE527:CE527">IF(CE526=0,0,IF(CE526/'🎚️ Escenario'!$C$11&gt;=36,$AL$23,INDEX($C$23:$AL$23,MAX(1,ROUNDUP(CE526/'🎚️ Escenario'!$C$11,0)))))</f>
        <v>0</v>
      </c>
      <c r="CF527" s="237" t="n">
        <f aca="false" t="array" ref="CF527:CF527">IF(CF526=0,0,IF(CF526/'🎚️ Escenario'!$C$11&gt;=36,$AL$23,INDEX($C$23:$AL$23,MAX(1,ROUNDUP(CF526/'🎚️ Escenario'!$C$11,0)))))</f>
        <v>0</v>
      </c>
      <c r="CG527" s="237" t="n">
        <f aca="false" t="array" ref="CG527:CG527">IF(CG526=0,0,IF(CG526/'🎚️ Escenario'!$C$11&gt;=36,$AL$23,INDEX($C$23:$AL$23,MAX(1,ROUNDUP(CG526/'🎚️ Escenario'!$C$11,0)))))</f>
        <v>0</v>
      </c>
      <c r="CH527" s="237" t="n">
        <f aca="false" t="array" ref="CH527:CH527">IF(CH526=0,0,IF(CH526/'🎚️ Escenario'!$C$11&gt;=36,$AL$23,INDEX($C$23:$AL$23,MAX(1,ROUNDUP(CH526/'🎚️ Escenario'!$C$11,0)))))</f>
        <v>0</v>
      </c>
      <c r="CI527" s="237" t="n">
        <f aca="false" t="array" ref="CI527:CI527">IF(CI526=0,0,IF(CI526/'🎚️ Escenario'!$C$11&gt;=36,$AL$23,INDEX($C$23:$AL$23,MAX(1,ROUNDUP(CI526/'🎚️ Escenario'!$C$11,0)))))</f>
        <v>0</v>
      </c>
      <c r="CJ527" s="237" t="n">
        <f aca="false" t="array" ref="CJ527:CJ527">IF(CJ526=0,0,IF(CJ526/'🎚️ Escenario'!$C$11&gt;=36,$AL$23,INDEX($C$23:$AL$23,MAX(1,ROUNDUP(CJ526/'🎚️ Escenario'!$C$11,0)))))</f>
        <v>0</v>
      </c>
      <c r="CK527" s="237" t="n">
        <f aca="false" t="array" ref="CK527:CK527">IF(CK526=0,0,IF(CK526/'🎚️ Escenario'!$C$11&gt;=36,$AL$23,INDEX($C$23:$AL$23,MAX(1,ROUNDUP(CK526/'🎚️ Escenario'!$C$11,0)))))</f>
        <v>0</v>
      </c>
      <c r="CL527" s="237" t="n">
        <f aca="false" t="array" ref="CL527:CL527">IF(CL526=0,0,IF(CL526/'🎚️ Escenario'!$C$11&gt;=36,$AL$23,INDEX($C$23:$AL$23,MAX(1,ROUNDUP(CL526/'🎚️ Escenario'!$C$11,0)))))</f>
        <v>0</v>
      </c>
      <c r="CM527" s="237" t="n">
        <f aca="false" t="array" ref="CM527:CM527">IF(CM526=0,0,IF(CM526/'🎚️ Escenario'!$C$11&gt;=36,$AL$23,INDEX($C$23:$AL$23,MAX(1,ROUNDUP(CM526/'🎚️ Escenario'!$C$11,0)))))</f>
        <v>0</v>
      </c>
      <c r="CN527" s="237" t="n">
        <f aca="false" t="array" ref="CN527:CN527">IF(CN526=0,0,IF(CN526/'🎚️ Escenario'!$C$11&gt;=36,$AL$23,INDEX($C$23:$AL$23,MAX(1,ROUNDUP(CN526/'🎚️ Escenario'!$C$11,0)))))</f>
        <v>0</v>
      </c>
      <c r="CO527" s="237" t="n">
        <f aca="false" t="array" ref="CO527:CO527">IF(CO526=0,0,IF(CO526/'🎚️ Escenario'!$C$11&gt;=36,$AL$23,INDEX($C$23:$AL$23,MAX(1,ROUNDUP(CO526/'🎚️ Escenario'!$C$11,0)))))</f>
        <v>0</v>
      </c>
      <c r="CP527" s="237" t="n">
        <f aca="false" t="array" ref="CP527:CP527">IF(CP526=0,0,IF(CP526/'🎚️ Escenario'!$C$11&gt;=36,$AL$23,INDEX($C$23:$AL$23,MAX(1,ROUNDUP(CP526/'🎚️ Escenario'!$C$11,0)))))</f>
        <v>0</v>
      </c>
      <c r="CQ527" s="237" t="n">
        <f aca="false" t="array" ref="CQ527:CQ527">IF(CQ526=0,0,IF(CQ526/'🎚️ Escenario'!$C$11&gt;=36,$AL$23,INDEX($C$23:$AL$23,MAX(1,ROUNDUP(CQ526/'🎚️ Escenario'!$C$11,0)))))</f>
        <v>0</v>
      </c>
      <c r="CR527" s="237" t="n">
        <f aca="false" t="array" ref="CR527:CR527">IF(CR526=0,0,IF(CR526/'🎚️ Escenario'!$C$11&gt;=36,$AL$23,INDEX($C$23:$AL$23,MAX(1,ROUNDUP(CR526/'🎚️ Escenario'!$C$11,0)))))</f>
        <v>0</v>
      </c>
      <c r="CS527" s="237" t="n">
        <f aca="false" t="array" ref="CS527:CS527">IF(CS526=0,0,IF(CS526/'🎚️ Escenario'!$C$11&gt;=36,$AL$23,INDEX($C$23:$AL$23,MAX(1,ROUNDUP(CS526/'🎚️ Escenario'!$C$11,0)))))</f>
        <v>0</v>
      </c>
      <c r="CT527" s="237" t="n">
        <f aca="false" t="array" ref="CT527:CT527">IF(CT526=0,0,IF(CT526/'🎚️ Escenario'!$C$11&gt;=36,$AL$23,INDEX($C$23:$AL$23,MAX(1,ROUNDUP(CT526/'🎚️ Escenario'!$C$11,0)))))</f>
        <v>0</v>
      </c>
      <c r="CU527" s="237" t="n">
        <f aca="false" t="array" ref="CU527:CU527">IF(CU526=0,0,IF(CU526/'🎚️ Escenario'!$C$11&gt;=36,$AL$23,INDEX($C$23:$AL$23,MAX(1,ROUNDUP(CU526/'🎚️ Escenario'!$C$11,0)))))</f>
        <v>0</v>
      </c>
      <c r="CV527" s="237" t="n">
        <f aca="false" t="array" ref="CV527:CV527">IF(CV526=0,0,IF(CV526/'🎚️ Escenario'!$C$11&gt;=36,$AL$23,INDEX($C$23:$AL$23,MAX(1,ROUNDUP(CV526/'🎚️ Escenario'!$C$11,0)))))</f>
        <v>0</v>
      </c>
      <c r="CW527" s="237" t="n">
        <f aca="false" t="array" ref="CW527:CW527">IF(CW526=0,0,IF(CW526/'🎚️ Escenario'!$C$11&gt;=36,$AL$23,INDEX($C$23:$AL$23,MAX(1,ROUNDUP(CW526/'🎚️ Escenario'!$C$11,0)))))</f>
        <v>0</v>
      </c>
      <c r="CX527" s="237" t="n">
        <f aca="false" t="array" ref="CX527:CX527">IF(CX526=0,0,IF(CX526/'🎚️ Escenario'!$C$11&gt;=36,$AL$23,INDEX($C$23:$AL$23,MAX(1,ROUNDUP(CX526/'🎚️ Escenario'!$C$11,0)))))</f>
        <v>0</v>
      </c>
      <c r="CY527" s="237" t="n">
        <f aca="false" t="array" ref="CY527:CY527">IF(CY526=0,0,IF(CY526/'🎚️ Escenario'!$C$11&gt;=36,$AL$23,INDEX($C$23:$AL$23,MAX(1,ROUNDUP(CY526/'🎚️ Escenario'!$C$11,0)))))</f>
        <v>0</v>
      </c>
      <c r="CZ527" s="237" t="n">
        <f aca="false" t="array" ref="CZ527:CZ527">IF(CZ526=0,0,IF(CZ526/'🎚️ Escenario'!$C$11&gt;=36,$AL$23,INDEX($C$23:$AL$23,MAX(1,ROUNDUP(CZ526/'🎚️ Escenario'!$C$11,0)))))</f>
        <v>0</v>
      </c>
      <c r="DA527" s="237" t="n">
        <f aca="false" t="array" ref="DA527:DA527">IF(DA526=0,0,IF(DA526/'🎚️ Escenario'!$C$11&gt;=36,$AL$23,INDEX($C$23:$AL$23,MAX(1,ROUNDUP(DA526/'🎚️ Escenario'!$C$11,0)))))</f>
        <v>0</v>
      </c>
      <c r="DB527" s="237" t="n">
        <f aca="false" t="array" ref="DB527:DB527">IF(DB526=0,0,IF(DB526/'🎚️ Escenario'!$C$11&gt;=36,$AL$23,INDEX($C$23:$AL$23,MAX(1,ROUNDUP(DB526/'🎚️ Escenario'!$C$11,0)))))</f>
        <v>0</v>
      </c>
      <c r="DC527" s="237" t="n">
        <f aca="false" t="array" ref="DC527:DC527">IF(DC526=0,0,IF(DC526/'🎚️ Escenario'!$C$11&gt;=36,$AL$23,INDEX($C$23:$AL$23,MAX(1,ROUNDUP(DC526/'🎚️ Escenario'!$C$11,0)))))</f>
        <v>0</v>
      </c>
      <c r="DD527" s="237" t="n">
        <f aca="false" t="array" ref="DD527:DD527">IF(DD526=0,0,IF(DD526/'🎚️ Escenario'!$C$11&gt;=36,$AL$23,INDEX($C$23:$AL$23,MAX(1,ROUNDUP(DD526/'🎚️ Escenario'!$C$11,0)))))</f>
        <v>0</v>
      </c>
      <c r="DE527" s="237" t="n">
        <f aca="false" t="array" ref="DE527:DE527">IF(DE526=0,0,IF(DE526/'🎚️ Escenario'!$C$11&gt;=36,$AL$23,INDEX($C$23:$AL$23,MAX(1,ROUNDUP(DE526/'🎚️ Escenario'!$C$11,0)))))</f>
        <v>0</v>
      </c>
      <c r="DF527" s="237" t="n">
        <f aca="false" t="array" ref="DF527:DF527">IF(DF526=0,0,IF(DF526/'🎚️ Escenario'!$C$11&gt;=36,$AL$23,INDEX($C$23:$AL$23,MAX(1,ROUNDUP(DF526/'🎚️ Escenario'!$C$11,0)))))</f>
        <v>0</v>
      </c>
      <c r="DG527" s="237" t="n">
        <f aca="false" t="array" ref="DG527:DG527">IF(DG526=0,0,IF(DG526/'🎚️ Escenario'!$C$11&gt;=36,$AL$23,INDEX($C$23:$AL$23,MAX(1,ROUNDUP(DG526/'🎚️ Escenario'!$C$11,0)))))</f>
        <v>0</v>
      </c>
      <c r="DH527" s="237" t="n">
        <f aca="false" t="array" ref="DH527:DH527">IF(DH526=0,0,IF(DH526/'🎚️ Escenario'!$C$11&gt;=36,$AL$23,INDEX($C$23:$AL$23,MAX(1,ROUNDUP(DH526/'🎚️ Escenario'!$C$11,0)))))</f>
        <v>0</v>
      </c>
      <c r="DI527" s="237" t="n">
        <f aca="false" t="array" ref="DI527:DI527">IF(DI526=0,0,IF(DI526/'🎚️ Escenario'!$C$11&gt;=36,$AL$23,INDEX($C$23:$AL$23,MAX(1,ROUNDUP(DI526/'🎚️ Escenario'!$C$11,0)))))</f>
        <v>0</v>
      </c>
      <c r="DJ527" s="237" t="n">
        <f aca="false" t="array" ref="DJ527:DJ527">IF(DJ526=0,0,IF(DJ526/'🎚️ Escenario'!$C$11&gt;=36,$AL$23,INDEX($C$23:$AL$23,MAX(1,ROUNDUP(DJ526/'🎚️ Escenario'!$C$11,0)))))</f>
        <v>0</v>
      </c>
      <c r="DK527" s="237" t="n">
        <f aca="false" t="array" ref="DK527:DK527">IF(DK526=0,0,IF(DK526/'🎚️ Escenario'!$C$11&gt;=36,$AL$23,INDEX($C$23:$AL$23,MAX(1,ROUNDUP(DK526/'🎚️ Escenario'!$C$11,0)))))</f>
        <v>0</v>
      </c>
      <c r="DL527" s="237" t="n">
        <f aca="false" t="array" ref="DL527:DL527">IF(DL526=0,0,IF(DL526/'🎚️ Escenario'!$C$11&gt;=36,$AL$23,INDEX($C$23:$AL$23,MAX(1,ROUNDUP(DL526/'🎚️ Escenario'!$C$11,0)))))</f>
        <v>0</v>
      </c>
      <c r="DM527" s="237" t="n">
        <f aca="false" t="array" ref="DM527:DM527">IF(DM526=0,0,IF(DM526/'🎚️ Escenario'!$C$11&gt;=36,$AL$23,INDEX($C$23:$AL$23,MAX(1,ROUNDUP(DM526/'🎚️ Escenario'!$C$11,0)))))</f>
        <v>0</v>
      </c>
      <c r="DN527" s="237" t="n">
        <f aca="false" t="array" ref="DN527:DN527">IF(DN526=0,0,IF(DN526/'🎚️ Escenario'!$C$11&gt;=36,$AL$23,INDEX($C$23:$AL$23,MAX(1,ROUNDUP(DN526/'🎚️ Escenario'!$C$11,0)))))</f>
        <v>0</v>
      </c>
      <c r="DO527" s="237" t="n">
        <f aca="false" t="array" ref="DO527:DO527">IF(DO526=0,0,IF(DO526/'🎚️ Escenario'!$C$11&gt;=36,$AL$23,INDEX($C$23:$AL$23,MAX(1,ROUNDUP(DO526/'🎚️ Escenario'!$C$11,0)))))</f>
        <v>0</v>
      </c>
      <c r="DP527" s="237" t="n">
        <f aca="false" t="array" ref="DP527:DP527">IF(DP526=0,0,IF(DP526/'🎚️ Escenario'!$C$11&gt;=36,$AL$23,INDEX($C$23:$AL$23,MAX(1,ROUNDUP(DP526/'🎚️ Escenario'!$C$11,0)))))</f>
        <v>0</v>
      </c>
      <c r="DQ527" s="237" t="n">
        <f aca="false" t="array" ref="DQ527:DQ527">IF(DQ526=0,0,IF(DQ526/'🎚️ Escenario'!$C$11&gt;=36,$AL$23,INDEX($C$23:$AL$23,MAX(1,ROUNDUP(DQ526/'🎚️ Escenario'!$C$11,0)))))</f>
        <v>0</v>
      </c>
      <c r="DR527" s="237" t="n">
        <f aca="false" t="array" ref="DR527:DR527">IF(DR526=0,0,IF(DR526/'🎚️ Escenario'!$C$11&gt;=36,$AL$23,INDEX($C$23:$AL$23,MAX(1,ROUNDUP(DR526/'🎚️ Escenario'!$C$11,0)))))</f>
        <v>0</v>
      </c>
      <c r="DS527" s="237" t="n">
        <f aca="false" t="array" ref="DS527:DS527">IF(DS526=0,0,IF(DS526/'🎚️ Escenario'!$C$11&gt;=36,$AL$23,INDEX($C$23:$AL$23,MAX(1,ROUNDUP(DS526/'🎚️ Escenario'!$C$11,0)))))</f>
        <v>0</v>
      </c>
      <c r="DT527" s="237" t="n">
        <f aca="false" t="array" ref="DT527:DT527">IF(DT526=0,0,IF(DT526/'🎚️ Escenario'!$C$11&gt;=36,$AL$23,INDEX($C$23:$AL$23,MAX(1,ROUNDUP(DT526/'🎚️ Escenario'!$C$11,0)))))</f>
        <v>0</v>
      </c>
      <c r="DU527" s="237" t="n">
        <f aca="false" t="array" ref="DU527:DU527">IF(DU526=0,0,IF(DU526/'🎚️ Escenario'!$C$11&gt;=36,$AL$23,INDEX($C$23:$AL$23,MAX(1,ROUNDUP(DU526/'🎚️ Escenario'!$C$11,0)))))</f>
        <v>0</v>
      </c>
      <c r="DV527" s="237" t="n">
        <f aca="false" t="array" ref="DV527:DV527">IF(DV526=0,0,IF(DV526/'🎚️ Escenario'!$C$11&gt;=36,$AL$23,INDEX($C$23:$AL$23,MAX(1,ROUNDUP(DV526/'🎚️ Escenario'!$C$11,0)))))</f>
        <v>0</v>
      </c>
      <c r="DW527" s="237" t="n">
        <f aca="false" t="array" ref="DW527:DW527">IF(DW526=0,0,IF(DW526/'🎚️ Escenario'!$C$11&gt;=36,$AL$23,INDEX($C$23:$AL$23,MAX(1,ROUNDUP(DW526/'🎚️ Escenario'!$C$11,0)))))</f>
        <v>0</v>
      </c>
      <c r="DX527" s="237" t="n">
        <f aca="false" t="array" ref="DX527:DX527">IF(DX526=0,0,IF(DX526/'🎚️ Escenario'!$C$11&gt;=36,$AL$23,INDEX($C$23:$AL$23,MAX(1,ROUNDUP(DX526/'🎚️ Escenario'!$C$11,0)))))</f>
        <v>0</v>
      </c>
      <c r="DY527" s="237" t="n">
        <f aca="false" t="array" ref="DY527:DY527">IF(DY526=0,0,IF(DY526/'🎚️ Escenario'!$C$11&gt;=36,$AL$23,INDEX($C$23:$AL$23,MAX(1,ROUNDUP(DY526/'🎚️ Escenario'!$C$11,0)))))</f>
        <v>0</v>
      </c>
      <c r="DZ527" s="237" t="n">
        <f aca="false" t="array" ref="DZ527:DZ527">IF(DZ526=0,0,IF(DZ526/'🎚️ Escenario'!$C$11&gt;=36,$AL$23,INDEX($C$23:$AL$23,MAX(1,ROUNDUP(DZ526/'🎚️ Escenario'!$C$11,0)))))</f>
        <v>0</v>
      </c>
      <c r="EA527" s="237" t="n">
        <f aca="false" t="array" ref="EA527:EA527">IF(EA526=0,0,IF(EA526/'🎚️ Escenario'!$C$11&gt;=36,$AL$23,INDEX($C$23:$AL$23,MAX(1,ROUNDUP(EA526/'🎚️ Escenario'!$C$11,0)))))</f>
        <v>0</v>
      </c>
      <c r="EB527" s="237" t="n">
        <f aca="false" t="array" ref="EB527:EB527">IF(EB526=0,0,IF(EB526/'🎚️ Escenario'!$C$11&gt;=36,$AL$23,INDEX($C$23:$AL$23,MAX(1,ROUNDUP(EB526/'🎚️ Escenario'!$C$11,0)))))</f>
        <v>0</v>
      </c>
      <c r="EC527" s="237" t="n">
        <f aca="false" t="array" ref="EC527:EC527">IF(EC526=0,0,IF(EC526/'🎚️ Escenario'!$C$11&gt;=36,$AL$23,INDEX($C$23:$AL$23,MAX(1,ROUNDUP(EC526/'🎚️ Escenario'!$C$11,0)))))</f>
        <v>0</v>
      </c>
      <c r="ED527" s="237" t="n">
        <f aca="false" t="array" ref="ED527:ED527">IF(ED526=0,0,IF(ED526/'🎚️ Escenario'!$C$11&gt;=36,$AL$23,INDEX($C$23:$AL$23,MAX(1,ROUNDUP(ED526/'🎚️ Escenario'!$C$11,0)))))</f>
        <v>0</v>
      </c>
      <c r="EE527" s="237" t="n">
        <f aca="false" t="array" ref="EE527:EE527">IF(EE526=0,0,IF(EE526/'🎚️ Escenario'!$C$11&gt;=36,$AL$23,INDEX($C$23:$AL$23,MAX(1,ROUNDUP(EE526/'🎚️ Escenario'!$C$11,0)))))</f>
        <v>0</v>
      </c>
      <c r="EF527" s="237" t="n">
        <f aca="false" t="array" ref="EF527:EF527">IF(EF526=0,0,IF(EF526/'🎚️ Escenario'!$C$11&gt;=36,$AL$23,INDEX($C$23:$AL$23,MAX(1,ROUNDUP(EF526/'🎚️ Escenario'!$C$11,0)))))</f>
        <v>0</v>
      </c>
      <c r="EG527" s="237" t="n">
        <f aca="false" t="array" ref="EG527:EG527">IF(EG526=0,0,IF(EG526/'🎚️ Escenario'!$C$11&gt;=36,$AL$23,INDEX($C$23:$AL$23,MAX(1,ROUNDUP(EG526/'🎚️ Escenario'!$C$11,0)))))</f>
        <v>0</v>
      </c>
      <c r="EH527" s="237" t="n">
        <f aca="false" t="array" ref="EH527:EH527">IF(EH526=0,0,IF(EH526/'🎚️ Escenario'!$C$11&gt;=36,$AL$23,INDEX($C$23:$AL$23,MAX(1,ROUNDUP(EH526/'🎚️ Escenario'!$C$11,0)))))</f>
        <v>0</v>
      </c>
      <c r="EI527" s="237" t="n">
        <f aca="false" t="array" ref="EI527:EI527">IF(EI526=0,0,IF(EI526/'🎚️ Escenario'!$C$11&gt;=36,$AL$23,INDEX($C$23:$AL$23,MAX(1,ROUNDUP(EI526/'🎚️ Escenario'!$C$11,0)))))</f>
        <v>0</v>
      </c>
      <c r="EJ527" s="237" t="n">
        <f aca="false" t="array" ref="EJ527:EJ527">IF(EJ526=0,0,IF(EJ526/'🎚️ Escenario'!$C$11&gt;=36,$AL$23,INDEX($C$23:$AL$23,MAX(1,ROUNDUP(EJ526/'🎚️ Escenario'!$C$11,0)))))</f>
        <v>0.2</v>
      </c>
      <c r="EK527" s="237" t="n">
        <f aca="false" t="array" ref="EK527:EK527">IF(EK526=0,0,IF(EK526/'🎚️ Escenario'!$C$11&gt;=36,$AL$23,INDEX($C$23:$AL$23,MAX(1,ROUNDUP(EK526/'🎚️ Escenario'!$C$11,0)))))</f>
        <v>0.22</v>
      </c>
      <c r="EL527" s="237" t="n">
        <f aca="false" t="array" ref="EL527:EL527">IF(EL526=0,0,IF(EL526/'🎚️ Escenario'!$C$11&gt;=36,$AL$23,INDEX($C$23:$AL$23,MAX(1,ROUNDUP(EL526/'🎚️ Escenario'!$C$11,0)))))</f>
        <v>0.24</v>
      </c>
      <c r="EM527" s="237" t="n">
        <f aca="false" t="array" ref="EM527:EM527">IF(EM526=0,0,IF(EM526/'🎚️ Escenario'!$C$11&gt;=36,$AL$23,INDEX($C$23:$AL$23,MAX(1,ROUNDUP(EM526/'🎚️ Escenario'!$C$11,0)))))</f>
        <v>0.27</v>
      </c>
      <c r="EN527" s="237" t="n">
        <f aca="false" t="array" ref="EN527:EN527">IF(EN526=0,0,IF(EN526/'🎚️ Escenario'!$C$11&gt;=36,$AL$23,INDEX($C$23:$AL$23,MAX(1,ROUNDUP(EN526/'🎚️ Escenario'!$C$11,0)))))</f>
        <v>0.27</v>
      </c>
      <c r="EO527" s="237" t="n">
        <f aca="false" t="array" ref="EO527:EO527">IF(EO526=0,0,IF(EO526/'🎚️ Escenario'!$C$11&gt;=36,$AL$23,INDEX($C$23:$AL$23,MAX(1,ROUNDUP(EO526/'🎚️ Escenario'!$C$11,0)))))</f>
        <v>0.31</v>
      </c>
      <c r="EP527" s="237" t="n">
        <f aca="false" t="array" ref="EP527:EP527">IF(EP526=0,0,IF(EP526/'🎚️ Escenario'!$C$11&gt;=36,$AL$23,INDEX($C$23:$AL$23,MAX(1,ROUNDUP(EP526/'🎚️ Escenario'!$C$11,0)))))</f>
        <v>0.35</v>
      </c>
      <c r="EQ527" s="237" t="n">
        <f aca="false" t="array" ref="EQ527:EQ527">IF(EQ526=0,0,IF(EQ526/'🎚️ Escenario'!$C$11&gt;=36,$AL$23,INDEX($C$23:$AL$23,MAX(1,ROUNDUP(EQ526/'🎚️ Escenario'!$C$11,0)))))</f>
        <v>0.39</v>
      </c>
      <c r="ER527" s="237" t="n">
        <f aca="false" t="array" ref="ER527:ER527">IF(ER526=0,0,IF(ER526/'🎚️ Escenario'!$C$11&gt;=36,$AL$23,INDEX($C$23:$AL$23,MAX(1,ROUNDUP(ER526/'🎚️ Escenario'!$C$11,0)))))</f>
        <v>0.44</v>
      </c>
      <c r="ES527" s="9" t="n">
        <f aca="false" t="array" ref="ES527:ES527">IF(ES526=0,0,IF(ES526/'🎚️ Escenario'!$C$11&gt;=36,$AL$23,INDEX($C$23:$AL$23,MAX(1,ROUNDUP(ES526/'🎚️ Escenario'!$C$11,0)))))</f>
        <v>0.44</v>
      </c>
      <c r="ET527" s="9" t="n">
        <f aca="false" t="array" ref="ET527:ET527">IF(ET526=0,0,IF(ET526/'🎚️ Escenario'!$C$11&gt;=36,$AL$23,INDEX($C$23:$AL$23,MAX(1,ROUNDUP(ET526/'🎚️ Escenario'!$C$11,0)))))</f>
        <v>0.48</v>
      </c>
      <c r="EU527" s="9" t="n">
        <f aca="false" t="array" ref="EU527:EU527">IF(EU526=0,0,IF(EU526/'🎚️ Escenario'!$C$11&gt;=36,$AL$23,INDEX($C$23:$AL$23,MAX(1,ROUNDUP(EU526/'🎚️ Escenario'!$C$11,0)))))</f>
        <v>0.52</v>
      </c>
      <c r="EV527" s="9" t="n">
        <f aca="false" t="array" ref="EV527:EV527">IF(EV526=0,0,IF(EV526/'🎚️ Escenario'!$C$11&gt;=36,$AL$23,INDEX($C$23:$AL$23,MAX(1,ROUNDUP(EV526/'🎚️ Escenario'!$C$11,0)))))</f>
        <v>0.56</v>
      </c>
      <c r="EW527" s="9" t="n">
        <f aca="false" t="array" ref="EW527:EW527">IF(EW526=0,0,IF(EW526/'🎚️ Escenario'!$C$11&gt;=36,$AL$23,INDEX($C$23:$AL$23,MAX(1,ROUNDUP(EW526/'🎚️ Escenario'!$C$11,0)))))</f>
        <v>0.6</v>
      </c>
      <c r="EX527" s="9" t="n">
        <f aca="false" t="array" ref="EX527:EX527">IF(EX526=0,0,IF(EX526/'🎚️ Escenario'!$C$11&gt;=36,$AL$23,INDEX($C$23:$AL$23,MAX(1,ROUNDUP(EX526/'🎚️ Escenario'!$C$11,0)))))</f>
        <v>0.6</v>
      </c>
      <c r="EY527" s="9" t="n">
        <f aca="false" t="array" ref="EY527:EY527">IF(EY526=0,0,IF(EY526/'🎚️ Escenario'!$C$11&gt;=36,$AL$23,INDEX($C$23:$AL$23,MAX(1,ROUNDUP(EY526/'🎚️ Escenario'!$C$11,0)))))</f>
        <v>0.63</v>
      </c>
      <c r="EZ527" s="9" t="n">
        <f aca="false" t="array" ref="EZ527:EZ527">IF(EZ526=0,0,IF(EZ526/'🎚️ Escenario'!$C$11&gt;=36,$AL$23,INDEX($C$23:$AL$23,MAX(1,ROUNDUP(EZ526/'🎚️ Escenario'!$C$11,0)))))</f>
        <v>0.66</v>
      </c>
      <c r="FA527" s="9" t="n">
        <f aca="false" t="array" ref="FA527:FA527">IF(FA526=0,0,IF(FA526/'🎚️ Escenario'!$C$11&gt;=36,$AL$23,INDEX($C$23:$AL$23,MAX(1,ROUNDUP(FA526/'🎚️ Escenario'!$C$11,0)))))</f>
        <v>0.69</v>
      </c>
      <c r="FB527" s="9" t="n">
        <f aca="false" t="array" ref="FB527:FB527">IF(FB526=0,0,IF(FB526/'🎚️ Escenario'!$C$11&gt;=36,$AL$23,INDEX($C$23:$AL$23,MAX(1,ROUNDUP(FB526/'🎚️ Escenario'!$C$11,0)))))</f>
        <v>0.71</v>
      </c>
      <c r="FC527" s="9" t="n">
        <f aca="false" t="array" ref="FC527:FC527">IF(FC526=0,0,IF(FC526/'🎚️ Escenario'!$C$11&gt;=36,$AL$23,INDEX($C$23:$AL$23,MAX(1,ROUNDUP(FC526/'🎚️ Escenario'!$C$11,0)))))</f>
        <v>0.71</v>
      </c>
      <c r="FD527" s="9" t="n">
        <f aca="false" t="array" ref="FD527:FD527">IF(FD526=0,0,IF(FD526/'🎚️ Escenario'!$C$11&gt;=36,$AL$23,INDEX($C$23:$AL$23,MAX(1,ROUNDUP(FD526/'🎚️ Escenario'!$C$11,0)))))</f>
        <v>0.73</v>
      </c>
      <c r="FE527" s="9" t="n">
        <f aca="false" t="array" ref="FE527:FE527">IF(FE526=0,0,IF(FE526/'🎚️ Escenario'!$C$11&gt;=36,$AL$23,INDEX($C$23:$AL$23,MAX(1,ROUNDUP(FE526/'🎚️ Escenario'!$C$11,0)))))</f>
        <v>0.75</v>
      </c>
      <c r="FF527" s="9" t="n">
        <f aca="false" t="array" ref="FF527:FF527">IF(FF526=0,0,IF(FF526/'🎚️ Escenario'!$C$11&gt;=36,$AL$23,INDEX($C$23:$AL$23,MAX(1,ROUNDUP(FF526/'🎚️ Escenario'!$C$11,0)))))</f>
        <v>0.77</v>
      </c>
      <c r="FG527" s="9" t="n">
        <f aca="false" t="array" ref="FG527:FG527">IF(FG526=0,0,IF(FG526/'🎚️ Escenario'!$C$11&gt;=36,$AL$23,INDEX($C$23:$AL$23,MAX(1,ROUNDUP(FG526/'🎚️ Escenario'!$C$11,0)))))</f>
        <v>0.79</v>
      </c>
      <c r="FH527" s="9" t="n">
        <f aca="false" t="array" ref="FH527:FH527">IF(FH526=0,0,IF(FH526/'🎚️ Escenario'!$C$11&gt;=36,$AL$23,INDEX($C$23:$AL$23,MAX(1,ROUNDUP(FH526/'🎚️ Escenario'!$C$11,0)))))</f>
        <v>0.79</v>
      </c>
      <c r="FI527" s="9" t="n">
        <f aca="false" t="array" ref="FI527:FI527">IF(FI526=0,0,IF(FI526/'🎚️ Escenario'!$C$11&gt;=36,$AL$23,INDEX($C$23:$AL$23,MAX(1,ROUNDUP(FI526/'🎚️ Escenario'!$C$11,0)))))</f>
        <v>0.8</v>
      </c>
      <c r="FJ527" s="9" t="n">
        <f aca="false" t="array" ref="FJ527:FJ527">IF(FJ526=0,0,IF(FJ526/'🎚️ Escenario'!$C$11&gt;=36,$AL$23,INDEX($C$23:$AL$23,MAX(1,ROUNDUP(FJ526/'🎚️ Escenario'!$C$11,0)))))</f>
        <v>0.82</v>
      </c>
      <c r="FK527" s="9" t="n">
        <f aca="false" t="array" ref="FK527:FK527">IF(FK526=0,0,IF(FK526/'🎚️ Escenario'!$C$11&gt;=36,$AL$23,INDEX($C$23:$AL$23,MAX(1,ROUNDUP(FK526/'🎚️ Escenario'!$C$11,0)))))</f>
        <v>0.84</v>
      </c>
      <c r="FL527" s="9" t="n">
        <f aca="false" t="array" ref="FL527:FL527">IF(FL526=0,0,IF(FL526/'🎚️ Escenario'!$C$11&gt;=36,$AL$23,INDEX($C$23:$AL$23,MAX(1,ROUNDUP(FL526/'🎚️ Escenario'!$C$11,0)))))</f>
        <v>0.85</v>
      </c>
      <c r="FM527" s="9" t="n">
        <f aca="false" t="array" ref="FM527:FM527">IF(FM526=0,0,IF(FM526/'🎚️ Escenario'!$C$11&gt;=36,$AL$23,INDEX($C$23:$AL$23,MAX(1,ROUNDUP(FM526/'🎚️ Escenario'!$C$11,0)))))</f>
        <v>0.85</v>
      </c>
      <c r="FN527" s="9" t="n">
        <f aca="false" t="array" ref="FN527:FN527">IF(FN526=0,0,IF(FN526/'🎚️ Escenario'!$C$11&gt;=36,$AL$23,INDEX($C$23:$AL$23,MAX(1,ROUNDUP(FN526/'🎚️ Escenario'!$C$11,0)))))</f>
        <v>0.86</v>
      </c>
      <c r="FO527" s="9" t="n">
        <f aca="false" t="array" ref="FO527:FO527">IF(FO526=0,0,IF(FO526/'🎚️ Escenario'!$C$11&gt;=36,$AL$23,INDEX($C$23:$AL$23,MAX(1,ROUNDUP(FO526/'🎚️ Escenario'!$C$11,0)))))</f>
        <v>0.88</v>
      </c>
      <c r="FP527" s="9" t="n">
        <f aca="false" t="array" ref="FP527:FP527">IF(FP526=0,0,IF(FP526/'🎚️ Escenario'!$C$11&gt;=36,$AL$23,INDEX($C$23:$AL$23,MAX(1,ROUNDUP(FP526/'🎚️ Escenario'!$C$11,0)))))</f>
        <v>0.89</v>
      </c>
    </row>
    <row r="528" customFormat="false" ht="15" hidden="false" customHeight="false" outlineLevel="2" collapsed="false">
      <c r="B528" s="47" t="s">
        <v>875</v>
      </c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237" t="n">
        <f aca="false">IF(AC526=0,0,IF(AC526&lt;=12*'🎚️ Escenario'!$C$11,1,1+$C$6))</f>
        <v>0</v>
      </c>
      <c r="AD528" s="237" t="n">
        <f aca="false">IF(AD526=0,0,IF(AD526&lt;=12*'🎚️ Escenario'!$C$11,1,1+$C$6))</f>
        <v>0</v>
      </c>
      <c r="AE528" s="237" t="n">
        <f aca="false">IF(AE526=0,0,IF(AE526&lt;=12*'🎚️ Escenario'!$C$11,1,1+$C$6))</f>
        <v>0</v>
      </c>
      <c r="AF528" s="237" t="n">
        <f aca="false">IF(AF526=0,0,IF(AF526&lt;=12*'🎚️ Escenario'!$C$11,1,1+$C$6))</f>
        <v>0</v>
      </c>
      <c r="AG528" s="237" t="n">
        <f aca="false">IF(AG526=0,0,IF(AG526&lt;=12*'🎚️ Escenario'!$C$11,1,1+$C$6))</f>
        <v>0</v>
      </c>
      <c r="AH528" s="237" t="n">
        <f aca="false">IF(AH526=0,0,IF(AH526&lt;=12*'🎚️ Escenario'!$C$11,1,1+$C$6))</f>
        <v>0</v>
      </c>
      <c r="AI528" s="237" t="n">
        <f aca="false">IF(AI526=0,0,IF(AI526&lt;=12*'🎚️ Escenario'!$C$11,1,1+$C$6))</f>
        <v>0</v>
      </c>
      <c r="AJ528" s="237" t="n">
        <f aca="false">IF(AJ526=0,0,IF(AJ526&lt;=12*'🎚️ Escenario'!$C$11,1,1+$C$6))</f>
        <v>0</v>
      </c>
      <c r="AK528" s="237" t="n">
        <f aca="false">IF(AK526=0,0,IF(AK526&lt;=12*'🎚️ Escenario'!$C$11,1,1+$C$6))</f>
        <v>0</v>
      </c>
      <c r="AL528" s="237" t="n">
        <f aca="false">IF(AL526=0,0,IF(AL526&lt;=12*'🎚️ Escenario'!$C$11,1,1+$C$6))</f>
        <v>0</v>
      </c>
      <c r="AM528" s="237" t="n">
        <f aca="false">IF(AM526=0,0,IF(AM526&lt;=12*'🎚️ Escenario'!$C$11,1,1+$C$6))</f>
        <v>0</v>
      </c>
      <c r="AN528" s="237" t="n">
        <f aca="false">IF(AN526=0,0,IF(AN526&lt;=12*'🎚️ Escenario'!$C$11,1,1+$C$6))</f>
        <v>0</v>
      </c>
      <c r="AO528" s="237" t="n">
        <f aca="false">IF(AO526=0,0,IF(AO526&lt;=12*'🎚️ Escenario'!$C$11,1,1+$C$6))</f>
        <v>0</v>
      </c>
      <c r="AP528" s="237" t="n">
        <f aca="false">IF(AP526=0,0,IF(AP526&lt;=12*'🎚️ Escenario'!$C$11,1,1+$C$6))</f>
        <v>0</v>
      </c>
      <c r="AQ528" s="237" t="n">
        <f aca="false">IF(AQ526=0,0,IF(AQ526&lt;=12*'🎚️ Escenario'!$C$11,1,1+$C$6))</f>
        <v>0</v>
      </c>
      <c r="AR528" s="237" t="n">
        <f aca="false">IF(AR526=0,0,IF(AR526&lt;=12*'🎚️ Escenario'!$C$11,1,1+$C$6))</f>
        <v>0</v>
      </c>
      <c r="AS528" s="237" t="n">
        <f aca="false">IF(AS526=0,0,IF(AS526&lt;=12*'🎚️ Escenario'!$C$11,1,1+$C$6))</f>
        <v>0</v>
      </c>
      <c r="AT528" s="237" t="n">
        <f aca="false">IF(AT526=0,0,IF(AT526&lt;=12*'🎚️ Escenario'!$C$11,1,1+$C$6))</f>
        <v>0</v>
      </c>
      <c r="AU528" s="237" t="n">
        <f aca="false">IF(AU526=0,0,IF(AU526&lt;=12*'🎚️ Escenario'!$C$11,1,1+$C$6))</f>
        <v>0</v>
      </c>
      <c r="AV528" s="237" t="n">
        <f aca="false">IF(AV526=0,0,IF(AV526&lt;=12*'🎚️ Escenario'!$C$11,1,1+$C$6))</f>
        <v>0</v>
      </c>
      <c r="AW528" s="237" t="n">
        <f aca="false">IF(AW526=0,0,IF(AW526&lt;=12*'🎚️ Escenario'!$C$11,1,1+$C$6))</f>
        <v>0</v>
      </c>
      <c r="AX528" s="237" t="n">
        <f aca="false">IF(AX526=0,0,IF(AX526&lt;=12*'🎚️ Escenario'!$C$11,1,1+$C$6))</f>
        <v>0</v>
      </c>
      <c r="AY528" s="237" t="n">
        <f aca="false">IF(AY526=0,0,IF(AY526&lt;=12*'🎚️ Escenario'!$C$11,1,1+$C$6))</f>
        <v>0</v>
      </c>
      <c r="AZ528" s="237" t="n">
        <f aca="false">IF(AZ526=0,0,IF(AZ526&lt;=12*'🎚️ Escenario'!$C$11,1,1+$C$6))</f>
        <v>0</v>
      </c>
      <c r="BA528" s="237" t="n">
        <f aca="false">IF(BA526=0,0,IF(BA526&lt;=12*'🎚️ Escenario'!$C$11,1,1+$C$6))</f>
        <v>0</v>
      </c>
      <c r="BB528" s="237" t="n">
        <f aca="false">IF(BB526=0,0,IF(BB526&lt;=12*'🎚️ Escenario'!$C$11,1,1+$C$6))</f>
        <v>0</v>
      </c>
      <c r="BC528" s="237" t="n">
        <f aca="false">IF(BC526=0,0,IF(BC526&lt;=12*'🎚️ Escenario'!$C$11,1,1+$C$6))</f>
        <v>0</v>
      </c>
      <c r="BD528" s="237" t="n">
        <f aca="false">IF(BD526=0,0,IF(BD526&lt;=12*'🎚️ Escenario'!$C$11,1,1+$C$6))</f>
        <v>0</v>
      </c>
      <c r="BE528" s="237" t="n">
        <f aca="false">IF(BE526=0,0,IF(BE526&lt;=12*'🎚️ Escenario'!$C$11,1,1+$C$6))</f>
        <v>0</v>
      </c>
      <c r="BF528" s="237" t="n">
        <f aca="false">IF(BF526=0,0,IF(BF526&lt;=12*'🎚️ Escenario'!$C$11,1,1+$C$6))</f>
        <v>0</v>
      </c>
      <c r="BG528" s="237" t="n">
        <f aca="false">IF(BG526=0,0,IF(BG526&lt;=12*'🎚️ Escenario'!$C$11,1,1+$C$6))</f>
        <v>0</v>
      </c>
      <c r="BH528" s="237" t="n">
        <f aca="false">IF(BH526=0,0,IF(BH526&lt;=12*'🎚️ Escenario'!$C$11,1,1+$C$6))</f>
        <v>0</v>
      </c>
      <c r="BI528" s="237" t="n">
        <f aca="false">IF(BI526=0,0,IF(BI526&lt;=12*'🎚️ Escenario'!$C$11,1,1+$C$6))</f>
        <v>0</v>
      </c>
      <c r="BJ528" s="237" t="n">
        <f aca="false">IF(BJ526=0,0,IF(BJ526&lt;=12*'🎚️ Escenario'!$C$11,1,1+$C$6))</f>
        <v>0</v>
      </c>
      <c r="BK528" s="237" t="n">
        <f aca="false">IF(BK526=0,0,IF(BK526&lt;=12*'🎚️ Escenario'!$C$11,1,1+$C$6))</f>
        <v>0</v>
      </c>
      <c r="BL528" s="237" t="n">
        <f aca="false">IF(BL526=0,0,IF(BL526&lt;=12*'🎚️ Escenario'!$C$11,1,1+$C$6))</f>
        <v>0</v>
      </c>
      <c r="BM528" s="237" t="n">
        <f aca="false">IF(BM526=0,0,IF(BM526&lt;=12*'🎚️ Escenario'!$C$11,1,1+$C$6))</f>
        <v>0</v>
      </c>
      <c r="BN528" s="237" t="n">
        <f aca="false">IF(BN526=0,0,IF(BN526&lt;=12*'🎚️ Escenario'!$C$11,1,1+$C$6))</f>
        <v>0</v>
      </c>
      <c r="BO528" s="237" t="n">
        <f aca="false">IF(BO526=0,0,IF(BO526&lt;=12*'🎚️ Escenario'!$C$11,1,1+$C$6))</f>
        <v>0</v>
      </c>
      <c r="BP528" s="237" t="n">
        <f aca="false">IF(BP526=0,0,IF(BP526&lt;=12*'🎚️ Escenario'!$C$11,1,1+$C$6))</f>
        <v>0</v>
      </c>
      <c r="BQ528" s="237" t="n">
        <f aca="false">IF(BQ526=0,0,IF(BQ526&lt;=12*'🎚️ Escenario'!$C$11,1,1+$C$6))</f>
        <v>0</v>
      </c>
      <c r="BR528" s="237" t="n">
        <f aca="false">IF(BR526=0,0,IF(BR526&lt;=12*'🎚️ Escenario'!$C$11,1,1+$C$6))</f>
        <v>0</v>
      </c>
      <c r="BS528" s="237" t="n">
        <f aca="false">IF(BS526=0,0,IF(BS526&lt;=12*'🎚️ Escenario'!$C$11,1,1+$C$6))</f>
        <v>0</v>
      </c>
      <c r="BT528" s="237" t="n">
        <f aca="false">IF(BT526=0,0,IF(BT526&lt;=12*'🎚️ Escenario'!$C$11,1,1+$C$6))</f>
        <v>0</v>
      </c>
      <c r="BU528" s="237" t="n">
        <f aca="false">IF(BU526=0,0,IF(BU526&lt;=12*'🎚️ Escenario'!$C$11,1,1+$C$6))</f>
        <v>0</v>
      </c>
      <c r="BV528" s="237" t="n">
        <f aca="false">IF(BV526=0,0,IF(BV526&lt;=12*'🎚️ Escenario'!$C$11,1,1+$C$6))</f>
        <v>0</v>
      </c>
      <c r="BW528" s="237" t="n">
        <f aca="false">IF(BW526=0,0,IF(BW526&lt;=12*'🎚️ Escenario'!$C$11,1,1+$C$6))</f>
        <v>0</v>
      </c>
      <c r="BX528" s="237" t="n">
        <f aca="false">IF(BX526=0,0,IF(BX526&lt;=12*'🎚️ Escenario'!$C$11,1,1+$C$6))</f>
        <v>0</v>
      </c>
      <c r="BY528" s="237" t="n">
        <f aca="false">IF(BY526=0,0,IF(BY526&lt;=12*'🎚️ Escenario'!$C$11,1,1+$C$6))</f>
        <v>0</v>
      </c>
      <c r="BZ528" s="237" t="n">
        <f aca="false">IF(BZ526=0,0,IF(BZ526&lt;=12*'🎚️ Escenario'!$C$11,1,1+$C$6))</f>
        <v>0</v>
      </c>
      <c r="CA528" s="237" t="n">
        <f aca="false">IF(CA526=0,0,IF(CA526&lt;=12*'🎚️ Escenario'!$C$11,1,1+$C$6))</f>
        <v>0</v>
      </c>
      <c r="CB528" s="237" t="n">
        <f aca="false">IF(CB526=0,0,IF(CB526&lt;=12*'🎚️ Escenario'!$C$11,1,1+$C$6))</f>
        <v>0</v>
      </c>
      <c r="CC528" s="237" t="n">
        <f aca="false">IF(CC526=0,0,IF(CC526&lt;=12*'🎚️ Escenario'!$C$11,1,1+$C$6))</f>
        <v>0</v>
      </c>
      <c r="CD528" s="237" t="n">
        <f aca="false">IF(CD526=0,0,IF(CD526&lt;=12*'🎚️ Escenario'!$C$11,1,1+$C$6))</f>
        <v>0</v>
      </c>
      <c r="CE528" s="237" t="n">
        <f aca="false">IF(CE526=0,0,IF(CE526&lt;=12*'🎚️ Escenario'!$C$11,1,1+$C$6))</f>
        <v>0</v>
      </c>
      <c r="CF528" s="237" t="n">
        <f aca="false">IF(CF526=0,0,IF(CF526&lt;=12*'🎚️ Escenario'!$C$11,1,1+$C$6))</f>
        <v>0</v>
      </c>
      <c r="CG528" s="237" t="n">
        <f aca="false">IF(CG526=0,0,IF(CG526&lt;=12*'🎚️ Escenario'!$C$11,1,1+$C$6))</f>
        <v>0</v>
      </c>
      <c r="CH528" s="237" t="n">
        <f aca="false">IF(CH526=0,0,IF(CH526&lt;=12*'🎚️ Escenario'!$C$11,1,1+$C$6))</f>
        <v>0</v>
      </c>
      <c r="CI528" s="237" t="n">
        <f aca="false">IF(CI526=0,0,IF(CI526&lt;=12*'🎚️ Escenario'!$C$11,1,1+$C$6))</f>
        <v>0</v>
      </c>
      <c r="CJ528" s="237" t="n">
        <f aca="false">IF(CJ526=0,0,IF(CJ526&lt;=12*'🎚️ Escenario'!$C$11,1,1+$C$6))</f>
        <v>0</v>
      </c>
      <c r="CK528" s="237" t="n">
        <f aca="false">IF(CK526=0,0,IF(CK526&lt;=12*'🎚️ Escenario'!$C$11,1,1+$C$6))</f>
        <v>0</v>
      </c>
      <c r="CL528" s="237" t="n">
        <f aca="false">IF(CL526=0,0,IF(CL526&lt;=12*'🎚️ Escenario'!$C$11,1,1+$C$6))</f>
        <v>0</v>
      </c>
      <c r="CM528" s="237" t="n">
        <f aca="false">IF(CM526=0,0,IF(CM526&lt;=12*'🎚️ Escenario'!$C$11,1,1+$C$6))</f>
        <v>0</v>
      </c>
      <c r="CN528" s="237" t="n">
        <f aca="false">IF(CN526=0,0,IF(CN526&lt;=12*'🎚️ Escenario'!$C$11,1,1+$C$6))</f>
        <v>0</v>
      </c>
      <c r="CO528" s="237" t="n">
        <f aca="false">IF(CO526=0,0,IF(CO526&lt;=12*'🎚️ Escenario'!$C$11,1,1+$C$6))</f>
        <v>0</v>
      </c>
      <c r="CP528" s="237" t="n">
        <f aca="false">IF(CP526=0,0,IF(CP526&lt;=12*'🎚️ Escenario'!$C$11,1,1+$C$6))</f>
        <v>0</v>
      </c>
      <c r="CQ528" s="237" t="n">
        <f aca="false">IF(CQ526=0,0,IF(CQ526&lt;=12*'🎚️ Escenario'!$C$11,1,1+$C$6))</f>
        <v>0</v>
      </c>
      <c r="CR528" s="237" t="n">
        <f aca="false">IF(CR526=0,0,IF(CR526&lt;=12*'🎚️ Escenario'!$C$11,1,1+$C$6))</f>
        <v>0</v>
      </c>
      <c r="CS528" s="237" t="n">
        <f aca="false">IF(CS526=0,0,IF(CS526&lt;=12*'🎚️ Escenario'!$C$11,1,1+$C$6))</f>
        <v>0</v>
      </c>
      <c r="CT528" s="237" t="n">
        <f aca="false">IF(CT526=0,0,IF(CT526&lt;=12*'🎚️ Escenario'!$C$11,1,1+$C$6))</f>
        <v>0</v>
      </c>
      <c r="CU528" s="237" t="n">
        <f aca="false">IF(CU526=0,0,IF(CU526&lt;=12*'🎚️ Escenario'!$C$11,1,1+$C$6))</f>
        <v>0</v>
      </c>
      <c r="CV528" s="237" t="n">
        <f aca="false">IF(CV526=0,0,IF(CV526&lt;=12*'🎚️ Escenario'!$C$11,1,1+$C$6))</f>
        <v>0</v>
      </c>
      <c r="CW528" s="237" t="n">
        <f aca="false">IF(CW526=0,0,IF(CW526&lt;=12*'🎚️ Escenario'!$C$11,1,1+$C$6))</f>
        <v>0</v>
      </c>
      <c r="CX528" s="237" t="n">
        <f aca="false">IF(CX526=0,0,IF(CX526&lt;=12*'🎚️ Escenario'!$C$11,1,1+$C$6))</f>
        <v>0</v>
      </c>
      <c r="CY528" s="237" t="n">
        <f aca="false">IF(CY526=0,0,IF(CY526&lt;=12*'🎚️ Escenario'!$C$11,1,1+$C$6))</f>
        <v>0</v>
      </c>
      <c r="CZ528" s="237" t="n">
        <f aca="false">IF(CZ526=0,0,IF(CZ526&lt;=12*'🎚️ Escenario'!$C$11,1,1+$C$6))</f>
        <v>0</v>
      </c>
      <c r="DA528" s="237" t="n">
        <f aca="false">IF(DA526=0,0,IF(DA526&lt;=12*'🎚️ Escenario'!$C$11,1,1+$C$6))</f>
        <v>0</v>
      </c>
      <c r="DB528" s="237" t="n">
        <f aca="false">IF(DB526=0,0,IF(DB526&lt;=12*'🎚️ Escenario'!$C$11,1,1+$C$6))</f>
        <v>0</v>
      </c>
      <c r="DC528" s="237" t="n">
        <f aca="false">IF(DC526=0,0,IF(DC526&lt;=12*'🎚️ Escenario'!$C$11,1,1+$C$6))</f>
        <v>0</v>
      </c>
      <c r="DD528" s="237" t="n">
        <f aca="false">IF(DD526=0,0,IF(DD526&lt;=12*'🎚️ Escenario'!$C$11,1,1+$C$6))</f>
        <v>0</v>
      </c>
      <c r="DE528" s="237" t="n">
        <f aca="false">IF(DE526=0,0,IF(DE526&lt;=12*'🎚️ Escenario'!$C$11,1,1+$C$6))</f>
        <v>0</v>
      </c>
      <c r="DF528" s="237" t="n">
        <f aca="false">IF(DF526=0,0,IF(DF526&lt;=12*'🎚️ Escenario'!$C$11,1,1+$C$6))</f>
        <v>0</v>
      </c>
      <c r="DG528" s="237" t="n">
        <f aca="false">IF(DG526=0,0,IF(DG526&lt;=12*'🎚️ Escenario'!$C$11,1,1+$C$6))</f>
        <v>0</v>
      </c>
      <c r="DH528" s="237" t="n">
        <f aca="false">IF(DH526=0,0,IF(DH526&lt;=12*'🎚️ Escenario'!$C$11,1,1+$C$6))</f>
        <v>0</v>
      </c>
      <c r="DI528" s="237" t="n">
        <f aca="false">IF(DI526=0,0,IF(DI526&lt;=12*'🎚️ Escenario'!$C$11,1,1+$C$6))</f>
        <v>0</v>
      </c>
      <c r="DJ528" s="237" t="n">
        <f aca="false">IF(DJ526=0,0,IF(DJ526&lt;=12*'🎚️ Escenario'!$C$11,1,1+$C$6))</f>
        <v>0</v>
      </c>
      <c r="DK528" s="237" t="n">
        <f aca="false">IF(DK526=0,0,IF(DK526&lt;=12*'🎚️ Escenario'!$C$11,1,1+$C$6))</f>
        <v>0</v>
      </c>
      <c r="DL528" s="237" t="n">
        <f aca="false">IF(DL526=0,0,IF(DL526&lt;=12*'🎚️ Escenario'!$C$11,1,1+$C$6))</f>
        <v>0</v>
      </c>
      <c r="DM528" s="237" t="n">
        <f aca="false">IF(DM526=0,0,IF(DM526&lt;=12*'🎚️ Escenario'!$C$11,1,1+$C$6))</f>
        <v>0</v>
      </c>
      <c r="DN528" s="237" t="n">
        <f aca="false">IF(DN526=0,0,IF(DN526&lt;=12*'🎚️ Escenario'!$C$11,1,1+$C$6))</f>
        <v>0</v>
      </c>
      <c r="DO528" s="237" t="n">
        <f aca="false">IF(DO526=0,0,IF(DO526&lt;=12*'🎚️ Escenario'!$C$11,1,1+$C$6))</f>
        <v>0</v>
      </c>
      <c r="DP528" s="237" t="n">
        <f aca="false">IF(DP526=0,0,IF(DP526&lt;=12*'🎚️ Escenario'!$C$11,1,1+$C$6))</f>
        <v>0</v>
      </c>
      <c r="DQ528" s="237" t="n">
        <f aca="false">IF(DQ526=0,0,IF(DQ526&lt;=12*'🎚️ Escenario'!$C$11,1,1+$C$6))</f>
        <v>0</v>
      </c>
      <c r="DR528" s="237" t="n">
        <f aca="false">IF(DR526=0,0,IF(DR526&lt;=12*'🎚️ Escenario'!$C$11,1,1+$C$6))</f>
        <v>0</v>
      </c>
      <c r="DS528" s="237" t="n">
        <f aca="false">IF(DS526=0,0,IF(DS526&lt;=12*'🎚️ Escenario'!$C$11,1,1+$C$6))</f>
        <v>0</v>
      </c>
      <c r="DT528" s="237" t="n">
        <f aca="false">IF(DT526=0,0,IF(DT526&lt;=12*'🎚️ Escenario'!$C$11,1,1+$C$6))</f>
        <v>0</v>
      </c>
      <c r="DU528" s="237" t="n">
        <f aca="false">IF(DU526=0,0,IF(DU526&lt;=12*'🎚️ Escenario'!$C$11,1,1+$C$6))</f>
        <v>0</v>
      </c>
      <c r="DV528" s="237" t="n">
        <f aca="false">IF(DV526=0,0,IF(DV526&lt;=12*'🎚️ Escenario'!$C$11,1,1+$C$6))</f>
        <v>0</v>
      </c>
      <c r="DW528" s="237" t="n">
        <f aca="false">IF(DW526=0,0,IF(DW526&lt;=12*'🎚️ Escenario'!$C$11,1,1+$C$6))</f>
        <v>0</v>
      </c>
      <c r="DX528" s="237" t="n">
        <f aca="false">IF(DX526=0,0,IF(DX526&lt;=12*'🎚️ Escenario'!$C$11,1,1+$C$6))</f>
        <v>0</v>
      </c>
      <c r="DY528" s="237" t="n">
        <f aca="false">IF(DY526=0,0,IF(DY526&lt;=12*'🎚️ Escenario'!$C$11,1,1+$C$6))</f>
        <v>0</v>
      </c>
      <c r="DZ528" s="237" t="n">
        <f aca="false">IF(DZ526=0,0,IF(DZ526&lt;=12*'🎚️ Escenario'!$C$11,1,1+$C$6))</f>
        <v>0</v>
      </c>
      <c r="EA528" s="237" t="n">
        <f aca="false">IF(EA526=0,0,IF(EA526&lt;=12*'🎚️ Escenario'!$C$11,1,1+$C$6))</f>
        <v>0</v>
      </c>
      <c r="EB528" s="237" t="n">
        <f aca="false">IF(EB526=0,0,IF(EB526&lt;=12*'🎚️ Escenario'!$C$11,1,1+$C$6))</f>
        <v>0</v>
      </c>
      <c r="EC528" s="237" t="n">
        <f aca="false">IF(EC526=0,0,IF(EC526&lt;=12*'🎚️ Escenario'!$C$11,1,1+$C$6))</f>
        <v>0</v>
      </c>
      <c r="ED528" s="237" t="n">
        <f aca="false">IF(ED526=0,0,IF(ED526&lt;=12*'🎚️ Escenario'!$C$11,1,1+$C$6))</f>
        <v>0</v>
      </c>
      <c r="EE528" s="237" t="n">
        <f aca="false">IF(EE526=0,0,IF(EE526&lt;=12*'🎚️ Escenario'!$C$11,1,1+$C$6))</f>
        <v>0</v>
      </c>
      <c r="EF528" s="237" t="n">
        <f aca="false">IF(EF526=0,0,IF(EF526&lt;=12*'🎚️ Escenario'!$C$11,1,1+$C$6))</f>
        <v>0</v>
      </c>
      <c r="EG528" s="237" t="n">
        <f aca="false">IF(EG526=0,0,IF(EG526&lt;=12*'🎚️ Escenario'!$C$11,1,1+$C$6))</f>
        <v>0</v>
      </c>
      <c r="EH528" s="237" t="n">
        <f aca="false">IF(EH526=0,0,IF(EH526&lt;=12*'🎚️ Escenario'!$C$11,1,1+$C$6))</f>
        <v>0</v>
      </c>
      <c r="EI528" s="237" t="n">
        <f aca="false">IF(EI526=0,0,IF(EI526&lt;=12*'🎚️ Escenario'!$C$11,1,1+$C$6))</f>
        <v>0</v>
      </c>
      <c r="EJ528" s="237" t="n">
        <f aca="false">IF(EJ526=0,0,IF(EJ526&lt;=12*'🎚️ Escenario'!$C$11,1,1+$C$6))</f>
        <v>1</v>
      </c>
      <c r="EK528" s="237" t="n">
        <f aca="false">IF(EK526=0,0,IF(EK526&lt;=12*'🎚️ Escenario'!$C$11,1,1+$C$6))</f>
        <v>1</v>
      </c>
      <c r="EL528" s="237" t="n">
        <f aca="false">IF(EL526=0,0,IF(EL526&lt;=12*'🎚️ Escenario'!$C$11,1,1+$C$6))</f>
        <v>1</v>
      </c>
      <c r="EM528" s="237" t="n">
        <f aca="false">IF(EM526=0,0,IF(EM526&lt;=12*'🎚️ Escenario'!$C$11,1,1+$C$6))</f>
        <v>1</v>
      </c>
      <c r="EN528" s="237" t="n">
        <f aca="false">IF(EN526=0,0,IF(EN526&lt;=12*'🎚️ Escenario'!$C$11,1,1+$C$6))</f>
        <v>1</v>
      </c>
      <c r="EO528" s="237" t="n">
        <f aca="false">IF(EO526=0,0,IF(EO526&lt;=12*'🎚️ Escenario'!$C$11,1,1+$C$6))</f>
        <v>1</v>
      </c>
      <c r="EP528" s="237" t="n">
        <f aca="false">IF(EP526=0,0,IF(EP526&lt;=12*'🎚️ Escenario'!$C$11,1,1+$C$6))</f>
        <v>1</v>
      </c>
      <c r="EQ528" s="237" t="n">
        <f aca="false">IF(EQ526=0,0,IF(EQ526&lt;=12*'🎚️ Escenario'!$C$11,1,1+$C$6))</f>
        <v>1</v>
      </c>
      <c r="ER528" s="237" t="n">
        <f aca="false">IF(ER526=0,0,IF(ER526&lt;=12*'🎚️ Escenario'!$C$11,1,1+$C$6))</f>
        <v>1</v>
      </c>
      <c r="ES528" s="9" t="n">
        <f aca="false">IF(ES526=0,0,IF(ES526&lt;=12*'🎚️ Escenario'!$C$11,1,1+$C$6))</f>
        <v>1</v>
      </c>
      <c r="ET528" s="9" t="n">
        <f aca="false">IF(ET526=0,0,IF(ET526&lt;=12*'🎚️ Escenario'!$C$11,1,1+$C$6))</f>
        <v>1</v>
      </c>
      <c r="EU528" s="9" t="n">
        <f aca="false">IF(EU526=0,0,IF(EU526&lt;=12*'🎚️ Escenario'!$C$11,1,1+$C$6))</f>
        <v>1</v>
      </c>
      <c r="EV528" s="9" t="n">
        <f aca="false">IF(EV526=0,0,IF(EV526&lt;=12*'🎚️ Escenario'!$C$11,1,1+$C$6))</f>
        <v>1</v>
      </c>
      <c r="EW528" s="9" t="n">
        <f aca="false">IF(EW526=0,0,IF(EW526&lt;=12*'🎚️ Escenario'!$C$11,1,1+$C$6))</f>
        <v>1</v>
      </c>
      <c r="EX528" s="9" t="n">
        <f aca="false">IF(EX526=0,0,IF(EX526&lt;=12*'🎚️ Escenario'!$C$11,1,1+$C$6))</f>
        <v>1</v>
      </c>
      <c r="EY528" s="238" t="n">
        <f aca="false">IF(EY526=0,0,IF(EY526&lt;=12*'🎚️ Escenario'!$C$11,1,1+$C$6))</f>
        <v>1.2</v>
      </c>
      <c r="EZ528" s="238" t="n">
        <f aca="false">IF(EZ526=0,0,IF(EZ526&lt;=12*'🎚️ Escenario'!$C$11,1,1+$C$6))</f>
        <v>1.2</v>
      </c>
      <c r="FA528" s="238" t="n">
        <f aca="false">IF(FA526=0,0,IF(FA526&lt;=12*'🎚️ Escenario'!$C$11,1,1+$C$6))</f>
        <v>1.2</v>
      </c>
      <c r="FB528" s="238" t="n">
        <f aca="false">IF(FB526=0,0,IF(FB526&lt;=12*'🎚️ Escenario'!$C$11,1,1+$C$6))</f>
        <v>1.2</v>
      </c>
      <c r="FC528" s="238" t="n">
        <f aca="false">IF(FC526=0,0,IF(FC526&lt;=12*'🎚️ Escenario'!$C$11,1,1+$C$6))</f>
        <v>1.2</v>
      </c>
      <c r="FD528" s="238" t="n">
        <f aca="false">IF(FD526=0,0,IF(FD526&lt;=12*'🎚️ Escenario'!$C$11,1,1+$C$6))</f>
        <v>1.2</v>
      </c>
      <c r="FE528" s="238" t="n">
        <f aca="false">IF(FE526=0,0,IF(FE526&lt;=12*'🎚️ Escenario'!$C$11,1,1+$C$6))</f>
        <v>1.2</v>
      </c>
      <c r="FF528" s="238" t="n">
        <f aca="false">IF(FF526=0,0,IF(FF526&lt;=12*'🎚️ Escenario'!$C$11,1,1+$C$6))</f>
        <v>1.2</v>
      </c>
      <c r="FG528" s="238" t="n">
        <f aca="false">IF(FG526=0,0,IF(FG526&lt;=12*'🎚️ Escenario'!$C$11,1,1+$C$6))</f>
        <v>1.2</v>
      </c>
      <c r="FH528" s="238" t="n">
        <f aca="false">IF(FH526=0,0,IF(FH526&lt;=12*'🎚️ Escenario'!$C$11,1,1+$C$6))</f>
        <v>1.2</v>
      </c>
      <c r="FI528" s="238" t="n">
        <f aca="false">IF(FI526=0,0,IF(FI526&lt;=12*'🎚️ Escenario'!$C$11,1,1+$C$6))</f>
        <v>1.2</v>
      </c>
      <c r="FJ528" s="238" t="n">
        <f aca="false">IF(FJ526=0,0,IF(FJ526&lt;=12*'🎚️ Escenario'!$C$11,1,1+$C$6))</f>
        <v>1.2</v>
      </c>
      <c r="FK528" s="238" t="n">
        <f aca="false">IF(FK526=0,0,IF(FK526&lt;=12*'🎚️ Escenario'!$C$11,1,1+$C$6))</f>
        <v>1.2</v>
      </c>
      <c r="FL528" s="238" t="n">
        <f aca="false">IF(FL526=0,0,IF(FL526&lt;=12*'🎚️ Escenario'!$C$11,1,1+$C$6))</f>
        <v>1.2</v>
      </c>
      <c r="FM528" s="238" t="n">
        <f aca="false">IF(FM526=0,0,IF(FM526&lt;=12*'🎚️ Escenario'!$C$11,1,1+$C$6))</f>
        <v>1.2</v>
      </c>
      <c r="FN528" s="238" t="n">
        <f aca="false">IF(FN526=0,0,IF(FN526&lt;=12*'🎚️ Escenario'!$C$11,1,1+$C$6))</f>
        <v>1.2</v>
      </c>
      <c r="FO528" s="238" t="n">
        <f aca="false">IF(FO526=0,0,IF(FO526&lt;=12*'🎚️ Escenario'!$C$11,1,1+$C$6))</f>
        <v>1.2</v>
      </c>
      <c r="FP528" s="238" t="n">
        <f aca="false">IF(FP526=0,0,IF(FP526&lt;=12*'🎚️ Escenario'!$C$11,1,1+$C$6))</f>
        <v>1.2</v>
      </c>
    </row>
    <row r="529" customFormat="false" ht="15" hidden="false" customHeight="false" outlineLevel="2" collapsed="false">
      <c r="B529" s="47" t="s">
        <v>876</v>
      </c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237" t="n">
        <f aca="false">AC527*$AC$525*AC528*AC$38*'⑫ Roll-out Plan'!$O$57</f>
        <v>0</v>
      </c>
      <c r="AD529" s="237" t="n">
        <f aca="false">AD527*$AC$525*AD528*AD$38*'⑫ Roll-out Plan'!$O$57</f>
        <v>0</v>
      </c>
      <c r="AE529" s="237" t="n">
        <f aca="false">AE527*$AC$525*AE528*AE$38*'⑫ Roll-out Plan'!$O$57</f>
        <v>0</v>
      </c>
      <c r="AF529" s="237" t="n">
        <f aca="false">AF527*$AC$525*AF528*AF$38*'⑫ Roll-out Plan'!$O$57</f>
        <v>0</v>
      </c>
      <c r="AG529" s="237" t="n">
        <f aca="false">AG527*$AC$525*AG528*AG$38*'⑫ Roll-out Plan'!$O$57</f>
        <v>0</v>
      </c>
      <c r="AH529" s="237" t="n">
        <f aca="false">AH527*$AC$525*AH528*AH$38*'⑫ Roll-out Plan'!$O$57</f>
        <v>0</v>
      </c>
      <c r="AI529" s="237" t="n">
        <f aca="false">AI527*$AC$525*AI528*AI$38*'⑫ Roll-out Plan'!$O$57</f>
        <v>0</v>
      </c>
      <c r="AJ529" s="237" t="n">
        <f aca="false">AJ527*$AC$525*AJ528*AJ$38*'⑫ Roll-out Plan'!$O$57</f>
        <v>0</v>
      </c>
      <c r="AK529" s="237" t="n">
        <f aca="false">AK527*$AC$525*AK528*AK$38*'⑫ Roll-out Plan'!$O$57</f>
        <v>0</v>
      </c>
      <c r="AL529" s="237" t="n">
        <f aca="false">AL527*$AC$525*AL528*AL$38*'⑫ Roll-out Plan'!$O$57</f>
        <v>0</v>
      </c>
      <c r="AM529" s="237" t="n">
        <f aca="false">AM527*$AC$525*AM528*AM$38*'⑫ Roll-out Plan'!$O$57</f>
        <v>0</v>
      </c>
      <c r="AN529" s="237" t="n">
        <f aca="false">AN527*$AC$525*AN528*AN$38*'⑫ Roll-out Plan'!$O$57</f>
        <v>0</v>
      </c>
      <c r="AO529" s="237" t="n">
        <f aca="false">AO527*$AC$525*AO528*AO$38*'⑫ Roll-out Plan'!$O$57</f>
        <v>0</v>
      </c>
      <c r="AP529" s="237" t="n">
        <f aca="false">AP527*$AC$525*AP528*AP$38*'⑫ Roll-out Plan'!$O$57</f>
        <v>0</v>
      </c>
      <c r="AQ529" s="237" t="n">
        <f aca="false">AQ527*$AC$525*AQ528*AQ$38*'⑫ Roll-out Plan'!$O$57</f>
        <v>0</v>
      </c>
      <c r="AR529" s="237" t="n">
        <f aca="false">AR527*$AC$525*AR528*AR$38*'⑫ Roll-out Plan'!$O$57</f>
        <v>0</v>
      </c>
      <c r="AS529" s="237" t="n">
        <f aca="false">AS527*$AC$525*AS528*AS$38*'⑫ Roll-out Plan'!$O$57</f>
        <v>0</v>
      </c>
      <c r="AT529" s="237" t="n">
        <f aca="false">AT527*$AC$525*AT528*AT$38*'⑫ Roll-out Plan'!$O$57</f>
        <v>0</v>
      </c>
      <c r="AU529" s="237" t="n">
        <f aca="false">AU527*$AC$525*AU528*AU$38*'⑫ Roll-out Plan'!$O$57</f>
        <v>0</v>
      </c>
      <c r="AV529" s="237" t="n">
        <f aca="false">AV527*$AC$525*AV528*AV$38*'⑫ Roll-out Plan'!$O$57</f>
        <v>0</v>
      </c>
      <c r="AW529" s="237" t="n">
        <f aca="false">AW527*$AC$525*AW528*AW$38*'⑫ Roll-out Plan'!$O$57</f>
        <v>0</v>
      </c>
      <c r="AX529" s="237" t="n">
        <f aca="false">AX527*$AC$525*AX528*AX$38*'⑫ Roll-out Plan'!$O$57</f>
        <v>0</v>
      </c>
      <c r="AY529" s="237" t="n">
        <f aca="false">AY527*$AC$525*AY528*AY$38*'⑫ Roll-out Plan'!$O$57</f>
        <v>0</v>
      </c>
      <c r="AZ529" s="237" t="n">
        <f aca="false">AZ527*$AC$525*AZ528*AZ$38*'⑫ Roll-out Plan'!$O$57</f>
        <v>0</v>
      </c>
      <c r="BA529" s="237" t="n">
        <f aca="false">BA527*$AC$525*BA528*BA$38*'⑫ Roll-out Plan'!$O$57</f>
        <v>0</v>
      </c>
      <c r="BB529" s="237" t="n">
        <f aca="false">BB527*$AC$525*BB528*BB$38*'⑫ Roll-out Plan'!$O$57</f>
        <v>0</v>
      </c>
      <c r="BC529" s="237" t="n">
        <f aca="false">BC527*$AC$525*BC528*BC$38*'⑫ Roll-out Plan'!$O$57</f>
        <v>0</v>
      </c>
      <c r="BD529" s="237" t="n">
        <f aca="false">BD527*$AC$525*BD528*BD$38*'⑫ Roll-out Plan'!$O$57</f>
        <v>0</v>
      </c>
      <c r="BE529" s="237" t="n">
        <f aca="false">BE527*$AC$525*BE528*BE$38*'⑫ Roll-out Plan'!$O$57</f>
        <v>0</v>
      </c>
      <c r="BF529" s="237" t="n">
        <f aca="false">BF527*$AC$525*BF528*BF$38*'⑫ Roll-out Plan'!$O$57</f>
        <v>0</v>
      </c>
      <c r="BG529" s="237" t="n">
        <f aca="false">BG527*$AC$525*BG528*BG$38*'⑫ Roll-out Plan'!$O$57</f>
        <v>0</v>
      </c>
      <c r="BH529" s="237" t="n">
        <f aca="false">BH527*$AC$525*BH528*BH$38*'⑫ Roll-out Plan'!$O$57</f>
        <v>0</v>
      </c>
      <c r="BI529" s="237" t="n">
        <f aca="false">BI527*$AC$525*BI528*BI$38*'⑫ Roll-out Plan'!$O$57</f>
        <v>0</v>
      </c>
      <c r="BJ529" s="237" t="n">
        <f aca="false">BJ527*$AC$525*BJ528*BJ$38*'⑫ Roll-out Plan'!$O$57</f>
        <v>0</v>
      </c>
      <c r="BK529" s="237" t="n">
        <f aca="false">BK527*$AC$525*BK528*BK$38*'⑫ Roll-out Plan'!$O$57</f>
        <v>0</v>
      </c>
      <c r="BL529" s="237" t="n">
        <f aca="false">BL527*$AC$525*BL528*BL$38*'⑫ Roll-out Plan'!$O$57</f>
        <v>0</v>
      </c>
      <c r="BM529" s="237" t="n">
        <f aca="false">BM527*$AC$525*BM528*BM$38*'⑫ Roll-out Plan'!$O$57</f>
        <v>0</v>
      </c>
      <c r="BN529" s="237" t="n">
        <f aca="false">BN527*$AC$525*BN528*BN$38*'⑫ Roll-out Plan'!$O$57</f>
        <v>0</v>
      </c>
      <c r="BO529" s="237" t="n">
        <f aca="false">BO527*$AC$525*BO528*BO$38*'⑫ Roll-out Plan'!$O$57</f>
        <v>0</v>
      </c>
      <c r="BP529" s="237" t="n">
        <f aca="false">BP527*$AC$525*BP528*BP$38*'⑫ Roll-out Plan'!$O$57</f>
        <v>0</v>
      </c>
      <c r="BQ529" s="237" t="n">
        <f aca="false">BQ527*$AC$525*BQ528*BQ$38*'⑫ Roll-out Plan'!$O$57</f>
        <v>0</v>
      </c>
      <c r="BR529" s="237" t="n">
        <f aca="false">BR527*$AC$525*BR528*BR$38*'⑫ Roll-out Plan'!$O$57</f>
        <v>0</v>
      </c>
      <c r="BS529" s="237" t="n">
        <f aca="false">BS527*$AC$525*BS528*BS$38*'⑫ Roll-out Plan'!$O$57</f>
        <v>0</v>
      </c>
      <c r="BT529" s="237" t="n">
        <f aca="false">BT527*$AC$525*BT528*BT$38*'⑫ Roll-out Plan'!$O$57</f>
        <v>0</v>
      </c>
      <c r="BU529" s="237" t="n">
        <f aca="false">BU527*$AC$525*BU528*BU$38*'⑫ Roll-out Plan'!$O$57</f>
        <v>0</v>
      </c>
      <c r="BV529" s="237" t="n">
        <f aca="false">BV527*$AC$525*BV528*BV$38*'⑫ Roll-out Plan'!$O$57</f>
        <v>0</v>
      </c>
      <c r="BW529" s="237" t="n">
        <f aca="false">BW527*$AC$525*BW528*BW$38*'⑫ Roll-out Plan'!$O$57</f>
        <v>0</v>
      </c>
      <c r="BX529" s="237" t="n">
        <f aca="false">BX527*$AC$525*BX528*BX$38*'⑫ Roll-out Plan'!$O$57</f>
        <v>0</v>
      </c>
      <c r="BY529" s="237" t="n">
        <f aca="false">BY527*$AC$525*BY528*BY$38*'⑫ Roll-out Plan'!$O$57</f>
        <v>0</v>
      </c>
      <c r="BZ529" s="237" t="n">
        <f aca="false">BZ527*$AC$525*BZ528*BZ$38*'⑫ Roll-out Plan'!$O$57</f>
        <v>0</v>
      </c>
      <c r="CA529" s="237" t="n">
        <f aca="false">CA527*$AC$525*CA528*CA$38*'⑫ Roll-out Plan'!$O$57</f>
        <v>0</v>
      </c>
      <c r="CB529" s="237" t="n">
        <f aca="false">CB527*$AC$525*CB528*CB$38*'⑫ Roll-out Plan'!$O$57</f>
        <v>0</v>
      </c>
      <c r="CC529" s="237" t="n">
        <f aca="false">CC527*$AC$525*CC528*CC$38*'⑫ Roll-out Plan'!$O$57</f>
        <v>0</v>
      </c>
      <c r="CD529" s="237" t="n">
        <f aca="false">CD527*$AC$525*CD528*CD$38*'⑫ Roll-out Plan'!$O$57</f>
        <v>0</v>
      </c>
      <c r="CE529" s="237" t="n">
        <f aca="false">CE527*$AC$525*CE528*CE$38*'⑫ Roll-out Plan'!$O$57</f>
        <v>0</v>
      </c>
      <c r="CF529" s="237" t="n">
        <f aca="false">CF527*$AC$525*CF528*CF$38*'⑫ Roll-out Plan'!$O$57</f>
        <v>0</v>
      </c>
      <c r="CG529" s="237" t="n">
        <f aca="false">CG527*$AC$525*CG528*CG$38*'⑫ Roll-out Plan'!$O$57</f>
        <v>0</v>
      </c>
      <c r="CH529" s="237" t="n">
        <f aca="false">CH527*$AC$525*CH528*CH$38*'⑫ Roll-out Plan'!$O$57</f>
        <v>0</v>
      </c>
      <c r="CI529" s="237" t="n">
        <f aca="false">CI527*$AC$525*CI528*CI$38*'⑫ Roll-out Plan'!$O$57</f>
        <v>0</v>
      </c>
      <c r="CJ529" s="237" t="n">
        <f aca="false">CJ527*$AC$525*CJ528*CJ$38*'⑫ Roll-out Plan'!$O$57</f>
        <v>0</v>
      </c>
      <c r="CK529" s="237" t="n">
        <f aca="false">CK527*$AC$525*CK528*CK$38*'⑫ Roll-out Plan'!$O$57</f>
        <v>0</v>
      </c>
      <c r="CL529" s="237" t="n">
        <f aca="false">CL527*$AC$525*CL528*CL$38*'⑫ Roll-out Plan'!$O$57</f>
        <v>0</v>
      </c>
      <c r="CM529" s="237" t="n">
        <f aca="false">CM527*$AC$525*CM528*CM$38*'⑫ Roll-out Plan'!$O$57</f>
        <v>0</v>
      </c>
      <c r="CN529" s="237" t="n">
        <f aca="false">CN527*$AC$525*CN528*CN$38*'⑫ Roll-out Plan'!$O$57</f>
        <v>0</v>
      </c>
      <c r="CO529" s="237" t="n">
        <f aca="false">CO527*$AC$525*CO528*CO$38*'⑫ Roll-out Plan'!$O$57</f>
        <v>0</v>
      </c>
      <c r="CP529" s="237" t="n">
        <f aca="false">CP527*$AC$525*CP528*CP$38*'⑫ Roll-out Plan'!$O$57</f>
        <v>0</v>
      </c>
      <c r="CQ529" s="237" t="n">
        <f aca="false">CQ527*$AC$525*CQ528*CQ$38*'⑫ Roll-out Plan'!$O$57</f>
        <v>0</v>
      </c>
      <c r="CR529" s="237" t="n">
        <f aca="false">CR527*$AC$525*CR528*CR$38*'⑫ Roll-out Plan'!$O$57</f>
        <v>0</v>
      </c>
      <c r="CS529" s="237" t="n">
        <f aca="false">CS527*$AC$525*CS528*CS$38*'⑫ Roll-out Plan'!$O$57</f>
        <v>0</v>
      </c>
      <c r="CT529" s="237" t="n">
        <f aca="false">CT527*$AC$525*CT528*CT$38*'⑫ Roll-out Plan'!$O$57</f>
        <v>0</v>
      </c>
      <c r="CU529" s="237" t="n">
        <f aca="false">CU527*$AC$525*CU528*CU$38*'⑫ Roll-out Plan'!$O$57</f>
        <v>0</v>
      </c>
      <c r="CV529" s="237" t="n">
        <f aca="false">CV527*$AC$525*CV528*CV$38*'⑫ Roll-out Plan'!$O$57</f>
        <v>0</v>
      </c>
      <c r="CW529" s="237" t="n">
        <f aca="false">CW527*$AC$525*CW528*CW$38*'⑫ Roll-out Plan'!$O$57</f>
        <v>0</v>
      </c>
      <c r="CX529" s="237" t="n">
        <f aca="false">CX527*$AC$525*CX528*CX$38*'⑫ Roll-out Plan'!$O$57</f>
        <v>0</v>
      </c>
      <c r="CY529" s="237" t="n">
        <f aca="false">CY527*$AC$525*CY528*CY$38*'⑫ Roll-out Plan'!$O$57</f>
        <v>0</v>
      </c>
      <c r="CZ529" s="237" t="n">
        <f aca="false">CZ527*$AC$525*CZ528*CZ$38*'⑫ Roll-out Plan'!$O$57</f>
        <v>0</v>
      </c>
      <c r="DA529" s="237" t="n">
        <f aca="false">DA527*$AC$525*DA528*DA$38*'⑫ Roll-out Plan'!$O$57</f>
        <v>0</v>
      </c>
      <c r="DB529" s="237" t="n">
        <f aca="false">DB527*$AC$525*DB528*DB$38*'⑫ Roll-out Plan'!$O$57</f>
        <v>0</v>
      </c>
      <c r="DC529" s="237" t="n">
        <f aca="false">DC527*$AC$525*DC528*DC$38*'⑫ Roll-out Plan'!$O$57</f>
        <v>0</v>
      </c>
      <c r="DD529" s="237" t="n">
        <f aca="false">DD527*$AC$525*DD528*DD$38*'⑫ Roll-out Plan'!$O$57</f>
        <v>0</v>
      </c>
      <c r="DE529" s="237" t="n">
        <f aca="false">DE527*$AC$525*DE528*DE$38*'⑫ Roll-out Plan'!$O$57</f>
        <v>0</v>
      </c>
      <c r="DF529" s="237" t="n">
        <f aca="false">DF527*$AC$525*DF528*DF$38*'⑫ Roll-out Plan'!$O$57</f>
        <v>0</v>
      </c>
      <c r="DG529" s="237" t="n">
        <f aca="false">DG527*$AC$525*DG528*DG$38*'⑫ Roll-out Plan'!$O$57</f>
        <v>0</v>
      </c>
      <c r="DH529" s="237" t="n">
        <f aca="false">DH527*$AC$525*DH528*DH$38*'⑫ Roll-out Plan'!$O$57</f>
        <v>0</v>
      </c>
      <c r="DI529" s="237" t="n">
        <f aca="false">DI527*$AC$525*DI528*DI$38*'⑫ Roll-out Plan'!$O$57</f>
        <v>0</v>
      </c>
      <c r="DJ529" s="237" t="n">
        <f aca="false">DJ527*$AC$525*DJ528*DJ$38*'⑫ Roll-out Plan'!$O$57</f>
        <v>0</v>
      </c>
      <c r="DK529" s="237" t="n">
        <f aca="false">DK527*$AC$525*DK528*DK$38*'⑫ Roll-out Plan'!$O$57</f>
        <v>0</v>
      </c>
      <c r="DL529" s="237" t="n">
        <f aca="false">DL527*$AC$525*DL528*DL$38*'⑫ Roll-out Plan'!$O$57</f>
        <v>0</v>
      </c>
      <c r="DM529" s="237" t="n">
        <f aca="false">DM527*$AC$525*DM528*DM$38*'⑫ Roll-out Plan'!$O$57</f>
        <v>0</v>
      </c>
      <c r="DN529" s="237" t="n">
        <f aca="false">DN527*$AC$525*DN528*DN$38*'⑫ Roll-out Plan'!$O$57</f>
        <v>0</v>
      </c>
      <c r="DO529" s="237" t="n">
        <f aca="false">DO527*$AC$525*DO528*DO$38*'⑫ Roll-out Plan'!$O$57</f>
        <v>0</v>
      </c>
      <c r="DP529" s="237" t="n">
        <f aca="false">DP527*$AC$525*DP528*DP$38*'⑫ Roll-out Plan'!$O$57</f>
        <v>0</v>
      </c>
      <c r="DQ529" s="237" t="n">
        <f aca="false">DQ527*$AC$525*DQ528*DQ$38*'⑫ Roll-out Plan'!$O$57</f>
        <v>0</v>
      </c>
      <c r="DR529" s="237" t="n">
        <f aca="false">DR527*$AC$525*DR528*DR$38*'⑫ Roll-out Plan'!$O$57</f>
        <v>0</v>
      </c>
      <c r="DS529" s="237" t="n">
        <f aca="false">DS527*$AC$525*DS528*DS$38*'⑫ Roll-out Plan'!$O$57</f>
        <v>0</v>
      </c>
      <c r="DT529" s="237" t="n">
        <f aca="false">DT527*$AC$525*DT528*DT$38*'⑫ Roll-out Plan'!$O$57</f>
        <v>0</v>
      </c>
      <c r="DU529" s="237" t="n">
        <f aca="false">DU527*$AC$525*DU528*DU$38*'⑫ Roll-out Plan'!$O$57</f>
        <v>0</v>
      </c>
      <c r="DV529" s="237" t="n">
        <f aca="false">DV527*$AC$525*DV528*DV$38*'⑫ Roll-out Plan'!$O$57</f>
        <v>0</v>
      </c>
      <c r="DW529" s="237" t="n">
        <f aca="false">DW527*$AC$525*DW528*DW$38*'⑫ Roll-out Plan'!$O$57</f>
        <v>0</v>
      </c>
      <c r="DX529" s="237" t="n">
        <f aca="false">DX527*$AC$525*DX528*DX$38*'⑫ Roll-out Plan'!$O$57</f>
        <v>0</v>
      </c>
      <c r="DY529" s="237" t="n">
        <f aca="false">DY527*$AC$525*DY528*DY$38*'⑫ Roll-out Plan'!$O$57</f>
        <v>0</v>
      </c>
      <c r="DZ529" s="237" t="n">
        <f aca="false">DZ527*$AC$525*DZ528*DZ$38*'⑫ Roll-out Plan'!$O$57</f>
        <v>0</v>
      </c>
      <c r="EA529" s="237" t="n">
        <f aca="false">EA527*$AC$525*EA528*EA$38*'⑫ Roll-out Plan'!$O$57</f>
        <v>0</v>
      </c>
      <c r="EB529" s="237" t="n">
        <f aca="false">EB527*$AC$525*EB528*EB$38*'⑫ Roll-out Plan'!$O$57</f>
        <v>0</v>
      </c>
      <c r="EC529" s="237" t="n">
        <f aca="false">EC527*$AC$525*EC528*EC$38*'⑫ Roll-out Plan'!$O$57</f>
        <v>0</v>
      </c>
      <c r="ED529" s="237" t="n">
        <f aca="false">ED527*$AC$525*ED528*ED$38*'⑫ Roll-out Plan'!$O$57</f>
        <v>0</v>
      </c>
      <c r="EE529" s="237" t="n">
        <f aca="false">EE527*$AC$525*EE528*EE$38*'⑫ Roll-out Plan'!$O$57</f>
        <v>0</v>
      </c>
      <c r="EF529" s="237" t="n">
        <f aca="false">EF527*$AC$525*EF528*EF$38*'⑫ Roll-out Plan'!$O$57</f>
        <v>0</v>
      </c>
      <c r="EG529" s="237" t="n">
        <f aca="false">EG527*$AC$525*EG528*EG$38*'⑫ Roll-out Plan'!$O$57</f>
        <v>0</v>
      </c>
      <c r="EH529" s="237" t="n">
        <f aca="false">EH527*$AC$525*EH528*EH$38*'⑫ Roll-out Plan'!$O$57</f>
        <v>0</v>
      </c>
      <c r="EI529" s="237" t="n">
        <f aca="false">EI527*$AC$525*EI528*EI$38*'⑫ Roll-out Plan'!$O$57</f>
        <v>0</v>
      </c>
      <c r="EJ529" s="237" t="n">
        <f aca="false">EJ527*$AC$525*EJ528*EJ$38*'⑫ Roll-out Plan'!$O$57</f>
        <v>24.2</v>
      </c>
      <c r="EK529" s="237" t="n">
        <f aca="false">EK527*$AC$525*EK528*EK$38*'⑫ Roll-out Plan'!$O$57</f>
        <v>22.264</v>
      </c>
      <c r="EL529" s="237" t="n">
        <f aca="false">EL527*$AC$525*EL528*EL$38*'⑫ Roll-out Plan'!$O$57</f>
        <v>21.12</v>
      </c>
      <c r="EM529" s="237" t="n">
        <f aca="false">EM527*$AC$525*EM528*EM$38*'⑫ Roll-out Plan'!$O$57</f>
        <v>24.948</v>
      </c>
      <c r="EN529" s="237" t="n">
        <f aca="false">EN527*$AC$525*EN528*EN$38*'⑫ Roll-out Plan'!$O$57</f>
        <v>42.174</v>
      </c>
      <c r="EO529" s="237" t="n">
        <f aca="false">EO527*$AC$525*EO528*EO$38*'⑫ Roll-out Plan'!$O$57</f>
        <v>39.556</v>
      </c>
      <c r="EP529" s="237" t="n">
        <f aca="false">EP527*$AC$525*EP528*EP$38*'⑫ Roll-out Plan'!$O$57</f>
        <v>36.96</v>
      </c>
      <c r="EQ529" s="237" t="n">
        <f aca="false">EQ527*$AC$525*EQ528*EQ$38*'⑫ Roll-out Plan'!$O$57</f>
        <v>30.888</v>
      </c>
      <c r="ER529" s="237" t="n">
        <f aca="false">ER527*$AC$525*ER528*ER$38*'⑫ Roll-out Plan'!$O$57</f>
        <v>49.368</v>
      </c>
      <c r="ES529" s="9" t="n">
        <f aca="false">ES527*$AC$525*ES528*ES$38*'⑫ Roll-out Plan'!$O$57</f>
        <v>52.272</v>
      </c>
      <c r="ET529" s="9" t="n">
        <f aca="false">ET527*$AC$525*ET528*ET$38*'⑫ Roll-out Plan'!$O$57</f>
        <v>43.296</v>
      </c>
      <c r="EU529" s="9" t="n">
        <f aca="false">EU527*$AC$525*EU528*EU$38*'⑫ Roll-out Plan'!$O$57</f>
        <v>66.352</v>
      </c>
      <c r="EV529" s="9" t="n">
        <f aca="false">EV527*$AC$525*EV528*EV$38*'⑫ Roll-out Plan'!$O$57</f>
        <v>67.76</v>
      </c>
      <c r="EW529" s="9" t="n">
        <f aca="false">EW527*$AC$525*EW528*EW$38*'⑫ Roll-out Plan'!$O$57</f>
        <v>60.72</v>
      </c>
      <c r="EX529" s="9" t="n">
        <f aca="false">EX527*$AC$525*EX528*EX$38*'⑫ Roll-out Plan'!$O$57</f>
        <v>52.8</v>
      </c>
      <c r="EY529" s="9" t="n">
        <f aca="false">EY527*$AC$525*EY528*EY$38*'⑫ Roll-out Plan'!$O$57</f>
        <v>69.8544</v>
      </c>
      <c r="EZ529" s="9" t="n">
        <f aca="false">EZ527*$AC$525*EZ528*EZ$38*'⑫ Roll-out Plan'!$O$57</f>
        <v>123.7104</v>
      </c>
      <c r="FA529" s="9" t="n">
        <f aca="false">FA527*$AC$525*FA528*FA$38*'⑫ Roll-out Plan'!$O$57</f>
        <v>105.6528</v>
      </c>
      <c r="FB529" s="9" t="n">
        <f aca="false">FB527*$AC$525*FB528*FB$38*'⑫ Roll-out Plan'!$O$57</f>
        <v>89.9712</v>
      </c>
      <c r="FC529" s="9" t="n">
        <f aca="false">FC527*$AC$525*FC528*FC$38*'⑫ Roll-out Plan'!$O$57</f>
        <v>67.4784</v>
      </c>
      <c r="FD529" s="9" t="n">
        <f aca="false">FD527*$AC$525*FD528*FD$38*'⑫ Roll-out Plan'!$O$57</f>
        <v>98.2872</v>
      </c>
      <c r="FE529" s="9" t="n">
        <f aca="false">FE527*$AC$525*FE528*FE$38*'⑫ Roll-out Plan'!$O$57</f>
        <v>106.92</v>
      </c>
      <c r="FF529" s="9" t="n">
        <f aca="false">FF527*$AC$525*FF528*FF$38*'⑫ Roll-out Plan'!$O$57</f>
        <v>83.3448</v>
      </c>
      <c r="FG529" s="9" t="n">
        <f aca="false">FG527*$AC$525*FG528*FG$38*'⑫ Roll-out Plan'!$O$57</f>
        <v>120.9648</v>
      </c>
      <c r="FH529" s="9" t="n">
        <f aca="false">FH527*$AC$525*FH528*FH$38*'⑫ Roll-out Plan'!$O$57</f>
        <v>114.708</v>
      </c>
      <c r="FI529" s="9" t="n">
        <f aca="false">FI527*$AC$525*FI528*FI$38*'⑫ Roll-out Plan'!$O$57</f>
        <v>97.152</v>
      </c>
      <c r="FJ529" s="9" t="n">
        <f aca="false">FJ527*$AC$525*FJ528*FJ$38*'⑫ Roll-out Plan'!$O$57</f>
        <v>86.592</v>
      </c>
      <c r="FK529" s="9" t="n">
        <f aca="false">FK527*$AC$525*FK528*FK$38*'⑫ Roll-out Plan'!$O$57</f>
        <v>93.1392</v>
      </c>
      <c r="FL529" s="9" t="n">
        <f aca="false">FL527*$AC$525*FL528*FL$38*'⑫ Roll-out Plan'!$O$57</f>
        <v>159.324</v>
      </c>
      <c r="FM529" s="9" t="n">
        <f aca="false">FM527*$AC$525*FM528*FM$38*'⑫ Roll-out Plan'!$O$57</f>
        <v>130.152</v>
      </c>
      <c r="FN529" s="9" t="n">
        <f aca="false">FN527*$AC$525*FN528*FN$38*'⑫ Roll-out Plan'!$O$57</f>
        <v>108.9792</v>
      </c>
      <c r="FO529" s="9" t="n">
        <f aca="false">FO527*$AC$525*FO528*FO$38*'⑫ Roll-out Plan'!$O$57</f>
        <v>83.6352</v>
      </c>
      <c r="FP529" s="9" t="n">
        <f aca="false">FP527*$AC$525*FP528*FP$38*'⑫ Roll-out Plan'!$O$57</f>
        <v>119.8296</v>
      </c>
    </row>
    <row r="530" customFormat="false" ht="15" hidden="false" customHeight="false" outlineLevel="2" collapsed="false">
      <c r="B530" s="47" t="s">
        <v>877</v>
      </c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237" t="n">
        <f aca="true">IFERROR(SUMPRODUCT(OFFSET($BJ$31,0,1-MIN(60,COLUMN()-29),1,MIN(60,COLUMN()-29)),OFFSET(AC529,0,-MIN(60,COLUMN()-29),1,MIN(60,COLUMN()-29))),0)</f>
        <v>0</v>
      </c>
      <c r="AD530" s="237" t="n">
        <f aca="true">IFERROR(SUMPRODUCT(OFFSET($BJ$31,0,1-MIN(60,COLUMN()-29),1,MIN(60,COLUMN()-29)),OFFSET(AD529,0,-MIN(60,COLUMN()-29),1,MIN(60,COLUMN()-29))),0)</f>
        <v>0</v>
      </c>
      <c r="AE530" s="237" t="n">
        <f aca="true">IFERROR(SUMPRODUCT(OFFSET($BJ$31,0,1-MIN(60,COLUMN()-29),1,MIN(60,COLUMN()-29)),OFFSET(AE529,0,-MIN(60,COLUMN()-29),1,MIN(60,COLUMN()-29))),0)</f>
        <v>0</v>
      </c>
      <c r="AF530" s="237" t="n">
        <f aca="true">IFERROR(SUMPRODUCT(OFFSET($BJ$31,0,1-MIN(60,COLUMN()-29),1,MIN(60,COLUMN()-29)),OFFSET(AF529,0,-MIN(60,COLUMN()-29),1,MIN(60,COLUMN()-29))),0)</f>
        <v>0</v>
      </c>
      <c r="AG530" s="237" t="n">
        <f aca="true">IFERROR(SUMPRODUCT(OFFSET($BJ$31,0,1-MIN(60,COLUMN()-29),1,MIN(60,COLUMN()-29)),OFFSET(AG529,0,-MIN(60,COLUMN()-29),1,MIN(60,COLUMN()-29))),0)</f>
        <v>0</v>
      </c>
      <c r="AH530" s="237" t="n">
        <f aca="true">IFERROR(SUMPRODUCT(OFFSET($BJ$31,0,1-MIN(60,COLUMN()-29),1,MIN(60,COLUMN()-29)),OFFSET(AH529,0,-MIN(60,COLUMN()-29),1,MIN(60,COLUMN()-29))),0)</f>
        <v>0</v>
      </c>
      <c r="AI530" s="237" t="n">
        <f aca="true">IFERROR(SUMPRODUCT(OFFSET($BJ$31,0,1-MIN(60,COLUMN()-29),1,MIN(60,COLUMN()-29)),OFFSET(AI529,0,-MIN(60,COLUMN()-29),1,MIN(60,COLUMN()-29))),0)</f>
        <v>0</v>
      </c>
      <c r="AJ530" s="237" t="n">
        <f aca="true">IFERROR(SUMPRODUCT(OFFSET($BJ$31,0,1-MIN(60,COLUMN()-29),1,MIN(60,COLUMN()-29)),OFFSET(AJ529,0,-MIN(60,COLUMN()-29),1,MIN(60,COLUMN()-29))),0)</f>
        <v>0</v>
      </c>
      <c r="AK530" s="237" t="n">
        <f aca="true">IFERROR(SUMPRODUCT(OFFSET($BJ$31,0,1-MIN(60,COLUMN()-29),1,MIN(60,COLUMN()-29)),OFFSET(AK529,0,-MIN(60,COLUMN()-29),1,MIN(60,COLUMN()-29))),0)</f>
        <v>0</v>
      </c>
      <c r="AL530" s="237" t="n">
        <f aca="true">IFERROR(SUMPRODUCT(OFFSET($BJ$31,0,1-MIN(60,COLUMN()-29),1,MIN(60,COLUMN()-29)),OFFSET(AL529,0,-MIN(60,COLUMN()-29),1,MIN(60,COLUMN()-29))),0)</f>
        <v>0</v>
      </c>
      <c r="AM530" s="237" t="n">
        <f aca="true">IFERROR(SUMPRODUCT(OFFSET($BJ$31,0,1-MIN(60,COLUMN()-29),1,MIN(60,COLUMN()-29)),OFFSET(AM529,0,-MIN(60,COLUMN()-29),1,MIN(60,COLUMN()-29))),0)</f>
        <v>0</v>
      </c>
      <c r="AN530" s="237" t="n">
        <f aca="true">IFERROR(SUMPRODUCT(OFFSET($BJ$31,0,1-MIN(60,COLUMN()-29),1,MIN(60,COLUMN()-29)),OFFSET(AN529,0,-MIN(60,COLUMN()-29),1,MIN(60,COLUMN()-29))),0)</f>
        <v>0</v>
      </c>
      <c r="AO530" s="237" t="n">
        <f aca="true">IFERROR(SUMPRODUCT(OFFSET($BJ$31,0,1-MIN(60,COLUMN()-29),1,MIN(60,COLUMN()-29)),OFFSET(AO529,0,-MIN(60,COLUMN()-29),1,MIN(60,COLUMN()-29))),0)</f>
        <v>0</v>
      </c>
      <c r="AP530" s="237" t="n">
        <f aca="true">IFERROR(SUMPRODUCT(OFFSET($BJ$31,0,1-MIN(60,COLUMN()-29),1,MIN(60,COLUMN()-29)),OFFSET(AP529,0,-MIN(60,COLUMN()-29),1,MIN(60,COLUMN()-29))),0)</f>
        <v>0</v>
      </c>
      <c r="AQ530" s="237" t="n">
        <f aca="true">IFERROR(SUMPRODUCT(OFFSET($BJ$31,0,1-MIN(60,COLUMN()-29),1,MIN(60,COLUMN()-29)),OFFSET(AQ529,0,-MIN(60,COLUMN()-29),1,MIN(60,COLUMN()-29))),0)</f>
        <v>0</v>
      </c>
      <c r="AR530" s="237" t="n">
        <f aca="true">IFERROR(SUMPRODUCT(OFFSET($BJ$31,0,1-MIN(60,COLUMN()-29),1,MIN(60,COLUMN()-29)),OFFSET(AR529,0,-MIN(60,COLUMN()-29),1,MIN(60,COLUMN()-29))),0)</f>
        <v>0</v>
      </c>
      <c r="AS530" s="237" t="n">
        <f aca="true">IFERROR(SUMPRODUCT(OFFSET($BJ$31,0,1-MIN(60,COLUMN()-29),1,MIN(60,COLUMN()-29)),OFFSET(AS529,0,-MIN(60,COLUMN()-29),1,MIN(60,COLUMN()-29))),0)</f>
        <v>0</v>
      </c>
      <c r="AT530" s="237" t="n">
        <f aca="true">IFERROR(SUMPRODUCT(OFFSET($BJ$31,0,1-MIN(60,COLUMN()-29),1,MIN(60,COLUMN()-29)),OFFSET(AT529,0,-MIN(60,COLUMN()-29),1,MIN(60,COLUMN()-29))),0)</f>
        <v>0</v>
      </c>
      <c r="AU530" s="237" t="n">
        <f aca="true">IFERROR(SUMPRODUCT(OFFSET($BJ$31,0,1-MIN(60,COLUMN()-29),1,MIN(60,COLUMN()-29)),OFFSET(AU529,0,-MIN(60,COLUMN()-29),1,MIN(60,COLUMN()-29))),0)</f>
        <v>0</v>
      </c>
      <c r="AV530" s="237" t="n">
        <f aca="true">IFERROR(SUMPRODUCT(OFFSET($BJ$31,0,1-MIN(60,COLUMN()-29),1,MIN(60,COLUMN()-29)),OFFSET(AV529,0,-MIN(60,COLUMN()-29),1,MIN(60,COLUMN()-29))),0)</f>
        <v>0</v>
      </c>
      <c r="AW530" s="237" t="n">
        <f aca="true">IFERROR(SUMPRODUCT(OFFSET($BJ$31,0,1-MIN(60,COLUMN()-29),1,MIN(60,COLUMN()-29)),OFFSET(AW529,0,-MIN(60,COLUMN()-29),1,MIN(60,COLUMN()-29))),0)</f>
        <v>0</v>
      </c>
      <c r="AX530" s="237" t="n">
        <f aca="true">IFERROR(SUMPRODUCT(OFFSET($BJ$31,0,1-MIN(60,COLUMN()-29),1,MIN(60,COLUMN()-29)),OFFSET(AX529,0,-MIN(60,COLUMN()-29),1,MIN(60,COLUMN()-29))),0)</f>
        <v>0</v>
      </c>
      <c r="AY530" s="237" t="n">
        <f aca="true">IFERROR(SUMPRODUCT(OFFSET($BJ$31,0,1-MIN(60,COLUMN()-29),1,MIN(60,COLUMN()-29)),OFFSET(AY529,0,-MIN(60,COLUMN()-29),1,MIN(60,COLUMN()-29))),0)</f>
        <v>0</v>
      </c>
      <c r="AZ530" s="237" t="n">
        <f aca="true">IFERROR(SUMPRODUCT(OFFSET($BJ$31,0,1-MIN(60,COLUMN()-29),1,MIN(60,COLUMN()-29)),OFFSET(AZ529,0,-MIN(60,COLUMN()-29),1,MIN(60,COLUMN()-29))),0)</f>
        <v>0</v>
      </c>
      <c r="BA530" s="237" t="n">
        <f aca="true">IFERROR(SUMPRODUCT(OFFSET($BJ$31,0,1-MIN(60,COLUMN()-29),1,MIN(60,COLUMN()-29)),OFFSET(BA529,0,-MIN(60,COLUMN()-29),1,MIN(60,COLUMN()-29))),0)</f>
        <v>0</v>
      </c>
      <c r="BB530" s="237" t="n">
        <f aca="true">IFERROR(SUMPRODUCT(OFFSET($BJ$31,0,1-MIN(60,COLUMN()-29),1,MIN(60,COLUMN()-29)),OFFSET(BB529,0,-MIN(60,COLUMN()-29),1,MIN(60,COLUMN()-29))),0)</f>
        <v>0</v>
      </c>
      <c r="BC530" s="237" t="n">
        <f aca="true">IFERROR(SUMPRODUCT(OFFSET($BJ$31,0,1-MIN(60,COLUMN()-29),1,MIN(60,COLUMN()-29)),OFFSET(BC529,0,-MIN(60,COLUMN()-29),1,MIN(60,COLUMN()-29))),0)</f>
        <v>0</v>
      </c>
      <c r="BD530" s="237" t="n">
        <f aca="true">IFERROR(SUMPRODUCT(OFFSET($BJ$31,0,1-MIN(60,COLUMN()-29),1,MIN(60,COLUMN()-29)),OFFSET(BD529,0,-MIN(60,COLUMN()-29),1,MIN(60,COLUMN()-29))),0)</f>
        <v>0</v>
      </c>
      <c r="BE530" s="237" t="n">
        <f aca="true">IFERROR(SUMPRODUCT(OFFSET($BJ$31,0,1-MIN(60,COLUMN()-29),1,MIN(60,COLUMN()-29)),OFFSET(BE529,0,-MIN(60,COLUMN()-29),1,MIN(60,COLUMN()-29))),0)</f>
        <v>0</v>
      </c>
      <c r="BF530" s="237" t="n">
        <f aca="true">IFERROR(SUMPRODUCT(OFFSET($BJ$31,0,1-MIN(60,COLUMN()-29),1,MIN(60,COLUMN()-29)),OFFSET(BF529,0,-MIN(60,COLUMN()-29),1,MIN(60,COLUMN()-29))),0)</f>
        <v>0</v>
      </c>
      <c r="BG530" s="237" t="n">
        <f aca="true">IFERROR(SUMPRODUCT(OFFSET($BJ$31,0,1-MIN(60,COLUMN()-29),1,MIN(60,COLUMN()-29)),OFFSET(BG529,0,-MIN(60,COLUMN()-29),1,MIN(60,COLUMN()-29))),0)</f>
        <v>0</v>
      </c>
      <c r="BH530" s="237" t="n">
        <f aca="true">IFERROR(SUMPRODUCT(OFFSET($BJ$31,0,1-MIN(60,COLUMN()-29),1,MIN(60,COLUMN()-29)),OFFSET(BH529,0,-MIN(60,COLUMN()-29),1,MIN(60,COLUMN()-29))),0)</f>
        <v>0</v>
      </c>
      <c r="BI530" s="237" t="n">
        <f aca="true">IFERROR(SUMPRODUCT(OFFSET($BJ$31,0,1-MIN(60,COLUMN()-29),1,MIN(60,COLUMN()-29)),OFFSET(BI529,0,-MIN(60,COLUMN()-29),1,MIN(60,COLUMN()-29))),0)</f>
        <v>0</v>
      </c>
      <c r="BJ530" s="237" t="n">
        <f aca="true">IFERROR(SUMPRODUCT(OFFSET($BJ$31,0,1-MIN(60,COLUMN()-29),1,MIN(60,COLUMN()-29)),OFFSET(BJ529,0,-MIN(60,COLUMN()-29),1,MIN(60,COLUMN()-29))),0)</f>
        <v>0</v>
      </c>
      <c r="BK530" s="237" t="n">
        <f aca="true">IFERROR(SUMPRODUCT(OFFSET($BJ$31,0,1-MIN(60,COLUMN()-29),1,MIN(60,COLUMN()-29)),OFFSET(BK529,0,-MIN(60,COLUMN()-29),1,MIN(60,COLUMN()-29))),0)</f>
        <v>0</v>
      </c>
      <c r="BL530" s="237" t="n">
        <f aca="true">IFERROR(SUMPRODUCT(OFFSET($BJ$31,0,1-MIN(60,COLUMN()-29),1,MIN(60,COLUMN()-29)),OFFSET(BL529,0,-MIN(60,COLUMN()-29),1,MIN(60,COLUMN()-29))),0)</f>
        <v>0</v>
      </c>
      <c r="BM530" s="237" t="n">
        <f aca="true">IFERROR(SUMPRODUCT(OFFSET($BJ$31,0,1-MIN(60,COLUMN()-29),1,MIN(60,COLUMN()-29)),OFFSET(BM529,0,-MIN(60,COLUMN()-29),1,MIN(60,COLUMN()-29))),0)</f>
        <v>0</v>
      </c>
      <c r="BN530" s="237" t="n">
        <f aca="true">IFERROR(SUMPRODUCT(OFFSET($BJ$31,0,1-MIN(60,COLUMN()-29),1,MIN(60,COLUMN()-29)),OFFSET(BN529,0,-MIN(60,COLUMN()-29),1,MIN(60,COLUMN()-29))),0)</f>
        <v>0</v>
      </c>
      <c r="BO530" s="237" t="n">
        <f aca="true">IFERROR(SUMPRODUCT(OFFSET($BJ$31,0,1-MIN(60,COLUMN()-29),1,MIN(60,COLUMN()-29)),OFFSET(BO529,0,-MIN(60,COLUMN()-29),1,MIN(60,COLUMN()-29))),0)</f>
        <v>0</v>
      </c>
      <c r="BP530" s="237" t="n">
        <f aca="true">IFERROR(SUMPRODUCT(OFFSET($BJ$31,0,1-MIN(60,COLUMN()-29),1,MIN(60,COLUMN()-29)),OFFSET(BP529,0,-MIN(60,COLUMN()-29),1,MIN(60,COLUMN()-29))),0)</f>
        <v>0</v>
      </c>
      <c r="BQ530" s="237" t="n">
        <f aca="true">IFERROR(SUMPRODUCT(OFFSET($BJ$31,0,1-MIN(60,COLUMN()-29),1,MIN(60,COLUMN()-29)),OFFSET(BQ529,0,-MIN(60,COLUMN()-29),1,MIN(60,COLUMN()-29))),0)</f>
        <v>0</v>
      </c>
      <c r="BR530" s="237" t="n">
        <f aca="true">IFERROR(SUMPRODUCT(OFFSET($BJ$31,0,1-MIN(60,COLUMN()-29),1,MIN(60,COLUMN()-29)),OFFSET(BR529,0,-MIN(60,COLUMN()-29),1,MIN(60,COLUMN()-29))),0)</f>
        <v>0</v>
      </c>
      <c r="BS530" s="237" t="n">
        <f aca="true">IFERROR(SUMPRODUCT(OFFSET($BJ$31,0,1-MIN(60,COLUMN()-29),1,MIN(60,COLUMN()-29)),OFFSET(BS529,0,-MIN(60,COLUMN()-29),1,MIN(60,COLUMN()-29))),0)</f>
        <v>0</v>
      </c>
      <c r="BT530" s="237" t="n">
        <f aca="true">IFERROR(SUMPRODUCT(OFFSET($BJ$31,0,1-MIN(60,COLUMN()-29),1,MIN(60,COLUMN()-29)),OFFSET(BT529,0,-MIN(60,COLUMN()-29),1,MIN(60,COLUMN()-29))),0)</f>
        <v>0</v>
      </c>
      <c r="BU530" s="237" t="n">
        <f aca="true">IFERROR(SUMPRODUCT(OFFSET($BJ$31,0,1-MIN(60,COLUMN()-29),1,MIN(60,COLUMN()-29)),OFFSET(BU529,0,-MIN(60,COLUMN()-29),1,MIN(60,COLUMN()-29))),0)</f>
        <v>0</v>
      </c>
      <c r="BV530" s="237" t="n">
        <f aca="true">IFERROR(SUMPRODUCT(OFFSET($BJ$31,0,1-MIN(60,COLUMN()-29),1,MIN(60,COLUMN()-29)),OFFSET(BV529,0,-MIN(60,COLUMN()-29),1,MIN(60,COLUMN()-29))),0)</f>
        <v>0</v>
      </c>
      <c r="BW530" s="237" t="n">
        <f aca="true">IFERROR(SUMPRODUCT(OFFSET($BJ$31,0,1-MIN(60,COLUMN()-29),1,MIN(60,COLUMN()-29)),OFFSET(BW529,0,-MIN(60,COLUMN()-29),1,MIN(60,COLUMN()-29))),0)</f>
        <v>0</v>
      </c>
      <c r="BX530" s="237" t="n">
        <f aca="true">IFERROR(SUMPRODUCT(OFFSET($BJ$31,0,1-MIN(60,COLUMN()-29),1,MIN(60,COLUMN()-29)),OFFSET(BX529,0,-MIN(60,COLUMN()-29),1,MIN(60,COLUMN()-29))),0)</f>
        <v>0</v>
      </c>
      <c r="BY530" s="237" t="n">
        <f aca="true">IFERROR(SUMPRODUCT(OFFSET($BJ$31,0,1-MIN(60,COLUMN()-29),1,MIN(60,COLUMN()-29)),OFFSET(BY529,0,-MIN(60,COLUMN()-29),1,MIN(60,COLUMN()-29))),0)</f>
        <v>0</v>
      </c>
      <c r="BZ530" s="237" t="n">
        <f aca="true">IFERROR(SUMPRODUCT(OFFSET($BJ$31,0,1-MIN(60,COLUMN()-29),1,MIN(60,COLUMN()-29)),OFFSET(BZ529,0,-MIN(60,COLUMN()-29),1,MIN(60,COLUMN()-29))),0)</f>
        <v>0</v>
      </c>
      <c r="CA530" s="237" t="n">
        <f aca="true">IFERROR(SUMPRODUCT(OFFSET($BJ$31,0,1-MIN(60,COLUMN()-29),1,MIN(60,COLUMN()-29)),OFFSET(CA529,0,-MIN(60,COLUMN()-29),1,MIN(60,COLUMN()-29))),0)</f>
        <v>0</v>
      </c>
      <c r="CB530" s="237" t="n">
        <f aca="true">IFERROR(SUMPRODUCT(OFFSET($BJ$31,0,1-MIN(60,COLUMN()-29),1,MIN(60,COLUMN()-29)),OFFSET(CB529,0,-MIN(60,COLUMN()-29),1,MIN(60,COLUMN()-29))),0)</f>
        <v>0</v>
      </c>
      <c r="CC530" s="237" t="n">
        <f aca="true">IFERROR(SUMPRODUCT(OFFSET($BJ$31,0,1-MIN(60,COLUMN()-29),1,MIN(60,COLUMN()-29)),OFFSET(CC529,0,-MIN(60,COLUMN()-29),1,MIN(60,COLUMN()-29))),0)</f>
        <v>0</v>
      </c>
      <c r="CD530" s="237" t="n">
        <f aca="true">IFERROR(SUMPRODUCT(OFFSET($BJ$31,0,1-MIN(60,COLUMN()-29),1,MIN(60,COLUMN()-29)),OFFSET(CD529,0,-MIN(60,COLUMN()-29),1,MIN(60,COLUMN()-29))),0)</f>
        <v>0</v>
      </c>
      <c r="CE530" s="237" t="n">
        <f aca="true">IFERROR(SUMPRODUCT(OFFSET($BJ$31,0,1-MIN(60,COLUMN()-29),1,MIN(60,COLUMN()-29)),OFFSET(CE529,0,-MIN(60,COLUMN()-29),1,MIN(60,COLUMN()-29))),0)</f>
        <v>0</v>
      </c>
      <c r="CF530" s="237" t="n">
        <f aca="true">IFERROR(SUMPRODUCT(OFFSET($BJ$31,0,1-MIN(60,COLUMN()-29),1,MIN(60,COLUMN()-29)),OFFSET(CF529,0,-MIN(60,COLUMN()-29),1,MIN(60,COLUMN()-29))),0)</f>
        <v>0</v>
      </c>
      <c r="CG530" s="237" t="n">
        <f aca="true">IFERROR(SUMPRODUCT(OFFSET($BJ$31,0,1-MIN(60,COLUMN()-29),1,MIN(60,COLUMN()-29)),OFFSET(CG529,0,-MIN(60,COLUMN()-29),1,MIN(60,COLUMN()-29))),0)</f>
        <v>0</v>
      </c>
      <c r="CH530" s="237" t="n">
        <f aca="true">IFERROR(SUMPRODUCT(OFFSET($BJ$31,0,1-MIN(60,COLUMN()-29),1,MIN(60,COLUMN()-29)),OFFSET(CH529,0,-MIN(60,COLUMN()-29),1,MIN(60,COLUMN()-29))),0)</f>
        <v>0</v>
      </c>
      <c r="CI530" s="237" t="n">
        <f aca="true">IFERROR(SUMPRODUCT(OFFSET($BJ$31,0,1-MIN(60,COLUMN()-29),1,MIN(60,COLUMN()-29)),OFFSET(CI529,0,-MIN(60,COLUMN()-29),1,MIN(60,COLUMN()-29))),0)</f>
        <v>0</v>
      </c>
      <c r="CJ530" s="237" t="n">
        <f aca="true">IFERROR(SUMPRODUCT(OFFSET($BJ$31,0,1-MIN(60,COLUMN()-29),1,MIN(60,COLUMN()-29)),OFFSET(CJ529,0,-MIN(60,COLUMN()-29),1,MIN(60,COLUMN()-29))),0)</f>
        <v>0</v>
      </c>
      <c r="CK530" s="237" t="n">
        <f aca="true">IFERROR(SUMPRODUCT(OFFSET($BJ$31,0,1-MIN(60,COLUMN()-29),1,MIN(60,COLUMN()-29)),OFFSET(CK529,0,-MIN(60,COLUMN()-29),1,MIN(60,COLUMN()-29))),0)</f>
        <v>0</v>
      </c>
      <c r="CL530" s="237" t="n">
        <f aca="true">IFERROR(SUMPRODUCT(OFFSET($BJ$31,0,1-MIN(60,COLUMN()-29),1,MIN(60,COLUMN()-29)),OFFSET(CL529,0,-MIN(60,COLUMN()-29),1,MIN(60,COLUMN()-29))),0)</f>
        <v>0</v>
      </c>
      <c r="CM530" s="237" t="n">
        <f aca="true">IFERROR(SUMPRODUCT(OFFSET($BJ$31,0,1-MIN(60,COLUMN()-29),1,MIN(60,COLUMN()-29)),OFFSET(CM529,0,-MIN(60,COLUMN()-29),1,MIN(60,COLUMN()-29))),0)</f>
        <v>0</v>
      </c>
      <c r="CN530" s="237" t="n">
        <f aca="true">IFERROR(SUMPRODUCT(OFFSET($BJ$31,0,1-MIN(60,COLUMN()-29),1,MIN(60,COLUMN()-29)),OFFSET(CN529,0,-MIN(60,COLUMN()-29),1,MIN(60,COLUMN()-29))),0)</f>
        <v>0</v>
      </c>
      <c r="CO530" s="237" t="n">
        <f aca="true">IFERROR(SUMPRODUCT(OFFSET($BJ$31,0,1-MIN(60,COLUMN()-29),1,MIN(60,COLUMN()-29)),OFFSET(CO529,0,-MIN(60,COLUMN()-29),1,MIN(60,COLUMN()-29))),0)</f>
        <v>0</v>
      </c>
      <c r="CP530" s="237" t="n">
        <f aca="true">IFERROR(SUMPRODUCT(OFFSET($BJ$31,0,1-MIN(60,COLUMN()-29),1,MIN(60,COLUMN()-29)),OFFSET(CP529,0,-MIN(60,COLUMN()-29),1,MIN(60,COLUMN()-29))),0)</f>
        <v>0</v>
      </c>
      <c r="CQ530" s="237" t="n">
        <f aca="true">IFERROR(SUMPRODUCT(OFFSET($BJ$31,0,1-MIN(60,COLUMN()-29),1,MIN(60,COLUMN()-29)),OFFSET(CQ529,0,-MIN(60,COLUMN()-29),1,MIN(60,COLUMN()-29))),0)</f>
        <v>0</v>
      </c>
      <c r="CR530" s="237" t="n">
        <f aca="true">IFERROR(SUMPRODUCT(OFFSET($BJ$31,0,1-MIN(60,COLUMN()-29),1,MIN(60,COLUMN()-29)),OFFSET(CR529,0,-MIN(60,COLUMN()-29),1,MIN(60,COLUMN()-29))),0)</f>
        <v>0</v>
      </c>
      <c r="CS530" s="237" t="n">
        <f aca="true">IFERROR(SUMPRODUCT(OFFSET($BJ$31,0,1-MIN(60,COLUMN()-29),1,MIN(60,COLUMN()-29)),OFFSET(CS529,0,-MIN(60,COLUMN()-29),1,MIN(60,COLUMN()-29))),0)</f>
        <v>0</v>
      </c>
      <c r="CT530" s="237" t="n">
        <f aca="true">IFERROR(SUMPRODUCT(OFFSET($BJ$31,0,1-MIN(60,COLUMN()-29),1,MIN(60,COLUMN()-29)),OFFSET(CT529,0,-MIN(60,COLUMN()-29),1,MIN(60,COLUMN()-29))),0)</f>
        <v>0</v>
      </c>
      <c r="CU530" s="237" t="n">
        <f aca="true">IFERROR(SUMPRODUCT(OFFSET($BJ$31,0,1-MIN(60,COLUMN()-29),1,MIN(60,COLUMN()-29)),OFFSET(CU529,0,-MIN(60,COLUMN()-29),1,MIN(60,COLUMN()-29))),0)</f>
        <v>0</v>
      </c>
      <c r="CV530" s="237" t="n">
        <f aca="true">IFERROR(SUMPRODUCT(OFFSET($BJ$31,0,1-MIN(60,COLUMN()-29),1,MIN(60,COLUMN()-29)),OFFSET(CV529,0,-MIN(60,COLUMN()-29),1,MIN(60,COLUMN()-29))),0)</f>
        <v>0</v>
      </c>
      <c r="CW530" s="237" t="n">
        <f aca="true">IFERROR(SUMPRODUCT(OFFSET($BJ$31,0,1-MIN(60,COLUMN()-29),1,MIN(60,COLUMN()-29)),OFFSET(CW529,0,-MIN(60,COLUMN()-29),1,MIN(60,COLUMN()-29))),0)</f>
        <v>0</v>
      </c>
      <c r="CX530" s="237" t="n">
        <f aca="true">IFERROR(SUMPRODUCT(OFFSET($BJ$31,0,1-MIN(60,COLUMN()-29),1,MIN(60,COLUMN()-29)),OFFSET(CX529,0,-MIN(60,COLUMN()-29),1,MIN(60,COLUMN()-29))),0)</f>
        <v>0</v>
      </c>
      <c r="CY530" s="237" t="n">
        <f aca="true">IFERROR(SUMPRODUCT(OFFSET($BJ$31,0,1-MIN(60,COLUMN()-29),1,MIN(60,COLUMN()-29)),OFFSET(CY529,0,-MIN(60,COLUMN()-29),1,MIN(60,COLUMN()-29))),0)</f>
        <v>0</v>
      </c>
      <c r="CZ530" s="237" t="n">
        <f aca="true">IFERROR(SUMPRODUCT(OFFSET($BJ$31,0,1-MIN(60,COLUMN()-29),1,MIN(60,COLUMN()-29)),OFFSET(CZ529,0,-MIN(60,COLUMN()-29),1,MIN(60,COLUMN()-29))),0)</f>
        <v>0</v>
      </c>
      <c r="DA530" s="237" t="n">
        <f aca="true">IFERROR(SUMPRODUCT(OFFSET($BJ$31,0,1-MIN(60,COLUMN()-29),1,MIN(60,COLUMN()-29)),OFFSET(DA529,0,-MIN(60,COLUMN()-29),1,MIN(60,COLUMN()-29))),0)</f>
        <v>0</v>
      </c>
      <c r="DB530" s="237" t="n">
        <f aca="true">IFERROR(SUMPRODUCT(OFFSET($BJ$31,0,1-MIN(60,COLUMN()-29),1,MIN(60,COLUMN()-29)),OFFSET(DB529,0,-MIN(60,COLUMN()-29),1,MIN(60,COLUMN()-29))),0)</f>
        <v>0</v>
      </c>
      <c r="DC530" s="237" t="n">
        <f aca="true">IFERROR(SUMPRODUCT(OFFSET($BJ$31,0,1-MIN(60,COLUMN()-29),1,MIN(60,COLUMN()-29)),OFFSET(DC529,0,-MIN(60,COLUMN()-29),1,MIN(60,COLUMN()-29))),0)</f>
        <v>0</v>
      </c>
      <c r="DD530" s="237" t="n">
        <f aca="true">IFERROR(SUMPRODUCT(OFFSET($BJ$31,0,1-MIN(60,COLUMN()-29),1,MIN(60,COLUMN()-29)),OFFSET(DD529,0,-MIN(60,COLUMN()-29),1,MIN(60,COLUMN()-29))),0)</f>
        <v>0</v>
      </c>
      <c r="DE530" s="237" t="n">
        <f aca="true">IFERROR(SUMPRODUCT(OFFSET($BJ$31,0,1-MIN(60,COLUMN()-29),1,MIN(60,COLUMN()-29)),OFFSET(DE529,0,-MIN(60,COLUMN()-29),1,MIN(60,COLUMN()-29))),0)</f>
        <v>0</v>
      </c>
      <c r="DF530" s="237" t="n">
        <f aca="true">IFERROR(SUMPRODUCT(OFFSET($BJ$31,0,1-MIN(60,COLUMN()-29),1,MIN(60,COLUMN()-29)),OFFSET(DF529,0,-MIN(60,COLUMN()-29),1,MIN(60,COLUMN()-29))),0)</f>
        <v>0</v>
      </c>
      <c r="DG530" s="237" t="n">
        <f aca="true">IFERROR(SUMPRODUCT(OFFSET($BJ$31,0,1-MIN(60,COLUMN()-29),1,MIN(60,COLUMN()-29)),OFFSET(DG529,0,-MIN(60,COLUMN()-29),1,MIN(60,COLUMN()-29))),0)</f>
        <v>0</v>
      </c>
      <c r="DH530" s="237" t="n">
        <f aca="true">IFERROR(SUMPRODUCT(OFFSET($BJ$31,0,1-MIN(60,COLUMN()-29),1,MIN(60,COLUMN()-29)),OFFSET(DH529,0,-MIN(60,COLUMN()-29),1,MIN(60,COLUMN()-29))),0)</f>
        <v>0</v>
      </c>
      <c r="DI530" s="237" t="n">
        <f aca="true">IFERROR(SUMPRODUCT(OFFSET($BJ$31,0,1-MIN(60,COLUMN()-29),1,MIN(60,COLUMN()-29)),OFFSET(DI529,0,-MIN(60,COLUMN()-29),1,MIN(60,COLUMN()-29))),0)</f>
        <v>0</v>
      </c>
      <c r="DJ530" s="237" t="n">
        <f aca="true">IFERROR(SUMPRODUCT(OFFSET($BJ$31,0,1-MIN(60,COLUMN()-29),1,MIN(60,COLUMN()-29)),OFFSET(DJ529,0,-MIN(60,COLUMN()-29),1,MIN(60,COLUMN()-29))),0)</f>
        <v>0</v>
      </c>
      <c r="DK530" s="237" t="n">
        <f aca="true">IFERROR(SUMPRODUCT(OFFSET($BJ$31,0,1-MIN(60,COLUMN()-29),1,MIN(60,COLUMN()-29)),OFFSET(DK529,0,-MIN(60,COLUMN()-29),1,MIN(60,COLUMN()-29))),0)</f>
        <v>0</v>
      </c>
      <c r="DL530" s="237" t="n">
        <f aca="true">IFERROR(SUMPRODUCT(OFFSET($BJ$31,0,1-MIN(60,COLUMN()-29),1,MIN(60,COLUMN()-29)),OFFSET(DL529,0,-MIN(60,COLUMN()-29),1,MIN(60,COLUMN()-29))),0)</f>
        <v>0</v>
      </c>
      <c r="DM530" s="237" t="n">
        <f aca="true">IFERROR(SUMPRODUCT(OFFSET($BJ$31,0,1-MIN(60,COLUMN()-29),1,MIN(60,COLUMN()-29)),OFFSET(DM529,0,-MIN(60,COLUMN()-29),1,MIN(60,COLUMN()-29))),0)</f>
        <v>0</v>
      </c>
      <c r="DN530" s="237" t="n">
        <f aca="true">IFERROR(SUMPRODUCT(OFFSET($BJ$31,0,1-MIN(60,COLUMN()-29),1,MIN(60,COLUMN()-29)),OFFSET(DN529,0,-MIN(60,COLUMN()-29),1,MIN(60,COLUMN()-29))),0)</f>
        <v>0</v>
      </c>
      <c r="DO530" s="237" t="n">
        <f aca="true">IFERROR(SUMPRODUCT(OFFSET($BJ$31,0,1-MIN(60,COLUMN()-29),1,MIN(60,COLUMN()-29)),OFFSET(DO529,0,-MIN(60,COLUMN()-29),1,MIN(60,COLUMN()-29))),0)</f>
        <v>0</v>
      </c>
      <c r="DP530" s="237" t="n">
        <f aca="true">IFERROR(SUMPRODUCT(OFFSET($BJ$31,0,1-MIN(60,COLUMN()-29),1,MIN(60,COLUMN()-29)),OFFSET(DP529,0,-MIN(60,COLUMN()-29),1,MIN(60,COLUMN()-29))),0)</f>
        <v>0</v>
      </c>
      <c r="DQ530" s="237" t="n">
        <f aca="true">IFERROR(SUMPRODUCT(OFFSET($BJ$31,0,1-MIN(60,COLUMN()-29),1,MIN(60,COLUMN()-29)),OFFSET(DQ529,0,-MIN(60,COLUMN()-29),1,MIN(60,COLUMN()-29))),0)</f>
        <v>0</v>
      </c>
      <c r="DR530" s="237" t="n">
        <f aca="true">IFERROR(SUMPRODUCT(OFFSET($BJ$31,0,1-MIN(60,COLUMN()-29),1,MIN(60,COLUMN()-29)),OFFSET(DR529,0,-MIN(60,COLUMN()-29),1,MIN(60,COLUMN()-29))),0)</f>
        <v>0</v>
      </c>
      <c r="DS530" s="237" t="n">
        <f aca="true">IFERROR(SUMPRODUCT(OFFSET($BJ$31,0,1-MIN(60,COLUMN()-29),1,MIN(60,COLUMN()-29)),OFFSET(DS529,0,-MIN(60,COLUMN()-29),1,MIN(60,COLUMN()-29))),0)</f>
        <v>0</v>
      </c>
      <c r="DT530" s="237" t="n">
        <f aca="true">IFERROR(SUMPRODUCT(OFFSET($BJ$31,0,1-MIN(60,COLUMN()-29),1,MIN(60,COLUMN()-29)),OFFSET(DT529,0,-MIN(60,COLUMN()-29),1,MIN(60,COLUMN()-29))),0)</f>
        <v>0</v>
      </c>
      <c r="DU530" s="237" t="n">
        <f aca="true">IFERROR(SUMPRODUCT(OFFSET($BJ$31,0,1-MIN(60,COLUMN()-29),1,MIN(60,COLUMN()-29)),OFFSET(DU529,0,-MIN(60,COLUMN()-29),1,MIN(60,COLUMN()-29))),0)</f>
        <v>0</v>
      </c>
      <c r="DV530" s="237" t="n">
        <f aca="true">IFERROR(SUMPRODUCT(OFFSET($BJ$31,0,1-MIN(60,COLUMN()-29),1,MIN(60,COLUMN()-29)),OFFSET(DV529,0,-MIN(60,COLUMN()-29),1,MIN(60,COLUMN()-29))),0)</f>
        <v>0</v>
      </c>
      <c r="DW530" s="237" t="n">
        <f aca="true">IFERROR(SUMPRODUCT(OFFSET($BJ$31,0,1-MIN(60,COLUMN()-29),1,MIN(60,COLUMN()-29)),OFFSET(DW529,0,-MIN(60,COLUMN()-29),1,MIN(60,COLUMN()-29))),0)</f>
        <v>0</v>
      </c>
      <c r="DX530" s="237" t="n">
        <f aca="true">IFERROR(SUMPRODUCT(OFFSET($BJ$31,0,1-MIN(60,COLUMN()-29),1,MIN(60,COLUMN()-29)),OFFSET(DX529,0,-MIN(60,COLUMN()-29),1,MIN(60,COLUMN()-29))),0)</f>
        <v>0</v>
      </c>
      <c r="DY530" s="237" t="n">
        <f aca="true">IFERROR(SUMPRODUCT(OFFSET($BJ$31,0,1-MIN(60,COLUMN()-29),1,MIN(60,COLUMN()-29)),OFFSET(DY529,0,-MIN(60,COLUMN()-29),1,MIN(60,COLUMN()-29))),0)</f>
        <v>0</v>
      </c>
      <c r="DZ530" s="237" t="n">
        <f aca="true">IFERROR(SUMPRODUCT(OFFSET($BJ$31,0,1-MIN(60,COLUMN()-29),1,MIN(60,COLUMN()-29)),OFFSET(DZ529,0,-MIN(60,COLUMN()-29),1,MIN(60,COLUMN()-29))),0)</f>
        <v>0</v>
      </c>
      <c r="EA530" s="237" t="n">
        <f aca="true">IFERROR(SUMPRODUCT(OFFSET($BJ$31,0,1-MIN(60,COLUMN()-29),1,MIN(60,COLUMN()-29)),OFFSET(EA529,0,-MIN(60,COLUMN()-29),1,MIN(60,COLUMN()-29))),0)</f>
        <v>0</v>
      </c>
      <c r="EB530" s="237" t="n">
        <f aca="true">IFERROR(SUMPRODUCT(OFFSET($BJ$31,0,1-MIN(60,COLUMN()-29),1,MIN(60,COLUMN()-29)),OFFSET(EB529,0,-MIN(60,COLUMN()-29),1,MIN(60,COLUMN()-29))),0)</f>
        <v>0</v>
      </c>
      <c r="EC530" s="237" t="n">
        <f aca="true">IFERROR(SUMPRODUCT(OFFSET($BJ$31,0,1-MIN(60,COLUMN()-29),1,MIN(60,COLUMN()-29)),OFFSET(EC529,0,-MIN(60,COLUMN()-29),1,MIN(60,COLUMN()-29))),0)</f>
        <v>0</v>
      </c>
      <c r="ED530" s="237" t="n">
        <f aca="true">IFERROR(SUMPRODUCT(OFFSET($BJ$31,0,1-MIN(60,COLUMN()-29),1,MIN(60,COLUMN()-29)),OFFSET(ED529,0,-MIN(60,COLUMN()-29),1,MIN(60,COLUMN()-29))),0)</f>
        <v>0</v>
      </c>
      <c r="EE530" s="237" t="n">
        <f aca="true">IFERROR(SUMPRODUCT(OFFSET($BJ$31,0,1-MIN(60,COLUMN()-29),1,MIN(60,COLUMN()-29)),OFFSET(EE529,0,-MIN(60,COLUMN()-29),1,MIN(60,COLUMN()-29))),0)</f>
        <v>0</v>
      </c>
      <c r="EF530" s="237" t="n">
        <f aca="true">IFERROR(SUMPRODUCT(OFFSET($BJ$31,0,1-MIN(60,COLUMN()-29),1,MIN(60,COLUMN()-29)),OFFSET(EF529,0,-MIN(60,COLUMN()-29),1,MIN(60,COLUMN()-29))),0)</f>
        <v>0</v>
      </c>
      <c r="EG530" s="237" t="n">
        <f aca="true">IFERROR(SUMPRODUCT(OFFSET($BJ$31,0,1-MIN(60,COLUMN()-29),1,MIN(60,COLUMN()-29)),OFFSET(EG529,0,-MIN(60,COLUMN()-29),1,MIN(60,COLUMN()-29))),0)</f>
        <v>0</v>
      </c>
      <c r="EH530" s="237" t="n">
        <f aca="true">IFERROR(SUMPRODUCT(OFFSET($BJ$31,0,1-MIN(60,COLUMN()-29),1,MIN(60,COLUMN()-29)),OFFSET(EH529,0,-MIN(60,COLUMN()-29),1,MIN(60,COLUMN()-29))),0)</f>
        <v>0</v>
      </c>
      <c r="EI530" s="237" t="n">
        <f aca="true">IFERROR(SUMPRODUCT(OFFSET($BJ$31,0,1-MIN(60,COLUMN()-29),1,MIN(60,COLUMN()-29)),OFFSET(EI529,0,-MIN(60,COLUMN()-29),1,MIN(60,COLUMN()-29))),0)</f>
        <v>0</v>
      </c>
      <c r="EJ530" s="237" t="n">
        <f aca="true">IFERROR(SUMPRODUCT(OFFSET($BJ$31,0,1-MIN(60,COLUMN()-29),1,MIN(60,COLUMN()-29)),OFFSET(EJ529,0,-MIN(60,COLUMN()-29),1,MIN(60,COLUMN()-29))),0)</f>
        <v>0</v>
      </c>
      <c r="EK530" s="237" t="n">
        <f aca="true">IFERROR(SUMPRODUCT(OFFSET($BJ$31,0,1-MIN(60,COLUMN()-29),1,MIN(60,COLUMN()-29)),OFFSET(EK529,0,-MIN(60,COLUMN()-29),1,MIN(60,COLUMN()-29))),0)</f>
        <v>3.0976</v>
      </c>
      <c r="EL530" s="237" t="n">
        <f aca="true">IFERROR(SUMPRODUCT(OFFSET($BJ$31,0,1-MIN(60,COLUMN()-29),1,MIN(60,COLUMN()-29)),OFFSET(EL529,0,-MIN(60,COLUMN()-29),1,MIN(60,COLUMN()-29))),0)</f>
        <v>3.275712</v>
      </c>
      <c r="EM530" s="237" t="n">
        <f aca="true">IFERROR(SUMPRODUCT(OFFSET($BJ$31,0,1-MIN(60,COLUMN()-29),1,MIN(60,COLUMN()-29)),OFFSET(EM529,0,-MIN(60,COLUMN()-29),1,MIN(60,COLUMN()-29))),0)</f>
        <v>3.6372864</v>
      </c>
      <c r="EN530" s="237" t="n">
        <f aca="true">IFERROR(SUMPRODUCT(OFFSET($BJ$31,0,1-MIN(60,COLUMN()-29),1,MIN(60,COLUMN()-29)),OFFSET(EN529,0,-MIN(60,COLUMN()-29),1,MIN(60,COLUMN()-29))),0)</f>
        <v>4.3735296</v>
      </c>
      <c r="EO530" s="237" t="n">
        <f aca="true">IFERROR(SUMPRODUCT(OFFSET($BJ$31,0,1-MIN(60,COLUMN()-29),1,MIN(60,COLUMN()-29)),OFFSET(EO529,0,-MIN(60,COLUMN()-29),1,MIN(60,COLUMN()-29))),0)</f>
        <v>6.827744</v>
      </c>
      <c r="EP530" s="237" t="n">
        <f aca="true">IFERROR(SUMPRODUCT(OFFSET($BJ$31,0,1-MIN(60,COLUMN()-29),1,MIN(60,COLUMN()-29)),OFFSET(EP529,0,-MIN(60,COLUMN()-29),1,MIN(60,COLUMN()-29))),0)</f>
        <v>6.964496</v>
      </c>
      <c r="EQ530" s="237" t="n">
        <f aca="true">IFERROR(SUMPRODUCT(OFFSET($BJ$31,0,1-MIN(60,COLUMN()-29),1,MIN(60,COLUMN()-29)),OFFSET(EQ529,0,-MIN(60,COLUMN()-29),1,MIN(60,COLUMN()-29))),0)</f>
        <v>7.3879168</v>
      </c>
      <c r="ER530" s="237" t="n">
        <f aca="true">IFERROR(SUMPRODUCT(OFFSET($BJ$31,0,1-MIN(60,COLUMN()-29),1,MIN(60,COLUMN()-29)),OFFSET(ER529,0,-MIN(60,COLUMN()-29),1,MIN(60,COLUMN()-29))),0)</f>
        <v>6.8433024</v>
      </c>
      <c r="ES530" s="9" t="n">
        <f aca="true">IFERROR(SUMPRODUCT(OFFSET($BJ$31,0,1-MIN(60,COLUMN()-29),1,MIN(60,COLUMN()-29)),OFFSET(ES529,0,-MIN(60,COLUMN()-29),1,MIN(60,COLUMN()-29))),0)</f>
        <v>9.3986816</v>
      </c>
      <c r="ET530" s="9" t="n">
        <f aca="true">IFERROR(SUMPRODUCT(OFFSET($BJ$31,0,1-MIN(60,COLUMN()-29),1,MIN(60,COLUMN()-29)),OFFSET(ET529,0,-MIN(60,COLUMN()-29),1,MIN(60,COLUMN()-29))),0)</f>
        <v>10.4470432</v>
      </c>
      <c r="EU530" s="9" t="n">
        <f aca="true">IFERROR(SUMPRODUCT(OFFSET($BJ$31,0,1-MIN(60,COLUMN()-29),1,MIN(60,COLUMN()-29)),OFFSET(EU529,0,-MIN(60,COLUMN()-29),1,MIN(60,COLUMN()-29))),0)</f>
        <v>9.9743424</v>
      </c>
      <c r="EV530" s="9" t="n">
        <f aca="true">IFERROR(SUMPRODUCT(OFFSET($BJ$31,0,1-MIN(60,COLUMN()-29),1,MIN(60,COLUMN()-29)),OFFSET(EV529,0,-MIN(60,COLUMN()-29),1,MIN(60,COLUMN()-29))),0)</f>
        <v>13.7078304</v>
      </c>
      <c r="EW530" s="9" t="n">
        <f aca="true">IFERROR(SUMPRODUCT(OFFSET($BJ$31,0,1-MIN(60,COLUMN()-29),1,MIN(60,COLUMN()-29)),OFFSET(EW529,0,-MIN(60,COLUMN()-29),1,MIN(60,COLUMN()-29))),0)</f>
        <v>15.2523712</v>
      </c>
      <c r="EX530" s="9" t="n">
        <f aca="true">IFERROR(SUMPRODUCT(OFFSET($BJ$31,0,1-MIN(60,COLUMN()-29),1,MIN(60,COLUMN()-29)),OFFSET(EX529,0,-MIN(60,COLUMN()-29),1,MIN(60,COLUMN()-29))),0)</f>
        <v>15.2466336</v>
      </c>
      <c r="EY530" s="9" t="n">
        <f aca="true">IFERROR(SUMPRODUCT(OFFSET($BJ$31,0,1-MIN(60,COLUMN()-29),1,MIN(60,COLUMN()-29)),OFFSET(EY529,0,-MIN(60,COLUMN()-29),1,MIN(60,COLUMN()-29))),0)</f>
        <v>14.927264</v>
      </c>
      <c r="EZ530" s="9" t="n">
        <f aca="true">IFERROR(SUMPRODUCT(OFFSET($BJ$31,0,1-MIN(60,COLUMN()-29),1,MIN(60,COLUMN()-29)),OFFSET(EZ529,0,-MIN(60,COLUMN()-29),1,MIN(60,COLUMN()-29))),0)</f>
        <v>17.7946208</v>
      </c>
      <c r="FA530" s="9" t="n">
        <f aca="true">IFERROR(SUMPRODUCT(OFFSET($BJ$31,0,1-MIN(60,COLUMN()-29),1,MIN(60,COLUMN()-29)),OFFSET(FA529,0,-MIN(60,COLUMN()-29),1,MIN(60,COLUMN()-29))),0)</f>
        <v>26.03876704</v>
      </c>
      <c r="FB530" s="9" t="n">
        <f aca="true">IFERROR(SUMPRODUCT(OFFSET($BJ$31,0,1-MIN(60,COLUMN()-29),1,MIN(60,COLUMN()-29)),OFFSET(FB529,0,-MIN(60,COLUMN()-29),1,MIN(60,COLUMN()-29))),0)</f>
        <v>26.2730336</v>
      </c>
      <c r="FC530" s="9" t="n">
        <f aca="true">IFERROR(SUMPRODUCT(OFFSET($BJ$31,0,1-MIN(60,COLUMN()-29),1,MIN(60,COLUMN()-29)),OFFSET(FC529,0,-MIN(60,COLUMN()-29),1,MIN(60,COLUMN()-29))),0)</f>
        <v>25.97871936</v>
      </c>
      <c r="FD530" s="9" t="n">
        <f aca="true">IFERROR(SUMPRODUCT(OFFSET($BJ$31,0,1-MIN(60,COLUMN()-29),1,MIN(60,COLUMN()-29)),OFFSET(FD529,0,-MIN(60,COLUMN()-29),1,MIN(60,COLUMN()-29))),0)</f>
        <v>24.3027928</v>
      </c>
      <c r="FE530" s="9" t="n">
        <f aca="true">IFERROR(SUMPRODUCT(OFFSET($BJ$31,0,1-MIN(60,COLUMN()-29),1,MIN(60,COLUMN()-29)),OFFSET(FE529,0,-MIN(60,COLUMN()-29),1,MIN(60,COLUMN()-29))),0)</f>
        <v>29.94836152</v>
      </c>
      <c r="FF530" s="9" t="n">
        <f aca="true">IFERROR(SUMPRODUCT(OFFSET($BJ$31,0,1-MIN(60,COLUMN()-29),1,MIN(60,COLUMN()-29)),OFFSET(FF529,0,-MIN(60,COLUMN()-29),1,MIN(60,COLUMN()-29))),0)</f>
        <v>32.38123944</v>
      </c>
      <c r="FG530" s="9" t="n">
        <f aca="true">IFERROR(SUMPRODUCT(OFFSET($BJ$31,0,1-MIN(60,COLUMN()-29),1,MIN(60,COLUMN()-29)),OFFSET(FG529,0,-MIN(60,COLUMN()-29),1,MIN(60,COLUMN()-29))),0)</f>
        <v>32.01738408</v>
      </c>
      <c r="FH530" s="9" t="n">
        <f aca="true">IFERROR(SUMPRODUCT(OFFSET($BJ$31,0,1-MIN(60,COLUMN()-29),1,MIN(60,COLUMN()-29)),OFFSET(FH529,0,-MIN(60,COLUMN()-29),1,MIN(60,COLUMN()-29))),0)</f>
        <v>38.5235444</v>
      </c>
      <c r="FI530" s="9" t="n">
        <f aca="true">IFERROR(SUMPRODUCT(OFFSET($BJ$31,0,1-MIN(60,COLUMN()-29),1,MIN(60,COLUMN()-29)),OFFSET(FI529,0,-MIN(60,COLUMN()-29),1,MIN(60,COLUMN()-29))),0)</f>
        <v>40.09967016</v>
      </c>
      <c r="FJ530" s="9" t="n">
        <f aca="true">IFERROR(SUMPRODUCT(OFFSET($BJ$31,0,1-MIN(60,COLUMN()-29),1,MIN(60,COLUMN()-29)),OFFSET(FJ529,0,-MIN(60,COLUMN()-29),1,MIN(60,COLUMN()-29))),0)</f>
        <v>40.18374888</v>
      </c>
      <c r="FK530" s="9" t="n">
        <f aca="true">IFERROR(SUMPRODUCT(OFFSET($BJ$31,0,1-MIN(60,COLUMN()-29),1,MIN(60,COLUMN()-29)),OFFSET(FK529,0,-MIN(60,COLUMN()-29),1,MIN(60,COLUMN()-29))),0)</f>
        <v>40.3479076</v>
      </c>
      <c r="FL530" s="9" t="n">
        <f aca="true">IFERROR(SUMPRODUCT(OFFSET($BJ$31,0,1-MIN(60,COLUMN()-29),1,MIN(60,COLUMN()-29)),OFFSET(FL529,0,-MIN(60,COLUMN()-29),1,MIN(60,COLUMN()-29))),0)</f>
        <v>44.37069736</v>
      </c>
      <c r="FM530" s="9" t="n">
        <f aca="true">IFERROR(SUMPRODUCT(OFFSET($BJ$31,0,1-MIN(60,COLUMN()-29),1,MIN(60,COLUMN()-29)),OFFSET(FM529,0,-MIN(60,COLUMN()-29),1,MIN(60,COLUMN()-29))),0)</f>
        <v>55.57347048</v>
      </c>
      <c r="FN530" s="9" t="n">
        <f aca="true">IFERROR(SUMPRODUCT(OFFSET($BJ$31,0,1-MIN(60,COLUMN()-29),1,MIN(60,COLUMN()-29)),OFFSET(FN529,0,-MIN(60,COLUMN()-29),1,MIN(60,COLUMN()-29))),0)</f>
        <v>55.31295528</v>
      </c>
      <c r="FO530" s="9" t="n">
        <f aca="true">IFERROR(SUMPRODUCT(OFFSET($BJ$31,0,1-MIN(60,COLUMN()-29),1,MIN(60,COLUMN()-29)),OFFSET(FO529,0,-MIN(60,COLUMN()-29),1,MIN(60,COLUMN()-29))),0)</f>
        <v>54.50068008</v>
      </c>
      <c r="FP530" s="9" t="n">
        <f aca="true">IFERROR(SUMPRODUCT(OFFSET($BJ$31,0,1-MIN(60,COLUMN()-29),1,MIN(60,COLUMN()-29)),OFFSET(FP529,0,-MIN(60,COLUMN()-29),1,MIN(60,COLUMN()-29))),0)</f>
        <v>52.90575048</v>
      </c>
    </row>
    <row r="531" customFormat="false" ht="15" hidden="false" customHeight="false" outlineLevel="2" collapsed="false">
      <c r="B531" s="47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237"/>
      <c r="AD531" s="237"/>
      <c r="AE531" s="237"/>
      <c r="AF531" s="237"/>
      <c r="AG531" s="237"/>
      <c r="AH531" s="237"/>
      <c r="AI531" s="237"/>
      <c r="AJ531" s="237"/>
      <c r="AK531" s="237"/>
      <c r="AL531" s="237"/>
      <c r="AM531" s="237"/>
      <c r="AN531" s="237"/>
      <c r="AO531" s="237"/>
      <c r="AP531" s="237"/>
      <c r="AQ531" s="237"/>
      <c r="AR531" s="237"/>
      <c r="AS531" s="237"/>
      <c r="AT531" s="237"/>
      <c r="AU531" s="237"/>
      <c r="AV531" s="237"/>
      <c r="AW531" s="237"/>
      <c r="AX531" s="237"/>
      <c r="AY531" s="237"/>
      <c r="AZ531" s="237"/>
      <c r="BA531" s="237"/>
      <c r="BB531" s="237"/>
      <c r="BC531" s="237"/>
      <c r="BD531" s="237"/>
      <c r="BE531" s="237"/>
      <c r="BF531" s="237"/>
      <c r="BG531" s="237"/>
      <c r="BH531" s="237"/>
      <c r="BI531" s="237"/>
      <c r="BJ531" s="237"/>
      <c r="BK531" s="237"/>
      <c r="BL531" s="237"/>
      <c r="BM531" s="237"/>
      <c r="BN531" s="237"/>
      <c r="BO531" s="237"/>
      <c r="BP531" s="237"/>
      <c r="BQ531" s="237"/>
      <c r="BR531" s="237"/>
      <c r="BS531" s="237"/>
      <c r="BT531" s="237"/>
      <c r="BU531" s="237"/>
      <c r="BV531" s="237"/>
      <c r="BW531" s="237"/>
      <c r="BX531" s="237"/>
      <c r="BY531" s="237"/>
      <c r="BZ531" s="237"/>
      <c r="CA531" s="237"/>
      <c r="CB531" s="237"/>
      <c r="CC531" s="237"/>
      <c r="CD531" s="237"/>
      <c r="CE531" s="237"/>
      <c r="CF531" s="237"/>
      <c r="CG531" s="237"/>
      <c r="CH531" s="237"/>
      <c r="CI531" s="237"/>
      <c r="CJ531" s="237"/>
      <c r="CK531" s="237"/>
      <c r="CL531" s="237"/>
      <c r="CM531" s="237"/>
      <c r="CN531" s="237"/>
      <c r="CO531" s="237"/>
      <c r="CP531" s="237"/>
      <c r="CQ531" s="237"/>
      <c r="CR531" s="237"/>
      <c r="CS531" s="237"/>
      <c r="CT531" s="237"/>
      <c r="CU531" s="237"/>
      <c r="CV531" s="237"/>
      <c r="CW531" s="237"/>
      <c r="CX531" s="237"/>
      <c r="CY531" s="237"/>
      <c r="CZ531" s="237"/>
      <c r="DA531" s="237"/>
      <c r="DB531" s="237"/>
      <c r="DC531" s="237"/>
      <c r="DD531" s="237"/>
      <c r="DE531" s="237"/>
      <c r="DF531" s="237"/>
      <c r="DG531" s="237"/>
      <c r="DH531" s="237"/>
      <c r="DI531" s="237"/>
      <c r="DJ531" s="237"/>
      <c r="DK531" s="237"/>
      <c r="DL531" s="237"/>
      <c r="DM531" s="237"/>
      <c r="DN531" s="237"/>
      <c r="DO531" s="237"/>
      <c r="DP531" s="237"/>
      <c r="DQ531" s="237"/>
      <c r="DR531" s="237"/>
      <c r="DS531" s="237"/>
      <c r="DT531" s="237"/>
      <c r="DU531" s="237"/>
      <c r="DV531" s="237"/>
      <c r="DW531" s="237"/>
      <c r="DX531" s="237"/>
      <c r="DY531" s="237"/>
      <c r="DZ531" s="237"/>
      <c r="EA531" s="237"/>
      <c r="EB531" s="237"/>
      <c r="EC531" s="237"/>
      <c r="ED531" s="237"/>
      <c r="EE531" s="237"/>
      <c r="EF531" s="237"/>
      <c r="EG531" s="237"/>
      <c r="EH531" s="237"/>
      <c r="EI531" s="237"/>
      <c r="EJ531" s="237"/>
      <c r="EK531" s="237"/>
      <c r="EL531" s="237"/>
      <c r="EM531" s="237"/>
      <c r="EN531" s="237"/>
      <c r="EO531" s="237"/>
      <c r="EP531" s="237"/>
      <c r="EQ531" s="237"/>
      <c r="ER531" s="237"/>
      <c r="ES531" s="9"/>
      <c r="ET531" s="9"/>
      <c r="EU531" s="9"/>
      <c r="EV531" s="9"/>
      <c r="EW531" s="9"/>
      <c r="EX531" s="9"/>
      <c r="EY531" s="9"/>
      <c r="EZ531" s="9"/>
      <c r="FA531" s="9"/>
      <c r="FB531" s="9"/>
      <c r="FC531" s="9"/>
      <c r="FD531" s="9"/>
      <c r="FE531" s="9"/>
      <c r="FF531" s="9"/>
      <c r="FG531" s="9"/>
      <c r="FH531" s="9"/>
      <c r="FI531" s="9"/>
      <c r="FJ531" s="9"/>
      <c r="FK531" s="9"/>
      <c r="FL531" s="9"/>
      <c r="FM531" s="9"/>
      <c r="FN531" s="9"/>
      <c r="FO531" s="9"/>
      <c r="FP531" s="9"/>
    </row>
    <row r="532" customFormat="false" ht="15" hidden="false" customHeight="false" outlineLevel="2" collapsed="false">
      <c r="B532" s="47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237"/>
      <c r="AD532" s="237"/>
      <c r="AE532" s="237"/>
      <c r="AF532" s="237"/>
      <c r="AG532" s="237"/>
      <c r="AH532" s="237"/>
      <c r="AI532" s="237"/>
      <c r="AJ532" s="237"/>
      <c r="AK532" s="237"/>
      <c r="AL532" s="237"/>
      <c r="AM532" s="237"/>
      <c r="AN532" s="237"/>
      <c r="AO532" s="237"/>
      <c r="AP532" s="237"/>
      <c r="AQ532" s="237"/>
      <c r="AR532" s="237"/>
      <c r="AS532" s="237"/>
      <c r="AT532" s="237"/>
      <c r="AU532" s="237"/>
      <c r="AV532" s="237"/>
      <c r="AW532" s="237"/>
      <c r="AX532" s="237"/>
      <c r="AY532" s="237"/>
      <c r="AZ532" s="237"/>
      <c r="BA532" s="237"/>
      <c r="BB532" s="237"/>
      <c r="BC532" s="237"/>
      <c r="BD532" s="237"/>
      <c r="BE532" s="237"/>
      <c r="BF532" s="237"/>
      <c r="BG532" s="237"/>
      <c r="BH532" s="237"/>
      <c r="BI532" s="237"/>
      <c r="BJ532" s="237"/>
      <c r="BK532" s="237"/>
      <c r="BL532" s="237"/>
      <c r="BM532" s="237"/>
      <c r="BN532" s="237"/>
      <c r="BO532" s="237"/>
      <c r="BP532" s="237"/>
      <c r="BQ532" s="237"/>
      <c r="BR532" s="237"/>
      <c r="BS532" s="237"/>
      <c r="BT532" s="237"/>
      <c r="BU532" s="237"/>
      <c r="BV532" s="237"/>
      <c r="BW532" s="237"/>
      <c r="BX532" s="237"/>
      <c r="BY532" s="237"/>
      <c r="BZ532" s="237"/>
      <c r="CA532" s="237"/>
      <c r="CB532" s="237"/>
      <c r="CC532" s="237"/>
      <c r="CD532" s="237"/>
      <c r="CE532" s="237"/>
      <c r="CF532" s="237"/>
      <c r="CG532" s="237"/>
      <c r="CH532" s="237"/>
      <c r="CI532" s="237"/>
      <c r="CJ532" s="237"/>
      <c r="CK532" s="237"/>
      <c r="CL532" s="237"/>
      <c r="CM532" s="237"/>
      <c r="CN532" s="237"/>
      <c r="CO532" s="237"/>
      <c r="CP532" s="237"/>
      <c r="CQ532" s="237"/>
      <c r="CR532" s="237"/>
      <c r="CS532" s="237"/>
      <c r="CT532" s="237"/>
      <c r="CU532" s="237"/>
      <c r="CV532" s="237"/>
      <c r="CW532" s="237"/>
      <c r="CX532" s="237"/>
      <c r="CY532" s="237"/>
      <c r="CZ532" s="237"/>
      <c r="DA532" s="237"/>
      <c r="DB532" s="237"/>
      <c r="DC532" s="237"/>
      <c r="DD532" s="237"/>
      <c r="DE532" s="237"/>
      <c r="DF532" s="237"/>
      <c r="DG532" s="237"/>
      <c r="DH532" s="237"/>
      <c r="DI532" s="237"/>
      <c r="DJ532" s="237"/>
      <c r="DK532" s="237"/>
      <c r="DL532" s="237"/>
      <c r="DM532" s="237"/>
      <c r="DN532" s="237"/>
      <c r="DO532" s="237"/>
      <c r="DP532" s="237"/>
      <c r="DQ532" s="237"/>
      <c r="DR532" s="237"/>
      <c r="DS532" s="237"/>
      <c r="DT532" s="237"/>
      <c r="DU532" s="237"/>
      <c r="DV532" s="237"/>
      <c r="DW532" s="237"/>
      <c r="DX532" s="237"/>
      <c r="DY532" s="237"/>
      <c r="DZ532" s="237"/>
      <c r="EA532" s="237"/>
      <c r="EB532" s="237"/>
      <c r="EC532" s="237"/>
      <c r="ED532" s="237"/>
      <c r="EE532" s="237"/>
      <c r="EF532" s="237"/>
      <c r="EG532" s="237"/>
      <c r="EH532" s="237"/>
      <c r="EI532" s="237"/>
      <c r="EJ532" s="237"/>
      <c r="EK532" s="237"/>
      <c r="EL532" s="237"/>
      <c r="EM532" s="237"/>
      <c r="EN532" s="237"/>
      <c r="EO532" s="237"/>
      <c r="EP532" s="237"/>
      <c r="EQ532" s="237"/>
      <c r="ER532" s="237"/>
      <c r="ES532" s="9"/>
      <c r="ET532" s="9"/>
      <c r="EU532" s="9"/>
      <c r="EV532" s="9"/>
      <c r="EW532" s="9"/>
      <c r="EX532" s="9"/>
      <c r="EY532" s="9"/>
      <c r="EZ532" s="9"/>
      <c r="FA532" s="9"/>
      <c r="FB532" s="9"/>
      <c r="FC532" s="9"/>
      <c r="FD532" s="9"/>
      <c r="FE532" s="9"/>
      <c r="FF532" s="9"/>
      <c r="FG532" s="9"/>
      <c r="FH532" s="9"/>
      <c r="FI532" s="9"/>
      <c r="FJ532" s="9"/>
      <c r="FK532" s="9"/>
      <c r="FL532" s="9"/>
      <c r="FM532" s="9"/>
      <c r="FN532" s="9"/>
      <c r="FO532" s="9"/>
      <c r="FP532" s="9"/>
    </row>
    <row r="533" customFormat="false" ht="15" hidden="false" customHeight="false" outlineLevel="2" collapsed="false">
      <c r="B533" s="21" t="s">
        <v>926</v>
      </c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  <c r="BL533" s="21"/>
      <c r="BM533" s="21"/>
      <c r="BN533" s="21"/>
      <c r="BO533" s="21"/>
      <c r="BP533" s="21"/>
      <c r="BQ533" s="21"/>
      <c r="BR533" s="21"/>
      <c r="BS533" s="21"/>
      <c r="BT533" s="21"/>
      <c r="BU533" s="21"/>
      <c r="BV533" s="21"/>
      <c r="BW533" s="21"/>
      <c r="BX533" s="21"/>
      <c r="BY533" s="21"/>
      <c r="BZ533" s="21"/>
      <c r="CA533" s="21"/>
      <c r="CB533" s="21"/>
      <c r="CC533" s="21"/>
      <c r="CD533" s="21"/>
      <c r="CE533" s="21"/>
      <c r="CF533" s="21"/>
      <c r="CG533" s="21"/>
      <c r="CH533" s="21"/>
      <c r="CI533" s="21"/>
      <c r="CJ533" s="21"/>
      <c r="CK533" s="21"/>
      <c r="CL533" s="21"/>
      <c r="CM533" s="21"/>
      <c r="CN533" s="21"/>
      <c r="CO533" s="21"/>
      <c r="CP533" s="21"/>
      <c r="CQ533" s="21"/>
      <c r="CR533" s="21"/>
      <c r="CS533" s="21"/>
      <c r="CT533" s="21"/>
      <c r="CU533" s="21"/>
      <c r="CV533" s="21"/>
      <c r="CW533" s="21"/>
      <c r="CX533" s="21"/>
      <c r="CY533" s="21"/>
      <c r="CZ533" s="21"/>
      <c r="DA533" s="21"/>
      <c r="DB533" s="21"/>
      <c r="DC533" s="21"/>
      <c r="DD533" s="21"/>
      <c r="DE533" s="21"/>
      <c r="DF533" s="21"/>
      <c r="DG533" s="21"/>
      <c r="DH533" s="21"/>
      <c r="DI533" s="21"/>
      <c r="DJ533" s="21"/>
      <c r="DK533" s="21"/>
      <c r="DL533" s="21"/>
      <c r="DM533" s="21"/>
      <c r="DN533" s="21"/>
      <c r="DO533" s="21"/>
      <c r="DP533" s="21"/>
      <c r="DQ533" s="21"/>
      <c r="DR533" s="21"/>
      <c r="DS533" s="21"/>
      <c r="DT533" s="21"/>
      <c r="DU533" s="21"/>
      <c r="DV533" s="21"/>
      <c r="DW533" s="21"/>
      <c r="DX533" s="21"/>
      <c r="DY533" s="21"/>
      <c r="DZ533" s="21"/>
      <c r="EA533" s="21"/>
      <c r="EB533" s="21"/>
      <c r="EC533" s="21"/>
      <c r="ED533" s="21"/>
      <c r="EE533" s="21"/>
      <c r="EF533" s="21"/>
      <c r="EG533" s="21"/>
      <c r="EH533" s="21"/>
      <c r="EI533" s="21"/>
      <c r="EJ533" s="21"/>
      <c r="EK533" s="21"/>
      <c r="EL533" s="21"/>
      <c r="EM533" s="21"/>
      <c r="EN533" s="21"/>
      <c r="EO533" s="21"/>
      <c r="EP533" s="21"/>
      <c r="EQ533" s="21"/>
      <c r="ER533" s="21"/>
      <c r="ES533" s="9"/>
      <c r="ET533" s="9"/>
      <c r="EU533" s="9"/>
      <c r="EV533" s="9"/>
      <c r="EW533" s="9"/>
      <c r="EX533" s="9"/>
      <c r="EY533" s="9"/>
      <c r="EZ533" s="9"/>
      <c r="FA533" s="9"/>
      <c r="FB533" s="9"/>
      <c r="FC533" s="9"/>
      <c r="FD533" s="9"/>
      <c r="FE533" s="9"/>
      <c r="FF533" s="9"/>
      <c r="FG533" s="9"/>
      <c r="FH533" s="9"/>
      <c r="FI533" s="9"/>
      <c r="FJ533" s="9"/>
      <c r="FK533" s="9"/>
      <c r="FL533" s="9"/>
      <c r="FM533" s="9"/>
      <c r="FN533" s="9"/>
      <c r="FO533" s="9"/>
      <c r="FP533" s="9"/>
    </row>
    <row r="534" customFormat="false" ht="15" hidden="false" customHeight="false" outlineLevel="2" collapsed="false">
      <c r="B534" s="9" t="s">
        <v>872</v>
      </c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234" t="n">
        <f aca="false">('⑫ Roll-out Plan'!G58-2025)*12+'⑫ Roll-out Plan'!F58</f>
        <v>125</v>
      </c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/>
      <c r="CF534" s="9"/>
      <c r="CG534" s="9"/>
      <c r="CH534" s="9"/>
      <c r="CI534" s="9"/>
      <c r="CJ534" s="9"/>
      <c r="CK534" s="9"/>
      <c r="CL534" s="9"/>
      <c r="CM534" s="9"/>
      <c r="CN534" s="9"/>
      <c r="CO534" s="9"/>
      <c r="CP534" s="9"/>
      <c r="CQ534" s="9"/>
      <c r="CR534" s="9"/>
      <c r="CS534" s="9"/>
      <c r="CT534" s="9"/>
      <c r="CU534" s="9"/>
      <c r="CV534" s="9"/>
      <c r="CW534" s="9"/>
      <c r="CX534" s="9"/>
      <c r="CY534" s="9"/>
      <c r="CZ534" s="9"/>
      <c r="DA534" s="9"/>
      <c r="DB534" s="9"/>
      <c r="DC534" s="9"/>
      <c r="DD534" s="9"/>
      <c r="DE534" s="9"/>
      <c r="DF534" s="9"/>
      <c r="DG534" s="9"/>
      <c r="DH534" s="9"/>
      <c r="DI534" s="9"/>
      <c r="DJ534" s="9"/>
      <c r="DK534" s="9"/>
      <c r="DL534" s="9"/>
      <c r="DM534" s="9"/>
      <c r="DN534" s="9"/>
      <c r="DO534" s="9"/>
      <c r="DP534" s="9"/>
      <c r="DQ534" s="9"/>
      <c r="DR534" s="9"/>
      <c r="DS534" s="9"/>
      <c r="DT534" s="9"/>
      <c r="DU534" s="9"/>
      <c r="DV534" s="9"/>
      <c r="DW534" s="9"/>
      <c r="DX534" s="9"/>
      <c r="DY534" s="9"/>
      <c r="DZ534" s="9"/>
      <c r="EA534" s="9"/>
      <c r="EB534" s="9"/>
      <c r="EC534" s="9"/>
      <c r="ED534" s="9"/>
      <c r="EE534" s="9"/>
      <c r="EF534" s="9"/>
      <c r="EG534" s="9"/>
      <c r="EH534" s="9"/>
      <c r="EI534" s="9"/>
      <c r="EJ534" s="9"/>
      <c r="EK534" s="9"/>
      <c r="EL534" s="9"/>
      <c r="EM534" s="9"/>
      <c r="EN534" s="9"/>
      <c r="EO534" s="9"/>
      <c r="EP534" s="9"/>
      <c r="EQ534" s="9"/>
      <c r="ER534" s="9"/>
      <c r="ES534" s="9"/>
      <c r="ET534" s="9"/>
      <c r="EU534" s="9"/>
      <c r="EV534" s="9"/>
      <c r="EW534" s="9"/>
      <c r="EX534" s="9"/>
      <c r="EY534" s="9"/>
      <c r="EZ534" s="9"/>
      <c r="FA534" s="9"/>
      <c r="FB534" s="9"/>
      <c r="FC534" s="9"/>
      <c r="FD534" s="9"/>
      <c r="FE534" s="9"/>
      <c r="FF534" s="9"/>
      <c r="FG534" s="9"/>
      <c r="FH534" s="9"/>
      <c r="FI534" s="9"/>
      <c r="FJ534" s="9"/>
      <c r="FK534" s="9"/>
      <c r="FL534" s="9"/>
      <c r="FM534" s="9"/>
      <c r="FN534" s="9"/>
      <c r="FO534" s="9"/>
      <c r="FP534" s="9"/>
    </row>
    <row r="535" customFormat="false" ht="15" hidden="false" customHeight="false" outlineLevel="2" collapsed="false">
      <c r="B535" s="9" t="s">
        <v>873</v>
      </c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235" t="n">
        <f aca="false">VLOOKUP("A",$B$14:$C$18,2,FALSE())</f>
        <v>210</v>
      </c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9"/>
      <c r="CB535" s="9"/>
      <c r="CC535" s="9"/>
      <c r="CD535" s="9"/>
      <c r="CE535" s="9"/>
      <c r="CF535" s="9"/>
      <c r="CG535" s="9"/>
      <c r="CH535" s="9"/>
      <c r="CI535" s="9"/>
      <c r="CJ535" s="9"/>
      <c r="CK535" s="9"/>
      <c r="CL535" s="9"/>
      <c r="CM535" s="9"/>
      <c r="CN535" s="9"/>
      <c r="CO535" s="9"/>
      <c r="CP535" s="9"/>
      <c r="CQ535" s="9"/>
      <c r="CR535" s="9"/>
      <c r="CS535" s="9"/>
      <c r="CT535" s="9"/>
      <c r="CU535" s="9"/>
      <c r="CV535" s="9"/>
      <c r="CW535" s="9"/>
      <c r="CX535" s="9"/>
      <c r="CY535" s="9"/>
      <c r="CZ535" s="9"/>
      <c r="DA535" s="9"/>
      <c r="DB535" s="9"/>
      <c r="DC535" s="9"/>
      <c r="DD535" s="9"/>
      <c r="DE535" s="9"/>
      <c r="DF535" s="9"/>
      <c r="DG535" s="9"/>
      <c r="DH535" s="9"/>
      <c r="DI535" s="9"/>
      <c r="DJ535" s="9"/>
      <c r="DK535" s="9"/>
      <c r="DL535" s="9"/>
      <c r="DM535" s="9"/>
      <c r="DN535" s="9"/>
      <c r="DO535" s="9"/>
      <c r="DP535" s="9"/>
      <c r="DQ535" s="9"/>
      <c r="DR535" s="9"/>
      <c r="DS535" s="9"/>
      <c r="DT535" s="9"/>
      <c r="DU535" s="9"/>
      <c r="DV535" s="9"/>
      <c r="DW535" s="9"/>
      <c r="DX535" s="9"/>
      <c r="DY535" s="9"/>
      <c r="DZ535" s="9"/>
      <c r="EA535" s="9"/>
      <c r="EB535" s="9"/>
      <c r="EC535" s="9"/>
      <c r="ED535" s="9"/>
      <c r="EE535" s="9"/>
      <c r="EF535" s="9"/>
      <c r="EG535" s="9"/>
      <c r="EH535" s="9"/>
      <c r="EI535" s="9"/>
      <c r="EJ535" s="9"/>
      <c r="EK535" s="9"/>
      <c r="EL535" s="9"/>
      <c r="EM535" s="9"/>
      <c r="EN535" s="9"/>
      <c r="EO535" s="9"/>
      <c r="EP535" s="9"/>
      <c r="EQ535" s="9"/>
      <c r="ER535" s="9"/>
      <c r="ES535" s="9"/>
      <c r="ET535" s="9"/>
      <c r="EU535" s="9"/>
      <c r="EV535" s="9"/>
      <c r="EW535" s="9"/>
      <c r="EX535" s="9"/>
      <c r="EY535" s="9"/>
      <c r="EZ535" s="9"/>
      <c r="FA535" s="9"/>
      <c r="FB535" s="9"/>
      <c r="FC535" s="9"/>
      <c r="FD535" s="9"/>
      <c r="FE535" s="9"/>
      <c r="FF535" s="9"/>
      <c r="FG535" s="9"/>
      <c r="FH535" s="9"/>
      <c r="FI535" s="9"/>
      <c r="FJ535" s="9"/>
      <c r="FK535" s="9"/>
      <c r="FL535" s="9"/>
      <c r="FM535" s="9"/>
      <c r="FN535" s="9"/>
      <c r="FO535" s="9"/>
      <c r="FP535" s="9"/>
    </row>
    <row r="536" customFormat="false" ht="15" hidden="false" customHeight="false" outlineLevel="2" collapsed="false">
      <c r="B536" s="9" t="s">
        <v>799</v>
      </c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63" t="n">
        <f aca="false">IF(AC$35&gt;=$AC$534,AC$35-$AC$534+1,0)</f>
        <v>0</v>
      </c>
      <c r="AD536" s="63" t="n">
        <f aca="false">IF(AD$35&gt;=$AC$534,AD$35-$AC$534+1,0)</f>
        <v>0</v>
      </c>
      <c r="AE536" s="63" t="n">
        <f aca="false">IF(AE$35&gt;=$AC$534,AE$35-$AC$534+1,0)</f>
        <v>0</v>
      </c>
      <c r="AF536" s="63" t="n">
        <f aca="false">IF(AF$35&gt;=$AC$534,AF$35-$AC$534+1,0)</f>
        <v>0</v>
      </c>
      <c r="AG536" s="63" t="n">
        <f aca="false">IF(AG$35&gt;=$AC$534,AG$35-$AC$534+1,0)</f>
        <v>0</v>
      </c>
      <c r="AH536" s="63" t="n">
        <f aca="false">IF(AH$35&gt;=$AC$534,AH$35-$AC$534+1,0)</f>
        <v>0</v>
      </c>
      <c r="AI536" s="63" t="n">
        <f aca="false">IF(AI$35&gt;=$AC$534,AI$35-$AC$534+1,0)</f>
        <v>0</v>
      </c>
      <c r="AJ536" s="63" t="n">
        <f aca="false">IF(AJ$35&gt;=$AC$534,AJ$35-$AC$534+1,0)</f>
        <v>0</v>
      </c>
      <c r="AK536" s="63" t="n">
        <f aca="false">IF(AK$35&gt;=$AC$534,AK$35-$AC$534+1,0)</f>
        <v>0</v>
      </c>
      <c r="AL536" s="63" t="n">
        <f aca="false">IF(AL$35&gt;=$AC$534,AL$35-$AC$534+1,0)</f>
        <v>0</v>
      </c>
      <c r="AM536" s="63" t="n">
        <f aca="false">IF(AM$35&gt;=$AC$534,AM$35-$AC$534+1,0)</f>
        <v>0</v>
      </c>
      <c r="AN536" s="63" t="n">
        <f aca="false">IF(AN$35&gt;=$AC$534,AN$35-$AC$534+1,0)</f>
        <v>0</v>
      </c>
      <c r="AO536" s="63" t="n">
        <f aca="false">IF(AO$35&gt;=$AC$534,AO$35-$AC$534+1,0)</f>
        <v>0</v>
      </c>
      <c r="AP536" s="63" t="n">
        <f aca="false">IF(AP$35&gt;=$AC$534,AP$35-$AC$534+1,0)</f>
        <v>0</v>
      </c>
      <c r="AQ536" s="63" t="n">
        <f aca="false">IF(AQ$35&gt;=$AC$534,AQ$35-$AC$534+1,0)</f>
        <v>0</v>
      </c>
      <c r="AR536" s="63" t="n">
        <f aca="false">IF(AR$35&gt;=$AC$534,AR$35-$AC$534+1,0)</f>
        <v>0</v>
      </c>
      <c r="AS536" s="63" t="n">
        <f aca="false">IF(AS$35&gt;=$AC$534,AS$35-$AC$534+1,0)</f>
        <v>0</v>
      </c>
      <c r="AT536" s="63" t="n">
        <f aca="false">IF(AT$35&gt;=$AC$534,AT$35-$AC$534+1,0)</f>
        <v>0</v>
      </c>
      <c r="AU536" s="63" t="n">
        <f aca="false">IF(AU$35&gt;=$AC$534,AU$35-$AC$534+1,0)</f>
        <v>0</v>
      </c>
      <c r="AV536" s="63" t="n">
        <f aca="false">IF(AV$35&gt;=$AC$534,AV$35-$AC$534+1,0)</f>
        <v>0</v>
      </c>
      <c r="AW536" s="63" t="n">
        <f aca="false">IF(AW$35&gt;=$AC$534,AW$35-$AC$534+1,0)</f>
        <v>0</v>
      </c>
      <c r="AX536" s="63" t="n">
        <f aca="false">IF(AX$35&gt;=$AC$534,AX$35-$AC$534+1,0)</f>
        <v>0</v>
      </c>
      <c r="AY536" s="63" t="n">
        <f aca="false">IF(AY$35&gt;=$AC$534,AY$35-$AC$534+1,0)</f>
        <v>0</v>
      </c>
      <c r="AZ536" s="63" t="n">
        <f aca="false">IF(AZ$35&gt;=$AC$534,AZ$35-$AC$534+1,0)</f>
        <v>0</v>
      </c>
      <c r="BA536" s="63" t="n">
        <f aca="false">IF(BA$35&gt;=$AC$534,BA$35-$AC$534+1,0)</f>
        <v>0</v>
      </c>
      <c r="BB536" s="63" t="n">
        <f aca="false">IF(BB$35&gt;=$AC$534,BB$35-$AC$534+1,0)</f>
        <v>0</v>
      </c>
      <c r="BC536" s="63" t="n">
        <f aca="false">IF(BC$35&gt;=$AC$534,BC$35-$AC$534+1,0)</f>
        <v>0</v>
      </c>
      <c r="BD536" s="63" t="n">
        <f aca="false">IF(BD$35&gt;=$AC$534,BD$35-$AC$534+1,0)</f>
        <v>0</v>
      </c>
      <c r="BE536" s="63" t="n">
        <f aca="false">IF(BE$35&gt;=$AC$534,BE$35-$AC$534+1,0)</f>
        <v>0</v>
      </c>
      <c r="BF536" s="63" t="n">
        <f aca="false">IF(BF$35&gt;=$AC$534,BF$35-$AC$534+1,0)</f>
        <v>0</v>
      </c>
      <c r="BG536" s="63" t="n">
        <f aca="false">IF(BG$35&gt;=$AC$534,BG$35-$AC$534+1,0)</f>
        <v>0</v>
      </c>
      <c r="BH536" s="63" t="n">
        <f aca="false">IF(BH$35&gt;=$AC$534,BH$35-$AC$534+1,0)</f>
        <v>0</v>
      </c>
      <c r="BI536" s="63" t="n">
        <f aca="false">IF(BI$35&gt;=$AC$534,BI$35-$AC$534+1,0)</f>
        <v>0</v>
      </c>
      <c r="BJ536" s="63" t="n">
        <f aca="false">IF(BJ$35&gt;=$AC$534,BJ$35-$AC$534+1,0)</f>
        <v>0</v>
      </c>
      <c r="BK536" s="63" t="n">
        <f aca="false">IF(BK$35&gt;=$AC$534,BK$35-$AC$534+1,0)</f>
        <v>0</v>
      </c>
      <c r="BL536" s="63" t="n">
        <f aca="false">IF(BL$35&gt;=$AC$534,BL$35-$AC$534+1,0)</f>
        <v>0</v>
      </c>
      <c r="BM536" s="63" t="n">
        <f aca="false">IF(BM$35&gt;=$AC$534,BM$35-$AC$534+1,0)</f>
        <v>0</v>
      </c>
      <c r="BN536" s="63" t="n">
        <f aca="false">IF(BN$35&gt;=$AC$534,BN$35-$AC$534+1,0)</f>
        <v>0</v>
      </c>
      <c r="BO536" s="63" t="n">
        <f aca="false">IF(BO$35&gt;=$AC$534,BO$35-$AC$534+1,0)</f>
        <v>0</v>
      </c>
      <c r="BP536" s="63" t="n">
        <f aca="false">IF(BP$35&gt;=$AC$534,BP$35-$AC$534+1,0)</f>
        <v>0</v>
      </c>
      <c r="BQ536" s="63" t="n">
        <f aca="false">IF(BQ$35&gt;=$AC$534,BQ$35-$AC$534+1,0)</f>
        <v>0</v>
      </c>
      <c r="BR536" s="63" t="n">
        <f aca="false">IF(BR$35&gt;=$AC$534,BR$35-$AC$534+1,0)</f>
        <v>0</v>
      </c>
      <c r="BS536" s="63" t="n">
        <f aca="false">IF(BS$35&gt;=$AC$534,BS$35-$AC$534+1,0)</f>
        <v>0</v>
      </c>
      <c r="BT536" s="63" t="n">
        <f aca="false">IF(BT$35&gt;=$AC$534,BT$35-$AC$534+1,0)</f>
        <v>0</v>
      </c>
      <c r="BU536" s="63" t="n">
        <f aca="false">IF(BU$35&gt;=$AC$534,BU$35-$AC$534+1,0)</f>
        <v>0</v>
      </c>
      <c r="BV536" s="63" t="n">
        <f aca="false">IF(BV$35&gt;=$AC$534,BV$35-$AC$534+1,0)</f>
        <v>0</v>
      </c>
      <c r="BW536" s="63" t="n">
        <f aca="false">IF(BW$35&gt;=$AC$534,BW$35-$AC$534+1,0)</f>
        <v>0</v>
      </c>
      <c r="BX536" s="63" t="n">
        <f aca="false">IF(BX$35&gt;=$AC$534,BX$35-$AC$534+1,0)</f>
        <v>0</v>
      </c>
      <c r="BY536" s="63" t="n">
        <f aca="false">IF(BY$35&gt;=$AC$534,BY$35-$AC$534+1,0)</f>
        <v>0</v>
      </c>
      <c r="BZ536" s="63" t="n">
        <f aca="false">IF(BZ$35&gt;=$AC$534,BZ$35-$AC$534+1,0)</f>
        <v>0</v>
      </c>
      <c r="CA536" s="63" t="n">
        <f aca="false">IF(CA$35&gt;=$AC$534,CA$35-$AC$534+1,0)</f>
        <v>0</v>
      </c>
      <c r="CB536" s="63" t="n">
        <f aca="false">IF(CB$35&gt;=$AC$534,CB$35-$AC$534+1,0)</f>
        <v>0</v>
      </c>
      <c r="CC536" s="63" t="n">
        <f aca="false">IF(CC$35&gt;=$AC$534,CC$35-$AC$534+1,0)</f>
        <v>0</v>
      </c>
      <c r="CD536" s="63" t="n">
        <f aca="false">IF(CD$35&gt;=$AC$534,CD$35-$AC$534+1,0)</f>
        <v>0</v>
      </c>
      <c r="CE536" s="63" t="n">
        <f aca="false">IF(CE$35&gt;=$AC$534,CE$35-$AC$534+1,0)</f>
        <v>0</v>
      </c>
      <c r="CF536" s="63" t="n">
        <f aca="false">IF(CF$35&gt;=$AC$534,CF$35-$AC$534+1,0)</f>
        <v>0</v>
      </c>
      <c r="CG536" s="63" t="n">
        <f aca="false">IF(CG$35&gt;=$AC$534,CG$35-$AC$534+1,0)</f>
        <v>0</v>
      </c>
      <c r="CH536" s="63" t="n">
        <f aca="false">IF(CH$35&gt;=$AC$534,CH$35-$AC$534+1,0)</f>
        <v>0</v>
      </c>
      <c r="CI536" s="63" t="n">
        <f aca="false">IF(CI$35&gt;=$AC$534,CI$35-$AC$534+1,0)</f>
        <v>0</v>
      </c>
      <c r="CJ536" s="63" t="n">
        <f aca="false">IF(CJ$35&gt;=$AC$534,CJ$35-$AC$534+1,0)</f>
        <v>0</v>
      </c>
      <c r="CK536" s="63" t="n">
        <f aca="false">IF(CK$35&gt;=$AC$534,CK$35-$AC$534+1,0)</f>
        <v>0</v>
      </c>
      <c r="CL536" s="63" t="n">
        <f aca="false">IF(CL$35&gt;=$AC$534,CL$35-$AC$534+1,0)</f>
        <v>0</v>
      </c>
      <c r="CM536" s="63" t="n">
        <f aca="false">IF(CM$35&gt;=$AC$534,CM$35-$AC$534+1,0)</f>
        <v>0</v>
      </c>
      <c r="CN536" s="63" t="n">
        <f aca="false">IF(CN$35&gt;=$AC$534,CN$35-$AC$534+1,0)</f>
        <v>0</v>
      </c>
      <c r="CO536" s="63" t="n">
        <f aca="false">IF(CO$35&gt;=$AC$534,CO$35-$AC$534+1,0)</f>
        <v>0</v>
      </c>
      <c r="CP536" s="63" t="n">
        <f aca="false">IF(CP$35&gt;=$AC$534,CP$35-$AC$534+1,0)</f>
        <v>0</v>
      </c>
      <c r="CQ536" s="63" t="n">
        <f aca="false">IF(CQ$35&gt;=$AC$534,CQ$35-$AC$534+1,0)</f>
        <v>0</v>
      </c>
      <c r="CR536" s="63" t="n">
        <f aca="false">IF(CR$35&gt;=$AC$534,CR$35-$AC$534+1,0)</f>
        <v>0</v>
      </c>
      <c r="CS536" s="63" t="n">
        <f aca="false">IF(CS$35&gt;=$AC$534,CS$35-$AC$534+1,0)</f>
        <v>0</v>
      </c>
      <c r="CT536" s="63" t="n">
        <f aca="false">IF(CT$35&gt;=$AC$534,CT$35-$AC$534+1,0)</f>
        <v>0</v>
      </c>
      <c r="CU536" s="63" t="n">
        <f aca="false">IF(CU$35&gt;=$AC$534,CU$35-$AC$534+1,0)</f>
        <v>0</v>
      </c>
      <c r="CV536" s="63" t="n">
        <f aca="false">IF(CV$35&gt;=$AC$534,CV$35-$AC$534+1,0)</f>
        <v>0</v>
      </c>
      <c r="CW536" s="63" t="n">
        <f aca="false">IF(CW$35&gt;=$AC$534,CW$35-$AC$534+1,0)</f>
        <v>0</v>
      </c>
      <c r="CX536" s="63" t="n">
        <f aca="false">IF(CX$35&gt;=$AC$534,CX$35-$AC$534+1,0)</f>
        <v>0</v>
      </c>
      <c r="CY536" s="63" t="n">
        <f aca="false">IF(CY$35&gt;=$AC$534,CY$35-$AC$534+1,0)</f>
        <v>0</v>
      </c>
      <c r="CZ536" s="63" t="n">
        <f aca="false">IF(CZ$35&gt;=$AC$534,CZ$35-$AC$534+1,0)</f>
        <v>0</v>
      </c>
      <c r="DA536" s="63" t="n">
        <f aca="false">IF(DA$35&gt;=$AC$534,DA$35-$AC$534+1,0)</f>
        <v>0</v>
      </c>
      <c r="DB536" s="63" t="n">
        <f aca="false">IF(DB$35&gt;=$AC$534,DB$35-$AC$534+1,0)</f>
        <v>0</v>
      </c>
      <c r="DC536" s="63" t="n">
        <f aca="false">IF(DC$35&gt;=$AC$534,DC$35-$AC$534+1,0)</f>
        <v>0</v>
      </c>
      <c r="DD536" s="63" t="n">
        <f aca="false">IF(DD$35&gt;=$AC$534,DD$35-$AC$534+1,0)</f>
        <v>0</v>
      </c>
      <c r="DE536" s="63" t="n">
        <f aca="false">IF(DE$35&gt;=$AC$534,DE$35-$AC$534+1,0)</f>
        <v>0</v>
      </c>
      <c r="DF536" s="63" t="n">
        <f aca="false">IF(DF$35&gt;=$AC$534,DF$35-$AC$534+1,0)</f>
        <v>0</v>
      </c>
      <c r="DG536" s="63" t="n">
        <f aca="false">IF(DG$35&gt;=$AC$534,DG$35-$AC$534+1,0)</f>
        <v>0</v>
      </c>
      <c r="DH536" s="63" t="n">
        <f aca="false">IF(DH$35&gt;=$AC$534,DH$35-$AC$534+1,0)</f>
        <v>0</v>
      </c>
      <c r="DI536" s="63" t="n">
        <f aca="false">IF(DI$35&gt;=$AC$534,DI$35-$AC$534+1,0)</f>
        <v>0</v>
      </c>
      <c r="DJ536" s="63" t="n">
        <f aca="false">IF(DJ$35&gt;=$AC$534,DJ$35-$AC$534+1,0)</f>
        <v>0</v>
      </c>
      <c r="DK536" s="63" t="n">
        <f aca="false">IF(DK$35&gt;=$AC$534,DK$35-$AC$534+1,0)</f>
        <v>0</v>
      </c>
      <c r="DL536" s="63" t="n">
        <f aca="false">IF(DL$35&gt;=$AC$534,DL$35-$AC$534+1,0)</f>
        <v>0</v>
      </c>
      <c r="DM536" s="63" t="n">
        <f aca="false">IF(DM$35&gt;=$AC$534,DM$35-$AC$534+1,0)</f>
        <v>0</v>
      </c>
      <c r="DN536" s="63" t="n">
        <f aca="false">IF(DN$35&gt;=$AC$534,DN$35-$AC$534+1,0)</f>
        <v>0</v>
      </c>
      <c r="DO536" s="63" t="n">
        <f aca="false">IF(DO$35&gt;=$AC$534,DO$35-$AC$534+1,0)</f>
        <v>0</v>
      </c>
      <c r="DP536" s="63" t="n">
        <f aca="false">IF(DP$35&gt;=$AC$534,DP$35-$AC$534+1,0)</f>
        <v>0</v>
      </c>
      <c r="DQ536" s="63" t="n">
        <f aca="false">IF(DQ$35&gt;=$AC$534,DQ$35-$AC$534+1,0)</f>
        <v>0</v>
      </c>
      <c r="DR536" s="63" t="n">
        <f aca="false">IF(DR$35&gt;=$AC$534,DR$35-$AC$534+1,0)</f>
        <v>0</v>
      </c>
      <c r="DS536" s="63" t="n">
        <f aca="false">IF(DS$35&gt;=$AC$534,DS$35-$AC$534+1,0)</f>
        <v>0</v>
      </c>
      <c r="DT536" s="63" t="n">
        <f aca="false">IF(DT$35&gt;=$AC$534,DT$35-$AC$534+1,0)</f>
        <v>0</v>
      </c>
      <c r="DU536" s="63" t="n">
        <f aca="false">IF(DU$35&gt;=$AC$534,DU$35-$AC$534+1,0)</f>
        <v>0</v>
      </c>
      <c r="DV536" s="63" t="n">
        <f aca="false">IF(DV$35&gt;=$AC$534,DV$35-$AC$534+1,0)</f>
        <v>0</v>
      </c>
      <c r="DW536" s="63" t="n">
        <f aca="false">IF(DW$35&gt;=$AC$534,DW$35-$AC$534+1,0)</f>
        <v>0</v>
      </c>
      <c r="DX536" s="63" t="n">
        <f aca="false">IF(DX$35&gt;=$AC$534,DX$35-$AC$534+1,0)</f>
        <v>0</v>
      </c>
      <c r="DY536" s="63" t="n">
        <f aca="false">IF(DY$35&gt;=$AC$534,DY$35-$AC$534+1,0)</f>
        <v>0</v>
      </c>
      <c r="DZ536" s="63" t="n">
        <f aca="false">IF(DZ$35&gt;=$AC$534,DZ$35-$AC$534+1,0)</f>
        <v>0</v>
      </c>
      <c r="EA536" s="63" t="n">
        <f aca="false">IF(EA$35&gt;=$AC$534,EA$35-$AC$534+1,0)</f>
        <v>0</v>
      </c>
      <c r="EB536" s="63" t="n">
        <f aca="false">IF(EB$35&gt;=$AC$534,EB$35-$AC$534+1,0)</f>
        <v>0</v>
      </c>
      <c r="EC536" s="63" t="n">
        <f aca="false">IF(EC$35&gt;=$AC$534,EC$35-$AC$534+1,0)</f>
        <v>0</v>
      </c>
      <c r="ED536" s="63" t="n">
        <f aca="false">IF(ED$35&gt;=$AC$534,ED$35-$AC$534+1,0)</f>
        <v>0</v>
      </c>
      <c r="EE536" s="63" t="n">
        <f aca="false">IF(EE$35&gt;=$AC$534,EE$35-$AC$534+1,0)</f>
        <v>0</v>
      </c>
      <c r="EF536" s="63" t="n">
        <f aca="false">IF(EF$35&gt;=$AC$534,EF$35-$AC$534+1,0)</f>
        <v>0</v>
      </c>
      <c r="EG536" s="63" t="n">
        <f aca="false">IF(EG$35&gt;=$AC$534,EG$35-$AC$534+1,0)</f>
        <v>0</v>
      </c>
      <c r="EH536" s="63" t="n">
        <f aca="false">IF(EH$35&gt;=$AC$534,EH$35-$AC$534+1,0)</f>
        <v>0</v>
      </c>
      <c r="EI536" s="63" t="n">
        <f aca="false">IF(EI$35&gt;=$AC$534,EI$35-$AC$534+1,0)</f>
        <v>0</v>
      </c>
      <c r="EJ536" s="63" t="n">
        <f aca="false">IF(EJ$35&gt;=$AC$534,EJ$35-$AC$534+1,0)</f>
        <v>0</v>
      </c>
      <c r="EK536" s="63" t="n">
        <f aca="false">IF(EK$35&gt;=$AC$534,EK$35-$AC$534+1,0)</f>
        <v>0</v>
      </c>
      <c r="EL536" s="63" t="n">
        <f aca="false">IF(EL$35&gt;=$AC$534,EL$35-$AC$534+1,0)</f>
        <v>0</v>
      </c>
      <c r="EM536" s="63" t="n">
        <f aca="false">IF(EM$35&gt;=$AC$534,EM$35-$AC$534+1,0)</f>
        <v>0</v>
      </c>
      <c r="EN536" s="63" t="n">
        <f aca="false">IF(EN$35&gt;=$AC$534,EN$35-$AC$534+1,0)</f>
        <v>0</v>
      </c>
      <c r="EO536" s="63" t="n">
        <f aca="false">IF(EO$35&gt;=$AC$534,EO$35-$AC$534+1,0)</f>
        <v>0</v>
      </c>
      <c r="EP536" s="63" t="n">
        <f aca="false">IF(EP$35&gt;=$AC$534,EP$35-$AC$534+1,0)</f>
        <v>0</v>
      </c>
      <c r="EQ536" s="63" t="n">
        <f aca="false">IF(EQ$35&gt;=$AC$534,EQ$35-$AC$534+1,0)</f>
        <v>0</v>
      </c>
      <c r="ER536" s="63" t="n">
        <f aca="false">IF(ER$35&gt;=$AC$534,ER$35-$AC$534+1,0)</f>
        <v>0</v>
      </c>
      <c r="ES536" s="9" t="n">
        <f aca="false">IF(ES$35&gt;=$AC$534,ES$35-$AC$534+1,0)</f>
        <v>0</v>
      </c>
      <c r="ET536" s="9" t="n">
        <f aca="false">IF(ET$35&gt;=$AC$534,ET$35-$AC$534+1,0)</f>
        <v>0</v>
      </c>
      <c r="EU536" s="9" t="n">
        <f aca="false">IF(EU$35&gt;=$AC$534,EU$35-$AC$534+1,0)</f>
        <v>0</v>
      </c>
      <c r="EV536" s="9" t="n">
        <f aca="false">IF(EV$35&gt;=$AC$534,EV$35-$AC$534+1,0)</f>
        <v>0</v>
      </c>
      <c r="EW536" s="9" t="n">
        <f aca="false">IF(EW$35&gt;=$AC$534,EW$35-$AC$534+1,0)</f>
        <v>1</v>
      </c>
      <c r="EX536" s="9" t="n">
        <f aca="false">IF(EX$35&gt;=$AC$534,EX$35-$AC$534+1,0)</f>
        <v>2</v>
      </c>
      <c r="EY536" s="9" t="n">
        <f aca="false">IF(EY$35&gt;=$AC$534,EY$35-$AC$534+1,0)</f>
        <v>3</v>
      </c>
      <c r="EZ536" s="9" t="n">
        <f aca="false">IF(EZ$35&gt;=$AC$534,EZ$35-$AC$534+1,0)</f>
        <v>4</v>
      </c>
      <c r="FA536" s="9" t="n">
        <f aca="false">IF(FA$35&gt;=$AC$534,FA$35-$AC$534+1,0)</f>
        <v>5</v>
      </c>
      <c r="FB536" s="9" t="n">
        <f aca="false">IF(FB$35&gt;=$AC$534,FB$35-$AC$534+1,0)</f>
        <v>6</v>
      </c>
      <c r="FC536" s="9" t="n">
        <f aca="false">IF(FC$35&gt;=$AC$534,FC$35-$AC$534+1,0)</f>
        <v>7</v>
      </c>
      <c r="FD536" s="9" t="n">
        <f aca="false">IF(FD$35&gt;=$AC$534,FD$35-$AC$534+1,0)</f>
        <v>8</v>
      </c>
      <c r="FE536" s="9" t="n">
        <f aca="false">IF(FE$35&gt;=$AC$534,FE$35-$AC$534+1,0)</f>
        <v>9</v>
      </c>
      <c r="FF536" s="9" t="n">
        <f aca="false">IF(FF$35&gt;=$AC$534,FF$35-$AC$534+1,0)</f>
        <v>10</v>
      </c>
      <c r="FG536" s="9" t="n">
        <f aca="false">IF(FG$35&gt;=$AC$534,FG$35-$AC$534+1,0)</f>
        <v>11</v>
      </c>
      <c r="FH536" s="9" t="n">
        <f aca="false">IF(FH$35&gt;=$AC$534,FH$35-$AC$534+1,0)</f>
        <v>12</v>
      </c>
      <c r="FI536" s="9" t="n">
        <f aca="false">IF(FI$35&gt;=$AC$534,FI$35-$AC$534+1,0)</f>
        <v>13</v>
      </c>
      <c r="FJ536" s="9" t="n">
        <f aca="false">IF(FJ$35&gt;=$AC$534,FJ$35-$AC$534+1,0)</f>
        <v>14</v>
      </c>
      <c r="FK536" s="9" t="n">
        <f aca="false">IF(FK$35&gt;=$AC$534,FK$35-$AC$534+1,0)</f>
        <v>15</v>
      </c>
      <c r="FL536" s="9" t="n">
        <f aca="false">IF(FL$35&gt;=$AC$534,FL$35-$AC$534+1,0)</f>
        <v>16</v>
      </c>
      <c r="FM536" s="9" t="n">
        <f aca="false">IF(FM$35&gt;=$AC$534,FM$35-$AC$534+1,0)</f>
        <v>17</v>
      </c>
      <c r="FN536" s="9" t="n">
        <f aca="false">IF(FN$35&gt;=$AC$534,FN$35-$AC$534+1,0)</f>
        <v>18</v>
      </c>
      <c r="FO536" s="9" t="n">
        <f aca="false">IF(FO$35&gt;=$AC$534,FO$35-$AC$534+1,0)</f>
        <v>19</v>
      </c>
      <c r="FP536" s="9" t="n">
        <f aca="false">IF(FP$35&gt;=$AC$534,FP$35-$AC$534+1,0)</f>
        <v>20</v>
      </c>
    </row>
    <row r="537" customFormat="false" ht="15" hidden="false" customHeight="false" outlineLevel="2" collapsed="false">
      <c r="B537" s="9" t="s">
        <v>874</v>
      </c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236" t="n">
        <f aca="false" t="array" ref="AC537:AC537">IF(AC536=0,0,IF(AC536/'🎚️ Escenario'!$C$11&gt;=36,$AL$23,INDEX($C$23:$AL$23,MAX(1,ROUNDUP(AC536/'🎚️ Escenario'!$C$11,0)))))</f>
        <v>0</v>
      </c>
      <c r="AD537" s="236" t="n">
        <f aca="false" t="array" ref="AD537:AD537">IF(AD536=0,0,IF(AD536/'🎚️ Escenario'!$C$11&gt;=36,$AL$23,INDEX($C$23:$AL$23,MAX(1,ROUNDUP(AD536/'🎚️ Escenario'!$C$11,0)))))</f>
        <v>0</v>
      </c>
      <c r="AE537" s="236" t="n">
        <f aca="false" t="array" ref="AE537:AE537">IF(AE536=0,0,IF(AE536/'🎚️ Escenario'!$C$11&gt;=36,$AL$23,INDEX($C$23:$AL$23,MAX(1,ROUNDUP(AE536/'🎚️ Escenario'!$C$11,0)))))</f>
        <v>0</v>
      </c>
      <c r="AF537" s="236" t="n">
        <f aca="false" t="array" ref="AF537:AF537">IF(AF536=0,0,IF(AF536/'🎚️ Escenario'!$C$11&gt;=36,$AL$23,INDEX($C$23:$AL$23,MAX(1,ROUNDUP(AF536/'🎚️ Escenario'!$C$11,0)))))</f>
        <v>0</v>
      </c>
      <c r="AG537" s="236" t="n">
        <f aca="false" t="array" ref="AG537:AG537">IF(AG536=0,0,IF(AG536/'🎚️ Escenario'!$C$11&gt;=36,$AL$23,INDEX($C$23:$AL$23,MAX(1,ROUNDUP(AG536/'🎚️ Escenario'!$C$11,0)))))</f>
        <v>0</v>
      </c>
      <c r="AH537" s="236" t="n">
        <f aca="false" t="array" ref="AH537:AH537">IF(AH536=0,0,IF(AH536/'🎚️ Escenario'!$C$11&gt;=36,$AL$23,INDEX($C$23:$AL$23,MAX(1,ROUNDUP(AH536/'🎚️ Escenario'!$C$11,0)))))</f>
        <v>0</v>
      </c>
      <c r="AI537" s="236" t="n">
        <f aca="false" t="array" ref="AI537:AI537">IF(AI536=0,0,IF(AI536/'🎚️ Escenario'!$C$11&gt;=36,$AL$23,INDEX($C$23:$AL$23,MAX(1,ROUNDUP(AI536/'🎚️ Escenario'!$C$11,0)))))</f>
        <v>0</v>
      </c>
      <c r="AJ537" s="236" t="n">
        <f aca="false" t="array" ref="AJ537:AJ537">IF(AJ536=0,0,IF(AJ536/'🎚️ Escenario'!$C$11&gt;=36,$AL$23,INDEX($C$23:$AL$23,MAX(1,ROUNDUP(AJ536/'🎚️ Escenario'!$C$11,0)))))</f>
        <v>0</v>
      </c>
      <c r="AK537" s="236" t="n">
        <f aca="false" t="array" ref="AK537:AK537">IF(AK536=0,0,IF(AK536/'🎚️ Escenario'!$C$11&gt;=36,$AL$23,INDEX($C$23:$AL$23,MAX(1,ROUNDUP(AK536/'🎚️ Escenario'!$C$11,0)))))</f>
        <v>0</v>
      </c>
      <c r="AL537" s="236" t="n">
        <f aca="false" t="array" ref="AL537:AL537">IF(AL536=0,0,IF(AL536/'🎚️ Escenario'!$C$11&gt;=36,$AL$23,INDEX($C$23:$AL$23,MAX(1,ROUNDUP(AL536/'🎚️ Escenario'!$C$11,0)))))</f>
        <v>0</v>
      </c>
      <c r="AM537" s="236" t="n">
        <f aca="false" t="array" ref="AM537:AM537">IF(AM536=0,0,IF(AM536/'🎚️ Escenario'!$C$11&gt;=36,$AL$23,INDEX($C$23:$AL$23,MAX(1,ROUNDUP(AM536/'🎚️ Escenario'!$C$11,0)))))</f>
        <v>0</v>
      </c>
      <c r="AN537" s="236" t="n">
        <f aca="false" t="array" ref="AN537:AN537">IF(AN536=0,0,IF(AN536/'🎚️ Escenario'!$C$11&gt;=36,$AL$23,INDEX($C$23:$AL$23,MAX(1,ROUNDUP(AN536/'🎚️ Escenario'!$C$11,0)))))</f>
        <v>0</v>
      </c>
      <c r="AO537" s="236" t="n">
        <f aca="false" t="array" ref="AO537:AO537">IF(AO536=0,0,IF(AO536/'🎚️ Escenario'!$C$11&gt;=36,$AL$23,INDEX($C$23:$AL$23,MAX(1,ROUNDUP(AO536/'🎚️ Escenario'!$C$11,0)))))</f>
        <v>0</v>
      </c>
      <c r="AP537" s="236" t="n">
        <f aca="false" t="array" ref="AP537:AP537">IF(AP536=0,0,IF(AP536/'🎚️ Escenario'!$C$11&gt;=36,$AL$23,INDEX($C$23:$AL$23,MAX(1,ROUNDUP(AP536/'🎚️ Escenario'!$C$11,0)))))</f>
        <v>0</v>
      </c>
      <c r="AQ537" s="236" t="n">
        <f aca="false" t="array" ref="AQ537:AQ537">IF(AQ536=0,0,IF(AQ536/'🎚️ Escenario'!$C$11&gt;=36,$AL$23,INDEX($C$23:$AL$23,MAX(1,ROUNDUP(AQ536/'🎚️ Escenario'!$C$11,0)))))</f>
        <v>0</v>
      </c>
      <c r="AR537" s="236" t="n">
        <f aca="false" t="array" ref="AR537:AR537">IF(AR536=0,0,IF(AR536/'🎚️ Escenario'!$C$11&gt;=36,$AL$23,INDEX($C$23:$AL$23,MAX(1,ROUNDUP(AR536/'🎚️ Escenario'!$C$11,0)))))</f>
        <v>0</v>
      </c>
      <c r="AS537" s="236" t="n">
        <f aca="false" t="array" ref="AS537:AS537">IF(AS536=0,0,IF(AS536/'🎚️ Escenario'!$C$11&gt;=36,$AL$23,INDEX($C$23:$AL$23,MAX(1,ROUNDUP(AS536/'🎚️ Escenario'!$C$11,0)))))</f>
        <v>0</v>
      </c>
      <c r="AT537" s="236" t="n">
        <f aca="false" t="array" ref="AT537:AT537">IF(AT536=0,0,IF(AT536/'🎚️ Escenario'!$C$11&gt;=36,$AL$23,INDEX($C$23:$AL$23,MAX(1,ROUNDUP(AT536/'🎚️ Escenario'!$C$11,0)))))</f>
        <v>0</v>
      </c>
      <c r="AU537" s="236" t="n">
        <f aca="false" t="array" ref="AU537:AU537">IF(AU536=0,0,IF(AU536/'🎚️ Escenario'!$C$11&gt;=36,$AL$23,INDEX($C$23:$AL$23,MAX(1,ROUNDUP(AU536/'🎚️ Escenario'!$C$11,0)))))</f>
        <v>0</v>
      </c>
      <c r="AV537" s="236" t="n">
        <f aca="false" t="array" ref="AV537:AV537">IF(AV536=0,0,IF(AV536/'🎚️ Escenario'!$C$11&gt;=36,$AL$23,INDEX($C$23:$AL$23,MAX(1,ROUNDUP(AV536/'🎚️ Escenario'!$C$11,0)))))</f>
        <v>0</v>
      </c>
      <c r="AW537" s="236" t="n">
        <f aca="false" t="array" ref="AW537:AW537">IF(AW536=0,0,IF(AW536/'🎚️ Escenario'!$C$11&gt;=36,$AL$23,INDEX($C$23:$AL$23,MAX(1,ROUNDUP(AW536/'🎚️ Escenario'!$C$11,0)))))</f>
        <v>0</v>
      </c>
      <c r="AX537" s="236" t="n">
        <f aca="false" t="array" ref="AX537:AX537">IF(AX536=0,0,IF(AX536/'🎚️ Escenario'!$C$11&gt;=36,$AL$23,INDEX($C$23:$AL$23,MAX(1,ROUNDUP(AX536/'🎚️ Escenario'!$C$11,0)))))</f>
        <v>0</v>
      </c>
      <c r="AY537" s="236" t="n">
        <f aca="false" t="array" ref="AY537:AY537">IF(AY536=0,0,IF(AY536/'🎚️ Escenario'!$C$11&gt;=36,$AL$23,INDEX($C$23:$AL$23,MAX(1,ROUNDUP(AY536/'🎚️ Escenario'!$C$11,0)))))</f>
        <v>0</v>
      </c>
      <c r="AZ537" s="236" t="n">
        <f aca="false" t="array" ref="AZ537:AZ537">IF(AZ536=0,0,IF(AZ536/'🎚️ Escenario'!$C$11&gt;=36,$AL$23,INDEX($C$23:$AL$23,MAX(1,ROUNDUP(AZ536/'🎚️ Escenario'!$C$11,0)))))</f>
        <v>0</v>
      </c>
      <c r="BA537" s="236" t="n">
        <f aca="false" t="array" ref="BA537:BA537">IF(BA536=0,0,IF(BA536/'🎚️ Escenario'!$C$11&gt;=36,$AL$23,INDEX($C$23:$AL$23,MAX(1,ROUNDUP(BA536/'🎚️ Escenario'!$C$11,0)))))</f>
        <v>0</v>
      </c>
      <c r="BB537" s="236" t="n">
        <f aca="false" t="array" ref="BB537:BB537">IF(BB536=0,0,IF(BB536/'🎚️ Escenario'!$C$11&gt;=36,$AL$23,INDEX($C$23:$AL$23,MAX(1,ROUNDUP(BB536/'🎚️ Escenario'!$C$11,0)))))</f>
        <v>0</v>
      </c>
      <c r="BC537" s="236" t="n">
        <f aca="false" t="array" ref="BC537:BC537">IF(BC536=0,0,IF(BC536/'🎚️ Escenario'!$C$11&gt;=36,$AL$23,INDEX($C$23:$AL$23,MAX(1,ROUNDUP(BC536/'🎚️ Escenario'!$C$11,0)))))</f>
        <v>0</v>
      </c>
      <c r="BD537" s="236" t="n">
        <f aca="false" t="array" ref="BD537:BD537">IF(BD536=0,0,IF(BD536/'🎚️ Escenario'!$C$11&gt;=36,$AL$23,INDEX($C$23:$AL$23,MAX(1,ROUNDUP(BD536/'🎚️ Escenario'!$C$11,0)))))</f>
        <v>0</v>
      </c>
      <c r="BE537" s="236" t="n">
        <f aca="false" t="array" ref="BE537:BE537">IF(BE536=0,0,IF(BE536/'🎚️ Escenario'!$C$11&gt;=36,$AL$23,INDEX($C$23:$AL$23,MAX(1,ROUNDUP(BE536/'🎚️ Escenario'!$C$11,0)))))</f>
        <v>0</v>
      </c>
      <c r="BF537" s="236" t="n">
        <f aca="false" t="array" ref="BF537:BF537">IF(BF536=0,0,IF(BF536/'🎚️ Escenario'!$C$11&gt;=36,$AL$23,INDEX($C$23:$AL$23,MAX(1,ROUNDUP(BF536/'🎚️ Escenario'!$C$11,0)))))</f>
        <v>0</v>
      </c>
      <c r="BG537" s="236" t="n">
        <f aca="false" t="array" ref="BG537:BG537">IF(BG536=0,0,IF(BG536/'🎚️ Escenario'!$C$11&gt;=36,$AL$23,INDEX($C$23:$AL$23,MAX(1,ROUNDUP(BG536/'🎚️ Escenario'!$C$11,0)))))</f>
        <v>0</v>
      </c>
      <c r="BH537" s="236" t="n">
        <f aca="false" t="array" ref="BH537:BH537">IF(BH536=0,0,IF(BH536/'🎚️ Escenario'!$C$11&gt;=36,$AL$23,INDEX($C$23:$AL$23,MAX(1,ROUNDUP(BH536/'🎚️ Escenario'!$C$11,0)))))</f>
        <v>0</v>
      </c>
      <c r="BI537" s="236" t="n">
        <f aca="false" t="array" ref="BI537:BI537">IF(BI536=0,0,IF(BI536/'🎚️ Escenario'!$C$11&gt;=36,$AL$23,INDEX($C$23:$AL$23,MAX(1,ROUNDUP(BI536/'🎚️ Escenario'!$C$11,0)))))</f>
        <v>0</v>
      </c>
      <c r="BJ537" s="236" t="n">
        <f aca="false" t="array" ref="BJ537:BJ537">IF(BJ536=0,0,IF(BJ536/'🎚️ Escenario'!$C$11&gt;=36,$AL$23,INDEX($C$23:$AL$23,MAX(1,ROUNDUP(BJ536/'🎚️ Escenario'!$C$11,0)))))</f>
        <v>0</v>
      </c>
      <c r="BK537" s="236" t="n">
        <f aca="false" t="array" ref="BK537:BK537">IF(BK536=0,0,IF(BK536/'🎚️ Escenario'!$C$11&gt;=36,$AL$23,INDEX($C$23:$AL$23,MAX(1,ROUNDUP(BK536/'🎚️ Escenario'!$C$11,0)))))</f>
        <v>0</v>
      </c>
      <c r="BL537" s="236" t="n">
        <f aca="false" t="array" ref="BL537:BL537">IF(BL536=0,0,IF(BL536/'🎚️ Escenario'!$C$11&gt;=36,$AL$23,INDEX($C$23:$AL$23,MAX(1,ROUNDUP(BL536/'🎚️ Escenario'!$C$11,0)))))</f>
        <v>0</v>
      </c>
      <c r="BM537" s="236" t="n">
        <f aca="false" t="array" ref="BM537:BM537">IF(BM536=0,0,IF(BM536/'🎚️ Escenario'!$C$11&gt;=36,$AL$23,INDEX($C$23:$AL$23,MAX(1,ROUNDUP(BM536/'🎚️ Escenario'!$C$11,0)))))</f>
        <v>0</v>
      </c>
      <c r="BN537" s="236" t="n">
        <f aca="false" t="array" ref="BN537:BN537">IF(BN536=0,0,IF(BN536/'🎚️ Escenario'!$C$11&gt;=36,$AL$23,INDEX($C$23:$AL$23,MAX(1,ROUNDUP(BN536/'🎚️ Escenario'!$C$11,0)))))</f>
        <v>0</v>
      </c>
      <c r="BO537" s="236" t="n">
        <f aca="false" t="array" ref="BO537:BO537">IF(BO536=0,0,IF(BO536/'🎚️ Escenario'!$C$11&gt;=36,$AL$23,INDEX($C$23:$AL$23,MAX(1,ROUNDUP(BO536/'🎚️ Escenario'!$C$11,0)))))</f>
        <v>0</v>
      </c>
      <c r="BP537" s="236" t="n">
        <f aca="false" t="array" ref="BP537:BP537">IF(BP536=0,0,IF(BP536/'🎚️ Escenario'!$C$11&gt;=36,$AL$23,INDEX($C$23:$AL$23,MAX(1,ROUNDUP(BP536/'🎚️ Escenario'!$C$11,0)))))</f>
        <v>0</v>
      </c>
      <c r="BQ537" s="236" t="n">
        <f aca="false" t="array" ref="BQ537:BQ537">IF(BQ536=0,0,IF(BQ536/'🎚️ Escenario'!$C$11&gt;=36,$AL$23,INDEX($C$23:$AL$23,MAX(1,ROUNDUP(BQ536/'🎚️ Escenario'!$C$11,0)))))</f>
        <v>0</v>
      </c>
      <c r="BR537" s="236" t="n">
        <f aca="false" t="array" ref="BR537:BR537">IF(BR536=0,0,IF(BR536/'🎚️ Escenario'!$C$11&gt;=36,$AL$23,INDEX($C$23:$AL$23,MAX(1,ROUNDUP(BR536/'🎚️ Escenario'!$C$11,0)))))</f>
        <v>0</v>
      </c>
      <c r="BS537" s="236" t="n">
        <f aca="false" t="array" ref="BS537:BS537">IF(BS536=0,0,IF(BS536/'🎚️ Escenario'!$C$11&gt;=36,$AL$23,INDEX($C$23:$AL$23,MAX(1,ROUNDUP(BS536/'🎚️ Escenario'!$C$11,0)))))</f>
        <v>0</v>
      </c>
      <c r="BT537" s="236" t="n">
        <f aca="false" t="array" ref="BT537:BT537">IF(BT536=0,0,IF(BT536/'🎚️ Escenario'!$C$11&gt;=36,$AL$23,INDEX($C$23:$AL$23,MAX(1,ROUNDUP(BT536/'🎚️ Escenario'!$C$11,0)))))</f>
        <v>0</v>
      </c>
      <c r="BU537" s="236" t="n">
        <f aca="false" t="array" ref="BU537:BU537">IF(BU536=0,0,IF(BU536/'🎚️ Escenario'!$C$11&gt;=36,$AL$23,INDEX($C$23:$AL$23,MAX(1,ROUNDUP(BU536/'🎚️ Escenario'!$C$11,0)))))</f>
        <v>0</v>
      </c>
      <c r="BV537" s="236" t="n">
        <f aca="false" t="array" ref="BV537:BV537">IF(BV536=0,0,IF(BV536/'🎚️ Escenario'!$C$11&gt;=36,$AL$23,INDEX($C$23:$AL$23,MAX(1,ROUNDUP(BV536/'🎚️ Escenario'!$C$11,0)))))</f>
        <v>0</v>
      </c>
      <c r="BW537" s="236" t="n">
        <f aca="false" t="array" ref="BW537:BW537">IF(BW536=0,0,IF(BW536/'🎚️ Escenario'!$C$11&gt;=36,$AL$23,INDEX($C$23:$AL$23,MAX(1,ROUNDUP(BW536/'🎚️ Escenario'!$C$11,0)))))</f>
        <v>0</v>
      </c>
      <c r="BX537" s="236" t="n">
        <f aca="false" t="array" ref="BX537:BX537">IF(BX536=0,0,IF(BX536/'🎚️ Escenario'!$C$11&gt;=36,$AL$23,INDEX($C$23:$AL$23,MAX(1,ROUNDUP(BX536/'🎚️ Escenario'!$C$11,0)))))</f>
        <v>0</v>
      </c>
      <c r="BY537" s="236" t="n">
        <f aca="false" t="array" ref="BY537:BY537">IF(BY536=0,0,IF(BY536/'🎚️ Escenario'!$C$11&gt;=36,$AL$23,INDEX($C$23:$AL$23,MAX(1,ROUNDUP(BY536/'🎚️ Escenario'!$C$11,0)))))</f>
        <v>0</v>
      </c>
      <c r="BZ537" s="236" t="n">
        <f aca="false" t="array" ref="BZ537:BZ537">IF(BZ536=0,0,IF(BZ536/'🎚️ Escenario'!$C$11&gt;=36,$AL$23,INDEX($C$23:$AL$23,MAX(1,ROUNDUP(BZ536/'🎚️ Escenario'!$C$11,0)))))</f>
        <v>0</v>
      </c>
      <c r="CA537" s="236" t="n">
        <f aca="false" t="array" ref="CA537:CA537">IF(CA536=0,0,IF(CA536/'🎚️ Escenario'!$C$11&gt;=36,$AL$23,INDEX($C$23:$AL$23,MAX(1,ROUNDUP(CA536/'🎚️ Escenario'!$C$11,0)))))</f>
        <v>0</v>
      </c>
      <c r="CB537" s="236" t="n">
        <f aca="false" t="array" ref="CB537:CB537">IF(CB536=0,0,IF(CB536/'🎚️ Escenario'!$C$11&gt;=36,$AL$23,INDEX($C$23:$AL$23,MAX(1,ROUNDUP(CB536/'🎚️ Escenario'!$C$11,0)))))</f>
        <v>0</v>
      </c>
      <c r="CC537" s="236" t="n">
        <f aca="false" t="array" ref="CC537:CC537">IF(CC536=0,0,IF(CC536/'🎚️ Escenario'!$C$11&gt;=36,$AL$23,INDEX($C$23:$AL$23,MAX(1,ROUNDUP(CC536/'🎚️ Escenario'!$C$11,0)))))</f>
        <v>0</v>
      </c>
      <c r="CD537" s="236" t="n">
        <f aca="false" t="array" ref="CD537:CD537">IF(CD536=0,0,IF(CD536/'🎚️ Escenario'!$C$11&gt;=36,$AL$23,INDEX($C$23:$AL$23,MAX(1,ROUNDUP(CD536/'🎚️ Escenario'!$C$11,0)))))</f>
        <v>0</v>
      </c>
      <c r="CE537" s="236" t="n">
        <f aca="false" t="array" ref="CE537:CE537">IF(CE536=0,0,IF(CE536/'🎚️ Escenario'!$C$11&gt;=36,$AL$23,INDEX($C$23:$AL$23,MAX(1,ROUNDUP(CE536/'🎚️ Escenario'!$C$11,0)))))</f>
        <v>0</v>
      </c>
      <c r="CF537" s="236" t="n">
        <f aca="false" t="array" ref="CF537:CF537">IF(CF536=0,0,IF(CF536/'🎚️ Escenario'!$C$11&gt;=36,$AL$23,INDEX($C$23:$AL$23,MAX(1,ROUNDUP(CF536/'🎚️ Escenario'!$C$11,0)))))</f>
        <v>0</v>
      </c>
      <c r="CG537" s="236" t="n">
        <f aca="false" t="array" ref="CG537:CG537">IF(CG536=0,0,IF(CG536/'🎚️ Escenario'!$C$11&gt;=36,$AL$23,INDEX($C$23:$AL$23,MAX(1,ROUNDUP(CG536/'🎚️ Escenario'!$C$11,0)))))</f>
        <v>0</v>
      </c>
      <c r="CH537" s="236" t="n">
        <f aca="false" t="array" ref="CH537:CH537">IF(CH536=0,0,IF(CH536/'🎚️ Escenario'!$C$11&gt;=36,$AL$23,INDEX($C$23:$AL$23,MAX(1,ROUNDUP(CH536/'🎚️ Escenario'!$C$11,0)))))</f>
        <v>0</v>
      </c>
      <c r="CI537" s="236" t="n">
        <f aca="false" t="array" ref="CI537:CI537">IF(CI536=0,0,IF(CI536/'🎚️ Escenario'!$C$11&gt;=36,$AL$23,INDEX($C$23:$AL$23,MAX(1,ROUNDUP(CI536/'🎚️ Escenario'!$C$11,0)))))</f>
        <v>0</v>
      </c>
      <c r="CJ537" s="236" t="n">
        <f aca="false" t="array" ref="CJ537:CJ537">IF(CJ536=0,0,IF(CJ536/'🎚️ Escenario'!$C$11&gt;=36,$AL$23,INDEX($C$23:$AL$23,MAX(1,ROUNDUP(CJ536/'🎚️ Escenario'!$C$11,0)))))</f>
        <v>0</v>
      </c>
      <c r="CK537" s="236" t="n">
        <f aca="false" t="array" ref="CK537:CK537">IF(CK536=0,0,IF(CK536/'🎚️ Escenario'!$C$11&gt;=36,$AL$23,INDEX($C$23:$AL$23,MAX(1,ROUNDUP(CK536/'🎚️ Escenario'!$C$11,0)))))</f>
        <v>0</v>
      </c>
      <c r="CL537" s="236" t="n">
        <f aca="false" t="array" ref="CL537:CL537">IF(CL536=0,0,IF(CL536/'🎚️ Escenario'!$C$11&gt;=36,$AL$23,INDEX($C$23:$AL$23,MAX(1,ROUNDUP(CL536/'🎚️ Escenario'!$C$11,0)))))</f>
        <v>0</v>
      </c>
      <c r="CM537" s="236" t="n">
        <f aca="false" t="array" ref="CM537:CM537">IF(CM536=0,0,IF(CM536/'🎚️ Escenario'!$C$11&gt;=36,$AL$23,INDEX($C$23:$AL$23,MAX(1,ROUNDUP(CM536/'🎚️ Escenario'!$C$11,0)))))</f>
        <v>0</v>
      </c>
      <c r="CN537" s="236" t="n">
        <f aca="false" t="array" ref="CN537:CN537">IF(CN536=0,0,IF(CN536/'🎚️ Escenario'!$C$11&gt;=36,$AL$23,INDEX($C$23:$AL$23,MAX(1,ROUNDUP(CN536/'🎚️ Escenario'!$C$11,0)))))</f>
        <v>0</v>
      </c>
      <c r="CO537" s="236" t="n">
        <f aca="false" t="array" ref="CO537:CO537">IF(CO536=0,0,IF(CO536/'🎚️ Escenario'!$C$11&gt;=36,$AL$23,INDEX($C$23:$AL$23,MAX(1,ROUNDUP(CO536/'🎚️ Escenario'!$C$11,0)))))</f>
        <v>0</v>
      </c>
      <c r="CP537" s="236" t="n">
        <f aca="false" t="array" ref="CP537:CP537">IF(CP536=0,0,IF(CP536/'🎚️ Escenario'!$C$11&gt;=36,$AL$23,INDEX($C$23:$AL$23,MAX(1,ROUNDUP(CP536/'🎚️ Escenario'!$C$11,0)))))</f>
        <v>0</v>
      </c>
      <c r="CQ537" s="236" t="n">
        <f aca="false" t="array" ref="CQ537:CQ537">IF(CQ536=0,0,IF(CQ536/'🎚️ Escenario'!$C$11&gt;=36,$AL$23,INDEX($C$23:$AL$23,MAX(1,ROUNDUP(CQ536/'🎚️ Escenario'!$C$11,0)))))</f>
        <v>0</v>
      </c>
      <c r="CR537" s="236" t="n">
        <f aca="false" t="array" ref="CR537:CR537">IF(CR536=0,0,IF(CR536/'🎚️ Escenario'!$C$11&gt;=36,$AL$23,INDEX($C$23:$AL$23,MAX(1,ROUNDUP(CR536/'🎚️ Escenario'!$C$11,0)))))</f>
        <v>0</v>
      </c>
      <c r="CS537" s="236" t="n">
        <f aca="false" t="array" ref="CS537:CS537">IF(CS536=0,0,IF(CS536/'🎚️ Escenario'!$C$11&gt;=36,$AL$23,INDEX($C$23:$AL$23,MAX(1,ROUNDUP(CS536/'🎚️ Escenario'!$C$11,0)))))</f>
        <v>0</v>
      </c>
      <c r="CT537" s="236" t="n">
        <f aca="false" t="array" ref="CT537:CT537">IF(CT536=0,0,IF(CT536/'🎚️ Escenario'!$C$11&gt;=36,$AL$23,INDEX($C$23:$AL$23,MAX(1,ROUNDUP(CT536/'🎚️ Escenario'!$C$11,0)))))</f>
        <v>0</v>
      </c>
      <c r="CU537" s="236" t="n">
        <f aca="false" t="array" ref="CU537:CU537">IF(CU536=0,0,IF(CU536/'🎚️ Escenario'!$C$11&gt;=36,$AL$23,INDEX($C$23:$AL$23,MAX(1,ROUNDUP(CU536/'🎚️ Escenario'!$C$11,0)))))</f>
        <v>0</v>
      </c>
      <c r="CV537" s="236" t="n">
        <f aca="false" t="array" ref="CV537:CV537">IF(CV536=0,0,IF(CV536/'🎚️ Escenario'!$C$11&gt;=36,$AL$23,INDEX($C$23:$AL$23,MAX(1,ROUNDUP(CV536/'🎚️ Escenario'!$C$11,0)))))</f>
        <v>0</v>
      </c>
      <c r="CW537" s="236" t="n">
        <f aca="false" t="array" ref="CW537:CW537">IF(CW536=0,0,IF(CW536/'🎚️ Escenario'!$C$11&gt;=36,$AL$23,INDEX($C$23:$AL$23,MAX(1,ROUNDUP(CW536/'🎚️ Escenario'!$C$11,0)))))</f>
        <v>0</v>
      </c>
      <c r="CX537" s="236" t="n">
        <f aca="false" t="array" ref="CX537:CX537">IF(CX536=0,0,IF(CX536/'🎚️ Escenario'!$C$11&gt;=36,$AL$23,INDEX($C$23:$AL$23,MAX(1,ROUNDUP(CX536/'🎚️ Escenario'!$C$11,0)))))</f>
        <v>0</v>
      </c>
      <c r="CY537" s="236" t="n">
        <f aca="false" t="array" ref="CY537:CY537">IF(CY536=0,0,IF(CY536/'🎚️ Escenario'!$C$11&gt;=36,$AL$23,INDEX($C$23:$AL$23,MAX(1,ROUNDUP(CY536/'🎚️ Escenario'!$C$11,0)))))</f>
        <v>0</v>
      </c>
      <c r="CZ537" s="236" t="n">
        <f aca="false" t="array" ref="CZ537:CZ537">IF(CZ536=0,0,IF(CZ536/'🎚️ Escenario'!$C$11&gt;=36,$AL$23,INDEX($C$23:$AL$23,MAX(1,ROUNDUP(CZ536/'🎚️ Escenario'!$C$11,0)))))</f>
        <v>0</v>
      </c>
      <c r="DA537" s="236" t="n">
        <f aca="false" t="array" ref="DA537:DA537">IF(DA536=0,0,IF(DA536/'🎚️ Escenario'!$C$11&gt;=36,$AL$23,INDEX($C$23:$AL$23,MAX(1,ROUNDUP(DA536/'🎚️ Escenario'!$C$11,0)))))</f>
        <v>0</v>
      </c>
      <c r="DB537" s="236" t="n">
        <f aca="false" t="array" ref="DB537:DB537">IF(DB536=0,0,IF(DB536/'🎚️ Escenario'!$C$11&gt;=36,$AL$23,INDEX($C$23:$AL$23,MAX(1,ROUNDUP(DB536/'🎚️ Escenario'!$C$11,0)))))</f>
        <v>0</v>
      </c>
      <c r="DC537" s="236" t="n">
        <f aca="false" t="array" ref="DC537:DC537">IF(DC536=0,0,IF(DC536/'🎚️ Escenario'!$C$11&gt;=36,$AL$23,INDEX($C$23:$AL$23,MAX(1,ROUNDUP(DC536/'🎚️ Escenario'!$C$11,0)))))</f>
        <v>0</v>
      </c>
      <c r="DD537" s="236" t="n">
        <f aca="false" t="array" ref="DD537:DD537">IF(DD536=0,0,IF(DD536/'🎚️ Escenario'!$C$11&gt;=36,$AL$23,INDEX($C$23:$AL$23,MAX(1,ROUNDUP(DD536/'🎚️ Escenario'!$C$11,0)))))</f>
        <v>0</v>
      </c>
      <c r="DE537" s="236" t="n">
        <f aca="false" t="array" ref="DE537:DE537">IF(DE536=0,0,IF(DE536/'🎚️ Escenario'!$C$11&gt;=36,$AL$23,INDEX($C$23:$AL$23,MAX(1,ROUNDUP(DE536/'🎚️ Escenario'!$C$11,0)))))</f>
        <v>0</v>
      </c>
      <c r="DF537" s="236" t="n">
        <f aca="false" t="array" ref="DF537:DF537">IF(DF536=0,0,IF(DF536/'🎚️ Escenario'!$C$11&gt;=36,$AL$23,INDEX($C$23:$AL$23,MAX(1,ROUNDUP(DF536/'🎚️ Escenario'!$C$11,0)))))</f>
        <v>0</v>
      </c>
      <c r="DG537" s="236" t="n">
        <f aca="false" t="array" ref="DG537:DG537">IF(DG536=0,0,IF(DG536/'🎚️ Escenario'!$C$11&gt;=36,$AL$23,INDEX($C$23:$AL$23,MAX(1,ROUNDUP(DG536/'🎚️ Escenario'!$C$11,0)))))</f>
        <v>0</v>
      </c>
      <c r="DH537" s="236" t="n">
        <f aca="false" t="array" ref="DH537:DH537">IF(DH536=0,0,IF(DH536/'🎚️ Escenario'!$C$11&gt;=36,$AL$23,INDEX($C$23:$AL$23,MAX(1,ROUNDUP(DH536/'🎚️ Escenario'!$C$11,0)))))</f>
        <v>0</v>
      </c>
      <c r="DI537" s="236" t="n">
        <f aca="false" t="array" ref="DI537:DI537">IF(DI536=0,0,IF(DI536/'🎚️ Escenario'!$C$11&gt;=36,$AL$23,INDEX($C$23:$AL$23,MAX(1,ROUNDUP(DI536/'🎚️ Escenario'!$C$11,0)))))</f>
        <v>0</v>
      </c>
      <c r="DJ537" s="236" t="n">
        <f aca="false" t="array" ref="DJ537:DJ537">IF(DJ536=0,0,IF(DJ536/'🎚️ Escenario'!$C$11&gt;=36,$AL$23,INDEX($C$23:$AL$23,MAX(1,ROUNDUP(DJ536/'🎚️ Escenario'!$C$11,0)))))</f>
        <v>0</v>
      </c>
      <c r="DK537" s="236" t="n">
        <f aca="false" t="array" ref="DK537:DK537">IF(DK536=0,0,IF(DK536/'🎚️ Escenario'!$C$11&gt;=36,$AL$23,INDEX($C$23:$AL$23,MAX(1,ROUNDUP(DK536/'🎚️ Escenario'!$C$11,0)))))</f>
        <v>0</v>
      </c>
      <c r="DL537" s="236" t="n">
        <f aca="false" t="array" ref="DL537:DL537">IF(DL536=0,0,IF(DL536/'🎚️ Escenario'!$C$11&gt;=36,$AL$23,INDEX($C$23:$AL$23,MAX(1,ROUNDUP(DL536/'🎚️ Escenario'!$C$11,0)))))</f>
        <v>0</v>
      </c>
      <c r="DM537" s="236" t="n">
        <f aca="false" t="array" ref="DM537:DM537">IF(DM536=0,0,IF(DM536/'🎚️ Escenario'!$C$11&gt;=36,$AL$23,INDEX($C$23:$AL$23,MAX(1,ROUNDUP(DM536/'🎚️ Escenario'!$C$11,0)))))</f>
        <v>0</v>
      </c>
      <c r="DN537" s="236" t="n">
        <f aca="false" t="array" ref="DN537:DN537">IF(DN536=0,0,IF(DN536/'🎚️ Escenario'!$C$11&gt;=36,$AL$23,INDEX($C$23:$AL$23,MAX(1,ROUNDUP(DN536/'🎚️ Escenario'!$C$11,0)))))</f>
        <v>0</v>
      </c>
      <c r="DO537" s="236" t="n">
        <f aca="false" t="array" ref="DO537:DO537">IF(DO536=0,0,IF(DO536/'🎚️ Escenario'!$C$11&gt;=36,$AL$23,INDEX($C$23:$AL$23,MAX(1,ROUNDUP(DO536/'🎚️ Escenario'!$C$11,0)))))</f>
        <v>0</v>
      </c>
      <c r="DP537" s="236" t="n">
        <f aca="false" t="array" ref="DP537:DP537">IF(DP536=0,0,IF(DP536/'🎚️ Escenario'!$C$11&gt;=36,$AL$23,INDEX($C$23:$AL$23,MAX(1,ROUNDUP(DP536/'🎚️ Escenario'!$C$11,0)))))</f>
        <v>0</v>
      </c>
      <c r="DQ537" s="236" t="n">
        <f aca="false" t="array" ref="DQ537:DQ537">IF(DQ536=0,0,IF(DQ536/'🎚️ Escenario'!$C$11&gt;=36,$AL$23,INDEX($C$23:$AL$23,MAX(1,ROUNDUP(DQ536/'🎚️ Escenario'!$C$11,0)))))</f>
        <v>0</v>
      </c>
      <c r="DR537" s="236" t="n">
        <f aca="false" t="array" ref="DR537:DR537">IF(DR536=0,0,IF(DR536/'🎚️ Escenario'!$C$11&gt;=36,$AL$23,INDEX($C$23:$AL$23,MAX(1,ROUNDUP(DR536/'🎚️ Escenario'!$C$11,0)))))</f>
        <v>0</v>
      </c>
      <c r="DS537" s="236" t="n">
        <f aca="false" t="array" ref="DS537:DS537">IF(DS536=0,0,IF(DS536/'🎚️ Escenario'!$C$11&gt;=36,$AL$23,INDEX($C$23:$AL$23,MAX(1,ROUNDUP(DS536/'🎚️ Escenario'!$C$11,0)))))</f>
        <v>0</v>
      </c>
      <c r="DT537" s="236" t="n">
        <f aca="false" t="array" ref="DT537:DT537">IF(DT536=0,0,IF(DT536/'🎚️ Escenario'!$C$11&gt;=36,$AL$23,INDEX($C$23:$AL$23,MAX(1,ROUNDUP(DT536/'🎚️ Escenario'!$C$11,0)))))</f>
        <v>0</v>
      </c>
      <c r="DU537" s="236" t="n">
        <f aca="false" t="array" ref="DU537:DU537">IF(DU536=0,0,IF(DU536/'🎚️ Escenario'!$C$11&gt;=36,$AL$23,INDEX($C$23:$AL$23,MAX(1,ROUNDUP(DU536/'🎚️ Escenario'!$C$11,0)))))</f>
        <v>0</v>
      </c>
      <c r="DV537" s="236" t="n">
        <f aca="false" t="array" ref="DV537:DV537">IF(DV536=0,0,IF(DV536/'🎚️ Escenario'!$C$11&gt;=36,$AL$23,INDEX($C$23:$AL$23,MAX(1,ROUNDUP(DV536/'🎚️ Escenario'!$C$11,0)))))</f>
        <v>0</v>
      </c>
      <c r="DW537" s="236" t="n">
        <f aca="false" t="array" ref="DW537:DW537">IF(DW536=0,0,IF(DW536/'🎚️ Escenario'!$C$11&gt;=36,$AL$23,INDEX($C$23:$AL$23,MAX(1,ROUNDUP(DW536/'🎚️ Escenario'!$C$11,0)))))</f>
        <v>0</v>
      </c>
      <c r="DX537" s="236" t="n">
        <f aca="false" t="array" ref="DX537:DX537">IF(DX536=0,0,IF(DX536/'🎚️ Escenario'!$C$11&gt;=36,$AL$23,INDEX($C$23:$AL$23,MAX(1,ROUNDUP(DX536/'🎚️ Escenario'!$C$11,0)))))</f>
        <v>0</v>
      </c>
      <c r="DY537" s="236" t="n">
        <f aca="false" t="array" ref="DY537:DY537">IF(DY536=0,0,IF(DY536/'🎚️ Escenario'!$C$11&gt;=36,$AL$23,INDEX($C$23:$AL$23,MAX(1,ROUNDUP(DY536/'🎚️ Escenario'!$C$11,0)))))</f>
        <v>0</v>
      </c>
      <c r="DZ537" s="236" t="n">
        <f aca="false" t="array" ref="DZ537:DZ537">IF(DZ536=0,0,IF(DZ536/'🎚️ Escenario'!$C$11&gt;=36,$AL$23,INDEX($C$23:$AL$23,MAX(1,ROUNDUP(DZ536/'🎚️ Escenario'!$C$11,0)))))</f>
        <v>0</v>
      </c>
      <c r="EA537" s="236" t="n">
        <f aca="false" t="array" ref="EA537:EA537">IF(EA536=0,0,IF(EA536/'🎚️ Escenario'!$C$11&gt;=36,$AL$23,INDEX($C$23:$AL$23,MAX(1,ROUNDUP(EA536/'🎚️ Escenario'!$C$11,0)))))</f>
        <v>0</v>
      </c>
      <c r="EB537" s="236" t="n">
        <f aca="false" t="array" ref="EB537:EB537">IF(EB536=0,0,IF(EB536/'🎚️ Escenario'!$C$11&gt;=36,$AL$23,INDEX($C$23:$AL$23,MAX(1,ROUNDUP(EB536/'🎚️ Escenario'!$C$11,0)))))</f>
        <v>0</v>
      </c>
      <c r="EC537" s="236" t="n">
        <f aca="false" t="array" ref="EC537:EC537">IF(EC536=0,0,IF(EC536/'🎚️ Escenario'!$C$11&gt;=36,$AL$23,INDEX($C$23:$AL$23,MAX(1,ROUNDUP(EC536/'🎚️ Escenario'!$C$11,0)))))</f>
        <v>0</v>
      </c>
      <c r="ED537" s="236" t="n">
        <f aca="false" t="array" ref="ED537:ED537">IF(ED536=0,0,IF(ED536/'🎚️ Escenario'!$C$11&gt;=36,$AL$23,INDEX($C$23:$AL$23,MAX(1,ROUNDUP(ED536/'🎚️ Escenario'!$C$11,0)))))</f>
        <v>0</v>
      </c>
      <c r="EE537" s="236" t="n">
        <f aca="false" t="array" ref="EE537:EE537">IF(EE536=0,0,IF(EE536/'🎚️ Escenario'!$C$11&gt;=36,$AL$23,INDEX($C$23:$AL$23,MAX(1,ROUNDUP(EE536/'🎚️ Escenario'!$C$11,0)))))</f>
        <v>0</v>
      </c>
      <c r="EF537" s="236" t="n">
        <f aca="false" t="array" ref="EF537:EF537">IF(EF536=0,0,IF(EF536/'🎚️ Escenario'!$C$11&gt;=36,$AL$23,INDEX($C$23:$AL$23,MAX(1,ROUNDUP(EF536/'🎚️ Escenario'!$C$11,0)))))</f>
        <v>0</v>
      </c>
      <c r="EG537" s="236" t="n">
        <f aca="false" t="array" ref="EG537:EG537">IF(EG536=0,0,IF(EG536/'🎚️ Escenario'!$C$11&gt;=36,$AL$23,INDEX($C$23:$AL$23,MAX(1,ROUNDUP(EG536/'🎚️ Escenario'!$C$11,0)))))</f>
        <v>0</v>
      </c>
      <c r="EH537" s="236" t="n">
        <f aca="false" t="array" ref="EH537:EH537">IF(EH536=0,0,IF(EH536/'🎚️ Escenario'!$C$11&gt;=36,$AL$23,INDEX($C$23:$AL$23,MAX(1,ROUNDUP(EH536/'🎚️ Escenario'!$C$11,0)))))</f>
        <v>0</v>
      </c>
      <c r="EI537" s="236" t="n">
        <f aca="false" t="array" ref="EI537:EI537">IF(EI536=0,0,IF(EI536/'🎚️ Escenario'!$C$11&gt;=36,$AL$23,INDEX($C$23:$AL$23,MAX(1,ROUNDUP(EI536/'🎚️ Escenario'!$C$11,0)))))</f>
        <v>0</v>
      </c>
      <c r="EJ537" s="236" t="n">
        <f aca="false" t="array" ref="EJ537:EJ537">IF(EJ536=0,0,IF(EJ536/'🎚️ Escenario'!$C$11&gt;=36,$AL$23,INDEX($C$23:$AL$23,MAX(1,ROUNDUP(EJ536/'🎚️ Escenario'!$C$11,0)))))</f>
        <v>0</v>
      </c>
      <c r="EK537" s="236" t="n">
        <f aca="false" t="array" ref="EK537:EK537">IF(EK536=0,0,IF(EK536/'🎚️ Escenario'!$C$11&gt;=36,$AL$23,INDEX($C$23:$AL$23,MAX(1,ROUNDUP(EK536/'🎚️ Escenario'!$C$11,0)))))</f>
        <v>0</v>
      </c>
      <c r="EL537" s="236" t="n">
        <f aca="false" t="array" ref="EL537:EL537">IF(EL536=0,0,IF(EL536/'🎚️ Escenario'!$C$11&gt;=36,$AL$23,INDEX($C$23:$AL$23,MAX(1,ROUNDUP(EL536/'🎚️ Escenario'!$C$11,0)))))</f>
        <v>0</v>
      </c>
      <c r="EM537" s="236" t="n">
        <f aca="false" t="array" ref="EM537:EM537">IF(EM536=0,0,IF(EM536/'🎚️ Escenario'!$C$11&gt;=36,$AL$23,INDEX($C$23:$AL$23,MAX(1,ROUNDUP(EM536/'🎚️ Escenario'!$C$11,0)))))</f>
        <v>0</v>
      </c>
      <c r="EN537" s="236" t="n">
        <f aca="false" t="array" ref="EN537:EN537">IF(EN536=0,0,IF(EN536/'🎚️ Escenario'!$C$11&gt;=36,$AL$23,INDEX($C$23:$AL$23,MAX(1,ROUNDUP(EN536/'🎚️ Escenario'!$C$11,0)))))</f>
        <v>0</v>
      </c>
      <c r="EO537" s="236" t="n">
        <f aca="false" t="array" ref="EO537:EO537">IF(EO536=0,0,IF(EO536/'🎚️ Escenario'!$C$11&gt;=36,$AL$23,INDEX($C$23:$AL$23,MAX(1,ROUNDUP(EO536/'🎚️ Escenario'!$C$11,0)))))</f>
        <v>0</v>
      </c>
      <c r="EP537" s="236" t="n">
        <f aca="false" t="array" ref="EP537:EP537">IF(EP536=0,0,IF(EP536/'🎚️ Escenario'!$C$11&gt;=36,$AL$23,INDEX($C$23:$AL$23,MAX(1,ROUNDUP(EP536/'🎚️ Escenario'!$C$11,0)))))</f>
        <v>0</v>
      </c>
      <c r="EQ537" s="236" t="n">
        <f aca="false" t="array" ref="EQ537:EQ537">IF(EQ536=0,0,IF(EQ536/'🎚️ Escenario'!$C$11&gt;=36,$AL$23,INDEX($C$23:$AL$23,MAX(1,ROUNDUP(EQ536/'🎚️ Escenario'!$C$11,0)))))</f>
        <v>0</v>
      </c>
      <c r="ER537" s="236" t="n">
        <f aca="false" t="array" ref="ER537:ER537">IF(ER536=0,0,IF(ER536/'🎚️ Escenario'!$C$11&gt;=36,$AL$23,INDEX($C$23:$AL$23,MAX(1,ROUNDUP(ER536/'🎚️ Escenario'!$C$11,0)))))</f>
        <v>0</v>
      </c>
      <c r="ES537" s="9" t="n">
        <f aca="false" t="array" ref="ES537:ES537">IF(ES536=0,0,IF(ES536/'🎚️ Escenario'!$C$11&gt;=36,$AL$23,INDEX($C$23:$AL$23,MAX(1,ROUNDUP(ES536/'🎚️ Escenario'!$C$11,0)))))</f>
        <v>0</v>
      </c>
      <c r="ET537" s="9" t="n">
        <f aca="false" t="array" ref="ET537:ET537">IF(ET536=0,0,IF(ET536/'🎚️ Escenario'!$C$11&gt;=36,$AL$23,INDEX($C$23:$AL$23,MAX(1,ROUNDUP(ET536/'🎚️ Escenario'!$C$11,0)))))</f>
        <v>0</v>
      </c>
      <c r="EU537" s="9" t="n">
        <f aca="false" t="array" ref="EU537:EU537">IF(EU536=0,0,IF(EU536/'🎚️ Escenario'!$C$11&gt;=36,$AL$23,INDEX($C$23:$AL$23,MAX(1,ROUNDUP(EU536/'🎚️ Escenario'!$C$11,0)))))</f>
        <v>0</v>
      </c>
      <c r="EV537" s="9" t="n">
        <f aca="false" t="array" ref="EV537:EV537">IF(EV536=0,0,IF(EV536/'🎚️ Escenario'!$C$11&gt;=36,$AL$23,INDEX($C$23:$AL$23,MAX(1,ROUNDUP(EV536/'🎚️ Escenario'!$C$11,0)))))</f>
        <v>0</v>
      </c>
      <c r="EW537" s="9" t="n">
        <f aca="false" t="array" ref="EW537:EW537">IF(EW536=0,0,IF(EW536/'🎚️ Escenario'!$C$11&gt;=36,$AL$23,INDEX($C$23:$AL$23,MAX(1,ROUNDUP(EW536/'🎚️ Escenario'!$C$11,0)))))</f>
        <v>0.2</v>
      </c>
      <c r="EX537" s="9" t="n">
        <f aca="false" t="array" ref="EX537:EX537">IF(EX536=0,0,IF(EX536/'🎚️ Escenario'!$C$11&gt;=36,$AL$23,INDEX($C$23:$AL$23,MAX(1,ROUNDUP(EX536/'🎚️ Escenario'!$C$11,0)))))</f>
        <v>0.22</v>
      </c>
      <c r="EY537" s="9" t="n">
        <f aca="false" t="array" ref="EY537:EY537">IF(EY536=0,0,IF(EY536/'🎚️ Escenario'!$C$11&gt;=36,$AL$23,INDEX($C$23:$AL$23,MAX(1,ROUNDUP(EY536/'🎚️ Escenario'!$C$11,0)))))</f>
        <v>0.24</v>
      </c>
      <c r="EZ537" s="9" t="n">
        <f aca="false" t="array" ref="EZ537:EZ537">IF(EZ536=0,0,IF(EZ536/'🎚️ Escenario'!$C$11&gt;=36,$AL$23,INDEX($C$23:$AL$23,MAX(1,ROUNDUP(EZ536/'🎚️ Escenario'!$C$11,0)))))</f>
        <v>0.27</v>
      </c>
      <c r="FA537" s="9" t="n">
        <f aca="false" t="array" ref="FA537:FA537">IF(FA536=0,0,IF(FA536/'🎚️ Escenario'!$C$11&gt;=36,$AL$23,INDEX($C$23:$AL$23,MAX(1,ROUNDUP(FA536/'🎚️ Escenario'!$C$11,0)))))</f>
        <v>0.27</v>
      </c>
      <c r="FB537" s="9" t="n">
        <f aca="false" t="array" ref="FB537:FB537">IF(FB536=0,0,IF(FB536/'🎚️ Escenario'!$C$11&gt;=36,$AL$23,INDEX($C$23:$AL$23,MAX(1,ROUNDUP(FB536/'🎚️ Escenario'!$C$11,0)))))</f>
        <v>0.31</v>
      </c>
      <c r="FC537" s="9" t="n">
        <f aca="false" t="array" ref="FC537:FC537">IF(FC536=0,0,IF(FC536/'🎚️ Escenario'!$C$11&gt;=36,$AL$23,INDEX($C$23:$AL$23,MAX(1,ROUNDUP(FC536/'🎚️ Escenario'!$C$11,0)))))</f>
        <v>0.35</v>
      </c>
      <c r="FD537" s="9" t="n">
        <f aca="false" t="array" ref="FD537:FD537">IF(FD536=0,0,IF(FD536/'🎚️ Escenario'!$C$11&gt;=36,$AL$23,INDEX($C$23:$AL$23,MAX(1,ROUNDUP(FD536/'🎚️ Escenario'!$C$11,0)))))</f>
        <v>0.39</v>
      </c>
      <c r="FE537" s="9" t="n">
        <f aca="false" t="array" ref="FE537:FE537">IF(FE536=0,0,IF(FE536/'🎚️ Escenario'!$C$11&gt;=36,$AL$23,INDEX($C$23:$AL$23,MAX(1,ROUNDUP(FE536/'🎚️ Escenario'!$C$11,0)))))</f>
        <v>0.44</v>
      </c>
      <c r="FF537" s="9" t="n">
        <f aca="false" t="array" ref="FF537:FF537">IF(FF536=0,0,IF(FF536/'🎚️ Escenario'!$C$11&gt;=36,$AL$23,INDEX($C$23:$AL$23,MAX(1,ROUNDUP(FF536/'🎚️ Escenario'!$C$11,0)))))</f>
        <v>0.44</v>
      </c>
      <c r="FG537" s="9" t="n">
        <f aca="false" t="array" ref="FG537:FG537">IF(FG536=0,0,IF(FG536/'🎚️ Escenario'!$C$11&gt;=36,$AL$23,INDEX($C$23:$AL$23,MAX(1,ROUNDUP(FG536/'🎚️ Escenario'!$C$11,0)))))</f>
        <v>0.48</v>
      </c>
      <c r="FH537" s="9" t="n">
        <f aca="false" t="array" ref="FH537:FH537">IF(FH536=0,0,IF(FH536/'🎚️ Escenario'!$C$11&gt;=36,$AL$23,INDEX($C$23:$AL$23,MAX(1,ROUNDUP(FH536/'🎚️ Escenario'!$C$11,0)))))</f>
        <v>0.52</v>
      </c>
      <c r="FI537" s="9" t="n">
        <f aca="false" t="array" ref="FI537:FI537">IF(FI536=0,0,IF(FI536/'🎚️ Escenario'!$C$11&gt;=36,$AL$23,INDEX($C$23:$AL$23,MAX(1,ROUNDUP(FI536/'🎚️ Escenario'!$C$11,0)))))</f>
        <v>0.56</v>
      </c>
      <c r="FJ537" s="9" t="n">
        <f aca="false" t="array" ref="FJ537:FJ537">IF(FJ536=0,0,IF(FJ536/'🎚️ Escenario'!$C$11&gt;=36,$AL$23,INDEX($C$23:$AL$23,MAX(1,ROUNDUP(FJ536/'🎚️ Escenario'!$C$11,0)))))</f>
        <v>0.6</v>
      </c>
      <c r="FK537" s="9" t="n">
        <f aca="false" t="array" ref="FK537:FK537">IF(FK536=0,0,IF(FK536/'🎚️ Escenario'!$C$11&gt;=36,$AL$23,INDEX($C$23:$AL$23,MAX(1,ROUNDUP(FK536/'🎚️ Escenario'!$C$11,0)))))</f>
        <v>0.6</v>
      </c>
      <c r="FL537" s="9" t="n">
        <f aca="false" t="array" ref="FL537:FL537">IF(FL536=0,0,IF(FL536/'🎚️ Escenario'!$C$11&gt;=36,$AL$23,INDEX($C$23:$AL$23,MAX(1,ROUNDUP(FL536/'🎚️ Escenario'!$C$11,0)))))</f>
        <v>0.63</v>
      </c>
      <c r="FM537" s="9" t="n">
        <f aca="false" t="array" ref="FM537:FM537">IF(FM536=0,0,IF(FM536/'🎚️ Escenario'!$C$11&gt;=36,$AL$23,INDEX($C$23:$AL$23,MAX(1,ROUNDUP(FM536/'🎚️ Escenario'!$C$11,0)))))</f>
        <v>0.66</v>
      </c>
      <c r="FN537" s="9" t="n">
        <f aca="false" t="array" ref="FN537:FN537">IF(FN536=0,0,IF(FN536/'🎚️ Escenario'!$C$11&gt;=36,$AL$23,INDEX($C$23:$AL$23,MAX(1,ROUNDUP(FN536/'🎚️ Escenario'!$C$11,0)))))</f>
        <v>0.69</v>
      </c>
      <c r="FO537" s="9" t="n">
        <f aca="false" t="array" ref="FO537:FO537">IF(FO536=0,0,IF(FO536/'🎚️ Escenario'!$C$11&gt;=36,$AL$23,INDEX($C$23:$AL$23,MAX(1,ROUNDUP(FO536/'🎚️ Escenario'!$C$11,0)))))</f>
        <v>0.71</v>
      </c>
      <c r="FP537" s="9" t="n">
        <f aca="false" t="array" ref="FP537:FP537">IF(FP536=0,0,IF(FP536/'🎚️ Escenario'!$C$11&gt;=36,$AL$23,INDEX($C$23:$AL$23,MAX(1,ROUNDUP(FP536/'🎚️ Escenario'!$C$11,0)))))</f>
        <v>0.71</v>
      </c>
    </row>
    <row r="538" customFormat="false" ht="15" hidden="false" customHeight="false" outlineLevel="2" collapsed="false">
      <c r="B538" s="9" t="s">
        <v>875</v>
      </c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237" t="n">
        <f aca="false">IF(AC536=0,0,IF(AC536&lt;=12*'🎚️ Escenario'!$C$11,1,1+$C$6))</f>
        <v>0</v>
      </c>
      <c r="AD538" s="237" t="n">
        <f aca="false">IF(AD536=0,0,IF(AD536&lt;=12*'🎚️ Escenario'!$C$11,1,1+$C$6))</f>
        <v>0</v>
      </c>
      <c r="AE538" s="237" t="n">
        <f aca="false">IF(AE536=0,0,IF(AE536&lt;=12*'🎚️ Escenario'!$C$11,1,1+$C$6))</f>
        <v>0</v>
      </c>
      <c r="AF538" s="237" t="n">
        <f aca="false">IF(AF536=0,0,IF(AF536&lt;=12*'🎚️ Escenario'!$C$11,1,1+$C$6))</f>
        <v>0</v>
      </c>
      <c r="AG538" s="237" t="n">
        <f aca="false">IF(AG536=0,0,IF(AG536&lt;=12*'🎚️ Escenario'!$C$11,1,1+$C$6))</f>
        <v>0</v>
      </c>
      <c r="AH538" s="237" t="n">
        <f aca="false">IF(AH536=0,0,IF(AH536&lt;=12*'🎚️ Escenario'!$C$11,1,1+$C$6))</f>
        <v>0</v>
      </c>
      <c r="AI538" s="237" t="n">
        <f aca="false">IF(AI536=0,0,IF(AI536&lt;=12*'🎚️ Escenario'!$C$11,1,1+$C$6))</f>
        <v>0</v>
      </c>
      <c r="AJ538" s="237" t="n">
        <f aca="false">IF(AJ536=0,0,IF(AJ536&lt;=12*'🎚️ Escenario'!$C$11,1,1+$C$6))</f>
        <v>0</v>
      </c>
      <c r="AK538" s="237" t="n">
        <f aca="false">IF(AK536=0,0,IF(AK536&lt;=12*'🎚️ Escenario'!$C$11,1,1+$C$6))</f>
        <v>0</v>
      </c>
      <c r="AL538" s="237" t="n">
        <f aca="false">IF(AL536=0,0,IF(AL536&lt;=12*'🎚️ Escenario'!$C$11,1,1+$C$6))</f>
        <v>0</v>
      </c>
      <c r="AM538" s="237" t="n">
        <f aca="false">IF(AM536=0,0,IF(AM536&lt;=12*'🎚️ Escenario'!$C$11,1,1+$C$6))</f>
        <v>0</v>
      </c>
      <c r="AN538" s="237" t="n">
        <f aca="false">IF(AN536=0,0,IF(AN536&lt;=12*'🎚️ Escenario'!$C$11,1,1+$C$6))</f>
        <v>0</v>
      </c>
      <c r="AO538" s="237" t="n">
        <f aca="false">IF(AO536=0,0,IF(AO536&lt;=12*'🎚️ Escenario'!$C$11,1,1+$C$6))</f>
        <v>0</v>
      </c>
      <c r="AP538" s="237" t="n">
        <f aca="false">IF(AP536=0,0,IF(AP536&lt;=12*'🎚️ Escenario'!$C$11,1,1+$C$6))</f>
        <v>0</v>
      </c>
      <c r="AQ538" s="237" t="n">
        <f aca="false">IF(AQ536=0,0,IF(AQ536&lt;=12*'🎚️ Escenario'!$C$11,1,1+$C$6))</f>
        <v>0</v>
      </c>
      <c r="AR538" s="237" t="n">
        <f aca="false">IF(AR536=0,0,IF(AR536&lt;=12*'🎚️ Escenario'!$C$11,1,1+$C$6))</f>
        <v>0</v>
      </c>
      <c r="AS538" s="237" t="n">
        <f aca="false">IF(AS536=0,0,IF(AS536&lt;=12*'🎚️ Escenario'!$C$11,1,1+$C$6))</f>
        <v>0</v>
      </c>
      <c r="AT538" s="237" t="n">
        <f aca="false">IF(AT536=0,0,IF(AT536&lt;=12*'🎚️ Escenario'!$C$11,1,1+$C$6))</f>
        <v>0</v>
      </c>
      <c r="AU538" s="237" t="n">
        <f aca="false">IF(AU536=0,0,IF(AU536&lt;=12*'🎚️ Escenario'!$C$11,1,1+$C$6))</f>
        <v>0</v>
      </c>
      <c r="AV538" s="237" t="n">
        <f aca="false">IF(AV536=0,0,IF(AV536&lt;=12*'🎚️ Escenario'!$C$11,1,1+$C$6))</f>
        <v>0</v>
      </c>
      <c r="AW538" s="237" t="n">
        <f aca="false">IF(AW536=0,0,IF(AW536&lt;=12*'🎚️ Escenario'!$C$11,1,1+$C$6))</f>
        <v>0</v>
      </c>
      <c r="AX538" s="237" t="n">
        <f aca="false">IF(AX536=0,0,IF(AX536&lt;=12*'🎚️ Escenario'!$C$11,1,1+$C$6))</f>
        <v>0</v>
      </c>
      <c r="AY538" s="237" t="n">
        <f aca="false">IF(AY536=0,0,IF(AY536&lt;=12*'🎚️ Escenario'!$C$11,1,1+$C$6))</f>
        <v>0</v>
      </c>
      <c r="AZ538" s="237" t="n">
        <f aca="false">IF(AZ536=0,0,IF(AZ536&lt;=12*'🎚️ Escenario'!$C$11,1,1+$C$6))</f>
        <v>0</v>
      </c>
      <c r="BA538" s="237" t="n">
        <f aca="false">IF(BA536=0,0,IF(BA536&lt;=12*'🎚️ Escenario'!$C$11,1,1+$C$6))</f>
        <v>0</v>
      </c>
      <c r="BB538" s="237" t="n">
        <f aca="false">IF(BB536=0,0,IF(BB536&lt;=12*'🎚️ Escenario'!$C$11,1,1+$C$6))</f>
        <v>0</v>
      </c>
      <c r="BC538" s="237" t="n">
        <f aca="false">IF(BC536=0,0,IF(BC536&lt;=12*'🎚️ Escenario'!$C$11,1,1+$C$6))</f>
        <v>0</v>
      </c>
      <c r="BD538" s="237" t="n">
        <f aca="false">IF(BD536=0,0,IF(BD536&lt;=12*'🎚️ Escenario'!$C$11,1,1+$C$6))</f>
        <v>0</v>
      </c>
      <c r="BE538" s="237" t="n">
        <f aca="false">IF(BE536=0,0,IF(BE536&lt;=12*'🎚️ Escenario'!$C$11,1,1+$C$6))</f>
        <v>0</v>
      </c>
      <c r="BF538" s="237" t="n">
        <f aca="false">IF(BF536=0,0,IF(BF536&lt;=12*'🎚️ Escenario'!$C$11,1,1+$C$6))</f>
        <v>0</v>
      </c>
      <c r="BG538" s="237" t="n">
        <f aca="false">IF(BG536=0,0,IF(BG536&lt;=12*'🎚️ Escenario'!$C$11,1,1+$C$6))</f>
        <v>0</v>
      </c>
      <c r="BH538" s="237" t="n">
        <f aca="false">IF(BH536=0,0,IF(BH536&lt;=12*'🎚️ Escenario'!$C$11,1,1+$C$6))</f>
        <v>0</v>
      </c>
      <c r="BI538" s="237" t="n">
        <f aca="false">IF(BI536=0,0,IF(BI536&lt;=12*'🎚️ Escenario'!$C$11,1,1+$C$6))</f>
        <v>0</v>
      </c>
      <c r="BJ538" s="237" t="n">
        <f aca="false">IF(BJ536=0,0,IF(BJ536&lt;=12*'🎚️ Escenario'!$C$11,1,1+$C$6))</f>
        <v>0</v>
      </c>
      <c r="BK538" s="237" t="n">
        <f aca="false">IF(BK536=0,0,IF(BK536&lt;=12*'🎚️ Escenario'!$C$11,1,1+$C$6))</f>
        <v>0</v>
      </c>
      <c r="BL538" s="237" t="n">
        <f aca="false">IF(BL536=0,0,IF(BL536&lt;=12*'🎚️ Escenario'!$C$11,1,1+$C$6))</f>
        <v>0</v>
      </c>
      <c r="BM538" s="237" t="n">
        <f aca="false">IF(BM536=0,0,IF(BM536&lt;=12*'🎚️ Escenario'!$C$11,1,1+$C$6))</f>
        <v>0</v>
      </c>
      <c r="BN538" s="237" t="n">
        <f aca="false">IF(BN536=0,0,IF(BN536&lt;=12*'🎚️ Escenario'!$C$11,1,1+$C$6))</f>
        <v>0</v>
      </c>
      <c r="BO538" s="237" t="n">
        <f aca="false">IF(BO536=0,0,IF(BO536&lt;=12*'🎚️ Escenario'!$C$11,1,1+$C$6))</f>
        <v>0</v>
      </c>
      <c r="BP538" s="237" t="n">
        <f aca="false">IF(BP536=0,0,IF(BP536&lt;=12*'🎚️ Escenario'!$C$11,1,1+$C$6))</f>
        <v>0</v>
      </c>
      <c r="BQ538" s="237" t="n">
        <f aca="false">IF(BQ536=0,0,IF(BQ536&lt;=12*'🎚️ Escenario'!$C$11,1,1+$C$6))</f>
        <v>0</v>
      </c>
      <c r="BR538" s="237" t="n">
        <f aca="false">IF(BR536=0,0,IF(BR536&lt;=12*'🎚️ Escenario'!$C$11,1,1+$C$6))</f>
        <v>0</v>
      </c>
      <c r="BS538" s="237" t="n">
        <f aca="false">IF(BS536=0,0,IF(BS536&lt;=12*'🎚️ Escenario'!$C$11,1,1+$C$6))</f>
        <v>0</v>
      </c>
      <c r="BT538" s="237" t="n">
        <f aca="false">IF(BT536=0,0,IF(BT536&lt;=12*'🎚️ Escenario'!$C$11,1,1+$C$6))</f>
        <v>0</v>
      </c>
      <c r="BU538" s="237" t="n">
        <f aca="false">IF(BU536=0,0,IF(BU536&lt;=12*'🎚️ Escenario'!$C$11,1,1+$C$6))</f>
        <v>0</v>
      </c>
      <c r="BV538" s="237" t="n">
        <f aca="false">IF(BV536=0,0,IF(BV536&lt;=12*'🎚️ Escenario'!$C$11,1,1+$C$6))</f>
        <v>0</v>
      </c>
      <c r="BW538" s="237" t="n">
        <f aca="false">IF(BW536=0,0,IF(BW536&lt;=12*'🎚️ Escenario'!$C$11,1,1+$C$6))</f>
        <v>0</v>
      </c>
      <c r="BX538" s="237" t="n">
        <f aca="false">IF(BX536=0,0,IF(BX536&lt;=12*'🎚️ Escenario'!$C$11,1,1+$C$6))</f>
        <v>0</v>
      </c>
      <c r="BY538" s="237" t="n">
        <f aca="false">IF(BY536=0,0,IF(BY536&lt;=12*'🎚️ Escenario'!$C$11,1,1+$C$6))</f>
        <v>0</v>
      </c>
      <c r="BZ538" s="237" t="n">
        <f aca="false">IF(BZ536=0,0,IF(BZ536&lt;=12*'🎚️ Escenario'!$C$11,1,1+$C$6))</f>
        <v>0</v>
      </c>
      <c r="CA538" s="237" t="n">
        <f aca="false">IF(CA536=0,0,IF(CA536&lt;=12*'🎚️ Escenario'!$C$11,1,1+$C$6))</f>
        <v>0</v>
      </c>
      <c r="CB538" s="237" t="n">
        <f aca="false">IF(CB536=0,0,IF(CB536&lt;=12*'🎚️ Escenario'!$C$11,1,1+$C$6))</f>
        <v>0</v>
      </c>
      <c r="CC538" s="237" t="n">
        <f aca="false">IF(CC536=0,0,IF(CC536&lt;=12*'🎚️ Escenario'!$C$11,1,1+$C$6))</f>
        <v>0</v>
      </c>
      <c r="CD538" s="237" t="n">
        <f aca="false">IF(CD536=0,0,IF(CD536&lt;=12*'🎚️ Escenario'!$C$11,1,1+$C$6))</f>
        <v>0</v>
      </c>
      <c r="CE538" s="237" t="n">
        <f aca="false">IF(CE536=0,0,IF(CE536&lt;=12*'🎚️ Escenario'!$C$11,1,1+$C$6))</f>
        <v>0</v>
      </c>
      <c r="CF538" s="237" t="n">
        <f aca="false">IF(CF536=0,0,IF(CF536&lt;=12*'🎚️ Escenario'!$C$11,1,1+$C$6))</f>
        <v>0</v>
      </c>
      <c r="CG538" s="237" t="n">
        <f aca="false">IF(CG536=0,0,IF(CG536&lt;=12*'🎚️ Escenario'!$C$11,1,1+$C$6))</f>
        <v>0</v>
      </c>
      <c r="CH538" s="237" t="n">
        <f aca="false">IF(CH536=0,0,IF(CH536&lt;=12*'🎚️ Escenario'!$C$11,1,1+$C$6))</f>
        <v>0</v>
      </c>
      <c r="CI538" s="237" t="n">
        <f aca="false">IF(CI536=0,0,IF(CI536&lt;=12*'🎚️ Escenario'!$C$11,1,1+$C$6))</f>
        <v>0</v>
      </c>
      <c r="CJ538" s="237" t="n">
        <f aca="false">IF(CJ536=0,0,IF(CJ536&lt;=12*'🎚️ Escenario'!$C$11,1,1+$C$6))</f>
        <v>0</v>
      </c>
      <c r="CK538" s="237" t="n">
        <f aca="false">IF(CK536=0,0,IF(CK536&lt;=12*'🎚️ Escenario'!$C$11,1,1+$C$6))</f>
        <v>0</v>
      </c>
      <c r="CL538" s="237" t="n">
        <f aca="false">IF(CL536=0,0,IF(CL536&lt;=12*'🎚️ Escenario'!$C$11,1,1+$C$6))</f>
        <v>0</v>
      </c>
      <c r="CM538" s="237" t="n">
        <f aca="false">IF(CM536=0,0,IF(CM536&lt;=12*'🎚️ Escenario'!$C$11,1,1+$C$6))</f>
        <v>0</v>
      </c>
      <c r="CN538" s="237" t="n">
        <f aca="false">IF(CN536=0,0,IF(CN536&lt;=12*'🎚️ Escenario'!$C$11,1,1+$C$6))</f>
        <v>0</v>
      </c>
      <c r="CO538" s="237" t="n">
        <f aca="false">IF(CO536=0,0,IF(CO536&lt;=12*'🎚️ Escenario'!$C$11,1,1+$C$6))</f>
        <v>0</v>
      </c>
      <c r="CP538" s="237" t="n">
        <f aca="false">IF(CP536=0,0,IF(CP536&lt;=12*'🎚️ Escenario'!$C$11,1,1+$C$6))</f>
        <v>0</v>
      </c>
      <c r="CQ538" s="237" t="n">
        <f aca="false">IF(CQ536=0,0,IF(CQ536&lt;=12*'🎚️ Escenario'!$C$11,1,1+$C$6))</f>
        <v>0</v>
      </c>
      <c r="CR538" s="237" t="n">
        <f aca="false">IF(CR536=0,0,IF(CR536&lt;=12*'🎚️ Escenario'!$C$11,1,1+$C$6))</f>
        <v>0</v>
      </c>
      <c r="CS538" s="237" t="n">
        <f aca="false">IF(CS536=0,0,IF(CS536&lt;=12*'🎚️ Escenario'!$C$11,1,1+$C$6))</f>
        <v>0</v>
      </c>
      <c r="CT538" s="237" t="n">
        <f aca="false">IF(CT536=0,0,IF(CT536&lt;=12*'🎚️ Escenario'!$C$11,1,1+$C$6))</f>
        <v>0</v>
      </c>
      <c r="CU538" s="237" t="n">
        <f aca="false">IF(CU536=0,0,IF(CU536&lt;=12*'🎚️ Escenario'!$C$11,1,1+$C$6))</f>
        <v>0</v>
      </c>
      <c r="CV538" s="237" t="n">
        <f aca="false">IF(CV536=0,0,IF(CV536&lt;=12*'🎚️ Escenario'!$C$11,1,1+$C$6))</f>
        <v>0</v>
      </c>
      <c r="CW538" s="237" t="n">
        <f aca="false">IF(CW536=0,0,IF(CW536&lt;=12*'🎚️ Escenario'!$C$11,1,1+$C$6))</f>
        <v>0</v>
      </c>
      <c r="CX538" s="237" t="n">
        <f aca="false">IF(CX536=0,0,IF(CX536&lt;=12*'🎚️ Escenario'!$C$11,1,1+$C$6))</f>
        <v>0</v>
      </c>
      <c r="CY538" s="237" t="n">
        <f aca="false">IF(CY536=0,0,IF(CY536&lt;=12*'🎚️ Escenario'!$C$11,1,1+$C$6))</f>
        <v>0</v>
      </c>
      <c r="CZ538" s="237" t="n">
        <f aca="false">IF(CZ536=0,0,IF(CZ536&lt;=12*'🎚️ Escenario'!$C$11,1,1+$C$6))</f>
        <v>0</v>
      </c>
      <c r="DA538" s="237" t="n">
        <f aca="false">IF(DA536=0,0,IF(DA536&lt;=12*'🎚️ Escenario'!$C$11,1,1+$C$6))</f>
        <v>0</v>
      </c>
      <c r="DB538" s="237" t="n">
        <f aca="false">IF(DB536=0,0,IF(DB536&lt;=12*'🎚️ Escenario'!$C$11,1,1+$C$6))</f>
        <v>0</v>
      </c>
      <c r="DC538" s="237" t="n">
        <f aca="false">IF(DC536=0,0,IF(DC536&lt;=12*'🎚️ Escenario'!$C$11,1,1+$C$6))</f>
        <v>0</v>
      </c>
      <c r="DD538" s="237" t="n">
        <f aca="false">IF(DD536=0,0,IF(DD536&lt;=12*'🎚️ Escenario'!$C$11,1,1+$C$6))</f>
        <v>0</v>
      </c>
      <c r="DE538" s="237" t="n">
        <f aca="false">IF(DE536=0,0,IF(DE536&lt;=12*'🎚️ Escenario'!$C$11,1,1+$C$6))</f>
        <v>0</v>
      </c>
      <c r="DF538" s="237" t="n">
        <f aca="false">IF(DF536=0,0,IF(DF536&lt;=12*'🎚️ Escenario'!$C$11,1,1+$C$6))</f>
        <v>0</v>
      </c>
      <c r="DG538" s="237" t="n">
        <f aca="false">IF(DG536=0,0,IF(DG536&lt;=12*'🎚️ Escenario'!$C$11,1,1+$C$6))</f>
        <v>0</v>
      </c>
      <c r="DH538" s="237" t="n">
        <f aca="false">IF(DH536=0,0,IF(DH536&lt;=12*'🎚️ Escenario'!$C$11,1,1+$C$6))</f>
        <v>0</v>
      </c>
      <c r="DI538" s="237" t="n">
        <f aca="false">IF(DI536=0,0,IF(DI536&lt;=12*'🎚️ Escenario'!$C$11,1,1+$C$6))</f>
        <v>0</v>
      </c>
      <c r="DJ538" s="237" t="n">
        <f aca="false">IF(DJ536=0,0,IF(DJ536&lt;=12*'🎚️ Escenario'!$C$11,1,1+$C$6))</f>
        <v>0</v>
      </c>
      <c r="DK538" s="237" t="n">
        <f aca="false">IF(DK536=0,0,IF(DK536&lt;=12*'🎚️ Escenario'!$C$11,1,1+$C$6))</f>
        <v>0</v>
      </c>
      <c r="DL538" s="237" t="n">
        <f aca="false">IF(DL536=0,0,IF(DL536&lt;=12*'🎚️ Escenario'!$C$11,1,1+$C$6))</f>
        <v>0</v>
      </c>
      <c r="DM538" s="237" t="n">
        <f aca="false">IF(DM536=0,0,IF(DM536&lt;=12*'🎚️ Escenario'!$C$11,1,1+$C$6))</f>
        <v>0</v>
      </c>
      <c r="DN538" s="237" t="n">
        <f aca="false">IF(DN536=0,0,IF(DN536&lt;=12*'🎚️ Escenario'!$C$11,1,1+$C$6))</f>
        <v>0</v>
      </c>
      <c r="DO538" s="237" t="n">
        <f aca="false">IF(DO536=0,0,IF(DO536&lt;=12*'🎚️ Escenario'!$C$11,1,1+$C$6))</f>
        <v>0</v>
      </c>
      <c r="DP538" s="237" t="n">
        <f aca="false">IF(DP536=0,0,IF(DP536&lt;=12*'🎚️ Escenario'!$C$11,1,1+$C$6))</f>
        <v>0</v>
      </c>
      <c r="DQ538" s="237" t="n">
        <f aca="false">IF(DQ536=0,0,IF(DQ536&lt;=12*'🎚️ Escenario'!$C$11,1,1+$C$6))</f>
        <v>0</v>
      </c>
      <c r="DR538" s="237" t="n">
        <f aca="false">IF(DR536=0,0,IF(DR536&lt;=12*'🎚️ Escenario'!$C$11,1,1+$C$6))</f>
        <v>0</v>
      </c>
      <c r="DS538" s="237" t="n">
        <f aca="false">IF(DS536=0,0,IF(DS536&lt;=12*'🎚️ Escenario'!$C$11,1,1+$C$6))</f>
        <v>0</v>
      </c>
      <c r="DT538" s="237" t="n">
        <f aca="false">IF(DT536=0,0,IF(DT536&lt;=12*'🎚️ Escenario'!$C$11,1,1+$C$6))</f>
        <v>0</v>
      </c>
      <c r="DU538" s="237" t="n">
        <f aca="false">IF(DU536=0,0,IF(DU536&lt;=12*'🎚️ Escenario'!$C$11,1,1+$C$6))</f>
        <v>0</v>
      </c>
      <c r="DV538" s="237" t="n">
        <f aca="false">IF(DV536=0,0,IF(DV536&lt;=12*'🎚️ Escenario'!$C$11,1,1+$C$6))</f>
        <v>0</v>
      </c>
      <c r="DW538" s="237" t="n">
        <f aca="false">IF(DW536=0,0,IF(DW536&lt;=12*'🎚️ Escenario'!$C$11,1,1+$C$6))</f>
        <v>0</v>
      </c>
      <c r="DX538" s="237" t="n">
        <f aca="false">IF(DX536=0,0,IF(DX536&lt;=12*'🎚️ Escenario'!$C$11,1,1+$C$6))</f>
        <v>0</v>
      </c>
      <c r="DY538" s="237" t="n">
        <f aca="false">IF(DY536=0,0,IF(DY536&lt;=12*'🎚️ Escenario'!$C$11,1,1+$C$6))</f>
        <v>0</v>
      </c>
      <c r="DZ538" s="237" t="n">
        <f aca="false">IF(DZ536=0,0,IF(DZ536&lt;=12*'🎚️ Escenario'!$C$11,1,1+$C$6))</f>
        <v>0</v>
      </c>
      <c r="EA538" s="237" t="n">
        <f aca="false">IF(EA536=0,0,IF(EA536&lt;=12*'🎚️ Escenario'!$C$11,1,1+$C$6))</f>
        <v>0</v>
      </c>
      <c r="EB538" s="237" t="n">
        <f aca="false">IF(EB536=0,0,IF(EB536&lt;=12*'🎚️ Escenario'!$C$11,1,1+$C$6))</f>
        <v>0</v>
      </c>
      <c r="EC538" s="237" t="n">
        <f aca="false">IF(EC536=0,0,IF(EC536&lt;=12*'🎚️ Escenario'!$C$11,1,1+$C$6))</f>
        <v>0</v>
      </c>
      <c r="ED538" s="237" t="n">
        <f aca="false">IF(ED536=0,0,IF(ED536&lt;=12*'🎚️ Escenario'!$C$11,1,1+$C$6))</f>
        <v>0</v>
      </c>
      <c r="EE538" s="237" t="n">
        <f aca="false">IF(EE536=0,0,IF(EE536&lt;=12*'🎚️ Escenario'!$C$11,1,1+$C$6))</f>
        <v>0</v>
      </c>
      <c r="EF538" s="237" t="n">
        <f aca="false">IF(EF536=0,0,IF(EF536&lt;=12*'🎚️ Escenario'!$C$11,1,1+$C$6))</f>
        <v>0</v>
      </c>
      <c r="EG538" s="237" t="n">
        <f aca="false">IF(EG536=0,0,IF(EG536&lt;=12*'🎚️ Escenario'!$C$11,1,1+$C$6))</f>
        <v>0</v>
      </c>
      <c r="EH538" s="237" t="n">
        <f aca="false">IF(EH536=0,0,IF(EH536&lt;=12*'🎚️ Escenario'!$C$11,1,1+$C$6))</f>
        <v>0</v>
      </c>
      <c r="EI538" s="237" t="n">
        <f aca="false">IF(EI536=0,0,IF(EI536&lt;=12*'🎚️ Escenario'!$C$11,1,1+$C$6))</f>
        <v>0</v>
      </c>
      <c r="EJ538" s="237" t="n">
        <f aca="false">IF(EJ536=0,0,IF(EJ536&lt;=12*'🎚️ Escenario'!$C$11,1,1+$C$6))</f>
        <v>0</v>
      </c>
      <c r="EK538" s="237" t="n">
        <f aca="false">IF(EK536=0,0,IF(EK536&lt;=12*'🎚️ Escenario'!$C$11,1,1+$C$6))</f>
        <v>0</v>
      </c>
      <c r="EL538" s="237" t="n">
        <f aca="false">IF(EL536=0,0,IF(EL536&lt;=12*'🎚️ Escenario'!$C$11,1,1+$C$6))</f>
        <v>0</v>
      </c>
      <c r="EM538" s="237" t="n">
        <f aca="false">IF(EM536=0,0,IF(EM536&lt;=12*'🎚️ Escenario'!$C$11,1,1+$C$6))</f>
        <v>0</v>
      </c>
      <c r="EN538" s="237" t="n">
        <f aca="false">IF(EN536=0,0,IF(EN536&lt;=12*'🎚️ Escenario'!$C$11,1,1+$C$6))</f>
        <v>0</v>
      </c>
      <c r="EO538" s="237" t="n">
        <f aca="false">IF(EO536=0,0,IF(EO536&lt;=12*'🎚️ Escenario'!$C$11,1,1+$C$6))</f>
        <v>0</v>
      </c>
      <c r="EP538" s="237" t="n">
        <f aca="false">IF(EP536=0,0,IF(EP536&lt;=12*'🎚️ Escenario'!$C$11,1,1+$C$6))</f>
        <v>0</v>
      </c>
      <c r="EQ538" s="237" t="n">
        <f aca="false">IF(EQ536=0,0,IF(EQ536&lt;=12*'🎚️ Escenario'!$C$11,1,1+$C$6))</f>
        <v>0</v>
      </c>
      <c r="ER538" s="237" t="n">
        <f aca="false">IF(ER536=0,0,IF(ER536&lt;=12*'🎚️ Escenario'!$C$11,1,1+$C$6))</f>
        <v>0</v>
      </c>
      <c r="ES538" s="9" t="n">
        <f aca="false">IF(ES536=0,0,IF(ES536&lt;=12*'🎚️ Escenario'!$C$11,1,1+$C$6))</f>
        <v>0</v>
      </c>
      <c r="ET538" s="9" t="n">
        <f aca="false">IF(ET536=0,0,IF(ET536&lt;=12*'🎚️ Escenario'!$C$11,1,1+$C$6))</f>
        <v>0</v>
      </c>
      <c r="EU538" s="9" t="n">
        <f aca="false">IF(EU536=0,0,IF(EU536&lt;=12*'🎚️ Escenario'!$C$11,1,1+$C$6))</f>
        <v>0</v>
      </c>
      <c r="EV538" s="9" t="n">
        <f aca="false">IF(EV536=0,0,IF(EV536&lt;=12*'🎚️ Escenario'!$C$11,1,1+$C$6))</f>
        <v>0</v>
      </c>
      <c r="EW538" s="9" t="n">
        <f aca="false">IF(EW536=0,0,IF(EW536&lt;=12*'🎚️ Escenario'!$C$11,1,1+$C$6))</f>
        <v>1</v>
      </c>
      <c r="EX538" s="9" t="n">
        <f aca="false">IF(EX536=0,0,IF(EX536&lt;=12*'🎚️ Escenario'!$C$11,1,1+$C$6))</f>
        <v>1</v>
      </c>
      <c r="EY538" s="9" t="n">
        <f aca="false">IF(EY536=0,0,IF(EY536&lt;=12*'🎚️ Escenario'!$C$11,1,1+$C$6))</f>
        <v>1</v>
      </c>
      <c r="EZ538" s="9" t="n">
        <f aca="false">IF(EZ536=0,0,IF(EZ536&lt;=12*'🎚️ Escenario'!$C$11,1,1+$C$6))</f>
        <v>1</v>
      </c>
      <c r="FA538" s="9" t="n">
        <f aca="false">IF(FA536=0,0,IF(FA536&lt;=12*'🎚️ Escenario'!$C$11,1,1+$C$6))</f>
        <v>1</v>
      </c>
      <c r="FB538" s="9" t="n">
        <f aca="false">IF(FB536=0,0,IF(FB536&lt;=12*'🎚️ Escenario'!$C$11,1,1+$C$6))</f>
        <v>1</v>
      </c>
      <c r="FC538" s="9" t="n">
        <f aca="false">IF(FC536=0,0,IF(FC536&lt;=12*'🎚️ Escenario'!$C$11,1,1+$C$6))</f>
        <v>1</v>
      </c>
      <c r="FD538" s="9" t="n">
        <f aca="false">IF(FD536=0,0,IF(FD536&lt;=12*'🎚️ Escenario'!$C$11,1,1+$C$6))</f>
        <v>1</v>
      </c>
      <c r="FE538" s="9" t="n">
        <f aca="false">IF(FE536=0,0,IF(FE536&lt;=12*'🎚️ Escenario'!$C$11,1,1+$C$6))</f>
        <v>1</v>
      </c>
      <c r="FF538" s="9" t="n">
        <f aca="false">IF(FF536=0,0,IF(FF536&lt;=12*'🎚️ Escenario'!$C$11,1,1+$C$6))</f>
        <v>1</v>
      </c>
      <c r="FG538" s="9" t="n">
        <f aca="false">IF(FG536=0,0,IF(FG536&lt;=12*'🎚️ Escenario'!$C$11,1,1+$C$6))</f>
        <v>1</v>
      </c>
      <c r="FH538" s="9" t="n">
        <f aca="false">IF(FH536=0,0,IF(FH536&lt;=12*'🎚️ Escenario'!$C$11,1,1+$C$6))</f>
        <v>1</v>
      </c>
      <c r="FI538" s="9" t="n">
        <f aca="false">IF(FI536=0,0,IF(FI536&lt;=12*'🎚️ Escenario'!$C$11,1,1+$C$6))</f>
        <v>1</v>
      </c>
      <c r="FJ538" s="9" t="n">
        <f aca="false">IF(FJ536=0,0,IF(FJ536&lt;=12*'🎚️ Escenario'!$C$11,1,1+$C$6))</f>
        <v>1</v>
      </c>
      <c r="FK538" s="9" t="n">
        <f aca="false">IF(FK536=0,0,IF(FK536&lt;=12*'🎚️ Escenario'!$C$11,1,1+$C$6))</f>
        <v>1</v>
      </c>
      <c r="FL538" s="238" t="n">
        <f aca="false">IF(FL536=0,0,IF(FL536&lt;=12*'🎚️ Escenario'!$C$11,1,1+$C$6))</f>
        <v>1.2</v>
      </c>
      <c r="FM538" s="238" t="n">
        <f aca="false">IF(FM536=0,0,IF(FM536&lt;=12*'🎚️ Escenario'!$C$11,1,1+$C$6))</f>
        <v>1.2</v>
      </c>
      <c r="FN538" s="238" t="n">
        <f aca="false">IF(FN536=0,0,IF(FN536&lt;=12*'🎚️ Escenario'!$C$11,1,1+$C$6))</f>
        <v>1.2</v>
      </c>
      <c r="FO538" s="238" t="n">
        <f aca="false">IF(FO536=0,0,IF(FO536&lt;=12*'🎚️ Escenario'!$C$11,1,1+$C$6))</f>
        <v>1.2</v>
      </c>
      <c r="FP538" s="238" t="n">
        <f aca="false">IF(FP536=0,0,IF(FP536&lt;=12*'🎚️ Escenario'!$C$11,1,1+$C$6))</f>
        <v>1.2</v>
      </c>
    </row>
    <row r="539" customFormat="false" ht="15" hidden="false" customHeight="false" outlineLevel="2" collapsed="false">
      <c r="B539" s="9" t="s">
        <v>876</v>
      </c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36" t="n">
        <f aca="false">AC537*$AC$535*AC538*AC$38*'⑫ Roll-out Plan'!$O$58</f>
        <v>0</v>
      </c>
      <c r="AD539" s="36" t="n">
        <f aca="false">AD537*$AC$535*AD538*AD$38*'⑫ Roll-out Plan'!$O$58</f>
        <v>0</v>
      </c>
      <c r="AE539" s="36" t="n">
        <f aca="false">AE537*$AC$535*AE538*AE$38*'⑫ Roll-out Plan'!$O$58</f>
        <v>0</v>
      </c>
      <c r="AF539" s="36" t="n">
        <f aca="false">AF537*$AC$535*AF538*AF$38*'⑫ Roll-out Plan'!$O$58</f>
        <v>0</v>
      </c>
      <c r="AG539" s="36" t="n">
        <f aca="false">AG537*$AC$535*AG538*AG$38*'⑫ Roll-out Plan'!$O$58</f>
        <v>0</v>
      </c>
      <c r="AH539" s="36" t="n">
        <f aca="false">AH537*$AC$535*AH538*AH$38*'⑫ Roll-out Plan'!$O$58</f>
        <v>0</v>
      </c>
      <c r="AI539" s="36" t="n">
        <f aca="false">AI537*$AC$535*AI538*AI$38*'⑫ Roll-out Plan'!$O$58</f>
        <v>0</v>
      </c>
      <c r="AJ539" s="36" t="n">
        <f aca="false">AJ537*$AC$535*AJ538*AJ$38*'⑫ Roll-out Plan'!$O$58</f>
        <v>0</v>
      </c>
      <c r="AK539" s="36" t="n">
        <f aca="false">AK537*$AC$535*AK538*AK$38*'⑫ Roll-out Plan'!$O$58</f>
        <v>0</v>
      </c>
      <c r="AL539" s="36" t="n">
        <f aca="false">AL537*$AC$535*AL538*AL$38*'⑫ Roll-out Plan'!$O$58</f>
        <v>0</v>
      </c>
      <c r="AM539" s="36" t="n">
        <f aca="false">AM537*$AC$535*AM538*AM$38*'⑫ Roll-out Plan'!$O$58</f>
        <v>0</v>
      </c>
      <c r="AN539" s="36" t="n">
        <f aca="false">AN537*$AC$535*AN538*AN$38*'⑫ Roll-out Plan'!$O$58</f>
        <v>0</v>
      </c>
      <c r="AO539" s="36" t="n">
        <f aca="false">AO537*$AC$535*AO538*AO$38*'⑫ Roll-out Plan'!$O$58</f>
        <v>0</v>
      </c>
      <c r="AP539" s="36" t="n">
        <f aca="false">AP537*$AC$535*AP538*AP$38*'⑫ Roll-out Plan'!$O$58</f>
        <v>0</v>
      </c>
      <c r="AQ539" s="36" t="n">
        <f aca="false">AQ537*$AC$535*AQ538*AQ$38*'⑫ Roll-out Plan'!$O$58</f>
        <v>0</v>
      </c>
      <c r="AR539" s="36" t="n">
        <f aca="false">AR537*$AC$535*AR538*AR$38*'⑫ Roll-out Plan'!$O$58</f>
        <v>0</v>
      </c>
      <c r="AS539" s="36" t="n">
        <f aca="false">AS537*$AC$535*AS538*AS$38*'⑫ Roll-out Plan'!$O$58</f>
        <v>0</v>
      </c>
      <c r="AT539" s="36" t="n">
        <f aca="false">AT537*$AC$535*AT538*AT$38*'⑫ Roll-out Plan'!$O$58</f>
        <v>0</v>
      </c>
      <c r="AU539" s="36" t="n">
        <f aca="false">AU537*$AC$535*AU538*AU$38*'⑫ Roll-out Plan'!$O$58</f>
        <v>0</v>
      </c>
      <c r="AV539" s="36" t="n">
        <f aca="false">AV537*$AC$535*AV538*AV$38*'⑫ Roll-out Plan'!$O$58</f>
        <v>0</v>
      </c>
      <c r="AW539" s="36" t="n">
        <f aca="false">AW537*$AC$535*AW538*AW$38*'⑫ Roll-out Plan'!$O$58</f>
        <v>0</v>
      </c>
      <c r="AX539" s="36" t="n">
        <f aca="false">AX537*$AC$535*AX538*AX$38*'⑫ Roll-out Plan'!$O$58</f>
        <v>0</v>
      </c>
      <c r="AY539" s="36" t="n">
        <f aca="false">AY537*$AC$535*AY538*AY$38*'⑫ Roll-out Plan'!$O$58</f>
        <v>0</v>
      </c>
      <c r="AZ539" s="36" t="n">
        <f aca="false">AZ537*$AC$535*AZ538*AZ$38*'⑫ Roll-out Plan'!$O$58</f>
        <v>0</v>
      </c>
      <c r="BA539" s="36" t="n">
        <f aca="false">BA537*$AC$535*BA538*BA$38*'⑫ Roll-out Plan'!$O$58</f>
        <v>0</v>
      </c>
      <c r="BB539" s="36" t="n">
        <f aca="false">BB537*$AC$535*BB538*BB$38*'⑫ Roll-out Plan'!$O$58</f>
        <v>0</v>
      </c>
      <c r="BC539" s="36" t="n">
        <f aca="false">BC537*$AC$535*BC538*BC$38*'⑫ Roll-out Plan'!$O$58</f>
        <v>0</v>
      </c>
      <c r="BD539" s="36" t="n">
        <f aca="false">BD537*$AC$535*BD538*BD$38*'⑫ Roll-out Plan'!$O$58</f>
        <v>0</v>
      </c>
      <c r="BE539" s="36" t="n">
        <f aca="false">BE537*$AC$535*BE538*BE$38*'⑫ Roll-out Plan'!$O$58</f>
        <v>0</v>
      </c>
      <c r="BF539" s="36" t="n">
        <f aca="false">BF537*$AC$535*BF538*BF$38*'⑫ Roll-out Plan'!$O$58</f>
        <v>0</v>
      </c>
      <c r="BG539" s="36" t="n">
        <f aca="false">BG537*$AC$535*BG538*BG$38*'⑫ Roll-out Plan'!$O$58</f>
        <v>0</v>
      </c>
      <c r="BH539" s="36" t="n">
        <f aca="false">BH537*$AC$535*BH538*BH$38*'⑫ Roll-out Plan'!$O$58</f>
        <v>0</v>
      </c>
      <c r="BI539" s="36" t="n">
        <f aca="false">BI537*$AC$535*BI538*BI$38*'⑫ Roll-out Plan'!$O$58</f>
        <v>0</v>
      </c>
      <c r="BJ539" s="36" t="n">
        <f aca="false">BJ537*$AC$535*BJ538*BJ$38*'⑫ Roll-out Plan'!$O$58</f>
        <v>0</v>
      </c>
      <c r="BK539" s="36" t="n">
        <f aca="false">BK537*$AC$535*BK538*BK$38*'⑫ Roll-out Plan'!$O$58</f>
        <v>0</v>
      </c>
      <c r="BL539" s="36" t="n">
        <f aca="false">BL537*$AC$535*BL538*BL$38*'⑫ Roll-out Plan'!$O$58</f>
        <v>0</v>
      </c>
      <c r="BM539" s="36" t="n">
        <f aca="false">BM537*$AC$535*BM538*BM$38*'⑫ Roll-out Plan'!$O$58</f>
        <v>0</v>
      </c>
      <c r="BN539" s="36" t="n">
        <f aca="false">BN537*$AC$535*BN538*BN$38*'⑫ Roll-out Plan'!$O$58</f>
        <v>0</v>
      </c>
      <c r="BO539" s="36" t="n">
        <f aca="false">BO537*$AC$535*BO538*BO$38*'⑫ Roll-out Plan'!$O$58</f>
        <v>0</v>
      </c>
      <c r="BP539" s="36" t="n">
        <f aca="false">BP537*$AC$535*BP538*BP$38*'⑫ Roll-out Plan'!$O$58</f>
        <v>0</v>
      </c>
      <c r="BQ539" s="36" t="n">
        <f aca="false">BQ537*$AC$535*BQ538*BQ$38*'⑫ Roll-out Plan'!$O$58</f>
        <v>0</v>
      </c>
      <c r="BR539" s="36" t="n">
        <f aca="false">BR537*$AC$535*BR538*BR$38*'⑫ Roll-out Plan'!$O$58</f>
        <v>0</v>
      </c>
      <c r="BS539" s="36" t="n">
        <f aca="false">BS537*$AC$535*BS538*BS$38*'⑫ Roll-out Plan'!$O$58</f>
        <v>0</v>
      </c>
      <c r="BT539" s="36" t="n">
        <f aca="false">BT537*$AC$535*BT538*BT$38*'⑫ Roll-out Plan'!$O$58</f>
        <v>0</v>
      </c>
      <c r="BU539" s="36" t="n">
        <f aca="false">BU537*$AC$535*BU538*BU$38*'⑫ Roll-out Plan'!$O$58</f>
        <v>0</v>
      </c>
      <c r="BV539" s="36" t="n">
        <f aca="false">BV537*$AC$535*BV538*BV$38*'⑫ Roll-out Plan'!$O$58</f>
        <v>0</v>
      </c>
      <c r="BW539" s="36" t="n">
        <f aca="false">BW537*$AC$535*BW538*BW$38*'⑫ Roll-out Plan'!$O$58</f>
        <v>0</v>
      </c>
      <c r="BX539" s="36" t="n">
        <f aca="false">BX537*$AC$535*BX538*BX$38*'⑫ Roll-out Plan'!$O$58</f>
        <v>0</v>
      </c>
      <c r="BY539" s="36" t="n">
        <f aca="false">BY537*$AC$535*BY538*BY$38*'⑫ Roll-out Plan'!$O$58</f>
        <v>0</v>
      </c>
      <c r="BZ539" s="36" t="n">
        <f aca="false">BZ537*$AC$535*BZ538*BZ$38*'⑫ Roll-out Plan'!$O$58</f>
        <v>0</v>
      </c>
      <c r="CA539" s="36" t="n">
        <f aca="false">CA537*$AC$535*CA538*CA$38*'⑫ Roll-out Plan'!$O$58</f>
        <v>0</v>
      </c>
      <c r="CB539" s="36" t="n">
        <f aca="false">CB537*$AC$535*CB538*CB$38*'⑫ Roll-out Plan'!$O$58</f>
        <v>0</v>
      </c>
      <c r="CC539" s="36" t="n">
        <f aca="false">CC537*$AC$535*CC538*CC$38*'⑫ Roll-out Plan'!$O$58</f>
        <v>0</v>
      </c>
      <c r="CD539" s="36" t="n">
        <f aca="false">CD537*$AC$535*CD538*CD$38*'⑫ Roll-out Plan'!$O$58</f>
        <v>0</v>
      </c>
      <c r="CE539" s="36" t="n">
        <f aca="false">CE537*$AC$535*CE538*CE$38*'⑫ Roll-out Plan'!$O$58</f>
        <v>0</v>
      </c>
      <c r="CF539" s="36" t="n">
        <f aca="false">CF537*$AC$535*CF538*CF$38*'⑫ Roll-out Plan'!$O$58</f>
        <v>0</v>
      </c>
      <c r="CG539" s="36" t="n">
        <f aca="false">CG537*$AC$535*CG538*CG$38*'⑫ Roll-out Plan'!$O$58</f>
        <v>0</v>
      </c>
      <c r="CH539" s="36" t="n">
        <f aca="false">CH537*$AC$535*CH538*CH$38*'⑫ Roll-out Plan'!$O$58</f>
        <v>0</v>
      </c>
      <c r="CI539" s="36" t="n">
        <f aca="false">CI537*$AC$535*CI538*CI$38*'⑫ Roll-out Plan'!$O$58</f>
        <v>0</v>
      </c>
      <c r="CJ539" s="36" t="n">
        <f aca="false">CJ537*$AC$535*CJ538*CJ$38*'⑫ Roll-out Plan'!$O$58</f>
        <v>0</v>
      </c>
      <c r="CK539" s="36" t="n">
        <f aca="false">CK537*$AC$535*CK538*CK$38*'⑫ Roll-out Plan'!$O$58</f>
        <v>0</v>
      </c>
      <c r="CL539" s="36" t="n">
        <f aca="false">CL537*$AC$535*CL538*CL$38*'⑫ Roll-out Plan'!$O$58</f>
        <v>0</v>
      </c>
      <c r="CM539" s="36" t="n">
        <f aca="false">CM537*$AC$535*CM538*CM$38*'⑫ Roll-out Plan'!$O$58</f>
        <v>0</v>
      </c>
      <c r="CN539" s="36" t="n">
        <f aca="false">CN537*$AC$535*CN538*CN$38*'⑫ Roll-out Plan'!$O$58</f>
        <v>0</v>
      </c>
      <c r="CO539" s="36" t="n">
        <f aca="false">CO537*$AC$535*CO538*CO$38*'⑫ Roll-out Plan'!$O$58</f>
        <v>0</v>
      </c>
      <c r="CP539" s="36" t="n">
        <f aca="false">CP537*$AC$535*CP538*CP$38*'⑫ Roll-out Plan'!$O$58</f>
        <v>0</v>
      </c>
      <c r="CQ539" s="36" t="n">
        <f aca="false">CQ537*$AC$535*CQ538*CQ$38*'⑫ Roll-out Plan'!$O$58</f>
        <v>0</v>
      </c>
      <c r="CR539" s="36" t="n">
        <f aca="false">CR537*$AC$535*CR538*CR$38*'⑫ Roll-out Plan'!$O$58</f>
        <v>0</v>
      </c>
      <c r="CS539" s="36" t="n">
        <f aca="false">CS537*$AC$535*CS538*CS$38*'⑫ Roll-out Plan'!$O$58</f>
        <v>0</v>
      </c>
      <c r="CT539" s="36" t="n">
        <f aca="false">CT537*$AC$535*CT538*CT$38*'⑫ Roll-out Plan'!$O$58</f>
        <v>0</v>
      </c>
      <c r="CU539" s="36" t="n">
        <f aca="false">CU537*$AC$535*CU538*CU$38*'⑫ Roll-out Plan'!$O$58</f>
        <v>0</v>
      </c>
      <c r="CV539" s="36" t="n">
        <f aca="false">CV537*$AC$535*CV538*CV$38*'⑫ Roll-out Plan'!$O$58</f>
        <v>0</v>
      </c>
      <c r="CW539" s="36" t="n">
        <f aca="false">CW537*$AC$535*CW538*CW$38*'⑫ Roll-out Plan'!$O$58</f>
        <v>0</v>
      </c>
      <c r="CX539" s="36" t="n">
        <f aca="false">CX537*$AC$535*CX538*CX$38*'⑫ Roll-out Plan'!$O$58</f>
        <v>0</v>
      </c>
      <c r="CY539" s="36" t="n">
        <f aca="false">CY537*$AC$535*CY538*CY$38*'⑫ Roll-out Plan'!$O$58</f>
        <v>0</v>
      </c>
      <c r="CZ539" s="36" t="n">
        <f aca="false">CZ537*$AC$535*CZ538*CZ$38*'⑫ Roll-out Plan'!$O$58</f>
        <v>0</v>
      </c>
      <c r="DA539" s="36" t="n">
        <f aca="false">DA537*$AC$535*DA538*DA$38*'⑫ Roll-out Plan'!$O$58</f>
        <v>0</v>
      </c>
      <c r="DB539" s="36" t="n">
        <f aca="false">DB537*$AC$535*DB538*DB$38*'⑫ Roll-out Plan'!$O$58</f>
        <v>0</v>
      </c>
      <c r="DC539" s="36" t="n">
        <f aca="false">DC537*$AC$535*DC538*DC$38*'⑫ Roll-out Plan'!$O$58</f>
        <v>0</v>
      </c>
      <c r="DD539" s="36" t="n">
        <f aca="false">DD537*$AC$535*DD538*DD$38*'⑫ Roll-out Plan'!$O$58</f>
        <v>0</v>
      </c>
      <c r="DE539" s="36" t="n">
        <f aca="false">DE537*$AC$535*DE538*DE$38*'⑫ Roll-out Plan'!$O$58</f>
        <v>0</v>
      </c>
      <c r="DF539" s="36" t="n">
        <f aca="false">DF537*$AC$535*DF538*DF$38*'⑫ Roll-out Plan'!$O$58</f>
        <v>0</v>
      </c>
      <c r="DG539" s="36" t="n">
        <f aca="false">DG537*$AC$535*DG538*DG$38*'⑫ Roll-out Plan'!$O$58</f>
        <v>0</v>
      </c>
      <c r="DH539" s="36" t="n">
        <f aca="false">DH537*$AC$535*DH538*DH$38*'⑫ Roll-out Plan'!$O$58</f>
        <v>0</v>
      </c>
      <c r="DI539" s="36" t="n">
        <f aca="false">DI537*$AC$535*DI538*DI$38*'⑫ Roll-out Plan'!$O$58</f>
        <v>0</v>
      </c>
      <c r="DJ539" s="36" t="n">
        <f aca="false">DJ537*$AC$535*DJ538*DJ$38*'⑫ Roll-out Plan'!$O$58</f>
        <v>0</v>
      </c>
      <c r="DK539" s="36" t="n">
        <f aca="false">DK537*$AC$535*DK538*DK$38*'⑫ Roll-out Plan'!$O$58</f>
        <v>0</v>
      </c>
      <c r="DL539" s="36" t="n">
        <f aca="false">DL537*$AC$535*DL538*DL$38*'⑫ Roll-out Plan'!$O$58</f>
        <v>0</v>
      </c>
      <c r="DM539" s="36" t="n">
        <f aca="false">DM537*$AC$535*DM538*DM$38*'⑫ Roll-out Plan'!$O$58</f>
        <v>0</v>
      </c>
      <c r="DN539" s="36" t="n">
        <f aca="false">DN537*$AC$535*DN538*DN$38*'⑫ Roll-out Plan'!$O$58</f>
        <v>0</v>
      </c>
      <c r="DO539" s="36" t="n">
        <f aca="false">DO537*$AC$535*DO538*DO$38*'⑫ Roll-out Plan'!$O$58</f>
        <v>0</v>
      </c>
      <c r="DP539" s="36" t="n">
        <f aca="false">DP537*$AC$535*DP538*DP$38*'⑫ Roll-out Plan'!$O$58</f>
        <v>0</v>
      </c>
      <c r="DQ539" s="36" t="n">
        <f aca="false">DQ537*$AC$535*DQ538*DQ$38*'⑫ Roll-out Plan'!$O$58</f>
        <v>0</v>
      </c>
      <c r="DR539" s="36" t="n">
        <f aca="false">DR537*$AC$535*DR538*DR$38*'⑫ Roll-out Plan'!$O$58</f>
        <v>0</v>
      </c>
      <c r="DS539" s="36" t="n">
        <f aca="false">DS537*$AC$535*DS538*DS$38*'⑫ Roll-out Plan'!$O$58</f>
        <v>0</v>
      </c>
      <c r="DT539" s="36" t="n">
        <f aca="false">DT537*$AC$535*DT538*DT$38*'⑫ Roll-out Plan'!$O$58</f>
        <v>0</v>
      </c>
      <c r="DU539" s="36" t="n">
        <f aca="false">DU537*$AC$535*DU538*DU$38*'⑫ Roll-out Plan'!$O$58</f>
        <v>0</v>
      </c>
      <c r="DV539" s="36" t="n">
        <f aca="false">DV537*$AC$535*DV538*DV$38*'⑫ Roll-out Plan'!$O$58</f>
        <v>0</v>
      </c>
      <c r="DW539" s="36" t="n">
        <f aca="false">DW537*$AC$535*DW538*DW$38*'⑫ Roll-out Plan'!$O$58</f>
        <v>0</v>
      </c>
      <c r="DX539" s="36" t="n">
        <f aca="false">DX537*$AC$535*DX538*DX$38*'⑫ Roll-out Plan'!$O$58</f>
        <v>0</v>
      </c>
      <c r="DY539" s="36" t="n">
        <f aca="false">DY537*$AC$535*DY538*DY$38*'⑫ Roll-out Plan'!$O$58</f>
        <v>0</v>
      </c>
      <c r="DZ539" s="36" t="n">
        <f aca="false">DZ537*$AC$535*DZ538*DZ$38*'⑫ Roll-out Plan'!$O$58</f>
        <v>0</v>
      </c>
      <c r="EA539" s="36" t="n">
        <f aca="false">EA537*$AC$535*EA538*EA$38*'⑫ Roll-out Plan'!$O$58</f>
        <v>0</v>
      </c>
      <c r="EB539" s="36" t="n">
        <f aca="false">EB537*$AC$535*EB538*EB$38*'⑫ Roll-out Plan'!$O$58</f>
        <v>0</v>
      </c>
      <c r="EC539" s="36" t="n">
        <f aca="false">EC537*$AC$535*EC538*EC$38*'⑫ Roll-out Plan'!$O$58</f>
        <v>0</v>
      </c>
      <c r="ED539" s="36" t="n">
        <f aca="false">ED537*$AC$535*ED538*ED$38*'⑫ Roll-out Plan'!$O$58</f>
        <v>0</v>
      </c>
      <c r="EE539" s="36" t="n">
        <f aca="false">EE537*$AC$535*EE538*EE$38*'⑫ Roll-out Plan'!$O$58</f>
        <v>0</v>
      </c>
      <c r="EF539" s="36" t="n">
        <f aca="false">EF537*$AC$535*EF538*EF$38*'⑫ Roll-out Plan'!$O$58</f>
        <v>0</v>
      </c>
      <c r="EG539" s="36" t="n">
        <f aca="false">EG537*$AC$535*EG538*EG$38*'⑫ Roll-out Plan'!$O$58</f>
        <v>0</v>
      </c>
      <c r="EH539" s="36" t="n">
        <f aca="false">EH537*$AC$535*EH538*EH$38*'⑫ Roll-out Plan'!$O$58</f>
        <v>0</v>
      </c>
      <c r="EI539" s="36" t="n">
        <f aca="false">EI537*$AC$535*EI538*EI$38*'⑫ Roll-out Plan'!$O$58</f>
        <v>0</v>
      </c>
      <c r="EJ539" s="36" t="n">
        <f aca="false">EJ537*$AC$535*EJ538*EJ$38*'⑫ Roll-out Plan'!$O$58</f>
        <v>0</v>
      </c>
      <c r="EK539" s="36" t="n">
        <f aca="false">EK537*$AC$535*EK538*EK$38*'⑫ Roll-out Plan'!$O$58</f>
        <v>0</v>
      </c>
      <c r="EL539" s="36" t="n">
        <f aca="false">EL537*$AC$535*EL538*EL$38*'⑫ Roll-out Plan'!$O$58</f>
        <v>0</v>
      </c>
      <c r="EM539" s="36" t="n">
        <f aca="false">EM537*$AC$535*EM538*EM$38*'⑫ Roll-out Plan'!$O$58</f>
        <v>0</v>
      </c>
      <c r="EN539" s="36" t="n">
        <f aca="false">EN537*$AC$535*EN538*EN$38*'⑫ Roll-out Plan'!$O$58</f>
        <v>0</v>
      </c>
      <c r="EO539" s="36" t="n">
        <f aca="false">EO537*$AC$535*EO538*EO$38*'⑫ Roll-out Plan'!$O$58</f>
        <v>0</v>
      </c>
      <c r="EP539" s="36" t="n">
        <f aca="false">EP537*$AC$535*EP538*EP$38*'⑫ Roll-out Plan'!$O$58</f>
        <v>0</v>
      </c>
      <c r="EQ539" s="36" t="n">
        <f aca="false">EQ537*$AC$535*EQ538*EQ$38*'⑫ Roll-out Plan'!$O$58</f>
        <v>0</v>
      </c>
      <c r="ER539" s="36" t="n">
        <f aca="false">ER537*$AC$535*ER538*ER$38*'⑫ Roll-out Plan'!$O$58</f>
        <v>0</v>
      </c>
      <c r="ES539" s="9" t="n">
        <f aca="false">ES537*$AC$535*ES538*ES$38*'⑫ Roll-out Plan'!$O$58</f>
        <v>0</v>
      </c>
      <c r="ET539" s="9" t="n">
        <f aca="false">ET537*$AC$535*ET538*ET$38*'⑫ Roll-out Plan'!$O$58</f>
        <v>0</v>
      </c>
      <c r="EU539" s="9" t="n">
        <f aca="false">EU537*$AC$535*EU538*EU$38*'⑫ Roll-out Plan'!$O$58</f>
        <v>0</v>
      </c>
      <c r="EV539" s="9" t="n">
        <f aca="false">EV537*$AC$535*EV538*EV$38*'⑫ Roll-out Plan'!$O$58</f>
        <v>0</v>
      </c>
      <c r="EW539" s="9" t="n">
        <f aca="false">EW537*$AC$535*EW538*EW$38*'⑫ Roll-out Plan'!$O$58</f>
        <v>38.64</v>
      </c>
      <c r="EX539" s="9" t="n">
        <f aca="false">EX537*$AC$535*EX538*EX$38*'⑫ Roll-out Plan'!$O$58</f>
        <v>36.96</v>
      </c>
      <c r="EY539" s="9" t="n">
        <f aca="false">EY537*$AC$535*EY538*EY$38*'⑫ Roll-out Plan'!$O$58</f>
        <v>42.336</v>
      </c>
      <c r="EZ539" s="9" t="n">
        <f aca="false">EZ537*$AC$535*EZ538*EZ$38*'⑫ Roll-out Plan'!$O$58</f>
        <v>80.514</v>
      </c>
      <c r="FA539" s="9" t="n">
        <f aca="false">FA537*$AC$535*FA538*FA$38*'⑫ Roll-out Plan'!$O$58</f>
        <v>65.772</v>
      </c>
      <c r="FB539" s="9" t="n">
        <f aca="false">FB537*$AC$535*FB538*FB$38*'⑫ Roll-out Plan'!$O$58</f>
        <v>62.496</v>
      </c>
      <c r="FC539" s="9" t="n">
        <f aca="false">FC537*$AC$535*FC538*FC$38*'⑫ Roll-out Plan'!$O$58</f>
        <v>52.92</v>
      </c>
      <c r="FD539" s="9" t="n">
        <f aca="false">FD537*$AC$535*FD538*FD$38*'⑫ Roll-out Plan'!$O$58</f>
        <v>83.538</v>
      </c>
      <c r="FE539" s="9" t="n">
        <f aca="false">FE537*$AC$535*FE538*FE$38*'⑫ Roll-out Plan'!$O$58</f>
        <v>99.792</v>
      </c>
      <c r="FF539" s="9" t="n">
        <f aca="false">FF537*$AC$535*FF538*FF$38*'⑫ Roll-out Plan'!$O$58</f>
        <v>75.768</v>
      </c>
      <c r="FG539" s="9" t="n">
        <f aca="false">FG537*$AC$535*FG538*FG$38*'⑫ Roll-out Plan'!$O$58</f>
        <v>116.928</v>
      </c>
      <c r="FH539" s="9" t="n">
        <f aca="false">FH537*$AC$535*FH538*FH$38*'⑫ Roll-out Plan'!$O$58</f>
        <v>120.12</v>
      </c>
      <c r="FI539" s="9" t="n">
        <f aca="false">FI537*$AC$535*FI538*FI$38*'⑫ Roll-out Plan'!$O$58</f>
        <v>108.192</v>
      </c>
      <c r="FJ539" s="9" t="n">
        <f aca="false">FJ537*$AC$535*FJ538*FJ$38*'⑫ Roll-out Plan'!$O$58</f>
        <v>100.8</v>
      </c>
      <c r="FK539" s="9" t="n">
        <f aca="false">FK537*$AC$535*FK538*FK$38*'⑫ Roll-out Plan'!$O$58</f>
        <v>105.84</v>
      </c>
      <c r="FL539" s="9" t="n">
        <f aca="false">FL537*$AC$535*FL538*FL$38*'⑫ Roll-out Plan'!$O$58</f>
        <v>225.4392</v>
      </c>
      <c r="FM539" s="9" t="n">
        <f aca="false">FM537*$AC$535*FM538*FM$38*'⑫ Roll-out Plan'!$O$58</f>
        <v>192.9312</v>
      </c>
      <c r="FN539" s="9" t="n">
        <f aca="false">FN537*$AC$535*FN538*FN$38*'⑫ Roll-out Plan'!$O$58</f>
        <v>166.9248</v>
      </c>
      <c r="FO539" s="9" t="n">
        <f aca="false">FO537*$AC$535*FO538*FO$38*'⑫ Roll-out Plan'!$O$58</f>
        <v>128.8224</v>
      </c>
      <c r="FP539" s="9" t="n">
        <f aca="false">FP537*$AC$535*FP538*FP$38*'⑫ Roll-out Plan'!$O$58</f>
        <v>182.4984</v>
      </c>
    </row>
    <row r="540" customFormat="false" ht="15" hidden="false" customHeight="false" outlineLevel="2" collapsed="false">
      <c r="B540" s="9" t="s">
        <v>877</v>
      </c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112" t="n">
        <f aca="true">IFERROR(SUMPRODUCT(OFFSET($BJ$31,0,1-MIN(60,COLUMN()-29),1,MIN(60,COLUMN()-29)),OFFSET(AC539,0,-MIN(60,COLUMN()-29),1,MIN(60,COLUMN()-29))),0)</f>
        <v>0</v>
      </c>
      <c r="AD540" s="112" t="n">
        <f aca="true">IFERROR(SUMPRODUCT(OFFSET($BJ$31,0,1-MIN(60,COLUMN()-29),1,MIN(60,COLUMN()-29)),OFFSET(AD539,0,-MIN(60,COLUMN()-29),1,MIN(60,COLUMN()-29))),0)</f>
        <v>0</v>
      </c>
      <c r="AE540" s="112" t="n">
        <f aca="true">IFERROR(SUMPRODUCT(OFFSET($BJ$31,0,1-MIN(60,COLUMN()-29),1,MIN(60,COLUMN()-29)),OFFSET(AE539,0,-MIN(60,COLUMN()-29),1,MIN(60,COLUMN()-29))),0)</f>
        <v>0</v>
      </c>
      <c r="AF540" s="112" t="n">
        <f aca="true">IFERROR(SUMPRODUCT(OFFSET($BJ$31,0,1-MIN(60,COLUMN()-29),1,MIN(60,COLUMN()-29)),OFFSET(AF539,0,-MIN(60,COLUMN()-29),1,MIN(60,COLUMN()-29))),0)</f>
        <v>0</v>
      </c>
      <c r="AG540" s="112" t="n">
        <f aca="true">IFERROR(SUMPRODUCT(OFFSET($BJ$31,0,1-MIN(60,COLUMN()-29),1,MIN(60,COLUMN()-29)),OFFSET(AG539,0,-MIN(60,COLUMN()-29),1,MIN(60,COLUMN()-29))),0)</f>
        <v>0</v>
      </c>
      <c r="AH540" s="112" t="n">
        <f aca="true">IFERROR(SUMPRODUCT(OFFSET($BJ$31,0,1-MIN(60,COLUMN()-29),1,MIN(60,COLUMN()-29)),OFFSET(AH539,0,-MIN(60,COLUMN()-29),1,MIN(60,COLUMN()-29))),0)</f>
        <v>0</v>
      </c>
      <c r="AI540" s="112" t="n">
        <f aca="true">IFERROR(SUMPRODUCT(OFFSET($BJ$31,0,1-MIN(60,COLUMN()-29),1,MIN(60,COLUMN()-29)),OFFSET(AI539,0,-MIN(60,COLUMN()-29),1,MIN(60,COLUMN()-29))),0)</f>
        <v>0</v>
      </c>
      <c r="AJ540" s="112" t="n">
        <f aca="true">IFERROR(SUMPRODUCT(OFFSET($BJ$31,0,1-MIN(60,COLUMN()-29),1,MIN(60,COLUMN()-29)),OFFSET(AJ539,0,-MIN(60,COLUMN()-29),1,MIN(60,COLUMN()-29))),0)</f>
        <v>0</v>
      </c>
      <c r="AK540" s="112" t="n">
        <f aca="true">IFERROR(SUMPRODUCT(OFFSET($BJ$31,0,1-MIN(60,COLUMN()-29),1,MIN(60,COLUMN()-29)),OFFSET(AK539,0,-MIN(60,COLUMN()-29),1,MIN(60,COLUMN()-29))),0)</f>
        <v>0</v>
      </c>
      <c r="AL540" s="112" t="n">
        <f aca="true">IFERROR(SUMPRODUCT(OFFSET($BJ$31,0,1-MIN(60,COLUMN()-29),1,MIN(60,COLUMN()-29)),OFFSET(AL539,0,-MIN(60,COLUMN()-29),1,MIN(60,COLUMN()-29))),0)</f>
        <v>0</v>
      </c>
      <c r="AM540" s="112" t="n">
        <f aca="true">IFERROR(SUMPRODUCT(OFFSET($BJ$31,0,1-MIN(60,COLUMN()-29),1,MIN(60,COLUMN()-29)),OFFSET(AM539,0,-MIN(60,COLUMN()-29),1,MIN(60,COLUMN()-29))),0)</f>
        <v>0</v>
      </c>
      <c r="AN540" s="239" t="n">
        <f aca="true">IFERROR(SUMPRODUCT(OFFSET($BJ$31,0,1-MIN(60,COLUMN()-29),1,MIN(60,COLUMN()-29)),OFFSET(AN539,0,-MIN(60,COLUMN()-29),1,MIN(60,COLUMN()-29))),0)</f>
        <v>0</v>
      </c>
      <c r="AO540" s="112" t="n">
        <f aca="true">IFERROR(SUMPRODUCT(OFFSET($BJ$31,0,1-MIN(60,COLUMN()-29),1,MIN(60,COLUMN()-29)),OFFSET(AO539,0,-MIN(60,COLUMN()-29),1,MIN(60,COLUMN()-29))),0)</f>
        <v>0</v>
      </c>
      <c r="AP540" s="112" t="n">
        <f aca="true">IFERROR(SUMPRODUCT(OFFSET($BJ$31,0,1-MIN(60,COLUMN()-29),1,MIN(60,COLUMN()-29)),OFFSET(AP539,0,-MIN(60,COLUMN()-29),1,MIN(60,COLUMN()-29))),0)</f>
        <v>0</v>
      </c>
      <c r="AQ540" s="112" t="n">
        <f aca="true">IFERROR(SUMPRODUCT(OFFSET($BJ$31,0,1-MIN(60,COLUMN()-29),1,MIN(60,COLUMN()-29)),OFFSET(AQ539,0,-MIN(60,COLUMN()-29),1,MIN(60,COLUMN()-29))),0)</f>
        <v>0</v>
      </c>
      <c r="AR540" s="112" t="n">
        <f aca="true">IFERROR(SUMPRODUCT(OFFSET($BJ$31,0,1-MIN(60,COLUMN()-29),1,MIN(60,COLUMN()-29)),OFFSET(AR539,0,-MIN(60,COLUMN()-29),1,MIN(60,COLUMN()-29))),0)</f>
        <v>0</v>
      </c>
      <c r="AS540" s="112" t="n">
        <f aca="true">IFERROR(SUMPRODUCT(OFFSET($BJ$31,0,1-MIN(60,COLUMN()-29),1,MIN(60,COLUMN()-29)),OFFSET(AS539,0,-MIN(60,COLUMN()-29),1,MIN(60,COLUMN()-29))),0)</f>
        <v>0</v>
      </c>
      <c r="AT540" s="112" t="n">
        <f aca="true">IFERROR(SUMPRODUCT(OFFSET($BJ$31,0,1-MIN(60,COLUMN()-29),1,MIN(60,COLUMN()-29)),OFFSET(AT539,0,-MIN(60,COLUMN()-29),1,MIN(60,COLUMN()-29))),0)</f>
        <v>0</v>
      </c>
      <c r="AU540" s="112" t="n">
        <f aca="true">IFERROR(SUMPRODUCT(OFFSET($BJ$31,0,1-MIN(60,COLUMN()-29),1,MIN(60,COLUMN()-29)),OFFSET(AU539,0,-MIN(60,COLUMN()-29),1,MIN(60,COLUMN()-29))),0)</f>
        <v>0</v>
      </c>
      <c r="AV540" s="112" t="n">
        <f aca="true">IFERROR(SUMPRODUCT(OFFSET($BJ$31,0,1-MIN(60,COLUMN()-29),1,MIN(60,COLUMN()-29)),OFFSET(AV539,0,-MIN(60,COLUMN()-29),1,MIN(60,COLUMN()-29))),0)</f>
        <v>0</v>
      </c>
      <c r="AW540" s="112" t="n">
        <f aca="true">IFERROR(SUMPRODUCT(OFFSET($BJ$31,0,1-MIN(60,COLUMN()-29),1,MIN(60,COLUMN()-29)),OFFSET(AW539,0,-MIN(60,COLUMN()-29),1,MIN(60,COLUMN()-29))),0)</f>
        <v>0</v>
      </c>
      <c r="AX540" s="112" t="n">
        <f aca="true">IFERROR(SUMPRODUCT(OFFSET($BJ$31,0,1-MIN(60,COLUMN()-29),1,MIN(60,COLUMN()-29)),OFFSET(AX539,0,-MIN(60,COLUMN()-29),1,MIN(60,COLUMN()-29))),0)</f>
        <v>0</v>
      </c>
      <c r="AY540" s="112" t="n">
        <f aca="true">IFERROR(SUMPRODUCT(OFFSET($BJ$31,0,1-MIN(60,COLUMN()-29),1,MIN(60,COLUMN()-29)),OFFSET(AY539,0,-MIN(60,COLUMN()-29),1,MIN(60,COLUMN()-29))),0)</f>
        <v>0</v>
      </c>
      <c r="AZ540" s="112" t="n">
        <f aca="true">IFERROR(SUMPRODUCT(OFFSET($BJ$31,0,1-MIN(60,COLUMN()-29),1,MIN(60,COLUMN()-29)),OFFSET(AZ539,0,-MIN(60,COLUMN()-29),1,MIN(60,COLUMN()-29))),0)</f>
        <v>0</v>
      </c>
      <c r="BA540" s="112" t="n">
        <f aca="true">IFERROR(SUMPRODUCT(OFFSET($BJ$31,0,1-MIN(60,COLUMN()-29),1,MIN(60,COLUMN()-29)),OFFSET(BA539,0,-MIN(60,COLUMN()-29),1,MIN(60,COLUMN()-29))),0)</f>
        <v>0</v>
      </c>
      <c r="BB540" s="112" t="n">
        <f aca="true">IFERROR(SUMPRODUCT(OFFSET($BJ$31,0,1-MIN(60,COLUMN()-29),1,MIN(60,COLUMN()-29)),OFFSET(BB539,0,-MIN(60,COLUMN()-29),1,MIN(60,COLUMN()-29))),0)</f>
        <v>0</v>
      </c>
      <c r="BC540" s="112" t="n">
        <f aca="true">IFERROR(SUMPRODUCT(OFFSET($BJ$31,0,1-MIN(60,COLUMN()-29),1,MIN(60,COLUMN()-29)),OFFSET(BC539,0,-MIN(60,COLUMN()-29),1,MIN(60,COLUMN()-29))),0)</f>
        <v>0</v>
      </c>
      <c r="BD540" s="112" t="n">
        <f aca="true">IFERROR(SUMPRODUCT(OFFSET($BJ$31,0,1-MIN(60,COLUMN()-29),1,MIN(60,COLUMN()-29)),OFFSET(BD539,0,-MIN(60,COLUMN()-29),1,MIN(60,COLUMN()-29))),0)</f>
        <v>0</v>
      </c>
      <c r="BE540" s="112" t="n">
        <f aca="true">IFERROR(SUMPRODUCT(OFFSET($BJ$31,0,1-MIN(60,COLUMN()-29),1,MIN(60,COLUMN()-29)),OFFSET(BE539,0,-MIN(60,COLUMN()-29),1,MIN(60,COLUMN()-29))),0)</f>
        <v>0</v>
      </c>
      <c r="BF540" s="112" t="n">
        <f aca="true">IFERROR(SUMPRODUCT(OFFSET($BJ$31,0,1-MIN(60,COLUMN()-29),1,MIN(60,COLUMN()-29)),OFFSET(BF539,0,-MIN(60,COLUMN()-29),1,MIN(60,COLUMN()-29))),0)</f>
        <v>0</v>
      </c>
      <c r="BG540" s="112" t="n">
        <f aca="true">IFERROR(SUMPRODUCT(OFFSET($BJ$31,0,1-MIN(60,COLUMN()-29),1,MIN(60,COLUMN()-29)),OFFSET(BG539,0,-MIN(60,COLUMN()-29),1,MIN(60,COLUMN()-29))),0)</f>
        <v>0</v>
      </c>
      <c r="BH540" s="112" t="n">
        <f aca="true">IFERROR(SUMPRODUCT(OFFSET($BJ$31,0,1-MIN(60,COLUMN()-29),1,MIN(60,COLUMN()-29)),OFFSET(BH539,0,-MIN(60,COLUMN()-29),1,MIN(60,COLUMN()-29))),0)</f>
        <v>0</v>
      </c>
      <c r="BI540" s="112" t="n">
        <f aca="true">IFERROR(SUMPRODUCT(OFFSET($BJ$31,0,1-MIN(60,COLUMN()-29),1,MIN(60,COLUMN()-29)),OFFSET(BI539,0,-MIN(60,COLUMN()-29),1,MIN(60,COLUMN()-29))),0)</f>
        <v>0</v>
      </c>
      <c r="BJ540" s="112" t="n">
        <f aca="true">IFERROR(SUMPRODUCT(OFFSET($BJ$31,0,1-MIN(60,COLUMN()-29),1,MIN(60,COLUMN()-29)),OFFSET(BJ539,0,-MIN(60,COLUMN()-29),1,MIN(60,COLUMN()-29))),0)</f>
        <v>0</v>
      </c>
      <c r="BK540" s="112" t="n">
        <f aca="true">IFERROR(SUMPRODUCT(OFFSET($BJ$31,0,1-MIN(60,COLUMN()-29),1,MIN(60,COLUMN()-29)),OFFSET(BK539,0,-MIN(60,COLUMN()-29),1,MIN(60,COLUMN()-29))),0)</f>
        <v>0</v>
      </c>
      <c r="BL540" s="112" t="n">
        <f aca="true">IFERROR(SUMPRODUCT(OFFSET($BJ$31,0,1-MIN(60,COLUMN()-29),1,MIN(60,COLUMN()-29)),OFFSET(BL539,0,-MIN(60,COLUMN()-29),1,MIN(60,COLUMN()-29))),0)</f>
        <v>0</v>
      </c>
      <c r="BM540" s="112" t="n">
        <f aca="true">IFERROR(SUMPRODUCT(OFFSET($BJ$31,0,1-MIN(60,COLUMN()-29),1,MIN(60,COLUMN()-29)),OFFSET(BM539,0,-MIN(60,COLUMN()-29),1,MIN(60,COLUMN()-29))),0)</f>
        <v>0</v>
      </c>
      <c r="BN540" s="112" t="n">
        <f aca="true">IFERROR(SUMPRODUCT(OFFSET($BJ$31,0,1-MIN(60,COLUMN()-29),1,MIN(60,COLUMN()-29)),OFFSET(BN539,0,-MIN(60,COLUMN()-29),1,MIN(60,COLUMN()-29))),0)</f>
        <v>0</v>
      </c>
      <c r="BO540" s="112" t="n">
        <f aca="true">IFERROR(SUMPRODUCT(OFFSET($BJ$31,0,1-MIN(60,COLUMN()-29),1,MIN(60,COLUMN()-29)),OFFSET(BO539,0,-MIN(60,COLUMN()-29),1,MIN(60,COLUMN()-29))),0)</f>
        <v>0</v>
      </c>
      <c r="BP540" s="112" t="n">
        <f aca="true">IFERROR(SUMPRODUCT(OFFSET($BJ$31,0,1-MIN(60,COLUMN()-29),1,MIN(60,COLUMN()-29)),OFFSET(BP539,0,-MIN(60,COLUMN()-29),1,MIN(60,COLUMN()-29))),0)</f>
        <v>0</v>
      </c>
      <c r="BQ540" s="112" t="n">
        <f aca="true">IFERROR(SUMPRODUCT(OFFSET($BJ$31,0,1-MIN(60,COLUMN()-29),1,MIN(60,COLUMN()-29)),OFFSET(BQ539,0,-MIN(60,COLUMN()-29),1,MIN(60,COLUMN()-29))),0)</f>
        <v>0</v>
      </c>
      <c r="BR540" s="112" t="n">
        <f aca="true">IFERROR(SUMPRODUCT(OFFSET($BJ$31,0,1-MIN(60,COLUMN()-29),1,MIN(60,COLUMN()-29)),OFFSET(BR539,0,-MIN(60,COLUMN()-29),1,MIN(60,COLUMN()-29))),0)</f>
        <v>0</v>
      </c>
      <c r="BS540" s="112" t="n">
        <f aca="true">IFERROR(SUMPRODUCT(OFFSET($BJ$31,0,1-MIN(60,COLUMN()-29),1,MIN(60,COLUMN()-29)),OFFSET(BS539,0,-MIN(60,COLUMN()-29),1,MIN(60,COLUMN()-29))),0)</f>
        <v>0</v>
      </c>
      <c r="BT540" s="112" t="n">
        <f aca="true">IFERROR(SUMPRODUCT(OFFSET($BJ$31,0,1-MIN(60,COLUMN()-29),1,MIN(60,COLUMN()-29)),OFFSET(BT539,0,-MIN(60,COLUMN()-29),1,MIN(60,COLUMN()-29))),0)</f>
        <v>0</v>
      </c>
      <c r="BU540" s="112" t="n">
        <f aca="true">IFERROR(SUMPRODUCT(OFFSET($BJ$31,0,1-MIN(60,COLUMN()-29),1,MIN(60,COLUMN()-29)),OFFSET(BU539,0,-MIN(60,COLUMN()-29),1,MIN(60,COLUMN()-29))),0)</f>
        <v>0</v>
      </c>
      <c r="BV540" s="112" t="n">
        <f aca="true">IFERROR(SUMPRODUCT(OFFSET($BJ$31,0,1-MIN(60,COLUMN()-29),1,MIN(60,COLUMN()-29)),OFFSET(BV539,0,-MIN(60,COLUMN()-29),1,MIN(60,COLUMN()-29))),0)</f>
        <v>0</v>
      </c>
      <c r="BW540" s="112" t="n">
        <f aca="true">IFERROR(SUMPRODUCT(OFFSET($BJ$31,0,1-MIN(60,COLUMN()-29),1,MIN(60,COLUMN()-29)),OFFSET(BW539,0,-MIN(60,COLUMN()-29),1,MIN(60,COLUMN()-29))),0)</f>
        <v>0</v>
      </c>
      <c r="BX540" s="112" t="n">
        <f aca="true">IFERROR(SUMPRODUCT(OFFSET($BJ$31,0,1-MIN(60,COLUMN()-29),1,MIN(60,COLUMN()-29)),OFFSET(BX539,0,-MIN(60,COLUMN()-29),1,MIN(60,COLUMN()-29))),0)</f>
        <v>0</v>
      </c>
      <c r="BY540" s="112" t="n">
        <f aca="true">IFERROR(SUMPRODUCT(OFFSET($BJ$31,0,1-MIN(60,COLUMN()-29),1,MIN(60,COLUMN()-29)),OFFSET(BY539,0,-MIN(60,COLUMN()-29),1,MIN(60,COLUMN()-29))),0)</f>
        <v>0</v>
      </c>
      <c r="BZ540" s="112" t="n">
        <f aca="true">IFERROR(SUMPRODUCT(OFFSET($BJ$31,0,1-MIN(60,COLUMN()-29),1,MIN(60,COLUMN()-29)),OFFSET(BZ539,0,-MIN(60,COLUMN()-29),1,MIN(60,COLUMN()-29))),0)</f>
        <v>0</v>
      </c>
      <c r="CA540" s="112" t="n">
        <f aca="true">IFERROR(SUMPRODUCT(OFFSET($BJ$31,0,1-MIN(60,COLUMN()-29),1,MIN(60,COLUMN()-29)),OFFSET(CA539,0,-MIN(60,COLUMN()-29),1,MIN(60,COLUMN()-29))),0)</f>
        <v>0</v>
      </c>
      <c r="CB540" s="112" t="n">
        <f aca="true">IFERROR(SUMPRODUCT(OFFSET($BJ$31,0,1-MIN(60,COLUMN()-29),1,MIN(60,COLUMN()-29)),OFFSET(CB539,0,-MIN(60,COLUMN()-29),1,MIN(60,COLUMN()-29))),0)</f>
        <v>0</v>
      </c>
      <c r="CC540" s="112" t="n">
        <f aca="true">IFERROR(SUMPRODUCT(OFFSET($BJ$31,0,1-MIN(60,COLUMN()-29),1,MIN(60,COLUMN()-29)),OFFSET(CC539,0,-MIN(60,COLUMN()-29),1,MIN(60,COLUMN()-29))),0)</f>
        <v>0</v>
      </c>
      <c r="CD540" s="112" t="n">
        <f aca="true">IFERROR(SUMPRODUCT(OFFSET($BJ$31,0,1-MIN(60,COLUMN()-29),1,MIN(60,COLUMN()-29)),OFFSET(CD539,0,-MIN(60,COLUMN()-29),1,MIN(60,COLUMN()-29))),0)</f>
        <v>0</v>
      </c>
      <c r="CE540" s="112" t="n">
        <f aca="true">IFERROR(SUMPRODUCT(OFFSET($BJ$31,0,1-MIN(60,COLUMN()-29),1,MIN(60,COLUMN()-29)),OFFSET(CE539,0,-MIN(60,COLUMN()-29),1,MIN(60,COLUMN()-29))),0)</f>
        <v>0</v>
      </c>
      <c r="CF540" s="112" t="n">
        <f aca="true">IFERROR(SUMPRODUCT(OFFSET($BJ$31,0,1-MIN(60,COLUMN()-29),1,MIN(60,COLUMN()-29)),OFFSET(CF539,0,-MIN(60,COLUMN()-29),1,MIN(60,COLUMN()-29))),0)</f>
        <v>0</v>
      </c>
      <c r="CG540" s="112" t="n">
        <f aca="true">IFERROR(SUMPRODUCT(OFFSET($BJ$31,0,1-MIN(60,COLUMN()-29),1,MIN(60,COLUMN()-29)),OFFSET(CG539,0,-MIN(60,COLUMN()-29),1,MIN(60,COLUMN()-29))),0)</f>
        <v>0</v>
      </c>
      <c r="CH540" s="112" t="n">
        <f aca="true">IFERROR(SUMPRODUCT(OFFSET($BJ$31,0,1-MIN(60,COLUMN()-29),1,MIN(60,COLUMN()-29)),OFFSET(CH539,0,-MIN(60,COLUMN()-29),1,MIN(60,COLUMN()-29))),0)</f>
        <v>0</v>
      </c>
      <c r="CI540" s="112" t="n">
        <f aca="true">IFERROR(SUMPRODUCT(OFFSET($BJ$31,0,1-MIN(60,COLUMN()-29),1,MIN(60,COLUMN()-29)),OFFSET(CI539,0,-MIN(60,COLUMN()-29),1,MIN(60,COLUMN()-29))),0)</f>
        <v>0</v>
      </c>
      <c r="CJ540" s="112" t="n">
        <f aca="true">IFERROR(SUMPRODUCT(OFFSET($BJ$31,0,1-MIN(60,COLUMN()-29),1,MIN(60,COLUMN()-29)),OFFSET(CJ539,0,-MIN(60,COLUMN()-29),1,MIN(60,COLUMN()-29))),0)</f>
        <v>0</v>
      </c>
      <c r="CK540" s="112" t="n">
        <f aca="true">IFERROR(SUMPRODUCT(OFFSET($BJ$31,0,1-MIN(60,COLUMN()-29),1,MIN(60,COLUMN()-29)),OFFSET(CK539,0,-MIN(60,COLUMN()-29),1,MIN(60,COLUMN()-29))),0)</f>
        <v>0</v>
      </c>
      <c r="CL540" s="112" t="n">
        <f aca="true">IFERROR(SUMPRODUCT(OFFSET($BJ$31,0,1-MIN(60,COLUMN()-29),1,MIN(60,COLUMN()-29)),OFFSET(CL539,0,-MIN(60,COLUMN()-29),1,MIN(60,COLUMN()-29))),0)</f>
        <v>0</v>
      </c>
      <c r="CM540" s="112" t="n">
        <f aca="true">IFERROR(SUMPRODUCT(OFFSET($BJ$31,0,1-MIN(60,COLUMN()-29),1,MIN(60,COLUMN()-29)),OFFSET(CM539,0,-MIN(60,COLUMN()-29),1,MIN(60,COLUMN()-29))),0)</f>
        <v>0</v>
      </c>
      <c r="CN540" s="112" t="n">
        <f aca="true">IFERROR(SUMPRODUCT(OFFSET($BJ$31,0,1-MIN(60,COLUMN()-29),1,MIN(60,COLUMN()-29)),OFFSET(CN539,0,-MIN(60,COLUMN()-29),1,MIN(60,COLUMN()-29))),0)</f>
        <v>0</v>
      </c>
      <c r="CO540" s="112" t="n">
        <f aca="true">IFERROR(SUMPRODUCT(OFFSET($BJ$31,0,1-MIN(60,COLUMN()-29),1,MIN(60,COLUMN()-29)),OFFSET(CO539,0,-MIN(60,COLUMN()-29),1,MIN(60,COLUMN()-29))),0)</f>
        <v>0</v>
      </c>
      <c r="CP540" s="112" t="n">
        <f aca="true">IFERROR(SUMPRODUCT(OFFSET($BJ$31,0,1-MIN(60,COLUMN()-29),1,MIN(60,COLUMN()-29)),OFFSET(CP539,0,-MIN(60,COLUMN()-29),1,MIN(60,COLUMN()-29))),0)</f>
        <v>0</v>
      </c>
      <c r="CQ540" s="112" t="n">
        <f aca="true">IFERROR(SUMPRODUCT(OFFSET($BJ$31,0,1-MIN(60,COLUMN()-29),1,MIN(60,COLUMN()-29)),OFFSET(CQ539,0,-MIN(60,COLUMN()-29),1,MIN(60,COLUMN()-29))),0)</f>
        <v>0</v>
      </c>
      <c r="CR540" s="112" t="n">
        <f aca="true">IFERROR(SUMPRODUCT(OFFSET($BJ$31,0,1-MIN(60,COLUMN()-29),1,MIN(60,COLUMN()-29)),OFFSET(CR539,0,-MIN(60,COLUMN()-29),1,MIN(60,COLUMN()-29))),0)</f>
        <v>0</v>
      </c>
      <c r="CS540" s="112" t="n">
        <f aca="true">IFERROR(SUMPRODUCT(OFFSET($BJ$31,0,1-MIN(60,COLUMN()-29),1,MIN(60,COLUMN()-29)),OFFSET(CS539,0,-MIN(60,COLUMN()-29),1,MIN(60,COLUMN()-29))),0)</f>
        <v>0</v>
      </c>
      <c r="CT540" s="112" t="n">
        <f aca="true">IFERROR(SUMPRODUCT(OFFSET($BJ$31,0,1-MIN(60,COLUMN()-29),1,MIN(60,COLUMN()-29)),OFFSET(CT539,0,-MIN(60,COLUMN()-29),1,MIN(60,COLUMN()-29))),0)</f>
        <v>0</v>
      </c>
      <c r="CU540" s="112" t="n">
        <f aca="true">IFERROR(SUMPRODUCT(OFFSET($BJ$31,0,1-MIN(60,COLUMN()-29),1,MIN(60,COLUMN()-29)),OFFSET(CU539,0,-MIN(60,COLUMN()-29),1,MIN(60,COLUMN()-29))),0)</f>
        <v>0</v>
      </c>
      <c r="CV540" s="112" t="n">
        <f aca="true">IFERROR(SUMPRODUCT(OFFSET($BJ$31,0,1-MIN(60,COLUMN()-29),1,MIN(60,COLUMN()-29)),OFFSET(CV539,0,-MIN(60,COLUMN()-29),1,MIN(60,COLUMN()-29))),0)</f>
        <v>0</v>
      </c>
      <c r="CW540" s="112" t="n">
        <f aca="true">IFERROR(SUMPRODUCT(OFFSET($BJ$31,0,1-MIN(60,COLUMN()-29),1,MIN(60,COLUMN()-29)),OFFSET(CW539,0,-MIN(60,COLUMN()-29),1,MIN(60,COLUMN()-29))),0)</f>
        <v>0</v>
      </c>
      <c r="CX540" s="112" t="n">
        <f aca="true">IFERROR(SUMPRODUCT(OFFSET($BJ$31,0,1-MIN(60,COLUMN()-29),1,MIN(60,COLUMN()-29)),OFFSET(CX539,0,-MIN(60,COLUMN()-29),1,MIN(60,COLUMN()-29))),0)</f>
        <v>0</v>
      </c>
      <c r="CY540" s="112" t="n">
        <f aca="true">IFERROR(SUMPRODUCT(OFFSET($BJ$31,0,1-MIN(60,COLUMN()-29),1,MIN(60,COLUMN()-29)),OFFSET(CY539,0,-MIN(60,COLUMN()-29),1,MIN(60,COLUMN()-29))),0)</f>
        <v>0</v>
      </c>
      <c r="CZ540" s="112" t="n">
        <f aca="true">IFERROR(SUMPRODUCT(OFFSET($BJ$31,0,1-MIN(60,COLUMN()-29),1,MIN(60,COLUMN()-29)),OFFSET(CZ539,0,-MIN(60,COLUMN()-29),1,MIN(60,COLUMN()-29))),0)</f>
        <v>0</v>
      </c>
      <c r="DA540" s="112" t="n">
        <f aca="true">IFERROR(SUMPRODUCT(OFFSET($BJ$31,0,1-MIN(60,COLUMN()-29),1,MIN(60,COLUMN()-29)),OFFSET(DA539,0,-MIN(60,COLUMN()-29),1,MIN(60,COLUMN()-29))),0)</f>
        <v>0</v>
      </c>
      <c r="DB540" s="112" t="n">
        <f aca="true">IFERROR(SUMPRODUCT(OFFSET($BJ$31,0,1-MIN(60,COLUMN()-29),1,MIN(60,COLUMN()-29)),OFFSET(DB539,0,-MIN(60,COLUMN()-29),1,MIN(60,COLUMN()-29))),0)</f>
        <v>0</v>
      </c>
      <c r="DC540" s="112" t="n">
        <f aca="true">IFERROR(SUMPRODUCT(OFFSET($BJ$31,0,1-MIN(60,COLUMN()-29),1,MIN(60,COLUMN()-29)),OFFSET(DC539,0,-MIN(60,COLUMN()-29),1,MIN(60,COLUMN()-29))),0)</f>
        <v>0</v>
      </c>
      <c r="DD540" s="112" t="n">
        <f aca="true">IFERROR(SUMPRODUCT(OFFSET($BJ$31,0,1-MIN(60,COLUMN()-29),1,MIN(60,COLUMN()-29)),OFFSET(DD539,0,-MIN(60,COLUMN()-29),1,MIN(60,COLUMN()-29))),0)</f>
        <v>0</v>
      </c>
      <c r="DE540" s="112" t="n">
        <f aca="true">IFERROR(SUMPRODUCT(OFFSET($BJ$31,0,1-MIN(60,COLUMN()-29),1,MIN(60,COLUMN()-29)),OFFSET(DE539,0,-MIN(60,COLUMN()-29),1,MIN(60,COLUMN()-29))),0)</f>
        <v>0</v>
      </c>
      <c r="DF540" s="112" t="n">
        <f aca="true">IFERROR(SUMPRODUCT(OFFSET($BJ$31,0,1-MIN(60,COLUMN()-29),1,MIN(60,COLUMN()-29)),OFFSET(DF539,0,-MIN(60,COLUMN()-29),1,MIN(60,COLUMN()-29))),0)</f>
        <v>0</v>
      </c>
      <c r="DG540" s="112" t="n">
        <f aca="true">IFERROR(SUMPRODUCT(OFFSET($BJ$31,0,1-MIN(60,COLUMN()-29),1,MIN(60,COLUMN()-29)),OFFSET(DG539,0,-MIN(60,COLUMN()-29),1,MIN(60,COLUMN()-29))),0)</f>
        <v>0</v>
      </c>
      <c r="DH540" s="112" t="n">
        <f aca="true">IFERROR(SUMPRODUCT(OFFSET($BJ$31,0,1-MIN(60,COLUMN()-29),1,MIN(60,COLUMN()-29)),OFFSET(DH539,0,-MIN(60,COLUMN()-29),1,MIN(60,COLUMN()-29))),0)</f>
        <v>0</v>
      </c>
      <c r="DI540" s="112" t="n">
        <f aca="true">IFERROR(SUMPRODUCT(OFFSET($BJ$31,0,1-MIN(60,COLUMN()-29),1,MIN(60,COLUMN()-29)),OFFSET(DI539,0,-MIN(60,COLUMN()-29),1,MIN(60,COLUMN()-29))),0)</f>
        <v>0</v>
      </c>
      <c r="DJ540" s="112" t="n">
        <f aca="true">IFERROR(SUMPRODUCT(OFFSET($BJ$31,0,1-MIN(60,COLUMN()-29),1,MIN(60,COLUMN()-29)),OFFSET(DJ539,0,-MIN(60,COLUMN()-29),1,MIN(60,COLUMN()-29))),0)</f>
        <v>0</v>
      </c>
      <c r="DK540" s="112" t="n">
        <f aca="true">IFERROR(SUMPRODUCT(OFFSET($BJ$31,0,1-MIN(60,COLUMN()-29),1,MIN(60,COLUMN()-29)),OFFSET(DK539,0,-MIN(60,COLUMN()-29),1,MIN(60,COLUMN()-29))),0)</f>
        <v>0</v>
      </c>
      <c r="DL540" s="112" t="n">
        <f aca="true">IFERROR(SUMPRODUCT(OFFSET($BJ$31,0,1-MIN(60,COLUMN()-29),1,MIN(60,COLUMN()-29)),OFFSET(DL539,0,-MIN(60,COLUMN()-29),1,MIN(60,COLUMN()-29))),0)</f>
        <v>0</v>
      </c>
      <c r="DM540" s="112" t="n">
        <f aca="true">IFERROR(SUMPRODUCT(OFFSET($BJ$31,0,1-MIN(60,COLUMN()-29),1,MIN(60,COLUMN()-29)),OFFSET(DM539,0,-MIN(60,COLUMN()-29),1,MIN(60,COLUMN()-29))),0)</f>
        <v>0</v>
      </c>
      <c r="DN540" s="112" t="n">
        <f aca="true">IFERROR(SUMPRODUCT(OFFSET($BJ$31,0,1-MIN(60,COLUMN()-29),1,MIN(60,COLUMN()-29)),OFFSET(DN539,0,-MIN(60,COLUMN()-29),1,MIN(60,COLUMN()-29))),0)</f>
        <v>0</v>
      </c>
      <c r="DO540" s="112" t="n">
        <f aca="true">IFERROR(SUMPRODUCT(OFFSET($BJ$31,0,1-MIN(60,COLUMN()-29),1,MIN(60,COLUMN()-29)),OFFSET(DO539,0,-MIN(60,COLUMN()-29),1,MIN(60,COLUMN()-29))),0)</f>
        <v>0</v>
      </c>
      <c r="DP540" s="112" t="n">
        <f aca="true">IFERROR(SUMPRODUCT(OFFSET($BJ$31,0,1-MIN(60,COLUMN()-29),1,MIN(60,COLUMN()-29)),OFFSET(DP539,0,-MIN(60,COLUMN()-29),1,MIN(60,COLUMN()-29))),0)</f>
        <v>0</v>
      </c>
      <c r="DQ540" s="112" t="n">
        <f aca="true">IFERROR(SUMPRODUCT(OFFSET($BJ$31,0,1-MIN(60,COLUMN()-29),1,MIN(60,COLUMN()-29)),OFFSET(DQ539,0,-MIN(60,COLUMN()-29),1,MIN(60,COLUMN()-29))),0)</f>
        <v>0</v>
      </c>
      <c r="DR540" s="112" t="n">
        <f aca="true">IFERROR(SUMPRODUCT(OFFSET($BJ$31,0,1-MIN(60,COLUMN()-29),1,MIN(60,COLUMN()-29)),OFFSET(DR539,0,-MIN(60,COLUMN()-29),1,MIN(60,COLUMN()-29))),0)</f>
        <v>0</v>
      </c>
      <c r="DS540" s="112" t="n">
        <f aca="true">IFERROR(SUMPRODUCT(OFFSET($BJ$31,0,1-MIN(60,COLUMN()-29),1,MIN(60,COLUMN()-29)),OFFSET(DS539,0,-MIN(60,COLUMN()-29),1,MIN(60,COLUMN()-29))),0)</f>
        <v>0</v>
      </c>
      <c r="DT540" s="112" t="n">
        <f aca="true">IFERROR(SUMPRODUCT(OFFSET($BJ$31,0,1-MIN(60,COLUMN()-29),1,MIN(60,COLUMN()-29)),OFFSET(DT539,0,-MIN(60,COLUMN()-29),1,MIN(60,COLUMN()-29))),0)</f>
        <v>0</v>
      </c>
      <c r="DU540" s="112" t="n">
        <f aca="true">IFERROR(SUMPRODUCT(OFFSET($BJ$31,0,1-MIN(60,COLUMN()-29),1,MIN(60,COLUMN()-29)),OFFSET(DU539,0,-MIN(60,COLUMN()-29),1,MIN(60,COLUMN()-29))),0)</f>
        <v>0</v>
      </c>
      <c r="DV540" s="112" t="n">
        <f aca="true">IFERROR(SUMPRODUCT(OFFSET($BJ$31,0,1-MIN(60,COLUMN()-29),1,MIN(60,COLUMN()-29)),OFFSET(DV539,0,-MIN(60,COLUMN()-29),1,MIN(60,COLUMN()-29))),0)</f>
        <v>0</v>
      </c>
      <c r="DW540" s="112" t="n">
        <f aca="true">IFERROR(SUMPRODUCT(OFFSET($BJ$31,0,1-MIN(60,COLUMN()-29),1,MIN(60,COLUMN()-29)),OFFSET(DW539,0,-MIN(60,COLUMN()-29),1,MIN(60,COLUMN()-29))),0)</f>
        <v>0</v>
      </c>
      <c r="DX540" s="112" t="n">
        <f aca="true">IFERROR(SUMPRODUCT(OFFSET($BJ$31,0,1-MIN(60,COLUMN()-29),1,MIN(60,COLUMN()-29)),OFFSET(DX539,0,-MIN(60,COLUMN()-29),1,MIN(60,COLUMN()-29))),0)</f>
        <v>0</v>
      </c>
      <c r="DY540" s="112" t="n">
        <f aca="true">IFERROR(SUMPRODUCT(OFFSET($BJ$31,0,1-MIN(60,COLUMN()-29),1,MIN(60,COLUMN()-29)),OFFSET(DY539,0,-MIN(60,COLUMN()-29),1,MIN(60,COLUMN()-29))),0)</f>
        <v>0</v>
      </c>
      <c r="DZ540" s="112" t="n">
        <f aca="true">IFERROR(SUMPRODUCT(OFFSET($BJ$31,0,1-MIN(60,COLUMN()-29),1,MIN(60,COLUMN()-29)),OFFSET(DZ539,0,-MIN(60,COLUMN()-29),1,MIN(60,COLUMN()-29))),0)</f>
        <v>0</v>
      </c>
      <c r="EA540" s="112" t="n">
        <f aca="true">IFERROR(SUMPRODUCT(OFFSET($BJ$31,0,1-MIN(60,COLUMN()-29),1,MIN(60,COLUMN()-29)),OFFSET(EA539,0,-MIN(60,COLUMN()-29),1,MIN(60,COLUMN()-29))),0)</f>
        <v>0</v>
      </c>
      <c r="EB540" s="112" t="n">
        <f aca="true">IFERROR(SUMPRODUCT(OFFSET($BJ$31,0,1-MIN(60,COLUMN()-29),1,MIN(60,COLUMN()-29)),OFFSET(EB539,0,-MIN(60,COLUMN()-29),1,MIN(60,COLUMN()-29))),0)</f>
        <v>0</v>
      </c>
      <c r="EC540" s="112" t="n">
        <f aca="true">IFERROR(SUMPRODUCT(OFFSET($BJ$31,0,1-MIN(60,COLUMN()-29),1,MIN(60,COLUMN()-29)),OFFSET(EC539,0,-MIN(60,COLUMN()-29),1,MIN(60,COLUMN()-29))),0)</f>
        <v>0</v>
      </c>
      <c r="ED540" s="112" t="n">
        <f aca="true">IFERROR(SUMPRODUCT(OFFSET($BJ$31,0,1-MIN(60,COLUMN()-29),1,MIN(60,COLUMN()-29)),OFFSET(ED539,0,-MIN(60,COLUMN()-29),1,MIN(60,COLUMN()-29))),0)</f>
        <v>0</v>
      </c>
      <c r="EE540" s="112" t="n">
        <f aca="true">IFERROR(SUMPRODUCT(OFFSET($BJ$31,0,1-MIN(60,COLUMN()-29),1,MIN(60,COLUMN()-29)),OFFSET(EE539,0,-MIN(60,COLUMN()-29),1,MIN(60,COLUMN()-29))),0)</f>
        <v>0</v>
      </c>
      <c r="EF540" s="112" t="n">
        <f aca="true">IFERROR(SUMPRODUCT(OFFSET($BJ$31,0,1-MIN(60,COLUMN()-29),1,MIN(60,COLUMN()-29)),OFFSET(EF539,0,-MIN(60,COLUMN()-29),1,MIN(60,COLUMN()-29))),0)</f>
        <v>0</v>
      </c>
      <c r="EG540" s="112" t="n">
        <f aca="true">IFERROR(SUMPRODUCT(OFFSET($BJ$31,0,1-MIN(60,COLUMN()-29),1,MIN(60,COLUMN()-29)),OFFSET(EG539,0,-MIN(60,COLUMN()-29),1,MIN(60,COLUMN()-29))),0)</f>
        <v>0</v>
      </c>
      <c r="EH540" s="112" t="n">
        <f aca="true">IFERROR(SUMPRODUCT(OFFSET($BJ$31,0,1-MIN(60,COLUMN()-29),1,MIN(60,COLUMN()-29)),OFFSET(EH539,0,-MIN(60,COLUMN()-29),1,MIN(60,COLUMN()-29))),0)</f>
        <v>0</v>
      </c>
      <c r="EI540" s="112" t="n">
        <f aca="true">IFERROR(SUMPRODUCT(OFFSET($BJ$31,0,1-MIN(60,COLUMN()-29),1,MIN(60,COLUMN()-29)),OFFSET(EI539,0,-MIN(60,COLUMN()-29),1,MIN(60,COLUMN()-29))),0)</f>
        <v>0</v>
      </c>
      <c r="EJ540" s="112" t="n">
        <f aca="true">IFERROR(SUMPRODUCT(OFFSET($BJ$31,0,1-MIN(60,COLUMN()-29),1,MIN(60,COLUMN()-29)),OFFSET(EJ539,0,-MIN(60,COLUMN()-29),1,MIN(60,COLUMN()-29))),0)</f>
        <v>0</v>
      </c>
      <c r="EK540" s="112" t="n">
        <f aca="true">IFERROR(SUMPRODUCT(OFFSET($BJ$31,0,1-MIN(60,COLUMN()-29),1,MIN(60,COLUMN()-29)),OFFSET(EK539,0,-MIN(60,COLUMN()-29),1,MIN(60,COLUMN()-29))),0)</f>
        <v>0</v>
      </c>
      <c r="EL540" s="112" t="n">
        <f aca="true">IFERROR(SUMPRODUCT(OFFSET($BJ$31,0,1-MIN(60,COLUMN()-29),1,MIN(60,COLUMN()-29)),OFFSET(EL539,0,-MIN(60,COLUMN()-29),1,MIN(60,COLUMN()-29))),0)</f>
        <v>0</v>
      </c>
      <c r="EM540" s="112" t="n">
        <f aca="true">IFERROR(SUMPRODUCT(OFFSET($BJ$31,0,1-MIN(60,COLUMN()-29),1,MIN(60,COLUMN()-29)),OFFSET(EM539,0,-MIN(60,COLUMN()-29),1,MIN(60,COLUMN()-29))),0)</f>
        <v>0</v>
      </c>
      <c r="EN540" s="112" t="n">
        <f aca="true">IFERROR(SUMPRODUCT(OFFSET($BJ$31,0,1-MIN(60,COLUMN()-29),1,MIN(60,COLUMN()-29)),OFFSET(EN539,0,-MIN(60,COLUMN()-29),1,MIN(60,COLUMN()-29))),0)</f>
        <v>0</v>
      </c>
      <c r="EO540" s="112" t="n">
        <f aca="true">IFERROR(SUMPRODUCT(OFFSET($BJ$31,0,1-MIN(60,COLUMN()-29),1,MIN(60,COLUMN()-29)),OFFSET(EO539,0,-MIN(60,COLUMN()-29),1,MIN(60,COLUMN()-29))),0)</f>
        <v>0</v>
      </c>
      <c r="EP540" s="112" t="n">
        <f aca="true">IFERROR(SUMPRODUCT(OFFSET($BJ$31,0,1-MIN(60,COLUMN()-29),1,MIN(60,COLUMN()-29)),OFFSET(EP539,0,-MIN(60,COLUMN()-29),1,MIN(60,COLUMN()-29))),0)</f>
        <v>0</v>
      </c>
      <c r="EQ540" s="112" t="n">
        <f aca="true">IFERROR(SUMPRODUCT(OFFSET($BJ$31,0,1-MIN(60,COLUMN()-29),1,MIN(60,COLUMN()-29)),OFFSET(EQ539,0,-MIN(60,COLUMN()-29),1,MIN(60,COLUMN()-29))),0)</f>
        <v>0</v>
      </c>
      <c r="ER540" s="112" t="n">
        <f aca="true">IFERROR(SUMPRODUCT(OFFSET($BJ$31,0,1-MIN(60,COLUMN()-29),1,MIN(60,COLUMN()-29)),OFFSET(ER539,0,-MIN(60,COLUMN()-29),1,MIN(60,COLUMN()-29))),0)</f>
        <v>0</v>
      </c>
      <c r="ES540" s="9" t="n">
        <f aca="true">IFERROR(SUMPRODUCT(OFFSET($BJ$31,0,1-MIN(60,COLUMN()-29),1,MIN(60,COLUMN()-29)),OFFSET(ES539,0,-MIN(60,COLUMN()-29),1,MIN(60,COLUMN()-29))),0)</f>
        <v>0</v>
      </c>
      <c r="ET540" s="9" t="n">
        <f aca="true">IFERROR(SUMPRODUCT(OFFSET($BJ$31,0,1-MIN(60,COLUMN()-29),1,MIN(60,COLUMN()-29)),OFFSET(ET539,0,-MIN(60,COLUMN()-29),1,MIN(60,COLUMN()-29))),0)</f>
        <v>0</v>
      </c>
      <c r="EU540" s="9" t="n">
        <f aca="true">IFERROR(SUMPRODUCT(OFFSET($BJ$31,0,1-MIN(60,COLUMN()-29),1,MIN(60,COLUMN()-29)),OFFSET(EU539,0,-MIN(60,COLUMN()-29),1,MIN(60,COLUMN()-29))),0)</f>
        <v>0</v>
      </c>
      <c r="EV540" s="9" t="n">
        <f aca="true">IFERROR(SUMPRODUCT(OFFSET($BJ$31,0,1-MIN(60,COLUMN()-29),1,MIN(60,COLUMN()-29)),OFFSET(EV539,0,-MIN(60,COLUMN()-29),1,MIN(60,COLUMN()-29))),0)</f>
        <v>0</v>
      </c>
      <c r="EW540" s="9" t="n">
        <f aca="true">IFERROR(SUMPRODUCT(OFFSET($BJ$31,0,1-MIN(60,COLUMN()-29),1,MIN(60,COLUMN()-29)),OFFSET(EW539,0,-MIN(60,COLUMN()-29),1,MIN(60,COLUMN()-29))),0)</f>
        <v>0</v>
      </c>
      <c r="EX540" s="9" t="n">
        <f aca="true">IFERROR(SUMPRODUCT(OFFSET($BJ$31,0,1-MIN(60,COLUMN()-29),1,MIN(60,COLUMN()-29)),OFFSET(EX539,0,-MIN(60,COLUMN()-29),1,MIN(60,COLUMN()-29))),0)</f>
        <v>4.94592</v>
      </c>
      <c r="EY540" s="9" t="n">
        <f aca="true">IFERROR(SUMPRODUCT(OFFSET($BJ$31,0,1-MIN(60,COLUMN()-29),1,MIN(60,COLUMN()-29)),OFFSET(EY539,0,-MIN(60,COLUMN()-29),1,MIN(60,COLUMN()-29))),0)</f>
        <v>5.410944</v>
      </c>
      <c r="EZ540" s="9" t="n">
        <f aca="true">IFERROR(SUMPRODUCT(OFFSET($BJ$31,0,1-MIN(60,COLUMN()-29),1,MIN(60,COLUMN()-29)),OFFSET(EZ539,0,-MIN(60,COLUMN()-29),1,MIN(60,COLUMN()-29))),0)</f>
        <v>6.93504</v>
      </c>
      <c r="FA540" s="9" t="n">
        <f aca="true">IFERROR(SUMPRODUCT(OFFSET($BJ$31,0,1-MIN(60,COLUMN()-29),1,MIN(60,COLUMN()-29)),OFFSET(FA539,0,-MIN(60,COLUMN()-29),1,MIN(60,COLUMN()-29))),0)</f>
        <v>12.3734016</v>
      </c>
      <c r="FB540" s="9" t="n">
        <f aca="true">IFERROR(SUMPRODUCT(OFFSET($BJ$31,0,1-MIN(60,COLUMN()-29),1,MIN(60,COLUMN()-29)),OFFSET(FB539,0,-MIN(60,COLUMN()-29),1,MIN(60,COLUMN()-29))),0)</f>
        <v>11.6282208</v>
      </c>
      <c r="FC540" s="9" t="n">
        <f aca="true">IFERROR(SUMPRODUCT(OFFSET($BJ$31,0,1-MIN(60,COLUMN()-29),1,MIN(60,COLUMN()-29)),OFFSET(FC539,0,-MIN(60,COLUMN()-29),1,MIN(60,COLUMN()-29))),0)</f>
        <v>12.0427776</v>
      </c>
      <c r="FD540" s="9" t="n">
        <f aca="true">IFERROR(SUMPRODUCT(OFFSET($BJ$31,0,1-MIN(60,COLUMN()-29),1,MIN(60,COLUMN()-29)),OFFSET(FD539,0,-MIN(60,COLUMN()-29),1,MIN(60,COLUMN()-29))),0)</f>
        <v>11.5796352</v>
      </c>
      <c r="FE540" s="9" t="n">
        <f aca="true">IFERROR(SUMPRODUCT(OFFSET($BJ$31,0,1-MIN(60,COLUMN()-29),1,MIN(60,COLUMN()-29)),OFFSET(FE539,0,-MIN(60,COLUMN()-29),1,MIN(60,COLUMN()-29))),0)</f>
        <v>15.6190272</v>
      </c>
      <c r="FF540" s="9" t="n">
        <f aca="true">IFERROR(SUMPRODUCT(OFFSET($BJ$31,0,1-MIN(60,COLUMN()-29),1,MIN(60,COLUMN()-29)),OFFSET(FF539,0,-MIN(60,COLUMN()-29),1,MIN(60,COLUMN()-29))),0)</f>
        <v>18.472608</v>
      </c>
      <c r="FG540" s="9" t="n">
        <f aca="true">IFERROR(SUMPRODUCT(OFFSET($BJ$31,0,1-MIN(60,COLUMN()-29),1,MIN(60,COLUMN()-29)),OFFSET(FG539,0,-MIN(60,COLUMN()-29),1,MIN(60,COLUMN()-29))),0)</f>
        <v>17.4452544</v>
      </c>
      <c r="FH540" s="9" t="n">
        <f aca="true">IFERROR(SUMPRODUCT(OFFSET($BJ$31,0,1-MIN(60,COLUMN()-29),1,MIN(60,COLUMN()-29)),OFFSET(FH539,0,-MIN(60,COLUMN()-29),1,MIN(60,COLUMN()-29))),0)</f>
        <v>23.0323296</v>
      </c>
      <c r="FI540" s="9" t="n">
        <f aca="true">IFERROR(SUMPRODUCT(OFFSET($BJ$31,0,1-MIN(60,COLUMN()-29),1,MIN(60,COLUMN()-29)),OFFSET(FI539,0,-MIN(60,COLUMN()-29),1,MIN(60,COLUMN()-29))),0)</f>
        <v>25.466784</v>
      </c>
      <c r="FJ540" s="9" t="n">
        <f aca="true">IFERROR(SUMPRODUCT(OFFSET($BJ$31,0,1-MIN(60,COLUMN()-29),1,MIN(60,COLUMN()-29)),OFFSET(FJ539,0,-MIN(60,COLUMN()-29),1,MIN(60,COLUMN()-29))),0)</f>
        <v>26.6067648</v>
      </c>
      <c r="FK540" s="9" t="n">
        <f aca="true">IFERROR(SUMPRODUCT(OFFSET($BJ$31,0,1-MIN(60,COLUMN()-29),1,MIN(60,COLUMN()-29)),OFFSET(FK539,0,-MIN(60,COLUMN()-29),1,MIN(60,COLUMN()-29))),0)</f>
        <v>26.6914368</v>
      </c>
      <c r="FL540" s="9" t="n">
        <f aca="true">IFERROR(SUMPRODUCT(OFFSET($BJ$31,0,1-MIN(60,COLUMN()-29),1,MIN(60,COLUMN()-29)),OFFSET(FL539,0,-MIN(60,COLUMN()-29),1,MIN(60,COLUMN()-29))),0)</f>
        <v>29.1118464</v>
      </c>
      <c r="FM540" s="9" t="n">
        <f aca="true">IFERROR(SUMPRODUCT(OFFSET($BJ$31,0,1-MIN(60,COLUMN()-29),1,MIN(60,COLUMN()-29)),OFFSET(FM539,0,-MIN(60,COLUMN()-29),1,MIN(60,COLUMN()-29))),0)</f>
        <v>45.5211456</v>
      </c>
      <c r="FN540" s="9" t="n">
        <f aca="true">IFERROR(SUMPRODUCT(OFFSET($BJ$31,0,1-MIN(60,COLUMN()-29),1,MIN(60,COLUMN()-29)),OFFSET(FN539,0,-MIN(60,COLUMN()-29),1,MIN(60,COLUMN()-29))),0)</f>
        <v>45.59403072</v>
      </c>
      <c r="FO540" s="9" t="n">
        <f aca="true">IFERROR(SUMPRODUCT(OFFSET($BJ$31,0,1-MIN(60,COLUMN()-29),1,MIN(60,COLUMN()-29)),OFFSET(FO539,0,-MIN(60,COLUMN()-29),1,MIN(60,COLUMN()-29))),0)</f>
        <v>45.7267776</v>
      </c>
      <c r="FP540" s="9" t="n">
        <f aca="true">IFERROR(SUMPRODUCT(OFFSET($BJ$31,0,1-MIN(60,COLUMN()-29),1,MIN(60,COLUMN()-29)),OFFSET(FP539,0,-MIN(60,COLUMN()-29),1,MIN(60,COLUMN()-29))),0)</f>
        <v>42.90038592</v>
      </c>
    </row>
    <row r="541" customFormat="false" ht="15" hidden="false" customHeight="false" outlineLevel="2" collapsed="false">
      <c r="B541" s="90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237"/>
      <c r="AD541" s="237"/>
      <c r="AE541" s="237"/>
      <c r="AF541" s="237"/>
      <c r="AG541" s="237"/>
      <c r="AH541" s="237"/>
      <c r="AI541" s="237"/>
      <c r="AJ541" s="237"/>
      <c r="AK541" s="237"/>
      <c r="AL541" s="237"/>
      <c r="AM541" s="237"/>
      <c r="AN541" s="237"/>
      <c r="AO541" s="237"/>
      <c r="AP541" s="237"/>
      <c r="AQ541" s="237"/>
      <c r="AR541" s="237"/>
      <c r="AS541" s="237"/>
      <c r="AT541" s="237"/>
      <c r="AU541" s="237"/>
      <c r="AV541" s="237"/>
      <c r="AW541" s="237"/>
      <c r="AX541" s="237"/>
      <c r="AY541" s="237"/>
      <c r="AZ541" s="237"/>
      <c r="BA541" s="237"/>
      <c r="BB541" s="237"/>
      <c r="BC541" s="237"/>
      <c r="BD541" s="237"/>
      <c r="BE541" s="237"/>
      <c r="BF541" s="237"/>
      <c r="BG541" s="237"/>
      <c r="BH541" s="237"/>
      <c r="BI541" s="237"/>
      <c r="BJ541" s="237"/>
      <c r="BK541" s="237"/>
      <c r="BL541" s="237"/>
      <c r="BM541" s="237"/>
      <c r="BN541" s="237"/>
      <c r="BO541" s="237"/>
      <c r="BP541" s="237"/>
      <c r="BQ541" s="237"/>
      <c r="BR541" s="237"/>
      <c r="BS541" s="237"/>
      <c r="BT541" s="237"/>
      <c r="BU541" s="237"/>
      <c r="BV541" s="237"/>
      <c r="BW541" s="237"/>
      <c r="BX541" s="237"/>
      <c r="BY541" s="237"/>
      <c r="BZ541" s="237"/>
      <c r="CA541" s="237"/>
      <c r="CB541" s="237"/>
      <c r="CC541" s="237"/>
      <c r="CD541" s="237"/>
      <c r="CE541" s="237"/>
      <c r="CF541" s="237"/>
      <c r="CG541" s="237"/>
      <c r="CH541" s="237"/>
      <c r="CI541" s="237"/>
      <c r="CJ541" s="237"/>
      <c r="CK541" s="237"/>
      <c r="CL541" s="237"/>
      <c r="CM541" s="237"/>
      <c r="CN541" s="237"/>
      <c r="CO541" s="237"/>
      <c r="CP541" s="237"/>
      <c r="CQ541" s="237"/>
      <c r="CR541" s="237"/>
      <c r="CS541" s="237"/>
      <c r="CT541" s="237"/>
      <c r="CU541" s="237"/>
      <c r="CV541" s="237"/>
      <c r="CW541" s="237"/>
      <c r="CX541" s="237"/>
      <c r="CY541" s="237"/>
      <c r="CZ541" s="237"/>
      <c r="DA541" s="237"/>
      <c r="DB541" s="237"/>
      <c r="DC541" s="237"/>
      <c r="DD541" s="237"/>
      <c r="DE541" s="237"/>
      <c r="DF541" s="237"/>
      <c r="DG541" s="237"/>
      <c r="DH541" s="237"/>
      <c r="DI541" s="237"/>
      <c r="DJ541" s="237"/>
      <c r="DK541" s="237"/>
      <c r="DL541" s="237"/>
      <c r="DM541" s="237"/>
      <c r="DN541" s="237"/>
      <c r="DO541" s="237"/>
      <c r="DP541" s="237"/>
      <c r="DQ541" s="237"/>
      <c r="DR541" s="237"/>
      <c r="DS541" s="237"/>
      <c r="DT541" s="237"/>
      <c r="DU541" s="237"/>
      <c r="DV541" s="237"/>
      <c r="DW541" s="237"/>
      <c r="DX541" s="237"/>
      <c r="DY541" s="237"/>
      <c r="DZ541" s="237"/>
      <c r="EA541" s="237"/>
      <c r="EB541" s="237"/>
      <c r="EC541" s="237"/>
      <c r="ED541" s="237"/>
      <c r="EE541" s="237"/>
      <c r="EF541" s="237"/>
      <c r="EG541" s="237"/>
      <c r="EH541" s="237"/>
      <c r="EI541" s="237"/>
      <c r="EJ541" s="237"/>
      <c r="EK541" s="237"/>
      <c r="EL541" s="237"/>
      <c r="EM541" s="237"/>
      <c r="EN541" s="237"/>
      <c r="EO541" s="237"/>
      <c r="EP541" s="237"/>
      <c r="EQ541" s="237"/>
      <c r="ER541" s="237"/>
      <c r="ES541" s="9"/>
      <c r="ET541" s="9"/>
      <c r="EU541" s="9"/>
      <c r="EV541" s="9"/>
      <c r="EW541" s="9"/>
      <c r="EX541" s="9"/>
      <c r="EY541" s="9"/>
      <c r="EZ541" s="9"/>
      <c r="FA541" s="9"/>
      <c r="FB541" s="9"/>
      <c r="FC541" s="9"/>
      <c r="FD541" s="9"/>
      <c r="FE541" s="9"/>
      <c r="FF541" s="9"/>
      <c r="FG541" s="9"/>
      <c r="FH541" s="9"/>
      <c r="FI541" s="9"/>
      <c r="FJ541" s="9"/>
      <c r="FK541" s="9"/>
      <c r="FL541" s="9"/>
      <c r="FM541" s="9"/>
      <c r="FN541" s="9"/>
      <c r="FO541" s="9"/>
      <c r="FP541" s="9"/>
    </row>
    <row r="542" customFormat="false" ht="15" hidden="false" customHeight="false" outlineLevel="2" collapsed="false">
      <c r="B542" s="240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237"/>
      <c r="AD542" s="237"/>
      <c r="AE542" s="237"/>
      <c r="AF542" s="237"/>
      <c r="AG542" s="237"/>
      <c r="AH542" s="237"/>
      <c r="AI542" s="237"/>
      <c r="AJ542" s="237"/>
      <c r="AK542" s="237"/>
      <c r="AL542" s="237"/>
      <c r="AM542" s="237"/>
      <c r="AN542" s="237"/>
      <c r="AO542" s="237"/>
      <c r="AP542" s="237"/>
      <c r="AQ542" s="237"/>
      <c r="AR542" s="237"/>
      <c r="AS542" s="237"/>
      <c r="AT542" s="237"/>
      <c r="AU542" s="237"/>
      <c r="AV542" s="237"/>
      <c r="AW542" s="237"/>
      <c r="AX542" s="237"/>
      <c r="AY542" s="237"/>
      <c r="AZ542" s="237"/>
      <c r="BA542" s="237"/>
      <c r="BB542" s="237"/>
      <c r="BC542" s="237"/>
      <c r="BD542" s="237"/>
      <c r="BE542" s="237"/>
      <c r="BF542" s="237"/>
      <c r="BG542" s="237"/>
      <c r="BH542" s="237"/>
      <c r="BI542" s="237"/>
      <c r="BJ542" s="237"/>
      <c r="BK542" s="237"/>
      <c r="BL542" s="237"/>
      <c r="BM542" s="237"/>
      <c r="BN542" s="237"/>
      <c r="BO542" s="237"/>
      <c r="BP542" s="237"/>
      <c r="BQ542" s="237"/>
      <c r="BR542" s="237"/>
      <c r="BS542" s="237"/>
      <c r="BT542" s="237"/>
      <c r="BU542" s="237"/>
      <c r="BV542" s="237"/>
      <c r="BW542" s="237"/>
      <c r="BX542" s="237"/>
      <c r="BY542" s="237"/>
      <c r="BZ542" s="237"/>
      <c r="CA542" s="237"/>
      <c r="CB542" s="237"/>
      <c r="CC542" s="237"/>
      <c r="CD542" s="237"/>
      <c r="CE542" s="237"/>
      <c r="CF542" s="237"/>
      <c r="CG542" s="237"/>
      <c r="CH542" s="237"/>
      <c r="CI542" s="237"/>
      <c r="CJ542" s="237"/>
      <c r="CK542" s="237"/>
      <c r="CL542" s="237"/>
      <c r="CM542" s="237"/>
      <c r="CN542" s="237"/>
      <c r="CO542" s="237"/>
      <c r="CP542" s="237"/>
      <c r="CQ542" s="237"/>
      <c r="CR542" s="237"/>
      <c r="CS542" s="237"/>
      <c r="CT542" s="237"/>
      <c r="CU542" s="237"/>
      <c r="CV542" s="237"/>
      <c r="CW542" s="237"/>
      <c r="CX542" s="237"/>
      <c r="CY542" s="237"/>
      <c r="CZ542" s="237"/>
      <c r="DA542" s="237"/>
      <c r="DB542" s="237"/>
      <c r="DC542" s="237"/>
      <c r="DD542" s="237"/>
      <c r="DE542" s="237"/>
      <c r="DF542" s="237"/>
      <c r="DG542" s="237"/>
      <c r="DH542" s="237"/>
      <c r="DI542" s="237"/>
      <c r="DJ542" s="237"/>
      <c r="DK542" s="237"/>
      <c r="DL542" s="237"/>
      <c r="DM542" s="237"/>
      <c r="DN542" s="237"/>
      <c r="DO542" s="237"/>
      <c r="DP542" s="237"/>
      <c r="DQ542" s="237"/>
      <c r="DR542" s="237"/>
      <c r="DS542" s="237"/>
      <c r="DT542" s="237"/>
      <c r="DU542" s="237"/>
      <c r="DV542" s="237"/>
      <c r="DW542" s="237"/>
      <c r="DX542" s="237"/>
      <c r="DY542" s="237"/>
      <c r="DZ542" s="237"/>
      <c r="EA542" s="237"/>
      <c r="EB542" s="237"/>
      <c r="EC542" s="237"/>
      <c r="ED542" s="237"/>
      <c r="EE542" s="237"/>
      <c r="EF542" s="237"/>
      <c r="EG542" s="237"/>
      <c r="EH542" s="237"/>
      <c r="EI542" s="237"/>
      <c r="EJ542" s="237"/>
      <c r="EK542" s="237"/>
      <c r="EL542" s="237"/>
      <c r="EM542" s="237"/>
      <c r="EN542" s="237"/>
      <c r="EO542" s="237"/>
      <c r="EP542" s="237"/>
      <c r="EQ542" s="237"/>
      <c r="ER542" s="237"/>
      <c r="ES542" s="9"/>
      <c r="ET542" s="9"/>
      <c r="EU542" s="9"/>
      <c r="EV542" s="9"/>
      <c r="EW542" s="9"/>
      <c r="EX542" s="9"/>
      <c r="EY542" s="9"/>
      <c r="EZ542" s="9"/>
      <c r="FA542" s="9"/>
      <c r="FB542" s="9"/>
      <c r="FC542" s="9"/>
      <c r="FD542" s="9"/>
      <c r="FE542" s="9"/>
      <c r="FF542" s="9"/>
      <c r="FG542" s="9"/>
      <c r="FH542" s="9"/>
      <c r="FI542" s="9"/>
      <c r="FJ542" s="9"/>
      <c r="FK542" s="9"/>
      <c r="FL542" s="9"/>
      <c r="FM542" s="9"/>
      <c r="FN542" s="9"/>
      <c r="FO542" s="9"/>
      <c r="FP542" s="9"/>
    </row>
    <row r="543" customFormat="false" ht="15" hidden="false" customHeight="false" outlineLevel="2" collapsed="false">
      <c r="B543" s="21" t="s">
        <v>927</v>
      </c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  <c r="BL543" s="21"/>
      <c r="BM543" s="21"/>
      <c r="BN543" s="21"/>
      <c r="BO543" s="21"/>
      <c r="BP543" s="21"/>
      <c r="BQ543" s="21"/>
      <c r="BR543" s="21"/>
      <c r="BS543" s="21"/>
      <c r="BT543" s="21"/>
      <c r="BU543" s="21"/>
      <c r="BV543" s="21"/>
      <c r="BW543" s="21"/>
      <c r="BX543" s="21"/>
      <c r="BY543" s="21"/>
      <c r="BZ543" s="21"/>
      <c r="CA543" s="21"/>
      <c r="CB543" s="21"/>
      <c r="CC543" s="21"/>
      <c r="CD543" s="21"/>
      <c r="CE543" s="21"/>
      <c r="CF543" s="21"/>
      <c r="CG543" s="21"/>
      <c r="CH543" s="21"/>
      <c r="CI543" s="21"/>
      <c r="CJ543" s="21"/>
      <c r="CK543" s="21"/>
      <c r="CL543" s="21"/>
      <c r="CM543" s="21"/>
      <c r="CN543" s="21"/>
      <c r="CO543" s="21"/>
      <c r="CP543" s="21"/>
      <c r="CQ543" s="21"/>
      <c r="CR543" s="21"/>
      <c r="CS543" s="21"/>
      <c r="CT543" s="21"/>
      <c r="CU543" s="21"/>
      <c r="CV543" s="21"/>
      <c r="CW543" s="21"/>
      <c r="CX543" s="21"/>
      <c r="CY543" s="21"/>
      <c r="CZ543" s="21"/>
      <c r="DA543" s="21"/>
      <c r="DB543" s="21"/>
      <c r="DC543" s="21"/>
      <c r="DD543" s="21"/>
      <c r="DE543" s="21"/>
      <c r="DF543" s="21"/>
      <c r="DG543" s="21"/>
      <c r="DH543" s="21"/>
      <c r="DI543" s="21"/>
      <c r="DJ543" s="21"/>
      <c r="DK543" s="21"/>
      <c r="DL543" s="21"/>
      <c r="DM543" s="21"/>
      <c r="DN543" s="21"/>
      <c r="DO543" s="21"/>
      <c r="DP543" s="21"/>
      <c r="DQ543" s="21"/>
      <c r="DR543" s="21"/>
      <c r="DS543" s="21"/>
      <c r="DT543" s="21"/>
      <c r="DU543" s="21"/>
      <c r="DV543" s="21"/>
      <c r="DW543" s="21"/>
      <c r="DX543" s="21"/>
      <c r="DY543" s="21"/>
      <c r="DZ543" s="21"/>
      <c r="EA543" s="21"/>
      <c r="EB543" s="21"/>
      <c r="EC543" s="21"/>
      <c r="ED543" s="21"/>
      <c r="EE543" s="21"/>
      <c r="EF543" s="21"/>
      <c r="EG543" s="21"/>
      <c r="EH543" s="21"/>
      <c r="EI543" s="21"/>
      <c r="EJ543" s="21"/>
      <c r="EK543" s="21"/>
      <c r="EL543" s="21"/>
      <c r="EM543" s="21"/>
      <c r="EN543" s="21"/>
      <c r="EO543" s="21"/>
      <c r="EP543" s="21"/>
      <c r="EQ543" s="21"/>
      <c r="ER543" s="21"/>
      <c r="ES543" s="9"/>
      <c r="ET543" s="9"/>
      <c r="EU543" s="9"/>
      <c r="EV543" s="9"/>
      <c r="EW543" s="9"/>
      <c r="EX543" s="9"/>
      <c r="EY543" s="9"/>
      <c r="EZ543" s="9"/>
      <c r="FA543" s="9"/>
      <c r="FB543" s="9"/>
      <c r="FC543" s="9"/>
      <c r="FD543" s="9"/>
      <c r="FE543" s="9"/>
      <c r="FF543" s="9"/>
      <c r="FG543" s="9"/>
      <c r="FH543" s="9"/>
      <c r="FI543" s="9"/>
      <c r="FJ543" s="9"/>
      <c r="FK543" s="9"/>
      <c r="FL543" s="9"/>
      <c r="FM543" s="9"/>
      <c r="FN543" s="9"/>
      <c r="FO543" s="9"/>
      <c r="FP543" s="9"/>
    </row>
    <row r="544" customFormat="false" ht="15" hidden="false" customHeight="false" outlineLevel="2" collapsed="false">
      <c r="B544" s="9" t="s">
        <v>872</v>
      </c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234" t="n">
        <f aca="false">('⑫ Roll-out Plan'!G59-2025)*12+'⑫ Roll-out Plan'!F59</f>
        <v>126</v>
      </c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9"/>
      <c r="CM544" s="9"/>
      <c r="CN544" s="9"/>
      <c r="CO544" s="9"/>
      <c r="CP544" s="9"/>
      <c r="CQ544" s="9"/>
      <c r="CR544" s="9"/>
      <c r="CS544" s="9"/>
      <c r="CT544" s="9"/>
      <c r="CU544" s="9"/>
      <c r="CV544" s="9"/>
      <c r="CW544" s="9"/>
      <c r="CX544" s="9"/>
      <c r="CY544" s="9"/>
      <c r="CZ544" s="9"/>
      <c r="DA544" s="9"/>
      <c r="DB544" s="9"/>
      <c r="DC544" s="9"/>
      <c r="DD544" s="9"/>
      <c r="DE544" s="9"/>
      <c r="DF544" s="9"/>
      <c r="DG544" s="9"/>
      <c r="DH544" s="9"/>
      <c r="DI544" s="9"/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9"/>
      <c r="DU544" s="9"/>
      <c r="DV544" s="9"/>
      <c r="DW544" s="9"/>
      <c r="DX544" s="9"/>
      <c r="DY544" s="9"/>
      <c r="DZ544" s="9"/>
      <c r="EA544" s="9"/>
      <c r="EB544" s="9"/>
      <c r="EC544" s="9"/>
      <c r="ED544" s="9"/>
      <c r="EE544" s="9"/>
      <c r="EF544" s="9"/>
      <c r="EG544" s="9"/>
      <c r="EH544" s="9"/>
      <c r="EI544" s="9"/>
      <c r="EJ544" s="9"/>
      <c r="EK544" s="9"/>
      <c r="EL544" s="9"/>
      <c r="EM544" s="9"/>
      <c r="EN544" s="9"/>
      <c r="EO544" s="9"/>
      <c r="EP544" s="9"/>
      <c r="EQ544" s="9"/>
      <c r="ER544" s="9"/>
      <c r="ES544" s="9"/>
      <c r="ET544" s="9"/>
      <c r="EU544" s="9"/>
      <c r="EV544" s="9"/>
      <c r="EW544" s="9"/>
      <c r="EX544" s="9"/>
      <c r="EY544" s="9"/>
      <c r="EZ544" s="9"/>
      <c r="FA544" s="9"/>
      <c r="FB544" s="9"/>
      <c r="FC544" s="9"/>
      <c r="FD544" s="9"/>
      <c r="FE544" s="9"/>
      <c r="FF544" s="9"/>
      <c r="FG544" s="9"/>
      <c r="FH544" s="9"/>
      <c r="FI544" s="9"/>
      <c r="FJ544" s="9"/>
      <c r="FK544" s="9"/>
      <c r="FL544" s="9"/>
      <c r="FM544" s="9"/>
      <c r="FN544" s="9"/>
      <c r="FO544" s="9"/>
      <c r="FP544" s="9"/>
    </row>
    <row r="545" customFormat="false" ht="15" hidden="false" customHeight="false" outlineLevel="2" collapsed="false">
      <c r="B545" s="9" t="s">
        <v>873</v>
      </c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235" t="n">
        <f aca="false">VLOOKUP("B",$B$14:$C$18,2,FALSE())</f>
        <v>185</v>
      </c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9"/>
      <c r="EO545" s="9"/>
      <c r="EP545" s="9"/>
      <c r="EQ545" s="9"/>
      <c r="ER545" s="9"/>
      <c r="ES545" s="9"/>
      <c r="ET545" s="9"/>
      <c r="EU545" s="9"/>
      <c r="EV545" s="9"/>
      <c r="EW545" s="9"/>
      <c r="EX545" s="9"/>
      <c r="EY545" s="9"/>
      <c r="EZ545" s="9"/>
      <c r="FA545" s="9"/>
      <c r="FB545" s="9"/>
      <c r="FC545" s="9"/>
      <c r="FD545" s="9"/>
      <c r="FE545" s="9"/>
      <c r="FF545" s="9"/>
      <c r="FG545" s="9"/>
      <c r="FH545" s="9"/>
      <c r="FI545" s="9"/>
      <c r="FJ545" s="9"/>
      <c r="FK545" s="9"/>
      <c r="FL545" s="9"/>
      <c r="FM545" s="9"/>
      <c r="FN545" s="9"/>
      <c r="FO545" s="9"/>
      <c r="FP545" s="9"/>
    </row>
    <row r="546" customFormat="false" ht="15" hidden="false" customHeight="false" outlineLevel="2" collapsed="false">
      <c r="B546" s="9" t="s">
        <v>799</v>
      </c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63" t="n">
        <f aca="false">IF(AC$35&gt;=$AC$544,AC$35-$AC$544+1,0)</f>
        <v>0</v>
      </c>
      <c r="AD546" s="63" t="n">
        <f aca="false">IF(AD$35&gt;=$AC$544,AD$35-$AC$544+1,0)</f>
        <v>0</v>
      </c>
      <c r="AE546" s="63" t="n">
        <f aca="false">IF(AE$35&gt;=$AC$544,AE$35-$AC$544+1,0)</f>
        <v>0</v>
      </c>
      <c r="AF546" s="63" t="n">
        <f aca="false">IF(AF$35&gt;=$AC$544,AF$35-$AC$544+1,0)</f>
        <v>0</v>
      </c>
      <c r="AG546" s="63" t="n">
        <f aca="false">IF(AG$35&gt;=$AC$544,AG$35-$AC$544+1,0)</f>
        <v>0</v>
      </c>
      <c r="AH546" s="63" t="n">
        <f aca="false">IF(AH$35&gt;=$AC$544,AH$35-$AC$544+1,0)</f>
        <v>0</v>
      </c>
      <c r="AI546" s="63" t="n">
        <f aca="false">IF(AI$35&gt;=$AC$544,AI$35-$AC$544+1,0)</f>
        <v>0</v>
      </c>
      <c r="AJ546" s="63" t="n">
        <f aca="false">IF(AJ$35&gt;=$AC$544,AJ$35-$AC$544+1,0)</f>
        <v>0</v>
      </c>
      <c r="AK546" s="63" t="n">
        <f aca="false">IF(AK$35&gt;=$AC$544,AK$35-$AC$544+1,0)</f>
        <v>0</v>
      </c>
      <c r="AL546" s="63" t="n">
        <f aca="false">IF(AL$35&gt;=$AC$544,AL$35-$AC$544+1,0)</f>
        <v>0</v>
      </c>
      <c r="AM546" s="63" t="n">
        <f aca="false">IF(AM$35&gt;=$AC$544,AM$35-$AC$544+1,0)</f>
        <v>0</v>
      </c>
      <c r="AN546" s="63" t="n">
        <f aca="false">IF(AN$35&gt;=$AC$544,AN$35-$AC$544+1,0)</f>
        <v>0</v>
      </c>
      <c r="AO546" s="63" t="n">
        <f aca="false">IF(AO$35&gt;=$AC$544,AO$35-$AC$544+1,0)</f>
        <v>0</v>
      </c>
      <c r="AP546" s="63" t="n">
        <f aca="false">IF(AP$35&gt;=$AC$544,AP$35-$AC$544+1,0)</f>
        <v>0</v>
      </c>
      <c r="AQ546" s="63" t="n">
        <f aca="false">IF(AQ$35&gt;=$AC$544,AQ$35-$AC$544+1,0)</f>
        <v>0</v>
      </c>
      <c r="AR546" s="63" t="n">
        <f aca="false">IF(AR$35&gt;=$AC$544,AR$35-$AC$544+1,0)</f>
        <v>0</v>
      </c>
      <c r="AS546" s="63" t="n">
        <f aca="false">IF(AS$35&gt;=$AC$544,AS$35-$AC$544+1,0)</f>
        <v>0</v>
      </c>
      <c r="AT546" s="63" t="n">
        <f aca="false">IF(AT$35&gt;=$AC$544,AT$35-$AC$544+1,0)</f>
        <v>0</v>
      </c>
      <c r="AU546" s="63" t="n">
        <f aca="false">IF(AU$35&gt;=$AC$544,AU$35-$AC$544+1,0)</f>
        <v>0</v>
      </c>
      <c r="AV546" s="63" t="n">
        <f aca="false">IF(AV$35&gt;=$AC$544,AV$35-$AC$544+1,0)</f>
        <v>0</v>
      </c>
      <c r="AW546" s="63" t="n">
        <f aca="false">IF(AW$35&gt;=$AC$544,AW$35-$AC$544+1,0)</f>
        <v>0</v>
      </c>
      <c r="AX546" s="63" t="n">
        <f aca="false">IF(AX$35&gt;=$AC$544,AX$35-$AC$544+1,0)</f>
        <v>0</v>
      </c>
      <c r="AY546" s="63" t="n">
        <f aca="false">IF(AY$35&gt;=$AC$544,AY$35-$AC$544+1,0)</f>
        <v>0</v>
      </c>
      <c r="AZ546" s="63" t="n">
        <f aca="false">IF(AZ$35&gt;=$AC$544,AZ$35-$AC$544+1,0)</f>
        <v>0</v>
      </c>
      <c r="BA546" s="63" t="n">
        <f aca="false">IF(BA$35&gt;=$AC$544,BA$35-$AC$544+1,0)</f>
        <v>0</v>
      </c>
      <c r="BB546" s="63" t="n">
        <f aca="false">IF(BB$35&gt;=$AC$544,BB$35-$AC$544+1,0)</f>
        <v>0</v>
      </c>
      <c r="BC546" s="63" t="n">
        <f aca="false">IF(BC$35&gt;=$AC$544,BC$35-$AC$544+1,0)</f>
        <v>0</v>
      </c>
      <c r="BD546" s="63" t="n">
        <f aca="false">IF(BD$35&gt;=$AC$544,BD$35-$AC$544+1,0)</f>
        <v>0</v>
      </c>
      <c r="BE546" s="63" t="n">
        <f aca="false">IF(BE$35&gt;=$AC$544,BE$35-$AC$544+1,0)</f>
        <v>0</v>
      </c>
      <c r="BF546" s="63" t="n">
        <f aca="false">IF(BF$35&gt;=$AC$544,BF$35-$AC$544+1,0)</f>
        <v>0</v>
      </c>
      <c r="BG546" s="63" t="n">
        <f aca="false">IF(BG$35&gt;=$AC$544,BG$35-$AC$544+1,0)</f>
        <v>0</v>
      </c>
      <c r="BH546" s="63" t="n">
        <f aca="false">IF(BH$35&gt;=$AC$544,BH$35-$AC$544+1,0)</f>
        <v>0</v>
      </c>
      <c r="BI546" s="63" t="n">
        <f aca="false">IF(BI$35&gt;=$AC$544,BI$35-$AC$544+1,0)</f>
        <v>0</v>
      </c>
      <c r="BJ546" s="63" t="n">
        <f aca="false">IF(BJ$35&gt;=$AC$544,BJ$35-$AC$544+1,0)</f>
        <v>0</v>
      </c>
      <c r="BK546" s="63" t="n">
        <f aca="false">IF(BK$35&gt;=$AC$544,BK$35-$AC$544+1,0)</f>
        <v>0</v>
      </c>
      <c r="BL546" s="63" t="n">
        <f aca="false">IF(BL$35&gt;=$AC$544,BL$35-$AC$544+1,0)</f>
        <v>0</v>
      </c>
      <c r="BM546" s="63" t="n">
        <f aca="false">IF(BM$35&gt;=$AC$544,BM$35-$AC$544+1,0)</f>
        <v>0</v>
      </c>
      <c r="BN546" s="63" t="n">
        <f aca="false">IF(BN$35&gt;=$AC$544,BN$35-$AC$544+1,0)</f>
        <v>0</v>
      </c>
      <c r="BO546" s="63" t="n">
        <f aca="false">IF(BO$35&gt;=$AC$544,BO$35-$AC$544+1,0)</f>
        <v>0</v>
      </c>
      <c r="BP546" s="63" t="n">
        <f aca="false">IF(BP$35&gt;=$AC$544,BP$35-$AC$544+1,0)</f>
        <v>0</v>
      </c>
      <c r="BQ546" s="63" t="n">
        <f aca="false">IF(BQ$35&gt;=$AC$544,BQ$35-$AC$544+1,0)</f>
        <v>0</v>
      </c>
      <c r="BR546" s="63" t="n">
        <f aca="false">IF(BR$35&gt;=$AC$544,BR$35-$AC$544+1,0)</f>
        <v>0</v>
      </c>
      <c r="BS546" s="63" t="n">
        <f aca="false">IF(BS$35&gt;=$AC$544,BS$35-$AC$544+1,0)</f>
        <v>0</v>
      </c>
      <c r="BT546" s="63" t="n">
        <f aca="false">IF(BT$35&gt;=$AC$544,BT$35-$AC$544+1,0)</f>
        <v>0</v>
      </c>
      <c r="BU546" s="63" t="n">
        <f aca="false">IF(BU$35&gt;=$AC$544,BU$35-$AC$544+1,0)</f>
        <v>0</v>
      </c>
      <c r="BV546" s="63" t="n">
        <f aca="false">IF(BV$35&gt;=$AC$544,BV$35-$AC$544+1,0)</f>
        <v>0</v>
      </c>
      <c r="BW546" s="63" t="n">
        <f aca="false">IF(BW$35&gt;=$AC$544,BW$35-$AC$544+1,0)</f>
        <v>0</v>
      </c>
      <c r="BX546" s="63" t="n">
        <f aca="false">IF(BX$35&gt;=$AC$544,BX$35-$AC$544+1,0)</f>
        <v>0</v>
      </c>
      <c r="BY546" s="63" t="n">
        <f aca="false">IF(BY$35&gt;=$AC$544,BY$35-$AC$544+1,0)</f>
        <v>0</v>
      </c>
      <c r="BZ546" s="63" t="n">
        <f aca="false">IF(BZ$35&gt;=$AC$544,BZ$35-$AC$544+1,0)</f>
        <v>0</v>
      </c>
      <c r="CA546" s="63" t="n">
        <f aca="false">IF(CA$35&gt;=$AC$544,CA$35-$AC$544+1,0)</f>
        <v>0</v>
      </c>
      <c r="CB546" s="63" t="n">
        <f aca="false">IF(CB$35&gt;=$AC$544,CB$35-$AC$544+1,0)</f>
        <v>0</v>
      </c>
      <c r="CC546" s="63" t="n">
        <f aca="false">IF(CC$35&gt;=$AC$544,CC$35-$AC$544+1,0)</f>
        <v>0</v>
      </c>
      <c r="CD546" s="63" t="n">
        <f aca="false">IF(CD$35&gt;=$AC$544,CD$35-$AC$544+1,0)</f>
        <v>0</v>
      </c>
      <c r="CE546" s="63" t="n">
        <f aca="false">IF(CE$35&gt;=$AC$544,CE$35-$AC$544+1,0)</f>
        <v>0</v>
      </c>
      <c r="CF546" s="63" t="n">
        <f aca="false">IF(CF$35&gt;=$AC$544,CF$35-$AC$544+1,0)</f>
        <v>0</v>
      </c>
      <c r="CG546" s="63" t="n">
        <f aca="false">IF(CG$35&gt;=$AC$544,CG$35-$AC$544+1,0)</f>
        <v>0</v>
      </c>
      <c r="CH546" s="63" t="n">
        <f aca="false">IF(CH$35&gt;=$AC$544,CH$35-$AC$544+1,0)</f>
        <v>0</v>
      </c>
      <c r="CI546" s="63" t="n">
        <f aca="false">IF(CI$35&gt;=$AC$544,CI$35-$AC$544+1,0)</f>
        <v>0</v>
      </c>
      <c r="CJ546" s="63" t="n">
        <f aca="false">IF(CJ$35&gt;=$AC$544,CJ$35-$AC$544+1,0)</f>
        <v>0</v>
      </c>
      <c r="CK546" s="63" t="n">
        <f aca="false">IF(CK$35&gt;=$AC$544,CK$35-$AC$544+1,0)</f>
        <v>0</v>
      </c>
      <c r="CL546" s="63" t="n">
        <f aca="false">IF(CL$35&gt;=$AC$544,CL$35-$AC$544+1,0)</f>
        <v>0</v>
      </c>
      <c r="CM546" s="63" t="n">
        <f aca="false">IF(CM$35&gt;=$AC$544,CM$35-$AC$544+1,0)</f>
        <v>0</v>
      </c>
      <c r="CN546" s="63" t="n">
        <f aca="false">IF(CN$35&gt;=$AC$544,CN$35-$AC$544+1,0)</f>
        <v>0</v>
      </c>
      <c r="CO546" s="63" t="n">
        <f aca="false">IF(CO$35&gt;=$AC$544,CO$35-$AC$544+1,0)</f>
        <v>0</v>
      </c>
      <c r="CP546" s="63" t="n">
        <f aca="false">IF(CP$35&gt;=$AC$544,CP$35-$AC$544+1,0)</f>
        <v>0</v>
      </c>
      <c r="CQ546" s="63" t="n">
        <f aca="false">IF(CQ$35&gt;=$AC$544,CQ$35-$AC$544+1,0)</f>
        <v>0</v>
      </c>
      <c r="CR546" s="63" t="n">
        <f aca="false">IF(CR$35&gt;=$AC$544,CR$35-$AC$544+1,0)</f>
        <v>0</v>
      </c>
      <c r="CS546" s="63" t="n">
        <f aca="false">IF(CS$35&gt;=$AC$544,CS$35-$AC$544+1,0)</f>
        <v>0</v>
      </c>
      <c r="CT546" s="63" t="n">
        <f aca="false">IF(CT$35&gt;=$AC$544,CT$35-$AC$544+1,0)</f>
        <v>0</v>
      </c>
      <c r="CU546" s="63" t="n">
        <f aca="false">IF(CU$35&gt;=$AC$544,CU$35-$AC$544+1,0)</f>
        <v>0</v>
      </c>
      <c r="CV546" s="63" t="n">
        <f aca="false">IF(CV$35&gt;=$AC$544,CV$35-$AC$544+1,0)</f>
        <v>0</v>
      </c>
      <c r="CW546" s="63" t="n">
        <f aca="false">IF(CW$35&gt;=$AC$544,CW$35-$AC$544+1,0)</f>
        <v>0</v>
      </c>
      <c r="CX546" s="63" t="n">
        <f aca="false">IF(CX$35&gt;=$AC$544,CX$35-$AC$544+1,0)</f>
        <v>0</v>
      </c>
      <c r="CY546" s="63" t="n">
        <f aca="false">IF(CY$35&gt;=$AC$544,CY$35-$AC$544+1,0)</f>
        <v>0</v>
      </c>
      <c r="CZ546" s="63" t="n">
        <f aca="false">IF(CZ$35&gt;=$AC$544,CZ$35-$AC$544+1,0)</f>
        <v>0</v>
      </c>
      <c r="DA546" s="63" t="n">
        <f aca="false">IF(DA$35&gt;=$AC$544,DA$35-$AC$544+1,0)</f>
        <v>0</v>
      </c>
      <c r="DB546" s="63" t="n">
        <f aca="false">IF(DB$35&gt;=$AC$544,DB$35-$AC$544+1,0)</f>
        <v>0</v>
      </c>
      <c r="DC546" s="63" t="n">
        <f aca="false">IF(DC$35&gt;=$AC$544,DC$35-$AC$544+1,0)</f>
        <v>0</v>
      </c>
      <c r="DD546" s="63" t="n">
        <f aca="false">IF(DD$35&gt;=$AC$544,DD$35-$AC$544+1,0)</f>
        <v>0</v>
      </c>
      <c r="DE546" s="63" t="n">
        <f aca="false">IF(DE$35&gt;=$AC$544,DE$35-$AC$544+1,0)</f>
        <v>0</v>
      </c>
      <c r="DF546" s="63" t="n">
        <f aca="false">IF(DF$35&gt;=$AC$544,DF$35-$AC$544+1,0)</f>
        <v>0</v>
      </c>
      <c r="DG546" s="63" t="n">
        <f aca="false">IF(DG$35&gt;=$AC$544,DG$35-$AC$544+1,0)</f>
        <v>0</v>
      </c>
      <c r="DH546" s="63" t="n">
        <f aca="false">IF(DH$35&gt;=$AC$544,DH$35-$AC$544+1,0)</f>
        <v>0</v>
      </c>
      <c r="DI546" s="63" t="n">
        <f aca="false">IF(DI$35&gt;=$AC$544,DI$35-$AC$544+1,0)</f>
        <v>0</v>
      </c>
      <c r="DJ546" s="63" t="n">
        <f aca="false">IF(DJ$35&gt;=$AC$544,DJ$35-$AC$544+1,0)</f>
        <v>0</v>
      </c>
      <c r="DK546" s="63" t="n">
        <f aca="false">IF(DK$35&gt;=$AC$544,DK$35-$AC$544+1,0)</f>
        <v>0</v>
      </c>
      <c r="DL546" s="63" t="n">
        <f aca="false">IF(DL$35&gt;=$AC$544,DL$35-$AC$544+1,0)</f>
        <v>0</v>
      </c>
      <c r="DM546" s="63" t="n">
        <f aca="false">IF(DM$35&gt;=$AC$544,DM$35-$AC$544+1,0)</f>
        <v>0</v>
      </c>
      <c r="DN546" s="63" t="n">
        <f aca="false">IF(DN$35&gt;=$AC$544,DN$35-$AC$544+1,0)</f>
        <v>0</v>
      </c>
      <c r="DO546" s="63" t="n">
        <f aca="false">IF(DO$35&gt;=$AC$544,DO$35-$AC$544+1,0)</f>
        <v>0</v>
      </c>
      <c r="DP546" s="63" t="n">
        <f aca="false">IF(DP$35&gt;=$AC$544,DP$35-$AC$544+1,0)</f>
        <v>0</v>
      </c>
      <c r="DQ546" s="63" t="n">
        <f aca="false">IF(DQ$35&gt;=$AC$544,DQ$35-$AC$544+1,0)</f>
        <v>0</v>
      </c>
      <c r="DR546" s="63" t="n">
        <f aca="false">IF(DR$35&gt;=$AC$544,DR$35-$AC$544+1,0)</f>
        <v>0</v>
      </c>
      <c r="DS546" s="63" t="n">
        <f aca="false">IF(DS$35&gt;=$AC$544,DS$35-$AC$544+1,0)</f>
        <v>0</v>
      </c>
      <c r="DT546" s="63" t="n">
        <f aca="false">IF(DT$35&gt;=$AC$544,DT$35-$AC$544+1,0)</f>
        <v>0</v>
      </c>
      <c r="DU546" s="63" t="n">
        <f aca="false">IF(DU$35&gt;=$AC$544,DU$35-$AC$544+1,0)</f>
        <v>0</v>
      </c>
      <c r="DV546" s="63" t="n">
        <f aca="false">IF(DV$35&gt;=$AC$544,DV$35-$AC$544+1,0)</f>
        <v>0</v>
      </c>
      <c r="DW546" s="63" t="n">
        <f aca="false">IF(DW$35&gt;=$AC$544,DW$35-$AC$544+1,0)</f>
        <v>0</v>
      </c>
      <c r="DX546" s="63" t="n">
        <f aca="false">IF(DX$35&gt;=$AC$544,DX$35-$AC$544+1,0)</f>
        <v>0</v>
      </c>
      <c r="DY546" s="63" t="n">
        <f aca="false">IF(DY$35&gt;=$AC$544,DY$35-$AC$544+1,0)</f>
        <v>0</v>
      </c>
      <c r="DZ546" s="63" t="n">
        <f aca="false">IF(DZ$35&gt;=$AC$544,DZ$35-$AC$544+1,0)</f>
        <v>0</v>
      </c>
      <c r="EA546" s="63" t="n">
        <f aca="false">IF(EA$35&gt;=$AC$544,EA$35-$AC$544+1,0)</f>
        <v>0</v>
      </c>
      <c r="EB546" s="63" t="n">
        <f aca="false">IF(EB$35&gt;=$AC$544,EB$35-$AC$544+1,0)</f>
        <v>0</v>
      </c>
      <c r="EC546" s="63" t="n">
        <f aca="false">IF(EC$35&gt;=$AC$544,EC$35-$AC$544+1,0)</f>
        <v>0</v>
      </c>
      <c r="ED546" s="63" t="n">
        <f aca="false">IF(ED$35&gt;=$AC$544,ED$35-$AC$544+1,0)</f>
        <v>0</v>
      </c>
      <c r="EE546" s="63" t="n">
        <f aca="false">IF(EE$35&gt;=$AC$544,EE$35-$AC$544+1,0)</f>
        <v>0</v>
      </c>
      <c r="EF546" s="63" t="n">
        <f aca="false">IF(EF$35&gt;=$AC$544,EF$35-$AC$544+1,0)</f>
        <v>0</v>
      </c>
      <c r="EG546" s="63" t="n">
        <f aca="false">IF(EG$35&gt;=$AC$544,EG$35-$AC$544+1,0)</f>
        <v>0</v>
      </c>
      <c r="EH546" s="63" t="n">
        <f aca="false">IF(EH$35&gt;=$AC$544,EH$35-$AC$544+1,0)</f>
        <v>0</v>
      </c>
      <c r="EI546" s="63" t="n">
        <f aca="false">IF(EI$35&gt;=$AC$544,EI$35-$AC$544+1,0)</f>
        <v>0</v>
      </c>
      <c r="EJ546" s="63" t="n">
        <f aca="false">IF(EJ$35&gt;=$AC$544,EJ$35-$AC$544+1,0)</f>
        <v>0</v>
      </c>
      <c r="EK546" s="63" t="n">
        <f aca="false">IF(EK$35&gt;=$AC$544,EK$35-$AC$544+1,0)</f>
        <v>0</v>
      </c>
      <c r="EL546" s="63" t="n">
        <f aca="false">IF(EL$35&gt;=$AC$544,EL$35-$AC$544+1,0)</f>
        <v>0</v>
      </c>
      <c r="EM546" s="63" t="n">
        <f aca="false">IF(EM$35&gt;=$AC$544,EM$35-$AC$544+1,0)</f>
        <v>0</v>
      </c>
      <c r="EN546" s="63" t="n">
        <f aca="false">IF(EN$35&gt;=$AC$544,EN$35-$AC$544+1,0)</f>
        <v>0</v>
      </c>
      <c r="EO546" s="63" t="n">
        <f aca="false">IF(EO$35&gt;=$AC$544,EO$35-$AC$544+1,0)</f>
        <v>0</v>
      </c>
      <c r="EP546" s="63" t="n">
        <f aca="false">IF(EP$35&gt;=$AC$544,EP$35-$AC$544+1,0)</f>
        <v>0</v>
      </c>
      <c r="EQ546" s="63" t="n">
        <f aca="false">IF(EQ$35&gt;=$AC$544,EQ$35-$AC$544+1,0)</f>
        <v>0</v>
      </c>
      <c r="ER546" s="63" t="n">
        <f aca="false">IF(ER$35&gt;=$AC$544,ER$35-$AC$544+1,0)</f>
        <v>0</v>
      </c>
      <c r="ES546" s="9" t="n">
        <f aca="false">IF(ES$35&gt;=$AC$544,ES$35-$AC$544+1,0)</f>
        <v>0</v>
      </c>
      <c r="ET546" s="9" t="n">
        <f aca="false">IF(ET$35&gt;=$AC$544,ET$35-$AC$544+1,0)</f>
        <v>0</v>
      </c>
      <c r="EU546" s="9" t="n">
        <f aca="false">IF(EU$35&gt;=$AC$544,EU$35-$AC$544+1,0)</f>
        <v>0</v>
      </c>
      <c r="EV546" s="9" t="n">
        <f aca="false">IF(EV$35&gt;=$AC$544,EV$35-$AC$544+1,0)</f>
        <v>0</v>
      </c>
      <c r="EW546" s="9" t="n">
        <f aca="false">IF(EW$35&gt;=$AC$544,EW$35-$AC$544+1,0)</f>
        <v>0</v>
      </c>
      <c r="EX546" s="9" t="n">
        <f aca="false">IF(EX$35&gt;=$AC$544,EX$35-$AC$544+1,0)</f>
        <v>1</v>
      </c>
      <c r="EY546" s="9" t="n">
        <f aca="false">IF(EY$35&gt;=$AC$544,EY$35-$AC$544+1,0)</f>
        <v>2</v>
      </c>
      <c r="EZ546" s="9" t="n">
        <f aca="false">IF(EZ$35&gt;=$AC$544,EZ$35-$AC$544+1,0)</f>
        <v>3</v>
      </c>
      <c r="FA546" s="9" t="n">
        <f aca="false">IF(FA$35&gt;=$AC$544,FA$35-$AC$544+1,0)</f>
        <v>4</v>
      </c>
      <c r="FB546" s="9" t="n">
        <f aca="false">IF(FB$35&gt;=$AC$544,FB$35-$AC$544+1,0)</f>
        <v>5</v>
      </c>
      <c r="FC546" s="9" t="n">
        <f aca="false">IF(FC$35&gt;=$AC$544,FC$35-$AC$544+1,0)</f>
        <v>6</v>
      </c>
      <c r="FD546" s="9" t="n">
        <f aca="false">IF(FD$35&gt;=$AC$544,FD$35-$AC$544+1,0)</f>
        <v>7</v>
      </c>
      <c r="FE546" s="9" t="n">
        <f aca="false">IF(FE$35&gt;=$AC$544,FE$35-$AC$544+1,0)</f>
        <v>8</v>
      </c>
      <c r="FF546" s="9" t="n">
        <f aca="false">IF(FF$35&gt;=$AC$544,FF$35-$AC$544+1,0)</f>
        <v>9</v>
      </c>
      <c r="FG546" s="9" t="n">
        <f aca="false">IF(FG$35&gt;=$AC$544,FG$35-$AC$544+1,0)</f>
        <v>10</v>
      </c>
      <c r="FH546" s="9" t="n">
        <f aca="false">IF(FH$35&gt;=$AC$544,FH$35-$AC$544+1,0)</f>
        <v>11</v>
      </c>
      <c r="FI546" s="9" t="n">
        <f aca="false">IF(FI$35&gt;=$AC$544,FI$35-$AC$544+1,0)</f>
        <v>12</v>
      </c>
      <c r="FJ546" s="9" t="n">
        <f aca="false">IF(FJ$35&gt;=$AC$544,FJ$35-$AC$544+1,0)</f>
        <v>13</v>
      </c>
      <c r="FK546" s="9" t="n">
        <f aca="false">IF(FK$35&gt;=$AC$544,FK$35-$AC$544+1,0)</f>
        <v>14</v>
      </c>
      <c r="FL546" s="9" t="n">
        <f aca="false">IF(FL$35&gt;=$AC$544,FL$35-$AC$544+1,0)</f>
        <v>15</v>
      </c>
      <c r="FM546" s="9" t="n">
        <f aca="false">IF(FM$35&gt;=$AC$544,FM$35-$AC$544+1,0)</f>
        <v>16</v>
      </c>
      <c r="FN546" s="9" t="n">
        <f aca="false">IF(FN$35&gt;=$AC$544,FN$35-$AC$544+1,0)</f>
        <v>17</v>
      </c>
      <c r="FO546" s="9" t="n">
        <f aca="false">IF(FO$35&gt;=$AC$544,FO$35-$AC$544+1,0)</f>
        <v>18</v>
      </c>
      <c r="FP546" s="9" t="n">
        <f aca="false">IF(FP$35&gt;=$AC$544,FP$35-$AC$544+1,0)</f>
        <v>19</v>
      </c>
    </row>
    <row r="547" customFormat="false" ht="15" hidden="false" customHeight="false" outlineLevel="2" collapsed="false">
      <c r="B547" s="9" t="s">
        <v>874</v>
      </c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236" t="n">
        <f aca="false" t="array" ref="AC547:AC547">IF(AC546=0,0,IF(AC546/'🎚️ Escenario'!$C$11&gt;=36,$AL$23,INDEX($C$23:$AL$23,MAX(1,ROUNDUP(AC546/'🎚️ Escenario'!$C$11,0)))))</f>
        <v>0</v>
      </c>
      <c r="AD547" s="236" t="n">
        <f aca="false" t="array" ref="AD547:AD547">IF(AD546=0,0,IF(AD546/'🎚️ Escenario'!$C$11&gt;=36,$AL$23,INDEX($C$23:$AL$23,MAX(1,ROUNDUP(AD546/'🎚️ Escenario'!$C$11,0)))))</f>
        <v>0</v>
      </c>
      <c r="AE547" s="236" t="n">
        <f aca="false" t="array" ref="AE547:AE547">IF(AE546=0,0,IF(AE546/'🎚️ Escenario'!$C$11&gt;=36,$AL$23,INDEX($C$23:$AL$23,MAX(1,ROUNDUP(AE546/'🎚️ Escenario'!$C$11,0)))))</f>
        <v>0</v>
      </c>
      <c r="AF547" s="236" t="n">
        <f aca="false" t="array" ref="AF547:AF547">IF(AF546=0,0,IF(AF546/'🎚️ Escenario'!$C$11&gt;=36,$AL$23,INDEX($C$23:$AL$23,MAX(1,ROUNDUP(AF546/'🎚️ Escenario'!$C$11,0)))))</f>
        <v>0</v>
      </c>
      <c r="AG547" s="236" t="n">
        <f aca="false" t="array" ref="AG547:AG547">IF(AG546=0,0,IF(AG546/'🎚️ Escenario'!$C$11&gt;=36,$AL$23,INDEX($C$23:$AL$23,MAX(1,ROUNDUP(AG546/'🎚️ Escenario'!$C$11,0)))))</f>
        <v>0</v>
      </c>
      <c r="AH547" s="236" t="n">
        <f aca="false" t="array" ref="AH547:AH547">IF(AH546=0,0,IF(AH546/'🎚️ Escenario'!$C$11&gt;=36,$AL$23,INDEX($C$23:$AL$23,MAX(1,ROUNDUP(AH546/'🎚️ Escenario'!$C$11,0)))))</f>
        <v>0</v>
      </c>
      <c r="AI547" s="236" t="n">
        <f aca="false" t="array" ref="AI547:AI547">IF(AI546=0,0,IF(AI546/'🎚️ Escenario'!$C$11&gt;=36,$AL$23,INDEX($C$23:$AL$23,MAX(1,ROUNDUP(AI546/'🎚️ Escenario'!$C$11,0)))))</f>
        <v>0</v>
      </c>
      <c r="AJ547" s="236" t="n">
        <f aca="false" t="array" ref="AJ547:AJ547">IF(AJ546=0,0,IF(AJ546/'🎚️ Escenario'!$C$11&gt;=36,$AL$23,INDEX($C$23:$AL$23,MAX(1,ROUNDUP(AJ546/'🎚️ Escenario'!$C$11,0)))))</f>
        <v>0</v>
      </c>
      <c r="AK547" s="236" t="n">
        <f aca="false" t="array" ref="AK547:AK547">IF(AK546=0,0,IF(AK546/'🎚️ Escenario'!$C$11&gt;=36,$AL$23,INDEX($C$23:$AL$23,MAX(1,ROUNDUP(AK546/'🎚️ Escenario'!$C$11,0)))))</f>
        <v>0</v>
      </c>
      <c r="AL547" s="236" t="n">
        <f aca="false" t="array" ref="AL547:AL547">IF(AL546=0,0,IF(AL546/'🎚️ Escenario'!$C$11&gt;=36,$AL$23,INDEX($C$23:$AL$23,MAX(1,ROUNDUP(AL546/'🎚️ Escenario'!$C$11,0)))))</f>
        <v>0</v>
      </c>
      <c r="AM547" s="236" t="n">
        <f aca="false" t="array" ref="AM547:AM547">IF(AM546=0,0,IF(AM546/'🎚️ Escenario'!$C$11&gt;=36,$AL$23,INDEX($C$23:$AL$23,MAX(1,ROUNDUP(AM546/'🎚️ Escenario'!$C$11,0)))))</f>
        <v>0</v>
      </c>
      <c r="AN547" s="236" t="n">
        <f aca="false" t="array" ref="AN547:AN547">IF(AN546=0,0,IF(AN546/'🎚️ Escenario'!$C$11&gt;=36,$AL$23,INDEX($C$23:$AL$23,MAX(1,ROUNDUP(AN546/'🎚️ Escenario'!$C$11,0)))))</f>
        <v>0</v>
      </c>
      <c r="AO547" s="236" t="n">
        <f aca="false" t="array" ref="AO547:AO547">IF(AO546=0,0,IF(AO546/'🎚️ Escenario'!$C$11&gt;=36,$AL$23,INDEX($C$23:$AL$23,MAX(1,ROUNDUP(AO546/'🎚️ Escenario'!$C$11,0)))))</f>
        <v>0</v>
      </c>
      <c r="AP547" s="236" t="n">
        <f aca="false" t="array" ref="AP547:AP547">IF(AP546=0,0,IF(AP546/'🎚️ Escenario'!$C$11&gt;=36,$AL$23,INDEX($C$23:$AL$23,MAX(1,ROUNDUP(AP546/'🎚️ Escenario'!$C$11,0)))))</f>
        <v>0</v>
      </c>
      <c r="AQ547" s="236" t="n">
        <f aca="false" t="array" ref="AQ547:AQ547">IF(AQ546=0,0,IF(AQ546/'🎚️ Escenario'!$C$11&gt;=36,$AL$23,INDEX($C$23:$AL$23,MAX(1,ROUNDUP(AQ546/'🎚️ Escenario'!$C$11,0)))))</f>
        <v>0</v>
      </c>
      <c r="AR547" s="236" t="n">
        <f aca="false" t="array" ref="AR547:AR547">IF(AR546=0,0,IF(AR546/'🎚️ Escenario'!$C$11&gt;=36,$AL$23,INDEX($C$23:$AL$23,MAX(1,ROUNDUP(AR546/'🎚️ Escenario'!$C$11,0)))))</f>
        <v>0</v>
      </c>
      <c r="AS547" s="236" t="n">
        <f aca="false" t="array" ref="AS547:AS547">IF(AS546=0,0,IF(AS546/'🎚️ Escenario'!$C$11&gt;=36,$AL$23,INDEX($C$23:$AL$23,MAX(1,ROUNDUP(AS546/'🎚️ Escenario'!$C$11,0)))))</f>
        <v>0</v>
      </c>
      <c r="AT547" s="236" t="n">
        <f aca="false" t="array" ref="AT547:AT547">IF(AT546=0,0,IF(AT546/'🎚️ Escenario'!$C$11&gt;=36,$AL$23,INDEX($C$23:$AL$23,MAX(1,ROUNDUP(AT546/'🎚️ Escenario'!$C$11,0)))))</f>
        <v>0</v>
      </c>
      <c r="AU547" s="236" t="n">
        <f aca="false" t="array" ref="AU547:AU547">IF(AU546=0,0,IF(AU546/'🎚️ Escenario'!$C$11&gt;=36,$AL$23,INDEX($C$23:$AL$23,MAX(1,ROUNDUP(AU546/'🎚️ Escenario'!$C$11,0)))))</f>
        <v>0</v>
      </c>
      <c r="AV547" s="236" t="n">
        <f aca="false" t="array" ref="AV547:AV547">IF(AV546=0,0,IF(AV546/'🎚️ Escenario'!$C$11&gt;=36,$AL$23,INDEX($C$23:$AL$23,MAX(1,ROUNDUP(AV546/'🎚️ Escenario'!$C$11,0)))))</f>
        <v>0</v>
      </c>
      <c r="AW547" s="236" t="n">
        <f aca="false" t="array" ref="AW547:AW547">IF(AW546=0,0,IF(AW546/'🎚️ Escenario'!$C$11&gt;=36,$AL$23,INDEX($C$23:$AL$23,MAX(1,ROUNDUP(AW546/'🎚️ Escenario'!$C$11,0)))))</f>
        <v>0</v>
      </c>
      <c r="AX547" s="236" t="n">
        <f aca="false" t="array" ref="AX547:AX547">IF(AX546=0,0,IF(AX546/'🎚️ Escenario'!$C$11&gt;=36,$AL$23,INDEX($C$23:$AL$23,MAX(1,ROUNDUP(AX546/'🎚️ Escenario'!$C$11,0)))))</f>
        <v>0</v>
      </c>
      <c r="AY547" s="236" t="n">
        <f aca="false" t="array" ref="AY547:AY547">IF(AY546=0,0,IF(AY546/'🎚️ Escenario'!$C$11&gt;=36,$AL$23,INDEX($C$23:$AL$23,MAX(1,ROUNDUP(AY546/'🎚️ Escenario'!$C$11,0)))))</f>
        <v>0</v>
      </c>
      <c r="AZ547" s="236" t="n">
        <f aca="false" t="array" ref="AZ547:AZ547">IF(AZ546=0,0,IF(AZ546/'🎚️ Escenario'!$C$11&gt;=36,$AL$23,INDEX($C$23:$AL$23,MAX(1,ROUNDUP(AZ546/'🎚️ Escenario'!$C$11,0)))))</f>
        <v>0</v>
      </c>
      <c r="BA547" s="236" t="n">
        <f aca="false" t="array" ref="BA547:BA547">IF(BA546=0,0,IF(BA546/'🎚️ Escenario'!$C$11&gt;=36,$AL$23,INDEX($C$23:$AL$23,MAX(1,ROUNDUP(BA546/'🎚️ Escenario'!$C$11,0)))))</f>
        <v>0</v>
      </c>
      <c r="BB547" s="236" t="n">
        <f aca="false" t="array" ref="BB547:BB547">IF(BB546=0,0,IF(BB546/'🎚️ Escenario'!$C$11&gt;=36,$AL$23,INDEX($C$23:$AL$23,MAX(1,ROUNDUP(BB546/'🎚️ Escenario'!$C$11,0)))))</f>
        <v>0</v>
      </c>
      <c r="BC547" s="236" t="n">
        <f aca="false" t="array" ref="BC547:BC547">IF(BC546=0,0,IF(BC546/'🎚️ Escenario'!$C$11&gt;=36,$AL$23,INDEX($C$23:$AL$23,MAX(1,ROUNDUP(BC546/'🎚️ Escenario'!$C$11,0)))))</f>
        <v>0</v>
      </c>
      <c r="BD547" s="236" t="n">
        <f aca="false" t="array" ref="BD547:BD547">IF(BD546=0,0,IF(BD546/'🎚️ Escenario'!$C$11&gt;=36,$AL$23,INDEX($C$23:$AL$23,MAX(1,ROUNDUP(BD546/'🎚️ Escenario'!$C$11,0)))))</f>
        <v>0</v>
      </c>
      <c r="BE547" s="236" t="n">
        <f aca="false" t="array" ref="BE547:BE547">IF(BE546=0,0,IF(BE546/'🎚️ Escenario'!$C$11&gt;=36,$AL$23,INDEX($C$23:$AL$23,MAX(1,ROUNDUP(BE546/'🎚️ Escenario'!$C$11,0)))))</f>
        <v>0</v>
      </c>
      <c r="BF547" s="236" t="n">
        <f aca="false" t="array" ref="BF547:BF547">IF(BF546=0,0,IF(BF546/'🎚️ Escenario'!$C$11&gt;=36,$AL$23,INDEX($C$23:$AL$23,MAX(1,ROUNDUP(BF546/'🎚️ Escenario'!$C$11,0)))))</f>
        <v>0</v>
      </c>
      <c r="BG547" s="236" t="n">
        <f aca="false" t="array" ref="BG547:BG547">IF(BG546=0,0,IF(BG546/'🎚️ Escenario'!$C$11&gt;=36,$AL$23,INDEX($C$23:$AL$23,MAX(1,ROUNDUP(BG546/'🎚️ Escenario'!$C$11,0)))))</f>
        <v>0</v>
      </c>
      <c r="BH547" s="236" t="n">
        <f aca="false" t="array" ref="BH547:BH547">IF(BH546=0,0,IF(BH546/'🎚️ Escenario'!$C$11&gt;=36,$AL$23,INDEX($C$23:$AL$23,MAX(1,ROUNDUP(BH546/'🎚️ Escenario'!$C$11,0)))))</f>
        <v>0</v>
      </c>
      <c r="BI547" s="236" t="n">
        <f aca="false" t="array" ref="BI547:BI547">IF(BI546=0,0,IF(BI546/'🎚️ Escenario'!$C$11&gt;=36,$AL$23,INDEX($C$23:$AL$23,MAX(1,ROUNDUP(BI546/'🎚️ Escenario'!$C$11,0)))))</f>
        <v>0</v>
      </c>
      <c r="BJ547" s="236" t="n">
        <f aca="false" t="array" ref="BJ547:BJ547">IF(BJ546=0,0,IF(BJ546/'🎚️ Escenario'!$C$11&gt;=36,$AL$23,INDEX($C$23:$AL$23,MAX(1,ROUNDUP(BJ546/'🎚️ Escenario'!$C$11,0)))))</f>
        <v>0</v>
      </c>
      <c r="BK547" s="236" t="n">
        <f aca="false" t="array" ref="BK547:BK547">IF(BK546=0,0,IF(BK546/'🎚️ Escenario'!$C$11&gt;=36,$AL$23,INDEX($C$23:$AL$23,MAX(1,ROUNDUP(BK546/'🎚️ Escenario'!$C$11,0)))))</f>
        <v>0</v>
      </c>
      <c r="BL547" s="236" t="n">
        <f aca="false" t="array" ref="BL547:BL547">IF(BL546=0,0,IF(BL546/'🎚️ Escenario'!$C$11&gt;=36,$AL$23,INDEX($C$23:$AL$23,MAX(1,ROUNDUP(BL546/'🎚️ Escenario'!$C$11,0)))))</f>
        <v>0</v>
      </c>
      <c r="BM547" s="236" t="n">
        <f aca="false" t="array" ref="BM547:BM547">IF(BM546=0,0,IF(BM546/'🎚️ Escenario'!$C$11&gt;=36,$AL$23,INDEX($C$23:$AL$23,MAX(1,ROUNDUP(BM546/'🎚️ Escenario'!$C$11,0)))))</f>
        <v>0</v>
      </c>
      <c r="BN547" s="236" t="n">
        <f aca="false" t="array" ref="BN547:BN547">IF(BN546=0,0,IF(BN546/'🎚️ Escenario'!$C$11&gt;=36,$AL$23,INDEX($C$23:$AL$23,MAX(1,ROUNDUP(BN546/'🎚️ Escenario'!$C$11,0)))))</f>
        <v>0</v>
      </c>
      <c r="BO547" s="236" t="n">
        <f aca="false" t="array" ref="BO547:BO547">IF(BO546=0,0,IF(BO546/'🎚️ Escenario'!$C$11&gt;=36,$AL$23,INDEX($C$23:$AL$23,MAX(1,ROUNDUP(BO546/'🎚️ Escenario'!$C$11,0)))))</f>
        <v>0</v>
      </c>
      <c r="BP547" s="236" t="n">
        <f aca="false" t="array" ref="BP547:BP547">IF(BP546=0,0,IF(BP546/'🎚️ Escenario'!$C$11&gt;=36,$AL$23,INDEX($C$23:$AL$23,MAX(1,ROUNDUP(BP546/'🎚️ Escenario'!$C$11,0)))))</f>
        <v>0</v>
      </c>
      <c r="BQ547" s="236" t="n">
        <f aca="false" t="array" ref="BQ547:BQ547">IF(BQ546=0,0,IF(BQ546/'🎚️ Escenario'!$C$11&gt;=36,$AL$23,INDEX($C$23:$AL$23,MAX(1,ROUNDUP(BQ546/'🎚️ Escenario'!$C$11,0)))))</f>
        <v>0</v>
      </c>
      <c r="BR547" s="236" t="n">
        <f aca="false" t="array" ref="BR547:BR547">IF(BR546=0,0,IF(BR546/'🎚️ Escenario'!$C$11&gt;=36,$AL$23,INDEX($C$23:$AL$23,MAX(1,ROUNDUP(BR546/'🎚️ Escenario'!$C$11,0)))))</f>
        <v>0</v>
      </c>
      <c r="BS547" s="236" t="n">
        <f aca="false" t="array" ref="BS547:BS547">IF(BS546=0,0,IF(BS546/'🎚️ Escenario'!$C$11&gt;=36,$AL$23,INDEX($C$23:$AL$23,MAX(1,ROUNDUP(BS546/'🎚️ Escenario'!$C$11,0)))))</f>
        <v>0</v>
      </c>
      <c r="BT547" s="236" t="n">
        <f aca="false" t="array" ref="BT547:BT547">IF(BT546=0,0,IF(BT546/'🎚️ Escenario'!$C$11&gt;=36,$AL$23,INDEX($C$23:$AL$23,MAX(1,ROUNDUP(BT546/'🎚️ Escenario'!$C$11,0)))))</f>
        <v>0</v>
      </c>
      <c r="BU547" s="236" t="n">
        <f aca="false" t="array" ref="BU547:BU547">IF(BU546=0,0,IF(BU546/'🎚️ Escenario'!$C$11&gt;=36,$AL$23,INDEX($C$23:$AL$23,MAX(1,ROUNDUP(BU546/'🎚️ Escenario'!$C$11,0)))))</f>
        <v>0</v>
      </c>
      <c r="BV547" s="236" t="n">
        <f aca="false" t="array" ref="BV547:BV547">IF(BV546=0,0,IF(BV546/'🎚️ Escenario'!$C$11&gt;=36,$AL$23,INDEX($C$23:$AL$23,MAX(1,ROUNDUP(BV546/'🎚️ Escenario'!$C$11,0)))))</f>
        <v>0</v>
      </c>
      <c r="BW547" s="236" t="n">
        <f aca="false" t="array" ref="BW547:BW547">IF(BW546=0,0,IF(BW546/'🎚️ Escenario'!$C$11&gt;=36,$AL$23,INDEX($C$23:$AL$23,MAX(1,ROUNDUP(BW546/'🎚️ Escenario'!$C$11,0)))))</f>
        <v>0</v>
      </c>
      <c r="BX547" s="236" t="n">
        <f aca="false" t="array" ref="BX547:BX547">IF(BX546=0,0,IF(BX546/'🎚️ Escenario'!$C$11&gt;=36,$AL$23,INDEX($C$23:$AL$23,MAX(1,ROUNDUP(BX546/'🎚️ Escenario'!$C$11,0)))))</f>
        <v>0</v>
      </c>
      <c r="BY547" s="236" t="n">
        <f aca="false" t="array" ref="BY547:BY547">IF(BY546=0,0,IF(BY546/'🎚️ Escenario'!$C$11&gt;=36,$AL$23,INDEX($C$23:$AL$23,MAX(1,ROUNDUP(BY546/'🎚️ Escenario'!$C$11,0)))))</f>
        <v>0</v>
      </c>
      <c r="BZ547" s="236" t="n">
        <f aca="false" t="array" ref="BZ547:BZ547">IF(BZ546=0,0,IF(BZ546/'🎚️ Escenario'!$C$11&gt;=36,$AL$23,INDEX($C$23:$AL$23,MAX(1,ROUNDUP(BZ546/'🎚️ Escenario'!$C$11,0)))))</f>
        <v>0</v>
      </c>
      <c r="CA547" s="236" t="n">
        <f aca="false" t="array" ref="CA547:CA547">IF(CA546=0,0,IF(CA546/'🎚️ Escenario'!$C$11&gt;=36,$AL$23,INDEX($C$23:$AL$23,MAX(1,ROUNDUP(CA546/'🎚️ Escenario'!$C$11,0)))))</f>
        <v>0</v>
      </c>
      <c r="CB547" s="236" t="n">
        <f aca="false" t="array" ref="CB547:CB547">IF(CB546=0,0,IF(CB546/'🎚️ Escenario'!$C$11&gt;=36,$AL$23,INDEX($C$23:$AL$23,MAX(1,ROUNDUP(CB546/'🎚️ Escenario'!$C$11,0)))))</f>
        <v>0</v>
      </c>
      <c r="CC547" s="236" t="n">
        <f aca="false" t="array" ref="CC547:CC547">IF(CC546=0,0,IF(CC546/'🎚️ Escenario'!$C$11&gt;=36,$AL$23,INDEX($C$23:$AL$23,MAX(1,ROUNDUP(CC546/'🎚️ Escenario'!$C$11,0)))))</f>
        <v>0</v>
      </c>
      <c r="CD547" s="236" t="n">
        <f aca="false" t="array" ref="CD547:CD547">IF(CD546=0,0,IF(CD546/'🎚️ Escenario'!$C$11&gt;=36,$AL$23,INDEX($C$23:$AL$23,MAX(1,ROUNDUP(CD546/'🎚️ Escenario'!$C$11,0)))))</f>
        <v>0</v>
      </c>
      <c r="CE547" s="236" t="n">
        <f aca="false" t="array" ref="CE547:CE547">IF(CE546=0,0,IF(CE546/'🎚️ Escenario'!$C$11&gt;=36,$AL$23,INDEX($C$23:$AL$23,MAX(1,ROUNDUP(CE546/'🎚️ Escenario'!$C$11,0)))))</f>
        <v>0</v>
      </c>
      <c r="CF547" s="236" t="n">
        <f aca="false" t="array" ref="CF547:CF547">IF(CF546=0,0,IF(CF546/'🎚️ Escenario'!$C$11&gt;=36,$AL$23,INDEX($C$23:$AL$23,MAX(1,ROUNDUP(CF546/'🎚️ Escenario'!$C$11,0)))))</f>
        <v>0</v>
      </c>
      <c r="CG547" s="236" t="n">
        <f aca="false" t="array" ref="CG547:CG547">IF(CG546=0,0,IF(CG546/'🎚️ Escenario'!$C$11&gt;=36,$AL$23,INDEX($C$23:$AL$23,MAX(1,ROUNDUP(CG546/'🎚️ Escenario'!$C$11,0)))))</f>
        <v>0</v>
      </c>
      <c r="CH547" s="236" t="n">
        <f aca="false" t="array" ref="CH547:CH547">IF(CH546=0,0,IF(CH546/'🎚️ Escenario'!$C$11&gt;=36,$AL$23,INDEX($C$23:$AL$23,MAX(1,ROUNDUP(CH546/'🎚️ Escenario'!$C$11,0)))))</f>
        <v>0</v>
      </c>
      <c r="CI547" s="236" t="n">
        <f aca="false" t="array" ref="CI547:CI547">IF(CI546=0,0,IF(CI546/'🎚️ Escenario'!$C$11&gt;=36,$AL$23,INDEX($C$23:$AL$23,MAX(1,ROUNDUP(CI546/'🎚️ Escenario'!$C$11,0)))))</f>
        <v>0</v>
      </c>
      <c r="CJ547" s="236" t="n">
        <f aca="false" t="array" ref="CJ547:CJ547">IF(CJ546=0,0,IF(CJ546/'🎚️ Escenario'!$C$11&gt;=36,$AL$23,INDEX($C$23:$AL$23,MAX(1,ROUNDUP(CJ546/'🎚️ Escenario'!$C$11,0)))))</f>
        <v>0</v>
      </c>
      <c r="CK547" s="236" t="n">
        <f aca="false" t="array" ref="CK547:CK547">IF(CK546=0,0,IF(CK546/'🎚️ Escenario'!$C$11&gt;=36,$AL$23,INDEX($C$23:$AL$23,MAX(1,ROUNDUP(CK546/'🎚️ Escenario'!$C$11,0)))))</f>
        <v>0</v>
      </c>
      <c r="CL547" s="236" t="n">
        <f aca="false" t="array" ref="CL547:CL547">IF(CL546=0,0,IF(CL546/'🎚️ Escenario'!$C$11&gt;=36,$AL$23,INDEX($C$23:$AL$23,MAX(1,ROUNDUP(CL546/'🎚️ Escenario'!$C$11,0)))))</f>
        <v>0</v>
      </c>
      <c r="CM547" s="236" t="n">
        <f aca="false" t="array" ref="CM547:CM547">IF(CM546=0,0,IF(CM546/'🎚️ Escenario'!$C$11&gt;=36,$AL$23,INDEX($C$23:$AL$23,MAX(1,ROUNDUP(CM546/'🎚️ Escenario'!$C$11,0)))))</f>
        <v>0</v>
      </c>
      <c r="CN547" s="236" t="n">
        <f aca="false" t="array" ref="CN547:CN547">IF(CN546=0,0,IF(CN546/'🎚️ Escenario'!$C$11&gt;=36,$AL$23,INDEX($C$23:$AL$23,MAX(1,ROUNDUP(CN546/'🎚️ Escenario'!$C$11,0)))))</f>
        <v>0</v>
      </c>
      <c r="CO547" s="236" t="n">
        <f aca="false" t="array" ref="CO547:CO547">IF(CO546=0,0,IF(CO546/'🎚️ Escenario'!$C$11&gt;=36,$AL$23,INDEX($C$23:$AL$23,MAX(1,ROUNDUP(CO546/'🎚️ Escenario'!$C$11,0)))))</f>
        <v>0</v>
      </c>
      <c r="CP547" s="236" t="n">
        <f aca="false" t="array" ref="CP547:CP547">IF(CP546=0,0,IF(CP546/'🎚️ Escenario'!$C$11&gt;=36,$AL$23,INDEX($C$23:$AL$23,MAX(1,ROUNDUP(CP546/'🎚️ Escenario'!$C$11,0)))))</f>
        <v>0</v>
      </c>
      <c r="CQ547" s="236" t="n">
        <f aca="false" t="array" ref="CQ547:CQ547">IF(CQ546=0,0,IF(CQ546/'🎚️ Escenario'!$C$11&gt;=36,$AL$23,INDEX($C$23:$AL$23,MAX(1,ROUNDUP(CQ546/'🎚️ Escenario'!$C$11,0)))))</f>
        <v>0</v>
      </c>
      <c r="CR547" s="236" t="n">
        <f aca="false" t="array" ref="CR547:CR547">IF(CR546=0,0,IF(CR546/'🎚️ Escenario'!$C$11&gt;=36,$AL$23,INDEX($C$23:$AL$23,MAX(1,ROUNDUP(CR546/'🎚️ Escenario'!$C$11,0)))))</f>
        <v>0</v>
      </c>
      <c r="CS547" s="236" t="n">
        <f aca="false" t="array" ref="CS547:CS547">IF(CS546=0,0,IF(CS546/'🎚️ Escenario'!$C$11&gt;=36,$AL$23,INDEX($C$23:$AL$23,MAX(1,ROUNDUP(CS546/'🎚️ Escenario'!$C$11,0)))))</f>
        <v>0</v>
      </c>
      <c r="CT547" s="236" t="n">
        <f aca="false" t="array" ref="CT547:CT547">IF(CT546=0,0,IF(CT546/'🎚️ Escenario'!$C$11&gt;=36,$AL$23,INDEX($C$23:$AL$23,MAX(1,ROUNDUP(CT546/'🎚️ Escenario'!$C$11,0)))))</f>
        <v>0</v>
      </c>
      <c r="CU547" s="236" t="n">
        <f aca="false" t="array" ref="CU547:CU547">IF(CU546=0,0,IF(CU546/'🎚️ Escenario'!$C$11&gt;=36,$AL$23,INDEX($C$23:$AL$23,MAX(1,ROUNDUP(CU546/'🎚️ Escenario'!$C$11,0)))))</f>
        <v>0</v>
      </c>
      <c r="CV547" s="236" t="n">
        <f aca="false" t="array" ref="CV547:CV547">IF(CV546=0,0,IF(CV546/'🎚️ Escenario'!$C$11&gt;=36,$AL$23,INDEX($C$23:$AL$23,MAX(1,ROUNDUP(CV546/'🎚️ Escenario'!$C$11,0)))))</f>
        <v>0</v>
      </c>
      <c r="CW547" s="236" t="n">
        <f aca="false" t="array" ref="CW547:CW547">IF(CW546=0,0,IF(CW546/'🎚️ Escenario'!$C$11&gt;=36,$AL$23,INDEX($C$23:$AL$23,MAX(1,ROUNDUP(CW546/'🎚️ Escenario'!$C$11,0)))))</f>
        <v>0</v>
      </c>
      <c r="CX547" s="236" t="n">
        <f aca="false" t="array" ref="CX547:CX547">IF(CX546=0,0,IF(CX546/'🎚️ Escenario'!$C$11&gt;=36,$AL$23,INDEX($C$23:$AL$23,MAX(1,ROUNDUP(CX546/'🎚️ Escenario'!$C$11,0)))))</f>
        <v>0</v>
      </c>
      <c r="CY547" s="236" t="n">
        <f aca="false" t="array" ref="CY547:CY547">IF(CY546=0,0,IF(CY546/'🎚️ Escenario'!$C$11&gt;=36,$AL$23,INDEX($C$23:$AL$23,MAX(1,ROUNDUP(CY546/'🎚️ Escenario'!$C$11,0)))))</f>
        <v>0</v>
      </c>
      <c r="CZ547" s="236" t="n">
        <f aca="false" t="array" ref="CZ547:CZ547">IF(CZ546=0,0,IF(CZ546/'🎚️ Escenario'!$C$11&gt;=36,$AL$23,INDEX($C$23:$AL$23,MAX(1,ROUNDUP(CZ546/'🎚️ Escenario'!$C$11,0)))))</f>
        <v>0</v>
      </c>
      <c r="DA547" s="236" t="n">
        <f aca="false" t="array" ref="DA547:DA547">IF(DA546=0,0,IF(DA546/'🎚️ Escenario'!$C$11&gt;=36,$AL$23,INDEX($C$23:$AL$23,MAX(1,ROUNDUP(DA546/'🎚️ Escenario'!$C$11,0)))))</f>
        <v>0</v>
      </c>
      <c r="DB547" s="236" t="n">
        <f aca="false" t="array" ref="DB547:DB547">IF(DB546=0,0,IF(DB546/'🎚️ Escenario'!$C$11&gt;=36,$AL$23,INDEX($C$23:$AL$23,MAX(1,ROUNDUP(DB546/'🎚️ Escenario'!$C$11,0)))))</f>
        <v>0</v>
      </c>
      <c r="DC547" s="236" t="n">
        <f aca="false" t="array" ref="DC547:DC547">IF(DC546=0,0,IF(DC546/'🎚️ Escenario'!$C$11&gt;=36,$AL$23,INDEX($C$23:$AL$23,MAX(1,ROUNDUP(DC546/'🎚️ Escenario'!$C$11,0)))))</f>
        <v>0</v>
      </c>
      <c r="DD547" s="236" t="n">
        <f aca="false" t="array" ref="DD547:DD547">IF(DD546=0,0,IF(DD546/'🎚️ Escenario'!$C$11&gt;=36,$AL$23,INDEX($C$23:$AL$23,MAX(1,ROUNDUP(DD546/'🎚️ Escenario'!$C$11,0)))))</f>
        <v>0</v>
      </c>
      <c r="DE547" s="236" t="n">
        <f aca="false" t="array" ref="DE547:DE547">IF(DE546=0,0,IF(DE546/'🎚️ Escenario'!$C$11&gt;=36,$AL$23,INDEX($C$23:$AL$23,MAX(1,ROUNDUP(DE546/'🎚️ Escenario'!$C$11,0)))))</f>
        <v>0</v>
      </c>
      <c r="DF547" s="236" t="n">
        <f aca="false" t="array" ref="DF547:DF547">IF(DF546=0,0,IF(DF546/'🎚️ Escenario'!$C$11&gt;=36,$AL$23,INDEX($C$23:$AL$23,MAX(1,ROUNDUP(DF546/'🎚️ Escenario'!$C$11,0)))))</f>
        <v>0</v>
      </c>
      <c r="DG547" s="236" t="n">
        <f aca="false" t="array" ref="DG547:DG547">IF(DG546=0,0,IF(DG546/'🎚️ Escenario'!$C$11&gt;=36,$AL$23,INDEX($C$23:$AL$23,MAX(1,ROUNDUP(DG546/'🎚️ Escenario'!$C$11,0)))))</f>
        <v>0</v>
      </c>
      <c r="DH547" s="236" t="n">
        <f aca="false" t="array" ref="DH547:DH547">IF(DH546=0,0,IF(DH546/'🎚️ Escenario'!$C$11&gt;=36,$AL$23,INDEX($C$23:$AL$23,MAX(1,ROUNDUP(DH546/'🎚️ Escenario'!$C$11,0)))))</f>
        <v>0</v>
      </c>
      <c r="DI547" s="236" t="n">
        <f aca="false" t="array" ref="DI547:DI547">IF(DI546=0,0,IF(DI546/'🎚️ Escenario'!$C$11&gt;=36,$AL$23,INDEX($C$23:$AL$23,MAX(1,ROUNDUP(DI546/'🎚️ Escenario'!$C$11,0)))))</f>
        <v>0</v>
      </c>
      <c r="DJ547" s="236" t="n">
        <f aca="false" t="array" ref="DJ547:DJ547">IF(DJ546=0,0,IF(DJ546/'🎚️ Escenario'!$C$11&gt;=36,$AL$23,INDEX($C$23:$AL$23,MAX(1,ROUNDUP(DJ546/'🎚️ Escenario'!$C$11,0)))))</f>
        <v>0</v>
      </c>
      <c r="DK547" s="236" t="n">
        <f aca="false" t="array" ref="DK547:DK547">IF(DK546=0,0,IF(DK546/'🎚️ Escenario'!$C$11&gt;=36,$AL$23,INDEX($C$23:$AL$23,MAX(1,ROUNDUP(DK546/'🎚️ Escenario'!$C$11,0)))))</f>
        <v>0</v>
      </c>
      <c r="DL547" s="236" t="n">
        <f aca="false" t="array" ref="DL547:DL547">IF(DL546=0,0,IF(DL546/'🎚️ Escenario'!$C$11&gt;=36,$AL$23,INDEX($C$23:$AL$23,MAX(1,ROUNDUP(DL546/'🎚️ Escenario'!$C$11,0)))))</f>
        <v>0</v>
      </c>
      <c r="DM547" s="236" t="n">
        <f aca="false" t="array" ref="DM547:DM547">IF(DM546=0,0,IF(DM546/'🎚️ Escenario'!$C$11&gt;=36,$AL$23,INDEX($C$23:$AL$23,MAX(1,ROUNDUP(DM546/'🎚️ Escenario'!$C$11,0)))))</f>
        <v>0</v>
      </c>
      <c r="DN547" s="236" t="n">
        <f aca="false" t="array" ref="DN547:DN547">IF(DN546=0,0,IF(DN546/'🎚️ Escenario'!$C$11&gt;=36,$AL$23,INDEX($C$23:$AL$23,MAX(1,ROUNDUP(DN546/'🎚️ Escenario'!$C$11,0)))))</f>
        <v>0</v>
      </c>
      <c r="DO547" s="236" t="n">
        <f aca="false" t="array" ref="DO547:DO547">IF(DO546=0,0,IF(DO546/'🎚️ Escenario'!$C$11&gt;=36,$AL$23,INDEX($C$23:$AL$23,MAX(1,ROUNDUP(DO546/'🎚️ Escenario'!$C$11,0)))))</f>
        <v>0</v>
      </c>
      <c r="DP547" s="236" t="n">
        <f aca="false" t="array" ref="DP547:DP547">IF(DP546=0,0,IF(DP546/'🎚️ Escenario'!$C$11&gt;=36,$AL$23,INDEX($C$23:$AL$23,MAX(1,ROUNDUP(DP546/'🎚️ Escenario'!$C$11,0)))))</f>
        <v>0</v>
      </c>
      <c r="DQ547" s="236" t="n">
        <f aca="false" t="array" ref="DQ547:DQ547">IF(DQ546=0,0,IF(DQ546/'🎚️ Escenario'!$C$11&gt;=36,$AL$23,INDEX($C$23:$AL$23,MAX(1,ROUNDUP(DQ546/'🎚️ Escenario'!$C$11,0)))))</f>
        <v>0</v>
      </c>
      <c r="DR547" s="236" t="n">
        <f aca="false" t="array" ref="DR547:DR547">IF(DR546=0,0,IF(DR546/'🎚️ Escenario'!$C$11&gt;=36,$AL$23,INDEX($C$23:$AL$23,MAX(1,ROUNDUP(DR546/'🎚️ Escenario'!$C$11,0)))))</f>
        <v>0</v>
      </c>
      <c r="DS547" s="236" t="n">
        <f aca="false" t="array" ref="DS547:DS547">IF(DS546=0,0,IF(DS546/'🎚️ Escenario'!$C$11&gt;=36,$AL$23,INDEX($C$23:$AL$23,MAX(1,ROUNDUP(DS546/'🎚️ Escenario'!$C$11,0)))))</f>
        <v>0</v>
      </c>
      <c r="DT547" s="236" t="n">
        <f aca="false" t="array" ref="DT547:DT547">IF(DT546=0,0,IF(DT546/'🎚️ Escenario'!$C$11&gt;=36,$AL$23,INDEX($C$23:$AL$23,MAX(1,ROUNDUP(DT546/'🎚️ Escenario'!$C$11,0)))))</f>
        <v>0</v>
      </c>
      <c r="DU547" s="236" t="n">
        <f aca="false" t="array" ref="DU547:DU547">IF(DU546=0,0,IF(DU546/'🎚️ Escenario'!$C$11&gt;=36,$AL$23,INDEX($C$23:$AL$23,MAX(1,ROUNDUP(DU546/'🎚️ Escenario'!$C$11,0)))))</f>
        <v>0</v>
      </c>
      <c r="DV547" s="236" t="n">
        <f aca="false" t="array" ref="DV547:DV547">IF(DV546=0,0,IF(DV546/'🎚️ Escenario'!$C$11&gt;=36,$AL$23,INDEX($C$23:$AL$23,MAX(1,ROUNDUP(DV546/'🎚️ Escenario'!$C$11,0)))))</f>
        <v>0</v>
      </c>
      <c r="DW547" s="236" t="n">
        <f aca="false" t="array" ref="DW547:DW547">IF(DW546=0,0,IF(DW546/'🎚️ Escenario'!$C$11&gt;=36,$AL$23,INDEX($C$23:$AL$23,MAX(1,ROUNDUP(DW546/'🎚️ Escenario'!$C$11,0)))))</f>
        <v>0</v>
      </c>
      <c r="DX547" s="236" t="n">
        <f aca="false" t="array" ref="DX547:DX547">IF(DX546=0,0,IF(DX546/'🎚️ Escenario'!$C$11&gt;=36,$AL$23,INDEX($C$23:$AL$23,MAX(1,ROUNDUP(DX546/'🎚️ Escenario'!$C$11,0)))))</f>
        <v>0</v>
      </c>
      <c r="DY547" s="236" t="n">
        <f aca="false" t="array" ref="DY547:DY547">IF(DY546=0,0,IF(DY546/'🎚️ Escenario'!$C$11&gt;=36,$AL$23,INDEX($C$23:$AL$23,MAX(1,ROUNDUP(DY546/'🎚️ Escenario'!$C$11,0)))))</f>
        <v>0</v>
      </c>
      <c r="DZ547" s="236" t="n">
        <f aca="false" t="array" ref="DZ547:DZ547">IF(DZ546=0,0,IF(DZ546/'🎚️ Escenario'!$C$11&gt;=36,$AL$23,INDEX($C$23:$AL$23,MAX(1,ROUNDUP(DZ546/'🎚️ Escenario'!$C$11,0)))))</f>
        <v>0</v>
      </c>
      <c r="EA547" s="236" t="n">
        <f aca="false" t="array" ref="EA547:EA547">IF(EA546=0,0,IF(EA546/'🎚️ Escenario'!$C$11&gt;=36,$AL$23,INDEX($C$23:$AL$23,MAX(1,ROUNDUP(EA546/'🎚️ Escenario'!$C$11,0)))))</f>
        <v>0</v>
      </c>
      <c r="EB547" s="236" t="n">
        <f aca="false" t="array" ref="EB547:EB547">IF(EB546=0,0,IF(EB546/'🎚️ Escenario'!$C$11&gt;=36,$AL$23,INDEX($C$23:$AL$23,MAX(1,ROUNDUP(EB546/'🎚️ Escenario'!$C$11,0)))))</f>
        <v>0</v>
      </c>
      <c r="EC547" s="236" t="n">
        <f aca="false" t="array" ref="EC547:EC547">IF(EC546=0,0,IF(EC546/'🎚️ Escenario'!$C$11&gt;=36,$AL$23,INDEX($C$23:$AL$23,MAX(1,ROUNDUP(EC546/'🎚️ Escenario'!$C$11,0)))))</f>
        <v>0</v>
      </c>
      <c r="ED547" s="236" t="n">
        <f aca="false" t="array" ref="ED547:ED547">IF(ED546=0,0,IF(ED546/'🎚️ Escenario'!$C$11&gt;=36,$AL$23,INDEX($C$23:$AL$23,MAX(1,ROUNDUP(ED546/'🎚️ Escenario'!$C$11,0)))))</f>
        <v>0</v>
      </c>
      <c r="EE547" s="236" t="n">
        <f aca="false" t="array" ref="EE547:EE547">IF(EE546=0,0,IF(EE546/'🎚️ Escenario'!$C$11&gt;=36,$AL$23,INDEX($C$23:$AL$23,MAX(1,ROUNDUP(EE546/'🎚️ Escenario'!$C$11,0)))))</f>
        <v>0</v>
      </c>
      <c r="EF547" s="236" t="n">
        <f aca="false" t="array" ref="EF547:EF547">IF(EF546=0,0,IF(EF546/'🎚️ Escenario'!$C$11&gt;=36,$AL$23,INDEX($C$23:$AL$23,MAX(1,ROUNDUP(EF546/'🎚️ Escenario'!$C$11,0)))))</f>
        <v>0</v>
      </c>
      <c r="EG547" s="236" t="n">
        <f aca="false" t="array" ref="EG547:EG547">IF(EG546=0,0,IF(EG546/'🎚️ Escenario'!$C$11&gt;=36,$AL$23,INDEX($C$23:$AL$23,MAX(1,ROUNDUP(EG546/'🎚️ Escenario'!$C$11,0)))))</f>
        <v>0</v>
      </c>
      <c r="EH547" s="236" t="n">
        <f aca="false" t="array" ref="EH547:EH547">IF(EH546=0,0,IF(EH546/'🎚️ Escenario'!$C$11&gt;=36,$AL$23,INDEX($C$23:$AL$23,MAX(1,ROUNDUP(EH546/'🎚️ Escenario'!$C$11,0)))))</f>
        <v>0</v>
      </c>
      <c r="EI547" s="236" t="n">
        <f aca="false" t="array" ref="EI547:EI547">IF(EI546=0,0,IF(EI546/'🎚️ Escenario'!$C$11&gt;=36,$AL$23,INDEX($C$23:$AL$23,MAX(1,ROUNDUP(EI546/'🎚️ Escenario'!$C$11,0)))))</f>
        <v>0</v>
      </c>
      <c r="EJ547" s="236" t="n">
        <f aca="false" t="array" ref="EJ547:EJ547">IF(EJ546=0,0,IF(EJ546/'🎚️ Escenario'!$C$11&gt;=36,$AL$23,INDEX($C$23:$AL$23,MAX(1,ROUNDUP(EJ546/'🎚️ Escenario'!$C$11,0)))))</f>
        <v>0</v>
      </c>
      <c r="EK547" s="236" t="n">
        <f aca="false" t="array" ref="EK547:EK547">IF(EK546=0,0,IF(EK546/'🎚️ Escenario'!$C$11&gt;=36,$AL$23,INDEX($C$23:$AL$23,MAX(1,ROUNDUP(EK546/'🎚️ Escenario'!$C$11,0)))))</f>
        <v>0</v>
      </c>
      <c r="EL547" s="236" t="n">
        <f aca="false" t="array" ref="EL547:EL547">IF(EL546=0,0,IF(EL546/'🎚️ Escenario'!$C$11&gt;=36,$AL$23,INDEX($C$23:$AL$23,MAX(1,ROUNDUP(EL546/'🎚️ Escenario'!$C$11,0)))))</f>
        <v>0</v>
      </c>
      <c r="EM547" s="236" t="n">
        <f aca="false" t="array" ref="EM547:EM547">IF(EM546=0,0,IF(EM546/'🎚️ Escenario'!$C$11&gt;=36,$AL$23,INDEX($C$23:$AL$23,MAX(1,ROUNDUP(EM546/'🎚️ Escenario'!$C$11,0)))))</f>
        <v>0</v>
      </c>
      <c r="EN547" s="236" t="n">
        <f aca="false" t="array" ref="EN547:EN547">IF(EN546=0,0,IF(EN546/'🎚️ Escenario'!$C$11&gt;=36,$AL$23,INDEX($C$23:$AL$23,MAX(1,ROUNDUP(EN546/'🎚️ Escenario'!$C$11,0)))))</f>
        <v>0</v>
      </c>
      <c r="EO547" s="236" t="n">
        <f aca="false" t="array" ref="EO547:EO547">IF(EO546=0,0,IF(EO546/'🎚️ Escenario'!$C$11&gt;=36,$AL$23,INDEX($C$23:$AL$23,MAX(1,ROUNDUP(EO546/'🎚️ Escenario'!$C$11,0)))))</f>
        <v>0</v>
      </c>
      <c r="EP547" s="236" t="n">
        <f aca="false" t="array" ref="EP547:EP547">IF(EP546=0,0,IF(EP546/'🎚️ Escenario'!$C$11&gt;=36,$AL$23,INDEX($C$23:$AL$23,MAX(1,ROUNDUP(EP546/'🎚️ Escenario'!$C$11,0)))))</f>
        <v>0</v>
      </c>
      <c r="EQ547" s="236" t="n">
        <f aca="false" t="array" ref="EQ547:EQ547">IF(EQ546=0,0,IF(EQ546/'🎚️ Escenario'!$C$11&gt;=36,$AL$23,INDEX($C$23:$AL$23,MAX(1,ROUNDUP(EQ546/'🎚️ Escenario'!$C$11,0)))))</f>
        <v>0</v>
      </c>
      <c r="ER547" s="236" t="n">
        <f aca="false" t="array" ref="ER547:ER547">IF(ER546=0,0,IF(ER546/'🎚️ Escenario'!$C$11&gt;=36,$AL$23,INDEX($C$23:$AL$23,MAX(1,ROUNDUP(ER546/'🎚️ Escenario'!$C$11,0)))))</f>
        <v>0</v>
      </c>
      <c r="ES547" s="9" t="n">
        <f aca="false" t="array" ref="ES547:ES547">IF(ES546=0,0,IF(ES546/'🎚️ Escenario'!$C$11&gt;=36,$AL$23,INDEX($C$23:$AL$23,MAX(1,ROUNDUP(ES546/'🎚️ Escenario'!$C$11,0)))))</f>
        <v>0</v>
      </c>
      <c r="ET547" s="9" t="n">
        <f aca="false" t="array" ref="ET547:ET547">IF(ET546=0,0,IF(ET546/'🎚️ Escenario'!$C$11&gt;=36,$AL$23,INDEX($C$23:$AL$23,MAX(1,ROUNDUP(ET546/'🎚️ Escenario'!$C$11,0)))))</f>
        <v>0</v>
      </c>
      <c r="EU547" s="9" t="n">
        <f aca="false" t="array" ref="EU547:EU547">IF(EU546=0,0,IF(EU546/'🎚️ Escenario'!$C$11&gt;=36,$AL$23,INDEX($C$23:$AL$23,MAX(1,ROUNDUP(EU546/'🎚️ Escenario'!$C$11,0)))))</f>
        <v>0</v>
      </c>
      <c r="EV547" s="9" t="n">
        <f aca="false" t="array" ref="EV547:EV547">IF(EV546=0,0,IF(EV546/'🎚️ Escenario'!$C$11&gt;=36,$AL$23,INDEX($C$23:$AL$23,MAX(1,ROUNDUP(EV546/'🎚️ Escenario'!$C$11,0)))))</f>
        <v>0</v>
      </c>
      <c r="EW547" s="9" t="n">
        <f aca="false" t="array" ref="EW547:EW547">IF(EW546=0,0,IF(EW546/'🎚️ Escenario'!$C$11&gt;=36,$AL$23,INDEX($C$23:$AL$23,MAX(1,ROUNDUP(EW546/'🎚️ Escenario'!$C$11,0)))))</f>
        <v>0</v>
      </c>
      <c r="EX547" s="9" t="n">
        <f aca="false" t="array" ref="EX547:EX547">IF(EX546=0,0,IF(EX546/'🎚️ Escenario'!$C$11&gt;=36,$AL$23,INDEX($C$23:$AL$23,MAX(1,ROUNDUP(EX546/'🎚️ Escenario'!$C$11,0)))))</f>
        <v>0.2</v>
      </c>
      <c r="EY547" s="9" t="n">
        <f aca="false" t="array" ref="EY547:EY547">IF(EY546=0,0,IF(EY546/'🎚️ Escenario'!$C$11&gt;=36,$AL$23,INDEX($C$23:$AL$23,MAX(1,ROUNDUP(EY546/'🎚️ Escenario'!$C$11,0)))))</f>
        <v>0.22</v>
      </c>
      <c r="EZ547" s="9" t="n">
        <f aca="false" t="array" ref="EZ547:EZ547">IF(EZ546=0,0,IF(EZ546/'🎚️ Escenario'!$C$11&gt;=36,$AL$23,INDEX($C$23:$AL$23,MAX(1,ROUNDUP(EZ546/'🎚️ Escenario'!$C$11,0)))))</f>
        <v>0.24</v>
      </c>
      <c r="FA547" s="9" t="n">
        <f aca="false" t="array" ref="FA547:FA547">IF(FA546=0,0,IF(FA546/'🎚️ Escenario'!$C$11&gt;=36,$AL$23,INDEX($C$23:$AL$23,MAX(1,ROUNDUP(FA546/'🎚️ Escenario'!$C$11,0)))))</f>
        <v>0.27</v>
      </c>
      <c r="FB547" s="9" t="n">
        <f aca="false" t="array" ref="FB547:FB547">IF(FB546=0,0,IF(FB546/'🎚️ Escenario'!$C$11&gt;=36,$AL$23,INDEX($C$23:$AL$23,MAX(1,ROUNDUP(FB546/'🎚️ Escenario'!$C$11,0)))))</f>
        <v>0.27</v>
      </c>
      <c r="FC547" s="9" t="n">
        <f aca="false" t="array" ref="FC547:FC547">IF(FC546=0,0,IF(FC546/'🎚️ Escenario'!$C$11&gt;=36,$AL$23,INDEX($C$23:$AL$23,MAX(1,ROUNDUP(FC546/'🎚️ Escenario'!$C$11,0)))))</f>
        <v>0.31</v>
      </c>
      <c r="FD547" s="9" t="n">
        <f aca="false" t="array" ref="FD547:FD547">IF(FD546=0,0,IF(FD546/'🎚️ Escenario'!$C$11&gt;=36,$AL$23,INDEX($C$23:$AL$23,MAX(1,ROUNDUP(FD546/'🎚️ Escenario'!$C$11,0)))))</f>
        <v>0.35</v>
      </c>
      <c r="FE547" s="9" t="n">
        <f aca="false" t="array" ref="FE547:FE547">IF(FE546=0,0,IF(FE546/'🎚️ Escenario'!$C$11&gt;=36,$AL$23,INDEX($C$23:$AL$23,MAX(1,ROUNDUP(FE546/'🎚️ Escenario'!$C$11,0)))))</f>
        <v>0.39</v>
      </c>
      <c r="FF547" s="9" t="n">
        <f aca="false" t="array" ref="FF547:FF547">IF(FF546=0,0,IF(FF546/'🎚️ Escenario'!$C$11&gt;=36,$AL$23,INDEX($C$23:$AL$23,MAX(1,ROUNDUP(FF546/'🎚️ Escenario'!$C$11,0)))))</f>
        <v>0.44</v>
      </c>
      <c r="FG547" s="9" t="n">
        <f aca="false" t="array" ref="FG547:FG547">IF(FG546=0,0,IF(FG546/'🎚️ Escenario'!$C$11&gt;=36,$AL$23,INDEX($C$23:$AL$23,MAX(1,ROUNDUP(FG546/'🎚️ Escenario'!$C$11,0)))))</f>
        <v>0.44</v>
      </c>
      <c r="FH547" s="9" t="n">
        <f aca="false" t="array" ref="FH547:FH547">IF(FH546=0,0,IF(FH546/'🎚️ Escenario'!$C$11&gt;=36,$AL$23,INDEX($C$23:$AL$23,MAX(1,ROUNDUP(FH546/'🎚️ Escenario'!$C$11,0)))))</f>
        <v>0.48</v>
      </c>
      <c r="FI547" s="9" t="n">
        <f aca="false" t="array" ref="FI547:FI547">IF(FI546=0,0,IF(FI546/'🎚️ Escenario'!$C$11&gt;=36,$AL$23,INDEX($C$23:$AL$23,MAX(1,ROUNDUP(FI546/'🎚️ Escenario'!$C$11,0)))))</f>
        <v>0.52</v>
      </c>
      <c r="FJ547" s="9" t="n">
        <f aca="false" t="array" ref="FJ547:FJ547">IF(FJ546=0,0,IF(FJ546/'🎚️ Escenario'!$C$11&gt;=36,$AL$23,INDEX($C$23:$AL$23,MAX(1,ROUNDUP(FJ546/'🎚️ Escenario'!$C$11,0)))))</f>
        <v>0.56</v>
      </c>
      <c r="FK547" s="9" t="n">
        <f aca="false" t="array" ref="FK547:FK547">IF(FK546=0,0,IF(FK546/'🎚️ Escenario'!$C$11&gt;=36,$AL$23,INDEX($C$23:$AL$23,MAX(1,ROUNDUP(FK546/'🎚️ Escenario'!$C$11,0)))))</f>
        <v>0.6</v>
      </c>
      <c r="FL547" s="9" t="n">
        <f aca="false" t="array" ref="FL547:FL547">IF(FL546=0,0,IF(FL546/'🎚️ Escenario'!$C$11&gt;=36,$AL$23,INDEX($C$23:$AL$23,MAX(1,ROUNDUP(FL546/'🎚️ Escenario'!$C$11,0)))))</f>
        <v>0.6</v>
      </c>
      <c r="FM547" s="9" t="n">
        <f aca="false" t="array" ref="FM547:FM547">IF(FM546=0,0,IF(FM546/'🎚️ Escenario'!$C$11&gt;=36,$AL$23,INDEX($C$23:$AL$23,MAX(1,ROUNDUP(FM546/'🎚️ Escenario'!$C$11,0)))))</f>
        <v>0.63</v>
      </c>
      <c r="FN547" s="9" t="n">
        <f aca="false" t="array" ref="FN547:FN547">IF(FN546=0,0,IF(FN546/'🎚️ Escenario'!$C$11&gt;=36,$AL$23,INDEX($C$23:$AL$23,MAX(1,ROUNDUP(FN546/'🎚️ Escenario'!$C$11,0)))))</f>
        <v>0.66</v>
      </c>
      <c r="FO547" s="9" t="n">
        <f aca="false" t="array" ref="FO547:FO547">IF(FO546=0,0,IF(FO546/'🎚️ Escenario'!$C$11&gt;=36,$AL$23,INDEX($C$23:$AL$23,MAX(1,ROUNDUP(FO546/'🎚️ Escenario'!$C$11,0)))))</f>
        <v>0.69</v>
      </c>
      <c r="FP547" s="9" t="n">
        <f aca="false" t="array" ref="FP547:FP547">IF(FP546=0,0,IF(FP546/'🎚️ Escenario'!$C$11&gt;=36,$AL$23,INDEX($C$23:$AL$23,MAX(1,ROUNDUP(FP546/'🎚️ Escenario'!$C$11,0)))))</f>
        <v>0.71</v>
      </c>
    </row>
    <row r="548" customFormat="false" ht="15" hidden="false" customHeight="false" outlineLevel="2" collapsed="false">
      <c r="B548" s="9" t="s">
        <v>875</v>
      </c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237" t="n">
        <f aca="false">IF(AC546=0,0,IF(AC546&lt;=12*'🎚️ Escenario'!$C$11,1,1+$C$6))</f>
        <v>0</v>
      </c>
      <c r="AD548" s="237" t="n">
        <f aca="false">IF(AD546=0,0,IF(AD546&lt;=12*'🎚️ Escenario'!$C$11,1,1+$C$6))</f>
        <v>0</v>
      </c>
      <c r="AE548" s="237" t="n">
        <f aca="false">IF(AE546=0,0,IF(AE546&lt;=12*'🎚️ Escenario'!$C$11,1,1+$C$6))</f>
        <v>0</v>
      </c>
      <c r="AF548" s="237" t="n">
        <f aca="false">IF(AF546=0,0,IF(AF546&lt;=12*'🎚️ Escenario'!$C$11,1,1+$C$6))</f>
        <v>0</v>
      </c>
      <c r="AG548" s="237" t="n">
        <f aca="false">IF(AG546=0,0,IF(AG546&lt;=12*'🎚️ Escenario'!$C$11,1,1+$C$6))</f>
        <v>0</v>
      </c>
      <c r="AH548" s="237" t="n">
        <f aca="false">IF(AH546=0,0,IF(AH546&lt;=12*'🎚️ Escenario'!$C$11,1,1+$C$6))</f>
        <v>0</v>
      </c>
      <c r="AI548" s="237" t="n">
        <f aca="false">IF(AI546=0,0,IF(AI546&lt;=12*'🎚️ Escenario'!$C$11,1,1+$C$6))</f>
        <v>0</v>
      </c>
      <c r="AJ548" s="237" t="n">
        <f aca="false">IF(AJ546=0,0,IF(AJ546&lt;=12*'🎚️ Escenario'!$C$11,1,1+$C$6))</f>
        <v>0</v>
      </c>
      <c r="AK548" s="237" t="n">
        <f aca="false">IF(AK546=0,0,IF(AK546&lt;=12*'🎚️ Escenario'!$C$11,1,1+$C$6))</f>
        <v>0</v>
      </c>
      <c r="AL548" s="237" t="n">
        <f aca="false">IF(AL546=0,0,IF(AL546&lt;=12*'🎚️ Escenario'!$C$11,1,1+$C$6))</f>
        <v>0</v>
      </c>
      <c r="AM548" s="237" t="n">
        <f aca="false">IF(AM546=0,0,IF(AM546&lt;=12*'🎚️ Escenario'!$C$11,1,1+$C$6))</f>
        <v>0</v>
      </c>
      <c r="AN548" s="237" t="n">
        <f aca="false">IF(AN546=0,0,IF(AN546&lt;=12*'🎚️ Escenario'!$C$11,1,1+$C$6))</f>
        <v>0</v>
      </c>
      <c r="AO548" s="237" t="n">
        <f aca="false">IF(AO546=0,0,IF(AO546&lt;=12*'🎚️ Escenario'!$C$11,1,1+$C$6))</f>
        <v>0</v>
      </c>
      <c r="AP548" s="237" t="n">
        <f aca="false">IF(AP546=0,0,IF(AP546&lt;=12*'🎚️ Escenario'!$C$11,1,1+$C$6))</f>
        <v>0</v>
      </c>
      <c r="AQ548" s="237" t="n">
        <f aca="false">IF(AQ546=0,0,IF(AQ546&lt;=12*'🎚️ Escenario'!$C$11,1,1+$C$6))</f>
        <v>0</v>
      </c>
      <c r="AR548" s="237" t="n">
        <f aca="false">IF(AR546=0,0,IF(AR546&lt;=12*'🎚️ Escenario'!$C$11,1,1+$C$6))</f>
        <v>0</v>
      </c>
      <c r="AS548" s="237" t="n">
        <f aca="false">IF(AS546=0,0,IF(AS546&lt;=12*'🎚️ Escenario'!$C$11,1,1+$C$6))</f>
        <v>0</v>
      </c>
      <c r="AT548" s="237" t="n">
        <f aca="false">IF(AT546=0,0,IF(AT546&lt;=12*'🎚️ Escenario'!$C$11,1,1+$C$6))</f>
        <v>0</v>
      </c>
      <c r="AU548" s="237" t="n">
        <f aca="false">IF(AU546=0,0,IF(AU546&lt;=12*'🎚️ Escenario'!$C$11,1,1+$C$6))</f>
        <v>0</v>
      </c>
      <c r="AV548" s="237" t="n">
        <f aca="false">IF(AV546=0,0,IF(AV546&lt;=12*'🎚️ Escenario'!$C$11,1,1+$C$6))</f>
        <v>0</v>
      </c>
      <c r="AW548" s="237" t="n">
        <f aca="false">IF(AW546=0,0,IF(AW546&lt;=12*'🎚️ Escenario'!$C$11,1,1+$C$6))</f>
        <v>0</v>
      </c>
      <c r="AX548" s="237" t="n">
        <f aca="false">IF(AX546=0,0,IF(AX546&lt;=12*'🎚️ Escenario'!$C$11,1,1+$C$6))</f>
        <v>0</v>
      </c>
      <c r="AY548" s="237" t="n">
        <f aca="false">IF(AY546=0,0,IF(AY546&lt;=12*'🎚️ Escenario'!$C$11,1,1+$C$6))</f>
        <v>0</v>
      </c>
      <c r="AZ548" s="237" t="n">
        <f aca="false">IF(AZ546=0,0,IF(AZ546&lt;=12*'🎚️ Escenario'!$C$11,1,1+$C$6))</f>
        <v>0</v>
      </c>
      <c r="BA548" s="237" t="n">
        <f aca="false">IF(BA546=0,0,IF(BA546&lt;=12*'🎚️ Escenario'!$C$11,1,1+$C$6))</f>
        <v>0</v>
      </c>
      <c r="BB548" s="237" t="n">
        <f aca="false">IF(BB546=0,0,IF(BB546&lt;=12*'🎚️ Escenario'!$C$11,1,1+$C$6))</f>
        <v>0</v>
      </c>
      <c r="BC548" s="237" t="n">
        <f aca="false">IF(BC546=0,0,IF(BC546&lt;=12*'🎚️ Escenario'!$C$11,1,1+$C$6))</f>
        <v>0</v>
      </c>
      <c r="BD548" s="237" t="n">
        <f aca="false">IF(BD546=0,0,IF(BD546&lt;=12*'🎚️ Escenario'!$C$11,1,1+$C$6))</f>
        <v>0</v>
      </c>
      <c r="BE548" s="237" t="n">
        <f aca="false">IF(BE546=0,0,IF(BE546&lt;=12*'🎚️ Escenario'!$C$11,1,1+$C$6))</f>
        <v>0</v>
      </c>
      <c r="BF548" s="237" t="n">
        <f aca="false">IF(BF546=0,0,IF(BF546&lt;=12*'🎚️ Escenario'!$C$11,1,1+$C$6))</f>
        <v>0</v>
      </c>
      <c r="BG548" s="237" t="n">
        <f aca="false">IF(BG546=0,0,IF(BG546&lt;=12*'🎚️ Escenario'!$C$11,1,1+$C$6))</f>
        <v>0</v>
      </c>
      <c r="BH548" s="237" t="n">
        <f aca="false">IF(BH546=0,0,IF(BH546&lt;=12*'🎚️ Escenario'!$C$11,1,1+$C$6))</f>
        <v>0</v>
      </c>
      <c r="BI548" s="237" t="n">
        <f aca="false">IF(BI546=0,0,IF(BI546&lt;=12*'🎚️ Escenario'!$C$11,1,1+$C$6))</f>
        <v>0</v>
      </c>
      <c r="BJ548" s="237" t="n">
        <f aca="false">IF(BJ546=0,0,IF(BJ546&lt;=12*'🎚️ Escenario'!$C$11,1,1+$C$6))</f>
        <v>0</v>
      </c>
      <c r="BK548" s="237" t="n">
        <f aca="false">IF(BK546=0,0,IF(BK546&lt;=12*'🎚️ Escenario'!$C$11,1,1+$C$6))</f>
        <v>0</v>
      </c>
      <c r="BL548" s="237" t="n">
        <f aca="false">IF(BL546=0,0,IF(BL546&lt;=12*'🎚️ Escenario'!$C$11,1,1+$C$6))</f>
        <v>0</v>
      </c>
      <c r="BM548" s="237" t="n">
        <f aca="false">IF(BM546=0,0,IF(BM546&lt;=12*'🎚️ Escenario'!$C$11,1,1+$C$6))</f>
        <v>0</v>
      </c>
      <c r="BN548" s="237" t="n">
        <f aca="false">IF(BN546=0,0,IF(BN546&lt;=12*'🎚️ Escenario'!$C$11,1,1+$C$6))</f>
        <v>0</v>
      </c>
      <c r="BO548" s="237" t="n">
        <f aca="false">IF(BO546=0,0,IF(BO546&lt;=12*'🎚️ Escenario'!$C$11,1,1+$C$6))</f>
        <v>0</v>
      </c>
      <c r="BP548" s="237" t="n">
        <f aca="false">IF(BP546=0,0,IF(BP546&lt;=12*'🎚️ Escenario'!$C$11,1,1+$C$6))</f>
        <v>0</v>
      </c>
      <c r="BQ548" s="237" t="n">
        <f aca="false">IF(BQ546=0,0,IF(BQ546&lt;=12*'🎚️ Escenario'!$C$11,1,1+$C$6))</f>
        <v>0</v>
      </c>
      <c r="BR548" s="237" t="n">
        <f aca="false">IF(BR546=0,0,IF(BR546&lt;=12*'🎚️ Escenario'!$C$11,1,1+$C$6))</f>
        <v>0</v>
      </c>
      <c r="BS548" s="237" t="n">
        <f aca="false">IF(BS546=0,0,IF(BS546&lt;=12*'🎚️ Escenario'!$C$11,1,1+$C$6))</f>
        <v>0</v>
      </c>
      <c r="BT548" s="237" t="n">
        <f aca="false">IF(BT546=0,0,IF(BT546&lt;=12*'🎚️ Escenario'!$C$11,1,1+$C$6))</f>
        <v>0</v>
      </c>
      <c r="BU548" s="237" t="n">
        <f aca="false">IF(BU546=0,0,IF(BU546&lt;=12*'🎚️ Escenario'!$C$11,1,1+$C$6))</f>
        <v>0</v>
      </c>
      <c r="BV548" s="237" t="n">
        <f aca="false">IF(BV546=0,0,IF(BV546&lt;=12*'🎚️ Escenario'!$C$11,1,1+$C$6))</f>
        <v>0</v>
      </c>
      <c r="BW548" s="237" t="n">
        <f aca="false">IF(BW546=0,0,IF(BW546&lt;=12*'🎚️ Escenario'!$C$11,1,1+$C$6))</f>
        <v>0</v>
      </c>
      <c r="BX548" s="237" t="n">
        <f aca="false">IF(BX546=0,0,IF(BX546&lt;=12*'🎚️ Escenario'!$C$11,1,1+$C$6))</f>
        <v>0</v>
      </c>
      <c r="BY548" s="237" t="n">
        <f aca="false">IF(BY546=0,0,IF(BY546&lt;=12*'🎚️ Escenario'!$C$11,1,1+$C$6))</f>
        <v>0</v>
      </c>
      <c r="BZ548" s="237" t="n">
        <f aca="false">IF(BZ546=0,0,IF(BZ546&lt;=12*'🎚️ Escenario'!$C$11,1,1+$C$6))</f>
        <v>0</v>
      </c>
      <c r="CA548" s="237" t="n">
        <f aca="false">IF(CA546=0,0,IF(CA546&lt;=12*'🎚️ Escenario'!$C$11,1,1+$C$6))</f>
        <v>0</v>
      </c>
      <c r="CB548" s="237" t="n">
        <f aca="false">IF(CB546=0,0,IF(CB546&lt;=12*'🎚️ Escenario'!$C$11,1,1+$C$6))</f>
        <v>0</v>
      </c>
      <c r="CC548" s="237" t="n">
        <f aca="false">IF(CC546=0,0,IF(CC546&lt;=12*'🎚️ Escenario'!$C$11,1,1+$C$6))</f>
        <v>0</v>
      </c>
      <c r="CD548" s="237" t="n">
        <f aca="false">IF(CD546=0,0,IF(CD546&lt;=12*'🎚️ Escenario'!$C$11,1,1+$C$6))</f>
        <v>0</v>
      </c>
      <c r="CE548" s="237" t="n">
        <f aca="false">IF(CE546=0,0,IF(CE546&lt;=12*'🎚️ Escenario'!$C$11,1,1+$C$6))</f>
        <v>0</v>
      </c>
      <c r="CF548" s="237" t="n">
        <f aca="false">IF(CF546=0,0,IF(CF546&lt;=12*'🎚️ Escenario'!$C$11,1,1+$C$6))</f>
        <v>0</v>
      </c>
      <c r="CG548" s="237" t="n">
        <f aca="false">IF(CG546=0,0,IF(CG546&lt;=12*'🎚️ Escenario'!$C$11,1,1+$C$6))</f>
        <v>0</v>
      </c>
      <c r="CH548" s="237" t="n">
        <f aca="false">IF(CH546=0,0,IF(CH546&lt;=12*'🎚️ Escenario'!$C$11,1,1+$C$6))</f>
        <v>0</v>
      </c>
      <c r="CI548" s="237" t="n">
        <f aca="false">IF(CI546=0,0,IF(CI546&lt;=12*'🎚️ Escenario'!$C$11,1,1+$C$6))</f>
        <v>0</v>
      </c>
      <c r="CJ548" s="237" t="n">
        <f aca="false">IF(CJ546=0,0,IF(CJ546&lt;=12*'🎚️ Escenario'!$C$11,1,1+$C$6))</f>
        <v>0</v>
      </c>
      <c r="CK548" s="237" t="n">
        <f aca="false">IF(CK546=0,0,IF(CK546&lt;=12*'🎚️ Escenario'!$C$11,1,1+$C$6))</f>
        <v>0</v>
      </c>
      <c r="CL548" s="237" t="n">
        <f aca="false">IF(CL546=0,0,IF(CL546&lt;=12*'🎚️ Escenario'!$C$11,1,1+$C$6))</f>
        <v>0</v>
      </c>
      <c r="CM548" s="237" t="n">
        <f aca="false">IF(CM546=0,0,IF(CM546&lt;=12*'🎚️ Escenario'!$C$11,1,1+$C$6))</f>
        <v>0</v>
      </c>
      <c r="CN548" s="237" t="n">
        <f aca="false">IF(CN546=0,0,IF(CN546&lt;=12*'🎚️ Escenario'!$C$11,1,1+$C$6))</f>
        <v>0</v>
      </c>
      <c r="CO548" s="237" t="n">
        <f aca="false">IF(CO546=0,0,IF(CO546&lt;=12*'🎚️ Escenario'!$C$11,1,1+$C$6))</f>
        <v>0</v>
      </c>
      <c r="CP548" s="237" t="n">
        <f aca="false">IF(CP546=0,0,IF(CP546&lt;=12*'🎚️ Escenario'!$C$11,1,1+$C$6))</f>
        <v>0</v>
      </c>
      <c r="CQ548" s="237" t="n">
        <f aca="false">IF(CQ546=0,0,IF(CQ546&lt;=12*'🎚️ Escenario'!$C$11,1,1+$C$6))</f>
        <v>0</v>
      </c>
      <c r="CR548" s="237" t="n">
        <f aca="false">IF(CR546=0,0,IF(CR546&lt;=12*'🎚️ Escenario'!$C$11,1,1+$C$6))</f>
        <v>0</v>
      </c>
      <c r="CS548" s="237" t="n">
        <f aca="false">IF(CS546=0,0,IF(CS546&lt;=12*'🎚️ Escenario'!$C$11,1,1+$C$6))</f>
        <v>0</v>
      </c>
      <c r="CT548" s="237" t="n">
        <f aca="false">IF(CT546=0,0,IF(CT546&lt;=12*'🎚️ Escenario'!$C$11,1,1+$C$6))</f>
        <v>0</v>
      </c>
      <c r="CU548" s="237" t="n">
        <f aca="false">IF(CU546=0,0,IF(CU546&lt;=12*'🎚️ Escenario'!$C$11,1,1+$C$6))</f>
        <v>0</v>
      </c>
      <c r="CV548" s="237" t="n">
        <f aca="false">IF(CV546=0,0,IF(CV546&lt;=12*'🎚️ Escenario'!$C$11,1,1+$C$6))</f>
        <v>0</v>
      </c>
      <c r="CW548" s="237" t="n">
        <f aca="false">IF(CW546=0,0,IF(CW546&lt;=12*'🎚️ Escenario'!$C$11,1,1+$C$6))</f>
        <v>0</v>
      </c>
      <c r="CX548" s="237" t="n">
        <f aca="false">IF(CX546=0,0,IF(CX546&lt;=12*'🎚️ Escenario'!$C$11,1,1+$C$6))</f>
        <v>0</v>
      </c>
      <c r="CY548" s="237" t="n">
        <f aca="false">IF(CY546=0,0,IF(CY546&lt;=12*'🎚️ Escenario'!$C$11,1,1+$C$6))</f>
        <v>0</v>
      </c>
      <c r="CZ548" s="237" t="n">
        <f aca="false">IF(CZ546=0,0,IF(CZ546&lt;=12*'🎚️ Escenario'!$C$11,1,1+$C$6))</f>
        <v>0</v>
      </c>
      <c r="DA548" s="237" t="n">
        <f aca="false">IF(DA546=0,0,IF(DA546&lt;=12*'🎚️ Escenario'!$C$11,1,1+$C$6))</f>
        <v>0</v>
      </c>
      <c r="DB548" s="237" t="n">
        <f aca="false">IF(DB546=0,0,IF(DB546&lt;=12*'🎚️ Escenario'!$C$11,1,1+$C$6))</f>
        <v>0</v>
      </c>
      <c r="DC548" s="237" t="n">
        <f aca="false">IF(DC546=0,0,IF(DC546&lt;=12*'🎚️ Escenario'!$C$11,1,1+$C$6))</f>
        <v>0</v>
      </c>
      <c r="DD548" s="237" t="n">
        <f aca="false">IF(DD546=0,0,IF(DD546&lt;=12*'🎚️ Escenario'!$C$11,1,1+$C$6))</f>
        <v>0</v>
      </c>
      <c r="DE548" s="237" t="n">
        <f aca="false">IF(DE546=0,0,IF(DE546&lt;=12*'🎚️ Escenario'!$C$11,1,1+$C$6))</f>
        <v>0</v>
      </c>
      <c r="DF548" s="237" t="n">
        <f aca="false">IF(DF546=0,0,IF(DF546&lt;=12*'🎚️ Escenario'!$C$11,1,1+$C$6))</f>
        <v>0</v>
      </c>
      <c r="DG548" s="237" t="n">
        <f aca="false">IF(DG546=0,0,IF(DG546&lt;=12*'🎚️ Escenario'!$C$11,1,1+$C$6))</f>
        <v>0</v>
      </c>
      <c r="DH548" s="237" t="n">
        <f aca="false">IF(DH546=0,0,IF(DH546&lt;=12*'🎚️ Escenario'!$C$11,1,1+$C$6))</f>
        <v>0</v>
      </c>
      <c r="DI548" s="237" t="n">
        <f aca="false">IF(DI546=0,0,IF(DI546&lt;=12*'🎚️ Escenario'!$C$11,1,1+$C$6))</f>
        <v>0</v>
      </c>
      <c r="DJ548" s="237" t="n">
        <f aca="false">IF(DJ546=0,0,IF(DJ546&lt;=12*'🎚️ Escenario'!$C$11,1,1+$C$6))</f>
        <v>0</v>
      </c>
      <c r="DK548" s="237" t="n">
        <f aca="false">IF(DK546=0,0,IF(DK546&lt;=12*'🎚️ Escenario'!$C$11,1,1+$C$6))</f>
        <v>0</v>
      </c>
      <c r="DL548" s="237" t="n">
        <f aca="false">IF(DL546=0,0,IF(DL546&lt;=12*'🎚️ Escenario'!$C$11,1,1+$C$6))</f>
        <v>0</v>
      </c>
      <c r="DM548" s="237" t="n">
        <f aca="false">IF(DM546=0,0,IF(DM546&lt;=12*'🎚️ Escenario'!$C$11,1,1+$C$6))</f>
        <v>0</v>
      </c>
      <c r="DN548" s="237" t="n">
        <f aca="false">IF(DN546=0,0,IF(DN546&lt;=12*'🎚️ Escenario'!$C$11,1,1+$C$6))</f>
        <v>0</v>
      </c>
      <c r="DO548" s="237" t="n">
        <f aca="false">IF(DO546=0,0,IF(DO546&lt;=12*'🎚️ Escenario'!$C$11,1,1+$C$6))</f>
        <v>0</v>
      </c>
      <c r="DP548" s="237" t="n">
        <f aca="false">IF(DP546=0,0,IF(DP546&lt;=12*'🎚️ Escenario'!$C$11,1,1+$C$6))</f>
        <v>0</v>
      </c>
      <c r="DQ548" s="237" t="n">
        <f aca="false">IF(DQ546=0,0,IF(DQ546&lt;=12*'🎚️ Escenario'!$C$11,1,1+$C$6))</f>
        <v>0</v>
      </c>
      <c r="DR548" s="237" t="n">
        <f aca="false">IF(DR546=0,0,IF(DR546&lt;=12*'🎚️ Escenario'!$C$11,1,1+$C$6))</f>
        <v>0</v>
      </c>
      <c r="DS548" s="237" t="n">
        <f aca="false">IF(DS546=0,0,IF(DS546&lt;=12*'🎚️ Escenario'!$C$11,1,1+$C$6))</f>
        <v>0</v>
      </c>
      <c r="DT548" s="237" t="n">
        <f aca="false">IF(DT546=0,0,IF(DT546&lt;=12*'🎚️ Escenario'!$C$11,1,1+$C$6))</f>
        <v>0</v>
      </c>
      <c r="DU548" s="237" t="n">
        <f aca="false">IF(DU546=0,0,IF(DU546&lt;=12*'🎚️ Escenario'!$C$11,1,1+$C$6))</f>
        <v>0</v>
      </c>
      <c r="DV548" s="237" t="n">
        <f aca="false">IF(DV546=0,0,IF(DV546&lt;=12*'🎚️ Escenario'!$C$11,1,1+$C$6))</f>
        <v>0</v>
      </c>
      <c r="DW548" s="237" t="n">
        <f aca="false">IF(DW546=0,0,IF(DW546&lt;=12*'🎚️ Escenario'!$C$11,1,1+$C$6))</f>
        <v>0</v>
      </c>
      <c r="DX548" s="237" t="n">
        <f aca="false">IF(DX546=0,0,IF(DX546&lt;=12*'🎚️ Escenario'!$C$11,1,1+$C$6))</f>
        <v>0</v>
      </c>
      <c r="DY548" s="237" t="n">
        <f aca="false">IF(DY546=0,0,IF(DY546&lt;=12*'🎚️ Escenario'!$C$11,1,1+$C$6))</f>
        <v>0</v>
      </c>
      <c r="DZ548" s="237" t="n">
        <f aca="false">IF(DZ546=0,0,IF(DZ546&lt;=12*'🎚️ Escenario'!$C$11,1,1+$C$6))</f>
        <v>0</v>
      </c>
      <c r="EA548" s="237" t="n">
        <f aca="false">IF(EA546=0,0,IF(EA546&lt;=12*'🎚️ Escenario'!$C$11,1,1+$C$6))</f>
        <v>0</v>
      </c>
      <c r="EB548" s="237" t="n">
        <f aca="false">IF(EB546=0,0,IF(EB546&lt;=12*'🎚️ Escenario'!$C$11,1,1+$C$6))</f>
        <v>0</v>
      </c>
      <c r="EC548" s="237" t="n">
        <f aca="false">IF(EC546=0,0,IF(EC546&lt;=12*'🎚️ Escenario'!$C$11,1,1+$C$6))</f>
        <v>0</v>
      </c>
      <c r="ED548" s="237" t="n">
        <f aca="false">IF(ED546=0,0,IF(ED546&lt;=12*'🎚️ Escenario'!$C$11,1,1+$C$6))</f>
        <v>0</v>
      </c>
      <c r="EE548" s="237" t="n">
        <f aca="false">IF(EE546=0,0,IF(EE546&lt;=12*'🎚️ Escenario'!$C$11,1,1+$C$6))</f>
        <v>0</v>
      </c>
      <c r="EF548" s="237" t="n">
        <f aca="false">IF(EF546=0,0,IF(EF546&lt;=12*'🎚️ Escenario'!$C$11,1,1+$C$6))</f>
        <v>0</v>
      </c>
      <c r="EG548" s="237" t="n">
        <f aca="false">IF(EG546=0,0,IF(EG546&lt;=12*'🎚️ Escenario'!$C$11,1,1+$C$6))</f>
        <v>0</v>
      </c>
      <c r="EH548" s="237" t="n">
        <f aca="false">IF(EH546=0,0,IF(EH546&lt;=12*'🎚️ Escenario'!$C$11,1,1+$C$6))</f>
        <v>0</v>
      </c>
      <c r="EI548" s="237" t="n">
        <f aca="false">IF(EI546=0,0,IF(EI546&lt;=12*'🎚️ Escenario'!$C$11,1,1+$C$6))</f>
        <v>0</v>
      </c>
      <c r="EJ548" s="237" t="n">
        <f aca="false">IF(EJ546=0,0,IF(EJ546&lt;=12*'🎚️ Escenario'!$C$11,1,1+$C$6))</f>
        <v>0</v>
      </c>
      <c r="EK548" s="237" t="n">
        <f aca="false">IF(EK546=0,0,IF(EK546&lt;=12*'🎚️ Escenario'!$C$11,1,1+$C$6))</f>
        <v>0</v>
      </c>
      <c r="EL548" s="237" t="n">
        <f aca="false">IF(EL546=0,0,IF(EL546&lt;=12*'🎚️ Escenario'!$C$11,1,1+$C$6))</f>
        <v>0</v>
      </c>
      <c r="EM548" s="237" t="n">
        <f aca="false">IF(EM546=0,0,IF(EM546&lt;=12*'🎚️ Escenario'!$C$11,1,1+$C$6))</f>
        <v>0</v>
      </c>
      <c r="EN548" s="237" t="n">
        <f aca="false">IF(EN546=0,0,IF(EN546&lt;=12*'🎚️ Escenario'!$C$11,1,1+$C$6))</f>
        <v>0</v>
      </c>
      <c r="EO548" s="237" t="n">
        <f aca="false">IF(EO546=0,0,IF(EO546&lt;=12*'🎚️ Escenario'!$C$11,1,1+$C$6))</f>
        <v>0</v>
      </c>
      <c r="EP548" s="237" t="n">
        <f aca="false">IF(EP546=0,0,IF(EP546&lt;=12*'🎚️ Escenario'!$C$11,1,1+$C$6))</f>
        <v>0</v>
      </c>
      <c r="EQ548" s="237" t="n">
        <f aca="false">IF(EQ546=0,0,IF(EQ546&lt;=12*'🎚️ Escenario'!$C$11,1,1+$C$6))</f>
        <v>0</v>
      </c>
      <c r="ER548" s="237" t="n">
        <f aca="false">IF(ER546=0,0,IF(ER546&lt;=12*'🎚️ Escenario'!$C$11,1,1+$C$6))</f>
        <v>0</v>
      </c>
      <c r="ES548" s="9" t="n">
        <f aca="false">IF(ES546=0,0,IF(ES546&lt;=12*'🎚️ Escenario'!$C$11,1,1+$C$6))</f>
        <v>0</v>
      </c>
      <c r="ET548" s="9" t="n">
        <f aca="false">IF(ET546=0,0,IF(ET546&lt;=12*'🎚️ Escenario'!$C$11,1,1+$C$6))</f>
        <v>0</v>
      </c>
      <c r="EU548" s="9" t="n">
        <f aca="false">IF(EU546=0,0,IF(EU546&lt;=12*'🎚️ Escenario'!$C$11,1,1+$C$6))</f>
        <v>0</v>
      </c>
      <c r="EV548" s="9" t="n">
        <f aca="false">IF(EV546=0,0,IF(EV546&lt;=12*'🎚️ Escenario'!$C$11,1,1+$C$6))</f>
        <v>0</v>
      </c>
      <c r="EW548" s="9" t="n">
        <f aca="false">IF(EW546=0,0,IF(EW546&lt;=12*'🎚️ Escenario'!$C$11,1,1+$C$6))</f>
        <v>0</v>
      </c>
      <c r="EX548" s="9" t="n">
        <f aca="false">IF(EX546=0,0,IF(EX546&lt;=12*'🎚️ Escenario'!$C$11,1,1+$C$6))</f>
        <v>1</v>
      </c>
      <c r="EY548" s="9" t="n">
        <f aca="false">IF(EY546=0,0,IF(EY546&lt;=12*'🎚️ Escenario'!$C$11,1,1+$C$6))</f>
        <v>1</v>
      </c>
      <c r="EZ548" s="9" t="n">
        <f aca="false">IF(EZ546=0,0,IF(EZ546&lt;=12*'🎚️ Escenario'!$C$11,1,1+$C$6))</f>
        <v>1</v>
      </c>
      <c r="FA548" s="9" t="n">
        <f aca="false">IF(FA546=0,0,IF(FA546&lt;=12*'🎚️ Escenario'!$C$11,1,1+$C$6))</f>
        <v>1</v>
      </c>
      <c r="FB548" s="9" t="n">
        <f aca="false">IF(FB546=0,0,IF(FB546&lt;=12*'🎚️ Escenario'!$C$11,1,1+$C$6))</f>
        <v>1</v>
      </c>
      <c r="FC548" s="9" t="n">
        <f aca="false">IF(FC546=0,0,IF(FC546&lt;=12*'🎚️ Escenario'!$C$11,1,1+$C$6))</f>
        <v>1</v>
      </c>
      <c r="FD548" s="9" t="n">
        <f aca="false">IF(FD546=0,0,IF(FD546&lt;=12*'🎚️ Escenario'!$C$11,1,1+$C$6))</f>
        <v>1</v>
      </c>
      <c r="FE548" s="9" t="n">
        <f aca="false">IF(FE546=0,0,IF(FE546&lt;=12*'🎚️ Escenario'!$C$11,1,1+$C$6))</f>
        <v>1</v>
      </c>
      <c r="FF548" s="9" t="n">
        <f aca="false">IF(FF546=0,0,IF(FF546&lt;=12*'🎚️ Escenario'!$C$11,1,1+$C$6))</f>
        <v>1</v>
      </c>
      <c r="FG548" s="9" t="n">
        <f aca="false">IF(FG546=0,0,IF(FG546&lt;=12*'🎚️ Escenario'!$C$11,1,1+$C$6))</f>
        <v>1</v>
      </c>
      <c r="FH548" s="9" t="n">
        <f aca="false">IF(FH546=0,0,IF(FH546&lt;=12*'🎚️ Escenario'!$C$11,1,1+$C$6))</f>
        <v>1</v>
      </c>
      <c r="FI548" s="9" t="n">
        <f aca="false">IF(FI546=0,0,IF(FI546&lt;=12*'🎚️ Escenario'!$C$11,1,1+$C$6))</f>
        <v>1</v>
      </c>
      <c r="FJ548" s="9" t="n">
        <f aca="false">IF(FJ546=0,0,IF(FJ546&lt;=12*'🎚️ Escenario'!$C$11,1,1+$C$6))</f>
        <v>1</v>
      </c>
      <c r="FK548" s="9" t="n">
        <f aca="false">IF(FK546=0,0,IF(FK546&lt;=12*'🎚️ Escenario'!$C$11,1,1+$C$6))</f>
        <v>1</v>
      </c>
      <c r="FL548" s="9" t="n">
        <f aca="false">IF(FL546=0,0,IF(FL546&lt;=12*'🎚️ Escenario'!$C$11,1,1+$C$6))</f>
        <v>1</v>
      </c>
      <c r="FM548" s="238" t="n">
        <f aca="false">IF(FM546=0,0,IF(FM546&lt;=12*'🎚️ Escenario'!$C$11,1,1+$C$6))</f>
        <v>1.2</v>
      </c>
      <c r="FN548" s="238" t="n">
        <f aca="false">IF(FN546=0,0,IF(FN546&lt;=12*'🎚️ Escenario'!$C$11,1,1+$C$6))</f>
        <v>1.2</v>
      </c>
      <c r="FO548" s="238" t="n">
        <f aca="false">IF(FO546=0,0,IF(FO546&lt;=12*'🎚️ Escenario'!$C$11,1,1+$C$6))</f>
        <v>1.2</v>
      </c>
      <c r="FP548" s="238" t="n">
        <f aca="false">IF(FP546=0,0,IF(FP546&lt;=12*'🎚️ Escenario'!$C$11,1,1+$C$6))</f>
        <v>1.2</v>
      </c>
    </row>
    <row r="549" customFormat="false" ht="15" hidden="false" customHeight="false" outlineLevel="2" collapsed="false">
      <c r="B549" s="9" t="s">
        <v>876</v>
      </c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36" t="n">
        <f aca="false">AC547*$AC$545*AC548*AC$38*'⑫ Roll-out Plan'!$O$59</f>
        <v>0</v>
      </c>
      <c r="AD549" s="36" t="n">
        <f aca="false">AD547*$AC$545*AD548*AD$38*'⑫ Roll-out Plan'!$O$59</f>
        <v>0</v>
      </c>
      <c r="AE549" s="36" t="n">
        <f aca="false">AE547*$AC$545*AE548*AE$38*'⑫ Roll-out Plan'!$O$59</f>
        <v>0</v>
      </c>
      <c r="AF549" s="36" t="n">
        <f aca="false">AF547*$AC$545*AF548*AF$38*'⑫ Roll-out Plan'!$O$59</f>
        <v>0</v>
      </c>
      <c r="AG549" s="36" t="n">
        <f aca="false">AG547*$AC$545*AG548*AG$38*'⑫ Roll-out Plan'!$O$59</f>
        <v>0</v>
      </c>
      <c r="AH549" s="36" t="n">
        <f aca="false">AH547*$AC$545*AH548*AH$38*'⑫ Roll-out Plan'!$O$59</f>
        <v>0</v>
      </c>
      <c r="AI549" s="36" t="n">
        <f aca="false">AI547*$AC$545*AI548*AI$38*'⑫ Roll-out Plan'!$O$59</f>
        <v>0</v>
      </c>
      <c r="AJ549" s="36" t="n">
        <f aca="false">AJ547*$AC$545*AJ548*AJ$38*'⑫ Roll-out Plan'!$O$59</f>
        <v>0</v>
      </c>
      <c r="AK549" s="36" t="n">
        <f aca="false">AK547*$AC$545*AK548*AK$38*'⑫ Roll-out Plan'!$O$59</f>
        <v>0</v>
      </c>
      <c r="AL549" s="36" t="n">
        <f aca="false">AL547*$AC$545*AL548*AL$38*'⑫ Roll-out Plan'!$O$59</f>
        <v>0</v>
      </c>
      <c r="AM549" s="36" t="n">
        <f aca="false">AM547*$AC$545*AM548*AM$38*'⑫ Roll-out Plan'!$O$59</f>
        <v>0</v>
      </c>
      <c r="AN549" s="36" t="n">
        <f aca="false">AN547*$AC$545*AN548*AN$38*'⑫ Roll-out Plan'!$O$59</f>
        <v>0</v>
      </c>
      <c r="AO549" s="36" t="n">
        <f aca="false">AO547*$AC$545*AO548*AO$38*'⑫ Roll-out Plan'!$O$59</f>
        <v>0</v>
      </c>
      <c r="AP549" s="36" t="n">
        <f aca="false">AP547*$AC$545*AP548*AP$38*'⑫ Roll-out Plan'!$O$59</f>
        <v>0</v>
      </c>
      <c r="AQ549" s="36" t="n">
        <f aca="false">AQ547*$AC$545*AQ548*AQ$38*'⑫ Roll-out Plan'!$O$59</f>
        <v>0</v>
      </c>
      <c r="AR549" s="36" t="n">
        <f aca="false">AR547*$AC$545*AR548*AR$38*'⑫ Roll-out Plan'!$O$59</f>
        <v>0</v>
      </c>
      <c r="AS549" s="36" t="n">
        <f aca="false">AS547*$AC$545*AS548*AS$38*'⑫ Roll-out Plan'!$O$59</f>
        <v>0</v>
      </c>
      <c r="AT549" s="36" t="n">
        <f aca="false">AT547*$AC$545*AT548*AT$38*'⑫ Roll-out Plan'!$O$59</f>
        <v>0</v>
      </c>
      <c r="AU549" s="36" t="n">
        <f aca="false">AU547*$AC$545*AU548*AU$38*'⑫ Roll-out Plan'!$O$59</f>
        <v>0</v>
      </c>
      <c r="AV549" s="36" t="n">
        <f aca="false">AV547*$AC$545*AV548*AV$38*'⑫ Roll-out Plan'!$O$59</f>
        <v>0</v>
      </c>
      <c r="AW549" s="36" t="n">
        <f aca="false">AW547*$AC$545*AW548*AW$38*'⑫ Roll-out Plan'!$O$59</f>
        <v>0</v>
      </c>
      <c r="AX549" s="36" t="n">
        <f aca="false">AX547*$AC$545*AX548*AX$38*'⑫ Roll-out Plan'!$O$59</f>
        <v>0</v>
      </c>
      <c r="AY549" s="36" t="n">
        <f aca="false">AY547*$AC$545*AY548*AY$38*'⑫ Roll-out Plan'!$O$59</f>
        <v>0</v>
      </c>
      <c r="AZ549" s="36" t="n">
        <f aca="false">AZ547*$AC$545*AZ548*AZ$38*'⑫ Roll-out Plan'!$O$59</f>
        <v>0</v>
      </c>
      <c r="BA549" s="36" t="n">
        <f aca="false">BA547*$AC$545*BA548*BA$38*'⑫ Roll-out Plan'!$O$59</f>
        <v>0</v>
      </c>
      <c r="BB549" s="36" t="n">
        <f aca="false">BB547*$AC$545*BB548*BB$38*'⑫ Roll-out Plan'!$O$59</f>
        <v>0</v>
      </c>
      <c r="BC549" s="36" t="n">
        <f aca="false">BC547*$AC$545*BC548*BC$38*'⑫ Roll-out Plan'!$O$59</f>
        <v>0</v>
      </c>
      <c r="BD549" s="36" t="n">
        <f aca="false">BD547*$AC$545*BD548*BD$38*'⑫ Roll-out Plan'!$O$59</f>
        <v>0</v>
      </c>
      <c r="BE549" s="36" t="n">
        <f aca="false">BE547*$AC$545*BE548*BE$38*'⑫ Roll-out Plan'!$O$59</f>
        <v>0</v>
      </c>
      <c r="BF549" s="36" t="n">
        <f aca="false">BF547*$AC$545*BF548*BF$38*'⑫ Roll-out Plan'!$O$59</f>
        <v>0</v>
      </c>
      <c r="BG549" s="36" t="n">
        <f aca="false">BG547*$AC$545*BG548*BG$38*'⑫ Roll-out Plan'!$O$59</f>
        <v>0</v>
      </c>
      <c r="BH549" s="36" t="n">
        <f aca="false">BH547*$AC$545*BH548*BH$38*'⑫ Roll-out Plan'!$O$59</f>
        <v>0</v>
      </c>
      <c r="BI549" s="36" t="n">
        <f aca="false">BI547*$AC$545*BI548*BI$38*'⑫ Roll-out Plan'!$O$59</f>
        <v>0</v>
      </c>
      <c r="BJ549" s="36" t="n">
        <f aca="false">BJ547*$AC$545*BJ548*BJ$38*'⑫ Roll-out Plan'!$O$59</f>
        <v>0</v>
      </c>
      <c r="BK549" s="36" t="n">
        <f aca="false">BK547*$AC$545*BK548*BK$38*'⑫ Roll-out Plan'!$O$59</f>
        <v>0</v>
      </c>
      <c r="BL549" s="36" t="n">
        <f aca="false">BL547*$AC$545*BL548*BL$38*'⑫ Roll-out Plan'!$O$59</f>
        <v>0</v>
      </c>
      <c r="BM549" s="36" t="n">
        <f aca="false">BM547*$AC$545*BM548*BM$38*'⑫ Roll-out Plan'!$O$59</f>
        <v>0</v>
      </c>
      <c r="BN549" s="36" t="n">
        <f aca="false">BN547*$AC$545*BN548*BN$38*'⑫ Roll-out Plan'!$O$59</f>
        <v>0</v>
      </c>
      <c r="BO549" s="36" t="n">
        <f aca="false">BO547*$AC$545*BO548*BO$38*'⑫ Roll-out Plan'!$O$59</f>
        <v>0</v>
      </c>
      <c r="BP549" s="36" t="n">
        <f aca="false">BP547*$AC$545*BP548*BP$38*'⑫ Roll-out Plan'!$O$59</f>
        <v>0</v>
      </c>
      <c r="BQ549" s="36" t="n">
        <f aca="false">BQ547*$AC$545*BQ548*BQ$38*'⑫ Roll-out Plan'!$O$59</f>
        <v>0</v>
      </c>
      <c r="BR549" s="36" t="n">
        <f aca="false">BR547*$AC$545*BR548*BR$38*'⑫ Roll-out Plan'!$O$59</f>
        <v>0</v>
      </c>
      <c r="BS549" s="36" t="n">
        <f aca="false">BS547*$AC$545*BS548*BS$38*'⑫ Roll-out Plan'!$O$59</f>
        <v>0</v>
      </c>
      <c r="BT549" s="36" t="n">
        <f aca="false">BT547*$AC$545*BT548*BT$38*'⑫ Roll-out Plan'!$O$59</f>
        <v>0</v>
      </c>
      <c r="BU549" s="36" t="n">
        <f aca="false">BU547*$AC$545*BU548*BU$38*'⑫ Roll-out Plan'!$O$59</f>
        <v>0</v>
      </c>
      <c r="BV549" s="36" t="n">
        <f aca="false">BV547*$AC$545*BV548*BV$38*'⑫ Roll-out Plan'!$O$59</f>
        <v>0</v>
      </c>
      <c r="BW549" s="36" t="n">
        <f aca="false">BW547*$AC$545*BW548*BW$38*'⑫ Roll-out Plan'!$O$59</f>
        <v>0</v>
      </c>
      <c r="BX549" s="36" t="n">
        <f aca="false">BX547*$AC$545*BX548*BX$38*'⑫ Roll-out Plan'!$O$59</f>
        <v>0</v>
      </c>
      <c r="BY549" s="36" t="n">
        <f aca="false">BY547*$AC$545*BY548*BY$38*'⑫ Roll-out Plan'!$O$59</f>
        <v>0</v>
      </c>
      <c r="BZ549" s="36" t="n">
        <f aca="false">BZ547*$AC$545*BZ548*BZ$38*'⑫ Roll-out Plan'!$O$59</f>
        <v>0</v>
      </c>
      <c r="CA549" s="36" t="n">
        <f aca="false">CA547*$AC$545*CA548*CA$38*'⑫ Roll-out Plan'!$O$59</f>
        <v>0</v>
      </c>
      <c r="CB549" s="36" t="n">
        <f aca="false">CB547*$AC$545*CB548*CB$38*'⑫ Roll-out Plan'!$O$59</f>
        <v>0</v>
      </c>
      <c r="CC549" s="36" t="n">
        <f aca="false">CC547*$AC$545*CC548*CC$38*'⑫ Roll-out Plan'!$O$59</f>
        <v>0</v>
      </c>
      <c r="CD549" s="36" t="n">
        <f aca="false">CD547*$AC$545*CD548*CD$38*'⑫ Roll-out Plan'!$O$59</f>
        <v>0</v>
      </c>
      <c r="CE549" s="36" t="n">
        <f aca="false">CE547*$AC$545*CE548*CE$38*'⑫ Roll-out Plan'!$O$59</f>
        <v>0</v>
      </c>
      <c r="CF549" s="36" t="n">
        <f aca="false">CF547*$AC$545*CF548*CF$38*'⑫ Roll-out Plan'!$O$59</f>
        <v>0</v>
      </c>
      <c r="CG549" s="36" t="n">
        <f aca="false">CG547*$AC$545*CG548*CG$38*'⑫ Roll-out Plan'!$O$59</f>
        <v>0</v>
      </c>
      <c r="CH549" s="36" t="n">
        <f aca="false">CH547*$AC$545*CH548*CH$38*'⑫ Roll-out Plan'!$O$59</f>
        <v>0</v>
      </c>
      <c r="CI549" s="36" t="n">
        <f aca="false">CI547*$AC$545*CI548*CI$38*'⑫ Roll-out Plan'!$O$59</f>
        <v>0</v>
      </c>
      <c r="CJ549" s="36" t="n">
        <f aca="false">CJ547*$AC$545*CJ548*CJ$38*'⑫ Roll-out Plan'!$O$59</f>
        <v>0</v>
      </c>
      <c r="CK549" s="36" t="n">
        <f aca="false">CK547*$AC$545*CK548*CK$38*'⑫ Roll-out Plan'!$O$59</f>
        <v>0</v>
      </c>
      <c r="CL549" s="36" t="n">
        <f aca="false">CL547*$AC$545*CL548*CL$38*'⑫ Roll-out Plan'!$O$59</f>
        <v>0</v>
      </c>
      <c r="CM549" s="36" t="n">
        <f aca="false">CM547*$AC$545*CM548*CM$38*'⑫ Roll-out Plan'!$O$59</f>
        <v>0</v>
      </c>
      <c r="CN549" s="36" t="n">
        <f aca="false">CN547*$AC$545*CN548*CN$38*'⑫ Roll-out Plan'!$O$59</f>
        <v>0</v>
      </c>
      <c r="CO549" s="36" t="n">
        <f aca="false">CO547*$AC$545*CO548*CO$38*'⑫ Roll-out Plan'!$O$59</f>
        <v>0</v>
      </c>
      <c r="CP549" s="36" t="n">
        <f aca="false">CP547*$AC$545*CP548*CP$38*'⑫ Roll-out Plan'!$O$59</f>
        <v>0</v>
      </c>
      <c r="CQ549" s="36" t="n">
        <f aca="false">CQ547*$AC$545*CQ548*CQ$38*'⑫ Roll-out Plan'!$O$59</f>
        <v>0</v>
      </c>
      <c r="CR549" s="36" t="n">
        <f aca="false">CR547*$AC$545*CR548*CR$38*'⑫ Roll-out Plan'!$O$59</f>
        <v>0</v>
      </c>
      <c r="CS549" s="36" t="n">
        <f aca="false">CS547*$AC$545*CS548*CS$38*'⑫ Roll-out Plan'!$O$59</f>
        <v>0</v>
      </c>
      <c r="CT549" s="36" t="n">
        <f aca="false">CT547*$AC$545*CT548*CT$38*'⑫ Roll-out Plan'!$O$59</f>
        <v>0</v>
      </c>
      <c r="CU549" s="36" t="n">
        <f aca="false">CU547*$AC$545*CU548*CU$38*'⑫ Roll-out Plan'!$O$59</f>
        <v>0</v>
      </c>
      <c r="CV549" s="36" t="n">
        <f aca="false">CV547*$AC$545*CV548*CV$38*'⑫ Roll-out Plan'!$O$59</f>
        <v>0</v>
      </c>
      <c r="CW549" s="36" t="n">
        <f aca="false">CW547*$AC$545*CW548*CW$38*'⑫ Roll-out Plan'!$O$59</f>
        <v>0</v>
      </c>
      <c r="CX549" s="36" t="n">
        <f aca="false">CX547*$AC$545*CX548*CX$38*'⑫ Roll-out Plan'!$O$59</f>
        <v>0</v>
      </c>
      <c r="CY549" s="36" t="n">
        <f aca="false">CY547*$AC$545*CY548*CY$38*'⑫ Roll-out Plan'!$O$59</f>
        <v>0</v>
      </c>
      <c r="CZ549" s="36" t="n">
        <f aca="false">CZ547*$AC$545*CZ548*CZ$38*'⑫ Roll-out Plan'!$O$59</f>
        <v>0</v>
      </c>
      <c r="DA549" s="36" t="n">
        <f aca="false">DA547*$AC$545*DA548*DA$38*'⑫ Roll-out Plan'!$O$59</f>
        <v>0</v>
      </c>
      <c r="DB549" s="36" t="n">
        <f aca="false">DB547*$AC$545*DB548*DB$38*'⑫ Roll-out Plan'!$O$59</f>
        <v>0</v>
      </c>
      <c r="DC549" s="36" t="n">
        <f aca="false">DC547*$AC$545*DC548*DC$38*'⑫ Roll-out Plan'!$O$59</f>
        <v>0</v>
      </c>
      <c r="DD549" s="36" t="n">
        <f aca="false">DD547*$AC$545*DD548*DD$38*'⑫ Roll-out Plan'!$O$59</f>
        <v>0</v>
      </c>
      <c r="DE549" s="36" t="n">
        <f aca="false">DE547*$AC$545*DE548*DE$38*'⑫ Roll-out Plan'!$O$59</f>
        <v>0</v>
      </c>
      <c r="DF549" s="36" t="n">
        <f aca="false">DF547*$AC$545*DF548*DF$38*'⑫ Roll-out Plan'!$O$59</f>
        <v>0</v>
      </c>
      <c r="DG549" s="36" t="n">
        <f aca="false">DG547*$AC$545*DG548*DG$38*'⑫ Roll-out Plan'!$O$59</f>
        <v>0</v>
      </c>
      <c r="DH549" s="36" t="n">
        <f aca="false">DH547*$AC$545*DH548*DH$38*'⑫ Roll-out Plan'!$O$59</f>
        <v>0</v>
      </c>
      <c r="DI549" s="36" t="n">
        <f aca="false">DI547*$AC$545*DI548*DI$38*'⑫ Roll-out Plan'!$O$59</f>
        <v>0</v>
      </c>
      <c r="DJ549" s="36" t="n">
        <f aca="false">DJ547*$AC$545*DJ548*DJ$38*'⑫ Roll-out Plan'!$O$59</f>
        <v>0</v>
      </c>
      <c r="DK549" s="36" t="n">
        <f aca="false">DK547*$AC$545*DK548*DK$38*'⑫ Roll-out Plan'!$O$59</f>
        <v>0</v>
      </c>
      <c r="DL549" s="36" t="n">
        <f aca="false">DL547*$AC$545*DL548*DL$38*'⑫ Roll-out Plan'!$O$59</f>
        <v>0</v>
      </c>
      <c r="DM549" s="36" t="n">
        <f aca="false">DM547*$AC$545*DM548*DM$38*'⑫ Roll-out Plan'!$O$59</f>
        <v>0</v>
      </c>
      <c r="DN549" s="36" t="n">
        <f aca="false">DN547*$AC$545*DN548*DN$38*'⑫ Roll-out Plan'!$O$59</f>
        <v>0</v>
      </c>
      <c r="DO549" s="36" t="n">
        <f aca="false">DO547*$AC$545*DO548*DO$38*'⑫ Roll-out Plan'!$O$59</f>
        <v>0</v>
      </c>
      <c r="DP549" s="36" t="n">
        <f aca="false">DP547*$AC$545*DP548*DP$38*'⑫ Roll-out Plan'!$O$59</f>
        <v>0</v>
      </c>
      <c r="DQ549" s="36" t="n">
        <f aca="false">DQ547*$AC$545*DQ548*DQ$38*'⑫ Roll-out Plan'!$O$59</f>
        <v>0</v>
      </c>
      <c r="DR549" s="36" t="n">
        <f aca="false">DR547*$AC$545*DR548*DR$38*'⑫ Roll-out Plan'!$O$59</f>
        <v>0</v>
      </c>
      <c r="DS549" s="36" t="n">
        <f aca="false">DS547*$AC$545*DS548*DS$38*'⑫ Roll-out Plan'!$O$59</f>
        <v>0</v>
      </c>
      <c r="DT549" s="36" t="n">
        <f aca="false">DT547*$AC$545*DT548*DT$38*'⑫ Roll-out Plan'!$O$59</f>
        <v>0</v>
      </c>
      <c r="DU549" s="36" t="n">
        <f aca="false">DU547*$AC$545*DU548*DU$38*'⑫ Roll-out Plan'!$O$59</f>
        <v>0</v>
      </c>
      <c r="DV549" s="36" t="n">
        <f aca="false">DV547*$AC$545*DV548*DV$38*'⑫ Roll-out Plan'!$O$59</f>
        <v>0</v>
      </c>
      <c r="DW549" s="36" t="n">
        <f aca="false">DW547*$AC$545*DW548*DW$38*'⑫ Roll-out Plan'!$O$59</f>
        <v>0</v>
      </c>
      <c r="DX549" s="36" t="n">
        <f aca="false">DX547*$AC$545*DX548*DX$38*'⑫ Roll-out Plan'!$O$59</f>
        <v>0</v>
      </c>
      <c r="DY549" s="36" t="n">
        <f aca="false">DY547*$AC$545*DY548*DY$38*'⑫ Roll-out Plan'!$O$59</f>
        <v>0</v>
      </c>
      <c r="DZ549" s="36" t="n">
        <f aca="false">DZ547*$AC$545*DZ548*DZ$38*'⑫ Roll-out Plan'!$O$59</f>
        <v>0</v>
      </c>
      <c r="EA549" s="36" t="n">
        <f aca="false">EA547*$AC$545*EA548*EA$38*'⑫ Roll-out Plan'!$O$59</f>
        <v>0</v>
      </c>
      <c r="EB549" s="36" t="n">
        <f aca="false">EB547*$AC$545*EB548*EB$38*'⑫ Roll-out Plan'!$O$59</f>
        <v>0</v>
      </c>
      <c r="EC549" s="36" t="n">
        <f aca="false">EC547*$AC$545*EC548*EC$38*'⑫ Roll-out Plan'!$O$59</f>
        <v>0</v>
      </c>
      <c r="ED549" s="36" t="n">
        <f aca="false">ED547*$AC$545*ED548*ED$38*'⑫ Roll-out Plan'!$O$59</f>
        <v>0</v>
      </c>
      <c r="EE549" s="36" t="n">
        <f aca="false">EE547*$AC$545*EE548*EE$38*'⑫ Roll-out Plan'!$O$59</f>
        <v>0</v>
      </c>
      <c r="EF549" s="36" t="n">
        <f aca="false">EF547*$AC$545*EF548*EF$38*'⑫ Roll-out Plan'!$O$59</f>
        <v>0</v>
      </c>
      <c r="EG549" s="36" t="n">
        <f aca="false">EG547*$AC$545*EG548*EG$38*'⑫ Roll-out Plan'!$O$59</f>
        <v>0</v>
      </c>
      <c r="EH549" s="36" t="n">
        <f aca="false">EH547*$AC$545*EH548*EH$38*'⑫ Roll-out Plan'!$O$59</f>
        <v>0</v>
      </c>
      <c r="EI549" s="36" t="n">
        <f aca="false">EI547*$AC$545*EI548*EI$38*'⑫ Roll-out Plan'!$O$59</f>
        <v>0</v>
      </c>
      <c r="EJ549" s="36" t="n">
        <f aca="false">EJ547*$AC$545*EJ548*EJ$38*'⑫ Roll-out Plan'!$O$59</f>
        <v>0</v>
      </c>
      <c r="EK549" s="36" t="n">
        <f aca="false">EK547*$AC$545*EK548*EK$38*'⑫ Roll-out Plan'!$O$59</f>
        <v>0</v>
      </c>
      <c r="EL549" s="36" t="n">
        <f aca="false">EL547*$AC$545*EL548*EL$38*'⑫ Roll-out Plan'!$O$59</f>
        <v>0</v>
      </c>
      <c r="EM549" s="36" t="n">
        <f aca="false">EM547*$AC$545*EM548*EM$38*'⑫ Roll-out Plan'!$O$59</f>
        <v>0</v>
      </c>
      <c r="EN549" s="36" t="n">
        <f aca="false">EN547*$AC$545*EN548*EN$38*'⑫ Roll-out Plan'!$O$59</f>
        <v>0</v>
      </c>
      <c r="EO549" s="36" t="n">
        <f aca="false">EO547*$AC$545*EO548*EO$38*'⑫ Roll-out Plan'!$O$59</f>
        <v>0</v>
      </c>
      <c r="EP549" s="36" t="n">
        <f aca="false">EP547*$AC$545*EP548*EP$38*'⑫ Roll-out Plan'!$O$59</f>
        <v>0</v>
      </c>
      <c r="EQ549" s="36" t="n">
        <f aca="false">EQ547*$AC$545*EQ548*EQ$38*'⑫ Roll-out Plan'!$O$59</f>
        <v>0</v>
      </c>
      <c r="ER549" s="36" t="n">
        <f aca="false">ER547*$AC$545*ER548*ER$38*'⑫ Roll-out Plan'!$O$59</f>
        <v>0</v>
      </c>
      <c r="ES549" s="9" t="n">
        <f aca="false">ES547*$AC$545*ES548*ES$38*'⑫ Roll-out Plan'!$O$59</f>
        <v>0</v>
      </c>
      <c r="ET549" s="9" t="n">
        <f aca="false">ET547*$AC$545*ET548*ET$38*'⑫ Roll-out Plan'!$O$59</f>
        <v>0</v>
      </c>
      <c r="EU549" s="9" t="n">
        <f aca="false">EU547*$AC$545*EU548*EU$38*'⑫ Roll-out Plan'!$O$59</f>
        <v>0</v>
      </c>
      <c r="EV549" s="9" t="n">
        <f aca="false">EV547*$AC$545*EV548*EV$38*'⑫ Roll-out Plan'!$O$59</f>
        <v>0</v>
      </c>
      <c r="EW549" s="9" t="n">
        <f aca="false">EW547*$AC$545*EW548*EW$38*'⑫ Roll-out Plan'!$O$59</f>
        <v>0</v>
      </c>
      <c r="EX549" s="9" t="n">
        <f aca="false">EX547*$AC$545*EX548*EX$38*'⑫ Roll-out Plan'!$O$59</f>
        <v>29.6</v>
      </c>
      <c r="EY549" s="9" t="n">
        <f aca="false">EY547*$AC$545*EY548*EY$38*'⑫ Roll-out Plan'!$O$59</f>
        <v>34.188</v>
      </c>
      <c r="EZ549" s="9" t="n">
        <f aca="false">EZ547*$AC$545*EZ548*EZ$38*'⑫ Roll-out Plan'!$O$59</f>
        <v>63.048</v>
      </c>
      <c r="FA549" s="9" t="n">
        <f aca="false">FA547*$AC$545*FA548*FA$38*'⑫ Roll-out Plan'!$O$59</f>
        <v>57.942</v>
      </c>
      <c r="FB549" s="9" t="n">
        <f aca="false">FB547*$AC$545*FB548*FB$38*'⑫ Roll-out Plan'!$O$59</f>
        <v>47.952</v>
      </c>
      <c r="FC549" s="9" t="n">
        <f aca="false">FC547*$AC$545*FC548*FC$38*'⑫ Roll-out Plan'!$O$59</f>
        <v>41.292</v>
      </c>
      <c r="FD549" s="9" t="n">
        <f aca="false">FD547*$AC$545*FD548*FD$38*'⑫ Roll-out Plan'!$O$59</f>
        <v>66.045</v>
      </c>
      <c r="FE549" s="9" t="n">
        <f aca="false">FE547*$AC$545*FE548*FE$38*'⑫ Roll-out Plan'!$O$59</f>
        <v>77.922</v>
      </c>
      <c r="FF549" s="9" t="n">
        <f aca="false">FF547*$AC$545*FF548*FF$38*'⑫ Roll-out Plan'!$O$59</f>
        <v>66.748</v>
      </c>
      <c r="FG549" s="9" t="n">
        <f aca="false">FG547*$AC$545*FG548*FG$38*'⑫ Roll-out Plan'!$O$59</f>
        <v>94.424</v>
      </c>
      <c r="FH549" s="9" t="n">
        <f aca="false">FH547*$AC$545*FH548*FH$38*'⑫ Roll-out Plan'!$O$59</f>
        <v>97.68</v>
      </c>
      <c r="FI549" s="9" t="n">
        <f aca="false">FI547*$AC$545*FI548*FI$38*'⑫ Roll-out Plan'!$O$59</f>
        <v>88.504</v>
      </c>
      <c r="FJ549" s="9" t="n">
        <f aca="false">FJ547*$AC$545*FJ548*FJ$38*'⑫ Roll-out Plan'!$O$59</f>
        <v>82.88</v>
      </c>
      <c r="FK549" s="9" t="n">
        <f aca="false">FK547*$AC$545*FK548*FK$38*'⑫ Roll-out Plan'!$O$59</f>
        <v>93.24</v>
      </c>
      <c r="FL549" s="9" t="n">
        <f aca="false">FL547*$AC$545*FL548*FL$38*'⑫ Roll-out Plan'!$O$59</f>
        <v>157.62</v>
      </c>
      <c r="FM549" s="9" t="n">
        <f aca="false">FM547*$AC$545*FM548*FM$38*'⑫ Roll-out Plan'!$O$59</f>
        <v>162.2376</v>
      </c>
      <c r="FN549" s="9" t="n">
        <f aca="false">FN547*$AC$545*FN548*FN$38*'⑫ Roll-out Plan'!$O$59</f>
        <v>140.6592</v>
      </c>
      <c r="FO549" s="9" t="n">
        <f aca="false">FO547*$AC$545*FO548*FO$38*'⑫ Roll-out Plan'!$O$59</f>
        <v>110.2896</v>
      </c>
      <c r="FP549" s="9" t="n">
        <f aca="false">FP547*$AC$545*FP548*FP$38*'⑫ Roll-out Plan'!$O$59</f>
        <v>160.7724</v>
      </c>
    </row>
    <row r="550" customFormat="false" ht="15" hidden="false" customHeight="false" outlineLevel="2" collapsed="false">
      <c r="B550" s="9" t="s">
        <v>877</v>
      </c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112" t="n">
        <f aca="true">IFERROR(SUMPRODUCT(OFFSET($BJ$31,0,1-MIN(60,COLUMN()-29),1,MIN(60,COLUMN()-29)),OFFSET(AC549,0,-MIN(60,COLUMN()-29),1,MIN(60,COLUMN()-29))),0)</f>
        <v>0</v>
      </c>
      <c r="AD550" s="112" t="n">
        <f aca="true">IFERROR(SUMPRODUCT(OFFSET($BJ$31,0,1-MIN(60,COLUMN()-29),1,MIN(60,COLUMN()-29)),OFFSET(AD549,0,-MIN(60,COLUMN()-29),1,MIN(60,COLUMN()-29))),0)</f>
        <v>0</v>
      </c>
      <c r="AE550" s="112" t="n">
        <f aca="true">IFERROR(SUMPRODUCT(OFFSET($BJ$31,0,1-MIN(60,COLUMN()-29),1,MIN(60,COLUMN()-29)),OFFSET(AE549,0,-MIN(60,COLUMN()-29),1,MIN(60,COLUMN()-29))),0)</f>
        <v>0</v>
      </c>
      <c r="AF550" s="112" t="n">
        <f aca="true">IFERROR(SUMPRODUCT(OFFSET($BJ$31,0,1-MIN(60,COLUMN()-29),1,MIN(60,COLUMN()-29)),OFFSET(AF549,0,-MIN(60,COLUMN()-29),1,MIN(60,COLUMN()-29))),0)</f>
        <v>0</v>
      </c>
      <c r="AG550" s="112" t="n">
        <f aca="true">IFERROR(SUMPRODUCT(OFFSET($BJ$31,0,1-MIN(60,COLUMN()-29),1,MIN(60,COLUMN()-29)),OFFSET(AG549,0,-MIN(60,COLUMN()-29),1,MIN(60,COLUMN()-29))),0)</f>
        <v>0</v>
      </c>
      <c r="AH550" s="112" t="n">
        <f aca="true">IFERROR(SUMPRODUCT(OFFSET($BJ$31,0,1-MIN(60,COLUMN()-29),1,MIN(60,COLUMN()-29)),OFFSET(AH549,0,-MIN(60,COLUMN()-29),1,MIN(60,COLUMN()-29))),0)</f>
        <v>0</v>
      </c>
      <c r="AI550" s="112" t="n">
        <f aca="true">IFERROR(SUMPRODUCT(OFFSET($BJ$31,0,1-MIN(60,COLUMN()-29),1,MIN(60,COLUMN()-29)),OFFSET(AI549,0,-MIN(60,COLUMN()-29),1,MIN(60,COLUMN()-29))),0)</f>
        <v>0</v>
      </c>
      <c r="AJ550" s="112" t="n">
        <f aca="true">IFERROR(SUMPRODUCT(OFFSET($BJ$31,0,1-MIN(60,COLUMN()-29),1,MIN(60,COLUMN()-29)),OFFSET(AJ549,0,-MIN(60,COLUMN()-29),1,MIN(60,COLUMN()-29))),0)</f>
        <v>0</v>
      </c>
      <c r="AK550" s="112" t="n">
        <f aca="true">IFERROR(SUMPRODUCT(OFFSET($BJ$31,0,1-MIN(60,COLUMN()-29),1,MIN(60,COLUMN()-29)),OFFSET(AK549,0,-MIN(60,COLUMN()-29),1,MIN(60,COLUMN()-29))),0)</f>
        <v>0</v>
      </c>
      <c r="AL550" s="112" t="n">
        <f aca="true">IFERROR(SUMPRODUCT(OFFSET($BJ$31,0,1-MIN(60,COLUMN()-29),1,MIN(60,COLUMN()-29)),OFFSET(AL549,0,-MIN(60,COLUMN()-29),1,MIN(60,COLUMN()-29))),0)</f>
        <v>0</v>
      </c>
      <c r="AM550" s="112" t="n">
        <f aca="true">IFERROR(SUMPRODUCT(OFFSET($BJ$31,0,1-MIN(60,COLUMN()-29),1,MIN(60,COLUMN()-29)),OFFSET(AM549,0,-MIN(60,COLUMN()-29),1,MIN(60,COLUMN()-29))),0)</f>
        <v>0</v>
      </c>
      <c r="AN550" s="239" t="n">
        <f aca="true">IFERROR(SUMPRODUCT(OFFSET($BJ$31,0,1-MIN(60,COLUMN()-29),1,MIN(60,COLUMN()-29)),OFFSET(AN549,0,-MIN(60,COLUMN()-29),1,MIN(60,COLUMN()-29))),0)</f>
        <v>0</v>
      </c>
      <c r="AO550" s="112" t="n">
        <f aca="true">IFERROR(SUMPRODUCT(OFFSET($BJ$31,0,1-MIN(60,COLUMN()-29),1,MIN(60,COLUMN()-29)),OFFSET(AO549,0,-MIN(60,COLUMN()-29),1,MIN(60,COLUMN()-29))),0)</f>
        <v>0</v>
      </c>
      <c r="AP550" s="112" t="n">
        <f aca="true">IFERROR(SUMPRODUCT(OFFSET($BJ$31,0,1-MIN(60,COLUMN()-29),1,MIN(60,COLUMN()-29)),OFFSET(AP549,0,-MIN(60,COLUMN()-29),1,MIN(60,COLUMN()-29))),0)</f>
        <v>0</v>
      </c>
      <c r="AQ550" s="112" t="n">
        <f aca="true">IFERROR(SUMPRODUCT(OFFSET($BJ$31,0,1-MIN(60,COLUMN()-29),1,MIN(60,COLUMN()-29)),OFFSET(AQ549,0,-MIN(60,COLUMN()-29),1,MIN(60,COLUMN()-29))),0)</f>
        <v>0</v>
      </c>
      <c r="AR550" s="112" t="n">
        <f aca="true">IFERROR(SUMPRODUCT(OFFSET($BJ$31,0,1-MIN(60,COLUMN()-29),1,MIN(60,COLUMN()-29)),OFFSET(AR549,0,-MIN(60,COLUMN()-29),1,MIN(60,COLUMN()-29))),0)</f>
        <v>0</v>
      </c>
      <c r="AS550" s="112" t="n">
        <f aca="true">IFERROR(SUMPRODUCT(OFFSET($BJ$31,0,1-MIN(60,COLUMN()-29),1,MIN(60,COLUMN()-29)),OFFSET(AS549,0,-MIN(60,COLUMN()-29),1,MIN(60,COLUMN()-29))),0)</f>
        <v>0</v>
      </c>
      <c r="AT550" s="112" t="n">
        <f aca="true">IFERROR(SUMPRODUCT(OFFSET($BJ$31,0,1-MIN(60,COLUMN()-29),1,MIN(60,COLUMN()-29)),OFFSET(AT549,0,-MIN(60,COLUMN()-29),1,MIN(60,COLUMN()-29))),0)</f>
        <v>0</v>
      </c>
      <c r="AU550" s="112" t="n">
        <f aca="true">IFERROR(SUMPRODUCT(OFFSET($BJ$31,0,1-MIN(60,COLUMN()-29),1,MIN(60,COLUMN()-29)),OFFSET(AU549,0,-MIN(60,COLUMN()-29),1,MIN(60,COLUMN()-29))),0)</f>
        <v>0</v>
      </c>
      <c r="AV550" s="112" t="n">
        <f aca="true">IFERROR(SUMPRODUCT(OFFSET($BJ$31,0,1-MIN(60,COLUMN()-29),1,MIN(60,COLUMN()-29)),OFFSET(AV549,0,-MIN(60,COLUMN()-29),1,MIN(60,COLUMN()-29))),0)</f>
        <v>0</v>
      </c>
      <c r="AW550" s="112" t="n">
        <f aca="true">IFERROR(SUMPRODUCT(OFFSET($BJ$31,0,1-MIN(60,COLUMN()-29),1,MIN(60,COLUMN()-29)),OFFSET(AW549,0,-MIN(60,COLUMN()-29),1,MIN(60,COLUMN()-29))),0)</f>
        <v>0</v>
      </c>
      <c r="AX550" s="112" t="n">
        <f aca="true">IFERROR(SUMPRODUCT(OFFSET($BJ$31,0,1-MIN(60,COLUMN()-29),1,MIN(60,COLUMN()-29)),OFFSET(AX549,0,-MIN(60,COLUMN()-29),1,MIN(60,COLUMN()-29))),0)</f>
        <v>0</v>
      </c>
      <c r="AY550" s="112" t="n">
        <f aca="true">IFERROR(SUMPRODUCT(OFFSET($BJ$31,0,1-MIN(60,COLUMN()-29),1,MIN(60,COLUMN()-29)),OFFSET(AY549,0,-MIN(60,COLUMN()-29),1,MIN(60,COLUMN()-29))),0)</f>
        <v>0</v>
      </c>
      <c r="AZ550" s="112" t="n">
        <f aca="true">IFERROR(SUMPRODUCT(OFFSET($BJ$31,0,1-MIN(60,COLUMN()-29),1,MIN(60,COLUMN()-29)),OFFSET(AZ549,0,-MIN(60,COLUMN()-29),1,MIN(60,COLUMN()-29))),0)</f>
        <v>0</v>
      </c>
      <c r="BA550" s="112" t="n">
        <f aca="true">IFERROR(SUMPRODUCT(OFFSET($BJ$31,0,1-MIN(60,COLUMN()-29),1,MIN(60,COLUMN()-29)),OFFSET(BA549,0,-MIN(60,COLUMN()-29),1,MIN(60,COLUMN()-29))),0)</f>
        <v>0</v>
      </c>
      <c r="BB550" s="112" t="n">
        <f aca="true">IFERROR(SUMPRODUCT(OFFSET($BJ$31,0,1-MIN(60,COLUMN()-29),1,MIN(60,COLUMN()-29)),OFFSET(BB549,0,-MIN(60,COLUMN()-29),1,MIN(60,COLUMN()-29))),0)</f>
        <v>0</v>
      </c>
      <c r="BC550" s="112" t="n">
        <f aca="true">IFERROR(SUMPRODUCT(OFFSET($BJ$31,0,1-MIN(60,COLUMN()-29),1,MIN(60,COLUMN()-29)),OFFSET(BC549,0,-MIN(60,COLUMN()-29),1,MIN(60,COLUMN()-29))),0)</f>
        <v>0</v>
      </c>
      <c r="BD550" s="112" t="n">
        <f aca="true">IFERROR(SUMPRODUCT(OFFSET($BJ$31,0,1-MIN(60,COLUMN()-29),1,MIN(60,COLUMN()-29)),OFFSET(BD549,0,-MIN(60,COLUMN()-29),1,MIN(60,COLUMN()-29))),0)</f>
        <v>0</v>
      </c>
      <c r="BE550" s="112" t="n">
        <f aca="true">IFERROR(SUMPRODUCT(OFFSET($BJ$31,0,1-MIN(60,COLUMN()-29),1,MIN(60,COLUMN()-29)),OFFSET(BE549,0,-MIN(60,COLUMN()-29),1,MIN(60,COLUMN()-29))),0)</f>
        <v>0</v>
      </c>
      <c r="BF550" s="112" t="n">
        <f aca="true">IFERROR(SUMPRODUCT(OFFSET($BJ$31,0,1-MIN(60,COLUMN()-29),1,MIN(60,COLUMN()-29)),OFFSET(BF549,0,-MIN(60,COLUMN()-29),1,MIN(60,COLUMN()-29))),0)</f>
        <v>0</v>
      </c>
      <c r="BG550" s="112" t="n">
        <f aca="true">IFERROR(SUMPRODUCT(OFFSET($BJ$31,0,1-MIN(60,COLUMN()-29),1,MIN(60,COLUMN()-29)),OFFSET(BG549,0,-MIN(60,COLUMN()-29),1,MIN(60,COLUMN()-29))),0)</f>
        <v>0</v>
      </c>
      <c r="BH550" s="112" t="n">
        <f aca="true">IFERROR(SUMPRODUCT(OFFSET($BJ$31,0,1-MIN(60,COLUMN()-29),1,MIN(60,COLUMN()-29)),OFFSET(BH549,0,-MIN(60,COLUMN()-29),1,MIN(60,COLUMN()-29))),0)</f>
        <v>0</v>
      </c>
      <c r="BI550" s="112" t="n">
        <f aca="true">IFERROR(SUMPRODUCT(OFFSET($BJ$31,0,1-MIN(60,COLUMN()-29),1,MIN(60,COLUMN()-29)),OFFSET(BI549,0,-MIN(60,COLUMN()-29),1,MIN(60,COLUMN()-29))),0)</f>
        <v>0</v>
      </c>
      <c r="BJ550" s="112" t="n">
        <f aca="true">IFERROR(SUMPRODUCT(OFFSET($BJ$31,0,1-MIN(60,COLUMN()-29),1,MIN(60,COLUMN()-29)),OFFSET(BJ549,0,-MIN(60,COLUMN()-29),1,MIN(60,COLUMN()-29))),0)</f>
        <v>0</v>
      </c>
      <c r="BK550" s="112" t="n">
        <f aca="true">IFERROR(SUMPRODUCT(OFFSET($BJ$31,0,1-MIN(60,COLUMN()-29),1,MIN(60,COLUMN()-29)),OFFSET(BK549,0,-MIN(60,COLUMN()-29),1,MIN(60,COLUMN()-29))),0)</f>
        <v>0</v>
      </c>
      <c r="BL550" s="112" t="n">
        <f aca="true">IFERROR(SUMPRODUCT(OFFSET($BJ$31,0,1-MIN(60,COLUMN()-29),1,MIN(60,COLUMN()-29)),OFFSET(BL549,0,-MIN(60,COLUMN()-29),1,MIN(60,COLUMN()-29))),0)</f>
        <v>0</v>
      </c>
      <c r="BM550" s="112" t="n">
        <f aca="true">IFERROR(SUMPRODUCT(OFFSET($BJ$31,0,1-MIN(60,COLUMN()-29),1,MIN(60,COLUMN()-29)),OFFSET(BM549,0,-MIN(60,COLUMN()-29),1,MIN(60,COLUMN()-29))),0)</f>
        <v>0</v>
      </c>
      <c r="BN550" s="112" t="n">
        <f aca="true">IFERROR(SUMPRODUCT(OFFSET($BJ$31,0,1-MIN(60,COLUMN()-29),1,MIN(60,COLUMN()-29)),OFFSET(BN549,0,-MIN(60,COLUMN()-29),1,MIN(60,COLUMN()-29))),0)</f>
        <v>0</v>
      </c>
      <c r="BO550" s="112" t="n">
        <f aca="true">IFERROR(SUMPRODUCT(OFFSET($BJ$31,0,1-MIN(60,COLUMN()-29),1,MIN(60,COLUMN()-29)),OFFSET(BO549,0,-MIN(60,COLUMN()-29),1,MIN(60,COLUMN()-29))),0)</f>
        <v>0</v>
      </c>
      <c r="BP550" s="112" t="n">
        <f aca="true">IFERROR(SUMPRODUCT(OFFSET($BJ$31,0,1-MIN(60,COLUMN()-29),1,MIN(60,COLUMN()-29)),OFFSET(BP549,0,-MIN(60,COLUMN()-29),1,MIN(60,COLUMN()-29))),0)</f>
        <v>0</v>
      </c>
      <c r="BQ550" s="112" t="n">
        <f aca="true">IFERROR(SUMPRODUCT(OFFSET($BJ$31,0,1-MIN(60,COLUMN()-29),1,MIN(60,COLUMN()-29)),OFFSET(BQ549,0,-MIN(60,COLUMN()-29),1,MIN(60,COLUMN()-29))),0)</f>
        <v>0</v>
      </c>
      <c r="BR550" s="112" t="n">
        <f aca="true">IFERROR(SUMPRODUCT(OFFSET($BJ$31,0,1-MIN(60,COLUMN()-29),1,MIN(60,COLUMN()-29)),OFFSET(BR549,0,-MIN(60,COLUMN()-29),1,MIN(60,COLUMN()-29))),0)</f>
        <v>0</v>
      </c>
      <c r="BS550" s="112" t="n">
        <f aca="true">IFERROR(SUMPRODUCT(OFFSET($BJ$31,0,1-MIN(60,COLUMN()-29),1,MIN(60,COLUMN()-29)),OFFSET(BS549,0,-MIN(60,COLUMN()-29),1,MIN(60,COLUMN()-29))),0)</f>
        <v>0</v>
      </c>
      <c r="BT550" s="112" t="n">
        <f aca="true">IFERROR(SUMPRODUCT(OFFSET($BJ$31,0,1-MIN(60,COLUMN()-29),1,MIN(60,COLUMN()-29)),OFFSET(BT549,0,-MIN(60,COLUMN()-29),1,MIN(60,COLUMN()-29))),0)</f>
        <v>0</v>
      </c>
      <c r="BU550" s="112" t="n">
        <f aca="true">IFERROR(SUMPRODUCT(OFFSET($BJ$31,0,1-MIN(60,COLUMN()-29),1,MIN(60,COLUMN()-29)),OFFSET(BU549,0,-MIN(60,COLUMN()-29),1,MIN(60,COLUMN()-29))),0)</f>
        <v>0</v>
      </c>
      <c r="BV550" s="112" t="n">
        <f aca="true">IFERROR(SUMPRODUCT(OFFSET($BJ$31,0,1-MIN(60,COLUMN()-29),1,MIN(60,COLUMN()-29)),OFFSET(BV549,0,-MIN(60,COLUMN()-29),1,MIN(60,COLUMN()-29))),0)</f>
        <v>0</v>
      </c>
      <c r="BW550" s="112" t="n">
        <f aca="true">IFERROR(SUMPRODUCT(OFFSET($BJ$31,0,1-MIN(60,COLUMN()-29),1,MIN(60,COLUMN()-29)),OFFSET(BW549,0,-MIN(60,COLUMN()-29),1,MIN(60,COLUMN()-29))),0)</f>
        <v>0</v>
      </c>
      <c r="BX550" s="112" t="n">
        <f aca="true">IFERROR(SUMPRODUCT(OFFSET($BJ$31,0,1-MIN(60,COLUMN()-29),1,MIN(60,COLUMN()-29)),OFFSET(BX549,0,-MIN(60,COLUMN()-29),1,MIN(60,COLUMN()-29))),0)</f>
        <v>0</v>
      </c>
      <c r="BY550" s="112" t="n">
        <f aca="true">IFERROR(SUMPRODUCT(OFFSET($BJ$31,0,1-MIN(60,COLUMN()-29),1,MIN(60,COLUMN()-29)),OFFSET(BY549,0,-MIN(60,COLUMN()-29),1,MIN(60,COLUMN()-29))),0)</f>
        <v>0</v>
      </c>
      <c r="BZ550" s="112" t="n">
        <f aca="true">IFERROR(SUMPRODUCT(OFFSET($BJ$31,0,1-MIN(60,COLUMN()-29),1,MIN(60,COLUMN()-29)),OFFSET(BZ549,0,-MIN(60,COLUMN()-29),1,MIN(60,COLUMN()-29))),0)</f>
        <v>0</v>
      </c>
      <c r="CA550" s="112" t="n">
        <f aca="true">IFERROR(SUMPRODUCT(OFFSET($BJ$31,0,1-MIN(60,COLUMN()-29),1,MIN(60,COLUMN()-29)),OFFSET(CA549,0,-MIN(60,COLUMN()-29),1,MIN(60,COLUMN()-29))),0)</f>
        <v>0</v>
      </c>
      <c r="CB550" s="112" t="n">
        <f aca="true">IFERROR(SUMPRODUCT(OFFSET($BJ$31,0,1-MIN(60,COLUMN()-29),1,MIN(60,COLUMN()-29)),OFFSET(CB549,0,-MIN(60,COLUMN()-29),1,MIN(60,COLUMN()-29))),0)</f>
        <v>0</v>
      </c>
      <c r="CC550" s="112" t="n">
        <f aca="true">IFERROR(SUMPRODUCT(OFFSET($BJ$31,0,1-MIN(60,COLUMN()-29),1,MIN(60,COLUMN()-29)),OFFSET(CC549,0,-MIN(60,COLUMN()-29),1,MIN(60,COLUMN()-29))),0)</f>
        <v>0</v>
      </c>
      <c r="CD550" s="112" t="n">
        <f aca="true">IFERROR(SUMPRODUCT(OFFSET($BJ$31,0,1-MIN(60,COLUMN()-29),1,MIN(60,COLUMN()-29)),OFFSET(CD549,0,-MIN(60,COLUMN()-29),1,MIN(60,COLUMN()-29))),0)</f>
        <v>0</v>
      </c>
      <c r="CE550" s="112" t="n">
        <f aca="true">IFERROR(SUMPRODUCT(OFFSET($BJ$31,0,1-MIN(60,COLUMN()-29),1,MIN(60,COLUMN()-29)),OFFSET(CE549,0,-MIN(60,COLUMN()-29),1,MIN(60,COLUMN()-29))),0)</f>
        <v>0</v>
      </c>
      <c r="CF550" s="112" t="n">
        <f aca="true">IFERROR(SUMPRODUCT(OFFSET($BJ$31,0,1-MIN(60,COLUMN()-29),1,MIN(60,COLUMN()-29)),OFFSET(CF549,0,-MIN(60,COLUMN()-29),1,MIN(60,COLUMN()-29))),0)</f>
        <v>0</v>
      </c>
      <c r="CG550" s="112" t="n">
        <f aca="true">IFERROR(SUMPRODUCT(OFFSET($BJ$31,0,1-MIN(60,COLUMN()-29),1,MIN(60,COLUMN()-29)),OFFSET(CG549,0,-MIN(60,COLUMN()-29),1,MIN(60,COLUMN()-29))),0)</f>
        <v>0</v>
      </c>
      <c r="CH550" s="112" t="n">
        <f aca="true">IFERROR(SUMPRODUCT(OFFSET($BJ$31,0,1-MIN(60,COLUMN()-29),1,MIN(60,COLUMN()-29)),OFFSET(CH549,0,-MIN(60,COLUMN()-29),1,MIN(60,COLUMN()-29))),0)</f>
        <v>0</v>
      </c>
      <c r="CI550" s="112" t="n">
        <f aca="true">IFERROR(SUMPRODUCT(OFFSET($BJ$31,0,1-MIN(60,COLUMN()-29),1,MIN(60,COLUMN()-29)),OFFSET(CI549,0,-MIN(60,COLUMN()-29),1,MIN(60,COLUMN()-29))),0)</f>
        <v>0</v>
      </c>
      <c r="CJ550" s="112" t="n">
        <f aca="true">IFERROR(SUMPRODUCT(OFFSET($BJ$31,0,1-MIN(60,COLUMN()-29),1,MIN(60,COLUMN()-29)),OFFSET(CJ549,0,-MIN(60,COLUMN()-29),1,MIN(60,COLUMN()-29))),0)</f>
        <v>0</v>
      </c>
      <c r="CK550" s="112" t="n">
        <f aca="true">IFERROR(SUMPRODUCT(OFFSET($BJ$31,0,1-MIN(60,COLUMN()-29),1,MIN(60,COLUMN()-29)),OFFSET(CK549,0,-MIN(60,COLUMN()-29),1,MIN(60,COLUMN()-29))),0)</f>
        <v>0</v>
      </c>
      <c r="CL550" s="112" t="n">
        <f aca="true">IFERROR(SUMPRODUCT(OFFSET($BJ$31,0,1-MIN(60,COLUMN()-29),1,MIN(60,COLUMN()-29)),OFFSET(CL549,0,-MIN(60,COLUMN()-29),1,MIN(60,COLUMN()-29))),0)</f>
        <v>0</v>
      </c>
      <c r="CM550" s="112" t="n">
        <f aca="true">IFERROR(SUMPRODUCT(OFFSET($BJ$31,0,1-MIN(60,COLUMN()-29),1,MIN(60,COLUMN()-29)),OFFSET(CM549,0,-MIN(60,COLUMN()-29),1,MIN(60,COLUMN()-29))),0)</f>
        <v>0</v>
      </c>
      <c r="CN550" s="112" t="n">
        <f aca="true">IFERROR(SUMPRODUCT(OFFSET($BJ$31,0,1-MIN(60,COLUMN()-29),1,MIN(60,COLUMN()-29)),OFFSET(CN549,0,-MIN(60,COLUMN()-29),1,MIN(60,COLUMN()-29))),0)</f>
        <v>0</v>
      </c>
      <c r="CO550" s="112" t="n">
        <f aca="true">IFERROR(SUMPRODUCT(OFFSET($BJ$31,0,1-MIN(60,COLUMN()-29),1,MIN(60,COLUMN()-29)),OFFSET(CO549,0,-MIN(60,COLUMN()-29),1,MIN(60,COLUMN()-29))),0)</f>
        <v>0</v>
      </c>
      <c r="CP550" s="112" t="n">
        <f aca="true">IFERROR(SUMPRODUCT(OFFSET($BJ$31,0,1-MIN(60,COLUMN()-29),1,MIN(60,COLUMN()-29)),OFFSET(CP549,0,-MIN(60,COLUMN()-29),1,MIN(60,COLUMN()-29))),0)</f>
        <v>0</v>
      </c>
      <c r="CQ550" s="112" t="n">
        <f aca="true">IFERROR(SUMPRODUCT(OFFSET($BJ$31,0,1-MIN(60,COLUMN()-29),1,MIN(60,COLUMN()-29)),OFFSET(CQ549,0,-MIN(60,COLUMN()-29),1,MIN(60,COLUMN()-29))),0)</f>
        <v>0</v>
      </c>
      <c r="CR550" s="112" t="n">
        <f aca="true">IFERROR(SUMPRODUCT(OFFSET($BJ$31,0,1-MIN(60,COLUMN()-29),1,MIN(60,COLUMN()-29)),OFFSET(CR549,0,-MIN(60,COLUMN()-29),1,MIN(60,COLUMN()-29))),0)</f>
        <v>0</v>
      </c>
      <c r="CS550" s="112" t="n">
        <f aca="true">IFERROR(SUMPRODUCT(OFFSET($BJ$31,0,1-MIN(60,COLUMN()-29),1,MIN(60,COLUMN()-29)),OFFSET(CS549,0,-MIN(60,COLUMN()-29),1,MIN(60,COLUMN()-29))),0)</f>
        <v>0</v>
      </c>
      <c r="CT550" s="112" t="n">
        <f aca="true">IFERROR(SUMPRODUCT(OFFSET($BJ$31,0,1-MIN(60,COLUMN()-29),1,MIN(60,COLUMN()-29)),OFFSET(CT549,0,-MIN(60,COLUMN()-29),1,MIN(60,COLUMN()-29))),0)</f>
        <v>0</v>
      </c>
      <c r="CU550" s="112" t="n">
        <f aca="true">IFERROR(SUMPRODUCT(OFFSET($BJ$31,0,1-MIN(60,COLUMN()-29),1,MIN(60,COLUMN()-29)),OFFSET(CU549,0,-MIN(60,COLUMN()-29),1,MIN(60,COLUMN()-29))),0)</f>
        <v>0</v>
      </c>
      <c r="CV550" s="112" t="n">
        <f aca="true">IFERROR(SUMPRODUCT(OFFSET($BJ$31,0,1-MIN(60,COLUMN()-29),1,MIN(60,COLUMN()-29)),OFFSET(CV549,0,-MIN(60,COLUMN()-29),1,MIN(60,COLUMN()-29))),0)</f>
        <v>0</v>
      </c>
      <c r="CW550" s="112" t="n">
        <f aca="true">IFERROR(SUMPRODUCT(OFFSET($BJ$31,0,1-MIN(60,COLUMN()-29),1,MIN(60,COLUMN()-29)),OFFSET(CW549,0,-MIN(60,COLUMN()-29),1,MIN(60,COLUMN()-29))),0)</f>
        <v>0</v>
      </c>
      <c r="CX550" s="112" t="n">
        <f aca="true">IFERROR(SUMPRODUCT(OFFSET($BJ$31,0,1-MIN(60,COLUMN()-29),1,MIN(60,COLUMN()-29)),OFFSET(CX549,0,-MIN(60,COLUMN()-29),1,MIN(60,COLUMN()-29))),0)</f>
        <v>0</v>
      </c>
      <c r="CY550" s="112" t="n">
        <f aca="true">IFERROR(SUMPRODUCT(OFFSET($BJ$31,0,1-MIN(60,COLUMN()-29),1,MIN(60,COLUMN()-29)),OFFSET(CY549,0,-MIN(60,COLUMN()-29),1,MIN(60,COLUMN()-29))),0)</f>
        <v>0</v>
      </c>
      <c r="CZ550" s="112" t="n">
        <f aca="true">IFERROR(SUMPRODUCT(OFFSET($BJ$31,0,1-MIN(60,COLUMN()-29),1,MIN(60,COLUMN()-29)),OFFSET(CZ549,0,-MIN(60,COLUMN()-29),1,MIN(60,COLUMN()-29))),0)</f>
        <v>0</v>
      </c>
      <c r="DA550" s="112" t="n">
        <f aca="true">IFERROR(SUMPRODUCT(OFFSET($BJ$31,0,1-MIN(60,COLUMN()-29),1,MIN(60,COLUMN()-29)),OFFSET(DA549,0,-MIN(60,COLUMN()-29),1,MIN(60,COLUMN()-29))),0)</f>
        <v>0</v>
      </c>
      <c r="DB550" s="112" t="n">
        <f aca="true">IFERROR(SUMPRODUCT(OFFSET($BJ$31,0,1-MIN(60,COLUMN()-29),1,MIN(60,COLUMN()-29)),OFFSET(DB549,0,-MIN(60,COLUMN()-29),1,MIN(60,COLUMN()-29))),0)</f>
        <v>0</v>
      </c>
      <c r="DC550" s="112" t="n">
        <f aca="true">IFERROR(SUMPRODUCT(OFFSET($BJ$31,0,1-MIN(60,COLUMN()-29),1,MIN(60,COLUMN()-29)),OFFSET(DC549,0,-MIN(60,COLUMN()-29),1,MIN(60,COLUMN()-29))),0)</f>
        <v>0</v>
      </c>
      <c r="DD550" s="112" t="n">
        <f aca="true">IFERROR(SUMPRODUCT(OFFSET($BJ$31,0,1-MIN(60,COLUMN()-29),1,MIN(60,COLUMN()-29)),OFFSET(DD549,0,-MIN(60,COLUMN()-29),1,MIN(60,COLUMN()-29))),0)</f>
        <v>0</v>
      </c>
      <c r="DE550" s="112" t="n">
        <f aca="true">IFERROR(SUMPRODUCT(OFFSET($BJ$31,0,1-MIN(60,COLUMN()-29),1,MIN(60,COLUMN()-29)),OFFSET(DE549,0,-MIN(60,COLUMN()-29),1,MIN(60,COLUMN()-29))),0)</f>
        <v>0</v>
      </c>
      <c r="DF550" s="112" t="n">
        <f aca="true">IFERROR(SUMPRODUCT(OFFSET($BJ$31,0,1-MIN(60,COLUMN()-29),1,MIN(60,COLUMN()-29)),OFFSET(DF549,0,-MIN(60,COLUMN()-29),1,MIN(60,COLUMN()-29))),0)</f>
        <v>0</v>
      </c>
      <c r="DG550" s="112" t="n">
        <f aca="true">IFERROR(SUMPRODUCT(OFFSET($BJ$31,0,1-MIN(60,COLUMN()-29),1,MIN(60,COLUMN()-29)),OFFSET(DG549,0,-MIN(60,COLUMN()-29),1,MIN(60,COLUMN()-29))),0)</f>
        <v>0</v>
      </c>
      <c r="DH550" s="112" t="n">
        <f aca="true">IFERROR(SUMPRODUCT(OFFSET($BJ$31,0,1-MIN(60,COLUMN()-29),1,MIN(60,COLUMN()-29)),OFFSET(DH549,0,-MIN(60,COLUMN()-29),1,MIN(60,COLUMN()-29))),0)</f>
        <v>0</v>
      </c>
      <c r="DI550" s="112" t="n">
        <f aca="true">IFERROR(SUMPRODUCT(OFFSET($BJ$31,0,1-MIN(60,COLUMN()-29),1,MIN(60,COLUMN()-29)),OFFSET(DI549,0,-MIN(60,COLUMN()-29),1,MIN(60,COLUMN()-29))),0)</f>
        <v>0</v>
      </c>
      <c r="DJ550" s="112" t="n">
        <f aca="true">IFERROR(SUMPRODUCT(OFFSET($BJ$31,0,1-MIN(60,COLUMN()-29),1,MIN(60,COLUMN()-29)),OFFSET(DJ549,0,-MIN(60,COLUMN()-29),1,MIN(60,COLUMN()-29))),0)</f>
        <v>0</v>
      </c>
      <c r="DK550" s="112" t="n">
        <f aca="true">IFERROR(SUMPRODUCT(OFFSET($BJ$31,0,1-MIN(60,COLUMN()-29),1,MIN(60,COLUMN()-29)),OFFSET(DK549,0,-MIN(60,COLUMN()-29),1,MIN(60,COLUMN()-29))),0)</f>
        <v>0</v>
      </c>
      <c r="DL550" s="112" t="n">
        <f aca="true">IFERROR(SUMPRODUCT(OFFSET($BJ$31,0,1-MIN(60,COLUMN()-29),1,MIN(60,COLUMN()-29)),OFFSET(DL549,0,-MIN(60,COLUMN()-29),1,MIN(60,COLUMN()-29))),0)</f>
        <v>0</v>
      </c>
      <c r="DM550" s="112" t="n">
        <f aca="true">IFERROR(SUMPRODUCT(OFFSET($BJ$31,0,1-MIN(60,COLUMN()-29),1,MIN(60,COLUMN()-29)),OFFSET(DM549,0,-MIN(60,COLUMN()-29),1,MIN(60,COLUMN()-29))),0)</f>
        <v>0</v>
      </c>
      <c r="DN550" s="112" t="n">
        <f aca="true">IFERROR(SUMPRODUCT(OFFSET($BJ$31,0,1-MIN(60,COLUMN()-29),1,MIN(60,COLUMN()-29)),OFFSET(DN549,0,-MIN(60,COLUMN()-29),1,MIN(60,COLUMN()-29))),0)</f>
        <v>0</v>
      </c>
      <c r="DO550" s="112" t="n">
        <f aca="true">IFERROR(SUMPRODUCT(OFFSET($BJ$31,0,1-MIN(60,COLUMN()-29),1,MIN(60,COLUMN()-29)),OFFSET(DO549,0,-MIN(60,COLUMN()-29),1,MIN(60,COLUMN()-29))),0)</f>
        <v>0</v>
      </c>
      <c r="DP550" s="112" t="n">
        <f aca="true">IFERROR(SUMPRODUCT(OFFSET($BJ$31,0,1-MIN(60,COLUMN()-29),1,MIN(60,COLUMN()-29)),OFFSET(DP549,0,-MIN(60,COLUMN()-29),1,MIN(60,COLUMN()-29))),0)</f>
        <v>0</v>
      </c>
      <c r="DQ550" s="112" t="n">
        <f aca="true">IFERROR(SUMPRODUCT(OFFSET($BJ$31,0,1-MIN(60,COLUMN()-29),1,MIN(60,COLUMN()-29)),OFFSET(DQ549,0,-MIN(60,COLUMN()-29),1,MIN(60,COLUMN()-29))),0)</f>
        <v>0</v>
      </c>
      <c r="DR550" s="112" t="n">
        <f aca="true">IFERROR(SUMPRODUCT(OFFSET($BJ$31,0,1-MIN(60,COLUMN()-29),1,MIN(60,COLUMN()-29)),OFFSET(DR549,0,-MIN(60,COLUMN()-29),1,MIN(60,COLUMN()-29))),0)</f>
        <v>0</v>
      </c>
      <c r="DS550" s="112" t="n">
        <f aca="true">IFERROR(SUMPRODUCT(OFFSET($BJ$31,0,1-MIN(60,COLUMN()-29),1,MIN(60,COLUMN()-29)),OFFSET(DS549,0,-MIN(60,COLUMN()-29),1,MIN(60,COLUMN()-29))),0)</f>
        <v>0</v>
      </c>
      <c r="DT550" s="112" t="n">
        <f aca="true">IFERROR(SUMPRODUCT(OFFSET($BJ$31,0,1-MIN(60,COLUMN()-29),1,MIN(60,COLUMN()-29)),OFFSET(DT549,0,-MIN(60,COLUMN()-29),1,MIN(60,COLUMN()-29))),0)</f>
        <v>0</v>
      </c>
      <c r="DU550" s="112" t="n">
        <f aca="true">IFERROR(SUMPRODUCT(OFFSET($BJ$31,0,1-MIN(60,COLUMN()-29),1,MIN(60,COLUMN()-29)),OFFSET(DU549,0,-MIN(60,COLUMN()-29),1,MIN(60,COLUMN()-29))),0)</f>
        <v>0</v>
      </c>
      <c r="DV550" s="112" t="n">
        <f aca="true">IFERROR(SUMPRODUCT(OFFSET($BJ$31,0,1-MIN(60,COLUMN()-29),1,MIN(60,COLUMN()-29)),OFFSET(DV549,0,-MIN(60,COLUMN()-29),1,MIN(60,COLUMN()-29))),0)</f>
        <v>0</v>
      </c>
      <c r="DW550" s="112" t="n">
        <f aca="true">IFERROR(SUMPRODUCT(OFFSET($BJ$31,0,1-MIN(60,COLUMN()-29),1,MIN(60,COLUMN()-29)),OFFSET(DW549,0,-MIN(60,COLUMN()-29),1,MIN(60,COLUMN()-29))),0)</f>
        <v>0</v>
      </c>
      <c r="DX550" s="112" t="n">
        <f aca="true">IFERROR(SUMPRODUCT(OFFSET($BJ$31,0,1-MIN(60,COLUMN()-29),1,MIN(60,COLUMN()-29)),OFFSET(DX549,0,-MIN(60,COLUMN()-29),1,MIN(60,COLUMN()-29))),0)</f>
        <v>0</v>
      </c>
      <c r="DY550" s="112" t="n">
        <f aca="true">IFERROR(SUMPRODUCT(OFFSET($BJ$31,0,1-MIN(60,COLUMN()-29),1,MIN(60,COLUMN()-29)),OFFSET(DY549,0,-MIN(60,COLUMN()-29),1,MIN(60,COLUMN()-29))),0)</f>
        <v>0</v>
      </c>
      <c r="DZ550" s="112" t="n">
        <f aca="true">IFERROR(SUMPRODUCT(OFFSET($BJ$31,0,1-MIN(60,COLUMN()-29),1,MIN(60,COLUMN()-29)),OFFSET(DZ549,0,-MIN(60,COLUMN()-29),1,MIN(60,COLUMN()-29))),0)</f>
        <v>0</v>
      </c>
      <c r="EA550" s="112" t="n">
        <f aca="true">IFERROR(SUMPRODUCT(OFFSET($BJ$31,0,1-MIN(60,COLUMN()-29),1,MIN(60,COLUMN()-29)),OFFSET(EA549,0,-MIN(60,COLUMN()-29),1,MIN(60,COLUMN()-29))),0)</f>
        <v>0</v>
      </c>
      <c r="EB550" s="112" t="n">
        <f aca="true">IFERROR(SUMPRODUCT(OFFSET($BJ$31,0,1-MIN(60,COLUMN()-29),1,MIN(60,COLUMN()-29)),OFFSET(EB549,0,-MIN(60,COLUMN()-29),1,MIN(60,COLUMN()-29))),0)</f>
        <v>0</v>
      </c>
      <c r="EC550" s="112" t="n">
        <f aca="true">IFERROR(SUMPRODUCT(OFFSET($BJ$31,0,1-MIN(60,COLUMN()-29),1,MIN(60,COLUMN()-29)),OFFSET(EC549,0,-MIN(60,COLUMN()-29),1,MIN(60,COLUMN()-29))),0)</f>
        <v>0</v>
      </c>
      <c r="ED550" s="112" t="n">
        <f aca="true">IFERROR(SUMPRODUCT(OFFSET($BJ$31,0,1-MIN(60,COLUMN()-29),1,MIN(60,COLUMN()-29)),OFFSET(ED549,0,-MIN(60,COLUMN()-29),1,MIN(60,COLUMN()-29))),0)</f>
        <v>0</v>
      </c>
      <c r="EE550" s="112" t="n">
        <f aca="true">IFERROR(SUMPRODUCT(OFFSET($BJ$31,0,1-MIN(60,COLUMN()-29),1,MIN(60,COLUMN()-29)),OFFSET(EE549,0,-MIN(60,COLUMN()-29),1,MIN(60,COLUMN()-29))),0)</f>
        <v>0</v>
      </c>
      <c r="EF550" s="112" t="n">
        <f aca="true">IFERROR(SUMPRODUCT(OFFSET($BJ$31,0,1-MIN(60,COLUMN()-29),1,MIN(60,COLUMN()-29)),OFFSET(EF549,0,-MIN(60,COLUMN()-29),1,MIN(60,COLUMN()-29))),0)</f>
        <v>0</v>
      </c>
      <c r="EG550" s="112" t="n">
        <f aca="true">IFERROR(SUMPRODUCT(OFFSET($BJ$31,0,1-MIN(60,COLUMN()-29),1,MIN(60,COLUMN()-29)),OFFSET(EG549,0,-MIN(60,COLUMN()-29),1,MIN(60,COLUMN()-29))),0)</f>
        <v>0</v>
      </c>
      <c r="EH550" s="112" t="n">
        <f aca="true">IFERROR(SUMPRODUCT(OFFSET($BJ$31,0,1-MIN(60,COLUMN()-29),1,MIN(60,COLUMN()-29)),OFFSET(EH549,0,-MIN(60,COLUMN()-29),1,MIN(60,COLUMN()-29))),0)</f>
        <v>0</v>
      </c>
      <c r="EI550" s="112" t="n">
        <f aca="true">IFERROR(SUMPRODUCT(OFFSET($BJ$31,0,1-MIN(60,COLUMN()-29),1,MIN(60,COLUMN()-29)),OFFSET(EI549,0,-MIN(60,COLUMN()-29),1,MIN(60,COLUMN()-29))),0)</f>
        <v>0</v>
      </c>
      <c r="EJ550" s="112" t="n">
        <f aca="true">IFERROR(SUMPRODUCT(OFFSET($BJ$31,0,1-MIN(60,COLUMN()-29),1,MIN(60,COLUMN()-29)),OFFSET(EJ549,0,-MIN(60,COLUMN()-29),1,MIN(60,COLUMN()-29))),0)</f>
        <v>0</v>
      </c>
      <c r="EK550" s="112" t="n">
        <f aca="true">IFERROR(SUMPRODUCT(OFFSET($BJ$31,0,1-MIN(60,COLUMN()-29),1,MIN(60,COLUMN()-29)),OFFSET(EK549,0,-MIN(60,COLUMN()-29),1,MIN(60,COLUMN()-29))),0)</f>
        <v>0</v>
      </c>
      <c r="EL550" s="112" t="n">
        <f aca="true">IFERROR(SUMPRODUCT(OFFSET($BJ$31,0,1-MIN(60,COLUMN()-29),1,MIN(60,COLUMN()-29)),OFFSET(EL549,0,-MIN(60,COLUMN()-29),1,MIN(60,COLUMN()-29))),0)</f>
        <v>0</v>
      </c>
      <c r="EM550" s="112" t="n">
        <f aca="true">IFERROR(SUMPRODUCT(OFFSET($BJ$31,0,1-MIN(60,COLUMN()-29),1,MIN(60,COLUMN()-29)),OFFSET(EM549,0,-MIN(60,COLUMN()-29),1,MIN(60,COLUMN()-29))),0)</f>
        <v>0</v>
      </c>
      <c r="EN550" s="112" t="n">
        <f aca="true">IFERROR(SUMPRODUCT(OFFSET($BJ$31,0,1-MIN(60,COLUMN()-29),1,MIN(60,COLUMN()-29)),OFFSET(EN549,0,-MIN(60,COLUMN()-29),1,MIN(60,COLUMN()-29))),0)</f>
        <v>0</v>
      </c>
      <c r="EO550" s="112" t="n">
        <f aca="true">IFERROR(SUMPRODUCT(OFFSET($BJ$31,0,1-MIN(60,COLUMN()-29),1,MIN(60,COLUMN()-29)),OFFSET(EO549,0,-MIN(60,COLUMN()-29),1,MIN(60,COLUMN()-29))),0)</f>
        <v>0</v>
      </c>
      <c r="EP550" s="112" t="n">
        <f aca="true">IFERROR(SUMPRODUCT(OFFSET($BJ$31,0,1-MIN(60,COLUMN()-29),1,MIN(60,COLUMN()-29)),OFFSET(EP549,0,-MIN(60,COLUMN()-29),1,MIN(60,COLUMN()-29))),0)</f>
        <v>0</v>
      </c>
      <c r="EQ550" s="112" t="n">
        <f aca="true">IFERROR(SUMPRODUCT(OFFSET($BJ$31,0,1-MIN(60,COLUMN()-29),1,MIN(60,COLUMN()-29)),OFFSET(EQ549,0,-MIN(60,COLUMN()-29),1,MIN(60,COLUMN()-29))),0)</f>
        <v>0</v>
      </c>
      <c r="ER550" s="112" t="n">
        <f aca="true">IFERROR(SUMPRODUCT(OFFSET($BJ$31,0,1-MIN(60,COLUMN()-29),1,MIN(60,COLUMN()-29)),OFFSET(ER549,0,-MIN(60,COLUMN()-29),1,MIN(60,COLUMN()-29))),0)</f>
        <v>0</v>
      </c>
      <c r="ES550" s="9" t="n">
        <f aca="true">IFERROR(SUMPRODUCT(OFFSET($BJ$31,0,1-MIN(60,COLUMN()-29),1,MIN(60,COLUMN()-29)),OFFSET(ES549,0,-MIN(60,COLUMN()-29),1,MIN(60,COLUMN()-29))),0)</f>
        <v>0</v>
      </c>
      <c r="ET550" s="9" t="n">
        <f aca="true">IFERROR(SUMPRODUCT(OFFSET($BJ$31,0,1-MIN(60,COLUMN()-29),1,MIN(60,COLUMN()-29)),OFFSET(ET549,0,-MIN(60,COLUMN()-29),1,MIN(60,COLUMN()-29))),0)</f>
        <v>0</v>
      </c>
      <c r="EU550" s="9" t="n">
        <f aca="true">IFERROR(SUMPRODUCT(OFFSET($BJ$31,0,1-MIN(60,COLUMN()-29),1,MIN(60,COLUMN()-29)),OFFSET(EU549,0,-MIN(60,COLUMN()-29),1,MIN(60,COLUMN()-29))),0)</f>
        <v>0</v>
      </c>
      <c r="EV550" s="9" t="n">
        <f aca="true">IFERROR(SUMPRODUCT(OFFSET($BJ$31,0,1-MIN(60,COLUMN()-29),1,MIN(60,COLUMN()-29)),OFFSET(EV549,0,-MIN(60,COLUMN()-29),1,MIN(60,COLUMN()-29))),0)</f>
        <v>0</v>
      </c>
      <c r="EW550" s="9" t="n">
        <f aca="true">IFERROR(SUMPRODUCT(OFFSET($BJ$31,0,1-MIN(60,COLUMN()-29),1,MIN(60,COLUMN()-29)),OFFSET(EW549,0,-MIN(60,COLUMN()-29),1,MIN(60,COLUMN()-29))),0)</f>
        <v>0</v>
      </c>
      <c r="EX550" s="9" t="n">
        <f aca="true">IFERROR(SUMPRODUCT(OFFSET($BJ$31,0,1-MIN(60,COLUMN()-29),1,MIN(60,COLUMN()-29)),OFFSET(EX549,0,-MIN(60,COLUMN()-29),1,MIN(60,COLUMN()-29))),0)</f>
        <v>0</v>
      </c>
      <c r="EY550" s="9" t="n">
        <f aca="true">IFERROR(SUMPRODUCT(OFFSET($BJ$31,0,1-MIN(60,COLUMN()-29),1,MIN(60,COLUMN()-29)),OFFSET(EY549,0,-MIN(60,COLUMN()-29),1,MIN(60,COLUMN()-29))),0)</f>
        <v>3.7888</v>
      </c>
      <c r="EZ550" s="9" t="n">
        <f aca="true">IFERROR(SUMPRODUCT(OFFSET($BJ$31,0,1-MIN(60,COLUMN()-29),1,MIN(60,COLUMN()-29)),OFFSET(EZ549,0,-MIN(60,COLUMN()-29),1,MIN(60,COLUMN()-29))),0)</f>
        <v>4.897024</v>
      </c>
      <c r="FA550" s="9" t="n">
        <f aca="true">IFERROR(SUMPRODUCT(OFFSET($BJ$31,0,1-MIN(60,COLUMN()-29),1,MIN(60,COLUMN()-29)),OFFSET(FA549,0,-MIN(60,COLUMN()-29),1,MIN(60,COLUMN()-29))),0)</f>
        <v>9.3348928</v>
      </c>
      <c r="FB550" s="9" t="n">
        <f aca="true">IFERROR(SUMPRODUCT(OFFSET($BJ$31,0,1-MIN(60,COLUMN()-29),1,MIN(60,COLUMN()-29)),OFFSET(FB549,0,-MIN(60,COLUMN()-29),1,MIN(60,COLUMN()-29))),0)</f>
        <v>9.670912</v>
      </c>
      <c r="FC550" s="9" t="n">
        <f aca="true">IFERROR(SUMPRODUCT(OFFSET($BJ$31,0,1-MIN(60,COLUMN()-29),1,MIN(60,COLUMN()-29)),OFFSET(FC549,0,-MIN(60,COLUMN()-29),1,MIN(60,COLUMN()-29))),0)</f>
        <v>9.2916768</v>
      </c>
      <c r="FD550" s="9" t="n">
        <f aca="true">IFERROR(SUMPRODUCT(OFFSET($BJ$31,0,1-MIN(60,COLUMN()-29),1,MIN(60,COLUMN()-29)),OFFSET(FD549,0,-MIN(60,COLUMN()-29),1,MIN(60,COLUMN()-29))),0)</f>
        <v>8.7045312</v>
      </c>
      <c r="FE550" s="9" t="n">
        <f aca="true">IFERROR(SUMPRODUCT(OFFSET($BJ$31,0,1-MIN(60,COLUMN()-29),1,MIN(60,COLUMN()-29)),OFFSET(FE549,0,-MIN(60,COLUMN()-29),1,MIN(60,COLUMN()-29))),0)</f>
        <v>12.2392448</v>
      </c>
      <c r="FF550" s="9" t="n">
        <f aca="true">IFERROR(SUMPRODUCT(OFFSET($BJ$31,0,1-MIN(60,COLUMN()-29),1,MIN(60,COLUMN()-29)),OFFSET(FF549,0,-MIN(60,COLUMN()-29),1,MIN(60,COLUMN()-29))),0)</f>
        <v>14.223096</v>
      </c>
      <c r="FG550" s="9" t="n">
        <f aca="true">IFERROR(SUMPRODUCT(OFFSET($BJ$31,0,1-MIN(60,COLUMN()-29),1,MIN(60,COLUMN()-29)),OFFSET(FG549,0,-MIN(60,COLUMN()-29),1,MIN(60,COLUMN()-29))),0)</f>
        <v>14.118608</v>
      </c>
      <c r="FH550" s="9" t="n">
        <f aca="true">IFERROR(SUMPRODUCT(OFFSET($BJ$31,0,1-MIN(60,COLUMN()-29),1,MIN(60,COLUMN()-29)),OFFSET(FH549,0,-MIN(60,COLUMN()-29),1,MIN(60,COLUMN()-29))),0)</f>
        <v>18.5573056</v>
      </c>
      <c r="FI550" s="9" t="n">
        <f aca="true">IFERROR(SUMPRODUCT(OFFSET($BJ$31,0,1-MIN(60,COLUMN()-29),1,MIN(60,COLUMN()-29)),OFFSET(FI549,0,-MIN(60,COLUMN()-29),1,MIN(60,COLUMN()-29))),0)</f>
        <v>19.836736</v>
      </c>
      <c r="FJ550" s="9" t="n">
        <f aca="true">IFERROR(SUMPRODUCT(OFFSET($BJ$31,0,1-MIN(60,COLUMN()-29),1,MIN(60,COLUMN()-29)),OFFSET(FJ549,0,-MIN(60,COLUMN()-29),1,MIN(60,COLUMN()-29))),0)</f>
        <v>20.5534704</v>
      </c>
      <c r="FK550" s="9" t="n">
        <f aca="true">IFERROR(SUMPRODUCT(OFFSET($BJ$31,0,1-MIN(60,COLUMN()-29),1,MIN(60,COLUMN()-29)),OFFSET(FK549,0,-MIN(60,COLUMN()-29),1,MIN(60,COLUMN()-29))),0)</f>
        <v>21.4864032</v>
      </c>
      <c r="FL550" s="9" t="n">
        <f aca="true">IFERROR(SUMPRODUCT(OFFSET($BJ$31,0,1-MIN(60,COLUMN()-29),1,MIN(60,COLUMN()-29)),OFFSET(FL549,0,-MIN(60,COLUMN()-29),1,MIN(60,COLUMN()-29))),0)</f>
        <v>24.0924464</v>
      </c>
      <c r="FM550" s="9" t="n">
        <f aca="true">IFERROR(SUMPRODUCT(OFFSET($BJ$31,0,1-MIN(60,COLUMN()-29),1,MIN(60,COLUMN()-29)),OFFSET(FM549,0,-MIN(60,COLUMN()-29),1,MIN(60,COLUMN()-29))),0)</f>
        <v>33.6626592</v>
      </c>
      <c r="FN550" s="9" t="n">
        <f aca="true">IFERROR(SUMPRODUCT(OFFSET($BJ$31,0,1-MIN(60,COLUMN()-29),1,MIN(60,COLUMN()-29)),OFFSET(FN549,0,-MIN(60,COLUMN()-29),1,MIN(60,COLUMN()-29))),0)</f>
        <v>36.5519152</v>
      </c>
      <c r="FO550" s="9" t="n">
        <f aca="true">IFERROR(SUMPRODUCT(OFFSET($BJ$31,0,1-MIN(60,COLUMN()-29),1,MIN(60,COLUMN()-29)),OFFSET(FO549,0,-MIN(60,COLUMN()-29),1,MIN(60,COLUMN()-29))),0)</f>
        <v>36.35393856</v>
      </c>
      <c r="FP550" s="9" t="n">
        <f aca="true">IFERROR(SUMPRODUCT(OFFSET($BJ$31,0,1-MIN(60,COLUMN()-29),1,MIN(60,COLUMN()-29)),OFFSET(FP549,0,-MIN(60,COLUMN()-29),1,MIN(60,COLUMN()-29))),0)</f>
        <v>34.56843696</v>
      </c>
    </row>
    <row r="551" customFormat="false" ht="15" hidden="false" customHeight="false" outlineLevel="2" collapsed="false">
      <c r="B551" s="90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237"/>
      <c r="AD551" s="237"/>
      <c r="AE551" s="237"/>
      <c r="AF551" s="237"/>
      <c r="AG551" s="237"/>
      <c r="AH551" s="237"/>
      <c r="AI551" s="237"/>
      <c r="AJ551" s="237"/>
      <c r="AK551" s="237"/>
      <c r="AL551" s="237"/>
      <c r="AM551" s="237"/>
      <c r="AN551" s="237"/>
      <c r="AO551" s="237"/>
      <c r="AP551" s="237"/>
      <c r="AQ551" s="237"/>
      <c r="AR551" s="237"/>
      <c r="AS551" s="237"/>
      <c r="AT551" s="237"/>
      <c r="AU551" s="237"/>
      <c r="AV551" s="237"/>
      <c r="AW551" s="237"/>
      <c r="AX551" s="237"/>
      <c r="AY551" s="237"/>
      <c r="AZ551" s="237"/>
      <c r="BA551" s="237"/>
      <c r="BB551" s="237"/>
      <c r="BC551" s="237"/>
      <c r="BD551" s="237"/>
      <c r="BE551" s="237"/>
      <c r="BF551" s="237"/>
      <c r="BG551" s="237"/>
      <c r="BH551" s="237"/>
      <c r="BI551" s="237"/>
      <c r="BJ551" s="237"/>
      <c r="BK551" s="237"/>
      <c r="BL551" s="237"/>
      <c r="BM551" s="237"/>
      <c r="BN551" s="237"/>
      <c r="BO551" s="237"/>
      <c r="BP551" s="237"/>
      <c r="BQ551" s="237"/>
      <c r="BR551" s="237"/>
      <c r="BS551" s="237"/>
      <c r="BT551" s="237"/>
      <c r="BU551" s="237"/>
      <c r="BV551" s="237"/>
      <c r="BW551" s="237"/>
      <c r="BX551" s="237"/>
      <c r="BY551" s="237"/>
      <c r="BZ551" s="237"/>
      <c r="CA551" s="237"/>
      <c r="CB551" s="237"/>
      <c r="CC551" s="237"/>
      <c r="CD551" s="237"/>
      <c r="CE551" s="237"/>
      <c r="CF551" s="237"/>
      <c r="CG551" s="237"/>
      <c r="CH551" s="237"/>
      <c r="CI551" s="237"/>
      <c r="CJ551" s="237"/>
      <c r="CK551" s="237"/>
      <c r="CL551" s="237"/>
      <c r="CM551" s="237"/>
      <c r="CN551" s="237"/>
      <c r="CO551" s="237"/>
      <c r="CP551" s="237"/>
      <c r="CQ551" s="237"/>
      <c r="CR551" s="237"/>
      <c r="CS551" s="237"/>
      <c r="CT551" s="237"/>
      <c r="CU551" s="237"/>
      <c r="CV551" s="237"/>
      <c r="CW551" s="237"/>
      <c r="CX551" s="237"/>
      <c r="CY551" s="237"/>
      <c r="CZ551" s="237"/>
      <c r="DA551" s="237"/>
      <c r="DB551" s="237"/>
      <c r="DC551" s="237"/>
      <c r="DD551" s="237"/>
      <c r="DE551" s="237"/>
      <c r="DF551" s="237"/>
      <c r="DG551" s="237"/>
      <c r="DH551" s="237"/>
      <c r="DI551" s="237"/>
      <c r="DJ551" s="237"/>
      <c r="DK551" s="237"/>
      <c r="DL551" s="237"/>
      <c r="DM551" s="237"/>
      <c r="DN551" s="237"/>
      <c r="DO551" s="237"/>
      <c r="DP551" s="237"/>
      <c r="DQ551" s="237"/>
      <c r="DR551" s="237"/>
      <c r="DS551" s="237"/>
      <c r="DT551" s="237"/>
      <c r="DU551" s="237"/>
      <c r="DV551" s="237"/>
      <c r="DW551" s="237"/>
      <c r="DX551" s="237"/>
      <c r="DY551" s="237"/>
      <c r="DZ551" s="237"/>
      <c r="EA551" s="237"/>
      <c r="EB551" s="237"/>
      <c r="EC551" s="237"/>
      <c r="ED551" s="237"/>
      <c r="EE551" s="237"/>
      <c r="EF551" s="237"/>
      <c r="EG551" s="237"/>
      <c r="EH551" s="237"/>
      <c r="EI551" s="237"/>
      <c r="EJ551" s="237"/>
      <c r="EK551" s="237"/>
      <c r="EL551" s="237"/>
      <c r="EM551" s="237"/>
      <c r="EN551" s="237"/>
      <c r="EO551" s="237"/>
      <c r="EP551" s="237"/>
      <c r="EQ551" s="237"/>
      <c r="ER551" s="237"/>
      <c r="ES551" s="9"/>
      <c r="ET551" s="9"/>
      <c r="EU551" s="9"/>
      <c r="EV551" s="9"/>
      <c r="EW551" s="9"/>
      <c r="EX551" s="9"/>
      <c r="EY551" s="9"/>
      <c r="EZ551" s="9"/>
      <c r="FA551" s="9"/>
      <c r="FB551" s="9"/>
      <c r="FC551" s="9"/>
      <c r="FD551" s="9"/>
      <c r="FE551" s="9"/>
      <c r="FF551" s="9"/>
      <c r="FG551" s="9"/>
      <c r="FH551" s="9"/>
      <c r="FI551" s="9"/>
      <c r="FJ551" s="9"/>
      <c r="FK551" s="9"/>
      <c r="FL551" s="9"/>
      <c r="FM551" s="9"/>
      <c r="FN551" s="9"/>
      <c r="FO551" s="9"/>
      <c r="FP551" s="9"/>
    </row>
    <row r="552" customFormat="false" ht="15" hidden="false" customHeight="false" outlineLevel="2" collapsed="false">
      <c r="B552" s="240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237"/>
      <c r="AD552" s="237"/>
      <c r="AE552" s="237"/>
      <c r="AF552" s="237"/>
      <c r="AG552" s="237"/>
      <c r="AH552" s="237"/>
      <c r="AI552" s="237"/>
      <c r="AJ552" s="237"/>
      <c r="AK552" s="237"/>
      <c r="AL552" s="237"/>
      <c r="AM552" s="237"/>
      <c r="AN552" s="237"/>
      <c r="AO552" s="237"/>
      <c r="AP552" s="237"/>
      <c r="AQ552" s="237"/>
      <c r="AR552" s="237"/>
      <c r="AS552" s="237"/>
      <c r="AT552" s="237"/>
      <c r="AU552" s="237"/>
      <c r="AV552" s="237"/>
      <c r="AW552" s="237"/>
      <c r="AX552" s="237"/>
      <c r="AY552" s="237"/>
      <c r="AZ552" s="237"/>
      <c r="BA552" s="237"/>
      <c r="BB552" s="237"/>
      <c r="BC552" s="237"/>
      <c r="BD552" s="237"/>
      <c r="BE552" s="237"/>
      <c r="BF552" s="237"/>
      <c r="BG552" s="237"/>
      <c r="BH552" s="237"/>
      <c r="BI552" s="237"/>
      <c r="BJ552" s="237"/>
      <c r="BK552" s="237"/>
      <c r="BL552" s="237"/>
      <c r="BM552" s="237"/>
      <c r="BN552" s="237"/>
      <c r="BO552" s="237"/>
      <c r="BP552" s="237"/>
      <c r="BQ552" s="237"/>
      <c r="BR552" s="237"/>
      <c r="BS552" s="237"/>
      <c r="BT552" s="237"/>
      <c r="BU552" s="237"/>
      <c r="BV552" s="237"/>
      <c r="BW552" s="237"/>
      <c r="BX552" s="237"/>
      <c r="BY552" s="237"/>
      <c r="BZ552" s="237"/>
      <c r="CA552" s="237"/>
      <c r="CB552" s="237"/>
      <c r="CC552" s="237"/>
      <c r="CD552" s="237"/>
      <c r="CE552" s="237"/>
      <c r="CF552" s="237"/>
      <c r="CG552" s="237"/>
      <c r="CH552" s="237"/>
      <c r="CI552" s="237"/>
      <c r="CJ552" s="237"/>
      <c r="CK552" s="237"/>
      <c r="CL552" s="237"/>
      <c r="CM552" s="237"/>
      <c r="CN552" s="237"/>
      <c r="CO552" s="237"/>
      <c r="CP552" s="237"/>
      <c r="CQ552" s="237"/>
      <c r="CR552" s="237"/>
      <c r="CS552" s="237"/>
      <c r="CT552" s="237"/>
      <c r="CU552" s="237"/>
      <c r="CV552" s="237"/>
      <c r="CW552" s="237"/>
      <c r="CX552" s="237"/>
      <c r="CY552" s="237"/>
      <c r="CZ552" s="237"/>
      <c r="DA552" s="237"/>
      <c r="DB552" s="237"/>
      <c r="DC552" s="237"/>
      <c r="DD552" s="237"/>
      <c r="DE552" s="237"/>
      <c r="DF552" s="237"/>
      <c r="DG552" s="237"/>
      <c r="DH552" s="237"/>
      <c r="DI552" s="237"/>
      <c r="DJ552" s="237"/>
      <c r="DK552" s="237"/>
      <c r="DL552" s="237"/>
      <c r="DM552" s="237"/>
      <c r="DN552" s="237"/>
      <c r="DO552" s="237"/>
      <c r="DP552" s="237"/>
      <c r="DQ552" s="237"/>
      <c r="DR552" s="237"/>
      <c r="DS552" s="237"/>
      <c r="DT552" s="237"/>
      <c r="DU552" s="237"/>
      <c r="DV552" s="237"/>
      <c r="DW552" s="237"/>
      <c r="DX552" s="237"/>
      <c r="DY552" s="237"/>
      <c r="DZ552" s="237"/>
      <c r="EA552" s="237"/>
      <c r="EB552" s="237"/>
      <c r="EC552" s="237"/>
      <c r="ED552" s="237"/>
      <c r="EE552" s="237"/>
      <c r="EF552" s="237"/>
      <c r="EG552" s="237"/>
      <c r="EH552" s="237"/>
      <c r="EI552" s="237"/>
      <c r="EJ552" s="237"/>
      <c r="EK552" s="237"/>
      <c r="EL552" s="237"/>
      <c r="EM552" s="237"/>
      <c r="EN552" s="237"/>
      <c r="EO552" s="237"/>
      <c r="EP552" s="237"/>
      <c r="EQ552" s="237"/>
      <c r="ER552" s="237"/>
      <c r="ES552" s="9"/>
      <c r="ET552" s="9"/>
      <c r="EU552" s="9"/>
      <c r="EV552" s="9"/>
      <c r="EW552" s="9"/>
      <c r="EX552" s="9"/>
      <c r="EY552" s="9"/>
      <c r="EZ552" s="9"/>
      <c r="FA552" s="9"/>
      <c r="FB552" s="9"/>
      <c r="FC552" s="9"/>
      <c r="FD552" s="9"/>
      <c r="FE552" s="9"/>
      <c r="FF552" s="9"/>
      <c r="FG552" s="9"/>
      <c r="FH552" s="9"/>
      <c r="FI552" s="9"/>
      <c r="FJ552" s="9"/>
      <c r="FK552" s="9"/>
      <c r="FL552" s="9"/>
      <c r="FM552" s="9"/>
      <c r="FN552" s="9"/>
      <c r="FO552" s="9"/>
      <c r="FP552" s="9"/>
    </row>
    <row r="553" customFormat="false" ht="15" hidden="false" customHeight="false" outlineLevel="2" collapsed="false">
      <c r="B553" s="21" t="s">
        <v>928</v>
      </c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  <c r="BL553" s="21"/>
      <c r="BM553" s="21"/>
      <c r="BN553" s="21"/>
      <c r="BO553" s="21"/>
      <c r="BP553" s="21"/>
      <c r="BQ553" s="21"/>
      <c r="BR553" s="21"/>
      <c r="BS553" s="21"/>
      <c r="BT553" s="21"/>
      <c r="BU553" s="21"/>
      <c r="BV553" s="21"/>
      <c r="BW553" s="21"/>
      <c r="BX553" s="21"/>
      <c r="BY553" s="21"/>
      <c r="BZ553" s="21"/>
      <c r="CA553" s="21"/>
      <c r="CB553" s="21"/>
      <c r="CC553" s="21"/>
      <c r="CD553" s="21"/>
      <c r="CE553" s="21"/>
      <c r="CF553" s="21"/>
      <c r="CG553" s="21"/>
      <c r="CH553" s="21"/>
      <c r="CI553" s="21"/>
      <c r="CJ553" s="21"/>
      <c r="CK553" s="21"/>
      <c r="CL553" s="21"/>
      <c r="CM553" s="21"/>
      <c r="CN553" s="21"/>
      <c r="CO553" s="21"/>
      <c r="CP553" s="21"/>
      <c r="CQ553" s="21"/>
      <c r="CR553" s="21"/>
      <c r="CS553" s="21"/>
      <c r="CT553" s="21"/>
      <c r="CU553" s="21"/>
      <c r="CV553" s="21"/>
      <c r="CW553" s="21"/>
      <c r="CX553" s="21"/>
      <c r="CY553" s="21"/>
      <c r="CZ553" s="21"/>
      <c r="DA553" s="21"/>
      <c r="DB553" s="21"/>
      <c r="DC553" s="21"/>
      <c r="DD553" s="21"/>
      <c r="DE553" s="21"/>
      <c r="DF553" s="21"/>
      <c r="DG553" s="21"/>
      <c r="DH553" s="21"/>
      <c r="DI553" s="21"/>
      <c r="DJ553" s="21"/>
      <c r="DK553" s="21"/>
      <c r="DL553" s="21"/>
      <c r="DM553" s="21"/>
      <c r="DN553" s="21"/>
      <c r="DO553" s="21"/>
      <c r="DP553" s="21"/>
      <c r="DQ553" s="21"/>
      <c r="DR553" s="21"/>
      <c r="DS553" s="21"/>
      <c r="DT553" s="21"/>
      <c r="DU553" s="21"/>
      <c r="DV553" s="21"/>
      <c r="DW553" s="21"/>
      <c r="DX553" s="21"/>
      <c r="DY553" s="21"/>
      <c r="DZ553" s="21"/>
      <c r="EA553" s="21"/>
      <c r="EB553" s="21"/>
      <c r="EC553" s="21"/>
      <c r="ED553" s="21"/>
      <c r="EE553" s="21"/>
      <c r="EF553" s="21"/>
      <c r="EG553" s="21"/>
      <c r="EH553" s="21"/>
      <c r="EI553" s="21"/>
      <c r="EJ553" s="21"/>
      <c r="EK553" s="21"/>
      <c r="EL553" s="21"/>
      <c r="EM553" s="21"/>
      <c r="EN553" s="21"/>
      <c r="EO553" s="21"/>
      <c r="EP553" s="21"/>
      <c r="EQ553" s="21"/>
      <c r="ER553" s="21"/>
      <c r="ES553" s="9"/>
      <c r="ET553" s="9"/>
      <c r="EU553" s="9"/>
      <c r="EV553" s="9"/>
      <c r="EW553" s="9"/>
      <c r="EX553" s="9"/>
      <c r="EY553" s="9"/>
      <c r="EZ553" s="9"/>
      <c r="FA553" s="9"/>
      <c r="FB553" s="9"/>
      <c r="FC553" s="9"/>
      <c r="FD553" s="9"/>
      <c r="FE553" s="9"/>
      <c r="FF553" s="9"/>
      <c r="FG553" s="9"/>
      <c r="FH553" s="9"/>
      <c r="FI553" s="9"/>
      <c r="FJ553" s="9"/>
      <c r="FK553" s="9"/>
      <c r="FL553" s="9"/>
      <c r="FM553" s="9"/>
      <c r="FN553" s="9"/>
      <c r="FO553" s="9"/>
      <c r="FP553" s="9"/>
    </row>
    <row r="554" customFormat="false" ht="15" hidden="false" customHeight="false" outlineLevel="2" collapsed="false">
      <c r="B554" s="9" t="s">
        <v>872</v>
      </c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234" t="n">
        <f aca="false">('⑫ Roll-out Plan'!G60-2025)*12+'⑫ Roll-out Plan'!F60</f>
        <v>79</v>
      </c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9"/>
      <c r="CM554" s="9"/>
      <c r="CN554" s="9"/>
      <c r="CO554" s="9"/>
      <c r="CP554" s="9"/>
      <c r="CQ554" s="9"/>
      <c r="CR554" s="9"/>
      <c r="CS554" s="9"/>
      <c r="CT554" s="9"/>
      <c r="CU554" s="9"/>
      <c r="CV554" s="9"/>
      <c r="CW554" s="9"/>
      <c r="CX554" s="9"/>
      <c r="CY554" s="9"/>
      <c r="CZ554" s="9"/>
      <c r="DA554" s="9"/>
      <c r="DB554" s="9"/>
      <c r="DC554" s="9"/>
      <c r="DD554" s="9"/>
      <c r="DE554" s="9"/>
      <c r="DF554" s="9"/>
      <c r="DG554" s="9"/>
      <c r="DH554" s="9"/>
      <c r="DI554" s="9"/>
      <c r="DJ554" s="9"/>
      <c r="DK554" s="9"/>
      <c r="DL554" s="9"/>
      <c r="DM554" s="9"/>
      <c r="DN554" s="9"/>
      <c r="DO554" s="9"/>
      <c r="DP554" s="9"/>
      <c r="DQ554" s="9"/>
      <c r="DR554" s="9"/>
      <c r="DS554" s="9"/>
      <c r="DT554" s="9"/>
      <c r="DU554" s="9"/>
      <c r="DV554" s="9"/>
      <c r="DW554" s="9"/>
      <c r="DX554" s="9"/>
      <c r="DY554" s="9"/>
      <c r="DZ554" s="9"/>
      <c r="EA554" s="9"/>
      <c r="EB554" s="9"/>
      <c r="EC554" s="9"/>
      <c r="ED554" s="9"/>
      <c r="EE554" s="9"/>
      <c r="EF554" s="9"/>
      <c r="EG554" s="9"/>
      <c r="EH554" s="9"/>
      <c r="EI554" s="9"/>
      <c r="EJ554" s="9"/>
      <c r="EK554" s="9"/>
      <c r="EL554" s="9"/>
      <c r="EM554" s="9"/>
      <c r="EN554" s="9"/>
      <c r="EO554" s="9"/>
      <c r="EP554" s="9"/>
      <c r="EQ554" s="9"/>
      <c r="ER554" s="9"/>
      <c r="ES554" s="9"/>
      <c r="ET554" s="9"/>
      <c r="EU554" s="9"/>
      <c r="EV554" s="9"/>
      <c r="EW554" s="9"/>
      <c r="EX554" s="9"/>
      <c r="EY554" s="9"/>
      <c r="EZ554" s="9"/>
      <c r="FA554" s="9"/>
      <c r="FB554" s="9"/>
      <c r="FC554" s="9"/>
      <c r="FD554" s="9"/>
      <c r="FE554" s="9"/>
      <c r="FF554" s="9"/>
      <c r="FG554" s="9"/>
      <c r="FH554" s="9"/>
      <c r="FI554" s="9"/>
      <c r="FJ554" s="9"/>
      <c r="FK554" s="9"/>
      <c r="FL554" s="9"/>
      <c r="FM554" s="9"/>
      <c r="FN554" s="9"/>
      <c r="FO554" s="9"/>
      <c r="FP554" s="9"/>
    </row>
    <row r="555" customFormat="false" ht="15" hidden="false" customHeight="false" outlineLevel="2" collapsed="false">
      <c r="B555" s="9" t="s">
        <v>873</v>
      </c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235" t="n">
        <f aca="false">VLOOKUP("B",$B$14:$C$18,2,FALSE())</f>
        <v>185</v>
      </c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  <c r="CB555" s="9"/>
      <c r="CC555" s="9"/>
      <c r="CD555" s="9"/>
      <c r="CE555" s="9"/>
      <c r="CF555" s="9"/>
      <c r="CG555" s="9"/>
      <c r="CH555" s="9"/>
      <c r="CI555" s="9"/>
      <c r="CJ555" s="9"/>
      <c r="CK555" s="9"/>
      <c r="CL555" s="9"/>
      <c r="CM555" s="9"/>
      <c r="CN555" s="9"/>
      <c r="CO555" s="9"/>
      <c r="CP555" s="9"/>
      <c r="CQ555" s="9"/>
      <c r="CR555" s="9"/>
      <c r="CS555" s="9"/>
      <c r="CT555" s="9"/>
      <c r="CU555" s="9"/>
      <c r="CV555" s="9"/>
      <c r="CW555" s="9"/>
      <c r="CX555" s="9"/>
      <c r="CY555" s="9"/>
      <c r="CZ555" s="9"/>
      <c r="DA555" s="9"/>
      <c r="DB555" s="9"/>
      <c r="DC555" s="9"/>
      <c r="DD555" s="9"/>
      <c r="DE555" s="9"/>
      <c r="DF555" s="9"/>
      <c r="DG555" s="9"/>
      <c r="DH555" s="9"/>
      <c r="DI555" s="9"/>
      <c r="DJ555" s="9"/>
      <c r="DK555" s="9"/>
      <c r="DL555" s="9"/>
      <c r="DM555" s="9"/>
      <c r="DN555" s="9"/>
      <c r="DO555" s="9"/>
      <c r="DP555" s="9"/>
      <c r="DQ555" s="9"/>
      <c r="DR555" s="9"/>
      <c r="DS555" s="9"/>
      <c r="DT555" s="9"/>
      <c r="DU555" s="9"/>
      <c r="DV555" s="9"/>
      <c r="DW555" s="9"/>
      <c r="DX555" s="9"/>
      <c r="DY555" s="9"/>
      <c r="DZ555" s="9"/>
      <c r="EA555" s="9"/>
      <c r="EB555" s="9"/>
      <c r="EC555" s="9"/>
      <c r="ED555" s="9"/>
      <c r="EE555" s="9"/>
      <c r="EF555" s="9"/>
      <c r="EG555" s="9"/>
      <c r="EH555" s="9"/>
      <c r="EI555" s="9"/>
      <c r="EJ555" s="9"/>
      <c r="EK555" s="9"/>
      <c r="EL555" s="9"/>
      <c r="EM555" s="9"/>
      <c r="EN555" s="9"/>
      <c r="EO555" s="9"/>
      <c r="EP555" s="9"/>
      <c r="EQ555" s="9"/>
      <c r="ER555" s="9"/>
      <c r="ES555" s="9"/>
      <c r="ET555" s="9"/>
      <c r="EU555" s="9"/>
      <c r="EV555" s="9"/>
      <c r="EW555" s="9"/>
      <c r="EX555" s="9"/>
      <c r="EY555" s="9"/>
      <c r="EZ555" s="9"/>
      <c r="FA555" s="9"/>
      <c r="FB555" s="9"/>
      <c r="FC555" s="9"/>
      <c r="FD555" s="9"/>
      <c r="FE555" s="9"/>
      <c r="FF555" s="9"/>
      <c r="FG555" s="9"/>
      <c r="FH555" s="9"/>
      <c r="FI555" s="9"/>
      <c r="FJ555" s="9"/>
      <c r="FK555" s="9"/>
      <c r="FL555" s="9"/>
      <c r="FM555" s="9"/>
      <c r="FN555" s="9"/>
      <c r="FO555" s="9"/>
      <c r="FP555" s="9"/>
    </row>
    <row r="556" customFormat="false" ht="15" hidden="false" customHeight="false" outlineLevel="2" collapsed="false">
      <c r="B556" s="9" t="s">
        <v>799</v>
      </c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63" t="n">
        <f aca="false">IF(AC$35&gt;=$AC$554,AC$35-$AC$554+1,0)</f>
        <v>0</v>
      </c>
      <c r="AD556" s="63" t="n">
        <f aca="false">IF(AD$35&gt;=$AC$554,AD$35-$AC$554+1,0)</f>
        <v>0</v>
      </c>
      <c r="AE556" s="63" t="n">
        <f aca="false">IF(AE$35&gt;=$AC$554,AE$35-$AC$554+1,0)</f>
        <v>0</v>
      </c>
      <c r="AF556" s="63" t="n">
        <f aca="false">IF(AF$35&gt;=$AC$554,AF$35-$AC$554+1,0)</f>
        <v>0</v>
      </c>
      <c r="AG556" s="63" t="n">
        <f aca="false">IF(AG$35&gt;=$AC$554,AG$35-$AC$554+1,0)</f>
        <v>0</v>
      </c>
      <c r="AH556" s="63" t="n">
        <f aca="false">IF(AH$35&gt;=$AC$554,AH$35-$AC$554+1,0)</f>
        <v>0</v>
      </c>
      <c r="AI556" s="63" t="n">
        <f aca="false">IF(AI$35&gt;=$AC$554,AI$35-$AC$554+1,0)</f>
        <v>0</v>
      </c>
      <c r="AJ556" s="63" t="n">
        <f aca="false">IF(AJ$35&gt;=$AC$554,AJ$35-$AC$554+1,0)</f>
        <v>0</v>
      </c>
      <c r="AK556" s="63" t="n">
        <f aca="false">IF(AK$35&gt;=$AC$554,AK$35-$AC$554+1,0)</f>
        <v>0</v>
      </c>
      <c r="AL556" s="63" t="n">
        <f aca="false">IF(AL$35&gt;=$AC$554,AL$35-$AC$554+1,0)</f>
        <v>0</v>
      </c>
      <c r="AM556" s="63" t="n">
        <f aca="false">IF(AM$35&gt;=$AC$554,AM$35-$AC$554+1,0)</f>
        <v>0</v>
      </c>
      <c r="AN556" s="63" t="n">
        <f aca="false">IF(AN$35&gt;=$AC$554,AN$35-$AC$554+1,0)</f>
        <v>0</v>
      </c>
      <c r="AO556" s="63" t="n">
        <f aca="false">IF(AO$35&gt;=$AC$554,AO$35-$AC$554+1,0)</f>
        <v>0</v>
      </c>
      <c r="AP556" s="63" t="n">
        <f aca="false">IF(AP$35&gt;=$AC$554,AP$35-$AC$554+1,0)</f>
        <v>0</v>
      </c>
      <c r="AQ556" s="63" t="n">
        <f aca="false">IF(AQ$35&gt;=$AC$554,AQ$35-$AC$554+1,0)</f>
        <v>0</v>
      </c>
      <c r="AR556" s="63" t="n">
        <f aca="false">IF(AR$35&gt;=$AC$554,AR$35-$AC$554+1,0)</f>
        <v>0</v>
      </c>
      <c r="AS556" s="63" t="n">
        <f aca="false">IF(AS$35&gt;=$AC$554,AS$35-$AC$554+1,0)</f>
        <v>0</v>
      </c>
      <c r="AT556" s="63" t="n">
        <f aca="false">IF(AT$35&gt;=$AC$554,AT$35-$AC$554+1,0)</f>
        <v>0</v>
      </c>
      <c r="AU556" s="63" t="n">
        <f aca="false">IF(AU$35&gt;=$AC$554,AU$35-$AC$554+1,0)</f>
        <v>0</v>
      </c>
      <c r="AV556" s="63" t="n">
        <f aca="false">IF(AV$35&gt;=$AC$554,AV$35-$AC$554+1,0)</f>
        <v>0</v>
      </c>
      <c r="AW556" s="63" t="n">
        <f aca="false">IF(AW$35&gt;=$AC$554,AW$35-$AC$554+1,0)</f>
        <v>0</v>
      </c>
      <c r="AX556" s="63" t="n">
        <f aca="false">IF(AX$35&gt;=$AC$554,AX$35-$AC$554+1,0)</f>
        <v>0</v>
      </c>
      <c r="AY556" s="63" t="n">
        <f aca="false">IF(AY$35&gt;=$AC$554,AY$35-$AC$554+1,0)</f>
        <v>0</v>
      </c>
      <c r="AZ556" s="63" t="n">
        <f aca="false">IF(AZ$35&gt;=$AC$554,AZ$35-$AC$554+1,0)</f>
        <v>0</v>
      </c>
      <c r="BA556" s="63" t="n">
        <f aca="false">IF(BA$35&gt;=$AC$554,BA$35-$AC$554+1,0)</f>
        <v>0</v>
      </c>
      <c r="BB556" s="63" t="n">
        <f aca="false">IF(BB$35&gt;=$AC$554,BB$35-$AC$554+1,0)</f>
        <v>0</v>
      </c>
      <c r="BC556" s="63" t="n">
        <f aca="false">IF(BC$35&gt;=$AC$554,BC$35-$AC$554+1,0)</f>
        <v>0</v>
      </c>
      <c r="BD556" s="63" t="n">
        <f aca="false">IF(BD$35&gt;=$AC$554,BD$35-$AC$554+1,0)</f>
        <v>0</v>
      </c>
      <c r="BE556" s="63" t="n">
        <f aca="false">IF(BE$35&gt;=$AC$554,BE$35-$AC$554+1,0)</f>
        <v>0</v>
      </c>
      <c r="BF556" s="63" t="n">
        <f aca="false">IF(BF$35&gt;=$AC$554,BF$35-$AC$554+1,0)</f>
        <v>0</v>
      </c>
      <c r="BG556" s="63" t="n">
        <f aca="false">IF(BG$35&gt;=$AC$554,BG$35-$AC$554+1,0)</f>
        <v>0</v>
      </c>
      <c r="BH556" s="63" t="n">
        <f aca="false">IF(BH$35&gt;=$AC$554,BH$35-$AC$554+1,0)</f>
        <v>0</v>
      </c>
      <c r="BI556" s="63" t="n">
        <f aca="false">IF(BI$35&gt;=$AC$554,BI$35-$AC$554+1,0)</f>
        <v>0</v>
      </c>
      <c r="BJ556" s="63" t="n">
        <f aca="false">IF(BJ$35&gt;=$AC$554,BJ$35-$AC$554+1,0)</f>
        <v>0</v>
      </c>
      <c r="BK556" s="63" t="n">
        <f aca="false">IF(BK$35&gt;=$AC$554,BK$35-$AC$554+1,0)</f>
        <v>0</v>
      </c>
      <c r="BL556" s="63" t="n">
        <f aca="false">IF(BL$35&gt;=$AC$554,BL$35-$AC$554+1,0)</f>
        <v>0</v>
      </c>
      <c r="BM556" s="63" t="n">
        <f aca="false">IF(BM$35&gt;=$AC$554,BM$35-$AC$554+1,0)</f>
        <v>0</v>
      </c>
      <c r="BN556" s="63" t="n">
        <f aca="false">IF(BN$35&gt;=$AC$554,BN$35-$AC$554+1,0)</f>
        <v>0</v>
      </c>
      <c r="BO556" s="63" t="n">
        <f aca="false">IF(BO$35&gt;=$AC$554,BO$35-$AC$554+1,0)</f>
        <v>0</v>
      </c>
      <c r="BP556" s="63" t="n">
        <f aca="false">IF(BP$35&gt;=$AC$554,BP$35-$AC$554+1,0)</f>
        <v>0</v>
      </c>
      <c r="BQ556" s="63" t="n">
        <f aca="false">IF(BQ$35&gt;=$AC$554,BQ$35-$AC$554+1,0)</f>
        <v>0</v>
      </c>
      <c r="BR556" s="63" t="n">
        <f aca="false">IF(BR$35&gt;=$AC$554,BR$35-$AC$554+1,0)</f>
        <v>0</v>
      </c>
      <c r="BS556" s="63" t="n">
        <f aca="false">IF(BS$35&gt;=$AC$554,BS$35-$AC$554+1,0)</f>
        <v>0</v>
      </c>
      <c r="BT556" s="63" t="n">
        <f aca="false">IF(BT$35&gt;=$AC$554,BT$35-$AC$554+1,0)</f>
        <v>0</v>
      </c>
      <c r="BU556" s="63" t="n">
        <f aca="false">IF(BU$35&gt;=$AC$554,BU$35-$AC$554+1,0)</f>
        <v>0</v>
      </c>
      <c r="BV556" s="63" t="n">
        <f aca="false">IF(BV$35&gt;=$AC$554,BV$35-$AC$554+1,0)</f>
        <v>0</v>
      </c>
      <c r="BW556" s="63" t="n">
        <f aca="false">IF(BW$35&gt;=$AC$554,BW$35-$AC$554+1,0)</f>
        <v>0</v>
      </c>
      <c r="BX556" s="63" t="n">
        <f aca="false">IF(BX$35&gt;=$AC$554,BX$35-$AC$554+1,0)</f>
        <v>0</v>
      </c>
      <c r="BY556" s="63" t="n">
        <f aca="false">IF(BY$35&gt;=$AC$554,BY$35-$AC$554+1,0)</f>
        <v>0</v>
      </c>
      <c r="BZ556" s="63" t="n">
        <f aca="false">IF(BZ$35&gt;=$AC$554,BZ$35-$AC$554+1,0)</f>
        <v>0</v>
      </c>
      <c r="CA556" s="63" t="n">
        <f aca="false">IF(CA$35&gt;=$AC$554,CA$35-$AC$554+1,0)</f>
        <v>0</v>
      </c>
      <c r="CB556" s="63" t="n">
        <f aca="false">IF(CB$35&gt;=$AC$554,CB$35-$AC$554+1,0)</f>
        <v>0</v>
      </c>
      <c r="CC556" s="63" t="n">
        <f aca="false">IF(CC$35&gt;=$AC$554,CC$35-$AC$554+1,0)</f>
        <v>0</v>
      </c>
      <c r="CD556" s="63" t="n">
        <f aca="false">IF(CD$35&gt;=$AC$554,CD$35-$AC$554+1,0)</f>
        <v>0</v>
      </c>
      <c r="CE556" s="63" t="n">
        <f aca="false">IF(CE$35&gt;=$AC$554,CE$35-$AC$554+1,0)</f>
        <v>0</v>
      </c>
      <c r="CF556" s="63" t="n">
        <f aca="false">IF(CF$35&gt;=$AC$554,CF$35-$AC$554+1,0)</f>
        <v>0</v>
      </c>
      <c r="CG556" s="63" t="n">
        <f aca="false">IF(CG$35&gt;=$AC$554,CG$35-$AC$554+1,0)</f>
        <v>0</v>
      </c>
      <c r="CH556" s="63" t="n">
        <f aca="false">IF(CH$35&gt;=$AC$554,CH$35-$AC$554+1,0)</f>
        <v>0</v>
      </c>
      <c r="CI556" s="63" t="n">
        <f aca="false">IF(CI$35&gt;=$AC$554,CI$35-$AC$554+1,0)</f>
        <v>0</v>
      </c>
      <c r="CJ556" s="63" t="n">
        <f aca="false">IF(CJ$35&gt;=$AC$554,CJ$35-$AC$554+1,0)</f>
        <v>0</v>
      </c>
      <c r="CK556" s="63" t="n">
        <f aca="false">IF(CK$35&gt;=$AC$554,CK$35-$AC$554+1,0)</f>
        <v>0</v>
      </c>
      <c r="CL556" s="63" t="n">
        <f aca="false">IF(CL$35&gt;=$AC$554,CL$35-$AC$554+1,0)</f>
        <v>0</v>
      </c>
      <c r="CM556" s="63" t="n">
        <f aca="false">IF(CM$35&gt;=$AC$554,CM$35-$AC$554+1,0)</f>
        <v>0</v>
      </c>
      <c r="CN556" s="63" t="n">
        <f aca="false">IF(CN$35&gt;=$AC$554,CN$35-$AC$554+1,0)</f>
        <v>0</v>
      </c>
      <c r="CO556" s="63" t="n">
        <f aca="false">IF(CO$35&gt;=$AC$554,CO$35-$AC$554+1,0)</f>
        <v>0</v>
      </c>
      <c r="CP556" s="63" t="n">
        <f aca="false">IF(CP$35&gt;=$AC$554,CP$35-$AC$554+1,0)</f>
        <v>0</v>
      </c>
      <c r="CQ556" s="63" t="n">
        <f aca="false">IF(CQ$35&gt;=$AC$554,CQ$35-$AC$554+1,0)</f>
        <v>0</v>
      </c>
      <c r="CR556" s="63" t="n">
        <f aca="false">IF(CR$35&gt;=$AC$554,CR$35-$AC$554+1,0)</f>
        <v>0</v>
      </c>
      <c r="CS556" s="63" t="n">
        <f aca="false">IF(CS$35&gt;=$AC$554,CS$35-$AC$554+1,0)</f>
        <v>0</v>
      </c>
      <c r="CT556" s="63" t="n">
        <f aca="false">IF(CT$35&gt;=$AC$554,CT$35-$AC$554+1,0)</f>
        <v>0</v>
      </c>
      <c r="CU556" s="63" t="n">
        <f aca="false">IF(CU$35&gt;=$AC$554,CU$35-$AC$554+1,0)</f>
        <v>0</v>
      </c>
      <c r="CV556" s="63" t="n">
        <f aca="false">IF(CV$35&gt;=$AC$554,CV$35-$AC$554+1,0)</f>
        <v>0</v>
      </c>
      <c r="CW556" s="63" t="n">
        <f aca="false">IF(CW$35&gt;=$AC$554,CW$35-$AC$554+1,0)</f>
        <v>0</v>
      </c>
      <c r="CX556" s="63" t="n">
        <f aca="false">IF(CX$35&gt;=$AC$554,CX$35-$AC$554+1,0)</f>
        <v>0</v>
      </c>
      <c r="CY556" s="63" t="n">
        <f aca="false">IF(CY$35&gt;=$AC$554,CY$35-$AC$554+1,0)</f>
        <v>0</v>
      </c>
      <c r="CZ556" s="63" t="n">
        <f aca="false">IF(CZ$35&gt;=$AC$554,CZ$35-$AC$554+1,0)</f>
        <v>0</v>
      </c>
      <c r="DA556" s="63" t="n">
        <f aca="false">IF(DA$35&gt;=$AC$554,DA$35-$AC$554+1,0)</f>
        <v>0</v>
      </c>
      <c r="DB556" s="63" t="n">
        <f aca="false">IF(DB$35&gt;=$AC$554,DB$35-$AC$554+1,0)</f>
        <v>0</v>
      </c>
      <c r="DC556" s="63" t="n">
        <f aca="false">IF(DC$35&gt;=$AC$554,DC$35-$AC$554+1,0)</f>
        <v>1</v>
      </c>
      <c r="DD556" s="63" t="n">
        <f aca="false">IF(DD$35&gt;=$AC$554,DD$35-$AC$554+1,0)</f>
        <v>2</v>
      </c>
      <c r="DE556" s="63" t="n">
        <f aca="false">IF(DE$35&gt;=$AC$554,DE$35-$AC$554+1,0)</f>
        <v>3</v>
      </c>
      <c r="DF556" s="63" t="n">
        <f aca="false">IF(DF$35&gt;=$AC$554,DF$35-$AC$554+1,0)</f>
        <v>4</v>
      </c>
      <c r="DG556" s="63" t="n">
        <f aca="false">IF(DG$35&gt;=$AC$554,DG$35-$AC$554+1,0)</f>
        <v>5</v>
      </c>
      <c r="DH556" s="63" t="n">
        <f aca="false">IF(DH$35&gt;=$AC$554,DH$35-$AC$554+1,0)</f>
        <v>6</v>
      </c>
      <c r="DI556" s="63" t="n">
        <f aca="false">IF(DI$35&gt;=$AC$554,DI$35-$AC$554+1,0)</f>
        <v>7</v>
      </c>
      <c r="DJ556" s="63" t="n">
        <f aca="false">IF(DJ$35&gt;=$AC$554,DJ$35-$AC$554+1,0)</f>
        <v>8</v>
      </c>
      <c r="DK556" s="63" t="n">
        <f aca="false">IF(DK$35&gt;=$AC$554,DK$35-$AC$554+1,0)</f>
        <v>9</v>
      </c>
      <c r="DL556" s="63" t="n">
        <f aca="false">IF(DL$35&gt;=$AC$554,DL$35-$AC$554+1,0)</f>
        <v>10</v>
      </c>
      <c r="DM556" s="63" t="n">
        <f aca="false">IF(DM$35&gt;=$AC$554,DM$35-$AC$554+1,0)</f>
        <v>11</v>
      </c>
      <c r="DN556" s="63" t="n">
        <f aca="false">IF(DN$35&gt;=$AC$554,DN$35-$AC$554+1,0)</f>
        <v>12</v>
      </c>
      <c r="DO556" s="63" t="n">
        <f aca="false">IF(DO$35&gt;=$AC$554,DO$35-$AC$554+1,0)</f>
        <v>13</v>
      </c>
      <c r="DP556" s="63" t="n">
        <f aca="false">IF(DP$35&gt;=$AC$554,DP$35-$AC$554+1,0)</f>
        <v>14</v>
      </c>
      <c r="DQ556" s="63" t="n">
        <f aca="false">IF(DQ$35&gt;=$AC$554,DQ$35-$AC$554+1,0)</f>
        <v>15</v>
      </c>
      <c r="DR556" s="63" t="n">
        <f aca="false">IF(DR$35&gt;=$AC$554,DR$35-$AC$554+1,0)</f>
        <v>16</v>
      </c>
      <c r="DS556" s="63" t="n">
        <f aca="false">IF(DS$35&gt;=$AC$554,DS$35-$AC$554+1,0)</f>
        <v>17</v>
      </c>
      <c r="DT556" s="63" t="n">
        <f aca="false">IF(DT$35&gt;=$AC$554,DT$35-$AC$554+1,0)</f>
        <v>18</v>
      </c>
      <c r="DU556" s="63" t="n">
        <f aca="false">IF(DU$35&gt;=$AC$554,DU$35-$AC$554+1,0)</f>
        <v>19</v>
      </c>
      <c r="DV556" s="63" t="n">
        <f aca="false">IF(DV$35&gt;=$AC$554,DV$35-$AC$554+1,0)</f>
        <v>20</v>
      </c>
      <c r="DW556" s="63" t="n">
        <f aca="false">IF(DW$35&gt;=$AC$554,DW$35-$AC$554+1,0)</f>
        <v>21</v>
      </c>
      <c r="DX556" s="63" t="n">
        <f aca="false">IF(DX$35&gt;=$AC$554,DX$35-$AC$554+1,0)</f>
        <v>22</v>
      </c>
      <c r="DY556" s="63" t="n">
        <f aca="false">IF(DY$35&gt;=$AC$554,DY$35-$AC$554+1,0)</f>
        <v>23</v>
      </c>
      <c r="DZ556" s="63" t="n">
        <f aca="false">IF(DZ$35&gt;=$AC$554,DZ$35-$AC$554+1,0)</f>
        <v>24</v>
      </c>
      <c r="EA556" s="63" t="n">
        <f aca="false">IF(EA$35&gt;=$AC$554,EA$35-$AC$554+1,0)</f>
        <v>25</v>
      </c>
      <c r="EB556" s="63" t="n">
        <f aca="false">IF(EB$35&gt;=$AC$554,EB$35-$AC$554+1,0)</f>
        <v>26</v>
      </c>
      <c r="EC556" s="63" t="n">
        <f aca="false">IF(EC$35&gt;=$AC$554,EC$35-$AC$554+1,0)</f>
        <v>27</v>
      </c>
      <c r="ED556" s="63" t="n">
        <f aca="false">IF(ED$35&gt;=$AC$554,ED$35-$AC$554+1,0)</f>
        <v>28</v>
      </c>
      <c r="EE556" s="63" t="n">
        <f aca="false">IF(EE$35&gt;=$AC$554,EE$35-$AC$554+1,0)</f>
        <v>29</v>
      </c>
      <c r="EF556" s="63" t="n">
        <f aca="false">IF(EF$35&gt;=$AC$554,EF$35-$AC$554+1,0)</f>
        <v>30</v>
      </c>
      <c r="EG556" s="63" t="n">
        <f aca="false">IF(EG$35&gt;=$AC$554,EG$35-$AC$554+1,0)</f>
        <v>31</v>
      </c>
      <c r="EH556" s="63" t="n">
        <f aca="false">IF(EH$35&gt;=$AC$554,EH$35-$AC$554+1,0)</f>
        <v>32</v>
      </c>
      <c r="EI556" s="63" t="n">
        <f aca="false">IF(EI$35&gt;=$AC$554,EI$35-$AC$554+1,0)</f>
        <v>33</v>
      </c>
      <c r="EJ556" s="63" t="n">
        <f aca="false">IF(EJ$35&gt;=$AC$554,EJ$35-$AC$554+1,0)</f>
        <v>34</v>
      </c>
      <c r="EK556" s="63" t="n">
        <f aca="false">IF(EK$35&gt;=$AC$554,EK$35-$AC$554+1,0)</f>
        <v>35</v>
      </c>
      <c r="EL556" s="63" t="n">
        <f aca="false">IF(EL$35&gt;=$AC$554,EL$35-$AC$554+1,0)</f>
        <v>36</v>
      </c>
      <c r="EM556" s="63" t="n">
        <f aca="false">IF(EM$35&gt;=$AC$554,EM$35-$AC$554+1,0)</f>
        <v>37</v>
      </c>
      <c r="EN556" s="63" t="n">
        <f aca="false">IF(EN$35&gt;=$AC$554,EN$35-$AC$554+1,0)</f>
        <v>38</v>
      </c>
      <c r="EO556" s="63" t="n">
        <f aca="false">IF(EO$35&gt;=$AC$554,EO$35-$AC$554+1,0)</f>
        <v>39</v>
      </c>
      <c r="EP556" s="63" t="n">
        <f aca="false">IF(EP$35&gt;=$AC$554,EP$35-$AC$554+1,0)</f>
        <v>40</v>
      </c>
      <c r="EQ556" s="63" t="n">
        <f aca="false">IF(EQ$35&gt;=$AC$554,EQ$35-$AC$554+1,0)</f>
        <v>41</v>
      </c>
      <c r="ER556" s="63" t="n">
        <f aca="false">IF(ER$35&gt;=$AC$554,ER$35-$AC$554+1,0)</f>
        <v>42</v>
      </c>
      <c r="ES556" s="9" t="n">
        <f aca="false">IF(ES$35&gt;=$AC$554,ES$35-$AC$554+1,0)</f>
        <v>43</v>
      </c>
      <c r="ET556" s="9" t="n">
        <f aca="false">IF(ET$35&gt;=$AC$554,ET$35-$AC$554+1,0)</f>
        <v>44</v>
      </c>
      <c r="EU556" s="9" t="n">
        <f aca="false">IF(EU$35&gt;=$AC$554,EU$35-$AC$554+1,0)</f>
        <v>45</v>
      </c>
      <c r="EV556" s="9" t="n">
        <f aca="false">IF(EV$35&gt;=$AC$554,EV$35-$AC$554+1,0)</f>
        <v>46</v>
      </c>
      <c r="EW556" s="9" t="n">
        <f aca="false">IF(EW$35&gt;=$AC$554,EW$35-$AC$554+1,0)</f>
        <v>47</v>
      </c>
      <c r="EX556" s="9" t="n">
        <f aca="false">IF(EX$35&gt;=$AC$554,EX$35-$AC$554+1,0)</f>
        <v>48</v>
      </c>
      <c r="EY556" s="9" t="n">
        <f aca="false">IF(EY$35&gt;=$AC$554,EY$35-$AC$554+1,0)</f>
        <v>49</v>
      </c>
      <c r="EZ556" s="9" t="n">
        <f aca="false">IF(EZ$35&gt;=$AC$554,EZ$35-$AC$554+1,0)</f>
        <v>50</v>
      </c>
      <c r="FA556" s="9" t="n">
        <f aca="false">IF(FA$35&gt;=$AC$554,FA$35-$AC$554+1,0)</f>
        <v>51</v>
      </c>
      <c r="FB556" s="9" t="n">
        <f aca="false">IF(FB$35&gt;=$AC$554,FB$35-$AC$554+1,0)</f>
        <v>52</v>
      </c>
      <c r="FC556" s="9" t="n">
        <f aca="false">IF(FC$35&gt;=$AC$554,FC$35-$AC$554+1,0)</f>
        <v>53</v>
      </c>
      <c r="FD556" s="9" t="n">
        <f aca="false">IF(FD$35&gt;=$AC$554,FD$35-$AC$554+1,0)</f>
        <v>54</v>
      </c>
      <c r="FE556" s="9" t="n">
        <f aca="false">IF(FE$35&gt;=$AC$554,FE$35-$AC$554+1,0)</f>
        <v>55</v>
      </c>
      <c r="FF556" s="9" t="n">
        <f aca="false">IF(FF$35&gt;=$AC$554,FF$35-$AC$554+1,0)</f>
        <v>56</v>
      </c>
      <c r="FG556" s="9" t="n">
        <f aca="false">IF(FG$35&gt;=$AC$554,FG$35-$AC$554+1,0)</f>
        <v>57</v>
      </c>
      <c r="FH556" s="9" t="n">
        <f aca="false">IF(FH$35&gt;=$AC$554,FH$35-$AC$554+1,0)</f>
        <v>58</v>
      </c>
      <c r="FI556" s="9" t="n">
        <f aca="false">IF(FI$35&gt;=$AC$554,FI$35-$AC$554+1,0)</f>
        <v>59</v>
      </c>
      <c r="FJ556" s="9" t="n">
        <f aca="false">IF(FJ$35&gt;=$AC$554,FJ$35-$AC$554+1,0)</f>
        <v>60</v>
      </c>
      <c r="FK556" s="9" t="n">
        <f aca="false">IF(FK$35&gt;=$AC$554,FK$35-$AC$554+1,0)</f>
        <v>61</v>
      </c>
      <c r="FL556" s="9" t="n">
        <f aca="false">IF(FL$35&gt;=$AC$554,FL$35-$AC$554+1,0)</f>
        <v>62</v>
      </c>
      <c r="FM556" s="9" t="n">
        <f aca="false">IF(FM$35&gt;=$AC$554,FM$35-$AC$554+1,0)</f>
        <v>63</v>
      </c>
      <c r="FN556" s="9" t="n">
        <f aca="false">IF(FN$35&gt;=$AC$554,FN$35-$AC$554+1,0)</f>
        <v>64</v>
      </c>
      <c r="FO556" s="9" t="n">
        <f aca="false">IF(FO$35&gt;=$AC$554,FO$35-$AC$554+1,0)</f>
        <v>65</v>
      </c>
      <c r="FP556" s="9" t="n">
        <f aca="false">IF(FP$35&gt;=$AC$554,FP$35-$AC$554+1,0)</f>
        <v>66</v>
      </c>
    </row>
    <row r="557" customFormat="false" ht="15" hidden="false" customHeight="false" outlineLevel="2" collapsed="false">
      <c r="B557" s="9" t="s">
        <v>874</v>
      </c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236" t="n">
        <f aca="false" t="array" ref="AC557:AC557">IF(AC556=0,0,IF(AC556/'🎚️ Escenario'!$C$11&gt;=36,$AL$23,INDEX($C$23:$AL$23,MAX(1,ROUNDUP(AC556/'🎚️ Escenario'!$C$11,0)))))</f>
        <v>0</v>
      </c>
      <c r="AD557" s="236" t="n">
        <f aca="false" t="array" ref="AD557:AD557">IF(AD556=0,0,IF(AD556/'🎚️ Escenario'!$C$11&gt;=36,$AL$23,INDEX($C$23:$AL$23,MAX(1,ROUNDUP(AD556/'🎚️ Escenario'!$C$11,0)))))</f>
        <v>0</v>
      </c>
      <c r="AE557" s="236" t="n">
        <f aca="false" t="array" ref="AE557:AE557">IF(AE556=0,0,IF(AE556/'🎚️ Escenario'!$C$11&gt;=36,$AL$23,INDEX($C$23:$AL$23,MAX(1,ROUNDUP(AE556/'🎚️ Escenario'!$C$11,0)))))</f>
        <v>0</v>
      </c>
      <c r="AF557" s="236" t="n">
        <f aca="false" t="array" ref="AF557:AF557">IF(AF556=0,0,IF(AF556/'🎚️ Escenario'!$C$11&gt;=36,$AL$23,INDEX($C$23:$AL$23,MAX(1,ROUNDUP(AF556/'🎚️ Escenario'!$C$11,0)))))</f>
        <v>0</v>
      </c>
      <c r="AG557" s="236" t="n">
        <f aca="false" t="array" ref="AG557:AG557">IF(AG556=0,0,IF(AG556/'🎚️ Escenario'!$C$11&gt;=36,$AL$23,INDEX($C$23:$AL$23,MAX(1,ROUNDUP(AG556/'🎚️ Escenario'!$C$11,0)))))</f>
        <v>0</v>
      </c>
      <c r="AH557" s="236" t="n">
        <f aca="false" t="array" ref="AH557:AH557">IF(AH556=0,0,IF(AH556/'🎚️ Escenario'!$C$11&gt;=36,$AL$23,INDEX($C$23:$AL$23,MAX(1,ROUNDUP(AH556/'🎚️ Escenario'!$C$11,0)))))</f>
        <v>0</v>
      </c>
      <c r="AI557" s="236" t="n">
        <f aca="false" t="array" ref="AI557:AI557">IF(AI556=0,0,IF(AI556/'🎚️ Escenario'!$C$11&gt;=36,$AL$23,INDEX($C$23:$AL$23,MAX(1,ROUNDUP(AI556/'🎚️ Escenario'!$C$11,0)))))</f>
        <v>0</v>
      </c>
      <c r="AJ557" s="236" t="n">
        <f aca="false" t="array" ref="AJ557:AJ557">IF(AJ556=0,0,IF(AJ556/'🎚️ Escenario'!$C$11&gt;=36,$AL$23,INDEX($C$23:$AL$23,MAX(1,ROUNDUP(AJ556/'🎚️ Escenario'!$C$11,0)))))</f>
        <v>0</v>
      </c>
      <c r="AK557" s="236" t="n">
        <f aca="false" t="array" ref="AK557:AK557">IF(AK556=0,0,IF(AK556/'🎚️ Escenario'!$C$11&gt;=36,$AL$23,INDEX($C$23:$AL$23,MAX(1,ROUNDUP(AK556/'🎚️ Escenario'!$C$11,0)))))</f>
        <v>0</v>
      </c>
      <c r="AL557" s="236" t="n">
        <f aca="false" t="array" ref="AL557:AL557">IF(AL556=0,0,IF(AL556/'🎚️ Escenario'!$C$11&gt;=36,$AL$23,INDEX($C$23:$AL$23,MAX(1,ROUNDUP(AL556/'🎚️ Escenario'!$C$11,0)))))</f>
        <v>0</v>
      </c>
      <c r="AM557" s="236" t="n">
        <f aca="false" t="array" ref="AM557:AM557">IF(AM556=0,0,IF(AM556/'🎚️ Escenario'!$C$11&gt;=36,$AL$23,INDEX($C$23:$AL$23,MAX(1,ROUNDUP(AM556/'🎚️ Escenario'!$C$11,0)))))</f>
        <v>0</v>
      </c>
      <c r="AN557" s="236" t="n">
        <f aca="false" t="array" ref="AN557:AN557">IF(AN556=0,0,IF(AN556/'🎚️ Escenario'!$C$11&gt;=36,$AL$23,INDEX($C$23:$AL$23,MAX(1,ROUNDUP(AN556/'🎚️ Escenario'!$C$11,0)))))</f>
        <v>0</v>
      </c>
      <c r="AO557" s="236" t="n">
        <f aca="false" t="array" ref="AO557:AO557">IF(AO556=0,0,IF(AO556/'🎚️ Escenario'!$C$11&gt;=36,$AL$23,INDEX($C$23:$AL$23,MAX(1,ROUNDUP(AO556/'🎚️ Escenario'!$C$11,0)))))</f>
        <v>0</v>
      </c>
      <c r="AP557" s="236" t="n">
        <f aca="false" t="array" ref="AP557:AP557">IF(AP556=0,0,IF(AP556/'🎚️ Escenario'!$C$11&gt;=36,$AL$23,INDEX($C$23:$AL$23,MAX(1,ROUNDUP(AP556/'🎚️ Escenario'!$C$11,0)))))</f>
        <v>0</v>
      </c>
      <c r="AQ557" s="236" t="n">
        <f aca="false" t="array" ref="AQ557:AQ557">IF(AQ556=0,0,IF(AQ556/'🎚️ Escenario'!$C$11&gt;=36,$AL$23,INDEX($C$23:$AL$23,MAX(1,ROUNDUP(AQ556/'🎚️ Escenario'!$C$11,0)))))</f>
        <v>0</v>
      </c>
      <c r="AR557" s="236" t="n">
        <f aca="false" t="array" ref="AR557:AR557">IF(AR556=0,0,IF(AR556/'🎚️ Escenario'!$C$11&gt;=36,$AL$23,INDEX($C$23:$AL$23,MAX(1,ROUNDUP(AR556/'🎚️ Escenario'!$C$11,0)))))</f>
        <v>0</v>
      </c>
      <c r="AS557" s="236" t="n">
        <f aca="false" t="array" ref="AS557:AS557">IF(AS556=0,0,IF(AS556/'🎚️ Escenario'!$C$11&gt;=36,$AL$23,INDEX($C$23:$AL$23,MAX(1,ROUNDUP(AS556/'🎚️ Escenario'!$C$11,0)))))</f>
        <v>0</v>
      </c>
      <c r="AT557" s="236" t="n">
        <f aca="false" t="array" ref="AT557:AT557">IF(AT556=0,0,IF(AT556/'🎚️ Escenario'!$C$11&gt;=36,$AL$23,INDEX($C$23:$AL$23,MAX(1,ROUNDUP(AT556/'🎚️ Escenario'!$C$11,0)))))</f>
        <v>0</v>
      </c>
      <c r="AU557" s="236" t="n">
        <f aca="false" t="array" ref="AU557:AU557">IF(AU556=0,0,IF(AU556/'🎚️ Escenario'!$C$11&gt;=36,$AL$23,INDEX($C$23:$AL$23,MAX(1,ROUNDUP(AU556/'🎚️ Escenario'!$C$11,0)))))</f>
        <v>0</v>
      </c>
      <c r="AV557" s="236" t="n">
        <f aca="false" t="array" ref="AV557:AV557">IF(AV556=0,0,IF(AV556/'🎚️ Escenario'!$C$11&gt;=36,$AL$23,INDEX($C$23:$AL$23,MAX(1,ROUNDUP(AV556/'🎚️ Escenario'!$C$11,0)))))</f>
        <v>0</v>
      </c>
      <c r="AW557" s="236" t="n">
        <f aca="false" t="array" ref="AW557:AW557">IF(AW556=0,0,IF(AW556/'🎚️ Escenario'!$C$11&gt;=36,$AL$23,INDEX($C$23:$AL$23,MAX(1,ROUNDUP(AW556/'🎚️ Escenario'!$C$11,0)))))</f>
        <v>0</v>
      </c>
      <c r="AX557" s="236" t="n">
        <f aca="false" t="array" ref="AX557:AX557">IF(AX556=0,0,IF(AX556/'🎚️ Escenario'!$C$11&gt;=36,$AL$23,INDEX($C$23:$AL$23,MAX(1,ROUNDUP(AX556/'🎚️ Escenario'!$C$11,0)))))</f>
        <v>0</v>
      </c>
      <c r="AY557" s="236" t="n">
        <f aca="false" t="array" ref="AY557:AY557">IF(AY556=0,0,IF(AY556/'🎚️ Escenario'!$C$11&gt;=36,$AL$23,INDEX($C$23:$AL$23,MAX(1,ROUNDUP(AY556/'🎚️ Escenario'!$C$11,0)))))</f>
        <v>0</v>
      </c>
      <c r="AZ557" s="236" t="n">
        <f aca="false" t="array" ref="AZ557:AZ557">IF(AZ556=0,0,IF(AZ556/'🎚️ Escenario'!$C$11&gt;=36,$AL$23,INDEX($C$23:$AL$23,MAX(1,ROUNDUP(AZ556/'🎚️ Escenario'!$C$11,0)))))</f>
        <v>0</v>
      </c>
      <c r="BA557" s="236" t="n">
        <f aca="false" t="array" ref="BA557:BA557">IF(BA556=0,0,IF(BA556/'🎚️ Escenario'!$C$11&gt;=36,$AL$23,INDEX($C$23:$AL$23,MAX(1,ROUNDUP(BA556/'🎚️ Escenario'!$C$11,0)))))</f>
        <v>0</v>
      </c>
      <c r="BB557" s="236" t="n">
        <f aca="false" t="array" ref="BB557:BB557">IF(BB556=0,0,IF(BB556/'🎚️ Escenario'!$C$11&gt;=36,$AL$23,INDEX($C$23:$AL$23,MAX(1,ROUNDUP(BB556/'🎚️ Escenario'!$C$11,0)))))</f>
        <v>0</v>
      </c>
      <c r="BC557" s="236" t="n">
        <f aca="false" t="array" ref="BC557:BC557">IF(BC556=0,0,IF(BC556/'🎚️ Escenario'!$C$11&gt;=36,$AL$23,INDEX($C$23:$AL$23,MAX(1,ROUNDUP(BC556/'🎚️ Escenario'!$C$11,0)))))</f>
        <v>0</v>
      </c>
      <c r="BD557" s="236" t="n">
        <f aca="false" t="array" ref="BD557:BD557">IF(BD556=0,0,IF(BD556/'🎚️ Escenario'!$C$11&gt;=36,$AL$23,INDEX($C$23:$AL$23,MAX(1,ROUNDUP(BD556/'🎚️ Escenario'!$C$11,0)))))</f>
        <v>0</v>
      </c>
      <c r="BE557" s="236" t="n">
        <f aca="false" t="array" ref="BE557:BE557">IF(BE556=0,0,IF(BE556/'🎚️ Escenario'!$C$11&gt;=36,$AL$23,INDEX($C$23:$AL$23,MAX(1,ROUNDUP(BE556/'🎚️ Escenario'!$C$11,0)))))</f>
        <v>0</v>
      </c>
      <c r="BF557" s="236" t="n">
        <f aca="false" t="array" ref="BF557:BF557">IF(BF556=0,0,IF(BF556/'🎚️ Escenario'!$C$11&gt;=36,$AL$23,INDEX($C$23:$AL$23,MAX(1,ROUNDUP(BF556/'🎚️ Escenario'!$C$11,0)))))</f>
        <v>0</v>
      </c>
      <c r="BG557" s="236" t="n">
        <f aca="false" t="array" ref="BG557:BG557">IF(BG556=0,0,IF(BG556/'🎚️ Escenario'!$C$11&gt;=36,$AL$23,INDEX($C$23:$AL$23,MAX(1,ROUNDUP(BG556/'🎚️ Escenario'!$C$11,0)))))</f>
        <v>0</v>
      </c>
      <c r="BH557" s="236" t="n">
        <f aca="false" t="array" ref="BH557:BH557">IF(BH556=0,0,IF(BH556/'🎚️ Escenario'!$C$11&gt;=36,$AL$23,INDEX($C$23:$AL$23,MAX(1,ROUNDUP(BH556/'🎚️ Escenario'!$C$11,0)))))</f>
        <v>0</v>
      </c>
      <c r="BI557" s="236" t="n">
        <f aca="false" t="array" ref="BI557:BI557">IF(BI556=0,0,IF(BI556/'🎚️ Escenario'!$C$11&gt;=36,$AL$23,INDEX($C$23:$AL$23,MAX(1,ROUNDUP(BI556/'🎚️ Escenario'!$C$11,0)))))</f>
        <v>0</v>
      </c>
      <c r="BJ557" s="236" t="n">
        <f aca="false" t="array" ref="BJ557:BJ557">IF(BJ556=0,0,IF(BJ556/'🎚️ Escenario'!$C$11&gt;=36,$AL$23,INDEX($C$23:$AL$23,MAX(1,ROUNDUP(BJ556/'🎚️ Escenario'!$C$11,0)))))</f>
        <v>0</v>
      </c>
      <c r="BK557" s="236" t="n">
        <f aca="false" t="array" ref="BK557:BK557">IF(BK556=0,0,IF(BK556/'🎚️ Escenario'!$C$11&gt;=36,$AL$23,INDEX($C$23:$AL$23,MAX(1,ROUNDUP(BK556/'🎚️ Escenario'!$C$11,0)))))</f>
        <v>0</v>
      </c>
      <c r="BL557" s="236" t="n">
        <f aca="false" t="array" ref="BL557:BL557">IF(BL556=0,0,IF(BL556/'🎚️ Escenario'!$C$11&gt;=36,$AL$23,INDEX($C$23:$AL$23,MAX(1,ROUNDUP(BL556/'🎚️ Escenario'!$C$11,0)))))</f>
        <v>0</v>
      </c>
      <c r="BM557" s="236" t="n">
        <f aca="false" t="array" ref="BM557:BM557">IF(BM556=0,0,IF(BM556/'🎚️ Escenario'!$C$11&gt;=36,$AL$23,INDEX($C$23:$AL$23,MAX(1,ROUNDUP(BM556/'🎚️ Escenario'!$C$11,0)))))</f>
        <v>0</v>
      </c>
      <c r="BN557" s="236" t="n">
        <f aca="false" t="array" ref="BN557:BN557">IF(BN556=0,0,IF(BN556/'🎚️ Escenario'!$C$11&gt;=36,$AL$23,INDEX($C$23:$AL$23,MAX(1,ROUNDUP(BN556/'🎚️ Escenario'!$C$11,0)))))</f>
        <v>0</v>
      </c>
      <c r="BO557" s="236" t="n">
        <f aca="false" t="array" ref="BO557:BO557">IF(BO556=0,0,IF(BO556/'🎚️ Escenario'!$C$11&gt;=36,$AL$23,INDEX($C$23:$AL$23,MAX(1,ROUNDUP(BO556/'🎚️ Escenario'!$C$11,0)))))</f>
        <v>0</v>
      </c>
      <c r="BP557" s="236" t="n">
        <f aca="false" t="array" ref="BP557:BP557">IF(BP556=0,0,IF(BP556/'🎚️ Escenario'!$C$11&gt;=36,$AL$23,INDEX($C$23:$AL$23,MAX(1,ROUNDUP(BP556/'🎚️ Escenario'!$C$11,0)))))</f>
        <v>0</v>
      </c>
      <c r="BQ557" s="236" t="n">
        <f aca="false" t="array" ref="BQ557:BQ557">IF(BQ556=0,0,IF(BQ556/'🎚️ Escenario'!$C$11&gt;=36,$AL$23,INDEX($C$23:$AL$23,MAX(1,ROUNDUP(BQ556/'🎚️ Escenario'!$C$11,0)))))</f>
        <v>0</v>
      </c>
      <c r="BR557" s="236" t="n">
        <f aca="false" t="array" ref="BR557:BR557">IF(BR556=0,0,IF(BR556/'🎚️ Escenario'!$C$11&gt;=36,$AL$23,INDEX($C$23:$AL$23,MAX(1,ROUNDUP(BR556/'🎚️ Escenario'!$C$11,0)))))</f>
        <v>0</v>
      </c>
      <c r="BS557" s="236" t="n">
        <f aca="false" t="array" ref="BS557:BS557">IF(BS556=0,0,IF(BS556/'🎚️ Escenario'!$C$11&gt;=36,$AL$23,INDEX($C$23:$AL$23,MAX(1,ROUNDUP(BS556/'🎚️ Escenario'!$C$11,0)))))</f>
        <v>0</v>
      </c>
      <c r="BT557" s="236" t="n">
        <f aca="false" t="array" ref="BT557:BT557">IF(BT556=0,0,IF(BT556/'🎚️ Escenario'!$C$11&gt;=36,$AL$23,INDEX($C$23:$AL$23,MAX(1,ROUNDUP(BT556/'🎚️ Escenario'!$C$11,0)))))</f>
        <v>0</v>
      </c>
      <c r="BU557" s="236" t="n">
        <f aca="false" t="array" ref="BU557:BU557">IF(BU556=0,0,IF(BU556/'🎚️ Escenario'!$C$11&gt;=36,$AL$23,INDEX($C$23:$AL$23,MAX(1,ROUNDUP(BU556/'🎚️ Escenario'!$C$11,0)))))</f>
        <v>0</v>
      </c>
      <c r="BV557" s="236" t="n">
        <f aca="false" t="array" ref="BV557:BV557">IF(BV556=0,0,IF(BV556/'🎚️ Escenario'!$C$11&gt;=36,$AL$23,INDEX($C$23:$AL$23,MAX(1,ROUNDUP(BV556/'🎚️ Escenario'!$C$11,0)))))</f>
        <v>0</v>
      </c>
      <c r="BW557" s="236" t="n">
        <f aca="false" t="array" ref="BW557:BW557">IF(BW556=0,0,IF(BW556/'🎚️ Escenario'!$C$11&gt;=36,$AL$23,INDEX($C$23:$AL$23,MAX(1,ROUNDUP(BW556/'🎚️ Escenario'!$C$11,0)))))</f>
        <v>0</v>
      </c>
      <c r="BX557" s="236" t="n">
        <f aca="false" t="array" ref="BX557:BX557">IF(BX556=0,0,IF(BX556/'🎚️ Escenario'!$C$11&gt;=36,$AL$23,INDEX($C$23:$AL$23,MAX(1,ROUNDUP(BX556/'🎚️ Escenario'!$C$11,0)))))</f>
        <v>0</v>
      </c>
      <c r="BY557" s="236" t="n">
        <f aca="false" t="array" ref="BY557:BY557">IF(BY556=0,0,IF(BY556/'🎚️ Escenario'!$C$11&gt;=36,$AL$23,INDEX($C$23:$AL$23,MAX(1,ROUNDUP(BY556/'🎚️ Escenario'!$C$11,0)))))</f>
        <v>0</v>
      </c>
      <c r="BZ557" s="236" t="n">
        <f aca="false" t="array" ref="BZ557:BZ557">IF(BZ556=0,0,IF(BZ556/'🎚️ Escenario'!$C$11&gt;=36,$AL$23,INDEX($C$23:$AL$23,MAX(1,ROUNDUP(BZ556/'🎚️ Escenario'!$C$11,0)))))</f>
        <v>0</v>
      </c>
      <c r="CA557" s="236" t="n">
        <f aca="false" t="array" ref="CA557:CA557">IF(CA556=0,0,IF(CA556/'🎚️ Escenario'!$C$11&gt;=36,$AL$23,INDEX($C$23:$AL$23,MAX(1,ROUNDUP(CA556/'🎚️ Escenario'!$C$11,0)))))</f>
        <v>0</v>
      </c>
      <c r="CB557" s="236" t="n">
        <f aca="false" t="array" ref="CB557:CB557">IF(CB556=0,0,IF(CB556/'🎚️ Escenario'!$C$11&gt;=36,$AL$23,INDEX($C$23:$AL$23,MAX(1,ROUNDUP(CB556/'🎚️ Escenario'!$C$11,0)))))</f>
        <v>0</v>
      </c>
      <c r="CC557" s="236" t="n">
        <f aca="false" t="array" ref="CC557:CC557">IF(CC556=0,0,IF(CC556/'🎚️ Escenario'!$C$11&gt;=36,$AL$23,INDEX($C$23:$AL$23,MAX(1,ROUNDUP(CC556/'🎚️ Escenario'!$C$11,0)))))</f>
        <v>0</v>
      </c>
      <c r="CD557" s="236" t="n">
        <f aca="false" t="array" ref="CD557:CD557">IF(CD556=0,0,IF(CD556/'🎚️ Escenario'!$C$11&gt;=36,$AL$23,INDEX($C$23:$AL$23,MAX(1,ROUNDUP(CD556/'🎚️ Escenario'!$C$11,0)))))</f>
        <v>0</v>
      </c>
      <c r="CE557" s="236" t="n">
        <f aca="false" t="array" ref="CE557:CE557">IF(CE556=0,0,IF(CE556/'🎚️ Escenario'!$C$11&gt;=36,$AL$23,INDEX($C$23:$AL$23,MAX(1,ROUNDUP(CE556/'🎚️ Escenario'!$C$11,0)))))</f>
        <v>0</v>
      </c>
      <c r="CF557" s="236" t="n">
        <f aca="false" t="array" ref="CF557:CF557">IF(CF556=0,0,IF(CF556/'🎚️ Escenario'!$C$11&gt;=36,$AL$23,INDEX($C$23:$AL$23,MAX(1,ROUNDUP(CF556/'🎚️ Escenario'!$C$11,0)))))</f>
        <v>0</v>
      </c>
      <c r="CG557" s="236" t="n">
        <f aca="false" t="array" ref="CG557:CG557">IF(CG556=0,0,IF(CG556/'🎚️ Escenario'!$C$11&gt;=36,$AL$23,INDEX($C$23:$AL$23,MAX(1,ROUNDUP(CG556/'🎚️ Escenario'!$C$11,0)))))</f>
        <v>0</v>
      </c>
      <c r="CH557" s="236" t="n">
        <f aca="false" t="array" ref="CH557:CH557">IF(CH556=0,0,IF(CH556/'🎚️ Escenario'!$C$11&gt;=36,$AL$23,INDEX($C$23:$AL$23,MAX(1,ROUNDUP(CH556/'🎚️ Escenario'!$C$11,0)))))</f>
        <v>0</v>
      </c>
      <c r="CI557" s="236" t="n">
        <f aca="false" t="array" ref="CI557:CI557">IF(CI556=0,0,IF(CI556/'🎚️ Escenario'!$C$11&gt;=36,$AL$23,INDEX($C$23:$AL$23,MAX(1,ROUNDUP(CI556/'🎚️ Escenario'!$C$11,0)))))</f>
        <v>0</v>
      </c>
      <c r="CJ557" s="236" t="n">
        <f aca="false" t="array" ref="CJ557:CJ557">IF(CJ556=0,0,IF(CJ556/'🎚️ Escenario'!$C$11&gt;=36,$AL$23,INDEX($C$23:$AL$23,MAX(1,ROUNDUP(CJ556/'🎚️ Escenario'!$C$11,0)))))</f>
        <v>0</v>
      </c>
      <c r="CK557" s="236" t="n">
        <f aca="false" t="array" ref="CK557:CK557">IF(CK556=0,0,IF(CK556/'🎚️ Escenario'!$C$11&gt;=36,$AL$23,INDEX($C$23:$AL$23,MAX(1,ROUNDUP(CK556/'🎚️ Escenario'!$C$11,0)))))</f>
        <v>0</v>
      </c>
      <c r="CL557" s="236" t="n">
        <f aca="false" t="array" ref="CL557:CL557">IF(CL556=0,0,IF(CL556/'🎚️ Escenario'!$C$11&gt;=36,$AL$23,INDEX($C$23:$AL$23,MAX(1,ROUNDUP(CL556/'🎚️ Escenario'!$C$11,0)))))</f>
        <v>0</v>
      </c>
      <c r="CM557" s="236" t="n">
        <f aca="false" t="array" ref="CM557:CM557">IF(CM556=0,0,IF(CM556/'🎚️ Escenario'!$C$11&gt;=36,$AL$23,INDEX($C$23:$AL$23,MAX(1,ROUNDUP(CM556/'🎚️ Escenario'!$C$11,0)))))</f>
        <v>0</v>
      </c>
      <c r="CN557" s="236" t="n">
        <f aca="false" t="array" ref="CN557:CN557">IF(CN556=0,0,IF(CN556/'🎚️ Escenario'!$C$11&gt;=36,$AL$23,INDEX($C$23:$AL$23,MAX(1,ROUNDUP(CN556/'🎚️ Escenario'!$C$11,0)))))</f>
        <v>0</v>
      </c>
      <c r="CO557" s="236" t="n">
        <f aca="false" t="array" ref="CO557:CO557">IF(CO556=0,0,IF(CO556/'🎚️ Escenario'!$C$11&gt;=36,$AL$23,INDEX($C$23:$AL$23,MAX(1,ROUNDUP(CO556/'🎚️ Escenario'!$C$11,0)))))</f>
        <v>0</v>
      </c>
      <c r="CP557" s="236" t="n">
        <f aca="false" t="array" ref="CP557:CP557">IF(CP556=0,0,IF(CP556/'🎚️ Escenario'!$C$11&gt;=36,$AL$23,INDEX($C$23:$AL$23,MAX(1,ROUNDUP(CP556/'🎚️ Escenario'!$C$11,0)))))</f>
        <v>0</v>
      </c>
      <c r="CQ557" s="236" t="n">
        <f aca="false" t="array" ref="CQ557:CQ557">IF(CQ556=0,0,IF(CQ556/'🎚️ Escenario'!$C$11&gt;=36,$AL$23,INDEX($C$23:$AL$23,MAX(1,ROUNDUP(CQ556/'🎚️ Escenario'!$C$11,0)))))</f>
        <v>0</v>
      </c>
      <c r="CR557" s="236" t="n">
        <f aca="false" t="array" ref="CR557:CR557">IF(CR556=0,0,IF(CR556/'🎚️ Escenario'!$C$11&gt;=36,$AL$23,INDEX($C$23:$AL$23,MAX(1,ROUNDUP(CR556/'🎚️ Escenario'!$C$11,0)))))</f>
        <v>0</v>
      </c>
      <c r="CS557" s="236" t="n">
        <f aca="false" t="array" ref="CS557:CS557">IF(CS556=0,0,IF(CS556/'🎚️ Escenario'!$C$11&gt;=36,$AL$23,INDEX($C$23:$AL$23,MAX(1,ROUNDUP(CS556/'🎚️ Escenario'!$C$11,0)))))</f>
        <v>0</v>
      </c>
      <c r="CT557" s="236" t="n">
        <f aca="false" t="array" ref="CT557:CT557">IF(CT556=0,0,IF(CT556/'🎚️ Escenario'!$C$11&gt;=36,$AL$23,INDEX($C$23:$AL$23,MAX(1,ROUNDUP(CT556/'🎚️ Escenario'!$C$11,0)))))</f>
        <v>0</v>
      </c>
      <c r="CU557" s="236" t="n">
        <f aca="false" t="array" ref="CU557:CU557">IF(CU556=0,0,IF(CU556/'🎚️ Escenario'!$C$11&gt;=36,$AL$23,INDEX($C$23:$AL$23,MAX(1,ROUNDUP(CU556/'🎚️ Escenario'!$C$11,0)))))</f>
        <v>0</v>
      </c>
      <c r="CV557" s="236" t="n">
        <f aca="false" t="array" ref="CV557:CV557">IF(CV556=0,0,IF(CV556/'🎚️ Escenario'!$C$11&gt;=36,$AL$23,INDEX($C$23:$AL$23,MAX(1,ROUNDUP(CV556/'🎚️ Escenario'!$C$11,0)))))</f>
        <v>0</v>
      </c>
      <c r="CW557" s="236" t="n">
        <f aca="false" t="array" ref="CW557:CW557">IF(CW556=0,0,IF(CW556/'🎚️ Escenario'!$C$11&gt;=36,$AL$23,INDEX($C$23:$AL$23,MAX(1,ROUNDUP(CW556/'🎚️ Escenario'!$C$11,0)))))</f>
        <v>0</v>
      </c>
      <c r="CX557" s="236" t="n">
        <f aca="false" t="array" ref="CX557:CX557">IF(CX556=0,0,IF(CX556/'🎚️ Escenario'!$C$11&gt;=36,$AL$23,INDEX($C$23:$AL$23,MAX(1,ROUNDUP(CX556/'🎚️ Escenario'!$C$11,0)))))</f>
        <v>0</v>
      </c>
      <c r="CY557" s="236" t="n">
        <f aca="false" t="array" ref="CY557:CY557">IF(CY556=0,0,IF(CY556/'🎚️ Escenario'!$C$11&gt;=36,$AL$23,INDEX($C$23:$AL$23,MAX(1,ROUNDUP(CY556/'🎚️ Escenario'!$C$11,0)))))</f>
        <v>0</v>
      </c>
      <c r="CZ557" s="236" t="n">
        <f aca="false" t="array" ref="CZ557:CZ557">IF(CZ556=0,0,IF(CZ556/'🎚️ Escenario'!$C$11&gt;=36,$AL$23,INDEX($C$23:$AL$23,MAX(1,ROUNDUP(CZ556/'🎚️ Escenario'!$C$11,0)))))</f>
        <v>0</v>
      </c>
      <c r="DA557" s="236" t="n">
        <f aca="false" t="array" ref="DA557:DA557">IF(DA556=0,0,IF(DA556/'🎚️ Escenario'!$C$11&gt;=36,$AL$23,INDEX($C$23:$AL$23,MAX(1,ROUNDUP(DA556/'🎚️ Escenario'!$C$11,0)))))</f>
        <v>0</v>
      </c>
      <c r="DB557" s="236" t="n">
        <f aca="false" t="array" ref="DB557:DB557">IF(DB556=0,0,IF(DB556/'🎚️ Escenario'!$C$11&gt;=36,$AL$23,INDEX($C$23:$AL$23,MAX(1,ROUNDUP(DB556/'🎚️ Escenario'!$C$11,0)))))</f>
        <v>0</v>
      </c>
      <c r="DC557" s="236" t="n">
        <f aca="false" t="array" ref="DC557:DC557">IF(DC556=0,0,IF(DC556/'🎚️ Escenario'!$C$11&gt;=36,$AL$23,INDEX($C$23:$AL$23,MAX(1,ROUNDUP(DC556/'🎚️ Escenario'!$C$11,0)))))</f>
        <v>0.2</v>
      </c>
      <c r="DD557" s="236" t="n">
        <f aca="false" t="array" ref="DD557:DD557">IF(DD556=0,0,IF(DD556/'🎚️ Escenario'!$C$11&gt;=36,$AL$23,INDEX($C$23:$AL$23,MAX(1,ROUNDUP(DD556/'🎚️ Escenario'!$C$11,0)))))</f>
        <v>0.22</v>
      </c>
      <c r="DE557" s="236" t="n">
        <f aca="false" t="array" ref="DE557:DE557">IF(DE556=0,0,IF(DE556/'🎚️ Escenario'!$C$11&gt;=36,$AL$23,INDEX($C$23:$AL$23,MAX(1,ROUNDUP(DE556/'🎚️ Escenario'!$C$11,0)))))</f>
        <v>0.24</v>
      </c>
      <c r="DF557" s="236" t="n">
        <f aca="false" t="array" ref="DF557:DF557">IF(DF556=0,0,IF(DF556/'🎚️ Escenario'!$C$11&gt;=36,$AL$23,INDEX($C$23:$AL$23,MAX(1,ROUNDUP(DF556/'🎚️ Escenario'!$C$11,0)))))</f>
        <v>0.27</v>
      </c>
      <c r="DG557" s="236" t="n">
        <f aca="false" t="array" ref="DG557:DG557">IF(DG556=0,0,IF(DG556/'🎚️ Escenario'!$C$11&gt;=36,$AL$23,INDEX($C$23:$AL$23,MAX(1,ROUNDUP(DG556/'🎚️ Escenario'!$C$11,0)))))</f>
        <v>0.27</v>
      </c>
      <c r="DH557" s="236" t="n">
        <f aca="false" t="array" ref="DH557:DH557">IF(DH556=0,0,IF(DH556/'🎚️ Escenario'!$C$11&gt;=36,$AL$23,INDEX($C$23:$AL$23,MAX(1,ROUNDUP(DH556/'🎚️ Escenario'!$C$11,0)))))</f>
        <v>0.31</v>
      </c>
      <c r="DI557" s="236" t="n">
        <f aca="false" t="array" ref="DI557:DI557">IF(DI556=0,0,IF(DI556/'🎚️ Escenario'!$C$11&gt;=36,$AL$23,INDEX($C$23:$AL$23,MAX(1,ROUNDUP(DI556/'🎚️ Escenario'!$C$11,0)))))</f>
        <v>0.35</v>
      </c>
      <c r="DJ557" s="236" t="n">
        <f aca="false" t="array" ref="DJ557:DJ557">IF(DJ556=0,0,IF(DJ556/'🎚️ Escenario'!$C$11&gt;=36,$AL$23,INDEX($C$23:$AL$23,MAX(1,ROUNDUP(DJ556/'🎚️ Escenario'!$C$11,0)))))</f>
        <v>0.39</v>
      </c>
      <c r="DK557" s="236" t="n">
        <f aca="false" t="array" ref="DK557:DK557">IF(DK556=0,0,IF(DK556/'🎚️ Escenario'!$C$11&gt;=36,$AL$23,INDEX($C$23:$AL$23,MAX(1,ROUNDUP(DK556/'🎚️ Escenario'!$C$11,0)))))</f>
        <v>0.44</v>
      </c>
      <c r="DL557" s="236" t="n">
        <f aca="false" t="array" ref="DL557:DL557">IF(DL556=0,0,IF(DL556/'🎚️ Escenario'!$C$11&gt;=36,$AL$23,INDEX($C$23:$AL$23,MAX(1,ROUNDUP(DL556/'🎚️ Escenario'!$C$11,0)))))</f>
        <v>0.44</v>
      </c>
      <c r="DM557" s="236" t="n">
        <f aca="false" t="array" ref="DM557:DM557">IF(DM556=0,0,IF(DM556/'🎚️ Escenario'!$C$11&gt;=36,$AL$23,INDEX($C$23:$AL$23,MAX(1,ROUNDUP(DM556/'🎚️ Escenario'!$C$11,0)))))</f>
        <v>0.48</v>
      </c>
      <c r="DN557" s="236" t="n">
        <f aca="false" t="array" ref="DN557:DN557">IF(DN556=0,0,IF(DN556/'🎚️ Escenario'!$C$11&gt;=36,$AL$23,INDEX($C$23:$AL$23,MAX(1,ROUNDUP(DN556/'🎚️ Escenario'!$C$11,0)))))</f>
        <v>0.52</v>
      </c>
      <c r="DO557" s="236" t="n">
        <f aca="false" t="array" ref="DO557:DO557">IF(DO556=0,0,IF(DO556/'🎚️ Escenario'!$C$11&gt;=36,$AL$23,INDEX($C$23:$AL$23,MAX(1,ROUNDUP(DO556/'🎚️ Escenario'!$C$11,0)))))</f>
        <v>0.56</v>
      </c>
      <c r="DP557" s="236" t="n">
        <f aca="false" t="array" ref="DP557:DP557">IF(DP556=0,0,IF(DP556/'🎚️ Escenario'!$C$11&gt;=36,$AL$23,INDEX($C$23:$AL$23,MAX(1,ROUNDUP(DP556/'🎚️ Escenario'!$C$11,0)))))</f>
        <v>0.6</v>
      </c>
      <c r="DQ557" s="236" t="n">
        <f aca="false" t="array" ref="DQ557:DQ557">IF(DQ556=0,0,IF(DQ556/'🎚️ Escenario'!$C$11&gt;=36,$AL$23,INDEX($C$23:$AL$23,MAX(1,ROUNDUP(DQ556/'🎚️ Escenario'!$C$11,0)))))</f>
        <v>0.6</v>
      </c>
      <c r="DR557" s="236" t="n">
        <f aca="false" t="array" ref="DR557:DR557">IF(DR556=0,0,IF(DR556/'🎚️ Escenario'!$C$11&gt;=36,$AL$23,INDEX($C$23:$AL$23,MAX(1,ROUNDUP(DR556/'🎚️ Escenario'!$C$11,0)))))</f>
        <v>0.63</v>
      </c>
      <c r="DS557" s="236" t="n">
        <f aca="false" t="array" ref="DS557:DS557">IF(DS556=0,0,IF(DS556/'🎚️ Escenario'!$C$11&gt;=36,$AL$23,INDEX($C$23:$AL$23,MAX(1,ROUNDUP(DS556/'🎚️ Escenario'!$C$11,0)))))</f>
        <v>0.66</v>
      </c>
      <c r="DT557" s="236" t="n">
        <f aca="false" t="array" ref="DT557:DT557">IF(DT556=0,0,IF(DT556/'🎚️ Escenario'!$C$11&gt;=36,$AL$23,INDEX($C$23:$AL$23,MAX(1,ROUNDUP(DT556/'🎚️ Escenario'!$C$11,0)))))</f>
        <v>0.69</v>
      </c>
      <c r="DU557" s="236" t="n">
        <f aca="false" t="array" ref="DU557:DU557">IF(DU556=0,0,IF(DU556/'🎚️ Escenario'!$C$11&gt;=36,$AL$23,INDEX($C$23:$AL$23,MAX(1,ROUNDUP(DU556/'🎚️ Escenario'!$C$11,0)))))</f>
        <v>0.71</v>
      </c>
      <c r="DV557" s="236" t="n">
        <f aca="false" t="array" ref="DV557:DV557">IF(DV556=0,0,IF(DV556/'🎚️ Escenario'!$C$11&gt;=36,$AL$23,INDEX($C$23:$AL$23,MAX(1,ROUNDUP(DV556/'🎚️ Escenario'!$C$11,0)))))</f>
        <v>0.71</v>
      </c>
      <c r="DW557" s="236" t="n">
        <f aca="false" t="array" ref="DW557:DW557">IF(DW556=0,0,IF(DW556/'🎚️ Escenario'!$C$11&gt;=36,$AL$23,INDEX($C$23:$AL$23,MAX(1,ROUNDUP(DW556/'🎚️ Escenario'!$C$11,0)))))</f>
        <v>0.73</v>
      </c>
      <c r="DX557" s="236" t="n">
        <f aca="false" t="array" ref="DX557:DX557">IF(DX556=0,0,IF(DX556/'🎚️ Escenario'!$C$11&gt;=36,$AL$23,INDEX($C$23:$AL$23,MAX(1,ROUNDUP(DX556/'🎚️ Escenario'!$C$11,0)))))</f>
        <v>0.75</v>
      </c>
      <c r="DY557" s="236" t="n">
        <f aca="false" t="array" ref="DY557:DY557">IF(DY556=0,0,IF(DY556/'🎚️ Escenario'!$C$11&gt;=36,$AL$23,INDEX($C$23:$AL$23,MAX(1,ROUNDUP(DY556/'🎚️ Escenario'!$C$11,0)))))</f>
        <v>0.77</v>
      </c>
      <c r="DZ557" s="236" t="n">
        <f aca="false" t="array" ref="DZ557:DZ557">IF(DZ556=0,0,IF(DZ556/'🎚️ Escenario'!$C$11&gt;=36,$AL$23,INDEX($C$23:$AL$23,MAX(1,ROUNDUP(DZ556/'🎚️ Escenario'!$C$11,0)))))</f>
        <v>0.79</v>
      </c>
      <c r="EA557" s="236" t="n">
        <f aca="false" t="array" ref="EA557:EA557">IF(EA556=0,0,IF(EA556/'🎚️ Escenario'!$C$11&gt;=36,$AL$23,INDEX($C$23:$AL$23,MAX(1,ROUNDUP(EA556/'🎚️ Escenario'!$C$11,0)))))</f>
        <v>0.79</v>
      </c>
      <c r="EB557" s="236" t="n">
        <f aca="false" t="array" ref="EB557:EB557">IF(EB556=0,0,IF(EB556/'🎚️ Escenario'!$C$11&gt;=36,$AL$23,INDEX($C$23:$AL$23,MAX(1,ROUNDUP(EB556/'🎚️ Escenario'!$C$11,0)))))</f>
        <v>0.8</v>
      </c>
      <c r="EC557" s="236" t="n">
        <f aca="false" t="array" ref="EC557:EC557">IF(EC556=0,0,IF(EC556/'🎚️ Escenario'!$C$11&gt;=36,$AL$23,INDEX($C$23:$AL$23,MAX(1,ROUNDUP(EC556/'🎚️ Escenario'!$C$11,0)))))</f>
        <v>0.82</v>
      </c>
      <c r="ED557" s="236" t="n">
        <f aca="false" t="array" ref="ED557:ED557">IF(ED556=0,0,IF(ED556/'🎚️ Escenario'!$C$11&gt;=36,$AL$23,INDEX($C$23:$AL$23,MAX(1,ROUNDUP(ED556/'🎚️ Escenario'!$C$11,0)))))</f>
        <v>0.84</v>
      </c>
      <c r="EE557" s="236" t="n">
        <f aca="false" t="array" ref="EE557:EE557">IF(EE556=0,0,IF(EE556/'🎚️ Escenario'!$C$11&gt;=36,$AL$23,INDEX($C$23:$AL$23,MAX(1,ROUNDUP(EE556/'🎚️ Escenario'!$C$11,0)))))</f>
        <v>0.85</v>
      </c>
      <c r="EF557" s="236" t="n">
        <f aca="false" t="array" ref="EF557:EF557">IF(EF556=0,0,IF(EF556/'🎚️ Escenario'!$C$11&gt;=36,$AL$23,INDEX($C$23:$AL$23,MAX(1,ROUNDUP(EF556/'🎚️ Escenario'!$C$11,0)))))</f>
        <v>0.85</v>
      </c>
      <c r="EG557" s="236" t="n">
        <f aca="false" t="array" ref="EG557:EG557">IF(EG556=0,0,IF(EG556/'🎚️ Escenario'!$C$11&gt;=36,$AL$23,INDEX($C$23:$AL$23,MAX(1,ROUNDUP(EG556/'🎚️ Escenario'!$C$11,0)))))</f>
        <v>0.86</v>
      </c>
      <c r="EH557" s="236" t="n">
        <f aca="false" t="array" ref="EH557:EH557">IF(EH556=0,0,IF(EH556/'🎚️ Escenario'!$C$11&gt;=36,$AL$23,INDEX($C$23:$AL$23,MAX(1,ROUNDUP(EH556/'🎚️ Escenario'!$C$11,0)))))</f>
        <v>0.88</v>
      </c>
      <c r="EI557" s="236" t="n">
        <f aca="false" t="array" ref="EI557:EI557">IF(EI556=0,0,IF(EI556/'🎚️ Escenario'!$C$11&gt;=36,$AL$23,INDEX($C$23:$AL$23,MAX(1,ROUNDUP(EI556/'🎚️ Escenario'!$C$11,0)))))</f>
        <v>0.89</v>
      </c>
      <c r="EJ557" s="236" t="n">
        <f aca="false" t="array" ref="EJ557:EJ557">IF(EJ556=0,0,IF(EJ556/'🎚️ Escenario'!$C$11&gt;=36,$AL$23,INDEX($C$23:$AL$23,MAX(1,ROUNDUP(EJ556/'🎚️ Escenario'!$C$11,0)))))</f>
        <v>0.9</v>
      </c>
      <c r="EK557" s="236" t="n">
        <f aca="false" t="array" ref="EK557:EK557">IF(EK556=0,0,IF(EK556/'🎚️ Escenario'!$C$11&gt;=36,$AL$23,INDEX($C$23:$AL$23,MAX(1,ROUNDUP(EK556/'🎚️ Escenario'!$C$11,0)))))</f>
        <v>0.9</v>
      </c>
      <c r="EL557" s="236" t="n">
        <f aca="false" t="array" ref="EL557:EL557">IF(EL556=0,0,IF(EL556/'🎚️ Escenario'!$C$11&gt;=36,$AL$23,INDEX($C$23:$AL$23,MAX(1,ROUNDUP(EL556/'🎚️ Escenario'!$C$11,0)))))</f>
        <v>0.92</v>
      </c>
      <c r="EM557" s="236" t="n">
        <f aca="false" t="array" ref="EM557:EM557">IF(EM556=0,0,IF(EM556/'🎚️ Escenario'!$C$11&gt;=36,$AL$23,INDEX($C$23:$AL$23,MAX(1,ROUNDUP(EM556/'🎚️ Escenario'!$C$11,0)))))</f>
        <v>0.93</v>
      </c>
      <c r="EN557" s="236" t="n">
        <f aca="false" t="array" ref="EN557:EN557">IF(EN556=0,0,IF(EN556/'🎚️ Escenario'!$C$11&gt;=36,$AL$23,INDEX($C$23:$AL$23,MAX(1,ROUNDUP(EN556/'🎚️ Escenario'!$C$11,0)))))</f>
        <v>0.94</v>
      </c>
      <c r="EO557" s="236" t="n">
        <f aca="false" t="array" ref="EO557:EO557">IF(EO556=0,0,IF(EO556/'🎚️ Escenario'!$C$11&gt;=36,$AL$23,INDEX($C$23:$AL$23,MAX(1,ROUNDUP(EO556/'🎚️ Escenario'!$C$11,0)))))</f>
        <v>0.95</v>
      </c>
      <c r="EP557" s="236" t="n">
        <f aca="false" t="array" ref="EP557:EP557">IF(EP556=0,0,IF(EP556/'🎚️ Escenario'!$C$11&gt;=36,$AL$23,INDEX($C$23:$AL$23,MAX(1,ROUNDUP(EP556/'🎚️ Escenario'!$C$11,0)))))</f>
        <v>0.95</v>
      </c>
      <c r="EQ557" s="236" t="n">
        <f aca="false" t="array" ref="EQ557:EQ557">IF(EQ556=0,0,IF(EQ556/'🎚️ Escenario'!$C$11&gt;=36,$AL$23,INDEX($C$23:$AL$23,MAX(1,ROUNDUP(EQ556/'🎚️ Escenario'!$C$11,0)))))</f>
        <v>0.97</v>
      </c>
      <c r="ER557" s="236" t="n">
        <f aca="false" t="array" ref="ER557:ER557">IF(ER556=0,0,IF(ER556/'🎚️ Escenario'!$C$11&gt;=36,$AL$23,INDEX($C$23:$AL$23,MAX(1,ROUNDUP(ER556/'🎚️ Escenario'!$C$11,0)))))</f>
        <v>0.98</v>
      </c>
      <c r="ES557" s="9" t="n">
        <f aca="false" t="array" ref="ES557:ES557">IF(ES556=0,0,IF(ES556/'🎚️ Escenario'!$C$11&gt;=36,$AL$23,INDEX($C$23:$AL$23,MAX(1,ROUNDUP(ES556/'🎚️ Escenario'!$C$11,0)))))</f>
        <v>0.99</v>
      </c>
      <c r="ET557" s="9" t="n">
        <f aca="false" t="array" ref="ET557:ET557">IF(ET556=0,0,IF(ET556/'🎚️ Escenario'!$C$11&gt;=36,$AL$23,INDEX($C$23:$AL$23,MAX(1,ROUNDUP(ET556/'🎚️ Escenario'!$C$11,0)))))</f>
        <v>1</v>
      </c>
      <c r="EU557" s="9" t="n">
        <f aca="false" t="array" ref="EU557:EU557">IF(EU556=0,0,IF(EU556/'🎚️ Escenario'!$C$11&gt;=36,$AL$23,INDEX($C$23:$AL$23,MAX(1,ROUNDUP(EU556/'🎚️ Escenario'!$C$11,0)))))</f>
        <v>1</v>
      </c>
      <c r="EV557" s="9" t="n">
        <f aca="false" t="array" ref="EV557:EV557">IF(EV556=0,0,IF(EV556/'🎚️ Escenario'!$C$11&gt;=36,$AL$23,INDEX($C$23:$AL$23,MAX(1,ROUNDUP(EV556/'🎚️ Escenario'!$C$11,0)))))</f>
        <v>1</v>
      </c>
      <c r="EW557" s="9" t="n">
        <f aca="false" t="array" ref="EW557:EW557">IF(EW556=0,0,IF(EW556/'🎚️ Escenario'!$C$11&gt;=36,$AL$23,INDEX($C$23:$AL$23,MAX(1,ROUNDUP(EW556/'🎚️ Escenario'!$C$11,0)))))</f>
        <v>1</v>
      </c>
      <c r="EX557" s="9" t="n">
        <f aca="false" t="array" ref="EX557:EX557">IF(EX556=0,0,IF(EX556/'🎚️ Escenario'!$C$11&gt;=36,$AL$23,INDEX($C$23:$AL$23,MAX(1,ROUNDUP(EX556/'🎚️ Escenario'!$C$11,0)))))</f>
        <v>1</v>
      </c>
      <c r="EY557" s="9" t="n">
        <f aca="false" t="array" ref="EY557:EY557">IF(EY556=0,0,IF(EY556/'🎚️ Escenario'!$C$11&gt;=36,$AL$23,INDEX($C$23:$AL$23,MAX(1,ROUNDUP(EY556/'🎚️ Escenario'!$C$11,0)))))</f>
        <v>1</v>
      </c>
      <c r="EZ557" s="9" t="n">
        <f aca="false" t="array" ref="EZ557:EZ557">IF(EZ556=0,0,IF(EZ556/'🎚️ Escenario'!$C$11&gt;=36,$AL$23,INDEX($C$23:$AL$23,MAX(1,ROUNDUP(EZ556/'🎚️ Escenario'!$C$11,0)))))</f>
        <v>1</v>
      </c>
      <c r="FA557" s="9" t="n">
        <f aca="false" t="array" ref="FA557:FA557">IF(FA556=0,0,IF(FA556/'🎚️ Escenario'!$C$11&gt;=36,$AL$23,INDEX($C$23:$AL$23,MAX(1,ROUNDUP(FA556/'🎚️ Escenario'!$C$11,0)))))</f>
        <v>1</v>
      </c>
      <c r="FB557" s="9" t="n">
        <f aca="false" t="array" ref="FB557:FB557">IF(FB556=0,0,IF(FB556/'🎚️ Escenario'!$C$11&gt;=36,$AL$23,INDEX($C$23:$AL$23,MAX(1,ROUNDUP(FB556/'🎚️ Escenario'!$C$11,0)))))</f>
        <v>1</v>
      </c>
      <c r="FC557" s="9" t="n">
        <f aca="false" t="array" ref="FC557:FC557">IF(FC556=0,0,IF(FC556/'🎚️ Escenario'!$C$11&gt;=36,$AL$23,INDEX($C$23:$AL$23,MAX(1,ROUNDUP(FC556/'🎚️ Escenario'!$C$11,0)))))</f>
        <v>1</v>
      </c>
      <c r="FD557" s="9" t="n">
        <f aca="false" t="array" ref="FD557:FD557">IF(FD556=0,0,IF(FD556/'🎚️ Escenario'!$C$11&gt;=36,$AL$23,INDEX($C$23:$AL$23,MAX(1,ROUNDUP(FD556/'🎚️ Escenario'!$C$11,0)))))</f>
        <v>1</v>
      </c>
      <c r="FE557" s="9" t="n">
        <f aca="false" t="array" ref="FE557:FE557">IF(FE556=0,0,IF(FE556/'🎚️ Escenario'!$C$11&gt;=36,$AL$23,INDEX($C$23:$AL$23,MAX(1,ROUNDUP(FE556/'🎚️ Escenario'!$C$11,0)))))</f>
        <v>1</v>
      </c>
      <c r="FF557" s="9" t="n">
        <f aca="false" t="array" ref="FF557:FF557">IF(FF556=0,0,IF(FF556/'🎚️ Escenario'!$C$11&gt;=36,$AL$23,INDEX($C$23:$AL$23,MAX(1,ROUNDUP(FF556/'🎚️ Escenario'!$C$11,0)))))</f>
        <v>1</v>
      </c>
      <c r="FG557" s="9" t="n">
        <f aca="false" t="array" ref="FG557:FG557">IF(FG556=0,0,IF(FG556/'🎚️ Escenario'!$C$11&gt;=36,$AL$23,INDEX($C$23:$AL$23,MAX(1,ROUNDUP(FG556/'🎚️ Escenario'!$C$11,0)))))</f>
        <v>1</v>
      </c>
      <c r="FH557" s="9" t="n">
        <f aca="false" t="array" ref="FH557:FH557">IF(FH556=0,0,IF(FH556/'🎚️ Escenario'!$C$11&gt;=36,$AL$23,INDEX($C$23:$AL$23,MAX(1,ROUNDUP(FH556/'🎚️ Escenario'!$C$11,0)))))</f>
        <v>1</v>
      </c>
      <c r="FI557" s="9" t="n">
        <f aca="false" t="array" ref="FI557:FI557">IF(FI556=0,0,IF(FI556/'🎚️ Escenario'!$C$11&gt;=36,$AL$23,INDEX($C$23:$AL$23,MAX(1,ROUNDUP(FI556/'🎚️ Escenario'!$C$11,0)))))</f>
        <v>1</v>
      </c>
      <c r="FJ557" s="9" t="n">
        <f aca="false" t="array" ref="FJ557:FJ557">IF(FJ556=0,0,IF(FJ556/'🎚️ Escenario'!$C$11&gt;=36,$AL$23,INDEX($C$23:$AL$23,MAX(1,ROUNDUP(FJ556/'🎚️ Escenario'!$C$11,0)))))</f>
        <v>1</v>
      </c>
      <c r="FK557" s="9" t="n">
        <f aca="false" t="array" ref="FK557:FK557">IF(FK556=0,0,IF(FK556/'🎚️ Escenario'!$C$11&gt;=36,$AL$23,INDEX($C$23:$AL$23,MAX(1,ROUNDUP(FK556/'🎚️ Escenario'!$C$11,0)))))</f>
        <v>1</v>
      </c>
      <c r="FL557" s="9" t="n">
        <f aca="false" t="array" ref="FL557:FL557">IF(FL556=0,0,IF(FL556/'🎚️ Escenario'!$C$11&gt;=36,$AL$23,INDEX($C$23:$AL$23,MAX(1,ROUNDUP(FL556/'🎚️ Escenario'!$C$11,0)))))</f>
        <v>1</v>
      </c>
      <c r="FM557" s="9" t="n">
        <f aca="false" t="array" ref="FM557:FM557">IF(FM556=0,0,IF(FM556/'🎚️ Escenario'!$C$11&gt;=36,$AL$23,INDEX($C$23:$AL$23,MAX(1,ROUNDUP(FM556/'🎚️ Escenario'!$C$11,0)))))</f>
        <v>1</v>
      </c>
      <c r="FN557" s="9" t="n">
        <f aca="false" t="array" ref="FN557:FN557">IF(FN556=0,0,IF(FN556/'🎚️ Escenario'!$C$11&gt;=36,$AL$23,INDEX($C$23:$AL$23,MAX(1,ROUNDUP(FN556/'🎚️ Escenario'!$C$11,0)))))</f>
        <v>1</v>
      </c>
      <c r="FO557" s="9" t="n">
        <f aca="false" t="array" ref="FO557:FO557">IF(FO556=0,0,IF(FO556/'🎚️ Escenario'!$C$11&gt;=36,$AL$23,INDEX($C$23:$AL$23,MAX(1,ROUNDUP(FO556/'🎚️ Escenario'!$C$11,0)))))</f>
        <v>1</v>
      </c>
      <c r="FP557" s="9" t="n">
        <f aca="false" t="array" ref="FP557:FP557">IF(FP556=0,0,IF(FP556/'🎚️ Escenario'!$C$11&gt;=36,$AL$23,INDEX($C$23:$AL$23,MAX(1,ROUNDUP(FP556/'🎚️ Escenario'!$C$11,0)))))</f>
        <v>1</v>
      </c>
    </row>
    <row r="558" customFormat="false" ht="15" hidden="false" customHeight="false" outlineLevel="2" collapsed="false">
      <c r="B558" s="9" t="s">
        <v>875</v>
      </c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237" t="n">
        <f aca="false">IF(AC556=0,0,IF(AC556&lt;=12*'🎚️ Escenario'!$C$11,1,1+$C$6))</f>
        <v>0</v>
      </c>
      <c r="AD558" s="237" t="n">
        <f aca="false">IF(AD556=0,0,IF(AD556&lt;=12*'🎚️ Escenario'!$C$11,1,1+$C$6))</f>
        <v>0</v>
      </c>
      <c r="AE558" s="237" t="n">
        <f aca="false">IF(AE556=0,0,IF(AE556&lt;=12*'🎚️ Escenario'!$C$11,1,1+$C$6))</f>
        <v>0</v>
      </c>
      <c r="AF558" s="237" t="n">
        <f aca="false">IF(AF556=0,0,IF(AF556&lt;=12*'🎚️ Escenario'!$C$11,1,1+$C$6))</f>
        <v>0</v>
      </c>
      <c r="AG558" s="237" t="n">
        <f aca="false">IF(AG556=0,0,IF(AG556&lt;=12*'🎚️ Escenario'!$C$11,1,1+$C$6))</f>
        <v>0</v>
      </c>
      <c r="AH558" s="237" t="n">
        <f aca="false">IF(AH556=0,0,IF(AH556&lt;=12*'🎚️ Escenario'!$C$11,1,1+$C$6))</f>
        <v>0</v>
      </c>
      <c r="AI558" s="237" t="n">
        <f aca="false">IF(AI556=0,0,IF(AI556&lt;=12*'🎚️ Escenario'!$C$11,1,1+$C$6))</f>
        <v>0</v>
      </c>
      <c r="AJ558" s="237" t="n">
        <f aca="false">IF(AJ556=0,0,IF(AJ556&lt;=12*'🎚️ Escenario'!$C$11,1,1+$C$6))</f>
        <v>0</v>
      </c>
      <c r="AK558" s="237" t="n">
        <f aca="false">IF(AK556=0,0,IF(AK556&lt;=12*'🎚️ Escenario'!$C$11,1,1+$C$6))</f>
        <v>0</v>
      </c>
      <c r="AL558" s="237" t="n">
        <f aca="false">IF(AL556=0,0,IF(AL556&lt;=12*'🎚️ Escenario'!$C$11,1,1+$C$6))</f>
        <v>0</v>
      </c>
      <c r="AM558" s="237" t="n">
        <f aca="false">IF(AM556=0,0,IF(AM556&lt;=12*'🎚️ Escenario'!$C$11,1,1+$C$6))</f>
        <v>0</v>
      </c>
      <c r="AN558" s="237" t="n">
        <f aca="false">IF(AN556=0,0,IF(AN556&lt;=12*'🎚️ Escenario'!$C$11,1,1+$C$6))</f>
        <v>0</v>
      </c>
      <c r="AO558" s="237" t="n">
        <f aca="false">IF(AO556=0,0,IF(AO556&lt;=12*'🎚️ Escenario'!$C$11,1,1+$C$6))</f>
        <v>0</v>
      </c>
      <c r="AP558" s="237" t="n">
        <f aca="false">IF(AP556=0,0,IF(AP556&lt;=12*'🎚️ Escenario'!$C$11,1,1+$C$6))</f>
        <v>0</v>
      </c>
      <c r="AQ558" s="237" t="n">
        <f aca="false">IF(AQ556=0,0,IF(AQ556&lt;=12*'🎚️ Escenario'!$C$11,1,1+$C$6))</f>
        <v>0</v>
      </c>
      <c r="AR558" s="237" t="n">
        <f aca="false">IF(AR556=0,0,IF(AR556&lt;=12*'🎚️ Escenario'!$C$11,1,1+$C$6))</f>
        <v>0</v>
      </c>
      <c r="AS558" s="237" t="n">
        <f aca="false">IF(AS556=0,0,IF(AS556&lt;=12*'🎚️ Escenario'!$C$11,1,1+$C$6))</f>
        <v>0</v>
      </c>
      <c r="AT558" s="237" t="n">
        <f aca="false">IF(AT556=0,0,IF(AT556&lt;=12*'🎚️ Escenario'!$C$11,1,1+$C$6))</f>
        <v>0</v>
      </c>
      <c r="AU558" s="237" t="n">
        <f aca="false">IF(AU556=0,0,IF(AU556&lt;=12*'🎚️ Escenario'!$C$11,1,1+$C$6))</f>
        <v>0</v>
      </c>
      <c r="AV558" s="237" t="n">
        <f aca="false">IF(AV556=0,0,IF(AV556&lt;=12*'🎚️ Escenario'!$C$11,1,1+$C$6))</f>
        <v>0</v>
      </c>
      <c r="AW558" s="237" t="n">
        <f aca="false">IF(AW556=0,0,IF(AW556&lt;=12*'🎚️ Escenario'!$C$11,1,1+$C$6))</f>
        <v>0</v>
      </c>
      <c r="AX558" s="237" t="n">
        <f aca="false">IF(AX556=0,0,IF(AX556&lt;=12*'🎚️ Escenario'!$C$11,1,1+$C$6))</f>
        <v>0</v>
      </c>
      <c r="AY558" s="237" t="n">
        <f aca="false">IF(AY556=0,0,IF(AY556&lt;=12*'🎚️ Escenario'!$C$11,1,1+$C$6))</f>
        <v>0</v>
      </c>
      <c r="AZ558" s="237" t="n">
        <f aca="false">IF(AZ556=0,0,IF(AZ556&lt;=12*'🎚️ Escenario'!$C$11,1,1+$C$6))</f>
        <v>0</v>
      </c>
      <c r="BA558" s="237" t="n">
        <f aca="false">IF(BA556=0,0,IF(BA556&lt;=12*'🎚️ Escenario'!$C$11,1,1+$C$6))</f>
        <v>0</v>
      </c>
      <c r="BB558" s="237" t="n">
        <f aca="false">IF(BB556=0,0,IF(BB556&lt;=12*'🎚️ Escenario'!$C$11,1,1+$C$6))</f>
        <v>0</v>
      </c>
      <c r="BC558" s="237" t="n">
        <f aca="false">IF(BC556=0,0,IF(BC556&lt;=12*'🎚️ Escenario'!$C$11,1,1+$C$6))</f>
        <v>0</v>
      </c>
      <c r="BD558" s="237" t="n">
        <f aca="false">IF(BD556=0,0,IF(BD556&lt;=12*'🎚️ Escenario'!$C$11,1,1+$C$6))</f>
        <v>0</v>
      </c>
      <c r="BE558" s="237" t="n">
        <f aca="false">IF(BE556=0,0,IF(BE556&lt;=12*'🎚️ Escenario'!$C$11,1,1+$C$6))</f>
        <v>0</v>
      </c>
      <c r="BF558" s="237" t="n">
        <f aca="false">IF(BF556=0,0,IF(BF556&lt;=12*'🎚️ Escenario'!$C$11,1,1+$C$6))</f>
        <v>0</v>
      </c>
      <c r="BG558" s="237" t="n">
        <f aca="false">IF(BG556=0,0,IF(BG556&lt;=12*'🎚️ Escenario'!$C$11,1,1+$C$6))</f>
        <v>0</v>
      </c>
      <c r="BH558" s="237" t="n">
        <f aca="false">IF(BH556=0,0,IF(BH556&lt;=12*'🎚️ Escenario'!$C$11,1,1+$C$6))</f>
        <v>0</v>
      </c>
      <c r="BI558" s="237" t="n">
        <f aca="false">IF(BI556=0,0,IF(BI556&lt;=12*'🎚️ Escenario'!$C$11,1,1+$C$6))</f>
        <v>0</v>
      </c>
      <c r="BJ558" s="237" t="n">
        <f aca="false">IF(BJ556=0,0,IF(BJ556&lt;=12*'🎚️ Escenario'!$C$11,1,1+$C$6))</f>
        <v>0</v>
      </c>
      <c r="BK558" s="237" t="n">
        <f aca="false">IF(BK556=0,0,IF(BK556&lt;=12*'🎚️ Escenario'!$C$11,1,1+$C$6))</f>
        <v>0</v>
      </c>
      <c r="BL558" s="237" t="n">
        <f aca="false">IF(BL556=0,0,IF(BL556&lt;=12*'🎚️ Escenario'!$C$11,1,1+$C$6))</f>
        <v>0</v>
      </c>
      <c r="BM558" s="237" t="n">
        <f aca="false">IF(BM556=0,0,IF(BM556&lt;=12*'🎚️ Escenario'!$C$11,1,1+$C$6))</f>
        <v>0</v>
      </c>
      <c r="BN558" s="237" t="n">
        <f aca="false">IF(BN556=0,0,IF(BN556&lt;=12*'🎚️ Escenario'!$C$11,1,1+$C$6))</f>
        <v>0</v>
      </c>
      <c r="BO558" s="237" t="n">
        <f aca="false">IF(BO556=0,0,IF(BO556&lt;=12*'🎚️ Escenario'!$C$11,1,1+$C$6))</f>
        <v>0</v>
      </c>
      <c r="BP558" s="237" t="n">
        <f aca="false">IF(BP556=0,0,IF(BP556&lt;=12*'🎚️ Escenario'!$C$11,1,1+$C$6))</f>
        <v>0</v>
      </c>
      <c r="BQ558" s="237" t="n">
        <f aca="false">IF(BQ556=0,0,IF(BQ556&lt;=12*'🎚️ Escenario'!$C$11,1,1+$C$6))</f>
        <v>0</v>
      </c>
      <c r="BR558" s="237" t="n">
        <f aca="false">IF(BR556=0,0,IF(BR556&lt;=12*'🎚️ Escenario'!$C$11,1,1+$C$6))</f>
        <v>0</v>
      </c>
      <c r="BS558" s="237" t="n">
        <f aca="false">IF(BS556=0,0,IF(BS556&lt;=12*'🎚️ Escenario'!$C$11,1,1+$C$6))</f>
        <v>0</v>
      </c>
      <c r="BT558" s="237" t="n">
        <f aca="false">IF(BT556=0,0,IF(BT556&lt;=12*'🎚️ Escenario'!$C$11,1,1+$C$6))</f>
        <v>0</v>
      </c>
      <c r="BU558" s="237" t="n">
        <f aca="false">IF(BU556=0,0,IF(BU556&lt;=12*'🎚️ Escenario'!$C$11,1,1+$C$6))</f>
        <v>0</v>
      </c>
      <c r="BV558" s="237" t="n">
        <f aca="false">IF(BV556=0,0,IF(BV556&lt;=12*'🎚️ Escenario'!$C$11,1,1+$C$6))</f>
        <v>0</v>
      </c>
      <c r="BW558" s="237" t="n">
        <f aca="false">IF(BW556=0,0,IF(BW556&lt;=12*'🎚️ Escenario'!$C$11,1,1+$C$6))</f>
        <v>0</v>
      </c>
      <c r="BX558" s="237" t="n">
        <f aca="false">IF(BX556=0,0,IF(BX556&lt;=12*'🎚️ Escenario'!$C$11,1,1+$C$6))</f>
        <v>0</v>
      </c>
      <c r="BY558" s="237" t="n">
        <f aca="false">IF(BY556=0,0,IF(BY556&lt;=12*'🎚️ Escenario'!$C$11,1,1+$C$6))</f>
        <v>0</v>
      </c>
      <c r="BZ558" s="237" t="n">
        <f aca="false">IF(BZ556=0,0,IF(BZ556&lt;=12*'🎚️ Escenario'!$C$11,1,1+$C$6))</f>
        <v>0</v>
      </c>
      <c r="CA558" s="237" t="n">
        <f aca="false">IF(CA556=0,0,IF(CA556&lt;=12*'🎚️ Escenario'!$C$11,1,1+$C$6))</f>
        <v>0</v>
      </c>
      <c r="CB558" s="237" t="n">
        <f aca="false">IF(CB556=0,0,IF(CB556&lt;=12*'🎚️ Escenario'!$C$11,1,1+$C$6))</f>
        <v>0</v>
      </c>
      <c r="CC558" s="237" t="n">
        <f aca="false">IF(CC556=0,0,IF(CC556&lt;=12*'🎚️ Escenario'!$C$11,1,1+$C$6))</f>
        <v>0</v>
      </c>
      <c r="CD558" s="237" t="n">
        <f aca="false">IF(CD556=0,0,IF(CD556&lt;=12*'🎚️ Escenario'!$C$11,1,1+$C$6))</f>
        <v>0</v>
      </c>
      <c r="CE558" s="237" t="n">
        <f aca="false">IF(CE556=0,0,IF(CE556&lt;=12*'🎚️ Escenario'!$C$11,1,1+$C$6))</f>
        <v>0</v>
      </c>
      <c r="CF558" s="237" t="n">
        <f aca="false">IF(CF556=0,0,IF(CF556&lt;=12*'🎚️ Escenario'!$C$11,1,1+$C$6))</f>
        <v>0</v>
      </c>
      <c r="CG558" s="237" t="n">
        <f aca="false">IF(CG556=0,0,IF(CG556&lt;=12*'🎚️ Escenario'!$C$11,1,1+$C$6))</f>
        <v>0</v>
      </c>
      <c r="CH558" s="237" t="n">
        <f aca="false">IF(CH556=0,0,IF(CH556&lt;=12*'🎚️ Escenario'!$C$11,1,1+$C$6))</f>
        <v>0</v>
      </c>
      <c r="CI558" s="237" t="n">
        <f aca="false">IF(CI556=0,0,IF(CI556&lt;=12*'🎚️ Escenario'!$C$11,1,1+$C$6))</f>
        <v>0</v>
      </c>
      <c r="CJ558" s="237" t="n">
        <f aca="false">IF(CJ556=0,0,IF(CJ556&lt;=12*'🎚️ Escenario'!$C$11,1,1+$C$6))</f>
        <v>0</v>
      </c>
      <c r="CK558" s="237" t="n">
        <f aca="false">IF(CK556=0,0,IF(CK556&lt;=12*'🎚️ Escenario'!$C$11,1,1+$C$6))</f>
        <v>0</v>
      </c>
      <c r="CL558" s="237" t="n">
        <f aca="false">IF(CL556=0,0,IF(CL556&lt;=12*'🎚️ Escenario'!$C$11,1,1+$C$6))</f>
        <v>0</v>
      </c>
      <c r="CM558" s="237" t="n">
        <f aca="false">IF(CM556=0,0,IF(CM556&lt;=12*'🎚️ Escenario'!$C$11,1,1+$C$6))</f>
        <v>0</v>
      </c>
      <c r="CN558" s="237" t="n">
        <f aca="false">IF(CN556=0,0,IF(CN556&lt;=12*'🎚️ Escenario'!$C$11,1,1+$C$6))</f>
        <v>0</v>
      </c>
      <c r="CO558" s="237" t="n">
        <f aca="false">IF(CO556=0,0,IF(CO556&lt;=12*'🎚️ Escenario'!$C$11,1,1+$C$6))</f>
        <v>0</v>
      </c>
      <c r="CP558" s="237" t="n">
        <f aca="false">IF(CP556=0,0,IF(CP556&lt;=12*'🎚️ Escenario'!$C$11,1,1+$C$6))</f>
        <v>0</v>
      </c>
      <c r="CQ558" s="237" t="n">
        <f aca="false">IF(CQ556=0,0,IF(CQ556&lt;=12*'🎚️ Escenario'!$C$11,1,1+$C$6))</f>
        <v>0</v>
      </c>
      <c r="CR558" s="237" t="n">
        <f aca="false">IF(CR556=0,0,IF(CR556&lt;=12*'🎚️ Escenario'!$C$11,1,1+$C$6))</f>
        <v>0</v>
      </c>
      <c r="CS558" s="237" t="n">
        <f aca="false">IF(CS556=0,0,IF(CS556&lt;=12*'🎚️ Escenario'!$C$11,1,1+$C$6))</f>
        <v>0</v>
      </c>
      <c r="CT558" s="237" t="n">
        <f aca="false">IF(CT556=0,0,IF(CT556&lt;=12*'🎚️ Escenario'!$C$11,1,1+$C$6))</f>
        <v>0</v>
      </c>
      <c r="CU558" s="237" t="n">
        <f aca="false">IF(CU556=0,0,IF(CU556&lt;=12*'🎚️ Escenario'!$C$11,1,1+$C$6))</f>
        <v>0</v>
      </c>
      <c r="CV558" s="237" t="n">
        <f aca="false">IF(CV556=0,0,IF(CV556&lt;=12*'🎚️ Escenario'!$C$11,1,1+$C$6))</f>
        <v>0</v>
      </c>
      <c r="CW558" s="237" t="n">
        <f aca="false">IF(CW556=0,0,IF(CW556&lt;=12*'🎚️ Escenario'!$C$11,1,1+$C$6))</f>
        <v>0</v>
      </c>
      <c r="CX558" s="237" t="n">
        <f aca="false">IF(CX556=0,0,IF(CX556&lt;=12*'🎚️ Escenario'!$C$11,1,1+$C$6))</f>
        <v>0</v>
      </c>
      <c r="CY558" s="237" t="n">
        <f aca="false">IF(CY556=0,0,IF(CY556&lt;=12*'🎚️ Escenario'!$C$11,1,1+$C$6))</f>
        <v>0</v>
      </c>
      <c r="CZ558" s="237" t="n">
        <f aca="false">IF(CZ556=0,0,IF(CZ556&lt;=12*'🎚️ Escenario'!$C$11,1,1+$C$6))</f>
        <v>0</v>
      </c>
      <c r="DA558" s="237" t="n">
        <f aca="false">IF(DA556=0,0,IF(DA556&lt;=12*'🎚️ Escenario'!$C$11,1,1+$C$6))</f>
        <v>0</v>
      </c>
      <c r="DB558" s="237" t="n">
        <f aca="false">IF(DB556=0,0,IF(DB556&lt;=12*'🎚️ Escenario'!$C$11,1,1+$C$6))</f>
        <v>0</v>
      </c>
      <c r="DC558" s="237" t="n">
        <f aca="false">IF(DC556=0,0,IF(DC556&lt;=12*'🎚️ Escenario'!$C$11,1,1+$C$6))</f>
        <v>1</v>
      </c>
      <c r="DD558" s="237" t="n">
        <f aca="false">IF(DD556=0,0,IF(DD556&lt;=12*'🎚️ Escenario'!$C$11,1,1+$C$6))</f>
        <v>1</v>
      </c>
      <c r="DE558" s="237" t="n">
        <f aca="false">IF(DE556=0,0,IF(DE556&lt;=12*'🎚️ Escenario'!$C$11,1,1+$C$6))</f>
        <v>1</v>
      </c>
      <c r="DF558" s="237" t="n">
        <f aca="false">IF(DF556=0,0,IF(DF556&lt;=12*'🎚️ Escenario'!$C$11,1,1+$C$6))</f>
        <v>1</v>
      </c>
      <c r="DG558" s="237" t="n">
        <f aca="false">IF(DG556=0,0,IF(DG556&lt;=12*'🎚️ Escenario'!$C$11,1,1+$C$6))</f>
        <v>1</v>
      </c>
      <c r="DH558" s="237" t="n">
        <f aca="false">IF(DH556=0,0,IF(DH556&lt;=12*'🎚️ Escenario'!$C$11,1,1+$C$6))</f>
        <v>1</v>
      </c>
      <c r="DI558" s="237" t="n">
        <f aca="false">IF(DI556=0,0,IF(DI556&lt;=12*'🎚️ Escenario'!$C$11,1,1+$C$6))</f>
        <v>1</v>
      </c>
      <c r="DJ558" s="237" t="n">
        <f aca="false">IF(DJ556=0,0,IF(DJ556&lt;=12*'🎚️ Escenario'!$C$11,1,1+$C$6))</f>
        <v>1</v>
      </c>
      <c r="DK558" s="237" t="n">
        <f aca="false">IF(DK556=0,0,IF(DK556&lt;=12*'🎚️ Escenario'!$C$11,1,1+$C$6))</f>
        <v>1</v>
      </c>
      <c r="DL558" s="237" t="n">
        <f aca="false">IF(DL556=0,0,IF(DL556&lt;=12*'🎚️ Escenario'!$C$11,1,1+$C$6))</f>
        <v>1</v>
      </c>
      <c r="DM558" s="237" t="n">
        <f aca="false">IF(DM556=0,0,IF(DM556&lt;=12*'🎚️ Escenario'!$C$11,1,1+$C$6))</f>
        <v>1</v>
      </c>
      <c r="DN558" s="237" t="n">
        <f aca="false">IF(DN556=0,0,IF(DN556&lt;=12*'🎚️ Escenario'!$C$11,1,1+$C$6))</f>
        <v>1</v>
      </c>
      <c r="DO558" s="237" t="n">
        <f aca="false">IF(DO556=0,0,IF(DO556&lt;=12*'🎚️ Escenario'!$C$11,1,1+$C$6))</f>
        <v>1</v>
      </c>
      <c r="DP558" s="237" t="n">
        <f aca="false">IF(DP556=0,0,IF(DP556&lt;=12*'🎚️ Escenario'!$C$11,1,1+$C$6))</f>
        <v>1</v>
      </c>
      <c r="DQ558" s="237" t="n">
        <f aca="false">IF(DQ556=0,0,IF(DQ556&lt;=12*'🎚️ Escenario'!$C$11,1,1+$C$6))</f>
        <v>1</v>
      </c>
      <c r="DR558" s="237" t="n">
        <f aca="false">IF(DR556=0,0,IF(DR556&lt;=12*'🎚️ Escenario'!$C$11,1,1+$C$6))</f>
        <v>1.2</v>
      </c>
      <c r="DS558" s="237" t="n">
        <f aca="false">IF(DS556=0,0,IF(DS556&lt;=12*'🎚️ Escenario'!$C$11,1,1+$C$6))</f>
        <v>1.2</v>
      </c>
      <c r="DT558" s="237" t="n">
        <f aca="false">IF(DT556=0,0,IF(DT556&lt;=12*'🎚️ Escenario'!$C$11,1,1+$C$6))</f>
        <v>1.2</v>
      </c>
      <c r="DU558" s="237" t="n">
        <f aca="false">IF(DU556=0,0,IF(DU556&lt;=12*'🎚️ Escenario'!$C$11,1,1+$C$6))</f>
        <v>1.2</v>
      </c>
      <c r="DV558" s="237" t="n">
        <f aca="false">IF(DV556=0,0,IF(DV556&lt;=12*'🎚️ Escenario'!$C$11,1,1+$C$6))</f>
        <v>1.2</v>
      </c>
      <c r="DW558" s="237" t="n">
        <f aca="false">IF(DW556=0,0,IF(DW556&lt;=12*'🎚️ Escenario'!$C$11,1,1+$C$6))</f>
        <v>1.2</v>
      </c>
      <c r="DX558" s="237" t="n">
        <f aca="false">IF(DX556=0,0,IF(DX556&lt;=12*'🎚️ Escenario'!$C$11,1,1+$C$6))</f>
        <v>1.2</v>
      </c>
      <c r="DY558" s="237" t="n">
        <f aca="false">IF(DY556=0,0,IF(DY556&lt;=12*'🎚️ Escenario'!$C$11,1,1+$C$6))</f>
        <v>1.2</v>
      </c>
      <c r="DZ558" s="237" t="n">
        <f aca="false">IF(DZ556=0,0,IF(DZ556&lt;=12*'🎚️ Escenario'!$C$11,1,1+$C$6))</f>
        <v>1.2</v>
      </c>
      <c r="EA558" s="237" t="n">
        <f aca="false">IF(EA556=0,0,IF(EA556&lt;=12*'🎚️ Escenario'!$C$11,1,1+$C$6))</f>
        <v>1.2</v>
      </c>
      <c r="EB558" s="237" t="n">
        <f aca="false">IF(EB556=0,0,IF(EB556&lt;=12*'🎚️ Escenario'!$C$11,1,1+$C$6))</f>
        <v>1.2</v>
      </c>
      <c r="EC558" s="237" t="n">
        <f aca="false">IF(EC556=0,0,IF(EC556&lt;=12*'🎚️ Escenario'!$C$11,1,1+$C$6))</f>
        <v>1.2</v>
      </c>
      <c r="ED558" s="237" t="n">
        <f aca="false">IF(ED556=0,0,IF(ED556&lt;=12*'🎚️ Escenario'!$C$11,1,1+$C$6))</f>
        <v>1.2</v>
      </c>
      <c r="EE558" s="237" t="n">
        <f aca="false">IF(EE556=0,0,IF(EE556&lt;=12*'🎚️ Escenario'!$C$11,1,1+$C$6))</f>
        <v>1.2</v>
      </c>
      <c r="EF558" s="237" t="n">
        <f aca="false">IF(EF556=0,0,IF(EF556&lt;=12*'🎚️ Escenario'!$C$11,1,1+$C$6))</f>
        <v>1.2</v>
      </c>
      <c r="EG558" s="237" t="n">
        <f aca="false">IF(EG556=0,0,IF(EG556&lt;=12*'🎚️ Escenario'!$C$11,1,1+$C$6))</f>
        <v>1.2</v>
      </c>
      <c r="EH558" s="237" t="n">
        <f aca="false">IF(EH556=0,0,IF(EH556&lt;=12*'🎚️ Escenario'!$C$11,1,1+$C$6))</f>
        <v>1.2</v>
      </c>
      <c r="EI558" s="237" t="n">
        <f aca="false">IF(EI556=0,0,IF(EI556&lt;=12*'🎚️ Escenario'!$C$11,1,1+$C$6))</f>
        <v>1.2</v>
      </c>
      <c r="EJ558" s="237" t="n">
        <f aca="false">IF(EJ556=0,0,IF(EJ556&lt;=12*'🎚️ Escenario'!$C$11,1,1+$C$6))</f>
        <v>1.2</v>
      </c>
      <c r="EK558" s="237" t="n">
        <f aca="false">IF(EK556=0,0,IF(EK556&lt;=12*'🎚️ Escenario'!$C$11,1,1+$C$6))</f>
        <v>1.2</v>
      </c>
      <c r="EL558" s="237" t="n">
        <f aca="false">IF(EL556=0,0,IF(EL556&lt;=12*'🎚️ Escenario'!$C$11,1,1+$C$6))</f>
        <v>1.2</v>
      </c>
      <c r="EM558" s="237" t="n">
        <f aca="false">IF(EM556=0,0,IF(EM556&lt;=12*'🎚️ Escenario'!$C$11,1,1+$C$6))</f>
        <v>1.2</v>
      </c>
      <c r="EN558" s="237" t="n">
        <f aca="false">IF(EN556=0,0,IF(EN556&lt;=12*'🎚️ Escenario'!$C$11,1,1+$C$6))</f>
        <v>1.2</v>
      </c>
      <c r="EO558" s="237" t="n">
        <f aca="false">IF(EO556=0,0,IF(EO556&lt;=12*'🎚️ Escenario'!$C$11,1,1+$C$6))</f>
        <v>1.2</v>
      </c>
      <c r="EP558" s="237" t="n">
        <f aca="false">IF(EP556=0,0,IF(EP556&lt;=12*'🎚️ Escenario'!$C$11,1,1+$C$6))</f>
        <v>1.2</v>
      </c>
      <c r="EQ558" s="237" t="n">
        <f aca="false">IF(EQ556=0,0,IF(EQ556&lt;=12*'🎚️ Escenario'!$C$11,1,1+$C$6))</f>
        <v>1.2</v>
      </c>
      <c r="ER558" s="237" t="n">
        <f aca="false">IF(ER556=0,0,IF(ER556&lt;=12*'🎚️ Escenario'!$C$11,1,1+$C$6))</f>
        <v>1.2</v>
      </c>
      <c r="ES558" s="238" t="n">
        <f aca="false">IF(ES556=0,0,IF(ES556&lt;=12*'🎚️ Escenario'!$C$11,1,1+$C$6))</f>
        <v>1.2</v>
      </c>
      <c r="ET558" s="238" t="n">
        <f aca="false">IF(ET556=0,0,IF(ET556&lt;=12*'🎚️ Escenario'!$C$11,1,1+$C$6))</f>
        <v>1.2</v>
      </c>
      <c r="EU558" s="238" t="n">
        <f aca="false">IF(EU556=0,0,IF(EU556&lt;=12*'🎚️ Escenario'!$C$11,1,1+$C$6))</f>
        <v>1.2</v>
      </c>
      <c r="EV558" s="238" t="n">
        <f aca="false">IF(EV556=0,0,IF(EV556&lt;=12*'🎚️ Escenario'!$C$11,1,1+$C$6))</f>
        <v>1.2</v>
      </c>
      <c r="EW558" s="238" t="n">
        <f aca="false">IF(EW556=0,0,IF(EW556&lt;=12*'🎚️ Escenario'!$C$11,1,1+$C$6))</f>
        <v>1.2</v>
      </c>
      <c r="EX558" s="238" t="n">
        <f aca="false">IF(EX556=0,0,IF(EX556&lt;=12*'🎚️ Escenario'!$C$11,1,1+$C$6))</f>
        <v>1.2</v>
      </c>
      <c r="EY558" s="238" t="n">
        <f aca="false">IF(EY556=0,0,IF(EY556&lt;=12*'🎚️ Escenario'!$C$11,1,1+$C$6))</f>
        <v>1.2</v>
      </c>
      <c r="EZ558" s="238" t="n">
        <f aca="false">IF(EZ556=0,0,IF(EZ556&lt;=12*'🎚️ Escenario'!$C$11,1,1+$C$6))</f>
        <v>1.2</v>
      </c>
      <c r="FA558" s="238" t="n">
        <f aca="false">IF(FA556=0,0,IF(FA556&lt;=12*'🎚️ Escenario'!$C$11,1,1+$C$6))</f>
        <v>1.2</v>
      </c>
      <c r="FB558" s="238" t="n">
        <f aca="false">IF(FB556=0,0,IF(FB556&lt;=12*'🎚️ Escenario'!$C$11,1,1+$C$6))</f>
        <v>1.2</v>
      </c>
      <c r="FC558" s="238" t="n">
        <f aca="false">IF(FC556=0,0,IF(FC556&lt;=12*'🎚️ Escenario'!$C$11,1,1+$C$6))</f>
        <v>1.2</v>
      </c>
      <c r="FD558" s="238" t="n">
        <f aca="false">IF(FD556=0,0,IF(FD556&lt;=12*'🎚️ Escenario'!$C$11,1,1+$C$6))</f>
        <v>1.2</v>
      </c>
      <c r="FE558" s="238" t="n">
        <f aca="false">IF(FE556=0,0,IF(FE556&lt;=12*'🎚️ Escenario'!$C$11,1,1+$C$6))</f>
        <v>1.2</v>
      </c>
      <c r="FF558" s="238" t="n">
        <f aca="false">IF(FF556=0,0,IF(FF556&lt;=12*'🎚️ Escenario'!$C$11,1,1+$C$6))</f>
        <v>1.2</v>
      </c>
      <c r="FG558" s="238" t="n">
        <f aca="false">IF(FG556=0,0,IF(FG556&lt;=12*'🎚️ Escenario'!$C$11,1,1+$C$6))</f>
        <v>1.2</v>
      </c>
      <c r="FH558" s="238" t="n">
        <f aca="false">IF(FH556=0,0,IF(FH556&lt;=12*'🎚️ Escenario'!$C$11,1,1+$C$6))</f>
        <v>1.2</v>
      </c>
      <c r="FI558" s="238" t="n">
        <f aca="false">IF(FI556=0,0,IF(FI556&lt;=12*'🎚️ Escenario'!$C$11,1,1+$C$6))</f>
        <v>1.2</v>
      </c>
      <c r="FJ558" s="238" t="n">
        <f aca="false">IF(FJ556=0,0,IF(FJ556&lt;=12*'🎚️ Escenario'!$C$11,1,1+$C$6))</f>
        <v>1.2</v>
      </c>
      <c r="FK558" s="238" t="n">
        <f aca="false">IF(FK556=0,0,IF(FK556&lt;=12*'🎚️ Escenario'!$C$11,1,1+$C$6))</f>
        <v>1.2</v>
      </c>
      <c r="FL558" s="238" t="n">
        <f aca="false">IF(FL556=0,0,IF(FL556&lt;=12*'🎚️ Escenario'!$C$11,1,1+$C$6))</f>
        <v>1.2</v>
      </c>
      <c r="FM558" s="238" t="n">
        <f aca="false">IF(FM556=0,0,IF(FM556&lt;=12*'🎚️ Escenario'!$C$11,1,1+$C$6))</f>
        <v>1.2</v>
      </c>
      <c r="FN558" s="238" t="n">
        <f aca="false">IF(FN556=0,0,IF(FN556&lt;=12*'🎚️ Escenario'!$C$11,1,1+$C$6))</f>
        <v>1.2</v>
      </c>
      <c r="FO558" s="238" t="n">
        <f aca="false">IF(FO556=0,0,IF(FO556&lt;=12*'🎚️ Escenario'!$C$11,1,1+$C$6))</f>
        <v>1.2</v>
      </c>
      <c r="FP558" s="238" t="n">
        <f aca="false">IF(FP556=0,0,IF(FP556&lt;=12*'🎚️ Escenario'!$C$11,1,1+$C$6))</f>
        <v>1.2</v>
      </c>
    </row>
    <row r="559" customFormat="false" ht="15" hidden="false" customHeight="false" outlineLevel="2" collapsed="false">
      <c r="B559" s="9" t="s">
        <v>876</v>
      </c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36" t="n">
        <f aca="false">AC557*$AC$555*AC558*AC$38*'⑫ Roll-out Plan'!$O$60</f>
        <v>0</v>
      </c>
      <c r="AD559" s="36" t="n">
        <f aca="false">AD557*$AC$555*AD558*AD$38*'⑫ Roll-out Plan'!$O$60</f>
        <v>0</v>
      </c>
      <c r="AE559" s="36" t="n">
        <f aca="false">AE557*$AC$555*AE558*AE$38*'⑫ Roll-out Plan'!$O$60</f>
        <v>0</v>
      </c>
      <c r="AF559" s="36" t="n">
        <f aca="false">AF557*$AC$555*AF558*AF$38*'⑫ Roll-out Plan'!$O$60</f>
        <v>0</v>
      </c>
      <c r="AG559" s="36" t="n">
        <f aca="false">AG557*$AC$555*AG558*AG$38*'⑫ Roll-out Plan'!$O$60</f>
        <v>0</v>
      </c>
      <c r="AH559" s="36" t="n">
        <f aca="false">AH557*$AC$555*AH558*AH$38*'⑫ Roll-out Plan'!$O$60</f>
        <v>0</v>
      </c>
      <c r="AI559" s="36" t="n">
        <f aca="false">AI557*$AC$555*AI558*AI$38*'⑫ Roll-out Plan'!$O$60</f>
        <v>0</v>
      </c>
      <c r="AJ559" s="36" t="n">
        <f aca="false">AJ557*$AC$555*AJ558*AJ$38*'⑫ Roll-out Plan'!$O$60</f>
        <v>0</v>
      </c>
      <c r="AK559" s="36" t="n">
        <f aca="false">AK557*$AC$555*AK558*AK$38*'⑫ Roll-out Plan'!$O$60</f>
        <v>0</v>
      </c>
      <c r="AL559" s="36" t="n">
        <f aca="false">AL557*$AC$555*AL558*AL$38*'⑫ Roll-out Plan'!$O$60</f>
        <v>0</v>
      </c>
      <c r="AM559" s="36" t="n">
        <f aca="false">AM557*$AC$555*AM558*AM$38*'⑫ Roll-out Plan'!$O$60</f>
        <v>0</v>
      </c>
      <c r="AN559" s="36" t="n">
        <f aca="false">AN557*$AC$555*AN558*AN$38*'⑫ Roll-out Plan'!$O$60</f>
        <v>0</v>
      </c>
      <c r="AO559" s="36" t="n">
        <f aca="false">AO557*$AC$555*AO558*AO$38*'⑫ Roll-out Plan'!$O$60</f>
        <v>0</v>
      </c>
      <c r="AP559" s="36" t="n">
        <f aca="false">AP557*$AC$555*AP558*AP$38*'⑫ Roll-out Plan'!$O$60</f>
        <v>0</v>
      </c>
      <c r="AQ559" s="36" t="n">
        <f aca="false">AQ557*$AC$555*AQ558*AQ$38*'⑫ Roll-out Plan'!$O$60</f>
        <v>0</v>
      </c>
      <c r="AR559" s="36" t="n">
        <f aca="false">AR557*$AC$555*AR558*AR$38*'⑫ Roll-out Plan'!$O$60</f>
        <v>0</v>
      </c>
      <c r="AS559" s="36" t="n">
        <f aca="false">AS557*$AC$555*AS558*AS$38*'⑫ Roll-out Plan'!$O$60</f>
        <v>0</v>
      </c>
      <c r="AT559" s="36" t="n">
        <f aca="false">AT557*$AC$555*AT558*AT$38*'⑫ Roll-out Plan'!$O$60</f>
        <v>0</v>
      </c>
      <c r="AU559" s="36" t="n">
        <f aca="false">AU557*$AC$555*AU558*AU$38*'⑫ Roll-out Plan'!$O$60</f>
        <v>0</v>
      </c>
      <c r="AV559" s="36" t="n">
        <f aca="false">AV557*$AC$555*AV558*AV$38*'⑫ Roll-out Plan'!$O$60</f>
        <v>0</v>
      </c>
      <c r="AW559" s="36" t="n">
        <f aca="false">AW557*$AC$555*AW558*AW$38*'⑫ Roll-out Plan'!$O$60</f>
        <v>0</v>
      </c>
      <c r="AX559" s="36" t="n">
        <f aca="false">AX557*$AC$555*AX558*AX$38*'⑫ Roll-out Plan'!$O$60</f>
        <v>0</v>
      </c>
      <c r="AY559" s="36" t="n">
        <f aca="false">AY557*$AC$555*AY558*AY$38*'⑫ Roll-out Plan'!$O$60</f>
        <v>0</v>
      </c>
      <c r="AZ559" s="36" t="n">
        <f aca="false">AZ557*$AC$555*AZ558*AZ$38*'⑫ Roll-out Plan'!$O$60</f>
        <v>0</v>
      </c>
      <c r="BA559" s="36" t="n">
        <f aca="false">BA557*$AC$555*BA558*BA$38*'⑫ Roll-out Plan'!$O$60</f>
        <v>0</v>
      </c>
      <c r="BB559" s="36" t="n">
        <f aca="false">BB557*$AC$555*BB558*BB$38*'⑫ Roll-out Plan'!$O$60</f>
        <v>0</v>
      </c>
      <c r="BC559" s="36" t="n">
        <f aca="false">BC557*$AC$555*BC558*BC$38*'⑫ Roll-out Plan'!$O$60</f>
        <v>0</v>
      </c>
      <c r="BD559" s="36" t="n">
        <f aca="false">BD557*$AC$555*BD558*BD$38*'⑫ Roll-out Plan'!$O$60</f>
        <v>0</v>
      </c>
      <c r="BE559" s="36" t="n">
        <f aca="false">BE557*$AC$555*BE558*BE$38*'⑫ Roll-out Plan'!$O$60</f>
        <v>0</v>
      </c>
      <c r="BF559" s="36" t="n">
        <f aca="false">BF557*$AC$555*BF558*BF$38*'⑫ Roll-out Plan'!$O$60</f>
        <v>0</v>
      </c>
      <c r="BG559" s="36" t="n">
        <f aca="false">BG557*$AC$555*BG558*BG$38*'⑫ Roll-out Plan'!$O$60</f>
        <v>0</v>
      </c>
      <c r="BH559" s="36" t="n">
        <f aca="false">BH557*$AC$555*BH558*BH$38*'⑫ Roll-out Plan'!$O$60</f>
        <v>0</v>
      </c>
      <c r="BI559" s="36" t="n">
        <f aca="false">BI557*$AC$555*BI558*BI$38*'⑫ Roll-out Plan'!$O$60</f>
        <v>0</v>
      </c>
      <c r="BJ559" s="36" t="n">
        <f aca="false">BJ557*$AC$555*BJ558*BJ$38*'⑫ Roll-out Plan'!$O$60</f>
        <v>0</v>
      </c>
      <c r="BK559" s="36" t="n">
        <f aca="false">BK557*$AC$555*BK558*BK$38*'⑫ Roll-out Plan'!$O$60</f>
        <v>0</v>
      </c>
      <c r="BL559" s="36" t="n">
        <f aca="false">BL557*$AC$555*BL558*BL$38*'⑫ Roll-out Plan'!$O$60</f>
        <v>0</v>
      </c>
      <c r="BM559" s="36" t="n">
        <f aca="false">BM557*$AC$555*BM558*BM$38*'⑫ Roll-out Plan'!$O$60</f>
        <v>0</v>
      </c>
      <c r="BN559" s="36" t="n">
        <f aca="false">BN557*$AC$555*BN558*BN$38*'⑫ Roll-out Plan'!$O$60</f>
        <v>0</v>
      </c>
      <c r="BO559" s="36" t="n">
        <f aca="false">BO557*$AC$555*BO558*BO$38*'⑫ Roll-out Plan'!$O$60</f>
        <v>0</v>
      </c>
      <c r="BP559" s="36" t="n">
        <f aca="false">BP557*$AC$555*BP558*BP$38*'⑫ Roll-out Plan'!$O$60</f>
        <v>0</v>
      </c>
      <c r="BQ559" s="36" t="n">
        <f aca="false">BQ557*$AC$555*BQ558*BQ$38*'⑫ Roll-out Plan'!$O$60</f>
        <v>0</v>
      </c>
      <c r="BR559" s="36" t="n">
        <f aca="false">BR557*$AC$555*BR558*BR$38*'⑫ Roll-out Plan'!$O$60</f>
        <v>0</v>
      </c>
      <c r="BS559" s="36" t="n">
        <f aca="false">BS557*$AC$555*BS558*BS$38*'⑫ Roll-out Plan'!$O$60</f>
        <v>0</v>
      </c>
      <c r="BT559" s="36" t="n">
        <f aca="false">BT557*$AC$555*BT558*BT$38*'⑫ Roll-out Plan'!$O$60</f>
        <v>0</v>
      </c>
      <c r="BU559" s="36" t="n">
        <f aca="false">BU557*$AC$555*BU558*BU$38*'⑫ Roll-out Plan'!$O$60</f>
        <v>0</v>
      </c>
      <c r="BV559" s="36" t="n">
        <f aca="false">BV557*$AC$555*BV558*BV$38*'⑫ Roll-out Plan'!$O$60</f>
        <v>0</v>
      </c>
      <c r="BW559" s="36" t="n">
        <f aca="false">BW557*$AC$555*BW558*BW$38*'⑫ Roll-out Plan'!$O$60</f>
        <v>0</v>
      </c>
      <c r="BX559" s="36" t="n">
        <f aca="false">BX557*$AC$555*BX558*BX$38*'⑫ Roll-out Plan'!$O$60</f>
        <v>0</v>
      </c>
      <c r="BY559" s="36" t="n">
        <f aca="false">BY557*$AC$555*BY558*BY$38*'⑫ Roll-out Plan'!$O$60</f>
        <v>0</v>
      </c>
      <c r="BZ559" s="36" t="n">
        <f aca="false">BZ557*$AC$555*BZ558*BZ$38*'⑫ Roll-out Plan'!$O$60</f>
        <v>0</v>
      </c>
      <c r="CA559" s="36" t="n">
        <f aca="false">CA557*$AC$555*CA558*CA$38*'⑫ Roll-out Plan'!$O$60</f>
        <v>0</v>
      </c>
      <c r="CB559" s="36" t="n">
        <f aca="false">CB557*$AC$555*CB558*CB$38*'⑫ Roll-out Plan'!$O$60</f>
        <v>0</v>
      </c>
      <c r="CC559" s="36" t="n">
        <f aca="false">CC557*$AC$555*CC558*CC$38*'⑫ Roll-out Plan'!$O$60</f>
        <v>0</v>
      </c>
      <c r="CD559" s="36" t="n">
        <f aca="false">CD557*$AC$555*CD558*CD$38*'⑫ Roll-out Plan'!$O$60</f>
        <v>0</v>
      </c>
      <c r="CE559" s="36" t="n">
        <f aca="false">CE557*$AC$555*CE558*CE$38*'⑫ Roll-out Plan'!$O$60</f>
        <v>0</v>
      </c>
      <c r="CF559" s="36" t="n">
        <f aca="false">CF557*$AC$555*CF558*CF$38*'⑫ Roll-out Plan'!$O$60</f>
        <v>0</v>
      </c>
      <c r="CG559" s="36" t="n">
        <f aca="false">CG557*$AC$555*CG558*CG$38*'⑫ Roll-out Plan'!$O$60</f>
        <v>0</v>
      </c>
      <c r="CH559" s="36" t="n">
        <f aca="false">CH557*$AC$555*CH558*CH$38*'⑫ Roll-out Plan'!$O$60</f>
        <v>0</v>
      </c>
      <c r="CI559" s="36" t="n">
        <f aca="false">CI557*$AC$555*CI558*CI$38*'⑫ Roll-out Plan'!$O$60</f>
        <v>0</v>
      </c>
      <c r="CJ559" s="36" t="n">
        <f aca="false">CJ557*$AC$555*CJ558*CJ$38*'⑫ Roll-out Plan'!$O$60</f>
        <v>0</v>
      </c>
      <c r="CK559" s="36" t="n">
        <f aca="false">CK557*$AC$555*CK558*CK$38*'⑫ Roll-out Plan'!$O$60</f>
        <v>0</v>
      </c>
      <c r="CL559" s="36" t="n">
        <f aca="false">CL557*$AC$555*CL558*CL$38*'⑫ Roll-out Plan'!$O$60</f>
        <v>0</v>
      </c>
      <c r="CM559" s="36" t="n">
        <f aca="false">CM557*$AC$555*CM558*CM$38*'⑫ Roll-out Plan'!$O$60</f>
        <v>0</v>
      </c>
      <c r="CN559" s="36" t="n">
        <f aca="false">CN557*$AC$555*CN558*CN$38*'⑫ Roll-out Plan'!$O$60</f>
        <v>0</v>
      </c>
      <c r="CO559" s="36" t="n">
        <f aca="false">CO557*$AC$555*CO558*CO$38*'⑫ Roll-out Plan'!$O$60</f>
        <v>0</v>
      </c>
      <c r="CP559" s="36" t="n">
        <f aca="false">CP557*$AC$555*CP558*CP$38*'⑫ Roll-out Plan'!$O$60</f>
        <v>0</v>
      </c>
      <c r="CQ559" s="36" t="n">
        <f aca="false">CQ557*$AC$555*CQ558*CQ$38*'⑫ Roll-out Plan'!$O$60</f>
        <v>0</v>
      </c>
      <c r="CR559" s="36" t="n">
        <f aca="false">CR557*$AC$555*CR558*CR$38*'⑫ Roll-out Plan'!$O$60</f>
        <v>0</v>
      </c>
      <c r="CS559" s="36" t="n">
        <f aca="false">CS557*$AC$555*CS558*CS$38*'⑫ Roll-out Plan'!$O$60</f>
        <v>0</v>
      </c>
      <c r="CT559" s="36" t="n">
        <f aca="false">CT557*$AC$555*CT558*CT$38*'⑫ Roll-out Plan'!$O$60</f>
        <v>0</v>
      </c>
      <c r="CU559" s="36" t="n">
        <f aca="false">CU557*$AC$555*CU558*CU$38*'⑫ Roll-out Plan'!$O$60</f>
        <v>0</v>
      </c>
      <c r="CV559" s="36" t="n">
        <f aca="false">CV557*$AC$555*CV558*CV$38*'⑫ Roll-out Plan'!$O$60</f>
        <v>0</v>
      </c>
      <c r="CW559" s="36" t="n">
        <f aca="false">CW557*$AC$555*CW558*CW$38*'⑫ Roll-out Plan'!$O$60</f>
        <v>0</v>
      </c>
      <c r="CX559" s="36" t="n">
        <f aca="false">CX557*$AC$555*CX558*CX$38*'⑫ Roll-out Plan'!$O$60</f>
        <v>0</v>
      </c>
      <c r="CY559" s="36" t="n">
        <f aca="false">CY557*$AC$555*CY558*CY$38*'⑫ Roll-out Plan'!$O$60</f>
        <v>0</v>
      </c>
      <c r="CZ559" s="36" t="n">
        <f aca="false">CZ557*$AC$555*CZ558*CZ$38*'⑫ Roll-out Plan'!$O$60</f>
        <v>0</v>
      </c>
      <c r="DA559" s="36" t="n">
        <f aca="false">DA557*$AC$555*DA558*DA$38*'⑫ Roll-out Plan'!$O$60</f>
        <v>0</v>
      </c>
      <c r="DB559" s="36" t="n">
        <f aca="false">DB557*$AC$555*DB558*DB$38*'⑫ Roll-out Plan'!$O$60</f>
        <v>0</v>
      </c>
      <c r="DC559" s="36" t="n">
        <f aca="false">DC557*$AC$555*DC558*DC$38*'⑫ Roll-out Plan'!$O$60</f>
        <v>0</v>
      </c>
      <c r="DD559" s="36" t="n">
        <f aca="false">DD557*$AC$555*DD558*DD$38*'⑫ Roll-out Plan'!$O$60</f>
        <v>0</v>
      </c>
      <c r="DE559" s="36" t="n">
        <f aca="false">DE557*$AC$555*DE558*DE$38*'⑫ Roll-out Plan'!$O$60</f>
        <v>0</v>
      </c>
      <c r="DF559" s="36" t="n">
        <f aca="false">DF557*$AC$555*DF558*DF$38*'⑫ Roll-out Plan'!$O$60</f>
        <v>0</v>
      </c>
      <c r="DG559" s="36" t="n">
        <f aca="false">DG557*$AC$555*DG558*DG$38*'⑫ Roll-out Plan'!$O$60</f>
        <v>0</v>
      </c>
      <c r="DH559" s="36" t="n">
        <f aca="false">DH557*$AC$555*DH558*DH$38*'⑫ Roll-out Plan'!$O$60</f>
        <v>0</v>
      </c>
      <c r="DI559" s="36" t="n">
        <f aca="false">DI557*$AC$555*DI558*DI$38*'⑫ Roll-out Plan'!$O$60</f>
        <v>0</v>
      </c>
      <c r="DJ559" s="36" t="n">
        <f aca="false">DJ557*$AC$555*DJ558*DJ$38*'⑫ Roll-out Plan'!$O$60</f>
        <v>0</v>
      </c>
      <c r="DK559" s="36" t="n">
        <f aca="false">DK557*$AC$555*DK558*DK$38*'⑫ Roll-out Plan'!$O$60</f>
        <v>0</v>
      </c>
      <c r="DL559" s="36" t="n">
        <f aca="false">DL557*$AC$555*DL558*DL$38*'⑫ Roll-out Plan'!$O$60</f>
        <v>0</v>
      </c>
      <c r="DM559" s="36" t="n">
        <f aca="false">DM557*$AC$555*DM558*DM$38*'⑫ Roll-out Plan'!$O$60</f>
        <v>0</v>
      </c>
      <c r="DN559" s="36" t="n">
        <f aca="false">DN557*$AC$555*DN558*DN$38*'⑫ Roll-out Plan'!$O$60</f>
        <v>0</v>
      </c>
      <c r="DO559" s="36" t="n">
        <f aca="false">DO557*$AC$555*DO558*DO$38*'⑫ Roll-out Plan'!$O$60</f>
        <v>0</v>
      </c>
      <c r="DP559" s="36" t="n">
        <f aca="false">DP557*$AC$555*DP558*DP$38*'⑫ Roll-out Plan'!$O$60</f>
        <v>0</v>
      </c>
      <c r="DQ559" s="36" t="n">
        <f aca="false">DQ557*$AC$555*DQ558*DQ$38*'⑫ Roll-out Plan'!$O$60</f>
        <v>0</v>
      </c>
      <c r="DR559" s="36" t="n">
        <f aca="false">DR557*$AC$555*DR558*DR$38*'⑫ Roll-out Plan'!$O$60</f>
        <v>0</v>
      </c>
      <c r="DS559" s="36" t="n">
        <f aca="false">DS557*$AC$555*DS558*DS$38*'⑫ Roll-out Plan'!$O$60</f>
        <v>0</v>
      </c>
      <c r="DT559" s="36" t="n">
        <f aca="false">DT557*$AC$555*DT558*DT$38*'⑫ Roll-out Plan'!$O$60</f>
        <v>0</v>
      </c>
      <c r="DU559" s="36" t="n">
        <f aca="false">DU557*$AC$555*DU558*DU$38*'⑫ Roll-out Plan'!$O$60</f>
        <v>0</v>
      </c>
      <c r="DV559" s="36" t="n">
        <f aca="false">DV557*$AC$555*DV558*DV$38*'⑫ Roll-out Plan'!$O$60</f>
        <v>0</v>
      </c>
      <c r="DW559" s="36" t="n">
        <f aca="false">DW557*$AC$555*DW558*DW$38*'⑫ Roll-out Plan'!$O$60</f>
        <v>0</v>
      </c>
      <c r="DX559" s="36" t="n">
        <f aca="false">DX557*$AC$555*DX558*DX$38*'⑫ Roll-out Plan'!$O$60</f>
        <v>0</v>
      </c>
      <c r="DY559" s="36" t="n">
        <f aca="false">DY557*$AC$555*DY558*DY$38*'⑫ Roll-out Plan'!$O$60</f>
        <v>0</v>
      </c>
      <c r="DZ559" s="36" t="n">
        <f aca="false">DZ557*$AC$555*DZ558*DZ$38*'⑫ Roll-out Plan'!$O$60</f>
        <v>0</v>
      </c>
      <c r="EA559" s="36" t="n">
        <f aca="false">EA557*$AC$555*EA558*EA$38*'⑫ Roll-out Plan'!$O$60</f>
        <v>0</v>
      </c>
      <c r="EB559" s="36" t="n">
        <f aca="false">EB557*$AC$555*EB558*EB$38*'⑫ Roll-out Plan'!$O$60</f>
        <v>0</v>
      </c>
      <c r="EC559" s="36" t="n">
        <f aca="false">EC557*$AC$555*EC558*EC$38*'⑫ Roll-out Plan'!$O$60</f>
        <v>0</v>
      </c>
      <c r="ED559" s="36" t="n">
        <f aca="false">ED557*$AC$555*ED558*ED$38*'⑫ Roll-out Plan'!$O$60</f>
        <v>0</v>
      </c>
      <c r="EE559" s="36" t="n">
        <f aca="false">EE557*$AC$555*EE558*EE$38*'⑫ Roll-out Plan'!$O$60</f>
        <v>0</v>
      </c>
      <c r="EF559" s="36" t="n">
        <f aca="false">EF557*$AC$555*EF558*EF$38*'⑫ Roll-out Plan'!$O$60</f>
        <v>0</v>
      </c>
      <c r="EG559" s="36" t="n">
        <f aca="false">EG557*$AC$555*EG558*EG$38*'⑫ Roll-out Plan'!$O$60</f>
        <v>0</v>
      </c>
      <c r="EH559" s="36" t="n">
        <f aca="false">EH557*$AC$555*EH558*EH$38*'⑫ Roll-out Plan'!$O$60</f>
        <v>0</v>
      </c>
      <c r="EI559" s="36" t="n">
        <f aca="false">EI557*$AC$555*EI558*EI$38*'⑫ Roll-out Plan'!$O$60</f>
        <v>0</v>
      </c>
      <c r="EJ559" s="36" t="n">
        <f aca="false">EJ557*$AC$555*EJ558*EJ$38*'⑫ Roll-out Plan'!$O$60</f>
        <v>0</v>
      </c>
      <c r="EK559" s="36" t="n">
        <f aca="false">EK557*$AC$555*EK558*EK$38*'⑫ Roll-out Plan'!$O$60</f>
        <v>0</v>
      </c>
      <c r="EL559" s="36" t="n">
        <f aca="false">EL557*$AC$555*EL558*EL$38*'⑫ Roll-out Plan'!$O$60</f>
        <v>0</v>
      </c>
      <c r="EM559" s="36" t="n">
        <f aca="false">EM557*$AC$555*EM558*EM$38*'⑫ Roll-out Plan'!$O$60</f>
        <v>0</v>
      </c>
      <c r="EN559" s="36" t="n">
        <f aca="false">EN557*$AC$555*EN558*EN$38*'⑫ Roll-out Plan'!$O$60</f>
        <v>0</v>
      </c>
      <c r="EO559" s="36" t="n">
        <f aca="false">EO557*$AC$555*EO558*EO$38*'⑫ Roll-out Plan'!$O$60</f>
        <v>0</v>
      </c>
      <c r="EP559" s="36" t="n">
        <f aca="false">EP557*$AC$555*EP558*EP$38*'⑫ Roll-out Plan'!$O$60</f>
        <v>0</v>
      </c>
      <c r="EQ559" s="36" t="n">
        <f aca="false">EQ557*$AC$555*EQ558*EQ$38*'⑫ Roll-out Plan'!$O$60</f>
        <v>0</v>
      </c>
      <c r="ER559" s="36" t="n">
        <f aca="false">ER557*$AC$555*ER558*ER$38*'⑫ Roll-out Plan'!$O$60</f>
        <v>0</v>
      </c>
      <c r="ES559" s="9" t="n">
        <f aca="false">ES557*$AC$555*ES558*ES$38*'⑫ Roll-out Plan'!$O$60</f>
        <v>0</v>
      </c>
      <c r="ET559" s="9" t="n">
        <f aca="false">ET557*$AC$555*ET558*ET$38*'⑫ Roll-out Plan'!$O$60</f>
        <v>0</v>
      </c>
      <c r="EU559" s="9" t="n">
        <f aca="false">EU557*$AC$555*EU558*EU$38*'⑫ Roll-out Plan'!$O$60</f>
        <v>0</v>
      </c>
      <c r="EV559" s="9" t="n">
        <f aca="false">EV557*$AC$555*EV558*EV$38*'⑫ Roll-out Plan'!$O$60</f>
        <v>0</v>
      </c>
      <c r="EW559" s="9" t="n">
        <f aca="false">EW557*$AC$555*EW558*EW$38*'⑫ Roll-out Plan'!$O$60</f>
        <v>0</v>
      </c>
      <c r="EX559" s="9" t="n">
        <f aca="false">EX557*$AC$555*EX558*EX$38*'⑫ Roll-out Plan'!$O$60</f>
        <v>0</v>
      </c>
      <c r="EY559" s="9" t="n">
        <f aca="false">EY557*$AC$555*EY558*EY$38*'⑫ Roll-out Plan'!$O$60</f>
        <v>0</v>
      </c>
      <c r="EZ559" s="9" t="n">
        <f aca="false">EZ557*$AC$555*EZ558*EZ$38*'⑫ Roll-out Plan'!$O$60</f>
        <v>0</v>
      </c>
      <c r="FA559" s="9" t="n">
        <f aca="false">FA557*$AC$555*FA558*FA$38*'⑫ Roll-out Plan'!$O$60</f>
        <v>0</v>
      </c>
      <c r="FB559" s="9" t="n">
        <f aca="false">FB557*$AC$555*FB558*FB$38*'⑫ Roll-out Plan'!$O$60</f>
        <v>0</v>
      </c>
      <c r="FC559" s="9" t="n">
        <f aca="false">FC557*$AC$555*FC558*FC$38*'⑫ Roll-out Plan'!$O$60</f>
        <v>0</v>
      </c>
      <c r="FD559" s="9" t="n">
        <f aca="false">FD557*$AC$555*FD558*FD$38*'⑫ Roll-out Plan'!$O$60</f>
        <v>0</v>
      </c>
      <c r="FE559" s="9" t="n">
        <f aca="false">FE557*$AC$555*FE558*FE$38*'⑫ Roll-out Plan'!$O$60</f>
        <v>0</v>
      </c>
      <c r="FF559" s="9" t="n">
        <f aca="false">FF557*$AC$555*FF558*FF$38*'⑫ Roll-out Plan'!$O$60</f>
        <v>0</v>
      </c>
      <c r="FG559" s="9" t="n">
        <f aca="false">FG557*$AC$555*FG558*FG$38*'⑫ Roll-out Plan'!$O$60</f>
        <v>0</v>
      </c>
      <c r="FH559" s="9" t="n">
        <f aca="false">FH557*$AC$555*FH558*FH$38*'⑫ Roll-out Plan'!$O$60</f>
        <v>0</v>
      </c>
      <c r="FI559" s="9" t="n">
        <f aca="false">FI557*$AC$555*FI558*FI$38*'⑫ Roll-out Plan'!$O$60</f>
        <v>0</v>
      </c>
      <c r="FJ559" s="9" t="n">
        <f aca="false">FJ557*$AC$555*FJ558*FJ$38*'⑫ Roll-out Plan'!$O$60</f>
        <v>0</v>
      </c>
      <c r="FK559" s="9" t="n">
        <f aca="false">FK557*$AC$555*FK558*FK$38*'⑫ Roll-out Plan'!$O$60</f>
        <v>0</v>
      </c>
      <c r="FL559" s="9" t="n">
        <f aca="false">FL557*$AC$555*FL558*FL$38*'⑫ Roll-out Plan'!$O$60</f>
        <v>0</v>
      </c>
      <c r="FM559" s="9" t="n">
        <f aca="false">FM557*$AC$555*FM558*FM$38*'⑫ Roll-out Plan'!$O$60</f>
        <v>0</v>
      </c>
      <c r="FN559" s="9" t="n">
        <f aca="false">FN557*$AC$555*FN558*FN$38*'⑫ Roll-out Plan'!$O$60</f>
        <v>0</v>
      </c>
      <c r="FO559" s="9" t="n">
        <f aca="false">FO557*$AC$555*FO558*FO$38*'⑫ Roll-out Plan'!$O$60</f>
        <v>0</v>
      </c>
      <c r="FP559" s="9" t="n">
        <f aca="false">FP557*$AC$555*FP558*FP$38*'⑫ Roll-out Plan'!$O$60</f>
        <v>0</v>
      </c>
    </row>
    <row r="560" customFormat="false" ht="15" hidden="false" customHeight="false" outlineLevel="2" collapsed="false">
      <c r="B560" s="9" t="s">
        <v>877</v>
      </c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112" t="n">
        <f aca="true">IFERROR(SUMPRODUCT(OFFSET($BJ$31,0,1-MIN(60,COLUMN()-29),1,MIN(60,COLUMN()-29)),OFFSET(AC559,0,-MIN(60,COLUMN()-29),1,MIN(60,COLUMN()-29))),0)</f>
        <v>0</v>
      </c>
      <c r="AD560" s="112" t="n">
        <f aca="true">IFERROR(SUMPRODUCT(OFFSET($BJ$31,0,1-MIN(60,COLUMN()-29),1,MIN(60,COLUMN()-29)),OFFSET(AD559,0,-MIN(60,COLUMN()-29),1,MIN(60,COLUMN()-29))),0)</f>
        <v>0</v>
      </c>
      <c r="AE560" s="112" t="n">
        <f aca="true">IFERROR(SUMPRODUCT(OFFSET($BJ$31,0,1-MIN(60,COLUMN()-29),1,MIN(60,COLUMN()-29)),OFFSET(AE559,0,-MIN(60,COLUMN()-29),1,MIN(60,COLUMN()-29))),0)</f>
        <v>0</v>
      </c>
      <c r="AF560" s="112" t="n">
        <f aca="true">IFERROR(SUMPRODUCT(OFFSET($BJ$31,0,1-MIN(60,COLUMN()-29),1,MIN(60,COLUMN()-29)),OFFSET(AF559,0,-MIN(60,COLUMN()-29),1,MIN(60,COLUMN()-29))),0)</f>
        <v>0</v>
      </c>
      <c r="AG560" s="112" t="n">
        <f aca="true">IFERROR(SUMPRODUCT(OFFSET($BJ$31,0,1-MIN(60,COLUMN()-29),1,MIN(60,COLUMN()-29)),OFFSET(AG559,0,-MIN(60,COLUMN()-29),1,MIN(60,COLUMN()-29))),0)</f>
        <v>0</v>
      </c>
      <c r="AH560" s="112" t="n">
        <f aca="true">IFERROR(SUMPRODUCT(OFFSET($BJ$31,0,1-MIN(60,COLUMN()-29),1,MIN(60,COLUMN()-29)),OFFSET(AH559,0,-MIN(60,COLUMN()-29),1,MIN(60,COLUMN()-29))),0)</f>
        <v>0</v>
      </c>
      <c r="AI560" s="112" t="n">
        <f aca="true">IFERROR(SUMPRODUCT(OFFSET($BJ$31,0,1-MIN(60,COLUMN()-29),1,MIN(60,COLUMN()-29)),OFFSET(AI559,0,-MIN(60,COLUMN()-29),1,MIN(60,COLUMN()-29))),0)</f>
        <v>0</v>
      </c>
      <c r="AJ560" s="112" t="n">
        <f aca="true">IFERROR(SUMPRODUCT(OFFSET($BJ$31,0,1-MIN(60,COLUMN()-29),1,MIN(60,COLUMN()-29)),OFFSET(AJ559,0,-MIN(60,COLUMN()-29),1,MIN(60,COLUMN()-29))),0)</f>
        <v>0</v>
      </c>
      <c r="AK560" s="112" t="n">
        <f aca="true">IFERROR(SUMPRODUCT(OFFSET($BJ$31,0,1-MIN(60,COLUMN()-29),1,MIN(60,COLUMN()-29)),OFFSET(AK559,0,-MIN(60,COLUMN()-29),1,MIN(60,COLUMN()-29))),0)</f>
        <v>0</v>
      </c>
      <c r="AL560" s="112" t="n">
        <f aca="true">IFERROR(SUMPRODUCT(OFFSET($BJ$31,0,1-MIN(60,COLUMN()-29),1,MIN(60,COLUMN()-29)),OFFSET(AL559,0,-MIN(60,COLUMN()-29),1,MIN(60,COLUMN()-29))),0)</f>
        <v>0</v>
      </c>
      <c r="AM560" s="112" t="n">
        <f aca="true">IFERROR(SUMPRODUCT(OFFSET($BJ$31,0,1-MIN(60,COLUMN()-29),1,MIN(60,COLUMN()-29)),OFFSET(AM559,0,-MIN(60,COLUMN()-29),1,MIN(60,COLUMN()-29))),0)</f>
        <v>0</v>
      </c>
      <c r="AN560" s="239" t="n">
        <f aca="true">IFERROR(SUMPRODUCT(OFFSET($BJ$31,0,1-MIN(60,COLUMN()-29),1,MIN(60,COLUMN()-29)),OFFSET(AN559,0,-MIN(60,COLUMN()-29),1,MIN(60,COLUMN()-29))),0)</f>
        <v>0</v>
      </c>
      <c r="AO560" s="112" t="n">
        <f aca="true">IFERROR(SUMPRODUCT(OFFSET($BJ$31,0,1-MIN(60,COLUMN()-29),1,MIN(60,COLUMN()-29)),OFFSET(AO559,0,-MIN(60,COLUMN()-29),1,MIN(60,COLUMN()-29))),0)</f>
        <v>0</v>
      </c>
      <c r="AP560" s="112" t="n">
        <f aca="true">IFERROR(SUMPRODUCT(OFFSET($BJ$31,0,1-MIN(60,COLUMN()-29),1,MIN(60,COLUMN()-29)),OFFSET(AP559,0,-MIN(60,COLUMN()-29),1,MIN(60,COLUMN()-29))),0)</f>
        <v>0</v>
      </c>
      <c r="AQ560" s="112" t="n">
        <f aca="true">IFERROR(SUMPRODUCT(OFFSET($BJ$31,0,1-MIN(60,COLUMN()-29),1,MIN(60,COLUMN()-29)),OFFSET(AQ559,0,-MIN(60,COLUMN()-29),1,MIN(60,COLUMN()-29))),0)</f>
        <v>0</v>
      </c>
      <c r="AR560" s="112" t="n">
        <f aca="true">IFERROR(SUMPRODUCT(OFFSET($BJ$31,0,1-MIN(60,COLUMN()-29),1,MIN(60,COLUMN()-29)),OFFSET(AR559,0,-MIN(60,COLUMN()-29),1,MIN(60,COLUMN()-29))),0)</f>
        <v>0</v>
      </c>
      <c r="AS560" s="112" t="n">
        <f aca="true">IFERROR(SUMPRODUCT(OFFSET($BJ$31,0,1-MIN(60,COLUMN()-29),1,MIN(60,COLUMN()-29)),OFFSET(AS559,0,-MIN(60,COLUMN()-29),1,MIN(60,COLUMN()-29))),0)</f>
        <v>0</v>
      </c>
      <c r="AT560" s="112" t="n">
        <f aca="true">IFERROR(SUMPRODUCT(OFFSET($BJ$31,0,1-MIN(60,COLUMN()-29),1,MIN(60,COLUMN()-29)),OFFSET(AT559,0,-MIN(60,COLUMN()-29),1,MIN(60,COLUMN()-29))),0)</f>
        <v>0</v>
      </c>
      <c r="AU560" s="112" t="n">
        <f aca="true">IFERROR(SUMPRODUCT(OFFSET($BJ$31,0,1-MIN(60,COLUMN()-29),1,MIN(60,COLUMN()-29)),OFFSET(AU559,0,-MIN(60,COLUMN()-29),1,MIN(60,COLUMN()-29))),0)</f>
        <v>0</v>
      </c>
      <c r="AV560" s="112" t="n">
        <f aca="true">IFERROR(SUMPRODUCT(OFFSET($BJ$31,0,1-MIN(60,COLUMN()-29),1,MIN(60,COLUMN()-29)),OFFSET(AV559,0,-MIN(60,COLUMN()-29),1,MIN(60,COLUMN()-29))),0)</f>
        <v>0</v>
      </c>
      <c r="AW560" s="112" t="n">
        <f aca="true">IFERROR(SUMPRODUCT(OFFSET($BJ$31,0,1-MIN(60,COLUMN()-29),1,MIN(60,COLUMN()-29)),OFFSET(AW559,0,-MIN(60,COLUMN()-29),1,MIN(60,COLUMN()-29))),0)</f>
        <v>0</v>
      </c>
      <c r="AX560" s="112" t="n">
        <f aca="true">IFERROR(SUMPRODUCT(OFFSET($BJ$31,0,1-MIN(60,COLUMN()-29),1,MIN(60,COLUMN()-29)),OFFSET(AX559,0,-MIN(60,COLUMN()-29),1,MIN(60,COLUMN()-29))),0)</f>
        <v>0</v>
      </c>
      <c r="AY560" s="112" t="n">
        <f aca="true">IFERROR(SUMPRODUCT(OFFSET($BJ$31,0,1-MIN(60,COLUMN()-29),1,MIN(60,COLUMN()-29)),OFFSET(AY559,0,-MIN(60,COLUMN()-29),1,MIN(60,COLUMN()-29))),0)</f>
        <v>0</v>
      </c>
      <c r="AZ560" s="112" t="n">
        <f aca="true">IFERROR(SUMPRODUCT(OFFSET($BJ$31,0,1-MIN(60,COLUMN()-29),1,MIN(60,COLUMN()-29)),OFFSET(AZ559,0,-MIN(60,COLUMN()-29),1,MIN(60,COLUMN()-29))),0)</f>
        <v>0</v>
      </c>
      <c r="BA560" s="112" t="n">
        <f aca="true">IFERROR(SUMPRODUCT(OFFSET($BJ$31,0,1-MIN(60,COLUMN()-29),1,MIN(60,COLUMN()-29)),OFFSET(BA559,0,-MIN(60,COLUMN()-29),1,MIN(60,COLUMN()-29))),0)</f>
        <v>0</v>
      </c>
      <c r="BB560" s="112" t="n">
        <f aca="true">IFERROR(SUMPRODUCT(OFFSET($BJ$31,0,1-MIN(60,COLUMN()-29),1,MIN(60,COLUMN()-29)),OFFSET(BB559,0,-MIN(60,COLUMN()-29),1,MIN(60,COLUMN()-29))),0)</f>
        <v>0</v>
      </c>
      <c r="BC560" s="112" t="n">
        <f aca="true">IFERROR(SUMPRODUCT(OFFSET($BJ$31,0,1-MIN(60,COLUMN()-29),1,MIN(60,COLUMN()-29)),OFFSET(BC559,0,-MIN(60,COLUMN()-29),1,MIN(60,COLUMN()-29))),0)</f>
        <v>0</v>
      </c>
      <c r="BD560" s="112" t="n">
        <f aca="true">IFERROR(SUMPRODUCT(OFFSET($BJ$31,0,1-MIN(60,COLUMN()-29),1,MIN(60,COLUMN()-29)),OFFSET(BD559,0,-MIN(60,COLUMN()-29),1,MIN(60,COLUMN()-29))),0)</f>
        <v>0</v>
      </c>
      <c r="BE560" s="112" t="n">
        <f aca="true">IFERROR(SUMPRODUCT(OFFSET($BJ$31,0,1-MIN(60,COLUMN()-29),1,MIN(60,COLUMN()-29)),OFFSET(BE559,0,-MIN(60,COLUMN()-29),1,MIN(60,COLUMN()-29))),0)</f>
        <v>0</v>
      </c>
      <c r="BF560" s="112" t="n">
        <f aca="true">IFERROR(SUMPRODUCT(OFFSET($BJ$31,0,1-MIN(60,COLUMN()-29),1,MIN(60,COLUMN()-29)),OFFSET(BF559,0,-MIN(60,COLUMN()-29),1,MIN(60,COLUMN()-29))),0)</f>
        <v>0</v>
      </c>
      <c r="BG560" s="112" t="n">
        <f aca="true">IFERROR(SUMPRODUCT(OFFSET($BJ$31,0,1-MIN(60,COLUMN()-29),1,MIN(60,COLUMN()-29)),OFFSET(BG559,0,-MIN(60,COLUMN()-29),1,MIN(60,COLUMN()-29))),0)</f>
        <v>0</v>
      </c>
      <c r="BH560" s="112" t="n">
        <f aca="true">IFERROR(SUMPRODUCT(OFFSET($BJ$31,0,1-MIN(60,COLUMN()-29),1,MIN(60,COLUMN()-29)),OFFSET(BH559,0,-MIN(60,COLUMN()-29),1,MIN(60,COLUMN()-29))),0)</f>
        <v>0</v>
      </c>
      <c r="BI560" s="112" t="n">
        <f aca="true">IFERROR(SUMPRODUCT(OFFSET($BJ$31,0,1-MIN(60,COLUMN()-29),1,MIN(60,COLUMN()-29)),OFFSET(BI559,0,-MIN(60,COLUMN()-29),1,MIN(60,COLUMN()-29))),0)</f>
        <v>0</v>
      </c>
      <c r="BJ560" s="112" t="n">
        <f aca="true">IFERROR(SUMPRODUCT(OFFSET($BJ$31,0,1-MIN(60,COLUMN()-29),1,MIN(60,COLUMN()-29)),OFFSET(BJ559,0,-MIN(60,COLUMN()-29),1,MIN(60,COLUMN()-29))),0)</f>
        <v>0</v>
      </c>
      <c r="BK560" s="112" t="n">
        <f aca="true">IFERROR(SUMPRODUCT(OFFSET($BJ$31,0,1-MIN(60,COLUMN()-29),1,MIN(60,COLUMN()-29)),OFFSET(BK559,0,-MIN(60,COLUMN()-29),1,MIN(60,COLUMN()-29))),0)</f>
        <v>0</v>
      </c>
      <c r="BL560" s="112" t="n">
        <f aca="true">IFERROR(SUMPRODUCT(OFFSET($BJ$31,0,1-MIN(60,COLUMN()-29),1,MIN(60,COLUMN()-29)),OFFSET(BL559,0,-MIN(60,COLUMN()-29),1,MIN(60,COLUMN()-29))),0)</f>
        <v>0</v>
      </c>
      <c r="BM560" s="112" t="n">
        <f aca="true">IFERROR(SUMPRODUCT(OFFSET($BJ$31,0,1-MIN(60,COLUMN()-29),1,MIN(60,COLUMN()-29)),OFFSET(BM559,0,-MIN(60,COLUMN()-29),1,MIN(60,COLUMN()-29))),0)</f>
        <v>0</v>
      </c>
      <c r="BN560" s="112" t="n">
        <f aca="true">IFERROR(SUMPRODUCT(OFFSET($BJ$31,0,1-MIN(60,COLUMN()-29),1,MIN(60,COLUMN()-29)),OFFSET(BN559,0,-MIN(60,COLUMN()-29),1,MIN(60,COLUMN()-29))),0)</f>
        <v>0</v>
      </c>
      <c r="BO560" s="112" t="n">
        <f aca="true">IFERROR(SUMPRODUCT(OFFSET($BJ$31,0,1-MIN(60,COLUMN()-29),1,MIN(60,COLUMN()-29)),OFFSET(BO559,0,-MIN(60,COLUMN()-29),1,MIN(60,COLUMN()-29))),0)</f>
        <v>0</v>
      </c>
      <c r="BP560" s="112" t="n">
        <f aca="true">IFERROR(SUMPRODUCT(OFFSET($BJ$31,0,1-MIN(60,COLUMN()-29),1,MIN(60,COLUMN()-29)),OFFSET(BP559,0,-MIN(60,COLUMN()-29),1,MIN(60,COLUMN()-29))),0)</f>
        <v>0</v>
      </c>
      <c r="BQ560" s="112" t="n">
        <f aca="true">IFERROR(SUMPRODUCT(OFFSET($BJ$31,0,1-MIN(60,COLUMN()-29),1,MIN(60,COLUMN()-29)),OFFSET(BQ559,0,-MIN(60,COLUMN()-29),1,MIN(60,COLUMN()-29))),0)</f>
        <v>0</v>
      </c>
      <c r="BR560" s="112" t="n">
        <f aca="true">IFERROR(SUMPRODUCT(OFFSET($BJ$31,0,1-MIN(60,COLUMN()-29),1,MIN(60,COLUMN()-29)),OFFSET(BR559,0,-MIN(60,COLUMN()-29),1,MIN(60,COLUMN()-29))),0)</f>
        <v>0</v>
      </c>
      <c r="BS560" s="112" t="n">
        <f aca="true">IFERROR(SUMPRODUCT(OFFSET($BJ$31,0,1-MIN(60,COLUMN()-29),1,MIN(60,COLUMN()-29)),OFFSET(BS559,0,-MIN(60,COLUMN()-29),1,MIN(60,COLUMN()-29))),0)</f>
        <v>0</v>
      </c>
      <c r="BT560" s="112" t="n">
        <f aca="true">IFERROR(SUMPRODUCT(OFFSET($BJ$31,0,1-MIN(60,COLUMN()-29),1,MIN(60,COLUMN()-29)),OFFSET(BT559,0,-MIN(60,COLUMN()-29),1,MIN(60,COLUMN()-29))),0)</f>
        <v>0</v>
      </c>
      <c r="BU560" s="112" t="n">
        <f aca="true">IFERROR(SUMPRODUCT(OFFSET($BJ$31,0,1-MIN(60,COLUMN()-29),1,MIN(60,COLUMN()-29)),OFFSET(BU559,0,-MIN(60,COLUMN()-29),1,MIN(60,COLUMN()-29))),0)</f>
        <v>0</v>
      </c>
      <c r="BV560" s="112" t="n">
        <f aca="true">IFERROR(SUMPRODUCT(OFFSET($BJ$31,0,1-MIN(60,COLUMN()-29),1,MIN(60,COLUMN()-29)),OFFSET(BV559,0,-MIN(60,COLUMN()-29),1,MIN(60,COLUMN()-29))),0)</f>
        <v>0</v>
      </c>
      <c r="BW560" s="112" t="n">
        <f aca="true">IFERROR(SUMPRODUCT(OFFSET($BJ$31,0,1-MIN(60,COLUMN()-29),1,MIN(60,COLUMN()-29)),OFFSET(BW559,0,-MIN(60,COLUMN()-29),1,MIN(60,COLUMN()-29))),0)</f>
        <v>0</v>
      </c>
      <c r="BX560" s="112" t="n">
        <f aca="true">IFERROR(SUMPRODUCT(OFFSET($BJ$31,0,1-MIN(60,COLUMN()-29),1,MIN(60,COLUMN()-29)),OFFSET(BX559,0,-MIN(60,COLUMN()-29),1,MIN(60,COLUMN()-29))),0)</f>
        <v>0</v>
      </c>
      <c r="BY560" s="112" t="n">
        <f aca="true">IFERROR(SUMPRODUCT(OFFSET($BJ$31,0,1-MIN(60,COLUMN()-29),1,MIN(60,COLUMN()-29)),OFFSET(BY559,0,-MIN(60,COLUMN()-29),1,MIN(60,COLUMN()-29))),0)</f>
        <v>0</v>
      </c>
      <c r="BZ560" s="112" t="n">
        <f aca="true">IFERROR(SUMPRODUCT(OFFSET($BJ$31,0,1-MIN(60,COLUMN()-29),1,MIN(60,COLUMN()-29)),OFFSET(BZ559,0,-MIN(60,COLUMN()-29),1,MIN(60,COLUMN()-29))),0)</f>
        <v>0</v>
      </c>
      <c r="CA560" s="112" t="n">
        <f aca="true">IFERROR(SUMPRODUCT(OFFSET($BJ$31,0,1-MIN(60,COLUMN()-29),1,MIN(60,COLUMN()-29)),OFFSET(CA559,0,-MIN(60,COLUMN()-29),1,MIN(60,COLUMN()-29))),0)</f>
        <v>0</v>
      </c>
      <c r="CB560" s="112" t="n">
        <f aca="true">IFERROR(SUMPRODUCT(OFFSET($BJ$31,0,1-MIN(60,COLUMN()-29),1,MIN(60,COLUMN()-29)),OFFSET(CB559,0,-MIN(60,COLUMN()-29),1,MIN(60,COLUMN()-29))),0)</f>
        <v>0</v>
      </c>
      <c r="CC560" s="112" t="n">
        <f aca="true">IFERROR(SUMPRODUCT(OFFSET($BJ$31,0,1-MIN(60,COLUMN()-29),1,MIN(60,COLUMN()-29)),OFFSET(CC559,0,-MIN(60,COLUMN()-29),1,MIN(60,COLUMN()-29))),0)</f>
        <v>0</v>
      </c>
      <c r="CD560" s="112" t="n">
        <f aca="true">IFERROR(SUMPRODUCT(OFFSET($BJ$31,0,1-MIN(60,COLUMN()-29),1,MIN(60,COLUMN()-29)),OFFSET(CD559,0,-MIN(60,COLUMN()-29),1,MIN(60,COLUMN()-29))),0)</f>
        <v>0</v>
      </c>
      <c r="CE560" s="112" t="n">
        <f aca="true">IFERROR(SUMPRODUCT(OFFSET($BJ$31,0,1-MIN(60,COLUMN()-29),1,MIN(60,COLUMN()-29)),OFFSET(CE559,0,-MIN(60,COLUMN()-29),1,MIN(60,COLUMN()-29))),0)</f>
        <v>0</v>
      </c>
      <c r="CF560" s="112" t="n">
        <f aca="true">IFERROR(SUMPRODUCT(OFFSET($BJ$31,0,1-MIN(60,COLUMN()-29),1,MIN(60,COLUMN()-29)),OFFSET(CF559,0,-MIN(60,COLUMN()-29),1,MIN(60,COLUMN()-29))),0)</f>
        <v>0</v>
      </c>
      <c r="CG560" s="112" t="n">
        <f aca="true">IFERROR(SUMPRODUCT(OFFSET($BJ$31,0,1-MIN(60,COLUMN()-29),1,MIN(60,COLUMN()-29)),OFFSET(CG559,0,-MIN(60,COLUMN()-29),1,MIN(60,COLUMN()-29))),0)</f>
        <v>0</v>
      </c>
      <c r="CH560" s="112" t="n">
        <f aca="true">IFERROR(SUMPRODUCT(OFFSET($BJ$31,0,1-MIN(60,COLUMN()-29),1,MIN(60,COLUMN()-29)),OFFSET(CH559,0,-MIN(60,COLUMN()-29),1,MIN(60,COLUMN()-29))),0)</f>
        <v>0</v>
      </c>
      <c r="CI560" s="112" t="n">
        <f aca="true">IFERROR(SUMPRODUCT(OFFSET($BJ$31,0,1-MIN(60,COLUMN()-29),1,MIN(60,COLUMN()-29)),OFFSET(CI559,0,-MIN(60,COLUMN()-29),1,MIN(60,COLUMN()-29))),0)</f>
        <v>0</v>
      </c>
      <c r="CJ560" s="112" t="n">
        <f aca="true">IFERROR(SUMPRODUCT(OFFSET($BJ$31,0,1-MIN(60,COLUMN()-29),1,MIN(60,COLUMN()-29)),OFFSET(CJ559,0,-MIN(60,COLUMN()-29),1,MIN(60,COLUMN()-29))),0)</f>
        <v>0</v>
      </c>
      <c r="CK560" s="112" t="n">
        <f aca="true">IFERROR(SUMPRODUCT(OFFSET($BJ$31,0,1-MIN(60,COLUMN()-29),1,MIN(60,COLUMN()-29)),OFFSET(CK559,0,-MIN(60,COLUMN()-29),1,MIN(60,COLUMN()-29))),0)</f>
        <v>0</v>
      </c>
      <c r="CL560" s="112" t="n">
        <f aca="true">IFERROR(SUMPRODUCT(OFFSET($BJ$31,0,1-MIN(60,COLUMN()-29),1,MIN(60,COLUMN()-29)),OFFSET(CL559,0,-MIN(60,COLUMN()-29),1,MIN(60,COLUMN()-29))),0)</f>
        <v>0</v>
      </c>
      <c r="CM560" s="112" t="n">
        <f aca="true">IFERROR(SUMPRODUCT(OFFSET($BJ$31,0,1-MIN(60,COLUMN()-29),1,MIN(60,COLUMN()-29)),OFFSET(CM559,0,-MIN(60,COLUMN()-29),1,MIN(60,COLUMN()-29))),0)</f>
        <v>0</v>
      </c>
      <c r="CN560" s="112" t="n">
        <f aca="true">IFERROR(SUMPRODUCT(OFFSET($BJ$31,0,1-MIN(60,COLUMN()-29),1,MIN(60,COLUMN()-29)),OFFSET(CN559,0,-MIN(60,COLUMN()-29),1,MIN(60,COLUMN()-29))),0)</f>
        <v>0</v>
      </c>
      <c r="CO560" s="112" t="n">
        <f aca="true">IFERROR(SUMPRODUCT(OFFSET($BJ$31,0,1-MIN(60,COLUMN()-29),1,MIN(60,COLUMN()-29)),OFFSET(CO559,0,-MIN(60,COLUMN()-29),1,MIN(60,COLUMN()-29))),0)</f>
        <v>0</v>
      </c>
      <c r="CP560" s="112" t="n">
        <f aca="true">IFERROR(SUMPRODUCT(OFFSET($BJ$31,0,1-MIN(60,COLUMN()-29),1,MIN(60,COLUMN()-29)),OFFSET(CP559,0,-MIN(60,COLUMN()-29),1,MIN(60,COLUMN()-29))),0)</f>
        <v>0</v>
      </c>
      <c r="CQ560" s="112" t="n">
        <f aca="true">IFERROR(SUMPRODUCT(OFFSET($BJ$31,0,1-MIN(60,COLUMN()-29),1,MIN(60,COLUMN()-29)),OFFSET(CQ559,0,-MIN(60,COLUMN()-29),1,MIN(60,COLUMN()-29))),0)</f>
        <v>0</v>
      </c>
      <c r="CR560" s="112" t="n">
        <f aca="true">IFERROR(SUMPRODUCT(OFFSET($BJ$31,0,1-MIN(60,COLUMN()-29),1,MIN(60,COLUMN()-29)),OFFSET(CR559,0,-MIN(60,COLUMN()-29),1,MIN(60,COLUMN()-29))),0)</f>
        <v>0</v>
      </c>
      <c r="CS560" s="112" t="n">
        <f aca="true">IFERROR(SUMPRODUCT(OFFSET($BJ$31,0,1-MIN(60,COLUMN()-29),1,MIN(60,COLUMN()-29)),OFFSET(CS559,0,-MIN(60,COLUMN()-29),1,MIN(60,COLUMN()-29))),0)</f>
        <v>0</v>
      </c>
      <c r="CT560" s="112" t="n">
        <f aca="true">IFERROR(SUMPRODUCT(OFFSET($BJ$31,0,1-MIN(60,COLUMN()-29),1,MIN(60,COLUMN()-29)),OFFSET(CT559,0,-MIN(60,COLUMN()-29),1,MIN(60,COLUMN()-29))),0)</f>
        <v>0</v>
      </c>
      <c r="CU560" s="112" t="n">
        <f aca="true">IFERROR(SUMPRODUCT(OFFSET($BJ$31,0,1-MIN(60,COLUMN()-29),1,MIN(60,COLUMN()-29)),OFFSET(CU559,0,-MIN(60,COLUMN()-29),1,MIN(60,COLUMN()-29))),0)</f>
        <v>0</v>
      </c>
      <c r="CV560" s="112" t="n">
        <f aca="true">IFERROR(SUMPRODUCT(OFFSET($BJ$31,0,1-MIN(60,COLUMN()-29),1,MIN(60,COLUMN()-29)),OFFSET(CV559,0,-MIN(60,COLUMN()-29),1,MIN(60,COLUMN()-29))),0)</f>
        <v>0</v>
      </c>
      <c r="CW560" s="112" t="n">
        <f aca="true">IFERROR(SUMPRODUCT(OFFSET($BJ$31,0,1-MIN(60,COLUMN()-29),1,MIN(60,COLUMN()-29)),OFFSET(CW559,0,-MIN(60,COLUMN()-29),1,MIN(60,COLUMN()-29))),0)</f>
        <v>0</v>
      </c>
      <c r="CX560" s="112" t="n">
        <f aca="true">IFERROR(SUMPRODUCT(OFFSET($BJ$31,0,1-MIN(60,COLUMN()-29),1,MIN(60,COLUMN()-29)),OFFSET(CX559,0,-MIN(60,COLUMN()-29),1,MIN(60,COLUMN()-29))),0)</f>
        <v>0</v>
      </c>
      <c r="CY560" s="112" t="n">
        <f aca="true">IFERROR(SUMPRODUCT(OFFSET($BJ$31,0,1-MIN(60,COLUMN()-29),1,MIN(60,COLUMN()-29)),OFFSET(CY559,0,-MIN(60,COLUMN()-29),1,MIN(60,COLUMN()-29))),0)</f>
        <v>0</v>
      </c>
      <c r="CZ560" s="112" t="n">
        <f aca="true">IFERROR(SUMPRODUCT(OFFSET($BJ$31,0,1-MIN(60,COLUMN()-29),1,MIN(60,COLUMN()-29)),OFFSET(CZ559,0,-MIN(60,COLUMN()-29),1,MIN(60,COLUMN()-29))),0)</f>
        <v>0</v>
      </c>
      <c r="DA560" s="112" t="n">
        <f aca="true">IFERROR(SUMPRODUCT(OFFSET($BJ$31,0,1-MIN(60,COLUMN()-29),1,MIN(60,COLUMN()-29)),OFFSET(DA559,0,-MIN(60,COLUMN()-29),1,MIN(60,COLUMN()-29))),0)</f>
        <v>0</v>
      </c>
      <c r="DB560" s="112" t="n">
        <f aca="true">IFERROR(SUMPRODUCT(OFFSET($BJ$31,0,1-MIN(60,COLUMN()-29),1,MIN(60,COLUMN()-29)),OFFSET(DB559,0,-MIN(60,COLUMN()-29),1,MIN(60,COLUMN()-29))),0)</f>
        <v>0</v>
      </c>
      <c r="DC560" s="112" t="n">
        <f aca="true">IFERROR(SUMPRODUCT(OFFSET($BJ$31,0,1-MIN(60,COLUMN()-29),1,MIN(60,COLUMN()-29)),OFFSET(DC559,0,-MIN(60,COLUMN()-29),1,MIN(60,COLUMN()-29))),0)</f>
        <v>0</v>
      </c>
      <c r="DD560" s="112" t="n">
        <f aca="true">IFERROR(SUMPRODUCT(OFFSET($BJ$31,0,1-MIN(60,COLUMN()-29),1,MIN(60,COLUMN()-29)),OFFSET(DD559,0,-MIN(60,COLUMN()-29),1,MIN(60,COLUMN()-29))),0)</f>
        <v>0</v>
      </c>
      <c r="DE560" s="112" t="n">
        <f aca="true">IFERROR(SUMPRODUCT(OFFSET($BJ$31,0,1-MIN(60,COLUMN()-29),1,MIN(60,COLUMN()-29)),OFFSET(DE559,0,-MIN(60,COLUMN()-29),1,MIN(60,COLUMN()-29))),0)</f>
        <v>0</v>
      </c>
      <c r="DF560" s="112" t="n">
        <f aca="true">IFERROR(SUMPRODUCT(OFFSET($BJ$31,0,1-MIN(60,COLUMN()-29),1,MIN(60,COLUMN()-29)),OFFSET(DF559,0,-MIN(60,COLUMN()-29),1,MIN(60,COLUMN()-29))),0)</f>
        <v>0</v>
      </c>
      <c r="DG560" s="112" t="n">
        <f aca="true">IFERROR(SUMPRODUCT(OFFSET($BJ$31,0,1-MIN(60,COLUMN()-29),1,MIN(60,COLUMN()-29)),OFFSET(DG559,0,-MIN(60,COLUMN()-29),1,MIN(60,COLUMN()-29))),0)</f>
        <v>0</v>
      </c>
      <c r="DH560" s="112" t="n">
        <f aca="true">IFERROR(SUMPRODUCT(OFFSET($BJ$31,0,1-MIN(60,COLUMN()-29),1,MIN(60,COLUMN()-29)),OFFSET(DH559,0,-MIN(60,COLUMN()-29),1,MIN(60,COLUMN()-29))),0)</f>
        <v>0</v>
      </c>
      <c r="DI560" s="112" t="n">
        <f aca="true">IFERROR(SUMPRODUCT(OFFSET($BJ$31,0,1-MIN(60,COLUMN()-29),1,MIN(60,COLUMN()-29)),OFFSET(DI559,0,-MIN(60,COLUMN()-29),1,MIN(60,COLUMN()-29))),0)</f>
        <v>0</v>
      </c>
      <c r="DJ560" s="112" t="n">
        <f aca="true">IFERROR(SUMPRODUCT(OFFSET($BJ$31,0,1-MIN(60,COLUMN()-29),1,MIN(60,COLUMN()-29)),OFFSET(DJ559,0,-MIN(60,COLUMN()-29),1,MIN(60,COLUMN()-29))),0)</f>
        <v>0</v>
      </c>
      <c r="DK560" s="112" t="n">
        <f aca="true">IFERROR(SUMPRODUCT(OFFSET($BJ$31,0,1-MIN(60,COLUMN()-29),1,MIN(60,COLUMN()-29)),OFFSET(DK559,0,-MIN(60,COLUMN()-29),1,MIN(60,COLUMN()-29))),0)</f>
        <v>0</v>
      </c>
      <c r="DL560" s="112" t="n">
        <f aca="true">IFERROR(SUMPRODUCT(OFFSET($BJ$31,0,1-MIN(60,COLUMN()-29),1,MIN(60,COLUMN()-29)),OFFSET(DL559,0,-MIN(60,COLUMN()-29),1,MIN(60,COLUMN()-29))),0)</f>
        <v>0</v>
      </c>
      <c r="DM560" s="112" t="n">
        <f aca="true">IFERROR(SUMPRODUCT(OFFSET($BJ$31,0,1-MIN(60,COLUMN()-29),1,MIN(60,COLUMN()-29)),OFFSET(DM559,0,-MIN(60,COLUMN()-29),1,MIN(60,COLUMN()-29))),0)</f>
        <v>0</v>
      </c>
      <c r="DN560" s="112" t="n">
        <f aca="true">IFERROR(SUMPRODUCT(OFFSET($BJ$31,0,1-MIN(60,COLUMN()-29),1,MIN(60,COLUMN()-29)),OFFSET(DN559,0,-MIN(60,COLUMN()-29),1,MIN(60,COLUMN()-29))),0)</f>
        <v>0</v>
      </c>
      <c r="DO560" s="112" t="n">
        <f aca="true">IFERROR(SUMPRODUCT(OFFSET($BJ$31,0,1-MIN(60,COLUMN()-29),1,MIN(60,COLUMN()-29)),OFFSET(DO559,0,-MIN(60,COLUMN()-29),1,MIN(60,COLUMN()-29))),0)</f>
        <v>0</v>
      </c>
      <c r="DP560" s="112" t="n">
        <f aca="true">IFERROR(SUMPRODUCT(OFFSET($BJ$31,0,1-MIN(60,COLUMN()-29),1,MIN(60,COLUMN()-29)),OFFSET(DP559,0,-MIN(60,COLUMN()-29),1,MIN(60,COLUMN()-29))),0)</f>
        <v>0</v>
      </c>
      <c r="DQ560" s="112" t="n">
        <f aca="true">IFERROR(SUMPRODUCT(OFFSET($BJ$31,0,1-MIN(60,COLUMN()-29),1,MIN(60,COLUMN()-29)),OFFSET(DQ559,0,-MIN(60,COLUMN()-29),1,MIN(60,COLUMN()-29))),0)</f>
        <v>0</v>
      </c>
      <c r="DR560" s="112" t="n">
        <f aca="true">IFERROR(SUMPRODUCT(OFFSET($BJ$31,0,1-MIN(60,COLUMN()-29),1,MIN(60,COLUMN()-29)),OFFSET(DR559,0,-MIN(60,COLUMN()-29),1,MIN(60,COLUMN()-29))),0)</f>
        <v>0</v>
      </c>
      <c r="DS560" s="112" t="n">
        <f aca="true">IFERROR(SUMPRODUCT(OFFSET($BJ$31,0,1-MIN(60,COLUMN()-29),1,MIN(60,COLUMN()-29)),OFFSET(DS559,0,-MIN(60,COLUMN()-29),1,MIN(60,COLUMN()-29))),0)</f>
        <v>0</v>
      </c>
      <c r="DT560" s="112" t="n">
        <f aca="true">IFERROR(SUMPRODUCT(OFFSET($BJ$31,0,1-MIN(60,COLUMN()-29),1,MIN(60,COLUMN()-29)),OFFSET(DT559,0,-MIN(60,COLUMN()-29),1,MIN(60,COLUMN()-29))),0)</f>
        <v>0</v>
      </c>
      <c r="DU560" s="112" t="n">
        <f aca="true">IFERROR(SUMPRODUCT(OFFSET($BJ$31,0,1-MIN(60,COLUMN()-29),1,MIN(60,COLUMN()-29)),OFFSET(DU559,0,-MIN(60,COLUMN()-29),1,MIN(60,COLUMN()-29))),0)</f>
        <v>0</v>
      </c>
      <c r="DV560" s="112" t="n">
        <f aca="true">IFERROR(SUMPRODUCT(OFFSET($BJ$31,0,1-MIN(60,COLUMN()-29),1,MIN(60,COLUMN()-29)),OFFSET(DV559,0,-MIN(60,COLUMN()-29),1,MIN(60,COLUMN()-29))),0)</f>
        <v>0</v>
      </c>
      <c r="DW560" s="112" t="n">
        <f aca="true">IFERROR(SUMPRODUCT(OFFSET($BJ$31,0,1-MIN(60,COLUMN()-29),1,MIN(60,COLUMN()-29)),OFFSET(DW559,0,-MIN(60,COLUMN()-29),1,MIN(60,COLUMN()-29))),0)</f>
        <v>0</v>
      </c>
      <c r="DX560" s="112" t="n">
        <f aca="true">IFERROR(SUMPRODUCT(OFFSET($BJ$31,0,1-MIN(60,COLUMN()-29),1,MIN(60,COLUMN()-29)),OFFSET(DX559,0,-MIN(60,COLUMN()-29),1,MIN(60,COLUMN()-29))),0)</f>
        <v>0</v>
      </c>
      <c r="DY560" s="112" t="n">
        <f aca="true">IFERROR(SUMPRODUCT(OFFSET($BJ$31,0,1-MIN(60,COLUMN()-29),1,MIN(60,COLUMN()-29)),OFFSET(DY559,0,-MIN(60,COLUMN()-29),1,MIN(60,COLUMN()-29))),0)</f>
        <v>0</v>
      </c>
      <c r="DZ560" s="112" t="n">
        <f aca="true">IFERROR(SUMPRODUCT(OFFSET($BJ$31,0,1-MIN(60,COLUMN()-29),1,MIN(60,COLUMN()-29)),OFFSET(DZ559,0,-MIN(60,COLUMN()-29),1,MIN(60,COLUMN()-29))),0)</f>
        <v>0</v>
      </c>
      <c r="EA560" s="112" t="n">
        <f aca="true">IFERROR(SUMPRODUCT(OFFSET($BJ$31,0,1-MIN(60,COLUMN()-29),1,MIN(60,COLUMN()-29)),OFFSET(EA559,0,-MIN(60,COLUMN()-29),1,MIN(60,COLUMN()-29))),0)</f>
        <v>0</v>
      </c>
      <c r="EB560" s="112" t="n">
        <f aca="true">IFERROR(SUMPRODUCT(OFFSET($BJ$31,0,1-MIN(60,COLUMN()-29),1,MIN(60,COLUMN()-29)),OFFSET(EB559,0,-MIN(60,COLUMN()-29),1,MIN(60,COLUMN()-29))),0)</f>
        <v>0</v>
      </c>
      <c r="EC560" s="112" t="n">
        <f aca="true">IFERROR(SUMPRODUCT(OFFSET($BJ$31,0,1-MIN(60,COLUMN()-29),1,MIN(60,COLUMN()-29)),OFFSET(EC559,0,-MIN(60,COLUMN()-29),1,MIN(60,COLUMN()-29))),0)</f>
        <v>0</v>
      </c>
      <c r="ED560" s="112" t="n">
        <f aca="true">IFERROR(SUMPRODUCT(OFFSET($BJ$31,0,1-MIN(60,COLUMN()-29),1,MIN(60,COLUMN()-29)),OFFSET(ED559,0,-MIN(60,COLUMN()-29),1,MIN(60,COLUMN()-29))),0)</f>
        <v>0</v>
      </c>
      <c r="EE560" s="112" t="n">
        <f aca="true">IFERROR(SUMPRODUCT(OFFSET($BJ$31,0,1-MIN(60,COLUMN()-29),1,MIN(60,COLUMN()-29)),OFFSET(EE559,0,-MIN(60,COLUMN()-29),1,MIN(60,COLUMN()-29))),0)</f>
        <v>0</v>
      </c>
      <c r="EF560" s="112" t="n">
        <f aca="true">IFERROR(SUMPRODUCT(OFFSET($BJ$31,0,1-MIN(60,COLUMN()-29),1,MIN(60,COLUMN()-29)),OFFSET(EF559,0,-MIN(60,COLUMN()-29),1,MIN(60,COLUMN()-29))),0)</f>
        <v>0</v>
      </c>
      <c r="EG560" s="112" t="n">
        <f aca="true">IFERROR(SUMPRODUCT(OFFSET($BJ$31,0,1-MIN(60,COLUMN()-29),1,MIN(60,COLUMN()-29)),OFFSET(EG559,0,-MIN(60,COLUMN()-29),1,MIN(60,COLUMN()-29))),0)</f>
        <v>0</v>
      </c>
      <c r="EH560" s="112" t="n">
        <f aca="true">IFERROR(SUMPRODUCT(OFFSET($BJ$31,0,1-MIN(60,COLUMN()-29),1,MIN(60,COLUMN()-29)),OFFSET(EH559,0,-MIN(60,COLUMN()-29),1,MIN(60,COLUMN()-29))),0)</f>
        <v>0</v>
      </c>
      <c r="EI560" s="112" t="n">
        <f aca="true">IFERROR(SUMPRODUCT(OFFSET($BJ$31,0,1-MIN(60,COLUMN()-29),1,MIN(60,COLUMN()-29)),OFFSET(EI559,0,-MIN(60,COLUMN()-29),1,MIN(60,COLUMN()-29))),0)</f>
        <v>0</v>
      </c>
      <c r="EJ560" s="112" t="n">
        <f aca="true">IFERROR(SUMPRODUCT(OFFSET($BJ$31,0,1-MIN(60,COLUMN()-29),1,MIN(60,COLUMN()-29)),OFFSET(EJ559,0,-MIN(60,COLUMN()-29),1,MIN(60,COLUMN()-29))),0)</f>
        <v>0</v>
      </c>
      <c r="EK560" s="112" t="n">
        <f aca="true">IFERROR(SUMPRODUCT(OFFSET($BJ$31,0,1-MIN(60,COLUMN()-29),1,MIN(60,COLUMN()-29)),OFFSET(EK559,0,-MIN(60,COLUMN()-29),1,MIN(60,COLUMN()-29))),0)</f>
        <v>0</v>
      </c>
      <c r="EL560" s="112" t="n">
        <f aca="true">IFERROR(SUMPRODUCT(OFFSET($BJ$31,0,1-MIN(60,COLUMN()-29),1,MIN(60,COLUMN()-29)),OFFSET(EL559,0,-MIN(60,COLUMN()-29),1,MIN(60,COLUMN()-29))),0)</f>
        <v>0</v>
      </c>
      <c r="EM560" s="112" t="n">
        <f aca="true">IFERROR(SUMPRODUCT(OFFSET($BJ$31,0,1-MIN(60,COLUMN()-29),1,MIN(60,COLUMN()-29)),OFFSET(EM559,0,-MIN(60,COLUMN()-29),1,MIN(60,COLUMN()-29))),0)</f>
        <v>0</v>
      </c>
      <c r="EN560" s="112" t="n">
        <f aca="true">IFERROR(SUMPRODUCT(OFFSET($BJ$31,0,1-MIN(60,COLUMN()-29),1,MIN(60,COLUMN()-29)),OFFSET(EN559,0,-MIN(60,COLUMN()-29),1,MIN(60,COLUMN()-29))),0)</f>
        <v>0</v>
      </c>
      <c r="EO560" s="112" t="n">
        <f aca="true">IFERROR(SUMPRODUCT(OFFSET($BJ$31,0,1-MIN(60,COLUMN()-29),1,MIN(60,COLUMN()-29)),OFFSET(EO559,0,-MIN(60,COLUMN()-29),1,MIN(60,COLUMN()-29))),0)</f>
        <v>0</v>
      </c>
      <c r="EP560" s="112" t="n">
        <f aca="true">IFERROR(SUMPRODUCT(OFFSET($BJ$31,0,1-MIN(60,COLUMN()-29),1,MIN(60,COLUMN()-29)),OFFSET(EP559,0,-MIN(60,COLUMN()-29),1,MIN(60,COLUMN()-29))),0)</f>
        <v>0</v>
      </c>
      <c r="EQ560" s="112" t="n">
        <f aca="true">IFERROR(SUMPRODUCT(OFFSET($BJ$31,0,1-MIN(60,COLUMN()-29),1,MIN(60,COLUMN()-29)),OFFSET(EQ559,0,-MIN(60,COLUMN()-29),1,MIN(60,COLUMN()-29))),0)</f>
        <v>0</v>
      </c>
      <c r="ER560" s="112" t="n">
        <f aca="true">IFERROR(SUMPRODUCT(OFFSET($BJ$31,0,1-MIN(60,COLUMN()-29),1,MIN(60,COLUMN()-29)),OFFSET(ER559,0,-MIN(60,COLUMN()-29),1,MIN(60,COLUMN()-29))),0)</f>
        <v>0</v>
      </c>
      <c r="ES560" s="9" t="n">
        <f aca="true">IFERROR(SUMPRODUCT(OFFSET($BJ$31,0,1-MIN(60,COLUMN()-29),1,MIN(60,COLUMN()-29)),OFFSET(ES559,0,-MIN(60,COLUMN()-29),1,MIN(60,COLUMN()-29))),0)</f>
        <v>0</v>
      </c>
      <c r="ET560" s="9" t="n">
        <f aca="true">IFERROR(SUMPRODUCT(OFFSET($BJ$31,0,1-MIN(60,COLUMN()-29),1,MIN(60,COLUMN()-29)),OFFSET(ET559,0,-MIN(60,COLUMN()-29),1,MIN(60,COLUMN()-29))),0)</f>
        <v>0</v>
      </c>
      <c r="EU560" s="9" t="n">
        <f aca="true">IFERROR(SUMPRODUCT(OFFSET($BJ$31,0,1-MIN(60,COLUMN()-29),1,MIN(60,COLUMN()-29)),OFFSET(EU559,0,-MIN(60,COLUMN()-29),1,MIN(60,COLUMN()-29))),0)</f>
        <v>0</v>
      </c>
      <c r="EV560" s="9" t="n">
        <f aca="true">IFERROR(SUMPRODUCT(OFFSET($BJ$31,0,1-MIN(60,COLUMN()-29),1,MIN(60,COLUMN()-29)),OFFSET(EV559,0,-MIN(60,COLUMN()-29),1,MIN(60,COLUMN()-29))),0)</f>
        <v>0</v>
      </c>
      <c r="EW560" s="9" t="n">
        <f aca="true">IFERROR(SUMPRODUCT(OFFSET($BJ$31,0,1-MIN(60,COLUMN()-29),1,MIN(60,COLUMN()-29)),OFFSET(EW559,0,-MIN(60,COLUMN()-29),1,MIN(60,COLUMN()-29))),0)</f>
        <v>0</v>
      </c>
      <c r="EX560" s="9" t="n">
        <f aca="true">IFERROR(SUMPRODUCT(OFFSET($BJ$31,0,1-MIN(60,COLUMN()-29),1,MIN(60,COLUMN()-29)),OFFSET(EX559,0,-MIN(60,COLUMN()-29),1,MIN(60,COLUMN()-29))),0)</f>
        <v>0</v>
      </c>
      <c r="EY560" s="9" t="n">
        <f aca="true">IFERROR(SUMPRODUCT(OFFSET($BJ$31,0,1-MIN(60,COLUMN()-29),1,MIN(60,COLUMN()-29)),OFFSET(EY559,0,-MIN(60,COLUMN()-29),1,MIN(60,COLUMN()-29))),0)</f>
        <v>0</v>
      </c>
      <c r="EZ560" s="9" t="n">
        <f aca="true">IFERROR(SUMPRODUCT(OFFSET($BJ$31,0,1-MIN(60,COLUMN()-29),1,MIN(60,COLUMN()-29)),OFFSET(EZ559,0,-MIN(60,COLUMN()-29),1,MIN(60,COLUMN()-29))),0)</f>
        <v>0</v>
      </c>
      <c r="FA560" s="9" t="n">
        <f aca="true">IFERROR(SUMPRODUCT(OFFSET($BJ$31,0,1-MIN(60,COLUMN()-29),1,MIN(60,COLUMN()-29)),OFFSET(FA559,0,-MIN(60,COLUMN()-29),1,MIN(60,COLUMN()-29))),0)</f>
        <v>0</v>
      </c>
      <c r="FB560" s="9" t="n">
        <f aca="true">IFERROR(SUMPRODUCT(OFFSET($BJ$31,0,1-MIN(60,COLUMN()-29),1,MIN(60,COLUMN()-29)),OFFSET(FB559,0,-MIN(60,COLUMN()-29),1,MIN(60,COLUMN()-29))),0)</f>
        <v>0</v>
      </c>
      <c r="FC560" s="9" t="n">
        <f aca="true">IFERROR(SUMPRODUCT(OFFSET($BJ$31,0,1-MIN(60,COLUMN()-29),1,MIN(60,COLUMN()-29)),OFFSET(FC559,0,-MIN(60,COLUMN()-29),1,MIN(60,COLUMN()-29))),0)</f>
        <v>0</v>
      </c>
      <c r="FD560" s="9" t="n">
        <f aca="true">IFERROR(SUMPRODUCT(OFFSET($BJ$31,0,1-MIN(60,COLUMN()-29),1,MIN(60,COLUMN()-29)),OFFSET(FD559,0,-MIN(60,COLUMN()-29),1,MIN(60,COLUMN()-29))),0)</f>
        <v>0</v>
      </c>
      <c r="FE560" s="9" t="n">
        <f aca="true">IFERROR(SUMPRODUCT(OFFSET($BJ$31,0,1-MIN(60,COLUMN()-29),1,MIN(60,COLUMN()-29)),OFFSET(FE559,0,-MIN(60,COLUMN()-29),1,MIN(60,COLUMN()-29))),0)</f>
        <v>0</v>
      </c>
      <c r="FF560" s="9" t="n">
        <f aca="true">IFERROR(SUMPRODUCT(OFFSET($BJ$31,0,1-MIN(60,COLUMN()-29),1,MIN(60,COLUMN()-29)),OFFSET(FF559,0,-MIN(60,COLUMN()-29),1,MIN(60,COLUMN()-29))),0)</f>
        <v>0</v>
      </c>
      <c r="FG560" s="9" t="n">
        <f aca="true">IFERROR(SUMPRODUCT(OFFSET($BJ$31,0,1-MIN(60,COLUMN()-29),1,MIN(60,COLUMN()-29)),OFFSET(FG559,0,-MIN(60,COLUMN()-29),1,MIN(60,COLUMN()-29))),0)</f>
        <v>0</v>
      </c>
      <c r="FH560" s="9" t="n">
        <f aca="true">IFERROR(SUMPRODUCT(OFFSET($BJ$31,0,1-MIN(60,COLUMN()-29),1,MIN(60,COLUMN()-29)),OFFSET(FH559,0,-MIN(60,COLUMN()-29),1,MIN(60,COLUMN()-29))),0)</f>
        <v>0</v>
      </c>
      <c r="FI560" s="9" t="n">
        <f aca="true">IFERROR(SUMPRODUCT(OFFSET($BJ$31,0,1-MIN(60,COLUMN()-29),1,MIN(60,COLUMN()-29)),OFFSET(FI559,0,-MIN(60,COLUMN()-29),1,MIN(60,COLUMN()-29))),0)</f>
        <v>0</v>
      </c>
      <c r="FJ560" s="9" t="n">
        <f aca="true">IFERROR(SUMPRODUCT(OFFSET($BJ$31,0,1-MIN(60,COLUMN()-29),1,MIN(60,COLUMN()-29)),OFFSET(FJ559,0,-MIN(60,COLUMN()-29),1,MIN(60,COLUMN()-29))),0)</f>
        <v>0</v>
      </c>
      <c r="FK560" s="9" t="n">
        <f aca="true">IFERROR(SUMPRODUCT(OFFSET($BJ$31,0,1-MIN(60,COLUMN()-29),1,MIN(60,COLUMN()-29)),OFFSET(FK559,0,-MIN(60,COLUMN()-29),1,MIN(60,COLUMN()-29))),0)</f>
        <v>0</v>
      </c>
      <c r="FL560" s="9" t="n">
        <f aca="true">IFERROR(SUMPRODUCT(OFFSET($BJ$31,0,1-MIN(60,COLUMN()-29),1,MIN(60,COLUMN()-29)),OFFSET(FL559,0,-MIN(60,COLUMN()-29),1,MIN(60,COLUMN()-29))),0)</f>
        <v>0</v>
      </c>
      <c r="FM560" s="9" t="n">
        <f aca="true">IFERROR(SUMPRODUCT(OFFSET($BJ$31,0,1-MIN(60,COLUMN()-29),1,MIN(60,COLUMN()-29)),OFFSET(FM559,0,-MIN(60,COLUMN()-29),1,MIN(60,COLUMN()-29))),0)</f>
        <v>0</v>
      </c>
      <c r="FN560" s="9" t="n">
        <f aca="true">IFERROR(SUMPRODUCT(OFFSET($BJ$31,0,1-MIN(60,COLUMN()-29),1,MIN(60,COLUMN()-29)),OFFSET(FN559,0,-MIN(60,COLUMN()-29),1,MIN(60,COLUMN()-29))),0)</f>
        <v>0</v>
      </c>
      <c r="FO560" s="9" t="n">
        <f aca="true">IFERROR(SUMPRODUCT(OFFSET($BJ$31,0,1-MIN(60,COLUMN()-29),1,MIN(60,COLUMN()-29)),OFFSET(FO559,0,-MIN(60,COLUMN()-29),1,MIN(60,COLUMN()-29))),0)</f>
        <v>0</v>
      </c>
      <c r="FP560" s="9" t="n">
        <f aca="true">IFERROR(SUMPRODUCT(OFFSET($BJ$31,0,1-MIN(60,COLUMN()-29),1,MIN(60,COLUMN()-29)),OFFSET(FP559,0,-MIN(60,COLUMN()-29),1,MIN(60,COLUMN()-29))),0)</f>
        <v>0</v>
      </c>
    </row>
    <row r="561" customFormat="false" ht="15" hidden="false" customHeight="false" outlineLevel="2" collapsed="false">
      <c r="B561" s="90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237"/>
      <c r="AD561" s="237"/>
      <c r="AE561" s="237"/>
      <c r="AF561" s="237"/>
      <c r="AG561" s="237"/>
      <c r="AH561" s="237"/>
      <c r="AI561" s="237"/>
      <c r="AJ561" s="237"/>
      <c r="AK561" s="237"/>
      <c r="AL561" s="237"/>
      <c r="AM561" s="237"/>
      <c r="AN561" s="237"/>
      <c r="AO561" s="237"/>
      <c r="AP561" s="237"/>
      <c r="AQ561" s="237"/>
      <c r="AR561" s="237"/>
      <c r="AS561" s="237"/>
      <c r="AT561" s="237"/>
      <c r="AU561" s="237"/>
      <c r="AV561" s="237"/>
      <c r="AW561" s="237"/>
      <c r="AX561" s="237"/>
      <c r="AY561" s="237"/>
      <c r="AZ561" s="237"/>
      <c r="BA561" s="237"/>
      <c r="BB561" s="237"/>
      <c r="BC561" s="237"/>
      <c r="BD561" s="237"/>
      <c r="BE561" s="237"/>
      <c r="BF561" s="237"/>
      <c r="BG561" s="237"/>
      <c r="BH561" s="237"/>
      <c r="BI561" s="237"/>
      <c r="BJ561" s="237"/>
      <c r="BK561" s="237"/>
      <c r="BL561" s="237"/>
      <c r="BM561" s="237"/>
      <c r="BN561" s="237"/>
      <c r="BO561" s="237"/>
      <c r="BP561" s="237"/>
      <c r="BQ561" s="237"/>
      <c r="BR561" s="237"/>
      <c r="BS561" s="237"/>
      <c r="BT561" s="237"/>
      <c r="BU561" s="237"/>
      <c r="BV561" s="237"/>
      <c r="BW561" s="237"/>
      <c r="BX561" s="237"/>
      <c r="BY561" s="237"/>
      <c r="BZ561" s="237"/>
      <c r="CA561" s="237"/>
      <c r="CB561" s="237"/>
      <c r="CC561" s="237"/>
      <c r="CD561" s="237"/>
      <c r="CE561" s="237"/>
      <c r="CF561" s="237"/>
      <c r="CG561" s="237"/>
      <c r="CH561" s="237"/>
      <c r="CI561" s="237"/>
      <c r="CJ561" s="237"/>
      <c r="CK561" s="237"/>
      <c r="CL561" s="237"/>
      <c r="CM561" s="237"/>
      <c r="CN561" s="237"/>
      <c r="CO561" s="237"/>
      <c r="CP561" s="237"/>
      <c r="CQ561" s="237"/>
      <c r="CR561" s="237"/>
      <c r="CS561" s="237"/>
      <c r="CT561" s="237"/>
      <c r="CU561" s="237"/>
      <c r="CV561" s="237"/>
      <c r="CW561" s="237"/>
      <c r="CX561" s="237"/>
      <c r="CY561" s="237"/>
      <c r="CZ561" s="237"/>
      <c r="DA561" s="237"/>
      <c r="DB561" s="237"/>
      <c r="DC561" s="237"/>
      <c r="DD561" s="237"/>
      <c r="DE561" s="237"/>
      <c r="DF561" s="237"/>
      <c r="DG561" s="237"/>
      <c r="DH561" s="237"/>
      <c r="DI561" s="237"/>
      <c r="DJ561" s="237"/>
      <c r="DK561" s="237"/>
      <c r="DL561" s="237"/>
      <c r="DM561" s="237"/>
      <c r="DN561" s="237"/>
      <c r="DO561" s="237"/>
      <c r="DP561" s="237"/>
      <c r="DQ561" s="237"/>
      <c r="DR561" s="237"/>
      <c r="DS561" s="237"/>
      <c r="DT561" s="237"/>
      <c r="DU561" s="237"/>
      <c r="DV561" s="237"/>
      <c r="DW561" s="237"/>
      <c r="DX561" s="237"/>
      <c r="DY561" s="237"/>
      <c r="DZ561" s="237"/>
      <c r="EA561" s="237"/>
      <c r="EB561" s="237"/>
      <c r="EC561" s="237"/>
      <c r="ED561" s="237"/>
      <c r="EE561" s="237"/>
      <c r="EF561" s="237"/>
      <c r="EG561" s="237"/>
      <c r="EH561" s="237"/>
      <c r="EI561" s="237"/>
      <c r="EJ561" s="237"/>
      <c r="EK561" s="237"/>
      <c r="EL561" s="237"/>
      <c r="EM561" s="237"/>
      <c r="EN561" s="237"/>
      <c r="EO561" s="237"/>
      <c r="EP561" s="237"/>
      <c r="EQ561" s="237"/>
      <c r="ER561" s="237"/>
      <c r="ES561" s="9"/>
      <c r="ET561" s="9"/>
      <c r="EU561" s="9"/>
      <c r="EV561" s="9"/>
      <c r="EW561" s="9"/>
      <c r="EX561" s="9"/>
      <c r="EY561" s="9"/>
      <c r="EZ561" s="9"/>
      <c r="FA561" s="9"/>
      <c r="FB561" s="9"/>
      <c r="FC561" s="9"/>
      <c r="FD561" s="9"/>
      <c r="FE561" s="9"/>
      <c r="FF561" s="9"/>
      <c r="FG561" s="9"/>
      <c r="FH561" s="9"/>
      <c r="FI561" s="9"/>
      <c r="FJ561" s="9"/>
      <c r="FK561" s="9"/>
      <c r="FL561" s="9"/>
      <c r="FM561" s="9"/>
      <c r="FN561" s="9"/>
      <c r="FO561" s="9"/>
      <c r="FP561" s="9"/>
    </row>
    <row r="562" customFormat="false" ht="15" hidden="false" customHeight="false" outlineLevel="2" collapsed="false">
      <c r="B562" s="240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237"/>
      <c r="AD562" s="237"/>
      <c r="AE562" s="237"/>
      <c r="AF562" s="237"/>
      <c r="AG562" s="237"/>
      <c r="AH562" s="237"/>
      <c r="AI562" s="237"/>
      <c r="AJ562" s="237"/>
      <c r="AK562" s="237"/>
      <c r="AL562" s="237"/>
      <c r="AM562" s="237"/>
      <c r="AN562" s="237"/>
      <c r="AO562" s="237"/>
      <c r="AP562" s="237"/>
      <c r="AQ562" s="237"/>
      <c r="AR562" s="237"/>
      <c r="AS562" s="237"/>
      <c r="AT562" s="237"/>
      <c r="AU562" s="237"/>
      <c r="AV562" s="237"/>
      <c r="AW562" s="237"/>
      <c r="AX562" s="237"/>
      <c r="AY562" s="237"/>
      <c r="AZ562" s="237"/>
      <c r="BA562" s="237"/>
      <c r="BB562" s="237"/>
      <c r="BC562" s="237"/>
      <c r="BD562" s="237"/>
      <c r="BE562" s="237"/>
      <c r="BF562" s="237"/>
      <c r="BG562" s="237"/>
      <c r="BH562" s="237"/>
      <c r="BI562" s="237"/>
      <c r="BJ562" s="237"/>
      <c r="BK562" s="237"/>
      <c r="BL562" s="237"/>
      <c r="BM562" s="237"/>
      <c r="BN562" s="237"/>
      <c r="BO562" s="237"/>
      <c r="BP562" s="237"/>
      <c r="BQ562" s="237"/>
      <c r="BR562" s="237"/>
      <c r="BS562" s="237"/>
      <c r="BT562" s="237"/>
      <c r="BU562" s="237"/>
      <c r="BV562" s="237"/>
      <c r="BW562" s="237"/>
      <c r="BX562" s="237"/>
      <c r="BY562" s="237"/>
      <c r="BZ562" s="237"/>
      <c r="CA562" s="237"/>
      <c r="CB562" s="237"/>
      <c r="CC562" s="237"/>
      <c r="CD562" s="237"/>
      <c r="CE562" s="237"/>
      <c r="CF562" s="237"/>
      <c r="CG562" s="237"/>
      <c r="CH562" s="237"/>
      <c r="CI562" s="237"/>
      <c r="CJ562" s="237"/>
      <c r="CK562" s="237"/>
      <c r="CL562" s="237"/>
      <c r="CM562" s="237"/>
      <c r="CN562" s="237"/>
      <c r="CO562" s="237"/>
      <c r="CP562" s="237"/>
      <c r="CQ562" s="237"/>
      <c r="CR562" s="237"/>
      <c r="CS562" s="237"/>
      <c r="CT562" s="237"/>
      <c r="CU562" s="237"/>
      <c r="CV562" s="237"/>
      <c r="CW562" s="237"/>
      <c r="CX562" s="237"/>
      <c r="CY562" s="237"/>
      <c r="CZ562" s="237"/>
      <c r="DA562" s="237"/>
      <c r="DB562" s="237"/>
      <c r="DC562" s="237"/>
      <c r="DD562" s="237"/>
      <c r="DE562" s="237"/>
      <c r="DF562" s="237"/>
      <c r="DG562" s="237"/>
      <c r="DH562" s="237"/>
      <c r="DI562" s="237"/>
      <c r="DJ562" s="237"/>
      <c r="DK562" s="237"/>
      <c r="DL562" s="237"/>
      <c r="DM562" s="237"/>
      <c r="DN562" s="237"/>
      <c r="DO562" s="237"/>
      <c r="DP562" s="237"/>
      <c r="DQ562" s="237"/>
      <c r="DR562" s="237"/>
      <c r="DS562" s="237"/>
      <c r="DT562" s="237"/>
      <c r="DU562" s="237"/>
      <c r="DV562" s="237"/>
      <c r="DW562" s="237"/>
      <c r="DX562" s="237"/>
      <c r="DY562" s="237"/>
      <c r="DZ562" s="237"/>
      <c r="EA562" s="237"/>
      <c r="EB562" s="237"/>
      <c r="EC562" s="237"/>
      <c r="ED562" s="237"/>
      <c r="EE562" s="237"/>
      <c r="EF562" s="237"/>
      <c r="EG562" s="237"/>
      <c r="EH562" s="237"/>
      <c r="EI562" s="237"/>
      <c r="EJ562" s="237"/>
      <c r="EK562" s="237"/>
      <c r="EL562" s="237"/>
      <c r="EM562" s="237"/>
      <c r="EN562" s="237"/>
      <c r="EO562" s="237"/>
      <c r="EP562" s="237"/>
      <c r="EQ562" s="237"/>
      <c r="ER562" s="237"/>
      <c r="ES562" s="9"/>
      <c r="ET562" s="9"/>
      <c r="EU562" s="9"/>
      <c r="EV562" s="9"/>
      <c r="EW562" s="9"/>
      <c r="EX562" s="9"/>
      <c r="EY562" s="9"/>
      <c r="EZ562" s="9"/>
      <c r="FA562" s="9"/>
      <c r="FB562" s="9"/>
      <c r="FC562" s="9"/>
      <c r="FD562" s="9"/>
      <c r="FE562" s="9"/>
      <c r="FF562" s="9"/>
      <c r="FG562" s="9"/>
      <c r="FH562" s="9"/>
      <c r="FI562" s="9"/>
      <c r="FJ562" s="9"/>
      <c r="FK562" s="9"/>
      <c r="FL562" s="9"/>
      <c r="FM562" s="9"/>
      <c r="FN562" s="9"/>
      <c r="FO562" s="9"/>
      <c r="FP562" s="9"/>
    </row>
    <row r="563" customFormat="false" ht="15" hidden="false" customHeight="false" outlineLevel="2" collapsed="false">
      <c r="B563" s="21" t="s">
        <v>929</v>
      </c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  <c r="BL563" s="21"/>
      <c r="BM563" s="21"/>
      <c r="BN563" s="21"/>
      <c r="BO563" s="21"/>
      <c r="BP563" s="21"/>
      <c r="BQ563" s="21"/>
      <c r="BR563" s="21"/>
      <c r="BS563" s="21"/>
      <c r="BT563" s="21"/>
      <c r="BU563" s="21"/>
      <c r="BV563" s="21"/>
      <c r="BW563" s="21"/>
      <c r="BX563" s="21"/>
      <c r="BY563" s="21"/>
      <c r="BZ563" s="21"/>
      <c r="CA563" s="21"/>
      <c r="CB563" s="21"/>
      <c r="CC563" s="21"/>
      <c r="CD563" s="21"/>
      <c r="CE563" s="21"/>
      <c r="CF563" s="21"/>
      <c r="CG563" s="21"/>
      <c r="CH563" s="21"/>
      <c r="CI563" s="21"/>
      <c r="CJ563" s="21"/>
      <c r="CK563" s="21"/>
      <c r="CL563" s="21"/>
      <c r="CM563" s="21"/>
      <c r="CN563" s="21"/>
      <c r="CO563" s="21"/>
      <c r="CP563" s="21"/>
      <c r="CQ563" s="21"/>
      <c r="CR563" s="21"/>
      <c r="CS563" s="21"/>
      <c r="CT563" s="21"/>
      <c r="CU563" s="21"/>
      <c r="CV563" s="21"/>
      <c r="CW563" s="21"/>
      <c r="CX563" s="21"/>
      <c r="CY563" s="21"/>
      <c r="CZ563" s="21"/>
      <c r="DA563" s="21"/>
      <c r="DB563" s="21"/>
      <c r="DC563" s="21"/>
      <c r="DD563" s="21"/>
      <c r="DE563" s="21"/>
      <c r="DF563" s="21"/>
      <c r="DG563" s="21"/>
      <c r="DH563" s="21"/>
      <c r="DI563" s="21"/>
      <c r="DJ563" s="21"/>
      <c r="DK563" s="21"/>
      <c r="DL563" s="21"/>
      <c r="DM563" s="21"/>
      <c r="DN563" s="21"/>
      <c r="DO563" s="21"/>
      <c r="DP563" s="21"/>
      <c r="DQ563" s="21"/>
      <c r="DR563" s="21"/>
      <c r="DS563" s="21"/>
      <c r="DT563" s="21"/>
      <c r="DU563" s="21"/>
      <c r="DV563" s="21"/>
      <c r="DW563" s="21"/>
      <c r="DX563" s="21"/>
      <c r="DY563" s="21"/>
      <c r="DZ563" s="21"/>
      <c r="EA563" s="21"/>
      <c r="EB563" s="21"/>
      <c r="EC563" s="21"/>
      <c r="ED563" s="21"/>
      <c r="EE563" s="21"/>
      <c r="EF563" s="21"/>
      <c r="EG563" s="21"/>
      <c r="EH563" s="21"/>
      <c r="EI563" s="21"/>
      <c r="EJ563" s="21"/>
      <c r="EK563" s="21"/>
      <c r="EL563" s="21"/>
      <c r="EM563" s="21"/>
      <c r="EN563" s="21"/>
      <c r="EO563" s="21"/>
      <c r="EP563" s="21"/>
      <c r="EQ563" s="21"/>
      <c r="ER563" s="21"/>
      <c r="ES563" s="9"/>
      <c r="ET563" s="9"/>
      <c r="EU563" s="9"/>
      <c r="EV563" s="9"/>
      <c r="EW563" s="9"/>
      <c r="EX563" s="9"/>
      <c r="EY563" s="9"/>
      <c r="EZ563" s="9"/>
      <c r="FA563" s="9"/>
      <c r="FB563" s="9"/>
      <c r="FC563" s="9"/>
      <c r="FD563" s="9"/>
      <c r="FE563" s="9"/>
      <c r="FF563" s="9"/>
      <c r="FG563" s="9"/>
      <c r="FH563" s="9"/>
      <c r="FI563" s="9"/>
      <c r="FJ563" s="9"/>
      <c r="FK563" s="9"/>
      <c r="FL563" s="9"/>
      <c r="FM563" s="9"/>
      <c r="FN563" s="9"/>
      <c r="FO563" s="9"/>
      <c r="FP563" s="9"/>
    </row>
    <row r="564" customFormat="false" ht="15" hidden="false" customHeight="false" outlineLevel="2" collapsed="false">
      <c r="B564" s="9" t="s">
        <v>872</v>
      </c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234" t="n">
        <f aca="false">('⑫ Roll-out Plan'!G61-2025)*12+'⑫ Roll-out Plan'!F61</f>
        <v>81</v>
      </c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9"/>
      <c r="CM564" s="9"/>
      <c r="CN564" s="9"/>
      <c r="CO564" s="9"/>
      <c r="CP564" s="9"/>
      <c r="CQ564" s="9"/>
      <c r="CR564" s="9"/>
      <c r="CS564" s="9"/>
      <c r="CT564" s="9"/>
      <c r="CU564" s="9"/>
      <c r="CV564" s="9"/>
      <c r="CW564" s="9"/>
      <c r="CX564" s="9"/>
      <c r="CY564" s="9"/>
      <c r="CZ564" s="9"/>
      <c r="DA564" s="9"/>
      <c r="DB564" s="9"/>
      <c r="DC564" s="9"/>
      <c r="DD564" s="9"/>
      <c r="DE564" s="9"/>
      <c r="DF564" s="9"/>
      <c r="DG564" s="9"/>
      <c r="DH564" s="9"/>
      <c r="DI564" s="9"/>
      <c r="DJ564" s="9"/>
      <c r="DK564" s="9"/>
      <c r="DL564" s="9"/>
      <c r="DM564" s="9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9"/>
      <c r="DY564" s="9"/>
      <c r="DZ564" s="9"/>
      <c r="EA564" s="9"/>
      <c r="EB564" s="9"/>
      <c r="EC564" s="9"/>
      <c r="ED564" s="9"/>
      <c r="EE564" s="9"/>
      <c r="EF564" s="9"/>
      <c r="EG564" s="9"/>
      <c r="EH564" s="9"/>
      <c r="EI564" s="9"/>
      <c r="EJ564" s="9"/>
      <c r="EK564" s="9"/>
      <c r="EL564" s="9"/>
      <c r="EM564" s="9"/>
      <c r="EN564" s="9"/>
      <c r="EO564" s="9"/>
      <c r="EP564" s="9"/>
      <c r="EQ564" s="9"/>
      <c r="ER564" s="9"/>
      <c r="ES564" s="9"/>
      <c r="ET564" s="9"/>
      <c r="EU564" s="9"/>
      <c r="EV564" s="9"/>
      <c r="EW564" s="9"/>
      <c r="EX564" s="9"/>
      <c r="EY564" s="9"/>
      <c r="EZ564" s="9"/>
      <c r="FA564" s="9"/>
      <c r="FB564" s="9"/>
      <c r="FC564" s="9"/>
      <c r="FD564" s="9"/>
      <c r="FE564" s="9"/>
      <c r="FF564" s="9"/>
      <c r="FG564" s="9"/>
      <c r="FH564" s="9"/>
      <c r="FI564" s="9"/>
      <c r="FJ564" s="9"/>
      <c r="FK564" s="9"/>
      <c r="FL564" s="9"/>
      <c r="FM564" s="9"/>
      <c r="FN564" s="9"/>
      <c r="FO564" s="9"/>
      <c r="FP564" s="9"/>
    </row>
    <row r="565" customFormat="false" ht="15" hidden="false" customHeight="false" outlineLevel="2" collapsed="false">
      <c r="B565" s="9" t="s">
        <v>873</v>
      </c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235" t="n">
        <f aca="false">VLOOKUP("A",$B$14:$C$18,2,FALSE())</f>
        <v>210</v>
      </c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  <c r="CB565" s="9"/>
      <c r="CC565" s="9"/>
      <c r="CD565" s="9"/>
      <c r="CE565" s="9"/>
      <c r="CF565" s="9"/>
      <c r="CG565" s="9"/>
      <c r="CH565" s="9"/>
      <c r="CI565" s="9"/>
      <c r="CJ565" s="9"/>
      <c r="CK565" s="9"/>
      <c r="CL565" s="9"/>
      <c r="CM565" s="9"/>
      <c r="CN565" s="9"/>
      <c r="CO565" s="9"/>
      <c r="CP565" s="9"/>
      <c r="CQ565" s="9"/>
      <c r="CR565" s="9"/>
      <c r="CS565" s="9"/>
      <c r="CT565" s="9"/>
      <c r="CU565" s="9"/>
      <c r="CV565" s="9"/>
      <c r="CW565" s="9"/>
      <c r="CX565" s="9"/>
      <c r="CY565" s="9"/>
      <c r="CZ565" s="9"/>
      <c r="DA565" s="9"/>
      <c r="DB565" s="9"/>
      <c r="DC565" s="9"/>
      <c r="DD565" s="9"/>
      <c r="DE565" s="9"/>
      <c r="DF565" s="9"/>
      <c r="DG565" s="9"/>
      <c r="DH565" s="9"/>
      <c r="DI565" s="9"/>
      <c r="DJ565" s="9"/>
      <c r="DK565" s="9"/>
      <c r="DL565" s="9"/>
      <c r="DM565" s="9"/>
      <c r="DN565" s="9"/>
      <c r="DO565" s="9"/>
      <c r="DP565" s="9"/>
      <c r="DQ565" s="9"/>
      <c r="DR565" s="9"/>
      <c r="DS565" s="9"/>
      <c r="DT565" s="9"/>
      <c r="DU565" s="9"/>
      <c r="DV565" s="9"/>
      <c r="DW565" s="9"/>
      <c r="DX565" s="9"/>
      <c r="DY565" s="9"/>
      <c r="DZ565" s="9"/>
      <c r="EA565" s="9"/>
      <c r="EB565" s="9"/>
      <c r="EC565" s="9"/>
      <c r="ED565" s="9"/>
      <c r="EE565" s="9"/>
      <c r="EF565" s="9"/>
      <c r="EG565" s="9"/>
      <c r="EH565" s="9"/>
      <c r="EI565" s="9"/>
      <c r="EJ565" s="9"/>
      <c r="EK565" s="9"/>
      <c r="EL565" s="9"/>
      <c r="EM565" s="9"/>
      <c r="EN565" s="9"/>
      <c r="EO565" s="9"/>
      <c r="EP565" s="9"/>
      <c r="EQ565" s="9"/>
      <c r="ER565" s="9"/>
      <c r="ES565" s="9"/>
      <c r="ET565" s="9"/>
      <c r="EU565" s="9"/>
      <c r="EV565" s="9"/>
      <c r="EW565" s="9"/>
      <c r="EX565" s="9"/>
      <c r="EY565" s="9"/>
      <c r="EZ565" s="9"/>
      <c r="FA565" s="9"/>
      <c r="FB565" s="9"/>
      <c r="FC565" s="9"/>
      <c r="FD565" s="9"/>
      <c r="FE565" s="9"/>
      <c r="FF565" s="9"/>
      <c r="FG565" s="9"/>
      <c r="FH565" s="9"/>
      <c r="FI565" s="9"/>
      <c r="FJ565" s="9"/>
      <c r="FK565" s="9"/>
      <c r="FL565" s="9"/>
      <c r="FM565" s="9"/>
      <c r="FN565" s="9"/>
      <c r="FO565" s="9"/>
      <c r="FP565" s="9"/>
    </row>
    <row r="566" customFormat="false" ht="15" hidden="false" customHeight="false" outlineLevel="2" collapsed="false">
      <c r="B566" s="9" t="s">
        <v>799</v>
      </c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63" t="n">
        <f aca="false">IF(AC$35&gt;=$AC$564,AC$35-$AC$564+1,0)</f>
        <v>0</v>
      </c>
      <c r="AD566" s="63" t="n">
        <f aca="false">IF(AD$35&gt;=$AC$564,AD$35-$AC$564+1,0)</f>
        <v>0</v>
      </c>
      <c r="AE566" s="63" t="n">
        <f aca="false">IF(AE$35&gt;=$AC$564,AE$35-$AC$564+1,0)</f>
        <v>0</v>
      </c>
      <c r="AF566" s="63" t="n">
        <f aca="false">IF(AF$35&gt;=$AC$564,AF$35-$AC$564+1,0)</f>
        <v>0</v>
      </c>
      <c r="AG566" s="63" t="n">
        <f aca="false">IF(AG$35&gt;=$AC$564,AG$35-$AC$564+1,0)</f>
        <v>0</v>
      </c>
      <c r="AH566" s="63" t="n">
        <f aca="false">IF(AH$35&gt;=$AC$564,AH$35-$AC$564+1,0)</f>
        <v>0</v>
      </c>
      <c r="AI566" s="63" t="n">
        <f aca="false">IF(AI$35&gt;=$AC$564,AI$35-$AC$564+1,0)</f>
        <v>0</v>
      </c>
      <c r="AJ566" s="63" t="n">
        <f aca="false">IF(AJ$35&gt;=$AC$564,AJ$35-$AC$564+1,0)</f>
        <v>0</v>
      </c>
      <c r="AK566" s="63" t="n">
        <f aca="false">IF(AK$35&gt;=$AC$564,AK$35-$AC$564+1,0)</f>
        <v>0</v>
      </c>
      <c r="AL566" s="63" t="n">
        <f aca="false">IF(AL$35&gt;=$AC$564,AL$35-$AC$564+1,0)</f>
        <v>0</v>
      </c>
      <c r="AM566" s="63" t="n">
        <f aca="false">IF(AM$35&gt;=$AC$564,AM$35-$AC$564+1,0)</f>
        <v>0</v>
      </c>
      <c r="AN566" s="63" t="n">
        <f aca="false">IF(AN$35&gt;=$AC$564,AN$35-$AC$564+1,0)</f>
        <v>0</v>
      </c>
      <c r="AO566" s="63" t="n">
        <f aca="false">IF(AO$35&gt;=$AC$564,AO$35-$AC$564+1,0)</f>
        <v>0</v>
      </c>
      <c r="AP566" s="63" t="n">
        <f aca="false">IF(AP$35&gt;=$AC$564,AP$35-$AC$564+1,0)</f>
        <v>0</v>
      </c>
      <c r="AQ566" s="63" t="n">
        <f aca="false">IF(AQ$35&gt;=$AC$564,AQ$35-$AC$564+1,0)</f>
        <v>0</v>
      </c>
      <c r="AR566" s="63" t="n">
        <f aca="false">IF(AR$35&gt;=$AC$564,AR$35-$AC$564+1,0)</f>
        <v>0</v>
      </c>
      <c r="AS566" s="63" t="n">
        <f aca="false">IF(AS$35&gt;=$AC$564,AS$35-$AC$564+1,0)</f>
        <v>0</v>
      </c>
      <c r="AT566" s="63" t="n">
        <f aca="false">IF(AT$35&gt;=$AC$564,AT$35-$AC$564+1,0)</f>
        <v>0</v>
      </c>
      <c r="AU566" s="63" t="n">
        <f aca="false">IF(AU$35&gt;=$AC$564,AU$35-$AC$564+1,0)</f>
        <v>0</v>
      </c>
      <c r="AV566" s="63" t="n">
        <f aca="false">IF(AV$35&gt;=$AC$564,AV$35-$AC$564+1,0)</f>
        <v>0</v>
      </c>
      <c r="AW566" s="63" t="n">
        <f aca="false">IF(AW$35&gt;=$AC$564,AW$35-$AC$564+1,0)</f>
        <v>0</v>
      </c>
      <c r="AX566" s="63" t="n">
        <f aca="false">IF(AX$35&gt;=$AC$564,AX$35-$AC$564+1,0)</f>
        <v>0</v>
      </c>
      <c r="AY566" s="63" t="n">
        <f aca="false">IF(AY$35&gt;=$AC$564,AY$35-$AC$564+1,0)</f>
        <v>0</v>
      </c>
      <c r="AZ566" s="63" t="n">
        <f aca="false">IF(AZ$35&gt;=$AC$564,AZ$35-$AC$564+1,0)</f>
        <v>0</v>
      </c>
      <c r="BA566" s="63" t="n">
        <f aca="false">IF(BA$35&gt;=$AC$564,BA$35-$AC$564+1,0)</f>
        <v>0</v>
      </c>
      <c r="BB566" s="63" t="n">
        <f aca="false">IF(BB$35&gt;=$AC$564,BB$35-$AC$564+1,0)</f>
        <v>0</v>
      </c>
      <c r="BC566" s="63" t="n">
        <f aca="false">IF(BC$35&gt;=$AC$564,BC$35-$AC$564+1,0)</f>
        <v>0</v>
      </c>
      <c r="BD566" s="63" t="n">
        <f aca="false">IF(BD$35&gt;=$AC$564,BD$35-$AC$564+1,0)</f>
        <v>0</v>
      </c>
      <c r="BE566" s="63" t="n">
        <f aca="false">IF(BE$35&gt;=$AC$564,BE$35-$AC$564+1,0)</f>
        <v>0</v>
      </c>
      <c r="BF566" s="63" t="n">
        <f aca="false">IF(BF$35&gt;=$AC$564,BF$35-$AC$564+1,0)</f>
        <v>0</v>
      </c>
      <c r="BG566" s="63" t="n">
        <f aca="false">IF(BG$35&gt;=$AC$564,BG$35-$AC$564+1,0)</f>
        <v>0</v>
      </c>
      <c r="BH566" s="63" t="n">
        <f aca="false">IF(BH$35&gt;=$AC$564,BH$35-$AC$564+1,0)</f>
        <v>0</v>
      </c>
      <c r="BI566" s="63" t="n">
        <f aca="false">IF(BI$35&gt;=$AC$564,BI$35-$AC$564+1,0)</f>
        <v>0</v>
      </c>
      <c r="BJ566" s="63" t="n">
        <f aca="false">IF(BJ$35&gt;=$AC$564,BJ$35-$AC$564+1,0)</f>
        <v>0</v>
      </c>
      <c r="BK566" s="63" t="n">
        <f aca="false">IF(BK$35&gt;=$AC$564,BK$35-$AC$564+1,0)</f>
        <v>0</v>
      </c>
      <c r="BL566" s="63" t="n">
        <f aca="false">IF(BL$35&gt;=$AC$564,BL$35-$AC$564+1,0)</f>
        <v>0</v>
      </c>
      <c r="BM566" s="63" t="n">
        <f aca="false">IF(BM$35&gt;=$AC$564,BM$35-$AC$564+1,0)</f>
        <v>0</v>
      </c>
      <c r="BN566" s="63" t="n">
        <f aca="false">IF(BN$35&gt;=$AC$564,BN$35-$AC$564+1,0)</f>
        <v>0</v>
      </c>
      <c r="BO566" s="63" t="n">
        <f aca="false">IF(BO$35&gt;=$AC$564,BO$35-$AC$564+1,0)</f>
        <v>0</v>
      </c>
      <c r="BP566" s="63" t="n">
        <f aca="false">IF(BP$35&gt;=$AC$564,BP$35-$AC$564+1,0)</f>
        <v>0</v>
      </c>
      <c r="BQ566" s="63" t="n">
        <f aca="false">IF(BQ$35&gt;=$AC$564,BQ$35-$AC$564+1,0)</f>
        <v>0</v>
      </c>
      <c r="BR566" s="63" t="n">
        <f aca="false">IF(BR$35&gt;=$AC$564,BR$35-$AC$564+1,0)</f>
        <v>0</v>
      </c>
      <c r="BS566" s="63" t="n">
        <f aca="false">IF(BS$35&gt;=$AC$564,BS$35-$AC$564+1,0)</f>
        <v>0</v>
      </c>
      <c r="BT566" s="63" t="n">
        <f aca="false">IF(BT$35&gt;=$AC$564,BT$35-$AC$564+1,0)</f>
        <v>0</v>
      </c>
      <c r="BU566" s="63" t="n">
        <f aca="false">IF(BU$35&gt;=$AC$564,BU$35-$AC$564+1,0)</f>
        <v>0</v>
      </c>
      <c r="BV566" s="63" t="n">
        <f aca="false">IF(BV$35&gt;=$AC$564,BV$35-$AC$564+1,0)</f>
        <v>0</v>
      </c>
      <c r="BW566" s="63" t="n">
        <f aca="false">IF(BW$35&gt;=$AC$564,BW$35-$AC$564+1,0)</f>
        <v>0</v>
      </c>
      <c r="BX566" s="63" t="n">
        <f aca="false">IF(BX$35&gt;=$AC$564,BX$35-$AC$564+1,0)</f>
        <v>0</v>
      </c>
      <c r="BY566" s="63" t="n">
        <f aca="false">IF(BY$35&gt;=$AC$564,BY$35-$AC$564+1,0)</f>
        <v>0</v>
      </c>
      <c r="BZ566" s="63" t="n">
        <f aca="false">IF(BZ$35&gt;=$AC$564,BZ$35-$AC$564+1,0)</f>
        <v>0</v>
      </c>
      <c r="CA566" s="63" t="n">
        <f aca="false">IF(CA$35&gt;=$AC$564,CA$35-$AC$564+1,0)</f>
        <v>0</v>
      </c>
      <c r="CB566" s="63" t="n">
        <f aca="false">IF(CB$35&gt;=$AC$564,CB$35-$AC$564+1,0)</f>
        <v>0</v>
      </c>
      <c r="CC566" s="63" t="n">
        <f aca="false">IF(CC$35&gt;=$AC$564,CC$35-$AC$564+1,0)</f>
        <v>0</v>
      </c>
      <c r="CD566" s="63" t="n">
        <f aca="false">IF(CD$35&gt;=$AC$564,CD$35-$AC$564+1,0)</f>
        <v>0</v>
      </c>
      <c r="CE566" s="63" t="n">
        <f aca="false">IF(CE$35&gt;=$AC$564,CE$35-$AC$564+1,0)</f>
        <v>0</v>
      </c>
      <c r="CF566" s="63" t="n">
        <f aca="false">IF(CF$35&gt;=$AC$564,CF$35-$AC$564+1,0)</f>
        <v>0</v>
      </c>
      <c r="CG566" s="63" t="n">
        <f aca="false">IF(CG$35&gt;=$AC$564,CG$35-$AC$564+1,0)</f>
        <v>0</v>
      </c>
      <c r="CH566" s="63" t="n">
        <f aca="false">IF(CH$35&gt;=$AC$564,CH$35-$AC$564+1,0)</f>
        <v>0</v>
      </c>
      <c r="CI566" s="63" t="n">
        <f aca="false">IF(CI$35&gt;=$AC$564,CI$35-$AC$564+1,0)</f>
        <v>0</v>
      </c>
      <c r="CJ566" s="63" t="n">
        <f aca="false">IF(CJ$35&gt;=$AC$564,CJ$35-$AC$564+1,0)</f>
        <v>0</v>
      </c>
      <c r="CK566" s="63" t="n">
        <f aca="false">IF(CK$35&gt;=$AC$564,CK$35-$AC$564+1,0)</f>
        <v>0</v>
      </c>
      <c r="CL566" s="63" t="n">
        <f aca="false">IF(CL$35&gt;=$AC$564,CL$35-$AC$564+1,0)</f>
        <v>0</v>
      </c>
      <c r="CM566" s="63" t="n">
        <f aca="false">IF(CM$35&gt;=$AC$564,CM$35-$AC$564+1,0)</f>
        <v>0</v>
      </c>
      <c r="CN566" s="63" t="n">
        <f aca="false">IF(CN$35&gt;=$AC$564,CN$35-$AC$564+1,0)</f>
        <v>0</v>
      </c>
      <c r="CO566" s="63" t="n">
        <f aca="false">IF(CO$35&gt;=$AC$564,CO$35-$AC$564+1,0)</f>
        <v>0</v>
      </c>
      <c r="CP566" s="63" t="n">
        <f aca="false">IF(CP$35&gt;=$AC$564,CP$35-$AC$564+1,0)</f>
        <v>0</v>
      </c>
      <c r="CQ566" s="63" t="n">
        <f aca="false">IF(CQ$35&gt;=$AC$564,CQ$35-$AC$564+1,0)</f>
        <v>0</v>
      </c>
      <c r="CR566" s="63" t="n">
        <f aca="false">IF(CR$35&gt;=$AC$564,CR$35-$AC$564+1,0)</f>
        <v>0</v>
      </c>
      <c r="CS566" s="63" t="n">
        <f aca="false">IF(CS$35&gt;=$AC$564,CS$35-$AC$564+1,0)</f>
        <v>0</v>
      </c>
      <c r="CT566" s="63" t="n">
        <f aca="false">IF(CT$35&gt;=$AC$564,CT$35-$AC$564+1,0)</f>
        <v>0</v>
      </c>
      <c r="CU566" s="63" t="n">
        <f aca="false">IF(CU$35&gt;=$AC$564,CU$35-$AC$564+1,0)</f>
        <v>0</v>
      </c>
      <c r="CV566" s="63" t="n">
        <f aca="false">IF(CV$35&gt;=$AC$564,CV$35-$AC$564+1,0)</f>
        <v>0</v>
      </c>
      <c r="CW566" s="63" t="n">
        <f aca="false">IF(CW$35&gt;=$AC$564,CW$35-$AC$564+1,0)</f>
        <v>0</v>
      </c>
      <c r="CX566" s="63" t="n">
        <f aca="false">IF(CX$35&gt;=$AC$564,CX$35-$AC$564+1,0)</f>
        <v>0</v>
      </c>
      <c r="CY566" s="63" t="n">
        <f aca="false">IF(CY$35&gt;=$AC$564,CY$35-$AC$564+1,0)</f>
        <v>0</v>
      </c>
      <c r="CZ566" s="63" t="n">
        <f aca="false">IF(CZ$35&gt;=$AC$564,CZ$35-$AC$564+1,0)</f>
        <v>0</v>
      </c>
      <c r="DA566" s="63" t="n">
        <f aca="false">IF(DA$35&gt;=$AC$564,DA$35-$AC$564+1,0)</f>
        <v>0</v>
      </c>
      <c r="DB566" s="63" t="n">
        <f aca="false">IF(DB$35&gt;=$AC$564,DB$35-$AC$564+1,0)</f>
        <v>0</v>
      </c>
      <c r="DC566" s="63" t="n">
        <f aca="false">IF(DC$35&gt;=$AC$564,DC$35-$AC$564+1,0)</f>
        <v>0</v>
      </c>
      <c r="DD566" s="63" t="n">
        <f aca="false">IF(DD$35&gt;=$AC$564,DD$35-$AC$564+1,0)</f>
        <v>0</v>
      </c>
      <c r="DE566" s="63" t="n">
        <f aca="false">IF(DE$35&gt;=$AC$564,DE$35-$AC$564+1,0)</f>
        <v>1</v>
      </c>
      <c r="DF566" s="63" t="n">
        <f aca="false">IF(DF$35&gt;=$AC$564,DF$35-$AC$564+1,0)</f>
        <v>2</v>
      </c>
      <c r="DG566" s="63" t="n">
        <f aca="false">IF(DG$35&gt;=$AC$564,DG$35-$AC$564+1,0)</f>
        <v>3</v>
      </c>
      <c r="DH566" s="63" t="n">
        <f aca="false">IF(DH$35&gt;=$AC$564,DH$35-$AC$564+1,0)</f>
        <v>4</v>
      </c>
      <c r="DI566" s="63" t="n">
        <f aca="false">IF(DI$35&gt;=$AC$564,DI$35-$AC$564+1,0)</f>
        <v>5</v>
      </c>
      <c r="DJ566" s="63" t="n">
        <f aca="false">IF(DJ$35&gt;=$AC$564,DJ$35-$AC$564+1,0)</f>
        <v>6</v>
      </c>
      <c r="DK566" s="63" t="n">
        <f aca="false">IF(DK$35&gt;=$AC$564,DK$35-$AC$564+1,0)</f>
        <v>7</v>
      </c>
      <c r="DL566" s="63" t="n">
        <f aca="false">IF(DL$35&gt;=$AC$564,DL$35-$AC$564+1,0)</f>
        <v>8</v>
      </c>
      <c r="DM566" s="63" t="n">
        <f aca="false">IF(DM$35&gt;=$AC$564,DM$35-$AC$564+1,0)</f>
        <v>9</v>
      </c>
      <c r="DN566" s="63" t="n">
        <f aca="false">IF(DN$35&gt;=$AC$564,DN$35-$AC$564+1,0)</f>
        <v>10</v>
      </c>
      <c r="DO566" s="63" t="n">
        <f aca="false">IF(DO$35&gt;=$AC$564,DO$35-$AC$564+1,0)</f>
        <v>11</v>
      </c>
      <c r="DP566" s="63" t="n">
        <f aca="false">IF(DP$35&gt;=$AC$564,DP$35-$AC$564+1,0)</f>
        <v>12</v>
      </c>
      <c r="DQ566" s="63" t="n">
        <f aca="false">IF(DQ$35&gt;=$AC$564,DQ$35-$AC$564+1,0)</f>
        <v>13</v>
      </c>
      <c r="DR566" s="63" t="n">
        <f aca="false">IF(DR$35&gt;=$AC$564,DR$35-$AC$564+1,0)</f>
        <v>14</v>
      </c>
      <c r="DS566" s="63" t="n">
        <f aca="false">IF(DS$35&gt;=$AC$564,DS$35-$AC$564+1,0)</f>
        <v>15</v>
      </c>
      <c r="DT566" s="63" t="n">
        <f aca="false">IF(DT$35&gt;=$AC$564,DT$35-$AC$564+1,0)</f>
        <v>16</v>
      </c>
      <c r="DU566" s="63" t="n">
        <f aca="false">IF(DU$35&gt;=$AC$564,DU$35-$AC$564+1,0)</f>
        <v>17</v>
      </c>
      <c r="DV566" s="63" t="n">
        <f aca="false">IF(DV$35&gt;=$AC$564,DV$35-$AC$564+1,0)</f>
        <v>18</v>
      </c>
      <c r="DW566" s="63" t="n">
        <f aca="false">IF(DW$35&gt;=$AC$564,DW$35-$AC$564+1,0)</f>
        <v>19</v>
      </c>
      <c r="DX566" s="63" t="n">
        <f aca="false">IF(DX$35&gt;=$AC$564,DX$35-$AC$564+1,0)</f>
        <v>20</v>
      </c>
      <c r="DY566" s="63" t="n">
        <f aca="false">IF(DY$35&gt;=$AC$564,DY$35-$AC$564+1,0)</f>
        <v>21</v>
      </c>
      <c r="DZ566" s="63" t="n">
        <f aca="false">IF(DZ$35&gt;=$AC$564,DZ$35-$AC$564+1,0)</f>
        <v>22</v>
      </c>
      <c r="EA566" s="63" t="n">
        <f aca="false">IF(EA$35&gt;=$AC$564,EA$35-$AC$564+1,0)</f>
        <v>23</v>
      </c>
      <c r="EB566" s="63" t="n">
        <f aca="false">IF(EB$35&gt;=$AC$564,EB$35-$AC$564+1,0)</f>
        <v>24</v>
      </c>
      <c r="EC566" s="63" t="n">
        <f aca="false">IF(EC$35&gt;=$AC$564,EC$35-$AC$564+1,0)</f>
        <v>25</v>
      </c>
      <c r="ED566" s="63" t="n">
        <f aca="false">IF(ED$35&gt;=$AC$564,ED$35-$AC$564+1,0)</f>
        <v>26</v>
      </c>
      <c r="EE566" s="63" t="n">
        <f aca="false">IF(EE$35&gt;=$AC$564,EE$35-$AC$564+1,0)</f>
        <v>27</v>
      </c>
      <c r="EF566" s="63" t="n">
        <f aca="false">IF(EF$35&gt;=$AC$564,EF$35-$AC$564+1,0)</f>
        <v>28</v>
      </c>
      <c r="EG566" s="63" t="n">
        <f aca="false">IF(EG$35&gt;=$AC$564,EG$35-$AC$564+1,0)</f>
        <v>29</v>
      </c>
      <c r="EH566" s="63" t="n">
        <f aca="false">IF(EH$35&gt;=$AC$564,EH$35-$AC$564+1,0)</f>
        <v>30</v>
      </c>
      <c r="EI566" s="63" t="n">
        <f aca="false">IF(EI$35&gt;=$AC$564,EI$35-$AC$564+1,0)</f>
        <v>31</v>
      </c>
      <c r="EJ566" s="63" t="n">
        <f aca="false">IF(EJ$35&gt;=$AC$564,EJ$35-$AC$564+1,0)</f>
        <v>32</v>
      </c>
      <c r="EK566" s="63" t="n">
        <f aca="false">IF(EK$35&gt;=$AC$564,EK$35-$AC$564+1,0)</f>
        <v>33</v>
      </c>
      <c r="EL566" s="63" t="n">
        <f aca="false">IF(EL$35&gt;=$AC$564,EL$35-$AC$564+1,0)</f>
        <v>34</v>
      </c>
      <c r="EM566" s="63" t="n">
        <f aca="false">IF(EM$35&gt;=$AC$564,EM$35-$AC$564+1,0)</f>
        <v>35</v>
      </c>
      <c r="EN566" s="63" t="n">
        <f aca="false">IF(EN$35&gt;=$AC$564,EN$35-$AC$564+1,0)</f>
        <v>36</v>
      </c>
      <c r="EO566" s="63" t="n">
        <f aca="false">IF(EO$35&gt;=$AC$564,EO$35-$AC$564+1,0)</f>
        <v>37</v>
      </c>
      <c r="EP566" s="63" t="n">
        <f aca="false">IF(EP$35&gt;=$AC$564,EP$35-$AC$564+1,0)</f>
        <v>38</v>
      </c>
      <c r="EQ566" s="63" t="n">
        <f aca="false">IF(EQ$35&gt;=$AC$564,EQ$35-$AC$564+1,0)</f>
        <v>39</v>
      </c>
      <c r="ER566" s="63" t="n">
        <f aca="false">IF(ER$35&gt;=$AC$564,ER$35-$AC$564+1,0)</f>
        <v>40</v>
      </c>
      <c r="ES566" s="9" t="n">
        <f aca="false">IF(ES$35&gt;=$AC$564,ES$35-$AC$564+1,0)</f>
        <v>41</v>
      </c>
      <c r="ET566" s="9" t="n">
        <f aca="false">IF(ET$35&gt;=$AC$564,ET$35-$AC$564+1,0)</f>
        <v>42</v>
      </c>
      <c r="EU566" s="9" t="n">
        <f aca="false">IF(EU$35&gt;=$AC$564,EU$35-$AC$564+1,0)</f>
        <v>43</v>
      </c>
      <c r="EV566" s="9" t="n">
        <f aca="false">IF(EV$35&gt;=$AC$564,EV$35-$AC$564+1,0)</f>
        <v>44</v>
      </c>
      <c r="EW566" s="9" t="n">
        <f aca="false">IF(EW$35&gt;=$AC$564,EW$35-$AC$564+1,0)</f>
        <v>45</v>
      </c>
      <c r="EX566" s="9" t="n">
        <f aca="false">IF(EX$35&gt;=$AC$564,EX$35-$AC$564+1,0)</f>
        <v>46</v>
      </c>
      <c r="EY566" s="9" t="n">
        <f aca="false">IF(EY$35&gt;=$AC$564,EY$35-$AC$564+1,0)</f>
        <v>47</v>
      </c>
      <c r="EZ566" s="9" t="n">
        <f aca="false">IF(EZ$35&gt;=$AC$564,EZ$35-$AC$564+1,0)</f>
        <v>48</v>
      </c>
      <c r="FA566" s="9" t="n">
        <f aca="false">IF(FA$35&gt;=$AC$564,FA$35-$AC$564+1,0)</f>
        <v>49</v>
      </c>
      <c r="FB566" s="9" t="n">
        <f aca="false">IF(FB$35&gt;=$AC$564,FB$35-$AC$564+1,0)</f>
        <v>50</v>
      </c>
      <c r="FC566" s="9" t="n">
        <f aca="false">IF(FC$35&gt;=$AC$564,FC$35-$AC$564+1,0)</f>
        <v>51</v>
      </c>
      <c r="FD566" s="9" t="n">
        <f aca="false">IF(FD$35&gt;=$AC$564,FD$35-$AC$564+1,0)</f>
        <v>52</v>
      </c>
      <c r="FE566" s="9" t="n">
        <f aca="false">IF(FE$35&gt;=$AC$564,FE$35-$AC$564+1,0)</f>
        <v>53</v>
      </c>
      <c r="FF566" s="9" t="n">
        <f aca="false">IF(FF$35&gt;=$AC$564,FF$35-$AC$564+1,0)</f>
        <v>54</v>
      </c>
      <c r="FG566" s="9" t="n">
        <f aca="false">IF(FG$35&gt;=$AC$564,FG$35-$AC$564+1,0)</f>
        <v>55</v>
      </c>
      <c r="FH566" s="9" t="n">
        <f aca="false">IF(FH$35&gt;=$AC$564,FH$35-$AC$564+1,0)</f>
        <v>56</v>
      </c>
      <c r="FI566" s="9" t="n">
        <f aca="false">IF(FI$35&gt;=$AC$564,FI$35-$AC$564+1,0)</f>
        <v>57</v>
      </c>
      <c r="FJ566" s="9" t="n">
        <f aca="false">IF(FJ$35&gt;=$AC$564,FJ$35-$AC$564+1,0)</f>
        <v>58</v>
      </c>
      <c r="FK566" s="9" t="n">
        <f aca="false">IF(FK$35&gt;=$AC$564,FK$35-$AC$564+1,0)</f>
        <v>59</v>
      </c>
      <c r="FL566" s="9" t="n">
        <f aca="false">IF(FL$35&gt;=$AC$564,FL$35-$AC$564+1,0)</f>
        <v>60</v>
      </c>
      <c r="FM566" s="9" t="n">
        <f aca="false">IF(FM$35&gt;=$AC$564,FM$35-$AC$564+1,0)</f>
        <v>61</v>
      </c>
      <c r="FN566" s="9" t="n">
        <f aca="false">IF(FN$35&gt;=$AC$564,FN$35-$AC$564+1,0)</f>
        <v>62</v>
      </c>
      <c r="FO566" s="9" t="n">
        <f aca="false">IF(FO$35&gt;=$AC$564,FO$35-$AC$564+1,0)</f>
        <v>63</v>
      </c>
      <c r="FP566" s="9" t="n">
        <f aca="false">IF(FP$35&gt;=$AC$564,FP$35-$AC$564+1,0)</f>
        <v>64</v>
      </c>
    </row>
    <row r="567" customFormat="false" ht="15" hidden="false" customHeight="false" outlineLevel="2" collapsed="false">
      <c r="B567" s="9" t="s">
        <v>874</v>
      </c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236" t="n">
        <f aca="false" t="array" ref="AC567:AC567">IF(AC566=0,0,IF(AC566/'🎚️ Escenario'!$C$11&gt;=36,$AL$23,INDEX($C$23:$AL$23,MAX(1,ROUNDUP(AC566/'🎚️ Escenario'!$C$11,0)))))</f>
        <v>0</v>
      </c>
      <c r="AD567" s="236" t="n">
        <f aca="false" t="array" ref="AD567:AD567">IF(AD566=0,0,IF(AD566/'🎚️ Escenario'!$C$11&gt;=36,$AL$23,INDEX($C$23:$AL$23,MAX(1,ROUNDUP(AD566/'🎚️ Escenario'!$C$11,0)))))</f>
        <v>0</v>
      </c>
      <c r="AE567" s="236" t="n">
        <f aca="false" t="array" ref="AE567:AE567">IF(AE566=0,0,IF(AE566/'🎚️ Escenario'!$C$11&gt;=36,$AL$23,INDEX($C$23:$AL$23,MAX(1,ROUNDUP(AE566/'🎚️ Escenario'!$C$11,0)))))</f>
        <v>0</v>
      </c>
      <c r="AF567" s="236" t="n">
        <f aca="false" t="array" ref="AF567:AF567">IF(AF566=0,0,IF(AF566/'🎚️ Escenario'!$C$11&gt;=36,$AL$23,INDEX($C$23:$AL$23,MAX(1,ROUNDUP(AF566/'🎚️ Escenario'!$C$11,0)))))</f>
        <v>0</v>
      </c>
      <c r="AG567" s="236" t="n">
        <f aca="false" t="array" ref="AG567:AG567">IF(AG566=0,0,IF(AG566/'🎚️ Escenario'!$C$11&gt;=36,$AL$23,INDEX($C$23:$AL$23,MAX(1,ROUNDUP(AG566/'🎚️ Escenario'!$C$11,0)))))</f>
        <v>0</v>
      </c>
      <c r="AH567" s="236" t="n">
        <f aca="false" t="array" ref="AH567:AH567">IF(AH566=0,0,IF(AH566/'🎚️ Escenario'!$C$11&gt;=36,$AL$23,INDEX($C$23:$AL$23,MAX(1,ROUNDUP(AH566/'🎚️ Escenario'!$C$11,0)))))</f>
        <v>0</v>
      </c>
      <c r="AI567" s="236" t="n">
        <f aca="false" t="array" ref="AI567:AI567">IF(AI566=0,0,IF(AI566/'🎚️ Escenario'!$C$11&gt;=36,$AL$23,INDEX($C$23:$AL$23,MAX(1,ROUNDUP(AI566/'🎚️ Escenario'!$C$11,0)))))</f>
        <v>0</v>
      </c>
      <c r="AJ567" s="236" t="n">
        <f aca="false" t="array" ref="AJ567:AJ567">IF(AJ566=0,0,IF(AJ566/'🎚️ Escenario'!$C$11&gt;=36,$AL$23,INDEX($C$23:$AL$23,MAX(1,ROUNDUP(AJ566/'🎚️ Escenario'!$C$11,0)))))</f>
        <v>0</v>
      </c>
      <c r="AK567" s="236" t="n">
        <f aca="false" t="array" ref="AK567:AK567">IF(AK566=0,0,IF(AK566/'🎚️ Escenario'!$C$11&gt;=36,$AL$23,INDEX($C$23:$AL$23,MAX(1,ROUNDUP(AK566/'🎚️ Escenario'!$C$11,0)))))</f>
        <v>0</v>
      </c>
      <c r="AL567" s="236" t="n">
        <f aca="false" t="array" ref="AL567:AL567">IF(AL566=0,0,IF(AL566/'🎚️ Escenario'!$C$11&gt;=36,$AL$23,INDEX($C$23:$AL$23,MAX(1,ROUNDUP(AL566/'🎚️ Escenario'!$C$11,0)))))</f>
        <v>0</v>
      </c>
      <c r="AM567" s="236" t="n">
        <f aca="false" t="array" ref="AM567:AM567">IF(AM566=0,0,IF(AM566/'🎚️ Escenario'!$C$11&gt;=36,$AL$23,INDEX($C$23:$AL$23,MAX(1,ROUNDUP(AM566/'🎚️ Escenario'!$C$11,0)))))</f>
        <v>0</v>
      </c>
      <c r="AN567" s="236" t="n">
        <f aca="false" t="array" ref="AN567:AN567">IF(AN566=0,0,IF(AN566/'🎚️ Escenario'!$C$11&gt;=36,$AL$23,INDEX($C$23:$AL$23,MAX(1,ROUNDUP(AN566/'🎚️ Escenario'!$C$11,0)))))</f>
        <v>0</v>
      </c>
      <c r="AO567" s="236" t="n">
        <f aca="false" t="array" ref="AO567:AO567">IF(AO566=0,0,IF(AO566/'🎚️ Escenario'!$C$11&gt;=36,$AL$23,INDEX($C$23:$AL$23,MAX(1,ROUNDUP(AO566/'🎚️ Escenario'!$C$11,0)))))</f>
        <v>0</v>
      </c>
      <c r="AP567" s="236" t="n">
        <f aca="false" t="array" ref="AP567:AP567">IF(AP566=0,0,IF(AP566/'🎚️ Escenario'!$C$11&gt;=36,$AL$23,INDEX($C$23:$AL$23,MAX(1,ROUNDUP(AP566/'🎚️ Escenario'!$C$11,0)))))</f>
        <v>0</v>
      </c>
      <c r="AQ567" s="236" t="n">
        <f aca="false" t="array" ref="AQ567:AQ567">IF(AQ566=0,0,IF(AQ566/'🎚️ Escenario'!$C$11&gt;=36,$AL$23,INDEX($C$23:$AL$23,MAX(1,ROUNDUP(AQ566/'🎚️ Escenario'!$C$11,0)))))</f>
        <v>0</v>
      </c>
      <c r="AR567" s="236" t="n">
        <f aca="false" t="array" ref="AR567:AR567">IF(AR566=0,0,IF(AR566/'🎚️ Escenario'!$C$11&gt;=36,$AL$23,INDEX($C$23:$AL$23,MAX(1,ROUNDUP(AR566/'🎚️ Escenario'!$C$11,0)))))</f>
        <v>0</v>
      </c>
      <c r="AS567" s="236" t="n">
        <f aca="false" t="array" ref="AS567:AS567">IF(AS566=0,0,IF(AS566/'🎚️ Escenario'!$C$11&gt;=36,$AL$23,INDEX($C$23:$AL$23,MAX(1,ROUNDUP(AS566/'🎚️ Escenario'!$C$11,0)))))</f>
        <v>0</v>
      </c>
      <c r="AT567" s="236" t="n">
        <f aca="false" t="array" ref="AT567:AT567">IF(AT566=0,0,IF(AT566/'🎚️ Escenario'!$C$11&gt;=36,$AL$23,INDEX($C$23:$AL$23,MAX(1,ROUNDUP(AT566/'🎚️ Escenario'!$C$11,0)))))</f>
        <v>0</v>
      </c>
      <c r="AU567" s="236" t="n">
        <f aca="false" t="array" ref="AU567:AU567">IF(AU566=0,0,IF(AU566/'🎚️ Escenario'!$C$11&gt;=36,$AL$23,INDEX($C$23:$AL$23,MAX(1,ROUNDUP(AU566/'🎚️ Escenario'!$C$11,0)))))</f>
        <v>0</v>
      </c>
      <c r="AV567" s="236" t="n">
        <f aca="false" t="array" ref="AV567:AV567">IF(AV566=0,0,IF(AV566/'🎚️ Escenario'!$C$11&gt;=36,$AL$23,INDEX($C$23:$AL$23,MAX(1,ROUNDUP(AV566/'🎚️ Escenario'!$C$11,0)))))</f>
        <v>0</v>
      </c>
      <c r="AW567" s="236" t="n">
        <f aca="false" t="array" ref="AW567:AW567">IF(AW566=0,0,IF(AW566/'🎚️ Escenario'!$C$11&gt;=36,$AL$23,INDEX($C$23:$AL$23,MAX(1,ROUNDUP(AW566/'🎚️ Escenario'!$C$11,0)))))</f>
        <v>0</v>
      </c>
      <c r="AX567" s="236" t="n">
        <f aca="false" t="array" ref="AX567:AX567">IF(AX566=0,0,IF(AX566/'🎚️ Escenario'!$C$11&gt;=36,$AL$23,INDEX($C$23:$AL$23,MAX(1,ROUNDUP(AX566/'🎚️ Escenario'!$C$11,0)))))</f>
        <v>0</v>
      </c>
      <c r="AY567" s="236" t="n">
        <f aca="false" t="array" ref="AY567:AY567">IF(AY566=0,0,IF(AY566/'🎚️ Escenario'!$C$11&gt;=36,$AL$23,INDEX($C$23:$AL$23,MAX(1,ROUNDUP(AY566/'🎚️ Escenario'!$C$11,0)))))</f>
        <v>0</v>
      </c>
      <c r="AZ567" s="236" t="n">
        <f aca="false" t="array" ref="AZ567:AZ567">IF(AZ566=0,0,IF(AZ566/'🎚️ Escenario'!$C$11&gt;=36,$AL$23,INDEX($C$23:$AL$23,MAX(1,ROUNDUP(AZ566/'🎚️ Escenario'!$C$11,0)))))</f>
        <v>0</v>
      </c>
      <c r="BA567" s="236" t="n">
        <f aca="false" t="array" ref="BA567:BA567">IF(BA566=0,0,IF(BA566/'🎚️ Escenario'!$C$11&gt;=36,$AL$23,INDEX($C$23:$AL$23,MAX(1,ROUNDUP(BA566/'🎚️ Escenario'!$C$11,0)))))</f>
        <v>0</v>
      </c>
      <c r="BB567" s="236" t="n">
        <f aca="false" t="array" ref="BB567:BB567">IF(BB566=0,0,IF(BB566/'🎚️ Escenario'!$C$11&gt;=36,$AL$23,INDEX($C$23:$AL$23,MAX(1,ROUNDUP(BB566/'🎚️ Escenario'!$C$11,0)))))</f>
        <v>0</v>
      </c>
      <c r="BC567" s="236" t="n">
        <f aca="false" t="array" ref="BC567:BC567">IF(BC566=0,0,IF(BC566/'🎚️ Escenario'!$C$11&gt;=36,$AL$23,INDEX($C$23:$AL$23,MAX(1,ROUNDUP(BC566/'🎚️ Escenario'!$C$11,0)))))</f>
        <v>0</v>
      </c>
      <c r="BD567" s="236" t="n">
        <f aca="false" t="array" ref="BD567:BD567">IF(BD566=0,0,IF(BD566/'🎚️ Escenario'!$C$11&gt;=36,$AL$23,INDEX($C$23:$AL$23,MAX(1,ROUNDUP(BD566/'🎚️ Escenario'!$C$11,0)))))</f>
        <v>0</v>
      </c>
      <c r="BE567" s="236" t="n">
        <f aca="false" t="array" ref="BE567:BE567">IF(BE566=0,0,IF(BE566/'🎚️ Escenario'!$C$11&gt;=36,$AL$23,INDEX($C$23:$AL$23,MAX(1,ROUNDUP(BE566/'🎚️ Escenario'!$C$11,0)))))</f>
        <v>0</v>
      </c>
      <c r="BF567" s="236" t="n">
        <f aca="false" t="array" ref="BF567:BF567">IF(BF566=0,0,IF(BF566/'🎚️ Escenario'!$C$11&gt;=36,$AL$23,INDEX($C$23:$AL$23,MAX(1,ROUNDUP(BF566/'🎚️ Escenario'!$C$11,0)))))</f>
        <v>0</v>
      </c>
      <c r="BG567" s="236" t="n">
        <f aca="false" t="array" ref="BG567:BG567">IF(BG566=0,0,IF(BG566/'🎚️ Escenario'!$C$11&gt;=36,$AL$23,INDEX($C$23:$AL$23,MAX(1,ROUNDUP(BG566/'🎚️ Escenario'!$C$11,0)))))</f>
        <v>0</v>
      </c>
      <c r="BH567" s="236" t="n">
        <f aca="false" t="array" ref="BH567:BH567">IF(BH566=0,0,IF(BH566/'🎚️ Escenario'!$C$11&gt;=36,$AL$23,INDEX($C$23:$AL$23,MAX(1,ROUNDUP(BH566/'🎚️ Escenario'!$C$11,0)))))</f>
        <v>0</v>
      </c>
      <c r="BI567" s="236" t="n">
        <f aca="false" t="array" ref="BI567:BI567">IF(BI566=0,0,IF(BI566/'🎚️ Escenario'!$C$11&gt;=36,$AL$23,INDEX($C$23:$AL$23,MAX(1,ROUNDUP(BI566/'🎚️ Escenario'!$C$11,0)))))</f>
        <v>0</v>
      </c>
      <c r="BJ567" s="236" t="n">
        <f aca="false" t="array" ref="BJ567:BJ567">IF(BJ566=0,0,IF(BJ566/'🎚️ Escenario'!$C$11&gt;=36,$AL$23,INDEX($C$23:$AL$23,MAX(1,ROUNDUP(BJ566/'🎚️ Escenario'!$C$11,0)))))</f>
        <v>0</v>
      </c>
      <c r="BK567" s="236" t="n">
        <f aca="false" t="array" ref="BK567:BK567">IF(BK566=0,0,IF(BK566/'🎚️ Escenario'!$C$11&gt;=36,$AL$23,INDEX($C$23:$AL$23,MAX(1,ROUNDUP(BK566/'🎚️ Escenario'!$C$11,0)))))</f>
        <v>0</v>
      </c>
      <c r="BL567" s="236" t="n">
        <f aca="false" t="array" ref="BL567:BL567">IF(BL566=0,0,IF(BL566/'🎚️ Escenario'!$C$11&gt;=36,$AL$23,INDEX($C$23:$AL$23,MAX(1,ROUNDUP(BL566/'🎚️ Escenario'!$C$11,0)))))</f>
        <v>0</v>
      </c>
      <c r="BM567" s="236" t="n">
        <f aca="false" t="array" ref="BM567:BM567">IF(BM566=0,0,IF(BM566/'🎚️ Escenario'!$C$11&gt;=36,$AL$23,INDEX($C$23:$AL$23,MAX(1,ROUNDUP(BM566/'🎚️ Escenario'!$C$11,0)))))</f>
        <v>0</v>
      </c>
      <c r="BN567" s="236" t="n">
        <f aca="false" t="array" ref="BN567:BN567">IF(BN566=0,0,IF(BN566/'🎚️ Escenario'!$C$11&gt;=36,$AL$23,INDEX($C$23:$AL$23,MAX(1,ROUNDUP(BN566/'🎚️ Escenario'!$C$11,0)))))</f>
        <v>0</v>
      </c>
      <c r="BO567" s="236" t="n">
        <f aca="false" t="array" ref="BO567:BO567">IF(BO566=0,0,IF(BO566/'🎚️ Escenario'!$C$11&gt;=36,$AL$23,INDEX($C$23:$AL$23,MAX(1,ROUNDUP(BO566/'🎚️ Escenario'!$C$11,0)))))</f>
        <v>0</v>
      </c>
      <c r="BP567" s="236" t="n">
        <f aca="false" t="array" ref="BP567:BP567">IF(BP566=0,0,IF(BP566/'🎚️ Escenario'!$C$11&gt;=36,$AL$23,INDEX($C$23:$AL$23,MAX(1,ROUNDUP(BP566/'🎚️ Escenario'!$C$11,0)))))</f>
        <v>0</v>
      </c>
      <c r="BQ567" s="236" t="n">
        <f aca="false" t="array" ref="BQ567:BQ567">IF(BQ566=0,0,IF(BQ566/'🎚️ Escenario'!$C$11&gt;=36,$AL$23,INDEX($C$23:$AL$23,MAX(1,ROUNDUP(BQ566/'🎚️ Escenario'!$C$11,0)))))</f>
        <v>0</v>
      </c>
      <c r="BR567" s="236" t="n">
        <f aca="false" t="array" ref="BR567:BR567">IF(BR566=0,0,IF(BR566/'🎚️ Escenario'!$C$11&gt;=36,$AL$23,INDEX($C$23:$AL$23,MAX(1,ROUNDUP(BR566/'🎚️ Escenario'!$C$11,0)))))</f>
        <v>0</v>
      </c>
      <c r="BS567" s="236" t="n">
        <f aca="false" t="array" ref="BS567:BS567">IF(BS566=0,0,IF(BS566/'🎚️ Escenario'!$C$11&gt;=36,$AL$23,INDEX($C$23:$AL$23,MAX(1,ROUNDUP(BS566/'🎚️ Escenario'!$C$11,0)))))</f>
        <v>0</v>
      </c>
      <c r="BT567" s="236" t="n">
        <f aca="false" t="array" ref="BT567:BT567">IF(BT566=0,0,IF(BT566/'🎚️ Escenario'!$C$11&gt;=36,$AL$23,INDEX($C$23:$AL$23,MAX(1,ROUNDUP(BT566/'🎚️ Escenario'!$C$11,0)))))</f>
        <v>0</v>
      </c>
      <c r="BU567" s="236" t="n">
        <f aca="false" t="array" ref="BU567:BU567">IF(BU566=0,0,IF(BU566/'🎚️ Escenario'!$C$11&gt;=36,$AL$23,INDEX($C$23:$AL$23,MAX(1,ROUNDUP(BU566/'🎚️ Escenario'!$C$11,0)))))</f>
        <v>0</v>
      </c>
      <c r="BV567" s="236" t="n">
        <f aca="false" t="array" ref="BV567:BV567">IF(BV566=0,0,IF(BV566/'🎚️ Escenario'!$C$11&gt;=36,$AL$23,INDEX($C$23:$AL$23,MAX(1,ROUNDUP(BV566/'🎚️ Escenario'!$C$11,0)))))</f>
        <v>0</v>
      </c>
      <c r="BW567" s="236" t="n">
        <f aca="false" t="array" ref="BW567:BW567">IF(BW566=0,0,IF(BW566/'🎚️ Escenario'!$C$11&gt;=36,$AL$23,INDEX($C$23:$AL$23,MAX(1,ROUNDUP(BW566/'🎚️ Escenario'!$C$11,0)))))</f>
        <v>0</v>
      </c>
      <c r="BX567" s="236" t="n">
        <f aca="false" t="array" ref="BX567:BX567">IF(BX566=0,0,IF(BX566/'🎚️ Escenario'!$C$11&gt;=36,$AL$23,INDEX($C$23:$AL$23,MAX(1,ROUNDUP(BX566/'🎚️ Escenario'!$C$11,0)))))</f>
        <v>0</v>
      </c>
      <c r="BY567" s="236" t="n">
        <f aca="false" t="array" ref="BY567:BY567">IF(BY566=0,0,IF(BY566/'🎚️ Escenario'!$C$11&gt;=36,$AL$23,INDEX($C$23:$AL$23,MAX(1,ROUNDUP(BY566/'🎚️ Escenario'!$C$11,0)))))</f>
        <v>0</v>
      </c>
      <c r="BZ567" s="236" t="n">
        <f aca="false" t="array" ref="BZ567:BZ567">IF(BZ566=0,0,IF(BZ566/'🎚️ Escenario'!$C$11&gt;=36,$AL$23,INDEX($C$23:$AL$23,MAX(1,ROUNDUP(BZ566/'🎚️ Escenario'!$C$11,0)))))</f>
        <v>0</v>
      </c>
      <c r="CA567" s="236" t="n">
        <f aca="false" t="array" ref="CA567:CA567">IF(CA566=0,0,IF(CA566/'🎚️ Escenario'!$C$11&gt;=36,$AL$23,INDEX($C$23:$AL$23,MAX(1,ROUNDUP(CA566/'🎚️ Escenario'!$C$11,0)))))</f>
        <v>0</v>
      </c>
      <c r="CB567" s="236" t="n">
        <f aca="false" t="array" ref="CB567:CB567">IF(CB566=0,0,IF(CB566/'🎚️ Escenario'!$C$11&gt;=36,$AL$23,INDEX($C$23:$AL$23,MAX(1,ROUNDUP(CB566/'🎚️ Escenario'!$C$11,0)))))</f>
        <v>0</v>
      </c>
      <c r="CC567" s="236" t="n">
        <f aca="false" t="array" ref="CC567:CC567">IF(CC566=0,0,IF(CC566/'🎚️ Escenario'!$C$11&gt;=36,$AL$23,INDEX($C$23:$AL$23,MAX(1,ROUNDUP(CC566/'🎚️ Escenario'!$C$11,0)))))</f>
        <v>0</v>
      </c>
      <c r="CD567" s="236" t="n">
        <f aca="false" t="array" ref="CD567:CD567">IF(CD566=0,0,IF(CD566/'🎚️ Escenario'!$C$11&gt;=36,$AL$23,INDEX($C$23:$AL$23,MAX(1,ROUNDUP(CD566/'🎚️ Escenario'!$C$11,0)))))</f>
        <v>0</v>
      </c>
      <c r="CE567" s="236" t="n">
        <f aca="false" t="array" ref="CE567:CE567">IF(CE566=0,0,IF(CE566/'🎚️ Escenario'!$C$11&gt;=36,$AL$23,INDEX($C$23:$AL$23,MAX(1,ROUNDUP(CE566/'🎚️ Escenario'!$C$11,0)))))</f>
        <v>0</v>
      </c>
      <c r="CF567" s="236" t="n">
        <f aca="false" t="array" ref="CF567:CF567">IF(CF566=0,0,IF(CF566/'🎚️ Escenario'!$C$11&gt;=36,$AL$23,INDEX($C$23:$AL$23,MAX(1,ROUNDUP(CF566/'🎚️ Escenario'!$C$11,0)))))</f>
        <v>0</v>
      </c>
      <c r="CG567" s="236" t="n">
        <f aca="false" t="array" ref="CG567:CG567">IF(CG566=0,0,IF(CG566/'🎚️ Escenario'!$C$11&gt;=36,$AL$23,INDEX($C$23:$AL$23,MAX(1,ROUNDUP(CG566/'🎚️ Escenario'!$C$11,0)))))</f>
        <v>0</v>
      </c>
      <c r="CH567" s="236" t="n">
        <f aca="false" t="array" ref="CH567:CH567">IF(CH566=0,0,IF(CH566/'🎚️ Escenario'!$C$11&gt;=36,$AL$23,INDEX($C$23:$AL$23,MAX(1,ROUNDUP(CH566/'🎚️ Escenario'!$C$11,0)))))</f>
        <v>0</v>
      </c>
      <c r="CI567" s="236" t="n">
        <f aca="false" t="array" ref="CI567:CI567">IF(CI566=0,0,IF(CI566/'🎚️ Escenario'!$C$11&gt;=36,$AL$23,INDEX($C$23:$AL$23,MAX(1,ROUNDUP(CI566/'🎚️ Escenario'!$C$11,0)))))</f>
        <v>0</v>
      </c>
      <c r="CJ567" s="236" t="n">
        <f aca="false" t="array" ref="CJ567:CJ567">IF(CJ566=0,0,IF(CJ566/'🎚️ Escenario'!$C$11&gt;=36,$AL$23,INDEX($C$23:$AL$23,MAX(1,ROUNDUP(CJ566/'🎚️ Escenario'!$C$11,0)))))</f>
        <v>0</v>
      </c>
      <c r="CK567" s="236" t="n">
        <f aca="false" t="array" ref="CK567:CK567">IF(CK566=0,0,IF(CK566/'🎚️ Escenario'!$C$11&gt;=36,$AL$23,INDEX($C$23:$AL$23,MAX(1,ROUNDUP(CK566/'🎚️ Escenario'!$C$11,0)))))</f>
        <v>0</v>
      </c>
      <c r="CL567" s="236" t="n">
        <f aca="false" t="array" ref="CL567:CL567">IF(CL566=0,0,IF(CL566/'🎚️ Escenario'!$C$11&gt;=36,$AL$23,INDEX($C$23:$AL$23,MAX(1,ROUNDUP(CL566/'🎚️ Escenario'!$C$11,0)))))</f>
        <v>0</v>
      </c>
      <c r="CM567" s="236" t="n">
        <f aca="false" t="array" ref="CM567:CM567">IF(CM566=0,0,IF(CM566/'🎚️ Escenario'!$C$11&gt;=36,$AL$23,INDEX($C$23:$AL$23,MAX(1,ROUNDUP(CM566/'🎚️ Escenario'!$C$11,0)))))</f>
        <v>0</v>
      </c>
      <c r="CN567" s="236" t="n">
        <f aca="false" t="array" ref="CN567:CN567">IF(CN566=0,0,IF(CN566/'🎚️ Escenario'!$C$11&gt;=36,$AL$23,INDEX($C$23:$AL$23,MAX(1,ROUNDUP(CN566/'🎚️ Escenario'!$C$11,0)))))</f>
        <v>0</v>
      </c>
      <c r="CO567" s="236" t="n">
        <f aca="false" t="array" ref="CO567:CO567">IF(CO566=0,0,IF(CO566/'🎚️ Escenario'!$C$11&gt;=36,$AL$23,INDEX($C$23:$AL$23,MAX(1,ROUNDUP(CO566/'🎚️ Escenario'!$C$11,0)))))</f>
        <v>0</v>
      </c>
      <c r="CP567" s="236" t="n">
        <f aca="false" t="array" ref="CP567:CP567">IF(CP566=0,0,IF(CP566/'🎚️ Escenario'!$C$11&gt;=36,$AL$23,INDEX($C$23:$AL$23,MAX(1,ROUNDUP(CP566/'🎚️ Escenario'!$C$11,0)))))</f>
        <v>0</v>
      </c>
      <c r="CQ567" s="236" t="n">
        <f aca="false" t="array" ref="CQ567:CQ567">IF(CQ566=0,0,IF(CQ566/'🎚️ Escenario'!$C$11&gt;=36,$AL$23,INDEX($C$23:$AL$23,MAX(1,ROUNDUP(CQ566/'🎚️ Escenario'!$C$11,0)))))</f>
        <v>0</v>
      </c>
      <c r="CR567" s="236" t="n">
        <f aca="false" t="array" ref="CR567:CR567">IF(CR566=0,0,IF(CR566/'🎚️ Escenario'!$C$11&gt;=36,$AL$23,INDEX($C$23:$AL$23,MAX(1,ROUNDUP(CR566/'🎚️ Escenario'!$C$11,0)))))</f>
        <v>0</v>
      </c>
      <c r="CS567" s="236" t="n">
        <f aca="false" t="array" ref="CS567:CS567">IF(CS566=0,0,IF(CS566/'🎚️ Escenario'!$C$11&gt;=36,$AL$23,INDEX($C$23:$AL$23,MAX(1,ROUNDUP(CS566/'🎚️ Escenario'!$C$11,0)))))</f>
        <v>0</v>
      </c>
      <c r="CT567" s="236" t="n">
        <f aca="false" t="array" ref="CT567:CT567">IF(CT566=0,0,IF(CT566/'🎚️ Escenario'!$C$11&gt;=36,$AL$23,INDEX($C$23:$AL$23,MAX(1,ROUNDUP(CT566/'🎚️ Escenario'!$C$11,0)))))</f>
        <v>0</v>
      </c>
      <c r="CU567" s="236" t="n">
        <f aca="false" t="array" ref="CU567:CU567">IF(CU566=0,0,IF(CU566/'🎚️ Escenario'!$C$11&gt;=36,$AL$23,INDEX($C$23:$AL$23,MAX(1,ROUNDUP(CU566/'🎚️ Escenario'!$C$11,0)))))</f>
        <v>0</v>
      </c>
      <c r="CV567" s="236" t="n">
        <f aca="false" t="array" ref="CV567:CV567">IF(CV566=0,0,IF(CV566/'🎚️ Escenario'!$C$11&gt;=36,$AL$23,INDEX($C$23:$AL$23,MAX(1,ROUNDUP(CV566/'🎚️ Escenario'!$C$11,0)))))</f>
        <v>0</v>
      </c>
      <c r="CW567" s="236" t="n">
        <f aca="false" t="array" ref="CW567:CW567">IF(CW566=0,0,IF(CW566/'🎚️ Escenario'!$C$11&gt;=36,$AL$23,INDEX($C$23:$AL$23,MAX(1,ROUNDUP(CW566/'🎚️ Escenario'!$C$11,0)))))</f>
        <v>0</v>
      </c>
      <c r="CX567" s="236" t="n">
        <f aca="false" t="array" ref="CX567:CX567">IF(CX566=0,0,IF(CX566/'🎚️ Escenario'!$C$11&gt;=36,$AL$23,INDEX($C$23:$AL$23,MAX(1,ROUNDUP(CX566/'🎚️ Escenario'!$C$11,0)))))</f>
        <v>0</v>
      </c>
      <c r="CY567" s="236" t="n">
        <f aca="false" t="array" ref="CY567:CY567">IF(CY566=0,0,IF(CY566/'🎚️ Escenario'!$C$11&gt;=36,$AL$23,INDEX($C$23:$AL$23,MAX(1,ROUNDUP(CY566/'🎚️ Escenario'!$C$11,0)))))</f>
        <v>0</v>
      </c>
      <c r="CZ567" s="236" t="n">
        <f aca="false" t="array" ref="CZ567:CZ567">IF(CZ566=0,0,IF(CZ566/'🎚️ Escenario'!$C$11&gt;=36,$AL$23,INDEX($C$23:$AL$23,MAX(1,ROUNDUP(CZ566/'🎚️ Escenario'!$C$11,0)))))</f>
        <v>0</v>
      </c>
      <c r="DA567" s="236" t="n">
        <f aca="false" t="array" ref="DA567:DA567">IF(DA566=0,0,IF(DA566/'🎚️ Escenario'!$C$11&gt;=36,$AL$23,INDEX($C$23:$AL$23,MAX(1,ROUNDUP(DA566/'🎚️ Escenario'!$C$11,0)))))</f>
        <v>0</v>
      </c>
      <c r="DB567" s="236" t="n">
        <f aca="false" t="array" ref="DB567:DB567">IF(DB566=0,0,IF(DB566/'🎚️ Escenario'!$C$11&gt;=36,$AL$23,INDEX($C$23:$AL$23,MAX(1,ROUNDUP(DB566/'🎚️ Escenario'!$C$11,0)))))</f>
        <v>0</v>
      </c>
      <c r="DC567" s="236" t="n">
        <f aca="false" t="array" ref="DC567:DC567">IF(DC566=0,0,IF(DC566/'🎚️ Escenario'!$C$11&gt;=36,$AL$23,INDEX($C$23:$AL$23,MAX(1,ROUNDUP(DC566/'🎚️ Escenario'!$C$11,0)))))</f>
        <v>0</v>
      </c>
      <c r="DD567" s="236" t="n">
        <f aca="false" t="array" ref="DD567:DD567">IF(DD566=0,0,IF(DD566/'🎚️ Escenario'!$C$11&gt;=36,$AL$23,INDEX($C$23:$AL$23,MAX(1,ROUNDUP(DD566/'🎚️ Escenario'!$C$11,0)))))</f>
        <v>0</v>
      </c>
      <c r="DE567" s="236" t="n">
        <f aca="false" t="array" ref="DE567:DE567">IF(DE566=0,0,IF(DE566/'🎚️ Escenario'!$C$11&gt;=36,$AL$23,INDEX($C$23:$AL$23,MAX(1,ROUNDUP(DE566/'🎚️ Escenario'!$C$11,0)))))</f>
        <v>0.2</v>
      </c>
      <c r="DF567" s="236" t="n">
        <f aca="false" t="array" ref="DF567:DF567">IF(DF566=0,0,IF(DF566/'🎚️ Escenario'!$C$11&gt;=36,$AL$23,INDEX($C$23:$AL$23,MAX(1,ROUNDUP(DF566/'🎚️ Escenario'!$C$11,0)))))</f>
        <v>0.22</v>
      </c>
      <c r="DG567" s="236" t="n">
        <f aca="false" t="array" ref="DG567:DG567">IF(DG566=0,0,IF(DG566/'🎚️ Escenario'!$C$11&gt;=36,$AL$23,INDEX($C$23:$AL$23,MAX(1,ROUNDUP(DG566/'🎚️ Escenario'!$C$11,0)))))</f>
        <v>0.24</v>
      </c>
      <c r="DH567" s="236" t="n">
        <f aca="false" t="array" ref="DH567:DH567">IF(DH566=0,0,IF(DH566/'🎚️ Escenario'!$C$11&gt;=36,$AL$23,INDEX($C$23:$AL$23,MAX(1,ROUNDUP(DH566/'🎚️ Escenario'!$C$11,0)))))</f>
        <v>0.27</v>
      </c>
      <c r="DI567" s="236" t="n">
        <f aca="false" t="array" ref="DI567:DI567">IF(DI566=0,0,IF(DI566/'🎚️ Escenario'!$C$11&gt;=36,$AL$23,INDEX($C$23:$AL$23,MAX(1,ROUNDUP(DI566/'🎚️ Escenario'!$C$11,0)))))</f>
        <v>0.27</v>
      </c>
      <c r="DJ567" s="236" t="n">
        <f aca="false" t="array" ref="DJ567:DJ567">IF(DJ566=0,0,IF(DJ566/'🎚️ Escenario'!$C$11&gt;=36,$AL$23,INDEX($C$23:$AL$23,MAX(1,ROUNDUP(DJ566/'🎚️ Escenario'!$C$11,0)))))</f>
        <v>0.31</v>
      </c>
      <c r="DK567" s="236" t="n">
        <f aca="false" t="array" ref="DK567:DK567">IF(DK566=0,0,IF(DK566/'🎚️ Escenario'!$C$11&gt;=36,$AL$23,INDEX($C$23:$AL$23,MAX(1,ROUNDUP(DK566/'🎚️ Escenario'!$C$11,0)))))</f>
        <v>0.35</v>
      </c>
      <c r="DL567" s="236" t="n">
        <f aca="false" t="array" ref="DL567:DL567">IF(DL566=0,0,IF(DL566/'🎚️ Escenario'!$C$11&gt;=36,$AL$23,INDEX($C$23:$AL$23,MAX(1,ROUNDUP(DL566/'🎚️ Escenario'!$C$11,0)))))</f>
        <v>0.39</v>
      </c>
      <c r="DM567" s="236" t="n">
        <f aca="false" t="array" ref="DM567:DM567">IF(DM566=0,0,IF(DM566/'🎚️ Escenario'!$C$11&gt;=36,$AL$23,INDEX($C$23:$AL$23,MAX(1,ROUNDUP(DM566/'🎚️ Escenario'!$C$11,0)))))</f>
        <v>0.44</v>
      </c>
      <c r="DN567" s="236" t="n">
        <f aca="false" t="array" ref="DN567:DN567">IF(DN566=0,0,IF(DN566/'🎚️ Escenario'!$C$11&gt;=36,$AL$23,INDEX($C$23:$AL$23,MAX(1,ROUNDUP(DN566/'🎚️ Escenario'!$C$11,0)))))</f>
        <v>0.44</v>
      </c>
      <c r="DO567" s="236" t="n">
        <f aca="false" t="array" ref="DO567:DO567">IF(DO566=0,0,IF(DO566/'🎚️ Escenario'!$C$11&gt;=36,$AL$23,INDEX($C$23:$AL$23,MAX(1,ROUNDUP(DO566/'🎚️ Escenario'!$C$11,0)))))</f>
        <v>0.48</v>
      </c>
      <c r="DP567" s="236" t="n">
        <f aca="false" t="array" ref="DP567:DP567">IF(DP566=0,0,IF(DP566/'🎚️ Escenario'!$C$11&gt;=36,$AL$23,INDEX($C$23:$AL$23,MAX(1,ROUNDUP(DP566/'🎚️ Escenario'!$C$11,0)))))</f>
        <v>0.52</v>
      </c>
      <c r="DQ567" s="236" t="n">
        <f aca="false" t="array" ref="DQ567:DQ567">IF(DQ566=0,0,IF(DQ566/'🎚️ Escenario'!$C$11&gt;=36,$AL$23,INDEX($C$23:$AL$23,MAX(1,ROUNDUP(DQ566/'🎚️ Escenario'!$C$11,0)))))</f>
        <v>0.56</v>
      </c>
      <c r="DR567" s="236" t="n">
        <f aca="false" t="array" ref="DR567:DR567">IF(DR566=0,0,IF(DR566/'🎚️ Escenario'!$C$11&gt;=36,$AL$23,INDEX($C$23:$AL$23,MAX(1,ROUNDUP(DR566/'🎚️ Escenario'!$C$11,0)))))</f>
        <v>0.6</v>
      </c>
      <c r="DS567" s="236" t="n">
        <f aca="false" t="array" ref="DS567:DS567">IF(DS566=0,0,IF(DS566/'🎚️ Escenario'!$C$11&gt;=36,$AL$23,INDEX($C$23:$AL$23,MAX(1,ROUNDUP(DS566/'🎚️ Escenario'!$C$11,0)))))</f>
        <v>0.6</v>
      </c>
      <c r="DT567" s="236" t="n">
        <f aca="false" t="array" ref="DT567:DT567">IF(DT566=0,0,IF(DT566/'🎚️ Escenario'!$C$11&gt;=36,$AL$23,INDEX($C$23:$AL$23,MAX(1,ROUNDUP(DT566/'🎚️ Escenario'!$C$11,0)))))</f>
        <v>0.63</v>
      </c>
      <c r="DU567" s="236" t="n">
        <f aca="false" t="array" ref="DU567:DU567">IF(DU566=0,0,IF(DU566/'🎚️ Escenario'!$C$11&gt;=36,$AL$23,INDEX($C$23:$AL$23,MAX(1,ROUNDUP(DU566/'🎚️ Escenario'!$C$11,0)))))</f>
        <v>0.66</v>
      </c>
      <c r="DV567" s="236" t="n">
        <f aca="false" t="array" ref="DV567:DV567">IF(DV566=0,0,IF(DV566/'🎚️ Escenario'!$C$11&gt;=36,$AL$23,INDEX($C$23:$AL$23,MAX(1,ROUNDUP(DV566/'🎚️ Escenario'!$C$11,0)))))</f>
        <v>0.69</v>
      </c>
      <c r="DW567" s="236" t="n">
        <f aca="false" t="array" ref="DW567:DW567">IF(DW566=0,0,IF(DW566/'🎚️ Escenario'!$C$11&gt;=36,$AL$23,INDEX($C$23:$AL$23,MAX(1,ROUNDUP(DW566/'🎚️ Escenario'!$C$11,0)))))</f>
        <v>0.71</v>
      </c>
      <c r="DX567" s="236" t="n">
        <f aca="false" t="array" ref="DX567:DX567">IF(DX566=0,0,IF(DX566/'🎚️ Escenario'!$C$11&gt;=36,$AL$23,INDEX($C$23:$AL$23,MAX(1,ROUNDUP(DX566/'🎚️ Escenario'!$C$11,0)))))</f>
        <v>0.71</v>
      </c>
      <c r="DY567" s="236" t="n">
        <f aca="false" t="array" ref="DY567:DY567">IF(DY566=0,0,IF(DY566/'🎚️ Escenario'!$C$11&gt;=36,$AL$23,INDEX($C$23:$AL$23,MAX(1,ROUNDUP(DY566/'🎚️ Escenario'!$C$11,0)))))</f>
        <v>0.73</v>
      </c>
      <c r="DZ567" s="236" t="n">
        <f aca="false" t="array" ref="DZ567:DZ567">IF(DZ566=0,0,IF(DZ566/'🎚️ Escenario'!$C$11&gt;=36,$AL$23,INDEX($C$23:$AL$23,MAX(1,ROUNDUP(DZ566/'🎚️ Escenario'!$C$11,0)))))</f>
        <v>0.75</v>
      </c>
      <c r="EA567" s="236" t="n">
        <f aca="false" t="array" ref="EA567:EA567">IF(EA566=0,0,IF(EA566/'🎚️ Escenario'!$C$11&gt;=36,$AL$23,INDEX($C$23:$AL$23,MAX(1,ROUNDUP(EA566/'🎚️ Escenario'!$C$11,0)))))</f>
        <v>0.77</v>
      </c>
      <c r="EB567" s="236" t="n">
        <f aca="false" t="array" ref="EB567:EB567">IF(EB566=0,0,IF(EB566/'🎚️ Escenario'!$C$11&gt;=36,$AL$23,INDEX($C$23:$AL$23,MAX(1,ROUNDUP(EB566/'🎚️ Escenario'!$C$11,0)))))</f>
        <v>0.79</v>
      </c>
      <c r="EC567" s="236" t="n">
        <f aca="false" t="array" ref="EC567:EC567">IF(EC566=0,0,IF(EC566/'🎚️ Escenario'!$C$11&gt;=36,$AL$23,INDEX($C$23:$AL$23,MAX(1,ROUNDUP(EC566/'🎚️ Escenario'!$C$11,0)))))</f>
        <v>0.79</v>
      </c>
      <c r="ED567" s="236" t="n">
        <f aca="false" t="array" ref="ED567:ED567">IF(ED566=0,0,IF(ED566/'🎚️ Escenario'!$C$11&gt;=36,$AL$23,INDEX($C$23:$AL$23,MAX(1,ROUNDUP(ED566/'🎚️ Escenario'!$C$11,0)))))</f>
        <v>0.8</v>
      </c>
      <c r="EE567" s="236" t="n">
        <f aca="false" t="array" ref="EE567:EE567">IF(EE566=0,0,IF(EE566/'🎚️ Escenario'!$C$11&gt;=36,$AL$23,INDEX($C$23:$AL$23,MAX(1,ROUNDUP(EE566/'🎚️ Escenario'!$C$11,0)))))</f>
        <v>0.82</v>
      </c>
      <c r="EF567" s="236" t="n">
        <f aca="false" t="array" ref="EF567:EF567">IF(EF566=0,0,IF(EF566/'🎚️ Escenario'!$C$11&gt;=36,$AL$23,INDEX($C$23:$AL$23,MAX(1,ROUNDUP(EF566/'🎚️ Escenario'!$C$11,0)))))</f>
        <v>0.84</v>
      </c>
      <c r="EG567" s="236" t="n">
        <f aca="false" t="array" ref="EG567:EG567">IF(EG566=0,0,IF(EG566/'🎚️ Escenario'!$C$11&gt;=36,$AL$23,INDEX($C$23:$AL$23,MAX(1,ROUNDUP(EG566/'🎚️ Escenario'!$C$11,0)))))</f>
        <v>0.85</v>
      </c>
      <c r="EH567" s="236" t="n">
        <f aca="false" t="array" ref="EH567:EH567">IF(EH566=0,0,IF(EH566/'🎚️ Escenario'!$C$11&gt;=36,$AL$23,INDEX($C$23:$AL$23,MAX(1,ROUNDUP(EH566/'🎚️ Escenario'!$C$11,0)))))</f>
        <v>0.85</v>
      </c>
      <c r="EI567" s="236" t="n">
        <f aca="false" t="array" ref="EI567:EI567">IF(EI566=0,0,IF(EI566/'🎚️ Escenario'!$C$11&gt;=36,$AL$23,INDEX($C$23:$AL$23,MAX(1,ROUNDUP(EI566/'🎚️ Escenario'!$C$11,0)))))</f>
        <v>0.86</v>
      </c>
      <c r="EJ567" s="236" t="n">
        <f aca="false" t="array" ref="EJ567:EJ567">IF(EJ566=0,0,IF(EJ566/'🎚️ Escenario'!$C$11&gt;=36,$AL$23,INDEX($C$23:$AL$23,MAX(1,ROUNDUP(EJ566/'🎚️ Escenario'!$C$11,0)))))</f>
        <v>0.88</v>
      </c>
      <c r="EK567" s="236" t="n">
        <f aca="false" t="array" ref="EK567:EK567">IF(EK566=0,0,IF(EK566/'🎚️ Escenario'!$C$11&gt;=36,$AL$23,INDEX($C$23:$AL$23,MAX(1,ROUNDUP(EK566/'🎚️ Escenario'!$C$11,0)))))</f>
        <v>0.89</v>
      </c>
      <c r="EL567" s="236" t="n">
        <f aca="false" t="array" ref="EL567:EL567">IF(EL566=0,0,IF(EL566/'🎚️ Escenario'!$C$11&gt;=36,$AL$23,INDEX($C$23:$AL$23,MAX(1,ROUNDUP(EL566/'🎚️ Escenario'!$C$11,0)))))</f>
        <v>0.9</v>
      </c>
      <c r="EM567" s="236" t="n">
        <f aca="false" t="array" ref="EM567:EM567">IF(EM566=0,0,IF(EM566/'🎚️ Escenario'!$C$11&gt;=36,$AL$23,INDEX($C$23:$AL$23,MAX(1,ROUNDUP(EM566/'🎚️ Escenario'!$C$11,0)))))</f>
        <v>0.9</v>
      </c>
      <c r="EN567" s="236" t="n">
        <f aca="false" t="array" ref="EN567:EN567">IF(EN566=0,0,IF(EN566/'🎚️ Escenario'!$C$11&gt;=36,$AL$23,INDEX($C$23:$AL$23,MAX(1,ROUNDUP(EN566/'🎚️ Escenario'!$C$11,0)))))</f>
        <v>0.92</v>
      </c>
      <c r="EO567" s="236" t="n">
        <f aca="false" t="array" ref="EO567:EO567">IF(EO566=0,0,IF(EO566/'🎚️ Escenario'!$C$11&gt;=36,$AL$23,INDEX($C$23:$AL$23,MAX(1,ROUNDUP(EO566/'🎚️ Escenario'!$C$11,0)))))</f>
        <v>0.93</v>
      </c>
      <c r="EP567" s="236" t="n">
        <f aca="false" t="array" ref="EP567:EP567">IF(EP566=0,0,IF(EP566/'🎚️ Escenario'!$C$11&gt;=36,$AL$23,INDEX($C$23:$AL$23,MAX(1,ROUNDUP(EP566/'🎚️ Escenario'!$C$11,0)))))</f>
        <v>0.94</v>
      </c>
      <c r="EQ567" s="236" t="n">
        <f aca="false" t="array" ref="EQ567:EQ567">IF(EQ566=0,0,IF(EQ566/'🎚️ Escenario'!$C$11&gt;=36,$AL$23,INDEX($C$23:$AL$23,MAX(1,ROUNDUP(EQ566/'🎚️ Escenario'!$C$11,0)))))</f>
        <v>0.95</v>
      </c>
      <c r="ER567" s="236" t="n">
        <f aca="false" t="array" ref="ER567:ER567">IF(ER566=0,0,IF(ER566/'🎚️ Escenario'!$C$11&gt;=36,$AL$23,INDEX($C$23:$AL$23,MAX(1,ROUNDUP(ER566/'🎚️ Escenario'!$C$11,0)))))</f>
        <v>0.95</v>
      </c>
      <c r="ES567" s="9" t="n">
        <f aca="false" t="array" ref="ES567:ES567">IF(ES566=0,0,IF(ES566/'🎚️ Escenario'!$C$11&gt;=36,$AL$23,INDEX($C$23:$AL$23,MAX(1,ROUNDUP(ES566/'🎚️ Escenario'!$C$11,0)))))</f>
        <v>0.97</v>
      </c>
      <c r="ET567" s="9" t="n">
        <f aca="false" t="array" ref="ET567:ET567">IF(ET566=0,0,IF(ET566/'🎚️ Escenario'!$C$11&gt;=36,$AL$23,INDEX($C$23:$AL$23,MAX(1,ROUNDUP(ET566/'🎚️ Escenario'!$C$11,0)))))</f>
        <v>0.98</v>
      </c>
      <c r="EU567" s="9" t="n">
        <f aca="false" t="array" ref="EU567:EU567">IF(EU566=0,0,IF(EU566/'🎚️ Escenario'!$C$11&gt;=36,$AL$23,INDEX($C$23:$AL$23,MAX(1,ROUNDUP(EU566/'🎚️ Escenario'!$C$11,0)))))</f>
        <v>0.99</v>
      </c>
      <c r="EV567" s="9" t="n">
        <f aca="false" t="array" ref="EV567:EV567">IF(EV566=0,0,IF(EV566/'🎚️ Escenario'!$C$11&gt;=36,$AL$23,INDEX($C$23:$AL$23,MAX(1,ROUNDUP(EV566/'🎚️ Escenario'!$C$11,0)))))</f>
        <v>1</v>
      </c>
      <c r="EW567" s="9" t="n">
        <f aca="false" t="array" ref="EW567:EW567">IF(EW566=0,0,IF(EW566/'🎚️ Escenario'!$C$11&gt;=36,$AL$23,INDEX($C$23:$AL$23,MAX(1,ROUNDUP(EW566/'🎚️ Escenario'!$C$11,0)))))</f>
        <v>1</v>
      </c>
      <c r="EX567" s="9" t="n">
        <f aca="false" t="array" ref="EX567:EX567">IF(EX566=0,0,IF(EX566/'🎚️ Escenario'!$C$11&gt;=36,$AL$23,INDEX($C$23:$AL$23,MAX(1,ROUNDUP(EX566/'🎚️ Escenario'!$C$11,0)))))</f>
        <v>1</v>
      </c>
      <c r="EY567" s="9" t="n">
        <f aca="false" t="array" ref="EY567:EY567">IF(EY566=0,0,IF(EY566/'🎚️ Escenario'!$C$11&gt;=36,$AL$23,INDEX($C$23:$AL$23,MAX(1,ROUNDUP(EY566/'🎚️ Escenario'!$C$11,0)))))</f>
        <v>1</v>
      </c>
      <c r="EZ567" s="9" t="n">
        <f aca="false" t="array" ref="EZ567:EZ567">IF(EZ566=0,0,IF(EZ566/'🎚️ Escenario'!$C$11&gt;=36,$AL$23,INDEX($C$23:$AL$23,MAX(1,ROUNDUP(EZ566/'🎚️ Escenario'!$C$11,0)))))</f>
        <v>1</v>
      </c>
      <c r="FA567" s="9" t="n">
        <f aca="false" t="array" ref="FA567:FA567">IF(FA566=0,0,IF(FA566/'🎚️ Escenario'!$C$11&gt;=36,$AL$23,INDEX($C$23:$AL$23,MAX(1,ROUNDUP(FA566/'🎚️ Escenario'!$C$11,0)))))</f>
        <v>1</v>
      </c>
      <c r="FB567" s="9" t="n">
        <f aca="false" t="array" ref="FB567:FB567">IF(FB566=0,0,IF(FB566/'🎚️ Escenario'!$C$11&gt;=36,$AL$23,INDEX($C$23:$AL$23,MAX(1,ROUNDUP(FB566/'🎚️ Escenario'!$C$11,0)))))</f>
        <v>1</v>
      </c>
      <c r="FC567" s="9" t="n">
        <f aca="false" t="array" ref="FC567:FC567">IF(FC566=0,0,IF(FC566/'🎚️ Escenario'!$C$11&gt;=36,$AL$23,INDEX($C$23:$AL$23,MAX(1,ROUNDUP(FC566/'🎚️ Escenario'!$C$11,0)))))</f>
        <v>1</v>
      </c>
      <c r="FD567" s="9" t="n">
        <f aca="false" t="array" ref="FD567:FD567">IF(FD566=0,0,IF(FD566/'🎚️ Escenario'!$C$11&gt;=36,$AL$23,INDEX($C$23:$AL$23,MAX(1,ROUNDUP(FD566/'🎚️ Escenario'!$C$11,0)))))</f>
        <v>1</v>
      </c>
      <c r="FE567" s="9" t="n">
        <f aca="false" t="array" ref="FE567:FE567">IF(FE566=0,0,IF(FE566/'🎚️ Escenario'!$C$11&gt;=36,$AL$23,INDEX($C$23:$AL$23,MAX(1,ROUNDUP(FE566/'🎚️ Escenario'!$C$11,0)))))</f>
        <v>1</v>
      </c>
      <c r="FF567" s="9" t="n">
        <f aca="false" t="array" ref="FF567:FF567">IF(FF566=0,0,IF(FF566/'🎚️ Escenario'!$C$11&gt;=36,$AL$23,INDEX($C$23:$AL$23,MAX(1,ROUNDUP(FF566/'🎚️ Escenario'!$C$11,0)))))</f>
        <v>1</v>
      </c>
      <c r="FG567" s="9" t="n">
        <f aca="false" t="array" ref="FG567:FG567">IF(FG566=0,0,IF(FG566/'🎚️ Escenario'!$C$11&gt;=36,$AL$23,INDEX($C$23:$AL$23,MAX(1,ROUNDUP(FG566/'🎚️ Escenario'!$C$11,0)))))</f>
        <v>1</v>
      </c>
      <c r="FH567" s="9" t="n">
        <f aca="false" t="array" ref="FH567:FH567">IF(FH566=0,0,IF(FH566/'🎚️ Escenario'!$C$11&gt;=36,$AL$23,INDEX($C$23:$AL$23,MAX(1,ROUNDUP(FH566/'🎚️ Escenario'!$C$11,0)))))</f>
        <v>1</v>
      </c>
      <c r="FI567" s="9" t="n">
        <f aca="false" t="array" ref="FI567:FI567">IF(FI566=0,0,IF(FI566/'🎚️ Escenario'!$C$11&gt;=36,$AL$23,INDEX($C$23:$AL$23,MAX(1,ROUNDUP(FI566/'🎚️ Escenario'!$C$11,0)))))</f>
        <v>1</v>
      </c>
      <c r="FJ567" s="9" t="n">
        <f aca="false" t="array" ref="FJ567:FJ567">IF(FJ566=0,0,IF(FJ566/'🎚️ Escenario'!$C$11&gt;=36,$AL$23,INDEX($C$23:$AL$23,MAX(1,ROUNDUP(FJ566/'🎚️ Escenario'!$C$11,0)))))</f>
        <v>1</v>
      </c>
      <c r="FK567" s="9" t="n">
        <f aca="false" t="array" ref="FK567:FK567">IF(FK566=0,0,IF(FK566/'🎚️ Escenario'!$C$11&gt;=36,$AL$23,INDEX($C$23:$AL$23,MAX(1,ROUNDUP(FK566/'🎚️ Escenario'!$C$11,0)))))</f>
        <v>1</v>
      </c>
      <c r="FL567" s="9" t="n">
        <f aca="false" t="array" ref="FL567:FL567">IF(FL566=0,0,IF(FL566/'🎚️ Escenario'!$C$11&gt;=36,$AL$23,INDEX($C$23:$AL$23,MAX(1,ROUNDUP(FL566/'🎚️ Escenario'!$C$11,0)))))</f>
        <v>1</v>
      </c>
      <c r="FM567" s="9" t="n">
        <f aca="false" t="array" ref="FM567:FM567">IF(FM566=0,0,IF(FM566/'🎚️ Escenario'!$C$11&gt;=36,$AL$23,INDEX($C$23:$AL$23,MAX(1,ROUNDUP(FM566/'🎚️ Escenario'!$C$11,0)))))</f>
        <v>1</v>
      </c>
      <c r="FN567" s="9" t="n">
        <f aca="false" t="array" ref="FN567:FN567">IF(FN566=0,0,IF(FN566/'🎚️ Escenario'!$C$11&gt;=36,$AL$23,INDEX($C$23:$AL$23,MAX(1,ROUNDUP(FN566/'🎚️ Escenario'!$C$11,0)))))</f>
        <v>1</v>
      </c>
      <c r="FO567" s="9" t="n">
        <f aca="false" t="array" ref="FO567:FO567">IF(FO566=0,0,IF(FO566/'🎚️ Escenario'!$C$11&gt;=36,$AL$23,INDEX($C$23:$AL$23,MAX(1,ROUNDUP(FO566/'🎚️ Escenario'!$C$11,0)))))</f>
        <v>1</v>
      </c>
      <c r="FP567" s="9" t="n">
        <f aca="false" t="array" ref="FP567:FP567">IF(FP566=0,0,IF(FP566/'🎚️ Escenario'!$C$11&gt;=36,$AL$23,INDEX($C$23:$AL$23,MAX(1,ROUNDUP(FP566/'🎚️ Escenario'!$C$11,0)))))</f>
        <v>1</v>
      </c>
    </row>
    <row r="568" customFormat="false" ht="15" hidden="false" customHeight="false" outlineLevel="2" collapsed="false">
      <c r="B568" s="9" t="s">
        <v>875</v>
      </c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237" t="n">
        <f aca="false">IF(AC566=0,0,IF(AC566&lt;=12*'🎚️ Escenario'!$C$11,1,1+$C$6))</f>
        <v>0</v>
      </c>
      <c r="AD568" s="237" t="n">
        <f aca="false">IF(AD566=0,0,IF(AD566&lt;=12*'🎚️ Escenario'!$C$11,1,1+$C$6))</f>
        <v>0</v>
      </c>
      <c r="AE568" s="237" t="n">
        <f aca="false">IF(AE566=0,0,IF(AE566&lt;=12*'🎚️ Escenario'!$C$11,1,1+$C$6))</f>
        <v>0</v>
      </c>
      <c r="AF568" s="237" t="n">
        <f aca="false">IF(AF566=0,0,IF(AF566&lt;=12*'🎚️ Escenario'!$C$11,1,1+$C$6))</f>
        <v>0</v>
      </c>
      <c r="AG568" s="237" t="n">
        <f aca="false">IF(AG566=0,0,IF(AG566&lt;=12*'🎚️ Escenario'!$C$11,1,1+$C$6))</f>
        <v>0</v>
      </c>
      <c r="AH568" s="237" t="n">
        <f aca="false">IF(AH566=0,0,IF(AH566&lt;=12*'🎚️ Escenario'!$C$11,1,1+$C$6))</f>
        <v>0</v>
      </c>
      <c r="AI568" s="237" t="n">
        <f aca="false">IF(AI566=0,0,IF(AI566&lt;=12*'🎚️ Escenario'!$C$11,1,1+$C$6))</f>
        <v>0</v>
      </c>
      <c r="AJ568" s="237" t="n">
        <f aca="false">IF(AJ566=0,0,IF(AJ566&lt;=12*'🎚️ Escenario'!$C$11,1,1+$C$6))</f>
        <v>0</v>
      </c>
      <c r="AK568" s="237" t="n">
        <f aca="false">IF(AK566=0,0,IF(AK566&lt;=12*'🎚️ Escenario'!$C$11,1,1+$C$6))</f>
        <v>0</v>
      </c>
      <c r="AL568" s="237" t="n">
        <f aca="false">IF(AL566=0,0,IF(AL566&lt;=12*'🎚️ Escenario'!$C$11,1,1+$C$6))</f>
        <v>0</v>
      </c>
      <c r="AM568" s="237" t="n">
        <f aca="false">IF(AM566=0,0,IF(AM566&lt;=12*'🎚️ Escenario'!$C$11,1,1+$C$6))</f>
        <v>0</v>
      </c>
      <c r="AN568" s="237" t="n">
        <f aca="false">IF(AN566=0,0,IF(AN566&lt;=12*'🎚️ Escenario'!$C$11,1,1+$C$6))</f>
        <v>0</v>
      </c>
      <c r="AO568" s="237" t="n">
        <f aca="false">IF(AO566=0,0,IF(AO566&lt;=12*'🎚️ Escenario'!$C$11,1,1+$C$6))</f>
        <v>0</v>
      </c>
      <c r="AP568" s="237" t="n">
        <f aca="false">IF(AP566=0,0,IF(AP566&lt;=12*'🎚️ Escenario'!$C$11,1,1+$C$6))</f>
        <v>0</v>
      </c>
      <c r="AQ568" s="237" t="n">
        <f aca="false">IF(AQ566=0,0,IF(AQ566&lt;=12*'🎚️ Escenario'!$C$11,1,1+$C$6))</f>
        <v>0</v>
      </c>
      <c r="AR568" s="237" t="n">
        <f aca="false">IF(AR566=0,0,IF(AR566&lt;=12*'🎚️ Escenario'!$C$11,1,1+$C$6))</f>
        <v>0</v>
      </c>
      <c r="AS568" s="237" t="n">
        <f aca="false">IF(AS566=0,0,IF(AS566&lt;=12*'🎚️ Escenario'!$C$11,1,1+$C$6))</f>
        <v>0</v>
      </c>
      <c r="AT568" s="237" t="n">
        <f aca="false">IF(AT566=0,0,IF(AT566&lt;=12*'🎚️ Escenario'!$C$11,1,1+$C$6))</f>
        <v>0</v>
      </c>
      <c r="AU568" s="237" t="n">
        <f aca="false">IF(AU566=0,0,IF(AU566&lt;=12*'🎚️ Escenario'!$C$11,1,1+$C$6))</f>
        <v>0</v>
      </c>
      <c r="AV568" s="237" t="n">
        <f aca="false">IF(AV566=0,0,IF(AV566&lt;=12*'🎚️ Escenario'!$C$11,1,1+$C$6))</f>
        <v>0</v>
      </c>
      <c r="AW568" s="237" t="n">
        <f aca="false">IF(AW566=0,0,IF(AW566&lt;=12*'🎚️ Escenario'!$C$11,1,1+$C$6))</f>
        <v>0</v>
      </c>
      <c r="AX568" s="237" t="n">
        <f aca="false">IF(AX566=0,0,IF(AX566&lt;=12*'🎚️ Escenario'!$C$11,1,1+$C$6))</f>
        <v>0</v>
      </c>
      <c r="AY568" s="237" t="n">
        <f aca="false">IF(AY566=0,0,IF(AY566&lt;=12*'🎚️ Escenario'!$C$11,1,1+$C$6))</f>
        <v>0</v>
      </c>
      <c r="AZ568" s="237" t="n">
        <f aca="false">IF(AZ566=0,0,IF(AZ566&lt;=12*'🎚️ Escenario'!$C$11,1,1+$C$6))</f>
        <v>0</v>
      </c>
      <c r="BA568" s="237" t="n">
        <f aca="false">IF(BA566=0,0,IF(BA566&lt;=12*'🎚️ Escenario'!$C$11,1,1+$C$6))</f>
        <v>0</v>
      </c>
      <c r="BB568" s="237" t="n">
        <f aca="false">IF(BB566=0,0,IF(BB566&lt;=12*'🎚️ Escenario'!$C$11,1,1+$C$6))</f>
        <v>0</v>
      </c>
      <c r="BC568" s="237" t="n">
        <f aca="false">IF(BC566=0,0,IF(BC566&lt;=12*'🎚️ Escenario'!$C$11,1,1+$C$6))</f>
        <v>0</v>
      </c>
      <c r="BD568" s="237" t="n">
        <f aca="false">IF(BD566=0,0,IF(BD566&lt;=12*'🎚️ Escenario'!$C$11,1,1+$C$6))</f>
        <v>0</v>
      </c>
      <c r="BE568" s="237" t="n">
        <f aca="false">IF(BE566=0,0,IF(BE566&lt;=12*'🎚️ Escenario'!$C$11,1,1+$C$6))</f>
        <v>0</v>
      </c>
      <c r="BF568" s="237" t="n">
        <f aca="false">IF(BF566=0,0,IF(BF566&lt;=12*'🎚️ Escenario'!$C$11,1,1+$C$6))</f>
        <v>0</v>
      </c>
      <c r="BG568" s="237" t="n">
        <f aca="false">IF(BG566=0,0,IF(BG566&lt;=12*'🎚️ Escenario'!$C$11,1,1+$C$6))</f>
        <v>0</v>
      </c>
      <c r="BH568" s="237" t="n">
        <f aca="false">IF(BH566=0,0,IF(BH566&lt;=12*'🎚️ Escenario'!$C$11,1,1+$C$6))</f>
        <v>0</v>
      </c>
      <c r="BI568" s="237" t="n">
        <f aca="false">IF(BI566=0,0,IF(BI566&lt;=12*'🎚️ Escenario'!$C$11,1,1+$C$6))</f>
        <v>0</v>
      </c>
      <c r="BJ568" s="237" t="n">
        <f aca="false">IF(BJ566=0,0,IF(BJ566&lt;=12*'🎚️ Escenario'!$C$11,1,1+$C$6))</f>
        <v>0</v>
      </c>
      <c r="BK568" s="237" t="n">
        <f aca="false">IF(BK566=0,0,IF(BK566&lt;=12*'🎚️ Escenario'!$C$11,1,1+$C$6))</f>
        <v>0</v>
      </c>
      <c r="BL568" s="237" t="n">
        <f aca="false">IF(BL566=0,0,IF(BL566&lt;=12*'🎚️ Escenario'!$C$11,1,1+$C$6))</f>
        <v>0</v>
      </c>
      <c r="BM568" s="237" t="n">
        <f aca="false">IF(BM566=0,0,IF(BM566&lt;=12*'🎚️ Escenario'!$C$11,1,1+$C$6))</f>
        <v>0</v>
      </c>
      <c r="BN568" s="237" t="n">
        <f aca="false">IF(BN566=0,0,IF(BN566&lt;=12*'🎚️ Escenario'!$C$11,1,1+$C$6))</f>
        <v>0</v>
      </c>
      <c r="BO568" s="237" t="n">
        <f aca="false">IF(BO566=0,0,IF(BO566&lt;=12*'🎚️ Escenario'!$C$11,1,1+$C$6))</f>
        <v>0</v>
      </c>
      <c r="BP568" s="237" t="n">
        <f aca="false">IF(BP566=0,0,IF(BP566&lt;=12*'🎚️ Escenario'!$C$11,1,1+$C$6))</f>
        <v>0</v>
      </c>
      <c r="BQ568" s="237" t="n">
        <f aca="false">IF(BQ566=0,0,IF(BQ566&lt;=12*'🎚️ Escenario'!$C$11,1,1+$C$6))</f>
        <v>0</v>
      </c>
      <c r="BR568" s="237" t="n">
        <f aca="false">IF(BR566=0,0,IF(BR566&lt;=12*'🎚️ Escenario'!$C$11,1,1+$C$6))</f>
        <v>0</v>
      </c>
      <c r="BS568" s="237" t="n">
        <f aca="false">IF(BS566=0,0,IF(BS566&lt;=12*'🎚️ Escenario'!$C$11,1,1+$C$6))</f>
        <v>0</v>
      </c>
      <c r="BT568" s="237" t="n">
        <f aca="false">IF(BT566=0,0,IF(BT566&lt;=12*'🎚️ Escenario'!$C$11,1,1+$C$6))</f>
        <v>0</v>
      </c>
      <c r="BU568" s="237" t="n">
        <f aca="false">IF(BU566=0,0,IF(BU566&lt;=12*'🎚️ Escenario'!$C$11,1,1+$C$6))</f>
        <v>0</v>
      </c>
      <c r="BV568" s="237" t="n">
        <f aca="false">IF(BV566=0,0,IF(BV566&lt;=12*'🎚️ Escenario'!$C$11,1,1+$C$6))</f>
        <v>0</v>
      </c>
      <c r="BW568" s="237" t="n">
        <f aca="false">IF(BW566=0,0,IF(BW566&lt;=12*'🎚️ Escenario'!$C$11,1,1+$C$6))</f>
        <v>0</v>
      </c>
      <c r="BX568" s="237" t="n">
        <f aca="false">IF(BX566=0,0,IF(BX566&lt;=12*'🎚️ Escenario'!$C$11,1,1+$C$6))</f>
        <v>0</v>
      </c>
      <c r="BY568" s="237" t="n">
        <f aca="false">IF(BY566=0,0,IF(BY566&lt;=12*'🎚️ Escenario'!$C$11,1,1+$C$6))</f>
        <v>0</v>
      </c>
      <c r="BZ568" s="237" t="n">
        <f aca="false">IF(BZ566=0,0,IF(BZ566&lt;=12*'🎚️ Escenario'!$C$11,1,1+$C$6))</f>
        <v>0</v>
      </c>
      <c r="CA568" s="237" t="n">
        <f aca="false">IF(CA566=0,0,IF(CA566&lt;=12*'🎚️ Escenario'!$C$11,1,1+$C$6))</f>
        <v>0</v>
      </c>
      <c r="CB568" s="237" t="n">
        <f aca="false">IF(CB566=0,0,IF(CB566&lt;=12*'🎚️ Escenario'!$C$11,1,1+$C$6))</f>
        <v>0</v>
      </c>
      <c r="CC568" s="237" t="n">
        <f aca="false">IF(CC566=0,0,IF(CC566&lt;=12*'🎚️ Escenario'!$C$11,1,1+$C$6))</f>
        <v>0</v>
      </c>
      <c r="CD568" s="237" t="n">
        <f aca="false">IF(CD566=0,0,IF(CD566&lt;=12*'🎚️ Escenario'!$C$11,1,1+$C$6))</f>
        <v>0</v>
      </c>
      <c r="CE568" s="237" t="n">
        <f aca="false">IF(CE566=0,0,IF(CE566&lt;=12*'🎚️ Escenario'!$C$11,1,1+$C$6))</f>
        <v>0</v>
      </c>
      <c r="CF568" s="237" t="n">
        <f aca="false">IF(CF566=0,0,IF(CF566&lt;=12*'🎚️ Escenario'!$C$11,1,1+$C$6))</f>
        <v>0</v>
      </c>
      <c r="CG568" s="237" t="n">
        <f aca="false">IF(CG566=0,0,IF(CG566&lt;=12*'🎚️ Escenario'!$C$11,1,1+$C$6))</f>
        <v>0</v>
      </c>
      <c r="CH568" s="237" t="n">
        <f aca="false">IF(CH566=0,0,IF(CH566&lt;=12*'🎚️ Escenario'!$C$11,1,1+$C$6))</f>
        <v>0</v>
      </c>
      <c r="CI568" s="237" t="n">
        <f aca="false">IF(CI566=0,0,IF(CI566&lt;=12*'🎚️ Escenario'!$C$11,1,1+$C$6))</f>
        <v>0</v>
      </c>
      <c r="CJ568" s="237" t="n">
        <f aca="false">IF(CJ566=0,0,IF(CJ566&lt;=12*'🎚️ Escenario'!$C$11,1,1+$C$6))</f>
        <v>0</v>
      </c>
      <c r="CK568" s="237" t="n">
        <f aca="false">IF(CK566=0,0,IF(CK566&lt;=12*'🎚️ Escenario'!$C$11,1,1+$C$6))</f>
        <v>0</v>
      </c>
      <c r="CL568" s="237" t="n">
        <f aca="false">IF(CL566=0,0,IF(CL566&lt;=12*'🎚️ Escenario'!$C$11,1,1+$C$6))</f>
        <v>0</v>
      </c>
      <c r="CM568" s="237" t="n">
        <f aca="false">IF(CM566=0,0,IF(CM566&lt;=12*'🎚️ Escenario'!$C$11,1,1+$C$6))</f>
        <v>0</v>
      </c>
      <c r="CN568" s="237" t="n">
        <f aca="false">IF(CN566=0,0,IF(CN566&lt;=12*'🎚️ Escenario'!$C$11,1,1+$C$6))</f>
        <v>0</v>
      </c>
      <c r="CO568" s="237" t="n">
        <f aca="false">IF(CO566=0,0,IF(CO566&lt;=12*'🎚️ Escenario'!$C$11,1,1+$C$6))</f>
        <v>0</v>
      </c>
      <c r="CP568" s="237" t="n">
        <f aca="false">IF(CP566=0,0,IF(CP566&lt;=12*'🎚️ Escenario'!$C$11,1,1+$C$6))</f>
        <v>0</v>
      </c>
      <c r="CQ568" s="237" t="n">
        <f aca="false">IF(CQ566=0,0,IF(CQ566&lt;=12*'🎚️ Escenario'!$C$11,1,1+$C$6))</f>
        <v>0</v>
      </c>
      <c r="CR568" s="237" t="n">
        <f aca="false">IF(CR566=0,0,IF(CR566&lt;=12*'🎚️ Escenario'!$C$11,1,1+$C$6))</f>
        <v>0</v>
      </c>
      <c r="CS568" s="237" t="n">
        <f aca="false">IF(CS566=0,0,IF(CS566&lt;=12*'🎚️ Escenario'!$C$11,1,1+$C$6))</f>
        <v>0</v>
      </c>
      <c r="CT568" s="237" t="n">
        <f aca="false">IF(CT566=0,0,IF(CT566&lt;=12*'🎚️ Escenario'!$C$11,1,1+$C$6))</f>
        <v>0</v>
      </c>
      <c r="CU568" s="237" t="n">
        <f aca="false">IF(CU566=0,0,IF(CU566&lt;=12*'🎚️ Escenario'!$C$11,1,1+$C$6))</f>
        <v>0</v>
      </c>
      <c r="CV568" s="237" t="n">
        <f aca="false">IF(CV566=0,0,IF(CV566&lt;=12*'🎚️ Escenario'!$C$11,1,1+$C$6))</f>
        <v>0</v>
      </c>
      <c r="CW568" s="237" t="n">
        <f aca="false">IF(CW566=0,0,IF(CW566&lt;=12*'🎚️ Escenario'!$C$11,1,1+$C$6))</f>
        <v>0</v>
      </c>
      <c r="CX568" s="237" t="n">
        <f aca="false">IF(CX566=0,0,IF(CX566&lt;=12*'🎚️ Escenario'!$C$11,1,1+$C$6))</f>
        <v>0</v>
      </c>
      <c r="CY568" s="237" t="n">
        <f aca="false">IF(CY566=0,0,IF(CY566&lt;=12*'🎚️ Escenario'!$C$11,1,1+$C$6))</f>
        <v>0</v>
      </c>
      <c r="CZ568" s="237" t="n">
        <f aca="false">IF(CZ566=0,0,IF(CZ566&lt;=12*'🎚️ Escenario'!$C$11,1,1+$C$6))</f>
        <v>0</v>
      </c>
      <c r="DA568" s="237" t="n">
        <f aca="false">IF(DA566=0,0,IF(DA566&lt;=12*'🎚️ Escenario'!$C$11,1,1+$C$6))</f>
        <v>0</v>
      </c>
      <c r="DB568" s="237" t="n">
        <f aca="false">IF(DB566=0,0,IF(DB566&lt;=12*'🎚️ Escenario'!$C$11,1,1+$C$6))</f>
        <v>0</v>
      </c>
      <c r="DC568" s="237" t="n">
        <f aca="false">IF(DC566=0,0,IF(DC566&lt;=12*'🎚️ Escenario'!$C$11,1,1+$C$6))</f>
        <v>0</v>
      </c>
      <c r="DD568" s="237" t="n">
        <f aca="false">IF(DD566=0,0,IF(DD566&lt;=12*'🎚️ Escenario'!$C$11,1,1+$C$6))</f>
        <v>0</v>
      </c>
      <c r="DE568" s="237" t="n">
        <f aca="false">IF(DE566=0,0,IF(DE566&lt;=12*'🎚️ Escenario'!$C$11,1,1+$C$6))</f>
        <v>1</v>
      </c>
      <c r="DF568" s="237" t="n">
        <f aca="false">IF(DF566=0,0,IF(DF566&lt;=12*'🎚️ Escenario'!$C$11,1,1+$C$6))</f>
        <v>1</v>
      </c>
      <c r="DG568" s="237" t="n">
        <f aca="false">IF(DG566=0,0,IF(DG566&lt;=12*'🎚️ Escenario'!$C$11,1,1+$C$6))</f>
        <v>1</v>
      </c>
      <c r="DH568" s="237" t="n">
        <f aca="false">IF(DH566=0,0,IF(DH566&lt;=12*'🎚️ Escenario'!$C$11,1,1+$C$6))</f>
        <v>1</v>
      </c>
      <c r="DI568" s="237" t="n">
        <f aca="false">IF(DI566=0,0,IF(DI566&lt;=12*'🎚️ Escenario'!$C$11,1,1+$C$6))</f>
        <v>1</v>
      </c>
      <c r="DJ568" s="237" t="n">
        <f aca="false">IF(DJ566=0,0,IF(DJ566&lt;=12*'🎚️ Escenario'!$C$11,1,1+$C$6))</f>
        <v>1</v>
      </c>
      <c r="DK568" s="237" t="n">
        <f aca="false">IF(DK566=0,0,IF(DK566&lt;=12*'🎚️ Escenario'!$C$11,1,1+$C$6))</f>
        <v>1</v>
      </c>
      <c r="DL568" s="237" t="n">
        <f aca="false">IF(DL566=0,0,IF(DL566&lt;=12*'🎚️ Escenario'!$C$11,1,1+$C$6))</f>
        <v>1</v>
      </c>
      <c r="DM568" s="237" t="n">
        <f aca="false">IF(DM566=0,0,IF(DM566&lt;=12*'🎚️ Escenario'!$C$11,1,1+$C$6))</f>
        <v>1</v>
      </c>
      <c r="DN568" s="237" t="n">
        <f aca="false">IF(DN566=0,0,IF(DN566&lt;=12*'🎚️ Escenario'!$C$11,1,1+$C$6))</f>
        <v>1</v>
      </c>
      <c r="DO568" s="237" t="n">
        <f aca="false">IF(DO566=0,0,IF(DO566&lt;=12*'🎚️ Escenario'!$C$11,1,1+$C$6))</f>
        <v>1</v>
      </c>
      <c r="DP568" s="237" t="n">
        <f aca="false">IF(DP566=0,0,IF(DP566&lt;=12*'🎚️ Escenario'!$C$11,1,1+$C$6))</f>
        <v>1</v>
      </c>
      <c r="DQ568" s="237" t="n">
        <f aca="false">IF(DQ566=0,0,IF(DQ566&lt;=12*'🎚️ Escenario'!$C$11,1,1+$C$6))</f>
        <v>1</v>
      </c>
      <c r="DR568" s="237" t="n">
        <f aca="false">IF(DR566=0,0,IF(DR566&lt;=12*'🎚️ Escenario'!$C$11,1,1+$C$6))</f>
        <v>1</v>
      </c>
      <c r="DS568" s="237" t="n">
        <f aca="false">IF(DS566=0,0,IF(DS566&lt;=12*'🎚️ Escenario'!$C$11,1,1+$C$6))</f>
        <v>1</v>
      </c>
      <c r="DT568" s="237" t="n">
        <f aca="false">IF(DT566=0,0,IF(DT566&lt;=12*'🎚️ Escenario'!$C$11,1,1+$C$6))</f>
        <v>1.2</v>
      </c>
      <c r="DU568" s="237" t="n">
        <f aca="false">IF(DU566=0,0,IF(DU566&lt;=12*'🎚️ Escenario'!$C$11,1,1+$C$6))</f>
        <v>1.2</v>
      </c>
      <c r="DV568" s="237" t="n">
        <f aca="false">IF(DV566=0,0,IF(DV566&lt;=12*'🎚️ Escenario'!$C$11,1,1+$C$6))</f>
        <v>1.2</v>
      </c>
      <c r="DW568" s="237" t="n">
        <f aca="false">IF(DW566=0,0,IF(DW566&lt;=12*'🎚️ Escenario'!$C$11,1,1+$C$6))</f>
        <v>1.2</v>
      </c>
      <c r="DX568" s="237" t="n">
        <f aca="false">IF(DX566=0,0,IF(DX566&lt;=12*'🎚️ Escenario'!$C$11,1,1+$C$6))</f>
        <v>1.2</v>
      </c>
      <c r="DY568" s="237" t="n">
        <f aca="false">IF(DY566=0,0,IF(DY566&lt;=12*'🎚️ Escenario'!$C$11,1,1+$C$6))</f>
        <v>1.2</v>
      </c>
      <c r="DZ568" s="237" t="n">
        <f aca="false">IF(DZ566=0,0,IF(DZ566&lt;=12*'🎚️ Escenario'!$C$11,1,1+$C$6))</f>
        <v>1.2</v>
      </c>
      <c r="EA568" s="237" t="n">
        <f aca="false">IF(EA566=0,0,IF(EA566&lt;=12*'🎚️ Escenario'!$C$11,1,1+$C$6))</f>
        <v>1.2</v>
      </c>
      <c r="EB568" s="237" t="n">
        <f aca="false">IF(EB566=0,0,IF(EB566&lt;=12*'🎚️ Escenario'!$C$11,1,1+$C$6))</f>
        <v>1.2</v>
      </c>
      <c r="EC568" s="237" t="n">
        <f aca="false">IF(EC566=0,0,IF(EC566&lt;=12*'🎚️ Escenario'!$C$11,1,1+$C$6))</f>
        <v>1.2</v>
      </c>
      <c r="ED568" s="237" t="n">
        <f aca="false">IF(ED566=0,0,IF(ED566&lt;=12*'🎚️ Escenario'!$C$11,1,1+$C$6))</f>
        <v>1.2</v>
      </c>
      <c r="EE568" s="237" t="n">
        <f aca="false">IF(EE566=0,0,IF(EE566&lt;=12*'🎚️ Escenario'!$C$11,1,1+$C$6))</f>
        <v>1.2</v>
      </c>
      <c r="EF568" s="237" t="n">
        <f aca="false">IF(EF566=0,0,IF(EF566&lt;=12*'🎚️ Escenario'!$C$11,1,1+$C$6))</f>
        <v>1.2</v>
      </c>
      <c r="EG568" s="237" t="n">
        <f aca="false">IF(EG566=0,0,IF(EG566&lt;=12*'🎚️ Escenario'!$C$11,1,1+$C$6))</f>
        <v>1.2</v>
      </c>
      <c r="EH568" s="237" t="n">
        <f aca="false">IF(EH566=0,0,IF(EH566&lt;=12*'🎚️ Escenario'!$C$11,1,1+$C$6))</f>
        <v>1.2</v>
      </c>
      <c r="EI568" s="237" t="n">
        <f aca="false">IF(EI566=0,0,IF(EI566&lt;=12*'🎚️ Escenario'!$C$11,1,1+$C$6))</f>
        <v>1.2</v>
      </c>
      <c r="EJ568" s="237" t="n">
        <f aca="false">IF(EJ566=0,0,IF(EJ566&lt;=12*'🎚️ Escenario'!$C$11,1,1+$C$6))</f>
        <v>1.2</v>
      </c>
      <c r="EK568" s="237" t="n">
        <f aca="false">IF(EK566=0,0,IF(EK566&lt;=12*'🎚️ Escenario'!$C$11,1,1+$C$6))</f>
        <v>1.2</v>
      </c>
      <c r="EL568" s="237" t="n">
        <f aca="false">IF(EL566=0,0,IF(EL566&lt;=12*'🎚️ Escenario'!$C$11,1,1+$C$6))</f>
        <v>1.2</v>
      </c>
      <c r="EM568" s="237" t="n">
        <f aca="false">IF(EM566=0,0,IF(EM566&lt;=12*'🎚️ Escenario'!$C$11,1,1+$C$6))</f>
        <v>1.2</v>
      </c>
      <c r="EN568" s="237" t="n">
        <f aca="false">IF(EN566=0,0,IF(EN566&lt;=12*'🎚️ Escenario'!$C$11,1,1+$C$6))</f>
        <v>1.2</v>
      </c>
      <c r="EO568" s="237" t="n">
        <f aca="false">IF(EO566=0,0,IF(EO566&lt;=12*'🎚️ Escenario'!$C$11,1,1+$C$6))</f>
        <v>1.2</v>
      </c>
      <c r="EP568" s="237" t="n">
        <f aca="false">IF(EP566=0,0,IF(EP566&lt;=12*'🎚️ Escenario'!$C$11,1,1+$C$6))</f>
        <v>1.2</v>
      </c>
      <c r="EQ568" s="237" t="n">
        <f aca="false">IF(EQ566=0,0,IF(EQ566&lt;=12*'🎚️ Escenario'!$C$11,1,1+$C$6))</f>
        <v>1.2</v>
      </c>
      <c r="ER568" s="237" t="n">
        <f aca="false">IF(ER566=0,0,IF(ER566&lt;=12*'🎚️ Escenario'!$C$11,1,1+$C$6))</f>
        <v>1.2</v>
      </c>
      <c r="ES568" s="238" t="n">
        <f aca="false">IF(ES566=0,0,IF(ES566&lt;=12*'🎚️ Escenario'!$C$11,1,1+$C$6))</f>
        <v>1.2</v>
      </c>
      <c r="ET568" s="238" t="n">
        <f aca="false">IF(ET566=0,0,IF(ET566&lt;=12*'🎚️ Escenario'!$C$11,1,1+$C$6))</f>
        <v>1.2</v>
      </c>
      <c r="EU568" s="238" t="n">
        <f aca="false">IF(EU566=0,0,IF(EU566&lt;=12*'🎚️ Escenario'!$C$11,1,1+$C$6))</f>
        <v>1.2</v>
      </c>
      <c r="EV568" s="238" t="n">
        <f aca="false">IF(EV566=0,0,IF(EV566&lt;=12*'🎚️ Escenario'!$C$11,1,1+$C$6))</f>
        <v>1.2</v>
      </c>
      <c r="EW568" s="238" t="n">
        <f aca="false">IF(EW566=0,0,IF(EW566&lt;=12*'🎚️ Escenario'!$C$11,1,1+$C$6))</f>
        <v>1.2</v>
      </c>
      <c r="EX568" s="238" t="n">
        <f aca="false">IF(EX566=0,0,IF(EX566&lt;=12*'🎚️ Escenario'!$C$11,1,1+$C$6))</f>
        <v>1.2</v>
      </c>
      <c r="EY568" s="238" t="n">
        <f aca="false">IF(EY566=0,0,IF(EY566&lt;=12*'🎚️ Escenario'!$C$11,1,1+$C$6))</f>
        <v>1.2</v>
      </c>
      <c r="EZ568" s="238" t="n">
        <f aca="false">IF(EZ566=0,0,IF(EZ566&lt;=12*'🎚️ Escenario'!$C$11,1,1+$C$6))</f>
        <v>1.2</v>
      </c>
      <c r="FA568" s="238" t="n">
        <f aca="false">IF(FA566=0,0,IF(FA566&lt;=12*'🎚️ Escenario'!$C$11,1,1+$C$6))</f>
        <v>1.2</v>
      </c>
      <c r="FB568" s="238" t="n">
        <f aca="false">IF(FB566=0,0,IF(FB566&lt;=12*'🎚️ Escenario'!$C$11,1,1+$C$6))</f>
        <v>1.2</v>
      </c>
      <c r="FC568" s="238" t="n">
        <f aca="false">IF(FC566=0,0,IF(FC566&lt;=12*'🎚️ Escenario'!$C$11,1,1+$C$6))</f>
        <v>1.2</v>
      </c>
      <c r="FD568" s="238" t="n">
        <f aca="false">IF(FD566=0,0,IF(FD566&lt;=12*'🎚️ Escenario'!$C$11,1,1+$C$6))</f>
        <v>1.2</v>
      </c>
      <c r="FE568" s="238" t="n">
        <f aca="false">IF(FE566=0,0,IF(FE566&lt;=12*'🎚️ Escenario'!$C$11,1,1+$C$6))</f>
        <v>1.2</v>
      </c>
      <c r="FF568" s="238" t="n">
        <f aca="false">IF(FF566=0,0,IF(FF566&lt;=12*'🎚️ Escenario'!$C$11,1,1+$C$6))</f>
        <v>1.2</v>
      </c>
      <c r="FG568" s="238" t="n">
        <f aca="false">IF(FG566=0,0,IF(FG566&lt;=12*'🎚️ Escenario'!$C$11,1,1+$C$6))</f>
        <v>1.2</v>
      </c>
      <c r="FH568" s="238" t="n">
        <f aca="false">IF(FH566=0,0,IF(FH566&lt;=12*'🎚️ Escenario'!$C$11,1,1+$C$6))</f>
        <v>1.2</v>
      </c>
      <c r="FI568" s="238" t="n">
        <f aca="false">IF(FI566=0,0,IF(FI566&lt;=12*'🎚️ Escenario'!$C$11,1,1+$C$6))</f>
        <v>1.2</v>
      </c>
      <c r="FJ568" s="238" t="n">
        <f aca="false">IF(FJ566=0,0,IF(FJ566&lt;=12*'🎚️ Escenario'!$C$11,1,1+$C$6))</f>
        <v>1.2</v>
      </c>
      <c r="FK568" s="238" t="n">
        <f aca="false">IF(FK566=0,0,IF(FK566&lt;=12*'🎚️ Escenario'!$C$11,1,1+$C$6))</f>
        <v>1.2</v>
      </c>
      <c r="FL568" s="238" t="n">
        <f aca="false">IF(FL566=0,0,IF(FL566&lt;=12*'🎚️ Escenario'!$C$11,1,1+$C$6))</f>
        <v>1.2</v>
      </c>
      <c r="FM568" s="238" t="n">
        <f aca="false">IF(FM566=0,0,IF(FM566&lt;=12*'🎚️ Escenario'!$C$11,1,1+$C$6))</f>
        <v>1.2</v>
      </c>
      <c r="FN568" s="238" t="n">
        <f aca="false">IF(FN566=0,0,IF(FN566&lt;=12*'🎚️ Escenario'!$C$11,1,1+$C$6))</f>
        <v>1.2</v>
      </c>
      <c r="FO568" s="238" t="n">
        <f aca="false">IF(FO566=0,0,IF(FO566&lt;=12*'🎚️ Escenario'!$C$11,1,1+$C$6))</f>
        <v>1.2</v>
      </c>
      <c r="FP568" s="238" t="n">
        <f aca="false">IF(FP566=0,0,IF(FP566&lt;=12*'🎚️ Escenario'!$C$11,1,1+$C$6))</f>
        <v>1.2</v>
      </c>
    </row>
    <row r="569" customFormat="false" ht="15" hidden="false" customHeight="false" outlineLevel="2" collapsed="false">
      <c r="B569" s="9" t="s">
        <v>876</v>
      </c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36" t="n">
        <f aca="false">AC567*$AC$565*AC568*AC$38*'⑫ Roll-out Plan'!$O$61</f>
        <v>0</v>
      </c>
      <c r="AD569" s="36" t="n">
        <f aca="false">AD567*$AC$565*AD568*AD$38*'⑫ Roll-out Plan'!$O$61</f>
        <v>0</v>
      </c>
      <c r="AE569" s="36" t="n">
        <f aca="false">AE567*$AC$565*AE568*AE$38*'⑫ Roll-out Plan'!$O$61</f>
        <v>0</v>
      </c>
      <c r="AF569" s="36" t="n">
        <f aca="false">AF567*$AC$565*AF568*AF$38*'⑫ Roll-out Plan'!$O$61</f>
        <v>0</v>
      </c>
      <c r="AG569" s="36" t="n">
        <f aca="false">AG567*$AC$565*AG568*AG$38*'⑫ Roll-out Plan'!$O$61</f>
        <v>0</v>
      </c>
      <c r="AH569" s="36" t="n">
        <f aca="false">AH567*$AC$565*AH568*AH$38*'⑫ Roll-out Plan'!$O$61</f>
        <v>0</v>
      </c>
      <c r="AI569" s="36" t="n">
        <f aca="false">AI567*$AC$565*AI568*AI$38*'⑫ Roll-out Plan'!$O$61</f>
        <v>0</v>
      </c>
      <c r="AJ569" s="36" t="n">
        <f aca="false">AJ567*$AC$565*AJ568*AJ$38*'⑫ Roll-out Plan'!$O$61</f>
        <v>0</v>
      </c>
      <c r="AK569" s="36" t="n">
        <f aca="false">AK567*$AC$565*AK568*AK$38*'⑫ Roll-out Plan'!$O$61</f>
        <v>0</v>
      </c>
      <c r="AL569" s="36" t="n">
        <f aca="false">AL567*$AC$565*AL568*AL$38*'⑫ Roll-out Plan'!$O$61</f>
        <v>0</v>
      </c>
      <c r="AM569" s="36" t="n">
        <f aca="false">AM567*$AC$565*AM568*AM$38*'⑫ Roll-out Plan'!$O$61</f>
        <v>0</v>
      </c>
      <c r="AN569" s="36" t="n">
        <f aca="false">AN567*$AC$565*AN568*AN$38*'⑫ Roll-out Plan'!$O$61</f>
        <v>0</v>
      </c>
      <c r="AO569" s="36" t="n">
        <f aca="false">AO567*$AC$565*AO568*AO$38*'⑫ Roll-out Plan'!$O$61</f>
        <v>0</v>
      </c>
      <c r="AP569" s="36" t="n">
        <f aca="false">AP567*$AC$565*AP568*AP$38*'⑫ Roll-out Plan'!$O$61</f>
        <v>0</v>
      </c>
      <c r="AQ569" s="36" t="n">
        <f aca="false">AQ567*$AC$565*AQ568*AQ$38*'⑫ Roll-out Plan'!$O$61</f>
        <v>0</v>
      </c>
      <c r="AR569" s="36" t="n">
        <f aca="false">AR567*$AC$565*AR568*AR$38*'⑫ Roll-out Plan'!$O$61</f>
        <v>0</v>
      </c>
      <c r="AS569" s="36" t="n">
        <f aca="false">AS567*$AC$565*AS568*AS$38*'⑫ Roll-out Plan'!$O$61</f>
        <v>0</v>
      </c>
      <c r="AT569" s="36" t="n">
        <f aca="false">AT567*$AC$565*AT568*AT$38*'⑫ Roll-out Plan'!$O$61</f>
        <v>0</v>
      </c>
      <c r="AU569" s="36" t="n">
        <f aca="false">AU567*$AC$565*AU568*AU$38*'⑫ Roll-out Plan'!$O$61</f>
        <v>0</v>
      </c>
      <c r="AV569" s="36" t="n">
        <f aca="false">AV567*$AC$565*AV568*AV$38*'⑫ Roll-out Plan'!$O$61</f>
        <v>0</v>
      </c>
      <c r="AW569" s="36" t="n">
        <f aca="false">AW567*$AC$565*AW568*AW$38*'⑫ Roll-out Plan'!$O$61</f>
        <v>0</v>
      </c>
      <c r="AX569" s="36" t="n">
        <f aca="false">AX567*$AC$565*AX568*AX$38*'⑫ Roll-out Plan'!$O$61</f>
        <v>0</v>
      </c>
      <c r="AY569" s="36" t="n">
        <f aca="false">AY567*$AC$565*AY568*AY$38*'⑫ Roll-out Plan'!$O$61</f>
        <v>0</v>
      </c>
      <c r="AZ569" s="36" t="n">
        <f aca="false">AZ567*$AC$565*AZ568*AZ$38*'⑫ Roll-out Plan'!$O$61</f>
        <v>0</v>
      </c>
      <c r="BA569" s="36" t="n">
        <f aca="false">BA567*$AC$565*BA568*BA$38*'⑫ Roll-out Plan'!$O$61</f>
        <v>0</v>
      </c>
      <c r="BB569" s="36" t="n">
        <f aca="false">BB567*$AC$565*BB568*BB$38*'⑫ Roll-out Plan'!$O$61</f>
        <v>0</v>
      </c>
      <c r="BC569" s="36" t="n">
        <f aca="false">BC567*$AC$565*BC568*BC$38*'⑫ Roll-out Plan'!$O$61</f>
        <v>0</v>
      </c>
      <c r="BD569" s="36" t="n">
        <f aca="false">BD567*$AC$565*BD568*BD$38*'⑫ Roll-out Plan'!$O$61</f>
        <v>0</v>
      </c>
      <c r="BE569" s="36" t="n">
        <f aca="false">BE567*$AC$565*BE568*BE$38*'⑫ Roll-out Plan'!$O$61</f>
        <v>0</v>
      </c>
      <c r="BF569" s="36" t="n">
        <f aca="false">BF567*$AC$565*BF568*BF$38*'⑫ Roll-out Plan'!$O$61</f>
        <v>0</v>
      </c>
      <c r="BG569" s="36" t="n">
        <f aca="false">BG567*$AC$565*BG568*BG$38*'⑫ Roll-out Plan'!$O$61</f>
        <v>0</v>
      </c>
      <c r="BH569" s="36" t="n">
        <f aca="false">BH567*$AC$565*BH568*BH$38*'⑫ Roll-out Plan'!$O$61</f>
        <v>0</v>
      </c>
      <c r="BI569" s="36" t="n">
        <f aca="false">BI567*$AC$565*BI568*BI$38*'⑫ Roll-out Plan'!$O$61</f>
        <v>0</v>
      </c>
      <c r="BJ569" s="36" t="n">
        <f aca="false">BJ567*$AC$565*BJ568*BJ$38*'⑫ Roll-out Plan'!$O$61</f>
        <v>0</v>
      </c>
      <c r="BK569" s="36" t="n">
        <f aca="false">BK567*$AC$565*BK568*BK$38*'⑫ Roll-out Plan'!$O$61</f>
        <v>0</v>
      </c>
      <c r="BL569" s="36" t="n">
        <f aca="false">BL567*$AC$565*BL568*BL$38*'⑫ Roll-out Plan'!$O$61</f>
        <v>0</v>
      </c>
      <c r="BM569" s="36" t="n">
        <f aca="false">BM567*$AC$565*BM568*BM$38*'⑫ Roll-out Plan'!$O$61</f>
        <v>0</v>
      </c>
      <c r="BN569" s="36" t="n">
        <f aca="false">BN567*$AC$565*BN568*BN$38*'⑫ Roll-out Plan'!$O$61</f>
        <v>0</v>
      </c>
      <c r="BO569" s="36" t="n">
        <f aca="false">BO567*$AC$565*BO568*BO$38*'⑫ Roll-out Plan'!$O$61</f>
        <v>0</v>
      </c>
      <c r="BP569" s="36" t="n">
        <f aca="false">BP567*$AC$565*BP568*BP$38*'⑫ Roll-out Plan'!$O$61</f>
        <v>0</v>
      </c>
      <c r="BQ569" s="36" t="n">
        <f aca="false">BQ567*$AC$565*BQ568*BQ$38*'⑫ Roll-out Plan'!$O$61</f>
        <v>0</v>
      </c>
      <c r="BR569" s="36" t="n">
        <f aca="false">BR567*$AC$565*BR568*BR$38*'⑫ Roll-out Plan'!$O$61</f>
        <v>0</v>
      </c>
      <c r="BS569" s="36" t="n">
        <f aca="false">BS567*$AC$565*BS568*BS$38*'⑫ Roll-out Plan'!$O$61</f>
        <v>0</v>
      </c>
      <c r="BT569" s="36" t="n">
        <f aca="false">BT567*$AC$565*BT568*BT$38*'⑫ Roll-out Plan'!$O$61</f>
        <v>0</v>
      </c>
      <c r="BU569" s="36" t="n">
        <f aca="false">BU567*$AC$565*BU568*BU$38*'⑫ Roll-out Plan'!$O$61</f>
        <v>0</v>
      </c>
      <c r="BV569" s="36" t="n">
        <f aca="false">BV567*$AC$565*BV568*BV$38*'⑫ Roll-out Plan'!$O$61</f>
        <v>0</v>
      </c>
      <c r="BW569" s="36" t="n">
        <f aca="false">BW567*$AC$565*BW568*BW$38*'⑫ Roll-out Plan'!$O$61</f>
        <v>0</v>
      </c>
      <c r="BX569" s="36" t="n">
        <f aca="false">BX567*$AC$565*BX568*BX$38*'⑫ Roll-out Plan'!$O$61</f>
        <v>0</v>
      </c>
      <c r="BY569" s="36" t="n">
        <f aca="false">BY567*$AC$565*BY568*BY$38*'⑫ Roll-out Plan'!$O$61</f>
        <v>0</v>
      </c>
      <c r="BZ569" s="36" t="n">
        <f aca="false">BZ567*$AC$565*BZ568*BZ$38*'⑫ Roll-out Plan'!$O$61</f>
        <v>0</v>
      </c>
      <c r="CA569" s="36" t="n">
        <f aca="false">CA567*$AC$565*CA568*CA$38*'⑫ Roll-out Plan'!$O$61</f>
        <v>0</v>
      </c>
      <c r="CB569" s="36" t="n">
        <f aca="false">CB567*$AC$565*CB568*CB$38*'⑫ Roll-out Plan'!$O$61</f>
        <v>0</v>
      </c>
      <c r="CC569" s="36" t="n">
        <f aca="false">CC567*$AC$565*CC568*CC$38*'⑫ Roll-out Plan'!$O$61</f>
        <v>0</v>
      </c>
      <c r="CD569" s="36" t="n">
        <f aca="false">CD567*$AC$565*CD568*CD$38*'⑫ Roll-out Plan'!$O$61</f>
        <v>0</v>
      </c>
      <c r="CE569" s="36" t="n">
        <f aca="false">CE567*$AC$565*CE568*CE$38*'⑫ Roll-out Plan'!$O$61</f>
        <v>0</v>
      </c>
      <c r="CF569" s="36" t="n">
        <f aca="false">CF567*$AC$565*CF568*CF$38*'⑫ Roll-out Plan'!$O$61</f>
        <v>0</v>
      </c>
      <c r="CG569" s="36" t="n">
        <f aca="false">CG567*$AC$565*CG568*CG$38*'⑫ Roll-out Plan'!$O$61</f>
        <v>0</v>
      </c>
      <c r="CH569" s="36" t="n">
        <f aca="false">CH567*$AC$565*CH568*CH$38*'⑫ Roll-out Plan'!$O$61</f>
        <v>0</v>
      </c>
      <c r="CI569" s="36" t="n">
        <f aca="false">CI567*$AC$565*CI568*CI$38*'⑫ Roll-out Plan'!$O$61</f>
        <v>0</v>
      </c>
      <c r="CJ569" s="36" t="n">
        <f aca="false">CJ567*$AC$565*CJ568*CJ$38*'⑫ Roll-out Plan'!$O$61</f>
        <v>0</v>
      </c>
      <c r="CK569" s="36" t="n">
        <f aca="false">CK567*$AC$565*CK568*CK$38*'⑫ Roll-out Plan'!$O$61</f>
        <v>0</v>
      </c>
      <c r="CL569" s="36" t="n">
        <f aca="false">CL567*$AC$565*CL568*CL$38*'⑫ Roll-out Plan'!$O$61</f>
        <v>0</v>
      </c>
      <c r="CM569" s="36" t="n">
        <f aca="false">CM567*$AC$565*CM568*CM$38*'⑫ Roll-out Plan'!$O$61</f>
        <v>0</v>
      </c>
      <c r="CN569" s="36" t="n">
        <f aca="false">CN567*$AC$565*CN568*CN$38*'⑫ Roll-out Plan'!$O$61</f>
        <v>0</v>
      </c>
      <c r="CO569" s="36" t="n">
        <f aca="false">CO567*$AC$565*CO568*CO$38*'⑫ Roll-out Plan'!$O$61</f>
        <v>0</v>
      </c>
      <c r="CP569" s="36" t="n">
        <f aca="false">CP567*$AC$565*CP568*CP$38*'⑫ Roll-out Plan'!$O$61</f>
        <v>0</v>
      </c>
      <c r="CQ569" s="36" t="n">
        <f aca="false">CQ567*$AC$565*CQ568*CQ$38*'⑫ Roll-out Plan'!$O$61</f>
        <v>0</v>
      </c>
      <c r="CR569" s="36" t="n">
        <f aca="false">CR567*$AC$565*CR568*CR$38*'⑫ Roll-out Plan'!$O$61</f>
        <v>0</v>
      </c>
      <c r="CS569" s="36" t="n">
        <f aca="false">CS567*$AC$565*CS568*CS$38*'⑫ Roll-out Plan'!$O$61</f>
        <v>0</v>
      </c>
      <c r="CT569" s="36" t="n">
        <f aca="false">CT567*$AC$565*CT568*CT$38*'⑫ Roll-out Plan'!$O$61</f>
        <v>0</v>
      </c>
      <c r="CU569" s="36" t="n">
        <f aca="false">CU567*$AC$565*CU568*CU$38*'⑫ Roll-out Plan'!$O$61</f>
        <v>0</v>
      </c>
      <c r="CV569" s="36" t="n">
        <f aca="false">CV567*$AC$565*CV568*CV$38*'⑫ Roll-out Plan'!$O$61</f>
        <v>0</v>
      </c>
      <c r="CW569" s="36" t="n">
        <f aca="false">CW567*$AC$565*CW568*CW$38*'⑫ Roll-out Plan'!$O$61</f>
        <v>0</v>
      </c>
      <c r="CX569" s="36" t="n">
        <f aca="false">CX567*$AC$565*CX568*CX$38*'⑫ Roll-out Plan'!$O$61</f>
        <v>0</v>
      </c>
      <c r="CY569" s="36" t="n">
        <f aca="false">CY567*$AC$565*CY568*CY$38*'⑫ Roll-out Plan'!$O$61</f>
        <v>0</v>
      </c>
      <c r="CZ569" s="36" t="n">
        <f aca="false">CZ567*$AC$565*CZ568*CZ$38*'⑫ Roll-out Plan'!$O$61</f>
        <v>0</v>
      </c>
      <c r="DA569" s="36" t="n">
        <f aca="false">DA567*$AC$565*DA568*DA$38*'⑫ Roll-out Plan'!$O$61</f>
        <v>0</v>
      </c>
      <c r="DB569" s="36" t="n">
        <f aca="false">DB567*$AC$565*DB568*DB$38*'⑫ Roll-out Plan'!$O$61</f>
        <v>0</v>
      </c>
      <c r="DC569" s="36" t="n">
        <f aca="false">DC567*$AC$565*DC568*DC$38*'⑫ Roll-out Plan'!$O$61</f>
        <v>0</v>
      </c>
      <c r="DD569" s="36" t="n">
        <f aca="false">DD567*$AC$565*DD568*DD$38*'⑫ Roll-out Plan'!$O$61</f>
        <v>0</v>
      </c>
      <c r="DE569" s="36" t="n">
        <f aca="false">DE567*$AC$565*DE568*DE$38*'⑫ Roll-out Plan'!$O$61</f>
        <v>0</v>
      </c>
      <c r="DF569" s="36" t="n">
        <f aca="false">DF567*$AC$565*DF568*DF$38*'⑫ Roll-out Plan'!$O$61</f>
        <v>0</v>
      </c>
      <c r="DG569" s="36" t="n">
        <f aca="false">DG567*$AC$565*DG568*DG$38*'⑫ Roll-out Plan'!$O$61</f>
        <v>0</v>
      </c>
      <c r="DH569" s="36" t="n">
        <f aca="false">DH567*$AC$565*DH568*DH$38*'⑫ Roll-out Plan'!$O$61</f>
        <v>0</v>
      </c>
      <c r="DI569" s="36" t="n">
        <f aca="false">DI567*$AC$565*DI568*DI$38*'⑫ Roll-out Plan'!$O$61</f>
        <v>0</v>
      </c>
      <c r="DJ569" s="36" t="n">
        <f aca="false">DJ567*$AC$565*DJ568*DJ$38*'⑫ Roll-out Plan'!$O$61</f>
        <v>0</v>
      </c>
      <c r="DK569" s="36" t="n">
        <f aca="false">DK567*$AC$565*DK568*DK$38*'⑫ Roll-out Plan'!$O$61</f>
        <v>0</v>
      </c>
      <c r="DL569" s="36" t="n">
        <f aca="false">DL567*$AC$565*DL568*DL$38*'⑫ Roll-out Plan'!$O$61</f>
        <v>0</v>
      </c>
      <c r="DM569" s="36" t="n">
        <f aca="false">DM567*$AC$565*DM568*DM$38*'⑫ Roll-out Plan'!$O$61</f>
        <v>0</v>
      </c>
      <c r="DN569" s="36" t="n">
        <f aca="false">DN567*$AC$565*DN568*DN$38*'⑫ Roll-out Plan'!$O$61</f>
        <v>0</v>
      </c>
      <c r="DO569" s="36" t="n">
        <f aca="false">DO567*$AC$565*DO568*DO$38*'⑫ Roll-out Plan'!$O$61</f>
        <v>0</v>
      </c>
      <c r="DP569" s="36" t="n">
        <f aca="false">DP567*$AC$565*DP568*DP$38*'⑫ Roll-out Plan'!$O$61</f>
        <v>0</v>
      </c>
      <c r="DQ569" s="36" t="n">
        <f aca="false">DQ567*$AC$565*DQ568*DQ$38*'⑫ Roll-out Plan'!$O$61</f>
        <v>0</v>
      </c>
      <c r="DR569" s="36" t="n">
        <f aca="false">DR567*$AC$565*DR568*DR$38*'⑫ Roll-out Plan'!$O$61</f>
        <v>0</v>
      </c>
      <c r="DS569" s="36" t="n">
        <f aca="false">DS567*$AC$565*DS568*DS$38*'⑫ Roll-out Plan'!$O$61</f>
        <v>0</v>
      </c>
      <c r="DT569" s="36" t="n">
        <f aca="false">DT567*$AC$565*DT568*DT$38*'⑫ Roll-out Plan'!$O$61</f>
        <v>0</v>
      </c>
      <c r="DU569" s="36" t="n">
        <f aca="false">DU567*$AC$565*DU568*DU$38*'⑫ Roll-out Plan'!$O$61</f>
        <v>0</v>
      </c>
      <c r="DV569" s="36" t="n">
        <f aca="false">DV567*$AC$565*DV568*DV$38*'⑫ Roll-out Plan'!$O$61</f>
        <v>0</v>
      </c>
      <c r="DW569" s="36" t="n">
        <f aca="false">DW567*$AC$565*DW568*DW$38*'⑫ Roll-out Plan'!$O$61</f>
        <v>0</v>
      </c>
      <c r="DX569" s="36" t="n">
        <f aca="false">DX567*$AC$565*DX568*DX$38*'⑫ Roll-out Plan'!$O$61</f>
        <v>0</v>
      </c>
      <c r="DY569" s="36" t="n">
        <f aca="false">DY567*$AC$565*DY568*DY$38*'⑫ Roll-out Plan'!$O$61</f>
        <v>0</v>
      </c>
      <c r="DZ569" s="36" t="n">
        <f aca="false">DZ567*$AC$565*DZ568*DZ$38*'⑫ Roll-out Plan'!$O$61</f>
        <v>0</v>
      </c>
      <c r="EA569" s="36" t="n">
        <f aca="false">EA567*$AC$565*EA568*EA$38*'⑫ Roll-out Plan'!$O$61</f>
        <v>0</v>
      </c>
      <c r="EB569" s="36" t="n">
        <f aca="false">EB567*$AC$565*EB568*EB$38*'⑫ Roll-out Plan'!$O$61</f>
        <v>0</v>
      </c>
      <c r="EC569" s="36" t="n">
        <f aca="false">EC567*$AC$565*EC568*EC$38*'⑫ Roll-out Plan'!$O$61</f>
        <v>0</v>
      </c>
      <c r="ED569" s="36" t="n">
        <f aca="false">ED567*$AC$565*ED568*ED$38*'⑫ Roll-out Plan'!$O$61</f>
        <v>0</v>
      </c>
      <c r="EE569" s="36" t="n">
        <f aca="false">EE567*$AC$565*EE568*EE$38*'⑫ Roll-out Plan'!$O$61</f>
        <v>0</v>
      </c>
      <c r="EF569" s="36" t="n">
        <f aca="false">EF567*$AC$565*EF568*EF$38*'⑫ Roll-out Plan'!$O$61</f>
        <v>0</v>
      </c>
      <c r="EG569" s="36" t="n">
        <f aca="false">EG567*$AC$565*EG568*EG$38*'⑫ Roll-out Plan'!$O$61</f>
        <v>0</v>
      </c>
      <c r="EH569" s="36" t="n">
        <f aca="false">EH567*$AC$565*EH568*EH$38*'⑫ Roll-out Plan'!$O$61</f>
        <v>0</v>
      </c>
      <c r="EI569" s="36" t="n">
        <f aca="false">EI567*$AC$565*EI568*EI$38*'⑫ Roll-out Plan'!$O$61</f>
        <v>0</v>
      </c>
      <c r="EJ569" s="36" t="n">
        <f aca="false">EJ567*$AC$565*EJ568*EJ$38*'⑫ Roll-out Plan'!$O$61</f>
        <v>0</v>
      </c>
      <c r="EK569" s="36" t="n">
        <f aca="false">EK567*$AC$565*EK568*EK$38*'⑫ Roll-out Plan'!$O$61</f>
        <v>0</v>
      </c>
      <c r="EL569" s="36" t="n">
        <f aca="false">EL567*$AC$565*EL568*EL$38*'⑫ Roll-out Plan'!$O$61</f>
        <v>0</v>
      </c>
      <c r="EM569" s="36" t="n">
        <f aca="false">EM567*$AC$565*EM568*EM$38*'⑫ Roll-out Plan'!$O$61</f>
        <v>0</v>
      </c>
      <c r="EN569" s="36" t="n">
        <f aca="false">EN567*$AC$565*EN568*EN$38*'⑫ Roll-out Plan'!$O$61</f>
        <v>0</v>
      </c>
      <c r="EO569" s="36" t="n">
        <f aca="false">EO567*$AC$565*EO568*EO$38*'⑫ Roll-out Plan'!$O$61</f>
        <v>0</v>
      </c>
      <c r="EP569" s="36" t="n">
        <f aca="false">EP567*$AC$565*EP568*EP$38*'⑫ Roll-out Plan'!$O$61</f>
        <v>0</v>
      </c>
      <c r="EQ569" s="36" t="n">
        <f aca="false">EQ567*$AC$565*EQ568*EQ$38*'⑫ Roll-out Plan'!$O$61</f>
        <v>0</v>
      </c>
      <c r="ER569" s="36" t="n">
        <f aca="false">ER567*$AC$565*ER568*ER$38*'⑫ Roll-out Plan'!$O$61</f>
        <v>0</v>
      </c>
      <c r="ES569" s="9" t="n">
        <f aca="false">ES567*$AC$565*ES568*ES$38*'⑫ Roll-out Plan'!$O$61</f>
        <v>0</v>
      </c>
      <c r="ET569" s="9" t="n">
        <f aca="false">ET567*$AC$565*ET568*ET$38*'⑫ Roll-out Plan'!$O$61</f>
        <v>0</v>
      </c>
      <c r="EU569" s="9" t="n">
        <f aca="false">EU567*$AC$565*EU568*EU$38*'⑫ Roll-out Plan'!$O$61</f>
        <v>0</v>
      </c>
      <c r="EV569" s="9" t="n">
        <f aca="false">EV567*$AC$565*EV568*EV$38*'⑫ Roll-out Plan'!$O$61</f>
        <v>0</v>
      </c>
      <c r="EW569" s="9" t="n">
        <f aca="false">EW567*$AC$565*EW568*EW$38*'⑫ Roll-out Plan'!$O$61</f>
        <v>0</v>
      </c>
      <c r="EX569" s="9" t="n">
        <f aca="false">EX567*$AC$565*EX568*EX$38*'⑫ Roll-out Plan'!$O$61</f>
        <v>0</v>
      </c>
      <c r="EY569" s="9" t="n">
        <f aca="false">EY567*$AC$565*EY568*EY$38*'⑫ Roll-out Plan'!$O$61</f>
        <v>0</v>
      </c>
      <c r="EZ569" s="9" t="n">
        <f aca="false">EZ567*$AC$565*EZ568*EZ$38*'⑫ Roll-out Plan'!$O$61</f>
        <v>0</v>
      </c>
      <c r="FA569" s="9" t="n">
        <f aca="false">FA567*$AC$565*FA568*FA$38*'⑫ Roll-out Plan'!$O$61</f>
        <v>0</v>
      </c>
      <c r="FB569" s="9" t="n">
        <f aca="false">FB567*$AC$565*FB568*FB$38*'⑫ Roll-out Plan'!$O$61</f>
        <v>0</v>
      </c>
      <c r="FC569" s="9" t="n">
        <f aca="false">FC567*$AC$565*FC568*FC$38*'⑫ Roll-out Plan'!$O$61</f>
        <v>0</v>
      </c>
      <c r="FD569" s="9" t="n">
        <f aca="false">FD567*$AC$565*FD568*FD$38*'⑫ Roll-out Plan'!$O$61</f>
        <v>0</v>
      </c>
      <c r="FE569" s="9" t="n">
        <f aca="false">FE567*$AC$565*FE568*FE$38*'⑫ Roll-out Plan'!$O$61</f>
        <v>0</v>
      </c>
      <c r="FF569" s="9" t="n">
        <f aca="false">FF567*$AC$565*FF568*FF$38*'⑫ Roll-out Plan'!$O$61</f>
        <v>0</v>
      </c>
      <c r="FG569" s="9" t="n">
        <f aca="false">FG567*$AC$565*FG568*FG$38*'⑫ Roll-out Plan'!$O$61</f>
        <v>0</v>
      </c>
      <c r="FH569" s="9" t="n">
        <f aca="false">FH567*$AC$565*FH568*FH$38*'⑫ Roll-out Plan'!$O$61</f>
        <v>0</v>
      </c>
      <c r="FI569" s="9" t="n">
        <f aca="false">FI567*$AC$565*FI568*FI$38*'⑫ Roll-out Plan'!$O$61</f>
        <v>0</v>
      </c>
      <c r="FJ569" s="9" t="n">
        <f aca="false">FJ567*$AC$565*FJ568*FJ$38*'⑫ Roll-out Plan'!$O$61</f>
        <v>0</v>
      </c>
      <c r="FK569" s="9" t="n">
        <f aca="false">FK567*$AC$565*FK568*FK$38*'⑫ Roll-out Plan'!$O$61</f>
        <v>0</v>
      </c>
      <c r="FL569" s="9" t="n">
        <f aca="false">FL567*$AC$565*FL568*FL$38*'⑫ Roll-out Plan'!$O$61</f>
        <v>0</v>
      </c>
      <c r="FM569" s="9" t="n">
        <f aca="false">FM567*$AC$565*FM568*FM$38*'⑫ Roll-out Plan'!$O$61</f>
        <v>0</v>
      </c>
      <c r="FN569" s="9" t="n">
        <f aca="false">FN567*$AC$565*FN568*FN$38*'⑫ Roll-out Plan'!$O$61</f>
        <v>0</v>
      </c>
      <c r="FO569" s="9" t="n">
        <f aca="false">FO567*$AC$565*FO568*FO$38*'⑫ Roll-out Plan'!$O$61</f>
        <v>0</v>
      </c>
      <c r="FP569" s="9" t="n">
        <f aca="false">FP567*$AC$565*FP568*FP$38*'⑫ Roll-out Plan'!$O$61</f>
        <v>0</v>
      </c>
    </row>
    <row r="570" customFormat="false" ht="15" hidden="false" customHeight="false" outlineLevel="2" collapsed="false">
      <c r="B570" s="9" t="s">
        <v>877</v>
      </c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112" t="n">
        <f aca="true">IFERROR(SUMPRODUCT(OFFSET($BJ$31,0,1-MIN(60,COLUMN()-29),1,MIN(60,COLUMN()-29)),OFFSET(AC569,0,-MIN(60,COLUMN()-29),1,MIN(60,COLUMN()-29))),0)</f>
        <v>0</v>
      </c>
      <c r="AD570" s="112" t="n">
        <f aca="true">IFERROR(SUMPRODUCT(OFFSET($BJ$31,0,1-MIN(60,COLUMN()-29),1,MIN(60,COLUMN()-29)),OFFSET(AD569,0,-MIN(60,COLUMN()-29),1,MIN(60,COLUMN()-29))),0)</f>
        <v>0</v>
      </c>
      <c r="AE570" s="112" t="n">
        <f aca="true">IFERROR(SUMPRODUCT(OFFSET($BJ$31,0,1-MIN(60,COLUMN()-29),1,MIN(60,COLUMN()-29)),OFFSET(AE569,0,-MIN(60,COLUMN()-29),1,MIN(60,COLUMN()-29))),0)</f>
        <v>0</v>
      </c>
      <c r="AF570" s="112" t="n">
        <f aca="true">IFERROR(SUMPRODUCT(OFFSET($BJ$31,0,1-MIN(60,COLUMN()-29),1,MIN(60,COLUMN()-29)),OFFSET(AF569,0,-MIN(60,COLUMN()-29),1,MIN(60,COLUMN()-29))),0)</f>
        <v>0</v>
      </c>
      <c r="AG570" s="112" t="n">
        <f aca="true">IFERROR(SUMPRODUCT(OFFSET($BJ$31,0,1-MIN(60,COLUMN()-29),1,MIN(60,COLUMN()-29)),OFFSET(AG569,0,-MIN(60,COLUMN()-29),1,MIN(60,COLUMN()-29))),0)</f>
        <v>0</v>
      </c>
      <c r="AH570" s="112" t="n">
        <f aca="true">IFERROR(SUMPRODUCT(OFFSET($BJ$31,0,1-MIN(60,COLUMN()-29),1,MIN(60,COLUMN()-29)),OFFSET(AH569,0,-MIN(60,COLUMN()-29),1,MIN(60,COLUMN()-29))),0)</f>
        <v>0</v>
      </c>
      <c r="AI570" s="112" t="n">
        <f aca="true">IFERROR(SUMPRODUCT(OFFSET($BJ$31,0,1-MIN(60,COLUMN()-29),1,MIN(60,COLUMN()-29)),OFFSET(AI569,0,-MIN(60,COLUMN()-29),1,MIN(60,COLUMN()-29))),0)</f>
        <v>0</v>
      </c>
      <c r="AJ570" s="112" t="n">
        <f aca="true">IFERROR(SUMPRODUCT(OFFSET($BJ$31,0,1-MIN(60,COLUMN()-29),1,MIN(60,COLUMN()-29)),OFFSET(AJ569,0,-MIN(60,COLUMN()-29),1,MIN(60,COLUMN()-29))),0)</f>
        <v>0</v>
      </c>
      <c r="AK570" s="112" t="n">
        <f aca="true">IFERROR(SUMPRODUCT(OFFSET($BJ$31,0,1-MIN(60,COLUMN()-29),1,MIN(60,COLUMN()-29)),OFFSET(AK569,0,-MIN(60,COLUMN()-29),1,MIN(60,COLUMN()-29))),0)</f>
        <v>0</v>
      </c>
      <c r="AL570" s="112" t="n">
        <f aca="true">IFERROR(SUMPRODUCT(OFFSET($BJ$31,0,1-MIN(60,COLUMN()-29),1,MIN(60,COLUMN()-29)),OFFSET(AL569,0,-MIN(60,COLUMN()-29),1,MIN(60,COLUMN()-29))),0)</f>
        <v>0</v>
      </c>
      <c r="AM570" s="112" t="n">
        <f aca="true">IFERROR(SUMPRODUCT(OFFSET($BJ$31,0,1-MIN(60,COLUMN()-29),1,MIN(60,COLUMN()-29)),OFFSET(AM569,0,-MIN(60,COLUMN()-29),1,MIN(60,COLUMN()-29))),0)</f>
        <v>0</v>
      </c>
      <c r="AN570" s="239" t="n">
        <f aca="true">IFERROR(SUMPRODUCT(OFFSET($BJ$31,0,1-MIN(60,COLUMN()-29),1,MIN(60,COLUMN()-29)),OFFSET(AN569,0,-MIN(60,COLUMN()-29),1,MIN(60,COLUMN()-29))),0)</f>
        <v>0</v>
      </c>
      <c r="AO570" s="112" t="n">
        <f aca="true">IFERROR(SUMPRODUCT(OFFSET($BJ$31,0,1-MIN(60,COLUMN()-29),1,MIN(60,COLUMN()-29)),OFFSET(AO569,0,-MIN(60,COLUMN()-29),1,MIN(60,COLUMN()-29))),0)</f>
        <v>0</v>
      </c>
      <c r="AP570" s="112" t="n">
        <f aca="true">IFERROR(SUMPRODUCT(OFFSET($BJ$31,0,1-MIN(60,COLUMN()-29),1,MIN(60,COLUMN()-29)),OFFSET(AP569,0,-MIN(60,COLUMN()-29),1,MIN(60,COLUMN()-29))),0)</f>
        <v>0</v>
      </c>
      <c r="AQ570" s="112" t="n">
        <f aca="true">IFERROR(SUMPRODUCT(OFFSET($BJ$31,0,1-MIN(60,COLUMN()-29),1,MIN(60,COLUMN()-29)),OFFSET(AQ569,0,-MIN(60,COLUMN()-29),1,MIN(60,COLUMN()-29))),0)</f>
        <v>0</v>
      </c>
      <c r="AR570" s="112" t="n">
        <f aca="true">IFERROR(SUMPRODUCT(OFFSET($BJ$31,0,1-MIN(60,COLUMN()-29),1,MIN(60,COLUMN()-29)),OFFSET(AR569,0,-MIN(60,COLUMN()-29),1,MIN(60,COLUMN()-29))),0)</f>
        <v>0</v>
      </c>
      <c r="AS570" s="112" t="n">
        <f aca="true">IFERROR(SUMPRODUCT(OFFSET($BJ$31,0,1-MIN(60,COLUMN()-29),1,MIN(60,COLUMN()-29)),OFFSET(AS569,0,-MIN(60,COLUMN()-29),1,MIN(60,COLUMN()-29))),0)</f>
        <v>0</v>
      </c>
      <c r="AT570" s="112" t="n">
        <f aca="true">IFERROR(SUMPRODUCT(OFFSET($BJ$31,0,1-MIN(60,COLUMN()-29),1,MIN(60,COLUMN()-29)),OFFSET(AT569,0,-MIN(60,COLUMN()-29),1,MIN(60,COLUMN()-29))),0)</f>
        <v>0</v>
      </c>
      <c r="AU570" s="112" t="n">
        <f aca="true">IFERROR(SUMPRODUCT(OFFSET($BJ$31,0,1-MIN(60,COLUMN()-29),1,MIN(60,COLUMN()-29)),OFFSET(AU569,0,-MIN(60,COLUMN()-29),1,MIN(60,COLUMN()-29))),0)</f>
        <v>0</v>
      </c>
      <c r="AV570" s="112" t="n">
        <f aca="true">IFERROR(SUMPRODUCT(OFFSET($BJ$31,0,1-MIN(60,COLUMN()-29),1,MIN(60,COLUMN()-29)),OFFSET(AV569,0,-MIN(60,COLUMN()-29),1,MIN(60,COLUMN()-29))),0)</f>
        <v>0</v>
      </c>
      <c r="AW570" s="112" t="n">
        <f aca="true">IFERROR(SUMPRODUCT(OFFSET($BJ$31,0,1-MIN(60,COLUMN()-29),1,MIN(60,COLUMN()-29)),OFFSET(AW569,0,-MIN(60,COLUMN()-29),1,MIN(60,COLUMN()-29))),0)</f>
        <v>0</v>
      </c>
      <c r="AX570" s="112" t="n">
        <f aca="true">IFERROR(SUMPRODUCT(OFFSET($BJ$31,0,1-MIN(60,COLUMN()-29),1,MIN(60,COLUMN()-29)),OFFSET(AX569,0,-MIN(60,COLUMN()-29),1,MIN(60,COLUMN()-29))),0)</f>
        <v>0</v>
      </c>
      <c r="AY570" s="112" t="n">
        <f aca="true">IFERROR(SUMPRODUCT(OFFSET($BJ$31,0,1-MIN(60,COLUMN()-29),1,MIN(60,COLUMN()-29)),OFFSET(AY569,0,-MIN(60,COLUMN()-29),1,MIN(60,COLUMN()-29))),0)</f>
        <v>0</v>
      </c>
      <c r="AZ570" s="112" t="n">
        <f aca="true">IFERROR(SUMPRODUCT(OFFSET($BJ$31,0,1-MIN(60,COLUMN()-29),1,MIN(60,COLUMN()-29)),OFFSET(AZ569,0,-MIN(60,COLUMN()-29),1,MIN(60,COLUMN()-29))),0)</f>
        <v>0</v>
      </c>
      <c r="BA570" s="112" t="n">
        <f aca="true">IFERROR(SUMPRODUCT(OFFSET($BJ$31,0,1-MIN(60,COLUMN()-29),1,MIN(60,COLUMN()-29)),OFFSET(BA569,0,-MIN(60,COLUMN()-29),1,MIN(60,COLUMN()-29))),0)</f>
        <v>0</v>
      </c>
      <c r="BB570" s="112" t="n">
        <f aca="true">IFERROR(SUMPRODUCT(OFFSET($BJ$31,0,1-MIN(60,COLUMN()-29),1,MIN(60,COLUMN()-29)),OFFSET(BB569,0,-MIN(60,COLUMN()-29),1,MIN(60,COLUMN()-29))),0)</f>
        <v>0</v>
      </c>
      <c r="BC570" s="112" t="n">
        <f aca="true">IFERROR(SUMPRODUCT(OFFSET($BJ$31,0,1-MIN(60,COLUMN()-29),1,MIN(60,COLUMN()-29)),OFFSET(BC569,0,-MIN(60,COLUMN()-29),1,MIN(60,COLUMN()-29))),0)</f>
        <v>0</v>
      </c>
      <c r="BD570" s="112" t="n">
        <f aca="true">IFERROR(SUMPRODUCT(OFFSET($BJ$31,0,1-MIN(60,COLUMN()-29),1,MIN(60,COLUMN()-29)),OFFSET(BD569,0,-MIN(60,COLUMN()-29),1,MIN(60,COLUMN()-29))),0)</f>
        <v>0</v>
      </c>
      <c r="BE570" s="112" t="n">
        <f aca="true">IFERROR(SUMPRODUCT(OFFSET($BJ$31,0,1-MIN(60,COLUMN()-29),1,MIN(60,COLUMN()-29)),OFFSET(BE569,0,-MIN(60,COLUMN()-29),1,MIN(60,COLUMN()-29))),0)</f>
        <v>0</v>
      </c>
      <c r="BF570" s="112" t="n">
        <f aca="true">IFERROR(SUMPRODUCT(OFFSET($BJ$31,0,1-MIN(60,COLUMN()-29),1,MIN(60,COLUMN()-29)),OFFSET(BF569,0,-MIN(60,COLUMN()-29),1,MIN(60,COLUMN()-29))),0)</f>
        <v>0</v>
      </c>
      <c r="BG570" s="112" t="n">
        <f aca="true">IFERROR(SUMPRODUCT(OFFSET($BJ$31,0,1-MIN(60,COLUMN()-29),1,MIN(60,COLUMN()-29)),OFFSET(BG569,0,-MIN(60,COLUMN()-29),1,MIN(60,COLUMN()-29))),0)</f>
        <v>0</v>
      </c>
      <c r="BH570" s="112" t="n">
        <f aca="true">IFERROR(SUMPRODUCT(OFFSET($BJ$31,0,1-MIN(60,COLUMN()-29),1,MIN(60,COLUMN()-29)),OFFSET(BH569,0,-MIN(60,COLUMN()-29),1,MIN(60,COLUMN()-29))),0)</f>
        <v>0</v>
      </c>
      <c r="BI570" s="112" t="n">
        <f aca="true">IFERROR(SUMPRODUCT(OFFSET($BJ$31,0,1-MIN(60,COLUMN()-29),1,MIN(60,COLUMN()-29)),OFFSET(BI569,0,-MIN(60,COLUMN()-29),1,MIN(60,COLUMN()-29))),0)</f>
        <v>0</v>
      </c>
      <c r="BJ570" s="112" t="n">
        <f aca="true">IFERROR(SUMPRODUCT(OFFSET($BJ$31,0,1-MIN(60,COLUMN()-29),1,MIN(60,COLUMN()-29)),OFFSET(BJ569,0,-MIN(60,COLUMN()-29),1,MIN(60,COLUMN()-29))),0)</f>
        <v>0</v>
      </c>
      <c r="BK570" s="112" t="n">
        <f aca="true">IFERROR(SUMPRODUCT(OFFSET($BJ$31,0,1-MIN(60,COLUMN()-29),1,MIN(60,COLUMN()-29)),OFFSET(BK569,0,-MIN(60,COLUMN()-29),1,MIN(60,COLUMN()-29))),0)</f>
        <v>0</v>
      </c>
      <c r="BL570" s="112" t="n">
        <f aca="true">IFERROR(SUMPRODUCT(OFFSET($BJ$31,0,1-MIN(60,COLUMN()-29),1,MIN(60,COLUMN()-29)),OFFSET(BL569,0,-MIN(60,COLUMN()-29),1,MIN(60,COLUMN()-29))),0)</f>
        <v>0</v>
      </c>
      <c r="BM570" s="112" t="n">
        <f aca="true">IFERROR(SUMPRODUCT(OFFSET($BJ$31,0,1-MIN(60,COLUMN()-29),1,MIN(60,COLUMN()-29)),OFFSET(BM569,0,-MIN(60,COLUMN()-29),1,MIN(60,COLUMN()-29))),0)</f>
        <v>0</v>
      </c>
      <c r="BN570" s="112" t="n">
        <f aca="true">IFERROR(SUMPRODUCT(OFFSET($BJ$31,0,1-MIN(60,COLUMN()-29),1,MIN(60,COLUMN()-29)),OFFSET(BN569,0,-MIN(60,COLUMN()-29),1,MIN(60,COLUMN()-29))),0)</f>
        <v>0</v>
      </c>
      <c r="BO570" s="112" t="n">
        <f aca="true">IFERROR(SUMPRODUCT(OFFSET($BJ$31,0,1-MIN(60,COLUMN()-29),1,MIN(60,COLUMN()-29)),OFFSET(BO569,0,-MIN(60,COLUMN()-29),1,MIN(60,COLUMN()-29))),0)</f>
        <v>0</v>
      </c>
      <c r="BP570" s="112" t="n">
        <f aca="true">IFERROR(SUMPRODUCT(OFFSET($BJ$31,0,1-MIN(60,COLUMN()-29),1,MIN(60,COLUMN()-29)),OFFSET(BP569,0,-MIN(60,COLUMN()-29),1,MIN(60,COLUMN()-29))),0)</f>
        <v>0</v>
      </c>
      <c r="BQ570" s="112" t="n">
        <f aca="true">IFERROR(SUMPRODUCT(OFFSET($BJ$31,0,1-MIN(60,COLUMN()-29),1,MIN(60,COLUMN()-29)),OFFSET(BQ569,0,-MIN(60,COLUMN()-29),1,MIN(60,COLUMN()-29))),0)</f>
        <v>0</v>
      </c>
      <c r="BR570" s="112" t="n">
        <f aca="true">IFERROR(SUMPRODUCT(OFFSET($BJ$31,0,1-MIN(60,COLUMN()-29),1,MIN(60,COLUMN()-29)),OFFSET(BR569,0,-MIN(60,COLUMN()-29),1,MIN(60,COLUMN()-29))),0)</f>
        <v>0</v>
      </c>
      <c r="BS570" s="112" t="n">
        <f aca="true">IFERROR(SUMPRODUCT(OFFSET($BJ$31,0,1-MIN(60,COLUMN()-29),1,MIN(60,COLUMN()-29)),OFFSET(BS569,0,-MIN(60,COLUMN()-29),1,MIN(60,COLUMN()-29))),0)</f>
        <v>0</v>
      </c>
      <c r="BT570" s="112" t="n">
        <f aca="true">IFERROR(SUMPRODUCT(OFFSET($BJ$31,0,1-MIN(60,COLUMN()-29),1,MIN(60,COLUMN()-29)),OFFSET(BT569,0,-MIN(60,COLUMN()-29),1,MIN(60,COLUMN()-29))),0)</f>
        <v>0</v>
      </c>
      <c r="BU570" s="112" t="n">
        <f aca="true">IFERROR(SUMPRODUCT(OFFSET($BJ$31,0,1-MIN(60,COLUMN()-29),1,MIN(60,COLUMN()-29)),OFFSET(BU569,0,-MIN(60,COLUMN()-29),1,MIN(60,COLUMN()-29))),0)</f>
        <v>0</v>
      </c>
      <c r="BV570" s="112" t="n">
        <f aca="true">IFERROR(SUMPRODUCT(OFFSET($BJ$31,0,1-MIN(60,COLUMN()-29),1,MIN(60,COLUMN()-29)),OFFSET(BV569,0,-MIN(60,COLUMN()-29),1,MIN(60,COLUMN()-29))),0)</f>
        <v>0</v>
      </c>
      <c r="BW570" s="112" t="n">
        <f aca="true">IFERROR(SUMPRODUCT(OFFSET($BJ$31,0,1-MIN(60,COLUMN()-29),1,MIN(60,COLUMN()-29)),OFFSET(BW569,0,-MIN(60,COLUMN()-29),1,MIN(60,COLUMN()-29))),0)</f>
        <v>0</v>
      </c>
      <c r="BX570" s="112" t="n">
        <f aca="true">IFERROR(SUMPRODUCT(OFFSET($BJ$31,0,1-MIN(60,COLUMN()-29),1,MIN(60,COLUMN()-29)),OFFSET(BX569,0,-MIN(60,COLUMN()-29),1,MIN(60,COLUMN()-29))),0)</f>
        <v>0</v>
      </c>
      <c r="BY570" s="112" t="n">
        <f aca="true">IFERROR(SUMPRODUCT(OFFSET($BJ$31,0,1-MIN(60,COLUMN()-29),1,MIN(60,COLUMN()-29)),OFFSET(BY569,0,-MIN(60,COLUMN()-29),1,MIN(60,COLUMN()-29))),0)</f>
        <v>0</v>
      </c>
      <c r="BZ570" s="112" t="n">
        <f aca="true">IFERROR(SUMPRODUCT(OFFSET($BJ$31,0,1-MIN(60,COLUMN()-29),1,MIN(60,COLUMN()-29)),OFFSET(BZ569,0,-MIN(60,COLUMN()-29),1,MIN(60,COLUMN()-29))),0)</f>
        <v>0</v>
      </c>
      <c r="CA570" s="112" t="n">
        <f aca="true">IFERROR(SUMPRODUCT(OFFSET($BJ$31,0,1-MIN(60,COLUMN()-29),1,MIN(60,COLUMN()-29)),OFFSET(CA569,0,-MIN(60,COLUMN()-29),1,MIN(60,COLUMN()-29))),0)</f>
        <v>0</v>
      </c>
      <c r="CB570" s="112" t="n">
        <f aca="true">IFERROR(SUMPRODUCT(OFFSET($BJ$31,0,1-MIN(60,COLUMN()-29),1,MIN(60,COLUMN()-29)),OFFSET(CB569,0,-MIN(60,COLUMN()-29),1,MIN(60,COLUMN()-29))),0)</f>
        <v>0</v>
      </c>
      <c r="CC570" s="112" t="n">
        <f aca="true">IFERROR(SUMPRODUCT(OFFSET($BJ$31,0,1-MIN(60,COLUMN()-29),1,MIN(60,COLUMN()-29)),OFFSET(CC569,0,-MIN(60,COLUMN()-29),1,MIN(60,COLUMN()-29))),0)</f>
        <v>0</v>
      </c>
      <c r="CD570" s="112" t="n">
        <f aca="true">IFERROR(SUMPRODUCT(OFFSET($BJ$31,0,1-MIN(60,COLUMN()-29),1,MIN(60,COLUMN()-29)),OFFSET(CD569,0,-MIN(60,COLUMN()-29),1,MIN(60,COLUMN()-29))),0)</f>
        <v>0</v>
      </c>
      <c r="CE570" s="112" t="n">
        <f aca="true">IFERROR(SUMPRODUCT(OFFSET($BJ$31,0,1-MIN(60,COLUMN()-29),1,MIN(60,COLUMN()-29)),OFFSET(CE569,0,-MIN(60,COLUMN()-29),1,MIN(60,COLUMN()-29))),0)</f>
        <v>0</v>
      </c>
      <c r="CF570" s="112" t="n">
        <f aca="true">IFERROR(SUMPRODUCT(OFFSET($BJ$31,0,1-MIN(60,COLUMN()-29),1,MIN(60,COLUMN()-29)),OFFSET(CF569,0,-MIN(60,COLUMN()-29),1,MIN(60,COLUMN()-29))),0)</f>
        <v>0</v>
      </c>
      <c r="CG570" s="112" t="n">
        <f aca="true">IFERROR(SUMPRODUCT(OFFSET($BJ$31,0,1-MIN(60,COLUMN()-29),1,MIN(60,COLUMN()-29)),OFFSET(CG569,0,-MIN(60,COLUMN()-29),1,MIN(60,COLUMN()-29))),0)</f>
        <v>0</v>
      </c>
      <c r="CH570" s="112" t="n">
        <f aca="true">IFERROR(SUMPRODUCT(OFFSET($BJ$31,0,1-MIN(60,COLUMN()-29),1,MIN(60,COLUMN()-29)),OFFSET(CH569,0,-MIN(60,COLUMN()-29),1,MIN(60,COLUMN()-29))),0)</f>
        <v>0</v>
      </c>
      <c r="CI570" s="112" t="n">
        <f aca="true">IFERROR(SUMPRODUCT(OFFSET($BJ$31,0,1-MIN(60,COLUMN()-29),1,MIN(60,COLUMN()-29)),OFFSET(CI569,0,-MIN(60,COLUMN()-29),1,MIN(60,COLUMN()-29))),0)</f>
        <v>0</v>
      </c>
      <c r="CJ570" s="112" t="n">
        <f aca="true">IFERROR(SUMPRODUCT(OFFSET($BJ$31,0,1-MIN(60,COLUMN()-29),1,MIN(60,COLUMN()-29)),OFFSET(CJ569,0,-MIN(60,COLUMN()-29),1,MIN(60,COLUMN()-29))),0)</f>
        <v>0</v>
      </c>
      <c r="CK570" s="112" t="n">
        <f aca="true">IFERROR(SUMPRODUCT(OFFSET($BJ$31,0,1-MIN(60,COLUMN()-29),1,MIN(60,COLUMN()-29)),OFFSET(CK569,0,-MIN(60,COLUMN()-29),1,MIN(60,COLUMN()-29))),0)</f>
        <v>0</v>
      </c>
      <c r="CL570" s="112" t="n">
        <f aca="true">IFERROR(SUMPRODUCT(OFFSET($BJ$31,0,1-MIN(60,COLUMN()-29),1,MIN(60,COLUMN()-29)),OFFSET(CL569,0,-MIN(60,COLUMN()-29),1,MIN(60,COLUMN()-29))),0)</f>
        <v>0</v>
      </c>
      <c r="CM570" s="112" t="n">
        <f aca="true">IFERROR(SUMPRODUCT(OFFSET($BJ$31,0,1-MIN(60,COLUMN()-29),1,MIN(60,COLUMN()-29)),OFFSET(CM569,0,-MIN(60,COLUMN()-29),1,MIN(60,COLUMN()-29))),0)</f>
        <v>0</v>
      </c>
      <c r="CN570" s="112" t="n">
        <f aca="true">IFERROR(SUMPRODUCT(OFFSET($BJ$31,0,1-MIN(60,COLUMN()-29),1,MIN(60,COLUMN()-29)),OFFSET(CN569,0,-MIN(60,COLUMN()-29),1,MIN(60,COLUMN()-29))),0)</f>
        <v>0</v>
      </c>
      <c r="CO570" s="112" t="n">
        <f aca="true">IFERROR(SUMPRODUCT(OFFSET($BJ$31,0,1-MIN(60,COLUMN()-29),1,MIN(60,COLUMN()-29)),OFFSET(CO569,0,-MIN(60,COLUMN()-29),1,MIN(60,COLUMN()-29))),0)</f>
        <v>0</v>
      </c>
      <c r="CP570" s="112" t="n">
        <f aca="true">IFERROR(SUMPRODUCT(OFFSET($BJ$31,0,1-MIN(60,COLUMN()-29),1,MIN(60,COLUMN()-29)),OFFSET(CP569,0,-MIN(60,COLUMN()-29),1,MIN(60,COLUMN()-29))),0)</f>
        <v>0</v>
      </c>
      <c r="CQ570" s="112" t="n">
        <f aca="true">IFERROR(SUMPRODUCT(OFFSET($BJ$31,0,1-MIN(60,COLUMN()-29),1,MIN(60,COLUMN()-29)),OFFSET(CQ569,0,-MIN(60,COLUMN()-29),1,MIN(60,COLUMN()-29))),0)</f>
        <v>0</v>
      </c>
      <c r="CR570" s="112" t="n">
        <f aca="true">IFERROR(SUMPRODUCT(OFFSET($BJ$31,0,1-MIN(60,COLUMN()-29),1,MIN(60,COLUMN()-29)),OFFSET(CR569,0,-MIN(60,COLUMN()-29),1,MIN(60,COLUMN()-29))),0)</f>
        <v>0</v>
      </c>
      <c r="CS570" s="112" t="n">
        <f aca="true">IFERROR(SUMPRODUCT(OFFSET($BJ$31,0,1-MIN(60,COLUMN()-29),1,MIN(60,COLUMN()-29)),OFFSET(CS569,0,-MIN(60,COLUMN()-29),1,MIN(60,COLUMN()-29))),0)</f>
        <v>0</v>
      </c>
      <c r="CT570" s="112" t="n">
        <f aca="true">IFERROR(SUMPRODUCT(OFFSET($BJ$31,0,1-MIN(60,COLUMN()-29),1,MIN(60,COLUMN()-29)),OFFSET(CT569,0,-MIN(60,COLUMN()-29),1,MIN(60,COLUMN()-29))),0)</f>
        <v>0</v>
      </c>
      <c r="CU570" s="112" t="n">
        <f aca="true">IFERROR(SUMPRODUCT(OFFSET($BJ$31,0,1-MIN(60,COLUMN()-29),1,MIN(60,COLUMN()-29)),OFFSET(CU569,0,-MIN(60,COLUMN()-29),1,MIN(60,COLUMN()-29))),0)</f>
        <v>0</v>
      </c>
      <c r="CV570" s="112" t="n">
        <f aca="true">IFERROR(SUMPRODUCT(OFFSET($BJ$31,0,1-MIN(60,COLUMN()-29),1,MIN(60,COLUMN()-29)),OFFSET(CV569,0,-MIN(60,COLUMN()-29),1,MIN(60,COLUMN()-29))),0)</f>
        <v>0</v>
      </c>
      <c r="CW570" s="112" t="n">
        <f aca="true">IFERROR(SUMPRODUCT(OFFSET($BJ$31,0,1-MIN(60,COLUMN()-29),1,MIN(60,COLUMN()-29)),OFFSET(CW569,0,-MIN(60,COLUMN()-29),1,MIN(60,COLUMN()-29))),0)</f>
        <v>0</v>
      </c>
      <c r="CX570" s="112" t="n">
        <f aca="true">IFERROR(SUMPRODUCT(OFFSET($BJ$31,0,1-MIN(60,COLUMN()-29),1,MIN(60,COLUMN()-29)),OFFSET(CX569,0,-MIN(60,COLUMN()-29),1,MIN(60,COLUMN()-29))),0)</f>
        <v>0</v>
      </c>
      <c r="CY570" s="112" t="n">
        <f aca="true">IFERROR(SUMPRODUCT(OFFSET($BJ$31,0,1-MIN(60,COLUMN()-29),1,MIN(60,COLUMN()-29)),OFFSET(CY569,0,-MIN(60,COLUMN()-29),1,MIN(60,COLUMN()-29))),0)</f>
        <v>0</v>
      </c>
      <c r="CZ570" s="112" t="n">
        <f aca="true">IFERROR(SUMPRODUCT(OFFSET($BJ$31,0,1-MIN(60,COLUMN()-29),1,MIN(60,COLUMN()-29)),OFFSET(CZ569,0,-MIN(60,COLUMN()-29),1,MIN(60,COLUMN()-29))),0)</f>
        <v>0</v>
      </c>
      <c r="DA570" s="112" t="n">
        <f aca="true">IFERROR(SUMPRODUCT(OFFSET($BJ$31,0,1-MIN(60,COLUMN()-29),1,MIN(60,COLUMN()-29)),OFFSET(DA569,0,-MIN(60,COLUMN()-29),1,MIN(60,COLUMN()-29))),0)</f>
        <v>0</v>
      </c>
      <c r="DB570" s="112" t="n">
        <f aca="true">IFERROR(SUMPRODUCT(OFFSET($BJ$31,0,1-MIN(60,COLUMN()-29),1,MIN(60,COLUMN()-29)),OFFSET(DB569,0,-MIN(60,COLUMN()-29),1,MIN(60,COLUMN()-29))),0)</f>
        <v>0</v>
      </c>
      <c r="DC570" s="112" t="n">
        <f aca="true">IFERROR(SUMPRODUCT(OFFSET($BJ$31,0,1-MIN(60,COLUMN()-29),1,MIN(60,COLUMN()-29)),OFFSET(DC569,0,-MIN(60,COLUMN()-29),1,MIN(60,COLUMN()-29))),0)</f>
        <v>0</v>
      </c>
      <c r="DD570" s="112" t="n">
        <f aca="true">IFERROR(SUMPRODUCT(OFFSET($BJ$31,0,1-MIN(60,COLUMN()-29),1,MIN(60,COLUMN()-29)),OFFSET(DD569,0,-MIN(60,COLUMN()-29),1,MIN(60,COLUMN()-29))),0)</f>
        <v>0</v>
      </c>
      <c r="DE570" s="112" t="n">
        <f aca="true">IFERROR(SUMPRODUCT(OFFSET($BJ$31,0,1-MIN(60,COLUMN()-29),1,MIN(60,COLUMN()-29)),OFFSET(DE569,0,-MIN(60,COLUMN()-29),1,MIN(60,COLUMN()-29))),0)</f>
        <v>0</v>
      </c>
      <c r="DF570" s="112" t="n">
        <f aca="true">IFERROR(SUMPRODUCT(OFFSET($BJ$31,0,1-MIN(60,COLUMN()-29),1,MIN(60,COLUMN()-29)),OFFSET(DF569,0,-MIN(60,COLUMN()-29),1,MIN(60,COLUMN()-29))),0)</f>
        <v>0</v>
      </c>
      <c r="DG570" s="112" t="n">
        <f aca="true">IFERROR(SUMPRODUCT(OFFSET($BJ$31,0,1-MIN(60,COLUMN()-29),1,MIN(60,COLUMN()-29)),OFFSET(DG569,0,-MIN(60,COLUMN()-29),1,MIN(60,COLUMN()-29))),0)</f>
        <v>0</v>
      </c>
      <c r="DH570" s="112" t="n">
        <f aca="true">IFERROR(SUMPRODUCT(OFFSET($BJ$31,0,1-MIN(60,COLUMN()-29),1,MIN(60,COLUMN()-29)),OFFSET(DH569,0,-MIN(60,COLUMN()-29),1,MIN(60,COLUMN()-29))),0)</f>
        <v>0</v>
      </c>
      <c r="DI570" s="112" t="n">
        <f aca="true">IFERROR(SUMPRODUCT(OFFSET($BJ$31,0,1-MIN(60,COLUMN()-29),1,MIN(60,COLUMN()-29)),OFFSET(DI569,0,-MIN(60,COLUMN()-29),1,MIN(60,COLUMN()-29))),0)</f>
        <v>0</v>
      </c>
      <c r="DJ570" s="112" t="n">
        <f aca="true">IFERROR(SUMPRODUCT(OFFSET($BJ$31,0,1-MIN(60,COLUMN()-29),1,MIN(60,COLUMN()-29)),OFFSET(DJ569,0,-MIN(60,COLUMN()-29),1,MIN(60,COLUMN()-29))),0)</f>
        <v>0</v>
      </c>
      <c r="DK570" s="112" t="n">
        <f aca="true">IFERROR(SUMPRODUCT(OFFSET($BJ$31,0,1-MIN(60,COLUMN()-29),1,MIN(60,COLUMN()-29)),OFFSET(DK569,0,-MIN(60,COLUMN()-29),1,MIN(60,COLUMN()-29))),0)</f>
        <v>0</v>
      </c>
      <c r="DL570" s="112" t="n">
        <f aca="true">IFERROR(SUMPRODUCT(OFFSET($BJ$31,0,1-MIN(60,COLUMN()-29),1,MIN(60,COLUMN()-29)),OFFSET(DL569,0,-MIN(60,COLUMN()-29),1,MIN(60,COLUMN()-29))),0)</f>
        <v>0</v>
      </c>
      <c r="DM570" s="112" t="n">
        <f aca="true">IFERROR(SUMPRODUCT(OFFSET($BJ$31,0,1-MIN(60,COLUMN()-29),1,MIN(60,COLUMN()-29)),OFFSET(DM569,0,-MIN(60,COLUMN()-29),1,MIN(60,COLUMN()-29))),0)</f>
        <v>0</v>
      </c>
      <c r="DN570" s="112" t="n">
        <f aca="true">IFERROR(SUMPRODUCT(OFFSET($BJ$31,0,1-MIN(60,COLUMN()-29),1,MIN(60,COLUMN()-29)),OFFSET(DN569,0,-MIN(60,COLUMN()-29),1,MIN(60,COLUMN()-29))),0)</f>
        <v>0</v>
      </c>
      <c r="DO570" s="112" t="n">
        <f aca="true">IFERROR(SUMPRODUCT(OFFSET($BJ$31,0,1-MIN(60,COLUMN()-29),1,MIN(60,COLUMN()-29)),OFFSET(DO569,0,-MIN(60,COLUMN()-29),1,MIN(60,COLUMN()-29))),0)</f>
        <v>0</v>
      </c>
      <c r="DP570" s="112" t="n">
        <f aca="true">IFERROR(SUMPRODUCT(OFFSET($BJ$31,0,1-MIN(60,COLUMN()-29),1,MIN(60,COLUMN()-29)),OFFSET(DP569,0,-MIN(60,COLUMN()-29),1,MIN(60,COLUMN()-29))),0)</f>
        <v>0</v>
      </c>
      <c r="DQ570" s="112" t="n">
        <f aca="true">IFERROR(SUMPRODUCT(OFFSET($BJ$31,0,1-MIN(60,COLUMN()-29),1,MIN(60,COLUMN()-29)),OFFSET(DQ569,0,-MIN(60,COLUMN()-29),1,MIN(60,COLUMN()-29))),0)</f>
        <v>0</v>
      </c>
      <c r="DR570" s="112" t="n">
        <f aca="true">IFERROR(SUMPRODUCT(OFFSET($BJ$31,0,1-MIN(60,COLUMN()-29),1,MIN(60,COLUMN()-29)),OFFSET(DR569,0,-MIN(60,COLUMN()-29),1,MIN(60,COLUMN()-29))),0)</f>
        <v>0</v>
      </c>
      <c r="DS570" s="112" t="n">
        <f aca="true">IFERROR(SUMPRODUCT(OFFSET($BJ$31,0,1-MIN(60,COLUMN()-29),1,MIN(60,COLUMN()-29)),OFFSET(DS569,0,-MIN(60,COLUMN()-29),1,MIN(60,COLUMN()-29))),0)</f>
        <v>0</v>
      </c>
      <c r="DT570" s="112" t="n">
        <f aca="true">IFERROR(SUMPRODUCT(OFFSET($BJ$31,0,1-MIN(60,COLUMN()-29),1,MIN(60,COLUMN()-29)),OFFSET(DT569,0,-MIN(60,COLUMN()-29),1,MIN(60,COLUMN()-29))),0)</f>
        <v>0</v>
      </c>
      <c r="DU570" s="112" t="n">
        <f aca="true">IFERROR(SUMPRODUCT(OFFSET($BJ$31,0,1-MIN(60,COLUMN()-29),1,MIN(60,COLUMN()-29)),OFFSET(DU569,0,-MIN(60,COLUMN()-29),1,MIN(60,COLUMN()-29))),0)</f>
        <v>0</v>
      </c>
      <c r="DV570" s="112" t="n">
        <f aca="true">IFERROR(SUMPRODUCT(OFFSET($BJ$31,0,1-MIN(60,COLUMN()-29),1,MIN(60,COLUMN()-29)),OFFSET(DV569,0,-MIN(60,COLUMN()-29),1,MIN(60,COLUMN()-29))),0)</f>
        <v>0</v>
      </c>
      <c r="DW570" s="112" t="n">
        <f aca="true">IFERROR(SUMPRODUCT(OFFSET($BJ$31,0,1-MIN(60,COLUMN()-29),1,MIN(60,COLUMN()-29)),OFFSET(DW569,0,-MIN(60,COLUMN()-29),1,MIN(60,COLUMN()-29))),0)</f>
        <v>0</v>
      </c>
      <c r="DX570" s="112" t="n">
        <f aca="true">IFERROR(SUMPRODUCT(OFFSET($BJ$31,0,1-MIN(60,COLUMN()-29),1,MIN(60,COLUMN()-29)),OFFSET(DX569,0,-MIN(60,COLUMN()-29),1,MIN(60,COLUMN()-29))),0)</f>
        <v>0</v>
      </c>
      <c r="DY570" s="112" t="n">
        <f aca="true">IFERROR(SUMPRODUCT(OFFSET($BJ$31,0,1-MIN(60,COLUMN()-29),1,MIN(60,COLUMN()-29)),OFFSET(DY569,0,-MIN(60,COLUMN()-29),1,MIN(60,COLUMN()-29))),0)</f>
        <v>0</v>
      </c>
      <c r="DZ570" s="112" t="n">
        <f aca="true">IFERROR(SUMPRODUCT(OFFSET($BJ$31,0,1-MIN(60,COLUMN()-29),1,MIN(60,COLUMN()-29)),OFFSET(DZ569,0,-MIN(60,COLUMN()-29),1,MIN(60,COLUMN()-29))),0)</f>
        <v>0</v>
      </c>
      <c r="EA570" s="112" t="n">
        <f aca="true">IFERROR(SUMPRODUCT(OFFSET($BJ$31,0,1-MIN(60,COLUMN()-29),1,MIN(60,COLUMN()-29)),OFFSET(EA569,0,-MIN(60,COLUMN()-29),1,MIN(60,COLUMN()-29))),0)</f>
        <v>0</v>
      </c>
      <c r="EB570" s="112" t="n">
        <f aca="true">IFERROR(SUMPRODUCT(OFFSET($BJ$31,0,1-MIN(60,COLUMN()-29),1,MIN(60,COLUMN()-29)),OFFSET(EB569,0,-MIN(60,COLUMN()-29),1,MIN(60,COLUMN()-29))),0)</f>
        <v>0</v>
      </c>
      <c r="EC570" s="112" t="n">
        <f aca="true">IFERROR(SUMPRODUCT(OFFSET($BJ$31,0,1-MIN(60,COLUMN()-29),1,MIN(60,COLUMN()-29)),OFFSET(EC569,0,-MIN(60,COLUMN()-29),1,MIN(60,COLUMN()-29))),0)</f>
        <v>0</v>
      </c>
      <c r="ED570" s="112" t="n">
        <f aca="true">IFERROR(SUMPRODUCT(OFFSET($BJ$31,0,1-MIN(60,COLUMN()-29),1,MIN(60,COLUMN()-29)),OFFSET(ED569,0,-MIN(60,COLUMN()-29),1,MIN(60,COLUMN()-29))),0)</f>
        <v>0</v>
      </c>
      <c r="EE570" s="112" t="n">
        <f aca="true">IFERROR(SUMPRODUCT(OFFSET($BJ$31,0,1-MIN(60,COLUMN()-29),1,MIN(60,COLUMN()-29)),OFFSET(EE569,0,-MIN(60,COLUMN()-29),1,MIN(60,COLUMN()-29))),0)</f>
        <v>0</v>
      </c>
      <c r="EF570" s="112" t="n">
        <f aca="true">IFERROR(SUMPRODUCT(OFFSET($BJ$31,0,1-MIN(60,COLUMN()-29),1,MIN(60,COLUMN()-29)),OFFSET(EF569,0,-MIN(60,COLUMN()-29),1,MIN(60,COLUMN()-29))),0)</f>
        <v>0</v>
      </c>
      <c r="EG570" s="112" t="n">
        <f aca="true">IFERROR(SUMPRODUCT(OFFSET($BJ$31,0,1-MIN(60,COLUMN()-29),1,MIN(60,COLUMN()-29)),OFFSET(EG569,0,-MIN(60,COLUMN()-29),1,MIN(60,COLUMN()-29))),0)</f>
        <v>0</v>
      </c>
      <c r="EH570" s="112" t="n">
        <f aca="true">IFERROR(SUMPRODUCT(OFFSET($BJ$31,0,1-MIN(60,COLUMN()-29),1,MIN(60,COLUMN()-29)),OFFSET(EH569,0,-MIN(60,COLUMN()-29),1,MIN(60,COLUMN()-29))),0)</f>
        <v>0</v>
      </c>
      <c r="EI570" s="112" t="n">
        <f aca="true">IFERROR(SUMPRODUCT(OFFSET($BJ$31,0,1-MIN(60,COLUMN()-29),1,MIN(60,COLUMN()-29)),OFFSET(EI569,0,-MIN(60,COLUMN()-29),1,MIN(60,COLUMN()-29))),0)</f>
        <v>0</v>
      </c>
      <c r="EJ570" s="112" t="n">
        <f aca="true">IFERROR(SUMPRODUCT(OFFSET($BJ$31,0,1-MIN(60,COLUMN()-29),1,MIN(60,COLUMN()-29)),OFFSET(EJ569,0,-MIN(60,COLUMN()-29),1,MIN(60,COLUMN()-29))),0)</f>
        <v>0</v>
      </c>
      <c r="EK570" s="112" t="n">
        <f aca="true">IFERROR(SUMPRODUCT(OFFSET($BJ$31,0,1-MIN(60,COLUMN()-29),1,MIN(60,COLUMN()-29)),OFFSET(EK569,0,-MIN(60,COLUMN()-29),1,MIN(60,COLUMN()-29))),0)</f>
        <v>0</v>
      </c>
      <c r="EL570" s="112" t="n">
        <f aca="true">IFERROR(SUMPRODUCT(OFFSET($BJ$31,0,1-MIN(60,COLUMN()-29),1,MIN(60,COLUMN()-29)),OFFSET(EL569,0,-MIN(60,COLUMN()-29),1,MIN(60,COLUMN()-29))),0)</f>
        <v>0</v>
      </c>
      <c r="EM570" s="112" t="n">
        <f aca="true">IFERROR(SUMPRODUCT(OFFSET($BJ$31,0,1-MIN(60,COLUMN()-29),1,MIN(60,COLUMN()-29)),OFFSET(EM569,0,-MIN(60,COLUMN()-29),1,MIN(60,COLUMN()-29))),0)</f>
        <v>0</v>
      </c>
      <c r="EN570" s="112" t="n">
        <f aca="true">IFERROR(SUMPRODUCT(OFFSET($BJ$31,0,1-MIN(60,COLUMN()-29),1,MIN(60,COLUMN()-29)),OFFSET(EN569,0,-MIN(60,COLUMN()-29),1,MIN(60,COLUMN()-29))),0)</f>
        <v>0</v>
      </c>
      <c r="EO570" s="112" t="n">
        <f aca="true">IFERROR(SUMPRODUCT(OFFSET($BJ$31,0,1-MIN(60,COLUMN()-29),1,MIN(60,COLUMN()-29)),OFFSET(EO569,0,-MIN(60,COLUMN()-29),1,MIN(60,COLUMN()-29))),0)</f>
        <v>0</v>
      </c>
      <c r="EP570" s="112" t="n">
        <f aca="true">IFERROR(SUMPRODUCT(OFFSET($BJ$31,0,1-MIN(60,COLUMN()-29),1,MIN(60,COLUMN()-29)),OFFSET(EP569,0,-MIN(60,COLUMN()-29),1,MIN(60,COLUMN()-29))),0)</f>
        <v>0</v>
      </c>
      <c r="EQ570" s="112" t="n">
        <f aca="true">IFERROR(SUMPRODUCT(OFFSET($BJ$31,0,1-MIN(60,COLUMN()-29),1,MIN(60,COLUMN()-29)),OFFSET(EQ569,0,-MIN(60,COLUMN()-29),1,MIN(60,COLUMN()-29))),0)</f>
        <v>0</v>
      </c>
      <c r="ER570" s="112" t="n">
        <f aca="true">IFERROR(SUMPRODUCT(OFFSET($BJ$31,0,1-MIN(60,COLUMN()-29),1,MIN(60,COLUMN()-29)),OFFSET(ER569,0,-MIN(60,COLUMN()-29),1,MIN(60,COLUMN()-29))),0)</f>
        <v>0</v>
      </c>
      <c r="ES570" s="9" t="n">
        <f aca="true">IFERROR(SUMPRODUCT(OFFSET($BJ$31,0,1-MIN(60,COLUMN()-29),1,MIN(60,COLUMN()-29)),OFFSET(ES569,0,-MIN(60,COLUMN()-29),1,MIN(60,COLUMN()-29))),0)</f>
        <v>0</v>
      </c>
      <c r="ET570" s="9" t="n">
        <f aca="true">IFERROR(SUMPRODUCT(OFFSET($BJ$31,0,1-MIN(60,COLUMN()-29),1,MIN(60,COLUMN()-29)),OFFSET(ET569,0,-MIN(60,COLUMN()-29),1,MIN(60,COLUMN()-29))),0)</f>
        <v>0</v>
      </c>
      <c r="EU570" s="9" t="n">
        <f aca="true">IFERROR(SUMPRODUCT(OFFSET($BJ$31,0,1-MIN(60,COLUMN()-29),1,MIN(60,COLUMN()-29)),OFFSET(EU569,0,-MIN(60,COLUMN()-29),1,MIN(60,COLUMN()-29))),0)</f>
        <v>0</v>
      </c>
      <c r="EV570" s="9" t="n">
        <f aca="true">IFERROR(SUMPRODUCT(OFFSET($BJ$31,0,1-MIN(60,COLUMN()-29),1,MIN(60,COLUMN()-29)),OFFSET(EV569,0,-MIN(60,COLUMN()-29),1,MIN(60,COLUMN()-29))),0)</f>
        <v>0</v>
      </c>
      <c r="EW570" s="9" t="n">
        <f aca="true">IFERROR(SUMPRODUCT(OFFSET($BJ$31,0,1-MIN(60,COLUMN()-29),1,MIN(60,COLUMN()-29)),OFFSET(EW569,0,-MIN(60,COLUMN()-29),1,MIN(60,COLUMN()-29))),0)</f>
        <v>0</v>
      </c>
      <c r="EX570" s="9" t="n">
        <f aca="true">IFERROR(SUMPRODUCT(OFFSET($BJ$31,0,1-MIN(60,COLUMN()-29),1,MIN(60,COLUMN()-29)),OFFSET(EX569,0,-MIN(60,COLUMN()-29),1,MIN(60,COLUMN()-29))),0)</f>
        <v>0</v>
      </c>
      <c r="EY570" s="9" t="n">
        <f aca="true">IFERROR(SUMPRODUCT(OFFSET($BJ$31,0,1-MIN(60,COLUMN()-29),1,MIN(60,COLUMN()-29)),OFFSET(EY569,0,-MIN(60,COLUMN()-29),1,MIN(60,COLUMN()-29))),0)</f>
        <v>0</v>
      </c>
      <c r="EZ570" s="9" t="n">
        <f aca="true">IFERROR(SUMPRODUCT(OFFSET($BJ$31,0,1-MIN(60,COLUMN()-29),1,MIN(60,COLUMN()-29)),OFFSET(EZ569,0,-MIN(60,COLUMN()-29),1,MIN(60,COLUMN()-29))),0)</f>
        <v>0</v>
      </c>
      <c r="FA570" s="9" t="n">
        <f aca="true">IFERROR(SUMPRODUCT(OFFSET($BJ$31,0,1-MIN(60,COLUMN()-29),1,MIN(60,COLUMN()-29)),OFFSET(FA569,0,-MIN(60,COLUMN()-29),1,MIN(60,COLUMN()-29))),0)</f>
        <v>0</v>
      </c>
      <c r="FB570" s="9" t="n">
        <f aca="true">IFERROR(SUMPRODUCT(OFFSET($BJ$31,0,1-MIN(60,COLUMN()-29),1,MIN(60,COLUMN()-29)),OFFSET(FB569,0,-MIN(60,COLUMN()-29),1,MIN(60,COLUMN()-29))),0)</f>
        <v>0</v>
      </c>
      <c r="FC570" s="9" t="n">
        <f aca="true">IFERROR(SUMPRODUCT(OFFSET($BJ$31,0,1-MIN(60,COLUMN()-29),1,MIN(60,COLUMN()-29)),OFFSET(FC569,0,-MIN(60,COLUMN()-29),1,MIN(60,COLUMN()-29))),0)</f>
        <v>0</v>
      </c>
      <c r="FD570" s="9" t="n">
        <f aca="true">IFERROR(SUMPRODUCT(OFFSET($BJ$31,0,1-MIN(60,COLUMN()-29),1,MIN(60,COLUMN()-29)),OFFSET(FD569,0,-MIN(60,COLUMN()-29),1,MIN(60,COLUMN()-29))),0)</f>
        <v>0</v>
      </c>
      <c r="FE570" s="9" t="n">
        <f aca="true">IFERROR(SUMPRODUCT(OFFSET($BJ$31,0,1-MIN(60,COLUMN()-29),1,MIN(60,COLUMN()-29)),OFFSET(FE569,0,-MIN(60,COLUMN()-29),1,MIN(60,COLUMN()-29))),0)</f>
        <v>0</v>
      </c>
      <c r="FF570" s="9" t="n">
        <f aca="true">IFERROR(SUMPRODUCT(OFFSET($BJ$31,0,1-MIN(60,COLUMN()-29),1,MIN(60,COLUMN()-29)),OFFSET(FF569,0,-MIN(60,COLUMN()-29),1,MIN(60,COLUMN()-29))),0)</f>
        <v>0</v>
      </c>
      <c r="FG570" s="9" t="n">
        <f aca="true">IFERROR(SUMPRODUCT(OFFSET($BJ$31,0,1-MIN(60,COLUMN()-29),1,MIN(60,COLUMN()-29)),OFFSET(FG569,0,-MIN(60,COLUMN()-29),1,MIN(60,COLUMN()-29))),0)</f>
        <v>0</v>
      </c>
      <c r="FH570" s="9" t="n">
        <f aca="true">IFERROR(SUMPRODUCT(OFFSET($BJ$31,0,1-MIN(60,COLUMN()-29),1,MIN(60,COLUMN()-29)),OFFSET(FH569,0,-MIN(60,COLUMN()-29),1,MIN(60,COLUMN()-29))),0)</f>
        <v>0</v>
      </c>
      <c r="FI570" s="9" t="n">
        <f aca="true">IFERROR(SUMPRODUCT(OFFSET($BJ$31,0,1-MIN(60,COLUMN()-29),1,MIN(60,COLUMN()-29)),OFFSET(FI569,0,-MIN(60,COLUMN()-29),1,MIN(60,COLUMN()-29))),0)</f>
        <v>0</v>
      </c>
      <c r="FJ570" s="9" t="n">
        <f aca="true">IFERROR(SUMPRODUCT(OFFSET($BJ$31,0,1-MIN(60,COLUMN()-29),1,MIN(60,COLUMN()-29)),OFFSET(FJ569,0,-MIN(60,COLUMN()-29),1,MIN(60,COLUMN()-29))),0)</f>
        <v>0</v>
      </c>
      <c r="FK570" s="9" t="n">
        <f aca="true">IFERROR(SUMPRODUCT(OFFSET($BJ$31,0,1-MIN(60,COLUMN()-29),1,MIN(60,COLUMN()-29)),OFFSET(FK569,0,-MIN(60,COLUMN()-29),1,MIN(60,COLUMN()-29))),0)</f>
        <v>0</v>
      </c>
      <c r="FL570" s="9" t="n">
        <f aca="true">IFERROR(SUMPRODUCT(OFFSET($BJ$31,0,1-MIN(60,COLUMN()-29),1,MIN(60,COLUMN()-29)),OFFSET(FL569,0,-MIN(60,COLUMN()-29),1,MIN(60,COLUMN()-29))),0)</f>
        <v>0</v>
      </c>
      <c r="FM570" s="9" t="n">
        <f aca="true">IFERROR(SUMPRODUCT(OFFSET($BJ$31,0,1-MIN(60,COLUMN()-29),1,MIN(60,COLUMN()-29)),OFFSET(FM569,0,-MIN(60,COLUMN()-29),1,MIN(60,COLUMN()-29))),0)</f>
        <v>0</v>
      </c>
      <c r="FN570" s="9" t="n">
        <f aca="true">IFERROR(SUMPRODUCT(OFFSET($BJ$31,0,1-MIN(60,COLUMN()-29),1,MIN(60,COLUMN()-29)),OFFSET(FN569,0,-MIN(60,COLUMN()-29),1,MIN(60,COLUMN()-29))),0)</f>
        <v>0</v>
      </c>
      <c r="FO570" s="9" t="n">
        <f aca="true">IFERROR(SUMPRODUCT(OFFSET($BJ$31,0,1-MIN(60,COLUMN()-29),1,MIN(60,COLUMN()-29)),OFFSET(FO569,0,-MIN(60,COLUMN()-29),1,MIN(60,COLUMN()-29))),0)</f>
        <v>0</v>
      </c>
      <c r="FP570" s="9" t="n">
        <f aca="true">IFERROR(SUMPRODUCT(OFFSET($BJ$31,0,1-MIN(60,COLUMN()-29),1,MIN(60,COLUMN()-29)),OFFSET(FP569,0,-MIN(60,COLUMN()-29),1,MIN(60,COLUMN()-29))),0)</f>
        <v>0</v>
      </c>
    </row>
    <row r="571" customFormat="false" ht="15" hidden="false" customHeight="false" outlineLevel="2" collapsed="false">
      <c r="B571" s="90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237"/>
      <c r="AD571" s="237"/>
      <c r="AE571" s="237"/>
      <c r="AF571" s="237"/>
      <c r="AG571" s="237"/>
      <c r="AH571" s="237"/>
      <c r="AI571" s="237"/>
      <c r="AJ571" s="237"/>
      <c r="AK571" s="237"/>
      <c r="AL571" s="237"/>
      <c r="AM571" s="237"/>
      <c r="AN571" s="237"/>
      <c r="AO571" s="237"/>
      <c r="AP571" s="237"/>
      <c r="AQ571" s="237"/>
      <c r="AR571" s="237"/>
      <c r="AS571" s="237"/>
      <c r="AT571" s="237"/>
      <c r="AU571" s="237"/>
      <c r="AV571" s="237"/>
      <c r="AW571" s="237"/>
      <c r="AX571" s="237"/>
      <c r="AY571" s="237"/>
      <c r="AZ571" s="237"/>
      <c r="BA571" s="237"/>
      <c r="BB571" s="237"/>
      <c r="BC571" s="237"/>
      <c r="BD571" s="237"/>
      <c r="BE571" s="237"/>
      <c r="BF571" s="237"/>
      <c r="BG571" s="237"/>
      <c r="BH571" s="237"/>
      <c r="BI571" s="237"/>
      <c r="BJ571" s="237"/>
      <c r="BK571" s="237"/>
      <c r="BL571" s="237"/>
      <c r="BM571" s="237"/>
      <c r="BN571" s="237"/>
      <c r="BO571" s="237"/>
      <c r="BP571" s="237"/>
      <c r="BQ571" s="237"/>
      <c r="BR571" s="237"/>
      <c r="BS571" s="237"/>
      <c r="BT571" s="237"/>
      <c r="BU571" s="237"/>
      <c r="BV571" s="237"/>
      <c r="BW571" s="237"/>
      <c r="BX571" s="237"/>
      <c r="BY571" s="237"/>
      <c r="BZ571" s="237"/>
      <c r="CA571" s="237"/>
      <c r="CB571" s="237"/>
      <c r="CC571" s="237"/>
      <c r="CD571" s="237"/>
      <c r="CE571" s="237"/>
      <c r="CF571" s="237"/>
      <c r="CG571" s="237"/>
      <c r="CH571" s="237"/>
      <c r="CI571" s="237"/>
      <c r="CJ571" s="237"/>
      <c r="CK571" s="237"/>
      <c r="CL571" s="237"/>
      <c r="CM571" s="237"/>
      <c r="CN571" s="237"/>
      <c r="CO571" s="237"/>
      <c r="CP571" s="237"/>
      <c r="CQ571" s="237"/>
      <c r="CR571" s="237"/>
      <c r="CS571" s="237"/>
      <c r="CT571" s="237"/>
      <c r="CU571" s="237"/>
      <c r="CV571" s="237"/>
      <c r="CW571" s="237"/>
      <c r="CX571" s="237"/>
      <c r="CY571" s="237"/>
      <c r="CZ571" s="237"/>
      <c r="DA571" s="237"/>
      <c r="DB571" s="237"/>
      <c r="DC571" s="237"/>
      <c r="DD571" s="237"/>
      <c r="DE571" s="237"/>
      <c r="DF571" s="237"/>
      <c r="DG571" s="237"/>
      <c r="DH571" s="237"/>
      <c r="DI571" s="237"/>
      <c r="DJ571" s="237"/>
      <c r="DK571" s="237"/>
      <c r="DL571" s="237"/>
      <c r="DM571" s="237"/>
      <c r="DN571" s="237"/>
      <c r="DO571" s="237"/>
      <c r="DP571" s="237"/>
      <c r="DQ571" s="237"/>
      <c r="DR571" s="237"/>
      <c r="DS571" s="237"/>
      <c r="DT571" s="237"/>
      <c r="DU571" s="237"/>
      <c r="DV571" s="237"/>
      <c r="DW571" s="237"/>
      <c r="DX571" s="237"/>
      <c r="DY571" s="237"/>
      <c r="DZ571" s="237"/>
      <c r="EA571" s="237"/>
      <c r="EB571" s="237"/>
      <c r="EC571" s="237"/>
      <c r="ED571" s="237"/>
      <c r="EE571" s="237"/>
      <c r="EF571" s="237"/>
      <c r="EG571" s="237"/>
      <c r="EH571" s="237"/>
      <c r="EI571" s="237"/>
      <c r="EJ571" s="237"/>
      <c r="EK571" s="237"/>
      <c r="EL571" s="237"/>
      <c r="EM571" s="237"/>
      <c r="EN571" s="237"/>
      <c r="EO571" s="237"/>
      <c r="EP571" s="237"/>
      <c r="EQ571" s="237"/>
      <c r="ER571" s="237"/>
      <c r="ES571" s="9"/>
      <c r="ET571" s="9"/>
      <c r="EU571" s="9"/>
      <c r="EV571" s="9"/>
      <c r="EW571" s="9"/>
      <c r="EX571" s="9"/>
      <c r="EY571" s="9"/>
      <c r="EZ571" s="9"/>
      <c r="FA571" s="9"/>
      <c r="FB571" s="9"/>
      <c r="FC571" s="9"/>
      <c r="FD571" s="9"/>
      <c r="FE571" s="9"/>
      <c r="FF571" s="9"/>
      <c r="FG571" s="9"/>
      <c r="FH571" s="9"/>
      <c r="FI571" s="9"/>
      <c r="FJ571" s="9"/>
      <c r="FK571" s="9"/>
      <c r="FL571" s="9"/>
      <c r="FM571" s="9"/>
      <c r="FN571" s="9"/>
      <c r="FO571" s="9"/>
      <c r="FP571" s="9"/>
    </row>
    <row r="572" customFormat="false" ht="15" hidden="false" customHeight="false" outlineLevel="2" collapsed="false">
      <c r="B572" s="240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237"/>
      <c r="AD572" s="237"/>
      <c r="AE572" s="237"/>
      <c r="AF572" s="237"/>
      <c r="AG572" s="237"/>
      <c r="AH572" s="237"/>
      <c r="AI572" s="237"/>
      <c r="AJ572" s="237"/>
      <c r="AK572" s="237"/>
      <c r="AL572" s="237"/>
      <c r="AM572" s="237"/>
      <c r="AN572" s="237"/>
      <c r="AO572" s="237"/>
      <c r="AP572" s="237"/>
      <c r="AQ572" s="237"/>
      <c r="AR572" s="237"/>
      <c r="AS572" s="237"/>
      <c r="AT572" s="237"/>
      <c r="AU572" s="237"/>
      <c r="AV572" s="237"/>
      <c r="AW572" s="237"/>
      <c r="AX572" s="237"/>
      <c r="AY572" s="237"/>
      <c r="AZ572" s="237"/>
      <c r="BA572" s="237"/>
      <c r="BB572" s="237"/>
      <c r="BC572" s="237"/>
      <c r="BD572" s="237"/>
      <c r="BE572" s="237"/>
      <c r="BF572" s="237"/>
      <c r="BG572" s="237"/>
      <c r="BH572" s="237"/>
      <c r="BI572" s="237"/>
      <c r="BJ572" s="237"/>
      <c r="BK572" s="237"/>
      <c r="BL572" s="237"/>
      <c r="BM572" s="237"/>
      <c r="BN572" s="237"/>
      <c r="BO572" s="237"/>
      <c r="BP572" s="237"/>
      <c r="BQ572" s="237"/>
      <c r="BR572" s="237"/>
      <c r="BS572" s="237"/>
      <c r="BT572" s="237"/>
      <c r="BU572" s="237"/>
      <c r="BV572" s="237"/>
      <c r="BW572" s="237"/>
      <c r="BX572" s="237"/>
      <c r="BY572" s="237"/>
      <c r="BZ572" s="237"/>
      <c r="CA572" s="237"/>
      <c r="CB572" s="237"/>
      <c r="CC572" s="237"/>
      <c r="CD572" s="237"/>
      <c r="CE572" s="237"/>
      <c r="CF572" s="237"/>
      <c r="CG572" s="237"/>
      <c r="CH572" s="237"/>
      <c r="CI572" s="237"/>
      <c r="CJ572" s="237"/>
      <c r="CK572" s="237"/>
      <c r="CL572" s="237"/>
      <c r="CM572" s="237"/>
      <c r="CN572" s="237"/>
      <c r="CO572" s="237"/>
      <c r="CP572" s="237"/>
      <c r="CQ572" s="237"/>
      <c r="CR572" s="237"/>
      <c r="CS572" s="237"/>
      <c r="CT572" s="237"/>
      <c r="CU572" s="237"/>
      <c r="CV572" s="237"/>
      <c r="CW572" s="237"/>
      <c r="CX572" s="237"/>
      <c r="CY572" s="237"/>
      <c r="CZ572" s="237"/>
      <c r="DA572" s="237"/>
      <c r="DB572" s="237"/>
      <c r="DC572" s="237"/>
      <c r="DD572" s="237"/>
      <c r="DE572" s="237"/>
      <c r="DF572" s="237"/>
      <c r="DG572" s="237"/>
      <c r="DH572" s="237"/>
      <c r="DI572" s="237"/>
      <c r="DJ572" s="237"/>
      <c r="DK572" s="237"/>
      <c r="DL572" s="237"/>
      <c r="DM572" s="237"/>
      <c r="DN572" s="237"/>
      <c r="DO572" s="237"/>
      <c r="DP572" s="237"/>
      <c r="DQ572" s="237"/>
      <c r="DR572" s="237"/>
      <c r="DS572" s="237"/>
      <c r="DT572" s="237"/>
      <c r="DU572" s="237"/>
      <c r="DV572" s="237"/>
      <c r="DW572" s="237"/>
      <c r="DX572" s="237"/>
      <c r="DY572" s="237"/>
      <c r="DZ572" s="237"/>
      <c r="EA572" s="237"/>
      <c r="EB572" s="237"/>
      <c r="EC572" s="237"/>
      <c r="ED572" s="237"/>
      <c r="EE572" s="237"/>
      <c r="EF572" s="237"/>
      <c r="EG572" s="237"/>
      <c r="EH572" s="237"/>
      <c r="EI572" s="237"/>
      <c r="EJ572" s="237"/>
      <c r="EK572" s="237"/>
      <c r="EL572" s="237"/>
      <c r="EM572" s="237"/>
      <c r="EN572" s="237"/>
      <c r="EO572" s="237"/>
      <c r="EP572" s="237"/>
      <c r="EQ572" s="237"/>
      <c r="ER572" s="237"/>
      <c r="ES572" s="9"/>
      <c r="ET572" s="9"/>
      <c r="EU572" s="9"/>
      <c r="EV572" s="9"/>
      <c r="EW572" s="9"/>
      <c r="EX572" s="9"/>
      <c r="EY572" s="9"/>
      <c r="EZ572" s="9"/>
      <c r="FA572" s="9"/>
      <c r="FB572" s="9"/>
      <c r="FC572" s="9"/>
      <c r="FD572" s="9"/>
      <c r="FE572" s="9"/>
      <c r="FF572" s="9"/>
      <c r="FG572" s="9"/>
      <c r="FH572" s="9"/>
      <c r="FI572" s="9"/>
      <c r="FJ572" s="9"/>
      <c r="FK572" s="9"/>
      <c r="FL572" s="9"/>
      <c r="FM572" s="9"/>
      <c r="FN572" s="9"/>
      <c r="FO572" s="9"/>
      <c r="FP572" s="9"/>
    </row>
    <row r="573" customFormat="false" ht="15" hidden="false" customHeight="false" outlineLevel="2" collapsed="false">
      <c r="B573" s="21" t="s">
        <v>930</v>
      </c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  <c r="BL573" s="21"/>
      <c r="BM573" s="21"/>
      <c r="BN573" s="21"/>
      <c r="BO573" s="21"/>
      <c r="BP573" s="21"/>
      <c r="BQ573" s="21"/>
      <c r="BR573" s="21"/>
      <c r="BS573" s="21"/>
      <c r="BT573" s="21"/>
      <c r="BU573" s="21"/>
      <c r="BV573" s="21"/>
      <c r="BW573" s="21"/>
      <c r="BX573" s="21"/>
      <c r="BY573" s="21"/>
      <c r="BZ573" s="21"/>
      <c r="CA573" s="21"/>
      <c r="CB573" s="21"/>
      <c r="CC573" s="21"/>
      <c r="CD573" s="21"/>
      <c r="CE573" s="21"/>
      <c r="CF573" s="21"/>
      <c r="CG573" s="21"/>
      <c r="CH573" s="21"/>
      <c r="CI573" s="21"/>
      <c r="CJ573" s="21"/>
      <c r="CK573" s="21"/>
      <c r="CL573" s="21"/>
      <c r="CM573" s="21"/>
      <c r="CN573" s="21"/>
      <c r="CO573" s="21"/>
      <c r="CP573" s="21"/>
      <c r="CQ573" s="21"/>
      <c r="CR573" s="21"/>
      <c r="CS573" s="21"/>
      <c r="CT573" s="21"/>
      <c r="CU573" s="21"/>
      <c r="CV573" s="21"/>
      <c r="CW573" s="21"/>
      <c r="CX573" s="21"/>
      <c r="CY573" s="21"/>
      <c r="CZ573" s="21"/>
      <c r="DA573" s="21"/>
      <c r="DB573" s="21"/>
      <c r="DC573" s="21"/>
      <c r="DD573" s="21"/>
      <c r="DE573" s="21"/>
      <c r="DF573" s="21"/>
      <c r="DG573" s="21"/>
      <c r="DH573" s="21"/>
      <c r="DI573" s="21"/>
      <c r="DJ573" s="21"/>
      <c r="DK573" s="21"/>
      <c r="DL573" s="21"/>
      <c r="DM573" s="21"/>
      <c r="DN573" s="21"/>
      <c r="DO573" s="21"/>
      <c r="DP573" s="21"/>
      <c r="DQ573" s="21"/>
      <c r="DR573" s="21"/>
      <c r="DS573" s="21"/>
      <c r="DT573" s="21"/>
      <c r="DU573" s="21"/>
      <c r="DV573" s="21"/>
      <c r="DW573" s="21"/>
      <c r="DX573" s="21"/>
      <c r="DY573" s="21"/>
      <c r="DZ573" s="21"/>
      <c r="EA573" s="21"/>
      <c r="EB573" s="21"/>
      <c r="EC573" s="21"/>
      <c r="ED573" s="21"/>
      <c r="EE573" s="21"/>
      <c r="EF573" s="21"/>
      <c r="EG573" s="21"/>
      <c r="EH573" s="21"/>
      <c r="EI573" s="21"/>
      <c r="EJ573" s="21"/>
      <c r="EK573" s="21"/>
      <c r="EL573" s="21"/>
      <c r="EM573" s="21"/>
      <c r="EN573" s="21"/>
      <c r="EO573" s="21"/>
      <c r="EP573" s="21"/>
      <c r="EQ573" s="21"/>
      <c r="ER573" s="21"/>
      <c r="ES573" s="9"/>
      <c r="ET573" s="9"/>
      <c r="EU573" s="9"/>
      <c r="EV573" s="9"/>
      <c r="EW573" s="9"/>
      <c r="EX573" s="9"/>
      <c r="EY573" s="9"/>
      <c r="EZ573" s="9"/>
      <c r="FA573" s="9"/>
      <c r="FB573" s="9"/>
      <c r="FC573" s="9"/>
      <c r="FD573" s="9"/>
      <c r="FE573" s="9"/>
      <c r="FF573" s="9"/>
      <c r="FG573" s="9"/>
      <c r="FH573" s="9"/>
      <c r="FI573" s="9"/>
      <c r="FJ573" s="9"/>
      <c r="FK573" s="9"/>
      <c r="FL573" s="9"/>
      <c r="FM573" s="9"/>
      <c r="FN573" s="9"/>
      <c r="FO573" s="9"/>
      <c r="FP573" s="9"/>
    </row>
    <row r="574" customFormat="false" ht="15" hidden="false" customHeight="false" outlineLevel="2" collapsed="false">
      <c r="B574" s="9" t="s">
        <v>872</v>
      </c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234" t="n">
        <f aca="false">('⑫ Roll-out Plan'!G62-2025)*12+'⑫ Roll-out Plan'!F62</f>
        <v>82</v>
      </c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  <c r="CO574" s="9"/>
      <c r="CP574" s="9"/>
      <c r="CQ574" s="9"/>
      <c r="CR574" s="9"/>
      <c r="CS574" s="9"/>
      <c r="CT574" s="9"/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  <c r="EM574" s="9"/>
      <c r="EN574" s="9"/>
      <c r="EO574" s="9"/>
      <c r="EP574" s="9"/>
      <c r="EQ574" s="9"/>
      <c r="ER574" s="9"/>
      <c r="ES574" s="9"/>
      <c r="ET574" s="9"/>
      <c r="EU574" s="9"/>
      <c r="EV574" s="9"/>
      <c r="EW574" s="9"/>
      <c r="EX574" s="9"/>
      <c r="EY574" s="9"/>
      <c r="EZ574" s="9"/>
      <c r="FA574" s="9"/>
      <c r="FB574" s="9"/>
      <c r="FC574" s="9"/>
      <c r="FD574" s="9"/>
      <c r="FE574" s="9"/>
      <c r="FF574" s="9"/>
      <c r="FG574" s="9"/>
      <c r="FH574" s="9"/>
      <c r="FI574" s="9"/>
      <c r="FJ574" s="9"/>
      <c r="FK574" s="9"/>
      <c r="FL574" s="9"/>
      <c r="FM574" s="9"/>
      <c r="FN574" s="9"/>
      <c r="FO574" s="9"/>
      <c r="FP574" s="9"/>
    </row>
    <row r="575" customFormat="false" ht="15" hidden="false" customHeight="false" outlineLevel="2" collapsed="false">
      <c r="B575" s="9" t="s">
        <v>873</v>
      </c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235" t="n">
        <f aca="false">VLOOKUP("B",$B$14:$C$18,2,FALSE())</f>
        <v>185</v>
      </c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  <c r="CB575" s="9"/>
      <c r="CC575" s="9"/>
      <c r="CD575" s="9"/>
      <c r="CE575" s="9"/>
      <c r="CF575" s="9"/>
      <c r="CG575" s="9"/>
      <c r="CH575" s="9"/>
      <c r="CI575" s="9"/>
      <c r="CJ575" s="9"/>
      <c r="CK575" s="9"/>
      <c r="CL575" s="9"/>
      <c r="CM575" s="9"/>
      <c r="CN575" s="9"/>
      <c r="CO575" s="9"/>
      <c r="CP575" s="9"/>
      <c r="CQ575" s="9"/>
      <c r="CR575" s="9"/>
      <c r="CS575" s="9"/>
      <c r="CT575" s="9"/>
      <c r="CU575" s="9"/>
      <c r="CV575" s="9"/>
      <c r="CW575" s="9"/>
      <c r="CX575" s="9"/>
      <c r="CY575" s="9"/>
      <c r="CZ575" s="9"/>
      <c r="DA575" s="9"/>
      <c r="DB575" s="9"/>
      <c r="DC575" s="9"/>
      <c r="DD575" s="9"/>
      <c r="DE575" s="9"/>
      <c r="DF575" s="9"/>
      <c r="DG575" s="9"/>
      <c r="DH575" s="9"/>
      <c r="DI575" s="9"/>
      <c r="DJ575" s="9"/>
      <c r="DK575" s="9"/>
      <c r="DL575" s="9"/>
      <c r="DM575" s="9"/>
      <c r="DN575" s="9"/>
      <c r="DO575" s="9"/>
      <c r="DP575" s="9"/>
      <c r="DQ575" s="9"/>
      <c r="DR575" s="9"/>
      <c r="DS575" s="9"/>
      <c r="DT575" s="9"/>
      <c r="DU575" s="9"/>
      <c r="DV575" s="9"/>
      <c r="DW575" s="9"/>
      <c r="DX575" s="9"/>
      <c r="DY575" s="9"/>
      <c r="DZ575" s="9"/>
      <c r="EA575" s="9"/>
      <c r="EB575" s="9"/>
      <c r="EC575" s="9"/>
      <c r="ED575" s="9"/>
      <c r="EE575" s="9"/>
      <c r="EF575" s="9"/>
      <c r="EG575" s="9"/>
      <c r="EH575" s="9"/>
      <c r="EI575" s="9"/>
      <c r="EJ575" s="9"/>
      <c r="EK575" s="9"/>
      <c r="EL575" s="9"/>
      <c r="EM575" s="9"/>
      <c r="EN575" s="9"/>
      <c r="EO575" s="9"/>
      <c r="EP575" s="9"/>
      <c r="EQ575" s="9"/>
      <c r="ER575" s="9"/>
      <c r="ES575" s="9"/>
      <c r="ET575" s="9"/>
      <c r="EU575" s="9"/>
      <c r="EV575" s="9"/>
      <c r="EW575" s="9"/>
      <c r="EX575" s="9"/>
      <c r="EY575" s="9"/>
      <c r="EZ575" s="9"/>
      <c r="FA575" s="9"/>
      <c r="FB575" s="9"/>
      <c r="FC575" s="9"/>
      <c r="FD575" s="9"/>
      <c r="FE575" s="9"/>
      <c r="FF575" s="9"/>
      <c r="FG575" s="9"/>
      <c r="FH575" s="9"/>
      <c r="FI575" s="9"/>
      <c r="FJ575" s="9"/>
      <c r="FK575" s="9"/>
      <c r="FL575" s="9"/>
      <c r="FM575" s="9"/>
      <c r="FN575" s="9"/>
      <c r="FO575" s="9"/>
      <c r="FP575" s="9"/>
    </row>
    <row r="576" customFormat="false" ht="15" hidden="false" customHeight="false" outlineLevel="2" collapsed="false">
      <c r="B576" s="9" t="s">
        <v>799</v>
      </c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63" t="n">
        <f aca="false">IF(AC$35&gt;=$AC$574,AC$35-$AC$574+1,0)</f>
        <v>0</v>
      </c>
      <c r="AD576" s="63" t="n">
        <f aca="false">IF(AD$35&gt;=$AC$574,AD$35-$AC$574+1,0)</f>
        <v>0</v>
      </c>
      <c r="AE576" s="63" t="n">
        <f aca="false">IF(AE$35&gt;=$AC$574,AE$35-$AC$574+1,0)</f>
        <v>0</v>
      </c>
      <c r="AF576" s="63" t="n">
        <f aca="false">IF(AF$35&gt;=$AC$574,AF$35-$AC$574+1,0)</f>
        <v>0</v>
      </c>
      <c r="AG576" s="63" t="n">
        <f aca="false">IF(AG$35&gt;=$AC$574,AG$35-$AC$574+1,0)</f>
        <v>0</v>
      </c>
      <c r="AH576" s="63" t="n">
        <f aca="false">IF(AH$35&gt;=$AC$574,AH$35-$AC$574+1,0)</f>
        <v>0</v>
      </c>
      <c r="AI576" s="63" t="n">
        <f aca="false">IF(AI$35&gt;=$AC$574,AI$35-$AC$574+1,0)</f>
        <v>0</v>
      </c>
      <c r="AJ576" s="63" t="n">
        <f aca="false">IF(AJ$35&gt;=$AC$574,AJ$35-$AC$574+1,0)</f>
        <v>0</v>
      </c>
      <c r="AK576" s="63" t="n">
        <f aca="false">IF(AK$35&gt;=$AC$574,AK$35-$AC$574+1,0)</f>
        <v>0</v>
      </c>
      <c r="AL576" s="63" t="n">
        <f aca="false">IF(AL$35&gt;=$AC$574,AL$35-$AC$574+1,0)</f>
        <v>0</v>
      </c>
      <c r="AM576" s="63" t="n">
        <f aca="false">IF(AM$35&gt;=$AC$574,AM$35-$AC$574+1,0)</f>
        <v>0</v>
      </c>
      <c r="AN576" s="63" t="n">
        <f aca="false">IF(AN$35&gt;=$AC$574,AN$35-$AC$574+1,0)</f>
        <v>0</v>
      </c>
      <c r="AO576" s="63" t="n">
        <f aca="false">IF(AO$35&gt;=$AC$574,AO$35-$AC$574+1,0)</f>
        <v>0</v>
      </c>
      <c r="AP576" s="63" t="n">
        <f aca="false">IF(AP$35&gt;=$AC$574,AP$35-$AC$574+1,0)</f>
        <v>0</v>
      </c>
      <c r="AQ576" s="63" t="n">
        <f aca="false">IF(AQ$35&gt;=$AC$574,AQ$35-$AC$574+1,0)</f>
        <v>0</v>
      </c>
      <c r="AR576" s="63" t="n">
        <f aca="false">IF(AR$35&gt;=$AC$574,AR$35-$AC$574+1,0)</f>
        <v>0</v>
      </c>
      <c r="AS576" s="63" t="n">
        <f aca="false">IF(AS$35&gt;=$AC$574,AS$35-$AC$574+1,0)</f>
        <v>0</v>
      </c>
      <c r="AT576" s="63" t="n">
        <f aca="false">IF(AT$35&gt;=$AC$574,AT$35-$AC$574+1,0)</f>
        <v>0</v>
      </c>
      <c r="AU576" s="63" t="n">
        <f aca="false">IF(AU$35&gt;=$AC$574,AU$35-$AC$574+1,0)</f>
        <v>0</v>
      </c>
      <c r="AV576" s="63" t="n">
        <f aca="false">IF(AV$35&gt;=$AC$574,AV$35-$AC$574+1,0)</f>
        <v>0</v>
      </c>
      <c r="AW576" s="63" t="n">
        <f aca="false">IF(AW$35&gt;=$AC$574,AW$35-$AC$574+1,0)</f>
        <v>0</v>
      </c>
      <c r="AX576" s="63" t="n">
        <f aca="false">IF(AX$35&gt;=$AC$574,AX$35-$AC$574+1,0)</f>
        <v>0</v>
      </c>
      <c r="AY576" s="63" t="n">
        <f aca="false">IF(AY$35&gt;=$AC$574,AY$35-$AC$574+1,0)</f>
        <v>0</v>
      </c>
      <c r="AZ576" s="63" t="n">
        <f aca="false">IF(AZ$35&gt;=$AC$574,AZ$35-$AC$574+1,0)</f>
        <v>0</v>
      </c>
      <c r="BA576" s="63" t="n">
        <f aca="false">IF(BA$35&gt;=$AC$574,BA$35-$AC$574+1,0)</f>
        <v>0</v>
      </c>
      <c r="BB576" s="63" t="n">
        <f aca="false">IF(BB$35&gt;=$AC$574,BB$35-$AC$574+1,0)</f>
        <v>0</v>
      </c>
      <c r="BC576" s="63" t="n">
        <f aca="false">IF(BC$35&gt;=$AC$574,BC$35-$AC$574+1,0)</f>
        <v>0</v>
      </c>
      <c r="BD576" s="63" t="n">
        <f aca="false">IF(BD$35&gt;=$AC$574,BD$35-$AC$574+1,0)</f>
        <v>0</v>
      </c>
      <c r="BE576" s="63" t="n">
        <f aca="false">IF(BE$35&gt;=$AC$574,BE$35-$AC$574+1,0)</f>
        <v>0</v>
      </c>
      <c r="BF576" s="63" t="n">
        <f aca="false">IF(BF$35&gt;=$AC$574,BF$35-$AC$574+1,0)</f>
        <v>0</v>
      </c>
      <c r="BG576" s="63" t="n">
        <f aca="false">IF(BG$35&gt;=$AC$574,BG$35-$AC$574+1,0)</f>
        <v>0</v>
      </c>
      <c r="BH576" s="63" t="n">
        <f aca="false">IF(BH$35&gt;=$AC$574,BH$35-$AC$574+1,0)</f>
        <v>0</v>
      </c>
      <c r="BI576" s="63" t="n">
        <f aca="false">IF(BI$35&gt;=$AC$574,BI$35-$AC$574+1,0)</f>
        <v>0</v>
      </c>
      <c r="BJ576" s="63" t="n">
        <f aca="false">IF(BJ$35&gt;=$AC$574,BJ$35-$AC$574+1,0)</f>
        <v>0</v>
      </c>
      <c r="BK576" s="63" t="n">
        <f aca="false">IF(BK$35&gt;=$AC$574,BK$35-$AC$574+1,0)</f>
        <v>0</v>
      </c>
      <c r="BL576" s="63" t="n">
        <f aca="false">IF(BL$35&gt;=$AC$574,BL$35-$AC$574+1,0)</f>
        <v>0</v>
      </c>
      <c r="BM576" s="63" t="n">
        <f aca="false">IF(BM$35&gt;=$AC$574,BM$35-$AC$574+1,0)</f>
        <v>0</v>
      </c>
      <c r="BN576" s="63" t="n">
        <f aca="false">IF(BN$35&gt;=$AC$574,BN$35-$AC$574+1,0)</f>
        <v>0</v>
      </c>
      <c r="BO576" s="63" t="n">
        <f aca="false">IF(BO$35&gt;=$AC$574,BO$35-$AC$574+1,0)</f>
        <v>0</v>
      </c>
      <c r="BP576" s="63" t="n">
        <f aca="false">IF(BP$35&gt;=$AC$574,BP$35-$AC$574+1,0)</f>
        <v>0</v>
      </c>
      <c r="BQ576" s="63" t="n">
        <f aca="false">IF(BQ$35&gt;=$AC$574,BQ$35-$AC$574+1,0)</f>
        <v>0</v>
      </c>
      <c r="BR576" s="63" t="n">
        <f aca="false">IF(BR$35&gt;=$AC$574,BR$35-$AC$574+1,0)</f>
        <v>0</v>
      </c>
      <c r="BS576" s="63" t="n">
        <f aca="false">IF(BS$35&gt;=$AC$574,BS$35-$AC$574+1,0)</f>
        <v>0</v>
      </c>
      <c r="BT576" s="63" t="n">
        <f aca="false">IF(BT$35&gt;=$AC$574,BT$35-$AC$574+1,0)</f>
        <v>0</v>
      </c>
      <c r="BU576" s="63" t="n">
        <f aca="false">IF(BU$35&gt;=$AC$574,BU$35-$AC$574+1,0)</f>
        <v>0</v>
      </c>
      <c r="BV576" s="63" t="n">
        <f aca="false">IF(BV$35&gt;=$AC$574,BV$35-$AC$574+1,0)</f>
        <v>0</v>
      </c>
      <c r="BW576" s="63" t="n">
        <f aca="false">IF(BW$35&gt;=$AC$574,BW$35-$AC$574+1,0)</f>
        <v>0</v>
      </c>
      <c r="BX576" s="63" t="n">
        <f aca="false">IF(BX$35&gt;=$AC$574,BX$35-$AC$574+1,0)</f>
        <v>0</v>
      </c>
      <c r="BY576" s="63" t="n">
        <f aca="false">IF(BY$35&gt;=$AC$574,BY$35-$AC$574+1,0)</f>
        <v>0</v>
      </c>
      <c r="BZ576" s="63" t="n">
        <f aca="false">IF(BZ$35&gt;=$AC$574,BZ$35-$AC$574+1,0)</f>
        <v>0</v>
      </c>
      <c r="CA576" s="63" t="n">
        <f aca="false">IF(CA$35&gt;=$AC$574,CA$35-$AC$574+1,0)</f>
        <v>0</v>
      </c>
      <c r="CB576" s="63" t="n">
        <f aca="false">IF(CB$35&gt;=$AC$574,CB$35-$AC$574+1,0)</f>
        <v>0</v>
      </c>
      <c r="CC576" s="63" t="n">
        <f aca="false">IF(CC$35&gt;=$AC$574,CC$35-$AC$574+1,0)</f>
        <v>0</v>
      </c>
      <c r="CD576" s="63" t="n">
        <f aca="false">IF(CD$35&gt;=$AC$574,CD$35-$AC$574+1,0)</f>
        <v>0</v>
      </c>
      <c r="CE576" s="63" t="n">
        <f aca="false">IF(CE$35&gt;=$AC$574,CE$35-$AC$574+1,0)</f>
        <v>0</v>
      </c>
      <c r="CF576" s="63" t="n">
        <f aca="false">IF(CF$35&gt;=$AC$574,CF$35-$AC$574+1,0)</f>
        <v>0</v>
      </c>
      <c r="CG576" s="63" t="n">
        <f aca="false">IF(CG$35&gt;=$AC$574,CG$35-$AC$574+1,0)</f>
        <v>0</v>
      </c>
      <c r="CH576" s="63" t="n">
        <f aca="false">IF(CH$35&gt;=$AC$574,CH$35-$AC$574+1,0)</f>
        <v>0</v>
      </c>
      <c r="CI576" s="63" t="n">
        <f aca="false">IF(CI$35&gt;=$AC$574,CI$35-$AC$574+1,0)</f>
        <v>0</v>
      </c>
      <c r="CJ576" s="63" t="n">
        <f aca="false">IF(CJ$35&gt;=$AC$574,CJ$35-$AC$574+1,0)</f>
        <v>0</v>
      </c>
      <c r="CK576" s="63" t="n">
        <f aca="false">IF(CK$35&gt;=$AC$574,CK$35-$AC$574+1,0)</f>
        <v>0</v>
      </c>
      <c r="CL576" s="63" t="n">
        <f aca="false">IF(CL$35&gt;=$AC$574,CL$35-$AC$574+1,0)</f>
        <v>0</v>
      </c>
      <c r="CM576" s="63" t="n">
        <f aca="false">IF(CM$35&gt;=$AC$574,CM$35-$AC$574+1,0)</f>
        <v>0</v>
      </c>
      <c r="CN576" s="63" t="n">
        <f aca="false">IF(CN$35&gt;=$AC$574,CN$35-$AC$574+1,0)</f>
        <v>0</v>
      </c>
      <c r="CO576" s="63" t="n">
        <f aca="false">IF(CO$35&gt;=$AC$574,CO$35-$AC$574+1,0)</f>
        <v>0</v>
      </c>
      <c r="CP576" s="63" t="n">
        <f aca="false">IF(CP$35&gt;=$AC$574,CP$35-$AC$574+1,0)</f>
        <v>0</v>
      </c>
      <c r="CQ576" s="63" t="n">
        <f aca="false">IF(CQ$35&gt;=$AC$574,CQ$35-$AC$574+1,0)</f>
        <v>0</v>
      </c>
      <c r="CR576" s="63" t="n">
        <f aca="false">IF(CR$35&gt;=$AC$574,CR$35-$AC$574+1,0)</f>
        <v>0</v>
      </c>
      <c r="CS576" s="63" t="n">
        <f aca="false">IF(CS$35&gt;=$AC$574,CS$35-$AC$574+1,0)</f>
        <v>0</v>
      </c>
      <c r="CT576" s="63" t="n">
        <f aca="false">IF(CT$35&gt;=$AC$574,CT$35-$AC$574+1,0)</f>
        <v>0</v>
      </c>
      <c r="CU576" s="63" t="n">
        <f aca="false">IF(CU$35&gt;=$AC$574,CU$35-$AC$574+1,0)</f>
        <v>0</v>
      </c>
      <c r="CV576" s="63" t="n">
        <f aca="false">IF(CV$35&gt;=$AC$574,CV$35-$AC$574+1,0)</f>
        <v>0</v>
      </c>
      <c r="CW576" s="63" t="n">
        <f aca="false">IF(CW$35&gt;=$AC$574,CW$35-$AC$574+1,0)</f>
        <v>0</v>
      </c>
      <c r="CX576" s="63" t="n">
        <f aca="false">IF(CX$35&gt;=$AC$574,CX$35-$AC$574+1,0)</f>
        <v>0</v>
      </c>
      <c r="CY576" s="63" t="n">
        <f aca="false">IF(CY$35&gt;=$AC$574,CY$35-$AC$574+1,0)</f>
        <v>0</v>
      </c>
      <c r="CZ576" s="63" t="n">
        <f aca="false">IF(CZ$35&gt;=$AC$574,CZ$35-$AC$574+1,0)</f>
        <v>0</v>
      </c>
      <c r="DA576" s="63" t="n">
        <f aca="false">IF(DA$35&gt;=$AC$574,DA$35-$AC$574+1,0)</f>
        <v>0</v>
      </c>
      <c r="DB576" s="63" t="n">
        <f aca="false">IF(DB$35&gt;=$AC$574,DB$35-$AC$574+1,0)</f>
        <v>0</v>
      </c>
      <c r="DC576" s="63" t="n">
        <f aca="false">IF(DC$35&gt;=$AC$574,DC$35-$AC$574+1,0)</f>
        <v>0</v>
      </c>
      <c r="DD576" s="63" t="n">
        <f aca="false">IF(DD$35&gt;=$AC$574,DD$35-$AC$574+1,0)</f>
        <v>0</v>
      </c>
      <c r="DE576" s="63" t="n">
        <f aca="false">IF(DE$35&gt;=$AC$574,DE$35-$AC$574+1,0)</f>
        <v>0</v>
      </c>
      <c r="DF576" s="63" t="n">
        <f aca="false">IF(DF$35&gt;=$AC$574,DF$35-$AC$574+1,0)</f>
        <v>1</v>
      </c>
      <c r="DG576" s="63" t="n">
        <f aca="false">IF(DG$35&gt;=$AC$574,DG$35-$AC$574+1,0)</f>
        <v>2</v>
      </c>
      <c r="DH576" s="63" t="n">
        <f aca="false">IF(DH$35&gt;=$AC$574,DH$35-$AC$574+1,0)</f>
        <v>3</v>
      </c>
      <c r="DI576" s="63" t="n">
        <f aca="false">IF(DI$35&gt;=$AC$574,DI$35-$AC$574+1,0)</f>
        <v>4</v>
      </c>
      <c r="DJ576" s="63" t="n">
        <f aca="false">IF(DJ$35&gt;=$AC$574,DJ$35-$AC$574+1,0)</f>
        <v>5</v>
      </c>
      <c r="DK576" s="63" t="n">
        <f aca="false">IF(DK$35&gt;=$AC$574,DK$35-$AC$574+1,0)</f>
        <v>6</v>
      </c>
      <c r="DL576" s="63" t="n">
        <f aca="false">IF(DL$35&gt;=$AC$574,DL$35-$AC$574+1,0)</f>
        <v>7</v>
      </c>
      <c r="DM576" s="63" t="n">
        <f aca="false">IF(DM$35&gt;=$AC$574,DM$35-$AC$574+1,0)</f>
        <v>8</v>
      </c>
      <c r="DN576" s="63" t="n">
        <f aca="false">IF(DN$35&gt;=$AC$574,DN$35-$AC$574+1,0)</f>
        <v>9</v>
      </c>
      <c r="DO576" s="63" t="n">
        <f aca="false">IF(DO$35&gt;=$AC$574,DO$35-$AC$574+1,0)</f>
        <v>10</v>
      </c>
      <c r="DP576" s="63" t="n">
        <f aca="false">IF(DP$35&gt;=$AC$574,DP$35-$AC$574+1,0)</f>
        <v>11</v>
      </c>
      <c r="DQ576" s="63" t="n">
        <f aca="false">IF(DQ$35&gt;=$AC$574,DQ$35-$AC$574+1,0)</f>
        <v>12</v>
      </c>
      <c r="DR576" s="63" t="n">
        <f aca="false">IF(DR$35&gt;=$AC$574,DR$35-$AC$574+1,0)</f>
        <v>13</v>
      </c>
      <c r="DS576" s="63" t="n">
        <f aca="false">IF(DS$35&gt;=$AC$574,DS$35-$AC$574+1,0)</f>
        <v>14</v>
      </c>
      <c r="DT576" s="63" t="n">
        <f aca="false">IF(DT$35&gt;=$AC$574,DT$35-$AC$574+1,0)</f>
        <v>15</v>
      </c>
      <c r="DU576" s="63" t="n">
        <f aca="false">IF(DU$35&gt;=$AC$574,DU$35-$AC$574+1,0)</f>
        <v>16</v>
      </c>
      <c r="DV576" s="63" t="n">
        <f aca="false">IF(DV$35&gt;=$AC$574,DV$35-$AC$574+1,0)</f>
        <v>17</v>
      </c>
      <c r="DW576" s="63" t="n">
        <f aca="false">IF(DW$35&gt;=$AC$574,DW$35-$AC$574+1,0)</f>
        <v>18</v>
      </c>
      <c r="DX576" s="63" t="n">
        <f aca="false">IF(DX$35&gt;=$AC$574,DX$35-$AC$574+1,0)</f>
        <v>19</v>
      </c>
      <c r="DY576" s="63" t="n">
        <f aca="false">IF(DY$35&gt;=$AC$574,DY$35-$AC$574+1,0)</f>
        <v>20</v>
      </c>
      <c r="DZ576" s="63" t="n">
        <f aca="false">IF(DZ$35&gt;=$AC$574,DZ$35-$AC$574+1,0)</f>
        <v>21</v>
      </c>
      <c r="EA576" s="63" t="n">
        <f aca="false">IF(EA$35&gt;=$AC$574,EA$35-$AC$574+1,0)</f>
        <v>22</v>
      </c>
      <c r="EB576" s="63" t="n">
        <f aca="false">IF(EB$35&gt;=$AC$574,EB$35-$AC$574+1,0)</f>
        <v>23</v>
      </c>
      <c r="EC576" s="63" t="n">
        <f aca="false">IF(EC$35&gt;=$AC$574,EC$35-$AC$574+1,0)</f>
        <v>24</v>
      </c>
      <c r="ED576" s="63" t="n">
        <f aca="false">IF(ED$35&gt;=$AC$574,ED$35-$AC$574+1,0)</f>
        <v>25</v>
      </c>
      <c r="EE576" s="63" t="n">
        <f aca="false">IF(EE$35&gt;=$AC$574,EE$35-$AC$574+1,0)</f>
        <v>26</v>
      </c>
      <c r="EF576" s="63" t="n">
        <f aca="false">IF(EF$35&gt;=$AC$574,EF$35-$AC$574+1,0)</f>
        <v>27</v>
      </c>
      <c r="EG576" s="63" t="n">
        <f aca="false">IF(EG$35&gt;=$AC$574,EG$35-$AC$574+1,0)</f>
        <v>28</v>
      </c>
      <c r="EH576" s="63" t="n">
        <f aca="false">IF(EH$35&gt;=$AC$574,EH$35-$AC$574+1,0)</f>
        <v>29</v>
      </c>
      <c r="EI576" s="63" t="n">
        <f aca="false">IF(EI$35&gt;=$AC$574,EI$35-$AC$574+1,0)</f>
        <v>30</v>
      </c>
      <c r="EJ576" s="63" t="n">
        <f aca="false">IF(EJ$35&gt;=$AC$574,EJ$35-$AC$574+1,0)</f>
        <v>31</v>
      </c>
      <c r="EK576" s="63" t="n">
        <f aca="false">IF(EK$35&gt;=$AC$574,EK$35-$AC$574+1,0)</f>
        <v>32</v>
      </c>
      <c r="EL576" s="63" t="n">
        <f aca="false">IF(EL$35&gt;=$AC$574,EL$35-$AC$574+1,0)</f>
        <v>33</v>
      </c>
      <c r="EM576" s="63" t="n">
        <f aca="false">IF(EM$35&gt;=$AC$574,EM$35-$AC$574+1,0)</f>
        <v>34</v>
      </c>
      <c r="EN576" s="63" t="n">
        <f aca="false">IF(EN$35&gt;=$AC$574,EN$35-$AC$574+1,0)</f>
        <v>35</v>
      </c>
      <c r="EO576" s="63" t="n">
        <f aca="false">IF(EO$35&gt;=$AC$574,EO$35-$AC$574+1,0)</f>
        <v>36</v>
      </c>
      <c r="EP576" s="63" t="n">
        <f aca="false">IF(EP$35&gt;=$AC$574,EP$35-$AC$574+1,0)</f>
        <v>37</v>
      </c>
      <c r="EQ576" s="63" t="n">
        <f aca="false">IF(EQ$35&gt;=$AC$574,EQ$35-$AC$574+1,0)</f>
        <v>38</v>
      </c>
      <c r="ER576" s="63" t="n">
        <f aca="false">IF(ER$35&gt;=$AC$574,ER$35-$AC$574+1,0)</f>
        <v>39</v>
      </c>
      <c r="ES576" s="9" t="n">
        <f aca="false">IF(ES$35&gt;=$AC$574,ES$35-$AC$574+1,0)</f>
        <v>40</v>
      </c>
      <c r="ET576" s="9" t="n">
        <f aca="false">IF(ET$35&gt;=$AC$574,ET$35-$AC$574+1,0)</f>
        <v>41</v>
      </c>
      <c r="EU576" s="9" t="n">
        <f aca="false">IF(EU$35&gt;=$AC$574,EU$35-$AC$574+1,0)</f>
        <v>42</v>
      </c>
      <c r="EV576" s="9" t="n">
        <f aca="false">IF(EV$35&gt;=$AC$574,EV$35-$AC$574+1,0)</f>
        <v>43</v>
      </c>
      <c r="EW576" s="9" t="n">
        <f aca="false">IF(EW$35&gt;=$AC$574,EW$35-$AC$574+1,0)</f>
        <v>44</v>
      </c>
      <c r="EX576" s="9" t="n">
        <f aca="false">IF(EX$35&gt;=$AC$574,EX$35-$AC$574+1,0)</f>
        <v>45</v>
      </c>
      <c r="EY576" s="9" t="n">
        <f aca="false">IF(EY$35&gt;=$AC$574,EY$35-$AC$574+1,0)</f>
        <v>46</v>
      </c>
      <c r="EZ576" s="9" t="n">
        <f aca="false">IF(EZ$35&gt;=$AC$574,EZ$35-$AC$574+1,0)</f>
        <v>47</v>
      </c>
      <c r="FA576" s="9" t="n">
        <f aca="false">IF(FA$35&gt;=$AC$574,FA$35-$AC$574+1,0)</f>
        <v>48</v>
      </c>
      <c r="FB576" s="9" t="n">
        <f aca="false">IF(FB$35&gt;=$AC$574,FB$35-$AC$574+1,0)</f>
        <v>49</v>
      </c>
      <c r="FC576" s="9" t="n">
        <f aca="false">IF(FC$35&gt;=$AC$574,FC$35-$AC$574+1,0)</f>
        <v>50</v>
      </c>
      <c r="FD576" s="9" t="n">
        <f aca="false">IF(FD$35&gt;=$AC$574,FD$35-$AC$574+1,0)</f>
        <v>51</v>
      </c>
      <c r="FE576" s="9" t="n">
        <f aca="false">IF(FE$35&gt;=$AC$574,FE$35-$AC$574+1,0)</f>
        <v>52</v>
      </c>
      <c r="FF576" s="9" t="n">
        <f aca="false">IF(FF$35&gt;=$AC$574,FF$35-$AC$574+1,0)</f>
        <v>53</v>
      </c>
      <c r="FG576" s="9" t="n">
        <f aca="false">IF(FG$35&gt;=$AC$574,FG$35-$AC$574+1,0)</f>
        <v>54</v>
      </c>
      <c r="FH576" s="9" t="n">
        <f aca="false">IF(FH$35&gt;=$AC$574,FH$35-$AC$574+1,0)</f>
        <v>55</v>
      </c>
      <c r="FI576" s="9" t="n">
        <f aca="false">IF(FI$35&gt;=$AC$574,FI$35-$AC$574+1,0)</f>
        <v>56</v>
      </c>
      <c r="FJ576" s="9" t="n">
        <f aca="false">IF(FJ$35&gt;=$AC$574,FJ$35-$AC$574+1,0)</f>
        <v>57</v>
      </c>
      <c r="FK576" s="9" t="n">
        <f aca="false">IF(FK$35&gt;=$AC$574,FK$35-$AC$574+1,0)</f>
        <v>58</v>
      </c>
      <c r="FL576" s="9" t="n">
        <f aca="false">IF(FL$35&gt;=$AC$574,FL$35-$AC$574+1,0)</f>
        <v>59</v>
      </c>
      <c r="FM576" s="9" t="n">
        <f aca="false">IF(FM$35&gt;=$AC$574,FM$35-$AC$574+1,0)</f>
        <v>60</v>
      </c>
      <c r="FN576" s="9" t="n">
        <f aca="false">IF(FN$35&gt;=$AC$574,FN$35-$AC$574+1,0)</f>
        <v>61</v>
      </c>
      <c r="FO576" s="9" t="n">
        <f aca="false">IF(FO$35&gt;=$AC$574,FO$35-$AC$574+1,0)</f>
        <v>62</v>
      </c>
      <c r="FP576" s="9" t="n">
        <f aca="false">IF(FP$35&gt;=$AC$574,FP$35-$AC$574+1,0)</f>
        <v>63</v>
      </c>
    </row>
    <row r="577" customFormat="false" ht="15" hidden="false" customHeight="false" outlineLevel="2" collapsed="false">
      <c r="B577" s="9" t="s">
        <v>874</v>
      </c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236" t="n">
        <f aca="false" t="array" ref="AC577:AC577">IF(AC576=0,0,IF(AC576/'🎚️ Escenario'!$C$11&gt;=36,$AL$23,INDEX($C$23:$AL$23,MAX(1,ROUNDUP(AC576/'🎚️ Escenario'!$C$11,0)))))</f>
        <v>0</v>
      </c>
      <c r="AD577" s="236" t="n">
        <f aca="false" t="array" ref="AD577:AD577">IF(AD576=0,0,IF(AD576/'🎚️ Escenario'!$C$11&gt;=36,$AL$23,INDEX($C$23:$AL$23,MAX(1,ROUNDUP(AD576/'🎚️ Escenario'!$C$11,0)))))</f>
        <v>0</v>
      </c>
      <c r="AE577" s="236" t="n">
        <f aca="false" t="array" ref="AE577:AE577">IF(AE576=0,0,IF(AE576/'🎚️ Escenario'!$C$11&gt;=36,$AL$23,INDEX($C$23:$AL$23,MAX(1,ROUNDUP(AE576/'🎚️ Escenario'!$C$11,0)))))</f>
        <v>0</v>
      </c>
      <c r="AF577" s="236" t="n">
        <f aca="false" t="array" ref="AF577:AF577">IF(AF576=0,0,IF(AF576/'🎚️ Escenario'!$C$11&gt;=36,$AL$23,INDEX($C$23:$AL$23,MAX(1,ROUNDUP(AF576/'🎚️ Escenario'!$C$11,0)))))</f>
        <v>0</v>
      </c>
      <c r="AG577" s="236" t="n">
        <f aca="false" t="array" ref="AG577:AG577">IF(AG576=0,0,IF(AG576/'🎚️ Escenario'!$C$11&gt;=36,$AL$23,INDEX($C$23:$AL$23,MAX(1,ROUNDUP(AG576/'🎚️ Escenario'!$C$11,0)))))</f>
        <v>0</v>
      </c>
      <c r="AH577" s="236" t="n">
        <f aca="false" t="array" ref="AH577:AH577">IF(AH576=0,0,IF(AH576/'🎚️ Escenario'!$C$11&gt;=36,$AL$23,INDEX($C$23:$AL$23,MAX(1,ROUNDUP(AH576/'🎚️ Escenario'!$C$11,0)))))</f>
        <v>0</v>
      </c>
      <c r="AI577" s="236" t="n">
        <f aca="false" t="array" ref="AI577:AI577">IF(AI576=0,0,IF(AI576/'🎚️ Escenario'!$C$11&gt;=36,$AL$23,INDEX($C$23:$AL$23,MAX(1,ROUNDUP(AI576/'🎚️ Escenario'!$C$11,0)))))</f>
        <v>0</v>
      </c>
      <c r="AJ577" s="236" t="n">
        <f aca="false" t="array" ref="AJ577:AJ577">IF(AJ576=0,0,IF(AJ576/'🎚️ Escenario'!$C$11&gt;=36,$AL$23,INDEX($C$23:$AL$23,MAX(1,ROUNDUP(AJ576/'🎚️ Escenario'!$C$11,0)))))</f>
        <v>0</v>
      </c>
      <c r="AK577" s="236" t="n">
        <f aca="false" t="array" ref="AK577:AK577">IF(AK576=0,0,IF(AK576/'🎚️ Escenario'!$C$11&gt;=36,$AL$23,INDEX($C$23:$AL$23,MAX(1,ROUNDUP(AK576/'🎚️ Escenario'!$C$11,0)))))</f>
        <v>0</v>
      </c>
      <c r="AL577" s="236" t="n">
        <f aca="false" t="array" ref="AL577:AL577">IF(AL576=0,0,IF(AL576/'🎚️ Escenario'!$C$11&gt;=36,$AL$23,INDEX($C$23:$AL$23,MAX(1,ROUNDUP(AL576/'🎚️ Escenario'!$C$11,0)))))</f>
        <v>0</v>
      </c>
      <c r="AM577" s="236" t="n">
        <f aca="false" t="array" ref="AM577:AM577">IF(AM576=0,0,IF(AM576/'🎚️ Escenario'!$C$11&gt;=36,$AL$23,INDEX($C$23:$AL$23,MAX(1,ROUNDUP(AM576/'🎚️ Escenario'!$C$11,0)))))</f>
        <v>0</v>
      </c>
      <c r="AN577" s="236" t="n">
        <f aca="false" t="array" ref="AN577:AN577">IF(AN576=0,0,IF(AN576/'🎚️ Escenario'!$C$11&gt;=36,$AL$23,INDEX($C$23:$AL$23,MAX(1,ROUNDUP(AN576/'🎚️ Escenario'!$C$11,0)))))</f>
        <v>0</v>
      </c>
      <c r="AO577" s="236" t="n">
        <f aca="false" t="array" ref="AO577:AO577">IF(AO576=0,0,IF(AO576/'🎚️ Escenario'!$C$11&gt;=36,$AL$23,INDEX($C$23:$AL$23,MAX(1,ROUNDUP(AO576/'🎚️ Escenario'!$C$11,0)))))</f>
        <v>0</v>
      </c>
      <c r="AP577" s="236" t="n">
        <f aca="false" t="array" ref="AP577:AP577">IF(AP576=0,0,IF(AP576/'🎚️ Escenario'!$C$11&gt;=36,$AL$23,INDEX($C$23:$AL$23,MAX(1,ROUNDUP(AP576/'🎚️ Escenario'!$C$11,0)))))</f>
        <v>0</v>
      </c>
      <c r="AQ577" s="236" t="n">
        <f aca="false" t="array" ref="AQ577:AQ577">IF(AQ576=0,0,IF(AQ576/'🎚️ Escenario'!$C$11&gt;=36,$AL$23,INDEX($C$23:$AL$23,MAX(1,ROUNDUP(AQ576/'🎚️ Escenario'!$C$11,0)))))</f>
        <v>0</v>
      </c>
      <c r="AR577" s="236" t="n">
        <f aca="false" t="array" ref="AR577:AR577">IF(AR576=0,0,IF(AR576/'🎚️ Escenario'!$C$11&gt;=36,$AL$23,INDEX($C$23:$AL$23,MAX(1,ROUNDUP(AR576/'🎚️ Escenario'!$C$11,0)))))</f>
        <v>0</v>
      </c>
      <c r="AS577" s="236" t="n">
        <f aca="false" t="array" ref="AS577:AS577">IF(AS576=0,0,IF(AS576/'🎚️ Escenario'!$C$11&gt;=36,$AL$23,INDEX($C$23:$AL$23,MAX(1,ROUNDUP(AS576/'🎚️ Escenario'!$C$11,0)))))</f>
        <v>0</v>
      </c>
      <c r="AT577" s="236" t="n">
        <f aca="false" t="array" ref="AT577:AT577">IF(AT576=0,0,IF(AT576/'🎚️ Escenario'!$C$11&gt;=36,$AL$23,INDEX($C$23:$AL$23,MAX(1,ROUNDUP(AT576/'🎚️ Escenario'!$C$11,0)))))</f>
        <v>0</v>
      </c>
      <c r="AU577" s="236" t="n">
        <f aca="false" t="array" ref="AU577:AU577">IF(AU576=0,0,IF(AU576/'🎚️ Escenario'!$C$11&gt;=36,$AL$23,INDEX($C$23:$AL$23,MAX(1,ROUNDUP(AU576/'🎚️ Escenario'!$C$11,0)))))</f>
        <v>0</v>
      </c>
      <c r="AV577" s="236" t="n">
        <f aca="false" t="array" ref="AV577:AV577">IF(AV576=0,0,IF(AV576/'🎚️ Escenario'!$C$11&gt;=36,$AL$23,INDEX($C$23:$AL$23,MAX(1,ROUNDUP(AV576/'🎚️ Escenario'!$C$11,0)))))</f>
        <v>0</v>
      </c>
      <c r="AW577" s="236" t="n">
        <f aca="false" t="array" ref="AW577:AW577">IF(AW576=0,0,IF(AW576/'🎚️ Escenario'!$C$11&gt;=36,$AL$23,INDEX($C$23:$AL$23,MAX(1,ROUNDUP(AW576/'🎚️ Escenario'!$C$11,0)))))</f>
        <v>0</v>
      </c>
      <c r="AX577" s="236" t="n">
        <f aca="false" t="array" ref="AX577:AX577">IF(AX576=0,0,IF(AX576/'🎚️ Escenario'!$C$11&gt;=36,$AL$23,INDEX($C$23:$AL$23,MAX(1,ROUNDUP(AX576/'🎚️ Escenario'!$C$11,0)))))</f>
        <v>0</v>
      </c>
      <c r="AY577" s="236" t="n">
        <f aca="false" t="array" ref="AY577:AY577">IF(AY576=0,0,IF(AY576/'🎚️ Escenario'!$C$11&gt;=36,$AL$23,INDEX($C$23:$AL$23,MAX(1,ROUNDUP(AY576/'🎚️ Escenario'!$C$11,0)))))</f>
        <v>0</v>
      </c>
      <c r="AZ577" s="236" t="n">
        <f aca="false" t="array" ref="AZ577:AZ577">IF(AZ576=0,0,IF(AZ576/'🎚️ Escenario'!$C$11&gt;=36,$AL$23,INDEX($C$23:$AL$23,MAX(1,ROUNDUP(AZ576/'🎚️ Escenario'!$C$11,0)))))</f>
        <v>0</v>
      </c>
      <c r="BA577" s="236" t="n">
        <f aca="false" t="array" ref="BA577:BA577">IF(BA576=0,0,IF(BA576/'🎚️ Escenario'!$C$11&gt;=36,$AL$23,INDEX($C$23:$AL$23,MAX(1,ROUNDUP(BA576/'🎚️ Escenario'!$C$11,0)))))</f>
        <v>0</v>
      </c>
      <c r="BB577" s="236" t="n">
        <f aca="false" t="array" ref="BB577:BB577">IF(BB576=0,0,IF(BB576/'🎚️ Escenario'!$C$11&gt;=36,$AL$23,INDEX($C$23:$AL$23,MAX(1,ROUNDUP(BB576/'🎚️ Escenario'!$C$11,0)))))</f>
        <v>0</v>
      </c>
      <c r="BC577" s="236" t="n">
        <f aca="false" t="array" ref="BC577:BC577">IF(BC576=0,0,IF(BC576/'🎚️ Escenario'!$C$11&gt;=36,$AL$23,INDEX($C$23:$AL$23,MAX(1,ROUNDUP(BC576/'🎚️ Escenario'!$C$11,0)))))</f>
        <v>0</v>
      </c>
      <c r="BD577" s="236" t="n">
        <f aca="false" t="array" ref="BD577:BD577">IF(BD576=0,0,IF(BD576/'🎚️ Escenario'!$C$11&gt;=36,$AL$23,INDEX($C$23:$AL$23,MAX(1,ROUNDUP(BD576/'🎚️ Escenario'!$C$11,0)))))</f>
        <v>0</v>
      </c>
      <c r="BE577" s="236" t="n">
        <f aca="false" t="array" ref="BE577:BE577">IF(BE576=0,0,IF(BE576/'🎚️ Escenario'!$C$11&gt;=36,$AL$23,INDEX($C$23:$AL$23,MAX(1,ROUNDUP(BE576/'🎚️ Escenario'!$C$11,0)))))</f>
        <v>0</v>
      </c>
      <c r="BF577" s="236" t="n">
        <f aca="false" t="array" ref="BF577:BF577">IF(BF576=0,0,IF(BF576/'🎚️ Escenario'!$C$11&gt;=36,$AL$23,INDEX($C$23:$AL$23,MAX(1,ROUNDUP(BF576/'🎚️ Escenario'!$C$11,0)))))</f>
        <v>0</v>
      </c>
      <c r="BG577" s="236" t="n">
        <f aca="false" t="array" ref="BG577:BG577">IF(BG576=0,0,IF(BG576/'🎚️ Escenario'!$C$11&gt;=36,$AL$23,INDEX($C$23:$AL$23,MAX(1,ROUNDUP(BG576/'🎚️ Escenario'!$C$11,0)))))</f>
        <v>0</v>
      </c>
      <c r="BH577" s="236" t="n">
        <f aca="false" t="array" ref="BH577:BH577">IF(BH576=0,0,IF(BH576/'🎚️ Escenario'!$C$11&gt;=36,$AL$23,INDEX($C$23:$AL$23,MAX(1,ROUNDUP(BH576/'🎚️ Escenario'!$C$11,0)))))</f>
        <v>0</v>
      </c>
      <c r="BI577" s="236" t="n">
        <f aca="false" t="array" ref="BI577:BI577">IF(BI576=0,0,IF(BI576/'🎚️ Escenario'!$C$11&gt;=36,$AL$23,INDEX($C$23:$AL$23,MAX(1,ROUNDUP(BI576/'🎚️ Escenario'!$C$11,0)))))</f>
        <v>0</v>
      </c>
      <c r="BJ577" s="236" t="n">
        <f aca="false" t="array" ref="BJ577:BJ577">IF(BJ576=0,0,IF(BJ576/'🎚️ Escenario'!$C$11&gt;=36,$AL$23,INDEX($C$23:$AL$23,MAX(1,ROUNDUP(BJ576/'🎚️ Escenario'!$C$11,0)))))</f>
        <v>0</v>
      </c>
      <c r="BK577" s="236" t="n">
        <f aca="false" t="array" ref="BK577:BK577">IF(BK576=0,0,IF(BK576/'🎚️ Escenario'!$C$11&gt;=36,$AL$23,INDEX($C$23:$AL$23,MAX(1,ROUNDUP(BK576/'🎚️ Escenario'!$C$11,0)))))</f>
        <v>0</v>
      </c>
      <c r="BL577" s="236" t="n">
        <f aca="false" t="array" ref="BL577:BL577">IF(BL576=0,0,IF(BL576/'🎚️ Escenario'!$C$11&gt;=36,$AL$23,INDEX($C$23:$AL$23,MAX(1,ROUNDUP(BL576/'🎚️ Escenario'!$C$11,0)))))</f>
        <v>0</v>
      </c>
      <c r="BM577" s="236" t="n">
        <f aca="false" t="array" ref="BM577:BM577">IF(BM576=0,0,IF(BM576/'🎚️ Escenario'!$C$11&gt;=36,$AL$23,INDEX($C$23:$AL$23,MAX(1,ROUNDUP(BM576/'🎚️ Escenario'!$C$11,0)))))</f>
        <v>0</v>
      </c>
      <c r="BN577" s="236" t="n">
        <f aca="false" t="array" ref="BN577:BN577">IF(BN576=0,0,IF(BN576/'🎚️ Escenario'!$C$11&gt;=36,$AL$23,INDEX($C$23:$AL$23,MAX(1,ROUNDUP(BN576/'🎚️ Escenario'!$C$11,0)))))</f>
        <v>0</v>
      </c>
      <c r="BO577" s="236" t="n">
        <f aca="false" t="array" ref="BO577:BO577">IF(BO576=0,0,IF(BO576/'🎚️ Escenario'!$C$11&gt;=36,$AL$23,INDEX($C$23:$AL$23,MAX(1,ROUNDUP(BO576/'🎚️ Escenario'!$C$11,0)))))</f>
        <v>0</v>
      </c>
      <c r="BP577" s="236" t="n">
        <f aca="false" t="array" ref="BP577:BP577">IF(BP576=0,0,IF(BP576/'🎚️ Escenario'!$C$11&gt;=36,$AL$23,INDEX($C$23:$AL$23,MAX(1,ROUNDUP(BP576/'🎚️ Escenario'!$C$11,0)))))</f>
        <v>0</v>
      </c>
      <c r="BQ577" s="236" t="n">
        <f aca="false" t="array" ref="BQ577:BQ577">IF(BQ576=0,0,IF(BQ576/'🎚️ Escenario'!$C$11&gt;=36,$AL$23,INDEX($C$23:$AL$23,MAX(1,ROUNDUP(BQ576/'🎚️ Escenario'!$C$11,0)))))</f>
        <v>0</v>
      </c>
      <c r="BR577" s="236" t="n">
        <f aca="false" t="array" ref="BR577:BR577">IF(BR576=0,0,IF(BR576/'🎚️ Escenario'!$C$11&gt;=36,$AL$23,INDEX($C$23:$AL$23,MAX(1,ROUNDUP(BR576/'🎚️ Escenario'!$C$11,0)))))</f>
        <v>0</v>
      </c>
      <c r="BS577" s="236" t="n">
        <f aca="false" t="array" ref="BS577:BS577">IF(BS576=0,0,IF(BS576/'🎚️ Escenario'!$C$11&gt;=36,$AL$23,INDEX($C$23:$AL$23,MAX(1,ROUNDUP(BS576/'🎚️ Escenario'!$C$11,0)))))</f>
        <v>0</v>
      </c>
      <c r="BT577" s="236" t="n">
        <f aca="false" t="array" ref="BT577:BT577">IF(BT576=0,0,IF(BT576/'🎚️ Escenario'!$C$11&gt;=36,$AL$23,INDEX($C$23:$AL$23,MAX(1,ROUNDUP(BT576/'🎚️ Escenario'!$C$11,0)))))</f>
        <v>0</v>
      </c>
      <c r="BU577" s="236" t="n">
        <f aca="false" t="array" ref="BU577:BU577">IF(BU576=0,0,IF(BU576/'🎚️ Escenario'!$C$11&gt;=36,$AL$23,INDEX($C$23:$AL$23,MAX(1,ROUNDUP(BU576/'🎚️ Escenario'!$C$11,0)))))</f>
        <v>0</v>
      </c>
      <c r="BV577" s="236" t="n">
        <f aca="false" t="array" ref="BV577:BV577">IF(BV576=0,0,IF(BV576/'🎚️ Escenario'!$C$11&gt;=36,$AL$23,INDEX($C$23:$AL$23,MAX(1,ROUNDUP(BV576/'🎚️ Escenario'!$C$11,0)))))</f>
        <v>0</v>
      </c>
      <c r="BW577" s="236" t="n">
        <f aca="false" t="array" ref="BW577:BW577">IF(BW576=0,0,IF(BW576/'🎚️ Escenario'!$C$11&gt;=36,$AL$23,INDEX($C$23:$AL$23,MAX(1,ROUNDUP(BW576/'🎚️ Escenario'!$C$11,0)))))</f>
        <v>0</v>
      </c>
      <c r="BX577" s="236" t="n">
        <f aca="false" t="array" ref="BX577:BX577">IF(BX576=0,0,IF(BX576/'🎚️ Escenario'!$C$11&gt;=36,$AL$23,INDEX($C$23:$AL$23,MAX(1,ROUNDUP(BX576/'🎚️ Escenario'!$C$11,0)))))</f>
        <v>0</v>
      </c>
      <c r="BY577" s="236" t="n">
        <f aca="false" t="array" ref="BY577:BY577">IF(BY576=0,0,IF(BY576/'🎚️ Escenario'!$C$11&gt;=36,$AL$23,INDEX($C$23:$AL$23,MAX(1,ROUNDUP(BY576/'🎚️ Escenario'!$C$11,0)))))</f>
        <v>0</v>
      </c>
      <c r="BZ577" s="236" t="n">
        <f aca="false" t="array" ref="BZ577:BZ577">IF(BZ576=0,0,IF(BZ576/'🎚️ Escenario'!$C$11&gt;=36,$AL$23,INDEX($C$23:$AL$23,MAX(1,ROUNDUP(BZ576/'🎚️ Escenario'!$C$11,0)))))</f>
        <v>0</v>
      </c>
      <c r="CA577" s="236" t="n">
        <f aca="false" t="array" ref="CA577:CA577">IF(CA576=0,0,IF(CA576/'🎚️ Escenario'!$C$11&gt;=36,$AL$23,INDEX($C$23:$AL$23,MAX(1,ROUNDUP(CA576/'🎚️ Escenario'!$C$11,0)))))</f>
        <v>0</v>
      </c>
      <c r="CB577" s="236" t="n">
        <f aca="false" t="array" ref="CB577:CB577">IF(CB576=0,0,IF(CB576/'🎚️ Escenario'!$C$11&gt;=36,$AL$23,INDEX($C$23:$AL$23,MAX(1,ROUNDUP(CB576/'🎚️ Escenario'!$C$11,0)))))</f>
        <v>0</v>
      </c>
      <c r="CC577" s="236" t="n">
        <f aca="false" t="array" ref="CC577:CC577">IF(CC576=0,0,IF(CC576/'🎚️ Escenario'!$C$11&gt;=36,$AL$23,INDEX($C$23:$AL$23,MAX(1,ROUNDUP(CC576/'🎚️ Escenario'!$C$11,0)))))</f>
        <v>0</v>
      </c>
      <c r="CD577" s="236" t="n">
        <f aca="false" t="array" ref="CD577:CD577">IF(CD576=0,0,IF(CD576/'🎚️ Escenario'!$C$11&gt;=36,$AL$23,INDEX($C$23:$AL$23,MAX(1,ROUNDUP(CD576/'🎚️ Escenario'!$C$11,0)))))</f>
        <v>0</v>
      </c>
      <c r="CE577" s="236" t="n">
        <f aca="false" t="array" ref="CE577:CE577">IF(CE576=0,0,IF(CE576/'🎚️ Escenario'!$C$11&gt;=36,$AL$23,INDEX($C$23:$AL$23,MAX(1,ROUNDUP(CE576/'🎚️ Escenario'!$C$11,0)))))</f>
        <v>0</v>
      </c>
      <c r="CF577" s="236" t="n">
        <f aca="false" t="array" ref="CF577:CF577">IF(CF576=0,0,IF(CF576/'🎚️ Escenario'!$C$11&gt;=36,$AL$23,INDEX($C$23:$AL$23,MAX(1,ROUNDUP(CF576/'🎚️ Escenario'!$C$11,0)))))</f>
        <v>0</v>
      </c>
      <c r="CG577" s="236" t="n">
        <f aca="false" t="array" ref="CG577:CG577">IF(CG576=0,0,IF(CG576/'🎚️ Escenario'!$C$11&gt;=36,$AL$23,INDEX($C$23:$AL$23,MAX(1,ROUNDUP(CG576/'🎚️ Escenario'!$C$11,0)))))</f>
        <v>0</v>
      </c>
      <c r="CH577" s="236" t="n">
        <f aca="false" t="array" ref="CH577:CH577">IF(CH576=0,0,IF(CH576/'🎚️ Escenario'!$C$11&gt;=36,$AL$23,INDEX($C$23:$AL$23,MAX(1,ROUNDUP(CH576/'🎚️ Escenario'!$C$11,0)))))</f>
        <v>0</v>
      </c>
      <c r="CI577" s="236" t="n">
        <f aca="false" t="array" ref="CI577:CI577">IF(CI576=0,0,IF(CI576/'🎚️ Escenario'!$C$11&gt;=36,$AL$23,INDEX($C$23:$AL$23,MAX(1,ROUNDUP(CI576/'🎚️ Escenario'!$C$11,0)))))</f>
        <v>0</v>
      </c>
      <c r="CJ577" s="236" t="n">
        <f aca="false" t="array" ref="CJ577:CJ577">IF(CJ576=0,0,IF(CJ576/'🎚️ Escenario'!$C$11&gt;=36,$AL$23,INDEX($C$23:$AL$23,MAX(1,ROUNDUP(CJ576/'🎚️ Escenario'!$C$11,0)))))</f>
        <v>0</v>
      </c>
      <c r="CK577" s="236" t="n">
        <f aca="false" t="array" ref="CK577:CK577">IF(CK576=0,0,IF(CK576/'🎚️ Escenario'!$C$11&gt;=36,$AL$23,INDEX($C$23:$AL$23,MAX(1,ROUNDUP(CK576/'🎚️ Escenario'!$C$11,0)))))</f>
        <v>0</v>
      </c>
      <c r="CL577" s="236" t="n">
        <f aca="false" t="array" ref="CL577:CL577">IF(CL576=0,0,IF(CL576/'🎚️ Escenario'!$C$11&gt;=36,$AL$23,INDEX($C$23:$AL$23,MAX(1,ROUNDUP(CL576/'🎚️ Escenario'!$C$11,0)))))</f>
        <v>0</v>
      </c>
      <c r="CM577" s="236" t="n">
        <f aca="false" t="array" ref="CM577:CM577">IF(CM576=0,0,IF(CM576/'🎚️ Escenario'!$C$11&gt;=36,$AL$23,INDEX($C$23:$AL$23,MAX(1,ROUNDUP(CM576/'🎚️ Escenario'!$C$11,0)))))</f>
        <v>0</v>
      </c>
      <c r="CN577" s="236" t="n">
        <f aca="false" t="array" ref="CN577:CN577">IF(CN576=0,0,IF(CN576/'🎚️ Escenario'!$C$11&gt;=36,$AL$23,INDEX($C$23:$AL$23,MAX(1,ROUNDUP(CN576/'🎚️ Escenario'!$C$11,0)))))</f>
        <v>0</v>
      </c>
      <c r="CO577" s="236" t="n">
        <f aca="false" t="array" ref="CO577:CO577">IF(CO576=0,0,IF(CO576/'🎚️ Escenario'!$C$11&gt;=36,$AL$23,INDEX($C$23:$AL$23,MAX(1,ROUNDUP(CO576/'🎚️ Escenario'!$C$11,0)))))</f>
        <v>0</v>
      </c>
      <c r="CP577" s="236" t="n">
        <f aca="false" t="array" ref="CP577:CP577">IF(CP576=0,0,IF(CP576/'🎚️ Escenario'!$C$11&gt;=36,$AL$23,INDEX($C$23:$AL$23,MAX(1,ROUNDUP(CP576/'🎚️ Escenario'!$C$11,0)))))</f>
        <v>0</v>
      </c>
      <c r="CQ577" s="236" t="n">
        <f aca="false" t="array" ref="CQ577:CQ577">IF(CQ576=0,0,IF(CQ576/'🎚️ Escenario'!$C$11&gt;=36,$AL$23,INDEX($C$23:$AL$23,MAX(1,ROUNDUP(CQ576/'🎚️ Escenario'!$C$11,0)))))</f>
        <v>0</v>
      </c>
      <c r="CR577" s="236" t="n">
        <f aca="false" t="array" ref="CR577:CR577">IF(CR576=0,0,IF(CR576/'🎚️ Escenario'!$C$11&gt;=36,$AL$23,INDEX($C$23:$AL$23,MAX(1,ROUNDUP(CR576/'🎚️ Escenario'!$C$11,0)))))</f>
        <v>0</v>
      </c>
      <c r="CS577" s="236" t="n">
        <f aca="false" t="array" ref="CS577:CS577">IF(CS576=0,0,IF(CS576/'🎚️ Escenario'!$C$11&gt;=36,$AL$23,INDEX($C$23:$AL$23,MAX(1,ROUNDUP(CS576/'🎚️ Escenario'!$C$11,0)))))</f>
        <v>0</v>
      </c>
      <c r="CT577" s="236" t="n">
        <f aca="false" t="array" ref="CT577:CT577">IF(CT576=0,0,IF(CT576/'🎚️ Escenario'!$C$11&gt;=36,$AL$23,INDEX($C$23:$AL$23,MAX(1,ROUNDUP(CT576/'🎚️ Escenario'!$C$11,0)))))</f>
        <v>0</v>
      </c>
      <c r="CU577" s="236" t="n">
        <f aca="false" t="array" ref="CU577:CU577">IF(CU576=0,0,IF(CU576/'🎚️ Escenario'!$C$11&gt;=36,$AL$23,INDEX($C$23:$AL$23,MAX(1,ROUNDUP(CU576/'🎚️ Escenario'!$C$11,0)))))</f>
        <v>0</v>
      </c>
      <c r="CV577" s="236" t="n">
        <f aca="false" t="array" ref="CV577:CV577">IF(CV576=0,0,IF(CV576/'🎚️ Escenario'!$C$11&gt;=36,$AL$23,INDEX($C$23:$AL$23,MAX(1,ROUNDUP(CV576/'🎚️ Escenario'!$C$11,0)))))</f>
        <v>0</v>
      </c>
      <c r="CW577" s="236" t="n">
        <f aca="false" t="array" ref="CW577:CW577">IF(CW576=0,0,IF(CW576/'🎚️ Escenario'!$C$11&gt;=36,$AL$23,INDEX($C$23:$AL$23,MAX(1,ROUNDUP(CW576/'🎚️ Escenario'!$C$11,0)))))</f>
        <v>0</v>
      </c>
      <c r="CX577" s="236" t="n">
        <f aca="false" t="array" ref="CX577:CX577">IF(CX576=0,0,IF(CX576/'🎚️ Escenario'!$C$11&gt;=36,$AL$23,INDEX($C$23:$AL$23,MAX(1,ROUNDUP(CX576/'🎚️ Escenario'!$C$11,0)))))</f>
        <v>0</v>
      </c>
      <c r="CY577" s="236" t="n">
        <f aca="false" t="array" ref="CY577:CY577">IF(CY576=0,0,IF(CY576/'🎚️ Escenario'!$C$11&gt;=36,$AL$23,INDEX($C$23:$AL$23,MAX(1,ROUNDUP(CY576/'🎚️ Escenario'!$C$11,0)))))</f>
        <v>0</v>
      </c>
      <c r="CZ577" s="236" t="n">
        <f aca="false" t="array" ref="CZ577:CZ577">IF(CZ576=0,0,IF(CZ576/'🎚️ Escenario'!$C$11&gt;=36,$AL$23,INDEX($C$23:$AL$23,MAX(1,ROUNDUP(CZ576/'🎚️ Escenario'!$C$11,0)))))</f>
        <v>0</v>
      </c>
      <c r="DA577" s="236" t="n">
        <f aca="false" t="array" ref="DA577:DA577">IF(DA576=0,0,IF(DA576/'🎚️ Escenario'!$C$11&gt;=36,$AL$23,INDEX($C$23:$AL$23,MAX(1,ROUNDUP(DA576/'🎚️ Escenario'!$C$11,0)))))</f>
        <v>0</v>
      </c>
      <c r="DB577" s="236" t="n">
        <f aca="false" t="array" ref="DB577:DB577">IF(DB576=0,0,IF(DB576/'🎚️ Escenario'!$C$11&gt;=36,$AL$23,INDEX($C$23:$AL$23,MAX(1,ROUNDUP(DB576/'🎚️ Escenario'!$C$11,0)))))</f>
        <v>0</v>
      </c>
      <c r="DC577" s="236" t="n">
        <f aca="false" t="array" ref="DC577:DC577">IF(DC576=0,0,IF(DC576/'🎚️ Escenario'!$C$11&gt;=36,$AL$23,INDEX($C$23:$AL$23,MAX(1,ROUNDUP(DC576/'🎚️ Escenario'!$C$11,0)))))</f>
        <v>0</v>
      </c>
      <c r="DD577" s="236" t="n">
        <f aca="false" t="array" ref="DD577:DD577">IF(DD576=0,0,IF(DD576/'🎚️ Escenario'!$C$11&gt;=36,$AL$23,INDEX($C$23:$AL$23,MAX(1,ROUNDUP(DD576/'🎚️ Escenario'!$C$11,0)))))</f>
        <v>0</v>
      </c>
      <c r="DE577" s="236" t="n">
        <f aca="false" t="array" ref="DE577:DE577">IF(DE576=0,0,IF(DE576/'🎚️ Escenario'!$C$11&gt;=36,$AL$23,INDEX($C$23:$AL$23,MAX(1,ROUNDUP(DE576/'🎚️ Escenario'!$C$11,0)))))</f>
        <v>0</v>
      </c>
      <c r="DF577" s="236" t="n">
        <f aca="false" t="array" ref="DF577:DF577">IF(DF576=0,0,IF(DF576/'🎚️ Escenario'!$C$11&gt;=36,$AL$23,INDEX($C$23:$AL$23,MAX(1,ROUNDUP(DF576/'🎚️ Escenario'!$C$11,0)))))</f>
        <v>0.2</v>
      </c>
      <c r="DG577" s="236" t="n">
        <f aca="false" t="array" ref="DG577:DG577">IF(DG576=0,0,IF(DG576/'🎚️ Escenario'!$C$11&gt;=36,$AL$23,INDEX($C$23:$AL$23,MAX(1,ROUNDUP(DG576/'🎚️ Escenario'!$C$11,0)))))</f>
        <v>0.22</v>
      </c>
      <c r="DH577" s="236" t="n">
        <f aca="false" t="array" ref="DH577:DH577">IF(DH576=0,0,IF(DH576/'🎚️ Escenario'!$C$11&gt;=36,$AL$23,INDEX($C$23:$AL$23,MAX(1,ROUNDUP(DH576/'🎚️ Escenario'!$C$11,0)))))</f>
        <v>0.24</v>
      </c>
      <c r="DI577" s="236" t="n">
        <f aca="false" t="array" ref="DI577:DI577">IF(DI576=0,0,IF(DI576/'🎚️ Escenario'!$C$11&gt;=36,$AL$23,INDEX($C$23:$AL$23,MAX(1,ROUNDUP(DI576/'🎚️ Escenario'!$C$11,0)))))</f>
        <v>0.27</v>
      </c>
      <c r="DJ577" s="236" t="n">
        <f aca="false" t="array" ref="DJ577:DJ577">IF(DJ576=0,0,IF(DJ576/'🎚️ Escenario'!$C$11&gt;=36,$AL$23,INDEX($C$23:$AL$23,MAX(1,ROUNDUP(DJ576/'🎚️ Escenario'!$C$11,0)))))</f>
        <v>0.27</v>
      </c>
      <c r="DK577" s="236" t="n">
        <f aca="false" t="array" ref="DK577:DK577">IF(DK576=0,0,IF(DK576/'🎚️ Escenario'!$C$11&gt;=36,$AL$23,INDEX($C$23:$AL$23,MAX(1,ROUNDUP(DK576/'🎚️ Escenario'!$C$11,0)))))</f>
        <v>0.31</v>
      </c>
      <c r="DL577" s="236" t="n">
        <f aca="false" t="array" ref="DL577:DL577">IF(DL576=0,0,IF(DL576/'🎚️ Escenario'!$C$11&gt;=36,$AL$23,INDEX($C$23:$AL$23,MAX(1,ROUNDUP(DL576/'🎚️ Escenario'!$C$11,0)))))</f>
        <v>0.35</v>
      </c>
      <c r="DM577" s="236" t="n">
        <f aca="false" t="array" ref="DM577:DM577">IF(DM576=0,0,IF(DM576/'🎚️ Escenario'!$C$11&gt;=36,$AL$23,INDEX($C$23:$AL$23,MAX(1,ROUNDUP(DM576/'🎚️ Escenario'!$C$11,0)))))</f>
        <v>0.39</v>
      </c>
      <c r="DN577" s="236" t="n">
        <f aca="false" t="array" ref="DN577:DN577">IF(DN576=0,0,IF(DN576/'🎚️ Escenario'!$C$11&gt;=36,$AL$23,INDEX($C$23:$AL$23,MAX(1,ROUNDUP(DN576/'🎚️ Escenario'!$C$11,0)))))</f>
        <v>0.44</v>
      </c>
      <c r="DO577" s="236" t="n">
        <f aca="false" t="array" ref="DO577:DO577">IF(DO576=0,0,IF(DO576/'🎚️ Escenario'!$C$11&gt;=36,$AL$23,INDEX($C$23:$AL$23,MAX(1,ROUNDUP(DO576/'🎚️ Escenario'!$C$11,0)))))</f>
        <v>0.44</v>
      </c>
      <c r="DP577" s="236" t="n">
        <f aca="false" t="array" ref="DP577:DP577">IF(DP576=0,0,IF(DP576/'🎚️ Escenario'!$C$11&gt;=36,$AL$23,INDEX($C$23:$AL$23,MAX(1,ROUNDUP(DP576/'🎚️ Escenario'!$C$11,0)))))</f>
        <v>0.48</v>
      </c>
      <c r="DQ577" s="236" t="n">
        <f aca="false" t="array" ref="DQ577:DQ577">IF(DQ576=0,0,IF(DQ576/'🎚️ Escenario'!$C$11&gt;=36,$AL$23,INDEX($C$23:$AL$23,MAX(1,ROUNDUP(DQ576/'🎚️ Escenario'!$C$11,0)))))</f>
        <v>0.52</v>
      </c>
      <c r="DR577" s="236" t="n">
        <f aca="false" t="array" ref="DR577:DR577">IF(DR576=0,0,IF(DR576/'🎚️ Escenario'!$C$11&gt;=36,$AL$23,INDEX($C$23:$AL$23,MAX(1,ROUNDUP(DR576/'🎚️ Escenario'!$C$11,0)))))</f>
        <v>0.56</v>
      </c>
      <c r="DS577" s="236" t="n">
        <f aca="false" t="array" ref="DS577:DS577">IF(DS576=0,0,IF(DS576/'🎚️ Escenario'!$C$11&gt;=36,$AL$23,INDEX($C$23:$AL$23,MAX(1,ROUNDUP(DS576/'🎚️ Escenario'!$C$11,0)))))</f>
        <v>0.6</v>
      </c>
      <c r="DT577" s="236" t="n">
        <f aca="false" t="array" ref="DT577:DT577">IF(DT576=0,0,IF(DT576/'🎚️ Escenario'!$C$11&gt;=36,$AL$23,INDEX($C$23:$AL$23,MAX(1,ROUNDUP(DT576/'🎚️ Escenario'!$C$11,0)))))</f>
        <v>0.6</v>
      </c>
      <c r="DU577" s="236" t="n">
        <f aca="false" t="array" ref="DU577:DU577">IF(DU576=0,0,IF(DU576/'🎚️ Escenario'!$C$11&gt;=36,$AL$23,INDEX($C$23:$AL$23,MAX(1,ROUNDUP(DU576/'🎚️ Escenario'!$C$11,0)))))</f>
        <v>0.63</v>
      </c>
      <c r="DV577" s="236" t="n">
        <f aca="false" t="array" ref="DV577:DV577">IF(DV576=0,0,IF(DV576/'🎚️ Escenario'!$C$11&gt;=36,$AL$23,INDEX($C$23:$AL$23,MAX(1,ROUNDUP(DV576/'🎚️ Escenario'!$C$11,0)))))</f>
        <v>0.66</v>
      </c>
      <c r="DW577" s="236" t="n">
        <f aca="false" t="array" ref="DW577:DW577">IF(DW576=0,0,IF(DW576/'🎚️ Escenario'!$C$11&gt;=36,$AL$23,INDEX($C$23:$AL$23,MAX(1,ROUNDUP(DW576/'🎚️ Escenario'!$C$11,0)))))</f>
        <v>0.69</v>
      </c>
      <c r="DX577" s="236" t="n">
        <f aca="false" t="array" ref="DX577:DX577">IF(DX576=0,0,IF(DX576/'🎚️ Escenario'!$C$11&gt;=36,$AL$23,INDEX($C$23:$AL$23,MAX(1,ROUNDUP(DX576/'🎚️ Escenario'!$C$11,0)))))</f>
        <v>0.71</v>
      </c>
      <c r="DY577" s="236" t="n">
        <f aca="false" t="array" ref="DY577:DY577">IF(DY576=0,0,IF(DY576/'🎚️ Escenario'!$C$11&gt;=36,$AL$23,INDEX($C$23:$AL$23,MAX(1,ROUNDUP(DY576/'🎚️ Escenario'!$C$11,0)))))</f>
        <v>0.71</v>
      </c>
      <c r="DZ577" s="236" t="n">
        <f aca="false" t="array" ref="DZ577:DZ577">IF(DZ576=0,0,IF(DZ576/'🎚️ Escenario'!$C$11&gt;=36,$AL$23,INDEX($C$23:$AL$23,MAX(1,ROUNDUP(DZ576/'🎚️ Escenario'!$C$11,0)))))</f>
        <v>0.73</v>
      </c>
      <c r="EA577" s="236" t="n">
        <f aca="false" t="array" ref="EA577:EA577">IF(EA576=0,0,IF(EA576/'🎚️ Escenario'!$C$11&gt;=36,$AL$23,INDEX($C$23:$AL$23,MAX(1,ROUNDUP(EA576/'🎚️ Escenario'!$C$11,0)))))</f>
        <v>0.75</v>
      </c>
      <c r="EB577" s="236" t="n">
        <f aca="false" t="array" ref="EB577:EB577">IF(EB576=0,0,IF(EB576/'🎚️ Escenario'!$C$11&gt;=36,$AL$23,INDEX($C$23:$AL$23,MAX(1,ROUNDUP(EB576/'🎚️ Escenario'!$C$11,0)))))</f>
        <v>0.77</v>
      </c>
      <c r="EC577" s="236" t="n">
        <f aca="false" t="array" ref="EC577:EC577">IF(EC576=0,0,IF(EC576/'🎚️ Escenario'!$C$11&gt;=36,$AL$23,INDEX($C$23:$AL$23,MAX(1,ROUNDUP(EC576/'🎚️ Escenario'!$C$11,0)))))</f>
        <v>0.79</v>
      </c>
      <c r="ED577" s="236" t="n">
        <f aca="false" t="array" ref="ED577:ED577">IF(ED576=0,0,IF(ED576/'🎚️ Escenario'!$C$11&gt;=36,$AL$23,INDEX($C$23:$AL$23,MAX(1,ROUNDUP(ED576/'🎚️ Escenario'!$C$11,0)))))</f>
        <v>0.79</v>
      </c>
      <c r="EE577" s="236" t="n">
        <f aca="false" t="array" ref="EE577:EE577">IF(EE576=0,0,IF(EE576/'🎚️ Escenario'!$C$11&gt;=36,$AL$23,INDEX($C$23:$AL$23,MAX(1,ROUNDUP(EE576/'🎚️ Escenario'!$C$11,0)))))</f>
        <v>0.8</v>
      </c>
      <c r="EF577" s="236" t="n">
        <f aca="false" t="array" ref="EF577:EF577">IF(EF576=0,0,IF(EF576/'🎚️ Escenario'!$C$11&gt;=36,$AL$23,INDEX($C$23:$AL$23,MAX(1,ROUNDUP(EF576/'🎚️ Escenario'!$C$11,0)))))</f>
        <v>0.82</v>
      </c>
      <c r="EG577" s="236" t="n">
        <f aca="false" t="array" ref="EG577:EG577">IF(EG576=0,0,IF(EG576/'🎚️ Escenario'!$C$11&gt;=36,$AL$23,INDEX($C$23:$AL$23,MAX(1,ROUNDUP(EG576/'🎚️ Escenario'!$C$11,0)))))</f>
        <v>0.84</v>
      </c>
      <c r="EH577" s="236" t="n">
        <f aca="false" t="array" ref="EH577:EH577">IF(EH576=0,0,IF(EH576/'🎚️ Escenario'!$C$11&gt;=36,$AL$23,INDEX($C$23:$AL$23,MAX(1,ROUNDUP(EH576/'🎚️ Escenario'!$C$11,0)))))</f>
        <v>0.85</v>
      </c>
      <c r="EI577" s="236" t="n">
        <f aca="false" t="array" ref="EI577:EI577">IF(EI576=0,0,IF(EI576/'🎚️ Escenario'!$C$11&gt;=36,$AL$23,INDEX($C$23:$AL$23,MAX(1,ROUNDUP(EI576/'🎚️ Escenario'!$C$11,0)))))</f>
        <v>0.85</v>
      </c>
      <c r="EJ577" s="236" t="n">
        <f aca="false" t="array" ref="EJ577:EJ577">IF(EJ576=0,0,IF(EJ576/'🎚️ Escenario'!$C$11&gt;=36,$AL$23,INDEX($C$23:$AL$23,MAX(1,ROUNDUP(EJ576/'🎚️ Escenario'!$C$11,0)))))</f>
        <v>0.86</v>
      </c>
      <c r="EK577" s="236" t="n">
        <f aca="false" t="array" ref="EK577:EK577">IF(EK576=0,0,IF(EK576/'🎚️ Escenario'!$C$11&gt;=36,$AL$23,INDEX($C$23:$AL$23,MAX(1,ROUNDUP(EK576/'🎚️ Escenario'!$C$11,0)))))</f>
        <v>0.88</v>
      </c>
      <c r="EL577" s="236" t="n">
        <f aca="false" t="array" ref="EL577:EL577">IF(EL576=0,0,IF(EL576/'🎚️ Escenario'!$C$11&gt;=36,$AL$23,INDEX($C$23:$AL$23,MAX(1,ROUNDUP(EL576/'🎚️ Escenario'!$C$11,0)))))</f>
        <v>0.89</v>
      </c>
      <c r="EM577" s="236" t="n">
        <f aca="false" t="array" ref="EM577:EM577">IF(EM576=0,0,IF(EM576/'🎚️ Escenario'!$C$11&gt;=36,$AL$23,INDEX($C$23:$AL$23,MAX(1,ROUNDUP(EM576/'🎚️ Escenario'!$C$11,0)))))</f>
        <v>0.9</v>
      </c>
      <c r="EN577" s="236" t="n">
        <f aca="false" t="array" ref="EN577:EN577">IF(EN576=0,0,IF(EN576/'🎚️ Escenario'!$C$11&gt;=36,$AL$23,INDEX($C$23:$AL$23,MAX(1,ROUNDUP(EN576/'🎚️ Escenario'!$C$11,0)))))</f>
        <v>0.9</v>
      </c>
      <c r="EO577" s="236" t="n">
        <f aca="false" t="array" ref="EO577:EO577">IF(EO576=0,0,IF(EO576/'🎚️ Escenario'!$C$11&gt;=36,$AL$23,INDEX($C$23:$AL$23,MAX(1,ROUNDUP(EO576/'🎚️ Escenario'!$C$11,0)))))</f>
        <v>0.92</v>
      </c>
      <c r="EP577" s="236" t="n">
        <f aca="false" t="array" ref="EP577:EP577">IF(EP576=0,0,IF(EP576/'🎚️ Escenario'!$C$11&gt;=36,$AL$23,INDEX($C$23:$AL$23,MAX(1,ROUNDUP(EP576/'🎚️ Escenario'!$C$11,0)))))</f>
        <v>0.93</v>
      </c>
      <c r="EQ577" s="236" t="n">
        <f aca="false" t="array" ref="EQ577:EQ577">IF(EQ576=0,0,IF(EQ576/'🎚️ Escenario'!$C$11&gt;=36,$AL$23,INDEX($C$23:$AL$23,MAX(1,ROUNDUP(EQ576/'🎚️ Escenario'!$C$11,0)))))</f>
        <v>0.94</v>
      </c>
      <c r="ER577" s="236" t="n">
        <f aca="false" t="array" ref="ER577:ER577">IF(ER576=0,0,IF(ER576/'🎚️ Escenario'!$C$11&gt;=36,$AL$23,INDEX($C$23:$AL$23,MAX(1,ROUNDUP(ER576/'🎚️ Escenario'!$C$11,0)))))</f>
        <v>0.95</v>
      </c>
      <c r="ES577" s="9" t="n">
        <f aca="false" t="array" ref="ES577:ES577">IF(ES576=0,0,IF(ES576/'🎚️ Escenario'!$C$11&gt;=36,$AL$23,INDEX($C$23:$AL$23,MAX(1,ROUNDUP(ES576/'🎚️ Escenario'!$C$11,0)))))</f>
        <v>0.95</v>
      </c>
      <c r="ET577" s="9" t="n">
        <f aca="false" t="array" ref="ET577:ET577">IF(ET576=0,0,IF(ET576/'🎚️ Escenario'!$C$11&gt;=36,$AL$23,INDEX($C$23:$AL$23,MAX(1,ROUNDUP(ET576/'🎚️ Escenario'!$C$11,0)))))</f>
        <v>0.97</v>
      </c>
      <c r="EU577" s="9" t="n">
        <f aca="false" t="array" ref="EU577:EU577">IF(EU576=0,0,IF(EU576/'🎚️ Escenario'!$C$11&gt;=36,$AL$23,INDEX($C$23:$AL$23,MAX(1,ROUNDUP(EU576/'🎚️ Escenario'!$C$11,0)))))</f>
        <v>0.98</v>
      </c>
      <c r="EV577" s="9" t="n">
        <f aca="false" t="array" ref="EV577:EV577">IF(EV576=0,0,IF(EV576/'🎚️ Escenario'!$C$11&gt;=36,$AL$23,INDEX($C$23:$AL$23,MAX(1,ROUNDUP(EV576/'🎚️ Escenario'!$C$11,0)))))</f>
        <v>0.99</v>
      </c>
      <c r="EW577" s="9" t="n">
        <f aca="false" t="array" ref="EW577:EW577">IF(EW576=0,0,IF(EW576/'🎚️ Escenario'!$C$11&gt;=36,$AL$23,INDEX($C$23:$AL$23,MAX(1,ROUNDUP(EW576/'🎚️ Escenario'!$C$11,0)))))</f>
        <v>1</v>
      </c>
      <c r="EX577" s="9" t="n">
        <f aca="false" t="array" ref="EX577:EX577">IF(EX576=0,0,IF(EX576/'🎚️ Escenario'!$C$11&gt;=36,$AL$23,INDEX($C$23:$AL$23,MAX(1,ROUNDUP(EX576/'🎚️ Escenario'!$C$11,0)))))</f>
        <v>1</v>
      </c>
      <c r="EY577" s="9" t="n">
        <f aca="false" t="array" ref="EY577:EY577">IF(EY576=0,0,IF(EY576/'🎚️ Escenario'!$C$11&gt;=36,$AL$23,INDEX($C$23:$AL$23,MAX(1,ROUNDUP(EY576/'🎚️ Escenario'!$C$11,0)))))</f>
        <v>1</v>
      </c>
      <c r="EZ577" s="9" t="n">
        <f aca="false" t="array" ref="EZ577:EZ577">IF(EZ576=0,0,IF(EZ576/'🎚️ Escenario'!$C$11&gt;=36,$AL$23,INDEX($C$23:$AL$23,MAX(1,ROUNDUP(EZ576/'🎚️ Escenario'!$C$11,0)))))</f>
        <v>1</v>
      </c>
      <c r="FA577" s="9" t="n">
        <f aca="false" t="array" ref="FA577:FA577">IF(FA576=0,0,IF(FA576/'🎚️ Escenario'!$C$11&gt;=36,$AL$23,INDEX($C$23:$AL$23,MAX(1,ROUNDUP(FA576/'🎚️ Escenario'!$C$11,0)))))</f>
        <v>1</v>
      </c>
      <c r="FB577" s="9" t="n">
        <f aca="false" t="array" ref="FB577:FB577">IF(FB576=0,0,IF(FB576/'🎚️ Escenario'!$C$11&gt;=36,$AL$23,INDEX($C$23:$AL$23,MAX(1,ROUNDUP(FB576/'🎚️ Escenario'!$C$11,0)))))</f>
        <v>1</v>
      </c>
      <c r="FC577" s="9" t="n">
        <f aca="false" t="array" ref="FC577:FC577">IF(FC576=0,0,IF(FC576/'🎚️ Escenario'!$C$11&gt;=36,$AL$23,INDEX($C$23:$AL$23,MAX(1,ROUNDUP(FC576/'🎚️ Escenario'!$C$11,0)))))</f>
        <v>1</v>
      </c>
      <c r="FD577" s="9" t="n">
        <f aca="false" t="array" ref="FD577:FD577">IF(FD576=0,0,IF(FD576/'🎚️ Escenario'!$C$11&gt;=36,$AL$23,INDEX($C$23:$AL$23,MAX(1,ROUNDUP(FD576/'🎚️ Escenario'!$C$11,0)))))</f>
        <v>1</v>
      </c>
      <c r="FE577" s="9" t="n">
        <f aca="false" t="array" ref="FE577:FE577">IF(FE576=0,0,IF(FE576/'🎚️ Escenario'!$C$11&gt;=36,$AL$23,INDEX($C$23:$AL$23,MAX(1,ROUNDUP(FE576/'🎚️ Escenario'!$C$11,0)))))</f>
        <v>1</v>
      </c>
      <c r="FF577" s="9" t="n">
        <f aca="false" t="array" ref="FF577:FF577">IF(FF576=0,0,IF(FF576/'🎚️ Escenario'!$C$11&gt;=36,$AL$23,INDEX($C$23:$AL$23,MAX(1,ROUNDUP(FF576/'🎚️ Escenario'!$C$11,0)))))</f>
        <v>1</v>
      </c>
      <c r="FG577" s="9" t="n">
        <f aca="false" t="array" ref="FG577:FG577">IF(FG576=0,0,IF(FG576/'🎚️ Escenario'!$C$11&gt;=36,$AL$23,INDEX($C$23:$AL$23,MAX(1,ROUNDUP(FG576/'🎚️ Escenario'!$C$11,0)))))</f>
        <v>1</v>
      </c>
      <c r="FH577" s="9" t="n">
        <f aca="false" t="array" ref="FH577:FH577">IF(FH576=0,0,IF(FH576/'🎚️ Escenario'!$C$11&gt;=36,$AL$23,INDEX($C$23:$AL$23,MAX(1,ROUNDUP(FH576/'🎚️ Escenario'!$C$11,0)))))</f>
        <v>1</v>
      </c>
      <c r="FI577" s="9" t="n">
        <f aca="false" t="array" ref="FI577:FI577">IF(FI576=0,0,IF(FI576/'🎚️ Escenario'!$C$11&gt;=36,$AL$23,INDEX($C$23:$AL$23,MAX(1,ROUNDUP(FI576/'🎚️ Escenario'!$C$11,0)))))</f>
        <v>1</v>
      </c>
      <c r="FJ577" s="9" t="n">
        <f aca="false" t="array" ref="FJ577:FJ577">IF(FJ576=0,0,IF(FJ576/'🎚️ Escenario'!$C$11&gt;=36,$AL$23,INDEX($C$23:$AL$23,MAX(1,ROUNDUP(FJ576/'🎚️ Escenario'!$C$11,0)))))</f>
        <v>1</v>
      </c>
      <c r="FK577" s="9" t="n">
        <f aca="false" t="array" ref="FK577:FK577">IF(FK576=0,0,IF(FK576/'🎚️ Escenario'!$C$11&gt;=36,$AL$23,INDEX($C$23:$AL$23,MAX(1,ROUNDUP(FK576/'🎚️ Escenario'!$C$11,0)))))</f>
        <v>1</v>
      </c>
      <c r="FL577" s="9" t="n">
        <f aca="false" t="array" ref="FL577:FL577">IF(FL576=0,0,IF(FL576/'🎚️ Escenario'!$C$11&gt;=36,$AL$23,INDEX($C$23:$AL$23,MAX(1,ROUNDUP(FL576/'🎚️ Escenario'!$C$11,0)))))</f>
        <v>1</v>
      </c>
      <c r="FM577" s="9" t="n">
        <f aca="false" t="array" ref="FM577:FM577">IF(FM576=0,0,IF(FM576/'🎚️ Escenario'!$C$11&gt;=36,$AL$23,INDEX($C$23:$AL$23,MAX(1,ROUNDUP(FM576/'🎚️ Escenario'!$C$11,0)))))</f>
        <v>1</v>
      </c>
      <c r="FN577" s="9" t="n">
        <f aca="false" t="array" ref="FN577:FN577">IF(FN576=0,0,IF(FN576/'🎚️ Escenario'!$C$11&gt;=36,$AL$23,INDEX($C$23:$AL$23,MAX(1,ROUNDUP(FN576/'🎚️ Escenario'!$C$11,0)))))</f>
        <v>1</v>
      </c>
      <c r="FO577" s="9" t="n">
        <f aca="false" t="array" ref="FO577:FO577">IF(FO576=0,0,IF(FO576/'🎚️ Escenario'!$C$11&gt;=36,$AL$23,INDEX($C$23:$AL$23,MAX(1,ROUNDUP(FO576/'🎚️ Escenario'!$C$11,0)))))</f>
        <v>1</v>
      </c>
      <c r="FP577" s="9" t="n">
        <f aca="false" t="array" ref="FP577:FP577">IF(FP576=0,0,IF(FP576/'🎚️ Escenario'!$C$11&gt;=36,$AL$23,INDEX($C$23:$AL$23,MAX(1,ROUNDUP(FP576/'🎚️ Escenario'!$C$11,0)))))</f>
        <v>1</v>
      </c>
    </row>
    <row r="578" customFormat="false" ht="15" hidden="false" customHeight="false" outlineLevel="2" collapsed="false">
      <c r="B578" s="9" t="s">
        <v>875</v>
      </c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237" t="n">
        <f aca="false">IF(AC576=0,0,IF(AC576&lt;=12*'🎚️ Escenario'!$C$11,1,1+$C$6))</f>
        <v>0</v>
      </c>
      <c r="AD578" s="237" t="n">
        <f aca="false">IF(AD576=0,0,IF(AD576&lt;=12*'🎚️ Escenario'!$C$11,1,1+$C$6))</f>
        <v>0</v>
      </c>
      <c r="AE578" s="237" t="n">
        <f aca="false">IF(AE576=0,0,IF(AE576&lt;=12*'🎚️ Escenario'!$C$11,1,1+$C$6))</f>
        <v>0</v>
      </c>
      <c r="AF578" s="237" t="n">
        <f aca="false">IF(AF576=0,0,IF(AF576&lt;=12*'🎚️ Escenario'!$C$11,1,1+$C$6))</f>
        <v>0</v>
      </c>
      <c r="AG578" s="237" t="n">
        <f aca="false">IF(AG576=0,0,IF(AG576&lt;=12*'🎚️ Escenario'!$C$11,1,1+$C$6))</f>
        <v>0</v>
      </c>
      <c r="AH578" s="237" t="n">
        <f aca="false">IF(AH576=0,0,IF(AH576&lt;=12*'🎚️ Escenario'!$C$11,1,1+$C$6))</f>
        <v>0</v>
      </c>
      <c r="AI578" s="237" t="n">
        <f aca="false">IF(AI576=0,0,IF(AI576&lt;=12*'🎚️ Escenario'!$C$11,1,1+$C$6))</f>
        <v>0</v>
      </c>
      <c r="AJ578" s="237" t="n">
        <f aca="false">IF(AJ576=0,0,IF(AJ576&lt;=12*'🎚️ Escenario'!$C$11,1,1+$C$6))</f>
        <v>0</v>
      </c>
      <c r="AK578" s="237" t="n">
        <f aca="false">IF(AK576=0,0,IF(AK576&lt;=12*'🎚️ Escenario'!$C$11,1,1+$C$6))</f>
        <v>0</v>
      </c>
      <c r="AL578" s="237" t="n">
        <f aca="false">IF(AL576=0,0,IF(AL576&lt;=12*'🎚️ Escenario'!$C$11,1,1+$C$6))</f>
        <v>0</v>
      </c>
      <c r="AM578" s="237" t="n">
        <f aca="false">IF(AM576=0,0,IF(AM576&lt;=12*'🎚️ Escenario'!$C$11,1,1+$C$6))</f>
        <v>0</v>
      </c>
      <c r="AN578" s="237" t="n">
        <f aca="false">IF(AN576=0,0,IF(AN576&lt;=12*'🎚️ Escenario'!$C$11,1,1+$C$6))</f>
        <v>0</v>
      </c>
      <c r="AO578" s="237" t="n">
        <f aca="false">IF(AO576=0,0,IF(AO576&lt;=12*'🎚️ Escenario'!$C$11,1,1+$C$6))</f>
        <v>0</v>
      </c>
      <c r="AP578" s="237" t="n">
        <f aca="false">IF(AP576=0,0,IF(AP576&lt;=12*'🎚️ Escenario'!$C$11,1,1+$C$6))</f>
        <v>0</v>
      </c>
      <c r="AQ578" s="237" t="n">
        <f aca="false">IF(AQ576=0,0,IF(AQ576&lt;=12*'🎚️ Escenario'!$C$11,1,1+$C$6))</f>
        <v>0</v>
      </c>
      <c r="AR578" s="237" t="n">
        <f aca="false">IF(AR576=0,0,IF(AR576&lt;=12*'🎚️ Escenario'!$C$11,1,1+$C$6))</f>
        <v>0</v>
      </c>
      <c r="AS578" s="237" t="n">
        <f aca="false">IF(AS576=0,0,IF(AS576&lt;=12*'🎚️ Escenario'!$C$11,1,1+$C$6))</f>
        <v>0</v>
      </c>
      <c r="AT578" s="237" t="n">
        <f aca="false">IF(AT576=0,0,IF(AT576&lt;=12*'🎚️ Escenario'!$C$11,1,1+$C$6))</f>
        <v>0</v>
      </c>
      <c r="AU578" s="237" t="n">
        <f aca="false">IF(AU576=0,0,IF(AU576&lt;=12*'🎚️ Escenario'!$C$11,1,1+$C$6))</f>
        <v>0</v>
      </c>
      <c r="AV578" s="237" t="n">
        <f aca="false">IF(AV576=0,0,IF(AV576&lt;=12*'🎚️ Escenario'!$C$11,1,1+$C$6))</f>
        <v>0</v>
      </c>
      <c r="AW578" s="237" t="n">
        <f aca="false">IF(AW576=0,0,IF(AW576&lt;=12*'🎚️ Escenario'!$C$11,1,1+$C$6))</f>
        <v>0</v>
      </c>
      <c r="AX578" s="237" t="n">
        <f aca="false">IF(AX576=0,0,IF(AX576&lt;=12*'🎚️ Escenario'!$C$11,1,1+$C$6))</f>
        <v>0</v>
      </c>
      <c r="AY578" s="237" t="n">
        <f aca="false">IF(AY576=0,0,IF(AY576&lt;=12*'🎚️ Escenario'!$C$11,1,1+$C$6))</f>
        <v>0</v>
      </c>
      <c r="AZ578" s="237" t="n">
        <f aca="false">IF(AZ576=0,0,IF(AZ576&lt;=12*'🎚️ Escenario'!$C$11,1,1+$C$6))</f>
        <v>0</v>
      </c>
      <c r="BA578" s="237" t="n">
        <f aca="false">IF(BA576=0,0,IF(BA576&lt;=12*'🎚️ Escenario'!$C$11,1,1+$C$6))</f>
        <v>0</v>
      </c>
      <c r="BB578" s="237" t="n">
        <f aca="false">IF(BB576=0,0,IF(BB576&lt;=12*'🎚️ Escenario'!$C$11,1,1+$C$6))</f>
        <v>0</v>
      </c>
      <c r="BC578" s="237" t="n">
        <f aca="false">IF(BC576=0,0,IF(BC576&lt;=12*'🎚️ Escenario'!$C$11,1,1+$C$6))</f>
        <v>0</v>
      </c>
      <c r="BD578" s="237" t="n">
        <f aca="false">IF(BD576=0,0,IF(BD576&lt;=12*'🎚️ Escenario'!$C$11,1,1+$C$6))</f>
        <v>0</v>
      </c>
      <c r="BE578" s="237" t="n">
        <f aca="false">IF(BE576=0,0,IF(BE576&lt;=12*'🎚️ Escenario'!$C$11,1,1+$C$6))</f>
        <v>0</v>
      </c>
      <c r="BF578" s="237" t="n">
        <f aca="false">IF(BF576=0,0,IF(BF576&lt;=12*'🎚️ Escenario'!$C$11,1,1+$C$6))</f>
        <v>0</v>
      </c>
      <c r="BG578" s="237" t="n">
        <f aca="false">IF(BG576=0,0,IF(BG576&lt;=12*'🎚️ Escenario'!$C$11,1,1+$C$6))</f>
        <v>0</v>
      </c>
      <c r="BH578" s="237" t="n">
        <f aca="false">IF(BH576=0,0,IF(BH576&lt;=12*'🎚️ Escenario'!$C$11,1,1+$C$6))</f>
        <v>0</v>
      </c>
      <c r="BI578" s="237" t="n">
        <f aca="false">IF(BI576=0,0,IF(BI576&lt;=12*'🎚️ Escenario'!$C$11,1,1+$C$6))</f>
        <v>0</v>
      </c>
      <c r="BJ578" s="237" t="n">
        <f aca="false">IF(BJ576=0,0,IF(BJ576&lt;=12*'🎚️ Escenario'!$C$11,1,1+$C$6))</f>
        <v>0</v>
      </c>
      <c r="BK578" s="237" t="n">
        <f aca="false">IF(BK576=0,0,IF(BK576&lt;=12*'🎚️ Escenario'!$C$11,1,1+$C$6))</f>
        <v>0</v>
      </c>
      <c r="BL578" s="237" t="n">
        <f aca="false">IF(BL576=0,0,IF(BL576&lt;=12*'🎚️ Escenario'!$C$11,1,1+$C$6))</f>
        <v>0</v>
      </c>
      <c r="BM578" s="237" t="n">
        <f aca="false">IF(BM576=0,0,IF(BM576&lt;=12*'🎚️ Escenario'!$C$11,1,1+$C$6))</f>
        <v>0</v>
      </c>
      <c r="BN578" s="237" t="n">
        <f aca="false">IF(BN576=0,0,IF(BN576&lt;=12*'🎚️ Escenario'!$C$11,1,1+$C$6))</f>
        <v>0</v>
      </c>
      <c r="BO578" s="237" t="n">
        <f aca="false">IF(BO576=0,0,IF(BO576&lt;=12*'🎚️ Escenario'!$C$11,1,1+$C$6))</f>
        <v>0</v>
      </c>
      <c r="BP578" s="237" t="n">
        <f aca="false">IF(BP576=0,0,IF(BP576&lt;=12*'🎚️ Escenario'!$C$11,1,1+$C$6))</f>
        <v>0</v>
      </c>
      <c r="BQ578" s="237" t="n">
        <f aca="false">IF(BQ576=0,0,IF(BQ576&lt;=12*'🎚️ Escenario'!$C$11,1,1+$C$6))</f>
        <v>0</v>
      </c>
      <c r="BR578" s="237" t="n">
        <f aca="false">IF(BR576=0,0,IF(BR576&lt;=12*'🎚️ Escenario'!$C$11,1,1+$C$6))</f>
        <v>0</v>
      </c>
      <c r="BS578" s="237" t="n">
        <f aca="false">IF(BS576=0,0,IF(BS576&lt;=12*'🎚️ Escenario'!$C$11,1,1+$C$6))</f>
        <v>0</v>
      </c>
      <c r="BT578" s="237" t="n">
        <f aca="false">IF(BT576=0,0,IF(BT576&lt;=12*'🎚️ Escenario'!$C$11,1,1+$C$6))</f>
        <v>0</v>
      </c>
      <c r="BU578" s="237" t="n">
        <f aca="false">IF(BU576=0,0,IF(BU576&lt;=12*'🎚️ Escenario'!$C$11,1,1+$C$6))</f>
        <v>0</v>
      </c>
      <c r="BV578" s="237" t="n">
        <f aca="false">IF(BV576=0,0,IF(BV576&lt;=12*'🎚️ Escenario'!$C$11,1,1+$C$6))</f>
        <v>0</v>
      </c>
      <c r="BW578" s="237" t="n">
        <f aca="false">IF(BW576=0,0,IF(BW576&lt;=12*'🎚️ Escenario'!$C$11,1,1+$C$6))</f>
        <v>0</v>
      </c>
      <c r="BX578" s="237" t="n">
        <f aca="false">IF(BX576=0,0,IF(BX576&lt;=12*'🎚️ Escenario'!$C$11,1,1+$C$6))</f>
        <v>0</v>
      </c>
      <c r="BY578" s="237" t="n">
        <f aca="false">IF(BY576=0,0,IF(BY576&lt;=12*'🎚️ Escenario'!$C$11,1,1+$C$6))</f>
        <v>0</v>
      </c>
      <c r="BZ578" s="237" t="n">
        <f aca="false">IF(BZ576=0,0,IF(BZ576&lt;=12*'🎚️ Escenario'!$C$11,1,1+$C$6))</f>
        <v>0</v>
      </c>
      <c r="CA578" s="237" t="n">
        <f aca="false">IF(CA576=0,0,IF(CA576&lt;=12*'🎚️ Escenario'!$C$11,1,1+$C$6))</f>
        <v>0</v>
      </c>
      <c r="CB578" s="237" t="n">
        <f aca="false">IF(CB576=0,0,IF(CB576&lt;=12*'🎚️ Escenario'!$C$11,1,1+$C$6))</f>
        <v>0</v>
      </c>
      <c r="CC578" s="237" t="n">
        <f aca="false">IF(CC576=0,0,IF(CC576&lt;=12*'🎚️ Escenario'!$C$11,1,1+$C$6))</f>
        <v>0</v>
      </c>
      <c r="CD578" s="237" t="n">
        <f aca="false">IF(CD576=0,0,IF(CD576&lt;=12*'🎚️ Escenario'!$C$11,1,1+$C$6))</f>
        <v>0</v>
      </c>
      <c r="CE578" s="237" t="n">
        <f aca="false">IF(CE576=0,0,IF(CE576&lt;=12*'🎚️ Escenario'!$C$11,1,1+$C$6))</f>
        <v>0</v>
      </c>
      <c r="CF578" s="237" t="n">
        <f aca="false">IF(CF576=0,0,IF(CF576&lt;=12*'🎚️ Escenario'!$C$11,1,1+$C$6))</f>
        <v>0</v>
      </c>
      <c r="CG578" s="237" t="n">
        <f aca="false">IF(CG576=0,0,IF(CG576&lt;=12*'🎚️ Escenario'!$C$11,1,1+$C$6))</f>
        <v>0</v>
      </c>
      <c r="CH578" s="237" t="n">
        <f aca="false">IF(CH576=0,0,IF(CH576&lt;=12*'🎚️ Escenario'!$C$11,1,1+$C$6))</f>
        <v>0</v>
      </c>
      <c r="CI578" s="237" t="n">
        <f aca="false">IF(CI576=0,0,IF(CI576&lt;=12*'🎚️ Escenario'!$C$11,1,1+$C$6))</f>
        <v>0</v>
      </c>
      <c r="CJ578" s="237" t="n">
        <f aca="false">IF(CJ576=0,0,IF(CJ576&lt;=12*'🎚️ Escenario'!$C$11,1,1+$C$6))</f>
        <v>0</v>
      </c>
      <c r="CK578" s="237" t="n">
        <f aca="false">IF(CK576=0,0,IF(CK576&lt;=12*'🎚️ Escenario'!$C$11,1,1+$C$6))</f>
        <v>0</v>
      </c>
      <c r="CL578" s="237" t="n">
        <f aca="false">IF(CL576=0,0,IF(CL576&lt;=12*'🎚️ Escenario'!$C$11,1,1+$C$6))</f>
        <v>0</v>
      </c>
      <c r="CM578" s="237" t="n">
        <f aca="false">IF(CM576=0,0,IF(CM576&lt;=12*'🎚️ Escenario'!$C$11,1,1+$C$6))</f>
        <v>0</v>
      </c>
      <c r="CN578" s="237" t="n">
        <f aca="false">IF(CN576=0,0,IF(CN576&lt;=12*'🎚️ Escenario'!$C$11,1,1+$C$6))</f>
        <v>0</v>
      </c>
      <c r="CO578" s="237" t="n">
        <f aca="false">IF(CO576=0,0,IF(CO576&lt;=12*'🎚️ Escenario'!$C$11,1,1+$C$6))</f>
        <v>0</v>
      </c>
      <c r="CP578" s="237" t="n">
        <f aca="false">IF(CP576=0,0,IF(CP576&lt;=12*'🎚️ Escenario'!$C$11,1,1+$C$6))</f>
        <v>0</v>
      </c>
      <c r="CQ578" s="237" t="n">
        <f aca="false">IF(CQ576=0,0,IF(CQ576&lt;=12*'🎚️ Escenario'!$C$11,1,1+$C$6))</f>
        <v>0</v>
      </c>
      <c r="CR578" s="237" t="n">
        <f aca="false">IF(CR576=0,0,IF(CR576&lt;=12*'🎚️ Escenario'!$C$11,1,1+$C$6))</f>
        <v>0</v>
      </c>
      <c r="CS578" s="237" t="n">
        <f aca="false">IF(CS576=0,0,IF(CS576&lt;=12*'🎚️ Escenario'!$C$11,1,1+$C$6))</f>
        <v>0</v>
      </c>
      <c r="CT578" s="237" t="n">
        <f aca="false">IF(CT576=0,0,IF(CT576&lt;=12*'🎚️ Escenario'!$C$11,1,1+$C$6))</f>
        <v>0</v>
      </c>
      <c r="CU578" s="237" t="n">
        <f aca="false">IF(CU576=0,0,IF(CU576&lt;=12*'🎚️ Escenario'!$C$11,1,1+$C$6))</f>
        <v>0</v>
      </c>
      <c r="CV578" s="237" t="n">
        <f aca="false">IF(CV576=0,0,IF(CV576&lt;=12*'🎚️ Escenario'!$C$11,1,1+$C$6))</f>
        <v>0</v>
      </c>
      <c r="CW578" s="237" t="n">
        <f aca="false">IF(CW576=0,0,IF(CW576&lt;=12*'🎚️ Escenario'!$C$11,1,1+$C$6))</f>
        <v>0</v>
      </c>
      <c r="CX578" s="237" t="n">
        <f aca="false">IF(CX576=0,0,IF(CX576&lt;=12*'🎚️ Escenario'!$C$11,1,1+$C$6))</f>
        <v>0</v>
      </c>
      <c r="CY578" s="237" t="n">
        <f aca="false">IF(CY576=0,0,IF(CY576&lt;=12*'🎚️ Escenario'!$C$11,1,1+$C$6))</f>
        <v>0</v>
      </c>
      <c r="CZ578" s="237" t="n">
        <f aca="false">IF(CZ576=0,0,IF(CZ576&lt;=12*'🎚️ Escenario'!$C$11,1,1+$C$6))</f>
        <v>0</v>
      </c>
      <c r="DA578" s="237" t="n">
        <f aca="false">IF(DA576=0,0,IF(DA576&lt;=12*'🎚️ Escenario'!$C$11,1,1+$C$6))</f>
        <v>0</v>
      </c>
      <c r="DB578" s="237" t="n">
        <f aca="false">IF(DB576=0,0,IF(DB576&lt;=12*'🎚️ Escenario'!$C$11,1,1+$C$6))</f>
        <v>0</v>
      </c>
      <c r="DC578" s="237" t="n">
        <f aca="false">IF(DC576=0,0,IF(DC576&lt;=12*'🎚️ Escenario'!$C$11,1,1+$C$6))</f>
        <v>0</v>
      </c>
      <c r="DD578" s="237" t="n">
        <f aca="false">IF(DD576=0,0,IF(DD576&lt;=12*'🎚️ Escenario'!$C$11,1,1+$C$6))</f>
        <v>0</v>
      </c>
      <c r="DE578" s="237" t="n">
        <f aca="false">IF(DE576=0,0,IF(DE576&lt;=12*'🎚️ Escenario'!$C$11,1,1+$C$6))</f>
        <v>0</v>
      </c>
      <c r="DF578" s="237" t="n">
        <f aca="false">IF(DF576=0,0,IF(DF576&lt;=12*'🎚️ Escenario'!$C$11,1,1+$C$6))</f>
        <v>1</v>
      </c>
      <c r="DG578" s="237" t="n">
        <f aca="false">IF(DG576=0,0,IF(DG576&lt;=12*'🎚️ Escenario'!$C$11,1,1+$C$6))</f>
        <v>1</v>
      </c>
      <c r="DH578" s="237" t="n">
        <f aca="false">IF(DH576=0,0,IF(DH576&lt;=12*'🎚️ Escenario'!$C$11,1,1+$C$6))</f>
        <v>1</v>
      </c>
      <c r="DI578" s="237" t="n">
        <f aca="false">IF(DI576=0,0,IF(DI576&lt;=12*'🎚️ Escenario'!$C$11,1,1+$C$6))</f>
        <v>1</v>
      </c>
      <c r="DJ578" s="237" t="n">
        <f aca="false">IF(DJ576=0,0,IF(DJ576&lt;=12*'🎚️ Escenario'!$C$11,1,1+$C$6))</f>
        <v>1</v>
      </c>
      <c r="DK578" s="237" t="n">
        <f aca="false">IF(DK576=0,0,IF(DK576&lt;=12*'🎚️ Escenario'!$C$11,1,1+$C$6))</f>
        <v>1</v>
      </c>
      <c r="DL578" s="237" t="n">
        <f aca="false">IF(DL576=0,0,IF(DL576&lt;=12*'🎚️ Escenario'!$C$11,1,1+$C$6))</f>
        <v>1</v>
      </c>
      <c r="DM578" s="237" t="n">
        <f aca="false">IF(DM576=0,0,IF(DM576&lt;=12*'🎚️ Escenario'!$C$11,1,1+$C$6))</f>
        <v>1</v>
      </c>
      <c r="DN578" s="237" t="n">
        <f aca="false">IF(DN576=0,0,IF(DN576&lt;=12*'🎚️ Escenario'!$C$11,1,1+$C$6))</f>
        <v>1</v>
      </c>
      <c r="DO578" s="237" t="n">
        <f aca="false">IF(DO576=0,0,IF(DO576&lt;=12*'🎚️ Escenario'!$C$11,1,1+$C$6))</f>
        <v>1</v>
      </c>
      <c r="DP578" s="237" t="n">
        <f aca="false">IF(DP576=0,0,IF(DP576&lt;=12*'🎚️ Escenario'!$C$11,1,1+$C$6))</f>
        <v>1</v>
      </c>
      <c r="DQ578" s="237" t="n">
        <f aca="false">IF(DQ576=0,0,IF(DQ576&lt;=12*'🎚️ Escenario'!$C$11,1,1+$C$6))</f>
        <v>1</v>
      </c>
      <c r="DR578" s="237" t="n">
        <f aca="false">IF(DR576=0,0,IF(DR576&lt;=12*'🎚️ Escenario'!$C$11,1,1+$C$6))</f>
        <v>1</v>
      </c>
      <c r="DS578" s="237" t="n">
        <f aca="false">IF(DS576=0,0,IF(DS576&lt;=12*'🎚️ Escenario'!$C$11,1,1+$C$6))</f>
        <v>1</v>
      </c>
      <c r="DT578" s="237" t="n">
        <f aca="false">IF(DT576=0,0,IF(DT576&lt;=12*'🎚️ Escenario'!$C$11,1,1+$C$6))</f>
        <v>1</v>
      </c>
      <c r="DU578" s="237" t="n">
        <f aca="false">IF(DU576=0,0,IF(DU576&lt;=12*'🎚️ Escenario'!$C$11,1,1+$C$6))</f>
        <v>1.2</v>
      </c>
      <c r="DV578" s="237" t="n">
        <f aca="false">IF(DV576=0,0,IF(DV576&lt;=12*'🎚️ Escenario'!$C$11,1,1+$C$6))</f>
        <v>1.2</v>
      </c>
      <c r="DW578" s="237" t="n">
        <f aca="false">IF(DW576=0,0,IF(DW576&lt;=12*'🎚️ Escenario'!$C$11,1,1+$C$6))</f>
        <v>1.2</v>
      </c>
      <c r="DX578" s="237" t="n">
        <f aca="false">IF(DX576=0,0,IF(DX576&lt;=12*'🎚️ Escenario'!$C$11,1,1+$C$6))</f>
        <v>1.2</v>
      </c>
      <c r="DY578" s="237" t="n">
        <f aca="false">IF(DY576=0,0,IF(DY576&lt;=12*'🎚️ Escenario'!$C$11,1,1+$C$6))</f>
        <v>1.2</v>
      </c>
      <c r="DZ578" s="237" t="n">
        <f aca="false">IF(DZ576=0,0,IF(DZ576&lt;=12*'🎚️ Escenario'!$C$11,1,1+$C$6))</f>
        <v>1.2</v>
      </c>
      <c r="EA578" s="237" t="n">
        <f aca="false">IF(EA576=0,0,IF(EA576&lt;=12*'🎚️ Escenario'!$C$11,1,1+$C$6))</f>
        <v>1.2</v>
      </c>
      <c r="EB578" s="237" t="n">
        <f aca="false">IF(EB576=0,0,IF(EB576&lt;=12*'🎚️ Escenario'!$C$11,1,1+$C$6))</f>
        <v>1.2</v>
      </c>
      <c r="EC578" s="237" t="n">
        <f aca="false">IF(EC576=0,0,IF(EC576&lt;=12*'🎚️ Escenario'!$C$11,1,1+$C$6))</f>
        <v>1.2</v>
      </c>
      <c r="ED578" s="237" t="n">
        <f aca="false">IF(ED576=0,0,IF(ED576&lt;=12*'🎚️ Escenario'!$C$11,1,1+$C$6))</f>
        <v>1.2</v>
      </c>
      <c r="EE578" s="237" t="n">
        <f aca="false">IF(EE576=0,0,IF(EE576&lt;=12*'🎚️ Escenario'!$C$11,1,1+$C$6))</f>
        <v>1.2</v>
      </c>
      <c r="EF578" s="237" t="n">
        <f aca="false">IF(EF576=0,0,IF(EF576&lt;=12*'🎚️ Escenario'!$C$11,1,1+$C$6))</f>
        <v>1.2</v>
      </c>
      <c r="EG578" s="237" t="n">
        <f aca="false">IF(EG576=0,0,IF(EG576&lt;=12*'🎚️ Escenario'!$C$11,1,1+$C$6))</f>
        <v>1.2</v>
      </c>
      <c r="EH578" s="237" t="n">
        <f aca="false">IF(EH576=0,0,IF(EH576&lt;=12*'🎚️ Escenario'!$C$11,1,1+$C$6))</f>
        <v>1.2</v>
      </c>
      <c r="EI578" s="237" t="n">
        <f aca="false">IF(EI576=0,0,IF(EI576&lt;=12*'🎚️ Escenario'!$C$11,1,1+$C$6))</f>
        <v>1.2</v>
      </c>
      <c r="EJ578" s="237" t="n">
        <f aca="false">IF(EJ576=0,0,IF(EJ576&lt;=12*'🎚️ Escenario'!$C$11,1,1+$C$6))</f>
        <v>1.2</v>
      </c>
      <c r="EK578" s="237" t="n">
        <f aca="false">IF(EK576=0,0,IF(EK576&lt;=12*'🎚️ Escenario'!$C$11,1,1+$C$6))</f>
        <v>1.2</v>
      </c>
      <c r="EL578" s="237" t="n">
        <f aca="false">IF(EL576=0,0,IF(EL576&lt;=12*'🎚️ Escenario'!$C$11,1,1+$C$6))</f>
        <v>1.2</v>
      </c>
      <c r="EM578" s="237" t="n">
        <f aca="false">IF(EM576=0,0,IF(EM576&lt;=12*'🎚️ Escenario'!$C$11,1,1+$C$6))</f>
        <v>1.2</v>
      </c>
      <c r="EN578" s="237" t="n">
        <f aca="false">IF(EN576=0,0,IF(EN576&lt;=12*'🎚️ Escenario'!$C$11,1,1+$C$6))</f>
        <v>1.2</v>
      </c>
      <c r="EO578" s="237" t="n">
        <f aca="false">IF(EO576=0,0,IF(EO576&lt;=12*'🎚️ Escenario'!$C$11,1,1+$C$6))</f>
        <v>1.2</v>
      </c>
      <c r="EP578" s="237" t="n">
        <f aca="false">IF(EP576=0,0,IF(EP576&lt;=12*'🎚️ Escenario'!$C$11,1,1+$C$6))</f>
        <v>1.2</v>
      </c>
      <c r="EQ578" s="237" t="n">
        <f aca="false">IF(EQ576=0,0,IF(EQ576&lt;=12*'🎚️ Escenario'!$C$11,1,1+$C$6))</f>
        <v>1.2</v>
      </c>
      <c r="ER578" s="237" t="n">
        <f aca="false">IF(ER576=0,0,IF(ER576&lt;=12*'🎚️ Escenario'!$C$11,1,1+$C$6))</f>
        <v>1.2</v>
      </c>
      <c r="ES578" s="238" t="n">
        <f aca="false">IF(ES576=0,0,IF(ES576&lt;=12*'🎚️ Escenario'!$C$11,1,1+$C$6))</f>
        <v>1.2</v>
      </c>
      <c r="ET578" s="238" t="n">
        <f aca="false">IF(ET576=0,0,IF(ET576&lt;=12*'🎚️ Escenario'!$C$11,1,1+$C$6))</f>
        <v>1.2</v>
      </c>
      <c r="EU578" s="238" t="n">
        <f aca="false">IF(EU576=0,0,IF(EU576&lt;=12*'🎚️ Escenario'!$C$11,1,1+$C$6))</f>
        <v>1.2</v>
      </c>
      <c r="EV578" s="238" t="n">
        <f aca="false">IF(EV576=0,0,IF(EV576&lt;=12*'🎚️ Escenario'!$C$11,1,1+$C$6))</f>
        <v>1.2</v>
      </c>
      <c r="EW578" s="238" t="n">
        <f aca="false">IF(EW576=0,0,IF(EW576&lt;=12*'🎚️ Escenario'!$C$11,1,1+$C$6))</f>
        <v>1.2</v>
      </c>
      <c r="EX578" s="238" t="n">
        <f aca="false">IF(EX576=0,0,IF(EX576&lt;=12*'🎚️ Escenario'!$C$11,1,1+$C$6))</f>
        <v>1.2</v>
      </c>
      <c r="EY578" s="238" t="n">
        <f aca="false">IF(EY576=0,0,IF(EY576&lt;=12*'🎚️ Escenario'!$C$11,1,1+$C$6))</f>
        <v>1.2</v>
      </c>
      <c r="EZ578" s="238" t="n">
        <f aca="false">IF(EZ576=0,0,IF(EZ576&lt;=12*'🎚️ Escenario'!$C$11,1,1+$C$6))</f>
        <v>1.2</v>
      </c>
      <c r="FA578" s="238" t="n">
        <f aca="false">IF(FA576=0,0,IF(FA576&lt;=12*'🎚️ Escenario'!$C$11,1,1+$C$6))</f>
        <v>1.2</v>
      </c>
      <c r="FB578" s="238" t="n">
        <f aca="false">IF(FB576=0,0,IF(FB576&lt;=12*'🎚️ Escenario'!$C$11,1,1+$C$6))</f>
        <v>1.2</v>
      </c>
      <c r="FC578" s="238" t="n">
        <f aca="false">IF(FC576=0,0,IF(FC576&lt;=12*'🎚️ Escenario'!$C$11,1,1+$C$6))</f>
        <v>1.2</v>
      </c>
      <c r="FD578" s="238" t="n">
        <f aca="false">IF(FD576=0,0,IF(FD576&lt;=12*'🎚️ Escenario'!$C$11,1,1+$C$6))</f>
        <v>1.2</v>
      </c>
      <c r="FE578" s="238" t="n">
        <f aca="false">IF(FE576=0,0,IF(FE576&lt;=12*'🎚️ Escenario'!$C$11,1,1+$C$6))</f>
        <v>1.2</v>
      </c>
      <c r="FF578" s="238" t="n">
        <f aca="false">IF(FF576=0,0,IF(FF576&lt;=12*'🎚️ Escenario'!$C$11,1,1+$C$6))</f>
        <v>1.2</v>
      </c>
      <c r="FG578" s="238" t="n">
        <f aca="false">IF(FG576=0,0,IF(FG576&lt;=12*'🎚️ Escenario'!$C$11,1,1+$C$6))</f>
        <v>1.2</v>
      </c>
      <c r="FH578" s="238" t="n">
        <f aca="false">IF(FH576=0,0,IF(FH576&lt;=12*'🎚️ Escenario'!$C$11,1,1+$C$6))</f>
        <v>1.2</v>
      </c>
      <c r="FI578" s="238" t="n">
        <f aca="false">IF(FI576=0,0,IF(FI576&lt;=12*'🎚️ Escenario'!$C$11,1,1+$C$6))</f>
        <v>1.2</v>
      </c>
      <c r="FJ578" s="238" t="n">
        <f aca="false">IF(FJ576=0,0,IF(FJ576&lt;=12*'🎚️ Escenario'!$C$11,1,1+$C$6))</f>
        <v>1.2</v>
      </c>
      <c r="FK578" s="238" t="n">
        <f aca="false">IF(FK576=0,0,IF(FK576&lt;=12*'🎚️ Escenario'!$C$11,1,1+$C$6))</f>
        <v>1.2</v>
      </c>
      <c r="FL578" s="238" t="n">
        <f aca="false">IF(FL576=0,0,IF(FL576&lt;=12*'🎚️ Escenario'!$C$11,1,1+$C$6))</f>
        <v>1.2</v>
      </c>
      <c r="FM578" s="238" t="n">
        <f aca="false">IF(FM576=0,0,IF(FM576&lt;=12*'🎚️ Escenario'!$C$11,1,1+$C$6))</f>
        <v>1.2</v>
      </c>
      <c r="FN578" s="238" t="n">
        <f aca="false">IF(FN576=0,0,IF(FN576&lt;=12*'🎚️ Escenario'!$C$11,1,1+$C$6))</f>
        <v>1.2</v>
      </c>
      <c r="FO578" s="238" t="n">
        <f aca="false">IF(FO576=0,0,IF(FO576&lt;=12*'🎚️ Escenario'!$C$11,1,1+$C$6))</f>
        <v>1.2</v>
      </c>
      <c r="FP578" s="238" t="n">
        <f aca="false">IF(FP576=0,0,IF(FP576&lt;=12*'🎚️ Escenario'!$C$11,1,1+$C$6))</f>
        <v>1.2</v>
      </c>
    </row>
    <row r="579" customFormat="false" ht="15" hidden="false" customHeight="false" outlineLevel="2" collapsed="false">
      <c r="B579" s="9" t="s">
        <v>876</v>
      </c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36" t="n">
        <f aca="false">AC577*$AC$575*AC578*AC$38*'⑫ Roll-out Plan'!$O$62</f>
        <v>0</v>
      </c>
      <c r="AD579" s="36" t="n">
        <f aca="false">AD577*$AC$575*AD578*AD$38*'⑫ Roll-out Plan'!$O$62</f>
        <v>0</v>
      </c>
      <c r="AE579" s="36" t="n">
        <f aca="false">AE577*$AC$575*AE578*AE$38*'⑫ Roll-out Plan'!$O$62</f>
        <v>0</v>
      </c>
      <c r="AF579" s="36" t="n">
        <f aca="false">AF577*$AC$575*AF578*AF$38*'⑫ Roll-out Plan'!$O$62</f>
        <v>0</v>
      </c>
      <c r="AG579" s="36" t="n">
        <f aca="false">AG577*$AC$575*AG578*AG$38*'⑫ Roll-out Plan'!$O$62</f>
        <v>0</v>
      </c>
      <c r="AH579" s="36" t="n">
        <f aca="false">AH577*$AC$575*AH578*AH$38*'⑫ Roll-out Plan'!$O$62</f>
        <v>0</v>
      </c>
      <c r="AI579" s="36" t="n">
        <f aca="false">AI577*$AC$575*AI578*AI$38*'⑫ Roll-out Plan'!$O$62</f>
        <v>0</v>
      </c>
      <c r="AJ579" s="36" t="n">
        <f aca="false">AJ577*$AC$575*AJ578*AJ$38*'⑫ Roll-out Plan'!$O$62</f>
        <v>0</v>
      </c>
      <c r="AK579" s="36" t="n">
        <f aca="false">AK577*$AC$575*AK578*AK$38*'⑫ Roll-out Plan'!$O$62</f>
        <v>0</v>
      </c>
      <c r="AL579" s="36" t="n">
        <f aca="false">AL577*$AC$575*AL578*AL$38*'⑫ Roll-out Plan'!$O$62</f>
        <v>0</v>
      </c>
      <c r="AM579" s="36" t="n">
        <f aca="false">AM577*$AC$575*AM578*AM$38*'⑫ Roll-out Plan'!$O$62</f>
        <v>0</v>
      </c>
      <c r="AN579" s="36" t="n">
        <f aca="false">AN577*$AC$575*AN578*AN$38*'⑫ Roll-out Plan'!$O$62</f>
        <v>0</v>
      </c>
      <c r="AO579" s="36" t="n">
        <f aca="false">AO577*$AC$575*AO578*AO$38*'⑫ Roll-out Plan'!$O$62</f>
        <v>0</v>
      </c>
      <c r="AP579" s="36" t="n">
        <f aca="false">AP577*$AC$575*AP578*AP$38*'⑫ Roll-out Plan'!$O$62</f>
        <v>0</v>
      </c>
      <c r="AQ579" s="36" t="n">
        <f aca="false">AQ577*$AC$575*AQ578*AQ$38*'⑫ Roll-out Plan'!$O$62</f>
        <v>0</v>
      </c>
      <c r="AR579" s="36" t="n">
        <f aca="false">AR577*$AC$575*AR578*AR$38*'⑫ Roll-out Plan'!$O$62</f>
        <v>0</v>
      </c>
      <c r="AS579" s="36" t="n">
        <f aca="false">AS577*$AC$575*AS578*AS$38*'⑫ Roll-out Plan'!$O$62</f>
        <v>0</v>
      </c>
      <c r="AT579" s="36" t="n">
        <f aca="false">AT577*$AC$575*AT578*AT$38*'⑫ Roll-out Plan'!$O$62</f>
        <v>0</v>
      </c>
      <c r="AU579" s="36" t="n">
        <f aca="false">AU577*$AC$575*AU578*AU$38*'⑫ Roll-out Plan'!$O$62</f>
        <v>0</v>
      </c>
      <c r="AV579" s="36" t="n">
        <f aca="false">AV577*$AC$575*AV578*AV$38*'⑫ Roll-out Plan'!$O$62</f>
        <v>0</v>
      </c>
      <c r="AW579" s="36" t="n">
        <f aca="false">AW577*$AC$575*AW578*AW$38*'⑫ Roll-out Plan'!$O$62</f>
        <v>0</v>
      </c>
      <c r="AX579" s="36" t="n">
        <f aca="false">AX577*$AC$575*AX578*AX$38*'⑫ Roll-out Plan'!$O$62</f>
        <v>0</v>
      </c>
      <c r="AY579" s="36" t="n">
        <f aca="false">AY577*$AC$575*AY578*AY$38*'⑫ Roll-out Plan'!$O$62</f>
        <v>0</v>
      </c>
      <c r="AZ579" s="36" t="n">
        <f aca="false">AZ577*$AC$575*AZ578*AZ$38*'⑫ Roll-out Plan'!$O$62</f>
        <v>0</v>
      </c>
      <c r="BA579" s="36" t="n">
        <f aca="false">BA577*$AC$575*BA578*BA$38*'⑫ Roll-out Plan'!$O$62</f>
        <v>0</v>
      </c>
      <c r="BB579" s="36" t="n">
        <f aca="false">BB577*$AC$575*BB578*BB$38*'⑫ Roll-out Plan'!$O$62</f>
        <v>0</v>
      </c>
      <c r="BC579" s="36" t="n">
        <f aca="false">BC577*$AC$575*BC578*BC$38*'⑫ Roll-out Plan'!$O$62</f>
        <v>0</v>
      </c>
      <c r="BD579" s="36" t="n">
        <f aca="false">BD577*$AC$575*BD578*BD$38*'⑫ Roll-out Plan'!$O$62</f>
        <v>0</v>
      </c>
      <c r="BE579" s="36" t="n">
        <f aca="false">BE577*$AC$575*BE578*BE$38*'⑫ Roll-out Plan'!$O$62</f>
        <v>0</v>
      </c>
      <c r="BF579" s="36" t="n">
        <f aca="false">BF577*$AC$575*BF578*BF$38*'⑫ Roll-out Plan'!$O$62</f>
        <v>0</v>
      </c>
      <c r="BG579" s="36" t="n">
        <f aca="false">BG577*$AC$575*BG578*BG$38*'⑫ Roll-out Plan'!$O$62</f>
        <v>0</v>
      </c>
      <c r="BH579" s="36" t="n">
        <f aca="false">BH577*$AC$575*BH578*BH$38*'⑫ Roll-out Plan'!$O$62</f>
        <v>0</v>
      </c>
      <c r="BI579" s="36" t="n">
        <f aca="false">BI577*$AC$575*BI578*BI$38*'⑫ Roll-out Plan'!$O$62</f>
        <v>0</v>
      </c>
      <c r="BJ579" s="36" t="n">
        <f aca="false">BJ577*$AC$575*BJ578*BJ$38*'⑫ Roll-out Plan'!$O$62</f>
        <v>0</v>
      </c>
      <c r="BK579" s="36" t="n">
        <f aca="false">BK577*$AC$575*BK578*BK$38*'⑫ Roll-out Plan'!$O$62</f>
        <v>0</v>
      </c>
      <c r="BL579" s="36" t="n">
        <f aca="false">BL577*$AC$575*BL578*BL$38*'⑫ Roll-out Plan'!$O$62</f>
        <v>0</v>
      </c>
      <c r="BM579" s="36" t="n">
        <f aca="false">BM577*$AC$575*BM578*BM$38*'⑫ Roll-out Plan'!$O$62</f>
        <v>0</v>
      </c>
      <c r="BN579" s="36" t="n">
        <f aca="false">BN577*$AC$575*BN578*BN$38*'⑫ Roll-out Plan'!$O$62</f>
        <v>0</v>
      </c>
      <c r="BO579" s="36" t="n">
        <f aca="false">BO577*$AC$575*BO578*BO$38*'⑫ Roll-out Plan'!$O$62</f>
        <v>0</v>
      </c>
      <c r="BP579" s="36" t="n">
        <f aca="false">BP577*$AC$575*BP578*BP$38*'⑫ Roll-out Plan'!$O$62</f>
        <v>0</v>
      </c>
      <c r="BQ579" s="36" t="n">
        <f aca="false">BQ577*$AC$575*BQ578*BQ$38*'⑫ Roll-out Plan'!$O$62</f>
        <v>0</v>
      </c>
      <c r="BR579" s="36" t="n">
        <f aca="false">BR577*$AC$575*BR578*BR$38*'⑫ Roll-out Plan'!$O$62</f>
        <v>0</v>
      </c>
      <c r="BS579" s="36" t="n">
        <f aca="false">BS577*$AC$575*BS578*BS$38*'⑫ Roll-out Plan'!$O$62</f>
        <v>0</v>
      </c>
      <c r="BT579" s="36" t="n">
        <f aca="false">BT577*$AC$575*BT578*BT$38*'⑫ Roll-out Plan'!$O$62</f>
        <v>0</v>
      </c>
      <c r="BU579" s="36" t="n">
        <f aca="false">BU577*$AC$575*BU578*BU$38*'⑫ Roll-out Plan'!$O$62</f>
        <v>0</v>
      </c>
      <c r="BV579" s="36" t="n">
        <f aca="false">BV577*$AC$575*BV578*BV$38*'⑫ Roll-out Plan'!$O$62</f>
        <v>0</v>
      </c>
      <c r="BW579" s="36" t="n">
        <f aca="false">BW577*$AC$575*BW578*BW$38*'⑫ Roll-out Plan'!$O$62</f>
        <v>0</v>
      </c>
      <c r="BX579" s="36" t="n">
        <f aca="false">BX577*$AC$575*BX578*BX$38*'⑫ Roll-out Plan'!$O$62</f>
        <v>0</v>
      </c>
      <c r="BY579" s="36" t="n">
        <f aca="false">BY577*$AC$575*BY578*BY$38*'⑫ Roll-out Plan'!$O$62</f>
        <v>0</v>
      </c>
      <c r="BZ579" s="36" t="n">
        <f aca="false">BZ577*$AC$575*BZ578*BZ$38*'⑫ Roll-out Plan'!$O$62</f>
        <v>0</v>
      </c>
      <c r="CA579" s="36" t="n">
        <f aca="false">CA577*$AC$575*CA578*CA$38*'⑫ Roll-out Plan'!$O$62</f>
        <v>0</v>
      </c>
      <c r="CB579" s="36" t="n">
        <f aca="false">CB577*$AC$575*CB578*CB$38*'⑫ Roll-out Plan'!$O$62</f>
        <v>0</v>
      </c>
      <c r="CC579" s="36" t="n">
        <f aca="false">CC577*$AC$575*CC578*CC$38*'⑫ Roll-out Plan'!$O$62</f>
        <v>0</v>
      </c>
      <c r="CD579" s="36" t="n">
        <f aca="false">CD577*$AC$575*CD578*CD$38*'⑫ Roll-out Plan'!$O$62</f>
        <v>0</v>
      </c>
      <c r="CE579" s="36" t="n">
        <f aca="false">CE577*$AC$575*CE578*CE$38*'⑫ Roll-out Plan'!$O$62</f>
        <v>0</v>
      </c>
      <c r="CF579" s="36" t="n">
        <f aca="false">CF577*$AC$575*CF578*CF$38*'⑫ Roll-out Plan'!$O$62</f>
        <v>0</v>
      </c>
      <c r="CG579" s="36" t="n">
        <f aca="false">CG577*$AC$575*CG578*CG$38*'⑫ Roll-out Plan'!$O$62</f>
        <v>0</v>
      </c>
      <c r="CH579" s="36" t="n">
        <f aca="false">CH577*$AC$575*CH578*CH$38*'⑫ Roll-out Plan'!$O$62</f>
        <v>0</v>
      </c>
      <c r="CI579" s="36" t="n">
        <f aca="false">CI577*$AC$575*CI578*CI$38*'⑫ Roll-out Plan'!$O$62</f>
        <v>0</v>
      </c>
      <c r="CJ579" s="36" t="n">
        <f aca="false">CJ577*$AC$575*CJ578*CJ$38*'⑫ Roll-out Plan'!$O$62</f>
        <v>0</v>
      </c>
      <c r="CK579" s="36" t="n">
        <f aca="false">CK577*$AC$575*CK578*CK$38*'⑫ Roll-out Plan'!$O$62</f>
        <v>0</v>
      </c>
      <c r="CL579" s="36" t="n">
        <f aca="false">CL577*$AC$575*CL578*CL$38*'⑫ Roll-out Plan'!$O$62</f>
        <v>0</v>
      </c>
      <c r="CM579" s="36" t="n">
        <f aca="false">CM577*$AC$575*CM578*CM$38*'⑫ Roll-out Plan'!$O$62</f>
        <v>0</v>
      </c>
      <c r="CN579" s="36" t="n">
        <f aca="false">CN577*$AC$575*CN578*CN$38*'⑫ Roll-out Plan'!$O$62</f>
        <v>0</v>
      </c>
      <c r="CO579" s="36" t="n">
        <f aca="false">CO577*$AC$575*CO578*CO$38*'⑫ Roll-out Plan'!$O$62</f>
        <v>0</v>
      </c>
      <c r="CP579" s="36" t="n">
        <f aca="false">CP577*$AC$575*CP578*CP$38*'⑫ Roll-out Plan'!$O$62</f>
        <v>0</v>
      </c>
      <c r="CQ579" s="36" t="n">
        <f aca="false">CQ577*$AC$575*CQ578*CQ$38*'⑫ Roll-out Plan'!$O$62</f>
        <v>0</v>
      </c>
      <c r="CR579" s="36" t="n">
        <f aca="false">CR577*$AC$575*CR578*CR$38*'⑫ Roll-out Plan'!$O$62</f>
        <v>0</v>
      </c>
      <c r="CS579" s="36" t="n">
        <f aca="false">CS577*$AC$575*CS578*CS$38*'⑫ Roll-out Plan'!$O$62</f>
        <v>0</v>
      </c>
      <c r="CT579" s="36" t="n">
        <f aca="false">CT577*$AC$575*CT578*CT$38*'⑫ Roll-out Plan'!$O$62</f>
        <v>0</v>
      </c>
      <c r="CU579" s="36" t="n">
        <f aca="false">CU577*$AC$575*CU578*CU$38*'⑫ Roll-out Plan'!$O$62</f>
        <v>0</v>
      </c>
      <c r="CV579" s="36" t="n">
        <f aca="false">CV577*$AC$575*CV578*CV$38*'⑫ Roll-out Plan'!$O$62</f>
        <v>0</v>
      </c>
      <c r="CW579" s="36" t="n">
        <f aca="false">CW577*$AC$575*CW578*CW$38*'⑫ Roll-out Plan'!$O$62</f>
        <v>0</v>
      </c>
      <c r="CX579" s="36" t="n">
        <f aca="false">CX577*$AC$575*CX578*CX$38*'⑫ Roll-out Plan'!$O$62</f>
        <v>0</v>
      </c>
      <c r="CY579" s="36" t="n">
        <f aca="false">CY577*$AC$575*CY578*CY$38*'⑫ Roll-out Plan'!$O$62</f>
        <v>0</v>
      </c>
      <c r="CZ579" s="36" t="n">
        <f aca="false">CZ577*$AC$575*CZ578*CZ$38*'⑫ Roll-out Plan'!$O$62</f>
        <v>0</v>
      </c>
      <c r="DA579" s="36" t="n">
        <f aca="false">DA577*$AC$575*DA578*DA$38*'⑫ Roll-out Plan'!$O$62</f>
        <v>0</v>
      </c>
      <c r="DB579" s="36" t="n">
        <f aca="false">DB577*$AC$575*DB578*DB$38*'⑫ Roll-out Plan'!$O$62</f>
        <v>0</v>
      </c>
      <c r="DC579" s="36" t="n">
        <f aca="false">DC577*$AC$575*DC578*DC$38*'⑫ Roll-out Plan'!$O$62</f>
        <v>0</v>
      </c>
      <c r="DD579" s="36" t="n">
        <f aca="false">DD577*$AC$575*DD578*DD$38*'⑫ Roll-out Plan'!$O$62</f>
        <v>0</v>
      </c>
      <c r="DE579" s="36" t="n">
        <f aca="false">DE577*$AC$575*DE578*DE$38*'⑫ Roll-out Plan'!$O$62</f>
        <v>0</v>
      </c>
      <c r="DF579" s="36" t="n">
        <f aca="false">DF577*$AC$575*DF578*DF$38*'⑫ Roll-out Plan'!$O$62</f>
        <v>0</v>
      </c>
      <c r="DG579" s="36" t="n">
        <f aca="false">DG577*$AC$575*DG578*DG$38*'⑫ Roll-out Plan'!$O$62</f>
        <v>0</v>
      </c>
      <c r="DH579" s="36" t="n">
        <f aca="false">DH577*$AC$575*DH578*DH$38*'⑫ Roll-out Plan'!$O$62</f>
        <v>0</v>
      </c>
      <c r="DI579" s="36" t="n">
        <f aca="false">DI577*$AC$575*DI578*DI$38*'⑫ Roll-out Plan'!$O$62</f>
        <v>0</v>
      </c>
      <c r="DJ579" s="36" t="n">
        <f aca="false">DJ577*$AC$575*DJ578*DJ$38*'⑫ Roll-out Plan'!$O$62</f>
        <v>0</v>
      </c>
      <c r="DK579" s="36" t="n">
        <f aca="false">DK577*$AC$575*DK578*DK$38*'⑫ Roll-out Plan'!$O$62</f>
        <v>0</v>
      </c>
      <c r="DL579" s="36" t="n">
        <f aca="false">DL577*$AC$575*DL578*DL$38*'⑫ Roll-out Plan'!$O$62</f>
        <v>0</v>
      </c>
      <c r="DM579" s="36" t="n">
        <f aca="false">DM577*$AC$575*DM578*DM$38*'⑫ Roll-out Plan'!$O$62</f>
        <v>0</v>
      </c>
      <c r="DN579" s="36" t="n">
        <f aca="false">DN577*$AC$575*DN578*DN$38*'⑫ Roll-out Plan'!$O$62</f>
        <v>0</v>
      </c>
      <c r="DO579" s="36" t="n">
        <f aca="false">DO577*$AC$575*DO578*DO$38*'⑫ Roll-out Plan'!$O$62</f>
        <v>0</v>
      </c>
      <c r="DP579" s="36" t="n">
        <f aca="false">DP577*$AC$575*DP578*DP$38*'⑫ Roll-out Plan'!$O$62</f>
        <v>0</v>
      </c>
      <c r="DQ579" s="36" t="n">
        <f aca="false">DQ577*$AC$575*DQ578*DQ$38*'⑫ Roll-out Plan'!$O$62</f>
        <v>0</v>
      </c>
      <c r="DR579" s="36" t="n">
        <f aca="false">DR577*$AC$575*DR578*DR$38*'⑫ Roll-out Plan'!$O$62</f>
        <v>0</v>
      </c>
      <c r="DS579" s="36" t="n">
        <f aca="false">DS577*$AC$575*DS578*DS$38*'⑫ Roll-out Plan'!$O$62</f>
        <v>0</v>
      </c>
      <c r="DT579" s="36" t="n">
        <f aca="false">DT577*$AC$575*DT578*DT$38*'⑫ Roll-out Plan'!$O$62</f>
        <v>0</v>
      </c>
      <c r="DU579" s="36" t="n">
        <f aca="false">DU577*$AC$575*DU578*DU$38*'⑫ Roll-out Plan'!$O$62</f>
        <v>0</v>
      </c>
      <c r="DV579" s="36" t="n">
        <f aca="false">DV577*$AC$575*DV578*DV$38*'⑫ Roll-out Plan'!$O$62</f>
        <v>0</v>
      </c>
      <c r="DW579" s="36" t="n">
        <f aca="false">DW577*$AC$575*DW578*DW$38*'⑫ Roll-out Plan'!$O$62</f>
        <v>0</v>
      </c>
      <c r="DX579" s="36" t="n">
        <f aca="false">DX577*$AC$575*DX578*DX$38*'⑫ Roll-out Plan'!$O$62</f>
        <v>0</v>
      </c>
      <c r="DY579" s="36" t="n">
        <f aca="false">DY577*$AC$575*DY578*DY$38*'⑫ Roll-out Plan'!$O$62</f>
        <v>0</v>
      </c>
      <c r="DZ579" s="36" t="n">
        <f aca="false">DZ577*$AC$575*DZ578*DZ$38*'⑫ Roll-out Plan'!$O$62</f>
        <v>0</v>
      </c>
      <c r="EA579" s="36" t="n">
        <f aca="false">EA577*$AC$575*EA578*EA$38*'⑫ Roll-out Plan'!$O$62</f>
        <v>0</v>
      </c>
      <c r="EB579" s="36" t="n">
        <f aca="false">EB577*$AC$575*EB578*EB$38*'⑫ Roll-out Plan'!$O$62</f>
        <v>0</v>
      </c>
      <c r="EC579" s="36" t="n">
        <f aca="false">EC577*$AC$575*EC578*EC$38*'⑫ Roll-out Plan'!$O$62</f>
        <v>0</v>
      </c>
      <c r="ED579" s="36" t="n">
        <f aca="false">ED577*$AC$575*ED578*ED$38*'⑫ Roll-out Plan'!$O$62</f>
        <v>0</v>
      </c>
      <c r="EE579" s="36" t="n">
        <f aca="false">EE577*$AC$575*EE578*EE$38*'⑫ Roll-out Plan'!$O$62</f>
        <v>0</v>
      </c>
      <c r="EF579" s="36" t="n">
        <f aca="false">EF577*$AC$575*EF578*EF$38*'⑫ Roll-out Plan'!$O$62</f>
        <v>0</v>
      </c>
      <c r="EG579" s="36" t="n">
        <f aca="false">EG577*$AC$575*EG578*EG$38*'⑫ Roll-out Plan'!$O$62</f>
        <v>0</v>
      </c>
      <c r="EH579" s="36" t="n">
        <f aca="false">EH577*$AC$575*EH578*EH$38*'⑫ Roll-out Plan'!$O$62</f>
        <v>0</v>
      </c>
      <c r="EI579" s="36" t="n">
        <f aca="false">EI577*$AC$575*EI578*EI$38*'⑫ Roll-out Plan'!$O$62</f>
        <v>0</v>
      </c>
      <c r="EJ579" s="36" t="n">
        <f aca="false">EJ577*$AC$575*EJ578*EJ$38*'⑫ Roll-out Plan'!$O$62</f>
        <v>0</v>
      </c>
      <c r="EK579" s="36" t="n">
        <f aca="false">EK577*$AC$575*EK578*EK$38*'⑫ Roll-out Plan'!$O$62</f>
        <v>0</v>
      </c>
      <c r="EL579" s="36" t="n">
        <f aca="false">EL577*$AC$575*EL578*EL$38*'⑫ Roll-out Plan'!$O$62</f>
        <v>0</v>
      </c>
      <c r="EM579" s="36" t="n">
        <f aca="false">EM577*$AC$575*EM578*EM$38*'⑫ Roll-out Plan'!$O$62</f>
        <v>0</v>
      </c>
      <c r="EN579" s="36" t="n">
        <f aca="false">EN577*$AC$575*EN578*EN$38*'⑫ Roll-out Plan'!$O$62</f>
        <v>0</v>
      </c>
      <c r="EO579" s="36" t="n">
        <f aca="false">EO577*$AC$575*EO578*EO$38*'⑫ Roll-out Plan'!$O$62</f>
        <v>0</v>
      </c>
      <c r="EP579" s="36" t="n">
        <f aca="false">EP577*$AC$575*EP578*EP$38*'⑫ Roll-out Plan'!$O$62</f>
        <v>0</v>
      </c>
      <c r="EQ579" s="36" t="n">
        <f aca="false">EQ577*$AC$575*EQ578*EQ$38*'⑫ Roll-out Plan'!$O$62</f>
        <v>0</v>
      </c>
      <c r="ER579" s="36" t="n">
        <f aca="false">ER577*$AC$575*ER578*ER$38*'⑫ Roll-out Plan'!$O$62</f>
        <v>0</v>
      </c>
      <c r="ES579" s="9" t="n">
        <f aca="false">ES577*$AC$575*ES578*ES$38*'⑫ Roll-out Plan'!$O$62</f>
        <v>0</v>
      </c>
      <c r="ET579" s="9" t="n">
        <f aca="false">ET577*$AC$575*ET578*ET$38*'⑫ Roll-out Plan'!$O$62</f>
        <v>0</v>
      </c>
      <c r="EU579" s="9" t="n">
        <f aca="false">EU577*$AC$575*EU578*EU$38*'⑫ Roll-out Plan'!$O$62</f>
        <v>0</v>
      </c>
      <c r="EV579" s="9" t="n">
        <f aca="false">EV577*$AC$575*EV578*EV$38*'⑫ Roll-out Plan'!$O$62</f>
        <v>0</v>
      </c>
      <c r="EW579" s="9" t="n">
        <f aca="false">EW577*$AC$575*EW578*EW$38*'⑫ Roll-out Plan'!$O$62</f>
        <v>0</v>
      </c>
      <c r="EX579" s="9" t="n">
        <f aca="false">EX577*$AC$575*EX578*EX$38*'⑫ Roll-out Plan'!$O$62</f>
        <v>0</v>
      </c>
      <c r="EY579" s="9" t="n">
        <f aca="false">EY577*$AC$575*EY578*EY$38*'⑫ Roll-out Plan'!$O$62</f>
        <v>0</v>
      </c>
      <c r="EZ579" s="9" t="n">
        <f aca="false">EZ577*$AC$575*EZ578*EZ$38*'⑫ Roll-out Plan'!$O$62</f>
        <v>0</v>
      </c>
      <c r="FA579" s="9" t="n">
        <f aca="false">FA577*$AC$575*FA578*FA$38*'⑫ Roll-out Plan'!$O$62</f>
        <v>0</v>
      </c>
      <c r="FB579" s="9" t="n">
        <f aca="false">FB577*$AC$575*FB578*FB$38*'⑫ Roll-out Plan'!$O$62</f>
        <v>0</v>
      </c>
      <c r="FC579" s="9" t="n">
        <f aca="false">FC577*$AC$575*FC578*FC$38*'⑫ Roll-out Plan'!$O$62</f>
        <v>0</v>
      </c>
      <c r="FD579" s="9" t="n">
        <f aca="false">FD577*$AC$575*FD578*FD$38*'⑫ Roll-out Plan'!$O$62</f>
        <v>0</v>
      </c>
      <c r="FE579" s="9" t="n">
        <f aca="false">FE577*$AC$575*FE578*FE$38*'⑫ Roll-out Plan'!$O$62</f>
        <v>0</v>
      </c>
      <c r="FF579" s="9" t="n">
        <f aca="false">FF577*$AC$575*FF578*FF$38*'⑫ Roll-out Plan'!$O$62</f>
        <v>0</v>
      </c>
      <c r="FG579" s="9" t="n">
        <f aca="false">FG577*$AC$575*FG578*FG$38*'⑫ Roll-out Plan'!$O$62</f>
        <v>0</v>
      </c>
      <c r="FH579" s="9" t="n">
        <f aca="false">FH577*$AC$575*FH578*FH$38*'⑫ Roll-out Plan'!$O$62</f>
        <v>0</v>
      </c>
      <c r="FI579" s="9" t="n">
        <f aca="false">FI577*$AC$575*FI578*FI$38*'⑫ Roll-out Plan'!$O$62</f>
        <v>0</v>
      </c>
      <c r="FJ579" s="9" t="n">
        <f aca="false">FJ577*$AC$575*FJ578*FJ$38*'⑫ Roll-out Plan'!$O$62</f>
        <v>0</v>
      </c>
      <c r="FK579" s="9" t="n">
        <f aca="false">FK577*$AC$575*FK578*FK$38*'⑫ Roll-out Plan'!$O$62</f>
        <v>0</v>
      </c>
      <c r="FL579" s="9" t="n">
        <f aca="false">FL577*$AC$575*FL578*FL$38*'⑫ Roll-out Plan'!$O$62</f>
        <v>0</v>
      </c>
      <c r="FM579" s="9" t="n">
        <f aca="false">FM577*$AC$575*FM578*FM$38*'⑫ Roll-out Plan'!$O$62</f>
        <v>0</v>
      </c>
      <c r="FN579" s="9" t="n">
        <f aca="false">FN577*$AC$575*FN578*FN$38*'⑫ Roll-out Plan'!$O$62</f>
        <v>0</v>
      </c>
      <c r="FO579" s="9" t="n">
        <f aca="false">FO577*$AC$575*FO578*FO$38*'⑫ Roll-out Plan'!$O$62</f>
        <v>0</v>
      </c>
      <c r="FP579" s="9" t="n">
        <f aca="false">FP577*$AC$575*FP578*FP$38*'⑫ Roll-out Plan'!$O$62</f>
        <v>0</v>
      </c>
    </row>
    <row r="580" customFormat="false" ht="15" hidden="false" customHeight="false" outlineLevel="2" collapsed="false">
      <c r="B580" s="9" t="s">
        <v>877</v>
      </c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112" t="n">
        <f aca="true">IFERROR(SUMPRODUCT(OFFSET($BJ$31,0,1-MIN(60,COLUMN()-29),1,MIN(60,COLUMN()-29)),OFFSET(AC579,0,-MIN(60,COLUMN()-29),1,MIN(60,COLUMN()-29))),0)</f>
        <v>0</v>
      </c>
      <c r="AD580" s="112" t="n">
        <f aca="true">IFERROR(SUMPRODUCT(OFFSET($BJ$31,0,1-MIN(60,COLUMN()-29),1,MIN(60,COLUMN()-29)),OFFSET(AD579,0,-MIN(60,COLUMN()-29),1,MIN(60,COLUMN()-29))),0)</f>
        <v>0</v>
      </c>
      <c r="AE580" s="112" t="n">
        <f aca="true">IFERROR(SUMPRODUCT(OFFSET($BJ$31,0,1-MIN(60,COLUMN()-29),1,MIN(60,COLUMN()-29)),OFFSET(AE579,0,-MIN(60,COLUMN()-29),1,MIN(60,COLUMN()-29))),0)</f>
        <v>0</v>
      </c>
      <c r="AF580" s="112" t="n">
        <f aca="true">IFERROR(SUMPRODUCT(OFFSET($BJ$31,0,1-MIN(60,COLUMN()-29),1,MIN(60,COLUMN()-29)),OFFSET(AF579,0,-MIN(60,COLUMN()-29),1,MIN(60,COLUMN()-29))),0)</f>
        <v>0</v>
      </c>
      <c r="AG580" s="112" t="n">
        <f aca="true">IFERROR(SUMPRODUCT(OFFSET($BJ$31,0,1-MIN(60,COLUMN()-29),1,MIN(60,COLUMN()-29)),OFFSET(AG579,0,-MIN(60,COLUMN()-29),1,MIN(60,COLUMN()-29))),0)</f>
        <v>0</v>
      </c>
      <c r="AH580" s="112" t="n">
        <f aca="true">IFERROR(SUMPRODUCT(OFFSET($BJ$31,0,1-MIN(60,COLUMN()-29),1,MIN(60,COLUMN()-29)),OFFSET(AH579,0,-MIN(60,COLUMN()-29),1,MIN(60,COLUMN()-29))),0)</f>
        <v>0</v>
      </c>
      <c r="AI580" s="112" t="n">
        <f aca="true">IFERROR(SUMPRODUCT(OFFSET($BJ$31,0,1-MIN(60,COLUMN()-29),1,MIN(60,COLUMN()-29)),OFFSET(AI579,0,-MIN(60,COLUMN()-29),1,MIN(60,COLUMN()-29))),0)</f>
        <v>0</v>
      </c>
      <c r="AJ580" s="112" t="n">
        <f aca="true">IFERROR(SUMPRODUCT(OFFSET($BJ$31,0,1-MIN(60,COLUMN()-29),1,MIN(60,COLUMN()-29)),OFFSET(AJ579,0,-MIN(60,COLUMN()-29),1,MIN(60,COLUMN()-29))),0)</f>
        <v>0</v>
      </c>
      <c r="AK580" s="112" t="n">
        <f aca="true">IFERROR(SUMPRODUCT(OFFSET($BJ$31,0,1-MIN(60,COLUMN()-29),1,MIN(60,COLUMN()-29)),OFFSET(AK579,0,-MIN(60,COLUMN()-29),1,MIN(60,COLUMN()-29))),0)</f>
        <v>0</v>
      </c>
      <c r="AL580" s="112" t="n">
        <f aca="true">IFERROR(SUMPRODUCT(OFFSET($BJ$31,0,1-MIN(60,COLUMN()-29),1,MIN(60,COLUMN()-29)),OFFSET(AL579,0,-MIN(60,COLUMN()-29),1,MIN(60,COLUMN()-29))),0)</f>
        <v>0</v>
      </c>
      <c r="AM580" s="112" t="n">
        <f aca="true">IFERROR(SUMPRODUCT(OFFSET($BJ$31,0,1-MIN(60,COLUMN()-29),1,MIN(60,COLUMN()-29)),OFFSET(AM579,0,-MIN(60,COLUMN()-29),1,MIN(60,COLUMN()-29))),0)</f>
        <v>0</v>
      </c>
      <c r="AN580" s="239" t="n">
        <f aca="true">IFERROR(SUMPRODUCT(OFFSET($BJ$31,0,1-MIN(60,COLUMN()-29),1,MIN(60,COLUMN()-29)),OFFSET(AN579,0,-MIN(60,COLUMN()-29),1,MIN(60,COLUMN()-29))),0)</f>
        <v>0</v>
      </c>
      <c r="AO580" s="112" t="n">
        <f aca="true">IFERROR(SUMPRODUCT(OFFSET($BJ$31,0,1-MIN(60,COLUMN()-29),1,MIN(60,COLUMN()-29)),OFFSET(AO579,0,-MIN(60,COLUMN()-29),1,MIN(60,COLUMN()-29))),0)</f>
        <v>0</v>
      </c>
      <c r="AP580" s="112" t="n">
        <f aca="true">IFERROR(SUMPRODUCT(OFFSET($BJ$31,0,1-MIN(60,COLUMN()-29),1,MIN(60,COLUMN()-29)),OFFSET(AP579,0,-MIN(60,COLUMN()-29),1,MIN(60,COLUMN()-29))),0)</f>
        <v>0</v>
      </c>
      <c r="AQ580" s="112" t="n">
        <f aca="true">IFERROR(SUMPRODUCT(OFFSET($BJ$31,0,1-MIN(60,COLUMN()-29),1,MIN(60,COLUMN()-29)),OFFSET(AQ579,0,-MIN(60,COLUMN()-29),1,MIN(60,COLUMN()-29))),0)</f>
        <v>0</v>
      </c>
      <c r="AR580" s="112" t="n">
        <f aca="true">IFERROR(SUMPRODUCT(OFFSET($BJ$31,0,1-MIN(60,COLUMN()-29),1,MIN(60,COLUMN()-29)),OFFSET(AR579,0,-MIN(60,COLUMN()-29),1,MIN(60,COLUMN()-29))),0)</f>
        <v>0</v>
      </c>
      <c r="AS580" s="112" t="n">
        <f aca="true">IFERROR(SUMPRODUCT(OFFSET($BJ$31,0,1-MIN(60,COLUMN()-29),1,MIN(60,COLUMN()-29)),OFFSET(AS579,0,-MIN(60,COLUMN()-29),1,MIN(60,COLUMN()-29))),0)</f>
        <v>0</v>
      </c>
      <c r="AT580" s="112" t="n">
        <f aca="true">IFERROR(SUMPRODUCT(OFFSET($BJ$31,0,1-MIN(60,COLUMN()-29),1,MIN(60,COLUMN()-29)),OFFSET(AT579,0,-MIN(60,COLUMN()-29),1,MIN(60,COLUMN()-29))),0)</f>
        <v>0</v>
      </c>
      <c r="AU580" s="112" t="n">
        <f aca="true">IFERROR(SUMPRODUCT(OFFSET($BJ$31,0,1-MIN(60,COLUMN()-29),1,MIN(60,COLUMN()-29)),OFFSET(AU579,0,-MIN(60,COLUMN()-29),1,MIN(60,COLUMN()-29))),0)</f>
        <v>0</v>
      </c>
      <c r="AV580" s="112" t="n">
        <f aca="true">IFERROR(SUMPRODUCT(OFFSET($BJ$31,0,1-MIN(60,COLUMN()-29),1,MIN(60,COLUMN()-29)),OFFSET(AV579,0,-MIN(60,COLUMN()-29),1,MIN(60,COLUMN()-29))),0)</f>
        <v>0</v>
      </c>
      <c r="AW580" s="112" t="n">
        <f aca="true">IFERROR(SUMPRODUCT(OFFSET($BJ$31,0,1-MIN(60,COLUMN()-29),1,MIN(60,COLUMN()-29)),OFFSET(AW579,0,-MIN(60,COLUMN()-29),1,MIN(60,COLUMN()-29))),0)</f>
        <v>0</v>
      </c>
      <c r="AX580" s="112" t="n">
        <f aca="true">IFERROR(SUMPRODUCT(OFFSET($BJ$31,0,1-MIN(60,COLUMN()-29),1,MIN(60,COLUMN()-29)),OFFSET(AX579,0,-MIN(60,COLUMN()-29),1,MIN(60,COLUMN()-29))),0)</f>
        <v>0</v>
      </c>
      <c r="AY580" s="112" t="n">
        <f aca="true">IFERROR(SUMPRODUCT(OFFSET($BJ$31,0,1-MIN(60,COLUMN()-29),1,MIN(60,COLUMN()-29)),OFFSET(AY579,0,-MIN(60,COLUMN()-29),1,MIN(60,COLUMN()-29))),0)</f>
        <v>0</v>
      </c>
      <c r="AZ580" s="112" t="n">
        <f aca="true">IFERROR(SUMPRODUCT(OFFSET($BJ$31,0,1-MIN(60,COLUMN()-29),1,MIN(60,COLUMN()-29)),OFFSET(AZ579,0,-MIN(60,COLUMN()-29),1,MIN(60,COLUMN()-29))),0)</f>
        <v>0</v>
      </c>
      <c r="BA580" s="112" t="n">
        <f aca="true">IFERROR(SUMPRODUCT(OFFSET($BJ$31,0,1-MIN(60,COLUMN()-29),1,MIN(60,COLUMN()-29)),OFFSET(BA579,0,-MIN(60,COLUMN()-29),1,MIN(60,COLUMN()-29))),0)</f>
        <v>0</v>
      </c>
      <c r="BB580" s="112" t="n">
        <f aca="true">IFERROR(SUMPRODUCT(OFFSET($BJ$31,0,1-MIN(60,COLUMN()-29),1,MIN(60,COLUMN()-29)),OFFSET(BB579,0,-MIN(60,COLUMN()-29),1,MIN(60,COLUMN()-29))),0)</f>
        <v>0</v>
      </c>
      <c r="BC580" s="112" t="n">
        <f aca="true">IFERROR(SUMPRODUCT(OFFSET($BJ$31,0,1-MIN(60,COLUMN()-29),1,MIN(60,COLUMN()-29)),OFFSET(BC579,0,-MIN(60,COLUMN()-29),1,MIN(60,COLUMN()-29))),0)</f>
        <v>0</v>
      </c>
      <c r="BD580" s="112" t="n">
        <f aca="true">IFERROR(SUMPRODUCT(OFFSET($BJ$31,0,1-MIN(60,COLUMN()-29),1,MIN(60,COLUMN()-29)),OFFSET(BD579,0,-MIN(60,COLUMN()-29),1,MIN(60,COLUMN()-29))),0)</f>
        <v>0</v>
      </c>
      <c r="BE580" s="112" t="n">
        <f aca="true">IFERROR(SUMPRODUCT(OFFSET($BJ$31,0,1-MIN(60,COLUMN()-29),1,MIN(60,COLUMN()-29)),OFFSET(BE579,0,-MIN(60,COLUMN()-29),1,MIN(60,COLUMN()-29))),0)</f>
        <v>0</v>
      </c>
      <c r="BF580" s="112" t="n">
        <f aca="true">IFERROR(SUMPRODUCT(OFFSET($BJ$31,0,1-MIN(60,COLUMN()-29),1,MIN(60,COLUMN()-29)),OFFSET(BF579,0,-MIN(60,COLUMN()-29),1,MIN(60,COLUMN()-29))),0)</f>
        <v>0</v>
      </c>
      <c r="BG580" s="112" t="n">
        <f aca="true">IFERROR(SUMPRODUCT(OFFSET($BJ$31,0,1-MIN(60,COLUMN()-29),1,MIN(60,COLUMN()-29)),OFFSET(BG579,0,-MIN(60,COLUMN()-29),1,MIN(60,COLUMN()-29))),0)</f>
        <v>0</v>
      </c>
      <c r="BH580" s="112" t="n">
        <f aca="true">IFERROR(SUMPRODUCT(OFFSET($BJ$31,0,1-MIN(60,COLUMN()-29),1,MIN(60,COLUMN()-29)),OFFSET(BH579,0,-MIN(60,COLUMN()-29),1,MIN(60,COLUMN()-29))),0)</f>
        <v>0</v>
      </c>
      <c r="BI580" s="112" t="n">
        <f aca="true">IFERROR(SUMPRODUCT(OFFSET($BJ$31,0,1-MIN(60,COLUMN()-29),1,MIN(60,COLUMN()-29)),OFFSET(BI579,0,-MIN(60,COLUMN()-29),1,MIN(60,COLUMN()-29))),0)</f>
        <v>0</v>
      </c>
      <c r="BJ580" s="112" t="n">
        <f aca="true">IFERROR(SUMPRODUCT(OFFSET($BJ$31,0,1-MIN(60,COLUMN()-29),1,MIN(60,COLUMN()-29)),OFFSET(BJ579,0,-MIN(60,COLUMN()-29),1,MIN(60,COLUMN()-29))),0)</f>
        <v>0</v>
      </c>
      <c r="BK580" s="112" t="n">
        <f aca="true">IFERROR(SUMPRODUCT(OFFSET($BJ$31,0,1-MIN(60,COLUMN()-29),1,MIN(60,COLUMN()-29)),OFFSET(BK579,0,-MIN(60,COLUMN()-29),1,MIN(60,COLUMN()-29))),0)</f>
        <v>0</v>
      </c>
      <c r="BL580" s="112" t="n">
        <f aca="true">IFERROR(SUMPRODUCT(OFFSET($BJ$31,0,1-MIN(60,COLUMN()-29),1,MIN(60,COLUMN()-29)),OFFSET(BL579,0,-MIN(60,COLUMN()-29),1,MIN(60,COLUMN()-29))),0)</f>
        <v>0</v>
      </c>
      <c r="BM580" s="112" t="n">
        <f aca="true">IFERROR(SUMPRODUCT(OFFSET($BJ$31,0,1-MIN(60,COLUMN()-29),1,MIN(60,COLUMN()-29)),OFFSET(BM579,0,-MIN(60,COLUMN()-29),1,MIN(60,COLUMN()-29))),0)</f>
        <v>0</v>
      </c>
      <c r="BN580" s="112" t="n">
        <f aca="true">IFERROR(SUMPRODUCT(OFFSET($BJ$31,0,1-MIN(60,COLUMN()-29),1,MIN(60,COLUMN()-29)),OFFSET(BN579,0,-MIN(60,COLUMN()-29),1,MIN(60,COLUMN()-29))),0)</f>
        <v>0</v>
      </c>
      <c r="BO580" s="112" t="n">
        <f aca="true">IFERROR(SUMPRODUCT(OFFSET($BJ$31,0,1-MIN(60,COLUMN()-29),1,MIN(60,COLUMN()-29)),OFFSET(BO579,0,-MIN(60,COLUMN()-29),1,MIN(60,COLUMN()-29))),0)</f>
        <v>0</v>
      </c>
      <c r="BP580" s="112" t="n">
        <f aca="true">IFERROR(SUMPRODUCT(OFFSET($BJ$31,0,1-MIN(60,COLUMN()-29),1,MIN(60,COLUMN()-29)),OFFSET(BP579,0,-MIN(60,COLUMN()-29),1,MIN(60,COLUMN()-29))),0)</f>
        <v>0</v>
      </c>
      <c r="BQ580" s="112" t="n">
        <f aca="true">IFERROR(SUMPRODUCT(OFFSET($BJ$31,0,1-MIN(60,COLUMN()-29),1,MIN(60,COLUMN()-29)),OFFSET(BQ579,0,-MIN(60,COLUMN()-29),1,MIN(60,COLUMN()-29))),0)</f>
        <v>0</v>
      </c>
      <c r="BR580" s="112" t="n">
        <f aca="true">IFERROR(SUMPRODUCT(OFFSET($BJ$31,0,1-MIN(60,COLUMN()-29),1,MIN(60,COLUMN()-29)),OFFSET(BR579,0,-MIN(60,COLUMN()-29),1,MIN(60,COLUMN()-29))),0)</f>
        <v>0</v>
      </c>
      <c r="BS580" s="112" t="n">
        <f aca="true">IFERROR(SUMPRODUCT(OFFSET($BJ$31,0,1-MIN(60,COLUMN()-29),1,MIN(60,COLUMN()-29)),OFFSET(BS579,0,-MIN(60,COLUMN()-29),1,MIN(60,COLUMN()-29))),0)</f>
        <v>0</v>
      </c>
      <c r="BT580" s="112" t="n">
        <f aca="true">IFERROR(SUMPRODUCT(OFFSET($BJ$31,0,1-MIN(60,COLUMN()-29),1,MIN(60,COLUMN()-29)),OFFSET(BT579,0,-MIN(60,COLUMN()-29),1,MIN(60,COLUMN()-29))),0)</f>
        <v>0</v>
      </c>
      <c r="BU580" s="112" t="n">
        <f aca="true">IFERROR(SUMPRODUCT(OFFSET($BJ$31,0,1-MIN(60,COLUMN()-29),1,MIN(60,COLUMN()-29)),OFFSET(BU579,0,-MIN(60,COLUMN()-29),1,MIN(60,COLUMN()-29))),0)</f>
        <v>0</v>
      </c>
      <c r="BV580" s="112" t="n">
        <f aca="true">IFERROR(SUMPRODUCT(OFFSET($BJ$31,0,1-MIN(60,COLUMN()-29),1,MIN(60,COLUMN()-29)),OFFSET(BV579,0,-MIN(60,COLUMN()-29),1,MIN(60,COLUMN()-29))),0)</f>
        <v>0</v>
      </c>
      <c r="BW580" s="112" t="n">
        <f aca="true">IFERROR(SUMPRODUCT(OFFSET($BJ$31,0,1-MIN(60,COLUMN()-29),1,MIN(60,COLUMN()-29)),OFFSET(BW579,0,-MIN(60,COLUMN()-29),1,MIN(60,COLUMN()-29))),0)</f>
        <v>0</v>
      </c>
      <c r="BX580" s="112" t="n">
        <f aca="true">IFERROR(SUMPRODUCT(OFFSET($BJ$31,0,1-MIN(60,COLUMN()-29),1,MIN(60,COLUMN()-29)),OFFSET(BX579,0,-MIN(60,COLUMN()-29),1,MIN(60,COLUMN()-29))),0)</f>
        <v>0</v>
      </c>
      <c r="BY580" s="112" t="n">
        <f aca="true">IFERROR(SUMPRODUCT(OFFSET($BJ$31,0,1-MIN(60,COLUMN()-29),1,MIN(60,COLUMN()-29)),OFFSET(BY579,0,-MIN(60,COLUMN()-29),1,MIN(60,COLUMN()-29))),0)</f>
        <v>0</v>
      </c>
      <c r="BZ580" s="112" t="n">
        <f aca="true">IFERROR(SUMPRODUCT(OFFSET($BJ$31,0,1-MIN(60,COLUMN()-29),1,MIN(60,COLUMN()-29)),OFFSET(BZ579,0,-MIN(60,COLUMN()-29),1,MIN(60,COLUMN()-29))),0)</f>
        <v>0</v>
      </c>
      <c r="CA580" s="112" t="n">
        <f aca="true">IFERROR(SUMPRODUCT(OFFSET($BJ$31,0,1-MIN(60,COLUMN()-29),1,MIN(60,COLUMN()-29)),OFFSET(CA579,0,-MIN(60,COLUMN()-29),1,MIN(60,COLUMN()-29))),0)</f>
        <v>0</v>
      </c>
      <c r="CB580" s="112" t="n">
        <f aca="true">IFERROR(SUMPRODUCT(OFFSET($BJ$31,0,1-MIN(60,COLUMN()-29),1,MIN(60,COLUMN()-29)),OFFSET(CB579,0,-MIN(60,COLUMN()-29),1,MIN(60,COLUMN()-29))),0)</f>
        <v>0</v>
      </c>
      <c r="CC580" s="112" t="n">
        <f aca="true">IFERROR(SUMPRODUCT(OFFSET($BJ$31,0,1-MIN(60,COLUMN()-29),1,MIN(60,COLUMN()-29)),OFFSET(CC579,0,-MIN(60,COLUMN()-29),1,MIN(60,COLUMN()-29))),0)</f>
        <v>0</v>
      </c>
      <c r="CD580" s="112" t="n">
        <f aca="true">IFERROR(SUMPRODUCT(OFFSET($BJ$31,0,1-MIN(60,COLUMN()-29),1,MIN(60,COLUMN()-29)),OFFSET(CD579,0,-MIN(60,COLUMN()-29),1,MIN(60,COLUMN()-29))),0)</f>
        <v>0</v>
      </c>
      <c r="CE580" s="112" t="n">
        <f aca="true">IFERROR(SUMPRODUCT(OFFSET($BJ$31,0,1-MIN(60,COLUMN()-29),1,MIN(60,COLUMN()-29)),OFFSET(CE579,0,-MIN(60,COLUMN()-29),1,MIN(60,COLUMN()-29))),0)</f>
        <v>0</v>
      </c>
      <c r="CF580" s="112" t="n">
        <f aca="true">IFERROR(SUMPRODUCT(OFFSET($BJ$31,0,1-MIN(60,COLUMN()-29),1,MIN(60,COLUMN()-29)),OFFSET(CF579,0,-MIN(60,COLUMN()-29),1,MIN(60,COLUMN()-29))),0)</f>
        <v>0</v>
      </c>
      <c r="CG580" s="112" t="n">
        <f aca="true">IFERROR(SUMPRODUCT(OFFSET($BJ$31,0,1-MIN(60,COLUMN()-29),1,MIN(60,COLUMN()-29)),OFFSET(CG579,0,-MIN(60,COLUMN()-29),1,MIN(60,COLUMN()-29))),0)</f>
        <v>0</v>
      </c>
      <c r="CH580" s="112" t="n">
        <f aca="true">IFERROR(SUMPRODUCT(OFFSET($BJ$31,0,1-MIN(60,COLUMN()-29),1,MIN(60,COLUMN()-29)),OFFSET(CH579,0,-MIN(60,COLUMN()-29),1,MIN(60,COLUMN()-29))),0)</f>
        <v>0</v>
      </c>
      <c r="CI580" s="112" t="n">
        <f aca="true">IFERROR(SUMPRODUCT(OFFSET($BJ$31,0,1-MIN(60,COLUMN()-29),1,MIN(60,COLUMN()-29)),OFFSET(CI579,0,-MIN(60,COLUMN()-29),1,MIN(60,COLUMN()-29))),0)</f>
        <v>0</v>
      </c>
      <c r="CJ580" s="112" t="n">
        <f aca="true">IFERROR(SUMPRODUCT(OFFSET($BJ$31,0,1-MIN(60,COLUMN()-29),1,MIN(60,COLUMN()-29)),OFFSET(CJ579,0,-MIN(60,COLUMN()-29),1,MIN(60,COLUMN()-29))),0)</f>
        <v>0</v>
      </c>
      <c r="CK580" s="112" t="n">
        <f aca="true">IFERROR(SUMPRODUCT(OFFSET($BJ$31,0,1-MIN(60,COLUMN()-29),1,MIN(60,COLUMN()-29)),OFFSET(CK579,0,-MIN(60,COLUMN()-29),1,MIN(60,COLUMN()-29))),0)</f>
        <v>0</v>
      </c>
      <c r="CL580" s="112" t="n">
        <f aca="true">IFERROR(SUMPRODUCT(OFFSET($BJ$31,0,1-MIN(60,COLUMN()-29),1,MIN(60,COLUMN()-29)),OFFSET(CL579,0,-MIN(60,COLUMN()-29),1,MIN(60,COLUMN()-29))),0)</f>
        <v>0</v>
      </c>
      <c r="CM580" s="112" t="n">
        <f aca="true">IFERROR(SUMPRODUCT(OFFSET($BJ$31,0,1-MIN(60,COLUMN()-29),1,MIN(60,COLUMN()-29)),OFFSET(CM579,0,-MIN(60,COLUMN()-29),1,MIN(60,COLUMN()-29))),0)</f>
        <v>0</v>
      </c>
      <c r="CN580" s="112" t="n">
        <f aca="true">IFERROR(SUMPRODUCT(OFFSET($BJ$31,0,1-MIN(60,COLUMN()-29),1,MIN(60,COLUMN()-29)),OFFSET(CN579,0,-MIN(60,COLUMN()-29),1,MIN(60,COLUMN()-29))),0)</f>
        <v>0</v>
      </c>
      <c r="CO580" s="112" t="n">
        <f aca="true">IFERROR(SUMPRODUCT(OFFSET($BJ$31,0,1-MIN(60,COLUMN()-29),1,MIN(60,COLUMN()-29)),OFFSET(CO579,0,-MIN(60,COLUMN()-29),1,MIN(60,COLUMN()-29))),0)</f>
        <v>0</v>
      </c>
      <c r="CP580" s="112" t="n">
        <f aca="true">IFERROR(SUMPRODUCT(OFFSET($BJ$31,0,1-MIN(60,COLUMN()-29),1,MIN(60,COLUMN()-29)),OFFSET(CP579,0,-MIN(60,COLUMN()-29),1,MIN(60,COLUMN()-29))),0)</f>
        <v>0</v>
      </c>
      <c r="CQ580" s="112" t="n">
        <f aca="true">IFERROR(SUMPRODUCT(OFFSET($BJ$31,0,1-MIN(60,COLUMN()-29),1,MIN(60,COLUMN()-29)),OFFSET(CQ579,0,-MIN(60,COLUMN()-29),1,MIN(60,COLUMN()-29))),0)</f>
        <v>0</v>
      </c>
      <c r="CR580" s="112" t="n">
        <f aca="true">IFERROR(SUMPRODUCT(OFFSET($BJ$31,0,1-MIN(60,COLUMN()-29),1,MIN(60,COLUMN()-29)),OFFSET(CR579,0,-MIN(60,COLUMN()-29),1,MIN(60,COLUMN()-29))),0)</f>
        <v>0</v>
      </c>
      <c r="CS580" s="112" t="n">
        <f aca="true">IFERROR(SUMPRODUCT(OFFSET($BJ$31,0,1-MIN(60,COLUMN()-29),1,MIN(60,COLUMN()-29)),OFFSET(CS579,0,-MIN(60,COLUMN()-29),1,MIN(60,COLUMN()-29))),0)</f>
        <v>0</v>
      </c>
      <c r="CT580" s="112" t="n">
        <f aca="true">IFERROR(SUMPRODUCT(OFFSET($BJ$31,0,1-MIN(60,COLUMN()-29),1,MIN(60,COLUMN()-29)),OFFSET(CT579,0,-MIN(60,COLUMN()-29),1,MIN(60,COLUMN()-29))),0)</f>
        <v>0</v>
      </c>
      <c r="CU580" s="112" t="n">
        <f aca="true">IFERROR(SUMPRODUCT(OFFSET($BJ$31,0,1-MIN(60,COLUMN()-29),1,MIN(60,COLUMN()-29)),OFFSET(CU579,0,-MIN(60,COLUMN()-29),1,MIN(60,COLUMN()-29))),0)</f>
        <v>0</v>
      </c>
      <c r="CV580" s="112" t="n">
        <f aca="true">IFERROR(SUMPRODUCT(OFFSET($BJ$31,0,1-MIN(60,COLUMN()-29),1,MIN(60,COLUMN()-29)),OFFSET(CV579,0,-MIN(60,COLUMN()-29),1,MIN(60,COLUMN()-29))),0)</f>
        <v>0</v>
      </c>
      <c r="CW580" s="112" t="n">
        <f aca="true">IFERROR(SUMPRODUCT(OFFSET($BJ$31,0,1-MIN(60,COLUMN()-29),1,MIN(60,COLUMN()-29)),OFFSET(CW579,0,-MIN(60,COLUMN()-29),1,MIN(60,COLUMN()-29))),0)</f>
        <v>0</v>
      </c>
      <c r="CX580" s="112" t="n">
        <f aca="true">IFERROR(SUMPRODUCT(OFFSET($BJ$31,0,1-MIN(60,COLUMN()-29),1,MIN(60,COLUMN()-29)),OFFSET(CX579,0,-MIN(60,COLUMN()-29),1,MIN(60,COLUMN()-29))),0)</f>
        <v>0</v>
      </c>
      <c r="CY580" s="112" t="n">
        <f aca="true">IFERROR(SUMPRODUCT(OFFSET($BJ$31,0,1-MIN(60,COLUMN()-29),1,MIN(60,COLUMN()-29)),OFFSET(CY579,0,-MIN(60,COLUMN()-29),1,MIN(60,COLUMN()-29))),0)</f>
        <v>0</v>
      </c>
      <c r="CZ580" s="112" t="n">
        <f aca="true">IFERROR(SUMPRODUCT(OFFSET($BJ$31,0,1-MIN(60,COLUMN()-29),1,MIN(60,COLUMN()-29)),OFFSET(CZ579,0,-MIN(60,COLUMN()-29),1,MIN(60,COLUMN()-29))),0)</f>
        <v>0</v>
      </c>
      <c r="DA580" s="112" t="n">
        <f aca="true">IFERROR(SUMPRODUCT(OFFSET($BJ$31,0,1-MIN(60,COLUMN()-29),1,MIN(60,COLUMN()-29)),OFFSET(DA579,0,-MIN(60,COLUMN()-29),1,MIN(60,COLUMN()-29))),0)</f>
        <v>0</v>
      </c>
      <c r="DB580" s="112" t="n">
        <f aca="true">IFERROR(SUMPRODUCT(OFFSET($BJ$31,0,1-MIN(60,COLUMN()-29),1,MIN(60,COLUMN()-29)),OFFSET(DB579,0,-MIN(60,COLUMN()-29),1,MIN(60,COLUMN()-29))),0)</f>
        <v>0</v>
      </c>
      <c r="DC580" s="112" t="n">
        <f aca="true">IFERROR(SUMPRODUCT(OFFSET($BJ$31,0,1-MIN(60,COLUMN()-29),1,MIN(60,COLUMN()-29)),OFFSET(DC579,0,-MIN(60,COLUMN()-29),1,MIN(60,COLUMN()-29))),0)</f>
        <v>0</v>
      </c>
      <c r="DD580" s="112" t="n">
        <f aca="true">IFERROR(SUMPRODUCT(OFFSET($BJ$31,0,1-MIN(60,COLUMN()-29),1,MIN(60,COLUMN()-29)),OFFSET(DD579,0,-MIN(60,COLUMN()-29),1,MIN(60,COLUMN()-29))),0)</f>
        <v>0</v>
      </c>
      <c r="DE580" s="112" t="n">
        <f aca="true">IFERROR(SUMPRODUCT(OFFSET($BJ$31,0,1-MIN(60,COLUMN()-29),1,MIN(60,COLUMN()-29)),OFFSET(DE579,0,-MIN(60,COLUMN()-29),1,MIN(60,COLUMN()-29))),0)</f>
        <v>0</v>
      </c>
      <c r="DF580" s="112" t="n">
        <f aca="true">IFERROR(SUMPRODUCT(OFFSET($BJ$31,0,1-MIN(60,COLUMN()-29),1,MIN(60,COLUMN()-29)),OFFSET(DF579,0,-MIN(60,COLUMN()-29),1,MIN(60,COLUMN()-29))),0)</f>
        <v>0</v>
      </c>
      <c r="DG580" s="112" t="n">
        <f aca="true">IFERROR(SUMPRODUCT(OFFSET($BJ$31,0,1-MIN(60,COLUMN()-29),1,MIN(60,COLUMN()-29)),OFFSET(DG579,0,-MIN(60,COLUMN()-29),1,MIN(60,COLUMN()-29))),0)</f>
        <v>0</v>
      </c>
      <c r="DH580" s="112" t="n">
        <f aca="true">IFERROR(SUMPRODUCT(OFFSET($BJ$31,0,1-MIN(60,COLUMN()-29),1,MIN(60,COLUMN()-29)),OFFSET(DH579,0,-MIN(60,COLUMN()-29),1,MIN(60,COLUMN()-29))),0)</f>
        <v>0</v>
      </c>
      <c r="DI580" s="112" t="n">
        <f aca="true">IFERROR(SUMPRODUCT(OFFSET($BJ$31,0,1-MIN(60,COLUMN()-29),1,MIN(60,COLUMN()-29)),OFFSET(DI579,0,-MIN(60,COLUMN()-29),1,MIN(60,COLUMN()-29))),0)</f>
        <v>0</v>
      </c>
      <c r="DJ580" s="112" t="n">
        <f aca="true">IFERROR(SUMPRODUCT(OFFSET($BJ$31,0,1-MIN(60,COLUMN()-29),1,MIN(60,COLUMN()-29)),OFFSET(DJ579,0,-MIN(60,COLUMN()-29),1,MIN(60,COLUMN()-29))),0)</f>
        <v>0</v>
      </c>
      <c r="DK580" s="112" t="n">
        <f aca="true">IFERROR(SUMPRODUCT(OFFSET($BJ$31,0,1-MIN(60,COLUMN()-29),1,MIN(60,COLUMN()-29)),OFFSET(DK579,0,-MIN(60,COLUMN()-29),1,MIN(60,COLUMN()-29))),0)</f>
        <v>0</v>
      </c>
      <c r="DL580" s="112" t="n">
        <f aca="true">IFERROR(SUMPRODUCT(OFFSET($BJ$31,0,1-MIN(60,COLUMN()-29),1,MIN(60,COLUMN()-29)),OFFSET(DL579,0,-MIN(60,COLUMN()-29),1,MIN(60,COLUMN()-29))),0)</f>
        <v>0</v>
      </c>
      <c r="DM580" s="112" t="n">
        <f aca="true">IFERROR(SUMPRODUCT(OFFSET($BJ$31,0,1-MIN(60,COLUMN()-29),1,MIN(60,COLUMN()-29)),OFFSET(DM579,0,-MIN(60,COLUMN()-29),1,MIN(60,COLUMN()-29))),0)</f>
        <v>0</v>
      </c>
      <c r="DN580" s="112" t="n">
        <f aca="true">IFERROR(SUMPRODUCT(OFFSET($BJ$31,0,1-MIN(60,COLUMN()-29),1,MIN(60,COLUMN()-29)),OFFSET(DN579,0,-MIN(60,COLUMN()-29),1,MIN(60,COLUMN()-29))),0)</f>
        <v>0</v>
      </c>
      <c r="DO580" s="112" t="n">
        <f aca="true">IFERROR(SUMPRODUCT(OFFSET($BJ$31,0,1-MIN(60,COLUMN()-29),1,MIN(60,COLUMN()-29)),OFFSET(DO579,0,-MIN(60,COLUMN()-29),1,MIN(60,COLUMN()-29))),0)</f>
        <v>0</v>
      </c>
      <c r="DP580" s="112" t="n">
        <f aca="true">IFERROR(SUMPRODUCT(OFFSET($BJ$31,0,1-MIN(60,COLUMN()-29),1,MIN(60,COLUMN()-29)),OFFSET(DP579,0,-MIN(60,COLUMN()-29),1,MIN(60,COLUMN()-29))),0)</f>
        <v>0</v>
      </c>
      <c r="DQ580" s="112" t="n">
        <f aca="true">IFERROR(SUMPRODUCT(OFFSET($BJ$31,0,1-MIN(60,COLUMN()-29),1,MIN(60,COLUMN()-29)),OFFSET(DQ579,0,-MIN(60,COLUMN()-29),1,MIN(60,COLUMN()-29))),0)</f>
        <v>0</v>
      </c>
      <c r="DR580" s="112" t="n">
        <f aca="true">IFERROR(SUMPRODUCT(OFFSET($BJ$31,0,1-MIN(60,COLUMN()-29),1,MIN(60,COLUMN()-29)),OFFSET(DR579,0,-MIN(60,COLUMN()-29),1,MIN(60,COLUMN()-29))),0)</f>
        <v>0</v>
      </c>
      <c r="DS580" s="112" t="n">
        <f aca="true">IFERROR(SUMPRODUCT(OFFSET($BJ$31,0,1-MIN(60,COLUMN()-29),1,MIN(60,COLUMN()-29)),OFFSET(DS579,0,-MIN(60,COLUMN()-29),1,MIN(60,COLUMN()-29))),0)</f>
        <v>0</v>
      </c>
      <c r="DT580" s="112" t="n">
        <f aca="true">IFERROR(SUMPRODUCT(OFFSET($BJ$31,0,1-MIN(60,COLUMN()-29),1,MIN(60,COLUMN()-29)),OFFSET(DT579,0,-MIN(60,COLUMN()-29),1,MIN(60,COLUMN()-29))),0)</f>
        <v>0</v>
      </c>
      <c r="DU580" s="112" t="n">
        <f aca="true">IFERROR(SUMPRODUCT(OFFSET($BJ$31,0,1-MIN(60,COLUMN()-29),1,MIN(60,COLUMN()-29)),OFFSET(DU579,0,-MIN(60,COLUMN()-29),1,MIN(60,COLUMN()-29))),0)</f>
        <v>0</v>
      </c>
      <c r="DV580" s="112" t="n">
        <f aca="true">IFERROR(SUMPRODUCT(OFFSET($BJ$31,0,1-MIN(60,COLUMN()-29),1,MIN(60,COLUMN()-29)),OFFSET(DV579,0,-MIN(60,COLUMN()-29),1,MIN(60,COLUMN()-29))),0)</f>
        <v>0</v>
      </c>
      <c r="DW580" s="112" t="n">
        <f aca="true">IFERROR(SUMPRODUCT(OFFSET($BJ$31,0,1-MIN(60,COLUMN()-29),1,MIN(60,COLUMN()-29)),OFFSET(DW579,0,-MIN(60,COLUMN()-29),1,MIN(60,COLUMN()-29))),0)</f>
        <v>0</v>
      </c>
      <c r="DX580" s="112" t="n">
        <f aca="true">IFERROR(SUMPRODUCT(OFFSET($BJ$31,0,1-MIN(60,COLUMN()-29),1,MIN(60,COLUMN()-29)),OFFSET(DX579,0,-MIN(60,COLUMN()-29),1,MIN(60,COLUMN()-29))),0)</f>
        <v>0</v>
      </c>
      <c r="DY580" s="112" t="n">
        <f aca="true">IFERROR(SUMPRODUCT(OFFSET($BJ$31,0,1-MIN(60,COLUMN()-29),1,MIN(60,COLUMN()-29)),OFFSET(DY579,0,-MIN(60,COLUMN()-29),1,MIN(60,COLUMN()-29))),0)</f>
        <v>0</v>
      </c>
      <c r="DZ580" s="112" t="n">
        <f aca="true">IFERROR(SUMPRODUCT(OFFSET($BJ$31,0,1-MIN(60,COLUMN()-29),1,MIN(60,COLUMN()-29)),OFFSET(DZ579,0,-MIN(60,COLUMN()-29),1,MIN(60,COLUMN()-29))),0)</f>
        <v>0</v>
      </c>
      <c r="EA580" s="112" t="n">
        <f aca="true">IFERROR(SUMPRODUCT(OFFSET($BJ$31,0,1-MIN(60,COLUMN()-29),1,MIN(60,COLUMN()-29)),OFFSET(EA579,0,-MIN(60,COLUMN()-29),1,MIN(60,COLUMN()-29))),0)</f>
        <v>0</v>
      </c>
      <c r="EB580" s="112" t="n">
        <f aca="true">IFERROR(SUMPRODUCT(OFFSET($BJ$31,0,1-MIN(60,COLUMN()-29),1,MIN(60,COLUMN()-29)),OFFSET(EB579,0,-MIN(60,COLUMN()-29),1,MIN(60,COLUMN()-29))),0)</f>
        <v>0</v>
      </c>
      <c r="EC580" s="112" t="n">
        <f aca="true">IFERROR(SUMPRODUCT(OFFSET($BJ$31,0,1-MIN(60,COLUMN()-29),1,MIN(60,COLUMN()-29)),OFFSET(EC579,0,-MIN(60,COLUMN()-29),1,MIN(60,COLUMN()-29))),0)</f>
        <v>0</v>
      </c>
      <c r="ED580" s="112" t="n">
        <f aca="true">IFERROR(SUMPRODUCT(OFFSET($BJ$31,0,1-MIN(60,COLUMN()-29),1,MIN(60,COLUMN()-29)),OFFSET(ED579,0,-MIN(60,COLUMN()-29),1,MIN(60,COLUMN()-29))),0)</f>
        <v>0</v>
      </c>
      <c r="EE580" s="112" t="n">
        <f aca="true">IFERROR(SUMPRODUCT(OFFSET($BJ$31,0,1-MIN(60,COLUMN()-29),1,MIN(60,COLUMN()-29)),OFFSET(EE579,0,-MIN(60,COLUMN()-29),1,MIN(60,COLUMN()-29))),0)</f>
        <v>0</v>
      </c>
      <c r="EF580" s="112" t="n">
        <f aca="true">IFERROR(SUMPRODUCT(OFFSET($BJ$31,0,1-MIN(60,COLUMN()-29),1,MIN(60,COLUMN()-29)),OFFSET(EF579,0,-MIN(60,COLUMN()-29),1,MIN(60,COLUMN()-29))),0)</f>
        <v>0</v>
      </c>
      <c r="EG580" s="112" t="n">
        <f aca="true">IFERROR(SUMPRODUCT(OFFSET($BJ$31,0,1-MIN(60,COLUMN()-29),1,MIN(60,COLUMN()-29)),OFFSET(EG579,0,-MIN(60,COLUMN()-29),1,MIN(60,COLUMN()-29))),0)</f>
        <v>0</v>
      </c>
      <c r="EH580" s="112" t="n">
        <f aca="true">IFERROR(SUMPRODUCT(OFFSET($BJ$31,0,1-MIN(60,COLUMN()-29),1,MIN(60,COLUMN()-29)),OFFSET(EH579,0,-MIN(60,COLUMN()-29),1,MIN(60,COLUMN()-29))),0)</f>
        <v>0</v>
      </c>
      <c r="EI580" s="112" t="n">
        <f aca="true">IFERROR(SUMPRODUCT(OFFSET($BJ$31,0,1-MIN(60,COLUMN()-29),1,MIN(60,COLUMN()-29)),OFFSET(EI579,0,-MIN(60,COLUMN()-29),1,MIN(60,COLUMN()-29))),0)</f>
        <v>0</v>
      </c>
      <c r="EJ580" s="112" t="n">
        <f aca="true">IFERROR(SUMPRODUCT(OFFSET($BJ$31,0,1-MIN(60,COLUMN()-29),1,MIN(60,COLUMN()-29)),OFFSET(EJ579,0,-MIN(60,COLUMN()-29),1,MIN(60,COLUMN()-29))),0)</f>
        <v>0</v>
      </c>
      <c r="EK580" s="112" t="n">
        <f aca="true">IFERROR(SUMPRODUCT(OFFSET($BJ$31,0,1-MIN(60,COLUMN()-29),1,MIN(60,COLUMN()-29)),OFFSET(EK579,0,-MIN(60,COLUMN()-29),1,MIN(60,COLUMN()-29))),0)</f>
        <v>0</v>
      </c>
      <c r="EL580" s="112" t="n">
        <f aca="true">IFERROR(SUMPRODUCT(OFFSET($BJ$31,0,1-MIN(60,COLUMN()-29),1,MIN(60,COLUMN()-29)),OFFSET(EL579,0,-MIN(60,COLUMN()-29),1,MIN(60,COLUMN()-29))),0)</f>
        <v>0</v>
      </c>
      <c r="EM580" s="112" t="n">
        <f aca="true">IFERROR(SUMPRODUCT(OFFSET($BJ$31,0,1-MIN(60,COLUMN()-29),1,MIN(60,COLUMN()-29)),OFFSET(EM579,0,-MIN(60,COLUMN()-29),1,MIN(60,COLUMN()-29))),0)</f>
        <v>0</v>
      </c>
      <c r="EN580" s="112" t="n">
        <f aca="true">IFERROR(SUMPRODUCT(OFFSET($BJ$31,0,1-MIN(60,COLUMN()-29),1,MIN(60,COLUMN()-29)),OFFSET(EN579,0,-MIN(60,COLUMN()-29),1,MIN(60,COLUMN()-29))),0)</f>
        <v>0</v>
      </c>
      <c r="EO580" s="112" t="n">
        <f aca="true">IFERROR(SUMPRODUCT(OFFSET($BJ$31,0,1-MIN(60,COLUMN()-29),1,MIN(60,COLUMN()-29)),OFFSET(EO579,0,-MIN(60,COLUMN()-29),1,MIN(60,COLUMN()-29))),0)</f>
        <v>0</v>
      </c>
      <c r="EP580" s="112" t="n">
        <f aca="true">IFERROR(SUMPRODUCT(OFFSET($BJ$31,0,1-MIN(60,COLUMN()-29),1,MIN(60,COLUMN()-29)),OFFSET(EP579,0,-MIN(60,COLUMN()-29),1,MIN(60,COLUMN()-29))),0)</f>
        <v>0</v>
      </c>
      <c r="EQ580" s="112" t="n">
        <f aca="true">IFERROR(SUMPRODUCT(OFFSET($BJ$31,0,1-MIN(60,COLUMN()-29),1,MIN(60,COLUMN()-29)),OFFSET(EQ579,0,-MIN(60,COLUMN()-29),1,MIN(60,COLUMN()-29))),0)</f>
        <v>0</v>
      </c>
      <c r="ER580" s="112" t="n">
        <f aca="true">IFERROR(SUMPRODUCT(OFFSET($BJ$31,0,1-MIN(60,COLUMN()-29),1,MIN(60,COLUMN()-29)),OFFSET(ER579,0,-MIN(60,COLUMN()-29),1,MIN(60,COLUMN()-29))),0)</f>
        <v>0</v>
      </c>
      <c r="ES580" s="9" t="n">
        <f aca="true">IFERROR(SUMPRODUCT(OFFSET($BJ$31,0,1-MIN(60,COLUMN()-29),1,MIN(60,COLUMN()-29)),OFFSET(ES579,0,-MIN(60,COLUMN()-29),1,MIN(60,COLUMN()-29))),0)</f>
        <v>0</v>
      </c>
      <c r="ET580" s="9" t="n">
        <f aca="true">IFERROR(SUMPRODUCT(OFFSET($BJ$31,0,1-MIN(60,COLUMN()-29),1,MIN(60,COLUMN()-29)),OFFSET(ET579,0,-MIN(60,COLUMN()-29),1,MIN(60,COLUMN()-29))),0)</f>
        <v>0</v>
      </c>
      <c r="EU580" s="9" t="n">
        <f aca="true">IFERROR(SUMPRODUCT(OFFSET($BJ$31,0,1-MIN(60,COLUMN()-29),1,MIN(60,COLUMN()-29)),OFFSET(EU579,0,-MIN(60,COLUMN()-29),1,MIN(60,COLUMN()-29))),0)</f>
        <v>0</v>
      </c>
      <c r="EV580" s="9" t="n">
        <f aca="true">IFERROR(SUMPRODUCT(OFFSET($BJ$31,0,1-MIN(60,COLUMN()-29),1,MIN(60,COLUMN()-29)),OFFSET(EV579,0,-MIN(60,COLUMN()-29),1,MIN(60,COLUMN()-29))),0)</f>
        <v>0</v>
      </c>
      <c r="EW580" s="9" t="n">
        <f aca="true">IFERROR(SUMPRODUCT(OFFSET($BJ$31,0,1-MIN(60,COLUMN()-29),1,MIN(60,COLUMN()-29)),OFFSET(EW579,0,-MIN(60,COLUMN()-29),1,MIN(60,COLUMN()-29))),0)</f>
        <v>0</v>
      </c>
      <c r="EX580" s="9" t="n">
        <f aca="true">IFERROR(SUMPRODUCT(OFFSET($BJ$31,0,1-MIN(60,COLUMN()-29),1,MIN(60,COLUMN()-29)),OFFSET(EX579,0,-MIN(60,COLUMN()-29),1,MIN(60,COLUMN()-29))),0)</f>
        <v>0</v>
      </c>
      <c r="EY580" s="9" t="n">
        <f aca="true">IFERROR(SUMPRODUCT(OFFSET($BJ$31,0,1-MIN(60,COLUMN()-29),1,MIN(60,COLUMN()-29)),OFFSET(EY579,0,-MIN(60,COLUMN()-29),1,MIN(60,COLUMN()-29))),0)</f>
        <v>0</v>
      </c>
      <c r="EZ580" s="9" t="n">
        <f aca="true">IFERROR(SUMPRODUCT(OFFSET($BJ$31,0,1-MIN(60,COLUMN()-29),1,MIN(60,COLUMN()-29)),OFFSET(EZ579,0,-MIN(60,COLUMN()-29),1,MIN(60,COLUMN()-29))),0)</f>
        <v>0</v>
      </c>
      <c r="FA580" s="9" t="n">
        <f aca="true">IFERROR(SUMPRODUCT(OFFSET($BJ$31,0,1-MIN(60,COLUMN()-29),1,MIN(60,COLUMN()-29)),OFFSET(FA579,0,-MIN(60,COLUMN()-29),1,MIN(60,COLUMN()-29))),0)</f>
        <v>0</v>
      </c>
      <c r="FB580" s="9" t="n">
        <f aca="true">IFERROR(SUMPRODUCT(OFFSET($BJ$31,0,1-MIN(60,COLUMN()-29),1,MIN(60,COLUMN()-29)),OFFSET(FB579,0,-MIN(60,COLUMN()-29),1,MIN(60,COLUMN()-29))),0)</f>
        <v>0</v>
      </c>
      <c r="FC580" s="9" t="n">
        <f aca="true">IFERROR(SUMPRODUCT(OFFSET($BJ$31,0,1-MIN(60,COLUMN()-29),1,MIN(60,COLUMN()-29)),OFFSET(FC579,0,-MIN(60,COLUMN()-29),1,MIN(60,COLUMN()-29))),0)</f>
        <v>0</v>
      </c>
      <c r="FD580" s="9" t="n">
        <f aca="true">IFERROR(SUMPRODUCT(OFFSET($BJ$31,0,1-MIN(60,COLUMN()-29),1,MIN(60,COLUMN()-29)),OFFSET(FD579,0,-MIN(60,COLUMN()-29),1,MIN(60,COLUMN()-29))),0)</f>
        <v>0</v>
      </c>
      <c r="FE580" s="9" t="n">
        <f aca="true">IFERROR(SUMPRODUCT(OFFSET($BJ$31,0,1-MIN(60,COLUMN()-29),1,MIN(60,COLUMN()-29)),OFFSET(FE579,0,-MIN(60,COLUMN()-29),1,MIN(60,COLUMN()-29))),0)</f>
        <v>0</v>
      </c>
      <c r="FF580" s="9" t="n">
        <f aca="true">IFERROR(SUMPRODUCT(OFFSET($BJ$31,0,1-MIN(60,COLUMN()-29),1,MIN(60,COLUMN()-29)),OFFSET(FF579,0,-MIN(60,COLUMN()-29),1,MIN(60,COLUMN()-29))),0)</f>
        <v>0</v>
      </c>
      <c r="FG580" s="9" t="n">
        <f aca="true">IFERROR(SUMPRODUCT(OFFSET($BJ$31,0,1-MIN(60,COLUMN()-29),1,MIN(60,COLUMN()-29)),OFFSET(FG579,0,-MIN(60,COLUMN()-29),1,MIN(60,COLUMN()-29))),0)</f>
        <v>0</v>
      </c>
      <c r="FH580" s="9" t="n">
        <f aca="true">IFERROR(SUMPRODUCT(OFFSET($BJ$31,0,1-MIN(60,COLUMN()-29),1,MIN(60,COLUMN()-29)),OFFSET(FH579,0,-MIN(60,COLUMN()-29),1,MIN(60,COLUMN()-29))),0)</f>
        <v>0</v>
      </c>
      <c r="FI580" s="9" t="n">
        <f aca="true">IFERROR(SUMPRODUCT(OFFSET($BJ$31,0,1-MIN(60,COLUMN()-29),1,MIN(60,COLUMN()-29)),OFFSET(FI579,0,-MIN(60,COLUMN()-29),1,MIN(60,COLUMN()-29))),0)</f>
        <v>0</v>
      </c>
      <c r="FJ580" s="9" t="n">
        <f aca="true">IFERROR(SUMPRODUCT(OFFSET($BJ$31,0,1-MIN(60,COLUMN()-29),1,MIN(60,COLUMN()-29)),OFFSET(FJ579,0,-MIN(60,COLUMN()-29),1,MIN(60,COLUMN()-29))),0)</f>
        <v>0</v>
      </c>
      <c r="FK580" s="9" t="n">
        <f aca="true">IFERROR(SUMPRODUCT(OFFSET($BJ$31,0,1-MIN(60,COLUMN()-29),1,MIN(60,COLUMN()-29)),OFFSET(FK579,0,-MIN(60,COLUMN()-29),1,MIN(60,COLUMN()-29))),0)</f>
        <v>0</v>
      </c>
      <c r="FL580" s="9" t="n">
        <f aca="true">IFERROR(SUMPRODUCT(OFFSET($BJ$31,0,1-MIN(60,COLUMN()-29),1,MIN(60,COLUMN()-29)),OFFSET(FL579,0,-MIN(60,COLUMN()-29),1,MIN(60,COLUMN()-29))),0)</f>
        <v>0</v>
      </c>
      <c r="FM580" s="9" t="n">
        <f aca="true">IFERROR(SUMPRODUCT(OFFSET($BJ$31,0,1-MIN(60,COLUMN()-29),1,MIN(60,COLUMN()-29)),OFFSET(FM579,0,-MIN(60,COLUMN()-29),1,MIN(60,COLUMN()-29))),0)</f>
        <v>0</v>
      </c>
      <c r="FN580" s="9" t="n">
        <f aca="true">IFERROR(SUMPRODUCT(OFFSET($BJ$31,0,1-MIN(60,COLUMN()-29),1,MIN(60,COLUMN()-29)),OFFSET(FN579,0,-MIN(60,COLUMN()-29),1,MIN(60,COLUMN()-29))),0)</f>
        <v>0</v>
      </c>
      <c r="FO580" s="9" t="n">
        <f aca="true">IFERROR(SUMPRODUCT(OFFSET($BJ$31,0,1-MIN(60,COLUMN()-29),1,MIN(60,COLUMN()-29)),OFFSET(FO579,0,-MIN(60,COLUMN()-29),1,MIN(60,COLUMN()-29))),0)</f>
        <v>0</v>
      </c>
      <c r="FP580" s="9" t="n">
        <f aca="true">IFERROR(SUMPRODUCT(OFFSET($BJ$31,0,1-MIN(60,COLUMN()-29),1,MIN(60,COLUMN()-29)),OFFSET(FP579,0,-MIN(60,COLUMN()-29),1,MIN(60,COLUMN()-29))),0)</f>
        <v>0</v>
      </c>
    </row>
    <row r="581" customFormat="false" ht="15" hidden="false" customHeight="false" outlineLevel="2" collapsed="false">
      <c r="B581" s="90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237"/>
      <c r="AD581" s="237"/>
      <c r="AE581" s="237"/>
      <c r="AF581" s="237"/>
      <c r="AG581" s="237"/>
      <c r="AH581" s="237"/>
      <c r="AI581" s="237"/>
      <c r="AJ581" s="237"/>
      <c r="AK581" s="237"/>
      <c r="AL581" s="237"/>
      <c r="AM581" s="237"/>
      <c r="AN581" s="237"/>
      <c r="AO581" s="237"/>
      <c r="AP581" s="237"/>
      <c r="AQ581" s="237"/>
      <c r="AR581" s="237"/>
      <c r="AS581" s="237"/>
      <c r="AT581" s="237"/>
      <c r="AU581" s="237"/>
      <c r="AV581" s="237"/>
      <c r="AW581" s="237"/>
      <c r="AX581" s="237"/>
      <c r="AY581" s="237"/>
      <c r="AZ581" s="237"/>
      <c r="BA581" s="237"/>
      <c r="BB581" s="237"/>
      <c r="BC581" s="237"/>
      <c r="BD581" s="237"/>
      <c r="BE581" s="237"/>
      <c r="BF581" s="237"/>
      <c r="BG581" s="237"/>
      <c r="BH581" s="237"/>
      <c r="BI581" s="237"/>
      <c r="BJ581" s="237"/>
      <c r="BK581" s="237"/>
      <c r="BL581" s="237"/>
      <c r="BM581" s="237"/>
      <c r="BN581" s="237"/>
      <c r="BO581" s="237"/>
      <c r="BP581" s="237"/>
      <c r="BQ581" s="237"/>
      <c r="BR581" s="237"/>
      <c r="BS581" s="237"/>
      <c r="BT581" s="237"/>
      <c r="BU581" s="237"/>
      <c r="BV581" s="237"/>
      <c r="BW581" s="237"/>
      <c r="BX581" s="237"/>
      <c r="BY581" s="237"/>
      <c r="BZ581" s="237"/>
      <c r="CA581" s="237"/>
      <c r="CB581" s="237"/>
      <c r="CC581" s="237"/>
      <c r="CD581" s="237"/>
      <c r="CE581" s="237"/>
      <c r="CF581" s="237"/>
      <c r="CG581" s="237"/>
      <c r="CH581" s="237"/>
      <c r="CI581" s="237"/>
      <c r="CJ581" s="237"/>
      <c r="CK581" s="237"/>
      <c r="CL581" s="237"/>
      <c r="CM581" s="237"/>
      <c r="CN581" s="237"/>
      <c r="CO581" s="237"/>
      <c r="CP581" s="237"/>
      <c r="CQ581" s="237"/>
      <c r="CR581" s="237"/>
      <c r="CS581" s="237"/>
      <c r="CT581" s="237"/>
      <c r="CU581" s="237"/>
      <c r="CV581" s="237"/>
      <c r="CW581" s="237"/>
      <c r="CX581" s="237"/>
      <c r="CY581" s="237"/>
      <c r="CZ581" s="237"/>
      <c r="DA581" s="237"/>
      <c r="DB581" s="237"/>
      <c r="DC581" s="237"/>
      <c r="DD581" s="237"/>
      <c r="DE581" s="237"/>
      <c r="DF581" s="237"/>
      <c r="DG581" s="237"/>
      <c r="DH581" s="237"/>
      <c r="DI581" s="237"/>
      <c r="DJ581" s="237"/>
      <c r="DK581" s="237"/>
      <c r="DL581" s="237"/>
      <c r="DM581" s="237"/>
      <c r="DN581" s="237"/>
      <c r="DO581" s="237"/>
      <c r="DP581" s="237"/>
      <c r="DQ581" s="237"/>
      <c r="DR581" s="237"/>
      <c r="DS581" s="237"/>
      <c r="DT581" s="237"/>
      <c r="DU581" s="237"/>
      <c r="DV581" s="237"/>
      <c r="DW581" s="237"/>
      <c r="DX581" s="237"/>
      <c r="DY581" s="237"/>
      <c r="DZ581" s="237"/>
      <c r="EA581" s="237"/>
      <c r="EB581" s="237"/>
      <c r="EC581" s="237"/>
      <c r="ED581" s="237"/>
      <c r="EE581" s="237"/>
      <c r="EF581" s="237"/>
      <c r="EG581" s="237"/>
      <c r="EH581" s="237"/>
      <c r="EI581" s="237"/>
      <c r="EJ581" s="237"/>
      <c r="EK581" s="237"/>
      <c r="EL581" s="237"/>
      <c r="EM581" s="237"/>
      <c r="EN581" s="237"/>
      <c r="EO581" s="237"/>
      <c r="EP581" s="237"/>
      <c r="EQ581" s="237"/>
      <c r="ER581" s="237"/>
      <c r="ES581" s="9"/>
      <c r="ET581" s="9"/>
      <c r="EU581" s="9"/>
      <c r="EV581" s="9"/>
      <c r="EW581" s="9"/>
      <c r="EX581" s="9"/>
      <c r="EY581" s="9"/>
      <c r="EZ581" s="9"/>
      <c r="FA581" s="9"/>
      <c r="FB581" s="9"/>
      <c r="FC581" s="9"/>
      <c r="FD581" s="9"/>
      <c r="FE581" s="9"/>
      <c r="FF581" s="9"/>
      <c r="FG581" s="9"/>
      <c r="FH581" s="9"/>
      <c r="FI581" s="9"/>
      <c r="FJ581" s="9"/>
      <c r="FK581" s="9"/>
      <c r="FL581" s="9"/>
      <c r="FM581" s="9"/>
      <c r="FN581" s="9"/>
      <c r="FO581" s="9"/>
      <c r="FP581" s="9"/>
    </row>
    <row r="582" customFormat="false" ht="15" hidden="false" customHeight="false" outlineLevel="2" collapsed="false">
      <c r="B582" s="240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237"/>
      <c r="AD582" s="237"/>
      <c r="AE582" s="237"/>
      <c r="AF582" s="237"/>
      <c r="AG582" s="237"/>
      <c r="AH582" s="237"/>
      <c r="AI582" s="237"/>
      <c r="AJ582" s="237"/>
      <c r="AK582" s="237"/>
      <c r="AL582" s="237"/>
      <c r="AM582" s="237"/>
      <c r="AN582" s="237"/>
      <c r="AO582" s="237"/>
      <c r="AP582" s="237"/>
      <c r="AQ582" s="237"/>
      <c r="AR582" s="237"/>
      <c r="AS582" s="237"/>
      <c r="AT582" s="237"/>
      <c r="AU582" s="237"/>
      <c r="AV582" s="237"/>
      <c r="AW582" s="237"/>
      <c r="AX582" s="237"/>
      <c r="AY582" s="237"/>
      <c r="AZ582" s="237"/>
      <c r="BA582" s="237"/>
      <c r="BB582" s="237"/>
      <c r="BC582" s="237"/>
      <c r="BD582" s="237"/>
      <c r="BE582" s="237"/>
      <c r="BF582" s="237"/>
      <c r="BG582" s="237"/>
      <c r="BH582" s="237"/>
      <c r="BI582" s="237"/>
      <c r="BJ582" s="237"/>
      <c r="BK582" s="237"/>
      <c r="BL582" s="237"/>
      <c r="BM582" s="237"/>
      <c r="BN582" s="237"/>
      <c r="BO582" s="237"/>
      <c r="BP582" s="237"/>
      <c r="BQ582" s="237"/>
      <c r="BR582" s="237"/>
      <c r="BS582" s="237"/>
      <c r="BT582" s="237"/>
      <c r="BU582" s="237"/>
      <c r="BV582" s="237"/>
      <c r="BW582" s="237"/>
      <c r="BX582" s="237"/>
      <c r="BY582" s="237"/>
      <c r="BZ582" s="237"/>
      <c r="CA582" s="237"/>
      <c r="CB582" s="237"/>
      <c r="CC582" s="237"/>
      <c r="CD582" s="237"/>
      <c r="CE582" s="237"/>
      <c r="CF582" s="237"/>
      <c r="CG582" s="237"/>
      <c r="CH582" s="237"/>
      <c r="CI582" s="237"/>
      <c r="CJ582" s="237"/>
      <c r="CK582" s="237"/>
      <c r="CL582" s="237"/>
      <c r="CM582" s="237"/>
      <c r="CN582" s="237"/>
      <c r="CO582" s="237"/>
      <c r="CP582" s="237"/>
      <c r="CQ582" s="237"/>
      <c r="CR582" s="237"/>
      <c r="CS582" s="237"/>
      <c r="CT582" s="237"/>
      <c r="CU582" s="237"/>
      <c r="CV582" s="237"/>
      <c r="CW582" s="237"/>
      <c r="CX582" s="237"/>
      <c r="CY582" s="237"/>
      <c r="CZ582" s="237"/>
      <c r="DA582" s="237"/>
      <c r="DB582" s="237"/>
      <c r="DC582" s="237"/>
      <c r="DD582" s="237"/>
      <c r="DE582" s="237"/>
      <c r="DF582" s="237"/>
      <c r="DG582" s="237"/>
      <c r="DH582" s="237"/>
      <c r="DI582" s="237"/>
      <c r="DJ582" s="237"/>
      <c r="DK582" s="237"/>
      <c r="DL582" s="237"/>
      <c r="DM582" s="237"/>
      <c r="DN582" s="237"/>
      <c r="DO582" s="237"/>
      <c r="DP582" s="237"/>
      <c r="DQ582" s="237"/>
      <c r="DR582" s="237"/>
      <c r="DS582" s="237"/>
      <c r="DT582" s="237"/>
      <c r="DU582" s="237"/>
      <c r="DV582" s="237"/>
      <c r="DW582" s="237"/>
      <c r="DX582" s="237"/>
      <c r="DY582" s="237"/>
      <c r="DZ582" s="237"/>
      <c r="EA582" s="237"/>
      <c r="EB582" s="237"/>
      <c r="EC582" s="237"/>
      <c r="ED582" s="237"/>
      <c r="EE582" s="237"/>
      <c r="EF582" s="237"/>
      <c r="EG582" s="237"/>
      <c r="EH582" s="237"/>
      <c r="EI582" s="237"/>
      <c r="EJ582" s="237"/>
      <c r="EK582" s="237"/>
      <c r="EL582" s="237"/>
      <c r="EM582" s="237"/>
      <c r="EN582" s="237"/>
      <c r="EO582" s="237"/>
      <c r="EP582" s="237"/>
      <c r="EQ582" s="237"/>
      <c r="ER582" s="237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  <c r="FJ582" s="9"/>
      <c r="FK582" s="9"/>
      <c r="FL582" s="9"/>
      <c r="FM582" s="9"/>
      <c r="FN582" s="9"/>
      <c r="FO582" s="9"/>
      <c r="FP582" s="9"/>
    </row>
    <row r="583" customFormat="false" ht="15" hidden="false" customHeight="false" outlineLevel="2" collapsed="false">
      <c r="B583" s="21" t="s">
        <v>931</v>
      </c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  <c r="BL583" s="21"/>
      <c r="BM583" s="21"/>
      <c r="BN583" s="21"/>
      <c r="BO583" s="21"/>
      <c r="BP583" s="21"/>
      <c r="BQ583" s="21"/>
      <c r="BR583" s="21"/>
      <c r="BS583" s="21"/>
      <c r="BT583" s="21"/>
      <c r="BU583" s="21"/>
      <c r="BV583" s="21"/>
      <c r="BW583" s="21"/>
      <c r="BX583" s="21"/>
      <c r="BY583" s="21"/>
      <c r="BZ583" s="21"/>
      <c r="CA583" s="21"/>
      <c r="CB583" s="21"/>
      <c r="CC583" s="21"/>
      <c r="CD583" s="21"/>
      <c r="CE583" s="21"/>
      <c r="CF583" s="21"/>
      <c r="CG583" s="21"/>
      <c r="CH583" s="21"/>
      <c r="CI583" s="21"/>
      <c r="CJ583" s="21"/>
      <c r="CK583" s="21"/>
      <c r="CL583" s="21"/>
      <c r="CM583" s="21"/>
      <c r="CN583" s="21"/>
      <c r="CO583" s="21"/>
      <c r="CP583" s="21"/>
      <c r="CQ583" s="21"/>
      <c r="CR583" s="21"/>
      <c r="CS583" s="21"/>
      <c r="CT583" s="21"/>
      <c r="CU583" s="21"/>
      <c r="CV583" s="21"/>
      <c r="CW583" s="21"/>
      <c r="CX583" s="21"/>
      <c r="CY583" s="21"/>
      <c r="CZ583" s="21"/>
      <c r="DA583" s="21"/>
      <c r="DB583" s="21"/>
      <c r="DC583" s="21"/>
      <c r="DD583" s="21"/>
      <c r="DE583" s="21"/>
      <c r="DF583" s="21"/>
      <c r="DG583" s="21"/>
      <c r="DH583" s="21"/>
      <c r="DI583" s="21"/>
      <c r="DJ583" s="21"/>
      <c r="DK583" s="21"/>
      <c r="DL583" s="21"/>
      <c r="DM583" s="21"/>
      <c r="DN583" s="21"/>
      <c r="DO583" s="21"/>
      <c r="DP583" s="21"/>
      <c r="DQ583" s="21"/>
      <c r="DR583" s="21"/>
      <c r="DS583" s="21"/>
      <c r="DT583" s="21"/>
      <c r="DU583" s="21"/>
      <c r="DV583" s="21"/>
      <c r="DW583" s="21"/>
      <c r="DX583" s="21"/>
      <c r="DY583" s="21"/>
      <c r="DZ583" s="21"/>
      <c r="EA583" s="21"/>
      <c r="EB583" s="21"/>
      <c r="EC583" s="21"/>
      <c r="ED583" s="21"/>
      <c r="EE583" s="21"/>
      <c r="EF583" s="21"/>
      <c r="EG583" s="21"/>
      <c r="EH583" s="21"/>
      <c r="EI583" s="21"/>
      <c r="EJ583" s="21"/>
      <c r="EK583" s="21"/>
      <c r="EL583" s="21"/>
      <c r="EM583" s="21"/>
      <c r="EN583" s="21"/>
      <c r="EO583" s="21"/>
      <c r="EP583" s="21"/>
      <c r="EQ583" s="21"/>
      <c r="ER583" s="21"/>
      <c r="ES583" s="9"/>
      <c r="ET583" s="9"/>
      <c r="EU583" s="9"/>
      <c r="EV583" s="9"/>
      <c r="EW583" s="9"/>
      <c r="EX583" s="9"/>
      <c r="EY583" s="9"/>
      <c r="EZ583" s="9"/>
      <c r="FA583" s="9"/>
      <c r="FB583" s="9"/>
      <c r="FC583" s="9"/>
      <c r="FD583" s="9"/>
      <c r="FE583" s="9"/>
      <c r="FF583" s="9"/>
      <c r="FG583" s="9"/>
      <c r="FH583" s="9"/>
      <c r="FI583" s="9"/>
      <c r="FJ583" s="9"/>
      <c r="FK583" s="9"/>
      <c r="FL583" s="9"/>
      <c r="FM583" s="9"/>
      <c r="FN583" s="9"/>
      <c r="FO583" s="9"/>
      <c r="FP583" s="9"/>
    </row>
    <row r="584" customFormat="false" ht="15" hidden="false" customHeight="false" outlineLevel="2" collapsed="false">
      <c r="B584" s="9" t="s">
        <v>872</v>
      </c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234" t="n">
        <f aca="false">('⑫ Roll-out Plan'!G63-2025)*12+'⑫ Roll-out Plan'!F63</f>
        <v>85</v>
      </c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  <c r="CA584" s="9"/>
      <c r="CB584" s="9"/>
      <c r="CC584" s="9"/>
      <c r="CD584" s="9"/>
      <c r="CE584" s="9"/>
      <c r="CF584" s="9"/>
      <c r="CG584" s="9"/>
      <c r="CH584" s="9"/>
      <c r="CI584" s="9"/>
      <c r="CJ584" s="9"/>
      <c r="CK584" s="9"/>
      <c r="CL584" s="9"/>
      <c r="CM584" s="9"/>
      <c r="CN584" s="9"/>
      <c r="CO584" s="9"/>
      <c r="CP584" s="9"/>
      <c r="CQ584" s="9"/>
      <c r="CR584" s="9"/>
      <c r="CS584" s="9"/>
      <c r="CT584" s="9"/>
      <c r="CU584" s="9"/>
      <c r="CV584" s="9"/>
      <c r="CW584" s="9"/>
      <c r="CX584" s="9"/>
      <c r="CY584" s="9"/>
      <c r="CZ584" s="9"/>
      <c r="DA584" s="9"/>
      <c r="DB584" s="9"/>
      <c r="DC584" s="9"/>
      <c r="DD584" s="9"/>
      <c r="DE584" s="9"/>
      <c r="DF584" s="9"/>
      <c r="DG584" s="9"/>
      <c r="DH584" s="9"/>
      <c r="DI584" s="9"/>
      <c r="DJ584" s="9"/>
      <c r="DK584" s="9"/>
      <c r="DL584" s="9"/>
      <c r="DM584" s="9"/>
      <c r="DN584" s="9"/>
      <c r="DO584" s="9"/>
      <c r="DP584" s="9"/>
      <c r="DQ584" s="9"/>
      <c r="DR584" s="9"/>
      <c r="DS584" s="9"/>
      <c r="DT584" s="9"/>
      <c r="DU584" s="9"/>
      <c r="DV584" s="9"/>
      <c r="DW584" s="9"/>
      <c r="DX584" s="9"/>
      <c r="DY584" s="9"/>
      <c r="DZ584" s="9"/>
      <c r="EA584" s="9"/>
      <c r="EB584" s="9"/>
      <c r="EC584" s="9"/>
      <c r="ED584" s="9"/>
      <c r="EE584" s="9"/>
      <c r="EF584" s="9"/>
      <c r="EG584" s="9"/>
      <c r="EH584" s="9"/>
      <c r="EI584" s="9"/>
      <c r="EJ584" s="9"/>
      <c r="EK584" s="9"/>
      <c r="EL584" s="9"/>
      <c r="EM584" s="9"/>
      <c r="EN584" s="9"/>
      <c r="EO584" s="9"/>
      <c r="EP584" s="9"/>
      <c r="EQ584" s="9"/>
      <c r="ER584" s="9"/>
      <c r="ES584" s="9"/>
      <c r="ET584" s="9"/>
      <c r="EU584" s="9"/>
      <c r="EV584" s="9"/>
      <c r="EW584" s="9"/>
      <c r="EX584" s="9"/>
      <c r="EY584" s="9"/>
      <c r="EZ584" s="9"/>
      <c r="FA584" s="9"/>
      <c r="FB584" s="9"/>
      <c r="FC584" s="9"/>
      <c r="FD584" s="9"/>
      <c r="FE584" s="9"/>
      <c r="FF584" s="9"/>
      <c r="FG584" s="9"/>
      <c r="FH584" s="9"/>
      <c r="FI584" s="9"/>
      <c r="FJ584" s="9"/>
      <c r="FK584" s="9"/>
      <c r="FL584" s="9"/>
      <c r="FM584" s="9"/>
      <c r="FN584" s="9"/>
      <c r="FO584" s="9"/>
      <c r="FP584" s="9"/>
    </row>
    <row r="585" customFormat="false" ht="15" hidden="false" customHeight="false" outlineLevel="2" collapsed="false">
      <c r="B585" s="9" t="s">
        <v>873</v>
      </c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235" t="n">
        <f aca="false">VLOOKUP("B",$B$14:$C$18,2,FALSE())</f>
        <v>185</v>
      </c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  <c r="CA585" s="9"/>
      <c r="CB585" s="9"/>
      <c r="CC585" s="9"/>
      <c r="CD585" s="9"/>
      <c r="CE585" s="9"/>
      <c r="CF585" s="9"/>
      <c r="CG585" s="9"/>
      <c r="CH585" s="9"/>
      <c r="CI585" s="9"/>
      <c r="CJ585" s="9"/>
      <c r="CK585" s="9"/>
      <c r="CL585" s="9"/>
      <c r="CM585" s="9"/>
      <c r="CN585" s="9"/>
      <c r="CO585" s="9"/>
      <c r="CP585" s="9"/>
      <c r="CQ585" s="9"/>
      <c r="CR585" s="9"/>
      <c r="CS585" s="9"/>
      <c r="CT585" s="9"/>
      <c r="CU585" s="9"/>
      <c r="CV585" s="9"/>
      <c r="CW585" s="9"/>
      <c r="CX585" s="9"/>
      <c r="CY585" s="9"/>
      <c r="CZ585" s="9"/>
      <c r="DA585" s="9"/>
      <c r="DB585" s="9"/>
      <c r="DC585" s="9"/>
      <c r="DD585" s="9"/>
      <c r="DE585" s="9"/>
      <c r="DF585" s="9"/>
      <c r="DG585" s="9"/>
      <c r="DH585" s="9"/>
      <c r="DI585" s="9"/>
      <c r="DJ585" s="9"/>
      <c r="DK585" s="9"/>
      <c r="DL585" s="9"/>
      <c r="DM585" s="9"/>
      <c r="DN585" s="9"/>
      <c r="DO585" s="9"/>
      <c r="DP585" s="9"/>
      <c r="DQ585" s="9"/>
      <c r="DR585" s="9"/>
      <c r="DS585" s="9"/>
      <c r="DT585" s="9"/>
      <c r="DU585" s="9"/>
      <c r="DV585" s="9"/>
      <c r="DW585" s="9"/>
      <c r="DX585" s="9"/>
      <c r="DY585" s="9"/>
      <c r="DZ585" s="9"/>
      <c r="EA585" s="9"/>
      <c r="EB585" s="9"/>
      <c r="EC585" s="9"/>
      <c r="ED585" s="9"/>
      <c r="EE585" s="9"/>
      <c r="EF585" s="9"/>
      <c r="EG585" s="9"/>
      <c r="EH585" s="9"/>
      <c r="EI585" s="9"/>
      <c r="EJ585" s="9"/>
      <c r="EK585" s="9"/>
      <c r="EL585" s="9"/>
      <c r="EM585" s="9"/>
      <c r="EN585" s="9"/>
      <c r="EO585" s="9"/>
      <c r="EP585" s="9"/>
      <c r="EQ585" s="9"/>
      <c r="ER585" s="9"/>
      <c r="ES585" s="9"/>
      <c r="ET585" s="9"/>
      <c r="EU585" s="9"/>
      <c r="EV585" s="9"/>
      <c r="EW585" s="9"/>
      <c r="EX585" s="9"/>
      <c r="EY585" s="9"/>
      <c r="EZ585" s="9"/>
      <c r="FA585" s="9"/>
      <c r="FB585" s="9"/>
      <c r="FC585" s="9"/>
      <c r="FD585" s="9"/>
      <c r="FE585" s="9"/>
      <c r="FF585" s="9"/>
      <c r="FG585" s="9"/>
      <c r="FH585" s="9"/>
      <c r="FI585" s="9"/>
      <c r="FJ585" s="9"/>
      <c r="FK585" s="9"/>
      <c r="FL585" s="9"/>
      <c r="FM585" s="9"/>
      <c r="FN585" s="9"/>
      <c r="FO585" s="9"/>
      <c r="FP585" s="9"/>
    </row>
    <row r="586" customFormat="false" ht="15" hidden="false" customHeight="false" outlineLevel="2" collapsed="false">
      <c r="B586" s="9" t="s">
        <v>799</v>
      </c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63" t="n">
        <f aca="false">IF(AC$35&gt;=$AC$584,AC$35-$AC$584+1,0)</f>
        <v>0</v>
      </c>
      <c r="AD586" s="63" t="n">
        <f aca="false">IF(AD$35&gt;=$AC$584,AD$35-$AC$584+1,0)</f>
        <v>0</v>
      </c>
      <c r="AE586" s="63" t="n">
        <f aca="false">IF(AE$35&gt;=$AC$584,AE$35-$AC$584+1,0)</f>
        <v>0</v>
      </c>
      <c r="AF586" s="63" t="n">
        <f aca="false">IF(AF$35&gt;=$AC$584,AF$35-$AC$584+1,0)</f>
        <v>0</v>
      </c>
      <c r="AG586" s="63" t="n">
        <f aca="false">IF(AG$35&gt;=$AC$584,AG$35-$AC$584+1,0)</f>
        <v>0</v>
      </c>
      <c r="AH586" s="63" t="n">
        <f aca="false">IF(AH$35&gt;=$AC$584,AH$35-$AC$584+1,0)</f>
        <v>0</v>
      </c>
      <c r="AI586" s="63" t="n">
        <f aca="false">IF(AI$35&gt;=$AC$584,AI$35-$AC$584+1,0)</f>
        <v>0</v>
      </c>
      <c r="AJ586" s="63" t="n">
        <f aca="false">IF(AJ$35&gt;=$AC$584,AJ$35-$AC$584+1,0)</f>
        <v>0</v>
      </c>
      <c r="AK586" s="63" t="n">
        <f aca="false">IF(AK$35&gt;=$AC$584,AK$35-$AC$584+1,0)</f>
        <v>0</v>
      </c>
      <c r="AL586" s="63" t="n">
        <f aca="false">IF(AL$35&gt;=$AC$584,AL$35-$AC$584+1,0)</f>
        <v>0</v>
      </c>
      <c r="AM586" s="63" t="n">
        <f aca="false">IF(AM$35&gt;=$AC$584,AM$35-$AC$584+1,0)</f>
        <v>0</v>
      </c>
      <c r="AN586" s="63" t="n">
        <f aca="false">IF(AN$35&gt;=$AC$584,AN$35-$AC$584+1,0)</f>
        <v>0</v>
      </c>
      <c r="AO586" s="63" t="n">
        <f aca="false">IF(AO$35&gt;=$AC$584,AO$35-$AC$584+1,0)</f>
        <v>0</v>
      </c>
      <c r="AP586" s="63" t="n">
        <f aca="false">IF(AP$35&gt;=$AC$584,AP$35-$AC$584+1,0)</f>
        <v>0</v>
      </c>
      <c r="AQ586" s="63" t="n">
        <f aca="false">IF(AQ$35&gt;=$AC$584,AQ$35-$AC$584+1,0)</f>
        <v>0</v>
      </c>
      <c r="AR586" s="63" t="n">
        <f aca="false">IF(AR$35&gt;=$AC$584,AR$35-$AC$584+1,0)</f>
        <v>0</v>
      </c>
      <c r="AS586" s="63" t="n">
        <f aca="false">IF(AS$35&gt;=$AC$584,AS$35-$AC$584+1,0)</f>
        <v>0</v>
      </c>
      <c r="AT586" s="63" t="n">
        <f aca="false">IF(AT$35&gt;=$AC$584,AT$35-$AC$584+1,0)</f>
        <v>0</v>
      </c>
      <c r="AU586" s="63" t="n">
        <f aca="false">IF(AU$35&gt;=$AC$584,AU$35-$AC$584+1,0)</f>
        <v>0</v>
      </c>
      <c r="AV586" s="63" t="n">
        <f aca="false">IF(AV$35&gt;=$AC$584,AV$35-$AC$584+1,0)</f>
        <v>0</v>
      </c>
      <c r="AW586" s="63" t="n">
        <f aca="false">IF(AW$35&gt;=$AC$584,AW$35-$AC$584+1,0)</f>
        <v>0</v>
      </c>
      <c r="AX586" s="63" t="n">
        <f aca="false">IF(AX$35&gt;=$AC$584,AX$35-$AC$584+1,0)</f>
        <v>0</v>
      </c>
      <c r="AY586" s="63" t="n">
        <f aca="false">IF(AY$35&gt;=$AC$584,AY$35-$AC$584+1,0)</f>
        <v>0</v>
      </c>
      <c r="AZ586" s="63" t="n">
        <f aca="false">IF(AZ$35&gt;=$AC$584,AZ$35-$AC$584+1,0)</f>
        <v>0</v>
      </c>
      <c r="BA586" s="63" t="n">
        <f aca="false">IF(BA$35&gt;=$AC$584,BA$35-$AC$584+1,0)</f>
        <v>0</v>
      </c>
      <c r="BB586" s="63" t="n">
        <f aca="false">IF(BB$35&gt;=$AC$584,BB$35-$AC$584+1,0)</f>
        <v>0</v>
      </c>
      <c r="BC586" s="63" t="n">
        <f aca="false">IF(BC$35&gt;=$AC$584,BC$35-$AC$584+1,0)</f>
        <v>0</v>
      </c>
      <c r="BD586" s="63" t="n">
        <f aca="false">IF(BD$35&gt;=$AC$584,BD$35-$AC$584+1,0)</f>
        <v>0</v>
      </c>
      <c r="BE586" s="63" t="n">
        <f aca="false">IF(BE$35&gt;=$AC$584,BE$35-$AC$584+1,0)</f>
        <v>0</v>
      </c>
      <c r="BF586" s="63" t="n">
        <f aca="false">IF(BF$35&gt;=$AC$584,BF$35-$AC$584+1,0)</f>
        <v>0</v>
      </c>
      <c r="BG586" s="63" t="n">
        <f aca="false">IF(BG$35&gt;=$AC$584,BG$35-$AC$584+1,0)</f>
        <v>0</v>
      </c>
      <c r="BH586" s="63" t="n">
        <f aca="false">IF(BH$35&gt;=$AC$584,BH$35-$AC$584+1,0)</f>
        <v>0</v>
      </c>
      <c r="BI586" s="63" t="n">
        <f aca="false">IF(BI$35&gt;=$AC$584,BI$35-$AC$584+1,0)</f>
        <v>0</v>
      </c>
      <c r="BJ586" s="63" t="n">
        <f aca="false">IF(BJ$35&gt;=$AC$584,BJ$35-$AC$584+1,0)</f>
        <v>0</v>
      </c>
      <c r="BK586" s="63" t="n">
        <f aca="false">IF(BK$35&gt;=$AC$584,BK$35-$AC$584+1,0)</f>
        <v>0</v>
      </c>
      <c r="BL586" s="63" t="n">
        <f aca="false">IF(BL$35&gt;=$AC$584,BL$35-$AC$584+1,0)</f>
        <v>0</v>
      </c>
      <c r="BM586" s="63" t="n">
        <f aca="false">IF(BM$35&gt;=$AC$584,BM$35-$AC$584+1,0)</f>
        <v>0</v>
      </c>
      <c r="BN586" s="63" t="n">
        <f aca="false">IF(BN$35&gt;=$AC$584,BN$35-$AC$584+1,0)</f>
        <v>0</v>
      </c>
      <c r="BO586" s="63" t="n">
        <f aca="false">IF(BO$35&gt;=$AC$584,BO$35-$AC$584+1,0)</f>
        <v>0</v>
      </c>
      <c r="BP586" s="63" t="n">
        <f aca="false">IF(BP$35&gt;=$AC$584,BP$35-$AC$584+1,0)</f>
        <v>0</v>
      </c>
      <c r="BQ586" s="63" t="n">
        <f aca="false">IF(BQ$35&gt;=$AC$584,BQ$35-$AC$584+1,0)</f>
        <v>0</v>
      </c>
      <c r="BR586" s="63" t="n">
        <f aca="false">IF(BR$35&gt;=$AC$584,BR$35-$AC$584+1,0)</f>
        <v>0</v>
      </c>
      <c r="BS586" s="63" t="n">
        <f aca="false">IF(BS$35&gt;=$AC$584,BS$35-$AC$584+1,0)</f>
        <v>0</v>
      </c>
      <c r="BT586" s="63" t="n">
        <f aca="false">IF(BT$35&gt;=$AC$584,BT$35-$AC$584+1,0)</f>
        <v>0</v>
      </c>
      <c r="BU586" s="63" t="n">
        <f aca="false">IF(BU$35&gt;=$AC$584,BU$35-$AC$584+1,0)</f>
        <v>0</v>
      </c>
      <c r="BV586" s="63" t="n">
        <f aca="false">IF(BV$35&gt;=$AC$584,BV$35-$AC$584+1,0)</f>
        <v>0</v>
      </c>
      <c r="BW586" s="63" t="n">
        <f aca="false">IF(BW$35&gt;=$AC$584,BW$35-$AC$584+1,0)</f>
        <v>0</v>
      </c>
      <c r="BX586" s="63" t="n">
        <f aca="false">IF(BX$35&gt;=$AC$584,BX$35-$AC$584+1,0)</f>
        <v>0</v>
      </c>
      <c r="BY586" s="63" t="n">
        <f aca="false">IF(BY$35&gt;=$AC$584,BY$35-$AC$584+1,0)</f>
        <v>0</v>
      </c>
      <c r="BZ586" s="63" t="n">
        <f aca="false">IF(BZ$35&gt;=$AC$584,BZ$35-$AC$584+1,0)</f>
        <v>0</v>
      </c>
      <c r="CA586" s="63" t="n">
        <f aca="false">IF(CA$35&gt;=$AC$584,CA$35-$AC$584+1,0)</f>
        <v>0</v>
      </c>
      <c r="CB586" s="63" t="n">
        <f aca="false">IF(CB$35&gt;=$AC$584,CB$35-$AC$584+1,0)</f>
        <v>0</v>
      </c>
      <c r="CC586" s="63" t="n">
        <f aca="false">IF(CC$35&gt;=$AC$584,CC$35-$AC$584+1,0)</f>
        <v>0</v>
      </c>
      <c r="CD586" s="63" t="n">
        <f aca="false">IF(CD$35&gt;=$AC$584,CD$35-$AC$584+1,0)</f>
        <v>0</v>
      </c>
      <c r="CE586" s="63" t="n">
        <f aca="false">IF(CE$35&gt;=$AC$584,CE$35-$AC$584+1,0)</f>
        <v>0</v>
      </c>
      <c r="CF586" s="63" t="n">
        <f aca="false">IF(CF$35&gt;=$AC$584,CF$35-$AC$584+1,0)</f>
        <v>0</v>
      </c>
      <c r="CG586" s="63" t="n">
        <f aca="false">IF(CG$35&gt;=$AC$584,CG$35-$AC$584+1,0)</f>
        <v>0</v>
      </c>
      <c r="CH586" s="63" t="n">
        <f aca="false">IF(CH$35&gt;=$AC$584,CH$35-$AC$584+1,0)</f>
        <v>0</v>
      </c>
      <c r="CI586" s="63" t="n">
        <f aca="false">IF(CI$35&gt;=$AC$584,CI$35-$AC$584+1,0)</f>
        <v>0</v>
      </c>
      <c r="CJ586" s="63" t="n">
        <f aca="false">IF(CJ$35&gt;=$AC$584,CJ$35-$AC$584+1,0)</f>
        <v>0</v>
      </c>
      <c r="CK586" s="63" t="n">
        <f aca="false">IF(CK$35&gt;=$AC$584,CK$35-$AC$584+1,0)</f>
        <v>0</v>
      </c>
      <c r="CL586" s="63" t="n">
        <f aca="false">IF(CL$35&gt;=$AC$584,CL$35-$AC$584+1,0)</f>
        <v>0</v>
      </c>
      <c r="CM586" s="63" t="n">
        <f aca="false">IF(CM$35&gt;=$AC$584,CM$35-$AC$584+1,0)</f>
        <v>0</v>
      </c>
      <c r="CN586" s="63" t="n">
        <f aca="false">IF(CN$35&gt;=$AC$584,CN$35-$AC$584+1,0)</f>
        <v>0</v>
      </c>
      <c r="CO586" s="63" t="n">
        <f aca="false">IF(CO$35&gt;=$AC$584,CO$35-$AC$584+1,0)</f>
        <v>0</v>
      </c>
      <c r="CP586" s="63" t="n">
        <f aca="false">IF(CP$35&gt;=$AC$584,CP$35-$AC$584+1,0)</f>
        <v>0</v>
      </c>
      <c r="CQ586" s="63" t="n">
        <f aca="false">IF(CQ$35&gt;=$AC$584,CQ$35-$AC$584+1,0)</f>
        <v>0</v>
      </c>
      <c r="CR586" s="63" t="n">
        <f aca="false">IF(CR$35&gt;=$AC$584,CR$35-$AC$584+1,0)</f>
        <v>0</v>
      </c>
      <c r="CS586" s="63" t="n">
        <f aca="false">IF(CS$35&gt;=$AC$584,CS$35-$AC$584+1,0)</f>
        <v>0</v>
      </c>
      <c r="CT586" s="63" t="n">
        <f aca="false">IF(CT$35&gt;=$AC$584,CT$35-$AC$584+1,0)</f>
        <v>0</v>
      </c>
      <c r="CU586" s="63" t="n">
        <f aca="false">IF(CU$35&gt;=$AC$584,CU$35-$AC$584+1,0)</f>
        <v>0</v>
      </c>
      <c r="CV586" s="63" t="n">
        <f aca="false">IF(CV$35&gt;=$AC$584,CV$35-$AC$584+1,0)</f>
        <v>0</v>
      </c>
      <c r="CW586" s="63" t="n">
        <f aca="false">IF(CW$35&gt;=$AC$584,CW$35-$AC$584+1,0)</f>
        <v>0</v>
      </c>
      <c r="CX586" s="63" t="n">
        <f aca="false">IF(CX$35&gt;=$AC$584,CX$35-$AC$584+1,0)</f>
        <v>0</v>
      </c>
      <c r="CY586" s="63" t="n">
        <f aca="false">IF(CY$35&gt;=$AC$584,CY$35-$AC$584+1,0)</f>
        <v>0</v>
      </c>
      <c r="CZ586" s="63" t="n">
        <f aca="false">IF(CZ$35&gt;=$AC$584,CZ$35-$AC$584+1,0)</f>
        <v>0</v>
      </c>
      <c r="DA586" s="63" t="n">
        <f aca="false">IF(DA$35&gt;=$AC$584,DA$35-$AC$584+1,0)</f>
        <v>0</v>
      </c>
      <c r="DB586" s="63" t="n">
        <f aca="false">IF(DB$35&gt;=$AC$584,DB$35-$AC$584+1,0)</f>
        <v>0</v>
      </c>
      <c r="DC586" s="63" t="n">
        <f aca="false">IF(DC$35&gt;=$AC$584,DC$35-$AC$584+1,0)</f>
        <v>0</v>
      </c>
      <c r="DD586" s="63" t="n">
        <f aca="false">IF(DD$35&gt;=$AC$584,DD$35-$AC$584+1,0)</f>
        <v>0</v>
      </c>
      <c r="DE586" s="63" t="n">
        <f aca="false">IF(DE$35&gt;=$AC$584,DE$35-$AC$584+1,0)</f>
        <v>0</v>
      </c>
      <c r="DF586" s="63" t="n">
        <f aca="false">IF(DF$35&gt;=$AC$584,DF$35-$AC$584+1,0)</f>
        <v>0</v>
      </c>
      <c r="DG586" s="63" t="n">
        <f aca="false">IF(DG$35&gt;=$AC$584,DG$35-$AC$584+1,0)</f>
        <v>0</v>
      </c>
      <c r="DH586" s="63" t="n">
        <f aca="false">IF(DH$35&gt;=$AC$584,DH$35-$AC$584+1,0)</f>
        <v>0</v>
      </c>
      <c r="DI586" s="63" t="n">
        <f aca="false">IF(DI$35&gt;=$AC$584,DI$35-$AC$584+1,0)</f>
        <v>1</v>
      </c>
      <c r="DJ586" s="63" t="n">
        <f aca="false">IF(DJ$35&gt;=$AC$584,DJ$35-$AC$584+1,0)</f>
        <v>2</v>
      </c>
      <c r="DK586" s="63" t="n">
        <f aca="false">IF(DK$35&gt;=$AC$584,DK$35-$AC$584+1,0)</f>
        <v>3</v>
      </c>
      <c r="DL586" s="63" t="n">
        <f aca="false">IF(DL$35&gt;=$AC$584,DL$35-$AC$584+1,0)</f>
        <v>4</v>
      </c>
      <c r="DM586" s="63" t="n">
        <f aca="false">IF(DM$35&gt;=$AC$584,DM$35-$AC$584+1,0)</f>
        <v>5</v>
      </c>
      <c r="DN586" s="63" t="n">
        <f aca="false">IF(DN$35&gt;=$AC$584,DN$35-$AC$584+1,0)</f>
        <v>6</v>
      </c>
      <c r="DO586" s="63" t="n">
        <f aca="false">IF(DO$35&gt;=$AC$584,DO$35-$AC$584+1,0)</f>
        <v>7</v>
      </c>
      <c r="DP586" s="63" t="n">
        <f aca="false">IF(DP$35&gt;=$AC$584,DP$35-$AC$584+1,0)</f>
        <v>8</v>
      </c>
      <c r="DQ586" s="63" t="n">
        <f aca="false">IF(DQ$35&gt;=$AC$584,DQ$35-$AC$584+1,0)</f>
        <v>9</v>
      </c>
      <c r="DR586" s="63" t="n">
        <f aca="false">IF(DR$35&gt;=$AC$584,DR$35-$AC$584+1,0)</f>
        <v>10</v>
      </c>
      <c r="DS586" s="63" t="n">
        <f aca="false">IF(DS$35&gt;=$AC$584,DS$35-$AC$584+1,0)</f>
        <v>11</v>
      </c>
      <c r="DT586" s="63" t="n">
        <f aca="false">IF(DT$35&gt;=$AC$584,DT$35-$AC$584+1,0)</f>
        <v>12</v>
      </c>
      <c r="DU586" s="63" t="n">
        <f aca="false">IF(DU$35&gt;=$AC$584,DU$35-$AC$584+1,0)</f>
        <v>13</v>
      </c>
      <c r="DV586" s="63" t="n">
        <f aca="false">IF(DV$35&gt;=$AC$584,DV$35-$AC$584+1,0)</f>
        <v>14</v>
      </c>
      <c r="DW586" s="63" t="n">
        <f aca="false">IF(DW$35&gt;=$AC$584,DW$35-$AC$584+1,0)</f>
        <v>15</v>
      </c>
      <c r="DX586" s="63" t="n">
        <f aca="false">IF(DX$35&gt;=$AC$584,DX$35-$AC$584+1,0)</f>
        <v>16</v>
      </c>
      <c r="DY586" s="63" t="n">
        <f aca="false">IF(DY$35&gt;=$AC$584,DY$35-$AC$584+1,0)</f>
        <v>17</v>
      </c>
      <c r="DZ586" s="63" t="n">
        <f aca="false">IF(DZ$35&gt;=$AC$584,DZ$35-$AC$584+1,0)</f>
        <v>18</v>
      </c>
      <c r="EA586" s="63" t="n">
        <f aca="false">IF(EA$35&gt;=$AC$584,EA$35-$AC$584+1,0)</f>
        <v>19</v>
      </c>
      <c r="EB586" s="63" t="n">
        <f aca="false">IF(EB$35&gt;=$AC$584,EB$35-$AC$584+1,0)</f>
        <v>20</v>
      </c>
      <c r="EC586" s="63" t="n">
        <f aca="false">IF(EC$35&gt;=$AC$584,EC$35-$AC$584+1,0)</f>
        <v>21</v>
      </c>
      <c r="ED586" s="63" t="n">
        <f aca="false">IF(ED$35&gt;=$AC$584,ED$35-$AC$584+1,0)</f>
        <v>22</v>
      </c>
      <c r="EE586" s="63" t="n">
        <f aca="false">IF(EE$35&gt;=$AC$584,EE$35-$AC$584+1,0)</f>
        <v>23</v>
      </c>
      <c r="EF586" s="63" t="n">
        <f aca="false">IF(EF$35&gt;=$AC$584,EF$35-$AC$584+1,0)</f>
        <v>24</v>
      </c>
      <c r="EG586" s="63" t="n">
        <f aca="false">IF(EG$35&gt;=$AC$584,EG$35-$AC$584+1,0)</f>
        <v>25</v>
      </c>
      <c r="EH586" s="63" t="n">
        <f aca="false">IF(EH$35&gt;=$AC$584,EH$35-$AC$584+1,0)</f>
        <v>26</v>
      </c>
      <c r="EI586" s="63" t="n">
        <f aca="false">IF(EI$35&gt;=$AC$584,EI$35-$AC$584+1,0)</f>
        <v>27</v>
      </c>
      <c r="EJ586" s="63" t="n">
        <f aca="false">IF(EJ$35&gt;=$AC$584,EJ$35-$AC$584+1,0)</f>
        <v>28</v>
      </c>
      <c r="EK586" s="63" t="n">
        <f aca="false">IF(EK$35&gt;=$AC$584,EK$35-$AC$584+1,0)</f>
        <v>29</v>
      </c>
      <c r="EL586" s="63" t="n">
        <f aca="false">IF(EL$35&gt;=$AC$584,EL$35-$AC$584+1,0)</f>
        <v>30</v>
      </c>
      <c r="EM586" s="63" t="n">
        <f aca="false">IF(EM$35&gt;=$AC$584,EM$35-$AC$584+1,0)</f>
        <v>31</v>
      </c>
      <c r="EN586" s="63" t="n">
        <f aca="false">IF(EN$35&gt;=$AC$584,EN$35-$AC$584+1,0)</f>
        <v>32</v>
      </c>
      <c r="EO586" s="63" t="n">
        <f aca="false">IF(EO$35&gt;=$AC$584,EO$35-$AC$584+1,0)</f>
        <v>33</v>
      </c>
      <c r="EP586" s="63" t="n">
        <f aca="false">IF(EP$35&gt;=$AC$584,EP$35-$AC$584+1,0)</f>
        <v>34</v>
      </c>
      <c r="EQ586" s="63" t="n">
        <f aca="false">IF(EQ$35&gt;=$AC$584,EQ$35-$AC$584+1,0)</f>
        <v>35</v>
      </c>
      <c r="ER586" s="63" t="n">
        <f aca="false">IF(ER$35&gt;=$AC$584,ER$35-$AC$584+1,0)</f>
        <v>36</v>
      </c>
      <c r="ES586" s="9" t="n">
        <f aca="false">IF(ES$35&gt;=$AC$584,ES$35-$AC$584+1,0)</f>
        <v>37</v>
      </c>
      <c r="ET586" s="9" t="n">
        <f aca="false">IF(ET$35&gt;=$AC$584,ET$35-$AC$584+1,0)</f>
        <v>38</v>
      </c>
      <c r="EU586" s="9" t="n">
        <f aca="false">IF(EU$35&gt;=$AC$584,EU$35-$AC$584+1,0)</f>
        <v>39</v>
      </c>
      <c r="EV586" s="9" t="n">
        <f aca="false">IF(EV$35&gt;=$AC$584,EV$35-$AC$584+1,0)</f>
        <v>40</v>
      </c>
      <c r="EW586" s="9" t="n">
        <f aca="false">IF(EW$35&gt;=$AC$584,EW$35-$AC$584+1,0)</f>
        <v>41</v>
      </c>
      <c r="EX586" s="9" t="n">
        <f aca="false">IF(EX$35&gt;=$AC$584,EX$35-$AC$584+1,0)</f>
        <v>42</v>
      </c>
      <c r="EY586" s="9" t="n">
        <f aca="false">IF(EY$35&gt;=$AC$584,EY$35-$AC$584+1,0)</f>
        <v>43</v>
      </c>
      <c r="EZ586" s="9" t="n">
        <f aca="false">IF(EZ$35&gt;=$AC$584,EZ$35-$AC$584+1,0)</f>
        <v>44</v>
      </c>
      <c r="FA586" s="9" t="n">
        <f aca="false">IF(FA$35&gt;=$AC$584,FA$35-$AC$584+1,0)</f>
        <v>45</v>
      </c>
      <c r="FB586" s="9" t="n">
        <f aca="false">IF(FB$35&gt;=$AC$584,FB$35-$AC$584+1,0)</f>
        <v>46</v>
      </c>
      <c r="FC586" s="9" t="n">
        <f aca="false">IF(FC$35&gt;=$AC$584,FC$35-$AC$584+1,0)</f>
        <v>47</v>
      </c>
      <c r="FD586" s="9" t="n">
        <f aca="false">IF(FD$35&gt;=$AC$584,FD$35-$AC$584+1,0)</f>
        <v>48</v>
      </c>
      <c r="FE586" s="9" t="n">
        <f aca="false">IF(FE$35&gt;=$AC$584,FE$35-$AC$584+1,0)</f>
        <v>49</v>
      </c>
      <c r="FF586" s="9" t="n">
        <f aca="false">IF(FF$35&gt;=$AC$584,FF$35-$AC$584+1,0)</f>
        <v>50</v>
      </c>
      <c r="FG586" s="9" t="n">
        <f aca="false">IF(FG$35&gt;=$AC$584,FG$35-$AC$584+1,0)</f>
        <v>51</v>
      </c>
      <c r="FH586" s="9" t="n">
        <f aca="false">IF(FH$35&gt;=$AC$584,FH$35-$AC$584+1,0)</f>
        <v>52</v>
      </c>
      <c r="FI586" s="9" t="n">
        <f aca="false">IF(FI$35&gt;=$AC$584,FI$35-$AC$584+1,0)</f>
        <v>53</v>
      </c>
      <c r="FJ586" s="9" t="n">
        <f aca="false">IF(FJ$35&gt;=$AC$584,FJ$35-$AC$584+1,0)</f>
        <v>54</v>
      </c>
      <c r="FK586" s="9" t="n">
        <f aca="false">IF(FK$35&gt;=$AC$584,FK$35-$AC$584+1,0)</f>
        <v>55</v>
      </c>
      <c r="FL586" s="9" t="n">
        <f aca="false">IF(FL$35&gt;=$AC$584,FL$35-$AC$584+1,0)</f>
        <v>56</v>
      </c>
      <c r="FM586" s="9" t="n">
        <f aca="false">IF(FM$35&gt;=$AC$584,FM$35-$AC$584+1,0)</f>
        <v>57</v>
      </c>
      <c r="FN586" s="9" t="n">
        <f aca="false">IF(FN$35&gt;=$AC$584,FN$35-$AC$584+1,0)</f>
        <v>58</v>
      </c>
      <c r="FO586" s="9" t="n">
        <f aca="false">IF(FO$35&gt;=$AC$584,FO$35-$AC$584+1,0)</f>
        <v>59</v>
      </c>
      <c r="FP586" s="9" t="n">
        <f aca="false">IF(FP$35&gt;=$AC$584,FP$35-$AC$584+1,0)</f>
        <v>60</v>
      </c>
    </row>
    <row r="587" customFormat="false" ht="15" hidden="false" customHeight="false" outlineLevel="2" collapsed="false">
      <c r="B587" s="9" t="s">
        <v>874</v>
      </c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236" t="n">
        <f aca="false" t="array" ref="AC587:AC587">IF(AC586=0,0,IF(AC586/'🎚️ Escenario'!$C$11&gt;=36,$AL$23,INDEX($C$23:$AL$23,MAX(1,ROUNDUP(AC586/'🎚️ Escenario'!$C$11,0)))))</f>
        <v>0</v>
      </c>
      <c r="AD587" s="236" t="n">
        <f aca="false" t="array" ref="AD587:AD587">IF(AD586=0,0,IF(AD586/'🎚️ Escenario'!$C$11&gt;=36,$AL$23,INDEX($C$23:$AL$23,MAX(1,ROUNDUP(AD586/'🎚️ Escenario'!$C$11,0)))))</f>
        <v>0</v>
      </c>
      <c r="AE587" s="236" t="n">
        <f aca="false" t="array" ref="AE587:AE587">IF(AE586=0,0,IF(AE586/'🎚️ Escenario'!$C$11&gt;=36,$AL$23,INDEX($C$23:$AL$23,MAX(1,ROUNDUP(AE586/'🎚️ Escenario'!$C$11,0)))))</f>
        <v>0</v>
      </c>
      <c r="AF587" s="236" t="n">
        <f aca="false" t="array" ref="AF587:AF587">IF(AF586=0,0,IF(AF586/'🎚️ Escenario'!$C$11&gt;=36,$AL$23,INDEX($C$23:$AL$23,MAX(1,ROUNDUP(AF586/'🎚️ Escenario'!$C$11,0)))))</f>
        <v>0</v>
      </c>
      <c r="AG587" s="236" t="n">
        <f aca="false" t="array" ref="AG587:AG587">IF(AG586=0,0,IF(AG586/'🎚️ Escenario'!$C$11&gt;=36,$AL$23,INDEX($C$23:$AL$23,MAX(1,ROUNDUP(AG586/'🎚️ Escenario'!$C$11,0)))))</f>
        <v>0</v>
      </c>
      <c r="AH587" s="236" t="n">
        <f aca="false" t="array" ref="AH587:AH587">IF(AH586=0,0,IF(AH586/'🎚️ Escenario'!$C$11&gt;=36,$AL$23,INDEX($C$23:$AL$23,MAX(1,ROUNDUP(AH586/'🎚️ Escenario'!$C$11,0)))))</f>
        <v>0</v>
      </c>
      <c r="AI587" s="236" t="n">
        <f aca="false" t="array" ref="AI587:AI587">IF(AI586=0,0,IF(AI586/'🎚️ Escenario'!$C$11&gt;=36,$AL$23,INDEX($C$23:$AL$23,MAX(1,ROUNDUP(AI586/'🎚️ Escenario'!$C$11,0)))))</f>
        <v>0</v>
      </c>
      <c r="AJ587" s="236" t="n">
        <f aca="false" t="array" ref="AJ587:AJ587">IF(AJ586=0,0,IF(AJ586/'🎚️ Escenario'!$C$11&gt;=36,$AL$23,INDEX($C$23:$AL$23,MAX(1,ROUNDUP(AJ586/'🎚️ Escenario'!$C$11,0)))))</f>
        <v>0</v>
      </c>
      <c r="AK587" s="236" t="n">
        <f aca="false" t="array" ref="AK587:AK587">IF(AK586=0,0,IF(AK586/'🎚️ Escenario'!$C$11&gt;=36,$AL$23,INDEX($C$23:$AL$23,MAX(1,ROUNDUP(AK586/'🎚️ Escenario'!$C$11,0)))))</f>
        <v>0</v>
      </c>
      <c r="AL587" s="236" t="n">
        <f aca="false" t="array" ref="AL587:AL587">IF(AL586=0,0,IF(AL586/'🎚️ Escenario'!$C$11&gt;=36,$AL$23,INDEX($C$23:$AL$23,MAX(1,ROUNDUP(AL586/'🎚️ Escenario'!$C$11,0)))))</f>
        <v>0</v>
      </c>
      <c r="AM587" s="236" t="n">
        <f aca="false" t="array" ref="AM587:AM587">IF(AM586=0,0,IF(AM586/'🎚️ Escenario'!$C$11&gt;=36,$AL$23,INDEX($C$23:$AL$23,MAX(1,ROUNDUP(AM586/'🎚️ Escenario'!$C$11,0)))))</f>
        <v>0</v>
      </c>
      <c r="AN587" s="236" t="n">
        <f aca="false" t="array" ref="AN587:AN587">IF(AN586=0,0,IF(AN586/'🎚️ Escenario'!$C$11&gt;=36,$AL$23,INDEX($C$23:$AL$23,MAX(1,ROUNDUP(AN586/'🎚️ Escenario'!$C$11,0)))))</f>
        <v>0</v>
      </c>
      <c r="AO587" s="236" t="n">
        <f aca="false" t="array" ref="AO587:AO587">IF(AO586=0,0,IF(AO586/'🎚️ Escenario'!$C$11&gt;=36,$AL$23,INDEX($C$23:$AL$23,MAX(1,ROUNDUP(AO586/'🎚️ Escenario'!$C$11,0)))))</f>
        <v>0</v>
      </c>
      <c r="AP587" s="236" t="n">
        <f aca="false" t="array" ref="AP587:AP587">IF(AP586=0,0,IF(AP586/'🎚️ Escenario'!$C$11&gt;=36,$AL$23,INDEX($C$23:$AL$23,MAX(1,ROUNDUP(AP586/'🎚️ Escenario'!$C$11,0)))))</f>
        <v>0</v>
      </c>
      <c r="AQ587" s="236" t="n">
        <f aca="false" t="array" ref="AQ587:AQ587">IF(AQ586=0,0,IF(AQ586/'🎚️ Escenario'!$C$11&gt;=36,$AL$23,INDEX($C$23:$AL$23,MAX(1,ROUNDUP(AQ586/'🎚️ Escenario'!$C$11,0)))))</f>
        <v>0</v>
      </c>
      <c r="AR587" s="236" t="n">
        <f aca="false" t="array" ref="AR587:AR587">IF(AR586=0,0,IF(AR586/'🎚️ Escenario'!$C$11&gt;=36,$AL$23,INDEX($C$23:$AL$23,MAX(1,ROUNDUP(AR586/'🎚️ Escenario'!$C$11,0)))))</f>
        <v>0</v>
      </c>
      <c r="AS587" s="236" t="n">
        <f aca="false" t="array" ref="AS587:AS587">IF(AS586=0,0,IF(AS586/'🎚️ Escenario'!$C$11&gt;=36,$AL$23,INDEX($C$23:$AL$23,MAX(1,ROUNDUP(AS586/'🎚️ Escenario'!$C$11,0)))))</f>
        <v>0</v>
      </c>
      <c r="AT587" s="236" t="n">
        <f aca="false" t="array" ref="AT587:AT587">IF(AT586=0,0,IF(AT586/'🎚️ Escenario'!$C$11&gt;=36,$AL$23,INDEX($C$23:$AL$23,MAX(1,ROUNDUP(AT586/'🎚️ Escenario'!$C$11,0)))))</f>
        <v>0</v>
      </c>
      <c r="AU587" s="236" t="n">
        <f aca="false" t="array" ref="AU587:AU587">IF(AU586=0,0,IF(AU586/'🎚️ Escenario'!$C$11&gt;=36,$AL$23,INDEX($C$23:$AL$23,MAX(1,ROUNDUP(AU586/'🎚️ Escenario'!$C$11,0)))))</f>
        <v>0</v>
      </c>
      <c r="AV587" s="236" t="n">
        <f aca="false" t="array" ref="AV587:AV587">IF(AV586=0,0,IF(AV586/'🎚️ Escenario'!$C$11&gt;=36,$AL$23,INDEX($C$23:$AL$23,MAX(1,ROUNDUP(AV586/'🎚️ Escenario'!$C$11,0)))))</f>
        <v>0</v>
      </c>
      <c r="AW587" s="236" t="n">
        <f aca="false" t="array" ref="AW587:AW587">IF(AW586=0,0,IF(AW586/'🎚️ Escenario'!$C$11&gt;=36,$AL$23,INDEX($C$23:$AL$23,MAX(1,ROUNDUP(AW586/'🎚️ Escenario'!$C$11,0)))))</f>
        <v>0</v>
      </c>
      <c r="AX587" s="236" t="n">
        <f aca="false" t="array" ref="AX587:AX587">IF(AX586=0,0,IF(AX586/'🎚️ Escenario'!$C$11&gt;=36,$AL$23,INDEX($C$23:$AL$23,MAX(1,ROUNDUP(AX586/'🎚️ Escenario'!$C$11,0)))))</f>
        <v>0</v>
      </c>
      <c r="AY587" s="236" t="n">
        <f aca="false" t="array" ref="AY587:AY587">IF(AY586=0,0,IF(AY586/'🎚️ Escenario'!$C$11&gt;=36,$AL$23,INDEX($C$23:$AL$23,MAX(1,ROUNDUP(AY586/'🎚️ Escenario'!$C$11,0)))))</f>
        <v>0</v>
      </c>
      <c r="AZ587" s="236" t="n">
        <f aca="false" t="array" ref="AZ587:AZ587">IF(AZ586=0,0,IF(AZ586/'🎚️ Escenario'!$C$11&gt;=36,$AL$23,INDEX($C$23:$AL$23,MAX(1,ROUNDUP(AZ586/'🎚️ Escenario'!$C$11,0)))))</f>
        <v>0</v>
      </c>
      <c r="BA587" s="236" t="n">
        <f aca="false" t="array" ref="BA587:BA587">IF(BA586=0,0,IF(BA586/'🎚️ Escenario'!$C$11&gt;=36,$AL$23,INDEX($C$23:$AL$23,MAX(1,ROUNDUP(BA586/'🎚️ Escenario'!$C$11,0)))))</f>
        <v>0</v>
      </c>
      <c r="BB587" s="236" t="n">
        <f aca="false" t="array" ref="BB587:BB587">IF(BB586=0,0,IF(BB586/'🎚️ Escenario'!$C$11&gt;=36,$AL$23,INDEX($C$23:$AL$23,MAX(1,ROUNDUP(BB586/'🎚️ Escenario'!$C$11,0)))))</f>
        <v>0</v>
      </c>
      <c r="BC587" s="236" t="n">
        <f aca="false" t="array" ref="BC587:BC587">IF(BC586=0,0,IF(BC586/'🎚️ Escenario'!$C$11&gt;=36,$AL$23,INDEX($C$23:$AL$23,MAX(1,ROUNDUP(BC586/'🎚️ Escenario'!$C$11,0)))))</f>
        <v>0</v>
      </c>
      <c r="BD587" s="236" t="n">
        <f aca="false" t="array" ref="BD587:BD587">IF(BD586=0,0,IF(BD586/'🎚️ Escenario'!$C$11&gt;=36,$AL$23,INDEX($C$23:$AL$23,MAX(1,ROUNDUP(BD586/'🎚️ Escenario'!$C$11,0)))))</f>
        <v>0</v>
      </c>
      <c r="BE587" s="236" t="n">
        <f aca="false" t="array" ref="BE587:BE587">IF(BE586=0,0,IF(BE586/'🎚️ Escenario'!$C$11&gt;=36,$AL$23,INDEX($C$23:$AL$23,MAX(1,ROUNDUP(BE586/'🎚️ Escenario'!$C$11,0)))))</f>
        <v>0</v>
      </c>
      <c r="BF587" s="236" t="n">
        <f aca="false" t="array" ref="BF587:BF587">IF(BF586=0,0,IF(BF586/'🎚️ Escenario'!$C$11&gt;=36,$AL$23,INDEX($C$23:$AL$23,MAX(1,ROUNDUP(BF586/'🎚️ Escenario'!$C$11,0)))))</f>
        <v>0</v>
      </c>
      <c r="BG587" s="236" t="n">
        <f aca="false" t="array" ref="BG587:BG587">IF(BG586=0,0,IF(BG586/'🎚️ Escenario'!$C$11&gt;=36,$AL$23,INDEX($C$23:$AL$23,MAX(1,ROUNDUP(BG586/'🎚️ Escenario'!$C$11,0)))))</f>
        <v>0</v>
      </c>
      <c r="BH587" s="236" t="n">
        <f aca="false" t="array" ref="BH587:BH587">IF(BH586=0,0,IF(BH586/'🎚️ Escenario'!$C$11&gt;=36,$AL$23,INDEX($C$23:$AL$23,MAX(1,ROUNDUP(BH586/'🎚️ Escenario'!$C$11,0)))))</f>
        <v>0</v>
      </c>
      <c r="BI587" s="236" t="n">
        <f aca="false" t="array" ref="BI587:BI587">IF(BI586=0,0,IF(BI586/'🎚️ Escenario'!$C$11&gt;=36,$AL$23,INDEX($C$23:$AL$23,MAX(1,ROUNDUP(BI586/'🎚️ Escenario'!$C$11,0)))))</f>
        <v>0</v>
      </c>
      <c r="BJ587" s="236" t="n">
        <f aca="false" t="array" ref="BJ587:BJ587">IF(BJ586=0,0,IF(BJ586/'🎚️ Escenario'!$C$11&gt;=36,$AL$23,INDEX($C$23:$AL$23,MAX(1,ROUNDUP(BJ586/'🎚️ Escenario'!$C$11,0)))))</f>
        <v>0</v>
      </c>
      <c r="BK587" s="236" t="n">
        <f aca="false" t="array" ref="BK587:BK587">IF(BK586=0,0,IF(BK586/'🎚️ Escenario'!$C$11&gt;=36,$AL$23,INDEX($C$23:$AL$23,MAX(1,ROUNDUP(BK586/'🎚️ Escenario'!$C$11,0)))))</f>
        <v>0</v>
      </c>
      <c r="BL587" s="236" t="n">
        <f aca="false" t="array" ref="BL587:BL587">IF(BL586=0,0,IF(BL586/'🎚️ Escenario'!$C$11&gt;=36,$AL$23,INDEX($C$23:$AL$23,MAX(1,ROUNDUP(BL586/'🎚️ Escenario'!$C$11,0)))))</f>
        <v>0</v>
      </c>
      <c r="BM587" s="236" t="n">
        <f aca="false" t="array" ref="BM587:BM587">IF(BM586=0,0,IF(BM586/'🎚️ Escenario'!$C$11&gt;=36,$AL$23,INDEX($C$23:$AL$23,MAX(1,ROUNDUP(BM586/'🎚️ Escenario'!$C$11,0)))))</f>
        <v>0</v>
      </c>
      <c r="BN587" s="236" t="n">
        <f aca="false" t="array" ref="BN587:BN587">IF(BN586=0,0,IF(BN586/'🎚️ Escenario'!$C$11&gt;=36,$AL$23,INDEX($C$23:$AL$23,MAX(1,ROUNDUP(BN586/'🎚️ Escenario'!$C$11,0)))))</f>
        <v>0</v>
      </c>
      <c r="BO587" s="236" t="n">
        <f aca="false" t="array" ref="BO587:BO587">IF(BO586=0,0,IF(BO586/'🎚️ Escenario'!$C$11&gt;=36,$AL$23,INDEX($C$23:$AL$23,MAX(1,ROUNDUP(BO586/'🎚️ Escenario'!$C$11,0)))))</f>
        <v>0</v>
      </c>
      <c r="BP587" s="236" t="n">
        <f aca="false" t="array" ref="BP587:BP587">IF(BP586=0,0,IF(BP586/'🎚️ Escenario'!$C$11&gt;=36,$AL$23,INDEX($C$23:$AL$23,MAX(1,ROUNDUP(BP586/'🎚️ Escenario'!$C$11,0)))))</f>
        <v>0</v>
      </c>
      <c r="BQ587" s="236" t="n">
        <f aca="false" t="array" ref="BQ587:BQ587">IF(BQ586=0,0,IF(BQ586/'🎚️ Escenario'!$C$11&gt;=36,$AL$23,INDEX($C$23:$AL$23,MAX(1,ROUNDUP(BQ586/'🎚️ Escenario'!$C$11,0)))))</f>
        <v>0</v>
      </c>
      <c r="BR587" s="236" t="n">
        <f aca="false" t="array" ref="BR587:BR587">IF(BR586=0,0,IF(BR586/'🎚️ Escenario'!$C$11&gt;=36,$AL$23,INDEX($C$23:$AL$23,MAX(1,ROUNDUP(BR586/'🎚️ Escenario'!$C$11,0)))))</f>
        <v>0</v>
      </c>
      <c r="BS587" s="236" t="n">
        <f aca="false" t="array" ref="BS587:BS587">IF(BS586=0,0,IF(BS586/'🎚️ Escenario'!$C$11&gt;=36,$AL$23,INDEX($C$23:$AL$23,MAX(1,ROUNDUP(BS586/'🎚️ Escenario'!$C$11,0)))))</f>
        <v>0</v>
      </c>
      <c r="BT587" s="236" t="n">
        <f aca="false" t="array" ref="BT587:BT587">IF(BT586=0,0,IF(BT586/'🎚️ Escenario'!$C$11&gt;=36,$AL$23,INDEX($C$23:$AL$23,MAX(1,ROUNDUP(BT586/'🎚️ Escenario'!$C$11,0)))))</f>
        <v>0</v>
      </c>
      <c r="BU587" s="236" t="n">
        <f aca="false" t="array" ref="BU587:BU587">IF(BU586=0,0,IF(BU586/'🎚️ Escenario'!$C$11&gt;=36,$AL$23,INDEX($C$23:$AL$23,MAX(1,ROUNDUP(BU586/'🎚️ Escenario'!$C$11,0)))))</f>
        <v>0</v>
      </c>
      <c r="BV587" s="236" t="n">
        <f aca="false" t="array" ref="BV587:BV587">IF(BV586=0,0,IF(BV586/'🎚️ Escenario'!$C$11&gt;=36,$AL$23,INDEX($C$23:$AL$23,MAX(1,ROUNDUP(BV586/'🎚️ Escenario'!$C$11,0)))))</f>
        <v>0</v>
      </c>
      <c r="BW587" s="236" t="n">
        <f aca="false" t="array" ref="BW587:BW587">IF(BW586=0,0,IF(BW586/'🎚️ Escenario'!$C$11&gt;=36,$AL$23,INDEX($C$23:$AL$23,MAX(1,ROUNDUP(BW586/'🎚️ Escenario'!$C$11,0)))))</f>
        <v>0</v>
      </c>
      <c r="BX587" s="236" t="n">
        <f aca="false" t="array" ref="BX587:BX587">IF(BX586=0,0,IF(BX586/'🎚️ Escenario'!$C$11&gt;=36,$AL$23,INDEX($C$23:$AL$23,MAX(1,ROUNDUP(BX586/'🎚️ Escenario'!$C$11,0)))))</f>
        <v>0</v>
      </c>
      <c r="BY587" s="236" t="n">
        <f aca="false" t="array" ref="BY587:BY587">IF(BY586=0,0,IF(BY586/'🎚️ Escenario'!$C$11&gt;=36,$AL$23,INDEX($C$23:$AL$23,MAX(1,ROUNDUP(BY586/'🎚️ Escenario'!$C$11,0)))))</f>
        <v>0</v>
      </c>
      <c r="BZ587" s="236" t="n">
        <f aca="false" t="array" ref="BZ587:BZ587">IF(BZ586=0,0,IF(BZ586/'🎚️ Escenario'!$C$11&gt;=36,$AL$23,INDEX($C$23:$AL$23,MAX(1,ROUNDUP(BZ586/'🎚️ Escenario'!$C$11,0)))))</f>
        <v>0</v>
      </c>
      <c r="CA587" s="236" t="n">
        <f aca="false" t="array" ref="CA587:CA587">IF(CA586=0,0,IF(CA586/'🎚️ Escenario'!$C$11&gt;=36,$AL$23,INDEX($C$23:$AL$23,MAX(1,ROUNDUP(CA586/'🎚️ Escenario'!$C$11,0)))))</f>
        <v>0</v>
      </c>
      <c r="CB587" s="236" t="n">
        <f aca="false" t="array" ref="CB587:CB587">IF(CB586=0,0,IF(CB586/'🎚️ Escenario'!$C$11&gt;=36,$AL$23,INDEX($C$23:$AL$23,MAX(1,ROUNDUP(CB586/'🎚️ Escenario'!$C$11,0)))))</f>
        <v>0</v>
      </c>
      <c r="CC587" s="236" t="n">
        <f aca="false" t="array" ref="CC587:CC587">IF(CC586=0,0,IF(CC586/'🎚️ Escenario'!$C$11&gt;=36,$AL$23,INDEX($C$23:$AL$23,MAX(1,ROUNDUP(CC586/'🎚️ Escenario'!$C$11,0)))))</f>
        <v>0</v>
      </c>
      <c r="CD587" s="236" t="n">
        <f aca="false" t="array" ref="CD587:CD587">IF(CD586=0,0,IF(CD586/'🎚️ Escenario'!$C$11&gt;=36,$AL$23,INDEX($C$23:$AL$23,MAX(1,ROUNDUP(CD586/'🎚️ Escenario'!$C$11,0)))))</f>
        <v>0</v>
      </c>
      <c r="CE587" s="236" t="n">
        <f aca="false" t="array" ref="CE587:CE587">IF(CE586=0,0,IF(CE586/'🎚️ Escenario'!$C$11&gt;=36,$AL$23,INDEX($C$23:$AL$23,MAX(1,ROUNDUP(CE586/'🎚️ Escenario'!$C$11,0)))))</f>
        <v>0</v>
      </c>
      <c r="CF587" s="236" t="n">
        <f aca="false" t="array" ref="CF587:CF587">IF(CF586=0,0,IF(CF586/'🎚️ Escenario'!$C$11&gt;=36,$AL$23,INDEX($C$23:$AL$23,MAX(1,ROUNDUP(CF586/'🎚️ Escenario'!$C$11,0)))))</f>
        <v>0</v>
      </c>
      <c r="CG587" s="236" t="n">
        <f aca="false" t="array" ref="CG587:CG587">IF(CG586=0,0,IF(CG586/'🎚️ Escenario'!$C$11&gt;=36,$AL$23,INDEX($C$23:$AL$23,MAX(1,ROUNDUP(CG586/'🎚️ Escenario'!$C$11,0)))))</f>
        <v>0</v>
      </c>
      <c r="CH587" s="236" t="n">
        <f aca="false" t="array" ref="CH587:CH587">IF(CH586=0,0,IF(CH586/'🎚️ Escenario'!$C$11&gt;=36,$AL$23,INDEX($C$23:$AL$23,MAX(1,ROUNDUP(CH586/'🎚️ Escenario'!$C$11,0)))))</f>
        <v>0</v>
      </c>
      <c r="CI587" s="236" t="n">
        <f aca="false" t="array" ref="CI587:CI587">IF(CI586=0,0,IF(CI586/'🎚️ Escenario'!$C$11&gt;=36,$AL$23,INDEX($C$23:$AL$23,MAX(1,ROUNDUP(CI586/'🎚️ Escenario'!$C$11,0)))))</f>
        <v>0</v>
      </c>
      <c r="CJ587" s="236" t="n">
        <f aca="false" t="array" ref="CJ587:CJ587">IF(CJ586=0,0,IF(CJ586/'🎚️ Escenario'!$C$11&gt;=36,$AL$23,INDEX($C$23:$AL$23,MAX(1,ROUNDUP(CJ586/'🎚️ Escenario'!$C$11,0)))))</f>
        <v>0</v>
      </c>
      <c r="CK587" s="236" t="n">
        <f aca="false" t="array" ref="CK587:CK587">IF(CK586=0,0,IF(CK586/'🎚️ Escenario'!$C$11&gt;=36,$AL$23,INDEX($C$23:$AL$23,MAX(1,ROUNDUP(CK586/'🎚️ Escenario'!$C$11,0)))))</f>
        <v>0</v>
      </c>
      <c r="CL587" s="236" t="n">
        <f aca="false" t="array" ref="CL587:CL587">IF(CL586=0,0,IF(CL586/'🎚️ Escenario'!$C$11&gt;=36,$AL$23,INDEX($C$23:$AL$23,MAX(1,ROUNDUP(CL586/'🎚️ Escenario'!$C$11,0)))))</f>
        <v>0</v>
      </c>
      <c r="CM587" s="236" t="n">
        <f aca="false" t="array" ref="CM587:CM587">IF(CM586=0,0,IF(CM586/'🎚️ Escenario'!$C$11&gt;=36,$AL$23,INDEX($C$23:$AL$23,MAX(1,ROUNDUP(CM586/'🎚️ Escenario'!$C$11,0)))))</f>
        <v>0</v>
      </c>
      <c r="CN587" s="236" t="n">
        <f aca="false" t="array" ref="CN587:CN587">IF(CN586=0,0,IF(CN586/'🎚️ Escenario'!$C$11&gt;=36,$AL$23,INDEX($C$23:$AL$23,MAX(1,ROUNDUP(CN586/'🎚️ Escenario'!$C$11,0)))))</f>
        <v>0</v>
      </c>
      <c r="CO587" s="236" t="n">
        <f aca="false" t="array" ref="CO587:CO587">IF(CO586=0,0,IF(CO586/'🎚️ Escenario'!$C$11&gt;=36,$AL$23,INDEX($C$23:$AL$23,MAX(1,ROUNDUP(CO586/'🎚️ Escenario'!$C$11,0)))))</f>
        <v>0</v>
      </c>
      <c r="CP587" s="236" t="n">
        <f aca="false" t="array" ref="CP587:CP587">IF(CP586=0,0,IF(CP586/'🎚️ Escenario'!$C$11&gt;=36,$AL$23,INDEX($C$23:$AL$23,MAX(1,ROUNDUP(CP586/'🎚️ Escenario'!$C$11,0)))))</f>
        <v>0</v>
      </c>
      <c r="CQ587" s="236" t="n">
        <f aca="false" t="array" ref="CQ587:CQ587">IF(CQ586=0,0,IF(CQ586/'🎚️ Escenario'!$C$11&gt;=36,$AL$23,INDEX($C$23:$AL$23,MAX(1,ROUNDUP(CQ586/'🎚️ Escenario'!$C$11,0)))))</f>
        <v>0</v>
      </c>
      <c r="CR587" s="236" t="n">
        <f aca="false" t="array" ref="CR587:CR587">IF(CR586=0,0,IF(CR586/'🎚️ Escenario'!$C$11&gt;=36,$AL$23,INDEX($C$23:$AL$23,MAX(1,ROUNDUP(CR586/'🎚️ Escenario'!$C$11,0)))))</f>
        <v>0</v>
      </c>
      <c r="CS587" s="236" t="n">
        <f aca="false" t="array" ref="CS587:CS587">IF(CS586=0,0,IF(CS586/'🎚️ Escenario'!$C$11&gt;=36,$AL$23,INDEX($C$23:$AL$23,MAX(1,ROUNDUP(CS586/'🎚️ Escenario'!$C$11,0)))))</f>
        <v>0</v>
      </c>
      <c r="CT587" s="236" t="n">
        <f aca="false" t="array" ref="CT587:CT587">IF(CT586=0,0,IF(CT586/'🎚️ Escenario'!$C$11&gt;=36,$AL$23,INDEX($C$23:$AL$23,MAX(1,ROUNDUP(CT586/'🎚️ Escenario'!$C$11,0)))))</f>
        <v>0</v>
      </c>
      <c r="CU587" s="236" t="n">
        <f aca="false" t="array" ref="CU587:CU587">IF(CU586=0,0,IF(CU586/'🎚️ Escenario'!$C$11&gt;=36,$AL$23,INDEX($C$23:$AL$23,MAX(1,ROUNDUP(CU586/'🎚️ Escenario'!$C$11,0)))))</f>
        <v>0</v>
      </c>
      <c r="CV587" s="236" t="n">
        <f aca="false" t="array" ref="CV587:CV587">IF(CV586=0,0,IF(CV586/'🎚️ Escenario'!$C$11&gt;=36,$AL$23,INDEX($C$23:$AL$23,MAX(1,ROUNDUP(CV586/'🎚️ Escenario'!$C$11,0)))))</f>
        <v>0</v>
      </c>
      <c r="CW587" s="236" t="n">
        <f aca="false" t="array" ref="CW587:CW587">IF(CW586=0,0,IF(CW586/'🎚️ Escenario'!$C$11&gt;=36,$AL$23,INDEX($C$23:$AL$23,MAX(1,ROUNDUP(CW586/'🎚️ Escenario'!$C$11,0)))))</f>
        <v>0</v>
      </c>
      <c r="CX587" s="236" t="n">
        <f aca="false" t="array" ref="CX587:CX587">IF(CX586=0,0,IF(CX586/'🎚️ Escenario'!$C$11&gt;=36,$AL$23,INDEX($C$23:$AL$23,MAX(1,ROUNDUP(CX586/'🎚️ Escenario'!$C$11,0)))))</f>
        <v>0</v>
      </c>
      <c r="CY587" s="236" t="n">
        <f aca="false" t="array" ref="CY587:CY587">IF(CY586=0,0,IF(CY586/'🎚️ Escenario'!$C$11&gt;=36,$AL$23,INDEX($C$23:$AL$23,MAX(1,ROUNDUP(CY586/'🎚️ Escenario'!$C$11,0)))))</f>
        <v>0</v>
      </c>
      <c r="CZ587" s="236" t="n">
        <f aca="false" t="array" ref="CZ587:CZ587">IF(CZ586=0,0,IF(CZ586/'🎚️ Escenario'!$C$11&gt;=36,$AL$23,INDEX($C$23:$AL$23,MAX(1,ROUNDUP(CZ586/'🎚️ Escenario'!$C$11,0)))))</f>
        <v>0</v>
      </c>
      <c r="DA587" s="236" t="n">
        <f aca="false" t="array" ref="DA587:DA587">IF(DA586=0,0,IF(DA586/'🎚️ Escenario'!$C$11&gt;=36,$AL$23,INDEX($C$23:$AL$23,MAX(1,ROUNDUP(DA586/'🎚️ Escenario'!$C$11,0)))))</f>
        <v>0</v>
      </c>
      <c r="DB587" s="236" t="n">
        <f aca="false" t="array" ref="DB587:DB587">IF(DB586=0,0,IF(DB586/'🎚️ Escenario'!$C$11&gt;=36,$AL$23,INDEX($C$23:$AL$23,MAX(1,ROUNDUP(DB586/'🎚️ Escenario'!$C$11,0)))))</f>
        <v>0</v>
      </c>
      <c r="DC587" s="236" t="n">
        <f aca="false" t="array" ref="DC587:DC587">IF(DC586=0,0,IF(DC586/'🎚️ Escenario'!$C$11&gt;=36,$AL$23,INDEX($C$23:$AL$23,MAX(1,ROUNDUP(DC586/'🎚️ Escenario'!$C$11,0)))))</f>
        <v>0</v>
      </c>
      <c r="DD587" s="236" t="n">
        <f aca="false" t="array" ref="DD587:DD587">IF(DD586=0,0,IF(DD586/'🎚️ Escenario'!$C$11&gt;=36,$AL$23,INDEX($C$23:$AL$23,MAX(1,ROUNDUP(DD586/'🎚️ Escenario'!$C$11,0)))))</f>
        <v>0</v>
      </c>
      <c r="DE587" s="236" t="n">
        <f aca="false" t="array" ref="DE587:DE587">IF(DE586=0,0,IF(DE586/'🎚️ Escenario'!$C$11&gt;=36,$AL$23,INDEX($C$23:$AL$23,MAX(1,ROUNDUP(DE586/'🎚️ Escenario'!$C$11,0)))))</f>
        <v>0</v>
      </c>
      <c r="DF587" s="236" t="n">
        <f aca="false" t="array" ref="DF587:DF587">IF(DF586=0,0,IF(DF586/'🎚️ Escenario'!$C$11&gt;=36,$AL$23,INDEX($C$23:$AL$23,MAX(1,ROUNDUP(DF586/'🎚️ Escenario'!$C$11,0)))))</f>
        <v>0</v>
      </c>
      <c r="DG587" s="236" t="n">
        <f aca="false" t="array" ref="DG587:DG587">IF(DG586=0,0,IF(DG586/'🎚️ Escenario'!$C$11&gt;=36,$AL$23,INDEX($C$23:$AL$23,MAX(1,ROUNDUP(DG586/'🎚️ Escenario'!$C$11,0)))))</f>
        <v>0</v>
      </c>
      <c r="DH587" s="236" t="n">
        <f aca="false" t="array" ref="DH587:DH587">IF(DH586=0,0,IF(DH586/'🎚️ Escenario'!$C$11&gt;=36,$AL$23,INDEX($C$23:$AL$23,MAX(1,ROUNDUP(DH586/'🎚️ Escenario'!$C$11,0)))))</f>
        <v>0</v>
      </c>
      <c r="DI587" s="236" t="n">
        <f aca="false" t="array" ref="DI587:DI587">IF(DI586=0,0,IF(DI586/'🎚️ Escenario'!$C$11&gt;=36,$AL$23,INDEX($C$23:$AL$23,MAX(1,ROUNDUP(DI586/'🎚️ Escenario'!$C$11,0)))))</f>
        <v>0.2</v>
      </c>
      <c r="DJ587" s="236" t="n">
        <f aca="false" t="array" ref="DJ587:DJ587">IF(DJ586=0,0,IF(DJ586/'🎚️ Escenario'!$C$11&gt;=36,$AL$23,INDEX($C$23:$AL$23,MAX(1,ROUNDUP(DJ586/'🎚️ Escenario'!$C$11,0)))))</f>
        <v>0.22</v>
      </c>
      <c r="DK587" s="236" t="n">
        <f aca="false" t="array" ref="DK587:DK587">IF(DK586=0,0,IF(DK586/'🎚️ Escenario'!$C$11&gt;=36,$AL$23,INDEX($C$23:$AL$23,MAX(1,ROUNDUP(DK586/'🎚️ Escenario'!$C$11,0)))))</f>
        <v>0.24</v>
      </c>
      <c r="DL587" s="236" t="n">
        <f aca="false" t="array" ref="DL587:DL587">IF(DL586=0,0,IF(DL586/'🎚️ Escenario'!$C$11&gt;=36,$AL$23,INDEX($C$23:$AL$23,MAX(1,ROUNDUP(DL586/'🎚️ Escenario'!$C$11,0)))))</f>
        <v>0.27</v>
      </c>
      <c r="DM587" s="236" t="n">
        <f aca="false" t="array" ref="DM587:DM587">IF(DM586=0,0,IF(DM586/'🎚️ Escenario'!$C$11&gt;=36,$AL$23,INDEX($C$23:$AL$23,MAX(1,ROUNDUP(DM586/'🎚️ Escenario'!$C$11,0)))))</f>
        <v>0.27</v>
      </c>
      <c r="DN587" s="236" t="n">
        <f aca="false" t="array" ref="DN587:DN587">IF(DN586=0,0,IF(DN586/'🎚️ Escenario'!$C$11&gt;=36,$AL$23,INDEX($C$23:$AL$23,MAX(1,ROUNDUP(DN586/'🎚️ Escenario'!$C$11,0)))))</f>
        <v>0.31</v>
      </c>
      <c r="DO587" s="236" t="n">
        <f aca="false" t="array" ref="DO587:DO587">IF(DO586=0,0,IF(DO586/'🎚️ Escenario'!$C$11&gt;=36,$AL$23,INDEX($C$23:$AL$23,MAX(1,ROUNDUP(DO586/'🎚️ Escenario'!$C$11,0)))))</f>
        <v>0.35</v>
      </c>
      <c r="DP587" s="236" t="n">
        <f aca="false" t="array" ref="DP587:DP587">IF(DP586=0,0,IF(DP586/'🎚️ Escenario'!$C$11&gt;=36,$AL$23,INDEX($C$23:$AL$23,MAX(1,ROUNDUP(DP586/'🎚️ Escenario'!$C$11,0)))))</f>
        <v>0.39</v>
      </c>
      <c r="DQ587" s="236" t="n">
        <f aca="false" t="array" ref="DQ587:DQ587">IF(DQ586=0,0,IF(DQ586/'🎚️ Escenario'!$C$11&gt;=36,$AL$23,INDEX($C$23:$AL$23,MAX(1,ROUNDUP(DQ586/'🎚️ Escenario'!$C$11,0)))))</f>
        <v>0.44</v>
      </c>
      <c r="DR587" s="236" t="n">
        <f aca="false" t="array" ref="DR587:DR587">IF(DR586=0,0,IF(DR586/'🎚️ Escenario'!$C$11&gt;=36,$AL$23,INDEX($C$23:$AL$23,MAX(1,ROUNDUP(DR586/'🎚️ Escenario'!$C$11,0)))))</f>
        <v>0.44</v>
      </c>
      <c r="DS587" s="236" t="n">
        <f aca="false" t="array" ref="DS587:DS587">IF(DS586=0,0,IF(DS586/'🎚️ Escenario'!$C$11&gt;=36,$AL$23,INDEX($C$23:$AL$23,MAX(1,ROUNDUP(DS586/'🎚️ Escenario'!$C$11,0)))))</f>
        <v>0.48</v>
      </c>
      <c r="DT587" s="236" t="n">
        <f aca="false" t="array" ref="DT587:DT587">IF(DT586=0,0,IF(DT586/'🎚️ Escenario'!$C$11&gt;=36,$AL$23,INDEX($C$23:$AL$23,MAX(1,ROUNDUP(DT586/'🎚️ Escenario'!$C$11,0)))))</f>
        <v>0.52</v>
      </c>
      <c r="DU587" s="236" t="n">
        <f aca="false" t="array" ref="DU587:DU587">IF(DU586=0,0,IF(DU586/'🎚️ Escenario'!$C$11&gt;=36,$AL$23,INDEX($C$23:$AL$23,MAX(1,ROUNDUP(DU586/'🎚️ Escenario'!$C$11,0)))))</f>
        <v>0.56</v>
      </c>
      <c r="DV587" s="236" t="n">
        <f aca="false" t="array" ref="DV587:DV587">IF(DV586=0,0,IF(DV586/'🎚️ Escenario'!$C$11&gt;=36,$AL$23,INDEX($C$23:$AL$23,MAX(1,ROUNDUP(DV586/'🎚️ Escenario'!$C$11,0)))))</f>
        <v>0.6</v>
      </c>
      <c r="DW587" s="236" t="n">
        <f aca="false" t="array" ref="DW587:DW587">IF(DW586=0,0,IF(DW586/'🎚️ Escenario'!$C$11&gt;=36,$AL$23,INDEX($C$23:$AL$23,MAX(1,ROUNDUP(DW586/'🎚️ Escenario'!$C$11,0)))))</f>
        <v>0.6</v>
      </c>
      <c r="DX587" s="236" t="n">
        <f aca="false" t="array" ref="DX587:DX587">IF(DX586=0,0,IF(DX586/'🎚️ Escenario'!$C$11&gt;=36,$AL$23,INDEX($C$23:$AL$23,MAX(1,ROUNDUP(DX586/'🎚️ Escenario'!$C$11,0)))))</f>
        <v>0.63</v>
      </c>
      <c r="DY587" s="236" t="n">
        <f aca="false" t="array" ref="DY587:DY587">IF(DY586=0,0,IF(DY586/'🎚️ Escenario'!$C$11&gt;=36,$AL$23,INDEX($C$23:$AL$23,MAX(1,ROUNDUP(DY586/'🎚️ Escenario'!$C$11,0)))))</f>
        <v>0.66</v>
      </c>
      <c r="DZ587" s="236" t="n">
        <f aca="false" t="array" ref="DZ587:DZ587">IF(DZ586=0,0,IF(DZ586/'🎚️ Escenario'!$C$11&gt;=36,$AL$23,INDEX($C$23:$AL$23,MAX(1,ROUNDUP(DZ586/'🎚️ Escenario'!$C$11,0)))))</f>
        <v>0.69</v>
      </c>
      <c r="EA587" s="236" t="n">
        <f aca="false" t="array" ref="EA587:EA587">IF(EA586=0,0,IF(EA586/'🎚️ Escenario'!$C$11&gt;=36,$AL$23,INDEX($C$23:$AL$23,MAX(1,ROUNDUP(EA586/'🎚️ Escenario'!$C$11,0)))))</f>
        <v>0.71</v>
      </c>
      <c r="EB587" s="236" t="n">
        <f aca="false" t="array" ref="EB587:EB587">IF(EB586=0,0,IF(EB586/'🎚️ Escenario'!$C$11&gt;=36,$AL$23,INDEX($C$23:$AL$23,MAX(1,ROUNDUP(EB586/'🎚️ Escenario'!$C$11,0)))))</f>
        <v>0.71</v>
      </c>
      <c r="EC587" s="236" t="n">
        <f aca="false" t="array" ref="EC587:EC587">IF(EC586=0,0,IF(EC586/'🎚️ Escenario'!$C$11&gt;=36,$AL$23,INDEX($C$23:$AL$23,MAX(1,ROUNDUP(EC586/'🎚️ Escenario'!$C$11,0)))))</f>
        <v>0.73</v>
      </c>
      <c r="ED587" s="236" t="n">
        <f aca="false" t="array" ref="ED587:ED587">IF(ED586=0,0,IF(ED586/'🎚️ Escenario'!$C$11&gt;=36,$AL$23,INDEX($C$23:$AL$23,MAX(1,ROUNDUP(ED586/'🎚️ Escenario'!$C$11,0)))))</f>
        <v>0.75</v>
      </c>
      <c r="EE587" s="236" t="n">
        <f aca="false" t="array" ref="EE587:EE587">IF(EE586=0,0,IF(EE586/'🎚️ Escenario'!$C$11&gt;=36,$AL$23,INDEX($C$23:$AL$23,MAX(1,ROUNDUP(EE586/'🎚️ Escenario'!$C$11,0)))))</f>
        <v>0.77</v>
      </c>
      <c r="EF587" s="236" t="n">
        <f aca="false" t="array" ref="EF587:EF587">IF(EF586=0,0,IF(EF586/'🎚️ Escenario'!$C$11&gt;=36,$AL$23,INDEX($C$23:$AL$23,MAX(1,ROUNDUP(EF586/'🎚️ Escenario'!$C$11,0)))))</f>
        <v>0.79</v>
      </c>
      <c r="EG587" s="236" t="n">
        <f aca="false" t="array" ref="EG587:EG587">IF(EG586=0,0,IF(EG586/'🎚️ Escenario'!$C$11&gt;=36,$AL$23,INDEX($C$23:$AL$23,MAX(1,ROUNDUP(EG586/'🎚️ Escenario'!$C$11,0)))))</f>
        <v>0.79</v>
      </c>
      <c r="EH587" s="236" t="n">
        <f aca="false" t="array" ref="EH587:EH587">IF(EH586=0,0,IF(EH586/'🎚️ Escenario'!$C$11&gt;=36,$AL$23,INDEX($C$23:$AL$23,MAX(1,ROUNDUP(EH586/'🎚️ Escenario'!$C$11,0)))))</f>
        <v>0.8</v>
      </c>
      <c r="EI587" s="236" t="n">
        <f aca="false" t="array" ref="EI587:EI587">IF(EI586=0,0,IF(EI586/'🎚️ Escenario'!$C$11&gt;=36,$AL$23,INDEX($C$23:$AL$23,MAX(1,ROUNDUP(EI586/'🎚️ Escenario'!$C$11,0)))))</f>
        <v>0.82</v>
      </c>
      <c r="EJ587" s="236" t="n">
        <f aca="false" t="array" ref="EJ587:EJ587">IF(EJ586=0,0,IF(EJ586/'🎚️ Escenario'!$C$11&gt;=36,$AL$23,INDEX($C$23:$AL$23,MAX(1,ROUNDUP(EJ586/'🎚️ Escenario'!$C$11,0)))))</f>
        <v>0.84</v>
      </c>
      <c r="EK587" s="236" t="n">
        <f aca="false" t="array" ref="EK587:EK587">IF(EK586=0,0,IF(EK586/'🎚️ Escenario'!$C$11&gt;=36,$AL$23,INDEX($C$23:$AL$23,MAX(1,ROUNDUP(EK586/'🎚️ Escenario'!$C$11,0)))))</f>
        <v>0.85</v>
      </c>
      <c r="EL587" s="236" t="n">
        <f aca="false" t="array" ref="EL587:EL587">IF(EL586=0,0,IF(EL586/'🎚️ Escenario'!$C$11&gt;=36,$AL$23,INDEX($C$23:$AL$23,MAX(1,ROUNDUP(EL586/'🎚️ Escenario'!$C$11,0)))))</f>
        <v>0.85</v>
      </c>
      <c r="EM587" s="236" t="n">
        <f aca="false" t="array" ref="EM587:EM587">IF(EM586=0,0,IF(EM586/'🎚️ Escenario'!$C$11&gt;=36,$AL$23,INDEX($C$23:$AL$23,MAX(1,ROUNDUP(EM586/'🎚️ Escenario'!$C$11,0)))))</f>
        <v>0.86</v>
      </c>
      <c r="EN587" s="236" t="n">
        <f aca="false" t="array" ref="EN587:EN587">IF(EN586=0,0,IF(EN586/'🎚️ Escenario'!$C$11&gt;=36,$AL$23,INDEX($C$23:$AL$23,MAX(1,ROUNDUP(EN586/'🎚️ Escenario'!$C$11,0)))))</f>
        <v>0.88</v>
      </c>
      <c r="EO587" s="236" t="n">
        <f aca="false" t="array" ref="EO587:EO587">IF(EO586=0,0,IF(EO586/'🎚️ Escenario'!$C$11&gt;=36,$AL$23,INDEX($C$23:$AL$23,MAX(1,ROUNDUP(EO586/'🎚️ Escenario'!$C$11,0)))))</f>
        <v>0.89</v>
      </c>
      <c r="EP587" s="236" t="n">
        <f aca="false" t="array" ref="EP587:EP587">IF(EP586=0,0,IF(EP586/'🎚️ Escenario'!$C$11&gt;=36,$AL$23,INDEX($C$23:$AL$23,MAX(1,ROUNDUP(EP586/'🎚️ Escenario'!$C$11,0)))))</f>
        <v>0.9</v>
      </c>
      <c r="EQ587" s="236" t="n">
        <f aca="false" t="array" ref="EQ587:EQ587">IF(EQ586=0,0,IF(EQ586/'🎚️ Escenario'!$C$11&gt;=36,$AL$23,INDEX($C$23:$AL$23,MAX(1,ROUNDUP(EQ586/'🎚️ Escenario'!$C$11,0)))))</f>
        <v>0.9</v>
      </c>
      <c r="ER587" s="236" t="n">
        <f aca="false" t="array" ref="ER587:ER587">IF(ER586=0,0,IF(ER586/'🎚️ Escenario'!$C$11&gt;=36,$AL$23,INDEX($C$23:$AL$23,MAX(1,ROUNDUP(ER586/'🎚️ Escenario'!$C$11,0)))))</f>
        <v>0.92</v>
      </c>
      <c r="ES587" s="9" t="n">
        <f aca="false" t="array" ref="ES587:ES587">IF(ES586=0,0,IF(ES586/'🎚️ Escenario'!$C$11&gt;=36,$AL$23,INDEX($C$23:$AL$23,MAX(1,ROUNDUP(ES586/'🎚️ Escenario'!$C$11,0)))))</f>
        <v>0.93</v>
      </c>
      <c r="ET587" s="9" t="n">
        <f aca="false" t="array" ref="ET587:ET587">IF(ET586=0,0,IF(ET586/'🎚️ Escenario'!$C$11&gt;=36,$AL$23,INDEX($C$23:$AL$23,MAX(1,ROUNDUP(ET586/'🎚️ Escenario'!$C$11,0)))))</f>
        <v>0.94</v>
      </c>
      <c r="EU587" s="9" t="n">
        <f aca="false" t="array" ref="EU587:EU587">IF(EU586=0,0,IF(EU586/'🎚️ Escenario'!$C$11&gt;=36,$AL$23,INDEX($C$23:$AL$23,MAX(1,ROUNDUP(EU586/'🎚️ Escenario'!$C$11,0)))))</f>
        <v>0.95</v>
      </c>
      <c r="EV587" s="9" t="n">
        <f aca="false" t="array" ref="EV587:EV587">IF(EV586=0,0,IF(EV586/'🎚️ Escenario'!$C$11&gt;=36,$AL$23,INDEX($C$23:$AL$23,MAX(1,ROUNDUP(EV586/'🎚️ Escenario'!$C$11,0)))))</f>
        <v>0.95</v>
      </c>
      <c r="EW587" s="9" t="n">
        <f aca="false" t="array" ref="EW587:EW587">IF(EW586=0,0,IF(EW586/'🎚️ Escenario'!$C$11&gt;=36,$AL$23,INDEX($C$23:$AL$23,MAX(1,ROUNDUP(EW586/'🎚️ Escenario'!$C$11,0)))))</f>
        <v>0.97</v>
      </c>
      <c r="EX587" s="9" t="n">
        <f aca="false" t="array" ref="EX587:EX587">IF(EX586=0,0,IF(EX586/'🎚️ Escenario'!$C$11&gt;=36,$AL$23,INDEX($C$23:$AL$23,MAX(1,ROUNDUP(EX586/'🎚️ Escenario'!$C$11,0)))))</f>
        <v>0.98</v>
      </c>
      <c r="EY587" s="9" t="n">
        <f aca="false" t="array" ref="EY587:EY587">IF(EY586=0,0,IF(EY586/'🎚️ Escenario'!$C$11&gt;=36,$AL$23,INDEX($C$23:$AL$23,MAX(1,ROUNDUP(EY586/'🎚️ Escenario'!$C$11,0)))))</f>
        <v>0.99</v>
      </c>
      <c r="EZ587" s="9" t="n">
        <f aca="false" t="array" ref="EZ587:EZ587">IF(EZ586=0,0,IF(EZ586/'🎚️ Escenario'!$C$11&gt;=36,$AL$23,INDEX($C$23:$AL$23,MAX(1,ROUNDUP(EZ586/'🎚️ Escenario'!$C$11,0)))))</f>
        <v>1</v>
      </c>
      <c r="FA587" s="9" t="n">
        <f aca="false" t="array" ref="FA587:FA587">IF(FA586=0,0,IF(FA586/'🎚️ Escenario'!$C$11&gt;=36,$AL$23,INDEX($C$23:$AL$23,MAX(1,ROUNDUP(FA586/'🎚️ Escenario'!$C$11,0)))))</f>
        <v>1</v>
      </c>
      <c r="FB587" s="9" t="n">
        <f aca="false" t="array" ref="FB587:FB587">IF(FB586=0,0,IF(FB586/'🎚️ Escenario'!$C$11&gt;=36,$AL$23,INDEX($C$23:$AL$23,MAX(1,ROUNDUP(FB586/'🎚️ Escenario'!$C$11,0)))))</f>
        <v>1</v>
      </c>
      <c r="FC587" s="9" t="n">
        <f aca="false" t="array" ref="FC587:FC587">IF(FC586=0,0,IF(FC586/'🎚️ Escenario'!$C$11&gt;=36,$AL$23,INDEX($C$23:$AL$23,MAX(1,ROUNDUP(FC586/'🎚️ Escenario'!$C$11,0)))))</f>
        <v>1</v>
      </c>
      <c r="FD587" s="9" t="n">
        <f aca="false" t="array" ref="FD587:FD587">IF(FD586=0,0,IF(FD586/'🎚️ Escenario'!$C$11&gt;=36,$AL$23,INDEX($C$23:$AL$23,MAX(1,ROUNDUP(FD586/'🎚️ Escenario'!$C$11,0)))))</f>
        <v>1</v>
      </c>
      <c r="FE587" s="9" t="n">
        <f aca="false" t="array" ref="FE587:FE587">IF(FE586=0,0,IF(FE586/'🎚️ Escenario'!$C$11&gt;=36,$AL$23,INDEX($C$23:$AL$23,MAX(1,ROUNDUP(FE586/'🎚️ Escenario'!$C$11,0)))))</f>
        <v>1</v>
      </c>
      <c r="FF587" s="9" t="n">
        <f aca="false" t="array" ref="FF587:FF587">IF(FF586=0,0,IF(FF586/'🎚️ Escenario'!$C$11&gt;=36,$AL$23,INDEX($C$23:$AL$23,MAX(1,ROUNDUP(FF586/'🎚️ Escenario'!$C$11,0)))))</f>
        <v>1</v>
      </c>
      <c r="FG587" s="9" t="n">
        <f aca="false" t="array" ref="FG587:FG587">IF(FG586=0,0,IF(FG586/'🎚️ Escenario'!$C$11&gt;=36,$AL$23,INDEX($C$23:$AL$23,MAX(1,ROUNDUP(FG586/'🎚️ Escenario'!$C$11,0)))))</f>
        <v>1</v>
      </c>
      <c r="FH587" s="9" t="n">
        <f aca="false" t="array" ref="FH587:FH587">IF(FH586=0,0,IF(FH586/'🎚️ Escenario'!$C$11&gt;=36,$AL$23,INDEX($C$23:$AL$23,MAX(1,ROUNDUP(FH586/'🎚️ Escenario'!$C$11,0)))))</f>
        <v>1</v>
      </c>
      <c r="FI587" s="9" t="n">
        <f aca="false" t="array" ref="FI587:FI587">IF(FI586=0,0,IF(FI586/'🎚️ Escenario'!$C$11&gt;=36,$AL$23,INDEX($C$23:$AL$23,MAX(1,ROUNDUP(FI586/'🎚️ Escenario'!$C$11,0)))))</f>
        <v>1</v>
      </c>
      <c r="FJ587" s="9" t="n">
        <f aca="false" t="array" ref="FJ587:FJ587">IF(FJ586=0,0,IF(FJ586/'🎚️ Escenario'!$C$11&gt;=36,$AL$23,INDEX($C$23:$AL$23,MAX(1,ROUNDUP(FJ586/'🎚️ Escenario'!$C$11,0)))))</f>
        <v>1</v>
      </c>
      <c r="FK587" s="9" t="n">
        <f aca="false" t="array" ref="FK587:FK587">IF(FK586=0,0,IF(FK586/'🎚️ Escenario'!$C$11&gt;=36,$AL$23,INDEX($C$23:$AL$23,MAX(1,ROUNDUP(FK586/'🎚️ Escenario'!$C$11,0)))))</f>
        <v>1</v>
      </c>
      <c r="FL587" s="9" t="n">
        <f aca="false" t="array" ref="FL587:FL587">IF(FL586=0,0,IF(FL586/'🎚️ Escenario'!$C$11&gt;=36,$AL$23,INDEX($C$23:$AL$23,MAX(1,ROUNDUP(FL586/'🎚️ Escenario'!$C$11,0)))))</f>
        <v>1</v>
      </c>
      <c r="FM587" s="9" t="n">
        <f aca="false" t="array" ref="FM587:FM587">IF(FM586=0,0,IF(FM586/'🎚️ Escenario'!$C$11&gt;=36,$AL$23,INDEX($C$23:$AL$23,MAX(1,ROUNDUP(FM586/'🎚️ Escenario'!$C$11,0)))))</f>
        <v>1</v>
      </c>
      <c r="FN587" s="9" t="n">
        <f aca="false" t="array" ref="FN587:FN587">IF(FN586=0,0,IF(FN586/'🎚️ Escenario'!$C$11&gt;=36,$AL$23,INDEX($C$23:$AL$23,MAX(1,ROUNDUP(FN586/'🎚️ Escenario'!$C$11,0)))))</f>
        <v>1</v>
      </c>
      <c r="FO587" s="9" t="n">
        <f aca="false" t="array" ref="FO587:FO587">IF(FO586=0,0,IF(FO586/'🎚️ Escenario'!$C$11&gt;=36,$AL$23,INDEX($C$23:$AL$23,MAX(1,ROUNDUP(FO586/'🎚️ Escenario'!$C$11,0)))))</f>
        <v>1</v>
      </c>
      <c r="FP587" s="9" t="n">
        <f aca="false" t="array" ref="FP587:FP587">IF(FP586=0,0,IF(FP586/'🎚️ Escenario'!$C$11&gt;=36,$AL$23,INDEX($C$23:$AL$23,MAX(1,ROUNDUP(FP586/'🎚️ Escenario'!$C$11,0)))))</f>
        <v>1</v>
      </c>
    </row>
    <row r="588" customFormat="false" ht="15" hidden="false" customHeight="false" outlineLevel="2" collapsed="false">
      <c r="B588" s="9" t="s">
        <v>875</v>
      </c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237" t="n">
        <f aca="false">IF(AC586=0,0,IF(AC586&lt;=12*'🎚️ Escenario'!$C$11,1,1+$C$6))</f>
        <v>0</v>
      </c>
      <c r="AD588" s="237" t="n">
        <f aca="false">IF(AD586=0,0,IF(AD586&lt;=12*'🎚️ Escenario'!$C$11,1,1+$C$6))</f>
        <v>0</v>
      </c>
      <c r="AE588" s="237" t="n">
        <f aca="false">IF(AE586=0,0,IF(AE586&lt;=12*'🎚️ Escenario'!$C$11,1,1+$C$6))</f>
        <v>0</v>
      </c>
      <c r="AF588" s="237" t="n">
        <f aca="false">IF(AF586=0,0,IF(AF586&lt;=12*'🎚️ Escenario'!$C$11,1,1+$C$6))</f>
        <v>0</v>
      </c>
      <c r="AG588" s="237" t="n">
        <f aca="false">IF(AG586=0,0,IF(AG586&lt;=12*'🎚️ Escenario'!$C$11,1,1+$C$6))</f>
        <v>0</v>
      </c>
      <c r="AH588" s="237" t="n">
        <f aca="false">IF(AH586=0,0,IF(AH586&lt;=12*'🎚️ Escenario'!$C$11,1,1+$C$6))</f>
        <v>0</v>
      </c>
      <c r="AI588" s="237" t="n">
        <f aca="false">IF(AI586=0,0,IF(AI586&lt;=12*'🎚️ Escenario'!$C$11,1,1+$C$6))</f>
        <v>0</v>
      </c>
      <c r="AJ588" s="237" t="n">
        <f aca="false">IF(AJ586=0,0,IF(AJ586&lt;=12*'🎚️ Escenario'!$C$11,1,1+$C$6))</f>
        <v>0</v>
      </c>
      <c r="AK588" s="237" t="n">
        <f aca="false">IF(AK586=0,0,IF(AK586&lt;=12*'🎚️ Escenario'!$C$11,1,1+$C$6))</f>
        <v>0</v>
      </c>
      <c r="AL588" s="237" t="n">
        <f aca="false">IF(AL586=0,0,IF(AL586&lt;=12*'🎚️ Escenario'!$C$11,1,1+$C$6))</f>
        <v>0</v>
      </c>
      <c r="AM588" s="237" t="n">
        <f aca="false">IF(AM586=0,0,IF(AM586&lt;=12*'🎚️ Escenario'!$C$11,1,1+$C$6))</f>
        <v>0</v>
      </c>
      <c r="AN588" s="237" t="n">
        <f aca="false">IF(AN586=0,0,IF(AN586&lt;=12*'🎚️ Escenario'!$C$11,1,1+$C$6))</f>
        <v>0</v>
      </c>
      <c r="AO588" s="237" t="n">
        <f aca="false">IF(AO586=0,0,IF(AO586&lt;=12*'🎚️ Escenario'!$C$11,1,1+$C$6))</f>
        <v>0</v>
      </c>
      <c r="AP588" s="237" t="n">
        <f aca="false">IF(AP586=0,0,IF(AP586&lt;=12*'🎚️ Escenario'!$C$11,1,1+$C$6))</f>
        <v>0</v>
      </c>
      <c r="AQ588" s="237" t="n">
        <f aca="false">IF(AQ586=0,0,IF(AQ586&lt;=12*'🎚️ Escenario'!$C$11,1,1+$C$6))</f>
        <v>0</v>
      </c>
      <c r="AR588" s="237" t="n">
        <f aca="false">IF(AR586=0,0,IF(AR586&lt;=12*'🎚️ Escenario'!$C$11,1,1+$C$6))</f>
        <v>0</v>
      </c>
      <c r="AS588" s="237" t="n">
        <f aca="false">IF(AS586=0,0,IF(AS586&lt;=12*'🎚️ Escenario'!$C$11,1,1+$C$6))</f>
        <v>0</v>
      </c>
      <c r="AT588" s="237" t="n">
        <f aca="false">IF(AT586=0,0,IF(AT586&lt;=12*'🎚️ Escenario'!$C$11,1,1+$C$6))</f>
        <v>0</v>
      </c>
      <c r="AU588" s="237" t="n">
        <f aca="false">IF(AU586=0,0,IF(AU586&lt;=12*'🎚️ Escenario'!$C$11,1,1+$C$6))</f>
        <v>0</v>
      </c>
      <c r="AV588" s="237" t="n">
        <f aca="false">IF(AV586=0,0,IF(AV586&lt;=12*'🎚️ Escenario'!$C$11,1,1+$C$6))</f>
        <v>0</v>
      </c>
      <c r="AW588" s="237" t="n">
        <f aca="false">IF(AW586=0,0,IF(AW586&lt;=12*'🎚️ Escenario'!$C$11,1,1+$C$6))</f>
        <v>0</v>
      </c>
      <c r="AX588" s="237" t="n">
        <f aca="false">IF(AX586=0,0,IF(AX586&lt;=12*'🎚️ Escenario'!$C$11,1,1+$C$6))</f>
        <v>0</v>
      </c>
      <c r="AY588" s="237" t="n">
        <f aca="false">IF(AY586=0,0,IF(AY586&lt;=12*'🎚️ Escenario'!$C$11,1,1+$C$6))</f>
        <v>0</v>
      </c>
      <c r="AZ588" s="237" t="n">
        <f aca="false">IF(AZ586=0,0,IF(AZ586&lt;=12*'🎚️ Escenario'!$C$11,1,1+$C$6))</f>
        <v>0</v>
      </c>
      <c r="BA588" s="237" t="n">
        <f aca="false">IF(BA586=0,0,IF(BA586&lt;=12*'🎚️ Escenario'!$C$11,1,1+$C$6))</f>
        <v>0</v>
      </c>
      <c r="BB588" s="237" t="n">
        <f aca="false">IF(BB586=0,0,IF(BB586&lt;=12*'🎚️ Escenario'!$C$11,1,1+$C$6))</f>
        <v>0</v>
      </c>
      <c r="BC588" s="237" t="n">
        <f aca="false">IF(BC586=0,0,IF(BC586&lt;=12*'🎚️ Escenario'!$C$11,1,1+$C$6))</f>
        <v>0</v>
      </c>
      <c r="BD588" s="237" t="n">
        <f aca="false">IF(BD586=0,0,IF(BD586&lt;=12*'🎚️ Escenario'!$C$11,1,1+$C$6))</f>
        <v>0</v>
      </c>
      <c r="BE588" s="237" t="n">
        <f aca="false">IF(BE586=0,0,IF(BE586&lt;=12*'🎚️ Escenario'!$C$11,1,1+$C$6))</f>
        <v>0</v>
      </c>
      <c r="BF588" s="237" t="n">
        <f aca="false">IF(BF586=0,0,IF(BF586&lt;=12*'🎚️ Escenario'!$C$11,1,1+$C$6))</f>
        <v>0</v>
      </c>
      <c r="BG588" s="237" t="n">
        <f aca="false">IF(BG586=0,0,IF(BG586&lt;=12*'🎚️ Escenario'!$C$11,1,1+$C$6))</f>
        <v>0</v>
      </c>
      <c r="BH588" s="237" t="n">
        <f aca="false">IF(BH586=0,0,IF(BH586&lt;=12*'🎚️ Escenario'!$C$11,1,1+$C$6))</f>
        <v>0</v>
      </c>
      <c r="BI588" s="237" t="n">
        <f aca="false">IF(BI586=0,0,IF(BI586&lt;=12*'🎚️ Escenario'!$C$11,1,1+$C$6))</f>
        <v>0</v>
      </c>
      <c r="BJ588" s="237" t="n">
        <f aca="false">IF(BJ586=0,0,IF(BJ586&lt;=12*'🎚️ Escenario'!$C$11,1,1+$C$6))</f>
        <v>0</v>
      </c>
      <c r="BK588" s="237" t="n">
        <f aca="false">IF(BK586=0,0,IF(BK586&lt;=12*'🎚️ Escenario'!$C$11,1,1+$C$6))</f>
        <v>0</v>
      </c>
      <c r="BL588" s="237" t="n">
        <f aca="false">IF(BL586=0,0,IF(BL586&lt;=12*'🎚️ Escenario'!$C$11,1,1+$C$6))</f>
        <v>0</v>
      </c>
      <c r="BM588" s="237" t="n">
        <f aca="false">IF(BM586=0,0,IF(BM586&lt;=12*'🎚️ Escenario'!$C$11,1,1+$C$6))</f>
        <v>0</v>
      </c>
      <c r="BN588" s="237" t="n">
        <f aca="false">IF(BN586=0,0,IF(BN586&lt;=12*'🎚️ Escenario'!$C$11,1,1+$C$6))</f>
        <v>0</v>
      </c>
      <c r="BO588" s="237" t="n">
        <f aca="false">IF(BO586=0,0,IF(BO586&lt;=12*'🎚️ Escenario'!$C$11,1,1+$C$6))</f>
        <v>0</v>
      </c>
      <c r="BP588" s="237" t="n">
        <f aca="false">IF(BP586=0,0,IF(BP586&lt;=12*'🎚️ Escenario'!$C$11,1,1+$C$6))</f>
        <v>0</v>
      </c>
      <c r="BQ588" s="237" t="n">
        <f aca="false">IF(BQ586=0,0,IF(BQ586&lt;=12*'🎚️ Escenario'!$C$11,1,1+$C$6))</f>
        <v>0</v>
      </c>
      <c r="BR588" s="237" t="n">
        <f aca="false">IF(BR586=0,0,IF(BR586&lt;=12*'🎚️ Escenario'!$C$11,1,1+$C$6))</f>
        <v>0</v>
      </c>
      <c r="BS588" s="237" t="n">
        <f aca="false">IF(BS586=0,0,IF(BS586&lt;=12*'🎚️ Escenario'!$C$11,1,1+$C$6))</f>
        <v>0</v>
      </c>
      <c r="BT588" s="237" t="n">
        <f aca="false">IF(BT586=0,0,IF(BT586&lt;=12*'🎚️ Escenario'!$C$11,1,1+$C$6))</f>
        <v>0</v>
      </c>
      <c r="BU588" s="237" t="n">
        <f aca="false">IF(BU586=0,0,IF(BU586&lt;=12*'🎚️ Escenario'!$C$11,1,1+$C$6))</f>
        <v>0</v>
      </c>
      <c r="BV588" s="237" t="n">
        <f aca="false">IF(BV586=0,0,IF(BV586&lt;=12*'🎚️ Escenario'!$C$11,1,1+$C$6))</f>
        <v>0</v>
      </c>
      <c r="BW588" s="237" t="n">
        <f aca="false">IF(BW586=0,0,IF(BW586&lt;=12*'🎚️ Escenario'!$C$11,1,1+$C$6))</f>
        <v>0</v>
      </c>
      <c r="BX588" s="237" t="n">
        <f aca="false">IF(BX586=0,0,IF(BX586&lt;=12*'🎚️ Escenario'!$C$11,1,1+$C$6))</f>
        <v>0</v>
      </c>
      <c r="BY588" s="237" t="n">
        <f aca="false">IF(BY586=0,0,IF(BY586&lt;=12*'🎚️ Escenario'!$C$11,1,1+$C$6))</f>
        <v>0</v>
      </c>
      <c r="BZ588" s="237" t="n">
        <f aca="false">IF(BZ586=0,0,IF(BZ586&lt;=12*'🎚️ Escenario'!$C$11,1,1+$C$6))</f>
        <v>0</v>
      </c>
      <c r="CA588" s="237" t="n">
        <f aca="false">IF(CA586=0,0,IF(CA586&lt;=12*'🎚️ Escenario'!$C$11,1,1+$C$6))</f>
        <v>0</v>
      </c>
      <c r="CB588" s="237" t="n">
        <f aca="false">IF(CB586=0,0,IF(CB586&lt;=12*'🎚️ Escenario'!$C$11,1,1+$C$6))</f>
        <v>0</v>
      </c>
      <c r="CC588" s="237" t="n">
        <f aca="false">IF(CC586=0,0,IF(CC586&lt;=12*'🎚️ Escenario'!$C$11,1,1+$C$6))</f>
        <v>0</v>
      </c>
      <c r="CD588" s="237" t="n">
        <f aca="false">IF(CD586=0,0,IF(CD586&lt;=12*'🎚️ Escenario'!$C$11,1,1+$C$6))</f>
        <v>0</v>
      </c>
      <c r="CE588" s="237" t="n">
        <f aca="false">IF(CE586=0,0,IF(CE586&lt;=12*'🎚️ Escenario'!$C$11,1,1+$C$6))</f>
        <v>0</v>
      </c>
      <c r="CF588" s="237" t="n">
        <f aca="false">IF(CF586=0,0,IF(CF586&lt;=12*'🎚️ Escenario'!$C$11,1,1+$C$6))</f>
        <v>0</v>
      </c>
      <c r="CG588" s="237" t="n">
        <f aca="false">IF(CG586=0,0,IF(CG586&lt;=12*'🎚️ Escenario'!$C$11,1,1+$C$6))</f>
        <v>0</v>
      </c>
      <c r="CH588" s="237" t="n">
        <f aca="false">IF(CH586=0,0,IF(CH586&lt;=12*'🎚️ Escenario'!$C$11,1,1+$C$6))</f>
        <v>0</v>
      </c>
      <c r="CI588" s="237" t="n">
        <f aca="false">IF(CI586=0,0,IF(CI586&lt;=12*'🎚️ Escenario'!$C$11,1,1+$C$6))</f>
        <v>0</v>
      </c>
      <c r="CJ588" s="237" t="n">
        <f aca="false">IF(CJ586=0,0,IF(CJ586&lt;=12*'🎚️ Escenario'!$C$11,1,1+$C$6))</f>
        <v>0</v>
      </c>
      <c r="CK588" s="237" t="n">
        <f aca="false">IF(CK586=0,0,IF(CK586&lt;=12*'🎚️ Escenario'!$C$11,1,1+$C$6))</f>
        <v>0</v>
      </c>
      <c r="CL588" s="237" t="n">
        <f aca="false">IF(CL586=0,0,IF(CL586&lt;=12*'🎚️ Escenario'!$C$11,1,1+$C$6))</f>
        <v>0</v>
      </c>
      <c r="CM588" s="237" t="n">
        <f aca="false">IF(CM586=0,0,IF(CM586&lt;=12*'🎚️ Escenario'!$C$11,1,1+$C$6))</f>
        <v>0</v>
      </c>
      <c r="CN588" s="237" t="n">
        <f aca="false">IF(CN586=0,0,IF(CN586&lt;=12*'🎚️ Escenario'!$C$11,1,1+$C$6))</f>
        <v>0</v>
      </c>
      <c r="CO588" s="237" t="n">
        <f aca="false">IF(CO586=0,0,IF(CO586&lt;=12*'🎚️ Escenario'!$C$11,1,1+$C$6))</f>
        <v>0</v>
      </c>
      <c r="CP588" s="237" t="n">
        <f aca="false">IF(CP586=0,0,IF(CP586&lt;=12*'🎚️ Escenario'!$C$11,1,1+$C$6))</f>
        <v>0</v>
      </c>
      <c r="CQ588" s="237" t="n">
        <f aca="false">IF(CQ586=0,0,IF(CQ586&lt;=12*'🎚️ Escenario'!$C$11,1,1+$C$6))</f>
        <v>0</v>
      </c>
      <c r="CR588" s="237" t="n">
        <f aca="false">IF(CR586=0,0,IF(CR586&lt;=12*'🎚️ Escenario'!$C$11,1,1+$C$6))</f>
        <v>0</v>
      </c>
      <c r="CS588" s="237" t="n">
        <f aca="false">IF(CS586=0,0,IF(CS586&lt;=12*'🎚️ Escenario'!$C$11,1,1+$C$6))</f>
        <v>0</v>
      </c>
      <c r="CT588" s="237" t="n">
        <f aca="false">IF(CT586=0,0,IF(CT586&lt;=12*'🎚️ Escenario'!$C$11,1,1+$C$6))</f>
        <v>0</v>
      </c>
      <c r="CU588" s="237" t="n">
        <f aca="false">IF(CU586=0,0,IF(CU586&lt;=12*'🎚️ Escenario'!$C$11,1,1+$C$6))</f>
        <v>0</v>
      </c>
      <c r="CV588" s="237" t="n">
        <f aca="false">IF(CV586=0,0,IF(CV586&lt;=12*'🎚️ Escenario'!$C$11,1,1+$C$6))</f>
        <v>0</v>
      </c>
      <c r="CW588" s="237" t="n">
        <f aca="false">IF(CW586=0,0,IF(CW586&lt;=12*'🎚️ Escenario'!$C$11,1,1+$C$6))</f>
        <v>0</v>
      </c>
      <c r="CX588" s="237" t="n">
        <f aca="false">IF(CX586=0,0,IF(CX586&lt;=12*'🎚️ Escenario'!$C$11,1,1+$C$6))</f>
        <v>0</v>
      </c>
      <c r="CY588" s="237" t="n">
        <f aca="false">IF(CY586=0,0,IF(CY586&lt;=12*'🎚️ Escenario'!$C$11,1,1+$C$6))</f>
        <v>0</v>
      </c>
      <c r="CZ588" s="237" t="n">
        <f aca="false">IF(CZ586=0,0,IF(CZ586&lt;=12*'🎚️ Escenario'!$C$11,1,1+$C$6))</f>
        <v>0</v>
      </c>
      <c r="DA588" s="237" t="n">
        <f aca="false">IF(DA586=0,0,IF(DA586&lt;=12*'🎚️ Escenario'!$C$11,1,1+$C$6))</f>
        <v>0</v>
      </c>
      <c r="DB588" s="237" t="n">
        <f aca="false">IF(DB586=0,0,IF(DB586&lt;=12*'🎚️ Escenario'!$C$11,1,1+$C$6))</f>
        <v>0</v>
      </c>
      <c r="DC588" s="237" t="n">
        <f aca="false">IF(DC586=0,0,IF(DC586&lt;=12*'🎚️ Escenario'!$C$11,1,1+$C$6))</f>
        <v>0</v>
      </c>
      <c r="DD588" s="237" t="n">
        <f aca="false">IF(DD586=0,0,IF(DD586&lt;=12*'🎚️ Escenario'!$C$11,1,1+$C$6))</f>
        <v>0</v>
      </c>
      <c r="DE588" s="237" t="n">
        <f aca="false">IF(DE586=0,0,IF(DE586&lt;=12*'🎚️ Escenario'!$C$11,1,1+$C$6))</f>
        <v>0</v>
      </c>
      <c r="DF588" s="237" t="n">
        <f aca="false">IF(DF586=0,0,IF(DF586&lt;=12*'🎚️ Escenario'!$C$11,1,1+$C$6))</f>
        <v>0</v>
      </c>
      <c r="DG588" s="237" t="n">
        <f aca="false">IF(DG586=0,0,IF(DG586&lt;=12*'🎚️ Escenario'!$C$11,1,1+$C$6))</f>
        <v>0</v>
      </c>
      <c r="DH588" s="237" t="n">
        <f aca="false">IF(DH586=0,0,IF(DH586&lt;=12*'🎚️ Escenario'!$C$11,1,1+$C$6))</f>
        <v>0</v>
      </c>
      <c r="DI588" s="237" t="n">
        <f aca="false">IF(DI586=0,0,IF(DI586&lt;=12*'🎚️ Escenario'!$C$11,1,1+$C$6))</f>
        <v>1</v>
      </c>
      <c r="DJ588" s="237" t="n">
        <f aca="false">IF(DJ586=0,0,IF(DJ586&lt;=12*'🎚️ Escenario'!$C$11,1,1+$C$6))</f>
        <v>1</v>
      </c>
      <c r="DK588" s="237" t="n">
        <f aca="false">IF(DK586=0,0,IF(DK586&lt;=12*'🎚️ Escenario'!$C$11,1,1+$C$6))</f>
        <v>1</v>
      </c>
      <c r="DL588" s="237" t="n">
        <f aca="false">IF(DL586=0,0,IF(DL586&lt;=12*'🎚️ Escenario'!$C$11,1,1+$C$6))</f>
        <v>1</v>
      </c>
      <c r="DM588" s="237" t="n">
        <f aca="false">IF(DM586=0,0,IF(DM586&lt;=12*'🎚️ Escenario'!$C$11,1,1+$C$6))</f>
        <v>1</v>
      </c>
      <c r="DN588" s="237" t="n">
        <f aca="false">IF(DN586=0,0,IF(DN586&lt;=12*'🎚️ Escenario'!$C$11,1,1+$C$6))</f>
        <v>1</v>
      </c>
      <c r="DO588" s="237" t="n">
        <f aca="false">IF(DO586=0,0,IF(DO586&lt;=12*'🎚️ Escenario'!$C$11,1,1+$C$6))</f>
        <v>1</v>
      </c>
      <c r="DP588" s="237" t="n">
        <f aca="false">IF(DP586=0,0,IF(DP586&lt;=12*'🎚️ Escenario'!$C$11,1,1+$C$6))</f>
        <v>1</v>
      </c>
      <c r="DQ588" s="237" t="n">
        <f aca="false">IF(DQ586=0,0,IF(DQ586&lt;=12*'🎚️ Escenario'!$C$11,1,1+$C$6))</f>
        <v>1</v>
      </c>
      <c r="DR588" s="237" t="n">
        <f aca="false">IF(DR586=0,0,IF(DR586&lt;=12*'🎚️ Escenario'!$C$11,1,1+$C$6))</f>
        <v>1</v>
      </c>
      <c r="DS588" s="237" t="n">
        <f aca="false">IF(DS586=0,0,IF(DS586&lt;=12*'🎚️ Escenario'!$C$11,1,1+$C$6))</f>
        <v>1</v>
      </c>
      <c r="DT588" s="237" t="n">
        <f aca="false">IF(DT586=0,0,IF(DT586&lt;=12*'🎚️ Escenario'!$C$11,1,1+$C$6))</f>
        <v>1</v>
      </c>
      <c r="DU588" s="237" t="n">
        <f aca="false">IF(DU586=0,0,IF(DU586&lt;=12*'🎚️ Escenario'!$C$11,1,1+$C$6))</f>
        <v>1</v>
      </c>
      <c r="DV588" s="237" t="n">
        <f aca="false">IF(DV586=0,0,IF(DV586&lt;=12*'🎚️ Escenario'!$C$11,1,1+$C$6))</f>
        <v>1</v>
      </c>
      <c r="DW588" s="237" t="n">
        <f aca="false">IF(DW586=0,0,IF(DW586&lt;=12*'🎚️ Escenario'!$C$11,1,1+$C$6))</f>
        <v>1</v>
      </c>
      <c r="DX588" s="237" t="n">
        <f aca="false">IF(DX586=0,0,IF(DX586&lt;=12*'🎚️ Escenario'!$C$11,1,1+$C$6))</f>
        <v>1.2</v>
      </c>
      <c r="DY588" s="237" t="n">
        <f aca="false">IF(DY586=0,0,IF(DY586&lt;=12*'🎚️ Escenario'!$C$11,1,1+$C$6))</f>
        <v>1.2</v>
      </c>
      <c r="DZ588" s="237" t="n">
        <f aca="false">IF(DZ586=0,0,IF(DZ586&lt;=12*'🎚️ Escenario'!$C$11,1,1+$C$6))</f>
        <v>1.2</v>
      </c>
      <c r="EA588" s="237" t="n">
        <f aca="false">IF(EA586=0,0,IF(EA586&lt;=12*'🎚️ Escenario'!$C$11,1,1+$C$6))</f>
        <v>1.2</v>
      </c>
      <c r="EB588" s="237" t="n">
        <f aca="false">IF(EB586=0,0,IF(EB586&lt;=12*'🎚️ Escenario'!$C$11,1,1+$C$6))</f>
        <v>1.2</v>
      </c>
      <c r="EC588" s="237" t="n">
        <f aca="false">IF(EC586=0,0,IF(EC586&lt;=12*'🎚️ Escenario'!$C$11,1,1+$C$6))</f>
        <v>1.2</v>
      </c>
      <c r="ED588" s="237" t="n">
        <f aca="false">IF(ED586=0,0,IF(ED586&lt;=12*'🎚️ Escenario'!$C$11,1,1+$C$6))</f>
        <v>1.2</v>
      </c>
      <c r="EE588" s="237" t="n">
        <f aca="false">IF(EE586=0,0,IF(EE586&lt;=12*'🎚️ Escenario'!$C$11,1,1+$C$6))</f>
        <v>1.2</v>
      </c>
      <c r="EF588" s="237" t="n">
        <f aca="false">IF(EF586=0,0,IF(EF586&lt;=12*'🎚️ Escenario'!$C$11,1,1+$C$6))</f>
        <v>1.2</v>
      </c>
      <c r="EG588" s="237" t="n">
        <f aca="false">IF(EG586=0,0,IF(EG586&lt;=12*'🎚️ Escenario'!$C$11,1,1+$C$6))</f>
        <v>1.2</v>
      </c>
      <c r="EH588" s="237" t="n">
        <f aca="false">IF(EH586=0,0,IF(EH586&lt;=12*'🎚️ Escenario'!$C$11,1,1+$C$6))</f>
        <v>1.2</v>
      </c>
      <c r="EI588" s="237" t="n">
        <f aca="false">IF(EI586=0,0,IF(EI586&lt;=12*'🎚️ Escenario'!$C$11,1,1+$C$6))</f>
        <v>1.2</v>
      </c>
      <c r="EJ588" s="237" t="n">
        <f aca="false">IF(EJ586=0,0,IF(EJ586&lt;=12*'🎚️ Escenario'!$C$11,1,1+$C$6))</f>
        <v>1.2</v>
      </c>
      <c r="EK588" s="237" t="n">
        <f aca="false">IF(EK586=0,0,IF(EK586&lt;=12*'🎚️ Escenario'!$C$11,1,1+$C$6))</f>
        <v>1.2</v>
      </c>
      <c r="EL588" s="237" t="n">
        <f aca="false">IF(EL586=0,0,IF(EL586&lt;=12*'🎚️ Escenario'!$C$11,1,1+$C$6))</f>
        <v>1.2</v>
      </c>
      <c r="EM588" s="237" t="n">
        <f aca="false">IF(EM586=0,0,IF(EM586&lt;=12*'🎚️ Escenario'!$C$11,1,1+$C$6))</f>
        <v>1.2</v>
      </c>
      <c r="EN588" s="237" t="n">
        <f aca="false">IF(EN586=0,0,IF(EN586&lt;=12*'🎚️ Escenario'!$C$11,1,1+$C$6))</f>
        <v>1.2</v>
      </c>
      <c r="EO588" s="237" t="n">
        <f aca="false">IF(EO586=0,0,IF(EO586&lt;=12*'🎚️ Escenario'!$C$11,1,1+$C$6))</f>
        <v>1.2</v>
      </c>
      <c r="EP588" s="237" t="n">
        <f aca="false">IF(EP586=0,0,IF(EP586&lt;=12*'🎚️ Escenario'!$C$11,1,1+$C$6))</f>
        <v>1.2</v>
      </c>
      <c r="EQ588" s="237" t="n">
        <f aca="false">IF(EQ586=0,0,IF(EQ586&lt;=12*'🎚️ Escenario'!$C$11,1,1+$C$6))</f>
        <v>1.2</v>
      </c>
      <c r="ER588" s="237" t="n">
        <f aca="false">IF(ER586=0,0,IF(ER586&lt;=12*'🎚️ Escenario'!$C$11,1,1+$C$6))</f>
        <v>1.2</v>
      </c>
      <c r="ES588" s="238" t="n">
        <f aca="false">IF(ES586=0,0,IF(ES586&lt;=12*'🎚️ Escenario'!$C$11,1,1+$C$6))</f>
        <v>1.2</v>
      </c>
      <c r="ET588" s="238" t="n">
        <f aca="false">IF(ET586=0,0,IF(ET586&lt;=12*'🎚️ Escenario'!$C$11,1,1+$C$6))</f>
        <v>1.2</v>
      </c>
      <c r="EU588" s="238" t="n">
        <f aca="false">IF(EU586=0,0,IF(EU586&lt;=12*'🎚️ Escenario'!$C$11,1,1+$C$6))</f>
        <v>1.2</v>
      </c>
      <c r="EV588" s="238" t="n">
        <f aca="false">IF(EV586=0,0,IF(EV586&lt;=12*'🎚️ Escenario'!$C$11,1,1+$C$6))</f>
        <v>1.2</v>
      </c>
      <c r="EW588" s="238" t="n">
        <f aca="false">IF(EW586=0,0,IF(EW586&lt;=12*'🎚️ Escenario'!$C$11,1,1+$C$6))</f>
        <v>1.2</v>
      </c>
      <c r="EX588" s="238" t="n">
        <f aca="false">IF(EX586=0,0,IF(EX586&lt;=12*'🎚️ Escenario'!$C$11,1,1+$C$6))</f>
        <v>1.2</v>
      </c>
      <c r="EY588" s="238" t="n">
        <f aca="false">IF(EY586=0,0,IF(EY586&lt;=12*'🎚️ Escenario'!$C$11,1,1+$C$6))</f>
        <v>1.2</v>
      </c>
      <c r="EZ588" s="238" t="n">
        <f aca="false">IF(EZ586=0,0,IF(EZ586&lt;=12*'🎚️ Escenario'!$C$11,1,1+$C$6))</f>
        <v>1.2</v>
      </c>
      <c r="FA588" s="238" t="n">
        <f aca="false">IF(FA586=0,0,IF(FA586&lt;=12*'🎚️ Escenario'!$C$11,1,1+$C$6))</f>
        <v>1.2</v>
      </c>
      <c r="FB588" s="238" t="n">
        <f aca="false">IF(FB586=0,0,IF(FB586&lt;=12*'🎚️ Escenario'!$C$11,1,1+$C$6))</f>
        <v>1.2</v>
      </c>
      <c r="FC588" s="238" t="n">
        <f aca="false">IF(FC586=0,0,IF(FC586&lt;=12*'🎚️ Escenario'!$C$11,1,1+$C$6))</f>
        <v>1.2</v>
      </c>
      <c r="FD588" s="238" t="n">
        <f aca="false">IF(FD586=0,0,IF(FD586&lt;=12*'🎚️ Escenario'!$C$11,1,1+$C$6))</f>
        <v>1.2</v>
      </c>
      <c r="FE588" s="238" t="n">
        <f aca="false">IF(FE586=0,0,IF(FE586&lt;=12*'🎚️ Escenario'!$C$11,1,1+$C$6))</f>
        <v>1.2</v>
      </c>
      <c r="FF588" s="238" t="n">
        <f aca="false">IF(FF586=0,0,IF(FF586&lt;=12*'🎚️ Escenario'!$C$11,1,1+$C$6))</f>
        <v>1.2</v>
      </c>
      <c r="FG588" s="238" t="n">
        <f aca="false">IF(FG586=0,0,IF(FG586&lt;=12*'🎚️ Escenario'!$C$11,1,1+$C$6))</f>
        <v>1.2</v>
      </c>
      <c r="FH588" s="238" t="n">
        <f aca="false">IF(FH586=0,0,IF(FH586&lt;=12*'🎚️ Escenario'!$C$11,1,1+$C$6))</f>
        <v>1.2</v>
      </c>
      <c r="FI588" s="238" t="n">
        <f aca="false">IF(FI586=0,0,IF(FI586&lt;=12*'🎚️ Escenario'!$C$11,1,1+$C$6))</f>
        <v>1.2</v>
      </c>
      <c r="FJ588" s="238" t="n">
        <f aca="false">IF(FJ586=0,0,IF(FJ586&lt;=12*'🎚️ Escenario'!$C$11,1,1+$C$6))</f>
        <v>1.2</v>
      </c>
      <c r="FK588" s="238" t="n">
        <f aca="false">IF(FK586=0,0,IF(FK586&lt;=12*'🎚️ Escenario'!$C$11,1,1+$C$6))</f>
        <v>1.2</v>
      </c>
      <c r="FL588" s="238" t="n">
        <f aca="false">IF(FL586=0,0,IF(FL586&lt;=12*'🎚️ Escenario'!$C$11,1,1+$C$6))</f>
        <v>1.2</v>
      </c>
      <c r="FM588" s="238" t="n">
        <f aca="false">IF(FM586=0,0,IF(FM586&lt;=12*'🎚️ Escenario'!$C$11,1,1+$C$6))</f>
        <v>1.2</v>
      </c>
      <c r="FN588" s="238" t="n">
        <f aca="false">IF(FN586=0,0,IF(FN586&lt;=12*'🎚️ Escenario'!$C$11,1,1+$C$6))</f>
        <v>1.2</v>
      </c>
      <c r="FO588" s="238" t="n">
        <f aca="false">IF(FO586=0,0,IF(FO586&lt;=12*'🎚️ Escenario'!$C$11,1,1+$C$6))</f>
        <v>1.2</v>
      </c>
      <c r="FP588" s="238" t="n">
        <f aca="false">IF(FP586=0,0,IF(FP586&lt;=12*'🎚️ Escenario'!$C$11,1,1+$C$6))</f>
        <v>1.2</v>
      </c>
    </row>
    <row r="589" customFormat="false" ht="15" hidden="false" customHeight="false" outlineLevel="2" collapsed="false">
      <c r="B589" s="9" t="s">
        <v>876</v>
      </c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36" t="n">
        <f aca="false">AC587*$AC$585*AC588*AC$38*'⑫ Roll-out Plan'!$O$63</f>
        <v>0</v>
      </c>
      <c r="AD589" s="36" t="n">
        <f aca="false">AD587*$AC$585*AD588*AD$38*'⑫ Roll-out Plan'!$O$63</f>
        <v>0</v>
      </c>
      <c r="AE589" s="36" t="n">
        <f aca="false">AE587*$AC$585*AE588*AE$38*'⑫ Roll-out Plan'!$O$63</f>
        <v>0</v>
      </c>
      <c r="AF589" s="36" t="n">
        <f aca="false">AF587*$AC$585*AF588*AF$38*'⑫ Roll-out Plan'!$O$63</f>
        <v>0</v>
      </c>
      <c r="AG589" s="36" t="n">
        <f aca="false">AG587*$AC$585*AG588*AG$38*'⑫ Roll-out Plan'!$O$63</f>
        <v>0</v>
      </c>
      <c r="AH589" s="36" t="n">
        <f aca="false">AH587*$AC$585*AH588*AH$38*'⑫ Roll-out Plan'!$O$63</f>
        <v>0</v>
      </c>
      <c r="AI589" s="36" t="n">
        <f aca="false">AI587*$AC$585*AI588*AI$38*'⑫ Roll-out Plan'!$O$63</f>
        <v>0</v>
      </c>
      <c r="AJ589" s="36" t="n">
        <f aca="false">AJ587*$AC$585*AJ588*AJ$38*'⑫ Roll-out Plan'!$O$63</f>
        <v>0</v>
      </c>
      <c r="AK589" s="36" t="n">
        <f aca="false">AK587*$AC$585*AK588*AK$38*'⑫ Roll-out Plan'!$O$63</f>
        <v>0</v>
      </c>
      <c r="AL589" s="36" t="n">
        <f aca="false">AL587*$AC$585*AL588*AL$38*'⑫ Roll-out Plan'!$O$63</f>
        <v>0</v>
      </c>
      <c r="AM589" s="36" t="n">
        <f aca="false">AM587*$AC$585*AM588*AM$38*'⑫ Roll-out Plan'!$O$63</f>
        <v>0</v>
      </c>
      <c r="AN589" s="36" t="n">
        <f aca="false">AN587*$AC$585*AN588*AN$38*'⑫ Roll-out Plan'!$O$63</f>
        <v>0</v>
      </c>
      <c r="AO589" s="36" t="n">
        <f aca="false">AO587*$AC$585*AO588*AO$38*'⑫ Roll-out Plan'!$O$63</f>
        <v>0</v>
      </c>
      <c r="AP589" s="36" t="n">
        <f aca="false">AP587*$AC$585*AP588*AP$38*'⑫ Roll-out Plan'!$O$63</f>
        <v>0</v>
      </c>
      <c r="AQ589" s="36" t="n">
        <f aca="false">AQ587*$AC$585*AQ588*AQ$38*'⑫ Roll-out Plan'!$O$63</f>
        <v>0</v>
      </c>
      <c r="AR589" s="36" t="n">
        <f aca="false">AR587*$AC$585*AR588*AR$38*'⑫ Roll-out Plan'!$O$63</f>
        <v>0</v>
      </c>
      <c r="AS589" s="36" t="n">
        <f aca="false">AS587*$AC$585*AS588*AS$38*'⑫ Roll-out Plan'!$O$63</f>
        <v>0</v>
      </c>
      <c r="AT589" s="36" t="n">
        <f aca="false">AT587*$AC$585*AT588*AT$38*'⑫ Roll-out Plan'!$O$63</f>
        <v>0</v>
      </c>
      <c r="AU589" s="36" t="n">
        <f aca="false">AU587*$AC$585*AU588*AU$38*'⑫ Roll-out Plan'!$O$63</f>
        <v>0</v>
      </c>
      <c r="AV589" s="36" t="n">
        <f aca="false">AV587*$AC$585*AV588*AV$38*'⑫ Roll-out Plan'!$O$63</f>
        <v>0</v>
      </c>
      <c r="AW589" s="36" t="n">
        <f aca="false">AW587*$AC$585*AW588*AW$38*'⑫ Roll-out Plan'!$O$63</f>
        <v>0</v>
      </c>
      <c r="AX589" s="36" t="n">
        <f aca="false">AX587*$AC$585*AX588*AX$38*'⑫ Roll-out Plan'!$O$63</f>
        <v>0</v>
      </c>
      <c r="AY589" s="36" t="n">
        <f aca="false">AY587*$AC$585*AY588*AY$38*'⑫ Roll-out Plan'!$O$63</f>
        <v>0</v>
      </c>
      <c r="AZ589" s="36" t="n">
        <f aca="false">AZ587*$AC$585*AZ588*AZ$38*'⑫ Roll-out Plan'!$O$63</f>
        <v>0</v>
      </c>
      <c r="BA589" s="36" t="n">
        <f aca="false">BA587*$AC$585*BA588*BA$38*'⑫ Roll-out Plan'!$O$63</f>
        <v>0</v>
      </c>
      <c r="BB589" s="36" t="n">
        <f aca="false">BB587*$AC$585*BB588*BB$38*'⑫ Roll-out Plan'!$O$63</f>
        <v>0</v>
      </c>
      <c r="BC589" s="36" t="n">
        <f aca="false">BC587*$AC$585*BC588*BC$38*'⑫ Roll-out Plan'!$O$63</f>
        <v>0</v>
      </c>
      <c r="BD589" s="36" t="n">
        <f aca="false">BD587*$AC$585*BD588*BD$38*'⑫ Roll-out Plan'!$O$63</f>
        <v>0</v>
      </c>
      <c r="BE589" s="36" t="n">
        <f aca="false">BE587*$AC$585*BE588*BE$38*'⑫ Roll-out Plan'!$O$63</f>
        <v>0</v>
      </c>
      <c r="BF589" s="36" t="n">
        <f aca="false">BF587*$AC$585*BF588*BF$38*'⑫ Roll-out Plan'!$O$63</f>
        <v>0</v>
      </c>
      <c r="BG589" s="36" t="n">
        <f aca="false">BG587*$AC$585*BG588*BG$38*'⑫ Roll-out Plan'!$O$63</f>
        <v>0</v>
      </c>
      <c r="BH589" s="36" t="n">
        <f aca="false">BH587*$AC$585*BH588*BH$38*'⑫ Roll-out Plan'!$O$63</f>
        <v>0</v>
      </c>
      <c r="BI589" s="36" t="n">
        <f aca="false">BI587*$AC$585*BI588*BI$38*'⑫ Roll-out Plan'!$O$63</f>
        <v>0</v>
      </c>
      <c r="BJ589" s="36" t="n">
        <f aca="false">BJ587*$AC$585*BJ588*BJ$38*'⑫ Roll-out Plan'!$O$63</f>
        <v>0</v>
      </c>
      <c r="BK589" s="36" t="n">
        <f aca="false">BK587*$AC$585*BK588*BK$38*'⑫ Roll-out Plan'!$O$63</f>
        <v>0</v>
      </c>
      <c r="BL589" s="36" t="n">
        <f aca="false">BL587*$AC$585*BL588*BL$38*'⑫ Roll-out Plan'!$O$63</f>
        <v>0</v>
      </c>
      <c r="BM589" s="36" t="n">
        <f aca="false">BM587*$AC$585*BM588*BM$38*'⑫ Roll-out Plan'!$O$63</f>
        <v>0</v>
      </c>
      <c r="BN589" s="36" t="n">
        <f aca="false">BN587*$AC$585*BN588*BN$38*'⑫ Roll-out Plan'!$O$63</f>
        <v>0</v>
      </c>
      <c r="BO589" s="36" t="n">
        <f aca="false">BO587*$AC$585*BO588*BO$38*'⑫ Roll-out Plan'!$O$63</f>
        <v>0</v>
      </c>
      <c r="BP589" s="36" t="n">
        <f aca="false">BP587*$AC$585*BP588*BP$38*'⑫ Roll-out Plan'!$O$63</f>
        <v>0</v>
      </c>
      <c r="BQ589" s="36" t="n">
        <f aca="false">BQ587*$AC$585*BQ588*BQ$38*'⑫ Roll-out Plan'!$O$63</f>
        <v>0</v>
      </c>
      <c r="BR589" s="36" t="n">
        <f aca="false">BR587*$AC$585*BR588*BR$38*'⑫ Roll-out Plan'!$O$63</f>
        <v>0</v>
      </c>
      <c r="BS589" s="36" t="n">
        <f aca="false">BS587*$AC$585*BS588*BS$38*'⑫ Roll-out Plan'!$O$63</f>
        <v>0</v>
      </c>
      <c r="BT589" s="36" t="n">
        <f aca="false">BT587*$AC$585*BT588*BT$38*'⑫ Roll-out Plan'!$O$63</f>
        <v>0</v>
      </c>
      <c r="BU589" s="36" t="n">
        <f aca="false">BU587*$AC$585*BU588*BU$38*'⑫ Roll-out Plan'!$O$63</f>
        <v>0</v>
      </c>
      <c r="BV589" s="36" t="n">
        <f aca="false">BV587*$AC$585*BV588*BV$38*'⑫ Roll-out Plan'!$O$63</f>
        <v>0</v>
      </c>
      <c r="BW589" s="36" t="n">
        <f aca="false">BW587*$AC$585*BW588*BW$38*'⑫ Roll-out Plan'!$O$63</f>
        <v>0</v>
      </c>
      <c r="BX589" s="36" t="n">
        <f aca="false">BX587*$AC$585*BX588*BX$38*'⑫ Roll-out Plan'!$O$63</f>
        <v>0</v>
      </c>
      <c r="BY589" s="36" t="n">
        <f aca="false">BY587*$AC$585*BY588*BY$38*'⑫ Roll-out Plan'!$O$63</f>
        <v>0</v>
      </c>
      <c r="BZ589" s="36" t="n">
        <f aca="false">BZ587*$AC$585*BZ588*BZ$38*'⑫ Roll-out Plan'!$O$63</f>
        <v>0</v>
      </c>
      <c r="CA589" s="36" t="n">
        <f aca="false">CA587*$AC$585*CA588*CA$38*'⑫ Roll-out Plan'!$O$63</f>
        <v>0</v>
      </c>
      <c r="CB589" s="36" t="n">
        <f aca="false">CB587*$AC$585*CB588*CB$38*'⑫ Roll-out Plan'!$O$63</f>
        <v>0</v>
      </c>
      <c r="CC589" s="36" t="n">
        <f aca="false">CC587*$AC$585*CC588*CC$38*'⑫ Roll-out Plan'!$O$63</f>
        <v>0</v>
      </c>
      <c r="CD589" s="36" t="n">
        <f aca="false">CD587*$AC$585*CD588*CD$38*'⑫ Roll-out Plan'!$O$63</f>
        <v>0</v>
      </c>
      <c r="CE589" s="36" t="n">
        <f aca="false">CE587*$AC$585*CE588*CE$38*'⑫ Roll-out Plan'!$O$63</f>
        <v>0</v>
      </c>
      <c r="CF589" s="36" t="n">
        <f aca="false">CF587*$AC$585*CF588*CF$38*'⑫ Roll-out Plan'!$O$63</f>
        <v>0</v>
      </c>
      <c r="CG589" s="36" t="n">
        <f aca="false">CG587*$AC$585*CG588*CG$38*'⑫ Roll-out Plan'!$O$63</f>
        <v>0</v>
      </c>
      <c r="CH589" s="36" t="n">
        <f aca="false">CH587*$AC$585*CH588*CH$38*'⑫ Roll-out Plan'!$O$63</f>
        <v>0</v>
      </c>
      <c r="CI589" s="36" t="n">
        <f aca="false">CI587*$AC$585*CI588*CI$38*'⑫ Roll-out Plan'!$O$63</f>
        <v>0</v>
      </c>
      <c r="CJ589" s="36" t="n">
        <f aca="false">CJ587*$AC$585*CJ588*CJ$38*'⑫ Roll-out Plan'!$O$63</f>
        <v>0</v>
      </c>
      <c r="CK589" s="36" t="n">
        <f aca="false">CK587*$AC$585*CK588*CK$38*'⑫ Roll-out Plan'!$O$63</f>
        <v>0</v>
      </c>
      <c r="CL589" s="36" t="n">
        <f aca="false">CL587*$AC$585*CL588*CL$38*'⑫ Roll-out Plan'!$O$63</f>
        <v>0</v>
      </c>
      <c r="CM589" s="36" t="n">
        <f aca="false">CM587*$AC$585*CM588*CM$38*'⑫ Roll-out Plan'!$O$63</f>
        <v>0</v>
      </c>
      <c r="CN589" s="36" t="n">
        <f aca="false">CN587*$AC$585*CN588*CN$38*'⑫ Roll-out Plan'!$O$63</f>
        <v>0</v>
      </c>
      <c r="CO589" s="36" t="n">
        <f aca="false">CO587*$AC$585*CO588*CO$38*'⑫ Roll-out Plan'!$O$63</f>
        <v>0</v>
      </c>
      <c r="CP589" s="36" t="n">
        <f aca="false">CP587*$AC$585*CP588*CP$38*'⑫ Roll-out Plan'!$O$63</f>
        <v>0</v>
      </c>
      <c r="CQ589" s="36" t="n">
        <f aca="false">CQ587*$AC$585*CQ588*CQ$38*'⑫ Roll-out Plan'!$O$63</f>
        <v>0</v>
      </c>
      <c r="CR589" s="36" t="n">
        <f aca="false">CR587*$AC$585*CR588*CR$38*'⑫ Roll-out Plan'!$O$63</f>
        <v>0</v>
      </c>
      <c r="CS589" s="36" t="n">
        <f aca="false">CS587*$AC$585*CS588*CS$38*'⑫ Roll-out Plan'!$O$63</f>
        <v>0</v>
      </c>
      <c r="CT589" s="36" t="n">
        <f aca="false">CT587*$AC$585*CT588*CT$38*'⑫ Roll-out Plan'!$O$63</f>
        <v>0</v>
      </c>
      <c r="CU589" s="36" t="n">
        <f aca="false">CU587*$AC$585*CU588*CU$38*'⑫ Roll-out Plan'!$O$63</f>
        <v>0</v>
      </c>
      <c r="CV589" s="36" t="n">
        <f aca="false">CV587*$AC$585*CV588*CV$38*'⑫ Roll-out Plan'!$O$63</f>
        <v>0</v>
      </c>
      <c r="CW589" s="36" t="n">
        <f aca="false">CW587*$AC$585*CW588*CW$38*'⑫ Roll-out Plan'!$O$63</f>
        <v>0</v>
      </c>
      <c r="CX589" s="36" t="n">
        <f aca="false">CX587*$AC$585*CX588*CX$38*'⑫ Roll-out Plan'!$O$63</f>
        <v>0</v>
      </c>
      <c r="CY589" s="36" t="n">
        <f aca="false">CY587*$AC$585*CY588*CY$38*'⑫ Roll-out Plan'!$O$63</f>
        <v>0</v>
      </c>
      <c r="CZ589" s="36" t="n">
        <f aca="false">CZ587*$AC$585*CZ588*CZ$38*'⑫ Roll-out Plan'!$O$63</f>
        <v>0</v>
      </c>
      <c r="DA589" s="36" t="n">
        <f aca="false">DA587*$AC$585*DA588*DA$38*'⑫ Roll-out Plan'!$O$63</f>
        <v>0</v>
      </c>
      <c r="DB589" s="36" t="n">
        <f aca="false">DB587*$AC$585*DB588*DB$38*'⑫ Roll-out Plan'!$O$63</f>
        <v>0</v>
      </c>
      <c r="DC589" s="36" t="n">
        <f aca="false">DC587*$AC$585*DC588*DC$38*'⑫ Roll-out Plan'!$O$63</f>
        <v>0</v>
      </c>
      <c r="DD589" s="36" t="n">
        <f aca="false">DD587*$AC$585*DD588*DD$38*'⑫ Roll-out Plan'!$O$63</f>
        <v>0</v>
      </c>
      <c r="DE589" s="36" t="n">
        <f aca="false">DE587*$AC$585*DE588*DE$38*'⑫ Roll-out Plan'!$O$63</f>
        <v>0</v>
      </c>
      <c r="DF589" s="36" t="n">
        <f aca="false">DF587*$AC$585*DF588*DF$38*'⑫ Roll-out Plan'!$O$63</f>
        <v>0</v>
      </c>
      <c r="DG589" s="36" t="n">
        <f aca="false">DG587*$AC$585*DG588*DG$38*'⑫ Roll-out Plan'!$O$63</f>
        <v>0</v>
      </c>
      <c r="DH589" s="36" t="n">
        <f aca="false">DH587*$AC$585*DH588*DH$38*'⑫ Roll-out Plan'!$O$63</f>
        <v>0</v>
      </c>
      <c r="DI589" s="36" t="n">
        <f aca="false">DI587*$AC$585*DI588*DI$38*'⑫ Roll-out Plan'!$O$63</f>
        <v>0</v>
      </c>
      <c r="DJ589" s="36" t="n">
        <f aca="false">DJ587*$AC$585*DJ588*DJ$38*'⑫ Roll-out Plan'!$O$63</f>
        <v>0</v>
      </c>
      <c r="DK589" s="36" t="n">
        <f aca="false">DK587*$AC$585*DK588*DK$38*'⑫ Roll-out Plan'!$O$63</f>
        <v>0</v>
      </c>
      <c r="DL589" s="36" t="n">
        <f aca="false">DL587*$AC$585*DL588*DL$38*'⑫ Roll-out Plan'!$O$63</f>
        <v>0</v>
      </c>
      <c r="DM589" s="36" t="n">
        <f aca="false">DM587*$AC$585*DM588*DM$38*'⑫ Roll-out Plan'!$O$63</f>
        <v>0</v>
      </c>
      <c r="DN589" s="36" t="n">
        <f aca="false">DN587*$AC$585*DN588*DN$38*'⑫ Roll-out Plan'!$O$63</f>
        <v>0</v>
      </c>
      <c r="DO589" s="36" t="n">
        <f aca="false">DO587*$AC$585*DO588*DO$38*'⑫ Roll-out Plan'!$O$63</f>
        <v>0</v>
      </c>
      <c r="DP589" s="36" t="n">
        <f aca="false">DP587*$AC$585*DP588*DP$38*'⑫ Roll-out Plan'!$O$63</f>
        <v>0</v>
      </c>
      <c r="DQ589" s="36" t="n">
        <f aca="false">DQ587*$AC$585*DQ588*DQ$38*'⑫ Roll-out Plan'!$O$63</f>
        <v>0</v>
      </c>
      <c r="DR589" s="36" t="n">
        <f aca="false">DR587*$AC$585*DR588*DR$38*'⑫ Roll-out Plan'!$O$63</f>
        <v>0</v>
      </c>
      <c r="DS589" s="36" t="n">
        <f aca="false">DS587*$AC$585*DS588*DS$38*'⑫ Roll-out Plan'!$O$63</f>
        <v>0</v>
      </c>
      <c r="DT589" s="36" t="n">
        <f aca="false">DT587*$AC$585*DT588*DT$38*'⑫ Roll-out Plan'!$O$63</f>
        <v>0</v>
      </c>
      <c r="DU589" s="36" t="n">
        <f aca="false">DU587*$AC$585*DU588*DU$38*'⑫ Roll-out Plan'!$O$63</f>
        <v>0</v>
      </c>
      <c r="DV589" s="36" t="n">
        <f aca="false">DV587*$AC$585*DV588*DV$38*'⑫ Roll-out Plan'!$O$63</f>
        <v>0</v>
      </c>
      <c r="DW589" s="36" t="n">
        <f aca="false">DW587*$AC$585*DW588*DW$38*'⑫ Roll-out Plan'!$O$63</f>
        <v>0</v>
      </c>
      <c r="DX589" s="36" t="n">
        <f aca="false">DX587*$AC$585*DX588*DX$38*'⑫ Roll-out Plan'!$O$63</f>
        <v>0</v>
      </c>
      <c r="DY589" s="36" t="n">
        <f aca="false">DY587*$AC$585*DY588*DY$38*'⑫ Roll-out Plan'!$O$63</f>
        <v>0</v>
      </c>
      <c r="DZ589" s="36" t="n">
        <f aca="false">DZ587*$AC$585*DZ588*DZ$38*'⑫ Roll-out Plan'!$O$63</f>
        <v>0</v>
      </c>
      <c r="EA589" s="36" t="n">
        <f aca="false">EA587*$AC$585*EA588*EA$38*'⑫ Roll-out Plan'!$O$63</f>
        <v>0</v>
      </c>
      <c r="EB589" s="36" t="n">
        <f aca="false">EB587*$AC$585*EB588*EB$38*'⑫ Roll-out Plan'!$O$63</f>
        <v>0</v>
      </c>
      <c r="EC589" s="36" t="n">
        <f aca="false">EC587*$AC$585*EC588*EC$38*'⑫ Roll-out Plan'!$O$63</f>
        <v>0</v>
      </c>
      <c r="ED589" s="36" t="n">
        <f aca="false">ED587*$AC$585*ED588*ED$38*'⑫ Roll-out Plan'!$O$63</f>
        <v>0</v>
      </c>
      <c r="EE589" s="36" t="n">
        <f aca="false">EE587*$AC$585*EE588*EE$38*'⑫ Roll-out Plan'!$O$63</f>
        <v>0</v>
      </c>
      <c r="EF589" s="36" t="n">
        <f aca="false">EF587*$AC$585*EF588*EF$38*'⑫ Roll-out Plan'!$O$63</f>
        <v>0</v>
      </c>
      <c r="EG589" s="36" t="n">
        <f aca="false">EG587*$AC$585*EG588*EG$38*'⑫ Roll-out Plan'!$O$63</f>
        <v>0</v>
      </c>
      <c r="EH589" s="36" t="n">
        <f aca="false">EH587*$AC$585*EH588*EH$38*'⑫ Roll-out Plan'!$O$63</f>
        <v>0</v>
      </c>
      <c r="EI589" s="36" t="n">
        <f aca="false">EI587*$AC$585*EI588*EI$38*'⑫ Roll-out Plan'!$O$63</f>
        <v>0</v>
      </c>
      <c r="EJ589" s="36" t="n">
        <f aca="false">EJ587*$AC$585*EJ588*EJ$38*'⑫ Roll-out Plan'!$O$63</f>
        <v>0</v>
      </c>
      <c r="EK589" s="36" t="n">
        <f aca="false">EK587*$AC$585*EK588*EK$38*'⑫ Roll-out Plan'!$O$63</f>
        <v>0</v>
      </c>
      <c r="EL589" s="36" t="n">
        <f aca="false">EL587*$AC$585*EL588*EL$38*'⑫ Roll-out Plan'!$O$63</f>
        <v>0</v>
      </c>
      <c r="EM589" s="36" t="n">
        <f aca="false">EM587*$AC$585*EM588*EM$38*'⑫ Roll-out Plan'!$O$63</f>
        <v>0</v>
      </c>
      <c r="EN589" s="36" t="n">
        <f aca="false">EN587*$AC$585*EN588*EN$38*'⑫ Roll-out Plan'!$O$63</f>
        <v>0</v>
      </c>
      <c r="EO589" s="36" t="n">
        <f aca="false">EO587*$AC$585*EO588*EO$38*'⑫ Roll-out Plan'!$O$63</f>
        <v>0</v>
      </c>
      <c r="EP589" s="36" t="n">
        <f aca="false">EP587*$AC$585*EP588*EP$38*'⑫ Roll-out Plan'!$O$63</f>
        <v>0</v>
      </c>
      <c r="EQ589" s="36" t="n">
        <f aca="false">EQ587*$AC$585*EQ588*EQ$38*'⑫ Roll-out Plan'!$O$63</f>
        <v>0</v>
      </c>
      <c r="ER589" s="36" t="n">
        <f aca="false">ER587*$AC$585*ER588*ER$38*'⑫ Roll-out Plan'!$O$63</f>
        <v>0</v>
      </c>
      <c r="ES589" s="9" t="n">
        <f aca="false">ES587*$AC$585*ES588*ES$38*'⑫ Roll-out Plan'!$O$63</f>
        <v>0</v>
      </c>
      <c r="ET589" s="9" t="n">
        <f aca="false">ET587*$AC$585*ET588*ET$38*'⑫ Roll-out Plan'!$O$63</f>
        <v>0</v>
      </c>
      <c r="EU589" s="9" t="n">
        <f aca="false">EU587*$AC$585*EU588*EU$38*'⑫ Roll-out Plan'!$O$63</f>
        <v>0</v>
      </c>
      <c r="EV589" s="9" t="n">
        <f aca="false">EV587*$AC$585*EV588*EV$38*'⑫ Roll-out Plan'!$O$63</f>
        <v>0</v>
      </c>
      <c r="EW589" s="9" t="n">
        <f aca="false">EW587*$AC$585*EW588*EW$38*'⑫ Roll-out Plan'!$O$63</f>
        <v>0</v>
      </c>
      <c r="EX589" s="9" t="n">
        <f aca="false">EX587*$AC$585*EX588*EX$38*'⑫ Roll-out Plan'!$O$63</f>
        <v>0</v>
      </c>
      <c r="EY589" s="9" t="n">
        <f aca="false">EY587*$AC$585*EY588*EY$38*'⑫ Roll-out Plan'!$O$63</f>
        <v>0</v>
      </c>
      <c r="EZ589" s="9" t="n">
        <f aca="false">EZ587*$AC$585*EZ588*EZ$38*'⑫ Roll-out Plan'!$O$63</f>
        <v>0</v>
      </c>
      <c r="FA589" s="9" t="n">
        <f aca="false">FA587*$AC$585*FA588*FA$38*'⑫ Roll-out Plan'!$O$63</f>
        <v>0</v>
      </c>
      <c r="FB589" s="9" t="n">
        <f aca="false">FB587*$AC$585*FB588*FB$38*'⑫ Roll-out Plan'!$O$63</f>
        <v>0</v>
      </c>
      <c r="FC589" s="9" t="n">
        <f aca="false">FC587*$AC$585*FC588*FC$38*'⑫ Roll-out Plan'!$O$63</f>
        <v>0</v>
      </c>
      <c r="FD589" s="9" t="n">
        <f aca="false">FD587*$AC$585*FD588*FD$38*'⑫ Roll-out Plan'!$O$63</f>
        <v>0</v>
      </c>
      <c r="FE589" s="9" t="n">
        <f aca="false">FE587*$AC$585*FE588*FE$38*'⑫ Roll-out Plan'!$O$63</f>
        <v>0</v>
      </c>
      <c r="FF589" s="9" t="n">
        <f aca="false">FF587*$AC$585*FF588*FF$38*'⑫ Roll-out Plan'!$O$63</f>
        <v>0</v>
      </c>
      <c r="FG589" s="9" t="n">
        <f aca="false">FG587*$AC$585*FG588*FG$38*'⑫ Roll-out Plan'!$O$63</f>
        <v>0</v>
      </c>
      <c r="FH589" s="9" t="n">
        <f aca="false">FH587*$AC$585*FH588*FH$38*'⑫ Roll-out Plan'!$O$63</f>
        <v>0</v>
      </c>
      <c r="FI589" s="9" t="n">
        <f aca="false">FI587*$AC$585*FI588*FI$38*'⑫ Roll-out Plan'!$O$63</f>
        <v>0</v>
      </c>
      <c r="FJ589" s="9" t="n">
        <f aca="false">FJ587*$AC$585*FJ588*FJ$38*'⑫ Roll-out Plan'!$O$63</f>
        <v>0</v>
      </c>
      <c r="FK589" s="9" t="n">
        <f aca="false">FK587*$AC$585*FK588*FK$38*'⑫ Roll-out Plan'!$O$63</f>
        <v>0</v>
      </c>
      <c r="FL589" s="9" t="n">
        <f aca="false">FL587*$AC$585*FL588*FL$38*'⑫ Roll-out Plan'!$O$63</f>
        <v>0</v>
      </c>
      <c r="FM589" s="9" t="n">
        <f aca="false">FM587*$AC$585*FM588*FM$38*'⑫ Roll-out Plan'!$O$63</f>
        <v>0</v>
      </c>
      <c r="FN589" s="9" t="n">
        <f aca="false">FN587*$AC$585*FN588*FN$38*'⑫ Roll-out Plan'!$O$63</f>
        <v>0</v>
      </c>
      <c r="FO589" s="9" t="n">
        <f aca="false">FO587*$AC$585*FO588*FO$38*'⑫ Roll-out Plan'!$O$63</f>
        <v>0</v>
      </c>
      <c r="FP589" s="9" t="n">
        <f aca="false">FP587*$AC$585*FP588*FP$38*'⑫ Roll-out Plan'!$O$63</f>
        <v>0</v>
      </c>
    </row>
    <row r="590" customFormat="false" ht="15" hidden="false" customHeight="false" outlineLevel="2" collapsed="false">
      <c r="B590" s="9" t="s">
        <v>877</v>
      </c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112" t="n">
        <f aca="true">IFERROR(SUMPRODUCT(OFFSET($BJ$31,0,1-MIN(60,COLUMN()-29),1,MIN(60,COLUMN()-29)),OFFSET(AC589,0,-MIN(60,COLUMN()-29),1,MIN(60,COLUMN()-29))),0)</f>
        <v>0</v>
      </c>
      <c r="AD590" s="112" t="n">
        <f aca="true">IFERROR(SUMPRODUCT(OFFSET($BJ$31,0,1-MIN(60,COLUMN()-29),1,MIN(60,COLUMN()-29)),OFFSET(AD589,0,-MIN(60,COLUMN()-29),1,MIN(60,COLUMN()-29))),0)</f>
        <v>0</v>
      </c>
      <c r="AE590" s="112" t="n">
        <f aca="true">IFERROR(SUMPRODUCT(OFFSET($BJ$31,0,1-MIN(60,COLUMN()-29),1,MIN(60,COLUMN()-29)),OFFSET(AE589,0,-MIN(60,COLUMN()-29),1,MIN(60,COLUMN()-29))),0)</f>
        <v>0</v>
      </c>
      <c r="AF590" s="112" t="n">
        <f aca="true">IFERROR(SUMPRODUCT(OFFSET($BJ$31,0,1-MIN(60,COLUMN()-29),1,MIN(60,COLUMN()-29)),OFFSET(AF589,0,-MIN(60,COLUMN()-29),1,MIN(60,COLUMN()-29))),0)</f>
        <v>0</v>
      </c>
      <c r="AG590" s="112" t="n">
        <f aca="true">IFERROR(SUMPRODUCT(OFFSET($BJ$31,0,1-MIN(60,COLUMN()-29),1,MIN(60,COLUMN()-29)),OFFSET(AG589,0,-MIN(60,COLUMN()-29),1,MIN(60,COLUMN()-29))),0)</f>
        <v>0</v>
      </c>
      <c r="AH590" s="112" t="n">
        <f aca="true">IFERROR(SUMPRODUCT(OFFSET($BJ$31,0,1-MIN(60,COLUMN()-29),1,MIN(60,COLUMN()-29)),OFFSET(AH589,0,-MIN(60,COLUMN()-29),1,MIN(60,COLUMN()-29))),0)</f>
        <v>0</v>
      </c>
      <c r="AI590" s="112" t="n">
        <f aca="true">IFERROR(SUMPRODUCT(OFFSET($BJ$31,0,1-MIN(60,COLUMN()-29),1,MIN(60,COLUMN()-29)),OFFSET(AI589,0,-MIN(60,COLUMN()-29),1,MIN(60,COLUMN()-29))),0)</f>
        <v>0</v>
      </c>
      <c r="AJ590" s="112" t="n">
        <f aca="true">IFERROR(SUMPRODUCT(OFFSET($BJ$31,0,1-MIN(60,COLUMN()-29),1,MIN(60,COLUMN()-29)),OFFSET(AJ589,0,-MIN(60,COLUMN()-29),1,MIN(60,COLUMN()-29))),0)</f>
        <v>0</v>
      </c>
      <c r="AK590" s="112" t="n">
        <f aca="true">IFERROR(SUMPRODUCT(OFFSET($BJ$31,0,1-MIN(60,COLUMN()-29),1,MIN(60,COLUMN()-29)),OFFSET(AK589,0,-MIN(60,COLUMN()-29),1,MIN(60,COLUMN()-29))),0)</f>
        <v>0</v>
      </c>
      <c r="AL590" s="112" t="n">
        <f aca="true">IFERROR(SUMPRODUCT(OFFSET($BJ$31,0,1-MIN(60,COLUMN()-29),1,MIN(60,COLUMN()-29)),OFFSET(AL589,0,-MIN(60,COLUMN()-29),1,MIN(60,COLUMN()-29))),0)</f>
        <v>0</v>
      </c>
      <c r="AM590" s="112" t="n">
        <f aca="true">IFERROR(SUMPRODUCT(OFFSET($BJ$31,0,1-MIN(60,COLUMN()-29),1,MIN(60,COLUMN()-29)),OFFSET(AM589,0,-MIN(60,COLUMN()-29),1,MIN(60,COLUMN()-29))),0)</f>
        <v>0</v>
      </c>
      <c r="AN590" s="239" t="n">
        <f aca="true">IFERROR(SUMPRODUCT(OFFSET($BJ$31,0,1-MIN(60,COLUMN()-29),1,MIN(60,COLUMN()-29)),OFFSET(AN589,0,-MIN(60,COLUMN()-29),1,MIN(60,COLUMN()-29))),0)</f>
        <v>0</v>
      </c>
      <c r="AO590" s="112" t="n">
        <f aca="true">IFERROR(SUMPRODUCT(OFFSET($BJ$31,0,1-MIN(60,COLUMN()-29),1,MIN(60,COLUMN()-29)),OFFSET(AO589,0,-MIN(60,COLUMN()-29),1,MIN(60,COLUMN()-29))),0)</f>
        <v>0</v>
      </c>
      <c r="AP590" s="112" t="n">
        <f aca="true">IFERROR(SUMPRODUCT(OFFSET($BJ$31,0,1-MIN(60,COLUMN()-29),1,MIN(60,COLUMN()-29)),OFFSET(AP589,0,-MIN(60,COLUMN()-29),1,MIN(60,COLUMN()-29))),0)</f>
        <v>0</v>
      </c>
      <c r="AQ590" s="112" t="n">
        <f aca="true">IFERROR(SUMPRODUCT(OFFSET($BJ$31,0,1-MIN(60,COLUMN()-29),1,MIN(60,COLUMN()-29)),OFFSET(AQ589,0,-MIN(60,COLUMN()-29),1,MIN(60,COLUMN()-29))),0)</f>
        <v>0</v>
      </c>
      <c r="AR590" s="112" t="n">
        <f aca="true">IFERROR(SUMPRODUCT(OFFSET($BJ$31,0,1-MIN(60,COLUMN()-29),1,MIN(60,COLUMN()-29)),OFFSET(AR589,0,-MIN(60,COLUMN()-29),1,MIN(60,COLUMN()-29))),0)</f>
        <v>0</v>
      </c>
      <c r="AS590" s="112" t="n">
        <f aca="true">IFERROR(SUMPRODUCT(OFFSET($BJ$31,0,1-MIN(60,COLUMN()-29),1,MIN(60,COLUMN()-29)),OFFSET(AS589,0,-MIN(60,COLUMN()-29),1,MIN(60,COLUMN()-29))),0)</f>
        <v>0</v>
      </c>
      <c r="AT590" s="112" t="n">
        <f aca="true">IFERROR(SUMPRODUCT(OFFSET($BJ$31,0,1-MIN(60,COLUMN()-29),1,MIN(60,COLUMN()-29)),OFFSET(AT589,0,-MIN(60,COLUMN()-29),1,MIN(60,COLUMN()-29))),0)</f>
        <v>0</v>
      </c>
      <c r="AU590" s="112" t="n">
        <f aca="true">IFERROR(SUMPRODUCT(OFFSET($BJ$31,0,1-MIN(60,COLUMN()-29),1,MIN(60,COLUMN()-29)),OFFSET(AU589,0,-MIN(60,COLUMN()-29),1,MIN(60,COLUMN()-29))),0)</f>
        <v>0</v>
      </c>
      <c r="AV590" s="112" t="n">
        <f aca="true">IFERROR(SUMPRODUCT(OFFSET($BJ$31,0,1-MIN(60,COLUMN()-29),1,MIN(60,COLUMN()-29)),OFFSET(AV589,0,-MIN(60,COLUMN()-29),1,MIN(60,COLUMN()-29))),0)</f>
        <v>0</v>
      </c>
      <c r="AW590" s="112" t="n">
        <f aca="true">IFERROR(SUMPRODUCT(OFFSET($BJ$31,0,1-MIN(60,COLUMN()-29),1,MIN(60,COLUMN()-29)),OFFSET(AW589,0,-MIN(60,COLUMN()-29),1,MIN(60,COLUMN()-29))),0)</f>
        <v>0</v>
      </c>
      <c r="AX590" s="112" t="n">
        <f aca="true">IFERROR(SUMPRODUCT(OFFSET($BJ$31,0,1-MIN(60,COLUMN()-29),1,MIN(60,COLUMN()-29)),OFFSET(AX589,0,-MIN(60,COLUMN()-29),1,MIN(60,COLUMN()-29))),0)</f>
        <v>0</v>
      </c>
      <c r="AY590" s="112" t="n">
        <f aca="true">IFERROR(SUMPRODUCT(OFFSET($BJ$31,0,1-MIN(60,COLUMN()-29),1,MIN(60,COLUMN()-29)),OFFSET(AY589,0,-MIN(60,COLUMN()-29),1,MIN(60,COLUMN()-29))),0)</f>
        <v>0</v>
      </c>
      <c r="AZ590" s="112" t="n">
        <f aca="true">IFERROR(SUMPRODUCT(OFFSET($BJ$31,0,1-MIN(60,COLUMN()-29),1,MIN(60,COLUMN()-29)),OFFSET(AZ589,0,-MIN(60,COLUMN()-29),1,MIN(60,COLUMN()-29))),0)</f>
        <v>0</v>
      </c>
      <c r="BA590" s="112" t="n">
        <f aca="true">IFERROR(SUMPRODUCT(OFFSET($BJ$31,0,1-MIN(60,COLUMN()-29),1,MIN(60,COLUMN()-29)),OFFSET(BA589,0,-MIN(60,COLUMN()-29),1,MIN(60,COLUMN()-29))),0)</f>
        <v>0</v>
      </c>
      <c r="BB590" s="112" t="n">
        <f aca="true">IFERROR(SUMPRODUCT(OFFSET($BJ$31,0,1-MIN(60,COLUMN()-29),1,MIN(60,COLUMN()-29)),OFFSET(BB589,0,-MIN(60,COLUMN()-29),1,MIN(60,COLUMN()-29))),0)</f>
        <v>0</v>
      </c>
      <c r="BC590" s="112" t="n">
        <f aca="true">IFERROR(SUMPRODUCT(OFFSET($BJ$31,0,1-MIN(60,COLUMN()-29),1,MIN(60,COLUMN()-29)),OFFSET(BC589,0,-MIN(60,COLUMN()-29),1,MIN(60,COLUMN()-29))),0)</f>
        <v>0</v>
      </c>
      <c r="BD590" s="112" t="n">
        <f aca="true">IFERROR(SUMPRODUCT(OFFSET($BJ$31,0,1-MIN(60,COLUMN()-29),1,MIN(60,COLUMN()-29)),OFFSET(BD589,0,-MIN(60,COLUMN()-29),1,MIN(60,COLUMN()-29))),0)</f>
        <v>0</v>
      </c>
      <c r="BE590" s="112" t="n">
        <f aca="true">IFERROR(SUMPRODUCT(OFFSET($BJ$31,0,1-MIN(60,COLUMN()-29),1,MIN(60,COLUMN()-29)),OFFSET(BE589,0,-MIN(60,COLUMN()-29),1,MIN(60,COLUMN()-29))),0)</f>
        <v>0</v>
      </c>
      <c r="BF590" s="112" t="n">
        <f aca="true">IFERROR(SUMPRODUCT(OFFSET($BJ$31,0,1-MIN(60,COLUMN()-29),1,MIN(60,COLUMN()-29)),OFFSET(BF589,0,-MIN(60,COLUMN()-29),1,MIN(60,COLUMN()-29))),0)</f>
        <v>0</v>
      </c>
      <c r="BG590" s="112" t="n">
        <f aca="true">IFERROR(SUMPRODUCT(OFFSET($BJ$31,0,1-MIN(60,COLUMN()-29),1,MIN(60,COLUMN()-29)),OFFSET(BG589,0,-MIN(60,COLUMN()-29),1,MIN(60,COLUMN()-29))),0)</f>
        <v>0</v>
      </c>
      <c r="BH590" s="112" t="n">
        <f aca="true">IFERROR(SUMPRODUCT(OFFSET($BJ$31,0,1-MIN(60,COLUMN()-29),1,MIN(60,COLUMN()-29)),OFFSET(BH589,0,-MIN(60,COLUMN()-29),1,MIN(60,COLUMN()-29))),0)</f>
        <v>0</v>
      </c>
      <c r="BI590" s="112" t="n">
        <f aca="true">IFERROR(SUMPRODUCT(OFFSET($BJ$31,0,1-MIN(60,COLUMN()-29),1,MIN(60,COLUMN()-29)),OFFSET(BI589,0,-MIN(60,COLUMN()-29),1,MIN(60,COLUMN()-29))),0)</f>
        <v>0</v>
      </c>
      <c r="BJ590" s="112" t="n">
        <f aca="true">IFERROR(SUMPRODUCT(OFFSET($BJ$31,0,1-MIN(60,COLUMN()-29),1,MIN(60,COLUMN()-29)),OFFSET(BJ589,0,-MIN(60,COLUMN()-29),1,MIN(60,COLUMN()-29))),0)</f>
        <v>0</v>
      </c>
      <c r="BK590" s="112" t="n">
        <f aca="true">IFERROR(SUMPRODUCT(OFFSET($BJ$31,0,1-MIN(60,COLUMN()-29),1,MIN(60,COLUMN()-29)),OFFSET(BK589,0,-MIN(60,COLUMN()-29),1,MIN(60,COLUMN()-29))),0)</f>
        <v>0</v>
      </c>
      <c r="BL590" s="112" t="n">
        <f aca="true">IFERROR(SUMPRODUCT(OFFSET($BJ$31,0,1-MIN(60,COLUMN()-29),1,MIN(60,COLUMN()-29)),OFFSET(BL589,0,-MIN(60,COLUMN()-29),1,MIN(60,COLUMN()-29))),0)</f>
        <v>0</v>
      </c>
      <c r="BM590" s="112" t="n">
        <f aca="true">IFERROR(SUMPRODUCT(OFFSET($BJ$31,0,1-MIN(60,COLUMN()-29),1,MIN(60,COLUMN()-29)),OFFSET(BM589,0,-MIN(60,COLUMN()-29),1,MIN(60,COLUMN()-29))),0)</f>
        <v>0</v>
      </c>
      <c r="BN590" s="112" t="n">
        <f aca="true">IFERROR(SUMPRODUCT(OFFSET($BJ$31,0,1-MIN(60,COLUMN()-29),1,MIN(60,COLUMN()-29)),OFFSET(BN589,0,-MIN(60,COLUMN()-29),1,MIN(60,COLUMN()-29))),0)</f>
        <v>0</v>
      </c>
      <c r="BO590" s="112" t="n">
        <f aca="true">IFERROR(SUMPRODUCT(OFFSET($BJ$31,0,1-MIN(60,COLUMN()-29),1,MIN(60,COLUMN()-29)),OFFSET(BO589,0,-MIN(60,COLUMN()-29),1,MIN(60,COLUMN()-29))),0)</f>
        <v>0</v>
      </c>
      <c r="BP590" s="112" t="n">
        <f aca="true">IFERROR(SUMPRODUCT(OFFSET($BJ$31,0,1-MIN(60,COLUMN()-29),1,MIN(60,COLUMN()-29)),OFFSET(BP589,0,-MIN(60,COLUMN()-29),1,MIN(60,COLUMN()-29))),0)</f>
        <v>0</v>
      </c>
      <c r="BQ590" s="112" t="n">
        <f aca="true">IFERROR(SUMPRODUCT(OFFSET($BJ$31,0,1-MIN(60,COLUMN()-29),1,MIN(60,COLUMN()-29)),OFFSET(BQ589,0,-MIN(60,COLUMN()-29),1,MIN(60,COLUMN()-29))),0)</f>
        <v>0</v>
      </c>
      <c r="BR590" s="112" t="n">
        <f aca="true">IFERROR(SUMPRODUCT(OFFSET($BJ$31,0,1-MIN(60,COLUMN()-29),1,MIN(60,COLUMN()-29)),OFFSET(BR589,0,-MIN(60,COLUMN()-29),1,MIN(60,COLUMN()-29))),0)</f>
        <v>0</v>
      </c>
      <c r="BS590" s="112" t="n">
        <f aca="true">IFERROR(SUMPRODUCT(OFFSET($BJ$31,0,1-MIN(60,COLUMN()-29),1,MIN(60,COLUMN()-29)),OFFSET(BS589,0,-MIN(60,COLUMN()-29),1,MIN(60,COLUMN()-29))),0)</f>
        <v>0</v>
      </c>
      <c r="BT590" s="112" t="n">
        <f aca="true">IFERROR(SUMPRODUCT(OFFSET($BJ$31,0,1-MIN(60,COLUMN()-29),1,MIN(60,COLUMN()-29)),OFFSET(BT589,0,-MIN(60,COLUMN()-29),1,MIN(60,COLUMN()-29))),0)</f>
        <v>0</v>
      </c>
      <c r="BU590" s="112" t="n">
        <f aca="true">IFERROR(SUMPRODUCT(OFFSET($BJ$31,0,1-MIN(60,COLUMN()-29),1,MIN(60,COLUMN()-29)),OFFSET(BU589,0,-MIN(60,COLUMN()-29),1,MIN(60,COLUMN()-29))),0)</f>
        <v>0</v>
      </c>
      <c r="BV590" s="112" t="n">
        <f aca="true">IFERROR(SUMPRODUCT(OFFSET($BJ$31,0,1-MIN(60,COLUMN()-29),1,MIN(60,COLUMN()-29)),OFFSET(BV589,0,-MIN(60,COLUMN()-29),1,MIN(60,COLUMN()-29))),0)</f>
        <v>0</v>
      </c>
      <c r="BW590" s="112" t="n">
        <f aca="true">IFERROR(SUMPRODUCT(OFFSET($BJ$31,0,1-MIN(60,COLUMN()-29),1,MIN(60,COLUMN()-29)),OFFSET(BW589,0,-MIN(60,COLUMN()-29),1,MIN(60,COLUMN()-29))),0)</f>
        <v>0</v>
      </c>
      <c r="BX590" s="112" t="n">
        <f aca="true">IFERROR(SUMPRODUCT(OFFSET($BJ$31,0,1-MIN(60,COLUMN()-29),1,MIN(60,COLUMN()-29)),OFFSET(BX589,0,-MIN(60,COLUMN()-29),1,MIN(60,COLUMN()-29))),0)</f>
        <v>0</v>
      </c>
      <c r="BY590" s="112" t="n">
        <f aca="true">IFERROR(SUMPRODUCT(OFFSET($BJ$31,0,1-MIN(60,COLUMN()-29),1,MIN(60,COLUMN()-29)),OFFSET(BY589,0,-MIN(60,COLUMN()-29),1,MIN(60,COLUMN()-29))),0)</f>
        <v>0</v>
      </c>
      <c r="BZ590" s="112" t="n">
        <f aca="true">IFERROR(SUMPRODUCT(OFFSET($BJ$31,0,1-MIN(60,COLUMN()-29),1,MIN(60,COLUMN()-29)),OFFSET(BZ589,0,-MIN(60,COLUMN()-29),1,MIN(60,COLUMN()-29))),0)</f>
        <v>0</v>
      </c>
      <c r="CA590" s="112" t="n">
        <f aca="true">IFERROR(SUMPRODUCT(OFFSET($BJ$31,0,1-MIN(60,COLUMN()-29),1,MIN(60,COLUMN()-29)),OFFSET(CA589,0,-MIN(60,COLUMN()-29),1,MIN(60,COLUMN()-29))),0)</f>
        <v>0</v>
      </c>
      <c r="CB590" s="112" t="n">
        <f aca="true">IFERROR(SUMPRODUCT(OFFSET($BJ$31,0,1-MIN(60,COLUMN()-29),1,MIN(60,COLUMN()-29)),OFFSET(CB589,0,-MIN(60,COLUMN()-29),1,MIN(60,COLUMN()-29))),0)</f>
        <v>0</v>
      </c>
      <c r="CC590" s="112" t="n">
        <f aca="true">IFERROR(SUMPRODUCT(OFFSET($BJ$31,0,1-MIN(60,COLUMN()-29),1,MIN(60,COLUMN()-29)),OFFSET(CC589,0,-MIN(60,COLUMN()-29),1,MIN(60,COLUMN()-29))),0)</f>
        <v>0</v>
      </c>
      <c r="CD590" s="112" t="n">
        <f aca="true">IFERROR(SUMPRODUCT(OFFSET($BJ$31,0,1-MIN(60,COLUMN()-29),1,MIN(60,COLUMN()-29)),OFFSET(CD589,0,-MIN(60,COLUMN()-29),1,MIN(60,COLUMN()-29))),0)</f>
        <v>0</v>
      </c>
      <c r="CE590" s="112" t="n">
        <f aca="true">IFERROR(SUMPRODUCT(OFFSET($BJ$31,0,1-MIN(60,COLUMN()-29),1,MIN(60,COLUMN()-29)),OFFSET(CE589,0,-MIN(60,COLUMN()-29),1,MIN(60,COLUMN()-29))),0)</f>
        <v>0</v>
      </c>
      <c r="CF590" s="112" t="n">
        <f aca="true">IFERROR(SUMPRODUCT(OFFSET($BJ$31,0,1-MIN(60,COLUMN()-29),1,MIN(60,COLUMN()-29)),OFFSET(CF589,0,-MIN(60,COLUMN()-29),1,MIN(60,COLUMN()-29))),0)</f>
        <v>0</v>
      </c>
      <c r="CG590" s="112" t="n">
        <f aca="true">IFERROR(SUMPRODUCT(OFFSET($BJ$31,0,1-MIN(60,COLUMN()-29),1,MIN(60,COLUMN()-29)),OFFSET(CG589,0,-MIN(60,COLUMN()-29),1,MIN(60,COLUMN()-29))),0)</f>
        <v>0</v>
      </c>
      <c r="CH590" s="112" t="n">
        <f aca="true">IFERROR(SUMPRODUCT(OFFSET($BJ$31,0,1-MIN(60,COLUMN()-29),1,MIN(60,COLUMN()-29)),OFFSET(CH589,0,-MIN(60,COLUMN()-29),1,MIN(60,COLUMN()-29))),0)</f>
        <v>0</v>
      </c>
      <c r="CI590" s="112" t="n">
        <f aca="true">IFERROR(SUMPRODUCT(OFFSET($BJ$31,0,1-MIN(60,COLUMN()-29),1,MIN(60,COLUMN()-29)),OFFSET(CI589,0,-MIN(60,COLUMN()-29),1,MIN(60,COLUMN()-29))),0)</f>
        <v>0</v>
      </c>
      <c r="CJ590" s="112" t="n">
        <f aca="true">IFERROR(SUMPRODUCT(OFFSET($BJ$31,0,1-MIN(60,COLUMN()-29),1,MIN(60,COLUMN()-29)),OFFSET(CJ589,0,-MIN(60,COLUMN()-29),1,MIN(60,COLUMN()-29))),0)</f>
        <v>0</v>
      </c>
      <c r="CK590" s="112" t="n">
        <f aca="true">IFERROR(SUMPRODUCT(OFFSET($BJ$31,0,1-MIN(60,COLUMN()-29),1,MIN(60,COLUMN()-29)),OFFSET(CK589,0,-MIN(60,COLUMN()-29),1,MIN(60,COLUMN()-29))),0)</f>
        <v>0</v>
      </c>
      <c r="CL590" s="112" t="n">
        <f aca="true">IFERROR(SUMPRODUCT(OFFSET($BJ$31,0,1-MIN(60,COLUMN()-29),1,MIN(60,COLUMN()-29)),OFFSET(CL589,0,-MIN(60,COLUMN()-29),1,MIN(60,COLUMN()-29))),0)</f>
        <v>0</v>
      </c>
      <c r="CM590" s="112" t="n">
        <f aca="true">IFERROR(SUMPRODUCT(OFFSET($BJ$31,0,1-MIN(60,COLUMN()-29),1,MIN(60,COLUMN()-29)),OFFSET(CM589,0,-MIN(60,COLUMN()-29),1,MIN(60,COLUMN()-29))),0)</f>
        <v>0</v>
      </c>
      <c r="CN590" s="112" t="n">
        <f aca="true">IFERROR(SUMPRODUCT(OFFSET($BJ$31,0,1-MIN(60,COLUMN()-29),1,MIN(60,COLUMN()-29)),OFFSET(CN589,0,-MIN(60,COLUMN()-29),1,MIN(60,COLUMN()-29))),0)</f>
        <v>0</v>
      </c>
      <c r="CO590" s="112" t="n">
        <f aca="true">IFERROR(SUMPRODUCT(OFFSET($BJ$31,0,1-MIN(60,COLUMN()-29),1,MIN(60,COLUMN()-29)),OFFSET(CO589,0,-MIN(60,COLUMN()-29),1,MIN(60,COLUMN()-29))),0)</f>
        <v>0</v>
      </c>
      <c r="CP590" s="112" t="n">
        <f aca="true">IFERROR(SUMPRODUCT(OFFSET($BJ$31,0,1-MIN(60,COLUMN()-29),1,MIN(60,COLUMN()-29)),OFFSET(CP589,0,-MIN(60,COLUMN()-29),1,MIN(60,COLUMN()-29))),0)</f>
        <v>0</v>
      </c>
      <c r="CQ590" s="112" t="n">
        <f aca="true">IFERROR(SUMPRODUCT(OFFSET($BJ$31,0,1-MIN(60,COLUMN()-29),1,MIN(60,COLUMN()-29)),OFFSET(CQ589,0,-MIN(60,COLUMN()-29),1,MIN(60,COLUMN()-29))),0)</f>
        <v>0</v>
      </c>
      <c r="CR590" s="112" t="n">
        <f aca="true">IFERROR(SUMPRODUCT(OFFSET($BJ$31,0,1-MIN(60,COLUMN()-29),1,MIN(60,COLUMN()-29)),OFFSET(CR589,0,-MIN(60,COLUMN()-29),1,MIN(60,COLUMN()-29))),0)</f>
        <v>0</v>
      </c>
      <c r="CS590" s="112" t="n">
        <f aca="true">IFERROR(SUMPRODUCT(OFFSET($BJ$31,0,1-MIN(60,COLUMN()-29),1,MIN(60,COLUMN()-29)),OFFSET(CS589,0,-MIN(60,COLUMN()-29),1,MIN(60,COLUMN()-29))),0)</f>
        <v>0</v>
      </c>
      <c r="CT590" s="112" t="n">
        <f aca="true">IFERROR(SUMPRODUCT(OFFSET($BJ$31,0,1-MIN(60,COLUMN()-29),1,MIN(60,COLUMN()-29)),OFFSET(CT589,0,-MIN(60,COLUMN()-29),1,MIN(60,COLUMN()-29))),0)</f>
        <v>0</v>
      </c>
      <c r="CU590" s="112" t="n">
        <f aca="true">IFERROR(SUMPRODUCT(OFFSET($BJ$31,0,1-MIN(60,COLUMN()-29),1,MIN(60,COLUMN()-29)),OFFSET(CU589,0,-MIN(60,COLUMN()-29),1,MIN(60,COLUMN()-29))),0)</f>
        <v>0</v>
      </c>
      <c r="CV590" s="112" t="n">
        <f aca="true">IFERROR(SUMPRODUCT(OFFSET($BJ$31,0,1-MIN(60,COLUMN()-29),1,MIN(60,COLUMN()-29)),OFFSET(CV589,0,-MIN(60,COLUMN()-29),1,MIN(60,COLUMN()-29))),0)</f>
        <v>0</v>
      </c>
      <c r="CW590" s="112" t="n">
        <f aca="true">IFERROR(SUMPRODUCT(OFFSET($BJ$31,0,1-MIN(60,COLUMN()-29),1,MIN(60,COLUMN()-29)),OFFSET(CW589,0,-MIN(60,COLUMN()-29),1,MIN(60,COLUMN()-29))),0)</f>
        <v>0</v>
      </c>
      <c r="CX590" s="112" t="n">
        <f aca="true">IFERROR(SUMPRODUCT(OFFSET($BJ$31,0,1-MIN(60,COLUMN()-29),1,MIN(60,COLUMN()-29)),OFFSET(CX589,0,-MIN(60,COLUMN()-29),1,MIN(60,COLUMN()-29))),0)</f>
        <v>0</v>
      </c>
      <c r="CY590" s="112" t="n">
        <f aca="true">IFERROR(SUMPRODUCT(OFFSET($BJ$31,0,1-MIN(60,COLUMN()-29),1,MIN(60,COLUMN()-29)),OFFSET(CY589,0,-MIN(60,COLUMN()-29),1,MIN(60,COLUMN()-29))),0)</f>
        <v>0</v>
      </c>
      <c r="CZ590" s="112" t="n">
        <f aca="true">IFERROR(SUMPRODUCT(OFFSET($BJ$31,0,1-MIN(60,COLUMN()-29),1,MIN(60,COLUMN()-29)),OFFSET(CZ589,0,-MIN(60,COLUMN()-29),1,MIN(60,COLUMN()-29))),0)</f>
        <v>0</v>
      </c>
      <c r="DA590" s="112" t="n">
        <f aca="true">IFERROR(SUMPRODUCT(OFFSET($BJ$31,0,1-MIN(60,COLUMN()-29),1,MIN(60,COLUMN()-29)),OFFSET(DA589,0,-MIN(60,COLUMN()-29),1,MIN(60,COLUMN()-29))),0)</f>
        <v>0</v>
      </c>
      <c r="DB590" s="112" t="n">
        <f aca="true">IFERROR(SUMPRODUCT(OFFSET($BJ$31,0,1-MIN(60,COLUMN()-29),1,MIN(60,COLUMN()-29)),OFFSET(DB589,0,-MIN(60,COLUMN()-29),1,MIN(60,COLUMN()-29))),0)</f>
        <v>0</v>
      </c>
      <c r="DC590" s="112" t="n">
        <f aca="true">IFERROR(SUMPRODUCT(OFFSET($BJ$31,0,1-MIN(60,COLUMN()-29),1,MIN(60,COLUMN()-29)),OFFSET(DC589,0,-MIN(60,COLUMN()-29),1,MIN(60,COLUMN()-29))),0)</f>
        <v>0</v>
      </c>
      <c r="DD590" s="112" t="n">
        <f aca="true">IFERROR(SUMPRODUCT(OFFSET($BJ$31,0,1-MIN(60,COLUMN()-29),1,MIN(60,COLUMN()-29)),OFFSET(DD589,0,-MIN(60,COLUMN()-29),1,MIN(60,COLUMN()-29))),0)</f>
        <v>0</v>
      </c>
      <c r="DE590" s="112" t="n">
        <f aca="true">IFERROR(SUMPRODUCT(OFFSET($BJ$31,0,1-MIN(60,COLUMN()-29),1,MIN(60,COLUMN()-29)),OFFSET(DE589,0,-MIN(60,COLUMN()-29),1,MIN(60,COLUMN()-29))),0)</f>
        <v>0</v>
      </c>
      <c r="DF590" s="112" t="n">
        <f aca="true">IFERROR(SUMPRODUCT(OFFSET($BJ$31,0,1-MIN(60,COLUMN()-29),1,MIN(60,COLUMN()-29)),OFFSET(DF589,0,-MIN(60,COLUMN()-29),1,MIN(60,COLUMN()-29))),0)</f>
        <v>0</v>
      </c>
      <c r="DG590" s="112" t="n">
        <f aca="true">IFERROR(SUMPRODUCT(OFFSET($BJ$31,0,1-MIN(60,COLUMN()-29),1,MIN(60,COLUMN()-29)),OFFSET(DG589,0,-MIN(60,COLUMN()-29),1,MIN(60,COLUMN()-29))),0)</f>
        <v>0</v>
      </c>
      <c r="DH590" s="112" t="n">
        <f aca="true">IFERROR(SUMPRODUCT(OFFSET($BJ$31,0,1-MIN(60,COLUMN()-29),1,MIN(60,COLUMN()-29)),OFFSET(DH589,0,-MIN(60,COLUMN()-29),1,MIN(60,COLUMN()-29))),0)</f>
        <v>0</v>
      </c>
      <c r="DI590" s="112" t="n">
        <f aca="true">IFERROR(SUMPRODUCT(OFFSET($BJ$31,0,1-MIN(60,COLUMN()-29),1,MIN(60,COLUMN()-29)),OFFSET(DI589,0,-MIN(60,COLUMN()-29),1,MIN(60,COLUMN()-29))),0)</f>
        <v>0</v>
      </c>
      <c r="DJ590" s="112" t="n">
        <f aca="true">IFERROR(SUMPRODUCT(OFFSET($BJ$31,0,1-MIN(60,COLUMN()-29),1,MIN(60,COLUMN()-29)),OFFSET(DJ589,0,-MIN(60,COLUMN()-29),1,MIN(60,COLUMN()-29))),0)</f>
        <v>0</v>
      </c>
      <c r="DK590" s="112" t="n">
        <f aca="true">IFERROR(SUMPRODUCT(OFFSET($BJ$31,0,1-MIN(60,COLUMN()-29),1,MIN(60,COLUMN()-29)),OFFSET(DK589,0,-MIN(60,COLUMN()-29),1,MIN(60,COLUMN()-29))),0)</f>
        <v>0</v>
      </c>
      <c r="DL590" s="112" t="n">
        <f aca="true">IFERROR(SUMPRODUCT(OFFSET($BJ$31,0,1-MIN(60,COLUMN()-29),1,MIN(60,COLUMN()-29)),OFFSET(DL589,0,-MIN(60,COLUMN()-29),1,MIN(60,COLUMN()-29))),0)</f>
        <v>0</v>
      </c>
      <c r="DM590" s="112" t="n">
        <f aca="true">IFERROR(SUMPRODUCT(OFFSET($BJ$31,0,1-MIN(60,COLUMN()-29),1,MIN(60,COLUMN()-29)),OFFSET(DM589,0,-MIN(60,COLUMN()-29),1,MIN(60,COLUMN()-29))),0)</f>
        <v>0</v>
      </c>
      <c r="DN590" s="112" t="n">
        <f aca="true">IFERROR(SUMPRODUCT(OFFSET($BJ$31,0,1-MIN(60,COLUMN()-29),1,MIN(60,COLUMN()-29)),OFFSET(DN589,0,-MIN(60,COLUMN()-29),1,MIN(60,COLUMN()-29))),0)</f>
        <v>0</v>
      </c>
      <c r="DO590" s="112" t="n">
        <f aca="true">IFERROR(SUMPRODUCT(OFFSET($BJ$31,0,1-MIN(60,COLUMN()-29),1,MIN(60,COLUMN()-29)),OFFSET(DO589,0,-MIN(60,COLUMN()-29),1,MIN(60,COLUMN()-29))),0)</f>
        <v>0</v>
      </c>
      <c r="DP590" s="112" t="n">
        <f aca="true">IFERROR(SUMPRODUCT(OFFSET($BJ$31,0,1-MIN(60,COLUMN()-29),1,MIN(60,COLUMN()-29)),OFFSET(DP589,0,-MIN(60,COLUMN()-29),1,MIN(60,COLUMN()-29))),0)</f>
        <v>0</v>
      </c>
      <c r="DQ590" s="112" t="n">
        <f aca="true">IFERROR(SUMPRODUCT(OFFSET($BJ$31,0,1-MIN(60,COLUMN()-29),1,MIN(60,COLUMN()-29)),OFFSET(DQ589,0,-MIN(60,COLUMN()-29),1,MIN(60,COLUMN()-29))),0)</f>
        <v>0</v>
      </c>
      <c r="DR590" s="112" t="n">
        <f aca="true">IFERROR(SUMPRODUCT(OFFSET($BJ$31,0,1-MIN(60,COLUMN()-29),1,MIN(60,COLUMN()-29)),OFFSET(DR589,0,-MIN(60,COLUMN()-29),1,MIN(60,COLUMN()-29))),0)</f>
        <v>0</v>
      </c>
      <c r="DS590" s="112" t="n">
        <f aca="true">IFERROR(SUMPRODUCT(OFFSET($BJ$31,0,1-MIN(60,COLUMN()-29),1,MIN(60,COLUMN()-29)),OFFSET(DS589,0,-MIN(60,COLUMN()-29),1,MIN(60,COLUMN()-29))),0)</f>
        <v>0</v>
      </c>
      <c r="DT590" s="112" t="n">
        <f aca="true">IFERROR(SUMPRODUCT(OFFSET($BJ$31,0,1-MIN(60,COLUMN()-29),1,MIN(60,COLUMN()-29)),OFFSET(DT589,0,-MIN(60,COLUMN()-29),1,MIN(60,COLUMN()-29))),0)</f>
        <v>0</v>
      </c>
      <c r="DU590" s="112" t="n">
        <f aca="true">IFERROR(SUMPRODUCT(OFFSET($BJ$31,0,1-MIN(60,COLUMN()-29),1,MIN(60,COLUMN()-29)),OFFSET(DU589,0,-MIN(60,COLUMN()-29),1,MIN(60,COLUMN()-29))),0)</f>
        <v>0</v>
      </c>
      <c r="DV590" s="112" t="n">
        <f aca="true">IFERROR(SUMPRODUCT(OFFSET($BJ$31,0,1-MIN(60,COLUMN()-29),1,MIN(60,COLUMN()-29)),OFFSET(DV589,0,-MIN(60,COLUMN()-29),1,MIN(60,COLUMN()-29))),0)</f>
        <v>0</v>
      </c>
      <c r="DW590" s="112" t="n">
        <f aca="true">IFERROR(SUMPRODUCT(OFFSET($BJ$31,0,1-MIN(60,COLUMN()-29),1,MIN(60,COLUMN()-29)),OFFSET(DW589,0,-MIN(60,COLUMN()-29),1,MIN(60,COLUMN()-29))),0)</f>
        <v>0</v>
      </c>
      <c r="DX590" s="112" t="n">
        <f aca="true">IFERROR(SUMPRODUCT(OFFSET($BJ$31,0,1-MIN(60,COLUMN()-29),1,MIN(60,COLUMN()-29)),OFFSET(DX589,0,-MIN(60,COLUMN()-29),1,MIN(60,COLUMN()-29))),0)</f>
        <v>0</v>
      </c>
      <c r="DY590" s="112" t="n">
        <f aca="true">IFERROR(SUMPRODUCT(OFFSET($BJ$31,0,1-MIN(60,COLUMN()-29),1,MIN(60,COLUMN()-29)),OFFSET(DY589,0,-MIN(60,COLUMN()-29),1,MIN(60,COLUMN()-29))),0)</f>
        <v>0</v>
      </c>
      <c r="DZ590" s="112" t="n">
        <f aca="true">IFERROR(SUMPRODUCT(OFFSET($BJ$31,0,1-MIN(60,COLUMN()-29),1,MIN(60,COLUMN()-29)),OFFSET(DZ589,0,-MIN(60,COLUMN()-29),1,MIN(60,COLUMN()-29))),0)</f>
        <v>0</v>
      </c>
      <c r="EA590" s="112" t="n">
        <f aca="true">IFERROR(SUMPRODUCT(OFFSET($BJ$31,0,1-MIN(60,COLUMN()-29),1,MIN(60,COLUMN()-29)),OFFSET(EA589,0,-MIN(60,COLUMN()-29),1,MIN(60,COLUMN()-29))),0)</f>
        <v>0</v>
      </c>
      <c r="EB590" s="112" t="n">
        <f aca="true">IFERROR(SUMPRODUCT(OFFSET($BJ$31,0,1-MIN(60,COLUMN()-29),1,MIN(60,COLUMN()-29)),OFFSET(EB589,0,-MIN(60,COLUMN()-29),1,MIN(60,COLUMN()-29))),0)</f>
        <v>0</v>
      </c>
      <c r="EC590" s="112" t="n">
        <f aca="true">IFERROR(SUMPRODUCT(OFFSET($BJ$31,0,1-MIN(60,COLUMN()-29),1,MIN(60,COLUMN()-29)),OFFSET(EC589,0,-MIN(60,COLUMN()-29),1,MIN(60,COLUMN()-29))),0)</f>
        <v>0</v>
      </c>
      <c r="ED590" s="112" t="n">
        <f aca="true">IFERROR(SUMPRODUCT(OFFSET($BJ$31,0,1-MIN(60,COLUMN()-29),1,MIN(60,COLUMN()-29)),OFFSET(ED589,0,-MIN(60,COLUMN()-29),1,MIN(60,COLUMN()-29))),0)</f>
        <v>0</v>
      </c>
      <c r="EE590" s="112" t="n">
        <f aca="true">IFERROR(SUMPRODUCT(OFFSET($BJ$31,0,1-MIN(60,COLUMN()-29),1,MIN(60,COLUMN()-29)),OFFSET(EE589,0,-MIN(60,COLUMN()-29),1,MIN(60,COLUMN()-29))),0)</f>
        <v>0</v>
      </c>
      <c r="EF590" s="112" t="n">
        <f aca="true">IFERROR(SUMPRODUCT(OFFSET($BJ$31,0,1-MIN(60,COLUMN()-29),1,MIN(60,COLUMN()-29)),OFFSET(EF589,0,-MIN(60,COLUMN()-29),1,MIN(60,COLUMN()-29))),0)</f>
        <v>0</v>
      </c>
      <c r="EG590" s="112" t="n">
        <f aca="true">IFERROR(SUMPRODUCT(OFFSET($BJ$31,0,1-MIN(60,COLUMN()-29),1,MIN(60,COLUMN()-29)),OFFSET(EG589,0,-MIN(60,COLUMN()-29),1,MIN(60,COLUMN()-29))),0)</f>
        <v>0</v>
      </c>
      <c r="EH590" s="112" t="n">
        <f aca="true">IFERROR(SUMPRODUCT(OFFSET($BJ$31,0,1-MIN(60,COLUMN()-29),1,MIN(60,COLUMN()-29)),OFFSET(EH589,0,-MIN(60,COLUMN()-29),1,MIN(60,COLUMN()-29))),0)</f>
        <v>0</v>
      </c>
      <c r="EI590" s="112" t="n">
        <f aca="true">IFERROR(SUMPRODUCT(OFFSET($BJ$31,0,1-MIN(60,COLUMN()-29),1,MIN(60,COLUMN()-29)),OFFSET(EI589,0,-MIN(60,COLUMN()-29),1,MIN(60,COLUMN()-29))),0)</f>
        <v>0</v>
      </c>
      <c r="EJ590" s="112" t="n">
        <f aca="true">IFERROR(SUMPRODUCT(OFFSET($BJ$31,0,1-MIN(60,COLUMN()-29),1,MIN(60,COLUMN()-29)),OFFSET(EJ589,0,-MIN(60,COLUMN()-29),1,MIN(60,COLUMN()-29))),0)</f>
        <v>0</v>
      </c>
      <c r="EK590" s="112" t="n">
        <f aca="true">IFERROR(SUMPRODUCT(OFFSET($BJ$31,0,1-MIN(60,COLUMN()-29),1,MIN(60,COLUMN()-29)),OFFSET(EK589,0,-MIN(60,COLUMN()-29),1,MIN(60,COLUMN()-29))),0)</f>
        <v>0</v>
      </c>
      <c r="EL590" s="112" t="n">
        <f aca="true">IFERROR(SUMPRODUCT(OFFSET($BJ$31,0,1-MIN(60,COLUMN()-29),1,MIN(60,COLUMN()-29)),OFFSET(EL589,0,-MIN(60,COLUMN()-29),1,MIN(60,COLUMN()-29))),0)</f>
        <v>0</v>
      </c>
      <c r="EM590" s="112" t="n">
        <f aca="true">IFERROR(SUMPRODUCT(OFFSET($BJ$31,0,1-MIN(60,COLUMN()-29),1,MIN(60,COLUMN()-29)),OFFSET(EM589,0,-MIN(60,COLUMN()-29),1,MIN(60,COLUMN()-29))),0)</f>
        <v>0</v>
      </c>
      <c r="EN590" s="112" t="n">
        <f aca="true">IFERROR(SUMPRODUCT(OFFSET($BJ$31,0,1-MIN(60,COLUMN()-29),1,MIN(60,COLUMN()-29)),OFFSET(EN589,0,-MIN(60,COLUMN()-29),1,MIN(60,COLUMN()-29))),0)</f>
        <v>0</v>
      </c>
      <c r="EO590" s="112" t="n">
        <f aca="true">IFERROR(SUMPRODUCT(OFFSET($BJ$31,0,1-MIN(60,COLUMN()-29),1,MIN(60,COLUMN()-29)),OFFSET(EO589,0,-MIN(60,COLUMN()-29),1,MIN(60,COLUMN()-29))),0)</f>
        <v>0</v>
      </c>
      <c r="EP590" s="112" t="n">
        <f aca="true">IFERROR(SUMPRODUCT(OFFSET($BJ$31,0,1-MIN(60,COLUMN()-29),1,MIN(60,COLUMN()-29)),OFFSET(EP589,0,-MIN(60,COLUMN()-29),1,MIN(60,COLUMN()-29))),0)</f>
        <v>0</v>
      </c>
      <c r="EQ590" s="112" t="n">
        <f aca="true">IFERROR(SUMPRODUCT(OFFSET($BJ$31,0,1-MIN(60,COLUMN()-29),1,MIN(60,COLUMN()-29)),OFFSET(EQ589,0,-MIN(60,COLUMN()-29),1,MIN(60,COLUMN()-29))),0)</f>
        <v>0</v>
      </c>
      <c r="ER590" s="112" t="n">
        <f aca="true">IFERROR(SUMPRODUCT(OFFSET($BJ$31,0,1-MIN(60,COLUMN()-29),1,MIN(60,COLUMN()-29)),OFFSET(ER589,0,-MIN(60,COLUMN()-29),1,MIN(60,COLUMN()-29))),0)</f>
        <v>0</v>
      </c>
      <c r="ES590" s="9" t="n">
        <f aca="true">IFERROR(SUMPRODUCT(OFFSET($BJ$31,0,1-MIN(60,COLUMN()-29),1,MIN(60,COLUMN()-29)),OFFSET(ES589,0,-MIN(60,COLUMN()-29),1,MIN(60,COLUMN()-29))),0)</f>
        <v>0</v>
      </c>
      <c r="ET590" s="9" t="n">
        <f aca="true">IFERROR(SUMPRODUCT(OFFSET($BJ$31,0,1-MIN(60,COLUMN()-29),1,MIN(60,COLUMN()-29)),OFFSET(ET589,0,-MIN(60,COLUMN()-29),1,MIN(60,COLUMN()-29))),0)</f>
        <v>0</v>
      </c>
      <c r="EU590" s="9" t="n">
        <f aca="true">IFERROR(SUMPRODUCT(OFFSET($BJ$31,0,1-MIN(60,COLUMN()-29),1,MIN(60,COLUMN()-29)),OFFSET(EU589,0,-MIN(60,COLUMN()-29),1,MIN(60,COLUMN()-29))),0)</f>
        <v>0</v>
      </c>
      <c r="EV590" s="9" t="n">
        <f aca="true">IFERROR(SUMPRODUCT(OFFSET($BJ$31,0,1-MIN(60,COLUMN()-29),1,MIN(60,COLUMN()-29)),OFFSET(EV589,0,-MIN(60,COLUMN()-29),1,MIN(60,COLUMN()-29))),0)</f>
        <v>0</v>
      </c>
      <c r="EW590" s="9" t="n">
        <f aca="true">IFERROR(SUMPRODUCT(OFFSET($BJ$31,0,1-MIN(60,COLUMN()-29),1,MIN(60,COLUMN()-29)),OFFSET(EW589,0,-MIN(60,COLUMN()-29),1,MIN(60,COLUMN()-29))),0)</f>
        <v>0</v>
      </c>
      <c r="EX590" s="9" t="n">
        <f aca="true">IFERROR(SUMPRODUCT(OFFSET($BJ$31,0,1-MIN(60,COLUMN()-29),1,MIN(60,COLUMN()-29)),OFFSET(EX589,0,-MIN(60,COLUMN()-29),1,MIN(60,COLUMN()-29))),0)</f>
        <v>0</v>
      </c>
      <c r="EY590" s="9" t="n">
        <f aca="true">IFERROR(SUMPRODUCT(OFFSET($BJ$31,0,1-MIN(60,COLUMN()-29),1,MIN(60,COLUMN()-29)),OFFSET(EY589,0,-MIN(60,COLUMN()-29),1,MIN(60,COLUMN()-29))),0)</f>
        <v>0</v>
      </c>
      <c r="EZ590" s="9" t="n">
        <f aca="true">IFERROR(SUMPRODUCT(OFFSET($BJ$31,0,1-MIN(60,COLUMN()-29),1,MIN(60,COLUMN()-29)),OFFSET(EZ589,0,-MIN(60,COLUMN()-29),1,MIN(60,COLUMN()-29))),0)</f>
        <v>0</v>
      </c>
      <c r="FA590" s="9" t="n">
        <f aca="true">IFERROR(SUMPRODUCT(OFFSET($BJ$31,0,1-MIN(60,COLUMN()-29),1,MIN(60,COLUMN()-29)),OFFSET(FA589,0,-MIN(60,COLUMN()-29),1,MIN(60,COLUMN()-29))),0)</f>
        <v>0</v>
      </c>
      <c r="FB590" s="9" t="n">
        <f aca="true">IFERROR(SUMPRODUCT(OFFSET($BJ$31,0,1-MIN(60,COLUMN()-29),1,MIN(60,COLUMN()-29)),OFFSET(FB589,0,-MIN(60,COLUMN()-29),1,MIN(60,COLUMN()-29))),0)</f>
        <v>0</v>
      </c>
      <c r="FC590" s="9" t="n">
        <f aca="true">IFERROR(SUMPRODUCT(OFFSET($BJ$31,0,1-MIN(60,COLUMN()-29),1,MIN(60,COLUMN()-29)),OFFSET(FC589,0,-MIN(60,COLUMN()-29),1,MIN(60,COLUMN()-29))),0)</f>
        <v>0</v>
      </c>
      <c r="FD590" s="9" t="n">
        <f aca="true">IFERROR(SUMPRODUCT(OFFSET($BJ$31,0,1-MIN(60,COLUMN()-29),1,MIN(60,COLUMN()-29)),OFFSET(FD589,0,-MIN(60,COLUMN()-29),1,MIN(60,COLUMN()-29))),0)</f>
        <v>0</v>
      </c>
      <c r="FE590" s="9" t="n">
        <f aca="true">IFERROR(SUMPRODUCT(OFFSET($BJ$31,0,1-MIN(60,COLUMN()-29),1,MIN(60,COLUMN()-29)),OFFSET(FE589,0,-MIN(60,COLUMN()-29),1,MIN(60,COLUMN()-29))),0)</f>
        <v>0</v>
      </c>
      <c r="FF590" s="9" t="n">
        <f aca="true">IFERROR(SUMPRODUCT(OFFSET($BJ$31,0,1-MIN(60,COLUMN()-29),1,MIN(60,COLUMN()-29)),OFFSET(FF589,0,-MIN(60,COLUMN()-29),1,MIN(60,COLUMN()-29))),0)</f>
        <v>0</v>
      </c>
      <c r="FG590" s="9" t="n">
        <f aca="true">IFERROR(SUMPRODUCT(OFFSET($BJ$31,0,1-MIN(60,COLUMN()-29),1,MIN(60,COLUMN()-29)),OFFSET(FG589,0,-MIN(60,COLUMN()-29),1,MIN(60,COLUMN()-29))),0)</f>
        <v>0</v>
      </c>
      <c r="FH590" s="9" t="n">
        <f aca="true">IFERROR(SUMPRODUCT(OFFSET($BJ$31,0,1-MIN(60,COLUMN()-29),1,MIN(60,COLUMN()-29)),OFFSET(FH589,0,-MIN(60,COLUMN()-29),1,MIN(60,COLUMN()-29))),0)</f>
        <v>0</v>
      </c>
      <c r="FI590" s="9" t="n">
        <f aca="true">IFERROR(SUMPRODUCT(OFFSET($BJ$31,0,1-MIN(60,COLUMN()-29),1,MIN(60,COLUMN()-29)),OFFSET(FI589,0,-MIN(60,COLUMN()-29),1,MIN(60,COLUMN()-29))),0)</f>
        <v>0</v>
      </c>
      <c r="FJ590" s="9" t="n">
        <f aca="true">IFERROR(SUMPRODUCT(OFFSET($BJ$31,0,1-MIN(60,COLUMN()-29),1,MIN(60,COLUMN()-29)),OFFSET(FJ589,0,-MIN(60,COLUMN()-29),1,MIN(60,COLUMN()-29))),0)</f>
        <v>0</v>
      </c>
      <c r="FK590" s="9" t="n">
        <f aca="true">IFERROR(SUMPRODUCT(OFFSET($BJ$31,0,1-MIN(60,COLUMN()-29),1,MIN(60,COLUMN()-29)),OFFSET(FK589,0,-MIN(60,COLUMN()-29),1,MIN(60,COLUMN()-29))),0)</f>
        <v>0</v>
      </c>
      <c r="FL590" s="9" t="n">
        <f aca="true">IFERROR(SUMPRODUCT(OFFSET($BJ$31,0,1-MIN(60,COLUMN()-29),1,MIN(60,COLUMN()-29)),OFFSET(FL589,0,-MIN(60,COLUMN()-29),1,MIN(60,COLUMN()-29))),0)</f>
        <v>0</v>
      </c>
      <c r="FM590" s="9" t="n">
        <f aca="true">IFERROR(SUMPRODUCT(OFFSET($BJ$31,0,1-MIN(60,COLUMN()-29),1,MIN(60,COLUMN()-29)),OFFSET(FM589,0,-MIN(60,COLUMN()-29),1,MIN(60,COLUMN()-29))),0)</f>
        <v>0</v>
      </c>
      <c r="FN590" s="9" t="n">
        <f aca="true">IFERROR(SUMPRODUCT(OFFSET($BJ$31,0,1-MIN(60,COLUMN()-29),1,MIN(60,COLUMN()-29)),OFFSET(FN589,0,-MIN(60,COLUMN()-29),1,MIN(60,COLUMN()-29))),0)</f>
        <v>0</v>
      </c>
      <c r="FO590" s="9" t="n">
        <f aca="true">IFERROR(SUMPRODUCT(OFFSET($BJ$31,0,1-MIN(60,COLUMN()-29),1,MIN(60,COLUMN()-29)),OFFSET(FO589,0,-MIN(60,COLUMN()-29),1,MIN(60,COLUMN()-29))),0)</f>
        <v>0</v>
      </c>
      <c r="FP590" s="9" t="n">
        <f aca="true">IFERROR(SUMPRODUCT(OFFSET($BJ$31,0,1-MIN(60,COLUMN()-29),1,MIN(60,COLUMN()-29)),OFFSET(FP589,0,-MIN(60,COLUMN()-29),1,MIN(60,COLUMN()-29))),0)</f>
        <v>0</v>
      </c>
    </row>
    <row r="591" customFormat="false" ht="15" hidden="false" customHeight="false" outlineLevel="2" collapsed="false">
      <c r="B591" s="90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237"/>
      <c r="AD591" s="237"/>
      <c r="AE591" s="237"/>
      <c r="AF591" s="237"/>
      <c r="AG591" s="237"/>
      <c r="AH591" s="237"/>
      <c r="AI591" s="237"/>
      <c r="AJ591" s="237"/>
      <c r="AK591" s="237"/>
      <c r="AL591" s="237"/>
      <c r="AM591" s="237"/>
      <c r="AN591" s="237"/>
      <c r="AO591" s="237"/>
      <c r="AP591" s="237"/>
      <c r="AQ591" s="237"/>
      <c r="AR591" s="237"/>
      <c r="AS591" s="237"/>
      <c r="AT591" s="237"/>
      <c r="AU591" s="237"/>
      <c r="AV591" s="237"/>
      <c r="AW591" s="237"/>
      <c r="AX591" s="237"/>
      <c r="AY591" s="237"/>
      <c r="AZ591" s="237"/>
      <c r="BA591" s="237"/>
      <c r="BB591" s="237"/>
      <c r="BC591" s="237"/>
      <c r="BD591" s="237"/>
      <c r="BE591" s="237"/>
      <c r="BF591" s="237"/>
      <c r="BG591" s="237"/>
      <c r="BH591" s="237"/>
      <c r="BI591" s="237"/>
      <c r="BJ591" s="237"/>
      <c r="BK591" s="237"/>
      <c r="BL591" s="237"/>
      <c r="BM591" s="237"/>
      <c r="BN591" s="237"/>
      <c r="BO591" s="237"/>
      <c r="BP591" s="237"/>
      <c r="BQ591" s="237"/>
      <c r="BR591" s="237"/>
      <c r="BS591" s="237"/>
      <c r="BT591" s="237"/>
      <c r="BU591" s="237"/>
      <c r="BV591" s="237"/>
      <c r="BW591" s="237"/>
      <c r="BX591" s="237"/>
      <c r="BY591" s="237"/>
      <c r="BZ591" s="237"/>
      <c r="CA591" s="237"/>
      <c r="CB591" s="237"/>
      <c r="CC591" s="237"/>
      <c r="CD591" s="237"/>
      <c r="CE591" s="237"/>
      <c r="CF591" s="237"/>
      <c r="CG591" s="237"/>
      <c r="CH591" s="237"/>
      <c r="CI591" s="237"/>
      <c r="CJ591" s="237"/>
      <c r="CK591" s="237"/>
      <c r="CL591" s="237"/>
      <c r="CM591" s="237"/>
      <c r="CN591" s="237"/>
      <c r="CO591" s="237"/>
      <c r="CP591" s="237"/>
      <c r="CQ591" s="237"/>
      <c r="CR591" s="237"/>
      <c r="CS591" s="237"/>
      <c r="CT591" s="237"/>
      <c r="CU591" s="237"/>
      <c r="CV591" s="237"/>
      <c r="CW591" s="237"/>
      <c r="CX591" s="237"/>
      <c r="CY591" s="237"/>
      <c r="CZ591" s="237"/>
      <c r="DA591" s="237"/>
      <c r="DB591" s="237"/>
      <c r="DC591" s="237"/>
      <c r="DD591" s="237"/>
      <c r="DE591" s="237"/>
      <c r="DF591" s="237"/>
      <c r="DG591" s="237"/>
      <c r="DH591" s="237"/>
      <c r="DI591" s="237"/>
      <c r="DJ591" s="237"/>
      <c r="DK591" s="237"/>
      <c r="DL591" s="237"/>
      <c r="DM591" s="237"/>
      <c r="DN591" s="237"/>
      <c r="DO591" s="237"/>
      <c r="DP591" s="237"/>
      <c r="DQ591" s="237"/>
      <c r="DR591" s="237"/>
      <c r="DS591" s="237"/>
      <c r="DT591" s="237"/>
      <c r="DU591" s="237"/>
      <c r="DV591" s="237"/>
      <c r="DW591" s="237"/>
      <c r="DX591" s="237"/>
      <c r="DY591" s="237"/>
      <c r="DZ591" s="237"/>
      <c r="EA591" s="237"/>
      <c r="EB591" s="237"/>
      <c r="EC591" s="237"/>
      <c r="ED591" s="237"/>
      <c r="EE591" s="237"/>
      <c r="EF591" s="237"/>
      <c r="EG591" s="237"/>
      <c r="EH591" s="237"/>
      <c r="EI591" s="237"/>
      <c r="EJ591" s="237"/>
      <c r="EK591" s="237"/>
      <c r="EL591" s="237"/>
      <c r="EM591" s="237"/>
      <c r="EN591" s="237"/>
      <c r="EO591" s="237"/>
      <c r="EP591" s="237"/>
      <c r="EQ591" s="237"/>
      <c r="ER591" s="237"/>
      <c r="ES591" s="9"/>
      <c r="ET591" s="9"/>
      <c r="EU591" s="9"/>
      <c r="EV591" s="9"/>
      <c r="EW591" s="9"/>
      <c r="EX591" s="9"/>
      <c r="EY591" s="9"/>
      <c r="EZ591" s="9"/>
      <c r="FA591" s="9"/>
      <c r="FB591" s="9"/>
      <c r="FC591" s="9"/>
      <c r="FD591" s="9"/>
      <c r="FE591" s="9"/>
      <c r="FF591" s="9"/>
      <c r="FG591" s="9"/>
      <c r="FH591" s="9"/>
      <c r="FI591" s="9"/>
      <c r="FJ591" s="9"/>
      <c r="FK591" s="9"/>
      <c r="FL591" s="9"/>
      <c r="FM591" s="9"/>
      <c r="FN591" s="9"/>
      <c r="FO591" s="9"/>
      <c r="FP591" s="9"/>
    </row>
    <row r="592" customFormat="false" ht="15" hidden="false" customHeight="false" outlineLevel="2" collapsed="false">
      <c r="B592" s="240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237"/>
      <c r="AD592" s="237"/>
      <c r="AE592" s="237"/>
      <c r="AF592" s="237"/>
      <c r="AG592" s="237"/>
      <c r="AH592" s="237"/>
      <c r="AI592" s="237"/>
      <c r="AJ592" s="237"/>
      <c r="AK592" s="237"/>
      <c r="AL592" s="237"/>
      <c r="AM592" s="237"/>
      <c r="AN592" s="237"/>
      <c r="AO592" s="237"/>
      <c r="AP592" s="237"/>
      <c r="AQ592" s="237"/>
      <c r="AR592" s="237"/>
      <c r="AS592" s="237"/>
      <c r="AT592" s="237"/>
      <c r="AU592" s="237"/>
      <c r="AV592" s="237"/>
      <c r="AW592" s="237"/>
      <c r="AX592" s="237"/>
      <c r="AY592" s="237"/>
      <c r="AZ592" s="237"/>
      <c r="BA592" s="237"/>
      <c r="BB592" s="237"/>
      <c r="BC592" s="237"/>
      <c r="BD592" s="237"/>
      <c r="BE592" s="237"/>
      <c r="BF592" s="237"/>
      <c r="BG592" s="237"/>
      <c r="BH592" s="237"/>
      <c r="BI592" s="237"/>
      <c r="BJ592" s="237"/>
      <c r="BK592" s="237"/>
      <c r="BL592" s="237"/>
      <c r="BM592" s="237"/>
      <c r="BN592" s="237"/>
      <c r="BO592" s="237"/>
      <c r="BP592" s="237"/>
      <c r="BQ592" s="237"/>
      <c r="BR592" s="237"/>
      <c r="BS592" s="237"/>
      <c r="BT592" s="237"/>
      <c r="BU592" s="237"/>
      <c r="BV592" s="237"/>
      <c r="BW592" s="237"/>
      <c r="BX592" s="237"/>
      <c r="BY592" s="237"/>
      <c r="BZ592" s="237"/>
      <c r="CA592" s="237"/>
      <c r="CB592" s="237"/>
      <c r="CC592" s="237"/>
      <c r="CD592" s="237"/>
      <c r="CE592" s="237"/>
      <c r="CF592" s="237"/>
      <c r="CG592" s="237"/>
      <c r="CH592" s="237"/>
      <c r="CI592" s="237"/>
      <c r="CJ592" s="237"/>
      <c r="CK592" s="237"/>
      <c r="CL592" s="237"/>
      <c r="CM592" s="237"/>
      <c r="CN592" s="237"/>
      <c r="CO592" s="237"/>
      <c r="CP592" s="237"/>
      <c r="CQ592" s="237"/>
      <c r="CR592" s="237"/>
      <c r="CS592" s="237"/>
      <c r="CT592" s="237"/>
      <c r="CU592" s="237"/>
      <c r="CV592" s="237"/>
      <c r="CW592" s="237"/>
      <c r="CX592" s="237"/>
      <c r="CY592" s="237"/>
      <c r="CZ592" s="237"/>
      <c r="DA592" s="237"/>
      <c r="DB592" s="237"/>
      <c r="DC592" s="237"/>
      <c r="DD592" s="237"/>
      <c r="DE592" s="237"/>
      <c r="DF592" s="237"/>
      <c r="DG592" s="237"/>
      <c r="DH592" s="237"/>
      <c r="DI592" s="237"/>
      <c r="DJ592" s="237"/>
      <c r="DK592" s="237"/>
      <c r="DL592" s="237"/>
      <c r="DM592" s="237"/>
      <c r="DN592" s="237"/>
      <c r="DO592" s="237"/>
      <c r="DP592" s="237"/>
      <c r="DQ592" s="237"/>
      <c r="DR592" s="237"/>
      <c r="DS592" s="237"/>
      <c r="DT592" s="237"/>
      <c r="DU592" s="237"/>
      <c r="DV592" s="237"/>
      <c r="DW592" s="237"/>
      <c r="DX592" s="237"/>
      <c r="DY592" s="237"/>
      <c r="DZ592" s="237"/>
      <c r="EA592" s="237"/>
      <c r="EB592" s="237"/>
      <c r="EC592" s="237"/>
      <c r="ED592" s="237"/>
      <c r="EE592" s="237"/>
      <c r="EF592" s="237"/>
      <c r="EG592" s="237"/>
      <c r="EH592" s="237"/>
      <c r="EI592" s="237"/>
      <c r="EJ592" s="237"/>
      <c r="EK592" s="237"/>
      <c r="EL592" s="237"/>
      <c r="EM592" s="237"/>
      <c r="EN592" s="237"/>
      <c r="EO592" s="237"/>
      <c r="EP592" s="237"/>
      <c r="EQ592" s="237"/>
      <c r="ER592" s="237"/>
      <c r="ES592" s="9"/>
      <c r="ET592" s="9"/>
      <c r="EU592" s="9"/>
      <c r="EV592" s="9"/>
      <c r="EW592" s="9"/>
      <c r="EX592" s="9"/>
      <c r="EY592" s="9"/>
      <c r="EZ592" s="9"/>
      <c r="FA592" s="9"/>
      <c r="FB592" s="9"/>
      <c r="FC592" s="9"/>
      <c r="FD592" s="9"/>
      <c r="FE592" s="9"/>
      <c r="FF592" s="9"/>
      <c r="FG592" s="9"/>
      <c r="FH592" s="9"/>
      <c r="FI592" s="9"/>
      <c r="FJ592" s="9"/>
      <c r="FK592" s="9"/>
      <c r="FL592" s="9"/>
      <c r="FM592" s="9"/>
      <c r="FN592" s="9"/>
      <c r="FO592" s="9"/>
      <c r="FP592" s="9"/>
    </row>
    <row r="593" customFormat="false" ht="15" hidden="false" customHeight="false" outlineLevel="2" collapsed="false">
      <c r="B593" s="21" t="s">
        <v>932</v>
      </c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  <c r="BZ593" s="21"/>
      <c r="CA593" s="21"/>
      <c r="CB593" s="21"/>
      <c r="CC593" s="21"/>
      <c r="CD593" s="21"/>
      <c r="CE593" s="21"/>
      <c r="CF593" s="21"/>
      <c r="CG593" s="21"/>
      <c r="CH593" s="21"/>
      <c r="CI593" s="21"/>
      <c r="CJ593" s="21"/>
      <c r="CK593" s="21"/>
      <c r="CL593" s="21"/>
      <c r="CM593" s="21"/>
      <c r="CN593" s="21"/>
      <c r="CO593" s="21"/>
      <c r="CP593" s="21"/>
      <c r="CQ593" s="21"/>
      <c r="CR593" s="21"/>
      <c r="CS593" s="21"/>
      <c r="CT593" s="21"/>
      <c r="CU593" s="21"/>
      <c r="CV593" s="21"/>
      <c r="CW593" s="21"/>
      <c r="CX593" s="21"/>
      <c r="CY593" s="21"/>
      <c r="CZ593" s="21"/>
      <c r="DA593" s="21"/>
      <c r="DB593" s="21"/>
      <c r="DC593" s="21"/>
      <c r="DD593" s="21"/>
      <c r="DE593" s="21"/>
      <c r="DF593" s="21"/>
      <c r="DG593" s="21"/>
      <c r="DH593" s="21"/>
      <c r="DI593" s="21"/>
      <c r="DJ593" s="21"/>
      <c r="DK593" s="21"/>
      <c r="DL593" s="21"/>
      <c r="DM593" s="21"/>
      <c r="DN593" s="21"/>
      <c r="DO593" s="21"/>
      <c r="DP593" s="21"/>
      <c r="DQ593" s="21"/>
      <c r="DR593" s="21"/>
      <c r="DS593" s="21"/>
      <c r="DT593" s="21"/>
      <c r="DU593" s="21"/>
      <c r="DV593" s="21"/>
      <c r="DW593" s="21"/>
      <c r="DX593" s="21"/>
      <c r="DY593" s="21"/>
      <c r="DZ593" s="21"/>
      <c r="EA593" s="21"/>
      <c r="EB593" s="21"/>
      <c r="EC593" s="21"/>
      <c r="ED593" s="21"/>
      <c r="EE593" s="21"/>
      <c r="EF593" s="21"/>
      <c r="EG593" s="21"/>
      <c r="EH593" s="21"/>
      <c r="EI593" s="21"/>
      <c r="EJ593" s="21"/>
      <c r="EK593" s="21"/>
      <c r="EL593" s="21"/>
      <c r="EM593" s="21"/>
      <c r="EN593" s="21"/>
      <c r="EO593" s="21"/>
      <c r="EP593" s="21"/>
      <c r="EQ593" s="21"/>
      <c r="ER593" s="21"/>
      <c r="ES593" s="9"/>
      <c r="ET593" s="9"/>
      <c r="EU593" s="9"/>
      <c r="EV593" s="9"/>
      <c r="EW593" s="9"/>
      <c r="EX593" s="9"/>
      <c r="EY593" s="9"/>
      <c r="EZ593" s="9"/>
      <c r="FA593" s="9"/>
      <c r="FB593" s="9"/>
      <c r="FC593" s="9"/>
      <c r="FD593" s="9"/>
      <c r="FE593" s="9"/>
      <c r="FF593" s="9"/>
      <c r="FG593" s="9"/>
      <c r="FH593" s="9"/>
      <c r="FI593" s="9"/>
      <c r="FJ593" s="9"/>
      <c r="FK593" s="9"/>
      <c r="FL593" s="9"/>
      <c r="FM593" s="9"/>
      <c r="FN593" s="9"/>
      <c r="FO593" s="9"/>
      <c r="FP593" s="9"/>
    </row>
    <row r="594" customFormat="false" ht="15" hidden="false" customHeight="false" outlineLevel="2" collapsed="false">
      <c r="B594" s="9" t="s">
        <v>872</v>
      </c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234" t="n">
        <f aca="false">('⑫ Roll-out Plan'!G64-2025)*12+'⑫ Roll-out Plan'!F64</f>
        <v>86</v>
      </c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9"/>
      <c r="CJ594" s="9"/>
      <c r="CK594" s="9"/>
      <c r="CL594" s="9"/>
      <c r="CM594" s="9"/>
      <c r="CN594" s="9"/>
      <c r="CO594" s="9"/>
      <c r="CP594" s="9"/>
      <c r="CQ594" s="9"/>
      <c r="CR594" s="9"/>
      <c r="CS594" s="9"/>
      <c r="CT594" s="9"/>
      <c r="CU594" s="9"/>
      <c r="CV594" s="9"/>
      <c r="CW594" s="9"/>
      <c r="CX594" s="9"/>
      <c r="CY594" s="9"/>
      <c r="CZ594" s="9"/>
      <c r="DA594" s="9"/>
      <c r="DB594" s="9"/>
      <c r="DC594" s="9"/>
      <c r="DD594" s="9"/>
      <c r="DE594" s="9"/>
      <c r="DF594" s="9"/>
      <c r="DG594" s="9"/>
      <c r="DH594" s="9"/>
      <c r="DI594" s="9"/>
      <c r="DJ594" s="9"/>
      <c r="DK594" s="9"/>
      <c r="DL594" s="9"/>
      <c r="DM594" s="9"/>
      <c r="DN594" s="9"/>
      <c r="DO594" s="9"/>
      <c r="DP594" s="9"/>
      <c r="DQ594" s="9"/>
      <c r="DR594" s="9"/>
      <c r="DS594" s="9"/>
      <c r="DT594" s="9"/>
      <c r="DU594" s="9"/>
      <c r="DV594" s="9"/>
      <c r="DW594" s="9"/>
      <c r="DX594" s="9"/>
      <c r="DY594" s="9"/>
      <c r="DZ594" s="9"/>
      <c r="EA594" s="9"/>
      <c r="EB594" s="9"/>
      <c r="EC594" s="9"/>
      <c r="ED594" s="9"/>
      <c r="EE594" s="9"/>
      <c r="EF594" s="9"/>
      <c r="EG594" s="9"/>
      <c r="EH594" s="9"/>
      <c r="EI594" s="9"/>
      <c r="EJ594" s="9"/>
      <c r="EK594" s="9"/>
      <c r="EL594" s="9"/>
      <c r="EM594" s="9"/>
      <c r="EN594" s="9"/>
      <c r="EO594" s="9"/>
      <c r="EP594" s="9"/>
      <c r="EQ594" s="9"/>
      <c r="ER594" s="9"/>
      <c r="ES594" s="9"/>
      <c r="ET594" s="9"/>
      <c r="EU594" s="9"/>
      <c r="EV594" s="9"/>
      <c r="EW594" s="9"/>
      <c r="EX594" s="9"/>
      <c r="EY594" s="9"/>
      <c r="EZ594" s="9"/>
      <c r="FA594" s="9"/>
      <c r="FB594" s="9"/>
      <c r="FC594" s="9"/>
      <c r="FD594" s="9"/>
      <c r="FE594" s="9"/>
      <c r="FF594" s="9"/>
      <c r="FG594" s="9"/>
      <c r="FH594" s="9"/>
      <c r="FI594" s="9"/>
      <c r="FJ594" s="9"/>
      <c r="FK594" s="9"/>
      <c r="FL594" s="9"/>
      <c r="FM594" s="9"/>
      <c r="FN594" s="9"/>
      <c r="FO594" s="9"/>
      <c r="FP594" s="9"/>
    </row>
    <row r="595" customFormat="false" ht="15" hidden="false" customHeight="false" outlineLevel="2" collapsed="false">
      <c r="B595" s="9" t="s">
        <v>873</v>
      </c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235" t="n">
        <f aca="false">VLOOKUP("A",$B$14:$C$18,2,FALSE())</f>
        <v>210</v>
      </c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9"/>
      <c r="CM595" s="9"/>
      <c r="CN595" s="9"/>
      <c r="CO595" s="9"/>
      <c r="CP595" s="9"/>
      <c r="CQ595" s="9"/>
      <c r="CR595" s="9"/>
      <c r="CS595" s="9"/>
      <c r="CT595" s="9"/>
      <c r="CU595" s="9"/>
      <c r="CV595" s="9"/>
      <c r="CW595" s="9"/>
      <c r="CX595" s="9"/>
      <c r="CY595" s="9"/>
      <c r="CZ595" s="9"/>
      <c r="DA595" s="9"/>
      <c r="DB595" s="9"/>
      <c r="DC595" s="9"/>
      <c r="DD595" s="9"/>
      <c r="DE595" s="9"/>
      <c r="DF595" s="9"/>
      <c r="DG595" s="9"/>
      <c r="DH595" s="9"/>
      <c r="DI595" s="9"/>
      <c r="DJ595" s="9"/>
      <c r="DK595" s="9"/>
      <c r="DL595" s="9"/>
      <c r="DM595" s="9"/>
      <c r="DN595" s="9"/>
      <c r="DO595" s="9"/>
      <c r="DP595" s="9"/>
      <c r="DQ595" s="9"/>
      <c r="DR595" s="9"/>
      <c r="DS595" s="9"/>
      <c r="DT595" s="9"/>
      <c r="DU595" s="9"/>
      <c r="DV595" s="9"/>
      <c r="DW595" s="9"/>
      <c r="DX595" s="9"/>
      <c r="DY595" s="9"/>
      <c r="DZ595" s="9"/>
      <c r="EA595" s="9"/>
      <c r="EB595" s="9"/>
      <c r="EC595" s="9"/>
      <c r="ED595" s="9"/>
      <c r="EE595" s="9"/>
      <c r="EF595" s="9"/>
      <c r="EG595" s="9"/>
      <c r="EH595" s="9"/>
      <c r="EI595" s="9"/>
      <c r="EJ595" s="9"/>
      <c r="EK595" s="9"/>
      <c r="EL595" s="9"/>
      <c r="EM595" s="9"/>
      <c r="EN595" s="9"/>
      <c r="EO595" s="9"/>
      <c r="EP595" s="9"/>
      <c r="EQ595" s="9"/>
      <c r="ER595" s="9"/>
      <c r="ES595" s="9"/>
      <c r="ET595" s="9"/>
      <c r="EU595" s="9"/>
      <c r="EV595" s="9"/>
      <c r="EW595" s="9"/>
      <c r="EX595" s="9"/>
      <c r="EY595" s="9"/>
      <c r="EZ595" s="9"/>
      <c r="FA595" s="9"/>
      <c r="FB595" s="9"/>
      <c r="FC595" s="9"/>
      <c r="FD595" s="9"/>
      <c r="FE595" s="9"/>
      <c r="FF595" s="9"/>
      <c r="FG595" s="9"/>
      <c r="FH595" s="9"/>
      <c r="FI595" s="9"/>
      <c r="FJ595" s="9"/>
      <c r="FK595" s="9"/>
      <c r="FL595" s="9"/>
      <c r="FM595" s="9"/>
      <c r="FN595" s="9"/>
      <c r="FO595" s="9"/>
      <c r="FP595" s="9"/>
    </row>
    <row r="596" customFormat="false" ht="15" hidden="false" customHeight="false" outlineLevel="2" collapsed="false">
      <c r="B596" s="9" t="s">
        <v>799</v>
      </c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63" t="n">
        <f aca="false">IF(AC$35&gt;=$AC$594,AC$35-$AC$594+1,0)</f>
        <v>0</v>
      </c>
      <c r="AD596" s="63" t="n">
        <f aca="false">IF(AD$35&gt;=$AC$594,AD$35-$AC$594+1,0)</f>
        <v>0</v>
      </c>
      <c r="AE596" s="63" t="n">
        <f aca="false">IF(AE$35&gt;=$AC$594,AE$35-$AC$594+1,0)</f>
        <v>0</v>
      </c>
      <c r="AF596" s="63" t="n">
        <f aca="false">IF(AF$35&gt;=$AC$594,AF$35-$AC$594+1,0)</f>
        <v>0</v>
      </c>
      <c r="AG596" s="63" t="n">
        <f aca="false">IF(AG$35&gt;=$AC$594,AG$35-$AC$594+1,0)</f>
        <v>0</v>
      </c>
      <c r="AH596" s="63" t="n">
        <f aca="false">IF(AH$35&gt;=$AC$594,AH$35-$AC$594+1,0)</f>
        <v>0</v>
      </c>
      <c r="AI596" s="63" t="n">
        <f aca="false">IF(AI$35&gt;=$AC$594,AI$35-$AC$594+1,0)</f>
        <v>0</v>
      </c>
      <c r="AJ596" s="63" t="n">
        <f aca="false">IF(AJ$35&gt;=$AC$594,AJ$35-$AC$594+1,0)</f>
        <v>0</v>
      </c>
      <c r="AK596" s="63" t="n">
        <f aca="false">IF(AK$35&gt;=$AC$594,AK$35-$AC$594+1,0)</f>
        <v>0</v>
      </c>
      <c r="AL596" s="63" t="n">
        <f aca="false">IF(AL$35&gt;=$AC$594,AL$35-$AC$594+1,0)</f>
        <v>0</v>
      </c>
      <c r="AM596" s="63" t="n">
        <f aca="false">IF(AM$35&gt;=$AC$594,AM$35-$AC$594+1,0)</f>
        <v>0</v>
      </c>
      <c r="AN596" s="63" t="n">
        <f aca="false">IF(AN$35&gt;=$AC$594,AN$35-$AC$594+1,0)</f>
        <v>0</v>
      </c>
      <c r="AO596" s="63" t="n">
        <f aca="false">IF(AO$35&gt;=$AC$594,AO$35-$AC$594+1,0)</f>
        <v>0</v>
      </c>
      <c r="AP596" s="63" t="n">
        <f aca="false">IF(AP$35&gt;=$AC$594,AP$35-$AC$594+1,0)</f>
        <v>0</v>
      </c>
      <c r="AQ596" s="63" t="n">
        <f aca="false">IF(AQ$35&gt;=$AC$594,AQ$35-$AC$594+1,0)</f>
        <v>0</v>
      </c>
      <c r="AR596" s="63" t="n">
        <f aca="false">IF(AR$35&gt;=$AC$594,AR$35-$AC$594+1,0)</f>
        <v>0</v>
      </c>
      <c r="AS596" s="63" t="n">
        <f aca="false">IF(AS$35&gt;=$AC$594,AS$35-$AC$594+1,0)</f>
        <v>0</v>
      </c>
      <c r="AT596" s="63" t="n">
        <f aca="false">IF(AT$35&gt;=$AC$594,AT$35-$AC$594+1,0)</f>
        <v>0</v>
      </c>
      <c r="AU596" s="63" t="n">
        <f aca="false">IF(AU$35&gt;=$AC$594,AU$35-$AC$594+1,0)</f>
        <v>0</v>
      </c>
      <c r="AV596" s="63" t="n">
        <f aca="false">IF(AV$35&gt;=$AC$594,AV$35-$AC$594+1,0)</f>
        <v>0</v>
      </c>
      <c r="AW596" s="63" t="n">
        <f aca="false">IF(AW$35&gt;=$AC$594,AW$35-$AC$594+1,0)</f>
        <v>0</v>
      </c>
      <c r="AX596" s="63" t="n">
        <f aca="false">IF(AX$35&gt;=$AC$594,AX$35-$AC$594+1,0)</f>
        <v>0</v>
      </c>
      <c r="AY596" s="63" t="n">
        <f aca="false">IF(AY$35&gt;=$AC$594,AY$35-$AC$594+1,0)</f>
        <v>0</v>
      </c>
      <c r="AZ596" s="63" t="n">
        <f aca="false">IF(AZ$35&gt;=$AC$594,AZ$35-$AC$594+1,0)</f>
        <v>0</v>
      </c>
      <c r="BA596" s="63" t="n">
        <f aca="false">IF(BA$35&gt;=$AC$594,BA$35-$AC$594+1,0)</f>
        <v>0</v>
      </c>
      <c r="BB596" s="63" t="n">
        <f aca="false">IF(BB$35&gt;=$AC$594,BB$35-$AC$594+1,0)</f>
        <v>0</v>
      </c>
      <c r="BC596" s="63" t="n">
        <f aca="false">IF(BC$35&gt;=$AC$594,BC$35-$AC$594+1,0)</f>
        <v>0</v>
      </c>
      <c r="BD596" s="63" t="n">
        <f aca="false">IF(BD$35&gt;=$AC$594,BD$35-$AC$594+1,0)</f>
        <v>0</v>
      </c>
      <c r="BE596" s="63" t="n">
        <f aca="false">IF(BE$35&gt;=$AC$594,BE$35-$AC$594+1,0)</f>
        <v>0</v>
      </c>
      <c r="BF596" s="63" t="n">
        <f aca="false">IF(BF$35&gt;=$AC$594,BF$35-$AC$594+1,0)</f>
        <v>0</v>
      </c>
      <c r="BG596" s="63" t="n">
        <f aca="false">IF(BG$35&gt;=$AC$594,BG$35-$AC$594+1,0)</f>
        <v>0</v>
      </c>
      <c r="BH596" s="63" t="n">
        <f aca="false">IF(BH$35&gt;=$AC$594,BH$35-$AC$594+1,0)</f>
        <v>0</v>
      </c>
      <c r="BI596" s="63" t="n">
        <f aca="false">IF(BI$35&gt;=$AC$594,BI$35-$AC$594+1,0)</f>
        <v>0</v>
      </c>
      <c r="BJ596" s="63" t="n">
        <f aca="false">IF(BJ$35&gt;=$AC$594,BJ$35-$AC$594+1,0)</f>
        <v>0</v>
      </c>
      <c r="BK596" s="63" t="n">
        <f aca="false">IF(BK$35&gt;=$AC$594,BK$35-$AC$594+1,0)</f>
        <v>0</v>
      </c>
      <c r="BL596" s="63" t="n">
        <f aca="false">IF(BL$35&gt;=$AC$594,BL$35-$AC$594+1,0)</f>
        <v>0</v>
      </c>
      <c r="BM596" s="63" t="n">
        <f aca="false">IF(BM$35&gt;=$AC$594,BM$35-$AC$594+1,0)</f>
        <v>0</v>
      </c>
      <c r="BN596" s="63" t="n">
        <f aca="false">IF(BN$35&gt;=$AC$594,BN$35-$AC$594+1,0)</f>
        <v>0</v>
      </c>
      <c r="BO596" s="63" t="n">
        <f aca="false">IF(BO$35&gt;=$AC$594,BO$35-$AC$594+1,0)</f>
        <v>0</v>
      </c>
      <c r="BP596" s="63" t="n">
        <f aca="false">IF(BP$35&gt;=$AC$594,BP$35-$AC$594+1,0)</f>
        <v>0</v>
      </c>
      <c r="BQ596" s="63" t="n">
        <f aca="false">IF(BQ$35&gt;=$AC$594,BQ$35-$AC$594+1,0)</f>
        <v>0</v>
      </c>
      <c r="BR596" s="63" t="n">
        <f aca="false">IF(BR$35&gt;=$AC$594,BR$35-$AC$594+1,0)</f>
        <v>0</v>
      </c>
      <c r="BS596" s="63" t="n">
        <f aca="false">IF(BS$35&gt;=$AC$594,BS$35-$AC$594+1,0)</f>
        <v>0</v>
      </c>
      <c r="BT596" s="63" t="n">
        <f aca="false">IF(BT$35&gt;=$AC$594,BT$35-$AC$594+1,0)</f>
        <v>0</v>
      </c>
      <c r="BU596" s="63" t="n">
        <f aca="false">IF(BU$35&gt;=$AC$594,BU$35-$AC$594+1,0)</f>
        <v>0</v>
      </c>
      <c r="BV596" s="63" t="n">
        <f aca="false">IF(BV$35&gt;=$AC$594,BV$35-$AC$594+1,0)</f>
        <v>0</v>
      </c>
      <c r="BW596" s="63" t="n">
        <f aca="false">IF(BW$35&gt;=$AC$594,BW$35-$AC$594+1,0)</f>
        <v>0</v>
      </c>
      <c r="BX596" s="63" t="n">
        <f aca="false">IF(BX$35&gt;=$AC$594,BX$35-$AC$594+1,0)</f>
        <v>0</v>
      </c>
      <c r="BY596" s="63" t="n">
        <f aca="false">IF(BY$35&gt;=$AC$594,BY$35-$AC$594+1,0)</f>
        <v>0</v>
      </c>
      <c r="BZ596" s="63" t="n">
        <f aca="false">IF(BZ$35&gt;=$AC$594,BZ$35-$AC$594+1,0)</f>
        <v>0</v>
      </c>
      <c r="CA596" s="63" t="n">
        <f aca="false">IF(CA$35&gt;=$AC$594,CA$35-$AC$594+1,0)</f>
        <v>0</v>
      </c>
      <c r="CB596" s="63" t="n">
        <f aca="false">IF(CB$35&gt;=$AC$594,CB$35-$AC$594+1,0)</f>
        <v>0</v>
      </c>
      <c r="CC596" s="63" t="n">
        <f aca="false">IF(CC$35&gt;=$AC$594,CC$35-$AC$594+1,0)</f>
        <v>0</v>
      </c>
      <c r="CD596" s="63" t="n">
        <f aca="false">IF(CD$35&gt;=$AC$594,CD$35-$AC$594+1,0)</f>
        <v>0</v>
      </c>
      <c r="CE596" s="63" t="n">
        <f aca="false">IF(CE$35&gt;=$AC$594,CE$35-$AC$594+1,0)</f>
        <v>0</v>
      </c>
      <c r="CF596" s="63" t="n">
        <f aca="false">IF(CF$35&gt;=$AC$594,CF$35-$AC$594+1,0)</f>
        <v>0</v>
      </c>
      <c r="CG596" s="63" t="n">
        <f aca="false">IF(CG$35&gt;=$AC$594,CG$35-$AC$594+1,0)</f>
        <v>0</v>
      </c>
      <c r="CH596" s="63" t="n">
        <f aca="false">IF(CH$35&gt;=$AC$594,CH$35-$AC$594+1,0)</f>
        <v>0</v>
      </c>
      <c r="CI596" s="63" t="n">
        <f aca="false">IF(CI$35&gt;=$AC$594,CI$35-$AC$594+1,0)</f>
        <v>0</v>
      </c>
      <c r="CJ596" s="63" t="n">
        <f aca="false">IF(CJ$35&gt;=$AC$594,CJ$35-$AC$594+1,0)</f>
        <v>0</v>
      </c>
      <c r="CK596" s="63" t="n">
        <f aca="false">IF(CK$35&gt;=$AC$594,CK$35-$AC$594+1,0)</f>
        <v>0</v>
      </c>
      <c r="CL596" s="63" t="n">
        <f aca="false">IF(CL$35&gt;=$AC$594,CL$35-$AC$594+1,0)</f>
        <v>0</v>
      </c>
      <c r="CM596" s="63" t="n">
        <f aca="false">IF(CM$35&gt;=$AC$594,CM$35-$AC$594+1,0)</f>
        <v>0</v>
      </c>
      <c r="CN596" s="63" t="n">
        <f aca="false">IF(CN$35&gt;=$AC$594,CN$35-$AC$594+1,0)</f>
        <v>0</v>
      </c>
      <c r="CO596" s="63" t="n">
        <f aca="false">IF(CO$35&gt;=$AC$594,CO$35-$AC$594+1,0)</f>
        <v>0</v>
      </c>
      <c r="CP596" s="63" t="n">
        <f aca="false">IF(CP$35&gt;=$AC$594,CP$35-$AC$594+1,0)</f>
        <v>0</v>
      </c>
      <c r="CQ596" s="63" t="n">
        <f aca="false">IF(CQ$35&gt;=$AC$594,CQ$35-$AC$594+1,0)</f>
        <v>0</v>
      </c>
      <c r="CR596" s="63" t="n">
        <f aca="false">IF(CR$35&gt;=$AC$594,CR$35-$AC$594+1,0)</f>
        <v>0</v>
      </c>
      <c r="CS596" s="63" t="n">
        <f aca="false">IF(CS$35&gt;=$AC$594,CS$35-$AC$594+1,0)</f>
        <v>0</v>
      </c>
      <c r="CT596" s="63" t="n">
        <f aca="false">IF(CT$35&gt;=$AC$594,CT$35-$AC$594+1,0)</f>
        <v>0</v>
      </c>
      <c r="CU596" s="63" t="n">
        <f aca="false">IF(CU$35&gt;=$AC$594,CU$35-$AC$594+1,0)</f>
        <v>0</v>
      </c>
      <c r="CV596" s="63" t="n">
        <f aca="false">IF(CV$35&gt;=$AC$594,CV$35-$AC$594+1,0)</f>
        <v>0</v>
      </c>
      <c r="CW596" s="63" t="n">
        <f aca="false">IF(CW$35&gt;=$AC$594,CW$35-$AC$594+1,0)</f>
        <v>0</v>
      </c>
      <c r="CX596" s="63" t="n">
        <f aca="false">IF(CX$35&gt;=$AC$594,CX$35-$AC$594+1,0)</f>
        <v>0</v>
      </c>
      <c r="CY596" s="63" t="n">
        <f aca="false">IF(CY$35&gt;=$AC$594,CY$35-$AC$594+1,0)</f>
        <v>0</v>
      </c>
      <c r="CZ596" s="63" t="n">
        <f aca="false">IF(CZ$35&gt;=$AC$594,CZ$35-$AC$594+1,0)</f>
        <v>0</v>
      </c>
      <c r="DA596" s="63" t="n">
        <f aca="false">IF(DA$35&gt;=$AC$594,DA$35-$AC$594+1,0)</f>
        <v>0</v>
      </c>
      <c r="DB596" s="63" t="n">
        <f aca="false">IF(DB$35&gt;=$AC$594,DB$35-$AC$594+1,0)</f>
        <v>0</v>
      </c>
      <c r="DC596" s="63" t="n">
        <f aca="false">IF(DC$35&gt;=$AC$594,DC$35-$AC$594+1,0)</f>
        <v>0</v>
      </c>
      <c r="DD596" s="63" t="n">
        <f aca="false">IF(DD$35&gt;=$AC$594,DD$35-$AC$594+1,0)</f>
        <v>0</v>
      </c>
      <c r="DE596" s="63" t="n">
        <f aca="false">IF(DE$35&gt;=$AC$594,DE$35-$AC$594+1,0)</f>
        <v>0</v>
      </c>
      <c r="DF596" s="63" t="n">
        <f aca="false">IF(DF$35&gt;=$AC$594,DF$35-$AC$594+1,0)</f>
        <v>0</v>
      </c>
      <c r="DG596" s="63" t="n">
        <f aca="false">IF(DG$35&gt;=$AC$594,DG$35-$AC$594+1,0)</f>
        <v>0</v>
      </c>
      <c r="DH596" s="63" t="n">
        <f aca="false">IF(DH$35&gt;=$AC$594,DH$35-$AC$594+1,0)</f>
        <v>0</v>
      </c>
      <c r="DI596" s="63" t="n">
        <f aca="false">IF(DI$35&gt;=$AC$594,DI$35-$AC$594+1,0)</f>
        <v>0</v>
      </c>
      <c r="DJ596" s="63" t="n">
        <f aca="false">IF(DJ$35&gt;=$AC$594,DJ$35-$AC$594+1,0)</f>
        <v>1</v>
      </c>
      <c r="DK596" s="63" t="n">
        <f aca="false">IF(DK$35&gt;=$AC$594,DK$35-$AC$594+1,0)</f>
        <v>2</v>
      </c>
      <c r="DL596" s="63" t="n">
        <f aca="false">IF(DL$35&gt;=$AC$594,DL$35-$AC$594+1,0)</f>
        <v>3</v>
      </c>
      <c r="DM596" s="63" t="n">
        <f aca="false">IF(DM$35&gt;=$AC$594,DM$35-$AC$594+1,0)</f>
        <v>4</v>
      </c>
      <c r="DN596" s="63" t="n">
        <f aca="false">IF(DN$35&gt;=$AC$594,DN$35-$AC$594+1,0)</f>
        <v>5</v>
      </c>
      <c r="DO596" s="63" t="n">
        <f aca="false">IF(DO$35&gt;=$AC$594,DO$35-$AC$594+1,0)</f>
        <v>6</v>
      </c>
      <c r="DP596" s="63" t="n">
        <f aca="false">IF(DP$35&gt;=$AC$594,DP$35-$AC$594+1,0)</f>
        <v>7</v>
      </c>
      <c r="DQ596" s="63" t="n">
        <f aca="false">IF(DQ$35&gt;=$AC$594,DQ$35-$AC$594+1,0)</f>
        <v>8</v>
      </c>
      <c r="DR596" s="63" t="n">
        <f aca="false">IF(DR$35&gt;=$AC$594,DR$35-$AC$594+1,0)</f>
        <v>9</v>
      </c>
      <c r="DS596" s="63" t="n">
        <f aca="false">IF(DS$35&gt;=$AC$594,DS$35-$AC$594+1,0)</f>
        <v>10</v>
      </c>
      <c r="DT596" s="63" t="n">
        <f aca="false">IF(DT$35&gt;=$AC$594,DT$35-$AC$594+1,0)</f>
        <v>11</v>
      </c>
      <c r="DU596" s="63" t="n">
        <f aca="false">IF(DU$35&gt;=$AC$594,DU$35-$AC$594+1,0)</f>
        <v>12</v>
      </c>
      <c r="DV596" s="63" t="n">
        <f aca="false">IF(DV$35&gt;=$AC$594,DV$35-$AC$594+1,0)</f>
        <v>13</v>
      </c>
      <c r="DW596" s="63" t="n">
        <f aca="false">IF(DW$35&gt;=$AC$594,DW$35-$AC$594+1,0)</f>
        <v>14</v>
      </c>
      <c r="DX596" s="63" t="n">
        <f aca="false">IF(DX$35&gt;=$AC$594,DX$35-$AC$594+1,0)</f>
        <v>15</v>
      </c>
      <c r="DY596" s="63" t="n">
        <f aca="false">IF(DY$35&gt;=$AC$594,DY$35-$AC$594+1,0)</f>
        <v>16</v>
      </c>
      <c r="DZ596" s="63" t="n">
        <f aca="false">IF(DZ$35&gt;=$AC$594,DZ$35-$AC$594+1,0)</f>
        <v>17</v>
      </c>
      <c r="EA596" s="63" t="n">
        <f aca="false">IF(EA$35&gt;=$AC$594,EA$35-$AC$594+1,0)</f>
        <v>18</v>
      </c>
      <c r="EB596" s="63" t="n">
        <f aca="false">IF(EB$35&gt;=$AC$594,EB$35-$AC$594+1,0)</f>
        <v>19</v>
      </c>
      <c r="EC596" s="63" t="n">
        <f aca="false">IF(EC$35&gt;=$AC$594,EC$35-$AC$594+1,0)</f>
        <v>20</v>
      </c>
      <c r="ED596" s="63" t="n">
        <f aca="false">IF(ED$35&gt;=$AC$594,ED$35-$AC$594+1,0)</f>
        <v>21</v>
      </c>
      <c r="EE596" s="63" t="n">
        <f aca="false">IF(EE$35&gt;=$AC$594,EE$35-$AC$594+1,0)</f>
        <v>22</v>
      </c>
      <c r="EF596" s="63" t="n">
        <f aca="false">IF(EF$35&gt;=$AC$594,EF$35-$AC$594+1,0)</f>
        <v>23</v>
      </c>
      <c r="EG596" s="63" t="n">
        <f aca="false">IF(EG$35&gt;=$AC$594,EG$35-$AC$594+1,0)</f>
        <v>24</v>
      </c>
      <c r="EH596" s="63" t="n">
        <f aca="false">IF(EH$35&gt;=$AC$594,EH$35-$AC$594+1,0)</f>
        <v>25</v>
      </c>
      <c r="EI596" s="63" t="n">
        <f aca="false">IF(EI$35&gt;=$AC$594,EI$35-$AC$594+1,0)</f>
        <v>26</v>
      </c>
      <c r="EJ596" s="63" t="n">
        <f aca="false">IF(EJ$35&gt;=$AC$594,EJ$35-$AC$594+1,0)</f>
        <v>27</v>
      </c>
      <c r="EK596" s="63" t="n">
        <f aca="false">IF(EK$35&gt;=$AC$594,EK$35-$AC$594+1,0)</f>
        <v>28</v>
      </c>
      <c r="EL596" s="63" t="n">
        <f aca="false">IF(EL$35&gt;=$AC$594,EL$35-$AC$594+1,0)</f>
        <v>29</v>
      </c>
      <c r="EM596" s="63" t="n">
        <f aca="false">IF(EM$35&gt;=$AC$594,EM$35-$AC$594+1,0)</f>
        <v>30</v>
      </c>
      <c r="EN596" s="63" t="n">
        <f aca="false">IF(EN$35&gt;=$AC$594,EN$35-$AC$594+1,0)</f>
        <v>31</v>
      </c>
      <c r="EO596" s="63" t="n">
        <f aca="false">IF(EO$35&gt;=$AC$594,EO$35-$AC$594+1,0)</f>
        <v>32</v>
      </c>
      <c r="EP596" s="63" t="n">
        <f aca="false">IF(EP$35&gt;=$AC$594,EP$35-$AC$594+1,0)</f>
        <v>33</v>
      </c>
      <c r="EQ596" s="63" t="n">
        <f aca="false">IF(EQ$35&gt;=$AC$594,EQ$35-$AC$594+1,0)</f>
        <v>34</v>
      </c>
      <c r="ER596" s="63" t="n">
        <f aca="false">IF(ER$35&gt;=$AC$594,ER$35-$AC$594+1,0)</f>
        <v>35</v>
      </c>
      <c r="ES596" s="9" t="n">
        <f aca="false">IF(ES$35&gt;=$AC$594,ES$35-$AC$594+1,0)</f>
        <v>36</v>
      </c>
      <c r="ET596" s="9" t="n">
        <f aca="false">IF(ET$35&gt;=$AC$594,ET$35-$AC$594+1,0)</f>
        <v>37</v>
      </c>
      <c r="EU596" s="9" t="n">
        <f aca="false">IF(EU$35&gt;=$AC$594,EU$35-$AC$594+1,0)</f>
        <v>38</v>
      </c>
      <c r="EV596" s="9" t="n">
        <f aca="false">IF(EV$35&gt;=$AC$594,EV$35-$AC$594+1,0)</f>
        <v>39</v>
      </c>
      <c r="EW596" s="9" t="n">
        <f aca="false">IF(EW$35&gt;=$AC$594,EW$35-$AC$594+1,0)</f>
        <v>40</v>
      </c>
      <c r="EX596" s="9" t="n">
        <f aca="false">IF(EX$35&gt;=$AC$594,EX$35-$AC$594+1,0)</f>
        <v>41</v>
      </c>
      <c r="EY596" s="9" t="n">
        <f aca="false">IF(EY$35&gt;=$AC$594,EY$35-$AC$594+1,0)</f>
        <v>42</v>
      </c>
      <c r="EZ596" s="9" t="n">
        <f aca="false">IF(EZ$35&gt;=$AC$594,EZ$35-$AC$594+1,0)</f>
        <v>43</v>
      </c>
      <c r="FA596" s="9" t="n">
        <f aca="false">IF(FA$35&gt;=$AC$594,FA$35-$AC$594+1,0)</f>
        <v>44</v>
      </c>
      <c r="FB596" s="9" t="n">
        <f aca="false">IF(FB$35&gt;=$AC$594,FB$35-$AC$594+1,0)</f>
        <v>45</v>
      </c>
      <c r="FC596" s="9" t="n">
        <f aca="false">IF(FC$35&gt;=$AC$594,FC$35-$AC$594+1,0)</f>
        <v>46</v>
      </c>
      <c r="FD596" s="9" t="n">
        <f aca="false">IF(FD$35&gt;=$AC$594,FD$35-$AC$594+1,0)</f>
        <v>47</v>
      </c>
      <c r="FE596" s="9" t="n">
        <f aca="false">IF(FE$35&gt;=$AC$594,FE$35-$AC$594+1,0)</f>
        <v>48</v>
      </c>
      <c r="FF596" s="9" t="n">
        <f aca="false">IF(FF$35&gt;=$AC$594,FF$35-$AC$594+1,0)</f>
        <v>49</v>
      </c>
      <c r="FG596" s="9" t="n">
        <f aca="false">IF(FG$35&gt;=$AC$594,FG$35-$AC$594+1,0)</f>
        <v>50</v>
      </c>
      <c r="FH596" s="9" t="n">
        <f aca="false">IF(FH$35&gt;=$AC$594,FH$35-$AC$594+1,0)</f>
        <v>51</v>
      </c>
      <c r="FI596" s="9" t="n">
        <f aca="false">IF(FI$35&gt;=$AC$594,FI$35-$AC$594+1,0)</f>
        <v>52</v>
      </c>
      <c r="FJ596" s="9" t="n">
        <f aca="false">IF(FJ$35&gt;=$AC$594,FJ$35-$AC$594+1,0)</f>
        <v>53</v>
      </c>
      <c r="FK596" s="9" t="n">
        <f aca="false">IF(FK$35&gt;=$AC$594,FK$35-$AC$594+1,0)</f>
        <v>54</v>
      </c>
      <c r="FL596" s="9" t="n">
        <f aca="false">IF(FL$35&gt;=$AC$594,FL$35-$AC$594+1,0)</f>
        <v>55</v>
      </c>
      <c r="FM596" s="9" t="n">
        <f aca="false">IF(FM$35&gt;=$AC$594,FM$35-$AC$594+1,0)</f>
        <v>56</v>
      </c>
      <c r="FN596" s="9" t="n">
        <f aca="false">IF(FN$35&gt;=$AC$594,FN$35-$AC$594+1,0)</f>
        <v>57</v>
      </c>
      <c r="FO596" s="9" t="n">
        <f aca="false">IF(FO$35&gt;=$AC$594,FO$35-$AC$594+1,0)</f>
        <v>58</v>
      </c>
      <c r="FP596" s="9" t="n">
        <f aca="false">IF(FP$35&gt;=$AC$594,FP$35-$AC$594+1,0)</f>
        <v>59</v>
      </c>
    </row>
    <row r="597" customFormat="false" ht="15" hidden="false" customHeight="false" outlineLevel="2" collapsed="false">
      <c r="B597" s="9" t="s">
        <v>874</v>
      </c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236" t="n">
        <f aca="false" t="array" ref="AC597:AC597">IF(AC596=0,0,IF(AC596/'🎚️ Escenario'!$C$11&gt;=36,$AL$23,INDEX($C$23:$AL$23,MAX(1,ROUNDUP(AC596/'🎚️ Escenario'!$C$11,0)))))</f>
        <v>0</v>
      </c>
      <c r="AD597" s="236" t="n">
        <f aca="false" t="array" ref="AD597:AD597">IF(AD596=0,0,IF(AD596/'🎚️ Escenario'!$C$11&gt;=36,$AL$23,INDEX($C$23:$AL$23,MAX(1,ROUNDUP(AD596/'🎚️ Escenario'!$C$11,0)))))</f>
        <v>0</v>
      </c>
      <c r="AE597" s="236" t="n">
        <f aca="false" t="array" ref="AE597:AE597">IF(AE596=0,0,IF(AE596/'🎚️ Escenario'!$C$11&gt;=36,$AL$23,INDEX($C$23:$AL$23,MAX(1,ROUNDUP(AE596/'🎚️ Escenario'!$C$11,0)))))</f>
        <v>0</v>
      </c>
      <c r="AF597" s="236" t="n">
        <f aca="false" t="array" ref="AF597:AF597">IF(AF596=0,0,IF(AF596/'🎚️ Escenario'!$C$11&gt;=36,$AL$23,INDEX($C$23:$AL$23,MAX(1,ROUNDUP(AF596/'🎚️ Escenario'!$C$11,0)))))</f>
        <v>0</v>
      </c>
      <c r="AG597" s="236" t="n">
        <f aca="false" t="array" ref="AG597:AG597">IF(AG596=0,0,IF(AG596/'🎚️ Escenario'!$C$11&gt;=36,$AL$23,INDEX($C$23:$AL$23,MAX(1,ROUNDUP(AG596/'🎚️ Escenario'!$C$11,0)))))</f>
        <v>0</v>
      </c>
      <c r="AH597" s="236" t="n">
        <f aca="false" t="array" ref="AH597:AH597">IF(AH596=0,0,IF(AH596/'🎚️ Escenario'!$C$11&gt;=36,$AL$23,INDEX($C$23:$AL$23,MAX(1,ROUNDUP(AH596/'🎚️ Escenario'!$C$11,0)))))</f>
        <v>0</v>
      </c>
      <c r="AI597" s="236" t="n">
        <f aca="false" t="array" ref="AI597:AI597">IF(AI596=0,0,IF(AI596/'🎚️ Escenario'!$C$11&gt;=36,$AL$23,INDEX($C$23:$AL$23,MAX(1,ROUNDUP(AI596/'🎚️ Escenario'!$C$11,0)))))</f>
        <v>0</v>
      </c>
      <c r="AJ597" s="236" t="n">
        <f aca="false" t="array" ref="AJ597:AJ597">IF(AJ596=0,0,IF(AJ596/'🎚️ Escenario'!$C$11&gt;=36,$AL$23,INDEX($C$23:$AL$23,MAX(1,ROUNDUP(AJ596/'🎚️ Escenario'!$C$11,0)))))</f>
        <v>0</v>
      </c>
      <c r="AK597" s="236" t="n">
        <f aca="false" t="array" ref="AK597:AK597">IF(AK596=0,0,IF(AK596/'🎚️ Escenario'!$C$11&gt;=36,$AL$23,INDEX($C$23:$AL$23,MAX(1,ROUNDUP(AK596/'🎚️ Escenario'!$C$11,0)))))</f>
        <v>0</v>
      </c>
      <c r="AL597" s="236" t="n">
        <f aca="false" t="array" ref="AL597:AL597">IF(AL596=0,0,IF(AL596/'🎚️ Escenario'!$C$11&gt;=36,$AL$23,INDEX($C$23:$AL$23,MAX(1,ROUNDUP(AL596/'🎚️ Escenario'!$C$11,0)))))</f>
        <v>0</v>
      </c>
      <c r="AM597" s="236" t="n">
        <f aca="false" t="array" ref="AM597:AM597">IF(AM596=0,0,IF(AM596/'🎚️ Escenario'!$C$11&gt;=36,$AL$23,INDEX($C$23:$AL$23,MAX(1,ROUNDUP(AM596/'🎚️ Escenario'!$C$11,0)))))</f>
        <v>0</v>
      </c>
      <c r="AN597" s="236" t="n">
        <f aca="false" t="array" ref="AN597:AN597">IF(AN596=0,0,IF(AN596/'🎚️ Escenario'!$C$11&gt;=36,$AL$23,INDEX($C$23:$AL$23,MAX(1,ROUNDUP(AN596/'🎚️ Escenario'!$C$11,0)))))</f>
        <v>0</v>
      </c>
      <c r="AO597" s="236" t="n">
        <f aca="false" t="array" ref="AO597:AO597">IF(AO596=0,0,IF(AO596/'🎚️ Escenario'!$C$11&gt;=36,$AL$23,INDEX($C$23:$AL$23,MAX(1,ROUNDUP(AO596/'🎚️ Escenario'!$C$11,0)))))</f>
        <v>0</v>
      </c>
      <c r="AP597" s="236" t="n">
        <f aca="false" t="array" ref="AP597:AP597">IF(AP596=0,0,IF(AP596/'🎚️ Escenario'!$C$11&gt;=36,$AL$23,INDEX($C$23:$AL$23,MAX(1,ROUNDUP(AP596/'🎚️ Escenario'!$C$11,0)))))</f>
        <v>0</v>
      </c>
      <c r="AQ597" s="236" t="n">
        <f aca="false" t="array" ref="AQ597:AQ597">IF(AQ596=0,0,IF(AQ596/'🎚️ Escenario'!$C$11&gt;=36,$AL$23,INDEX($C$23:$AL$23,MAX(1,ROUNDUP(AQ596/'🎚️ Escenario'!$C$11,0)))))</f>
        <v>0</v>
      </c>
      <c r="AR597" s="236" t="n">
        <f aca="false" t="array" ref="AR597:AR597">IF(AR596=0,0,IF(AR596/'🎚️ Escenario'!$C$11&gt;=36,$AL$23,INDEX($C$23:$AL$23,MAX(1,ROUNDUP(AR596/'🎚️ Escenario'!$C$11,0)))))</f>
        <v>0</v>
      </c>
      <c r="AS597" s="236" t="n">
        <f aca="false" t="array" ref="AS597:AS597">IF(AS596=0,0,IF(AS596/'🎚️ Escenario'!$C$11&gt;=36,$AL$23,INDEX($C$23:$AL$23,MAX(1,ROUNDUP(AS596/'🎚️ Escenario'!$C$11,0)))))</f>
        <v>0</v>
      </c>
      <c r="AT597" s="236" t="n">
        <f aca="false" t="array" ref="AT597:AT597">IF(AT596=0,0,IF(AT596/'🎚️ Escenario'!$C$11&gt;=36,$AL$23,INDEX($C$23:$AL$23,MAX(1,ROUNDUP(AT596/'🎚️ Escenario'!$C$11,0)))))</f>
        <v>0</v>
      </c>
      <c r="AU597" s="236" t="n">
        <f aca="false" t="array" ref="AU597:AU597">IF(AU596=0,0,IF(AU596/'🎚️ Escenario'!$C$11&gt;=36,$AL$23,INDEX($C$23:$AL$23,MAX(1,ROUNDUP(AU596/'🎚️ Escenario'!$C$11,0)))))</f>
        <v>0</v>
      </c>
      <c r="AV597" s="236" t="n">
        <f aca="false" t="array" ref="AV597:AV597">IF(AV596=0,0,IF(AV596/'🎚️ Escenario'!$C$11&gt;=36,$AL$23,INDEX($C$23:$AL$23,MAX(1,ROUNDUP(AV596/'🎚️ Escenario'!$C$11,0)))))</f>
        <v>0</v>
      </c>
      <c r="AW597" s="236" t="n">
        <f aca="false" t="array" ref="AW597:AW597">IF(AW596=0,0,IF(AW596/'🎚️ Escenario'!$C$11&gt;=36,$AL$23,INDEX($C$23:$AL$23,MAX(1,ROUNDUP(AW596/'🎚️ Escenario'!$C$11,0)))))</f>
        <v>0</v>
      </c>
      <c r="AX597" s="236" t="n">
        <f aca="false" t="array" ref="AX597:AX597">IF(AX596=0,0,IF(AX596/'🎚️ Escenario'!$C$11&gt;=36,$AL$23,INDEX($C$23:$AL$23,MAX(1,ROUNDUP(AX596/'🎚️ Escenario'!$C$11,0)))))</f>
        <v>0</v>
      </c>
      <c r="AY597" s="236" t="n">
        <f aca="false" t="array" ref="AY597:AY597">IF(AY596=0,0,IF(AY596/'🎚️ Escenario'!$C$11&gt;=36,$AL$23,INDEX($C$23:$AL$23,MAX(1,ROUNDUP(AY596/'🎚️ Escenario'!$C$11,0)))))</f>
        <v>0</v>
      </c>
      <c r="AZ597" s="236" t="n">
        <f aca="false" t="array" ref="AZ597:AZ597">IF(AZ596=0,0,IF(AZ596/'🎚️ Escenario'!$C$11&gt;=36,$AL$23,INDEX($C$23:$AL$23,MAX(1,ROUNDUP(AZ596/'🎚️ Escenario'!$C$11,0)))))</f>
        <v>0</v>
      </c>
      <c r="BA597" s="236" t="n">
        <f aca="false" t="array" ref="BA597:BA597">IF(BA596=0,0,IF(BA596/'🎚️ Escenario'!$C$11&gt;=36,$AL$23,INDEX($C$23:$AL$23,MAX(1,ROUNDUP(BA596/'🎚️ Escenario'!$C$11,0)))))</f>
        <v>0</v>
      </c>
      <c r="BB597" s="236" t="n">
        <f aca="false" t="array" ref="BB597:BB597">IF(BB596=0,0,IF(BB596/'🎚️ Escenario'!$C$11&gt;=36,$AL$23,INDEX($C$23:$AL$23,MAX(1,ROUNDUP(BB596/'🎚️ Escenario'!$C$11,0)))))</f>
        <v>0</v>
      </c>
      <c r="BC597" s="236" t="n">
        <f aca="false" t="array" ref="BC597:BC597">IF(BC596=0,0,IF(BC596/'🎚️ Escenario'!$C$11&gt;=36,$AL$23,INDEX($C$23:$AL$23,MAX(1,ROUNDUP(BC596/'🎚️ Escenario'!$C$11,0)))))</f>
        <v>0</v>
      </c>
      <c r="BD597" s="236" t="n">
        <f aca="false" t="array" ref="BD597:BD597">IF(BD596=0,0,IF(BD596/'🎚️ Escenario'!$C$11&gt;=36,$AL$23,INDEX($C$23:$AL$23,MAX(1,ROUNDUP(BD596/'🎚️ Escenario'!$C$11,0)))))</f>
        <v>0</v>
      </c>
      <c r="BE597" s="236" t="n">
        <f aca="false" t="array" ref="BE597:BE597">IF(BE596=0,0,IF(BE596/'🎚️ Escenario'!$C$11&gt;=36,$AL$23,INDEX($C$23:$AL$23,MAX(1,ROUNDUP(BE596/'🎚️ Escenario'!$C$11,0)))))</f>
        <v>0</v>
      </c>
      <c r="BF597" s="236" t="n">
        <f aca="false" t="array" ref="BF597:BF597">IF(BF596=0,0,IF(BF596/'🎚️ Escenario'!$C$11&gt;=36,$AL$23,INDEX($C$23:$AL$23,MAX(1,ROUNDUP(BF596/'🎚️ Escenario'!$C$11,0)))))</f>
        <v>0</v>
      </c>
      <c r="BG597" s="236" t="n">
        <f aca="false" t="array" ref="BG597:BG597">IF(BG596=0,0,IF(BG596/'🎚️ Escenario'!$C$11&gt;=36,$AL$23,INDEX($C$23:$AL$23,MAX(1,ROUNDUP(BG596/'🎚️ Escenario'!$C$11,0)))))</f>
        <v>0</v>
      </c>
      <c r="BH597" s="236" t="n">
        <f aca="false" t="array" ref="BH597:BH597">IF(BH596=0,0,IF(BH596/'🎚️ Escenario'!$C$11&gt;=36,$AL$23,INDEX($C$23:$AL$23,MAX(1,ROUNDUP(BH596/'🎚️ Escenario'!$C$11,0)))))</f>
        <v>0</v>
      </c>
      <c r="BI597" s="236" t="n">
        <f aca="false" t="array" ref="BI597:BI597">IF(BI596=0,0,IF(BI596/'🎚️ Escenario'!$C$11&gt;=36,$AL$23,INDEX($C$23:$AL$23,MAX(1,ROUNDUP(BI596/'🎚️ Escenario'!$C$11,0)))))</f>
        <v>0</v>
      </c>
      <c r="BJ597" s="236" t="n">
        <f aca="false" t="array" ref="BJ597:BJ597">IF(BJ596=0,0,IF(BJ596/'🎚️ Escenario'!$C$11&gt;=36,$AL$23,INDEX($C$23:$AL$23,MAX(1,ROUNDUP(BJ596/'🎚️ Escenario'!$C$11,0)))))</f>
        <v>0</v>
      </c>
      <c r="BK597" s="236" t="n">
        <f aca="false" t="array" ref="BK597:BK597">IF(BK596=0,0,IF(BK596/'🎚️ Escenario'!$C$11&gt;=36,$AL$23,INDEX($C$23:$AL$23,MAX(1,ROUNDUP(BK596/'🎚️ Escenario'!$C$11,0)))))</f>
        <v>0</v>
      </c>
      <c r="BL597" s="236" t="n">
        <f aca="false" t="array" ref="BL597:BL597">IF(BL596=0,0,IF(BL596/'🎚️ Escenario'!$C$11&gt;=36,$AL$23,INDEX($C$23:$AL$23,MAX(1,ROUNDUP(BL596/'🎚️ Escenario'!$C$11,0)))))</f>
        <v>0</v>
      </c>
      <c r="BM597" s="236" t="n">
        <f aca="false" t="array" ref="BM597:BM597">IF(BM596=0,0,IF(BM596/'🎚️ Escenario'!$C$11&gt;=36,$AL$23,INDEX($C$23:$AL$23,MAX(1,ROUNDUP(BM596/'🎚️ Escenario'!$C$11,0)))))</f>
        <v>0</v>
      </c>
      <c r="BN597" s="236" t="n">
        <f aca="false" t="array" ref="BN597:BN597">IF(BN596=0,0,IF(BN596/'🎚️ Escenario'!$C$11&gt;=36,$AL$23,INDEX($C$23:$AL$23,MAX(1,ROUNDUP(BN596/'🎚️ Escenario'!$C$11,0)))))</f>
        <v>0</v>
      </c>
      <c r="BO597" s="236" t="n">
        <f aca="false" t="array" ref="BO597:BO597">IF(BO596=0,0,IF(BO596/'🎚️ Escenario'!$C$11&gt;=36,$AL$23,INDEX($C$23:$AL$23,MAX(1,ROUNDUP(BO596/'🎚️ Escenario'!$C$11,0)))))</f>
        <v>0</v>
      </c>
      <c r="BP597" s="236" t="n">
        <f aca="false" t="array" ref="BP597:BP597">IF(BP596=0,0,IF(BP596/'🎚️ Escenario'!$C$11&gt;=36,$AL$23,INDEX($C$23:$AL$23,MAX(1,ROUNDUP(BP596/'🎚️ Escenario'!$C$11,0)))))</f>
        <v>0</v>
      </c>
      <c r="BQ597" s="236" t="n">
        <f aca="false" t="array" ref="BQ597:BQ597">IF(BQ596=0,0,IF(BQ596/'🎚️ Escenario'!$C$11&gt;=36,$AL$23,INDEX($C$23:$AL$23,MAX(1,ROUNDUP(BQ596/'🎚️ Escenario'!$C$11,0)))))</f>
        <v>0</v>
      </c>
      <c r="BR597" s="236" t="n">
        <f aca="false" t="array" ref="BR597:BR597">IF(BR596=0,0,IF(BR596/'🎚️ Escenario'!$C$11&gt;=36,$AL$23,INDEX($C$23:$AL$23,MAX(1,ROUNDUP(BR596/'🎚️ Escenario'!$C$11,0)))))</f>
        <v>0</v>
      </c>
      <c r="BS597" s="236" t="n">
        <f aca="false" t="array" ref="BS597:BS597">IF(BS596=0,0,IF(BS596/'🎚️ Escenario'!$C$11&gt;=36,$AL$23,INDEX($C$23:$AL$23,MAX(1,ROUNDUP(BS596/'🎚️ Escenario'!$C$11,0)))))</f>
        <v>0</v>
      </c>
      <c r="BT597" s="236" t="n">
        <f aca="false" t="array" ref="BT597:BT597">IF(BT596=0,0,IF(BT596/'🎚️ Escenario'!$C$11&gt;=36,$AL$23,INDEX($C$23:$AL$23,MAX(1,ROUNDUP(BT596/'🎚️ Escenario'!$C$11,0)))))</f>
        <v>0</v>
      </c>
      <c r="BU597" s="236" t="n">
        <f aca="false" t="array" ref="BU597:BU597">IF(BU596=0,0,IF(BU596/'🎚️ Escenario'!$C$11&gt;=36,$AL$23,INDEX($C$23:$AL$23,MAX(1,ROUNDUP(BU596/'🎚️ Escenario'!$C$11,0)))))</f>
        <v>0</v>
      </c>
      <c r="BV597" s="236" t="n">
        <f aca="false" t="array" ref="BV597:BV597">IF(BV596=0,0,IF(BV596/'🎚️ Escenario'!$C$11&gt;=36,$AL$23,INDEX($C$23:$AL$23,MAX(1,ROUNDUP(BV596/'🎚️ Escenario'!$C$11,0)))))</f>
        <v>0</v>
      </c>
      <c r="BW597" s="236" t="n">
        <f aca="false" t="array" ref="BW597:BW597">IF(BW596=0,0,IF(BW596/'🎚️ Escenario'!$C$11&gt;=36,$AL$23,INDEX($C$23:$AL$23,MAX(1,ROUNDUP(BW596/'🎚️ Escenario'!$C$11,0)))))</f>
        <v>0</v>
      </c>
      <c r="BX597" s="236" t="n">
        <f aca="false" t="array" ref="BX597:BX597">IF(BX596=0,0,IF(BX596/'🎚️ Escenario'!$C$11&gt;=36,$AL$23,INDEX($C$23:$AL$23,MAX(1,ROUNDUP(BX596/'🎚️ Escenario'!$C$11,0)))))</f>
        <v>0</v>
      </c>
      <c r="BY597" s="236" t="n">
        <f aca="false" t="array" ref="BY597:BY597">IF(BY596=0,0,IF(BY596/'🎚️ Escenario'!$C$11&gt;=36,$AL$23,INDEX($C$23:$AL$23,MAX(1,ROUNDUP(BY596/'🎚️ Escenario'!$C$11,0)))))</f>
        <v>0</v>
      </c>
      <c r="BZ597" s="236" t="n">
        <f aca="false" t="array" ref="BZ597:BZ597">IF(BZ596=0,0,IF(BZ596/'🎚️ Escenario'!$C$11&gt;=36,$AL$23,INDEX($C$23:$AL$23,MAX(1,ROUNDUP(BZ596/'🎚️ Escenario'!$C$11,0)))))</f>
        <v>0</v>
      </c>
      <c r="CA597" s="236" t="n">
        <f aca="false" t="array" ref="CA597:CA597">IF(CA596=0,0,IF(CA596/'🎚️ Escenario'!$C$11&gt;=36,$AL$23,INDEX($C$23:$AL$23,MAX(1,ROUNDUP(CA596/'🎚️ Escenario'!$C$11,0)))))</f>
        <v>0</v>
      </c>
      <c r="CB597" s="236" t="n">
        <f aca="false" t="array" ref="CB597:CB597">IF(CB596=0,0,IF(CB596/'🎚️ Escenario'!$C$11&gt;=36,$AL$23,INDEX($C$23:$AL$23,MAX(1,ROUNDUP(CB596/'🎚️ Escenario'!$C$11,0)))))</f>
        <v>0</v>
      </c>
      <c r="CC597" s="236" t="n">
        <f aca="false" t="array" ref="CC597:CC597">IF(CC596=0,0,IF(CC596/'🎚️ Escenario'!$C$11&gt;=36,$AL$23,INDEX($C$23:$AL$23,MAX(1,ROUNDUP(CC596/'🎚️ Escenario'!$C$11,0)))))</f>
        <v>0</v>
      </c>
      <c r="CD597" s="236" t="n">
        <f aca="false" t="array" ref="CD597:CD597">IF(CD596=0,0,IF(CD596/'🎚️ Escenario'!$C$11&gt;=36,$AL$23,INDEX($C$23:$AL$23,MAX(1,ROUNDUP(CD596/'🎚️ Escenario'!$C$11,0)))))</f>
        <v>0</v>
      </c>
      <c r="CE597" s="236" t="n">
        <f aca="false" t="array" ref="CE597:CE597">IF(CE596=0,0,IF(CE596/'🎚️ Escenario'!$C$11&gt;=36,$AL$23,INDEX($C$23:$AL$23,MAX(1,ROUNDUP(CE596/'🎚️ Escenario'!$C$11,0)))))</f>
        <v>0</v>
      </c>
      <c r="CF597" s="236" t="n">
        <f aca="false" t="array" ref="CF597:CF597">IF(CF596=0,0,IF(CF596/'🎚️ Escenario'!$C$11&gt;=36,$AL$23,INDEX($C$23:$AL$23,MAX(1,ROUNDUP(CF596/'🎚️ Escenario'!$C$11,0)))))</f>
        <v>0</v>
      </c>
      <c r="CG597" s="236" t="n">
        <f aca="false" t="array" ref="CG597:CG597">IF(CG596=0,0,IF(CG596/'🎚️ Escenario'!$C$11&gt;=36,$AL$23,INDEX($C$23:$AL$23,MAX(1,ROUNDUP(CG596/'🎚️ Escenario'!$C$11,0)))))</f>
        <v>0</v>
      </c>
      <c r="CH597" s="236" t="n">
        <f aca="false" t="array" ref="CH597:CH597">IF(CH596=0,0,IF(CH596/'🎚️ Escenario'!$C$11&gt;=36,$AL$23,INDEX($C$23:$AL$23,MAX(1,ROUNDUP(CH596/'🎚️ Escenario'!$C$11,0)))))</f>
        <v>0</v>
      </c>
      <c r="CI597" s="236" t="n">
        <f aca="false" t="array" ref="CI597:CI597">IF(CI596=0,0,IF(CI596/'🎚️ Escenario'!$C$11&gt;=36,$AL$23,INDEX($C$23:$AL$23,MAX(1,ROUNDUP(CI596/'🎚️ Escenario'!$C$11,0)))))</f>
        <v>0</v>
      </c>
      <c r="CJ597" s="236" t="n">
        <f aca="false" t="array" ref="CJ597:CJ597">IF(CJ596=0,0,IF(CJ596/'🎚️ Escenario'!$C$11&gt;=36,$AL$23,INDEX($C$23:$AL$23,MAX(1,ROUNDUP(CJ596/'🎚️ Escenario'!$C$11,0)))))</f>
        <v>0</v>
      </c>
      <c r="CK597" s="236" t="n">
        <f aca="false" t="array" ref="CK597:CK597">IF(CK596=0,0,IF(CK596/'🎚️ Escenario'!$C$11&gt;=36,$AL$23,INDEX($C$23:$AL$23,MAX(1,ROUNDUP(CK596/'🎚️ Escenario'!$C$11,0)))))</f>
        <v>0</v>
      </c>
      <c r="CL597" s="236" t="n">
        <f aca="false" t="array" ref="CL597:CL597">IF(CL596=0,0,IF(CL596/'🎚️ Escenario'!$C$11&gt;=36,$AL$23,INDEX($C$23:$AL$23,MAX(1,ROUNDUP(CL596/'🎚️ Escenario'!$C$11,0)))))</f>
        <v>0</v>
      </c>
      <c r="CM597" s="236" t="n">
        <f aca="false" t="array" ref="CM597:CM597">IF(CM596=0,0,IF(CM596/'🎚️ Escenario'!$C$11&gt;=36,$AL$23,INDEX($C$23:$AL$23,MAX(1,ROUNDUP(CM596/'🎚️ Escenario'!$C$11,0)))))</f>
        <v>0</v>
      </c>
      <c r="CN597" s="236" t="n">
        <f aca="false" t="array" ref="CN597:CN597">IF(CN596=0,0,IF(CN596/'🎚️ Escenario'!$C$11&gt;=36,$AL$23,INDEX($C$23:$AL$23,MAX(1,ROUNDUP(CN596/'🎚️ Escenario'!$C$11,0)))))</f>
        <v>0</v>
      </c>
      <c r="CO597" s="236" t="n">
        <f aca="false" t="array" ref="CO597:CO597">IF(CO596=0,0,IF(CO596/'🎚️ Escenario'!$C$11&gt;=36,$AL$23,INDEX($C$23:$AL$23,MAX(1,ROUNDUP(CO596/'🎚️ Escenario'!$C$11,0)))))</f>
        <v>0</v>
      </c>
      <c r="CP597" s="236" t="n">
        <f aca="false" t="array" ref="CP597:CP597">IF(CP596=0,0,IF(CP596/'🎚️ Escenario'!$C$11&gt;=36,$AL$23,INDEX($C$23:$AL$23,MAX(1,ROUNDUP(CP596/'🎚️ Escenario'!$C$11,0)))))</f>
        <v>0</v>
      </c>
      <c r="CQ597" s="236" t="n">
        <f aca="false" t="array" ref="CQ597:CQ597">IF(CQ596=0,0,IF(CQ596/'🎚️ Escenario'!$C$11&gt;=36,$AL$23,INDEX($C$23:$AL$23,MAX(1,ROUNDUP(CQ596/'🎚️ Escenario'!$C$11,0)))))</f>
        <v>0</v>
      </c>
      <c r="CR597" s="236" t="n">
        <f aca="false" t="array" ref="CR597:CR597">IF(CR596=0,0,IF(CR596/'🎚️ Escenario'!$C$11&gt;=36,$AL$23,INDEX($C$23:$AL$23,MAX(1,ROUNDUP(CR596/'🎚️ Escenario'!$C$11,0)))))</f>
        <v>0</v>
      </c>
      <c r="CS597" s="236" t="n">
        <f aca="false" t="array" ref="CS597:CS597">IF(CS596=0,0,IF(CS596/'🎚️ Escenario'!$C$11&gt;=36,$AL$23,INDEX($C$23:$AL$23,MAX(1,ROUNDUP(CS596/'🎚️ Escenario'!$C$11,0)))))</f>
        <v>0</v>
      </c>
      <c r="CT597" s="236" t="n">
        <f aca="false" t="array" ref="CT597:CT597">IF(CT596=0,0,IF(CT596/'🎚️ Escenario'!$C$11&gt;=36,$AL$23,INDEX($C$23:$AL$23,MAX(1,ROUNDUP(CT596/'🎚️ Escenario'!$C$11,0)))))</f>
        <v>0</v>
      </c>
      <c r="CU597" s="236" t="n">
        <f aca="false" t="array" ref="CU597:CU597">IF(CU596=0,0,IF(CU596/'🎚️ Escenario'!$C$11&gt;=36,$AL$23,INDEX($C$23:$AL$23,MAX(1,ROUNDUP(CU596/'🎚️ Escenario'!$C$11,0)))))</f>
        <v>0</v>
      </c>
      <c r="CV597" s="236" t="n">
        <f aca="false" t="array" ref="CV597:CV597">IF(CV596=0,0,IF(CV596/'🎚️ Escenario'!$C$11&gt;=36,$AL$23,INDEX($C$23:$AL$23,MAX(1,ROUNDUP(CV596/'🎚️ Escenario'!$C$11,0)))))</f>
        <v>0</v>
      </c>
      <c r="CW597" s="236" t="n">
        <f aca="false" t="array" ref="CW597:CW597">IF(CW596=0,0,IF(CW596/'🎚️ Escenario'!$C$11&gt;=36,$AL$23,INDEX($C$23:$AL$23,MAX(1,ROUNDUP(CW596/'🎚️ Escenario'!$C$11,0)))))</f>
        <v>0</v>
      </c>
      <c r="CX597" s="236" t="n">
        <f aca="false" t="array" ref="CX597:CX597">IF(CX596=0,0,IF(CX596/'🎚️ Escenario'!$C$11&gt;=36,$AL$23,INDEX($C$23:$AL$23,MAX(1,ROUNDUP(CX596/'🎚️ Escenario'!$C$11,0)))))</f>
        <v>0</v>
      </c>
      <c r="CY597" s="236" t="n">
        <f aca="false" t="array" ref="CY597:CY597">IF(CY596=0,0,IF(CY596/'🎚️ Escenario'!$C$11&gt;=36,$AL$23,INDEX($C$23:$AL$23,MAX(1,ROUNDUP(CY596/'🎚️ Escenario'!$C$11,0)))))</f>
        <v>0</v>
      </c>
      <c r="CZ597" s="236" t="n">
        <f aca="false" t="array" ref="CZ597:CZ597">IF(CZ596=0,0,IF(CZ596/'🎚️ Escenario'!$C$11&gt;=36,$AL$23,INDEX($C$23:$AL$23,MAX(1,ROUNDUP(CZ596/'🎚️ Escenario'!$C$11,0)))))</f>
        <v>0</v>
      </c>
      <c r="DA597" s="236" t="n">
        <f aca="false" t="array" ref="DA597:DA597">IF(DA596=0,0,IF(DA596/'🎚️ Escenario'!$C$11&gt;=36,$AL$23,INDEX($C$23:$AL$23,MAX(1,ROUNDUP(DA596/'🎚️ Escenario'!$C$11,0)))))</f>
        <v>0</v>
      </c>
      <c r="DB597" s="236" t="n">
        <f aca="false" t="array" ref="DB597:DB597">IF(DB596=0,0,IF(DB596/'🎚️ Escenario'!$C$11&gt;=36,$AL$23,INDEX($C$23:$AL$23,MAX(1,ROUNDUP(DB596/'🎚️ Escenario'!$C$11,0)))))</f>
        <v>0</v>
      </c>
      <c r="DC597" s="236" t="n">
        <f aca="false" t="array" ref="DC597:DC597">IF(DC596=0,0,IF(DC596/'🎚️ Escenario'!$C$11&gt;=36,$AL$23,INDEX($C$23:$AL$23,MAX(1,ROUNDUP(DC596/'🎚️ Escenario'!$C$11,0)))))</f>
        <v>0</v>
      </c>
      <c r="DD597" s="236" t="n">
        <f aca="false" t="array" ref="DD597:DD597">IF(DD596=0,0,IF(DD596/'🎚️ Escenario'!$C$11&gt;=36,$AL$23,INDEX($C$23:$AL$23,MAX(1,ROUNDUP(DD596/'🎚️ Escenario'!$C$11,0)))))</f>
        <v>0</v>
      </c>
      <c r="DE597" s="236" t="n">
        <f aca="false" t="array" ref="DE597:DE597">IF(DE596=0,0,IF(DE596/'🎚️ Escenario'!$C$11&gt;=36,$AL$23,INDEX($C$23:$AL$23,MAX(1,ROUNDUP(DE596/'🎚️ Escenario'!$C$11,0)))))</f>
        <v>0</v>
      </c>
      <c r="DF597" s="236" t="n">
        <f aca="false" t="array" ref="DF597:DF597">IF(DF596=0,0,IF(DF596/'🎚️ Escenario'!$C$11&gt;=36,$AL$23,INDEX($C$23:$AL$23,MAX(1,ROUNDUP(DF596/'🎚️ Escenario'!$C$11,0)))))</f>
        <v>0</v>
      </c>
      <c r="DG597" s="236" t="n">
        <f aca="false" t="array" ref="DG597:DG597">IF(DG596=0,0,IF(DG596/'🎚️ Escenario'!$C$11&gt;=36,$AL$23,INDEX($C$23:$AL$23,MAX(1,ROUNDUP(DG596/'🎚️ Escenario'!$C$11,0)))))</f>
        <v>0</v>
      </c>
      <c r="DH597" s="236" t="n">
        <f aca="false" t="array" ref="DH597:DH597">IF(DH596=0,0,IF(DH596/'🎚️ Escenario'!$C$11&gt;=36,$AL$23,INDEX($C$23:$AL$23,MAX(1,ROUNDUP(DH596/'🎚️ Escenario'!$C$11,0)))))</f>
        <v>0</v>
      </c>
      <c r="DI597" s="236" t="n">
        <f aca="false" t="array" ref="DI597:DI597">IF(DI596=0,0,IF(DI596/'🎚️ Escenario'!$C$11&gt;=36,$AL$23,INDEX($C$23:$AL$23,MAX(1,ROUNDUP(DI596/'🎚️ Escenario'!$C$11,0)))))</f>
        <v>0</v>
      </c>
      <c r="DJ597" s="236" t="n">
        <f aca="false" t="array" ref="DJ597:DJ597">IF(DJ596=0,0,IF(DJ596/'🎚️ Escenario'!$C$11&gt;=36,$AL$23,INDEX($C$23:$AL$23,MAX(1,ROUNDUP(DJ596/'🎚️ Escenario'!$C$11,0)))))</f>
        <v>0.2</v>
      </c>
      <c r="DK597" s="236" t="n">
        <f aca="false" t="array" ref="DK597:DK597">IF(DK596=0,0,IF(DK596/'🎚️ Escenario'!$C$11&gt;=36,$AL$23,INDEX($C$23:$AL$23,MAX(1,ROUNDUP(DK596/'🎚️ Escenario'!$C$11,0)))))</f>
        <v>0.22</v>
      </c>
      <c r="DL597" s="236" t="n">
        <f aca="false" t="array" ref="DL597:DL597">IF(DL596=0,0,IF(DL596/'🎚️ Escenario'!$C$11&gt;=36,$AL$23,INDEX($C$23:$AL$23,MAX(1,ROUNDUP(DL596/'🎚️ Escenario'!$C$11,0)))))</f>
        <v>0.24</v>
      </c>
      <c r="DM597" s="236" t="n">
        <f aca="false" t="array" ref="DM597:DM597">IF(DM596=0,0,IF(DM596/'🎚️ Escenario'!$C$11&gt;=36,$AL$23,INDEX($C$23:$AL$23,MAX(1,ROUNDUP(DM596/'🎚️ Escenario'!$C$11,0)))))</f>
        <v>0.27</v>
      </c>
      <c r="DN597" s="236" t="n">
        <f aca="false" t="array" ref="DN597:DN597">IF(DN596=0,0,IF(DN596/'🎚️ Escenario'!$C$11&gt;=36,$AL$23,INDEX($C$23:$AL$23,MAX(1,ROUNDUP(DN596/'🎚️ Escenario'!$C$11,0)))))</f>
        <v>0.27</v>
      </c>
      <c r="DO597" s="236" t="n">
        <f aca="false" t="array" ref="DO597:DO597">IF(DO596=0,0,IF(DO596/'🎚️ Escenario'!$C$11&gt;=36,$AL$23,INDEX($C$23:$AL$23,MAX(1,ROUNDUP(DO596/'🎚️ Escenario'!$C$11,0)))))</f>
        <v>0.31</v>
      </c>
      <c r="DP597" s="236" t="n">
        <f aca="false" t="array" ref="DP597:DP597">IF(DP596=0,0,IF(DP596/'🎚️ Escenario'!$C$11&gt;=36,$AL$23,INDEX($C$23:$AL$23,MAX(1,ROUNDUP(DP596/'🎚️ Escenario'!$C$11,0)))))</f>
        <v>0.35</v>
      </c>
      <c r="DQ597" s="236" t="n">
        <f aca="false" t="array" ref="DQ597:DQ597">IF(DQ596=0,0,IF(DQ596/'🎚️ Escenario'!$C$11&gt;=36,$AL$23,INDEX($C$23:$AL$23,MAX(1,ROUNDUP(DQ596/'🎚️ Escenario'!$C$11,0)))))</f>
        <v>0.39</v>
      </c>
      <c r="DR597" s="236" t="n">
        <f aca="false" t="array" ref="DR597:DR597">IF(DR596=0,0,IF(DR596/'🎚️ Escenario'!$C$11&gt;=36,$AL$23,INDEX($C$23:$AL$23,MAX(1,ROUNDUP(DR596/'🎚️ Escenario'!$C$11,0)))))</f>
        <v>0.44</v>
      </c>
      <c r="DS597" s="236" t="n">
        <f aca="false" t="array" ref="DS597:DS597">IF(DS596=0,0,IF(DS596/'🎚️ Escenario'!$C$11&gt;=36,$AL$23,INDEX($C$23:$AL$23,MAX(1,ROUNDUP(DS596/'🎚️ Escenario'!$C$11,0)))))</f>
        <v>0.44</v>
      </c>
      <c r="DT597" s="236" t="n">
        <f aca="false" t="array" ref="DT597:DT597">IF(DT596=0,0,IF(DT596/'🎚️ Escenario'!$C$11&gt;=36,$AL$23,INDEX($C$23:$AL$23,MAX(1,ROUNDUP(DT596/'🎚️ Escenario'!$C$11,0)))))</f>
        <v>0.48</v>
      </c>
      <c r="DU597" s="236" t="n">
        <f aca="false" t="array" ref="DU597:DU597">IF(DU596=0,0,IF(DU596/'🎚️ Escenario'!$C$11&gt;=36,$AL$23,INDEX($C$23:$AL$23,MAX(1,ROUNDUP(DU596/'🎚️ Escenario'!$C$11,0)))))</f>
        <v>0.52</v>
      </c>
      <c r="DV597" s="236" t="n">
        <f aca="false" t="array" ref="DV597:DV597">IF(DV596=0,0,IF(DV596/'🎚️ Escenario'!$C$11&gt;=36,$AL$23,INDEX($C$23:$AL$23,MAX(1,ROUNDUP(DV596/'🎚️ Escenario'!$C$11,0)))))</f>
        <v>0.56</v>
      </c>
      <c r="DW597" s="236" t="n">
        <f aca="false" t="array" ref="DW597:DW597">IF(DW596=0,0,IF(DW596/'🎚️ Escenario'!$C$11&gt;=36,$AL$23,INDEX($C$23:$AL$23,MAX(1,ROUNDUP(DW596/'🎚️ Escenario'!$C$11,0)))))</f>
        <v>0.6</v>
      </c>
      <c r="DX597" s="236" t="n">
        <f aca="false" t="array" ref="DX597:DX597">IF(DX596=0,0,IF(DX596/'🎚️ Escenario'!$C$11&gt;=36,$AL$23,INDEX($C$23:$AL$23,MAX(1,ROUNDUP(DX596/'🎚️ Escenario'!$C$11,0)))))</f>
        <v>0.6</v>
      </c>
      <c r="DY597" s="236" t="n">
        <f aca="false" t="array" ref="DY597:DY597">IF(DY596=0,0,IF(DY596/'🎚️ Escenario'!$C$11&gt;=36,$AL$23,INDEX($C$23:$AL$23,MAX(1,ROUNDUP(DY596/'🎚️ Escenario'!$C$11,0)))))</f>
        <v>0.63</v>
      </c>
      <c r="DZ597" s="236" t="n">
        <f aca="false" t="array" ref="DZ597:DZ597">IF(DZ596=0,0,IF(DZ596/'🎚️ Escenario'!$C$11&gt;=36,$AL$23,INDEX($C$23:$AL$23,MAX(1,ROUNDUP(DZ596/'🎚️ Escenario'!$C$11,0)))))</f>
        <v>0.66</v>
      </c>
      <c r="EA597" s="236" t="n">
        <f aca="false" t="array" ref="EA597:EA597">IF(EA596=0,0,IF(EA596/'🎚️ Escenario'!$C$11&gt;=36,$AL$23,INDEX($C$23:$AL$23,MAX(1,ROUNDUP(EA596/'🎚️ Escenario'!$C$11,0)))))</f>
        <v>0.69</v>
      </c>
      <c r="EB597" s="236" t="n">
        <f aca="false" t="array" ref="EB597:EB597">IF(EB596=0,0,IF(EB596/'🎚️ Escenario'!$C$11&gt;=36,$AL$23,INDEX($C$23:$AL$23,MAX(1,ROUNDUP(EB596/'🎚️ Escenario'!$C$11,0)))))</f>
        <v>0.71</v>
      </c>
      <c r="EC597" s="236" t="n">
        <f aca="false" t="array" ref="EC597:EC597">IF(EC596=0,0,IF(EC596/'🎚️ Escenario'!$C$11&gt;=36,$AL$23,INDEX($C$23:$AL$23,MAX(1,ROUNDUP(EC596/'🎚️ Escenario'!$C$11,0)))))</f>
        <v>0.71</v>
      </c>
      <c r="ED597" s="236" t="n">
        <f aca="false" t="array" ref="ED597:ED597">IF(ED596=0,0,IF(ED596/'🎚️ Escenario'!$C$11&gt;=36,$AL$23,INDEX($C$23:$AL$23,MAX(1,ROUNDUP(ED596/'🎚️ Escenario'!$C$11,0)))))</f>
        <v>0.73</v>
      </c>
      <c r="EE597" s="236" t="n">
        <f aca="false" t="array" ref="EE597:EE597">IF(EE596=0,0,IF(EE596/'🎚️ Escenario'!$C$11&gt;=36,$AL$23,INDEX($C$23:$AL$23,MAX(1,ROUNDUP(EE596/'🎚️ Escenario'!$C$11,0)))))</f>
        <v>0.75</v>
      </c>
      <c r="EF597" s="236" t="n">
        <f aca="false" t="array" ref="EF597:EF597">IF(EF596=0,0,IF(EF596/'🎚️ Escenario'!$C$11&gt;=36,$AL$23,INDEX($C$23:$AL$23,MAX(1,ROUNDUP(EF596/'🎚️ Escenario'!$C$11,0)))))</f>
        <v>0.77</v>
      </c>
      <c r="EG597" s="236" t="n">
        <f aca="false" t="array" ref="EG597:EG597">IF(EG596=0,0,IF(EG596/'🎚️ Escenario'!$C$11&gt;=36,$AL$23,INDEX($C$23:$AL$23,MAX(1,ROUNDUP(EG596/'🎚️ Escenario'!$C$11,0)))))</f>
        <v>0.79</v>
      </c>
      <c r="EH597" s="236" t="n">
        <f aca="false" t="array" ref="EH597:EH597">IF(EH596=0,0,IF(EH596/'🎚️ Escenario'!$C$11&gt;=36,$AL$23,INDEX($C$23:$AL$23,MAX(1,ROUNDUP(EH596/'🎚️ Escenario'!$C$11,0)))))</f>
        <v>0.79</v>
      </c>
      <c r="EI597" s="236" t="n">
        <f aca="false" t="array" ref="EI597:EI597">IF(EI596=0,0,IF(EI596/'🎚️ Escenario'!$C$11&gt;=36,$AL$23,INDEX($C$23:$AL$23,MAX(1,ROUNDUP(EI596/'🎚️ Escenario'!$C$11,0)))))</f>
        <v>0.8</v>
      </c>
      <c r="EJ597" s="236" t="n">
        <f aca="false" t="array" ref="EJ597:EJ597">IF(EJ596=0,0,IF(EJ596/'🎚️ Escenario'!$C$11&gt;=36,$AL$23,INDEX($C$23:$AL$23,MAX(1,ROUNDUP(EJ596/'🎚️ Escenario'!$C$11,0)))))</f>
        <v>0.82</v>
      </c>
      <c r="EK597" s="236" t="n">
        <f aca="false" t="array" ref="EK597:EK597">IF(EK596=0,0,IF(EK596/'🎚️ Escenario'!$C$11&gt;=36,$AL$23,INDEX($C$23:$AL$23,MAX(1,ROUNDUP(EK596/'🎚️ Escenario'!$C$11,0)))))</f>
        <v>0.84</v>
      </c>
      <c r="EL597" s="236" t="n">
        <f aca="false" t="array" ref="EL597:EL597">IF(EL596=0,0,IF(EL596/'🎚️ Escenario'!$C$11&gt;=36,$AL$23,INDEX($C$23:$AL$23,MAX(1,ROUNDUP(EL596/'🎚️ Escenario'!$C$11,0)))))</f>
        <v>0.85</v>
      </c>
      <c r="EM597" s="236" t="n">
        <f aca="false" t="array" ref="EM597:EM597">IF(EM596=0,0,IF(EM596/'🎚️ Escenario'!$C$11&gt;=36,$AL$23,INDEX($C$23:$AL$23,MAX(1,ROUNDUP(EM596/'🎚️ Escenario'!$C$11,0)))))</f>
        <v>0.85</v>
      </c>
      <c r="EN597" s="236" t="n">
        <f aca="false" t="array" ref="EN597:EN597">IF(EN596=0,0,IF(EN596/'🎚️ Escenario'!$C$11&gt;=36,$AL$23,INDEX($C$23:$AL$23,MAX(1,ROUNDUP(EN596/'🎚️ Escenario'!$C$11,0)))))</f>
        <v>0.86</v>
      </c>
      <c r="EO597" s="236" t="n">
        <f aca="false" t="array" ref="EO597:EO597">IF(EO596=0,0,IF(EO596/'🎚️ Escenario'!$C$11&gt;=36,$AL$23,INDEX($C$23:$AL$23,MAX(1,ROUNDUP(EO596/'🎚️ Escenario'!$C$11,0)))))</f>
        <v>0.88</v>
      </c>
      <c r="EP597" s="236" t="n">
        <f aca="false" t="array" ref="EP597:EP597">IF(EP596=0,0,IF(EP596/'🎚️ Escenario'!$C$11&gt;=36,$AL$23,INDEX($C$23:$AL$23,MAX(1,ROUNDUP(EP596/'🎚️ Escenario'!$C$11,0)))))</f>
        <v>0.89</v>
      </c>
      <c r="EQ597" s="236" t="n">
        <f aca="false" t="array" ref="EQ597:EQ597">IF(EQ596=0,0,IF(EQ596/'🎚️ Escenario'!$C$11&gt;=36,$AL$23,INDEX($C$23:$AL$23,MAX(1,ROUNDUP(EQ596/'🎚️ Escenario'!$C$11,0)))))</f>
        <v>0.9</v>
      </c>
      <c r="ER597" s="236" t="n">
        <f aca="false" t="array" ref="ER597:ER597">IF(ER596=0,0,IF(ER596/'🎚️ Escenario'!$C$11&gt;=36,$AL$23,INDEX($C$23:$AL$23,MAX(1,ROUNDUP(ER596/'🎚️ Escenario'!$C$11,0)))))</f>
        <v>0.9</v>
      </c>
      <c r="ES597" s="9" t="n">
        <f aca="false" t="array" ref="ES597:ES597">IF(ES596=0,0,IF(ES596/'🎚️ Escenario'!$C$11&gt;=36,$AL$23,INDEX($C$23:$AL$23,MAX(1,ROUNDUP(ES596/'🎚️ Escenario'!$C$11,0)))))</f>
        <v>0.92</v>
      </c>
      <c r="ET597" s="9" t="n">
        <f aca="false" t="array" ref="ET597:ET597">IF(ET596=0,0,IF(ET596/'🎚️ Escenario'!$C$11&gt;=36,$AL$23,INDEX($C$23:$AL$23,MAX(1,ROUNDUP(ET596/'🎚️ Escenario'!$C$11,0)))))</f>
        <v>0.93</v>
      </c>
      <c r="EU597" s="9" t="n">
        <f aca="false" t="array" ref="EU597:EU597">IF(EU596=0,0,IF(EU596/'🎚️ Escenario'!$C$11&gt;=36,$AL$23,INDEX($C$23:$AL$23,MAX(1,ROUNDUP(EU596/'🎚️ Escenario'!$C$11,0)))))</f>
        <v>0.94</v>
      </c>
      <c r="EV597" s="9" t="n">
        <f aca="false" t="array" ref="EV597:EV597">IF(EV596=0,0,IF(EV596/'🎚️ Escenario'!$C$11&gt;=36,$AL$23,INDEX($C$23:$AL$23,MAX(1,ROUNDUP(EV596/'🎚️ Escenario'!$C$11,0)))))</f>
        <v>0.95</v>
      </c>
      <c r="EW597" s="9" t="n">
        <f aca="false" t="array" ref="EW597:EW597">IF(EW596=0,0,IF(EW596/'🎚️ Escenario'!$C$11&gt;=36,$AL$23,INDEX($C$23:$AL$23,MAX(1,ROUNDUP(EW596/'🎚️ Escenario'!$C$11,0)))))</f>
        <v>0.95</v>
      </c>
      <c r="EX597" s="9" t="n">
        <f aca="false" t="array" ref="EX597:EX597">IF(EX596=0,0,IF(EX596/'🎚️ Escenario'!$C$11&gt;=36,$AL$23,INDEX($C$23:$AL$23,MAX(1,ROUNDUP(EX596/'🎚️ Escenario'!$C$11,0)))))</f>
        <v>0.97</v>
      </c>
      <c r="EY597" s="9" t="n">
        <f aca="false" t="array" ref="EY597:EY597">IF(EY596=0,0,IF(EY596/'🎚️ Escenario'!$C$11&gt;=36,$AL$23,INDEX($C$23:$AL$23,MAX(1,ROUNDUP(EY596/'🎚️ Escenario'!$C$11,0)))))</f>
        <v>0.98</v>
      </c>
      <c r="EZ597" s="9" t="n">
        <f aca="false" t="array" ref="EZ597:EZ597">IF(EZ596=0,0,IF(EZ596/'🎚️ Escenario'!$C$11&gt;=36,$AL$23,INDEX($C$23:$AL$23,MAX(1,ROUNDUP(EZ596/'🎚️ Escenario'!$C$11,0)))))</f>
        <v>0.99</v>
      </c>
      <c r="FA597" s="9" t="n">
        <f aca="false" t="array" ref="FA597:FA597">IF(FA596=0,0,IF(FA596/'🎚️ Escenario'!$C$11&gt;=36,$AL$23,INDEX($C$23:$AL$23,MAX(1,ROUNDUP(FA596/'🎚️ Escenario'!$C$11,0)))))</f>
        <v>1</v>
      </c>
      <c r="FB597" s="9" t="n">
        <f aca="false" t="array" ref="FB597:FB597">IF(FB596=0,0,IF(FB596/'🎚️ Escenario'!$C$11&gt;=36,$AL$23,INDEX($C$23:$AL$23,MAX(1,ROUNDUP(FB596/'🎚️ Escenario'!$C$11,0)))))</f>
        <v>1</v>
      </c>
      <c r="FC597" s="9" t="n">
        <f aca="false" t="array" ref="FC597:FC597">IF(FC596=0,0,IF(FC596/'🎚️ Escenario'!$C$11&gt;=36,$AL$23,INDEX($C$23:$AL$23,MAX(1,ROUNDUP(FC596/'🎚️ Escenario'!$C$11,0)))))</f>
        <v>1</v>
      </c>
      <c r="FD597" s="9" t="n">
        <f aca="false" t="array" ref="FD597:FD597">IF(FD596=0,0,IF(FD596/'🎚️ Escenario'!$C$11&gt;=36,$AL$23,INDEX($C$23:$AL$23,MAX(1,ROUNDUP(FD596/'🎚️ Escenario'!$C$11,0)))))</f>
        <v>1</v>
      </c>
      <c r="FE597" s="9" t="n">
        <f aca="false" t="array" ref="FE597:FE597">IF(FE596=0,0,IF(FE596/'🎚️ Escenario'!$C$11&gt;=36,$AL$23,INDEX($C$23:$AL$23,MAX(1,ROUNDUP(FE596/'🎚️ Escenario'!$C$11,0)))))</f>
        <v>1</v>
      </c>
      <c r="FF597" s="9" t="n">
        <f aca="false" t="array" ref="FF597:FF597">IF(FF596=0,0,IF(FF596/'🎚️ Escenario'!$C$11&gt;=36,$AL$23,INDEX($C$23:$AL$23,MAX(1,ROUNDUP(FF596/'🎚️ Escenario'!$C$11,0)))))</f>
        <v>1</v>
      </c>
      <c r="FG597" s="9" t="n">
        <f aca="false" t="array" ref="FG597:FG597">IF(FG596=0,0,IF(FG596/'🎚️ Escenario'!$C$11&gt;=36,$AL$23,INDEX($C$23:$AL$23,MAX(1,ROUNDUP(FG596/'🎚️ Escenario'!$C$11,0)))))</f>
        <v>1</v>
      </c>
      <c r="FH597" s="9" t="n">
        <f aca="false" t="array" ref="FH597:FH597">IF(FH596=0,0,IF(FH596/'🎚️ Escenario'!$C$11&gt;=36,$AL$23,INDEX($C$23:$AL$23,MAX(1,ROUNDUP(FH596/'🎚️ Escenario'!$C$11,0)))))</f>
        <v>1</v>
      </c>
      <c r="FI597" s="9" t="n">
        <f aca="false" t="array" ref="FI597:FI597">IF(FI596=0,0,IF(FI596/'🎚️ Escenario'!$C$11&gt;=36,$AL$23,INDEX($C$23:$AL$23,MAX(1,ROUNDUP(FI596/'🎚️ Escenario'!$C$11,0)))))</f>
        <v>1</v>
      </c>
      <c r="FJ597" s="9" t="n">
        <f aca="false" t="array" ref="FJ597:FJ597">IF(FJ596=0,0,IF(FJ596/'🎚️ Escenario'!$C$11&gt;=36,$AL$23,INDEX($C$23:$AL$23,MAX(1,ROUNDUP(FJ596/'🎚️ Escenario'!$C$11,0)))))</f>
        <v>1</v>
      </c>
      <c r="FK597" s="9" t="n">
        <f aca="false" t="array" ref="FK597:FK597">IF(FK596=0,0,IF(FK596/'🎚️ Escenario'!$C$11&gt;=36,$AL$23,INDEX($C$23:$AL$23,MAX(1,ROUNDUP(FK596/'🎚️ Escenario'!$C$11,0)))))</f>
        <v>1</v>
      </c>
      <c r="FL597" s="9" t="n">
        <f aca="false" t="array" ref="FL597:FL597">IF(FL596=0,0,IF(FL596/'🎚️ Escenario'!$C$11&gt;=36,$AL$23,INDEX($C$23:$AL$23,MAX(1,ROUNDUP(FL596/'🎚️ Escenario'!$C$11,0)))))</f>
        <v>1</v>
      </c>
      <c r="FM597" s="9" t="n">
        <f aca="false" t="array" ref="FM597:FM597">IF(FM596=0,0,IF(FM596/'🎚️ Escenario'!$C$11&gt;=36,$AL$23,INDEX($C$23:$AL$23,MAX(1,ROUNDUP(FM596/'🎚️ Escenario'!$C$11,0)))))</f>
        <v>1</v>
      </c>
      <c r="FN597" s="9" t="n">
        <f aca="false" t="array" ref="FN597:FN597">IF(FN596=0,0,IF(FN596/'🎚️ Escenario'!$C$11&gt;=36,$AL$23,INDEX($C$23:$AL$23,MAX(1,ROUNDUP(FN596/'🎚️ Escenario'!$C$11,0)))))</f>
        <v>1</v>
      </c>
      <c r="FO597" s="9" t="n">
        <f aca="false" t="array" ref="FO597:FO597">IF(FO596=0,0,IF(FO596/'🎚️ Escenario'!$C$11&gt;=36,$AL$23,INDEX($C$23:$AL$23,MAX(1,ROUNDUP(FO596/'🎚️ Escenario'!$C$11,0)))))</f>
        <v>1</v>
      </c>
      <c r="FP597" s="9" t="n">
        <f aca="false" t="array" ref="FP597:FP597">IF(FP596=0,0,IF(FP596/'🎚️ Escenario'!$C$11&gt;=36,$AL$23,INDEX($C$23:$AL$23,MAX(1,ROUNDUP(FP596/'🎚️ Escenario'!$C$11,0)))))</f>
        <v>1</v>
      </c>
    </row>
    <row r="598" customFormat="false" ht="15" hidden="false" customHeight="false" outlineLevel="2" collapsed="false">
      <c r="B598" s="9" t="s">
        <v>875</v>
      </c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237" t="n">
        <f aca="false">IF(AC596=0,0,IF(AC596&lt;=12*'🎚️ Escenario'!$C$11,1,1+$C$6))</f>
        <v>0</v>
      </c>
      <c r="AD598" s="237" t="n">
        <f aca="false">IF(AD596=0,0,IF(AD596&lt;=12*'🎚️ Escenario'!$C$11,1,1+$C$6))</f>
        <v>0</v>
      </c>
      <c r="AE598" s="237" t="n">
        <f aca="false">IF(AE596=0,0,IF(AE596&lt;=12*'🎚️ Escenario'!$C$11,1,1+$C$6))</f>
        <v>0</v>
      </c>
      <c r="AF598" s="237" t="n">
        <f aca="false">IF(AF596=0,0,IF(AF596&lt;=12*'🎚️ Escenario'!$C$11,1,1+$C$6))</f>
        <v>0</v>
      </c>
      <c r="AG598" s="237" t="n">
        <f aca="false">IF(AG596=0,0,IF(AG596&lt;=12*'🎚️ Escenario'!$C$11,1,1+$C$6))</f>
        <v>0</v>
      </c>
      <c r="AH598" s="237" t="n">
        <f aca="false">IF(AH596=0,0,IF(AH596&lt;=12*'🎚️ Escenario'!$C$11,1,1+$C$6))</f>
        <v>0</v>
      </c>
      <c r="AI598" s="237" t="n">
        <f aca="false">IF(AI596=0,0,IF(AI596&lt;=12*'🎚️ Escenario'!$C$11,1,1+$C$6))</f>
        <v>0</v>
      </c>
      <c r="AJ598" s="237" t="n">
        <f aca="false">IF(AJ596=0,0,IF(AJ596&lt;=12*'🎚️ Escenario'!$C$11,1,1+$C$6))</f>
        <v>0</v>
      </c>
      <c r="AK598" s="237" t="n">
        <f aca="false">IF(AK596=0,0,IF(AK596&lt;=12*'🎚️ Escenario'!$C$11,1,1+$C$6))</f>
        <v>0</v>
      </c>
      <c r="AL598" s="237" t="n">
        <f aca="false">IF(AL596=0,0,IF(AL596&lt;=12*'🎚️ Escenario'!$C$11,1,1+$C$6))</f>
        <v>0</v>
      </c>
      <c r="AM598" s="237" t="n">
        <f aca="false">IF(AM596=0,0,IF(AM596&lt;=12*'🎚️ Escenario'!$C$11,1,1+$C$6))</f>
        <v>0</v>
      </c>
      <c r="AN598" s="237" t="n">
        <f aca="false">IF(AN596=0,0,IF(AN596&lt;=12*'🎚️ Escenario'!$C$11,1,1+$C$6))</f>
        <v>0</v>
      </c>
      <c r="AO598" s="237" t="n">
        <f aca="false">IF(AO596=0,0,IF(AO596&lt;=12*'🎚️ Escenario'!$C$11,1,1+$C$6))</f>
        <v>0</v>
      </c>
      <c r="AP598" s="237" t="n">
        <f aca="false">IF(AP596=0,0,IF(AP596&lt;=12*'🎚️ Escenario'!$C$11,1,1+$C$6))</f>
        <v>0</v>
      </c>
      <c r="AQ598" s="237" t="n">
        <f aca="false">IF(AQ596=0,0,IF(AQ596&lt;=12*'🎚️ Escenario'!$C$11,1,1+$C$6))</f>
        <v>0</v>
      </c>
      <c r="AR598" s="237" t="n">
        <f aca="false">IF(AR596=0,0,IF(AR596&lt;=12*'🎚️ Escenario'!$C$11,1,1+$C$6))</f>
        <v>0</v>
      </c>
      <c r="AS598" s="237" t="n">
        <f aca="false">IF(AS596=0,0,IF(AS596&lt;=12*'🎚️ Escenario'!$C$11,1,1+$C$6))</f>
        <v>0</v>
      </c>
      <c r="AT598" s="237" t="n">
        <f aca="false">IF(AT596=0,0,IF(AT596&lt;=12*'🎚️ Escenario'!$C$11,1,1+$C$6))</f>
        <v>0</v>
      </c>
      <c r="AU598" s="237" t="n">
        <f aca="false">IF(AU596=0,0,IF(AU596&lt;=12*'🎚️ Escenario'!$C$11,1,1+$C$6))</f>
        <v>0</v>
      </c>
      <c r="AV598" s="237" t="n">
        <f aca="false">IF(AV596=0,0,IF(AV596&lt;=12*'🎚️ Escenario'!$C$11,1,1+$C$6))</f>
        <v>0</v>
      </c>
      <c r="AW598" s="237" t="n">
        <f aca="false">IF(AW596=0,0,IF(AW596&lt;=12*'🎚️ Escenario'!$C$11,1,1+$C$6))</f>
        <v>0</v>
      </c>
      <c r="AX598" s="237" t="n">
        <f aca="false">IF(AX596=0,0,IF(AX596&lt;=12*'🎚️ Escenario'!$C$11,1,1+$C$6))</f>
        <v>0</v>
      </c>
      <c r="AY598" s="237" t="n">
        <f aca="false">IF(AY596=0,0,IF(AY596&lt;=12*'🎚️ Escenario'!$C$11,1,1+$C$6))</f>
        <v>0</v>
      </c>
      <c r="AZ598" s="237" t="n">
        <f aca="false">IF(AZ596=0,0,IF(AZ596&lt;=12*'🎚️ Escenario'!$C$11,1,1+$C$6))</f>
        <v>0</v>
      </c>
      <c r="BA598" s="237" t="n">
        <f aca="false">IF(BA596=0,0,IF(BA596&lt;=12*'🎚️ Escenario'!$C$11,1,1+$C$6))</f>
        <v>0</v>
      </c>
      <c r="BB598" s="237" t="n">
        <f aca="false">IF(BB596=0,0,IF(BB596&lt;=12*'🎚️ Escenario'!$C$11,1,1+$C$6))</f>
        <v>0</v>
      </c>
      <c r="BC598" s="237" t="n">
        <f aca="false">IF(BC596=0,0,IF(BC596&lt;=12*'🎚️ Escenario'!$C$11,1,1+$C$6))</f>
        <v>0</v>
      </c>
      <c r="BD598" s="237" t="n">
        <f aca="false">IF(BD596=0,0,IF(BD596&lt;=12*'🎚️ Escenario'!$C$11,1,1+$C$6))</f>
        <v>0</v>
      </c>
      <c r="BE598" s="237" t="n">
        <f aca="false">IF(BE596=0,0,IF(BE596&lt;=12*'🎚️ Escenario'!$C$11,1,1+$C$6))</f>
        <v>0</v>
      </c>
      <c r="BF598" s="237" t="n">
        <f aca="false">IF(BF596=0,0,IF(BF596&lt;=12*'🎚️ Escenario'!$C$11,1,1+$C$6))</f>
        <v>0</v>
      </c>
      <c r="BG598" s="237" t="n">
        <f aca="false">IF(BG596=0,0,IF(BG596&lt;=12*'🎚️ Escenario'!$C$11,1,1+$C$6))</f>
        <v>0</v>
      </c>
      <c r="BH598" s="237" t="n">
        <f aca="false">IF(BH596=0,0,IF(BH596&lt;=12*'🎚️ Escenario'!$C$11,1,1+$C$6))</f>
        <v>0</v>
      </c>
      <c r="BI598" s="237" t="n">
        <f aca="false">IF(BI596=0,0,IF(BI596&lt;=12*'🎚️ Escenario'!$C$11,1,1+$C$6))</f>
        <v>0</v>
      </c>
      <c r="BJ598" s="237" t="n">
        <f aca="false">IF(BJ596=0,0,IF(BJ596&lt;=12*'🎚️ Escenario'!$C$11,1,1+$C$6))</f>
        <v>0</v>
      </c>
      <c r="BK598" s="237" t="n">
        <f aca="false">IF(BK596=0,0,IF(BK596&lt;=12*'🎚️ Escenario'!$C$11,1,1+$C$6))</f>
        <v>0</v>
      </c>
      <c r="BL598" s="237" t="n">
        <f aca="false">IF(BL596=0,0,IF(BL596&lt;=12*'🎚️ Escenario'!$C$11,1,1+$C$6))</f>
        <v>0</v>
      </c>
      <c r="BM598" s="237" t="n">
        <f aca="false">IF(BM596=0,0,IF(BM596&lt;=12*'🎚️ Escenario'!$C$11,1,1+$C$6))</f>
        <v>0</v>
      </c>
      <c r="BN598" s="237" t="n">
        <f aca="false">IF(BN596=0,0,IF(BN596&lt;=12*'🎚️ Escenario'!$C$11,1,1+$C$6))</f>
        <v>0</v>
      </c>
      <c r="BO598" s="237" t="n">
        <f aca="false">IF(BO596=0,0,IF(BO596&lt;=12*'🎚️ Escenario'!$C$11,1,1+$C$6))</f>
        <v>0</v>
      </c>
      <c r="BP598" s="237" t="n">
        <f aca="false">IF(BP596=0,0,IF(BP596&lt;=12*'🎚️ Escenario'!$C$11,1,1+$C$6))</f>
        <v>0</v>
      </c>
      <c r="BQ598" s="237" t="n">
        <f aca="false">IF(BQ596=0,0,IF(BQ596&lt;=12*'🎚️ Escenario'!$C$11,1,1+$C$6))</f>
        <v>0</v>
      </c>
      <c r="BR598" s="237" t="n">
        <f aca="false">IF(BR596=0,0,IF(BR596&lt;=12*'🎚️ Escenario'!$C$11,1,1+$C$6))</f>
        <v>0</v>
      </c>
      <c r="BS598" s="237" t="n">
        <f aca="false">IF(BS596=0,0,IF(BS596&lt;=12*'🎚️ Escenario'!$C$11,1,1+$C$6))</f>
        <v>0</v>
      </c>
      <c r="BT598" s="237" t="n">
        <f aca="false">IF(BT596=0,0,IF(BT596&lt;=12*'🎚️ Escenario'!$C$11,1,1+$C$6))</f>
        <v>0</v>
      </c>
      <c r="BU598" s="237" t="n">
        <f aca="false">IF(BU596=0,0,IF(BU596&lt;=12*'🎚️ Escenario'!$C$11,1,1+$C$6))</f>
        <v>0</v>
      </c>
      <c r="BV598" s="237" t="n">
        <f aca="false">IF(BV596=0,0,IF(BV596&lt;=12*'🎚️ Escenario'!$C$11,1,1+$C$6))</f>
        <v>0</v>
      </c>
      <c r="BW598" s="237" t="n">
        <f aca="false">IF(BW596=0,0,IF(BW596&lt;=12*'🎚️ Escenario'!$C$11,1,1+$C$6))</f>
        <v>0</v>
      </c>
      <c r="BX598" s="237" t="n">
        <f aca="false">IF(BX596=0,0,IF(BX596&lt;=12*'🎚️ Escenario'!$C$11,1,1+$C$6))</f>
        <v>0</v>
      </c>
      <c r="BY598" s="237" t="n">
        <f aca="false">IF(BY596=0,0,IF(BY596&lt;=12*'🎚️ Escenario'!$C$11,1,1+$C$6))</f>
        <v>0</v>
      </c>
      <c r="BZ598" s="237" t="n">
        <f aca="false">IF(BZ596=0,0,IF(BZ596&lt;=12*'🎚️ Escenario'!$C$11,1,1+$C$6))</f>
        <v>0</v>
      </c>
      <c r="CA598" s="237" t="n">
        <f aca="false">IF(CA596=0,0,IF(CA596&lt;=12*'🎚️ Escenario'!$C$11,1,1+$C$6))</f>
        <v>0</v>
      </c>
      <c r="CB598" s="237" t="n">
        <f aca="false">IF(CB596=0,0,IF(CB596&lt;=12*'🎚️ Escenario'!$C$11,1,1+$C$6))</f>
        <v>0</v>
      </c>
      <c r="CC598" s="237" t="n">
        <f aca="false">IF(CC596=0,0,IF(CC596&lt;=12*'🎚️ Escenario'!$C$11,1,1+$C$6))</f>
        <v>0</v>
      </c>
      <c r="CD598" s="237" t="n">
        <f aca="false">IF(CD596=0,0,IF(CD596&lt;=12*'🎚️ Escenario'!$C$11,1,1+$C$6))</f>
        <v>0</v>
      </c>
      <c r="CE598" s="237" t="n">
        <f aca="false">IF(CE596=0,0,IF(CE596&lt;=12*'🎚️ Escenario'!$C$11,1,1+$C$6))</f>
        <v>0</v>
      </c>
      <c r="CF598" s="237" t="n">
        <f aca="false">IF(CF596=0,0,IF(CF596&lt;=12*'🎚️ Escenario'!$C$11,1,1+$C$6))</f>
        <v>0</v>
      </c>
      <c r="CG598" s="237" t="n">
        <f aca="false">IF(CG596=0,0,IF(CG596&lt;=12*'🎚️ Escenario'!$C$11,1,1+$C$6))</f>
        <v>0</v>
      </c>
      <c r="CH598" s="237" t="n">
        <f aca="false">IF(CH596=0,0,IF(CH596&lt;=12*'🎚️ Escenario'!$C$11,1,1+$C$6))</f>
        <v>0</v>
      </c>
      <c r="CI598" s="237" t="n">
        <f aca="false">IF(CI596=0,0,IF(CI596&lt;=12*'🎚️ Escenario'!$C$11,1,1+$C$6))</f>
        <v>0</v>
      </c>
      <c r="CJ598" s="237" t="n">
        <f aca="false">IF(CJ596=0,0,IF(CJ596&lt;=12*'🎚️ Escenario'!$C$11,1,1+$C$6))</f>
        <v>0</v>
      </c>
      <c r="CK598" s="237" t="n">
        <f aca="false">IF(CK596=0,0,IF(CK596&lt;=12*'🎚️ Escenario'!$C$11,1,1+$C$6))</f>
        <v>0</v>
      </c>
      <c r="CL598" s="237" t="n">
        <f aca="false">IF(CL596=0,0,IF(CL596&lt;=12*'🎚️ Escenario'!$C$11,1,1+$C$6))</f>
        <v>0</v>
      </c>
      <c r="CM598" s="237" t="n">
        <f aca="false">IF(CM596=0,0,IF(CM596&lt;=12*'🎚️ Escenario'!$C$11,1,1+$C$6))</f>
        <v>0</v>
      </c>
      <c r="CN598" s="237" t="n">
        <f aca="false">IF(CN596=0,0,IF(CN596&lt;=12*'🎚️ Escenario'!$C$11,1,1+$C$6))</f>
        <v>0</v>
      </c>
      <c r="CO598" s="237" t="n">
        <f aca="false">IF(CO596=0,0,IF(CO596&lt;=12*'🎚️ Escenario'!$C$11,1,1+$C$6))</f>
        <v>0</v>
      </c>
      <c r="CP598" s="237" t="n">
        <f aca="false">IF(CP596=0,0,IF(CP596&lt;=12*'🎚️ Escenario'!$C$11,1,1+$C$6))</f>
        <v>0</v>
      </c>
      <c r="CQ598" s="237" t="n">
        <f aca="false">IF(CQ596=0,0,IF(CQ596&lt;=12*'🎚️ Escenario'!$C$11,1,1+$C$6))</f>
        <v>0</v>
      </c>
      <c r="CR598" s="237" t="n">
        <f aca="false">IF(CR596=0,0,IF(CR596&lt;=12*'🎚️ Escenario'!$C$11,1,1+$C$6))</f>
        <v>0</v>
      </c>
      <c r="CS598" s="237" t="n">
        <f aca="false">IF(CS596=0,0,IF(CS596&lt;=12*'🎚️ Escenario'!$C$11,1,1+$C$6))</f>
        <v>0</v>
      </c>
      <c r="CT598" s="237" t="n">
        <f aca="false">IF(CT596=0,0,IF(CT596&lt;=12*'🎚️ Escenario'!$C$11,1,1+$C$6))</f>
        <v>0</v>
      </c>
      <c r="CU598" s="237" t="n">
        <f aca="false">IF(CU596=0,0,IF(CU596&lt;=12*'🎚️ Escenario'!$C$11,1,1+$C$6))</f>
        <v>0</v>
      </c>
      <c r="CV598" s="237" t="n">
        <f aca="false">IF(CV596=0,0,IF(CV596&lt;=12*'🎚️ Escenario'!$C$11,1,1+$C$6))</f>
        <v>0</v>
      </c>
      <c r="CW598" s="237" t="n">
        <f aca="false">IF(CW596=0,0,IF(CW596&lt;=12*'🎚️ Escenario'!$C$11,1,1+$C$6))</f>
        <v>0</v>
      </c>
      <c r="CX598" s="237" t="n">
        <f aca="false">IF(CX596=0,0,IF(CX596&lt;=12*'🎚️ Escenario'!$C$11,1,1+$C$6))</f>
        <v>0</v>
      </c>
      <c r="CY598" s="237" t="n">
        <f aca="false">IF(CY596=0,0,IF(CY596&lt;=12*'🎚️ Escenario'!$C$11,1,1+$C$6))</f>
        <v>0</v>
      </c>
      <c r="CZ598" s="237" t="n">
        <f aca="false">IF(CZ596=0,0,IF(CZ596&lt;=12*'🎚️ Escenario'!$C$11,1,1+$C$6))</f>
        <v>0</v>
      </c>
      <c r="DA598" s="237" t="n">
        <f aca="false">IF(DA596=0,0,IF(DA596&lt;=12*'🎚️ Escenario'!$C$11,1,1+$C$6))</f>
        <v>0</v>
      </c>
      <c r="DB598" s="237" t="n">
        <f aca="false">IF(DB596=0,0,IF(DB596&lt;=12*'🎚️ Escenario'!$C$11,1,1+$C$6))</f>
        <v>0</v>
      </c>
      <c r="DC598" s="237" t="n">
        <f aca="false">IF(DC596=0,0,IF(DC596&lt;=12*'🎚️ Escenario'!$C$11,1,1+$C$6))</f>
        <v>0</v>
      </c>
      <c r="DD598" s="237" t="n">
        <f aca="false">IF(DD596=0,0,IF(DD596&lt;=12*'🎚️ Escenario'!$C$11,1,1+$C$6))</f>
        <v>0</v>
      </c>
      <c r="DE598" s="237" t="n">
        <f aca="false">IF(DE596=0,0,IF(DE596&lt;=12*'🎚️ Escenario'!$C$11,1,1+$C$6))</f>
        <v>0</v>
      </c>
      <c r="DF598" s="237" t="n">
        <f aca="false">IF(DF596=0,0,IF(DF596&lt;=12*'🎚️ Escenario'!$C$11,1,1+$C$6))</f>
        <v>0</v>
      </c>
      <c r="DG598" s="237" t="n">
        <f aca="false">IF(DG596=0,0,IF(DG596&lt;=12*'🎚️ Escenario'!$C$11,1,1+$C$6))</f>
        <v>0</v>
      </c>
      <c r="DH598" s="237" t="n">
        <f aca="false">IF(DH596=0,0,IF(DH596&lt;=12*'🎚️ Escenario'!$C$11,1,1+$C$6))</f>
        <v>0</v>
      </c>
      <c r="DI598" s="237" t="n">
        <f aca="false">IF(DI596=0,0,IF(DI596&lt;=12*'🎚️ Escenario'!$C$11,1,1+$C$6))</f>
        <v>0</v>
      </c>
      <c r="DJ598" s="237" t="n">
        <f aca="false">IF(DJ596=0,0,IF(DJ596&lt;=12*'🎚️ Escenario'!$C$11,1,1+$C$6))</f>
        <v>1</v>
      </c>
      <c r="DK598" s="237" t="n">
        <f aca="false">IF(DK596=0,0,IF(DK596&lt;=12*'🎚️ Escenario'!$C$11,1,1+$C$6))</f>
        <v>1</v>
      </c>
      <c r="DL598" s="237" t="n">
        <f aca="false">IF(DL596=0,0,IF(DL596&lt;=12*'🎚️ Escenario'!$C$11,1,1+$C$6))</f>
        <v>1</v>
      </c>
      <c r="DM598" s="237" t="n">
        <f aca="false">IF(DM596=0,0,IF(DM596&lt;=12*'🎚️ Escenario'!$C$11,1,1+$C$6))</f>
        <v>1</v>
      </c>
      <c r="DN598" s="237" t="n">
        <f aca="false">IF(DN596=0,0,IF(DN596&lt;=12*'🎚️ Escenario'!$C$11,1,1+$C$6))</f>
        <v>1</v>
      </c>
      <c r="DO598" s="237" t="n">
        <f aca="false">IF(DO596=0,0,IF(DO596&lt;=12*'🎚️ Escenario'!$C$11,1,1+$C$6))</f>
        <v>1</v>
      </c>
      <c r="DP598" s="237" t="n">
        <f aca="false">IF(DP596=0,0,IF(DP596&lt;=12*'🎚️ Escenario'!$C$11,1,1+$C$6))</f>
        <v>1</v>
      </c>
      <c r="DQ598" s="237" t="n">
        <f aca="false">IF(DQ596=0,0,IF(DQ596&lt;=12*'🎚️ Escenario'!$C$11,1,1+$C$6))</f>
        <v>1</v>
      </c>
      <c r="DR598" s="237" t="n">
        <f aca="false">IF(DR596=0,0,IF(DR596&lt;=12*'🎚️ Escenario'!$C$11,1,1+$C$6))</f>
        <v>1</v>
      </c>
      <c r="DS598" s="237" t="n">
        <f aca="false">IF(DS596=0,0,IF(DS596&lt;=12*'🎚️ Escenario'!$C$11,1,1+$C$6))</f>
        <v>1</v>
      </c>
      <c r="DT598" s="237" t="n">
        <f aca="false">IF(DT596=0,0,IF(DT596&lt;=12*'🎚️ Escenario'!$C$11,1,1+$C$6))</f>
        <v>1</v>
      </c>
      <c r="DU598" s="237" t="n">
        <f aca="false">IF(DU596=0,0,IF(DU596&lt;=12*'🎚️ Escenario'!$C$11,1,1+$C$6))</f>
        <v>1</v>
      </c>
      <c r="DV598" s="237" t="n">
        <f aca="false">IF(DV596=0,0,IF(DV596&lt;=12*'🎚️ Escenario'!$C$11,1,1+$C$6))</f>
        <v>1</v>
      </c>
      <c r="DW598" s="237" t="n">
        <f aca="false">IF(DW596=0,0,IF(DW596&lt;=12*'🎚️ Escenario'!$C$11,1,1+$C$6))</f>
        <v>1</v>
      </c>
      <c r="DX598" s="237" t="n">
        <f aca="false">IF(DX596=0,0,IF(DX596&lt;=12*'🎚️ Escenario'!$C$11,1,1+$C$6))</f>
        <v>1</v>
      </c>
      <c r="DY598" s="237" t="n">
        <f aca="false">IF(DY596=0,0,IF(DY596&lt;=12*'🎚️ Escenario'!$C$11,1,1+$C$6))</f>
        <v>1.2</v>
      </c>
      <c r="DZ598" s="237" t="n">
        <f aca="false">IF(DZ596=0,0,IF(DZ596&lt;=12*'🎚️ Escenario'!$C$11,1,1+$C$6))</f>
        <v>1.2</v>
      </c>
      <c r="EA598" s="237" t="n">
        <f aca="false">IF(EA596=0,0,IF(EA596&lt;=12*'🎚️ Escenario'!$C$11,1,1+$C$6))</f>
        <v>1.2</v>
      </c>
      <c r="EB598" s="237" t="n">
        <f aca="false">IF(EB596=0,0,IF(EB596&lt;=12*'🎚️ Escenario'!$C$11,1,1+$C$6))</f>
        <v>1.2</v>
      </c>
      <c r="EC598" s="237" t="n">
        <f aca="false">IF(EC596=0,0,IF(EC596&lt;=12*'🎚️ Escenario'!$C$11,1,1+$C$6))</f>
        <v>1.2</v>
      </c>
      <c r="ED598" s="237" t="n">
        <f aca="false">IF(ED596=0,0,IF(ED596&lt;=12*'🎚️ Escenario'!$C$11,1,1+$C$6))</f>
        <v>1.2</v>
      </c>
      <c r="EE598" s="237" t="n">
        <f aca="false">IF(EE596=0,0,IF(EE596&lt;=12*'🎚️ Escenario'!$C$11,1,1+$C$6))</f>
        <v>1.2</v>
      </c>
      <c r="EF598" s="237" t="n">
        <f aca="false">IF(EF596=0,0,IF(EF596&lt;=12*'🎚️ Escenario'!$C$11,1,1+$C$6))</f>
        <v>1.2</v>
      </c>
      <c r="EG598" s="237" t="n">
        <f aca="false">IF(EG596=0,0,IF(EG596&lt;=12*'🎚️ Escenario'!$C$11,1,1+$C$6))</f>
        <v>1.2</v>
      </c>
      <c r="EH598" s="237" t="n">
        <f aca="false">IF(EH596=0,0,IF(EH596&lt;=12*'🎚️ Escenario'!$C$11,1,1+$C$6))</f>
        <v>1.2</v>
      </c>
      <c r="EI598" s="237" t="n">
        <f aca="false">IF(EI596=0,0,IF(EI596&lt;=12*'🎚️ Escenario'!$C$11,1,1+$C$6))</f>
        <v>1.2</v>
      </c>
      <c r="EJ598" s="237" t="n">
        <f aca="false">IF(EJ596=0,0,IF(EJ596&lt;=12*'🎚️ Escenario'!$C$11,1,1+$C$6))</f>
        <v>1.2</v>
      </c>
      <c r="EK598" s="237" t="n">
        <f aca="false">IF(EK596=0,0,IF(EK596&lt;=12*'🎚️ Escenario'!$C$11,1,1+$C$6))</f>
        <v>1.2</v>
      </c>
      <c r="EL598" s="237" t="n">
        <f aca="false">IF(EL596=0,0,IF(EL596&lt;=12*'🎚️ Escenario'!$C$11,1,1+$C$6))</f>
        <v>1.2</v>
      </c>
      <c r="EM598" s="237" t="n">
        <f aca="false">IF(EM596=0,0,IF(EM596&lt;=12*'🎚️ Escenario'!$C$11,1,1+$C$6))</f>
        <v>1.2</v>
      </c>
      <c r="EN598" s="237" t="n">
        <f aca="false">IF(EN596=0,0,IF(EN596&lt;=12*'🎚️ Escenario'!$C$11,1,1+$C$6))</f>
        <v>1.2</v>
      </c>
      <c r="EO598" s="237" t="n">
        <f aca="false">IF(EO596=0,0,IF(EO596&lt;=12*'🎚️ Escenario'!$C$11,1,1+$C$6))</f>
        <v>1.2</v>
      </c>
      <c r="EP598" s="237" t="n">
        <f aca="false">IF(EP596=0,0,IF(EP596&lt;=12*'🎚️ Escenario'!$C$11,1,1+$C$6))</f>
        <v>1.2</v>
      </c>
      <c r="EQ598" s="237" t="n">
        <f aca="false">IF(EQ596=0,0,IF(EQ596&lt;=12*'🎚️ Escenario'!$C$11,1,1+$C$6))</f>
        <v>1.2</v>
      </c>
      <c r="ER598" s="237" t="n">
        <f aca="false">IF(ER596=0,0,IF(ER596&lt;=12*'🎚️ Escenario'!$C$11,1,1+$C$6))</f>
        <v>1.2</v>
      </c>
      <c r="ES598" s="238" t="n">
        <f aca="false">IF(ES596=0,0,IF(ES596&lt;=12*'🎚️ Escenario'!$C$11,1,1+$C$6))</f>
        <v>1.2</v>
      </c>
      <c r="ET598" s="238" t="n">
        <f aca="false">IF(ET596=0,0,IF(ET596&lt;=12*'🎚️ Escenario'!$C$11,1,1+$C$6))</f>
        <v>1.2</v>
      </c>
      <c r="EU598" s="238" t="n">
        <f aca="false">IF(EU596=0,0,IF(EU596&lt;=12*'🎚️ Escenario'!$C$11,1,1+$C$6))</f>
        <v>1.2</v>
      </c>
      <c r="EV598" s="238" t="n">
        <f aca="false">IF(EV596=0,0,IF(EV596&lt;=12*'🎚️ Escenario'!$C$11,1,1+$C$6))</f>
        <v>1.2</v>
      </c>
      <c r="EW598" s="238" t="n">
        <f aca="false">IF(EW596=0,0,IF(EW596&lt;=12*'🎚️ Escenario'!$C$11,1,1+$C$6))</f>
        <v>1.2</v>
      </c>
      <c r="EX598" s="238" t="n">
        <f aca="false">IF(EX596=0,0,IF(EX596&lt;=12*'🎚️ Escenario'!$C$11,1,1+$C$6))</f>
        <v>1.2</v>
      </c>
      <c r="EY598" s="238" t="n">
        <f aca="false">IF(EY596=0,0,IF(EY596&lt;=12*'🎚️ Escenario'!$C$11,1,1+$C$6))</f>
        <v>1.2</v>
      </c>
      <c r="EZ598" s="238" t="n">
        <f aca="false">IF(EZ596=0,0,IF(EZ596&lt;=12*'🎚️ Escenario'!$C$11,1,1+$C$6))</f>
        <v>1.2</v>
      </c>
      <c r="FA598" s="238" t="n">
        <f aca="false">IF(FA596=0,0,IF(FA596&lt;=12*'🎚️ Escenario'!$C$11,1,1+$C$6))</f>
        <v>1.2</v>
      </c>
      <c r="FB598" s="238" t="n">
        <f aca="false">IF(FB596=0,0,IF(FB596&lt;=12*'🎚️ Escenario'!$C$11,1,1+$C$6))</f>
        <v>1.2</v>
      </c>
      <c r="FC598" s="238" t="n">
        <f aca="false">IF(FC596=0,0,IF(FC596&lt;=12*'🎚️ Escenario'!$C$11,1,1+$C$6))</f>
        <v>1.2</v>
      </c>
      <c r="FD598" s="238" t="n">
        <f aca="false">IF(FD596=0,0,IF(FD596&lt;=12*'🎚️ Escenario'!$C$11,1,1+$C$6))</f>
        <v>1.2</v>
      </c>
      <c r="FE598" s="238" t="n">
        <f aca="false">IF(FE596=0,0,IF(FE596&lt;=12*'🎚️ Escenario'!$C$11,1,1+$C$6))</f>
        <v>1.2</v>
      </c>
      <c r="FF598" s="238" t="n">
        <f aca="false">IF(FF596=0,0,IF(FF596&lt;=12*'🎚️ Escenario'!$C$11,1,1+$C$6))</f>
        <v>1.2</v>
      </c>
      <c r="FG598" s="238" t="n">
        <f aca="false">IF(FG596=0,0,IF(FG596&lt;=12*'🎚️ Escenario'!$C$11,1,1+$C$6))</f>
        <v>1.2</v>
      </c>
      <c r="FH598" s="238" t="n">
        <f aca="false">IF(FH596=0,0,IF(FH596&lt;=12*'🎚️ Escenario'!$C$11,1,1+$C$6))</f>
        <v>1.2</v>
      </c>
      <c r="FI598" s="238" t="n">
        <f aca="false">IF(FI596=0,0,IF(FI596&lt;=12*'🎚️ Escenario'!$C$11,1,1+$C$6))</f>
        <v>1.2</v>
      </c>
      <c r="FJ598" s="238" t="n">
        <f aca="false">IF(FJ596=0,0,IF(FJ596&lt;=12*'🎚️ Escenario'!$C$11,1,1+$C$6))</f>
        <v>1.2</v>
      </c>
      <c r="FK598" s="238" t="n">
        <f aca="false">IF(FK596=0,0,IF(FK596&lt;=12*'🎚️ Escenario'!$C$11,1,1+$C$6))</f>
        <v>1.2</v>
      </c>
      <c r="FL598" s="238" t="n">
        <f aca="false">IF(FL596=0,0,IF(FL596&lt;=12*'🎚️ Escenario'!$C$11,1,1+$C$6))</f>
        <v>1.2</v>
      </c>
      <c r="FM598" s="238" t="n">
        <f aca="false">IF(FM596=0,0,IF(FM596&lt;=12*'🎚️ Escenario'!$C$11,1,1+$C$6))</f>
        <v>1.2</v>
      </c>
      <c r="FN598" s="238" t="n">
        <f aca="false">IF(FN596=0,0,IF(FN596&lt;=12*'🎚️ Escenario'!$C$11,1,1+$C$6))</f>
        <v>1.2</v>
      </c>
      <c r="FO598" s="238" t="n">
        <f aca="false">IF(FO596=0,0,IF(FO596&lt;=12*'🎚️ Escenario'!$C$11,1,1+$C$6))</f>
        <v>1.2</v>
      </c>
      <c r="FP598" s="238" t="n">
        <f aca="false">IF(FP596=0,0,IF(FP596&lt;=12*'🎚️ Escenario'!$C$11,1,1+$C$6))</f>
        <v>1.2</v>
      </c>
    </row>
    <row r="599" customFormat="false" ht="15" hidden="false" customHeight="false" outlineLevel="2" collapsed="false">
      <c r="B599" s="9" t="s">
        <v>876</v>
      </c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36" t="n">
        <f aca="false">AC597*$AC$595*AC598*AC$38*'⑫ Roll-out Plan'!$O$64</f>
        <v>0</v>
      </c>
      <c r="AD599" s="36" t="n">
        <f aca="false">AD597*$AC$595*AD598*AD$38*'⑫ Roll-out Plan'!$O$64</f>
        <v>0</v>
      </c>
      <c r="AE599" s="36" t="n">
        <f aca="false">AE597*$AC$595*AE598*AE$38*'⑫ Roll-out Plan'!$O$64</f>
        <v>0</v>
      </c>
      <c r="AF599" s="36" t="n">
        <f aca="false">AF597*$AC$595*AF598*AF$38*'⑫ Roll-out Plan'!$O$64</f>
        <v>0</v>
      </c>
      <c r="AG599" s="36" t="n">
        <f aca="false">AG597*$AC$595*AG598*AG$38*'⑫ Roll-out Plan'!$O$64</f>
        <v>0</v>
      </c>
      <c r="AH599" s="36" t="n">
        <f aca="false">AH597*$AC$595*AH598*AH$38*'⑫ Roll-out Plan'!$O$64</f>
        <v>0</v>
      </c>
      <c r="AI599" s="36" t="n">
        <f aca="false">AI597*$AC$595*AI598*AI$38*'⑫ Roll-out Plan'!$O$64</f>
        <v>0</v>
      </c>
      <c r="AJ599" s="36" t="n">
        <f aca="false">AJ597*$AC$595*AJ598*AJ$38*'⑫ Roll-out Plan'!$O$64</f>
        <v>0</v>
      </c>
      <c r="AK599" s="36" t="n">
        <f aca="false">AK597*$AC$595*AK598*AK$38*'⑫ Roll-out Plan'!$O$64</f>
        <v>0</v>
      </c>
      <c r="AL599" s="36" t="n">
        <f aca="false">AL597*$AC$595*AL598*AL$38*'⑫ Roll-out Plan'!$O$64</f>
        <v>0</v>
      </c>
      <c r="AM599" s="36" t="n">
        <f aca="false">AM597*$AC$595*AM598*AM$38*'⑫ Roll-out Plan'!$O$64</f>
        <v>0</v>
      </c>
      <c r="AN599" s="36" t="n">
        <f aca="false">AN597*$AC$595*AN598*AN$38*'⑫ Roll-out Plan'!$O$64</f>
        <v>0</v>
      </c>
      <c r="AO599" s="36" t="n">
        <f aca="false">AO597*$AC$595*AO598*AO$38*'⑫ Roll-out Plan'!$O$64</f>
        <v>0</v>
      </c>
      <c r="AP599" s="36" t="n">
        <f aca="false">AP597*$AC$595*AP598*AP$38*'⑫ Roll-out Plan'!$O$64</f>
        <v>0</v>
      </c>
      <c r="AQ599" s="36" t="n">
        <f aca="false">AQ597*$AC$595*AQ598*AQ$38*'⑫ Roll-out Plan'!$O$64</f>
        <v>0</v>
      </c>
      <c r="AR599" s="36" t="n">
        <f aca="false">AR597*$AC$595*AR598*AR$38*'⑫ Roll-out Plan'!$O$64</f>
        <v>0</v>
      </c>
      <c r="AS599" s="36" t="n">
        <f aca="false">AS597*$AC$595*AS598*AS$38*'⑫ Roll-out Plan'!$O$64</f>
        <v>0</v>
      </c>
      <c r="AT599" s="36" t="n">
        <f aca="false">AT597*$AC$595*AT598*AT$38*'⑫ Roll-out Plan'!$O$64</f>
        <v>0</v>
      </c>
      <c r="AU599" s="36" t="n">
        <f aca="false">AU597*$AC$595*AU598*AU$38*'⑫ Roll-out Plan'!$O$64</f>
        <v>0</v>
      </c>
      <c r="AV599" s="36" t="n">
        <f aca="false">AV597*$AC$595*AV598*AV$38*'⑫ Roll-out Plan'!$O$64</f>
        <v>0</v>
      </c>
      <c r="AW599" s="36" t="n">
        <f aca="false">AW597*$AC$595*AW598*AW$38*'⑫ Roll-out Plan'!$O$64</f>
        <v>0</v>
      </c>
      <c r="AX599" s="36" t="n">
        <f aca="false">AX597*$AC$595*AX598*AX$38*'⑫ Roll-out Plan'!$O$64</f>
        <v>0</v>
      </c>
      <c r="AY599" s="36" t="n">
        <f aca="false">AY597*$AC$595*AY598*AY$38*'⑫ Roll-out Plan'!$O$64</f>
        <v>0</v>
      </c>
      <c r="AZ599" s="36" t="n">
        <f aca="false">AZ597*$AC$595*AZ598*AZ$38*'⑫ Roll-out Plan'!$O$64</f>
        <v>0</v>
      </c>
      <c r="BA599" s="36" t="n">
        <f aca="false">BA597*$AC$595*BA598*BA$38*'⑫ Roll-out Plan'!$O$64</f>
        <v>0</v>
      </c>
      <c r="BB599" s="36" t="n">
        <f aca="false">BB597*$AC$595*BB598*BB$38*'⑫ Roll-out Plan'!$O$64</f>
        <v>0</v>
      </c>
      <c r="BC599" s="36" t="n">
        <f aca="false">BC597*$AC$595*BC598*BC$38*'⑫ Roll-out Plan'!$O$64</f>
        <v>0</v>
      </c>
      <c r="BD599" s="36" t="n">
        <f aca="false">BD597*$AC$595*BD598*BD$38*'⑫ Roll-out Plan'!$O$64</f>
        <v>0</v>
      </c>
      <c r="BE599" s="36" t="n">
        <f aca="false">BE597*$AC$595*BE598*BE$38*'⑫ Roll-out Plan'!$O$64</f>
        <v>0</v>
      </c>
      <c r="BF599" s="36" t="n">
        <f aca="false">BF597*$AC$595*BF598*BF$38*'⑫ Roll-out Plan'!$O$64</f>
        <v>0</v>
      </c>
      <c r="BG599" s="36" t="n">
        <f aca="false">BG597*$AC$595*BG598*BG$38*'⑫ Roll-out Plan'!$O$64</f>
        <v>0</v>
      </c>
      <c r="BH599" s="36" t="n">
        <f aca="false">BH597*$AC$595*BH598*BH$38*'⑫ Roll-out Plan'!$O$64</f>
        <v>0</v>
      </c>
      <c r="BI599" s="36" t="n">
        <f aca="false">BI597*$AC$595*BI598*BI$38*'⑫ Roll-out Plan'!$O$64</f>
        <v>0</v>
      </c>
      <c r="BJ599" s="36" t="n">
        <f aca="false">BJ597*$AC$595*BJ598*BJ$38*'⑫ Roll-out Plan'!$O$64</f>
        <v>0</v>
      </c>
      <c r="BK599" s="36" t="n">
        <f aca="false">BK597*$AC$595*BK598*BK$38*'⑫ Roll-out Plan'!$O$64</f>
        <v>0</v>
      </c>
      <c r="BL599" s="36" t="n">
        <f aca="false">BL597*$AC$595*BL598*BL$38*'⑫ Roll-out Plan'!$O$64</f>
        <v>0</v>
      </c>
      <c r="BM599" s="36" t="n">
        <f aca="false">BM597*$AC$595*BM598*BM$38*'⑫ Roll-out Plan'!$O$64</f>
        <v>0</v>
      </c>
      <c r="BN599" s="36" t="n">
        <f aca="false">BN597*$AC$595*BN598*BN$38*'⑫ Roll-out Plan'!$O$64</f>
        <v>0</v>
      </c>
      <c r="BO599" s="36" t="n">
        <f aca="false">BO597*$AC$595*BO598*BO$38*'⑫ Roll-out Plan'!$O$64</f>
        <v>0</v>
      </c>
      <c r="BP599" s="36" t="n">
        <f aca="false">BP597*$AC$595*BP598*BP$38*'⑫ Roll-out Plan'!$O$64</f>
        <v>0</v>
      </c>
      <c r="BQ599" s="36" t="n">
        <f aca="false">BQ597*$AC$595*BQ598*BQ$38*'⑫ Roll-out Plan'!$O$64</f>
        <v>0</v>
      </c>
      <c r="BR599" s="36" t="n">
        <f aca="false">BR597*$AC$595*BR598*BR$38*'⑫ Roll-out Plan'!$O$64</f>
        <v>0</v>
      </c>
      <c r="BS599" s="36" t="n">
        <f aca="false">BS597*$AC$595*BS598*BS$38*'⑫ Roll-out Plan'!$O$64</f>
        <v>0</v>
      </c>
      <c r="BT599" s="36" t="n">
        <f aca="false">BT597*$AC$595*BT598*BT$38*'⑫ Roll-out Plan'!$O$64</f>
        <v>0</v>
      </c>
      <c r="BU599" s="36" t="n">
        <f aca="false">BU597*$AC$595*BU598*BU$38*'⑫ Roll-out Plan'!$O$64</f>
        <v>0</v>
      </c>
      <c r="BV599" s="36" t="n">
        <f aca="false">BV597*$AC$595*BV598*BV$38*'⑫ Roll-out Plan'!$O$64</f>
        <v>0</v>
      </c>
      <c r="BW599" s="36" t="n">
        <f aca="false">BW597*$AC$595*BW598*BW$38*'⑫ Roll-out Plan'!$O$64</f>
        <v>0</v>
      </c>
      <c r="BX599" s="36" t="n">
        <f aca="false">BX597*$AC$595*BX598*BX$38*'⑫ Roll-out Plan'!$O$64</f>
        <v>0</v>
      </c>
      <c r="BY599" s="36" t="n">
        <f aca="false">BY597*$AC$595*BY598*BY$38*'⑫ Roll-out Plan'!$O$64</f>
        <v>0</v>
      </c>
      <c r="BZ599" s="36" t="n">
        <f aca="false">BZ597*$AC$595*BZ598*BZ$38*'⑫ Roll-out Plan'!$O$64</f>
        <v>0</v>
      </c>
      <c r="CA599" s="36" t="n">
        <f aca="false">CA597*$AC$595*CA598*CA$38*'⑫ Roll-out Plan'!$O$64</f>
        <v>0</v>
      </c>
      <c r="CB599" s="36" t="n">
        <f aca="false">CB597*$AC$595*CB598*CB$38*'⑫ Roll-out Plan'!$O$64</f>
        <v>0</v>
      </c>
      <c r="CC599" s="36" t="n">
        <f aca="false">CC597*$AC$595*CC598*CC$38*'⑫ Roll-out Plan'!$O$64</f>
        <v>0</v>
      </c>
      <c r="CD599" s="36" t="n">
        <f aca="false">CD597*$AC$595*CD598*CD$38*'⑫ Roll-out Plan'!$O$64</f>
        <v>0</v>
      </c>
      <c r="CE599" s="36" t="n">
        <f aca="false">CE597*$AC$595*CE598*CE$38*'⑫ Roll-out Plan'!$O$64</f>
        <v>0</v>
      </c>
      <c r="CF599" s="36" t="n">
        <f aca="false">CF597*$AC$595*CF598*CF$38*'⑫ Roll-out Plan'!$O$64</f>
        <v>0</v>
      </c>
      <c r="CG599" s="36" t="n">
        <f aca="false">CG597*$AC$595*CG598*CG$38*'⑫ Roll-out Plan'!$O$64</f>
        <v>0</v>
      </c>
      <c r="CH599" s="36" t="n">
        <f aca="false">CH597*$AC$595*CH598*CH$38*'⑫ Roll-out Plan'!$O$64</f>
        <v>0</v>
      </c>
      <c r="CI599" s="36" t="n">
        <f aca="false">CI597*$AC$595*CI598*CI$38*'⑫ Roll-out Plan'!$O$64</f>
        <v>0</v>
      </c>
      <c r="CJ599" s="36" t="n">
        <f aca="false">CJ597*$AC$595*CJ598*CJ$38*'⑫ Roll-out Plan'!$O$64</f>
        <v>0</v>
      </c>
      <c r="CK599" s="36" t="n">
        <f aca="false">CK597*$AC$595*CK598*CK$38*'⑫ Roll-out Plan'!$O$64</f>
        <v>0</v>
      </c>
      <c r="CL599" s="36" t="n">
        <f aca="false">CL597*$AC$595*CL598*CL$38*'⑫ Roll-out Plan'!$O$64</f>
        <v>0</v>
      </c>
      <c r="CM599" s="36" t="n">
        <f aca="false">CM597*$AC$595*CM598*CM$38*'⑫ Roll-out Plan'!$O$64</f>
        <v>0</v>
      </c>
      <c r="CN599" s="36" t="n">
        <f aca="false">CN597*$AC$595*CN598*CN$38*'⑫ Roll-out Plan'!$O$64</f>
        <v>0</v>
      </c>
      <c r="CO599" s="36" t="n">
        <f aca="false">CO597*$AC$595*CO598*CO$38*'⑫ Roll-out Plan'!$O$64</f>
        <v>0</v>
      </c>
      <c r="CP599" s="36" t="n">
        <f aca="false">CP597*$AC$595*CP598*CP$38*'⑫ Roll-out Plan'!$O$64</f>
        <v>0</v>
      </c>
      <c r="CQ599" s="36" t="n">
        <f aca="false">CQ597*$AC$595*CQ598*CQ$38*'⑫ Roll-out Plan'!$O$64</f>
        <v>0</v>
      </c>
      <c r="CR599" s="36" t="n">
        <f aca="false">CR597*$AC$595*CR598*CR$38*'⑫ Roll-out Plan'!$O$64</f>
        <v>0</v>
      </c>
      <c r="CS599" s="36" t="n">
        <f aca="false">CS597*$AC$595*CS598*CS$38*'⑫ Roll-out Plan'!$O$64</f>
        <v>0</v>
      </c>
      <c r="CT599" s="36" t="n">
        <f aca="false">CT597*$AC$595*CT598*CT$38*'⑫ Roll-out Plan'!$O$64</f>
        <v>0</v>
      </c>
      <c r="CU599" s="36" t="n">
        <f aca="false">CU597*$AC$595*CU598*CU$38*'⑫ Roll-out Plan'!$O$64</f>
        <v>0</v>
      </c>
      <c r="CV599" s="36" t="n">
        <f aca="false">CV597*$AC$595*CV598*CV$38*'⑫ Roll-out Plan'!$O$64</f>
        <v>0</v>
      </c>
      <c r="CW599" s="36" t="n">
        <f aca="false">CW597*$AC$595*CW598*CW$38*'⑫ Roll-out Plan'!$O$64</f>
        <v>0</v>
      </c>
      <c r="CX599" s="36" t="n">
        <f aca="false">CX597*$AC$595*CX598*CX$38*'⑫ Roll-out Plan'!$O$64</f>
        <v>0</v>
      </c>
      <c r="CY599" s="36" t="n">
        <f aca="false">CY597*$AC$595*CY598*CY$38*'⑫ Roll-out Plan'!$O$64</f>
        <v>0</v>
      </c>
      <c r="CZ599" s="36" t="n">
        <f aca="false">CZ597*$AC$595*CZ598*CZ$38*'⑫ Roll-out Plan'!$O$64</f>
        <v>0</v>
      </c>
      <c r="DA599" s="36" t="n">
        <f aca="false">DA597*$AC$595*DA598*DA$38*'⑫ Roll-out Plan'!$O$64</f>
        <v>0</v>
      </c>
      <c r="DB599" s="36" t="n">
        <f aca="false">DB597*$AC$595*DB598*DB$38*'⑫ Roll-out Plan'!$O$64</f>
        <v>0</v>
      </c>
      <c r="DC599" s="36" t="n">
        <f aca="false">DC597*$AC$595*DC598*DC$38*'⑫ Roll-out Plan'!$O$64</f>
        <v>0</v>
      </c>
      <c r="DD599" s="36" t="n">
        <f aca="false">DD597*$AC$595*DD598*DD$38*'⑫ Roll-out Plan'!$O$64</f>
        <v>0</v>
      </c>
      <c r="DE599" s="36" t="n">
        <f aca="false">DE597*$AC$595*DE598*DE$38*'⑫ Roll-out Plan'!$O$64</f>
        <v>0</v>
      </c>
      <c r="DF599" s="36" t="n">
        <f aca="false">DF597*$AC$595*DF598*DF$38*'⑫ Roll-out Plan'!$O$64</f>
        <v>0</v>
      </c>
      <c r="DG599" s="36" t="n">
        <f aca="false">DG597*$AC$595*DG598*DG$38*'⑫ Roll-out Plan'!$O$64</f>
        <v>0</v>
      </c>
      <c r="DH599" s="36" t="n">
        <f aca="false">DH597*$AC$595*DH598*DH$38*'⑫ Roll-out Plan'!$O$64</f>
        <v>0</v>
      </c>
      <c r="DI599" s="36" t="n">
        <f aca="false">DI597*$AC$595*DI598*DI$38*'⑫ Roll-out Plan'!$O$64</f>
        <v>0</v>
      </c>
      <c r="DJ599" s="36" t="n">
        <f aca="false">DJ597*$AC$595*DJ598*DJ$38*'⑫ Roll-out Plan'!$O$64</f>
        <v>0</v>
      </c>
      <c r="DK599" s="36" t="n">
        <f aca="false">DK597*$AC$595*DK598*DK$38*'⑫ Roll-out Plan'!$O$64</f>
        <v>0</v>
      </c>
      <c r="DL599" s="36" t="n">
        <f aca="false">DL597*$AC$595*DL598*DL$38*'⑫ Roll-out Plan'!$O$64</f>
        <v>0</v>
      </c>
      <c r="DM599" s="36" t="n">
        <f aca="false">DM597*$AC$595*DM598*DM$38*'⑫ Roll-out Plan'!$O$64</f>
        <v>0</v>
      </c>
      <c r="DN599" s="36" t="n">
        <f aca="false">DN597*$AC$595*DN598*DN$38*'⑫ Roll-out Plan'!$O$64</f>
        <v>0</v>
      </c>
      <c r="DO599" s="36" t="n">
        <f aca="false">DO597*$AC$595*DO598*DO$38*'⑫ Roll-out Plan'!$O$64</f>
        <v>0</v>
      </c>
      <c r="DP599" s="36" t="n">
        <f aca="false">DP597*$AC$595*DP598*DP$38*'⑫ Roll-out Plan'!$O$64</f>
        <v>0</v>
      </c>
      <c r="DQ599" s="36" t="n">
        <f aca="false">DQ597*$AC$595*DQ598*DQ$38*'⑫ Roll-out Plan'!$O$64</f>
        <v>0</v>
      </c>
      <c r="DR599" s="36" t="n">
        <f aca="false">DR597*$AC$595*DR598*DR$38*'⑫ Roll-out Plan'!$O$64</f>
        <v>0</v>
      </c>
      <c r="DS599" s="36" t="n">
        <f aca="false">DS597*$AC$595*DS598*DS$38*'⑫ Roll-out Plan'!$O$64</f>
        <v>0</v>
      </c>
      <c r="DT599" s="36" t="n">
        <f aca="false">DT597*$AC$595*DT598*DT$38*'⑫ Roll-out Plan'!$O$64</f>
        <v>0</v>
      </c>
      <c r="DU599" s="36" t="n">
        <f aca="false">DU597*$AC$595*DU598*DU$38*'⑫ Roll-out Plan'!$O$64</f>
        <v>0</v>
      </c>
      <c r="DV599" s="36" t="n">
        <f aca="false">DV597*$AC$595*DV598*DV$38*'⑫ Roll-out Plan'!$O$64</f>
        <v>0</v>
      </c>
      <c r="DW599" s="36" t="n">
        <f aca="false">DW597*$AC$595*DW598*DW$38*'⑫ Roll-out Plan'!$O$64</f>
        <v>0</v>
      </c>
      <c r="DX599" s="36" t="n">
        <f aca="false">DX597*$AC$595*DX598*DX$38*'⑫ Roll-out Plan'!$O$64</f>
        <v>0</v>
      </c>
      <c r="DY599" s="36" t="n">
        <f aca="false">DY597*$AC$595*DY598*DY$38*'⑫ Roll-out Plan'!$O$64</f>
        <v>0</v>
      </c>
      <c r="DZ599" s="36" t="n">
        <f aca="false">DZ597*$AC$595*DZ598*DZ$38*'⑫ Roll-out Plan'!$O$64</f>
        <v>0</v>
      </c>
      <c r="EA599" s="36" t="n">
        <f aca="false">EA597*$AC$595*EA598*EA$38*'⑫ Roll-out Plan'!$O$64</f>
        <v>0</v>
      </c>
      <c r="EB599" s="36" t="n">
        <f aca="false">EB597*$AC$595*EB598*EB$38*'⑫ Roll-out Plan'!$O$64</f>
        <v>0</v>
      </c>
      <c r="EC599" s="36" t="n">
        <f aca="false">EC597*$AC$595*EC598*EC$38*'⑫ Roll-out Plan'!$O$64</f>
        <v>0</v>
      </c>
      <c r="ED599" s="36" t="n">
        <f aca="false">ED597*$AC$595*ED598*ED$38*'⑫ Roll-out Plan'!$O$64</f>
        <v>0</v>
      </c>
      <c r="EE599" s="36" t="n">
        <f aca="false">EE597*$AC$595*EE598*EE$38*'⑫ Roll-out Plan'!$O$64</f>
        <v>0</v>
      </c>
      <c r="EF599" s="36" t="n">
        <f aca="false">EF597*$AC$595*EF598*EF$38*'⑫ Roll-out Plan'!$O$64</f>
        <v>0</v>
      </c>
      <c r="EG599" s="36" t="n">
        <f aca="false">EG597*$AC$595*EG598*EG$38*'⑫ Roll-out Plan'!$O$64</f>
        <v>0</v>
      </c>
      <c r="EH599" s="36" t="n">
        <f aca="false">EH597*$AC$595*EH598*EH$38*'⑫ Roll-out Plan'!$O$64</f>
        <v>0</v>
      </c>
      <c r="EI599" s="36" t="n">
        <f aca="false">EI597*$AC$595*EI598*EI$38*'⑫ Roll-out Plan'!$O$64</f>
        <v>0</v>
      </c>
      <c r="EJ599" s="36" t="n">
        <f aca="false">EJ597*$AC$595*EJ598*EJ$38*'⑫ Roll-out Plan'!$O$64</f>
        <v>0</v>
      </c>
      <c r="EK599" s="36" t="n">
        <f aca="false">EK597*$AC$595*EK598*EK$38*'⑫ Roll-out Plan'!$O$64</f>
        <v>0</v>
      </c>
      <c r="EL599" s="36" t="n">
        <f aca="false">EL597*$AC$595*EL598*EL$38*'⑫ Roll-out Plan'!$O$64</f>
        <v>0</v>
      </c>
      <c r="EM599" s="36" t="n">
        <f aca="false">EM597*$AC$595*EM598*EM$38*'⑫ Roll-out Plan'!$O$64</f>
        <v>0</v>
      </c>
      <c r="EN599" s="36" t="n">
        <f aca="false">EN597*$AC$595*EN598*EN$38*'⑫ Roll-out Plan'!$O$64</f>
        <v>0</v>
      </c>
      <c r="EO599" s="36" t="n">
        <f aca="false">EO597*$AC$595*EO598*EO$38*'⑫ Roll-out Plan'!$O$64</f>
        <v>0</v>
      </c>
      <c r="EP599" s="36" t="n">
        <f aca="false">EP597*$AC$595*EP598*EP$38*'⑫ Roll-out Plan'!$O$64</f>
        <v>0</v>
      </c>
      <c r="EQ599" s="36" t="n">
        <f aca="false">EQ597*$AC$595*EQ598*EQ$38*'⑫ Roll-out Plan'!$O$64</f>
        <v>0</v>
      </c>
      <c r="ER599" s="36" t="n">
        <f aca="false">ER597*$AC$595*ER598*ER$38*'⑫ Roll-out Plan'!$O$64</f>
        <v>0</v>
      </c>
      <c r="ES599" s="9" t="n">
        <f aca="false">ES597*$AC$595*ES598*ES$38*'⑫ Roll-out Plan'!$O$64</f>
        <v>0</v>
      </c>
      <c r="ET599" s="9" t="n">
        <f aca="false">ET597*$AC$595*ET598*ET$38*'⑫ Roll-out Plan'!$O$64</f>
        <v>0</v>
      </c>
      <c r="EU599" s="9" t="n">
        <f aca="false">EU597*$AC$595*EU598*EU$38*'⑫ Roll-out Plan'!$O$64</f>
        <v>0</v>
      </c>
      <c r="EV599" s="9" t="n">
        <f aca="false">EV597*$AC$595*EV598*EV$38*'⑫ Roll-out Plan'!$O$64</f>
        <v>0</v>
      </c>
      <c r="EW599" s="9" t="n">
        <f aca="false">EW597*$AC$595*EW598*EW$38*'⑫ Roll-out Plan'!$O$64</f>
        <v>0</v>
      </c>
      <c r="EX599" s="9" t="n">
        <f aca="false">EX597*$AC$595*EX598*EX$38*'⑫ Roll-out Plan'!$O$64</f>
        <v>0</v>
      </c>
      <c r="EY599" s="9" t="n">
        <f aca="false">EY597*$AC$595*EY598*EY$38*'⑫ Roll-out Plan'!$O$64</f>
        <v>0</v>
      </c>
      <c r="EZ599" s="9" t="n">
        <f aca="false">EZ597*$AC$595*EZ598*EZ$38*'⑫ Roll-out Plan'!$O$64</f>
        <v>0</v>
      </c>
      <c r="FA599" s="9" t="n">
        <f aca="false">FA597*$AC$595*FA598*FA$38*'⑫ Roll-out Plan'!$O$64</f>
        <v>0</v>
      </c>
      <c r="FB599" s="9" t="n">
        <f aca="false">FB597*$AC$595*FB598*FB$38*'⑫ Roll-out Plan'!$O$64</f>
        <v>0</v>
      </c>
      <c r="FC599" s="9" t="n">
        <f aca="false">FC597*$AC$595*FC598*FC$38*'⑫ Roll-out Plan'!$O$64</f>
        <v>0</v>
      </c>
      <c r="FD599" s="9" t="n">
        <f aca="false">FD597*$AC$595*FD598*FD$38*'⑫ Roll-out Plan'!$O$64</f>
        <v>0</v>
      </c>
      <c r="FE599" s="9" t="n">
        <f aca="false">FE597*$AC$595*FE598*FE$38*'⑫ Roll-out Plan'!$O$64</f>
        <v>0</v>
      </c>
      <c r="FF599" s="9" t="n">
        <f aca="false">FF597*$AC$595*FF598*FF$38*'⑫ Roll-out Plan'!$O$64</f>
        <v>0</v>
      </c>
      <c r="FG599" s="9" t="n">
        <f aca="false">FG597*$AC$595*FG598*FG$38*'⑫ Roll-out Plan'!$O$64</f>
        <v>0</v>
      </c>
      <c r="FH599" s="9" t="n">
        <f aca="false">FH597*$AC$595*FH598*FH$38*'⑫ Roll-out Plan'!$O$64</f>
        <v>0</v>
      </c>
      <c r="FI599" s="9" t="n">
        <f aca="false">FI597*$AC$595*FI598*FI$38*'⑫ Roll-out Plan'!$O$64</f>
        <v>0</v>
      </c>
      <c r="FJ599" s="9" t="n">
        <f aca="false">FJ597*$AC$595*FJ598*FJ$38*'⑫ Roll-out Plan'!$O$64</f>
        <v>0</v>
      </c>
      <c r="FK599" s="9" t="n">
        <f aca="false">FK597*$AC$595*FK598*FK$38*'⑫ Roll-out Plan'!$O$64</f>
        <v>0</v>
      </c>
      <c r="FL599" s="9" t="n">
        <f aca="false">FL597*$AC$595*FL598*FL$38*'⑫ Roll-out Plan'!$O$64</f>
        <v>0</v>
      </c>
      <c r="FM599" s="9" t="n">
        <f aca="false">FM597*$AC$595*FM598*FM$38*'⑫ Roll-out Plan'!$O$64</f>
        <v>0</v>
      </c>
      <c r="FN599" s="9" t="n">
        <f aca="false">FN597*$AC$595*FN598*FN$38*'⑫ Roll-out Plan'!$O$64</f>
        <v>0</v>
      </c>
      <c r="FO599" s="9" t="n">
        <f aca="false">FO597*$AC$595*FO598*FO$38*'⑫ Roll-out Plan'!$O$64</f>
        <v>0</v>
      </c>
      <c r="FP599" s="9" t="n">
        <f aca="false">FP597*$AC$595*FP598*FP$38*'⑫ Roll-out Plan'!$O$64</f>
        <v>0</v>
      </c>
    </row>
    <row r="600" customFormat="false" ht="15" hidden="false" customHeight="false" outlineLevel="2" collapsed="false">
      <c r="B600" s="9" t="s">
        <v>877</v>
      </c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112" t="n">
        <f aca="true">IFERROR(SUMPRODUCT(OFFSET($BJ$31,0,1-MIN(60,COLUMN()-29),1,MIN(60,COLUMN()-29)),OFFSET(AC599,0,-MIN(60,COLUMN()-29),1,MIN(60,COLUMN()-29))),0)</f>
        <v>0</v>
      </c>
      <c r="AD600" s="112" t="n">
        <f aca="true">IFERROR(SUMPRODUCT(OFFSET($BJ$31,0,1-MIN(60,COLUMN()-29),1,MIN(60,COLUMN()-29)),OFFSET(AD599,0,-MIN(60,COLUMN()-29),1,MIN(60,COLUMN()-29))),0)</f>
        <v>0</v>
      </c>
      <c r="AE600" s="112" t="n">
        <f aca="true">IFERROR(SUMPRODUCT(OFFSET($BJ$31,0,1-MIN(60,COLUMN()-29),1,MIN(60,COLUMN()-29)),OFFSET(AE599,0,-MIN(60,COLUMN()-29),1,MIN(60,COLUMN()-29))),0)</f>
        <v>0</v>
      </c>
      <c r="AF600" s="112" t="n">
        <f aca="true">IFERROR(SUMPRODUCT(OFFSET($BJ$31,0,1-MIN(60,COLUMN()-29),1,MIN(60,COLUMN()-29)),OFFSET(AF599,0,-MIN(60,COLUMN()-29),1,MIN(60,COLUMN()-29))),0)</f>
        <v>0</v>
      </c>
      <c r="AG600" s="112" t="n">
        <f aca="true">IFERROR(SUMPRODUCT(OFFSET($BJ$31,0,1-MIN(60,COLUMN()-29),1,MIN(60,COLUMN()-29)),OFFSET(AG599,0,-MIN(60,COLUMN()-29),1,MIN(60,COLUMN()-29))),0)</f>
        <v>0</v>
      </c>
      <c r="AH600" s="112" t="n">
        <f aca="true">IFERROR(SUMPRODUCT(OFFSET($BJ$31,0,1-MIN(60,COLUMN()-29),1,MIN(60,COLUMN()-29)),OFFSET(AH599,0,-MIN(60,COLUMN()-29),1,MIN(60,COLUMN()-29))),0)</f>
        <v>0</v>
      </c>
      <c r="AI600" s="112" t="n">
        <f aca="true">IFERROR(SUMPRODUCT(OFFSET($BJ$31,0,1-MIN(60,COLUMN()-29),1,MIN(60,COLUMN()-29)),OFFSET(AI599,0,-MIN(60,COLUMN()-29),1,MIN(60,COLUMN()-29))),0)</f>
        <v>0</v>
      </c>
      <c r="AJ600" s="112" t="n">
        <f aca="true">IFERROR(SUMPRODUCT(OFFSET($BJ$31,0,1-MIN(60,COLUMN()-29),1,MIN(60,COLUMN()-29)),OFFSET(AJ599,0,-MIN(60,COLUMN()-29),1,MIN(60,COLUMN()-29))),0)</f>
        <v>0</v>
      </c>
      <c r="AK600" s="112" t="n">
        <f aca="true">IFERROR(SUMPRODUCT(OFFSET($BJ$31,0,1-MIN(60,COLUMN()-29),1,MIN(60,COLUMN()-29)),OFFSET(AK599,0,-MIN(60,COLUMN()-29),1,MIN(60,COLUMN()-29))),0)</f>
        <v>0</v>
      </c>
      <c r="AL600" s="112" t="n">
        <f aca="true">IFERROR(SUMPRODUCT(OFFSET($BJ$31,0,1-MIN(60,COLUMN()-29),1,MIN(60,COLUMN()-29)),OFFSET(AL599,0,-MIN(60,COLUMN()-29),1,MIN(60,COLUMN()-29))),0)</f>
        <v>0</v>
      </c>
      <c r="AM600" s="112" t="n">
        <f aca="true">IFERROR(SUMPRODUCT(OFFSET($BJ$31,0,1-MIN(60,COLUMN()-29),1,MIN(60,COLUMN()-29)),OFFSET(AM599,0,-MIN(60,COLUMN()-29),1,MIN(60,COLUMN()-29))),0)</f>
        <v>0</v>
      </c>
      <c r="AN600" s="239" t="n">
        <f aca="true">IFERROR(SUMPRODUCT(OFFSET($BJ$31,0,1-MIN(60,COLUMN()-29),1,MIN(60,COLUMN()-29)),OFFSET(AN599,0,-MIN(60,COLUMN()-29),1,MIN(60,COLUMN()-29))),0)</f>
        <v>0</v>
      </c>
      <c r="AO600" s="112" t="n">
        <f aca="true">IFERROR(SUMPRODUCT(OFFSET($BJ$31,0,1-MIN(60,COLUMN()-29),1,MIN(60,COLUMN()-29)),OFFSET(AO599,0,-MIN(60,COLUMN()-29),1,MIN(60,COLUMN()-29))),0)</f>
        <v>0</v>
      </c>
      <c r="AP600" s="112" t="n">
        <f aca="true">IFERROR(SUMPRODUCT(OFFSET($BJ$31,0,1-MIN(60,COLUMN()-29),1,MIN(60,COLUMN()-29)),OFFSET(AP599,0,-MIN(60,COLUMN()-29),1,MIN(60,COLUMN()-29))),0)</f>
        <v>0</v>
      </c>
      <c r="AQ600" s="112" t="n">
        <f aca="true">IFERROR(SUMPRODUCT(OFFSET($BJ$31,0,1-MIN(60,COLUMN()-29),1,MIN(60,COLUMN()-29)),OFFSET(AQ599,0,-MIN(60,COLUMN()-29),1,MIN(60,COLUMN()-29))),0)</f>
        <v>0</v>
      </c>
      <c r="AR600" s="112" t="n">
        <f aca="true">IFERROR(SUMPRODUCT(OFFSET($BJ$31,0,1-MIN(60,COLUMN()-29),1,MIN(60,COLUMN()-29)),OFFSET(AR599,0,-MIN(60,COLUMN()-29),1,MIN(60,COLUMN()-29))),0)</f>
        <v>0</v>
      </c>
      <c r="AS600" s="112" t="n">
        <f aca="true">IFERROR(SUMPRODUCT(OFFSET($BJ$31,0,1-MIN(60,COLUMN()-29),1,MIN(60,COLUMN()-29)),OFFSET(AS599,0,-MIN(60,COLUMN()-29),1,MIN(60,COLUMN()-29))),0)</f>
        <v>0</v>
      </c>
      <c r="AT600" s="112" t="n">
        <f aca="true">IFERROR(SUMPRODUCT(OFFSET($BJ$31,0,1-MIN(60,COLUMN()-29),1,MIN(60,COLUMN()-29)),OFFSET(AT599,0,-MIN(60,COLUMN()-29),1,MIN(60,COLUMN()-29))),0)</f>
        <v>0</v>
      </c>
      <c r="AU600" s="112" t="n">
        <f aca="true">IFERROR(SUMPRODUCT(OFFSET($BJ$31,0,1-MIN(60,COLUMN()-29),1,MIN(60,COLUMN()-29)),OFFSET(AU599,0,-MIN(60,COLUMN()-29),1,MIN(60,COLUMN()-29))),0)</f>
        <v>0</v>
      </c>
      <c r="AV600" s="112" t="n">
        <f aca="true">IFERROR(SUMPRODUCT(OFFSET($BJ$31,0,1-MIN(60,COLUMN()-29),1,MIN(60,COLUMN()-29)),OFFSET(AV599,0,-MIN(60,COLUMN()-29),1,MIN(60,COLUMN()-29))),0)</f>
        <v>0</v>
      </c>
      <c r="AW600" s="112" t="n">
        <f aca="true">IFERROR(SUMPRODUCT(OFFSET($BJ$31,0,1-MIN(60,COLUMN()-29),1,MIN(60,COLUMN()-29)),OFFSET(AW599,0,-MIN(60,COLUMN()-29),1,MIN(60,COLUMN()-29))),0)</f>
        <v>0</v>
      </c>
      <c r="AX600" s="112" t="n">
        <f aca="true">IFERROR(SUMPRODUCT(OFFSET($BJ$31,0,1-MIN(60,COLUMN()-29),1,MIN(60,COLUMN()-29)),OFFSET(AX599,0,-MIN(60,COLUMN()-29),1,MIN(60,COLUMN()-29))),0)</f>
        <v>0</v>
      </c>
      <c r="AY600" s="112" t="n">
        <f aca="true">IFERROR(SUMPRODUCT(OFFSET($BJ$31,0,1-MIN(60,COLUMN()-29),1,MIN(60,COLUMN()-29)),OFFSET(AY599,0,-MIN(60,COLUMN()-29),1,MIN(60,COLUMN()-29))),0)</f>
        <v>0</v>
      </c>
      <c r="AZ600" s="112" t="n">
        <f aca="true">IFERROR(SUMPRODUCT(OFFSET($BJ$31,0,1-MIN(60,COLUMN()-29),1,MIN(60,COLUMN()-29)),OFFSET(AZ599,0,-MIN(60,COLUMN()-29),1,MIN(60,COLUMN()-29))),0)</f>
        <v>0</v>
      </c>
      <c r="BA600" s="112" t="n">
        <f aca="true">IFERROR(SUMPRODUCT(OFFSET($BJ$31,0,1-MIN(60,COLUMN()-29),1,MIN(60,COLUMN()-29)),OFFSET(BA599,0,-MIN(60,COLUMN()-29),1,MIN(60,COLUMN()-29))),0)</f>
        <v>0</v>
      </c>
      <c r="BB600" s="112" t="n">
        <f aca="true">IFERROR(SUMPRODUCT(OFFSET($BJ$31,0,1-MIN(60,COLUMN()-29),1,MIN(60,COLUMN()-29)),OFFSET(BB599,0,-MIN(60,COLUMN()-29),1,MIN(60,COLUMN()-29))),0)</f>
        <v>0</v>
      </c>
      <c r="BC600" s="112" t="n">
        <f aca="true">IFERROR(SUMPRODUCT(OFFSET($BJ$31,0,1-MIN(60,COLUMN()-29),1,MIN(60,COLUMN()-29)),OFFSET(BC599,0,-MIN(60,COLUMN()-29),1,MIN(60,COLUMN()-29))),0)</f>
        <v>0</v>
      </c>
      <c r="BD600" s="112" t="n">
        <f aca="true">IFERROR(SUMPRODUCT(OFFSET($BJ$31,0,1-MIN(60,COLUMN()-29),1,MIN(60,COLUMN()-29)),OFFSET(BD599,0,-MIN(60,COLUMN()-29),1,MIN(60,COLUMN()-29))),0)</f>
        <v>0</v>
      </c>
      <c r="BE600" s="112" t="n">
        <f aca="true">IFERROR(SUMPRODUCT(OFFSET($BJ$31,0,1-MIN(60,COLUMN()-29),1,MIN(60,COLUMN()-29)),OFFSET(BE599,0,-MIN(60,COLUMN()-29),1,MIN(60,COLUMN()-29))),0)</f>
        <v>0</v>
      </c>
      <c r="BF600" s="112" t="n">
        <f aca="true">IFERROR(SUMPRODUCT(OFFSET($BJ$31,0,1-MIN(60,COLUMN()-29),1,MIN(60,COLUMN()-29)),OFFSET(BF599,0,-MIN(60,COLUMN()-29),1,MIN(60,COLUMN()-29))),0)</f>
        <v>0</v>
      </c>
      <c r="BG600" s="112" t="n">
        <f aca="true">IFERROR(SUMPRODUCT(OFFSET($BJ$31,0,1-MIN(60,COLUMN()-29),1,MIN(60,COLUMN()-29)),OFFSET(BG599,0,-MIN(60,COLUMN()-29),1,MIN(60,COLUMN()-29))),0)</f>
        <v>0</v>
      </c>
      <c r="BH600" s="112" t="n">
        <f aca="true">IFERROR(SUMPRODUCT(OFFSET($BJ$31,0,1-MIN(60,COLUMN()-29),1,MIN(60,COLUMN()-29)),OFFSET(BH599,0,-MIN(60,COLUMN()-29),1,MIN(60,COLUMN()-29))),0)</f>
        <v>0</v>
      </c>
      <c r="BI600" s="112" t="n">
        <f aca="true">IFERROR(SUMPRODUCT(OFFSET($BJ$31,0,1-MIN(60,COLUMN()-29),1,MIN(60,COLUMN()-29)),OFFSET(BI599,0,-MIN(60,COLUMN()-29),1,MIN(60,COLUMN()-29))),0)</f>
        <v>0</v>
      </c>
      <c r="BJ600" s="112" t="n">
        <f aca="true">IFERROR(SUMPRODUCT(OFFSET($BJ$31,0,1-MIN(60,COLUMN()-29),1,MIN(60,COLUMN()-29)),OFFSET(BJ599,0,-MIN(60,COLUMN()-29),1,MIN(60,COLUMN()-29))),0)</f>
        <v>0</v>
      </c>
      <c r="BK600" s="112" t="n">
        <f aca="true">IFERROR(SUMPRODUCT(OFFSET($BJ$31,0,1-MIN(60,COLUMN()-29),1,MIN(60,COLUMN()-29)),OFFSET(BK599,0,-MIN(60,COLUMN()-29),1,MIN(60,COLUMN()-29))),0)</f>
        <v>0</v>
      </c>
      <c r="BL600" s="112" t="n">
        <f aca="true">IFERROR(SUMPRODUCT(OFFSET($BJ$31,0,1-MIN(60,COLUMN()-29),1,MIN(60,COLUMN()-29)),OFFSET(BL599,0,-MIN(60,COLUMN()-29),1,MIN(60,COLUMN()-29))),0)</f>
        <v>0</v>
      </c>
      <c r="BM600" s="112" t="n">
        <f aca="true">IFERROR(SUMPRODUCT(OFFSET($BJ$31,0,1-MIN(60,COLUMN()-29),1,MIN(60,COLUMN()-29)),OFFSET(BM599,0,-MIN(60,COLUMN()-29),1,MIN(60,COLUMN()-29))),0)</f>
        <v>0</v>
      </c>
      <c r="BN600" s="112" t="n">
        <f aca="true">IFERROR(SUMPRODUCT(OFFSET($BJ$31,0,1-MIN(60,COLUMN()-29),1,MIN(60,COLUMN()-29)),OFFSET(BN599,0,-MIN(60,COLUMN()-29),1,MIN(60,COLUMN()-29))),0)</f>
        <v>0</v>
      </c>
      <c r="BO600" s="112" t="n">
        <f aca="true">IFERROR(SUMPRODUCT(OFFSET($BJ$31,0,1-MIN(60,COLUMN()-29),1,MIN(60,COLUMN()-29)),OFFSET(BO599,0,-MIN(60,COLUMN()-29),1,MIN(60,COLUMN()-29))),0)</f>
        <v>0</v>
      </c>
      <c r="BP600" s="112" t="n">
        <f aca="true">IFERROR(SUMPRODUCT(OFFSET($BJ$31,0,1-MIN(60,COLUMN()-29),1,MIN(60,COLUMN()-29)),OFFSET(BP599,0,-MIN(60,COLUMN()-29),1,MIN(60,COLUMN()-29))),0)</f>
        <v>0</v>
      </c>
      <c r="BQ600" s="112" t="n">
        <f aca="true">IFERROR(SUMPRODUCT(OFFSET($BJ$31,0,1-MIN(60,COLUMN()-29),1,MIN(60,COLUMN()-29)),OFFSET(BQ599,0,-MIN(60,COLUMN()-29),1,MIN(60,COLUMN()-29))),0)</f>
        <v>0</v>
      </c>
      <c r="BR600" s="112" t="n">
        <f aca="true">IFERROR(SUMPRODUCT(OFFSET($BJ$31,0,1-MIN(60,COLUMN()-29),1,MIN(60,COLUMN()-29)),OFFSET(BR599,0,-MIN(60,COLUMN()-29),1,MIN(60,COLUMN()-29))),0)</f>
        <v>0</v>
      </c>
      <c r="BS600" s="112" t="n">
        <f aca="true">IFERROR(SUMPRODUCT(OFFSET($BJ$31,0,1-MIN(60,COLUMN()-29),1,MIN(60,COLUMN()-29)),OFFSET(BS599,0,-MIN(60,COLUMN()-29),1,MIN(60,COLUMN()-29))),0)</f>
        <v>0</v>
      </c>
      <c r="BT600" s="112" t="n">
        <f aca="true">IFERROR(SUMPRODUCT(OFFSET($BJ$31,0,1-MIN(60,COLUMN()-29),1,MIN(60,COLUMN()-29)),OFFSET(BT599,0,-MIN(60,COLUMN()-29),1,MIN(60,COLUMN()-29))),0)</f>
        <v>0</v>
      </c>
      <c r="BU600" s="112" t="n">
        <f aca="true">IFERROR(SUMPRODUCT(OFFSET($BJ$31,0,1-MIN(60,COLUMN()-29),1,MIN(60,COLUMN()-29)),OFFSET(BU599,0,-MIN(60,COLUMN()-29),1,MIN(60,COLUMN()-29))),0)</f>
        <v>0</v>
      </c>
      <c r="BV600" s="112" t="n">
        <f aca="true">IFERROR(SUMPRODUCT(OFFSET($BJ$31,0,1-MIN(60,COLUMN()-29),1,MIN(60,COLUMN()-29)),OFFSET(BV599,0,-MIN(60,COLUMN()-29),1,MIN(60,COLUMN()-29))),0)</f>
        <v>0</v>
      </c>
      <c r="BW600" s="112" t="n">
        <f aca="true">IFERROR(SUMPRODUCT(OFFSET($BJ$31,0,1-MIN(60,COLUMN()-29),1,MIN(60,COLUMN()-29)),OFFSET(BW599,0,-MIN(60,COLUMN()-29),1,MIN(60,COLUMN()-29))),0)</f>
        <v>0</v>
      </c>
      <c r="BX600" s="112" t="n">
        <f aca="true">IFERROR(SUMPRODUCT(OFFSET($BJ$31,0,1-MIN(60,COLUMN()-29),1,MIN(60,COLUMN()-29)),OFFSET(BX599,0,-MIN(60,COLUMN()-29),1,MIN(60,COLUMN()-29))),0)</f>
        <v>0</v>
      </c>
      <c r="BY600" s="112" t="n">
        <f aca="true">IFERROR(SUMPRODUCT(OFFSET($BJ$31,0,1-MIN(60,COLUMN()-29),1,MIN(60,COLUMN()-29)),OFFSET(BY599,0,-MIN(60,COLUMN()-29),1,MIN(60,COLUMN()-29))),0)</f>
        <v>0</v>
      </c>
      <c r="BZ600" s="112" t="n">
        <f aca="true">IFERROR(SUMPRODUCT(OFFSET($BJ$31,0,1-MIN(60,COLUMN()-29),1,MIN(60,COLUMN()-29)),OFFSET(BZ599,0,-MIN(60,COLUMN()-29),1,MIN(60,COLUMN()-29))),0)</f>
        <v>0</v>
      </c>
      <c r="CA600" s="112" t="n">
        <f aca="true">IFERROR(SUMPRODUCT(OFFSET($BJ$31,0,1-MIN(60,COLUMN()-29),1,MIN(60,COLUMN()-29)),OFFSET(CA599,0,-MIN(60,COLUMN()-29),1,MIN(60,COLUMN()-29))),0)</f>
        <v>0</v>
      </c>
      <c r="CB600" s="112" t="n">
        <f aca="true">IFERROR(SUMPRODUCT(OFFSET($BJ$31,0,1-MIN(60,COLUMN()-29),1,MIN(60,COLUMN()-29)),OFFSET(CB599,0,-MIN(60,COLUMN()-29),1,MIN(60,COLUMN()-29))),0)</f>
        <v>0</v>
      </c>
      <c r="CC600" s="112" t="n">
        <f aca="true">IFERROR(SUMPRODUCT(OFFSET($BJ$31,0,1-MIN(60,COLUMN()-29),1,MIN(60,COLUMN()-29)),OFFSET(CC599,0,-MIN(60,COLUMN()-29),1,MIN(60,COLUMN()-29))),0)</f>
        <v>0</v>
      </c>
      <c r="CD600" s="112" t="n">
        <f aca="true">IFERROR(SUMPRODUCT(OFFSET($BJ$31,0,1-MIN(60,COLUMN()-29),1,MIN(60,COLUMN()-29)),OFFSET(CD599,0,-MIN(60,COLUMN()-29),1,MIN(60,COLUMN()-29))),0)</f>
        <v>0</v>
      </c>
      <c r="CE600" s="112" t="n">
        <f aca="true">IFERROR(SUMPRODUCT(OFFSET($BJ$31,0,1-MIN(60,COLUMN()-29),1,MIN(60,COLUMN()-29)),OFFSET(CE599,0,-MIN(60,COLUMN()-29),1,MIN(60,COLUMN()-29))),0)</f>
        <v>0</v>
      </c>
      <c r="CF600" s="112" t="n">
        <f aca="true">IFERROR(SUMPRODUCT(OFFSET($BJ$31,0,1-MIN(60,COLUMN()-29),1,MIN(60,COLUMN()-29)),OFFSET(CF599,0,-MIN(60,COLUMN()-29),1,MIN(60,COLUMN()-29))),0)</f>
        <v>0</v>
      </c>
      <c r="CG600" s="112" t="n">
        <f aca="true">IFERROR(SUMPRODUCT(OFFSET($BJ$31,0,1-MIN(60,COLUMN()-29),1,MIN(60,COLUMN()-29)),OFFSET(CG599,0,-MIN(60,COLUMN()-29),1,MIN(60,COLUMN()-29))),0)</f>
        <v>0</v>
      </c>
      <c r="CH600" s="112" t="n">
        <f aca="true">IFERROR(SUMPRODUCT(OFFSET($BJ$31,0,1-MIN(60,COLUMN()-29),1,MIN(60,COLUMN()-29)),OFFSET(CH599,0,-MIN(60,COLUMN()-29),1,MIN(60,COLUMN()-29))),0)</f>
        <v>0</v>
      </c>
      <c r="CI600" s="112" t="n">
        <f aca="true">IFERROR(SUMPRODUCT(OFFSET($BJ$31,0,1-MIN(60,COLUMN()-29),1,MIN(60,COLUMN()-29)),OFFSET(CI599,0,-MIN(60,COLUMN()-29),1,MIN(60,COLUMN()-29))),0)</f>
        <v>0</v>
      </c>
      <c r="CJ600" s="112" t="n">
        <f aca="true">IFERROR(SUMPRODUCT(OFFSET($BJ$31,0,1-MIN(60,COLUMN()-29),1,MIN(60,COLUMN()-29)),OFFSET(CJ599,0,-MIN(60,COLUMN()-29),1,MIN(60,COLUMN()-29))),0)</f>
        <v>0</v>
      </c>
      <c r="CK600" s="112" t="n">
        <f aca="true">IFERROR(SUMPRODUCT(OFFSET($BJ$31,0,1-MIN(60,COLUMN()-29),1,MIN(60,COLUMN()-29)),OFFSET(CK599,0,-MIN(60,COLUMN()-29),1,MIN(60,COLUMN()-29))),0)</f>
        <v>0</v>
      </c>
      <c r="CL600" s="112" t="n">
        <f aca="true">IFERROR(SUMPRODUCT(OFFSET($BJ$31,0,1-MIN(60,COLUMN()-29),1,MIN(60,COLUMN()-29)),OFFSET(CL599,0,-MIN(60,COLUMN()-29),1,MIN(60,COLUMN()-29))),0)</f>
        <v>0</v>
      </c>
      <c r="CM600" s="112" t="n">
        <f aca="true">IFERROR(SUMPRODUCT(OFFSET($BJ$31,0,1-MIN(60,COLUMN()-29),1,MIN(60,COLUMN()-29)),OFFSET(CM599,0,-MIN(60,COLUMN()-29),1,MIN(60,COLUMN()-29))),0)</f>
        <v>0</v>
      </c>
      <c r="CN600" s="112" t="n">
        <f aca="true">IFERROR(SUMPRODUCT(OFFSET($BJ$31,0,1-MIN(60,COLUMN()-29),1,MIN(60,COLUMN()-29)),OFFSET(CN599,0,-MIN(60,COLUMN()-29),1,MIN(60,COLUMN()-29))),0)</f>
        <v>0</v>
      </c>
      <c r="CO600" s="112" t="n">
        <f aca="true">IFERROR(SUMPRODUCT(OFFSET($BJ$31,0,1-MIN(60,COLUMN()-29),1,MIN(60,COLUMN()-29)),OFFSET(CO599,0,-MIN(60,COLUMN()-29),1,MIN(60,COLUMN()-29))),0)</f>
        <v>0</v>
      </c>
      <c r="CP600" s="112" t="n">
        <f aca="true">IFERROR(SUMPRODUCT(OFFSET($BJ$31,0,1-MIN(60,COLUMN()-29),1,MIN(60,COLUMN()-29)),OFFSET(CP599,0,-MIN(60,COLUMN()-29),1,MIN(60,COLUMN()-29))),0)</f>
        <v>0</v>
      </c>
      <c r="CQ600" s="112" t="n">
        <f aca="true">IFERROR(SUMPRODUCT(OFFSET($BJ$31,0,1-MIN(60,COLUMN()-29),1,MIN(60,COLUMN()-29)),OFFSET(CQ599,0,-MIN(60,COLUMN()-29),1,MIN(60,COLUMN()-29))),0)</f>
        <v>0</v>
      </c>
      <c r="CR600" s="112" t="n">
        <f aca="true">IFERROR(SUMPRODUCT(OFFSET($BJ$31,0,1-MIN(60,COLUMN()-29),1,MIN(60,COLUMN()-29)),OFFSET(CR599,0,-MIN(60,COLUMN()-29),1,MIN(60,COLUMN()-29))),0)</f>
        <v>0</v>
      </c>
      <c r="CS600" s="112" t="n">
        <f aca="true">IFERROR(SUMPRODUCT(OFFSET($BJ$31,0,1-MIN(60,COLUMN()-29),1,MIN(60,COLUMN()-29)),OFFSET(CS599,0,-MIN(60,COLUMN()-29),1,MIN(60,COLUMN()-29))),0)</f>
        <v>0</v>
      </c>
      <c r="CT600" s="112" t="n">
        <f aca="true">IFERROR(SUMPRODUCT(OFFSET($BJ$31,0,1-MIN(60,COLUMN()-29),1,MIN(60,COLUMN()-29)),OFFSET(CT599,0,-MIN(60,COLUMN()-29),1,MIN(60,COLUMN()-29))),0)</f>
        <v>0</v>
      </c>
      <c r="CU600" s="112" t="n">
        <f aca="true">IFERROR(SUMPRODUCT(OFFSET($BJ$31,0,1-MIN(60,COLUMN()-29),1,MIN(60,COLUMN()-29)),OFFSET(CU599,0,-MIN(60,COLUMN()-29),1,MIN(60,COLUMN()-29))),0)</f>
        <v>0</v>
      </c>
      <c r="CV600" s="112" t="n">
        <f aca="true">IFERROR(SUMPRODUCT(OFFSET($BJ$31,0,1-MIN(60,COLUMN()-29),1,MIN(60,COLUMN()-29)),OFFSET(CV599,0,-MIN(60,COLUMN()-29),1,MIN(60,COLUMN()-29))),0)</f>
        <v>0</v>
      </c>
      <c r="CW600" s="112" t="n">
        <f aca="true">IFERROR(SUMPRODUCT(OFFSET($BJ$31,0,1-MIN(60,COLUMN()-29),1,MIN(60,COLUMN()-29)),OFFSET(CW599,0,-MIN(60,COLUMN()-29),1,MIN(60,COLUMN()-29))),0)</f>
        <v>0</v>
      </c>
      <c r="CX600" s="112" t="n">
        <f aca="true">IFERROR(SUMPRODUCT(OFFSET($BJ$31,0,1-MIN(60,COLUMN()-29),1,MIN(60,COLUMN()-29)),OFFSET(CX599,0,-MIN(60,COLUMN()-29),1,MIN(60,COLUMN()-29))),0)</f>
        <v>0</v>
      </c>
      <c r="CY600" s="112" t="n">
        <f aca="true">IFERROR(SUMPRODUCT(OFFSET($BJ$31,0,1-MIN(60,COLUMN()-29),1,MIN(60,COLUMN()-29)),OFFSET(CY599,0,-MIN(60,COLUMN()-29),1,MIN(60,COLUMN()-29))),0)</f>
        <v>0</v>
      </c>
      <c r="CZ600" s="112" t="n">
        <f aca="true">IFERROR(SUMPRODUCT(OFFSET($BJ$31,0,1-MIN(60,COLUMN()-29),1,MIN(60,COLUMN()-29)),OFFSET(CZ599,0,-MIN(60,COLUMN()-29),1,MIN(60,COLUMN()-29))),0)</f>
        <v>0</v>
      </c>
      <c r="DA600" s="112" t="n">
        <f aca="true">IFERROR(SUMPRODUCT(OFFSET($BJ$31,0,1-MIN(60,COLUMN()-29),1,MIN(60,COLUMN()-29)),OFFSET(DA599,0,-MIN(60,COLUMN()-29),1,MIN(60,COLUMN()-29))),0)</f>
        <v>0</v>
      </c>
      <c r="DB600" s="112" t="n">
        <f aca="true">IFERROR(SUMPRODUCT(OFFSET($BJ$31,0,1-MIN(60,COLUMN()-29),1,MIN(60,COLUMN()-29)),OFFSET(DB599,0,-MIN(60,COLUMN()-29),1,MIN(60,COLUMN()-29))),0)</f>
        <v>0</v>
      </c>
      <c r="DC600" s="112" t="n">
        <f aca="true">IFERROR(SUMPRODUCT(OFFSET($BJ$31,0,1-MIN(60,COLUMN()-29),1,MIN(60,COLUMN()-29)),OFFSET(DC599,0,-MIN(60,COLUMN()-29),1,MIN(60,COLUMN()-29))),0)</f>
        <v>0</v>
      </c>
      <c r="DD600" s="112" t="n">
        <f aca="true">IFERROR(SUMPRODUCT(OFFSET($BJ$31,0,1-MIN(60,COLUMN()-29),1,MIN(60,COLUMN()-29)),OFFSET(DD599,0,-MIN(60,COLUMN()-29),1,MIN(60,COLUMN()-29))),0)</f>
        <v>0</v>
      </c>
      <c r="DE600" s="112" t="n">
        <f aca="true">IFERROR(SUMPRODUCT(OFFSET($BJ$31,0,1-MIN(60,COLUMN()-29),1,MIN(60,COLUMN()-29)),OFFSET(DE599,0,-MIN(60,COLUMN()-29),1,MIN(60,COLUMN()-29))),0)</f>
        <v>0</v>
      </c>
      <c r="DF600" s="112" t="n">
        <f aca="true">IFERROR(SUMPRODUCT(OFFSET($BJ$31,0,1-MIN(60,COLUMN()-29),1,MIN(60,COLUMN()-29)),OFFSET(DF599,0,-MIN(60,COLUMN()-29),1,MIN(60,COLUMN()-29))),0)</f>
        <v>0</v>
      </c>
      <c r="DG600" s="112" t="n">
        <f aca="true">IFERROR(SUMPRODUCT(OFFSET($BJ$31,0,1-MIN(60,COLUMN()-29),1,MIN(60,COLUMN()-29)),OFFSET(DG599,0,-MIN(60,COLUMN()-29),1,MIN(60,COLUMN()-29))),0)</f>
        <v>0</v>
      </c>
      <c r="DH600" s="112" t="n">
        <f aca="true">IFERROR(SUMPRODUCT(OFFSET($BJ$31,0,1-MIN(60,COLUMN()-29),1,MIN(60,COLUMN()-29)),OFFSET(DH599,0,-MIN(60,COLUMN()-29),1,MIN(60,COLUMN()-29))),0)</f>
        <v>0</v>
      </c>
      <c r="DI600" s="112" t="n">
        <f aca="true">IFERROR(SUMPRODUCT(OFFSET($BJ$31,0,1-MIN(60,COLUMN()-29),1,MIN(60,COLUMN()-29)),OFFSET(DI599,0,-MIN(60,COLUMN()-29),1,MIN(60,COLUMN()-29))),0)</f>
        <v>0</v>
      </c>
      <c r="DJ600" s="112" t="n">
        <f aca="true">IFERROR(SUMPRODUCT(OFFSET($BJ$31,0,1-MIN(60,COLUMN()-29),1,MIN(60,COLUMN()-29)),OFFSET(DJ599,0,-MIN(60,COLUMN()-29),1,MIN(60,COLUMN()-29))),0)</f>
        <v>0</v>
      </c>
      <c r="DK600" s="112" t="n">
        <f aca="true">IFERROR(SUMPRODUCT(OFFSET($BJ$31,0,1-MIN(60,COLUMN()-29),1,MIN(60,COLUMN()-29)),OFFSET(DK599,0,-MIN(60,COLUMN()-29),1,MIN(60,COLUMN()-29))),0)</f>
        <v>0</v>
      </c>
      <c r="DL600" s="112" t="n">
        <f aca="true">IFERROR(SUMPRODUCT(OFFSET($BJ$31,0,1-MIN(60,COLUMN()-29),1,MIN(60,COLUMN()-29)),OFFSET(DL599,0,-MIN(60,COLUMN()-29),1,MIN(60,COLUMN()-29))),0)</f>
        <v>0</v>
      </c>
      <c r="DM600" s="112" t="n">
        <f aca="true">IFERROR(SUMPRODUCT(OFFSET($BJ$31,0,1-MIN(60,COLUMN()-29),1,MIN(60,COLUMN()-29)),OFFSET(DM599,0,-MIN(60,COLUMN()-29),1,MIN(60,COLUMN()-29))),0)</f>
        <v>0</v>
      </c>
      <c r="DN600" s="112" t="n">
        <f aca="true">IFERROR(SUMPRODUCT(OFFSET($BJ$31,0,1-MIN(60,COLUMN()-29),1,MIN(60,COLUMN()-29)),OFFSET(DN599,0,-MIN(60,COLUMN()-29),1,MIN(60,COLUMN()-29))),0)</f>
        <v>0</v>
      </c>
      <c r="DO600" s="112" t="n">
        <f aca="true">IFERROR(SUMPRODUCT(OFFSET($BJ$31,0,1-MIN(60,COLUMN()-29),1,MIN(60,COLUMN()-29)),OFFSET(DO599,0,-MIN(60,COLUMN()-29),1,MIN(60,COLUMN()-29))),0)</f>
        <v>0</v>
      </c>
      <c r="DP600" s="112" t="n">
        <f aca="true">IFERROR(SUMPRODUCT(OFFSET($BJ$31,0,1-MIN(60,COLUMN()-29),1,MIN(60,COLUMN()-29)),OFFSET(DP599,0,-MIN(60,COLUMN()-29),1,MIN(60,COLUMN()-29))),0)</f>
        <v>0</v>
      </c>
      <c r="DQ600" s="112" t="n">
        <f aca="true">IFERROR(SUMPRODUCT(OFFSET($BJ$31,0,1-MIN(60,COLUMN()-29),1,MIN(60,COLUMN()-29)),OFFSET(DQ599,0,-MIN(60,COLUMN()-29),1,MIN(60,COLUMN()-29))),0)</f>
        <v>0</v>
      </c>
      <c r="DR600" s="112" t="n">
        <f aca="true">IFERROR(SUMPRODUCT(OFFSET($BJ$31,0,1-MIN(60,COLUMN()-29),1,MIN(60,COLUMN()-29)),OFFSET(DR599,0,-MIN(60,COLUMN()-29),1,MIN(60,COLUMN()-29))),0)</f>
        <v>0</v>
      </c>
      <c r="DS600" s="112" t="n">
        <f aca="true">IFERROR(SUMPRODUCT(OFFSET($BJ$31,0,1-MIN(60,COLUMN()-29),1,MIN(60,COLUMN()-29)),OFFSET(DS599,0,-MIN(60,COLUMN()-29),1,MIN(60,COLUMN()-29))),0)</f>
        <v>0</v>
      </c>
      <c r="DT600" s="112" t="n">
        <f aca="true">IFERROR(SUMPRODUCT(OFFSET($BJ$31,0,1-MIN(60,COLUMN()-29),1,MIN(60,COLUMN()-29)),OFFSET(DT599,0,-MIN(60,COLUMN()-29),1,MIN(60,COLUMN()-29))),0)</f>
        <v>0</v>
      </c>
      <c r="DU600" s="112" t="n">
        <f aca="true">IFERROR(SUMPRODUCT(OFFSET($BJ$31,0,1-MIN(60,COLUMN()-29),1,MIN(60,COLUMN()-29)),OFFSET(DU599,0,-MIN(60,COLUMN()-29),1,MIN(60,COLUMN()-29))),0)</f>
        <v>0</v>
      </c>
      <c r="DV600" s="112" t="n">
        <f aca="true">IFERROR(SUMPRODUCT(OFFSET($BJ$31,0,1-MIN(60,COLUMN()-29),1,MIN(60,COLUMN()-29)),OFFSET(DV599,0,-MIN(60,COLUMN()-29),1,MIN(60,COLUMN()-29))),0)</f>
        <v>0</v>
      </c>
      <c r="DW600" s="112" t="n">
        <f aca="true">IFERROR(SUMPRODUCT(OFFSET($BJ$31,0,1-MIN(60,COLUMN()-29),1,MIN(60,COLUMN()-29)),OFFSET(DW599,0,-MIN(60,COLUMN()-29),1,MIN(60,COLUMN()-29))),0)</f>
        <v>0</v>
      </c>
      <c r="DX600" s="112" t="n">
        <f aca="true">IFERROR(SUMPRODUCT(OFFSET($BJ$31,0,1-MIN(60,COLUMN()-29),1,MIN(60,COLUMN()-29)),OFFSET(DX599,0,-MIN(60,COLUMN()-29),1,MIN(60,COLUMN()-29))),0)</f>
        <v>0</v>
      </c>
      <c r="DY600" s="112" t="n">
        <f aca="true">IFERROR(SUMPRODUCT(OFFSET($BJ$31,0,1-MIN(60,COLUMN()-29),1,MIN(60,COLUMN()-29)),OFFSET(DY599,0,-MIN(60,COLUMN()-29),1,MIN(60,COLUMN()-29))),0)</f>
        <v>0</v>
      </c>
      <c r="DZ600" s="112" t="n">
        <f aca="true">IFERROR(SUMPRODUCT(OFFSET($BJ$31,0,1-MIN(60,COLUMN()-29),1,MIN(60,COLUMN()-29)),OFFSET(DZ599,0,-MIN(60,COLUMN()-29),1,MIN(60,COLUMN()-29))),0)</f>
        <v>0</v>
      </c>
      <c r="EA600" s="112" t="n">
        <f aca="true">IFERROR(SUMPRODUCT(OFFSET($BJ$31,0,1-MIN(60,COLUMN()-29),1,MIN(60,COLUMN()-29)),OFFSET(EA599,0,-MIN(60,COLUMN()-29),1,MIN(60,COLUMN()-29))),0)</f>
        <v>0</v>
      </c>
      <c r="EB600" s="112" t="n">
        <f aca="true">IFERROR(SUMPRODUCT(OFFSET($BJ$31,0,1-MIN(60,COLUMN()-29),1,MIN(60,COLUMN()-29)),OFFSET(EB599,0,-MIN(60,COLUMN()-29),1,MIN(60,COLUMN()-29))),0)</f>
        <v>0</v>
      </c>
      <c r="EC600" s="112" t="n">
        <f aca="true">IFERROR(SUMPRODUCT(OFFSET($BJ$31,0,1-MIN(60,COLUMN()-29),1,MIN(60,COLUMN()-29)),OFFSET(EC599,0,-MIN(60,COLUMN()-29),1,MIN(60,COLUMN()-29))),0)</f>
        <v>0</v>
      </c>
      <c r="ED600" s="112" t="n">
        <f aca="true">IFERROR(SUMPRODUCT(OFFSET($BJ$31,0,1-MIN(60,COLUMN()-29),1,MIN(60,COLUMN()-29)),OFFSET(ED599,0,-MIN(60,COLUMN()-29),1,MIN(60,COLUMN()-29))),0)</f>
        <v>0</v>
      </c>
      <c r="EE600" s="112" t="n">
        <f aca="true">IFERROR(SUMPRODUCT(OFFSET($BJ$31,0,1-MIN(60,COLUMN()-29),1,MIN(60,COLUMN()-29)),OFFSET(EE599,0,-MIN(60,COLUMN()-29),1,MIN(60,COLUMN()-29))),0)</f>
        <v>0</v>
      </c>
      <c r="EF600" s="112" t="n">
        <f aca="true">IFERROR(SUMPRODUCT(OFFSET($BJ$31,0,1-MIN(60,COLUMN()-29),1,MIN(60,COLUMN()-29)),OFFSET(EF599,0,-MIN(60,COLUMN()-29),1,MIN(60,COLUMN()-29))),0)</f>
        <v>0</v>
      </c>
      <c r="EG600" s="112" t="n">
        <f aca="true">IFERROR(SUMPRODUCT(OFFSET($BJ$31,0,1-MIN(60,COLUMN()-29),1,MIN(60,COLUMN()-29)),OFFSET(EG599,0,-MIN(60,COLUMN()-29),1,MIN(60,COLUMN()-29))),0)</f>
        <v>0</v>
      </c>
      <c r="EH600" s="112" t="n">
        <f aca="true">IFERROR(SUMPRODUCT(OFFSET($BJ$31,0,1-MIN(60,COLUMN()-29),1,MIN(60,COLUMN()-29)),OFFSET(EH599,0,-MIN(60,COLUMN()-29),1,MIN(60,COLUMN()-29))),0)</f>
        <v>0</v>
      </c>
      <c r="EI600" s="112" t="n">
        <f aca="true">IFERROR(SUMPRODUCT(OFFSET($BJ$31,0,1-MIN(60,COLUMN()-29),1,MIN(60,COLUMN()-29)),OFFSET(EI599,0,-MIN(60,COLUMN()-29),1,MIN(60,COLUMN()-29))),0)</f>
        <v>0</v>
      </c>
      <c r="EJ600" s="112" t="n">
        <f aca="true">IFERROR(SUMPRODUCT(OFFSET($BJ$31,0,1-MIN(60,COLUMN()-29),1,MIN(60,COLUMN()-29)),OFFSET(EJ599,0,-MIN(60,COLUMN()-29),1,MIN(60,COLUMN()-29))),0)</f>
        <v>0</v>
      </c>
      <c r="EK600" s="112" t="n">
        <f aca="true">IFERROR(SUMPRODUCT(OFFSET($BJ$31,0,1-MIN(60,COLUMN()-29),1,MIN(60,COLUMN()-29)),OFFSET(EK599,0,-MIN(60,COLUMN()-29),1,MIN(60,COLUMN()-29))),0)</f>
        <v>0</v>
      </c>
      <c r="EL600" s="112" t="n">
        <f aca="true">IFERROR(SUMPRODUCT(OFFSET($BJ$31,0,1-MIN(60,COLUMN()-29),1,MIN(60,COLUMN()-29)),OFFSET(EL599,0,-MIN(60,COLUMN()-29),1,MIN(60,COLUMN()-29))),0)</f>
        <v>0</v>
      </c>
      <c r="EM600" s="112" t="n">
        <f aca="true">IFERROR(SUMPRODUCT(OFFSET($BJ$31,0,1-MIN(60,COLUMN()-29),1,MIN(60,COLUMN()-29)),OFFSET(EM599,0,-MIN(60,COLUMN()-29),1,MIN(60,COLUMN()-29))),0)</f>
        <v>0</v>
      </c>
      <c r="EN600" s="112" t="n">
        <f aca="true">IFERROR(SUMPRODUCT(OFFSET($BJ$31,0,1-MIN(60,COLUMN()-29),1,MIN(60,COLUMN()-29)),OFFSET(EN599,0,-MIN(60,COLUMN()-29),1,MIN(60,COLUMN()-29))),0)</f>
        <v>0</v>
      </c>
      <c r="EO600" s="112" t="n">
        <f aca="true">IFERROR(SUMPRODUCT(OFFSET($BJ$31,0,1-MIN(60,COLUMN()-29),1,MIN(60,COLUMN()-29)),OFFSET(EO599,0,-MIN(60,COLUMN()-29),1,MIN(60,COLUMN()-29))),0)</f>
        <v>0</v>
      </c>
      <c r="EP600" s="112" t="n">
        <f aca="true">IFERROR(SUMPRODUCT(OFFSET($BJ$31,0,1-MIN(60,COLUMN()-29),1,MIN(60,COLUMN()-29)),OFFSET(EP599,0,-MIN(60,COLUMN()-29),1,MIN(60,COLUMN()-29))),0)</f>
        <v>0</v>
      </c>
      <c r="EQ600" s="112" t="n">
        <f aca="true">IFERROR(SUMPRODUCT(OFFSET($BJ$31,0,1-MIN(60,COLUMN()-29),1,MIN(60,COLUMN()-29)),OFFSET(EQ599,0,-MIN(60,COLUMN()-29),1,MIN(60,COLUMN()-29))),0)</f>
        <v>0</v>
      </c>
      <c r="ER600" s="112" t="n">
        <f aca="true">IFERROR(SUMPRODUCT(OFFSET($BJ$31,0,1-MIN(60,COLUMN()-29),1,MIN(60,COLUMN()-29)),OFFSET(ER599,0,-MIN(60,COLUMN()-29),1,MIN(60,COLUMN()-29))),0)</f>
        <v>0</v>
      </c>
      <c r="ES600" s="9" t="n">
        <f aca="true">IFERROR(SUMPRODUCT(OFFSET($BJ$31,0,1-MIN(60,COLUMN()-29),1,MIN(60,COLUMN()-29)),OFFSET(ES599,0,-MIN(60,COLUMN()-29),1,MIN(60,COLUMN()-29))),0)</f>
        <v>0</v>
      </c>
      <c r="ET600" s="9" t="n">
        <f aca="true">IFERROR(SUMPRODUCT(OFFSET($BJ$31,0,1-MIN(60,COLUMN()-29),1,MIN(60,COLUMN()-29)),OFFSET(ET599,0,-MIN(60,COLUMN()-29),1,MIN(60,COLUMN()-29))),0)</f>
        <v>0</v>
      </c>
      <c r="EU600" s="9" t="n">
        <f aca="true">IFERROR(SUMPRODUCT(OFFSET($BJ$31,0,1-MIN(60,COLUMN()-29),1,MIN(60,COLUMN()-29)),OFFSET(EU599,0,-MIN(60,COLUMN()-29),1,MIN(60,COLUMN()-29))),0)</f>
        <v>0</v>
      </c>
      <c r="EV600" s="9" t="n">
        <f aca="true">IFERROR(SUMPRODUCT(OFFSET($BJ$31,0,1-MIN(60,COLUMN()-29),1,MIN(60,COLUMN()-29)),OFFSET(EV599,0,-MIN(60,COLUMN()-29),1,MIN(60,COLUMN()-29))),0)</f>
        <v>0</v>
      </c>
      <c r="EW600" s="9" t="n">
        <f aca="true">IFERROR(SUMPRODUCT(OFFSET($BJ$31,0,1-MIN(60,COLUMN()-29),1,MIN(60,COLUMN()-29)),OFFSET(EW599,0,-MIN(60,COLUMN()-29),1,MIN(60,COLUMN()-29))),0)</f>
        <v>0</v>
      </c>
      <c r="EX600" s="9" t="n">
        <f aca="true">IFERROR(SUMPRODUCT(OFFSET($BJ$31,0,1-MIN(60,COLUMN()-29),1,MIN(60,COLUMN()-29)),OFFSET(EX599,0,-MIN(60,COLUMN()-29),1,MIN(60,COLUMN()-29))),0)</f>
        <v>0</v>
      </c>
      <c r="EY600" s="9" t="n">
        <f aca="true">IFERROR(SUMPRODUCT(OFFSET($BJ$31,0,1-MIN(60,COLUMN()-29),1,MIN(60,COLUMN()-29)),OFFSET(EY599,0,-MIN(60,COLUMN()-29),1,MIN(60,COLUMN()-29))),0)</f>
        <v>0</v>
      </c>
      <c r="EZ600" s="9" t="n">
        <f aca="true">IFERROR(SUMPRODUCT(OFFSET($BJ$31,0,1-MIN(60,COLUMN()-29),1,MIN(60,COLUMN()-29)),OFFSET(EZ599,0,-MIN(60,COLUMN()-29),1,MIN(60,COLUMN()-29))),0)</f>
        <v>0</v>
      </c>
      <c r="FA600" s="9" t="n">
        <f aca="true">IFERROR(SUMPRODUCT(OFFSET($BJ$31,0,1-MIN(60,COLUMN()-29),1,MIN(60,COLUMN()-29)),OFFSET(FA599,0,-MIN(60,COLUMN()-29),1,MIN(60,COLUMN()-29))),0)</f>
        <v>0</v>
      </c>
      <c r="FB600" s="9" t="n">
        <f aca="true">IFERROR(SUMPRODUCT(OFFSET($BJ$31,0,1-MIN(60,COLUMN()-29),1,MIN(60,COLUMN()-29)),OFFSET(FB599,0,-MIN(60,COLUMN()-29),1,MIN(60,COLUMN()-29))),0)</f>
        <v>0</v>
      </c>
      <c r="FC600" s="9" t="n">
        <f aca="true">IFERROR(SUMPRODUCT(OFFSET($BJ$31,0,1-MIN(60,COLUMN()-29),1,MIN(60,COLUMN()-29)),OFFSET(FC599,0,-MIN(60,COLUMN()-29),1,MIN(60,COLUMN()-29))),0)</f>
        <v>0</v>
      </c>
      <c r="FD600" s="9" t="n">
        <f aca="true">IFERROR(SUMPRODUCT(OFFSET($BJ$31,0,1-MIN(60,COLUMN()-29),1,MIN(60,COLUMN()-29)),OFFSET(FD599,0,-MIN(60,COLUMN()-29),1,MIN(60,COLUMN()-29))),0)</f>
        <v>0</v>
      </c>
      <c r="FE600" s="9" t="n">
        <f aca="true">IFERROR(SUMPRODUCT(OFFSET($BJ$31,0,1-MIN(60,COLUMN()-29),1,MIN(60,COLUMN()-29)),OFFSET(FE599,0,-MIN(60,COLUMN()-29),1,MIN(60,COLUMN()-29))),0)</f>
        <v>0</v>
      </c>
      <c r="FF600" s="9" t="n">
        <f aca="true">IFERROR(SUMPRODUCT(OFFSET($BJ$31,0,1-MIN(60,COLUMN()-29),1,MIN(60,COLUMN()-29)),OFFSET(FF599,0,-MIN(60,COLUMN()-29),1,MIN(60,COLUMN()-29))),0)</f>
        <v>0</v>
      </c>
      <c r="FG600" s="9" t="n">
        <f aca="true">IFERROR(SUMPRODUCT(OFFSET($BJ$31,0,1-MIN(60,COLUMN()-29),1,MIN(60,COLUMN()-29)),OFFSET(FG599,0,-MIN(60,COLUMN()-29),1,MIN(60,COLUMN()-29))),0)</f>
        <v>0</v>
      </c>
      <c r="FH600" s="9" t="n">
        <f aca="true">IFERROR(SUMPRODUCT(OFFSET($BJ$31,0,1-MIN(60,COLUMN()-29),1,MIN(60,COLUMN()-29)),OFFSET(FH599,0,-MIN(60,COLUMN()-29),1,MIN(60,COLUMN()-29))),0)</f>
        <v>0</v>
      </c>
      <c r="FI600" s="9" t="n">
        <f aca="true">IFERROR(SUMPRODUCT(OFFSET($BJ$31,0,1-MIN(60,COLUMN()-29),1,MIN(60,COLUMN()-29)),OFFSET(FI599,0,-MIN(60,COLUMN()-29),1,MIN(60,COLUMN()-29))),0)</f>
        <v>0</v>
      </c>
      <c r="FJ600" s="9" t="n">
        <f aca="true">IFERROR(SUMPRODUCT(OFFSET($BJ$31,0,1-MIN(60,COLUMN()-29),1,MIN(60,COLUMN()-29)),OFFSET(FJ599,0,-MIN(60,COLUMN()-29),1,MIN(60,COLUMN()-29))),0)</f>
        <v>0</v>
      </c>
      <c r="FK600" s="9" t="n">
        <f aca="true">IFERROR(SUMPRODUCT(OFFSET($BJ$31,0,1-MIN(60,COLUMN()-29),1,MIN(60,COLUMN()-29)),OFFSET(FK599,0,-MIN(60,COLUMN()-29),1,MIN(60,COLUMN()-29))),0)</f>
        <v>0</v>
      </c>
      <c r="FL600" s="9" t="n">
        <f aca="true">IFERROR(SUMPRODUCT(OFFSET($BJ$31,0,1-MIN(60,COLUMN()-29),1,MIN(60,COLUMN()-29)),OFFSET(FL599,0,-MIN(60,COLUMN()-29),1,MIN(60,COLUMN()-29))),0)</f>
        <v>0</v>
      </c>
      <c r="FM600" s="9" t="n">
        <f aca="true">IFERROR(SUMPRODUCT(OFFSET($BJ$31,0,1-MIN(60,COLUMN()-29),1,MIN(60,COLUMN()-29)),OFFSET(FM599,0,-MIN(60,COLUMN()-29),1,MIN(60,COLUMN()-29))),0)</f>
        <v>0</v>
      </c>
      <c r="FN600" s="9" t="n">
        <f aca="true">IFERROR(SUMPRODUCT(OFFSET($BJ$31,0,1-MIN(60,COLUMN()-29),1,MIN(60,COLUMN()-29)),OFFSET(FN599,0,-MIN(60,COLUMN()-29),1,MIN(60,COLUMN()-29))),0)</f>
        <v>0</v>
      </c>
      <c r="FO600" s="9" t="n">
        <f aca="true">IFERROR(SUMPRODUCT(OFFSET($BJ$31,0,1-MIN(60,COLUMN()-29),1,MIN(60,COLUMN()-29)),OFFSET(FO599,0,-MIN(60,COLUMN()-29),1,MIN(60,COLUMN()-29))),0)</f>
        <v>0</v>
      </c>
      <c r="FP600" s="9" t="n">
        <f aca="true">IFERROR(SUMPRODUCT(OFFSET($BJ$31,0,1-MIN(60,COLUMN()-29),1,MIN(60,COLUMN()-29)),OFFSET(FP599,0,-MIN(60,COLUMN()-29),1,MIN(60,COLUMN()-29))),0)</f>
        <v>0</v>
      </c>
    </row>
    <row r="601" customFormat="false" ht="15" hidden="false" customHeight="false" outlineLevel="2" collapsed="false">
      <c r="B601" s="90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237"/>
      <c r="AD601" s="237"/>
      <c r="AE601" s="237"/>
      <c r="AF601" s="237"/>
      <c r="AG601" s="237"/>
      <c r="AH601" s="237"/>
      <c r="AI601" s="237"/>
      <c r="AJ601" s="237"/>
      <c r="AK601" s="237"/>
      <c r="AL601" s="237"/>
      <c r="AM601" s="237"/>
      <c r="AN601" s="237"/>
      <c r="AO601" s="237"/>
      <c r="AP601" s="237"/>
      <c r="AQ601" s="237"/>
      <c r="AR601" s="237"/>
      <c r="AS601" s="237"/>
      <c r="AT601" s="237"/>
      <c r="AU601" s="237"/>
      <c r="AV601" s="237"/>
      <c r="AW601" s="237"/>
      <c r="AX601" s="237"/>
      <c r="AY601" s="237"/>
      <c r="AZ601" s="237"/>
      <c r="BA601" s="237"/>
      <c r="BB601" s="237"/>
      <c r="BC601" s="237"/>
      <c r="BD601" s="237"/>
      <c r="BE601" s="237"/>
      <c r="BF601" s="237"/>
      <c r="BG601" s="237"/>
      <c r="BH601" s="237"/>
      <c r="BI601" s="237"/>
      <c r="BJ601" s="237"/>
      <c r="BK601" s="237"/>
      <c r="BL601" s="237"/>
      <c r="BM601" s="237"/>
      <c r="BN601" s="237"/>
      <c r="BO601" s="237"/>
      <c r="BP601" s="237"/>
      <c r="BQ601" s="237"/>
      <c r="BR601" s="237"/>
      <c r="BS601" s="237"/>
      <c r="BT601" s="237"/>
      <c r="BU601" s="237"/>
      <c r="BV601" s="237"/>
      <c r="BW601" s="237"/>
      <c r="BX601" s="237"/>
      <c r="BY601" s="237"/>
      <c r="BZ601" s="237"/>
      <c r="CA601" s="237"/>
      <c r="CB601" s="237"/>
      <c r="CC601" s="237"/>
      <c r="CD601" s="237"/>
      <c r="CE601" s="237"/>
      <c r="CF601" s="237"/>
      <c r="CG601" s="237"/>
      <c r="CH601" s="237"/>
      <c r="CI601" s="237"/>
      <c r="CJ601" s="237"/>
      <c r="CK601" s="237"/>
      <c r="CL601" s="237"/>
      <c r="CM601" s="237"/>
      <c r="CN601" s="237"/>
      <c r="CO601" s="237"/>
      <c r="CP601" s="237"/>
      <c r="CQ601" s="237"/>
      <c r="CR601" s="237"/>
      <c r="CS601" s="237"/>
      <c r="CT601" s="237"/>
      <c r="CU601" s="237"/>
      <c r="CV601" s="237"/>
      <c r="CW601" s="237"/>
      <c r="CX601" s="237"/>
      <c r="CY601" s="237"/>
      <c r="CZ601" s="237"/>
      <c r="DA601" s="237"/>
      <c r="DB601" s="237"/>
      <c r="DC601" s="237"/>
      <c r="DD601" s="237"/>
      <c r="DE601" s="237"/>
      <c r="DF601" s="237"/>
      <c r="DG601" s="237"/>
      <c r="DH601" s="237"/>
      <c r="DI601" s="237"/>
      <c r="DJ601" s="237"/>
      <c r="DK601" s="237"/>
      <c r="DL601" s="237"/>
      <c r="DM601" s="237"/>
      <c r="DN601" s="237"/>
      <c r="DO601" s="237"/>
      <c r="DP601" s="237"/>
      <c r="DQ601" s="237"/>
      <c r="DR601" s="237"/>
      <c r="DS601" s="237"/>
      <c r="DT601" s="237"/>
      <c r="DU601" s="237"/>
      <c r="DV601" s="237"/>
      <c r="DW601" s="237"/>
      <c r="DX601" s="237"/>
      <c r="DY601" s="237"/>
      <c r="DZ601" s="237"/>
      <c r="EA601" s="237"/>
      <c r="EB601" s="237"/>
      <c r="EC601" s="237"/>
      <c r="ED601" s="237"/>
      <c r="EE601" s="237"/>
      <c r="EF601" s="237"/>
      <c r="EG601" s="237"/>
      <c r="EH601" s="237"/>
      <c r="EI601" s="237"/>
      <c r="EJ601" s="237"/>
      <c r="EK601" s="237"/>
      <c r="EL601" s="237"/>
      <c r="EM601" s="237"/>
      <c r="EN601" s="237"/>
      <c r="EO601" s="237"/>
      <c r="EP601" s="237"/>
      <c r="EQ601" s="237"/>
      <c r="ER601" s="237"/>
      <c r="ES601" s="9"/>
      <c r="ET601" s="9"/>
      <c r="EU601" s="9"/>
      <c r="EV601" s="9"/>
      <c r="EW601" s="9"/>
      <c r="EX601" s="9"/>
      <c r="EY601" s="9"/>
      <c r="EZ601" s="9"/>
      <c r="FA601" s="9"/>
      <c r="FB601" s="9"/>
      <c r="FC601" s="9"/>
      <c r="FD601" s="9"/>
      <c r="FE601" s="9"/>
      <c r="FF601" s="9"/>
      <c r="FG601" s="9"/>
      <c r="FH601" s="9"/>
      <c r="FI601" s="9"/>
      <c r="FJ601" s="9"/>
      <c r="FK601" s="9"/>
      <c r="FL601" s="9"/>
      <c r="FM601" s="9"/>
      <c r="FN601" s="9"/>
      <c r="FO601" s="9"/>
      <c r="FP601" s="9"/>
    </row>
    <row r="602" customFormat="false" ht="15" hidden="false" customHeight="false" outlineLevel="2" collapsed="false">
      <c r="B602" s="240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237"/>
      <c r="AD602" s="237"/>
      <c r="AE602" s="237"/>
      <c r="AF602" s="237"/>
      <c r="AG602" s="237"/>
      <c r="AH602" s="237"/>
      <c r="AI602" s="237"/>
      <c r="AJ602" s="237"/>
      <c r="AK602" s="237"/>
      <c r="AL602" s="237"/>
      <c r="AM602" s="237"/>
      <c r="AN602" s="237"/>
      <c r="AO602" s="237"/>
      <c r="AP602" s="237"/>
      <c r="AQ602" s="237"/>
      <c r="AR602" s="237"/>
      <c r="AS602" s="237"/>
      <c r="AT602" s="237"/>
      <c r="AU602" s="237"/>
      <c r="AV602" s="237"/>
      <c r="AW602" s="237"/>
      <c r="AX602" s="237"/>
      <c r="AY602" s="237"/>
      <c r="AZ602" s="237"/>
      <c r="BA602" s="237"/>
      <c r="BB602" s="237"/>
      <c r="BC602" s="237"/>
      <c r="BD602" s="237"/>
      <c r="BE602" s="237"/>
      <c r="BF602" s="237"/>
      <c r="BG602" s="237"/>
      <c r="BH602" s="237"/>
      <c r="BI602" s="237"/>
      <c r="BJ602" s="237"/>
      <c r="BK602" s="237"/>
      <c r="BL602" s="237"/>
      <c r="BM602" s="237"/>
      <c r="BN602" s="237"/>
      <c r="BO602" s="237"/>
      <c r="BP602" s="237"/>
      <c r="BQ602" s="237"/>
      <c r="BR602" s="237"/>
      <c r="BS602" s="237"/>
      <c r="BT602" s="237"/>
      <c r="BU602" s="237"/>
      <c r="BV602" s="237"/>
      <c r="BW602" s="237"/>
      <c r="BX602" s="237"/>
      <c r="BY602" s="237"/>
      <c r="BZ602" s="237"/>
      <c r="CA602" s="237"/>
      <c r="CB602" s="237"/>
      <c r="CC602" s="237"/>
      <c r="CD602" s="237"/>
      <c r="CE602" s="237"/>
      <c r="CF602" s="237"/>
      <c r="CG602" s="237"/>
      <c r="CH602" s="237"/>
      <c r="CI602" s="237"/>
      <c r="CJ602" s="237"/>
      <c r="CK602" s="237"/>
      <c r="CL602" s="237"/>
      <c r="CM602" s="237"/>
      <c r="CN602" s="237"/>
      <c r="CO602" s="237"/>
      <c r="CP602" s="237"/>
      <c r="CQ602" s="237"/>
      <c r="CR602" s="237"/>
      <c r="CS602" s="237"/>
      <c r="CT602" s="237"/>
      <c r="CU602" s="237"/>
      <c r="CV602" s="237"/>
      <c r="CW602" s="237"/>
      <c r="CX602" s="237"/>
      <c r="CY602" s="237"/>
      <c r="CZ602" s="237"/>
      <c r="DA602" s="237"/>
      <c r="DB602" s="237"/>
      <c r="DC602" s="237"/>
      <c r="DD602" s="237"/>
      <c r="DE602" s="237"/>
      <c r="DF602" s="237"/>
      <c r="DG602" s="237"/>
      <c r="DH602" s="237"/>
      <c r="DI602" s="237"/>
      <c r="DJ602" s="237"/>
      <c r="DK602" s="237"/>
      <c r="DL602" s="237"/>
      <c r="DM602" s="237"/>
      <c r="DN602" s="237"/>
      <c r="DO602" s="237"/>
      <c r="DP602" s="237"/>
      <c r="DQ602" s="237"/>
      <c r="DR602" s="237"/>
      <c r="DS602" s="237"/>
      <c r="DT602" s="237"/>
      <c r="DU602" s="237"/>
      <c r="DV602" s="237"/>
      <c r="DW602" s="237"/>
      <c r="DX602" s="237"/>
      <c r="DY602" s="237"/>
      <c r="DZ602" s="237"/>
      <c r="EA602" s="237"/>
      <c r="EB602" s="237"/>
      <c r="EC602" s="237"/>
      <c r="ED602" s="237"/>
      <c r="EE602" s="237"/>
      <c r="EF602" s="237"/>
      <c r="EG602" s="237"/>
      <c r="EH602" s="237"/>
      <c r="EI602" s="237"/>
      <c r="EJ602" s="237"/>
      <c r="EK602" s="237"/>
      <c r="EL602" s="237"/>
      <c r="EM602" s="237"/>
      <c r="EN602" s="237"/>
      <c r="EO602" s="237"/>
      <c r="EP602" s="237"/>
      <c r="EQ602" s="237"/>
      <c r="ER602" s="237"/>
      <c r="ES602" s="9"/>
      <c r="ET602" s="9"/>
      <c r="EU602" s="9"/>
      <c r="EV602" s="9"/>
      <c r="EW602" s="9"/>
      <c r="EX602" s="9"/>
      <c r="EY602" s="9"/>
      <c r="EZ602" s="9"/>
      <c r="FA602" s="9"/>
      <c r="FB602" s="9"/>
      <c r="FC602" s="9"/>
      <c r="FD602" s="9"/>
      <c r="FE602" s="9"/>
      <c r="FF602" s="9"/>
      <c r="FG602" s="9"/>
      <c r="FH602" s="9"/>
      <c r="FI602" s="9"/>
      <c r="FJ602" s="9"/>
      <c r="FK602" s="9"/>
      <c r="FL602" s="9"/>
      <c r="FM602" s="9"/>
      <c r="FN602" s="9"/>
      <c r="FO602" s="9"/>
      <c r="FP602" s="9"/>
    </row>
    <row r="603" customFormat="false" ht="15" hidden="false" customHeight="false" outlineLevel="2" collapsed="false">
      <c r="B603" s="21" t="s">
        <v>933</v>
      </c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  <c r="BL603" s="21"/>
      <c r="BM603" s="21"/>
      <c r="BN603" s="21"/>
      <c r="BO603" s="21"/>
      <c r="BP603" s="21"/>
      <c r="BQ603" s="21"/>
      <c r="BR603" s="21"/>
      <c r="BS603" s="21"/>
      <c r="BT603" s="21"/>
      <c r="BU603" s="21"/>
      <c r="BV603" s="21"/>
      <c r="BW603" s="21"/>
      <c r="BX603" s="21"/>
      <c r="BY603" s="21"/>
      <c r="BZ603" s="21"/>
      <c r="CA603" s="21"/>
      <c r="CB603" s="21"/>
      <c r="CC603" s="21"/>
      <c r="CD603" s="21"/>
      <c r="CE603" s="21"/>
      <c r="CF603" s="21"/>
      <c r="CG603" s="21"/>
      <c r="CH603" s="21"/>
      <c r="CI603" s="21"/>
      <c r="CJ603" s="21"/>
      <c r="CK603" s="21"/>
      <c r="CL603" s="21"/>
      <c r="CM603" s="21"/>
      <c r="CN603" s="21"/>
      <c r="CO603" s="21"/>
      <c r="CP603" s="21"/>
      <c r="CQ603" s="21"/>
      <c r="CR603" s="21"/>
      <c r="CS603" s="21"/>
      <c r="CT603" s="21"/>
      <c r="CU603" s="21"/>
      <c r="CV603" s="21"/>
      <c r="CW603" s="21"/>
      <c r="CX603" s="21"/>
      <c r="CY603" s="21"/>
      <c r="CZ603" s="21"/>
      <c r="DA603" s="21"/>
      <c r="DB603" s="21"/>
      <c r="DC603" s="21"/>
      <c r="DD603" s="21"/>
      <c r="DE603" s="21"/>
      <c r="DF603" s="21"/>
      <c r="DG603" s="21"/>
      <c r="DH603" s="21"/>
      <c r="DI603" s="21"/>
      <c r="DJ603" s="21"/>
      <c r="DK603" s="21"/>
      <c r="DL603" s="21"/>
      <c r="DM603" s="21"/>
      <c r="DN603" s="21"/>
      <c r="DO603" s="21"/>
      <c r="DP603" s="21"/>
      <c r="DQ603" s="21"/>
      <c r="DR603" s="21"/>
      <c r="DS603" s="21"/>
      <c r="DT603" s="21"/>
      <c r="DU603" s="21"/>
      <c r="DV603" s="21"/>
      <c r="DW603" s="21"/>
      <c r="DX603" s="21"/>
      <c r="DY603" s="21"/>
      <c r="DZ603" s="21"/>
      <c r="EA603" s="21"/>
      <c r="EB603" s="21"/>
      <c r="EC603" s="21"/>
      <c r="ED603" s="21"/>
      <c r="EE603" s="21"/>
      <c r="EF603" s="21"/>
      <c r="EG603" s="21"/>
      <c r="EH603" s="21"/>
      <c r="EI603" s="21"/>
      <c r="EJ603" s="21"/>
      <c r="EK603" s="21"/>
      <c r="EL603" s="21"/>
      <c r="EM603" s="21"/>
      <c r="EN603" s="21"/>
      <c r="EO603" s="21"/>
      <c r="EP603" s="21"/>
      <c r="EQ603" s="21"/>
      <c r="ER603" s="21"/>
      <c r="ES603" s="9"/>
      <c r="ET603" s="9"/>
      <c r="EU603" s="9"/>
      <c r="EV603" s="9"/>
      <c r="EW603" s="9"/>
      <c r="EX603" s="9"/>
      <c r="EY603" s="9"/>
      <c r="EZ603" s="9"/>
      <c r="FA603" s="9"/>
      <c r="FB603" s="9"/>
      <c r="FC603" s="9"/>
      <c r="FD603" s="9"/>
      <c r="FE603" s="9"/>
      <c r="FF603" s="9"/>
      <c r="FG603" s="9"/>
      <c r="FH603" s="9"/>
      <c r="FI603" s="9"/>
      <c r="FJ603" s="9"/>
      <c r="FK603" s="9"/>
      <c r="FL603" s="9"/>
      <c r="FM603" s="9"/>
      <c r="FN603" s="9"/>
      <c r="FO603" s="9"/>
      <c r="FP603" s="9"/>
    </row>
    <row r="604" customFormat="false" ht="15" hidden="false" customHeight="false" outlineLevel="2" collapsed="false">
      <c r="B604" s="9" t="s">
        <v>872</v>
      </c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234" t="n">
        <f aca="false">('⑫ Roll-out Plan'!G65-2025)*12+'⑫ Roll-out Plan'!F65</f>
        <v>87</v>
      </c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9"/>
      <c r="CM604" s="9"/>
      <c r="CN604" s="9"/>
      <c r="CO604" s="9"/>
      <c r="CP604" s="9"/>
      <c r="CQ604" s="9"/>
      <c r="CR604" s="9"/>
      <c r="CS604" s="9"/>
      <c r="CT604" s="9"/>
      <c r="CU604" s="9"/>
      <c r="CV604" s="9"/>
      <c r="CW604" s="9"/>
      <c r="CX604" s="9"/>
      <c r="CY604" s="9"/>
      <c r="CZ604" s="9"/>
      <c r="DA604" s="9"/>
      <c r="DB604" s="9"/>
      <c r="DC604" s="9"/>
      <c r="DD604" s="9"/>
      <c r="DE604" s="9"/>
      <c r="DF604" s="9"/>
      <c r="DG604" s="9"/>
      <c r="DH604" s="9"/>
      <c r="DI604" s="9"/>
      <c r="DJ604" s="9"/>
      <c r="DK604" s="9"/>
      <c r="DL604" s="9"/>
      <c r="DM604" s="9"/>
      <c r="DN604" s="9"/>
      <c r="DO604" s="9"/>
      <c r="DP604" s="9"/>
      <c r="DQ604" s="9"/>
      <c r="DR604" s="9"/>
      <c r="DS604" s="9"/>
      <c r="DT604" s="9"/>
      <c r="DU604" s="9"/>
      <c r="DV604" s="9"/>
      <c r="DW604" s="9"/>
      <c r="DX604" s="9"/>
      <c r="DY604" s="9"/>
      <c r="DZ604" s="9"/>
      <c r="EA604" s="9"/>
      <c r="EB604" s="9"/>
      <c r="EC604" s="9"/>
      <c r="ED604" s="9"/>
      <c r="EE604" s="9"/>
      <c r="EF604" s="9"/>
      <c r="EG604" s="9"/>
      <c r="EH604" s="9"/>
      <c r="EI604" s="9"/>
      <c r="EJ604" s="9"/>
      <c r="EK604" s="9"/>
      <c r="EL604" s="9"/>
      <c r="EM604" s="9"/>
      <c r="EN604" s="9"/>
      <c r="EO604" s="9"/>
      <c r="EP604" s="9"/>
      <c r="EQ604" s="9"/>
      <c r="ER604" s="9"/>
      <c r="ES604" s="9"/>
      <c r="ET604" s="9"/>
      <c r="EU604" s="9"/>
      <c r="EV604" s="9"/>
      <c r="EW604" s="9"/>
      <c r="EX604" s="9"/>
      <c r="EY604" s="9"/>
      <c r="EZ604" s="9"/>
      <c r="FA604" s="9"/>
      <c r="FB604" s="9"/>
      <c r="FC604" s="9"/>
      <c r="FD604" s="9"/>
      <c r="FE604" s="9"/>
      <c r="FF604" s="9"/>
      <c r="FG604" s="9"/>
      <c r="FH604" s="9"/>
      <c r="FI604" s="9"/>
      <c r="FJ604" s="9"/>
      <c r="FK604" s="9"/>
      <c r="FL604" s="9"/>
      <c r="FM604" s="9"/>
      <c r="FN604" s="9"/>
      <c r="FO604" s="9"/>
      <c r="FP604" s="9"/>
    </row>
    <row r="605" customFormat="false" ht="15" hidden="false" customHeight="false" outlineLevel="2" collapsed="false">
      <c r="B605" s="9" t="s">
        <v>873</v>
      </c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235" t="n">
        <f aca="false">VLOOKUP("B",$B$14:$C$18,2,FALSE())</f>
        <v>185</v>
      </c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9"/>
      <c r="BT605" s="9"/>
      <c r="BU605" s="9"/>
      <c r="BV605" s="9"/>
      <c r="BW605" s="9"/>
      <c r="BX605" s="9"/>
      <c r="BY605" s="9"/>
      <c r="BZ605" s="9"/>
      <c r="CA605" s="9"/>
      <c r="CB605" s="9"/>
      <c r="CC605" s="9"/>
      <c r="CD605" s="9"/>
      <c r="CE605" s="9"/>
      <c r="CF605" s="9"/>
      <c r="CG605" s="9"/>
      <c r="CH605" s="9"/>
      <c r="CI605" s="9"/>
      <c r="CJ605" s="9"/>
      <c r="CK605" s="9"/>
      <c r="CL605" s="9"/>
      <c r="CM605" s="9"/>
      <c r="CN605" s="9"/>
      <c r="CO605" s="9"/>
      <c r="CP605" s="9"/>
      <c r="CQ605" s="9"/>
      <c r="CR605" s="9"/>
      <c r="CS605" s="9"/>
      <c r="CT605" s="9"/>
      <c r="CU605" s="9"/>
      <c r="CV605" s="9"/>
      <c r="CW605" s="9"/>
      <c r="CX605" s="9"/>
      <c r="CY605" s="9"/>
      <c r="CZ605" s="9"/>
      <c r="DA605" s="9"/>
      <c r="DB605" s="9"/>
      <c r="DC605" s="9"/>
      <c r="DD605" s="9"/>
      <c r="DE605" s="9"/>
      <c r="DF605" s="9"/>
      <c r="DG605" s="9"/>
      <c r="DH605" s="9"/>
      <c r="DI605" s="9"/>
      <c r="DJ605" s="9"/>
      <c r="DK605" s="9"/>
      <c r="DL605" s="9"/>
      <c r="DM605" s="9"/>
      <c r="DN605" s="9"/>
      <c r="DO605" s="9"/>
      <c r="DP605" s="9"/>
      <c r="DQ605" s="9"/>
      <c r="DR605" s="9"/>
      <c r="DS605" s="9"/>
      <c r="DT605" s="9"/>
      <c r="DU605" s="9"/>
      <c r="DV605" s="9"/>
      <c r="DW605" s="9"/>
      <c r="DX605" s="9"/>
      <c r="DY605" s="9"/>
      <c r="DZ605" s="9"/>
      <c r="EA605" s="9"/>
      <c r="EB605" s="9"/>
      <c r="EC605" s="9"/>
      <c r="ED605" s="9"/>
      <c r="EE605" s="9"/>
      <c r="EF605" s="9"/>
      <c r="EG605" s="9"/>
      <c r="EH605" s="9"/>
      <c r="EI605" s="9"/>
      <c r="EJ605" s="9"/>
      <c r="EK605" s="9"/>
      <c r="EL605" s="9"/>
      <c r="EM605" s="9"/>
      <c r="EN605" s="9"/>
      <c r="EO605" s="9"/>
      <c r="EP605" s="9"/>
      <c r="EQ605" s="9"/>
      <c r="ER605" s="9"/>
      <c r="ES605" s="9"/>
      <c r="ET605" s="9"/>
      <c r="EU605" s="9"/>
      <c r="EV605" s="9"/>
      <c r="EW605" s="9"/>
      <c r="EX605" s="9"/>
      <c r="EY605" s="9"/>
      <c r="EZ605" s="9"/>
      <c r="FA605" s="9"/>
      <c r="FB605" s="9"/>
      <c r="FC605" s="9"/>
      <c r="FD605" s="9"/>
      <c r="FE605" s="9"/>
      <c r="FF605" s="9"/>
      <c r="FG605" s="9"/>
      <c r="FH605" s="9"/>
      <c r="FI605" s="9"/>
      <c r="FJ605" s="9"/>
      <c r="FK605" s="9"/>
      <c r="FL605" s="9"/>
      <c r="FM605" s="9"/>
      <c r="FN605" s="9"/>
      <c r="FO605" s="9"/>
      <c r="FP605" s="9"/>
    </row>
    <row r="606" customFormat="false" ht="15" hidden="false" customHeight="false" outlineLevel="2" collapsed="false">
      <c r="B606" s="9" t="s">
        <v>799</v>
      </c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63" t="n">
        <f aca="false">IF(AC$35&gt;=$AC$604,AC$35-$AC$604+1,0)</f>
        <v>0</v>
      </c>
      <c r="AD606" s="63" t="n">
        <f aca="false">IF(AD$35&gt;=$AC$604,AD$35-$AC$604+1,0)</f>
        <v>0</v>
      </c>
      <c r="AE606" s="63" t="n">
        <f aca="false">IF(AE$35&gt;=$AC$604,AE$35-$AC$604+1,0)</f>
        <v>0</v>
      </c>
      <c r="AF606" s="63" t="n">
        <f aca="false">IF(AF$35&gt;=$AC$604,AF$35-$AC$604+1,0)</f>
        <v>0</v>
      </c>
      <c r="AG606" s="63" t="n">
        <f aca="false">IF(AG$35&gt;=$AC$604,AG$35-$AC$604+1,0)</f>
        <v>0</v>
      </c>
      <c r="AH606" s="63" t="n">
        <f aca="false">IF(AH$35&gt;=$AC$604,AH$35-$AC$604+1,0)</f>
        <v>0</v>
      </c>
      <c r="AI606" s="63" t="n">
        <f aca="false">IF(AI$35&gt;=$AC$604,AI$35-$AC$604+1,0)</f>
        <v>0</v>
      </c>
      <c r="AJ606" s="63" t="n">
        <f aca="false">IF(AJ$35&gt;=$AC$604,AJ$35-$AC$604+1,0)</f>
        <v>0</v>
      </c>
      <c r="AK606" s="63" t="n">
        <f aca="false">IF(AK$35&gt;=$AC$604,AK$35-$AC$604+1,0)</f>
        <v>0</v>
      </c>
      <c r="AL606" s="63" t="n">
        <f aca="false">IF(AL$35&gt;=$AC$604,AL$35-$AC$604+1,0)</f>
        <v>0</v>
      </c>
      <c r="AM606" s="63" t="n">
        <f aca="false">IF(AM$35&gt;=$AC$604,AM$35-$AC$604+1,0)</f>
        <v>0</v>
      </c>
      <c r="AN606" s="63" t="n">
        <f aca="false">IF(AN$35&gt;=$AC$604,AN$35-$AC$604+1,0)</f>
        <v>0</v>
      </c>
      <c r="AO606" s="63" t="n">
        <f aca="false">IF(AO$35&gt;=$AC$604,AO$35-$AC$604+1,0)</f>
        <v>0</v>
      </c>
      <c r="AP606" s="63" t="n">
        <f aca="false">IF(AP$35&gt;=$AC$604,AP$35-$AC$604+1,0)</f>
        <v>0</v>
      </c>
      <c r="AQ606" s="63" t="n">
        <f aca="false">IF(AQ$35&gt;=$AC$604,AQ$35-$AC$604+1,0)</f>
        <v>0</v>
      </c>
      <c r="AR606" s="63" t="n">
        <f aca="false">IF(AR$35&gt;=$AC$604,AR$35-$AC$604+1,0)</f>
        <v>0</v>
      </c>
      <c r="AS606" s="63" t="n">
        <f aca="false">IF(AS$35&gt;=$AC$604,AS$35-$AC$604+1,0)</f>
        <v>0</v>
      </c>
      <c r="AT606" s="63" t="n">
        <f aca="false">IF(AT$35&gt;=$AC$604,AT$35-$AC$604+1,0)</f>
        <v>0</v>
      </c>
      <c r="AU606" s="63" t="n">
        <f aca="false">IF(AU$35&gt;=$AC$604,AU$35-$AC$604+1,0)</f>
        <v>0</v>
      </c>
      <c r="AV606" s="63" t="n">
        <f aca="false">IF(AV$35&gt;=$AC$604,AV$35-$AC$604+1,0)</f>
        <v>0</v>
      </c>
      <c r="AW606" s="63" t="n">
        <f aca="false">IF(AW$35&gt;=$AC$604,AW$35-$AC$604+1,0)</f>
        <v>0</v>
      </c>
      <c r="AX606" s="63" t="n">
        <f aca="false">IF(AX$35&gt;=$AC$604,AX$35-$AC$604+1,0)</f>
        <v>0</v>
      </c>
      <c r="AY606" s="63" t="n">
        <f aca="false">IF(AY$35&gt;=$AC$604,AY$35-$AC$604+1,0)</f>
        <v>0</v>
      </c>
      <c r="AZ606" s="63" t="n">
        <f aca="false">IF(AZ$35&gt;=$AC$604,AZ$35-$AC$604+1,0)</f>
        <v>0</v>
      </c>
      <c r="BA606" s="63" t="n">
        <f aca="false">IF(BA$35&gt;=$AC$604,BA$35-$AC$604+1,0)</f>
        <v>0</v>
      </c>
      <c r="BB606" s="63" t="n">
        <f aca="false">IF(BB$35&gt;=$AC$604,BB$35-$AC$604+1,0)</f>
        <v>0</v>
      </c>
      <c r="BC606" s="63" t="n">
        <f aca="false">IF(BC$35&gt;=$AC$604,BC$35-$AC$604+1,0)</f>
        <v>0</v>
      </c>
      <c r="BD606" s="63" t="n">
        <f aca="false">IF(BD$35&gt;=$AC$604,BD$35-$AC$604+1,0)</f>
        <v>0</v>
      </c>
      <c r="BE606" s="63" t="n">
        <f aca="false">IF(BE$35&gt;=$AC$604,BE$35-$AC$604+1,0)</f>
        <v>0</v>
      </c>
      <c r="BF606" s="63" t="n">
        <f aca="false">IF(BF$35&gt;=$AC$604,BF$35-$AC$604+1,0)</f>
        <v>0</v>
      </c>
      <c r="BG606" s="63" t="n">
        <f aca="false">IF(BG$35&gt;=$AC$604,BG$35-$AC$604+1,0)</f>
        <v>0</v>
      </c>
      <c r="BH606" s="63" t="n">
        <f aca="false">IF(BH$35&gt;=$AC$604,BH$35-$AC$604+1,0)</f>
        <v>0</v>
      </c>
      <c r="BI606" s="63" t="n">
        <f aca="false">IF(BI$35&gt;=$AC$604,BI$35-$AC$604+1,0)</f>
        <v>0</v>
      </c>
      <c r="BJ606" s="63" t="n">
        <f aca="false">IF(BJ$35&gt;=$AC$604,BJ$35-$AC$604+1,0)</f>
        <v>0</v>
      </c>
      <c r="BK606" s="63" t="n">
        <f aca="false">IF(BK$35&gt;=$AC$604,BK$35-$AC$604+1,0)</f>
        <v>0</v>
      </c>
      <c r="BL606" s="63" t="n">
        <f aca="false">IF(BL$35&gt;=$AC$604,BL$35-$AC$604+1,0)</f>
        <v>0</v>
      </c>
      <c r="BM606" s="63" t="n">
        <f aca="false">IF(BM$35&gt;=$AC$604,BM$35-$AC$604+1,0)</f>
        <v>0</v>
      </c>
      <c r="BN606" s="63" t="n">
        <f aca="false">IF(BN$35&gt;=$AC$604,BN$35-$AC$604+1,0)</f>
        <v>0</v>
      </c>
      <c r="BO606" s="63" t="n">
        <f aca="false">IF(BO$35&gt;=$AC$604,BO$35-$AC$604+1,0)</f>
        <v>0</v>
      </c>
      <c r="BP606" s="63" t="n">
        <f aca="false">IF(BP$35&gt;=$AC$604,BP$35-$AC$604+1,0)</f>
        <v>0</v>
      </c>
      <c r="BQ606" s="63" t="n">
        <f aca="false">IF(BQ$35&gt;=$AC$604,BQ$35-$AC$604+1,0)</f>
        <v>0</v>
      </c>
      <c r="BR606" s="63" t="n">
        <f aca="false">IF(BR$35&gt;=$AC$604,BR$35-$AC$604+1,0)</f>
        <v>0</v>
      </c>
      <c r="BS606" s="63" t="n">
        <f aca="false">IF(BS$35&gt;=$AC$604,BS$35-$AC$604+1,0)</f>
        <v>0</v>
      </c>
      <c r="BT606" s="63" t="n">
        <f aca="false">IF(BT$35&gt;=$AC$604,BT$35-$AC$604+1,0)</f>
        <v>0</v>
      </c>
      <c r="BU606" s="63" t="n">
        <f aca="false">IF(BU$35&gt;=$AC$604,BU$35-$AC$604+1,0)</f>
        <v>0</v>
      </c>
      <c r="BV606" s="63" t="n">
        <f aca="false">IF(BV$35&gt;=$AC$604,BV$35-$AC$604+1,0)</f>
        <v>0</v>
      </c>
      <c r="BW606" s="63" t="n">
        <f aca="false">IF(BW$35&gt;=$AC$604,BW$35-$AC$604+1,0)</f>
        <v>0</v>
      </c>
      <c r="BX606" s="63" t="n">
        <f aca="false">IF(BX$35&gt;=$AC$604,BX$35-$AC$604+1,0)</f>
        <v>0</v>
      </c>
      <c r="BY606" s="63" t="n">
        <f aca="false">IF(BY$35&gt;=$AC$604,BY$35-$AC$604+1,0)</f>
        <v>0</v>
      </c>
      <c r="BZ606" s="63" t="n">
        <f aca="false">IF(BZ$35&gt;=$AC$604,BZ$35-$AC$604+1,0)</f>
        <v>0</v>
      </c>
      <c r="CA606" s="63" t="n">
        <f aca="false">IF(CA$35&gt;=$AC$604,CA$35-$AC$604+1,0)</f>
        <v>0</v>
      </c>
      <c r="CB606" s="63" t="n">
        <f aca="false">IF(CB$35&gt;=$AC$604,CB$35-$AC$604+1,0)</f>
        <v>0</v>
      </c>
      <c r="CC606" s="63" t="n">
        <f aca="false">IF(CC$35&gt;=$AC$604,CC$35-$AC$604+1,0)</f>
        <v>0</v>
      </c>
      <c r="CD606" s="63" t="n">
        <f aca="false">IF(CD$35&gt;=$AC$604,CD$35-$AC$604+1,0)</f>
        <v>0</v>
      </c>
      <c r="CE606" s="63" t="n">
        <f aca="false">IF(CE$35&gt;=$AC$604,CE$35-$AC$604+1,0)</f>
        <v>0</v>
      </c>
      <c r="CF606" s="63" t="n">
        <f aca="false">IF(CF$35&gt;=$AC$604,CF$35-$AC$604+1,0)</f>
        <v>0</v>
      </c>
      <c r="CG606" s="63" t="n">
        <f aca="false">IF(CG$35&gt;=$AC$604,CG$35-$AC$604+1,0)</f>
        <v>0</v>
      </c>
      <c r="CH606" s="63" t="n">
        <f aca="false">IF(CH$35&gt;=$AC$604,CH$35-$AC$604+1,0)</f>
        <v>0</v>
      </c>
      <c r="CI606" s="63" t="n">
        <f aca="false">IF(CI$35&gt;=$AC$604,CI$35-$AC$604+1,0)</f>
        <v>0</v>
      </c>
      <c r="CJ606" s="63" t="n">
        <f aca="false">IF(CJ$35&gt;=$AC$604,CJ$35-$AC$604+1,0)</f>
        <v>0</v>
      </c>
      <c r="CK606" s="63" t="n">
        <f aca="false">IF(CK$35&gt;=$AC$604,CK$35-$AC$604+1,0)</f>
        <v>0</v>
      </c>
      <c r="CL606" s="63" t="n">
        <f aca="false">IF(CL$35&gt;=$AC$604,CL$35-$AC$604+1,0)</f>
        <v>0</v>
      </c>
      <c r="CM606" s="63" t="n">
        <f aca="false">IF(CM$35&gt;=$AC$604,CM$35-$AC$604+1,0)</f>
        <v>0</v>
      </c>
      <c r="CN606" s="63" t="n">
        <f aca="false">IF(CN$35&gt;=$AC$604,CN$35-$AC$604+1,0)</f>
        <v>0</v>
      </c>
      <c r="CO606" s="63" t="n">
        <f aca="false">IF(CO$35&gt;=$AC$604,CO$35-$AC$604+1,0)</f>
        <v>0</v>
      </c>
      <c r="CP606" s="63" t="n">
        <f aca="false">IF(CP$35&gt;=$AC$604,CP$35-$AC$604+1,0)</f>
        <v>0</v>
      </c>
      <c r="CQ606" s="63" t="n">
        <f aca="false">IF(CQ$35&gt;=$AC$604,CQ$35-$AC$604+1,0)</f>
        <v>0</v>
      </c>
      <c r="CR606" s="63" t="n">
        <f aca="false">IF(CR$35&gt;=$AC$604,CR$35-$AC$604+1,0)</f>
        <v>0</v>
      </c>
      <c r="CS606" s="63" t="n">
        <f aca="false">IF(CS$35&gt;=$AC$604,CS$35-$AC$604+1,0)</f>
        <v>0</v>
      </c>
      <c r="CT606" s="63" t="n">
        <f aca="false">IF(CT$35&gt;=$AC$604,CT$35-$AC$604+1,0)</f>
        <v>0</v>
      </c>
      <c r="CU606" s="63" t="n">
        <f aca="false">IF(CU$35&gt;=$AC$604,CU$35-$AC$604+1,0)</f>
        <v>0</v>
      </c>
      <c r="CV606" s="63" t="n">
        <f aca="false">IF(CV$35&gt;=$AC$604,CV$35-$AC$604+1,0)</f>
        <v>0</v>
      </c>
      <c r="CW606" s="63" t="n">
        <f aca="false">IF(CW$35&gt;=$AC$604,CW$35-$AC$604+1,0)</f>
        <v>0</v>
      </c>
      <c r="CX606" s="63" t="n">
        <f aca="false">IF(CX$35&gt;=$AC$604,CX$35-$AC$604+1,0)</f>
        <v>0</v>
      </c>
      <c r="CY606" s="63" t="n">
        <f aca="false">IF(CY$35&gt;=$AC$604,CY$35-$AC$604+1,0)</f>
        <v>0</v>
      </c>
      <c r="CZ606" s="63" t="n">
        <f aca="false">IF(CZ$35&gt;=$AC$604,CZ$35-$AC$604+1,0)</f>
        <v>0</v>
      </c>
      <c r="DA606" s="63" t="n">
        <f aca="false">IF(DA$35&gt;=$AC$604,DA$35-$AC$604+1,0)</f>
        <v>0</v>
      </c>
      <c r="DB606" s="63" t="n">
        <f aca="false">IF(DB$35&gt;=$AC$604,DB$35-$AC$604+1,0)</f>
        <v>0</v>
      </c>
      <c r="DC606" s="63" t="n">
        <f aca="false">IF(DC$35&gt;=$AC$604,DC$35-$AC$604+1,0)</f>
        <v>0</v>
      </c>
      <c r="DD606" s="63" t="n">
        <f aca="false">IF(DD$35&gt;=$AC$604,DD$35-$AC$604+1,0)</f>
        <v>0</v>
      </c>
      <c r="DE606" s="63" t="n">
        <f aca="false">IF(DE$35&gt;=$AC$604,DE$35-$AC$604+1,0)</f>
        <v>0</v>
      </c>
      <c r="DF606" s="63" t="n">
        <f aca="false">IF(DF$35&gt;=$AC$604,DF$35-$AC$604+1,0)</f>
        <v>0</v>
      </c>
      <c r="DG606" s="63" t="n">
        <f aca="false">IF(DG$35&gt;=$AC$604,DG$35-$AC$604+1,0)</f>
        <v>0</v>
      </c>
      <c r="DH606" s="63" t="n">
        <f aca="false">IF(DH$35&gt;=$AC$604,DH$35-$AC$604+1,0)</f>
        <v>0</v>
      </c>
      <c r="DI606" s="63" t="n">
        <f aca="false">IF(DI$35&gt;=$AC$604,DI$35-$AC$604+1,0)</f>
        <v>0</v>
      </c>
      <c r="DJ606" s="63" t="n">
        <f aca="false">IF(DJ$35&gt;=$AC$604,DJ$35-$AC$604+1,0)</f>
        <v>0</v>
      </c>
      <c r="DK606" s="63" t="n">
        <f aca="false">IF(DK$35&gt;=$AC$604,DK$35-$AC$604+1,0)</f>
        <v>1</v>
      </c>
      <c r="DL606" s="63" t="n">
        <f aca="false">IF(DL$35&gt;=$AC$604,DL$35-$AC$604+1,0)</f>
        <v>2</v>
      </c>
      <c r="DM606" s="63" t="n">
        <f aca="false">IF(DM$35&gt;=$AC$604,DM$35-$AC$604+1,0)</f>
        <v>3</v>
      </c>
      <c r="DN606" s="63" t="n">
        <f aca="false">IF(DN$35&gt;=$AC$604,DN$35-$AC$604+1,0)</f>
        <v>4</v>
      </c>
      <c r="DO606" s="63" t="n">
        <f aca="false">IF(DO$35&gt;=$AC$604,DO$35-$AC$604+1,0)</f>
        <v>5</v>
      </c>
      <c r="DP606" s="63" t="n">
        <f aca="false">IF(DP$35&gt;=$AC$604,DP$35-$AC$604+1,0)</f>
        <v>6</v>
      </c>
      <c r="DQ606" s="63" t="n">
        <f aca="false">IF(DQ$35&gt;=$AC$604,DQ$35-$AC$604+1,0)</f>
        <v>7</v>
      </c>
      <c r="DR606" s="63" t="n">
        <f aca="false">IF(DR$35&gt;=$AC$604,DR$35-$AC$604+1,0)</f>
        <v>8</v>
      </c>
      <c r="DS606" s="63" t="n">
        <f aca="false">IF(DS$35&gt;=$AC$604,DS$35-$AC$604+1,0)</f>
        <v>9</v>
      </c>
      <c r="DT606" s="63" t="n">
        <f aca="false">IF(DT$35&gt;=$AC$604,DT$35-$AC$604+1,0)</f>
        <v>10</v>
      </c>
      <c r="DU606" s="63" t="n">
        <f aca="false">IF(DU$35&gt;=$AC$604,DU$35-$AC$604+1,0)</f>
        <v>11</v>
      </c>
      <c r="DV606" s="63" t="n">
        <f aca="false">IF(DV$35&gt;=$AC$604,DV$35-$AC$604+1,0)</f>
        <v>12</v>
      </c>
      <c r="DW606" s="63" t="n">
        <f aca="false">IF(DW$35&gt;=$AC$604,DW$35-$AC$604+1,0)</f>
        <v>13</v>
      </c>
      <c r="DX606" s="63" t="n">
        <f aca="false">IF(DX$35&gt;=$AC$604,DX$35-$AC$604+1,0)</f>
        <v>14</v>
      </c>
      <c r="DY606" s="63" t="n">
        <f aca="false">IF(DY$35&gt;=$AC$604,DY$35-$AC$604+1,0)</f>
        <v>15</v>
      </c>
      <c r="DZ606" s="63" t="n">
        <f aca="false">IF(DZ$35&gt;=$AC$604,DZ$35-$AC$604+1,0)</f>
        <v>16</v>
      </c>
      <c r="EA606" s="63" t="n">
        <f aca="false">IF(EA$35&gt;=$AC$604,EA$35-$AC$604+1,0)</f>
        <v>17</v>
      </c>
      <c r="EB606" s="63" t="n">
        <f aca="false">IF(EB$35&gt;=$AC$604,EB$35-$AC$604+1,0)</f>
        <v>18</v>
      </c>
      <c r="EC606" s="63" t="n">
        <f aca="false">IF(EC$35&gt;=$AC$604,EC$35-$AC$604+1,0)</f>
        <v>19</v>
      </c>
      <c r="ED606" s="63" t="n">
        <f aca="false">IF(ED$35&gt;=$AC$604,ED$35-$AC$604+1,0)</f>
        <v>20</v>
      </c>
      <c r="EE606" s="63" t="n">
        <f aca="false">IF(EE$35&gt;=$AC$604,EE$35-$AC$604+1,0)</f>
        <v>21</v>
      </c>
      <c r="EF606" s="63" t="n">
        <f aca="false">IF(EF$35&gt;=$AC$604,EF$35-$AC$604+1,0)</f>
        <v>22</v>
      </c>
      <c r="EG606" s="63" t="n">
        <f aca="false">IF(EG$35&gt;=$AC$604,EG$35-$AC$604+1,0)</f>
        <v>23</v>
      </c>
      <c r="EH606" s="63" t="n">
        <f aca="false">IF(EH$35&gt;=$AC$604,EH$35-$AC$604+1,0)</f>
        <v>24</v>
      </c>
      <c r="EI606" s="63" t="n">
        <f aca="false">IF(EI$35&gt;=$AC$604,EI$35-$AC$604+1,0)</f>
        <v>25</v>
      </c>
      <c r="EJ606" s="63" t="n">
        <f aca="false">IF(EJ$35&gt;=$AC$604,EJ$35-$AC$604+1,0)</f>
        <v>26</v>
      </c>
      <c r="EK606" s="63" t="n">
        <f aca="false">IF(EK$35&gt;=$AC$604,EK$35-$AC$604+1,0)</f>
        <v>27</v>
      </c>
      <c r="EL606" s="63" t="n">
        <f aca="false">IF(EL$35&gt;=$AC$604,EL$35-$AC$604+1,0)</f>
        <v>28</v>
      </c>
      <c r="EM606" s="63" t="n">
        <f aca="false">IF(EM$35&gt;=$AC$604,EM$35-$AC$604+1,0)</f>
        <v>29</v>
      </c>
      <c r="EN606" s="63" t="n">
        <f aca="false">IF(EN$35&gt;=$AC$604,EN$35-$AC$604+1,0)</f>
        <v>30</v>
      </c>
      <c r="EO606" s="63" t="n">
        <f aca="false">IF(EO$35&gt;=$AC$604,EO$35-$AC$604+1,0)</f>
        <v>31</v>
      </c>
      <c r="EP606" s="63" t="n">
        <f aca="false">IF(EP$35&gt;=$AC$604,EP$35-$AC$604+1,0)</f>
        <v>32</v>
      </c>
      <c r="EQ606" s="63" t="n">
        <f aca="false">IF(EQ$35&gt;=$AC$604,EQ$35-$AC$604+1,0)</f>
        <v>33</v>
      </c>
      <c r="ER606" s="63" t="n">
        <f aca="false">IF(ER$35&gt;=$AC$604,ER$35-$AC$604+1,0)</f>
        <v>34</v>
      </c>
      <c r="ES606" s="9" t="n">
        <f aca="false">IF(ES$35&gt;=$AC$604,ES$35-$AC$604+1,0)</f>
        <v>35</v>
      </c>
      <c r="ET606" s="9" t="n">
        <f aca="false">IF(ET$35&gt;=$AC$604,ET$35-$AC$604+1,0)</f>
        <v>36</v>
      </c>
      <c r="EU606" s="9" t="n">
        <f aca="false">IF(EU$35&gt;=$AC$604,EU$35-$AC$604+1,0)</f>
        <v>37</v>
      </c>
      <c r="EV606" s="9" t="n">
        <f aca="false">IF(EV$35&gt;=$AC$604,EV$35-$AC$604+1,0)</f>
        <v>38</v>
      </c>
      <c r="EW606" s="9" t="n">
        <f aca="false">IF(EW$35&gt;=$AC$604,EW$35-$AC$604+1,0)</f>
        <v>39</v>
      </c>
      <c r="EX606" s="9" t="n">
        <f aca="false">IF(EX$35&gt;=$AC$604,EX$35-$AC$604+1,0)</f>
        <v>40</v>
      </c>
      <c r="EY606" s="9" t="n">
        <f aca="false">IF(EY$35&gt;=$AC$604,EY$35-$AC$604+1,0)</f>
        <v>41</v>
      </c>
      <c r="EZ606" s="9" t="n">
        <f aca="false">IF(EZ$35&gt;=$AC$604,EZ$35-$AC$604+1,0)</f>
        <v>42</v>
      </c>
      <c r="FA606" s="9" t="n">
        <f aca="false">IF(FA$35&gt;=$AC$604,FA$35-$AC$604+1,0)</f>
        <v>43</v>
      </c>
      <c r="FB606" s="9" t="n">
        <f aca="false">IF(FB$35&gt;=$AC$604,FB$35-$AC$604+1,0)</f>
        <v>44</v>
      </c>
      <c r="FC606" s="9" t="n">
        <f aca="false">IF(FC$35&gt;=$AC$604,FC$35-$AC$604+1,0)</f>
        <v>45</v>
      </c>
      <c r="FD606" s="9" t="n">
        <f aca="false">IF(FD$35&gt;=$AC$604,FD$35-$AC$604+1,0)</f>
        <v>46</v>
      </c>
      <c r="FE606" s="9" t="n">
        <f aca="false">IF(FE$35&gt;=$AC$604,FE$35-$AC$604+1,0)</f>
        <v>47</v>
      </c>
      <c r="FF606" s="9" t="n">
        <f aca="false">IF(FF$35&gt;=$AC$604,FF$35-$AC$604+1,0)</f>
        <v>48</v>
      </c>
      <c r="FG606" s="9" t="n">
        <f aca="false">IF(FG$35&gt;=$AC$604,FG$35-$AC$604+1,0)</f>
        <v>49</v>
      </c>
      <c r="FH606" s="9" t="n">
        <f aca="false">IF(FH$35&gt;=$AC$604,FH$35-$AC$604+1,0)</f>
        <v>50</v>
      </c>
      <c r="FI606" s="9" t="n">
        <f aca="false">IF(FI$35&gt;=$AC$604,FI$35-$AC$604+1,0)</f>
        <v>51</v>
      </c>
      <c r="FJ606" s="9" t="n">
        <f aca="false">IF(FJ$35&gt;=$AC$604,FJ$35-$AC$604+1,0)</f>
        <v>52</v>
      </c>
      <c r="FK606" s="9" t="n">
        <f aca="false">IF(FK$35&gt;=$AC$604,FK$35-$AC$604+1,0)</f>
        <v>53</v>
      </c>
      <c r="FL606" s="9" t="n">
        <f aca="false">IF(FL$35&gt;=$AC$604,FL$35-$AC$604+1,0)</f>
        <v>54</v>
      </c>
      <c r="FM606" s="9" t="n">
        <f aca="false">IF(FM$35&gt;=$AC$604,FM$35-$AC$604+1,0)</f>
        <v>55</v>
      </c>
      <c r="FN606" s="9" t="n">
        <f aca="false">IF(FN$35&gt;=$AC$604,FN$35-$AC$604+1,0)</f>
        <v>56</v>
      </c>
      <c r="FO606" s="9" t="n">
        <f aca="false">IF(FO$35&gt;=$AC$604,FO$35-$AC$604+1,0)</f>
        <v>57</v>
      </c>
      <c r="FP606" s="9" t="n">
        <f aca="false">IF(FP$35&gt;=$AC$604,FP$35-$AC$604+1,0)</f>
        <v>58</v>
      </c>
    </row>
    <row r="607" customFormat="false" ht="15" hidden="false" customHeight="false" outlineLevel="2" collapsed="false">
      <c r="B607" s="9" t="s">
        <v>874</v>
      </c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236" t="n">
        <f aca="false" t="array" ref="AC607:AC607">IF(AC606=0,0,IF(AC606/'🎚️ Escenario'!$C$11&gt;=36,$AL$23,INDEX($C$23:$AL$23,MAX(1,ROUNDUP(AC606/'🎚️ Escenario'!$C$11,0)))))</f>
        <v>0</v>
      </c>
      <c r="AD607" s="236" t="n">
        <f aca="false" t="array" ref="AD607:AD607">IF(AD606=0,0,IF(AD606/'🎚️ Escenario'!$C$11&gt;=36,$AL$23,INDEX($C$23:$AL$23,MAX(1,ROUNDUP(AD606/'🎚️ Escenario'!$C$11,0)))))</f>
        <v>0</v>
      </c>
      <c r="AE607" s="236" t="n">
        <f aca="false" t="array" ref="AE607:AE607">IF(AE606=0,0,IF(AE606/'🎚️ Escenario'!$C$11&gt;=36,$AL$23,INDEX($C$23:$AL$23,MAX(1,ROUNDUP(AE606/'🎚️ Escenario'!$C$11,0)))))</f>
        <v>0</v>
      </c>
      <c r="AF607" s="236" t="n">
        <f aca="false" t="array" ref="AF607:AF607">IF(AF606=0,0,IF(AF606/'🎚️ Escenario'!$C$11&gt;=36,$AL$23,INDEX($C$23:$AL$23,MAX(1,ROUNDUP(AF606/'🎚️ Escenario'!$C$11,0)))))</f>
        <v>0</v>
      </c>
      <c r="AG607" s="236" t="n">
        <f aca="false" t="array" ref="AG607:AG607">IF(AG606=0,0,IF(AG606/'🎚️ Escenario'!$C$11&gt;=36,$AL$23,INDEX($C$23:$AL$23,MAX(1,ROUNDUP(AG606/'🎚️ Escenario'!$C$11,0)))))</f>
        <v>0</v>
      </c>
      <c r="AH607" s="236" t="n">
        <f aca="false" t="array" ref="AH607:AH607">IF(AH606=0,0,IF(AH606/'🎚️ Escenario'!$C$11&gt;=36,$AL$23,INDEX($C$23:$AL$23,MAX(1,ROUNDUP(AH606/'🎚️ Escenario'!$C$11,0)))))</f>
        <v>0</v>
      </c>
      <c r="AI607" s="236" t="n">
        <f aca="false" t="array" ref="AI607:AI607">IF(AI606=0,0,IF(AI606/'🎚️ Escenario'!$C$11&gt;=36,$AL$23,INDEX($C$23:$AL$23,MAX(1,ROUNDUP(AI606/'🎚️ Escenario'!$C$11,0)))))</f>
        <v>0</v>
      </c>
      <c r="AJ607" s="236" t="n">
        <f aca="false" t="array" ref="AJ607:AJ607">IF(AJ606=0,0,IF(AJ606/'🎚️ Escenario'!$C$11&gt;=36,$AL$23,INDEX($C$23:$AL$23,MAX(1,ROUNDUP(AJ606/'🎚️ Escenario'!$C$11,0)))))</f>
        <v>0</v>
      </c>
      <c r="AK607" s="236" t="n">
        <f aca="false" t="array" ref="AK607:AK607">IF(AK606=0,0,IF(AK606/'🎚️ Escenario'!$C$11&gt;=36,$AL$23,INDEX($C$23:$AL$23,MAX(1,ROUNDUP(AK606/'🎚️ Escenario'!$C$11,0)))))</f>
        <v>0</v>
      </c>
      <c r="AL607" s="236" t="n">
        <f aca="false" t="array" ref="AL607:AL607">IF(AL606=0,0,IF(AL606/'🎚️ Escenario'!$C$11&gt;=36,$AL$23,INDEX($C$23:$AL$23,MAX(1,ROUNDUP(AL606/'🎚️ Escenario'!$C$11,0)))))</f>
        <v>0</v>
      </c>
      <c r="AM607" s="236" t="n">
        <f aca="false" t="array" ref="AM607:AM607">IF(AM606=0,0,IF(AM606/'🎚️ Escenario'!$C$11&gt;=36,$AL$23,INDEX($C$23:$AL$23,MAX(1,ROUNDUP(AM606/'🎚️ Escenario'!$C$11,0)))))</f>
        <v>0</v>
      </c>
      <c r="AN607" s="236" t="n">
        <f aca="false" t="array" ref="AN607:AN607">IF(AN606=0,0,IF(AN606/'🎚️ Escenario'!$C$11&gt;=36,$AL$23,INDEX($C$23:$AL$23,MAX(1,ROUNDUP(AN606/'🎚️ Escenario'!$C$11,0)))))</f>
        <v>0</v>
      </c>
      <c r="AO607" s="236" t="n">
        <f aca="false" t="array" ref="AO607:AO607">IF(AO606=0,0,IF(AO606/'🎚️ Escenario'!$C$11&gt;=36,$AL$23,INDEX($C$23:$AL$23,MAX(1,ROUNDUP(AO606/'🎚️ Escenario'!$C$11,0)))))</f>
        <v>0</v>
      </c>
      <c r="AP607" s="236" t="n">
        <f aca="false" t="array" ref="AP607:AP607">IF(AP606=0,0,IF(AP606/'🎚️ Escenario'!$C$11&gt;=36,$AL$23,INDEX($C$23:$AL$23,MAX(1,ROUNDUP(AP606/'🎚️ Escenario'!$C$11,0)))))</f>
        <v>0</v>
      </c>
      <c r="AQ607" s="236" t="n">
        <f aca="false" t="array" ref="AQ607:AQ607">IF(AQ606=0,0,IF(AQ606/'🎚️ Escenario'!$C$11&gt;=36,$AL$23,INDEX($C$23:$AL$23,MAX(1,ROUNDUP(AQ606/'🎚️ Escenario'!$C$11,0)))))</f>
        <v>0</v>
      </c>
      <c r="AR607" s="236" t="n">
        <f aca="false" t="array" ref="AR607:AR607">IF(AR606=0,0,IF(AR606/'🎚️ Escenario'!$C$11&gt;=36,$AL$23,INDEX($C$23:$AL$23,MAX(1,ROUNDUP(AR606/'🎚️ Escenario'!$C$11,0)))))</f>
        <v>0</v>
      </c>
      <c r="AS607" s="236" t="n">
        <f aca="false" t="array" ref="AS607:AS607">IF(AS606=0,0,IF(AS606/'🎚️ Escenario'!$C$11&gt;=36,$AL$23,INDEX($C$23:$AL$23,MAX(1,ROUNDUP(AS606/'🎚️ Escenario'!$C$11,0)))))</f>
        <v>0</v>
      </c>
      <c r="AT607" s="236" t="n">
        <f aca="false" t="array" ref="AT607:AT607">IF(AT606=0,0,IF(AT606/'🎚️ Escenario'!$C$11&gt;=36,$AL$23,INDEX($C$23:$AL$23,MAX(1,ROUNDUP(AT606/'🎚️ Escenario'!$C$11,0)))))</f>
        <v>0</v>
      </c>
      <c r="AU607" s="236" t="n">
        <f aca="false" t="array" ref="AU607:AU607">IF(AU606=0,0,IF(AU606/'🎚️ Escenario'!$C$11&gt;=36,$AL$23,INDEX($C$23:$AL$23,MAX(1,ROUNDUP(AU606/'🎚️ Escenario'!$C$11,0)))))</f>
        <v>0</v>
      </c>
      <c r="AV607" s="236" t="n">
        <f aca="false" t="array" ref="AV607:AV607">IF(AV606=0,0,IF(AV606/'🎚️ Escenario'!$C$11&gt;=36,$AL$23,INDEX($C$23:$AL$23,MAX(1,ROUNDUP(AV606/'🎚️ Escenario'!$C$11,0)))))</f>
        <v>0</v>
      </c>
      <c r="AW607" s="236" t="n">
        <f aca="false" t="array" ref="AW607:AW607">IF(AW606=0,0,IF(AW606/'🎚️ Escenario'!$C$11&gt;=36,$AL$23,INDEX($C$23:$AL$23,MAX(1,ROUNDUP(AW606/'🎚️ Escenario'!$C$11,0)))))</f>
        <v>0</v>
      </c>
      <c r="AX607" s="236" t="n">
        <f aca="false" t="array" ref="AX607:AX607">IF(AX606=0,0,IF(AX606/'🎚️ Escenario'!$C$11&gt;=36,$AL$23,INDEX($C$23:$AL$23,MAX(1,ROUNDUP(AX606/'🎚️ Escenario'!$C$11,0)))))</f>
        <v>0</v>
      </c>
      <c r="AY607" s="236" t="n">
        <f aca="false" t="array" ref="AY607:AY607">IF(AY606=0,0,IF(AY606/'🎚️ Escenario'!$C$11&gt;=36,$AL$23,INDEX($C$23:$AL$23,MAX(1,ROUNDUP(AY606/'🎚️ Escenario'!$C$11,0)))))</f>
        <v>0</v>
      </c>
      <c r="AZ607" s="236" t="n">
        <f aca="false" t="array" ref="AZ607:AZ607">IF(AZ606=0,0,IF(AZ606/'🎚️ Escenario'!$C$11&gt;=36,$AL$23,INDEX($C$23:$AL$23,MAX(1,ROUNDUP(AZ606/'🎚️ Escenario'!$C$11,0)))))</f>
        <v>0</v>
      </c>
      <c r="BA607" s="236" t="n">
        <f aca="false" t="array" ref="BA607:BA607">IF(BA606=0,0,IF(BA606/'🎚️ Escenario'!$C$11&gt;=36,$AL$23,INDEX($C$23:$AL$23,MAX(1,ROUNDUP(BA606/'🎚️ Escenario'!$C$11,0)))))</f>
        <v>0</v>
      </c>
      <c r="BB607" s="236" t="n">
        <f aca="false" t="array" ref="BB607:BB607">IF(BB606=0,0,IF(BB606/'🎚️ Escenario'!$C$11&gt;=36,$AL$23,INDEX($C$23:$AL$23,MAX(1,ROUNDUP(BB606/'🎚️ Escenario'!$C$11,0)))))</f>
        <v>0</v>
      </c>
      <c r="BC607" s="236" t="n">
        <f aca="false" t="array" ref="BC607:BC607">IF(BC606=0,0,IF(BC606/'🎚️ Escenario'!$C$11&gt;=36,$AL$23,INDEX($C$23:$AL$23,MAX(1,ROUNDUP(BC606/'🎚️ Escenario'!$C$11,0)))))</f>
        <v>0</v>
      </c>
      <c r="BD607" s="236" t="n">
        <f aca="false" t="array" ref="BD607:BD607">IF(BD606=0,0,IF(BD606/'🎚️ Escenario'!$C$11&gt;=36,$AL$23,INDEX($C$23:$AL$23,MAX(1,ROUNDUP(BD606/'🎚️ Escenario'!$C$11,0)))))</f>
        <v>0</v>
      </c>
      <c r="BE607" s="236" t="n">
        <f aca="false" t="array" ref="BE607:BE607">IF(BE606=0,0,IF(BE606/'🎚️ Escenario'!$C$11&gt;=36,$AL$23,INDEX($C$23:$AL$23,MAX(1,ROUNDUP(BE606/'🎚️ Escenario'!$C$11,0)))))</f>
        <v>0</v>
      </c>
      <c r="BF607" s="236" t="n">
        <f aca="false" t="array" ref="BF607:BF607">IF(BF606=0,0,IF(BF606/'🎚️ Escenario'!$C$11&gt;=36,$AL$23,INDEX($C$23:$AL$23,MAX(1,ROUNDUP(BF606/'🎚️ Escenario'!$C$11,0)))))</f>
        <v>0</v>
      </c>
      <c r="BG607" s="236" t="n">
        <f aca="false" t="array" ref="BG607:BG607">IF(BG606=0,0,IF(BG606/'🎚️ Escenario'!$C$11&gt;=36,$AL$23,INDEX($C$23:$AL$23,MAX(1,ROUNDUP(BG606/'🎚️ Escenario'!$C$11,0)))))</f>
        <v>0</v>
      </c>
      <c r="BH607" s="236" t="n">
        <f aca="false" t="array" ref="BH607:BH607">IF(BH606=0,0,IF(BH606/'🎚️ Escenario'!$C$11&gt;=36,$AL$23,INDEX($C$23:$AL$23,MAX(1,ROUNDUP(BH606/'🎚️ Escenario'!$C$11,0)))))</f>
        <v>0</v>
      </c>
      <c r="BI607" s="236" t="n">
        <f aca="false" t="array" ref="BI607:BI607">IF(BI606=0,0,IF(BI606/'🎚️ Escenario'!$C$11&gt;=36,$AL$23,INDEX($C$23:$AL$23,MAX(1,ROUNDUP(BI606/'🎚️ Escenario'!$C$11,0)))))</f>
        <v>0</v>
      </c>
      <c r="BJ607" s="236" t="n">
        <f aca="false" t="array" ref="BJ607:BJ607">IF(BJ606=0,0,IF(BJ606/'🎚️ Escenario'!$C$11&gt;=36,$AL$23,INDEX($C$23:$AL$23,MAX(1,ROUNDUP(BJ606/'🎚️ Escenario'!$C$11,0)))))</f>
        <v>0</v>
      </c>
      <c r="BK607" s="236" t="n">
        <f aca="false" t="array" ref="BK607:BK607">IF(BK606=0,0,IF(BK606/'🎚️ Escenario'!$C$11&gt;=36,$AL$23,INDEX($C$23:$AL$23,MAX(1,ROUNDUP(BK606/'🎚️ Escenario'!$C$11,0)))))</f>
        <v>0</v>
      </c>
      <c r="BL607" s="236" t="n">
        <f aca="false" t="array" ref="BL607:BL607">IF(BL606=0,0,IF(BL606/'🎚️ Escenario'!$C$11&gt;=36,$AL$23,INDEX($C$23:$AL$23,MAX(1,ROUNDUP(BL606/'🎚️ Escenario'!$C$11,0)))))</f>
        <v>0</v>
      </c>
      <c r="BM607" s="236" t="n">
        <f aca="false" t="array" ref="BM607:BM607">IF(BM606=0,0,IF(BM606/'🎚️ Escenario'!$C$11&gt;=36,$AL$23,INDEX($C$23:$AL$23,MAX(1,ROUNDUP(BM606/'🎚️ Escenario'!$C$11,0)))))</f>
        <v>0</v>
      </c>
      <c r="BN607" s="236" t="n">
        <f aca="false" t="array" ref="BN607:BN607">IF(BN606=0,0,IF(BN606/'🎚️ Escenario'!$C$11&gt;=36,$AL$23,INDEX($C$23:$AL$23,MAX(1,ROUNDUP(BN606/'🎚️ Escenario'!$C$11,0)))))</f>
        <v>0</v>
      </c>
      <c r="BO607" s="236" t="n">
        <f aca="false" t="array" ref="BO607:BO607">IF(BO606=0,0,IF(BO606/'🎚️ Escenario'!$C$11&gt;=36,$AL$23,INDEX($C$23:$AL$23,MAX(1,ROUNDUP(BO606/'🎚️ Escenario'!$C$11,0)))))</f>
        <v>0</v>
      </c>
      <c r="BP607" s="236" t="n">
        <f aca="false" t="array" ref="BP607:BP607">IF(BP606=0,0,IF(BP606/'🎚️ Escenario'!$C$11&gt;=36,$AL$23,INDEX($C$23:$AL$23,MAX(1,ROUNDUP(BP606/'🎚️ Escenario'!$C$11,0)))))</f>
        <v>0</v>
      </c>
      <c r="BQ607" s="236" t="n">
        <f aca="false" t="array" ref="BQ607:BQ607">IF(BQ606=0,0,IF(BQ606/'🎚️ Escenario'!$C$11&gt;=36,$AL$23,INDEX($C$23:$AL$23,MAX(1,ROUNDUP(BQ606/'🎚️ Escenario'!$C$11,0)))))</f>
        <v>0</v>
      </c>
      <c r="BR607" s="236" t="n">
        <f aca="false" t="array" ref="BR607:BR607">IF(BR606=0,0,IF(BR606/'🎚️ Escenario'!$C$11&gt;=36,$AL$23,INDEX($C$23:$AL$23,MAX(1,ROUNDUP(BR606/'🎚️ Escenario'!$C$11,0)))))</f>
        <v>0</v>
      </c>
      <c r="BS607" s="236" t="n">
        <f aca="false" t="array" ref="BS607:BS607">IF(BS606=0,0,IF(BS606/'🎚️ Escenario'!$C$11&gt;=36,$AL$23,INDEX($C$23:$AL$23,MAX(1,ROUNDUP(BS606/'🎚️ Escenario'!$C$11,0)))))</f>
        <v>0</v>
      </c>
      <c r="BT607" s="236" t="n">
        <f aca="false" t="array" ref="BT607:BT607">IF(BT606=0,0,IF(BT606/'🎚️ Escenario'!$C$11&gt;=36,$AL$23,INDEX($C$23:$AL$23,MAX(1,ROUNDUP(BT606/'🎚️ Escenario'!$C$11,0)))))</f>
        <v>0</v>
      </c>
      <c r="BU607" s="236" t="n">
        <f aca="false" t="array" ref="BU607:BU607">IF(BU606=0,0,IF(BU606/'🎚️ Escenario'!$C$11&gt;=36,$AL$23,INDEX($C$23:$AL$23,MAX(1,ROUNDUP(BU606/'🎚️ Escenario'!$C$11,0)))))</f>
        <v>0</v>
      </c>
      <c r="BV607" s="236" t="n">
        <f aca="false" t="array" ref="BV607:BV607">IF(BV606=0,0,IF(BV606/'🎚️ Escenario'!$C$11&gt;=36,$AL$23,INDEX($C$23:$AL$23,MAX(1,ROUNDUP(BV606/'🎚️ Escenario'!$C$11,0)))))</f>
        <v>0</v>
      </c>
      <c r="BW607" s="236" t="n">
        <f aca="false" t="array" ref="BW607:BW607">IF(BW606=0,0,IF(BW606/'🎚️ Escenario'!$C$11&gt;=36,$AL$23,INDEX($C$23:$AL$23,MAX(1,ROUNDUP(BW606/'🎚️ Escenario'!$C$11,0)))))</f>
        <v>0</v>
      </c>
      <c r="BX607" s="236" t="n">
        <f aca="false" t="array" ref="BX607:BX607">IF(BX606=0,0,IF(BX606/'🎚️ Escenario'!$C$11&gt;=36,$AL$23,INDEX($C$23:$AL$23,MAX(1,ROUNDUP(BX606/'🎚️ Escenario'!$C$11,0)))))</f>
        <v>0</v>
      </c>
      <c r="BY607" s="236" t="n">
        <f aca="false" t="array" ref="BY607:BY607">IF(BY606=0,0,IF(BY606/'🎚️ Escenario'!$C$11&gt;=36,$AL$23,INDEX($C$23:$AL$23,MAX(1,ROUNDUP(BY606/'🎚️ Escenario'!$C$11,0)))))</f>
        <v>0</v>
      </c>
      <c r="BZ607" s="236" t="n">
        <f aca="false" t="array" ref="BZ607:BZ607">IF(BZ606=0,0,IF(BZ606/'🎚️ Escenario'!$C$11&gt;=36,$AL$23,INDEX($C$23:$AL$23,MAX(1,ROUNDUP(BZ606/'🎚️ Escenario'!$C$11,0)))))</f>
        <v>0</v>
      </c>
      <c r="CA607" s="236" t="n">
        <f aca="false" t="array" ref="CA607:CA607">IF(CA606=0,0,IF(CA606/'🎚️ Escenario'!$C$11&gt;=36,$AL$23,INDEX($C$23:$AL$23,MAX(1,ROUNDUP(CA606/'🎚️ Escenario'!$C$11,0)))))</f>
        <v>0</v>
      </c>
      <c r="CB607" s="236" t="n">
        <f aca="false" t="array" ref="CB607:CB607">IF(CB606=0,0,IF(CB606/'🎚️ Escenario'!$C$11&gt;=36,$AL$23,INDEX($C$23:$AL$23,MAX(1,ROUNDUP(CB606/'🎚️ Escenario'!$C$11,0)))))</f>
        <v>0</v>
      </c>
      <c r="CC607" s="236" t="n">
        <f aca="false" t="array" ref="CC607:CC607">IF(CC606=0,0,IF(CC606/'🎚️ Escenario'!$C$11&gt;=36,$AL$23,INDEX($C$23:$AL$23,MAX(1,ROUNDUP(CC606/'🎚️ Escenario'!$C$11,0)))))</f>
        <v>0</v>
      </c>
      <c r="CD607" s="236" t="n">
        <f aca="false" t="array" ref="CD607:CD607">IF(CD606=0,0,IF(CD606/'🎚️ Escenario'!$C$11&gt;=36,$AL$23,INDEX($C$23:$AL$23,MAX(1,ROUNDUP(CD606/'🎚️ Escenario'!$C$11,0)))))</f>
        <v>0</v>
      </c>
      <c r="CE607" s="236" t="n">
        <f aca="false" t="array" ref="CE607:CE607">IF(CE606=0,0,IF(CE606/'🎚️ Escenario'!$C$11&gt;=36,$AL$23,INDEX($C$23:$AL$23,MAX(1,ROUNDUP(CE606/'🎚️ Escenario'!$C$11,0)))))</f>
        <v>0</v>
      </c>
      <c r="CF607" s="236" t="n">
        <f aca="false" t="array" ref="CF607:CF607">IF(CF606=0,0,IF(CF606/'🎚️ Escenario'!$C$11&gt;=36,$AL$23,INDEX($C$23:$AL$23,MAX(1,ROUNDUP(CF606/'🎚️ Escenario'!$C$11,0)))))</f>
        <v>0</v>
      </c>
      <c r="CG607" s="236" t="n">
        <f aca="false" t="array" ref="CG607:CG607">IF(CG606=0,0,IF(CG606/'🎚️ Escenario'!$C$11&gt;=36,$AL$23,INDEX($C$23:$AL$23,MAX(1,ROUNDUP(CG606/'🎚️ Escenario'!$C$11,0)))))</f>
        <v>0</v>
      </c>
      <c r="CH607" s="236" t="n">
        <f aca="false" t="array" ref="CH607:CH607">IF(CH606=0,0,IF(CH606/'🎚️ Escenario'!$C$11&gt;=36,$AL$23,INDEX($C$23:$AL$23,MAX(1,ROUNDUP(CH606/'🎚️ Escenario'!$C$11,0)))))</f>
        <v>0</v>
      </c>
      <c r="CI607" s="236" t="n">
        <f aca="false" t="array" ref="CI607:CI607">IF(CI606=0,0,IF(CI606/'🎚️ Escenario'!$C$11&gt;=36,$AL$23,INDEX($C$23:$AL$23,MAX(1,ROUNDUP(CI606/'🎚️ Escenario'!$C$11,0)))))</f>
        <v>0</v>
      </c>
      <c r="CJ607" s="236" t="n">
        <f aca="false" t="array" ref="CJ607:CJ607">IF(CJ606=0,0,IF(CJ606/'🎚️ Escenario'!$C$11&gt;=36,$AL$23,INDEX($C$23:$AL$23,MAX(1,ROUNDUP(CJ606/'🎚️ Escenario'!$C$11,0)))))</f>
        <v>0</v>
      </c>
      <c r="CK607" s="236" t="n">
        <f aca="false" t="array" ref="CK607:CK607">IF(CK606=0,0,IF(CK606/'🎚️ Escenario'!$C$11&gt;=36,$AL$23,INDEX($C$23:$AL$23,MAX(1,ROUNDUP(CK606/'🎚️ Escenario'!$C$11,0)))))</f>
        <v>0</v>
      </c>
      <c r="CL607" s="236" t="n">
        <f aca="false" t="array" ref="CL607:CL607">IF(CL606=0,0,IF(CL606/'🎚️ Escenario'!$C$11&gt;=36,$AL$23,INDEX($C$23:$AL$23,MAX(1,ROUNDUP(CL606/'🎚️ Escenario'!$C$11,0)))))</f>
        <v>0</v>
      </c>
      <c r="CM607" s="236" t="n">
        <f aca="false" t="array" ref="CM607:CM607">IF(CM606=0,0,IF(CM606/'🎚️ Escenario'!$C$11&gt;=36,$AL$23,INDEX($C$23:$AL$23,MAX(1,ROUNDUP(CM606/'🎚️ Escenario'!$C$11,0)))))</f>
        <v>0</v>
      </c>
      <c r="CN607" s="236" t="n">
        <f aca="false" t="array" ref="CN607:CN607">IF(CN606=0,0,IF(CN606/'🎚️ Escenario'!$C$11&gt;=36,$AL$23,INDEX($C$23:$AL$23,MAX(1,ROUNDUP(CN606/'🎚️ Escenario'!$C$11,0)))))</f>
        <v>0</v>
      </c>
      <c r="CO607" s="236" t="n">
        <f aca="false" t="array" ref="CO607:CO607">IF(CO606=0,0,IF(CO606/'🎚️ Escenario'!$C$11&gt;=36,$AL$23,INDEX($C$23:$AL$23,MAX(1,ROUNDUP(CO606/'🎚️ Escenario'!$C$11,0)))))</f>
        <v>0</v>
      </c>
      <c r="CP607" s="236" t="n">
        <f aca="false" t="array" ref="CP607:CP607">IF(CP606=0,0,IF(CP606/'🎚️ Escenario'!$C$11&gt;=36,$AL$23,INDEX($C$23:$AL$23,MAX(1,ROUNDUP(CP606/'🎚️ Escenario'!$C$11,0)))))</f>
        <v>0</v>
      </c>
      <c r="CQ607" s="236" t="n">
        <f aca="false" t="array" ref="CQ607:CQ607">IF(CQ606=0,0,IF(CQ606/'🎚️ Escenario'!$C$11&gt;=36,$AL$23,INDEX($C$23:$AL$23,MAX(1,ROUNDUP(CQ606/'🎚️ Escenario'!$C$11,0)))))</f>
        <v>0</v>
      </c>
      <c r="CR607" s="236" t="n">
        <f aca="false" t="array" ref="CR607:CR607">IF(CR606=0,0,IF(CR606/'🎚️ Escenario'!$C$11&gt;=36,$AL$23,INDEX($C$23:$AL$23,MAX(1,ROUNDUP(CR606/'🎚️ Escenario'!$C$11,0)))))</f>
        <v>0</v>
      </c>
      <c r="CS607" s="236" t="n">
        <f aca="false" t="array" ref="CS607:CS607">IF(CS606=0,0,IF(CS606/'🎚️ Escenario'!$C$11&gt;=36,$AL$23,INDEX($C$23:$AL$23,MAX(1,ROUNDUP(CS606/'🎚️ Escenario'!$C$11,0)))))</f>
        <v>0</v>
      </c>
      <c r="CT607" s="236" t="n">
        <f aca="false" t="array" ref="CT607:CT607">IF(CT606=0,0,IF(CT606/'🎚️ Escenario'!$C$11&gt;=36,$AL$23,INDEX($C$23:$AL$23,MAX(1,ROUNDUP(CT606/'🎚️ Escenario'!$C$11,0)))))</f>
        <v>0</v>
      </c>
      <c r="CU607" s="236" t="n">
        <f aca="false" t="array" ref="CU607:CU607">IF(CU606=0,0,IF(CU606/'🎚️ Escenario'!$C$11&gt;=36,$AL$23,INDEX($C$23:$AL$23,MAX(1,ROUNDUP(CU606/'🎚️ Escenario'!$C$11,0)))))</f>
        <v>0</v>
      </c>
      <c r="CV607" s="236" t="n">
        <f aca="false" t="array" ref="CV607:CV607">IF(CV606=0,0,IF(CV606/'🎚️ Escenario'!$C$11&gt;=36,$AL$23,INDEX($C$23:$AL$23,MAX(1,ROUNDUP(CV606/'🎚️ Escenario'!$C$11,0)))))</f>
        <v>0</v>
      </c>
      <c r="CW607" s="236" t="n">
        <f aca="false" t="array" ref="CW607:CW607">IF(CW606=0,0,IF(CW606/'🎚️ Escenario'!$C$11&gt;=36,$AL$23,INDEX($C$23:$AL$23,MAX(1,ROUNDUP(CW606/'🎚️ Escenario'!$C$11,0)))))</f>
        <v>0</v>
      </c>
      <c r="CX607" s="236" t="n">
        <f aca="false" t="array" ref="CX607:CX607">IF(CX606=0,0,IF(CX606/'🎚️ Escenario'!$C$11&gt;=36,$AL$23,INDEX($C$23:$AL$23,MAX(1,ROUNDUP(CX606/'🎚️ Escenario'!$C$11,0)))))</f>
        <v>0</v>
      </c>
      <c r="CY607" s="236" t="n">
        <f aca="false" t="array" ref="CY607:CY607">IF(CY606=0,0,IF(CY606/'🎚️ Escenario'!$C$11&gt;=36,$AL$23,INDEX($C$23:$AL$23,MAX(1,ROUNDUP(CY606/'🎚️ Escenario'!$C$11,0)))))</f>
        <v>0</v>
      </c>
      <c r="CZ607" s="236" t="n">
        <f aca="false" t="array" ref="CZ607:CZ607">IF(CZ606=0,0,IF(CZ606/'🎚️ Escenario'!$C$11&gt;=36,$AL$23,INDEX($C$23:$AL$23,MAX(1,ROUNDUP(CZ606/'🎚️ Escenario'!$C$11,0)))))</f>
        <v>0</v>
      </c>
      <c r="DA607" s="236" t="n">
        <f aca="false" t="array" ref="DA607:DA607">IF(DA606=0,0,IF(DA606/'🎚️ Escenario'!$C$11&gt;=36,$AL$23,INDEX($C$23:$AL$23,MAX(1,ROUNDUP(DA606/'🎚️ Escenario'!$C$11,0)))))</f>
        <v>0</v>
      </c>
      <c r="DB607" s="236" t="n">
        <f aca="false" t="array" ref="DB607:DB607">IF(DB606=0,0,IF(DB606/'🎚️ Escenario'!$C$11&gt;=36,$AL$23,INDEX($C$23:$AL$23,MAX(1,ROUNDUP(DB606/'🎚️ Escenario'!$C$11,0)))))</f>
        <v>0</v>
      </c>
      <c r="DC607" s="236" t="n">
        <f aca="false" t="array" ref="DC607:DC607">IF(DC606=0,0,IF(DC606/'🎚️ Escenario'!$C$11&gt;=36,$AL$23,INDEX($C$23:$AL$23,MAX(1,ROUNDUP(DC606/'🎚️ Escenario'!$C$11,0)))))</f>
        <v>0</v>
      </c>
      <c r="DD607" s="236" t="n">
        <f aca="false" t="array" ref="DD607:DD607">IF(DD606=0,0,IF(DD606/'🎚️ Escenario'!$C$11&gt;=36,$AL$23,INDEX($C$23:$AL$23,MAX(1,ROUNDUP(DD606/'🎚️ Escenario'!$C$11,0)))))</f>
        <v>0</v>
      </c>
      <c r="DE607" s="236" t="n">
        <f aca="false" t="array" ref="DE607:DE607">IF(DE606=0,0,IF(DE606/'🎚️ Escenario'!$C$11&gt;=36,$AL$23,INDEX($C$23:$AL$23,MAX(1,ROUNDUP(DE606/'🎚️ Escenario'!$C$11,0)))))</f>
        <v>0</v>
      </c>
      <c r="DF607" s="236" t="n">
        <f aca="false" t="array" ref="DF607:DF607">IF(DF606=0,0,IF(DF606/'🎚️ Escenario'!$C$11&gt;=36,$AL$23,INDEX($C$23:$AL$23,MAX(1,ROUNDUP(DF606/'🎚️ Escenario'!$C$11,0)))))</f>
        <v>0</v>
      </c>
      <c r="DG607" s="236" t="n">
        <f aca="false" t="array" ref="DG607:DG607">IF(DG606=0,0,IF(DG606/'🎚️ Escenario'!$C$11&gt;=36,$AL$23,INDEX($C$23:$AL$23,MAX(1,ROUNDUP(DG606/'🎚️ Escenario'!$C$11,0)))))</f>
        <v>0</v>
      </c>
      <c r="DH607" s="236" t="n">
        <f aca="false" t="array" ref="DH607:DH607">IF(DH606=0,0,IF(DH606/'🎚️ Escenario'!$C$11&gt;=36,$AL$23,INDEX($C$23:$AL$23,MAX(1,ROUNDUP(DH606/'🎚️ Escenario'!$C$11,0)))))</f>
        <v>0</v>
      </c>
      <c r="DI607" s="236" t="n">
        <f aca="false" t="array" ref="DI607:DI607">IF(DI606=0,0,IF(DI606/'🎚️ Escenario'!$C$11&gt;=36,$AL$23,INDEX($C$23:$AL$23,MAX(1,ROUNDUP(DI606/'🎚️ Escenario'!$C$11,0)))))</f>
        <v>0</v>
      </c>
      <c r="DJ607" s="236" t="n">
        <f aca="false" t="array" ref="DJ607:DJ607">IF(DJ606=0,0,IF(DJ606/'🎚️ Escenario'!$C$11&gt;=36,$AL$23,INDEX($C$23:$AL$23,MAX(1,ROUNDUP(DJ606/'🎚️ Escenario'!$C$11,0)))))</f>
        <v>0</v>
      </c>
      <c r="DK607" s="236" t="n">
        <f aca="false" t="array" ref="DK607:DK607">IF(DK606=0,0,IF(DK606/'🎚️ Escenario'!$C$11&gt;=36,$AL$23,INDEX($C$23:$AL$23,MAX(1,ROUNDUP(DK606/'🎚️ Escenario'!$C$11,0)))))</f>
        <v>0.2</v>
      </c>
      <c r="DL607" s="236" t="n">
        <f aca="false" t="array" ref="DL607:DL607">IF(DL606=0,0,IF(DL606/'🎚️ Escenario'!$C$11&gt;=36,$AL$23,INDEX($C$23:$AL$23,MAX(1,ROUNDUP(DL606/'🎚️ Escenario'!$C$11,0)))))</f>
        <v>0.22</v>
      </c>
      <c r="DM607" s="236" t="n">
        <f aca="false" t="array" ref="DM607:DM607">IF(DM606=0,0,IF(DM606/'🎚️ Escenario'!$C$11&gt;=36,$AL$23,INDEX($C$23:$AL$23,MAX(1,ROUNDUP(DM606/'🎚️ Escenario'!$C$11,0)))))</f>
        <v>0.24</v>
      </c>
      <c r="DN607" s="236" t="n">
        <f aca="false" t="array" ref="DN607:DN607">IF(DN606=0,0,IF(DN606/'🎚️ Escenario'!$C$11&gt;=36,$AL$23,INDEX($C$23:$AL$23,MAX(1,ROUNDUP(DN606/'🎚️ Escenario'!$C$11,0)))))</f>
        <v>0.27</v>
      </c>
      <c r="DO607" s="236" t="n">
        <f aca="false" t="array" ref="DO607:DO607">IF(DO606=0,0,IF(DO606/'🎚️ Escenario'!$C$11&gt;=36,$AL$23,INDEX($C$23:$AL$23,MAX(1,ROUNDUP(DO606/'🎚️ Escenario'!$C$11,0)))))</f>
        <v>0.27</v>
      </c>
      <c r="DP607" s="236" t="n">
        <f aca="false" t="array" ref="DP607:DP607">IF(DP606=0,0,IF(DP606/'🎚️ Escenario'!$C$11&gt;=36,$AL$23,INDEX($C$23:$AL$23,MAX(1,ROUNDUP(DP606/'🎚️ Escenario'!$C$11,0)))))</f>
        <v>0.31</v>
      </c>
      <c r="DQ607" s="236" t="n">
        <f aca="false" t="array" ref="DQ607:DQ607">IF(DQ606=0,0,IF(DQ606/'🎚️ Escenario'!$C$11&gt;=36,$AL$23,INDEX($C$23:$AL$23,MAX(1,ROUNDUP(DQ606/'🎚️ Escenario'!$C$11,0)))))</f>
        <v>0.35</v>
      </c>
      <c r="DR607" s="236" t="n">
        <f aca="false" t="array" ref="DR607:DR607">IF(DR606=0,0,IF(DR606/'🎚️ Escenario'!$C$11&gt;=36,$AL$23,INDEX($C$23:$AL$23,MAX(1,ROUNDUP(DR606/'🎚️ Escenario'!$C$11,0)))))</f>
        <v>0.39</v>
      </c>
      <c r="DS607" s="236" t="n">
        <f aca="false" t="array" ref="DS607:DS607">IF(DS606=0,0,IF(DS606/'🎚️ Escenario'!$C$11&gt;=36,$AL$23,INDEX($C$23:$AL$23,MAX(1,ROUNDUP(DS606/'🎚️ Escenario'!$C$11,0)))))</f>
        <v>0.44</v>
      </c>
      <c r="DT607" s="236" t="n">
        <f aca="false" t="array" ref="DT607:DT607">IF(DT606=0,0,IF(DT606/'🎚️ Escenario'!$C$11&gt;=36,$AL$23,INDEX($C$23:$AL$23,MAX(1,ROUNDUP(DT606/'🎚️ Escenario'!$C$11,0)))))</f>
        <v>0.44</v>
      </c>
      <c r="DU607" s="236" t="n">
        <f aca="false" t="array" ref="DU607:DU607">IF(DU606=0,0,IF(DU606/'🎚️ Escenario'!$C$11&gt;=36,$AL$23,INDEX($C$23:$AL$23,MAX(1,ROUNDUP(DU606/'🎚️ Escenario'!$C$11,0)))))</f>
        <v>0.48</v>
      </c>
      <c r="DV607" s="236" t="n">
        <f aca="false" t="array" ref="DV607:DV607">IF(DV606=0,0,IF(DV606/'🎚️ Escenario'!$C$11&gt;=36,$AL$23,INDEX($C$23:$AL$23,MAX(1,ROUNDUP(DV606/'🎚️ Escenario'!$C$11,0)))))</f>
        <v>0.52</v>
      </c>
      <c r="DW607" s="236" t="n">
        <f aca="false" t="array" ref="DW607:DW607">IF(DW606=0,0,IF(DW606/'🎚️ Escenario'!$C$11&gt;=36,$AL$23,INDEX($C$23:$AL$23,MAX(1,ROUNDUP(DW606/'🎚️ Escenario'!$C$11,0)))))</f>
        <v>0.56</v>
      </c>
      <c r="DX607" s="236" t="n">
        <f aca="false" t="array" ref="DX607:DX607">IF(DX606=0,0,IF(DX606/'🎚️ Escenario'!$C$11&gt;=36,$AL$23,INDEX($C$23:$AL$23,MAX(1,ROUNDUP(DX606/'🎚️ Escenario'!$C$11,0)))))</f>
        <v>0.6</v>
      </c>
      <c r="DY607" s="236" t="n">
        <f aca="false" t="array" ref="DY607:DY607">IF(DY606=0,0,IF(DY606/'🎚️ Escenario'!$C$11&gt;=36,$AL$23,INDEX($C$23:$AL$23,MAX(1,ROUNDUP(DY606/'🎚️ Escenario'!$C$11,0)))))</f>
        <v>0.6</v>
      </c>
      <c r="DZ607" s="236" t="n">
        <f aca="false" t="array" ref="DZ607:DZ607">IF(DZ606=0,0,IF(DZ606/'🎚️ Escenario'!$C$11&gt;=36,$AL$23,INDEX($C$23:$AL$23,MAX(1,ROUNDUP(DZ606/'🎚️ Escenario'!$C$11,0)))))</f>
        <v>0.63</v>
      </c>
      <c r="EA607" s="236" t="n">
        <f aca="false" t="array" ref="EA607:EA607">IF(EA606=0,0,IF(EA606/'🎚️ Escenario'!$C$11&gt;=36,$AL$23,INDEX($C$23:$AL$23,MAX(1,ROUNDUP(EA606/'🎚️ Escenario'!$C$11,0)))))</f>
        <v>0.66</v>
      </c>
      <c r="EB607" s="236" t="n">
        <f aca="false" t="array" ref="EB607:EB607">IF(EB606=0,0,IF(EB606/'🎚️ Escenario'!$C$11&gt;=36,$AL$23,INDEX($C$23:$AL$23,MAX(1,ROUNDUP(EB606/'🎚️ Escenario'!$C$11,0)))))</f>
        <v>0.69</v>
      </c>
      <c r="EC607" s="236" t="n">
        <f aca="false" t="array" ref="EC607:EC607">IF(EC606=0,0,IF(EC606/'🎚️ Escenario'!$C$11&gt;=36,$AL$23,INDEX($C$23:$AL$23,MAX(1,ROUNDUP(EC606/'🎚️ Escenario'!$C$11,0)))))</f>
        <v>0.71</v>
      </c>
      <c r="ED607" s="236" t="n">
        <f aca="false" t="array" ref="ED607:ED607">IF(ED606=0,0,IF(ED606/'🎚️ Escenario'!$C$11&gt;=36,$AL$23,INDEX($C$23:$AL$23,MAX(1,ROUNDUP(ED606/'🎚️ Escenario'!$C$11,0)))))</f>
        <v>0.71</v>
      </c>
      <c r="EE607" s="236" t="n">
        <f aca="false" t="array" ref="EE607:EE607">IF(EE606=0,0,IF(EE606/'🎚️ Escenario'!$C$11&gt;=36,$AL$23,INDEX($C$23:$AL$23,MAX(1,ROUNDUP(EE606/'🎚️ Escenario'!$C$11,0)))))</f>
        <v>0.73</v>
      </c>
      <c r="EF607" s="236" t="n">
        <f aca="false" t="array" ref="EF607:EF607">IF(EF606=0,0,IF(EF606/'🎚️ Escenario'!$C$11&gt;=36,$AL$23,INDEX($C$23:$AL$23,MAX(1,ROUNDUP(EF606/'🎚️ Escenario'!$C$11,0)))))</f>
        <v>0.75</v>
      </c>
      <c r="EG607" s="236" t="n">
        <f aca="false" t="array" ref="EG607:EG607">IF(EG606=0,0,IF(EG606/'🎚️ Escenario'!$C$11&gt;=36,$AL$23,INDEX($C$23:$AL$23,MAX(1,ROUNDUP(EG606/'🎚️ Escenario'!$C$11,0)))))</f>
        <v>0.77</v>
      </c>
      <c r="EH607" s="236" t="n">
        <f aca="false" t="array" ref="EH607:EH607">IF(EH606=0,0,IF(EH606/'🎚️ Escenario'!$C$11&gt;=36,$AL$23,INDEX($C$23:$AL$23,MAX(1,ROUNDUP(EH606/'🎚️ Escenario'!$C$11,0)))))</f>
        <v>0.79</v>
      </c>
      <c r="EI607" s="236" t="n">
        <f aca="false" t="array" ref="EI607:EI607">IF(EI606=0,0,IF(EI606/'🎚️ Escenario'!$C$11&gt;=36,$AL$23,INDEX($C$23:$AL$23,MAX(1,ROUNDUP(EI606/'🎚️ Escenario'!$C$11,0)))))</f>
        <v>0.79</v>
      </c>
      <c r="EJ607" s="236" t="n">
        <f aca="false" t="array" ref="EJ607:EJ607">IF(EJ606=0,0,IF(EJ606/'🎚️ Escenario'!$C$11&gt;=36,$AL$23,INDEX($C$23:$AL$23,MAX(1,ROUNDUP(EJ606/'🎚️ Escenario'!$C$11,0)))))</f>
        <v>0.8</v>
      </c>
      <c r="EK607" s="236" t="n">
        <f aca="false" t="array" ref="EK607:EK607">IF(EK606=0,0,IF(EK606/'🎚️ Escenario'!$C$11&gt;=36,$AL$23,INDEX($C$23:$AL$23,MAX(1,ROUNDUP(EK606/'🎚️ Escenario'!$C$11,0)))))</f>
        <v>0.82</v>
      </c>
      <c r="EL607" s="236" t="n">
        <f aca="false" t="array" ref="EL607:EL607">IF(EL606=0,0,IF(EL606/'🎚️ Escenario'!$C$11&gt;=36,$AL$23,INDEX($C$23:$AL$23,MAX(1,ROUNDUP(EL606/'🎚️ Escenario'!$C$11,0)))))</f>
        <v>0.84</v>
      </c>
      <c r="EM607" s="236" t="n">
        <f aca="false" t="array" ref="EM607:EM607">IF(EM606=0,0,IF(EM606/'🎚️ Escenario'!$C$11&gt;=36,$AL$23,INDEX($C$23:$AL$23,MAX(1,ROUNDUP(EM606/'🎚️ Escenario'!$C$11,0)))))</f>
        <v>0.85</v>
      </c>
      <c r="EN607" s="236" t="n">
        <f aca="false" t="array" ref="EN607:EN607">IF(EN606=0,0,IF(EN606/'🎚️ Escenario'!$C$11&gt;=36,$AL$23,INDEX($C$23:$AL$23,MAX(1,ROUNDUP(EN606/'🎚️ Escenario'!$C$11,0)))))</f>
        <v>0.85</v>
      </c>
      <c r="EO607" s="236" t="n">
        <f aca="false" t="array" ref="EO607:EO607">IF(EO606=0,0,IF(EO606/'🎚️ Escenario'!$C$11&gt;=36,$AL$23,INDEX($C$23:$AL$23,MAX(1,ROUNDUP(EO606/'🎚️ Escenario'!$C$11,0)))))</f>
        <v>0.86</v>
      </c>
      <c r="EP607" s="236" t="n">
        <f aca="false" t="array" ref="EP607:EP607">IF(EP606=0,0,IF(EP606/'🎚️ Escenario'!$C$11&gt;=36,$AL$23,INDEX($C$23:$AL$23,MAX(1,ROUNDUP(EP606/'🎚️ Escenario'!$C$11,0)))))</f>
        <v>0.88</v>
      </c>
      <c r="EQ607" s="236" t="n">
        <f aca="false" t="array" ref="EQ607:EQ607">IF(EQ606=0,0,IF(EQ606/'🎚️ Escenario'!$C$11&gt;=36,$AL$23,INDEX($C$23:$AL$23,MAX(1,ROUNDUP(EQ606/'🎚️ Escenario'!$C$11,0)))))</f>
        <v>0.89</v>
      </c>
      <c r="ER607" s="236" t="n">
        <f aca="false" t="array" ref="ER607:ER607">IF(ER606=0,0,IF(ER606/'🎚️ Escenario'!$C$11&gt;=36,$AL$23,INDEX($C$23:$AL$23,MAX(1,ROUNDUP(ER606/'🎚️ Escenario'!$C$11,0)))))</f>
        <v>0.9</v>
      </c>
      <c r="ES607" s="9" t="n">
        <f aca="false" t="array" ref="ES607:ES607">IF(ES606=0,0,IF(ES606/'🎚️ Escenario'!$C$11&gt;=36,$AL$23,INDEX($C$23:$AL$23,MAX(1,ROUNDUP(ES606/'🎚️ Escenario'!$C$11,0)))))</f>
        <v>0.9</v>
      </c>
      <c r="ET607" s="9" t="n">
        <f aca="false" t="array" ref="ET607:ET607">IF(ET606=0,0,IF(ET606/'🎚️ Escenario'!$C$11&gt;=36,$AL$23,INDEX($C$23:$AL$23,MAX(1,ROUNDUP(ET606/'🎚️ Escenario'!$C$11,0)))))</f>
        <v>0.92</v>
      </c>
      <c r="EU607" s="9" t="n">
        <f aca="false" t="array" ref="EU607:EU607">IF(EU606=0,0,IF(EU606/'🎚️ Escenario'!$C$11&gt;=36,$AL$23,INDEX($C$23:$AL$23,MAX(1,ROUNDUP(EU606/'🎚️ Escenario'!$C$11,0)))))</f>
        <v>0.93</v>
      </c>
      <c r="EV607" s="9" t="n">
        <f aca="false" t="array" ref="EV607:EV607">IF(EV606=0,0,IF(EV606/'🎚️ Escenario'!$C$11&gt;=36,$AL$23,INDEX($C$23:$AL$23,MAX(1,ROUNDUP(EV606/'🎚️ Escenario'!$C$11,0)))))</f>
        <v>0.94</v>
      </c>
      <c r="EW607" s="9" t="n">
        <f aca="false" t="array" ref="EW607:EW607">IF(EW606=0,0,IF(EW606/'🎚️ Escenario'!$C$11&gt;=36,$AL$23,INDEX($C$23:$AL$23,MAX(1,ROUNDUP(EW606/'🎚️ Escenario'!$C$11,0)))))</f>
        <v>0.95</v>
      </c>
      <c r="EX607" s="9" t="n">
        <f aca="false" t="array" ref="EX607:EX607">IF(EX606=0,0,IF(EX606/'🎚️ Escenario'!$C$11&gt;=36,$AL$23,INDEX($C$23:$AL$23,MAX(1,ROUNDUP(EX606/'🎚️ Escenario'!$C$11,0)))))</f>
        <v>0.95</v>
      </c>
      <c r="EY607" s="9" t="n">
        <f aca="false" t="array" ref="EY607:EY607">IF(EY606=0,0,IF(EY606/'🎚️ Escenario'!$C$11&gt;=36,$AL$23,INDEX($C$23:$AL$23,MAX(1,ROUNDUP(EY606/'🎚️ Escenario'!$C$11,0)))))</f>
        <v>0.97</v>
      </c>
      <c r="EZ607" s="9" t="n">
        <f aca="false" t="array" ref="EZ607:EZ607">IF(EZ606=0,0,IF(EZ606/'🎚️ Escenario'!$C$11&gt;=36,$AL$23,INDEX($C$23:$AL$23,MAX(1,ROUNDUP(EZ606/'🎚️ Escenario'!$C$11,0)))))</f>
        <v>0.98</v>
      </c>
      <c r="FA607" s="9" t="n">
        <f aca="false" t="array" ref="FA607:FA607">IF(FA606=0,0,IF(FA606/'🎚️ Escenario'!$C$11&gt;=36,$AL$23,INDEX($C$23:$AL$23,MAX(1,ROUNDUP(FA606/'🎚️ Escenario'!$C$11,0)))))</f>
        <v>0.99</v>
      </c>
      <c r="FB607" s="9" t="n">
        <f aca="false" t="array" ref="FB607:FB607">IF(FB606=0,0,IF(FB606/'🎚️ Escenario'!$C$11&gt;=36,$AL$23,INDEX($C$23:$AL$23,MAX(1,ROUNDUP(FB606/'🎚️ Escenario'!$C$11,0)))))</f>
        <v>1</v>
      </c>
      <c r="FC607" s="9" t="n">
        <f aca="false" t="array" ref="FC607:FC607">IF(FC606=0,0,IF(FC606/'🎚️ Escenario'!$C$11&gt;=36,$AL$23,INDEX($C$23:$AL$23,MAX(1,ROUNDUP(FC606/'🎚️ Escenario'!$C$11,0)))))</f>
        <v>1</v>
      </c>
      <c r="FD607" s="9" t="n">
        <f aca="false" t="array" ref="FD607:FD607">IF(FD606=0,0,IF(FD606/'🎚️ Escenario'!$C$11&gt;=36,$AL$23,INDEX($C$23:$AL$23,MAX(1,ROUNDUP(FD606/'🎚️ Escenario'!$C$11,0)))))</f>
        <v>1</v>
      </c>
      <c r="FE607" s="9" t="n">
        <f aca="false" t="array" ref="FE607:FE607">IF(FE606=0,0,IF(FE606/'🎚️ Escenario'!$C$11&gt;=36,$AL$23,INDEX($C$23:$AL$23,MAX(1,ROUNDUP(FE606/'🎚️ Escenario'!$C$11,0)))))</f>
        <v>1</v>
      </c>
      <c r="FF607" s="9" t="n">
        <f aca="false" t="array" ref="FF607:FF607">IF(FF606=0,0,IF(FF606/'🎚️ Escenario'!$C$11&gt;=36,$AL$23,INDEX($C$23:$AL$23,MAX(1,ROUNDUP(FF606/'🎚️ Escenario'!$C$11,0)))))</f>
        <v>1</v>
      </c>
      <c r="FG607" s="9" t="n">
        <f aca="false" t="array" ref="FG607:FG607">IF(FG606=0,0,IF(FG606/'🎚️ Escenario'!$C$11&gt;=36,$AL$23,INDEX($C$23:$AL$23,MAX(1,ROUNDUP(FG606/'🎚️ Escenario'!$C$11,0)))))</f>
        <v>1</v>
      </c>
      <c r="FH607" s="9" t="n">
        <f aca="false" t="array" ref="FH607:FH607">IF(FH606=0,0,IF(FH606/'🎚️ Escenario'!$C$11&gt;=36,$AL$23,INDEX($C$23:$AL$23,MAX(1,ROUNDUP(FH606/'🎚️ Escenario'!$C$11,0)))))</f>
        <v>1</v>
      </c>
      <c r="FI607" s="9" t="n">
        <f aca="false" t="array" ref="FI607:FI607">IF(FI606=0,0,IF(FI606/'🎚️ Escenario'!$C$11&gt;=36,$AL$23,INDEX($C$23:$AL$23,MAX(1,ROUNDUP(FI606/'🎚️ Escenario'!$C$11,0)))))</f>
        <v>1</v>
      </c>
      <c r="FJ607" s="9" t="n">
        <f aca="false" t="array" ref="FJ607:FJ607">IF(FJ606=0,0,IF(FJ606/'🎚️ Escenario'!$C$11&gt;=36,$AL$23,INDEX($C$23:$AL$23,MAX(1,ROUNDUP(FJ606/'🎚️ Escenario'!$C$11,0)))))</f>
        <v>1</v>
      </c>
      <c r="FK607" s="9" t="n">
        <f aca="false" t="array" ref="FK607:FK607">IF(FK606=0,0,IF(FK606/'🎚️ Escenario'!$C$11&gt;=36,$AL$23,INDEX($C$23:$AL$23,MAX(1,ROUNDUP(FK606/'🎚️ Escenario'!$C$11,0)))))</f>
        <v>1</v>
      </c>
      <c r="FL607" s="9" t="n">
        <f aca="false" t="array" ref="FL607:FL607">IF(FL606=0,0,IF(FL606/'🎚️ Escenario'!$C$11&gt;=36,$AL$23,INDEX($C$23:$AL$23,MAX(1,ROUNDUP(FL606/'🎚️ Escenario'!$C$11,0)))))</f>
        <v>1</v>
      </c>
      <c r="FM607" s="9" t="n">
        <f aca="false" t="array" ref="FM607:FM607">IF(FM606=0,0,IF(FM606/'🎚️ Escenario'!$C$11&gt;=36,$AL$23,INDEX($C$23:$AL$23,MAX(1,ROUNDUP(FM606/'🎚️ Escenario'!$C$11,0)))))</f>
        <v>1</v>
      </c>
      <c r="FN607" s="9" t="n">
        <f aca="false" t="array" ref="FN607:FN607">IF(FN606=0,0,IF(FN606/'🎚️ Escenario'!$C$11&gt;=36,$AL$23,INDEX($C$23:$AL$23,MAX(1,ROUNDUP(FN606/'🎚️ Escenario'!$C$11,0)))))</f>
        <v>1</v>
      </c>
      <c r="FO607" s="9" t="n">
        <f aca="false" t="array" ref="FO607:FO607">IF(FO606=0,0,IF(FO606/'🎚️ Escenario'!$C$11&gt;=36,$AL$23,INDEX($C$23:$AL$23,MAX(1,ROUNDUP(FO606/'🎚️ Escenario'!$C$11,0)))))</f>
        <v>1</v>
      </c>
      <c r="FP607" s="9" t="n">
        <f aca="false" t="array" ref="FP607:FP607">IF(FP606=0,0,IF(FP606/'🎚️ Escenario'!$C$11&gt;=36,$AL$23,INDEX($C$23:$AL$23,MAX(1,ROUNDUP(FP606/'🎚️ Escenario'!$C$11,0)))))</f>
        <v>1</v>
      </c>
    </row>
    <row r="608" customFormat="false" ht="15" hidden="false" customHeight="false" outlineLevel="2" collapsed="false">
      <c r="B608" s="9" t="s">
        <v>875</v>
      </c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237" t="n">
        <f aca="false">IF(AC606=0,0,IF(AC606&lt;=12*'🎚️ Escenario'!$C$11,1,1+$C$6))</f>
        <v>0</v>
      </c>
      <c r="AD608" s="237" t="n">
        <f aca="false">IF(AD606=0,0,IF(AD606&lt;=12*'🎚️ Escenario'!$C$11,1,1+$C$6))</f>
        <v>0</v>
      </c>
      <c r="AE608" s="237" t="n">
        <f aca="false">IF(AE606=0,0,IF(AE606&lt;=12*'🎚️ Escenario'!$C$11,1,1+$C$6))</f>
        <v>0</v>
      </c>
      <c r="AF608" s="237" t="n">
        <f aca="false">IF(AF606=0,0,IF(AF606&lt;=12*'🎚️ Escenario'!$C$11,1,1+$C$6))</f>
        <v>0</v>
      </c>
      <c r="AG608" s="237" t="n">
        <f aca="false">IF(AG606=0,0,IF(AG606&lt;=12*'🎚️ Escenario'!$C$11,1,1+$C$6))</f>
        <v>0</v>
      </c>
      <c r="AH608" s="237" t="n">
        <f aca="false">IF(AH606=0,0,IF(AH606&lt;=12*'🎚️ Escenario'!$C$11,1,1+$C$6))</f>
        <v>0</v>
      </c>
      <c r="AI608" s="237" t="n">
        <f aca="false">IF(AI606=0,0,IF(AI606&lt;=12*'🎚️ Escenario'!$C$11,1,1+$C$6))</f>
        <v>0</v>
      </c>
      <c r="AJ608" s="237" t="n">
        <f aca="false">IF(AJ606=0,0,IF(AJ606&lt;=12*'🎚️ Escenario'!$C$11,1,1+$C$6))</f>
        <v>0</v>
      </c>
      <c r="AK608" s="237" t="n">
        <f aca="false">IF(AK606=0,0,IF(AK606&lt;=12*'🎚️ Escenario'!$C$11,1,1+$C$6))</f>
        <v>0</v>
      </c>
      <c r="AL608" s="237" t="n">
        <f aca="false">IF(AL606=0,0,IF(AL606&lt;=12*'🎚️ Escenario'!$C$11,1,1+$C$6))</f>
        <v>0</v>
      </c>
      <c r="AM608" s="237" t="n">
        <f aca="false">IF(AM606=0,0,IF(AM606&lt;=12*'🎚️ Escenario'!$C$11,1,1+$C$6))</f>
        <v>0</v>
      </c>
      <c r="AN608" s="237" t="n">
        <f aca="false">IF(AN606=0,0,IF(AN606&lt;=12*'🎚️ Escenario'!$C$11,1,1+$C$6))</f>
        <v>0</v>
      </c>
      <c r="AO608" s="237" t="n">
        <f aca="false">IF(AO606=0,0,IF(AO606&lt;=12*'🎚️ Escenario'!$C$11,1,1+$C$6))</f>
        <v>0</v>
      </c>
      <c r="AP608" s="237" t="n">
        <f aca="false">IF(AP606=0,0,IF(AP606&lt;=12*'🎚️ Escenario'!$C$11,1,1+$C$6))</f>
        <v>0</v>
      </c>
      <c r="AQ608" s="237" t="n">
        <f aca="false">IF(AQ606=0,0,IF(AQ606&lt;=12*'🎚️ Escenario'!$C$11,1,1+$C$6))</f>
        <v>0</v>
      </c>
      <c r="AR608" s="237" t="n">
        <f aca="false">IF(AR606=0,0,IF(AR606&lt;=12*'🎚️ Escenario'!$C$11,1,1+$C$6))</f>
        <v>0</v>
      </c>
      <c r="AS608" s="237" t="n">
        <f aca="false">IF(AS606=0,0,IF(AS606&lt;=12*'🎚️ Escenario'!$C$11,1,1+$C$6))</f>
        <v>0</v>
      </c>
      <c r="AT608" s="237" t="n">
        <f aca="false">IF(AT606=0,0,IF(AT606&lt;=12*'🎚️ Escenario'!$C$11,1,1+$C$6))</f>
        <v>0</v>
      </c>
      <c r="AU608" s="237" t="n">
        <f aca="false">IF(AU606=0,0,IF(AU606&lt;=12*'🎚️ Escenario'!$C$11,1,1+$C$6))</f>
        <v>0</v>
      </c>
      <c r="AV608" s="237" t="n">
        <f aca="false">IF(AV606=0,0,IF(AV606&lt;=12*'🎚️ Escenario'!$C$11,1,1+$C$6))</f>
        <v>0</v>
      </c>
      <c r="AW608" s="237" t="n">
        <f aca="false">IF(AW606=0,0,IF(AW606&lt;=12*'🎚️ Escenario'!$C$11,1,1+$C$6))</f>
        <v>0</v>
      </c>
      <c r="AX608" s="237" t="n">
        <f aca="false">IF(AX606=0,0,IF(AX606&lt;=12*'🎚️ Escenario'!$C$11,1,1+$C$6))</f>
        <v>0</v>
      </c>
      <c r="AY608" s="237" t="n">
        <f aca="false">IF(AY606=0,0,IF(AY606&lt;=12*'🎚️ Escenario'!$C$11,1,1+$C$6))</f>
        <v>0</v>
      </c>
      <c r="AZ608" s="237" t="n">
        <f aca="false">IF(AZ606=0,0,IF(AZ606&lt;=12*'🎚️ Escenario'!$C$11,1,1+$C$6))</f>
        <v>0</v>
      </c>
      <c r="BA608" s="237" t="n">
        <f aca="false">IF(BA606=0,0,IF(BA606&lt;=12*'🎚️ Escenario'!$C$11,1,1+$C$6))</f>
        <v>0</v>
      </c>
      <c r="BB608" s="237" t="n">
        <f aca="false">IF(BB606=0,0,IF(BB606&lt;=12*'🎚️ Escenario'!$C$11,1,1+$C$6))</f>
        <v>0</v>
      </c>
      <c r="BC608" s="237" t="n">
        <f aca="false">IF(BC606=0,0,IF(BC606&lt;=12*'🎚️ Escenario'!$C$11,1,1+$C$6))</f>
        <v>0</v>
      </c>
      <c r="BD608" s="237" t="n">
        <f aca="false">IF(BD606=0,0,IF(BD606&lt;=12*'🎚️ Escenario'!$C$11,1,1+$C$6))</f>
        <v>0</v>
      </c>
      <c r="BE608" s="237" t="n">
        <f aca="false">IF(BE606=0,0,IF(BE606&lt;=12*'🎚️ Escenario'!$C$11,1,1+$C$6))</f>
        <v>0</v>
      </c>
      <c r="BF608" s="237" t="n">
        <f aca="false">IF(BF606=0,0,IF(BF606&lt;=12*'🎚️ Escenario'!$C$11,1,1+$C$6))</f>
        <v>0</v>
      </c>
      <c r="BG608" s="237" t="n">
        <f aca="false">IF(BG606=0,0,IF(BG606&lt;=12*'🎚️ Escenario'!$C$11,1,1+$C$6))</f>
        <v>0</v>
      </c>
      <c r="BH608" s="237" t="n">
        <f aca="false">IF(BH606=0,0,IF(BH606&lt;=12*'🎚️ Escenario'!$C$11,1,1+$C$6))</f>
        <v>0</v>
      </c>
      <c r="BI608" s="237" t="n">
        <f aca="false">IF(BI606=0,0,IF(BI606&lt;=12*'🎚️ Escenario'!$C$11,1,1+$C$6))</f>
        <v>0</v>
      </c>
      <c r="BJ608" s="237" t="n">
        <f aca="false">IF(BJ606=0,0,IF(BJ606&lt;=12*'🎚️ Escenario'!$C$11,1,1+$C$6))</f>
        <v>0</v>
      </c>
      <c r="BK608" s="237" t="n">
        <f aca="false">IF(BK606=0,0,IF(BK606&lt;=12*'🎚️ Escenario'!$C$11,1,1+$C$6))</f>
        <v>0</v>
      </c>
      <c r="BL608" s="237" t="n">
        <f aca="false">IF(BL606=0,0,IF(BL606&lt;=12*'🎚️ Escenario'!$C$11,1,1+$C$6))</f>
        <v>0</v>
      </c>
      <c r="BM608" s="237" t="n">
        <f aca="false">IF(BM606=0,0,IF(BM606&lt;=12*'🎚️ Escenario'!$C$11,1,1+$C$6))</f>
        <v>0</v>
      </c>
      <c r="BN608" s="237" t="n">
        <f aca="false">IF(BN606=0,0,IF(BN606&lt;=12*'🎚️ Escenario'!$C$11,1,1+$C$6))</f>
        <v>0</v>
      </c>
      <c r="BO608" s="237" t="n">
        <f aca="false">IF(BO606=0,0,IF(BO606&lt;=12*'🎚️ Escenario'!$C$11,1,1+$C$6))</f>
        <v>0</v>
      </c>
      <c r="BP608" s="237" t="n">
        <f aca="false">IF(BP606=0,0,IF(BP606&lt;=12*'🎚️ Escenario'!$C$11,1,1+$C$6))</f>
        <v>0</v>
      </c>
      <c r="BQ608" s="237" t="n">
        <f aca="false">IF(BQ606=0,0,IF(BQ606&lt;=12*'🎚️ Escenario'!$C$11,1,1+$C$6))</f>
        <v>0</v>
      </c>
      <c r="BR608" s="237" t="n">
        <f aca="false">IF(BR606=0,0,IF(BR606&lt;=12*'🎚️ Escenario'!$C$11,1,1+$C$6))</f>
        <v>0</v>
      </c>
      <c r="BS608" s="237" t="n">
        <f aca="false">IF(BS606=0,0,IF(BS606&lt;=12*'🎚️ Escenario'!$C$11,1,1+$C$6))</f>
        <v>0</v>
      </c>
      <c r="BT608" s="237" t="n">
        <f aca="false">IF(BT606=0,0,IF(BT606&lt;=12*'🎚️ Escenario'!$C$11,1,1+$C$6))</f>
        <v>0</v>
      </c>
      <c r="BU608" s="237" t="n">
        <f aca="false">IF(BU606=0,0,IF(BU606&lt;=12*'🎚️ Escenario'!$C$11,1,1+$C$6))</f>
        <v>0</v>
      </c>
      <c r="BV608" s="237" t="n">
        <f aca="false">IF(BV606=0,0,IF(BV606&lt;=12*'🎚️ Escenario'!$C$11,1,1+$C$6))</f>
        <v>0</v>
      </c>
      <c r="BW608" s="237" t="n">
        <f aca="false">IF(BW606=0,0,IF(BW606&lt;=12*'🎚️ Escenario'!$C$11,1,1+$C$6))</f>
        <v>0</v>
      </c>
      <c r="BX608" s="237" t="n">
        <f aca="false">IF(BX606=0,0,IF(BX606&lt;=12*'🎚️ Escenario'!$C$11,1,1+$C$6))</f>
        <v>0</v>
      </c>
      <c r="BY608" s="237" t="n">
        <f aca="false">IF(BY606=0,0,IF(BY606&lt;=12*'🎚️ Escenario'!$C$11,1,1+$C$6))</f>
        <v>0</v>
      </c>
      <c r="BZ608" s="237" t="n">
        <f aca="false">IF(BZ606=0,0,IF(BZ606&lt;=12*'🎚️ Escenario'!$C$11,1,1+$C$6))</f>
        <v>0</v>
      </c>
      <c r="CA608" s="237" t="n">
        <f aca="false">IF(CA606=0,0,IF(CA606&lt;=12*'🎚️ Escenario'!$C$11,1,1+$C$6))</f>
        <v>0</v>
      </c>
      <c r="CB608" s="237" t="n">
        <f aca="false">IF(CB606=0,0,IF(CB606&lt;=12*'🎚️ Escenario'!$C$11,1,1+$C$6))</f>
        <v>0</v>
      </c>
      <c r="CC608" s="237" t="n">
        <f aca="false">IF(CC606=0,0,IF(CC606&lt;=12*'🎚️ Escenario'!$C$11,1,1+$C$6))</f>
        <v>0</v>
      </c>
      <c r="CD608" s="237" t="n">
        <f aca="false">IF(CD606=0,0,IF(CD606&lt;=12*'🎚️ Escenario'!$C$11,1,1+$C$6))</f>
        <v>0</v>
      </c>
      <c r="CE608" s="237" t="n">
        <f aca="false">IF(CE606=0,0,IF(CE606&lt;=12*'🎚️ Escenario'!$C$11,1,1+$C$6))</f>
        <v>0</v>
      </c>
      <c r="CF608" s="237" t="n">
        <f aca="false">IF(CF606=0,0,IF(CF606&lt;=12*'🎚️ Escenario'!$C$11,1,1+$C$6))</f>
        <v>0</v>
      </c>
      <c r="CG608" s="237" t="n">
        <f aca="false">IF(CG606=0,0,IF(CG606&lt;=12*'🎚️ Escenario'!$C$11,1,1+$C$6))</f>
        <v>0</v>
      </c>
      <c r="CH608" s="237" t="n">
        <f aca="false">IF(CH606=0,0,IF(CH606&lt;=12*'🎚️ Escenario'!$C$11,1,1+$C$6))</f>
        <v>0</v>
      </c>
      <c r="CI608" s="237" t="n">
        <f aca="false">IF(CI606=0,0,IF(CI606&lt;=12*'🎚️ Escenario'!$C$11,1,1+$C$6))</f>
        <v>0</v>
      </c>
      <c r="CJ608" s="237" t="n">
        <f aca="false">IF(CJ606=0,0,IF(CJ606&lt;=12*'🎚️ Escenario'!$C$11,1,1+$C$6))</f>
        <v>0</v>
      </c>
      <c r="CK608" s="237" t="n">
        <f aca="false">IF(CK606=0,0,IF(CK606&lt;=12*'🎚️ Escenario'!$C$11,1,1+$C$6))</f>
        <v>0</v>
      </c>
      <c r="CL608" s="237" t="n">
        <f aca="false">IF(CL606=0,0,IF(CL606&lt;=12*'🎚️ Escenario'!$C$11,1,1+$C$6))</f>
        <v>0</v>
      </c>
      <c r="CM608" s="237" t="n">
        <f aca="false">IF(CM606=0,0,IF(CM606&lt;=12*'🎚️ Escenario'!$C$11,1,1+$C$6))</f>
        <v>0</v>
      </c>
      <c r="CN608" s="237" t="n">
        <f aca="false">IF(CN606=0,0,IF(CN606&lt;=12*'🎚️ Escenario'!$C$11,1,1+$C$6))</f>
        <v>0</v>
      </c>
      <c r="CO608" s="237" t="n">
        <f aca="false">IF(CO606=0,0,IF(CO606&lt;=12*'🎚️ Escenario'!$C$11,1,1+$C$6))</f>
        <v>0</v>
      </c>
      <c r="CP608" s="237" t="n">
        <f aca="false">IF(CP606=0,0,IF(CP606&lt;=12*'🎚️ Escenario'!$C$11,1,1+$C$6))</f>
        <v>0</v>
      </c>
      <c r="CQ608" s="237" t="n">
        <f aca="false">IF(CQ606=0,0,IF(CQ606&lt;=12*'🎚️ Escenario'!$C$11,1,1+$C$6))</f>
        <v>0</v>
      </c>
      <c r="CR608" s="237" t="n">
        <f aca="false">IF(CR606=0,0,IF(CR606&lt;=12*'🎚️ Escenario'!$C$11,1,1+$C$6))</f>
        <v>0</v>
      </c>
      <c r="CS608" s="237" t="n">
        <f aca="false">IF(CS606=0,0,IF(CS606&lt;=12*'🎚️ Escenario'!$C$11,1,1+$C$6))</f>
        <v>0</v>
      </c>
      <c r="CT608" s="237" t="n">
        <f aca="false">IF(CT606=0,0,IF(CT606&lt;=12*'🎚️ Escenario'!$C$11,1,1+$C$6))</f>
        <v>0</v>
      </c>
      <c r="CU608" s="237" t="n">
        <f aca="false">IF(CU606=0,0,IF(CU606&lt;=12*'🎚️ Escenario'!$C$11,1,1+$C$6))</f>
        <v>0</v>
      </c>
      <c r="CV608" s="237" t="n">
        <f aca="false">IF(CV606=0,0,IF(CV606&lt;=12*'🎚️ Escenario'!$C$11,1,1+$C$6))</f>
        <v>0</v>
      </c>
      <c r="CW608" s="237" t="n">
        <f aca="false">IF(CW606=0,0,IF(CW606&lt;=12*'🎚️ Escenario'!$C$11,1,1+$C$6))</f>
        <v>0</v>
      </c>
      <c r="CX608" s="237" t="n">
        <f aca="false">IF(CX606=0,0,IF(CX606&lt;=12*'🎚️ Escenario'!$C$11,1,1+$C$6))</f>
        <v>0</v>
      </c>
      <c r="CY608" s="237" t="n">
        <f aca="false">IF(CY606=0,0,IF(CY606&lt;=12*'🎚️ Escenario'!$C$11,1,1+$C$6))</f>
        <v>0</v>
      </c>
      <c r="CZ608" s="237" t="n">
        <f aca="false">IF(CZ606=0,0,IF(CZ606&lt;=12*'🎚️ Escenario'!$C$11,1,1+$C$6))</f>
        <v>0</v>
      </c>
      <c r="DA608" s="237" t="n">
        <f aca="false">IF(DA606=0,0,IF(DA606&lt;=12*'🎚️ Escenario'!$C$11,1,1+$C$6))</f>
        <v>0</v>
      </c>
      <c r="DB608" s="237" t="n">
        <f aca="false">IF(DB606=0,0,IF(DB606&lt;=12*'🎚️ Escenario'!$C$11,1,1+$C$6))</f>
        <v>0</v>
      </c>
      <c r="DC608" s="237" t="n">
        <f aca="false">IF(DC606=0,0,IF(DC606&lt;=12*'🎚️ Escenario'!$C$11,1,1+$C$6))</f>
        <v>0</v>
      </c>
      <c r="DD608" s="237" t="n">
        <f aca="false">IF(DD606=0,0,IF(DD606&lt;=12*'🎚️ Escenario'!$C$11,1,1+$C$6))</f>
        <v>0</v>
      </c>
      <c r="DE608" s="237" t="n">
        <f aca="false">IF(DE606=0,0,IF(DE606&lt;=12*'🎚️ Escenario'!$C$11,1,1+$C$6))</f>
        <v>0</v>
      </c>
      <c r="DF608" s="237" t="n">
        <f aca="false">IF(DF606=0,0,IF(DF606&lt;=12*'🎚️ Escenario'!$C$11,1,1+$C$6))</f>
        <v>0</v>
      </c>
      <c r="DG608" s="237" t="n">
        <f aca="false">IF(DG606=0,0,IF(DG606&lt;=12*'🎚️ Escenario'!$C$11,1,1+$C$6))</f>
        <v>0</v>
      </c>
      <c r="DH608" s="237" t="n">
        <f aca="false">IF(DH606=0,0,IF(DH606&lt;=12*'🎚️ Escenario'!$C$11,1,1+$C$6))</f>
        <v>0</v>
      </c>
      <c r="DI608" s="237" t="n">
        <f aca="false">IF(DI606=0,0,IF(DI606&lt;=12*'🎚️ Escenario'!$C$11,1,1+$C$6))</f>
        <v>0</v>
      </c>
      <c r="DJ608" s="237" t="n">
        <f aca="false">IF(DJ606=0,0,IF(DJ606&lt;=12*'🎚️ Escenario'!$C$11,1,1+$C$6))</f>
        <v>0</v>
      </c>
      <c r="DK608" s="237" t="n">
        <f aca="false">IF(DK606=0,0,IF(DK606&lt;=12*'🎚️ Escenario'!$C$11,1,1+$C$6))</f>
        <v>1</v>
      </c>
      <c r="DL608" s="237" t="n">
        <f aca="false">IF(DL606=0,0,IF(DL606&lt;=12*'🎚️ Escenario'!$C$11,1,1+$C$6))</f>
        <v>1</v>
      </c>
      <c r="DM608" s="237" t="n">
        <f aca="false">IF(DM606=0,0,IF(DM606&lt;=12*'🎚️ Escenario'!$C$11,1,1+$C$6))</f>
        <v>1</v>
      </c>
      <c r="DN608" s="237" t="n">
        <f aca="false">IF(DN606=0,0,IF(DN606&lt;=12*'🎚️ Escenario'!$C$11,1,1+$C$6))</f>
        <v>1</v>
      </c>
      <c r="DO608" s="237" t="n">
        <f aca="false">IF(DO606=0,0,IF(DO606&lt;=12*'🎚️ Escenario'!$C$11,1,1+$C$6))</f>
        <v>1</v>
      </c>
      <c r="DP608" s="237" t="n">
        <f aca="false">IF(DP606=0,0,IF(DP606&lt;=12*'🎚️ Escenario'!$C$11,1,1+$C$6))</f>
        <v>1</v>
      </c>
      <c r="DQ608" s="237" t="n">
        <f aca="false">IF(DQ606=0,0,IF(DQ606&lt;=12*'🎚️ Escenario'!$C$11,1,1+$C$6))</f>
        <v>1</v>
      </c>
      <c r="DR608" s="237" t="n">
        <f aca="false">IF(DR606=0,0,IF(DR606&lt;=12*'🎚️ Escenario'!$C$11,1,1+$C$6))</f>
        <v>1</v>
      </c>
      <c r="DS608" s="237" t="n">
        <f aca="false">IF(DS606=0,0,IF(DS606&lt;=12*'🎚️ Escenario'!$C$11,1,1+$C$6))</f>
        <v>1</v>
      </c>
      <c r="DT608" s="237" t="n">
        <f aca="false">IF(DT606=0,0,IF(DT606&lt;=12*'🎚️ Escenario'!$C$11,1,1+$C$6))</f>
        <v>1</v>
      </c>
      <c r="DU608" s="237" t="n">
        <f aca="false">IF(DU606=0,0,IF(DU606&lt;=12*'🎚️ Escenario'!$C$11,1,1+$C$6))</f>
        <v>1</v>
      </c>
      <c r="DV608" s="237" t="n">
        <f aca="false">IF(DV606=0,0,IF(DV606&lt;=12*'🎚️ Escenario'!$C$11,1,1+$C$6))</f>
        <v>1</v>
      </c>
      <c r="DW608" s="237" t="n">
        <f aca="false">IF(DW606=0,0,IF(DW606&lt;=12*'🎚️ Escenario'!$C$11,1,1+$C$6))</f>
        <v>1</v>
      </c>
      <c r="DX608" s="237" t="n">
        <f aca="false">IF(DX606=0,0,IF(DX606&lt;=12*'🎚️ Escenario'!$C$11,1,1+$C$6))</f>
        <v>1</v>
      </c>
      <c r="DY608" s="237" t="n">
        <f aca="false">IF(DY606=0,0,IF(DY606&lt;=12*'🎚️ Escenario'!$C$11,1,1+$C$6))</f>
        <v>1</v>
      </c>
      <c r="DZ608" s="237" t="n">
        <f aca="false">IF(DZ606=0,0,IF(DZ606&lt;=12*'🎚️ Escenario'!$C$11,1,1+$C$6))</f>
        <v>1.2</v>
      </c>
      <c r="EA608" s="237" t="n">
        <f aca="false">IF(EA606=0,0,IF(EA606&lt;=12*'🎚️ Escenario'!$C$11,1,1+$C$6))</f>
        <v>1.2</v>
      </c>
      <c r="EB608" s="237" t="n">
        <f aca="false">IF(EB606=0,0,IF(EB606&lt;=12*'🎚️ Escenario'!$C$11,1,1+$C$6))</f>
        <v>1.2</v>
      </c>
      <c r="EC608" s="237" t="n">
        <f aca="false">IF(EC606=0,0,IF(EC606&lt;=12*'🎚️ Escenario'!$C$11,1,1+$C$6))</f>
        <v>1.2</v>
      </c>
      <c r="ED608" s="237" t="n">
        <f aca="false">IF(ED606=0,0,IF(ED606&lt;=12*'🎚️ Escenario'!$C$11,1,1+$C$6))</f>
        <v>1.2</v>
      </c>
      <c r="EE608" s="237" t="n">
        <f aca="false">IF(EE606=0,0,IF(EE606&lt;=12*'🎚️ Escenario'!$C$11,1,1+$C$6))</f>
        <v>1.2</v>
      </c>
      <c r="EF608" s="237" t="n">
        <f aca="false">IF(EF606=0,0,IF(EF606&lt;=12*'🎚️ Escenario'!$C$11,1,1+$C$6))</f>
        <v>1.2</v>
      </c>
      <c r="EG608" s="237" t="n">
        <f aca="false">IF(EG606=0,0,IF(EG606&lt;=12*'🎚️ Escenario'!$C$11,1,1+$C$6))</f>
        <v>1.2</v>
      </c>
      <c r="EH608" s="237" t="n">
        <f aca="false">IF(EH606=0,0,IF(EH606&lt;=12*'🎚️ Escenario'!$C$11,1,1+$C$6))</f>
        <v>1.2</v>
      </c>
      <c r="EI608" s="237" t="n">
        <f aca="false">IF(EI606=0,0,IF(EI606&lt;=12*'🎚️ Escenario'!$C$11,1,1+$C$6))</f>
        <v>1.2</v>
      </c>
      <c r="EJ608" s="237" t="n">
        <f aca="false">IF(EJ606=0,0,IF(EJ606&lt;=12*'🎚️ Escenario'!$C$11,1,1+$C$6))</f>
        <v>1.2</v>
      </c>
      <c r="EK608" s="237" t="n">
        <f aca="false">IF(EK606=0,0,IF(EK606&lt;=12*'🎚️ Escenario'!$C$11,1,1+$C$6))</f>
        <v>1.2</v>
      </c>
      <c r="EL608" s="237" t="n">
        <f aca="false">IF(EL606=0,0,IF(EL606&lt;=12*'🎚️ Escenario'!$C$11,1,1+$C$6))</f>
        <v>1.2</v>
      </c>
      <c r="EM608" s="237" t="n">
        <f aca="false">IF(EM606=0,0,IF(EM606&lt;=12*'🎚️ Escenario'!$C$11,1,1+$C$6))</f>
        <v>1.2</v>
      </c>
      <c r="EN608" s="237" t="n">
        <f aca="false">IF(EN606=0,0,IF(EN606&lt;=12*'🎚️ Escenario'!$C$11,1,1+$C$6))</f>
        <v>1.2</v>
      </c>
      <c r="EO608" s="237" t="n">
        <f aca="false">IF(EO606=0,0,IF(EO606&lt;=12*'🎚️ Escenario'!$C$11,1,1+$C$6))</f>
        <v>1.2</v>
      </c>
      <c r="EP608" s="237" t="n">
        <f aca="false">IF(EP606=0,0,IF(EP606&lt;=12*'🎚️ Escenario'!$C$11,1,1+$C$6))</f>
        <v>1.2</v>
      </c>
      <c r="EQ608" s="237" t="n">
        <f aca="false">IF(EQ606=0,0,IF(EQ606&lt;=12*'🎚️ Escenario'!$C$11,1,1+$C$6))</f>
        <v>1.2</v>
      </c>
      <c r="ER608" s="237" t="n">
        <f aca="false">IF(ER606=0,0,IF(ER606&lt;=12*'🎚️ Escenario'!$C$11,1,1+$C$6))</f>
        <v>1.2</v>
      </c>
      <c r="ES608" s="238" t="n">
        <f aca="false">IF(ES606=0,0,IF(ES606&lt;=12*'🎚️ Escenario'!$C$11,1,1+$C$6))</f>
        <v>1.2</v>
      </c>
      <c r="ET608" s="238" t="n">
        <f aca="false">IF(ET606=0,0,IF(ET606&lt;=12*'🎚️ Escenario'!$C$11,1,1+$C$6))</f>
        <v>1.2</v>
      </c>
      <c r="EU608" s="238" t="n">
        <f aca="false">IF(EU606=0,0,IF(EU606&lt;=12*'🎚️ Escenario'!$C$11,1,1+$C$6))</f>
        <v>1.2</v>
      </c>
      <c r="EV608" s="238" t="n">
        <f aca="false">IF(EV606=0,0,IF(EV606&lt;=12*'🎚️ Escenario'!$C$11,1,1+$C$6))</f>
        <v>1.2</v>
      </c>
      <c r="EW608" s="238" t="n">
        <f aca="false">IF(EW606=0,0,IF(EW606&lt;=12*'🎚️ Escenario'!$C$11,1,1+$C$6))</f>
        <v>1.2</v>
      </c>
      <c r="EX608" s="238" t="n">
        <f aca="false">IF(EX606=0,0,IF(EX606&lt;=12*'🎚️ Escenario'!$C$11,1,1+$C$6))</f>
        <v>1.2</v>
      </c>
      <c r="EY608" s="238" t="n">
        <f aca="false">IF(EY606=0,0,IF(EY606&lt;=12*'🎚️ Escenario'!$C$11,1,1+$C$6))</f>
        <v>1.2</v>
      </c>
      <c r="EZ608" s="238" t="n">
        <f aca="false">IF(EZ606=0,0,IF(EZ606&lt;=12*'🎚️ Escenario'!$C$11,1,1+$C$6))</f>
        <v>1.2</v>
      </c>
      <c r="FA608" s="238" t="n">
        <f aca="false">IF(FA606=0,0,IF(FA606&lt;=12*'🎚️ Escenario'!$C$11,1,1+$C$6))</f>
        <v>1.2</v>
      </c>
      <c r="FB608" s="238" t="n">
        <f aca="false">IF(FB606=0,0,IF(FB606&lt;=12*'🎚️ Escenario'!$C$11,1,1+$C$6))</f>
        <v>1.2</v>
      </c>
      <c r="FC608" s="238" t="n">
        <f aca="false">IF(FC606=0,0,IF(FC606&lt;=12*'🎚️ Escenario'!$C$11,1,1+$C$6))</f>
        <v>1.2</v>
      </c>
      <c r="FD608" s="238" t="n">
        <f aca="false">IF(FD606=0,0,IF(FD606&lt;=12*'🎚️ Escenario'!$C$11,1,1+$C$6))</f>
        <v>1.2</v>
      </c>
      <c r="FE608" s="238" t="n">
        <f aca="false">IF(FE606=0,0,IF(FE606&lt;=12*'🎚️ Escenario'!$C$11,1,1+$C$6))</f>
        <v>1.2</v>
      </c>
      <c r="FF608" s="238" t="n">
        <f aca="false">IF(FF606=0,0,IF(FF606&lt;=12*'🎚️ Escenario'!$C$11,1,1+$C$6))</f>
        <v>1.2</v>
      </c>
      <c r="FG608" s="238" t="n">
        <f aca="false">IF(FG606=0,0,IF(FG606&lt;=12*'🎚️ Escenario'!$C$11,1,1+$C$6))</f>
        <v>1.2</v>
      </c>
      <c r="FH608" s="238" t="n">
        <f aca="false">IF(FH606=0,0,IF(FH606&lt;=12*'🎚️ Escenario'!$C$11,1,1+$C$6))</f>
        <v>1.2</v>
      </c>
      <c r="FI608" s="238" t="n">
        <f aca="false">IF(FI606=0,0,IF(FI606&lt;=12*'🎚️ Escenario'!$C$11,1,1+$C$6))</f>
        <v>1.2</v>
      </c>
      <c r="FJ608" s="238" t="n">
        <f aca="false">IF(FJ606=0,0,IF(FJ606&lt;=12*'🎚️ Escenario'!$C$11,1,1+$C$6))</f>
        <v>1.2</v>
      </c>
      <c r="FK608" s="238" t="n">
        <f aca="false">IF(FK606=0,0,IF(FK606&lt;=12*'🎚️ Escenario'!$C$11,1,1+$C$6))</f>
        <v>1.2</v>
      </c>
      <c r="FL608" s="238" t="n">
        <f aca="false">IF(FL606=0,0,IF(FL606&lt;=12*'🎚️ Escenario'!$C$11,1,1+$C$6))</f>
        <v>1.2</v>
      </c>
      <c r="FM608" s="238" t="n">
        <f aca="false">IF(FM606=0,0,IF(FM606&lt;=12*'🎚️ Escenario'!$C$11,1,1+$C$6))</f>
        <v>1.2</v>
      </c>
      <c r="FN608" s="238" t="n">
        <f aca="false">IF(FN606=0,0,IF(FN606&lt;=12*'🎚️ Escenario'!$C$11,1,1+$C$6))</f>
        <v>1.2</v>
      </c>
      <c r="FO608" s="238" t="n">
        <f aca="false">IF(FO606=0,0,IF(FO606&lt;=12*'🎚️ Escenario'!$C$11,1,1+$C$6))</f>
        <v>1.2</v>
      </c>
      <c r="FP608" s="238" t="n">
        <f aca="false">IF(FP606=0,0,IF(FP606&lt;=12*'🎚️ Escenario'!$C$11,1,1+$C$6))</f>
        <v>1.2</v>
      </c>
    </row>
    <row r="609" customFormat="false" ht="15" hidden="false" customHeight="false" outlineLevel="2" collapsed="false">
      <c r="B609" s="9" t="s">
        <v>876</v>
      </c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36" t="n">
        <f aca="false">AC607*$AC$605*AC608*AC$38*'⑫ Roll-out Plan'!$O$65</f>
        <v>0</v>
      </c>
      <c r="AD609" s="36" t="n">
        <f aca="false">AD607*$AC$605*AD608*AD$38*'⑫ Roll-out Plan'!$O$65</f>
        <v>0</v>
      </c>
      <c r="AE609" s="36" t="n">
        <f aca="false">AE607*$AC$605*AE608*AE$38*'⑫ Roll-out Plan'!$O$65</f>
        <v>0</v>
      </c>
      <c r="AF609" s="36" t="n">
        <f aca="false">AF607*$AC$605*AF608*AF$38*'⑫ Roll-out Plan'!$O$65</f>
        <v>0</v>
      </c>
      <c r="AG609" s="36" t="n">
        <f aca="false">AG607*$AC$605*AG608*AG$38*'⑫ Roll-out Plan'!$O$65</f>
        <v>0</v>
      </c>
      <c r="AH609" s="36" t="n">
        <f aca="false">AH607*$AC$605*AH608*AH$38*'⑫ Roll-out Plan'!$O$65</f>
        <v>0</v>
      </c>
      <c r="AI609" s="36" t="n">
        <f aca="false">AI607*$AC$605*AI608*AI$38*'⑫ Roll-out Plan'!$O$65</f>
        <v>0</v>
      </c>
      <c r="AJ609" s="36" t="n">
        <f aca="false">AJ607*$AC$605*AJ608*AJ$38*'⑫ Roll-out Plan'!$O$65</f>
        <v>0</v>
      </c>
      <c r="AK609" s="36" t="n">
        <f aca="false">AK607*$AC$605*AK608*AK$38*'⑫ Roll-out Plan'!$O$65</f>
        <v>0</v>
      </c>
      <c r="AL609" s="36" t="n">
        <f aca="false">AL607*$AC$605*AL608*AL$38*'⑫ Roll-out Plan'!$O$65</f>
        <v>0</v>
      </c>
      <c r="AM609" s="36" t="n">
        <f aca="false">AM607*$AC$605*AM608*AM$38*'⑫ Roll-out Plan'!$O$65</f>
        <v>0</v>
      </c>
      <c r="AN609" s="36" t="n">
        <f aca="false">AN607*$AC$605*AN608*AN$38*'⑫ Roll-out Plan'!$O$65</f>
        <v>0</v>
      </c>
      <c r="AO609" s="36" t="n">
        <f aca="false">AO607*$AC$605*AO608*AO$38*'⑫ Roll-out Plan'!$O$65</f>
        <v>0</v>
      </c>
      <c r="AP609" s="36" t="n">
        <f aca="false">AP607*$AC$605*AP608*AP$38*'⑫ Roll-out Plan'!$O$65</f>
        <v>0</v>
      </c>
      <c r="AQ609" s="36" t="n">
        <f aca="false">AQ607*$AC$605*AQ608*AQ$38*'⑫ Roll-out Plan'!$O$65</f>
        <v>0</v>
      </c>
      <c r="AR609" s="36" t="n">
        <f aca="false">AR607*$AC$605*AR608*AR$38*'⑫ Roll-out Plan'!$O$65</f>
        <v>0</v>
      </c>
      <c r="AS609" s="36" t="n">
        <f aca="false">AS607*$AC$605*AS608*AS$38*'⑫ Roll-out Plan'!$O$65</f>
        <v>0</v>
      </c>
      <c r="AT609" s="36" t="n">
        <f aca="false">AT607*$AC$605*AT608*AT$38*'⑫ Roll-out Plan'!$O$65</f>
        <v>0</v>
      </c>
      <c r="AU609" s="36" t="n">
        <f aca="false">AU607*$AC$605*AU608*AU$38*'⑫ Roll-out Plan'!$O$65</f>
        <v>0</v>
      </c>
      <c r="AV609" s="36" t="n">
        <f aca="false">AV607*$AC$605*AV608*AV$38*'⑫ Roll-out Plan'!$O$65</f>
        <v>0</v>
      </c>
      <c r="AW609" s="36" t="n">
        <f aca="false">AW607*$AC$605*AW608*AW$38*'⑫ Roll-out Plan'!$O$65</f>
        <v>0</v>
      </c>
      <c r="AX609" s="36" t="n">
        <f aca="false">AX607*$AC$605*AX608*AX$38*'⑫ Roll-out Plan'!$O$65</f>
        <v>0</v>
      </c>
      <c r="AY609" s="36" t="n">
        <f aca="false">AY607*$AC$605*AY608*AY$38*'⑫ Roll-out Plan'!$O$65</f>
        <v>0</v>
      </c>
      <c r="AZ609" s="36" t="n">
        <f aca="false">AZ607*$AC$605*AZ608*AZ$38*'⑫ Roll-out Plan'!$O$65</f>
        <v>0</v>
      </c>
      <c r="BA609" s="36" t="n">
        <f aca="false">BA607*$AC$605*BA608*BA$38*'⑫ Roll-out Plan'!$O$65</f>
        <v>0</v>
      </c>
      <c r="BB609" s="36" t="n">
        <f aca="false">BB607*$AC$605*BB608*BB$38*'⑫ Roll-out Plan'!$O$65</f>
        <v>0</v>
      </c>
      <c r="BC609" s="36" t="n">
        <f aca="false">BC607*$AC$605*BC608*BC$38*'⑫ Roll-out Plan'!$O$65</f>
        <v>0</v>
      </c>
      <c r="BD609" s="36" t="n">
        <f aca="false">BD607*$AC$605*BD608*BD$38*'⑫ Roll-out Plan'!$O$65</f>
        <v>0</v>
      </c>
      <c r="BE609" s="36" t="n">
        <f aca="false">BE607*$AC$605*BE608*BE$38*'⑫ Roll-out Plan'!$O$65</f>
        <v>0</v>
      </c>
      <c r="BF609" s="36" t="n">
        <f aca="false">BF607*$AC$605*BF608*BF$38*'⑫ Roll-out Plan'!$O$65</f>
        <v>0</v>
      </c>
      <c r="BG609" s="36" t="n">
        <f aca="false">BG607*$AC$605*BG608*BG$38*'⑫ Roll-out Plan'!$O$65</f>
        <v>0</v>
      </c>
      <c r="BH609" s="36" t="n">
        <f aca="false">BH607*$AC$605*BH608*BH$38*'⑫ Roll-out Plan'!$O$65</f>
        <v>0</v>
      </c>
      <c r="BI609" s="36" t="n">
        <f aca="false">BI607*$AC$605*BI608*BI$38*'⑫ Roll-out Plan'!$O$65</f>
        <v>0</v>
      </c>
      <c r="BJ609" s="36" t="n">
        <f aca="false">BJ607*$AC$605*BJ608*BJ$38*'⑫ Roll-out Plan'!$O$65</f>
        <v>0</v>
      </c>
      <c r="BK609" s="36" t="n">
        <f aca="false">BK607*$AC$605*BK608*BK$38*'⑫ Roll-out Plan'!$O$65</f>
        <v>0</v>
      </c>
      <c r="BL609" s="36" t="n">
        <f aca="false">BL607*$AC$605*BL608*BL$38*'⑫ Roll-out Plan'!$O$65</f>
        <v>0</v>
      </c>
      <c r="BM609" s="36" t="n">
        <f aca="false">BM607*$AC$605*BM608*BM$38*'⑫ Roll-out Plan'!$O$65</f>
        <v>0</v>
      </c>
      <c r="BN609" s="36" t="n">
        <f aca="false">BN607*$AC$605*BN608*BN$38*'⑫ Roll-out Plan'!$O$65</f>
        <v>0</v>
      </c>
      <c r="BO609" s="36" t="n">
        <f aca="false">BO607*$AC$605*BO608*BO$38*'⑫ Roll-out Plan'!$O$65</f>
        <v>0</v>
      </c>
      <c r="BP609" s="36" t="n">
        <f aca="false">BP607*$AC$605*BP608*BP$38*'⑫ Roll-out Plan'!$O$65</f>
        <v>0</v>
      </c>
      <c r="BQ609" s="36" t="n">
        <f aca="false">BQ607*$AC$605*BQ608*BQ$38*'⑫ Roll-out Plan'!$O$65</f>
        <v>0</v>
      </c>
      <c r="BR609" s="36" t="n">
        <f aca="false">BR607*$AC$605*BR608*BR$38*'⑫ Roll-out Plan'!$O$65</f>
        <v>0</v>
      </c>
      <c r="BS609" s="36" t="n">
        <f aca="false">BS607*$AC$605*BS608*BS$38*'⑫ Roll-out Plan'!$O$65</f>
        <v>0</v>
      </c>
      <c r="BT609" s="36" t="n">
        <f aca="false">BT607*$AC$605*BT608*BT$38*'⑫ Roll-out Plan'!$O$65</f>
        <v>0</v>
      </c>
      <c r="BU609" s="36" t="n">
        <f aca="false">BU607*$AC$605*BU608*BU$38*'⑫ Roll-out Plan'!$O$65</f>
        <v>0</v>
      </c>
      <c r="BV609" s="36" t="n">
        <f aca="false">BV607*$AC$605*BV608*BV$38*'⑫ Roll-out Plan'!$O$65</f>
        <v>0</v>
      </c>
      <c r="BW609" s="36" t="n">
        <f aca="false">BW607*$AC$605*BW608*BW$38*'⑫ Roll-out Plan'!$O$65</f>
        <v>0</v>
      </c>
      <c r="BX609" s="36" t="n">
        <f aca="false">BX607*$AC$605*BX608*BX$38*'⑫ Roll-out Plan'!$O$65</f>
        <v>0</v>
      </c>
      <c r="BY609" s="36" t="n">
        <f aca="false">BY607*$AC$605*BY608*BY$38*'⑫ Roll-out Plan'!$O$65</f>
        <v>0</v>
      </c>
      <c r="BZ609" s="36" t="n">
        <f aca="false">BZ607*$AC$605*BZ608*BZ$38*'⑫ Roll-out Plan'!$O$65</f>
        <v>0</v>
      </c>
      <c r="CA609" s="36" t="n">
        <f aca="false">CA607*$AC$605*CA608*CA$38*'⑫ Roll-out Plan'!$O$65</f>
        <v>0</v>
      </c>
      <c r="CB609" s="36" t="n">
        <f aca="false">CB607*$AC$605*CB608*CB$38*'⑫ Roll-out Plan'!$O$65</f>
        <v>0</v>
      </c>
      <c r="CC609" s="36" t="n">
        <f aca="false">CC607*$AC$605*CC608*CC$38*'⑫ Roll-out Plan'!$O$65</f>
        <v>0</v>
      </c>
      <c r="CD609" s="36" t="n">
        <f aca="false">CD607*$AC$605*CD608*CD$38*'⑫ Roll-out Plan'!$O$65</f>
        <v>0</v>
      </c>
      <c r="CE609" s="36" t="n">
        <f aca="false">CE607*$AC$605*CE608*CE$38*'⑫ Roll-out Plan'!$O$65</f>
        <v>0</v>
      </c>
      <c r="CF609" s="36" t="n">
        <f aca="false">CF607*$AC$605*CF608*CF$38*'⑫ Roll-out Plan'!$O$65</f>
        <v>0</v>
      </c>
      <c r="CG609" s="36" t="n">
        <f aca="false">CG607*$AC$605*CG608*CG$38*'⑫ Roll-out Plan'!$O$65</f>
        <v>0</v>
      </c>
      <c r="CH609" s="36" t="n">
        <f aca="false">CH607*$AC$605*CH608*CH$38*'⑫ Roll-out Plan'!$O$65</f>
        <v>0</v>
      </c>
      <c r="CI609" s="36" t="n">
        <f aca="false">CI607*$AC$605*CI608*CI$38*'⑫ Roll-out Plan'!$O$65</f>
        <v>0</v>
      </c>
      <c r="CJ609" s="36" t="n">
        <f aca="false">CJ607*$AC$605*CJ608*CJ$38*'⑫ Roll-out Plan'!$O$65</f>
        <v>0</v>
      </c>
      <c r="CK609" s="36" t="n">
        <f aca="false">CK607*$AC$605*CK608*CK$38*'⑫ Roll-out Plan'!$O$65</f>
        <v>0</v>
      </c>
      <c r="CL609" s="36" t="n">
        <f aca="false">CL607*$AC$605*CL608*CL$38*'⑫ Roll-out Plan'!$O$65</f>
        <v>0</v>
      </c>
      <c r="CM609" s="36" t="n">
        <f aca="false">CM607*$AC$605*CM608*CM$38*'⑫ Roll-out Plan'!$O$65</f>
        <v>0</v>
      </c>
      <c r="CN609" s="36" t="n">
        <f aca="false">CN607*$AC$605*CN608*CN$38*'⑫ Roll-out Plan'!$O$65</f>
        <v>0</v>
      </c>
      <c r="CO609" s="36" t="n">
        <f aca="false">CO607*$AC$605*CO608*CO$38*'⑫ Roll-out Plan'!$O$65</f>
        <v>0</v>
      </c>
      <c r="CP609" s="36" t="n">
        <f aca="false">CP607*$AC$605*CP608*CP$38*'⑫ Roll-out Plan'!$O$65</f>
        <v>0</v>
      </c>
      <c r="CQ609" s="36" t="n">
        <f aca="false">CQ607*$AC$605*CQ608*CQ$38*'⑫ Roll-out Plan'!$O$65</f>
        <v>0</v>
      </c>
      <c r="CR609" s="36" t="n">
        <f aca="false">CR607*$AC$605*CR608*CR$38*'⑫ Roll-out Plan'!$O$65</f>
        <v>0</v>
      </c>
      <c r="CS609" s="36" t="n">
        <f aca="false">CS607*$AC$605*CS608*CS$38*'⑫ Roll-out Plan'!$O$65</f>
        <v>0</v>
      </c>
      <c r="CT609" s="36" t="n">
        <f aca="false">CT607*$AC$605*CT608*CT$38*'⑫ Roll-out Plan'!$O$65</f>
        <v>0</v>
      </c>
      <c r="CU609" s="36" t="n">
        <f aca="false">CU607*$AC$605*CU608*CU$38*'⑫ Roll-out Plan'!$O$65</f>
        <v>0</v>
      </c>
      <c r="CV609" s="36" t="n">
        <f aca="false">CV607*$AC$605*CV608*CV$38*'⑫ Roll-out Plan'!$O$65</f>
        <v>0</v>
      </c>
      <c r="CW609" s="36" t="n">
        <f aca="false">CW607*$AC$605*CW608*CW$38*'⑫ Roll-out Plan'!$O$65</f>
        <v>0</v>
      </c>
      <c r="CX609" s="36" t="n">
        <f aca="false">CX607*$AC$605*CX608*CX$38*'⑫ Roll-out Plan'!$O$65</f>
        <v>0</v>
      </c>
      <c r="CY609" s="36" t="n">
        <f aca="false">CY607*$AC$605*CY608*CY$38*'⑫ Roll-out Plan'!$O$65</f>
        <v>0</v>
      </c>
      <c r="CZ609" s="36" t="n">
        <f aca="false">CZ607*$AC$605*CZ608*CZ$38*'⑫ Roll-out Plan'!$O$65</f>
        <v>0</v>
      </c>
      <c r="DA609" s="36" t="n">
        <f aca="false">DA607*$AC$605*DA608*DA$38*'⑫ Roll-out Plan'!$O$65</f>
        <v>0</v>
      </c>
      <c r="DB609" s="36" t="n">
        <f aca="false">DB607*$AC$605*DB608*DB$38*'⑫ Roll-out Plan'!$O$65</f>
        <v>0</v>
      </c>
      <c r="DC609" s="36" t="n">
        <f aca="false">DC607*$AC$605*DC608*DC$38*'⑫ Roll-out Plan'!$O$65</f>
        <v>0</v>
      </c>
      <c r="DD609" s="36" t="n">
        <f aca="false">DD607*$AC$605*DD608*DD$38*'⑫ Roll-out Plan'!$O$65</f>
        <v>0</v>
      </c>
      <c r="DE609" s="36" t="n">
        <f aca="false">DE607*$AC$605*DE608*DE$38*'⑫ Roll-out Plan'!$O$65</f>
        <v>0</v>
      </c>
      <c r="DF609" s="36" t="n">
        <f aca="false">DF607*$AC$605*DF608*DF$38*'⑫ Roll-out Plan'!$O$65</f>
        <v>0</v>
      </c>
      <c r="DG609" s="36" t="n">
        <f aca="false">DG607*$AC$605*DG608*DG$38*'⑫ Roll-out Plan'!$O$65</f>
        <v>0</v>
      </c>
      <c r="DH609" s="36" t="n">
        <f aca="false">DH607*$AC$605*DH608*DH$38*'⑫ Roll-out Plan'!$O$65</f>
        <v>0</v>
      </c>
      <c r="DI609" s="36" t="n">
        <f aca="false">DI607*$AC$605*DI608*DI$38*'⑫ Roll-out Plan'!$O$65</f>
        <v>0</v>
      </c>
      <c r="DJ609" s="36" t="n">
        <f aca="false">DJ607*$AC$605*DJ608*DJ$38*'⑫ Roll-out Plan'!$O$65</f>
        <v>0</v>
      </c>
      <c r="DK609" s="36" t="n">
        <f aca="false">DK607*$AC$605*DK608*DK$38*'⑫ Roll-out Plan'!$O$65</f>
        <v>0</v>
      </c>
      <c r="DL609" s="36" t="n">
        <f aca="false">DL607*$AC$605*DL608*DL$38*'⑫ Roll-out Plan'!$O$65</f>
        <v>0</v>
      </c>
      <c r="DM609" s="36" t="n">
        <f aca="false">DM607*$AC$605*DM608*DM$38*'⑫ Roll-out Plan'!$O$65</f>
        <v>0</v>
      </c>
      <c r="DN609" s="36" t="n">
        <f aca="false">DN607*$AC$605*DN608*DN$38*'⑫ Roll-out Plan'!$O$65</f>
        <v>0</v>
      </c>
      <c r="DO609" s="36" t="n">
        <f aca="false">DO607*$AC$605*DO608*DO$38*'⑫ Roll-out Plan'!$O$65</f>
        <v>0</v>
      </c>
      <c r="DP609" s="36" t="n">
        <f aca="false">DP607*$AC$605*DP608*DP$38*'⑫ Roll-out Plan'!$O$65</f>
        <v>0</v>
      </c>
      <c r="DQ609" s="36" t="n">
        <f aca="false">DQ607*$AC$605*DQ608*DQ$38*'⑫ Roll-out Plan'!$O$65</f>
        <v>0</v>
      </c>
      <c r="DR609" s="36" t="n">
        <f aca="false">DR607*$AC$605*DR608*DR$38*'⑫ Roll-out Plan'!$O$65</f>
        <v>0</v>
      </c>
      <c r="DS609" s="36" t="n">
        <f aca="false">DS607*$AC$605*DS608*DS$38*'⑫ Roll-out Plan'!$O$65</f>
        <v>0</v>
      </c>
      <c r="DT609" s="36" t="n">
        <f aca="false">DT607*$AC$605*DT608*DT$38*'⑫ Roll-out Plan'!$O$65</f>
        <v>0</v>
      </c>
      <c r="DU609" s="36" t="n">
        <f aca="false">DU607*$AC$605*DU608*DU$38*'⑫ Roll-out Plan'!$O$65</f>
        <v>0</v>
      </c>
      <c r="DV609" s="36" t="n">
        <f aca="false">DV607*$AC$605*DV608*DV$38*'⑫ Roll-out Plan'!$O$65</f>
        <v>0</v>
      </c>
      <c r="DW609" s="36" t="n">
        <f aca="false">DW607*$AC$605*DW608*DW$38*'⑫ Roll-out Plan'!$O$65</f>
        <v>0</v>
      </c>
      <c r="DX609" s="36" t="n">
        <f aca="false">DX607*$AC$605*DX608*DX$38*'⑫ Roll-out Plan'!$O$65</f>
        <v>0</v>
      </c>
      <c r="DY609" s="36" t="n">
        <f aca="false">DY607*$AC$605*DY608*DY$38*'⑫ Roll-out Plan'!$O$65</f>
        <v>0</v>
      </c>
      <c r="DZ609" s="36" t="n">
        <f aca="false">DZ607*$AC$605*DZ608*DZ$38*'⑫ Roll-out Plan'!$O$65</f>
        <v>0</v>
      </c>
      <c r="EA609" s="36" t="n">
        <f aca="false">EA607*$AC$605*EA608*EA$38*'⑫ Roll-out Plan'!$O$65</f>
        <v>0</v>
      </c>
      <c r="EB609" s="36" t="n">
        <f aca="false">EB607*$AC$605*EB608*EB$38*'⑫ Roll-out Plan'!$O$65</f>
        <v>0</v>
      </c>
      <c r="EC609" s="36" t="n">
        <f aca="false">EC607*$AC$605*EC608*EC$38*'⑫ Roll-out Plan'!$O$65</f>
        <v>0</v>
      </c>
      <c r="ED609" s="36" t="n">
        <f aca="false">ED607*$AC$605*ED608*ED$38*'⑫ Roll-out Plan'!$O$65</f>
        <v>0</v>
      </c>
      <c r="EE609" s="36" t="n">
        <f aca="false">EE607*$AC$605*EE608*EE$38*'⑫ Roll-out Plan'!$O$65</f>
        <v>0</v>
      </c>
      <c r="EF609" s="36" t="n">
        <f aca="false">EF607*$AC$605*EF608*EF$38*'⑫ Roll-out Plan'!$O$65</f>
        <v>0</v>
      </c>
      <c r="EG609" s="36" t="n">
        <f aca="false">EG607*$AC$605*EG608*EG$38*'⑫ Roll-out Plan'!$O$65</f>
        <v>0</v>
      </c>
      <c r="EH609" s="36" t="n">
        <f aca="false">EH607*$AC$605*EH608*EH$38*'⑫ Roll-out Plan'!$O$65</f>
        <v>0</v>
      </c>
      <c r="EI609" s="36" t="n">
        <f aca="false">EI607*$AC$605*EI608*EI$38*'⑫ Roll-out Plan'!$O$65</f>
        <v>0</v>
      </c>
      <c r="EJ609" s="36" t="n">
        <f aca="false">EJ607*$AC$605*EJ608*EJ$38*'⑫ Roll-out Plan'!$O$65</f>
        <v>0</v>
      </c>
      <c r="EK609" s="36" t="n">
        <f aca="false">EK607*$AC$605*EK608*EK$38*'⑫ Roll-out Plan'!$O$65</f>
        <v>0</v>
      </c>
      <c r="EL609" s="36" t="n">
        <f aca="false">EL607*$AC$605*EL608*EL$38*'⑫ Roll-out Plan'!$O$65</f>
        <v>0</v>
      </c>
      <c r="EM609" s="36" t="n">
        <f aca="false">EM607*$AC$605*EM608*EM$38*'⑫ Roll-out Plan'!$O$65</f>
        <v>0</v>
      </c>
      <c r="EN609" s="36" t="n">
        <f aca="false">EN607*$AC$605*EN608*EN$38*'⑫ Roll-out Plan'!$O$65</f>
        <v>0</v>
      </c>
      <c r="EO609" s="36" t="n">
        <f aca="false">EO607*$AC$605*EO608*EO$38*'⑫ Roll-out Plan'!$O$65</f>
        <v>0</v>
      </c>
      <c r="EP609" s="36" t="n">
        <f aca="false">EP607*$AC$605*EP608*EP$38*'⑫ Roll-out Plan'!$O$65</f>
        <v>0</v>
      </c>
      <c r="EQ609" s="36" t="n">
        <f aca="false">EQ607*$AC$605*EQ608*EQ$38*'⑫ Roll-out Plan'!$O$65</f>
        <v>0</v>
      </c>
      <c r="ER609" s="36" t="n">
        <f aca="false">ER607*$AC$605*ER608*ER$38*'⑫ Roll-out Plan'!$O$65</f>
        <v>0</v>
      </c>
      <c r="ES609" s="9" t="n">
        <f aca="false">ES607*$AC$605*ES608*ES$38*'⑫ Roll-out Plan'!$O$65</f>
        <v>0</v>
      </c>
      <c r="ET609" s="9" t="n">
        <f aca="false">ET607*$AC$605*ET608*ET$38*'⑫ Roll-out Plan'!$O$65</f>
        <v>0</v>
      </c>
      <c r="EU609" s="9" t="n">
        <f aca="false">EU607*$AC$605*EU608*EU$38*'⑫ Roll-out Plan'!$O$65</f>
        <v>0</v>
      </c>
      <c r="EV609" s="9" t="n">
        <f aca="false">EV607*$AC$605*EV608*EV$38*'⑫ Roll-out Plan'!$O$65</f>
        <v>0</v>
      </c>
      <c r="EW609" s="9" t="n">
        <f aca="false">EW607*$AC$605*EW608*EW$38*'⑫ Roll-out Plan'!$O$65</f>
        <v>0</v>
      </c>
      <c r="EX609" s="9" t="n">
        <f aca="false">EX607*$AC$605*EX608*EX$38*'⑫ Roll-out Plan'!$O$65</f>
        <v>0</v>
      </c>
      <c r="EY609" s="9" t="n">
        <f aca="false">EY607*$AC$605*EY608*EY$38*'⑫ Roll-out Plan'!$O$65</f>
        <v>0</v>
      </c>
      <c r="EZ609" s="9" t="n">
        <f aca="false">EZ607*$AC$605*EZ608*EZ$38*'⑫ Roll-out Plan'!$O$65</f>
        <v>0</v>
      </c>
      <c r="FA609" s="9" t="n">
        <f aca="false">FA607*$AC$605*FA608*FA$38*'⑫ Roll-out Plan'!$O$65</f>
        <v>0</v>
      </c>
      <c r="FB609" s="9" t="n">
        <f aca="false">FB607*$AC$605*FB608*FB$38*'⑫ Roll-out Plan'!$O$65</f>
        <v>0</v>
      </c>
      <c r="FC609" s="9" t="n">
        <f aca="false">FC607*$AC$605*FC608*FC$38*'⑫ Roll-out Plan'!$O$65</f>
        <v>0</v>
      </c>
      <c r="FD609" s="9" t="n">
        <f aca="false">FD607*$AC$605*FD608*FD$38*'⑫ Roll-out Plan'!$O$65</f>
        <v>0</v>
      </c>
      <c r="FE609" s="9" t="n">
        <f aca="false">FE607*$AC$605*FE608*FE$38*'⑫ Roll-out Plan'!$O$65</f>
        <v>0</v>
      </c>
      <c r="FF609" s="9" t="n">
        <f aca="false">FF607*$AC$605*FF608*FF$38*'⑫ Roll-out Plan'!$O$65</f>
        <v>0</v>
      </c>
      <c r="FG609" s="9" t="n">
        <f aca="false">FG607*$AC$605*FG608*FG$38*'⑫ Roll-out Plan'!$O$65</f>
        <v>0</v>
      </c>
      <c r="FH609" s="9" t="n">
        <f aca="false">FH607*$AC$605*FH608*FH$38*'⑫ Roll-out Plan'!$O$65</f>
        <v>0</v>
      </c>
      <c r="FI609" s="9" t="n">
        <f aca="false">FI607*$AC$605*FI608*FI$38*'⑫ Roll-out Plan'!$O$65</f>
        <v>0</v>
      </c>
      <c r="FJ609" s="9" t="n">
        <f aca="false">FJ607*$AC$605*FJ608*FJ$38*'⑫ Roll-out Plan'!$O$65</f>
        <v>0</v>
      </c>
      <c r="FK609" s="9" t="n">
        <f aca="false">FK607*$AC$605*FK608*FK$38*'⑫ Roll-out Plan'!$O$65</f>
        <v>0</v>
      </c>
      <c r="FL609" s="9" t="n">
        <f aca="false">FL607*$AC$605*FL608*FL$38*'⑫ Roll-out Plan'!$O$65</f>
        <v>0</v>
      </c>
      <c r="FM609" s="9" t="n">
        <f aca="false">FM607*$AC$605*FM608*FM$38*'⑫ Roll-out Plan'!$O$65</f>
        <v>0</v>
      </c>
      <c r="FN609" s="9" t="n">
        <f aca="false">FN607*$AC$605*FN608*FN$38*'⑫ Roll-out Plan'!$O$65</f>
        <v>0</v>
      </c>
      <c r="FO609" s="9" t="n">
        <f aca="false">FO607*$AC$605*FO608*FO$38*'⑫ Roll-out Plan'!$O$65</f>
        <v>0</v>
      </c>
      <c r="FP609" s="9" t="n">
        <f aca="false">FP607*$AC$605*FP608*FP$38*'⑫ Roll-out Plan'!$O$65</f>
        <v>0</v>
      </c>
    </row>
    <row r="610" customFormat="false" ht="15" hidden="false" customHeight="false" outlineLevel="2" collapsed="false">
      <c r="B610" s="9" t="s">
        <v>877</v>
      </c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112" t="n">
        <f aca="true">IFERROR(SUMPRODUCT(OFFSET($BJ$31,0,1-MIN(60,COLUMN()-29),1,MIN(60,COLUMN()-29)),OFFSET(AC609,0,-MIN(60,COLUMN()-29),1,MIN(60,COLUMN()-29))),0)</f>
        <v>0</v>
      </c>
      <c r="AD610" s="112" t="n">
        <f aca="true">IFERROR(SUMPRODUCT(OFFSET($BJ$31,0,1-MIN(60,COLUMN()-29),1,MIN(60,COLUMN()-29)),OFFSET(AD609,0,-MIN(60,COLUMN()-29),1,MIN(60,COLUMN()-29))),0)</f>
        <v>0</v>
      </c>
      <c r="AE610" s="112" t="n">
        <f aca="true">IFERROR(SUMPRODUCT(OFFSET($BJ$31,0,1-MIN(60,COLUMN()-29),1,MIN(60,COLUMN()-29)),OFFSET(AE609,0,-MIN(60,COLUMN()-29),1,MIN(60,COLUMN()-29))),0)</f>
        <v>0</v>
      </c>
      <c r="AF610" s="112" t="n">
        <f aca="true">IFERROR(SUMPRODUCT(OFFSET($BJ$31,0,1-MIN(60,COLUMN()-29),1,MIN(60,COLUMN()-29)),OFFSET(AF609,0,-MIN(60,COLUMN()-29),1,MIN(60,COLUMN()-29))),0)</f>
        <v>0</v>
      </c>
      <c r="AG610" s="112" t="n">
        <f aca="true">IFERROR(SUMPRODUCT(OFFSET($BJ$31,0,1-MIN(60,COLUMN()-29),1,MIN(60,COLUMN()-29)),OFFSET(AG609,0,-MIN(60,COLUMN()-29),1,MIN(60,COLUMN()-29))),0)</f>
        <v>0</v>
      </c>
      <c r="AH610" s="112" t="n">
        <f aca="true">IFERROR(SUMPRODUCT(OFFSET($BJ$31,0,1-MIN(60,COLUMN()-29),1,MIN(60,COLUMN()-29)),OFFSET(AH609,0,-MIN(60,COLUMN()-29),1,MIN(60,COLUMN()-29))),0)</f>
        <v>0</v>
      </c>
      <c r="AI610" s="112" t="n">
        <f aca="true">IFERROR(SUMPRODUCT(OFFSET($BJ$31,0,1-MIN(60,COLUMN()-29),1,MIN(60,COLUMN()-29)),OFFSET(AI609,0,-MIN(60,COLUMN()-29),1,MIN(60,COLUMN()-29))),0)</f>
        <v>0</v>
      </c>
      <c r="AJ610" s="112" t="n">
        <f aca="true">IFERROR(SUMPRODUCT(OFFSET($BJ$31,0,1-MIN(60,COLUMN()-29),1,MIN(60,COLUMN()-29)),OFFSET(AJ609,0,-MIN(60,COLUMN()-29),1,MIN(60,COLUMN()-29))),0)</f>
        <v>0</v>
      </c>
      <c r="AK610" s="112" t="n">
        <f aca="true">IFERROR(SUMPRODUCT(OFFSET($BJ$31,0,1-MIN(60,COLUMN()-29),1,MIN(60,COLUMN()-29)),OFFSET(AK609,0,-MIN(60,COLUMN()-29),1,MIN(60,COLUMN()-29))),0)</f>
        <v>0</v>
      </c>
      <c r="AL610" s="112" t="n">
        <f aca="true">IFERROR(SUMPRODUCT(OFFSET($BJ$31,0,1-MIN(60,COLUMN()-29),1,MIN(60,COLUMN()-29)),OFFSET(AL609,0,-MIN(60,COLUMN()-29),1,MIN(60,COLUMN()-29))),0)</f>
        <v>0</v>
      </c>
      <c r="AM610" s="112" t="n">
        <f aca="true">IFERROR(SUMPRODUCT(OFFSET($BJ$31,0,1-MIN(60,COLUMN()-29),1,MIN(60,COLUMN()-29)),OFFSET(AM609,0,-MIN(60,COLUMN()-29),1,MIN(60,COLUMN()-29))),0)</f>
        <v>0</v>
      </c>
      <c r="AN610" s="239" t="n">
        <f aca="true">IFERROR(SUMPRODUCT(OFFSET($BJ$31,0,1-MIN(60,COLUMN()-29),1,MIN(60,COLUMN()-29)),OFFSET(AN609,0,-MIN(60,COLUMN()-29),1,MIN(60,COLUMN()-29))),0)</f>
        <v>0</v>
      </c>
      <c r="AO610" s="112" t="n">
        <f aca="true">IFERROR(SUMPRODUCT(OFFSET($BJ$31,0,1-MIN(60,COLUMN()-29),1,MIN(60,COLUMN()-29)),OFFSET(AO609,0,-MIN(60,COLUMN()-29),1,MIN(60,COLUMN()-29))),0)</f>
        <v>0</v>
      </c>
      <c r="AP610" s="112" t="n">
        <f aca="true">IFERROR(SUMPRODUCT(OFFSET($BJ$31,0,1-MIN(60,COLUMN()-29),1,MIN(60,COLUMN()-29)),OFFSET(AP609,0,-MIN(60,COLUMN()-29),1,MIN(60,COLUMN()-29))),0)</f>
        <v>0</v>
      </c>
      <c r="AQ610" s="112" t="n">
        <f aca="true">IFERROR(SUMPRODUCT(OFFSET($BJ$31,0,1-MIN(60,COLUMN()-29),1,MIN(60,COLUMN()-29)),OFFSET(AQ609,0,-MIN(60,COLUMN()-29),1,MIN(60,COLUMN()-29))),0)</f>
        <v>0</v>
      </c>
      <c r="AR610" s="112" t="n">
        <f aca="true">IFERROR(SUMPRODUCT(OFFSET($BJ$31,0,1-MIN(60,COLUMN()-29),1,MIN(60,COLUMN()-29)),OFFSET(AR609,0,-MIN(60,COLUMN()-29),1,MIN(60,COLUMN()-29))),0)</f>
        <v>0</v>
      </c>
      <c r="AS610" s="112" t="n">
        <f aca="true">IFERROR(SUMPRODUCT(OFFSET($BJ$31,0,1-MIN(60,COLUMN()-29),1,MIN(60,COLUMN()-29)),OFFSET(AS609,0,-MIN(60,COLUMN()-29),1,MIN(60,COLUMN()-29))),0)</f>
        <v>0</v>
      </c>
      <c r="AT610" s="112" t="n">
        <f aca="true">IFERROR(SUMPRODUCT(OFFSET($BJ$31,0,1-MIN(60,COLUMN()-29),1,MIN(60,COLUMN()-29)),OFFSET(AT609,0,-MIN(60,COLUMN()-29),1,MIN(60,COLUMN()-29))),0)</f>
        <v>0</v>
      </c>
      <c r="AU610" s="112" t="n">
        <f aca="true">IFERROR(SUMPRODUCT(OFFSET($BJ$31,0,1-MIN(60,COLUMN()-29),1,MIN(60,COLUMN()-29)),OFFSET(AU609,0,-MIN(60,COLUMN()-29),1,MIN(60,COLUMN()-29))),0)</f>
        <v>0</v>
      </c>
      <c r="AV610" s="112" t="n">
        <f aca="true">IFERROR(SUMPRODUCT(OFFSET($BJ$31,0,1-MIN(60,COLUMN()-29),1,MIN(60,COLUMN()-29)),OFFSET(AV609,0,-MIN(60,COLUMN()-29),1,MIN(60,COLUMN()-29))),0)</f>
        <v>0</v>
      </c>
      <c r="AW610" s="112" t="n">
        <f aca="true">IFERROR(SUMPRODUCT(OFFSET($BJ$31,0,1-MIN(60,COLUMN()-29),1,MIN(60,COLUMN()-29)),OFFSET(AW609,0,-MIN(60,COLUMN()-29),1,MIN(60,COLUMN()-29))),0)</f>
        <v>0</v>
      </c>
      <c r="AX610" s="112" t="n">
        <f aca="true">IFERROR(SUMPRODUCT(OFFSET($BJ$31,0,1-MIN(60,COLUMN()-29),1,MIN(60,COLUMN()-29)),OFFSET(AX609,0,-MIN(60,COLUMN()-29),1,MIN(60,COLUMN()-29))),0)</f>
        <v>0</v>
      </c>
      <c r="AY610" s="112" t="n">
        <f aca="true">IFERROR(SUMPRODUCT(OFFSET($BJ$31,0,1-MIN(60,COLUMN()-29),1,MIN(60,COLUMN()-29)),OFFSET(AY609,0,-MIN(60,COLUMN()-29),1,MIN(60,COLUMN()-29))),0)</f>
        <v>0</v>
      </c>
      <c r="AZ610" s="112" t="n">
        <f aca="true">IFERROR(SUMPRODUCT(OFFSET($BJ$31,0,1-MIN(60,COLUMN()-29),1,MIN(60,COLUMN()-29)),OFFSET(AZ609,0,-MIN(60,COLUMN()-29),1,MIN(60,COLUMN()-29))),0)</f>
        <v>0</v>
      </c>
      <c r="BA610" s="112" t="n">
        <f aca="true">IFERROR(SUMPRODUCT(OFFSET($BJ$31,0,1-MIN(60,COLUMN()-29),1,MIN(60,COLUMN()-29)),OFFSET(BA609,0,-MIN(60,COLUMN()-29),1,MIN(60,COLUMN()-29))),0)</f>
        <v>0</v>
      </c>
      <c r="BB610" s="112" t="n">
        <f aca="true">IFERROR(SUMPRODUCT(OFFSET($BJ$31,0,1-MIN(60,COLUMN()-29),1,MIN(60,COLUMN()-29)),OFFSET(BB609,0,-MIN(60,COLUMN()-29),1,MIN(60,COLUMN()-29))),0)</f>
        <v>0</v>
      </c>
      <c r="BC610" s="112" t="n">
        <f aca="true">IFERROR(SUMPRODUCT(OFFSET($BJ$31,0,1-MIN(60,COLUMN()-29),1,MIN(60,COLUMN()-29)),OFFSET(BC609,0,-MIN(60,COLUMN()-29),1,MIN(60,COLUMN()-29))),0)</f>
        <v>0</v>
      </c>
      <c r="BD610" s="112" t="n">
        <f aca="true">IFERROR(SUMPRODUCT(OFFSET($BJ$31,0,1-MIN(60,COLUMN()-29),1,MIN(60,COLUMN()-29)),OFFSET(BD609,0,-MIN(60,COLUMN()-29),1,MIN(60,COLUMN()-29))),0)</f>
        <v>0</v>
      </c>
      <c r="BE610" s="112" t="n">
        <f aca="true">IFERROR(SUMPRODUCT(OFFSET($BJ$31,0,1-MIN(60,COLUMN()-29),1,MIN(60,COLUMN()-29)),OFFSET(BE609,0,-MIN(60,COLUMN()-29),1,MIN(60,COLUMN()-29))),0)</f>
        <v>0</v>
      </c>
      <c r="BF610" s="112" t="n">
        <f aca="true">IFERROR(SUMPRODUCT(OFFSET($BJ$31,0,1-MIN(60,COLUMN()-29),1,MIN(60,COLUMN()-29)),OFFSET(BF609,0,-MIN(60,COLUMN()-29),1,MIN(60,COLUMN()-29))),0)</f>
        <v>0</v>
      </c>
      <c r="BG610" s="112" t="n">
        <f aca="true">IFERROR(SUMPRODUCT(OFFSET($BJ$31,0,1-MIN(60,COLUMN()-29),1,MIN(60,COLUMN()-29)),OFFSET(BG609,0,-MIN(60,COLUMN()-29),1,MIN(60,COLUMN()-29))),0)</f>
        <v>0</v>
      </c>
      <c r="BH610" s="112" t="n">
        <f aca="true">IFERROR(SUMPRODUCT(OFFSET($BJ$31,0,1-MIN(60,COLUMN()-29),1,MIN(60,COLUMN()-29)),OFFSET(BH609,0,-MIN(60,COLUMN()-29),1,MIN(60,COLUMN()-29))),0)</f>
        <v>0</v>
      </c>
      <c r="BI610" s="112" t="n">
        <f aca="true">IFERROR(SUMPRODUCT(OFFSET($BJ$31,0,1-MIN(60,COLUMN()-29),1,MIN(60,COLUMN()-29)),OFFSET(BI609,0,-MIN(60,COLUMN()-29),1,MIN(60,COLUMN()-29))),0)</f>
        <v>0</v>
      </c>
      <c r="BJ610" s="112" t="n">
        <f aca="true">IFERROR(SUMPRODUCT(OFFSET($BJ$31,0,1-MIN(60,COLUMN()-29),1,MIN(60,COLUMN()-29)),OFFSET(BJ609,0,-MIN(60,COLUMN()-29),1,MIN(60,COLUMN()-29))),0)</f>
        <v>0</v>
      </c>
      <c r="BK610" s="112" t="n">
        <f aca="true">IFERROR(SUMPRODUCT(OFFSET($BJ$31,0,1-MIN(60,COLUMN()-29),1,MIN(60,COLUMN()-29)),OFFSET(BK609,0,-MIN(60,COLUMN()-29),1,MIN(60,COLUMN()-29))),0)</f>
        <v>0</v>
      </c>
      <c r="BL610" s="112" t="n">
        <f aca="true">IFERROR(SUMPRODUCT(OFFSET($BJ$31,0,1-MIN(60,COLUMN()-29),1,MIN(60,COLUMN()-29)),OFFSET(BL609,0,-MIN(60,COLUMN()-29),1,MIN(60,COLUMN()-29))),0)</f>
        <v>0</v>
      </c>
      <c r="BM610" s="112" t="n">
        <f aca="true">IFERROR(SUMPRODUCT(OFFSET($BJ$31,0,1-MIN(60,COLUMN()-29),1,MIN(60,COLUMN()-29)),OFFSET(BM609,0,-MIN(60,COLUMN()-29),1,MIN(60,COLUMN()-29))),0)</f>
        <v>0</v>
      </c>
      <c r="BN610" s="112" t="n">
        <f aca="true">IFERROR(SUMPRODUCT(OFFSET($BJ$31,0,1-MIN(60,COLUMN()-29),1,MIN(60,COLUMN()-29)),OFFSET(BN609,0,-MIN(60,COLUMN()-29),1,MIN(60,COLUMN()-29))),0)</f>
        <v>0</v>
      </c>
      <c r="BO610" s="112" t="n">
        <f aca="true">IFERROR(SUMPRODUCT(OFFSET($BJ$31,0,1-MIN(60,COLUMN()-29),1,MIN(60,COLUMN()-29)),OFFSET(BO609,0,-MIN(60,COLUMN()-29),1,MIN(60,COLUMN()-29))),0)</f>
        <v>0</v>
      </c>
      <c r="BP610" s="112" t="n">
        <f aca="true">IFERROR(SUMPRODUCT(OFFSET($BJ$31,0,1-MIN(60,COLUMN()-29),1,MIN(60,COLUMN()-29)),OFFSET(BP609,0,-MIN(60,COLUMN()-29),1,MIN(60,COLUMN()-29))),0)</f>
        <v>0</v>
      </c>
      <c r="BQ610" s="112" t="n">
        <f aca="true">IFERROR(SUMPRODUCT(OFFSET($BJ$31,0,1-MIN(60,COLUMN()-29),1,MIN(60,COLUMN()-29)),OFFSET(BQ609,0,-MIN(60,COLUMN()-29),1,MIN(60,COLUMN()-29))),0)</f>
        <v>0</v>
      </c>
      <c r="BR610" s="112" t="n">
        <f aca="true">IFERROR(SUMPRODUCT(OFFSET($BJ$31,0,1-MIN(60,COLUMN()-29),1,MIN(60,COLUMN()-29)),OFFSET(BR609,0,-MIN(60,COLUMN()-29),1,MIN(60,COLUMN()-29))),0)</f>
        <v>0</v>
      </c>
      <c r="BS610" s="112" t="n">
        <f aca="true">IFERROR(SUMPRODUCT(OFFSET($BJ$31,0,1-MIN(60,COLUMN()-29),1,MIN(60,COLUMN()-29)),OFFSET(BS609,0,-MIN(60,COLUMN()-29),1,MIN(60,COLUMN()-29))),0)</f>
        <v>0</v>
      </c>
      <c r="BT610" s="112" t="n">
        <f aca="true">IFERROR(SUMPRODUCT(OFFSET($BJ$31,0,1-MIN(60,COLUMN()-29),1,MIN(60,COLUMN()-29)),OFFSET(BT609,0,-MIN(60,COLUMN()-29),1,MIN(60,COLUMN()-29))),0)</f>
        <v>0</v>
      </c>
      <c r="BU610" s="112" t="n">
        <f aca="true">IFERROR(SUMPRODUCT(OFFSET($BJ$31,0,1-MIN(60,COLUMN()-29),1,MIN(60,COLUMN()-29)),OFFSET(BU609,0,-MIN(60,COLUMN()-29),1,MIN(60,COLUMN()-29))),0)</f>
        <v>0</v>
      </c>
      <c r="BV610" s="112" t="n">
        <f aca="true">IFERROR(SUMPRODUCT(OFFSET($BJ$31,0,1-MIN(60,COLUMN()-29),1,MIN(60,COLUMN()-29)),OFFSET(BV609,0,-MIN(60,COLUMN()-29),1,MIN(60,COLUMN()-29))),0)</f>
        <v>0</v>
      </c>
      <c r="BW610" s="112" t="n">
        <f aca="true">IFERROR(SUMPRODUCT(OFFSET($BJ$31,0,1-MIN(60,COLUMN()-29),1,MIN(60,COLUMN()-29)),OFFSET(BW609,0,-MIN(60,COLUMN()-29),1,MIN(60,COLUMN()-29))),0)</f>
        <v>0</v>
      </c>
      <c r="BX610" s="112" t="n">
        <f aca="true">IFERROR(SUMPRODUCT(OFFSET($BJ$31,0,1-MIN(60,COLUMN()-29),1,MIN(60,COLUMN()-29)),OFFSET(BX609,0,-MIN(60,COLUMN()-29),1,MIN(60,COLUMN()-29))),0)</f>
        <v>0</v>
      </c>
      <c r="BY610" s="112" t="n">
        <f aca="true">IFERROR(SUMPRODUCT(OFFSET($BJ$31,0,1-MIN(60,COLUMN()-29),1,MIN(60,COLUMN()-29)),OFFSET(BY609,0,-MIN(60,COLUMN()-29),1,MIN(60,COLUMN()-29))),0)</f>
        <v>0</v>
      </c>
      <c r="BZ610" s="112" t="n">
        <f aca="true">IFERROR(SUMPRODUCT(OFFSET($BJ$31,0,1-MIN(60,COLUMN()-29),1,MIN(60,COLUMN()-29)),OFFSET(BZ609,0,-MIN(60,COLUMN()-29),1,MIN(60,COLUMN()-29))),0)</f>
        <v>0</v>
      </c>
      <c r="CA610" s="112" t="n">
        <f aca="true">IFERROR(SUMPRODUCT(OFFSET($BJ$31,0,1-MIN(60,COLUMN()-29),1,MIN(60,COLUMN()-29)),OFFSET(CA609,0,-MIN(60,COLUMN()-29),1,MIN(60,COLUMN()-29))),0)</f>
        <v>0</v>
      </c>
      <c r="CB610" s="112" t="n">
        <f aca="true">IFERROR(SUMPRODUCT(OFFSET($BJ$31,0,1-MIN(60,COLUMN()-29),1,MIN(60,COLUMN()-29)),OFFSET(CB609,0,-MIN(60,COLUMN()-29),1,MIN(60,COLUMN()-29))),0)</f>
        <v>0</v>
      </c>
      <c r="CC610" s="112" t="n">
        <f aca="true">IFERROR(SUMPRODUCT(OFFSET($BJ$31,0,1-MIN(60,COLUMN()-29),1,MIN(60,COLUMN()-29)),OFFSET(CC609,0,-MIN(60,COLUMN()-29),1,MIN(60,COLUMN()-29))),0)</f>
        <v>0</v>
      </c>
      <c r="CD610" s="112" t="n">
        <f aca="true">IFERROR(SUMPRODUCT(OFFSET($BJ$31,0,1-MIN(60,COLUMN()-29),1,MIN(60,COLUMN()-29)),OFFSET(CD609,0,-MIN(60,COLUMN()-29),1,MIN(60,COLUMN()-29))),0)</f>
        <v>0</v>
      </c>
      <c r="CE610" s="112" t="n">
        <f aca="true">IFERROR(SUMPRODUCT(OFFSET($BJ$31,0,1-MIN(60,COLUMN()-29),1,MIN(60,COLUMN()-29)),OFFSET(CE609,0,-MIN(60,COLUMN()-29),1,MIN(60,COLUMN()-29))),0)</f>
        <v>0</v>
      </c>
      <c r="CF610" s="112" t="n">
        <f aca="true">IFERROR(SUMPRODUCT(OFFSET($BJ$31,0,1-MIN(60,COLUMN()-29),1,MIN(60,COLUMN()-29)),OFFSET(CF609,0,-MIN(60,COLUMN()-29),1,MIN(60,COLUMN()-29))),0)</f>
        <v>0</v>
      </c>
      <c r="CG610" s="112" t="n">
        <f aca="true">IFERROR(SUMPRODUCT(OFFSET($BJ$31,0,1-MIN(60,COLUMN()-29),1,MIN(60,COLUMN()-29)),OFFSET(CG609,0,-MIN(60,COLUMN()-29),1,MIN(60,COLUMN()-29))),0)</f>
        <v>0</v>
      </c>
      <c r="CH610" s="112" t="n">
        <f aca="true">IFERROR(SUMPRODUCT(OFFSET($BJ$31,0,1-MIN(60,COLUMN()-29),1,MIN(60,COLUMN()-29)),OFFSET(CH609,0,-MIN(60,COLUMN()-29),1,MIN(60,COLUMN()-29))),0)</f>
        <v>0</v>
      </c>
      <c r="CI610" s="112" t="n">
        <f aca="true">IFERROR(SUMPRODUCT(OFFSET($BJ$31,0,1-MIN(60,COLUMN()-29),1,MIN(60,COLUMN()-29)),OFFSET(CI609,0,-MIN(60,COLUMN()-29),1,MIN(60,COLUMN()-29))),0)</f>
        <v>0</v>
      </c>
      <c r="CJ610" s="112" t="n">
        <f aca="true">IFERROR(SUMPRODUCT(OFFSET($BJ$31,0,1-MIN(60,COLUMN()-29),1,MIN(60,COLUMN()-29)),OFFSET(CJ609,0,-MIN(60,COLUMN()-29),1,MIN(60,COLUMN()-29))),0)</f>
        <v>0</v>
      </c>
      <c r="CK610" s="112" t="n">
        <f aca="true">IFERROR(SUMPRODUCT(OFFSET($BJ$31,0,1-MIN(60,COLUMN()-29),1,MIN(60,COLUMN()-29)),OFFSET(CK609,0,-MIN(60,COLUMN()-29),1,MIN(60,COLUMN()-29))),0)</f>
        <v>0</v>
      </c>
      <c r="CL610" s="112" t="n">
        <f aca="true">IFERROR(SUMPRODUCT(OFFSET($BJ$31,0,1-MIN(60,COLUMN()-29),1,MIN(60,COLUMN()-29)),OFFSET(CL609,0,-MIN(60,COLUMN()-29),1,MIN(60,COLUMN()-29))),0)</f>
        <v>0</v>
      </c>
      <c r="CM610" s="112" t="n">
        <f aca="true">IFERROR(SUMPRODUCT(OFFSET($BJ$31,0,1-MIN(60,COLUMN()-29),1,MIN(60,COLUMN()-29)),OFFSET(CM609,0,-MIN(60,COLUMN()-29),1,MIN(60,COLUMN()-29))),0)</f>
        <v>0</v>
      </c>
      <c r="CN610" s="112" t="n">
        <f aca="true">IFERROR(SUMPRODUCT(OFFSET($BJ$31,0,1-MIN(60,COLUMN()-29),1,MIN(60,COLUMN()-29)),OFFSET(CN609,0,-MIN(60,COLUMN()-29),1,MIN(60,COLUMN()-29))),0)</f>
        <v>0</v>
      </c>
      <c r="CO610" s="112" t="n">
        <f aca="true">IFERROR(SUMPRODUCT(OFFSET($BJ$31,0,1-MIN(60,COLUMN()-29),1,MIN(60,COLUMN()-29)),OFFSET(CO609,0,-MIN(60,COLUMN()-29),1,MIN(60,COLUMN()-29))),0)</f>
        <v>0</v>
      </c>
      <c r="CP610" s="112" t="n">
        <f aca="true">IFERROR(SUMPRODUCT(OFFSET($BJ$31,0,1-MIN(60,COLUMN()-29),1,MIN(60,COLUMN()-29)),OFFSET(CP609,0,-MIN(60,COLUMN()-29),1,MIN(60,COLUMN()-29))),0)</f>
        <v>0</v>
      </c>
      <c r="CQ610" s="112" t="n">
        <f aca="true">IFERROR(SUMPRODUCT(OFFSET($BJ$31,0,1-MIN(60,COLUMN()-29),1,MIN(60,COLUMN()-29)),OFFSET(CQ609,0,-MIN(60,COLUMN()-29),1,MIN(60,COLUMN()-29))),0)</f>
        <v>0</v>
      </c>
      <c r="CR610" s="112" t="n">
        <f aca="true">IFERROR(SUMPRODUCT(OFFSET($BJ$31,0,1-MIN(60,COLUMN()-29),1,MIN(60,COLUMN()-29)),OFFSET(CR609,0,-MIN(60,COLUMN()-29),1,MIN(60,COLUMN()-29))),0)</f>
        <v>0</v>
      </c>
      <c r="CS610" s="112" t="n">
        <f aca="true">IFERROR(SUMPRODUCT(OFFSET($BJ$31,0,1-MIN(60,COLUMN()-29),1,MIN(60,COLUMN()-29)),OFFSET(CS609,0,-MIN(60,COLUMN()-29),1,MIN(60,COLUMN()-29))),0)</f>
        <v>0</v>
      </c>
      <c r="CT610" s="112" t="n">
        <f aca="true">IFERROR(SUMPRODUCT(OFFSET($BJ$31,0,1-MIN(60,COLUMN()-29),1,MIN(60,COLUMN()-29)),OFFSET(CT609,0,-MIN(60,COLUMN()-29),1,MIN(60,COLUMN()-29))),0)</f>
        <v>0</v>
      </c>
      <c r="CU610" s="112" t="n">
        <f aca="true">IFERROR(SUMPRODUCT(OFFSET($BJ$31,0,1-MIN(60,COLUMN()-29),1,MIN(60,COLUMN()-29)),OFFSET(CU609,0,-MIN(60,COLUMN()-29),1,MIN(60,COLUMN()-29))),0)</f>
        <v>0</v>
      </c>
      <c r="CV610" s="112" t="n">
        <f aca="true">IFERROR(SUMPRODUCT(OFFSET($BJ$31,0,1-MIN(60,COLUMN()-29),1,MIN(60,COLUMN()-29)),OFFSET(CV609,0,-MIN(60,COLUMN()-29),1,MIN(60,COLUMN()-29))),0)</f>
        <v>0</v>
      </c>
      <c r="CW610" s="112" t="n">
        <f aca="true">IFERROR(SUMPRODUCT(OFFSET($BJ$31,0,1-MIN(60,COLUMN()-29),1,MIN(60,COLUMN()-29)),OFFSET(CW609,0,-MIN(60,COLUMN()-29),1,MIN(60,COLUMN()-29))),0)</f>
        <v>0</v>
      </c>
      <c r="CX610" s="112" t="n">
        <f aca="true">IFERROR(SUMPRODUCT(OFFSET($BJ$31,0,1-MIN(60,COLUMN()-29),1,MIN(60,COLUMN()-29)),OFFSET(CX609,0,-MIN(60,COLUMN()-29),1,MIN(60,COLUMN()-29))),0)</f>
        <v>0</v>
      </c>
      <c r="CY610" s="112" t="n">
        <f aca="true">IFERROR(SUMPRODUCT(OFFSET($BJ$31,0,1-MIN(60,COLUMN()-29),1,MIN(60,COLUMN()-29)),OFFSET(CY609,0,-MIN(60,COLUMN()-29),1,MIN(60,COLUMN()-29))),0)</f>
        <v>0</v>
      </c>
      <c r="CZ610" s="112" t="n">
        <f aca="true">IFERROR(SUMPRODUCT(OFFSET($BJ$31,0,1-MIN(60,COLUMN()-29),1,MIN(60,COLUMN()-29)),OFFSET(CZ609,0,-MIN(60,COLUMN()-29),1,MIN(60,COLUMN()-29))),0)</f>
        <v>0</v>
      </c>
      <c r="DA610" s="112" t="n">
        <f aca="true">IFERROR(SUMPRODUCT(OFFSET($BJ$31,0,1-MIN(60,COLUMN()-29),1,MIN(60,COLUMN()-29)),OFFSET(DA609,0,-MIN(60,COLUMN()-29),1,MIN(60,COLUMN()-29))),0)</f>
        <v>0</v>
      </c>
      <c r="DB610" s="112" t="n">
        <f aca="true">IFERROR(SUMPRODUCT(OFFSET($BJ$31,0,1-MIN(60,COLUMN()-29),1,MIN(60,COLUMN()-29)),OFFSET(DB609,0,-MIN(60,COLUMN()-29),1,MIN(60,COLUMN()-29))),0)</f>
        <v>0</v>
      </c>
      <c r="DC610" s="112" t="n">
        <f aca="true">IFERROR(SUMPRODUCT(OFFSET($BJ$31,0,1-MIN(60,COLUMN()-29),1,MIN(60,COLUMN()-29)),OFFSET(DC609,0,-MIN(60,COLUMN()-29),1,MIN(60,COLUMN()-29))),0)</f>
        <v>0</v>
      </c>
      <c r="DD610" s="112" t="n">
        <f aca="true">IFERROR(SUMPRODUCT(OFFSET($BJ$31,0,1-MIN(60,COLUMN()-29),1,MIN(60,COLUMN()-29)),OFFSET(DD609,0,-MIN(60,COLUMN()-29),1,MIN(60,COLUMN()-29))),0)</f>
        <v>0</v>
      </c>
      <c r="DE610" s="112" t="n">
        <f aca="true">IFERROR(SUMPRODUCT(OFFSET($BJ$31,0,1-MIN(60,COLUMN()-29),1,MIN(60,COLUMN()-29)),OFFSET(DE609,0,-MIN(60,COLUMN()-29),1,MIN(60,COLUMN()-29))),0)</f>
        <v>0</v>
      </c>
      <c r="DF610" s="112" t="n">
        <f aca="true">IFERROR(SUMPRODUCT(OFFSET($BJ$31,0,1-MIN(60,COLUMN()-29),1,MIN(60,COLUMN()-29)),OFFSET(DF609,0,-MIN(60,COLUMN()-29),1,MIN(60,COLUMN()-29))),0)</f>
        <v>0</v>
      </c>
      <c r="DG610" s="112" t="n">
        <f aca="true">IFERROR(SUMPRODUCT(OFFSET($BJ$31,0,1-MIN(60,COLUMN()-29),1,MIN(60,COLUMN()-29)),OFFSET(DG609,0,-MIN(60,COLUMN()-29),1,MIN(60,COLUMN()-29))),0)</f>
        <v>0</v>
      </c>
      <c r="DH610" s="112" t="n">
        <f aca="true">IFERROR(SUMPRODUCT(OFFSET($BJ$31,0,1-MIN(60,COLUMN()-29),1,MIN(60,COLUMN()-29)),OFFSET(DH609,0,-MIN(60,COLUMN()-29),1,MIN(60,COLUMN()-29))),0)</f>
        <v>0</v>
      </c>
      <c r="DI610" s="112" t="n">
        <f aca="true">IFERROR(SUMPRODUCT(OFFSET($BJ$31,0,1-MIN(60,COLUMN()-29),1,MIN(60,COLUMN()-29)),OFFSET(DI609,0,-MIN(60,COLUMN()-29),1,MIN(60,COLUMN()-29))),0)</f>
        <v>0</v>
      </c>
      <c r="DJ610" s="112" t="n">
        <f aca="true">IFERROR(SUMPRODUCT(OFFSET($BJ$31,0,1-MIN(60,COLUMN()-29),1,MIN(60,COLUMN()-29)),OFFSET(DJ609,0,-MIN(60,COLUMN()-29),1,MIN(60,COLUMN()-29))),0)</f>
        <v>0</v>
      </c>
      <c r="DK610" s="112" t="n">
        <f aca="true">IFERROR(SUMPRODUCT(OFFSET($BJ$31,0,1-MIN(60,COLUMN()-29),1,MIN(60,COLUMN()-29)),OFFSET(DK609,0,-MIN(60,COLUMN()-29),1,MIN(60,COLUMN()-29))),0)</f>
        <v>0</v>
      </c>
      <c r="DL610" s="112" t="n">
        <f aca="true">IFERROR(SUMPRODUCT(OFFSET($BJ$31,0,1-MIN(60,COLUMN()-29),1,MIN(60,COLUMN()-29)),OFFSET(DL609,0,-MIN(60,COLUMN()-29),1,MIN(60,COLUMN()-29))),0)</f>
        <v>0</v>
      </c>
      <c r="DM610" s="112" t="n">
        <f aca="true">IFERROR(SUMPRODUCT(OFFSET($BJ$31,0,1-MIN(60,COLUMN()-29),1,MIN(60,COLUMN()-29)),OFFSET(DM609,0,-MIN(60,COLUMN()-29),1,MIN(60,COLUMN()-29))),0)</f>
        <v>0</v>
      </c>
      <c r="DN610" s="112" t="n">
        <f aca="true">IFERROR(SUMPRODUCT(OFFSET($BJ$31,0,1-MIN(60,COLUMN()-29),1,MIN(60,COLUMN()-29)),OFFSET(DN609,0,-MIN(60,COLUMN()-29),1,MIN(60,COLUMN()-29))),0)</f>
        <v>0</v>
      </c>
      <c r="DO610" s="112" t="n">
        <f aca="true">IFERROR(SUMPRODUCT(OFFSET($BJ$31,0,1-MIN(60,COLUMN()-29),1,MIN(60,COLUMN()-29)),OFFSET(DO609,0,-MIN(60,COLUMN()-29),1,MIN(60,COLUMN()-29))),0)</f>
        <v>0</v>
      </c>
      <c r="DP610" s="112" t="n">
        <f aca="true">IFERROR(SUMPRODUCT(OFFSET($BJ$31,0,1-MIN(60,COLUMN()-29),1,MIN(60,COLUMN()-29)),OFFSET(DP609,0,-MIN(60,COLUMN()-29),1,MIN(60,COLUMN()-29))),0)</f>
        <v>0</v>
      </c>
      <c r="DQ610" s="112" t="n">
        <f aca="true">IFERROR(SUMPRODUCT(OFFSET($BJ$31,0,1-MIN(60,COLUMN()-29),1,MIN(60,COLUMN()-29)),OFFSET(DQ609,0,-MIN(60,COLUMN()-29),1,MIN(60,COLUMN()-29))),0)</f>
        <v>0</v>
      </c>
      <c r="DR610" s="112" t="n">
        <f aca="true">IFERROR(SUMPRODUCT(OFFSET($BJ$31,0,1-MIN(60,COLUMN()-29),1,MIN(60,COLUMN()-29)),OFFSET(DR609,0,-MIN(60,COLUMN()-29),1,MIN(60,COLUMN()-29))),0)</f>
        <v>0</v>
      </c>
      <c r="DS610" s="112" t="n">
        <f aca="true">IFERROR(SUMPRODUCT(OFFSET($BJ$31,0,1-MIN(60,COLUMN()-29),1,MIN(60,COLUMN()-29)),OFFSET(DS609,0,-MIN(60,COLUMN()-29),1,MIN(60,COLUMN()-29))),0)</f>
        <v>0</v>
      </c>
      <c r="DT610" s="112" t="n">
        <f aca="true">IFERROR(SUMPRODUCT(OFFSET($BJ$31,0,1-MIN(60,COLUMN()-29),1,MIN(60,COLUMN()-29)),OFFSET(DT609,0,-MIN(60,COLUMN()-29),1,MIN(60,COLUMN()-29))),0)</f>
        <v>0</v>
      </c>
      <c r="DU610" s="112" t="n">
        <f aca="true">IFERROR(SUMPRODUCT(OFFSET($BJ$31,0,1-MIN(60,COLUMN()-29),1,MIN(60,COLUMN()-29)),OFFSET(DU609,0,-MIN(60,COLUMN()-29),1,MIN(60,COLUMN()-29))),0)</f>
        <v>0</v>
      </c>
      <c r="DV610" s="112" t="n">
        <f aca="true">IFERROR(SUMPRODUCT(OFFSET($BJ$31,0,1-MIN(60,COLUMN()-29),1,MIN(60,COLUMN()-29)),OFFSET(DV609,0,-MIN(60,COLUMN()-29),1,MIN(60,COLUMN()-29))),0)</f>
        <v>0</v>
      </c>
      <c r="DW610" s="112" t="n">
        <f aca="true">IFERROR(SUMPRODUCT(OFFSET($BJ$31,0,1-MIN(60,COLUMN()-29),1,MIN(60,COLUMN()-29)),OFFSET(DW609,0,-MIN(60,COLUMN()-29),1,MIN(60,COLUMN()-29))),0)</f>
        <v>0</v>
      </c>
      <c r="DX610" s="112" t="n">
        <f aca="true">IFERROR(SUMPRODUCT(OFFSET($BJ$31,0,1-MIN(60,COLUMN()-29),1,MIN(60,COLUMN()-29)),OFFSET(DX609,0,-MIN(60,COLUMN()-29),1,MIN(60,COLUMN()-29))),0)</f>
        <v>0</v>
      </c>
      <c r="DY610" s="112" t="n">
        <f aca="true">IFERROR(SUMPRODUCT(OFFSET($BJ$31,0,1-MIN(60,COLUMN()-29),1,MIN(60,COLUMN()-29)),OFFSET(DY609,0,-MIN(60,COLUMN()-29),1,MIN(60,COLUMN()-29))),0)</f>
        <v>0</v>
      </c>
      <c r="DZ610" s="112" t="n">
        <f aca="true">IFERROR(SUMPRODUCT(OFFSET($BJ$31,0,1-MIN(60,COLUMN()-29),1,MIN(60,COLUMN()-29)),OFFSET(DZ609,0,-MIN(60,COLUMN()-29),1,MIN(60,COLUMN()-29))),0)</f>
        <v>0</v>
      </c>
      <c r="EA610" s="112" t="n">
        <f aca="true">IFERROR(SUMPRODUCT(OFFSET($BJ$31,0,1-MIN(60,COLUMN()-29),1,MIN(60,COLUMN()-29)),OFFSET(EA609,0,-MIN(60,COLUMN()-29),1,MIN(60,COLUMN()-29))),0)</f>
        <v>0</v>
      </c>
      <c r="EB610" s="112" t="n">
        <f aca="true">IFERROR(SUMPRODUCT(OFFSET($BJ$31,0,1-MIN(60,COLUMN()-29),1,MIN(60,COLUMN()-29)),OFFSET(EB609,0,-MIN(60,COLUMN()-29),1,MIN(60,COLUMN()-29))),0)</f>
        <v>0</v>
      </c>
      <c r="EC610" s="112" t="n">
        <f aca="true">IFERROR(SUMPRODUCT(OFFSET($BJ$31,0,1-MIN(60,COLUMN()-29),1,MIN(60,COLUMN()-29)),OFFSET(EC609,0,-MIN(60,COLUMN()-29),1,MIN(60,COLUMN()-29))),0)</f>
        <v>0</v>
      </c>
      <c r="ED610" s="112" t="n">
        <f aca="true">IFERROR(SUMPRODUCT(OFFSET($BJ$31,0,1-MIN(60,COLUMN()-29),1,MIN(60,COLUMN()-29)),OFFSET(ED609,0,-MIN(60,COLUMN()-29),1,MIN(60,COLUMN()-29))),0)</f>
        <v>0</v>
      </c>
      <c r="EE610" s="112" t="n">
        <f aca="true">IFERROR(SUMPRODUCT(OFFSET($BJ$31,0,1-MIN(60,COLUMN()-29),1,MIN(60,COLUMN()-29)),OFFSET(EE609,0,-MIN(60,COLUMN()-29),1,MIN(60,COLUMN()-29))),0)</f>
        <v>0</v>
      </c>
      <c r="EF610" s="112" t="n">
        <f aca="true">IFERROR(SUMPRODUCT(OFFSET($BJ$31,0,1-MIN(60,COLUMN()-29),1,MIN(60,COLUMN()-29)),OFFSET(EF609,0,-MIN(60,COLUMN()-29),1,MIN(60,COLUMN()-29))),0)</f>
        <v>0</v>
      </c>
      <c r="EG610" s="112" t="n">
        <f aca="true">IFERROR(SUMPRODUCT(OFFSET($BJ$31,0,1-MIN(60,COLUMN()-29),1,MIN(60,COLUMN()-29)),OFFSET(EG609,0,-MIN(60,COLUMN()-29),1,MIN(60,COLUMN()-29))),0)</f>
        <v>0</v>
      </c>
      <c r="EH610" s="112" t="n">
        <f aca="true">IFERROR(SUMPRODUCT(OFFSET($BJ$31,0,1-MIN(60,COLUMN()-29),1,MIN(60,COLUMN()-29)),OFFSET(EH609,0,-MIN(60,COLUMN()-29),1,MIN(60,COLUMN()-29))),0)</f>
        <v>0</v>
      </c>
      <c r="EI610" s="112" t="n">
        <f aca="true">IFERROR(SUMPRODUCT(OFFSET($BJ$31,0,1-MIN(60,COLUMN()-29),1,MIN(60,COLUMN()-29)),OFFSET(EI609,0,-MIN(60,COLUMN()-29),1,MIN(60,COLUMN()-29))),0)</f>
        <v>0</v>
      </c>
      <c r="EJ610" s="112" t="n">
        <f aca="true">IFERROR(SUMPRODUCT(OFFSET($BJ$31,0,1-MIN(60,COLUMN()-29),1,MIN(60,COLUMN()-29)),OFFSET(EJ609,0,-MIN(60,COLUMN()-29),1,MIN(60,COLUMN()-29))),0)</f>
        <v>0</v>
      </c>
      <c r="EK610" s="112" t="n">
        <f aca="true">IFERROR(SUMPRODUCT(OFFSET($BJ$31,0,1-MIN(60,COLUMN()-29),1,MIN(60,COLUMN()-29)),OFFSET(EK609,0,-MIN(60,COLUMN()-29),1,MIN(60,COLUMN()-29))),0)</f>
        <v>0</v>
      </c>
      <c r="EL610" s="112" t="n">
        <f aca="true">IFERROR(SUMPRODUCT(OFFSET($BJ$31,0,1-MIN(60,COLUMN()-29),1,MIN(60,COLUMN()-29)),OFFSET(EL609,0,-MIN(60,COLUMN()-29),1,MIN(60,COLUMN()-29))),0)</f>
        <v>0</v>
      </c>
      <c r="EM610" s="112" t="n">
        <f aca="true">IFERROR(SUMPRODUCT(OFFSET($BJ$31,0,1-MIN(60,COLUMN()-29),1,MIN(60,COLUMN()-29)),OFFSET(EM609,0,-MIN(60,COLUMN()-29),1,MIN(60,COLUMN()-29))),0)</f>
        <v>0</v>
      </c>
      <c r="EN610" s="112" t="n">
        <f aca="true">IFERROR(SUMPRODUCT(OFFSET($BJ$31,0,1-MIN(60,COLUMN()-29),1,MIN(60,COLUMN()-29)),OFFSET(EN609,0,-MIN(60,COLUMN()-29),1,MIN(60,COLUMN()-29))),0)</f>
        <v>0</v>
      </c>
      <c r="EO610" s="112" t="n">
        <f aca="true">IFERROR(SUMPRODUCT(OFFSET($BJ$31,0,1-MIN(60,COLUMN()-29),1,MIN(60,COLUMN()-29)),OFFSET(EO609,0,-MIN(60,COLUMN()-29),1,MIN(60,COLUMN()-29))),0)</f>
        <v>0</v>
      </c>
      <c r="EP610" s="112" t="n">
        <f aca="true">IFERROR(SUMPRODUCT(OFFSET($BJ$31,0,1-MIN(60,COLUMN()-29),1,MIN(60,COLUMN()-29)),OFFSET(EP609,0,-MIN(60,COLUMN()-29),1,MIN(60,COLUMN()-29))),0)</f>
        <v>0</v>
      </c>
      <c r="EQ610" s="112" t="n">
        <f aca="true">IFERROR(SUMPRODUCT(OFFSET($BJ$31,0,1-MIN(60,COLUMN()-29),1,MIN(60,COLUMN()-29)),OFFSET(EQ609,0,-MIN(60,COLUMN()-29),1,MIN(60,COLUMN()-29))),0)</f>
        <v>0</v>
      </c>
      <c r="ER610" s="112" t="n">
        <f aca="true">IFERROR(SUMPRODUCT(OFFSET($BJ$31,0,1-MIN(60,COLUMN()-29),1,MIN(60,COLUMN()-29)),OFFSET(ER609,0,-MIN(60,COLUMN()-29),1,MIN(60,COLUMN()-29))),0)</f>
        <v>0</v>
      </c>
      <c r="ES610" s="9" t="n">
        <f aca="true">IFERROR(SUMPRODUCT(OFFSET($BJ$31,0,1-MIN(60,COLUMN()-29),1,MIN(60,COLUMN()-29)),OFFSET(ES609,0,-MIN(60,COLUMN()-29),1,MIN(60,COLUMN()-29))),0)</f>
        <v>0</v>
      </c>
      <c r="ET610" s="9" t="n">
        <f aca="true">IFERROR(SUMPRODUCT(OFFSET($BJ$31,0,1-MIN(60,COLUMN()-29),1,MIN(60,COLUMN()-29)),OFFSET(ET609,0,-MIN(60,COLUMN()-29),1,MIN(60,COLUMN()-29))),0)</f>
        <v>0</v>
      </c>
      <c r="EU610" s="9" t="n">
        <f aca="true">IFERROR(SUMPRODUCT(OFFSET($BJ$31,0,1-MIN(60,COLUMN()-29),1,MIN(60,COLUMN()-29)),OFFSET(EU609,0,-MIN(60,COLUMN()-29),1,MIN(60,COLUMN()-29))),0)</f>
        <v>0</v>
      </c>
      <c r="EV610" s="9" t="n">
        <f aca="true">IFERROR(SUMPRODUCT(OFFSET($BJ$31,0,1-MIN(60,COLUMN()-29),1,MIN(60,COLUMN()-29)),OFFSET(EV609,0,-MIN(60,COLUMN()-29),1,MIN(60,COLUMN()-29))),0)</f>
        <v>0</v>
      </c>
      <c r="EW610" s="9" t="n">
        <f aca="true">IFERROR(SUMPRODUCT(OFFSET($BJ$31,0,1-MIN(60,COLUMN()-29),1,MIN(60,COLUMN()-29)),OFFSET(EW609,0,-MIN(60,COLUMN()-29),1,MIN(60,COLUMN()-29))),0)</f>
        <v>0</v>
      </c>
      <c r="EX610" s="9" t="n">
        <f aca="true">IFERROR(SUMPRODUCT(OFFSET($BJ$31,0,1-MIN(60,COLUMN()-29),1,MIN(60,COLUMN()-29)),OFFSET(EX609,0,-MIN(60,COLUMN()-29),1,MIN(60,COLUMN()-29))),0)</f>
        <v>0</v>
      </c>
      <c r="EY610" s="9" t="n">
        <f aca="true">IFERROR(SUMPRODUCT(OFFSET($BJ$31,0,1-MIN(60,COLUMN()-29),1,MIN(60,COLUMN()-29)),OFFSET(EY609,0,-MIN(60,COLUMN()-29),1,MIN(60,COLUMN()-29))),0)</f>
        <v>0</v>
      </c>
      <c r="EZ610" s="9" t="n">
        <f aca="true">IFERROR(SUMPRODUCT(OFFSET($BJ$31,0,1-MIN(60,COLUMN()-29),1,MIN(60,COLUMN()-29)),OFFSET(EZ609,0,-MIN(60,COLUMN()-29),1,MIN(60,COLUMN()-29))),0)</f>
        <v>0</v>
      </c>
      <c r="FA610" s="9" t="n">
        <f aca="true">IFERROR(SUMPRODUCT(OFFSET($BJ$31,0,1-MIN(60,COLUMN()-29),1,MIN(60,COLUMN()-29)),OFFSET(FA609,0,-MIN(60,COLUMN()-29),1,MIN(60,COLUMN()-29))),0)</f>
        <v>0</v>
      </c>
      <c r="FB610" s="9" t="n">
        <f aca="true">IFERROR(SUMPRODUCT(OFFSET($BJ$31,0,1-MIN(60,COLUMN()-29),1,MIN(60,COLUMN()-29)),OFFSET(FB609,0,-MIN(60,COLUMN()-29),1,MIN(60,COLUMN()-29))),0)</f>
        <v>0</v>
      </c>
      <c r="FC610" s="9" t="n">
        <f aca="true">IFERROR(SUMPRODUCT(OFFSET($BJ$31,0,1-MIN(60,COLUMN()-29),1,MIN(60,COLUMN()-29)),OFFSET(FC609,0,-MIN(60,COLUMN()-29),1,MIN(60,COLUMN()-29))),0)</f>
        <v>0</v>
      </c>
      <c r="FD610" s="9" t="n">
        <f aca="true">IFERROR(SUMPRODUCT(OFFSET($BJ$31,0,1-MIN(60,COLUMN()-29),1,MIN(60,COLUMN()-29)),OFFSET(FD609,0,-MIN(60,COLUMN()-29),1,MIN(60,COLUMN()-29))),0)</f>
        <v>0</v>
      </c>
      <c r="FE610" s="9" t="n">
        <f aca="true">IFERROR(SUMPRODUCT(OFFSET($BJ$31,0,1-MIN(60,COLUMN()-29),1,MIN(60,COLUMN()-29)),OFFSET(FE609,0,-MIN(60,COLUMN()-29),1,MIN(60,COLUMN()-29))),0)</f>
        <v>0</v>
      </c>
      <c r="FF610" s="9" t="n">
        <f aca="true">IFERROR(SUMPRODUCT(OFFSET($BJ$31,0,1-MIN(60,COLUMN()-29),1,MIN(60,COLUMN()-29)),OFFSET(FF609,0,-MIN(60,COLUMN()-29),1,MIN(60,COLUMN()-29))),0)</f>
        <v>0</v>
      </c>
      <c r="FG610" s="9" t="n">
        <f aca="true">IFERROR(SUMPRODUCT(OFFSET($BJ$31,0,1-MIN(60,COLUMN()-29),1,MIN(60,COLUMN()-29)),OFFSET(FG609,0,-MIN(60,COLUMN()-29),1,MIN(60,COLUMN()-29))),0)</f>
        <v>0</v>
      </c>
      <c r="FH610" s="9" t="n">
        <f aca="true">IFERROR(SUMPRODUCT(OFFSET($BJ$31,0,1-MIN(60,COLUMN()-29),1,MIN(60,COLUMN()-29)),OFFSET(FH609,0,-MIN(60,COLUMN()-29),1,MIN(60,COLUMN()-29))),0)</f>
        <v>0</v>
      </c>
      <c r="FI610" s="9" t="n">
        <f aca="true">IFERROR(SUMPRODUCT(OFFSET($BJ$31,0,1-MIN(60,COLUMN()-29),1,MIN(60,COLUMN()-29)),OFFSET(FI609,0,-MIN(60,COLUMN()-29),1,MIN(60,COLUMN()-29))),0)</f>
        <v>0</v>
      </c>
      <c r="FJ610" s="9" t="n">
        <f aca="true">IFERROR(SUMPRODUCT(OFFSET($BJ$31,0,1-MIN(60,COLUMN()-29),1,MIN(60,COLUMN()-29)),OFFSET(FJ609,0,-MIN(60,COLUMN()-29),1,MIN(60,COLUMN()-29))),0)</f>
        <v>0</v>
      </c>
      <c r="FK610" s="9" t="n">
        <f aca="true">IFERROR(SUMPRODUCT(OFFSET($BJ$31,0,1-MIN(60,COLUMN()-29),1,MIN(60,COLUMN()-29)),OFFSET(FK609,0,-MIN(60,COLUMN()-29),1,MIN(60,COLUMN()-29))),0)</f>
        <v>0</v>
      </c>
      <c r="FL610" s="9" t="n">
        <f aca="true">IFERROR(SUMPRODUCT(OFFSET($BJ$31,0,1-MIN(60,COLUMN()-29),1,MIN(60,COLUMN()-29)),OFFSET(FL609,0,-MIN(60,COLUMN()-29),1,MIN(60,COLUMN()-29))),0)</f>
        <v>0</v>
      </c>
      <c r="FM610" s="9" t="n">
        <f aca="true">IFERROR(SUMPRODUCT(OFFSET($BJ$31,0,1-MIN(60,COLUMN()-29),1,MIN(60,COLUMN()-29)),OFFSET(FM609,0,-MIN(60,COLUMN()-29),1,MIN(60,COLUMN()-29))),0)</f>
        <v>0</v>
      </c>
      <c r="FN610" s="9" t="n">
        <f aca="true">IFERROR(SUMPRODUCT(OFFSET($BJ$31,0,1-MIN(60,COLUMN()-29),1,MIN(60,COLUMN()-29)),OFFSET(FN609,0,-MIN(60,COLUMN()-29),1,MIN(60,COLUMN()-29))),0)</f>
        <v>0</v>
      </c>
      <c r="FO610" s="9" t="n">
        <f aca="true">IFERROR(SUMPRODUCT(OFFSET($BJ$31,0,1-MIN(60,COLUMN()-29),1,MIN(60,COLUMN()-29)),OFFSET(FO609,0,-MIN(60,COLUMN()-29),1,MIN(60,COLUMN()-29))),0)</f>
        <v>0</v>
      </c>
      <c r="FP610" s="9" t="n">
        <f aca="true">IFERROR(SUMPRODUCT(OFFSET($BJ$31,0,1-MIN(60,COLUMN()-29),1,MIN(60,COLUMN()-29)),OFFSET(FP609,0,-MIN(60,COLUMN()-29),1,MIN(60,COLUMN()-29))),0)</f>
        <v>0</v>
      </c>
    </row>
    <row r="611" customFormat="false" ht="15" hidden="false" customHeight="false" outlineLevel="2" collapsed="false">
      <c r="B611" s="90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237"/>
      <c r="AD611" s="237"/>
      <c r="AE611" s="237"/>
      <c r="AF611" s="237"/>
      <c r="AG611" s="237"/>
      <c r="AH611" s="237"/>
      <c r="AI611" s="237"/>
      <c r="AJ611" s="237"/>
      <c r="AK611" s="237"/>
      <c r="AL611" s="237"/>
      <c r="AM611" s="237"/>
      <c r="AN611" s="237"/>
      <c r="AO611" s="237"/>
      <c r="AP611" s="237"/>
      <c r="AQ611" s="237"/>
      <c r="AR611" s="237"/>
      <c r="AS611" s="237"/>
      <c r="AT611" s="237"/>
      <c r="AU611" s="237"/>
      <c r="AV611" s="237"/>
      <c r="AW611" s="237"/>
      <c r="AX611" s="237"/>
      <c r="AY611" s="237"/>
      <c r="AZ611" s="237"/>
      <c r="BA611" s="237"/>
      <c r="BB611" s="237"/>
      <c r="BC611" s="237"/>
      <c r="BD611" s="237"/>
      <c r="BE611" s="237"/>
      <c r="BF611" s="237"/>
      <c r="BG611" s="237"/>
      <c r="BH611" s="237"/>
      <c r="BI611" s="237"/>
      <c r="BJ611" s="237"/>
      <c r="BK611" s="237"/>
      <c r="BL611" s="237"/>
      <c r="BM611" s="237"/>
      <c r="BN611" s="237"/>
      <c r="BO611" s="237"/>
      <c r="BP611" s="237"/>
      <c r="BQ611" s="237"/>
      <c r="BR611" s="237"/>
      <c r="BS611" s="237"/>
      <c r="BT611" s="237"/>
      <c r="BU611" s="237"/>
      <c r="BV611" s="237"/>
      <c r="BW611" s="237"/>
      <c r="BX611" s="237"/>
      <c r="BY611" s="237"/>
      <c r="BZ611" s="237"/>
      <c r="CA611" s="237"/>
      <c r="CB611" s="237"/>
      <c r="CC611" s="237"/>
      <c r="CD611" s="237"/>
      <c r="CE611" s="237"/>
      <c r="CF611" s="237"/>
      <c r="CG611" s="237"/>
      <c r="CH611" s="237"/>
      <c r="CI611" s="237"/>
      <c r="CJ611" s="237"/>
      <c r="CK611" s="237"/>
      <c r="CL611" s="237"/>
      <c r="CM611" s="237"/>
      <c r="CN611" s="237"/>
      <c r="CO611" s="237"/>
      <c r="CP611" s="237"/>
      <c r="CQ611" s="237"/>
      <c r="CR611" s="237"/>
      <c r="CS611" s="237"/>
      <c r="CT611" s="237"/>
      <c r="CU611" s="237"/>
      <c r="CV611" s="237"/>
      <c r="CW611" s="237"/>
      <c r="CX611" s="237"/>
      <c r="CY611" s="237"/>
      <c r="CZ611" s="237"/>
      <c r="DA611" s="237"/>
      <c r="DB611" s="237"/>
      <c r="DC611" s="237"/>
      <c r="DD611" s="237"/>
      <c r="DE611" s="237"/>
      <c r="DF611" s="237"/>
      <c r="DG611" s="237"/>
      <c r="DH611" s="237"/>
      <c r="DI611" s="237"/>
      <c r="DJ611" s="237"/>
      <c r="DK611" s="237"/>
      <c r="DL611" s="237"/>
      <c r="DM611" s="237"/>
      <c r="DN611" s="237"/>
      <c r="DO611" s="237"/>
      <c r="DP611" s="237"/>
      <c r="DQ611" s="237"/>
      <c r="DR611" s="237"/>
      <c r="DS611" s="237"/>
      <c r="DT611" s="237"/>
      <c r="DU611" s="237"/>
      <c r="DV611" s="237"/>
      <c r="DW611" s="237"/>
      <c r="DX611" s="237"/>
      <c r="DY611" s="237"/>
      <c r="DZ611" s="237"/>
      <c r="EA611" s="237"/>
      <c r="EB611" s="237"/>
      <c r="EC611" s="237"/>
      <c r="ED611" s="237"/>
      <c r="EE611" s="237"/>
      <c r="EF611" s="237"/>
      <c r="EG611" s="237"/>
      <c r="EH611" s="237"/>
      <c r="EI611" s="237"/>
      <c r="EJ611" s="237"/>
      <c r="EK611" s="237"/>
      <c r="EL611" s="237"/>
      <c r="EM611" s="237"/>
      <c r="EN611" s="237"/>
      <c r="EO611" s="237"/>
      <c r="EP611" s="237"/>
      <c r="EQ611" s="237"/>
      <c r="ER611" s="237"/>
      <c r="ES611" s="9"/>
      <c r="ET611" s="9"/>
      <c r="EU611" s="9"/>
      <c r="EV611" s="9"/>
      <c r="EW611" s="9"/>
      <c r="EX611" s="9"/>
      <c r="EY611" s="9"/>
      <c r="EZ611" s="9"/>
      <c r="FA611" s="9"/>
      <c r="FB611" s="9"/>
      <c r="FC611" s="9"/>
      <c r="FD611" s="9"/>
      <c r="FE611" s="9"/>
      <c r="FF611" s="9"/>
      <c r="FG611" s="9"/>
      <c r="FH611" s="9"/>
      <c r="FI611" s="9"/>
      <c r="FJ611" s="9"/>
      <c r="FK611" s="9"/>
      <c r="FL611" s="9"/>
      <c r="FM611" s="9"/>
      <c r="FN611" s="9"/>
      <c r="FO611" s="9"/>
      <c r="FP611" s="9"/>
    </row>
    <row r="612" customFormat="false" ht="15" hidden="false" customHeight="false" outlineLevel="2" collapsed="false">
      <c r="B612" s="240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237"/>
      <c r="AD612" s="237"/>
      <c r="AE612" s="237"/>
      <c r="AF612" s="237"/>
      <c r="AG612" s="237"/>
      <c r="AH612" s="237"/>
      <c r="AI612" s="237"/>
      <c r="AJ612" s="237"/>
      <c r="AK612" s="237"/>
      <c r="AL612" s="237"/>
      <c r="AM612" s="237"/>
      <c r="AN612" s="237"/>
      <c r="AO612" s="237"/>
      <c r="AP612" s="237"/>
      <c r="AQ612" s="237"/>
      <c r="AR612" s="237"/>
      <c r="AS612" s="237"/>
      <c r="AT612" s="237"/>
      <c r="AU612" s="237"/>
      <c r="AV612" s="237"/>
      <c r="AW612" s="237"/>
      <c r="AX612" s="237"/>
      <c r="AY612" s="237"/>
      <c r="AZ612" s="237"/>
      <c r="BA612" s="237"/>
      <c r="BB612" s="237"/>
      <c r="BC612" s="237"/>
      <c r="BD612" s="237"/>
      <c r="BE612" s="237"/>
      <c r="BF612" s="237"/>
      <c r="BG612" s="237"/>
      <c r="BH612" s="237"/>
      <c r="BI612" s="237"/>
      <c r="BJ612" s="237"/>
      <c r="BK612" s="237"/>
      <c r="BL612" s="237"/>
      <c r="BM612" s="237"/>
      <c r="BN612" s="237"/>
      <c r="BO612" s="237"/>
      <c r="BP612" s="237"/>
      <c r="BQ612" s="237"/>
      <c r="BR612" s="237"/>
      <c r="BS612" s="237"/>
      <c r="BT612" s="237"/>
      <c r="BU612" s="237"/>
      <c r="BV612" s="237"/>
      <c r="BW612" s="237"/>
      <c r="BX612" s="237"/>
      <c r="BY612" s="237"/>
      <c r="BZ612" s="237"/>
      <c r="CA612" s="237"/>
      <c r="CB612" s="237"/>
      <c r="CC612" s="237"/>
      <c r="CD612" s="237"/>
      <c r="CE612" s="237"/>
      <c r="CF612" s="237"/>
      <c r="CG612" s="237"/>
      <c r="CH612" s="237"/>
      <c r="CI612" s="237"/>
      <c r="CJ612" s="237"/>
      <c r="CK612" s="237"/>
      <c r="CL612" s="237"/>
      <c r="CM612" s="237"/>
      <c r="CN612" s="237"/>
      <c r="CO612" s="237"/>
      <c r="CP612" s="237"/>
      <c r="CQ612" s="237"/>
      <c r="CR612" s="237"/>
      <c r="CS612" s="237"/>
      <c r="CT612" s="237"/>
      <c r="CU612" s="237"/>
      <c r="CV612" s="237"/>
      <c r="CW612" s="237"/>
      <c r="CX612" s="237"/>
      <c r="CY612" s="237"/>
      <c r="CZ612" s="237"/>
      <c r="DA612" s="237"/>
      <c r="DB612" s="237"/>
      <c r="DC612" s="237"/>
      <c r="DD612" s="237"/>
      <c r="DE612" s="237"/>
      <c r="DF612" s="237"/>
      <c r="DG612" s="237"/>
      <c r="DH612" s="237"/>
      <c r="DI612" s="237"/>
      <c r="DJ612" s="237"/>
      <c r="DK612" s="237"/>
      <c r="DL612" s="237"/>
      <c r="DM612" s="237"/>
      <c r="DN612" s="237"/>
      <c r="DO612" s="237"/>
      <c r="DP612" s="237"/>
      <c r="DQ612" s="237"/>
      <c r="DR612" s="237"/>
      <c r="DS612" s="237"/>
      <c r="DT612" s="237"/>
      <c r="DU612" s="237"/>
      <c r="DV612" s="237"/>
      <c r="DW612" s="237"/>
      <c r="DX612" s="237"/>
      <c r="DY612" s="237"/>
      <c r="DZ612" s="237"/>
      <c r="EA612" s="237"/>
      <c r="EB612" s="237"/>
      <c r="EC612" s="237"/>
      <c r="ED612" s="237"/>
      <c r="EE612" s="237"/>
      <c r="EF612" s="237"/>
      <c r="EG612" s="237"/>
      <c r="EH612" s="237"/>
      <c r="EI612" s="237"/>
      <c r="EJ612" s="237"/>
      <c r="EK612" s="237"/>
      <c r="EL612" s="237"/>
      <c r="EM612" s="237"/>
      <c r="EN612" s="237"/>
      <c r="EO612" s="237"/>
      <c r="EP612" s="237"/>
      <c r="EQ612" s="237"/>
      <c r="ER612" s="237"/>
      <c r="ES612" s="9"/>
      <c r="ET612" s="9"/>
      <c r="EU612" s="9"/>
      <c r="EV612" s="9"/>
      <c r="EW612" s="9"/>
      <c r="EX612" s="9"/>
      <c r="EY612" s="9"/>
      <c r="EZ612" s="9"/>
      <c r="FA612" s="9"/>
      <c r="FB612" s="9"/>
      <c r="FC612" s="9"/>
      <c r="FD612" s="9"/>
      <c r="FE612" s="9"/>
      <c r="FF612" s="9"/>
      <c r="FG612" s="9"/>
      <c r="FH612" s="9"/>
      <c r="FI612" s="9"/>
      <c r="FJ612" s="9"/>
      <c r="FK612" s="9"/>
      <c r="FL612" s="9"/>
      <c r="FM612" s="9"/>
      <c r="FN612" s="9"/>
      <c r="FO612" s="9"/>
      <c r="FP612" s="9"/>
    </row>
    <row r="613" customFormat="false" ht="15" hidden="false" customHeight="false" outlineLevel="2" collapsed="false">
      <c r="B613" s="21" t="s">
        <v>934</v>
      </c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  <c r="BL613" s="21"/>
      <c r="BM613" s="21"/>
      <c r="BN613" s="21"/>
      <c r="BO613" s="21"/>
      <c r="BP613" s="21"/>
      <c r="BQ613" s="21"/>
      <c r="BR613" s="21"/>
      <c r="BS613" s="21"/>
      <c r="BT613" s="21"/>
      <c r="BU613" s="21"/>
      <c r="BV613" s="21"/>
      <c r="BW613" s="21"/>
      <c r="BX613" s="21"/>
      <c r="BY613" s="21"/>
      <c r="BZ613" s="21"/>
      <c r="CA613" s="21"/>
      <c r="CB613" s="21"/>
      <c r="CC613" s="21"/>
      <c r="CD613" s="21"/>
      <c r="CE613" s="21"/>
      <c r="CF613" s="21"/>
      <c r="CG613" s="21"/>
      <c r="CH613" s="21"/>
      <c r="CI613" s="21"/>
      <c r="CJ613" s="21"/>
      <c r="CK613" s="21"/>
      <c r="CL613" s="21"/>
      <c r="CM613" s="21"/>
      <c r="CN613" s="21"/>
      <c r="CO613" s="21"/>
      <c r="CP613" s="21"/>
      <c r="CQ613" s="21"/>
      <c r="CR613" s="21"/>
      <c r="CS613" s="21"/>
      <c r="CT613" s="21"/>
      <c r="CU613" s="21"/>
      <c r="CV613" s="21"/>
      <c r="CW613" s="21"/>
      <c r="CX613" s="21"/>
      <c r="CY613" s="21"/>
      <c r="CZ613" s="21"/>
      <c r="DA613" s="21"/>
      <c r="DB613" s="21"/>
      <c r="DC613" s="21"/>
      <c r="DD613" s="21"/>
      <c r="DE613" s="21"/>
      <c r="DF613" s="21"/>
      <c r="DG613" s="21"/>
      <c r="DH613" s="21"/>
      <c r="DI613" s="21"/>
      <c r="DJ613" s="21"/>
      <c r="DK613" s="21"/>
      <c r="DL613" s="21"/>
      <c r="DM613" s="21"/>
      <c r="DN613" s="21"/>
      <c r="DO613" s="21"/>
      <c r="DP613" s="21"/>
      <c r="DQ613" s="21"/>
      <c r="DR613" s="21"/>
      <c r="DS613" s="21"/>
      <c r="DT613" s="21"/>
      <c r="DU613" s="21"/>
      <c r="DV613" s="21"/>
      <c r="DW613" s="21"/>
      <c r="DX613" s="21"/>
      <c r="DY613" s="21"/>
      <c r="DZ613" s="21"/>
      <c r="EA613" s="21"/>
      <c r="EB613" s="21"/>
      <c r="EC613" s="21"/>
      <c r="ED613" s="21"/>
      <c r="EE613" s="21"/>
      <c r="EF613" s="21"/>
      <c r="EG613" s="21"/>
      <c r="EH613" s="21"/>
      <c r="EI613" s="21"/>
      <c r="EJ613" s="21"/>
      <c r="EK613" s="21"/>
      <c r="EL613" s="21"/>
      <c r="EM613" s="21"/>
      <c r="EN613" s="21"/>
      <c r="EO613" s="21"/>
      <c r="EP613" s="21"/>
      <c r="EQ613" s="21"/>
      <c r="ER613" s="21"/>
      <c r="ES613" s="9"/>
      <c r="ET613" s="9"/>
      <c r="EU613" s="9"/>
      <c r="EV613" s="9"/>
      <c r="EW613" s="9"/>
      <c r="EX613" s="9"/>
      <c r="EY613" s="9"/>
      <c r="EZ613" s="9"/>
      <c r="FA613" s="9"/>
      <c r="FB613" s="9"/>
      <c r="FC613" s="9"/>
      <c r="FD613" s="9"/>
      <c r="FE613" s="9"/>
      <c r="FF613" s="9"/>
      <c r="FG613" s="9"/>
      <c r="FH613" s="9"/>
      <c r="FI613" s="9"/>
      <c r="FJ613" s="9"/>
      <c r="FK613" s="9"/>
      <c r="FL613" s="9"/>
      <c r="FM613" s="9"/>
      <c r="FN613" s="9"/>
      <c r="FO613" s="9"/>
      <c r="FP613" s="9"/>
    </row>
    <row r="614" customFormat="false" ht="15" hidden="false" customHeight="false" outlineLevel="2" collapsed="false">
      <c r="B614" s="9" t="s">
        <v>872</v>
      </c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234" t="n">
        <f aca="false">('⑫ Roll-out Plan'!G66-2025)*12+'⑫ Roll-out Plan'!F66</f>
        <v>88</v>
      </c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9"/>
      <c r="DJ614" s="9"/>
      <c r="DK614" s="9"/>
      <c r="DL614" s="9"/>
      <c r="DM614" s="9"/>
      <c r="DN614" s="9"/>
      <c r="DO614" s="9"/>
      <c r="DP614" s="9"/>
      <c r="DQ614" s="9"/>
      <c r="DR614" s="9"/>
      <c r="DS614" s="9"/>
      <c r="DT614" s="9"/>
      <c r="DU614" s="9"/>
      <c r="DV614" s="9"/>
      <c r="DW614" s="9"/>
      <c r="DX614" s="9"/>
      <c r="DY614" s="9"/>
      <c r="DZ614" s="9"/>
      <c r="EA614" s="9"/>
      <c r="EB614" s="9"/>
      <c r="EC614" s="9"/>
      <c r="ED614" s="9"/>
      <c r="EE614" s="9"/>
      <c r="EF614" s="9"/>
      <c r="EG614" s="9"/>
      <c r="EH614" s="9"/>
      <c r="EI614" s="9"/>
      <c r="EJ614" s="9"/>
      <c r="EK614" s="9"/>
      <c r="EL614" s="9"/>
      <c r="EM614" s="9"/>
      <c r="EN614" s="9"/>
      <c r="EO614" s="9"/>
      <c r="EP614" s="9"/>
      <c r="EQ614" s="9"/>
      <c r="ER614" s="9"/>
      <c r="ES614" s="9"/>
      <c r="ET614" s="9"/>
      <c r="EU614" s="9"/>
      <c r="EV614" s="9"/>
      <c r="EW614" s="9"/>
      <c r="EX614" s="9"/>
      <c r="EY614" s="9"/>
      <c r="EZ614" s="9"/>
      <c r="FA614" s="9"/>
      <c r="FB614" s="9"/>
      <c r="FC614" s="9"/>
      <c r="FD614" s="9"/>
      <c r="FE614" s="9"/>
      <c r="FF614" s="9"/>
      <c r="FG614" s="9"/>
      <c r="FH614" s="9"/>
      <c r="FI614" s="9"/>
      <c r="FJ614" s="9"/>
      <c r="FK614" s="9"/>
      <c r="FL614" s="9"/>
      <c r="FM614" s="9"/>
      <c r="FN614" s="9"/>
      <c r="FO614" s="9"/>
      <c r="FP614" s="9"/>
    </row>
    <row r="615" customFormat="false" ht="15" hidden="false" customHeight="false" outlineLevel="2" collapsed="false">
      <c r="B615" s="9" t="s">
        <v>873</v>
      </c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235" t="n">
        <f aca="false">VLOOKUP("B",$B$14:$C$18,2,FALSE())</f>
        <v>185</v>
      </c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9"/>
      <c r="CS615" s="9"/>
      <c r="CT615" s="9"/>
      <c r="CU615" s="9"/>
      <c r="CV615" s="9"/>
      <c r="CW615" s="9"/>
      <c r="CX615" s="9"/>
      <c r="CY615" s="9"/>
      <c r="CZ615" s="9"/>
      <c r="DA615" s="9"/>
      <c r="DB615" s="9"/>
      <c r="DC615" s="9"/>
      <c r="DD615" s="9"/>
      <c r="DE615" s="9"/>
      <c r="DF615" s="9"/>
      <c r="DG615" s="9"/>
      <c r="DH615" s="9"/>
      <c r="DI615" s="9"/>
      <c r="DJ615" s="9"/>
      <c r="DK615" s="9"/>
      <c r="DL615" s="9"/>
      <c r="DM615" s="9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9"/>
      <c r="DY615" s="9"/>
      <c r="DZ615" s="9"/>
      <c r="EA615" s="9"/>
      <c r="EB615" s="9"/>
      <c r="EC615" s="9"/>
      <c r="ED615" s="9"/>
      <c r="EE615" s="9"/>
      <c r="EF615" s="9"/>
      <c r="EG615" s="9"/>
      <c r="EH615" s="9"/>
      <c r="EI615" s="9"/>
      <c r="EJ615" s="9"/>
      <c r="EK615" s="9"/>
      <c r="EL615" s="9"/>
      <c r="EM615" s="9"/>
      <c r="EN615" s="9"/>
      <c r="EO615" s="9"/>
      <c r="EP615" s="9"/>
      <c r="EQ615" s="9"/>
      <c r="ER615" s="9"/>
      <c r="ES615" s="9"/>
      <c r="ET615" s="9"/>
      <c r="EU615" s="9"/>
      <c r="EV615" s="9"/>
      <c r="EW615" s="9"/>
      <c r="EX615" s="9"/>
      <c r="EY615" s="9"/>
      <c r="EZ615" s="9"/>
      <c r="FA615" s="9"/>
      <c r="FB615" s="9"/>
      <c r="FC615" s="9"/>
      <c r="FD615" s="9"/>
      <c r="FE615" s="9"/>
      <c r="FF615" s="9"/>
      <c r="FG615" s="9"/>
      <c r="FH615" s="9"/>
      <c r="FI615" s="9"/>
      <c r="FJ615" s="9"/>
      <c r="FK615" s="9"/>
      <c r="FL615" s="9"/>
      <c r="FM615" s="9"/>
      <c r="FN615" s="9"/>
      <c r="FO615" s="9"/>
      <c r="FP615" s="9"/>
    </row>
    <row r="616" customFormat="false" ht="15" hidden="false" customHeight="false" outlineLevel="2" collapsed="false">
      <c r="B616" s="9" t="s">
        <v>799</v>
      </c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63" t="n">
        <f aca="false">IF(AC$35&gt;=$AC$614,AC$35-$AC$614+1,0)</f>
        <v>0</v>
      </c>
      <c r="AD616" s="63" t="n">
        <f aca="false">IF(AD$35&gt;=$AC$614,AD$35-$AC$614+1,0)</f>
        <v>0</v>
      </c>
      <c r="AE616" s="63" t="n">
        <f aca="false">IF(AE$35&gt;=$AC$614,AE$35-$AC$614+1,0)</f>
        <v>0</v>
      </c>
      <c r="AF616" s="63" t="n">
        <f aca="false">IF(AF$35&gt;=$AC$614,AF$35-$AC$614+1,0)</f>
        <v>0</v>
      </c>
      <c r="AG616" s="63" t="n">
        <f aca="false">IF(AG$35&gt;=$AC$614,AG$35-$AC$614+1,0)</f>
        <v>0</v>
      </c>
      <c r="AH616" s="63" t="n">
        <f aca="false">IF(AH$35&gt;=$AC$614,AH$35-$AC$614+1,0)</f>
        <v>0</v>
      </c>
      <c r="AI616" s="63" t="n">
        <f aca="false">IF(AI$35&gt;=$AC$614,AI$35-$AC$614+1,0)</f>
        <v>0</v>
      </c>
      <c r="AJ616" s="63" t="n">
        <f aca="false">IF(AJ$35&gt;=$AC$614,AJ$35-$AC$614+1,0)</f>
        <v>0</v>
      </c>
      <c r="AK616" s="63" t="n">
        <f aca="false">IF(AK$35&gt;=$AC$614,AK$35-$AC$614+1,0)</f>
        <v>0</v>
      </c>
      <c r="AL616" s="63" t="n">
        <f aca="false">IF(AL$35&gt;=$AC$614,AL$35-$AC$614+1,0)</f>
        <v>0</v>
      </c>
      <c r="AM616" s="63" t="n">
        <f aca="false">IF(AM$35&gt;=$AC$614,AM$35-$AC$614+1,0)</f>
        <v>0</v>
      </c>
      <c r="AN616" s="63" t="n">
        <f aca="false">IF(AN$35&gt;=$AC$614,AN$35-$AC$614+1,0)</f>
        <v>0</v>
      </c>
      <c r="AO616" s="63" t="n">
        <f aca="false">IF(AO$35&gt;=$AC$614,AO$35-$AC$614+1,0)</f>
        <v>0</v>
      </c>
      <c r="AP616" s="63" t="n">
        <f aca="false">IF(AP$35&gt;=$AC$614,AP$35-$AC$614+1,0)</f>
        <v>0</v>
      </c>
      <c r="AQ616" s="63" t="n">
        <f aca="false">IF(AQ$35&gt;=$AC$614,AQ$35-$AC$614+1,0)</f>
        <v>0</v>
      </c>
      <c r="AR616" s="63" t="n">
        <f aca="false">IF(AR$35&gt;=$AC$614,AR$35-$AC$614+1,0)</f>
        <v>0</v>
      </c>
      <c r="AS616" s="63" t="n">
        <f aca="false">IF(AS$35&gt;=$AC$614,AS$35-$AC$614+1,0)</f>
        <v>0</v>
      </c>
      <c r="AT616" s="63" t="n">
        <f aca="false">IF(AT$35&gt;=$AC$614,AT$35-$AC$614+1,0)</f>
        <v>0</v>
      </c>
      <c r="AU616" s="63" t="n">
        <f aca="false">IF(AU$35&gt;=$AC$614,AU$35-$AC$614+1,0)</f>
        <v>0</v>
      </c>
      <c r="AV616" s="63" t="n">
        <f aca="false">IF(AV$35&gt;=$AC$614,AV$35-$AC$614+1,0)</f>
        <v>0</v>
      </c>
      <c r="AW616" s="63" t="n">
        <f aca="false">IF(AW$35&gt;=$AC$614,AW$35-$AC$614+1,0)</f>
        <v>0</v>
      </c>
      <c r="AX616" s="63" t="n">
        <f aca="false">IF(AX$35&gt;=$AC$614,AX$35-$AC$614+1,0)</f>
        <v>0</v>
      </c>
      <c r="AY616" s="63" t="n">
        <f aca="false">IF(AY$35&gt;=$AC$614,AY$35-$AC$614+1,0)</f>
        <v>0</v>
      </c>
      <c r="AZ616" s="63" t="n">
        <f aca="false">IF(AZ$35&gt;=$AC$614,AZ$35-$AC$614+1,0)</f>
        <v>0</v>
      </c>
      <c r="BA616" s="63" t="n">
        <f aca="false">IF(BA$35&gt;=$AC$614,BA$35-$AC$614+1,0)</f>
        <v>0</v>
      </c>
      <c r="BB616" s="63" t="n">
        <f aca="false">IF(BB$35&gt;=$AC$614,BB$35-$AC$614+1,0)</f>
        <v>0</v>
      </c>
      <c r="BC616" s="63" t="n">
        <f aca="false">IF(BC$35&gt;=$AC$614,BC$35-$AC$614+1,0)</f>
        <v>0</v>
      </c>
      <c r="BD616" s="63" t="n">
        <f aca="false">IF(BD$35&gt;=$AC$614,BD$35-$AC$614+1,0)</f>
        <v>0</v>
      </c>
      <c r="BE616" s="63" t="n">
        <f aca="false">IF(BE$35&gt;=$AC$614,BE$35-$AC$614+1,0)</f>
        <v>0</v>
      </c>
      <c r="BF616" s="63" t="n">
        <f aca="false">IF(BF$35&gt;=$AC$614,BF$35-$AC$614+1,0)</f>
        <v>0</v>
      </c>
      <c r="BG616" s="63" t="n">
        <f aca="false">IF(BG$35&gt;=$AC$614,BG$35-$AC$614+1,0)</f>
        <v>0</v>
      </c>
      <c r="BH616" s="63" t="n">
        <f aca="false">IF(BH$35&gt;=$AC$614,BH$35-$AC$614+1,0)</f>
        <v>0</v>
      </c>
      <c r="BI616" s="63" t="n">
        <f aca="false">IF(BI$35&gt;=$AC$614,BI$35-$AC$614+1,0)</f>
        <v>0</v>
      </c>
      <c r="BJ616" s="63" t="n">
        <f aca="false">IF(BJ$35&gt;=$AC$614,BJ$35-$AC$614+1,0)</f>
        <v>0</v>
      </c>
      <c r="BK616" s="63" t="n">
        <f aca="false">IF(BK$35&gt;=$AC$614,BK$35-$AC$614+1,0)</f>
        <v>0</v>
      </c>
      <c r="BL616" s="63" t="n">
        <f aca="false">IF(BL$35&gt;=$AC$614,BL$35-$AC$614+1,0)</f>
        <v>0</v>
      </c>
      <c r="BM616" s="63" t="n">
        <f aca="false">IF(BM$35&gt;=$AC$614,BM$35-$AC$614+1,0)</f>
        <v>0</v>
      </c>
      <c r="BN616" s="63" t="n">
        <f aca="false">IF(BN$35&gt;=$AC$614,BN$35-$AC$614+1,0)</f>
        <v>0</v>
      </c>
      <c r="BO616" s="63" t="n">
        <f aca="false">IF(BO$35&gt;=$AC$614,BO$35-$AC$614+1,0)</f>
        <v>0</v>
      </c>
      <c r="BP616" s="63" t="n">
        <f aca="false">IF(BP$35&gt;=$AC$614,BP$35-$AC$614+1,0)</f>
        <v>0</v>
      </c>
      <c r="BQ616" s="63" t="n">
        <f aca="false">IF(BQ$35&gt;=$AC$614,BQ$35-$AC$614+1,0)</f>
        <v>0</v>
      </c>
      <c r="BR616" s="63" t="n">
        <f aca="false">IF(BR$35&gt;=$AC$614,BR$35-$AC$614+1,0)</f>
        <v>0</v>
      </c>
      <c r="BS616" s="63" t="n">
        <f aca="false">IF(BS$35&gt;=$AC$614,BS$35-$AC$614+1,0)</f>
        <v>0</v>
      </c>
      <c r="BT616" s="63" t="n">
        <f aca="false">IF(BT$35&gt;=$AC$614,BT$35-$AC$614+1,0)</f>
        <v>0</v>
      </c>
      <c r="BU616" s="63" t="n">
        <f aca="false">IF(BU$35&gt;=$AC$614,BU$35-$AC$614+1,0)</f>
        <v>0</v>
      </c>
      <c r="BV616" s="63" t="n">
        <f aca="false">IF(BV$35&gt;=$AC$614,BV$35-$AC$614+1,0)</f>
        <v>0</v>
      </c>
      <c r="BW616" s="63" t="n">
        <f aca="false">IF(BW$35&gt;=$AC$614,BW$35-$AC$614+1,0)</f>
        <v>0</v>
      </c>
      <c r="BX616" s="63" t="n">
        <f aca="false">IF(BX$35&gt;=$AC$614,BX$35-$AC$614+1,0)</f>
        <v>0</v>
      </c>
      <c r="BY616" s="63" t="n">
        <f aca="false">IF(BY$35&gt;=$AC$614,BY$35-$AC$614+1,0)</f>
        <v>0</v>
      </c>
      <c r="BZ616" s="63" t="n">
        <f aca="false">IF(BZ$35&gt;=$AC$614,BZ$35-$AC$614+1,0)</f>
        <v>0</v>
      </c>
      <c r="CA616" s="63" t="n">
        <f aca="false">IF(CA$35&gt;=$AC$614,CA$35-$AC$614+1,0)</f>
        <v>0</v>
      </c>
      <c r="CB616" s="63" t="n">
        <f aca="false">IF(CB$35&gt;=$AC$614,CB$35-$AC$614+1,0)</f>
        <v>0</v>
      </c>
      <c r="CC616" s="63" t="n">
        <f aca="false">IF(CC$35&gt;=$AC$614,CC$35-$AC$614+1,0)</f>
        <v>0</v>
      </c>
      <c r="CD616" s="63" t="n">
        <f aca="false">IF(CD$35&gt;=$AC$614,CD$35-$AC$614+1,0)</f>
        <v>0</v>
      </c>
      <c r="CE616" s="63" t="n">
        <f aca="false">IF(CE$35&gt;=$AC$614,CE$35-$AC$614+1,0)</f>
        <v>0</v>
      </c>
      <c r="CF616" s="63" t="n">
        <f aca="false">IF(CF$35&gt;=$AC$614,CF$35-$AC$614+1,0)</f>
        <v>0</v>
      </c>
      <c r="CG616" s="63" t="n">
        <f aca="false">IF(CG$35&gt;=$AC$614,CG$35-$AC$614+1,0)</f>
        <v>0</v>
      </c>
      <c r="CH616" s="63" t="n">
        <f aca="false">IF(CH$35&gt;=$AC$614,CH$35-$AC$614+1,0)</f>
        <v>0</v>
      </c>
      <c r="CI616" s="63" t="n">
        <f aca="false">IF(CI$35&gt;=$AC$614,CI$35-$AC$614+1,0)</f>
        <v>0</v>
      </c>
      <c r="CJ616" s="63" t="n">
        <f aca="false">IF(CJ$35&gt;=$AC$614,CJ$35-$AC$614+1,0)</f>
        <v>0</v>
      </c>
      <c r="CK616" s="63" t="n">
        <f aca="false">IF(CK$35&gt;=$AC$614,CK$35-$AC$614+1,0)</f>
        <v>0</v>
      </c>
      <c r="CL616" s="63" t="n">
        <f aca="false">IF(CL$35&gt;=$AC$614,CL$35-$AC$614+1,0)</f>
        <v>0</v>
      </c>
      <c r="CM616" s="63" t="n">
        <f aca="false">IF(CM$35&gt;=$AC$614,CM$35-$AC$614+1,0)</f>
        <v>0</v>
      </c>
      <c r="CN616" s="63" t="n">
        <f aca="false">IF(CN$35&gt;=$AC$614,CN$35-$AC$614+1,0)</f>
        <v>0</v>
      </c>
      <c r="CO616" s="63" t="n">
        <f aca="false">IF(CO$35&gt;=$AC$614,CO$35-$AC$614+1,0)</f>
        <v>0</v>
      </c>
      <c r="CP616" s="63" t="n">
        <f aca="false">IF(CP$35&gt;=$AC$614,CP$35-$AC$614+1,0)</f>
        <v>0</v>
      </c>
      <c r="CQ616" s="63" t="n">
        <f aca="false">IF(CQ$35&gt;=$AC$614,CQ$35-$AC$614+1,0)</f>
        <v>0</v>
      </c>
      <c r="CR616" s="63" t="n">
        <f aca="false">IF(CR$35&gt;=$AC$614,CR$35-$AC$614+1,0)</f>
        <v>0</v>
      </c>
      <c r="CS616" s="63" t="n">
        <f aca="false">IF(CS$35&gt;=$AC$614,CS$35-$AC$614+1,0)</f>
        <v>0</v>
      </c>
      <c r="CT616" s="63" t="n">
        <f aca="false">IF(CT$35&gt;=$AC$614,CT$35-$AC$614+1,0)</f>
        <v>0</v>
      </c>
      <c r="CU616" s="63" t="n">
        <f aca="false">IF(CU$35&gt;=$AC$614,CU$35-$AC$614+1,0)</f>
        <v>0</v>
      </c>
      <c r="CV616" s="63" t="n">
        <f aca="false">IF(CV$35&gt;=$AC$614,CV$35-$AC$614+1,0)</f>
        <v>0</v>
      </c>
      <c r="CW616" s="63" t="n">
        <f aca="false">IF(CW$35&gt;=$AC$614,CW$35-$AC$614+1,0)</f>
        <v>0</v>
      </c>
      <c r="CX616" s="63" t="n">
        <f aca="false">IF(CX$35&gt;=$AC$614,CX$35-$AC$614+1,0)</f>
        <v>0</v>
      </c>
      <c r="CY616" s="63" t="n">
        <f aca="false">IF(CY$35&gt;=$AC$614,CY$35-$AC$614+1,0)</f>
        <v>0</v>
      </c>
      <c r="CZ616" s="63" t="n">
        <f aca="false">IF(CZ$35&gt;=$AC$614,CZ$35-$AC$614+1,0)</f>
        <v>0</v>
      </c>
      <c r="DA616" s="63" t="n">
        <f aca="false">IF(DA$35&gt;=$AC$614,DA$35-$AC$614+1,0)</f>
        <v>0</v>
      </c>
      <c r="DB616" s="63" t="n">
        <f aca="false">IF(DB$35&gt;=$AC$614,DB$35-$AC$614+1,0)</f>
        <v>0</v>
      </c>
      <c r="DC616" s="63" t="n">
        <f aca="false">IF(DC$35&gt;=$AC$614,DC$35-$AC$614+1,0)</f>
        <v>0</v>
      </c>
      <c r="DD616" s="63" t="n">
        <f aca="false">IF(DD$35&gt;=$AC$614,DD$35-$AC$614+1,0)</f>
        <v>0</v>
      </c>
      <c r="DE616" s="63" t="n">
        <f aca="false">IF(DE$35&gt;=$AC$614,DE$35-$AC$614+1,0)</f>
        <v>0</v>
      </c>
      <c r="DF616" s="63" t="n">
        <f aca="false">IF(DF$35&gt;=$AC$614,DF$35-$AC$614+1,0)</f>
        <v>0</v>
      </c>
      <c r="DG616" s="63" t="n">
        <f aca="false">IF(DG$35&gt;=$AC$614,DG$35-$AC$614+1,0)</f>
        <v>0</v>
      </c>
      <c r="DH616" s="63" t="n">
        <f aca="false">IF(DH$35&gt;=$AC$614,DH$35-$AC$614+1,0)</f>
        <v>0</v>
      </c>
      <c r="DI616" s="63" t="n">
        <f aca="false">IF(DI$35&gt;=$AC$614,DI$35-$AC$614+1,0)</f>
        <v>0</v>
      </c>
      <c r="DJ616" s="63" t="n">
        <f aca="false">IF(DJ$35&gt;=$AC$614,DJ$35-$AC$614+1,0)</f>
        <v>0</v>
      </c>
      <c r="DK616" s="63" t="n">
        <f aca="false">IF(DK$35&gt;=$AC$614,DK$35-$AC$614+1,0)</f>
        <v>0</v>
      </c>
      <c r="DL616" s="63" t="n">
        <f aca="false">IF(DL$35&gt;=$AC$614,DL$35-$AC$614+1,0)</f>
        <v>1</v>
      </c>
      <c r="DM616" s="63" t="n">
        <f aca="false">IF(DM$35&gt;=$AC$614,DM$35-$AC$614+1,0)</f>
        <v>2</v>
      </c>
      <c r="DN616" s="63" t="n">
        <f aca="false">IF(DN$35&gt;=$AC$614,DN$35-$AC$614+1,0)</f>
        <v>3</v>
      </c>
      <c r="DO616" s="63" t="n">
        <f aca="false">IF(DO$35&gt;=$AC$614,DO$35-$AC$614+1,0)</f>
        <v>4</v>
      </c>
      <c r="DP616" s="63" t="n">
        <f aca="false">IF(DP$35&gt;=$AC$614,DP$35-$AC$614+1,0)</f>
        <v>5</v>
      </c>
      <c r="DQ616" s="63" t="n">
        <f aca="false">IF(DQ$35&gt;=$AC$614,DQ$35-$AC$614+1,0)</f>
        <v>6</v>
      </c>
      <c r="DR616" s="63" t="n">
        <f aca="false">IF(DR$35&gt;=$AC$614,DR$35-$AC$614+1,0)</f>
        <v>7</v>
      </c>
      <c r="DS616" s="63" t="n">
        <f aca="false">IF(DS$35&gt;=$AC$614,DS$35-$AC$614+1,0)</f>
        <v>8</v>
      </c>
      <c r="DT616" s="63" t="n">
        <f aca="false">IF(DT$35&gt;=$AC$614,DT$35-$AC$614+1,0)</f>
        <v>9</v>
      </c>
      <c r="DU616" s="63" t="n">
        <f aca="false">IF(DU$35&gt;=$AC$614,DU$35-$AC$614+1,0)</f>
        <v>10</v>
      </c>
      <c r="DV616" s="63" t="n">
        <f aca="false">IF(DV$35&gt;=$AC$614,DV$35-$AC$614+1,0)</f>
        <v>11</v>
      </c>
      <c r="DW616" s="63" t="n">
        <f aca="false">IF(DW$35&gt;=$AC$614,DW$35-$AC$614+1,0)</f>
        <v>12</v>
      </c>
      <c r="DX616" s="63" t="n">
        <f aca="false">IF(DX$35&gt;=$AC$614,DX$35-$AC$614+1,0)</f>
        <v>13</v>
      </c>
      <c r="DY616" s="63" t="n">
        <f aca="false">IF(DY$35&gt;=$AC$614,DY$35-$AC$614+1,0)</f>
        <v>14</v>
      </c>
      <c r="DZ616" s="63" t="n">
        <f aca="false">IF(DZ$35&gt;=$AC$614,DZ$35-$AC$614+1,0)</f>
        <v>15</v>
      </c>
      <c r="EA616" s="63" t="n">
        <f aca="false">IF(EA$35&gt;=$AC$614,EA$35-$AC$614+1,0)</f>
        <v>16</v>
      </c>
      <c r="EB616" s="63" t="n">
        <f aca="false">IF(EB$35&gt;=$AC$614,EB$35-$AC$614+1,0)</f>
        <v>17</v>
      </c>
      <c r="EC616" s="63" t="n">
        <f aca="false">IF(EC$35&gt;=$AC$614,EC$35-$AC$614+1,0)</f>
        <v>18</v>
      </c>
      <c r="ED616" s="63" t="n">
        <f aca="false">IF(ED$35&gt;=$AC$614,ED$35-$AC$614+1,0)</f>
        <v>19</v>
      </c>
      <c r="EE616" s="63" t="n">
        <f aca="false">IF(EE$35&gt;=$AC$614,EE$35-$AC$614+1,0)</f>
        <v>20</v>
      </c>
      <c r="EF616" s="63" t="n">
        <f aca="false">IF(EF$35&gt;=$AC$614,EF$35-$AC$614+1,0)</f>
        <v>21</v>
      </c>
      <c r="EG616" s="63" t="n">
        <f aca="false">IF(EG$35&gt;=$AC$614,EG$35-$AC$614+1,0)</f>
        <v>22</v>
      </c>
      <c r="EH616" s="63" t="n">
        <f aca="false">IF(EH$35&gt;=$AC$614,EH$35-$AC$614+1,0)</f>
        <v>23</v>
      </c>
      <c r="EI616" s="63" t="n">
        <f aca="false">IF(EI$35&gt;=$AC$614,EI$35-$AC$614+1,0)</f>
        <v>24</v>
      </c>
      <c r="EJ616" s="63" t="n">
        <f aca="false">IF(EJ$35&gt;=$AC$614,EJ$35-$AC$614+1,0)</f>
        <v>25</v>
      </c>
      <c r="EK616" s="63" t="n">
        <f aca="false">IF(EK$35&gt;=$AC$614,EK$35-$AC$614+1,0)</f>
        <v>26</v>
      </c>
      <c r="EL616" s="63" t="n">
        <f aca="false">IF(EL$35&gt;=$AC$614,EL$35-$AC$614+1,0)</f>
        <v>27</v>
      </c>
      <c r="EM616" s="63" t="n">
        <f aca="false">IF(EM$35&gt;=$AC$614,EM$35-$AC$614+1,0)</f>
        <v>28</v>
      </c>
      <c r="EN616" s="63" t="n">
        <f aca="false">IF(EN$35&gt;=$AC$614,EN$35-$AC$614+1,0)</f>
        <v>29</v>
      </c>
      <c r="EO616" s="63" t="n">
        <f aca="false">IF(EO$35&gt;=$AC$614,EO$35-$AC$614+1,0)</f>
        <v>30</v>
      </c>
      <c r="EP616" s="63" t="n">
        <f aca="false">IF(EP$35&gt;=$AC$614,EP$35-$AC$614+1,0)</f>
        <v>31</v>
      </c>
      <c r="EQ616" s="63" t="n">
        <f aca="false">IF(EQ$35&gt;=$AC$614,EQ$35-$AC$614+1,0)</f>
        <v>32</v>
      </c>
      <c r="ER616" s="63" t="n">
        <f aca="false">IF(ER$35&gt;=$AC$614,ER$35-$AC$614+1,0)</f>
        <v>33</v>
      </c>
      <c r="ES616" s="9" t="n">
        <f aca="false">IF(ES$35&gt;=$AC$614,ES$35-$AC$614+1,0)</f>
        <v>34</v>
      </c>
      <c r="ET616" s="9" t="n">
        <f aca="false">IF(ET$35&gt;=$AC$614,ET$35-$AC$614+1,0)</f>
        <v>35</v>
      </c>
      <c r="EU616" s="9" t="n">
        <f aca="false">IF(EU$35&gt;=$AC$614,EU$35-$AC$614+1,0)</f>
        <v>36</v>
      </c>
      <c r="EV616" s="9" t="n">
        <f aca="false">IF(EV$35&gt;=$AC$614,EV$35-$AC$614+1,0)</f>
        <v>37</v>
      </c>
      <c r="EW616" s="9" t="n">
        <f aca="false">IF(EW$35&gt;=$AC$614,EW$35-$AC$614+1,0)</f>
        <v>38</v>
      </c>
      <c r="EX616" s="9" t="n">
        <f aca="false">IF(EX$35&gt;=$AC$614,EX$35-$AC$614+1,0)</f>
        <v>39</v>
      </c>
      <c r="EY616" s="9" t="n">
        <f aca="false">IF(EY$35&gt;=$AC$614,EY$35-$AC$614+1,0)</f>
        <v>40</v>
      </c>
      <c r="EZ616" s="9" t="n">
        <f aca="false">IF(EZ$35&gt;=$AC$614,EZ$35-$AC$614+1,0)</f>
        <v>41</v>
      </c>
      <c r="FA616" s="9" t="n">
        <f aca="false">IF(FA$35&gt;=$AC$614,FA$35-$AC$614+1,0)</f>
        <v>42</v>
      </c>
      <c r="FB616" s="9" t="n">
        <f aca="false">IF(FB$35&gt;=$AC$614,FB$35-$AC$614+1,0)</f>
        <v>43</v>
      </c>
      <c r="FC616" s="9" t="n">
        <f aca="false">IF(FC$35&gt;=$AC$614,FC$35-$AC$614+1,0)</f>
        <v>44</v>
      </c>
      <c r="FD616" s="9" t="n">
        <f aca="false">IF(FD$35&gt;=$AC$614,FD$35-$AC$614+1,0)</f>
        <v>45</v>
      </c>
      <c r="FE616" s="9" t="n">
        <f aca="false">IF(FE$35&gt;=$AC$614,FE$35-$AC$614+1,0)</f>
        <v>46</v>
      </c>
      <c r="FF616" s="9" t="n">
        <f aca="false">IF(FF$35&gt;=$AC$614,FF$35-$AC$614+1,0)</f>
        <v>47</v>
      </c>
      <c r="FG616" s="9" t="n">
        <f aca="false">IF(FG$35&gt;=$AC$614,FG$35-$AC$614+1,0)</f>
        <v>48</v>
      </c>
      <c r="FH616" s="9" t="n">
        <f aca="false">IF(FH$35&gt;=$AC$614,FH$35-$AC$614+1,0)</f>
        <v>49</v>
      </c>
      <c r="FI616" s="9" t="n">
        <f aca="false">IF(FI$35&gt;=$AC$614,FI$35-$AC$614+1,0)</f>
        <v>50</v>
      </c>
      <c r="FJ616" s="9" t="n">
        <f aca="false">IF(FJ$35&gt;=$AC$614,FJ$35-$AC$614+1,0)</f>
        <v>51</v>
      </c>
      <c r="FK616" s="9" t="n">
        <f aca="false">IF(FK$35&gt;=$AC$614,FK$35-$AC$614+1,0)</f>
        <v>52</v>
      </c>
      <c r="FL616" s="9" t="n">
        <f aca="false">IF(FL$35&gt;=$AC$614,FL$35-$AC$614+1,0)</f>
        <v>53</v>
      </c>
      <c r="FM616" s="9" t="n">
        <f aca="false">IF(FM$35&gt;=$AC$614,FM$35-$AC$614+1,0)</f>
        <v>54</v>
      </c>
      <c r="FN616" s="9" t="n">
        <f aca="false">IF(FN$35&gt;=$AC$614,FN$35-$AC$614+1,0)</f>
        <v>55</v>
      </c>
      <c r="FO616" s="9" t="n">
        <f aca="false">IF(FO$35&gt;=$AC$614,FO$35-$AC$614+1,0)</f>
        <v>56</v>
      </c>
      <c r="FP616" s="9" t="n">
        <f aca="false">IF(FP$35&gt;=$AC$614,FP$35-$AC$614+1,0)</f>
        <v>57</v>
      </c>
    </row>
    <row r="617" customFormat="false" ht="15" hidden="false" customHeight="false" outlineLevel="2" collapsed="false">
      <c r="B617" s="9" t="s">
        <v>874</v>
      </c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236" t="n">
        <f aca="false" t="array" ref="AC617:AC617">IF(AC616=0,0,IF(AC616/'🎚️ Escenario'!$C$11&gt;=36,$AL$23,INDEX($C$23:$AL$23,MAX(1,ROUNDUP(AC616/'🎚️ Escenario'!$C$11,0)))))</f>
        <v>0</v>
      </c>
      <c r="AD617" s="236" t="n">
        <f aca="false" t="array" ref="AD617:AD617">IF(AD616=0,0,IF(AD616/'🎚️ Escenario'!$C$11&gt;=36,$AL$23,INDEX($C$23:$AL$23,MAX(1,ROUNDUP(AD616/'🎚️ Escenario'!$C$11,0)))))</f>
        <v>0</v>
      </c>
      <c r="AE617" s="236" t="n">
        <f aca="false" t="array" ref="AE617:AE617">IF(AE616=0,0,IF(AE616/'🎚️ Escenario'!$C$11&gt;=36,$AL$23,INDEX($C$23:$AL$23,MAX(1,ROUNDUP(AE616/'🎚️ Escenario'!$C$11,0)))))</f>
        <v>0</v>
      </c>
      <c r="AF617" s="236" t="n">
        <f aca="false" t="array" ref="AF617:AF617">IF(AF616=0,0,IF(AF616/'🎚️ Escenario'!$C$11&gt;=36,$AL$23,INDEX($C$23:$AL$23,MAX(1,ROUNDUP(AF616/'🎚️ Escenario'!$C$11,0)))))</f>
        <v>0</v>
      </c>
      <c r="AG617" s="236" t="n">
        <f aca="false" t="array" ref="AG617:AG617">IF(AG616=0,0,IF(AG616/'🎚️ Escenario'!$C$11&gt;=36,$AL$23,INDEX($C$23:$AL$23,MAX(1,ROUNDUP(AG616/'🎚️ Escenario'!$C$11,0)))))</f>
        <v>0</v>
      </c>
      <c r="AH617" s="236" t="n">
        <f aca="false" t="array" ref="AH617:AH617">IF(AH616=0,0,IF(AH616/'🎚️ Escenario'!$C$11&gt;=36,$AL$23,INDEX($C$23:$AL$23,MAX(1,ROUNDUP(AH616/'🎚️ Escenario'!$C$11,0)))))</f>
        <v>0</v>
      </c>
      <c r="AI617" s="236" t="n">
        <f aca="false" t="array" ref="AI617:AI617">IF(AI616=0,0,IF(AI616/'🎚️ Escenario'!$C$11&gt;=36,$AL$23,INDEX($C$23:$AL$23,MAX(1,ROUNDUP(AI616/'🎚️ Escenario'!$C$11,0)))))</f>
        <v>0</v>
      </c>
      <c r="AJ617" s="236" t="n">
        <f aca="false" t="array" ref="AJ617:AJ617">IF(AJ616=0,0,IF(AJ616/'🎚️ Escenario'!$C$11&gt;=36,$AL$23,INDEX($C$23:$AL$23,MAX(1,ROUNDUP(AJ616/'🎚️ Escenario'!$C$11,0)))))</f>
        <v>0</v>
      </c>
      <c r="AK617" s="236" t="n">
        <f aca="false" t="array" ref="AK617:AK617">IF(AK616=0,0,IF(AK616/'🎚️ Escenario'!$C$11&gt;=36,$AL$23,INDEX($C$23:$AL$23,MAX(1,ROUNDUP(AK616/'🎚️ Escenario'!$C$11,0)))))</f>
        <v>0</v>
      </c>
      <c r="AL617" s="236" t="n">
        <f aca="false" t="array" ref="AL617:AL617">IF(AL616=0,0,IF(AL616/'🎚️ Escenario'!$C$11&gt;=36,$AL$23,INDEX($C$23:$AL$23,MAX(1,ROUNDUP(AL616/'🎚️ Escenario'!$C$11,0)))))</f>
        <v>0</v>
      </c>
      <c r="AM617" s="236" t="n">
        <f aca="false" t="array" ref="AM617:AM617">IF(AM616=0,0,IF(AM616/'🎚️ Escenario'!$C$11&gt;=36,$AL$23,INDEX($C$23:$AL$23,MAX(1,ROUNDUP(AM616/'🎚️ Escenario'!$C$11,0)))))</f>
        <v>0</v>
      </c>
      <c r="AN617" s="236" t="n">
        <f aca="false" t="array" ref="AN617:AN617">IF(AN616=0,0,IF(AN616/'🎚️ Escenario'!$C$11&gt;=36,$AL$23,INDEX($C$23:$AL$23,MAX(1,ROUNDUP(AN616/'🎚️ Escenario'!$C$11,0)))))</f>
        <v>0</v>
      </c>
      <c r="AO617" s="236" t="n">
        <f aca="false" t="array" ref="AO617:AO617">IF(AO616=0,0,IF(AO616/'🎚️ Escenario'!$C$11&gt;=36,$AL$23,INDEX($C$23:$AL$23,MAX(1,ROUNDUP(AO616/'🎚️ Escenario'!$C$11,0)))))</f>
        <v>0</v>
      </c>
      <c r="AP617" s="236" t="n">
        <f aca="false" t="array" ref="AP617:AP617">IF(AP616=0,0,IF(AP616/'🎚️ Escenario'!$C$11&gt;=36,$AL$23,INDEX($C$23:$AL$23,MAX(1,ROUNDUP(AP616/'🎚️ Escenario'!$C$11,0)))))</f>
        <v>0</v>
      </c>
      <c r="AQ617" s="236" t="n">
        <f aca="false" t="array" ref="AQ617:AQ617">IF(AQ616=0,0,IF(AQ616/'🎚️ Escenario'!$C$11&gt;=36,$AL$23,INDEX($C$23:$AL$23,MAX(1,ROUNDUP(AQ616/'🎚️ Escenario'!$C$11,0)))))</f>
        <v>0</v>
      </c>
      <c r="AR617" s="236" t="n">
        <f aca="false" t="array" ref="AR617:AR617">IF(AR616=0,0,IF(AR616/'🎚️ Escenario'!$C$11&gt;=36,$AL$23,INDEX($C$23:$AL$23,MAX(1,ROUNDUP(AR616/'🎚️ Escenario'!$C$11,0)))))</f>
        <v>0</v>
      </c>
      <c r="AS617" s="236" t="n">
        <f aca="false" t="array" ref="AS617:AS617">IF(AS616=0,0,IF(AS616/'🎚️ Escenario'!$C$11&gt;=36,$AL$23,INDEX($C$23:$AL$23,MAX(1,ROUNDUP(AS616/'🎚️ Escenario'!$C$11,0)))))</f>
        <v>0</v>
      </c>
      <c r="AT617" s="236" t="n">
        <f aca="false" t="array" ref="AT617:AT617">IF(AT616=0,0,IF(AT616/'🎚️ Escenario'!$C$11&gt;=36,$AL$23,INDEX($C$23:$AL$23,MAX(1,ROUNDUP(AT616/'🎚️ Escenario'!$C$11,0)))))</f>
        <v>0</v>
      </c>
      <c r="AU617" s="236" t="n">
        <f aca="false" t="array" ref="AU617:AU617">IF(AU616=0,0,IF(AU616/'🎚️ Escenario'!$C$11&gt;=36,$AL$23,INDEX($C$23:$AL$23,MAX(1,ROUNDUP(AU616/'🎚️ Escenario'!$C$11,0)))))</f>
        <v>0</v>
      </c>
      <c r="AV617" s="236" t="n">
        <f aca="false" t="array" ref="AV617:AV617">IF(AV616=0,0,IF(AV616/'🎚️ Escenario'!$C$11&gt;=36,$AL$23,INDEX($C$23:$AL$23,MAX(1,ROUNDUP(AV616/'🎚️ Escenario'!$C$11,0)))))</f>
        <v>0</v>
      </c>
      <c r="AW617" s="236" t="n">
        <f aca="false" t="array" ref="AW617:AW617">IF(AW616=0,0,IF(AW616/'🎚️ Escenario'!$C$11&gt;=36,$AL$23,INDEX($C$23:$AL$23,MAX(1,ROUNDUP(AW616/'🎚️ Escenario'!$C$11,0)))))</f>
        <v>0</v>
      </c>
      <c r="AX617" s="236" t="n">
        <f aca="false" t="array" ref="AX617:AX617">IF(AX616=0,0,IF(AX616/'🎚️ Escenario'!$C$11&gt;=36,$AL$23,INDEX($C$23:$AL$23,MAX(1,ROUNDUP(AX616/'🎚️ Escenario'!$C$11,0)))))</f>
        <v>0</v>
      </c>
      <c r="AY617" s="236" t="n">
        <f aca="false" t="array" ref="AY617:AY617">IF(AY616=0,0,IF(AY616/'🎚️ Escenario'!$C$11&gt;=36,$AL$23,INDEX($C$23:$AL$23,MAX(1,ROUNDUP(AY616/'🎚️ Escenario'!$C$11,0)))))</f>
        <v>0</v>
      </c>
      <c r="AZ617" s="236" t="n">
        <f aca="false" t="array" ref="AZ617:AZ617">IF(AZ616=0,0,IF(AZ616/'🎚️ Escenario'!$C$11&gt;=36,$AL$23,INDEX($C$23:$AL$23,MAX(1,ROUNDUP(AZ616/'🎚️ Escenario'!$C$11,0)))))</f>
        <v>0</v>
      </c>
      <c r="BA617" s="236" t="n">
        <f aca="false" t="array" ref="BA617:BA617">IF(BA616=0,0,IF(BA616/'🎚️ Escenario'!$C$11&gt;=36,$AL$23,INDEX($C$23:$AL$23,MAX(1,ROUNDUP(BA616/'🎚️ Escenario'!$C$11,0)))))</f>
        <v>0</v>
      </c>
      <c r="BB617" s="236" t="n">
        <f aca="false" t="array" ref="BB617:BB617">IF(BB616=0,0,IF(BB616/'🎚️ Escenario'!$C$11&gt;=36,$AL$23,INDEX($C$23:$AL$23,MAX(1,ROUNDUP(BB616/'🎚️ Escenario'!$C$11,0)))))</f>
        <v>0</v>
      </c>
      <c r="BC617" s="236" t="n">
        <f aca="false" t="array" ref="BC617:BC617">IF(BC616=0,0,IF(BC616/'🎚️ Escenario'!$C$11&gt;=36,$AL$23,INDEX($C$23:$AL$23,MAX(1,ROUNDUP(BC616/'🎚️ Escenario'!$C$11,0)))))</f>
        <v>0</v>
      </c>
      <c r="BD617" s="236" t="n">
        <f aca="false" t="array" ref="BD617:BD617">IF(BD616=0,0,IF(BD616/'🎚️ Escenario'!$C$11&gt;=36,$AL$23,INDEX($C$23:$AL$23,MAX(1,ROUNDUP(BD616/'🎚️ Escenario'!$C$11,0)))))</f>
        <v>0</v>
      </c>
      <c r="BE617" s="236" t="n">
        <f aca="false" t="array" ref="BE617:BE617">IF(BE616=0,0,IF(BE616/'🎚️ Escenario'!$C$11&gt;=36,$AL$23,INDEX($C$23:$AL$23,MAX(1,ROUNDUP(BE616/'🎚️ Escenario'!$C$11,0)))))</f>
        <v>0</v>
      </c>
      <c r="BF617" s="236" t="n">
        <f aca="false" t="array" ref="BF617:BF617">IF(BF616=0,0,IF(BF616/'🎚️ Escenario'!$C$11&gt;=36,$AL$23,INDEX($C$23:$AL$23,MAX(1,ROUNDUP(BF616/'🎚️ Escenario'!$C$11,0)))))</f>
        <v>0</v>
      </c>
      <c r="BG617" s="236" t="n">
        <f aca="false" t="array" ref="BG617:BG617">IF(BG616=0,0,IF(BG616/'🎚️ Escenario'!$C$11&gt;=36,$AL$23,INDEX($C$23:$AL$23,MAX(1,ROUNDUP(BG616/'🎚️ Escenario'!$C$11,0)))))</f>
        <v>0</v>
      </c>
      <c r="BH617" s="236" t="n">
        <f aca="false" t="array" ref="BH617:BH617">IF(BH616=0,0,IF(BH616/'🎚️ Escenario'!$C$11&gt;=36,$AL$23,INDEX($C$23:$AL$23,MAX(1,ROUNDUP(BH616/'🎚️ Escenario'!$C$11,0)))))</f>
        <v>0</v>
      </c>
      <c r="BI617" s="236" t="n">
        <f aca="false" t="array" ref="BI617:BI617">IF(BI616=0,0,IF(BI616/'🎚️ Escenario'!$C$11&gt;=36,$AL$23,INDEX($C$23:$AL$23,MAX(1,ROUNDUP(BI616/'🎚️ Escenario'!$C$11,0)))))</f>
        <v>0</v>
      </c>
      <c r="BJ617" s="236" t="n">
        <f aca="false" t="array" ref="BJ617:BJ617">IF(BJ616=0,0,IF(BJ616/'🎚️ Escenario'!$C$11&gt;=36,$AL$23,INDEX($C$23:$AL$23,MAX(1,ROUNDUP(BJ616/'🎚️ Escenario'!$C$11,0)))))</f>
        <v>0</v>
      </c>
      <c r="BK617" s="236" t="n">
        <f aca="false" t="array" ref="BK617:BK617">IF(BK616=0,0,IF(BK616/'🎚️ Escenario'!$C$11&gt;=36,$AL$23,INDEX($C$23:$AL$23,MAX(1,ROUNDUP(BK616/'🎚️ Escenario'!$C$11,0)))))</f>
        <v>0</v>
      </c>
      <c r="BL617" s="236" t="n">
        <f aca="false" t="array" ref="BL617:BL617">IF(BL616=0,0,IF(BL616/'🎚️ Escenario'!$C$11&gt;=36,$AL$23,INDEX($C$23:$AL$23,MAX(1,ROUNDUP(BL616/'🎚️ Escenario'!$C$11,0)))))</f>
        <v>0</v>
      </c>
      <c r="BM617" s="236" t="n">
        <f aca="false" t="array" ref="BM617:BM617">IF(BM616=0,0,IF(BM616/'🎚️ Escenario'!$C$11&gt;=36,$AL$23,INDEX($C$23:$AL$23,MAX(1,ROUNDUP(BM616/'🎚️ Escenario'!$C$11,0)))))</f>
        <v>0</v>
      </c>
      <c r="BN617" s="236" t="n">
        <f aca="false" t="array" ref="BN617:BN617">IF(BN616=0,0,IF(BN616/'🎚️ Escenario'!$C$11&gt;=36,$AL$23,INDEX($C$23:$AL$23,MAX(1,ROUNDUP(BN616/'🎚️ Escenario'!$C$11,0)))))</f>
        <v>0</v>
      </c>
      <c r="BO617" s="236" t="n">
        <f aca="false" t="array" ref="BO617:BO617">IF(BO616=0,0,IF(BO616/'🎚️ Escenario'!$C$11&gt;=36,$AL$23,INDEX($C$23:$AL$23,MAX(1,ROUNDUP(BO616/'🎚️ Escenario'!$C$11,0)))))</f>
        <v>0</v>
      </c>
      <c r="BP617" s="236" t="n">
        <f aca="false" t="array" ref="BP617:BP617">IF(BP616=0,0,IF(BP616/'🎚️ Escenario'!$C$11&gt;=36,$AL$23,INDEX($C$23:$AL$23,MAX(1,ROUNDUP(BP616/'🎚️ Escenario'!$C$11,0)))))</f>
        <v>0</v>
      </c>
      <c r="BQ617" s="236" t="n">
        <f aca="false" t="array" ref="BQ617:BQ617">IF(BQ616=0,0,IF(BQ616/'🎚️ Escenario'!$C$11&gt;=36,$AL$23,INDEX($C$23:$AL$23,MAX(1,ROUNDUP(BQ616/'🎚️ Escenario'!$C$11,0)))))</f>
        <v>0</v>
      </c>
      <c r="BR617" s="236" t="n">
        <f aca="false" t="array" ref="BR617:BR617">IF(BR616=0,0,IF(BR616/'🎚️ Escenario'!$C$11&gt;=36,$AL$23,INDEX($C$23:$AL$23,MAX(1,ROUNDUP(BR616/'🎚️ Escenario'!$C$11,0)))))</f>
        <v>0</v>
      </c>
      <c r="BS617" s="236" t="n">
        <f aca="false" t="array" ref="BS617:BS617">IF(BS616=0,0,IF(BS616/'🎚️ Escenario'!$C$11&gt;=36,$AL$23,INDEX($C$23:$AL$23,MAX(1,ROUNDUP(BS616/'🎚️ Escenario'!$C$11,0)))))</f>
        <v>0</v>
      </c>
      <c r="BT617" s="236" t="n">
        <f aca="false" t="array" ref="BT617:BT617">IF(BT616=0,0,IF(BT616/'🎚️ Escenario'!$C$11&gt;=36,$AL$23,INDEX($C$23:$AL$23,MAX(1,ROUNDUP(BT616/'🎚️ Escenario'!$C$11,0)))))</f>
        <v>0</v>
      </c>
      <c r="BU617" s="236" t="n">
        <f aca="false" t="array" ref="BU617:BU617">IF(BU616=0,0,IF(BU616/'🎚️ Escenario'!$C$11&gt;=36,$AL$23,INDEX($C$23:$AL$23,MAX(1,ROUNDUP(BU616/'🎚️ Escenario'!$C$11,0)))))</f>
        <v>0</v>
      </c>
      <c r="BV617" s="236" t="n">
        <f aca="false" t="array" ref="BV617:BV617">IF(BV616=0,0,IF(BV616/'🎚️ Escenario'!$C$11&gt;=36,$AL$23,INDEX($C$23:$AL$23,MAX(1,ROUNDUP(BV616/'🎚️ Escenario'!$C$11,0)))))</f>
        <v>0</v>
      </c>
      <c r="BW617" s="236" t="n">
        <f aca="false" t="array" ref="BW617:BW617">IF(BW616=0,0,IF(BW616/'🎚️ Escenario'!$C$11&gt;=36,$AL$23,INDEX($C$23:$AL$23,MAX(1,ROUNDUP(BW616/'🎚️ Escenario'!$C$11,0)))))</f>
        <v>0</v>
      </c>
      <c r="BX617" s="236" t="n">
        <f aca="false" t="array" ref="BX617:BX617">IF(BX616=0,0,IF(BX616/'🎚️ Escenario'!$C$11&gt;=36,$AL$23,INDEX($C$23:$AL$23,MAX(1,ROUNDUP(BX616/'🎚️ Escenario'!$C$11,0)))))</f>
        <v>0</v>
      </c>
      <c r="BY617" s="236" t="n">
        <f aca="false" t="array" ref="BY617:BY617">IF(BY616=0,0,IF(BY616/'🎚️ Escenario'!$C$11&gt;=36,$AL$23,INDEX($C$23:$AL$23,MAX(1,ROUNDUP(BY616/'🎚️ Escenario'!$C$11,0)))))</f>
        <v>0</v>
      </c>
      <c r="BZ617" s="236" t="n">
        <f aca="false" t="array" ref="BZ617:BZ617">IF(BZ616=0,0,IF(BZ616/'🎚️ Escenario'!$C$11&gt;=36,$AL$23,INDEX($C$23:$AL$23,MAX(1,ROUNDUP(BZ616/'🎚️ Escenario'!$C$11,0)))))</f>
        <v>0</v>
      </c>
      <c r="CA617" s="236" t="n">
        <f aca="false" t="array" ref="CA617:CA617">IF(CA616=0,0,IF(CA616/'🎚️ Escenario'!$C$11&gt;=36,$AL$23,INDEX($C$23:$AL$23,MAX(1,ROUNDUP(CA616/'🎚️ Escenario'!$C$11,0)))))</f>
        <v>0</v>
      </c>
      <c r="CB617" s="236" t="n">
        <f aca="false" t="array" ref="CB617:CB617">IF(CB616=0,0,IF(CB616/'🎚️ Escenario'!$C$11&gt;=36,$AL$23,INDEX($C$23:$AL$23,MAX(1,ROUNDUP(CB616/'🎚️ Escenario'!$C$11,0)))))</f>
        <v>0</v>
      </c>
      <c r="CC617" s="236" t="n">
        <f aca="false" t="array" ref="CC617:CC617">IF(CC616=0,0,IF(CC616/'🎚️ Escenario'!$C$11&gt;=36,$AL$23,INDEX($C$23:$AL$23,MAX(1,ROUNDUP(CC616/'🎚️ Escenario'!$C$11,0)))))</f>
        <v>0</v>
      </c>
      <c r="CD617" s="236" t="n">
        <f aca="false" t="array" ref="CD617:CD617">IF(CD616=0,0,IF(CD616/'🎚️ Escenario'!$C$11&gt;=36,$AL$23,INDEX($C$23:$AL$23,MAX(1,ROUNDUP(CD616/'🎚️ Escenario'!$C$11,0)))))</f>
        <v>0</v>
      </c>
      <c r="CE617" s="236" t="n">
        <f aca="false" t="array" ref="CE617:CE617">IF(CE616=0,0,IF(CE616/'🎚️ Escenario'!$C$11&gt;=36,$AL$23,INDEX($C$23:$AL$23,MAX(1,ROUNDUP(CE616/'🎚️ Escenario'!$C$11,0)))))</f>
        <v>0</v>
      </c>
      <c r="CF617" s="236" t="n">
        <f aca="false" t="array" ref="CF617:CF617">IF(CF616=0,0,IF(CF616/'🎚️ Escenario'!$C$11&gt;=36,$AL$23,INDEX($C$23:$AL$23,MAX(1,ROUNDUP(CF616/'🎚️ Escenario'!$C$11,0)))))</f>
        <v>0</v>
      </c>
      <c r="CG617" s="236" t="n">
        <f aca="false" t="array" ref="CG617:CG617">IF(CG616=0,0,IF(CG616/'🎚️ Escenario'!$C$11&gt;=36,$AL$23,INDEX($C$23:$AL$23,MAX(1,ROUNDUP(CG616/'🎚️ Escenario'!$C$11,0)))))</f>
        <v>0</v>
      </c>
      <c r="CH617" s="236" t="n">
        <f aca="false" t="array" ref="CH617:CH617">IF(CH616=0,0,IF(CH616/'🎚️ Escenario'!$C$11&gt;=36,$AL$23,INDEX($C$23:$AL$23,MAX(1,ROUNDUP(CH616/'🎚️ Escenario'!$C$11,0)))))</f>
        <v>0</v>
      </c>
      <c r="CI617" s="236" t="n">
        <f aca="false" t="array" ref="CI617:CI617">IF(CI616=0,0,IF(CI616/'🎚️ Escenario'!$C$11&gt;=36,$AL$23,INDEX($C$23:$AL$23,MAX(1,ROUNDUP(CI616/'🎚️ Escenario'!$C$11,0)))))</f>
        <v>0</v>
      </c>
      <c r="CJ617" s="236" t="n">
        <f aca="false" t="array" ref="CJ617:CJ617">IF(CJ616=0,0,IF(CJ616/'🎚️ Escenario'!$C$11&gt;=36,$AL$23,INDEX($C$23:$AL$23,MAX(1,ROUNDUP(CJ616/'🎚️ Escenario'!$C$11,0)))))</f>
        <v>0</v>
      </c>
      <c r="CK617" s="236" t="n">
        <f aca="false" t="array" ref="CK617:CK617">IF(CK616=0,0,IF(CK616/'🎚️ Escenario'!$C$11&gt;=36,$AL$23,INDEX($C$23:$AL$23,MAX(1,ROUNDUP(CK616/'🎚️ Escenario'!$C$11,0)))))</f>
        <v>0</v>
      </c>
      <c r="CL617" s="236" t="n">
        <f aca="false" t="array" ref="CL617:CL617">IF(CL616=0,0,IF(CL616/'🎚️ Escenario'!$C$11&gt;=36,$AL$23,INDEX($C$23:$AL$23,MAX(1,ROUNDUP(CL616/'🎚️ Escenario'!$C$11,0)))))</f>
        <v>0</v>
      </c>
      <c r="CM617" s="236" t="n">
        <f aca="false" t="array" ref="CM617:CM617">IF(CM616=0,0,IF(CM616/'🎚️ Escenario'!$C$11&gt;=36,$AL$23,INDEX($C$23:$AL$23,MAX(1,ROUNDUP(CM616/'🎚️ Escenario'!$C$11,0)))))</f>
        <v>0</v>
      </c>
      <c r="CN617" s="236" t="n">
        <f aca="false" t="array" ref="CN617:CN617">IF(CN616=0,0,IF(CN616/'🎚️ Escenario'!$C$11&gt;=36,$AL$23,INDEX($C$23:$AL$23,MAX(1,ROUNDUP(CN616/'🎚️ Escenario'!$C$11,0)))))</f>
        <v>0</v>
      </c>
      <c r="CO617" s="236" t="n">
        <f aca="false" t="array" ref="CO617:CO617">IF(CO616=0,0,IF(CO616/'🎚️ Escenario'!$C$11&gt;=36,$AL$23,INDEX($C$23:$AL$23,MAX(1,ROUNDUP(CO616/'🎚️ Escenario'!$C$11,0)))))</f>
        <v>0</v>
      </c>
      <c r="CP617" s="236" t="n">
        <f aca="false" t="array" ref="CP617:CP617">IF(CP616=0,0,IF(CP616/'🎚️ Escenario'!$C$11&gt;=36,$AL$23,INDEX($C$23:$AL$23,MAX(1,ROUNDUP(CP616/'🎚️ Escenario'!$C$11,0)))))</f>
        <v>0</v>
      </c>
      <c r="CQ617" s="236" t="n">
        <f aca="false" t="array" ref="CQ617:CQ617">IF(CQ616=0,0,IF(CQ616/'🎚️ Escenario'!$C$11&gt;=36,$AL$23,INDEX($C$23:$AL$23,MAX(1,ROUNDUP(CQ616/'🎚️ Escenario'!$C$11,0)))))</f>
        <v>0</v>
      </c>
      <c r="CR617" s="236" t="n">
        <f aca="false" t="array" ref="CR617:CR617">IF(CR616=0,0,IF(CR616/'🎚️ Escenario'!$C$11&gt;=36,$AL$23,INDEX($C$23:$AL$23,MAX(1,ROUNDUP(CR616/'🎚️ Escenario'!$C$11,0)))))</f>
        <v>0</v>
      </c>
      <c r="CS617" s="236" t="n">
        <f aca="false" t="array" ref="CS617:CS617">IF(CS616=0,0,IF(CS616/'🎚️ Escenario'!$C$11&gt;=36,$AL$23,INDEX($C$23:$AL$23,MAX(1,ROUNDUP(CS616/'🎚️ Escenario'!$C$11,0)))))</f>
        <v>0</v>
      </c>
      <c r="CT617" s="236" t="n">
        <f aca="false" t="array" ref="CT617:CT617">IF(CT616=0,0,IF(CT616/'🎚️ Escenario'!$C$11&gt;=36,$AL$23,INDEX($C$23:$AL$23,MAX(1,ROUNDUP(CT616/'🎚️ Escenario'!$C$11,0)))))</f>
        <v>0</v>
      </c>
      <c r="CU617" s="236" t="n">
        <f aca="false" t="array" ref="CU617:CU617">IF(CU616=0,0,IF(CU616/'🎚️ Escenario'!$C$11&gt;=36,$AL$23,INDEX($C$23:$AL$23,MAX(1,ROUNDUP(CU616/'🎚️ Escenario'!$C$11,0)))))</f>
        <v>0</v>
      </c>
      <c r="CV617" s="236" t="n">
        <f aca="false" t="array" ref="CV617:CV617">IF(CV616=0,0,IF(CV616/'🎚️ Escenario'!$C$11&gt;=36,$AL$23,INDEX($C$23:$AL$23,MAX(1,ROUNDUP(CV616/'🎚️ Escenario'!$C$11,0)))))</f>
        <v>0</v>
      </c>
      <c r="CW617" s="236" t="n">
        <f aca="false" t="array" ref="CW617:CW617">IF(CW616=0,0,IF(CW616/'🎚️ Escenario'!$C$11&gt;=36,$AL$23,INDEX($C$23:$AL$23,MAX(1,ROUNDUP(CW616/'🎚️ Escenario'!$C$11,0)))))</f>
        <v>0</v>
      </c>
      <c r="CX617" s="236" t="n">
        <f aca="false" t="array" ref="CX617:CX617">IF(CX616=0,0,IF(CX616/'🎚️ Escenario'!$C$11&gt;=36,$AL$23,INDEX($C$23:$AL$23,MAX(1,ROUNDUP(CX616/'🎚️ Escenario'!$C$11,0)))))</f>
        <v>0</v>
      </c>
      <c r="CY617" s="236" t="n">
        <f aca="false" t="array" ref="CY617:CY617">IF(CY616=0,0,IF(CY616/'🎚️ Escenario'!$C$11&gt;=36,$AL$23,INDEX($C$23:$AL$23,MAX(1,ROUNDUP(CY616/'🎚️ Escenario'!$C$11,0)))))</f>
        <v>0</v>
      </c>
      <c r="CZ617" s="236" t="n">
        <f aca="false" t="array" ref="CZ617:CZ617">IF(CZ616=0,0,IF(CZ616/'🎚️ Escenario'!$C$11&gt;=36,$AL$23,INDEX($C$23:$AL$23,MAX(1,ROUNDUP(CZ616/'🎚️ Escenario'!$C$11,0)))))</f>
        <v>0</v>
      </c>
      <c r="DA617" s="236" t="n">
        <f aca="false" t="array" ref="DA617:DA617">IF(DA616=0,0,IF(DA616/'🎚️ Escenario'!$C$11&gt;=36,$AL$23,INDEX($C$23:$AL$23,MAX(1,ROUNDUP(DA616/'🎚️ Escenario'!$C$11,0)))))</f>
        <v>0</v>
      </c>
      <c r="DB617" s="236" t="n">
        <f aca="false" t="array" ref="DB617:DB617">IF(DB616=0,0,IF(DB616/'🎚️ Escenario'!$C$11&gt;=36,$AL$23,INDEX($C$23:$AL$23,MAX(1,ROUNDUP(DB616/'🎚️ Escenario'!$C$11,0)))))</f>
        <v>0</v>
      </c>
      <c r="DC617" s="236" t="n">
        <f aca="false" t="array" ref="DC617:DC617">IF(DC616=0,0,IF(DC616/'🎚️ Escenario'!$C$11&gt;=36,$AL$23,INDEX($C$23:$AL$23,MAX(1,ROUNDUP(DC616/'🎚️ Escenario'!$C$11,0)))))</f>
        <v>0</v>
      </c>
      <c r="DD617" s="236" t="n">
        <f aca="false" t="array" ref="DD617:DD617">IF(DD616=0,0,IF(DD616/'🎚️ Escenario'!$C$11&gt;=36,$AL$23,INDEX($C$23:$AL$23,MAX(1,ROUNDUP(DD616/'🎚️ Escenario'!$C$11,0)))))</f>
        <v>0</v>
      </c>
      <c r="DE617" s="236" t="n">
        <f aca="false" t="array" ref="DE617:DE617">IF(DE616=0,0,IF(DE616/'🎚️ Escenario'!$C$11&gt;=36,$AL$23,INDEX($C$23:$AL$23,MAX(1,ROUNDUP(DE616/'🎚️ Escenario'!$C$11,0)))))</f>
        <v>0</v>
      </c>
      <c r="DF617" s="236" t="n">
        <f aca="false" t="array" ref="DF617:DF617">IF(DF616=0,0,IF(DF616/'🎚️ Escenario'!$C$11&gt;=36,$AL$23,INDEX($C$23:$AL$23,MAX(1,ROUNDUP(DF616/'🎚️ Escenario'!$C$11,0)))))</f>
        <v>0</v>
      </c>
      <c r="DG617" s="236" t="n">
        <f aca="false" t="array" ref="DG617:DG617">IF(DG616=0,0,IF(DG616/'🎚️ Escenario'!$C$11&gt;=36,$AL$23,INDEX($C$23:$AL$23,MAX(1,ROUNDUP(DG616/'🎚️ Escenario'!$C$11,0)))))</f>
        <v>0</v>
      </c>
      <c r="DH617" s="236" t="n">
        <f aca="false" t="array" ref="DH617:DH617">IF(DH616=0,0,IF(DH616/'🎚️ Escenario'!$C$11&gt;=36,$AL$23,INDEX($C$23:$AL$23,MAX(1,ROUNDUP(DH616/'🎚️ Escenario'!$C$11,0)))))</f>
        <v>0</v>
      </c>
      <c r="DI617" s="236" t="n">
        <f aca="false" t="array" ref="DI617:DI617">IF(DI616=0,0,IF(DI616/'🎚️ Escenario'!$C$11&gt;=36,$AL$23,INDEX($C$23:$AL$23,MAX(1,ROUNDUP(DI616/'🎚️ Escenario'!$C$11,0)))))</f>
        <v>0</v>
      </c>
      <c r="DJ617" s="236" t="n">
        <f aca="false" t="array" ref="DJ617:DJ617">IF(DJ616=0,0,IF(DJ616/'🎚️ Escenario'!$C$11&gt;=36,$AL$23,INDEX($C$23:$AL$23,MAX(1,ROUNDUP(DJ616/'🎚️ Escenario'!$C$11,0)))))</f>
        <v>0</v>
      </c>
      <c r="DK617" s="236" t="n">
        <f aca="false" t="array" ref="DK617:DK617">IF(DK616=0,0,IF(DK616/'🎚️ Escenario'!$C$11&gt;=36,$AL$23,INDEX($C$23:$AL$23,MAX(1,ROUNDUP(DK616/'🎚️ Escenario'!$C$11,0)))))</f>
        <v>0</v>
      </c>
      <c r="DL617" s="236" t="n">
        <f aca="false" t="array" ref="DL617:DL617">IF(DL616=0,0,IF(DL616/'🎚️ Escenario'!$C$11&gt;=36,$AL$23,INDEX($C$23:$AL$23,MAX(1,ROUNDUP(DL616/'🎚️ Escenario'!$C$11,0)))))</f>
        <v>0.2</v>
      </c>
      <c r="DM617" s="236" t="n">
        <f aca="false" t="array" ref="DM617:DM617">IF(DM616=0,0,IF(DM616/'🎚️ Escenario'!$C$11&gt;=36,$AL$23,INDEX($C$23:$AL$23,MAX(1,ROUNDUP(DM616/'🎚️ Escenario'!$C$11,0)))))</f>
        <v>0.22</v>
      </c>
      <c r="DN617" s="236" t="n">
        <f aca="false" t="array" ref="DN617:DN617">IF(DN616=0,0,IF(DN616/'🎚️ Escenario'!$C$11&gt;=36,$AL$23,INDEX($C$23:$AL$23,MAX(1,ROUNDUP(DN616/'🎚️ Escenario'!$C$11,0)))))</f>
        <v>0.24</v>
      </c>
      <c r="DO617" s="236" t="n">
        <f aca="false" t="array" ref="DO617:DO617">IF(DO616=0,0,IF(DO616/'🎚️ Escenario'!$C$11&gt;=36,$AL$23,INDEX($C$23:$AL$23,MAX(1,ROUNDUP(DO616/'🎚️ Escenario'!$C$11,0)))))</f>
        <v>0.27</v>
      </c>
      <c r="DP617" s="236" t="n">
        <f aca="false" t="array" ref="DP617:DP617">IF(DP616=0,0,IF(DP616/'🎚️ Escenario'!$C$11&gt;=36,$AL$23,INDEX($C$23:$AL$23,MAX(1,ROUNDUP(DP616/'🎚️ Escenario'!$C$11,0)))))</f>
        <v>0.27</v>
      </c>
      <c r="DQ617" s="236" t="n">
        <f aca="false" t="array" ref="DQ617:DQ617">IF(DQ616=0,0,IF(DQ616/'🎚️ Escenario'!$C$11&gt;=36,$AL$23,INDEX($C$23:$AL$23,MAX(1,ROUNDUP(DQ616/'🎚️ Escenario'!$C$11,0)))))</f>
        <v>0.31</v>
      </c>
      <c r="DR617" s="236" t="n">
        <f aca="false" t="array" ref="DR617:DR617">IF(DR616=0,0,IF(DR616/'🎚️ Escenario'!$C$11&gt;=36,$AL$23,INDEX($C$23:$AL$23,MAX(1,ROUNDUP(DR616/'🎚️ Escenario'!$C$11,0)))))</f>
        <v>0.35</v>
      </c>
      <c r="DS617" s="236" t="n">
        <f aca="false" t="array" ref="DS617:DS617">IF(DS616=0,0,IF(DS616/'🎚️ Escenario'!$C$11&gt;=36,$AL$23,INDEX($C$23:$AL$23,MAX(1,ROUNDUP(DS616/'🎚️ Escenario'!$C$11,0)))))</f>
        <v>0.39</v>
      </c>
      <c r="DT617" s="236" t="n">
        <f aca="false" t="array" ref="DT617:DT617">IF(DT616=0,0,IF(DT616/'🎚️ Escenario'!$C$11&gt;=36,$AL$23,INDEX($C$23:$AL$23,MAX(1,ROUNDUP(DT616/'🎚️ Escenario'!$C$11,0)))))</f>
        <v>0.44</v>
      </c>
      <c r="DU617" s="236" t="n">
        <f aca="false" t="array" ref="DU617:DU617">IF(DU616=0,0,IF(DU616/'🎚️ Escenario'!$C$11&gt;=36,$AL$23,INDEX($C$23:$AL$23,MAX(1,ROUNDUP(DU616/'🎚️ Escenario'!$C$11,0)))))</f>
        <v>0.44</v>
      </c>
      <c r="DV617" s="236" t="n">
        <f aca="false" t="array" ref="DV617:DV617">IF(DV616=0,0,IF(DV616/'🎚️ Escenario'!$C$11&gt;=36,$AL$23,INDEX($C$23:$AL$23,MAX(1,ROUNDUP(DV616/'🎚️ Escenario'!$C$11,0)))))</f>
        <v>0.48</v>
      </c>
      <c r="DW617" s="236" t="n">
        <f aca="false" t="array" ref="DW617:DW617">IF(DW616=0,0,IF(DW616/'🎚️ Escenario'!$C$11&gt;=36,$AL$23,INDEX($C$23:$AL$23,MAX(1,ROUNDUP(DW616/'🎚️ Escenario'!$C$11,0)))))</f>
        <v>0.52</v>
      </c>
      <c r="DX617" s="236" t="n">
        <f aca="false" t="array" ref="DX617:DX617">IF(DX616=0,0,IF(DX616/'🎚️ Escenario'!$C$11&gt;=36,$AL$23,INDEX($C$23:$AL$23,MAX(1,ROUNDUP(DX616/'🎚️ Escenario'!$C$11,0)))))</f>
        <v>0.56</v>
      </c>
      <c r="DY617" s="236" t="n">
        <f aca="false" t="array" ref="DY617:DY617">IF(DY616=0,0,IF(DY616/'🎚️ Escenario'!$C$11&gt;=36,$AL$23,INDEX($C$23:$AL$23,MAX(1,ROUNDUP(DY616/'🎚️ Escenario'!$C$11,0)))))</f>
        <v>0.6</v>
      </c>
      <c r="DZ617" s="236" t="n">
        <f aca="false" t="array" ref="DZ617:DZ617">IF(DZ616=0,0,IF(DZ616/'🎚️ Escenario'!$C$11&gt;=36,$AL$23,INDEX($C$23:$AL$23,MAX(1,ROUNDUP(DZ616/'🎚️ Escenario'!$C$11,0)))))</f>
        <v>0.6</v>
      </c>
      <c r="EA617" s="236" t="n">
        <f aca="false" t="array" ref="EA617:EA617">IF(EA616=0,0,IF(EA616/'🎚️ Escenario'!$C$11&gt;=36,$AL$23,INDEX($C$23:$AL$23,MAX(1,ROUNDUP(EA616/'🎚️ Escenario'!$C$11,0)))))</f>
        <v>0.63</v>
      </c>
      <c r="EB617" s="236" t="n">
        <f aca="false" t="array" ref="EB617:EB617">IF(EB616=0,0,IF(EB616/'🎚️ Escenario'!$C$11&gt;=36,$AL$23,INDEX($C$23:$AL$23,MAX(1,ROUNDUP(EB616/'🎚️ Escenario'!$C$11,0)))))</f>
        <v>0.66</v>
      </c>
      <c r="EC617" s="236" t="n">
        <f aca="false" t="array" ref="EC617:EC617">IF(EC616=0,0,IF(EC616/'🎚️ Escenario'!$C$11&gt;=36,$AL$23,INDEX($C$23:$AL$23,MAX(1,ROUNDUP(EC616/'🎚️ Escenario'!$C$11,0)))))</f>
        <v>0.69</v>
      </c>
      <c r="ED617" s="236" t="n">
        <f aca="false" t="array" ref="ED617:ED617">IF(ED616=0,0,IF(ED616/'🎚️ Escenario'!$C$11&gt;=36,$AL$23,INDEX($C$23:$AL$23,MAX(1,ROUNDUP(ED616/'🎚️ Escenario'!$C$11,0)))))</f>
        <v>0.71</v>
      </c>
      <c r="EE617" s="236" t="n">
        <f aca="false" t="array" ref="EE617:EE617">IF(EE616=0,0,IF(EE616/'🎚️ Escenario'!$C$11&gt;=36,$AL$23,INDEX($C$23:$AL$23,MAX(1,ROUNDUP(EE616/'🎚️ Escenario'!$C$11,0)))))</f>
        <v>0.71</v>
      </c>
      <c r="EF617" s="236" t="n">
        <f aca="false" t="array" ref="EF617:EF617">IF(EF616=0,0,IF(EF616/'🎚️ Escenario'!$C$11&gt;=36,$AL$23,INDEX($C$23:$AL$23,MAX(1,ROUNDUP(EF616/'🎚️ Escenario'!$C$11,0)))))</f>
        <v>0.73</v>
      </c>
      <c r="EG617" s="236" t="n">
        <f aca="false" t="array" ref="EG617:EG617">IF(EG616=0,0,IF(EG616/'🎚️ Escenario'!$C$11&gt;=36,$AL$23,INDEX($C$23:$AL$23,MAX(1,ROUNDUP(EG616/'🎚️ Escenario'!$C$11,0)))))</f>
        <v>0.75</v>
      </c>
      <c r="EH617" s="236" t="n">
        <f aca="false" t="array" ref="EH617:EH617">IF(EH616=0,0,IF(EH616/'🎚️ Escenario'!$C$11&gt;=36,$AL$23,INDEX($C$23:$AL$23,MAX(1,ROUNDUP(EH616/'🎚️ Escenario'!$C$11,0)))))</f>
        <v>0.77</v>
      </c>
      <c r="EI617" s="236" t="n">
        <f aca="false" t="array" ref="EI617:EI617">IF(EI616=0,0,IF(EI616/'🎚️ Escenario'!$C$11&gt;=36,$AL$23,INDEX($C$23:$AL$23,MAX(1,ROUNDUP(EI616/'🎚️ Escenario'!$C$11,0)))))</f>
        <v>0.79</v>
      </c>
      <c r="EJ617" s="236" t="n">
        <f aca="false" t="array" ref="EJ617:EJ617">IF(EJ616=0,0,IF(EJ616/'🎚️ Escenario'!$C$11&gt;=36,$AL$23,INDEX($C$23:$AL$23,MAX(1,ROUNDUP(EJ616/'🎚️ Escenario'!$C$11,0)))))</f>
        <v>0.79</v>
      </c>
      <c r="EK617" s="236" t="n">
        <f aca="false" t="array" ref="EK617:EK617">IF(EK616=0,0,IF(EK616/'🎚️ Escenario'!$C$11&gt;=36,$AL$23,INDEX($C$23:$AL$23,MAX(1,ROUNDUP(EK616/'🎚️ Escenario'!$C$11,0)))))</f>
        <v>0.8</v>
      </c>
      <c r="EL617" s="236" t="n">
        <f aca="false" t="array" ref="EL617:EL617">IF(EL616=0,0,IF(EL616/'🎚️ Escenario'!$C$11&gt;=36,$AL$23,INDEX($C$23:$AL$23,MAX(1,ROUNDUP(EL616/'🎚️ Escenario'!$C$11,0)))))</f>
        <v>0.82</v>
      </c>
      <c r="EM617" s="236" t="n">
        <f aca="false" t="array" ref="EM617:EM617">IF(EM616=0,0,IF(EM616/'🎚️ Escenario'!$C$11&gt;=36,$AL$23,INDEX($C$23:$AL$23,MAX(1,ROUNDUP(EM616/'🎚️ Escenario'!$C$11,0)))))</f>
        <v>0.84</v>
      </c>
      <c r="EN617" s="236" t="n">
        <f aca="false" t="array" ref="EN617:EN617">IF(EN616=0,0,IF(EN616/'🎚️ Escenario'!$C$11&gt;=36,$AL$23,INDEX($C$23:$AL$23,MAX(1,ROUNDUP(EN616/'🎚️ Escenario'!$C$11,0)))))</f>
        <v>0.85</v>
      </c>
      <c r="EO617" s="236" t="n">
        <f aca="false" t="array" ref="EO617:EO617">IF(EO616=0,0,IF(EO616/'🎚️ Escenario'!$C$11&gt;=36,$AL$23,INDEX($C$23:$AL$23,MAX(1,ROUNDUP(EO616/'🎚️ Escenario'!$C$11,0)))))</f>
        <v>0.85</v>
      </c>
      <c r="EP617" s="236" t="n">
        <f aca="false" t="array" ref="EP617:EP617">IF(EP616=0,0,IF(EP616/'🎚️ Escenario'!$C$11&gt;=36,$AL$23,INDEX($C$23:$AL$23,MAX(1,ROUNDUP(EP616/'🎚️ Escenario'!$C$11,0)))))</f>
        <v>0.86</v>
      </c>
      <c r="EQ617" s="236" t="n">
        <f aca="false" t="array" ref="EQ617:EQ617">IF(EQ616=0,0,IF(EQ616/'🎚️ Escenario'!$C$11&gt;=36,$AL$23,INDEX($C$23:$AL$23,MAX(1,ROUNDUP(EQ616/'🎚️ Escenario'!$C$11,0)))))</f>
        <v>0.88</v>
      </c>
      <c r="ER617" s="236" t="n">
        <f aca="false" t="array" ref="ER617:ER617">IF(ER616=0,0,IF(ER616/'🎚️ Escenario'!$C$11&gt;=36,$AL$23,INDEX($C$23:$AL$23,MAX(1,ROUNDUP(ER616/'🎚️ Escenario'!$C$11,0)))))</f>
        <v>0.89</v>
      </c>
      <c r="ES617" s="9" t="n">
        <f aca="false" t="array" ref="ES617:ES617">IF(ES616=0,0,IF(ES616/'🎚️ Escenario'!$C$11&gt;=36,$AL$23,INDEX($C$23:$AL$23,MAX(1,ROUNDUP(ES616/'🎚️ Escenario'!$C$11,0)))))</f>
        <v>0.9</v>
      </c>
      <c r="ET617" s="9" t="n">
        <f aca="false" t="array" ref="ET617:ET617">IF(ET616=0,0,IF(ET616/'🎚️ Escenario'!$C$11&gt;=36,$AL$23,INDEX($C$23:$AL$23,MAX(1,ROUNDUP(ET616/'🎚️ Escenario'!$C$11,0)))))</f>
        <v>0.9</v>
      </c>
      <c r="EU617" s="9" t="n">
        <f aca="false" t="array" ref="EU617:EU617">IF(EU616=0,0,IF(EU616/'🎚️ Escenario'!$C$11&gt;=36,$AL$23,INDEX($C$23:$AL$23,MAX(1,ROUNDUP(EU616/'🎚️ Escenario'!$C$11,0)))))</f>
        <v>0.92</v>
      </c>
      <c r="EV617" s="9" t="n">
        <f aca="false" t="array" ref="EV617:EV617">IF(EV616=0,0,IF(EV616/'🎚️ Escenario'!$C$11&gt;=36,$AL$23,INDEX($C$23:$AL$23,MAX(1,ROUNDUP(EV616/'🎚️ Escenario'!$C$11,0)))))</f>
        <v>0.93</v>
      </c>
      <c r="EW617" s="9" t="n">
        <f aca="false" t="array" ref="EW617:EW617">IF(EW616=0,0,IF(EW616/'🎚️ Escenario'!$C$11&gt;=36,$AL$23,INDEX($C$23:$AL$23,MAX(1,ROUNDUP(EW616/'🎚️ Escenario'!$C$11,0)))))</f>
        <v>0.94</v>
      </c>
      <c r="EX617" s="9" t="n">
        <f aca="false" t="array" ref="EX617:EX617">IF(EX616=0,0,IF(EX616/'🎚️ Escenario'!$C$11&gt;=36,$AL$23,INDEX($C$23:$AL$23,MAX(1,ROUNDUP(EX616/'🎚️ Escenario'!$C$11,0)))))</f>
        <v>0.95</v>
      </c>
      <c r="EY617" s="9" t="n">
        <f aca="false" t="array" ref="EY617:EY617">IF(EY616=0,0,IF(EY616/'🎚️ Escenario'!$C$11&gt;=36,$AL$23,INDEX($C$23:$AL$23,MAX(1,ROUNDUP(EY616/'🎚️ Escenario'!$C$11,0)))))</f>
        <v>0.95</v>
      </c>
      <c r="EZ617" s="9" t="n">
        <f aca="false" t="array" ref="EZ617:EZ617">IF(EZ616=0,0,IF(EZ616/'🎚️ Escenario'!$C$11&gt;=36,$AL$23,INDEX($C$23:$AL$23,MAX(1,ROUNDUP(EZ616/'🎚️ Escenario'!$C$11,0)))))</f>
        <v>0.97</v>
      </c>
      <c r="FA617" s="9" t="n">
        <f aca="false" t="array" ref="FA617:FA617">IF(FA616=0,0,IF(FA616/'🎚️ Escenario'!$C$11&gt;=36,$AL$23,INDEX($C$23:$AL$23,MAX(1,ROUNDUP(FA616/'🎚️ Escenario'!$C$11,0)))))</f>
        <v>0.98</v>
      </c>
      <c r="FB617" s="9" t="n">
        <f aca="false" t="array" ref="FB617:FB617">IF(FB616=0,0,IF(FB616/'🎚️ Escenario'!$C$11&gt;=36,$AL$23,INDEX($C$23:$AL$23,MAX(1,ROUNDUP(FB616/'🎚️ Escenario'!$C$11,0)))))</f>
        <v>0.99</v>
      </c>
      <c r="FC617" s="9" t="n">
        <f aca="false" t="array" ref="FC617:FC617">IF(FC616=0,0,IF(FC616/'🎚️ Escenario'!$C$11&gt;=36,$AL$23,INDEX($C$23:$AL$23,MAX(1,ROUNDUP(FC616/'🎚️ Escenario'!$C$11,0)))))</f>
        <v>1</v>
      </c>
      <c r="FD617" s="9" t="n">
        <f aca="false" t="array" ref="FD617:FD617">IF(FD616=0,0,IF(FD616/'🎚️ Escenario'!$C$11&gt;=36,$AL$23,INDEX($C$23:$AL$23,MAX(1,ROUNDUP(FD616/'🎚️ Escenario'!$C$11,0)))))</f>
        <v>1</v>
      </c>
      <c r="FE617" s="9" t="n">
        <f aca="false" t="array" ref="FE617:FE617">IF(FE616=0,0,IF(FE616/'🎚️ Escenario'!$C$11&gt;=36,$AL$23,INDEX($C$23:$AL$23,MAX(1,ROUNDUP(FE616/'🎚️ Escenario'!$C$11,0)))))</f>
        <v>1</v>
      </c>
      <c r="FF617" s="9" t="n">
        <f aca="false" t="array" ref="FF617:FF617">IF(FF616=0,0,IF(FF616/'🎚️ Escenario'!$C$11&gt;=36,$AL$23,INDEX($C$23:$AL$23,MAX(1,ROUNDUP(FF616/'🎚️ Escenario'!$C$11,0)))))</f>
        <v>1</v>
      </c>
      <c r="FG617" s="9" t="n">
        <f aca="false" t="array" ref="FG617:FG617">IF(FG616=0,0,IF(FG616/'🎚️ Escenario'!$C$11&gt;=36,$AL$23,INDEX($C$23:$AL$23,MAX(1,ROUNDUP(FG616/'🎚️ Escenario'!$C$11,0)))))</f>
        <v>1</v>
      </c>
      <c r="FH617" s="9" t="n">
        <f aca="false" t="array" ref="FH617:FH617">IF(FH616=0,0,IF(FH616/'🎚️ Escenario'!$C$11&gt;=36,$AL$23,INDEX($C$23:$AL$23,MAX(1,ROUNDUP(FH616/'🎚️ Escenario'!$C$11,0)))))</f>
        <v>1</v>
      </c>
      <c r="FI617" s="9" t="n">
        <f aca="false" t="array" ref="FI617:FI617">IF(FI616=0,0,IF(FI616/'🎚️ Escenario'!$C$11&gt;=36,$AL$23,INDEX($C$23:$AL$23,MAX(1,ROUNDUP(FI616/'🎚️ Escenario'!$C$11,0)))))</f>
        <v>1</v>
      </c>
      <c r="FJ617" s="9" t="n">
        <f aca="false" t="array" ref="FJ617:FJ617">IF(FJ616=0,0,IF(FJ616/'🎚️ Escenario'!$C$11&gt;=36,$AL$23,INDEX($C$23:$AL$23,MAX(1,ROUNDUP(FJ616/'🎚️ Escenario'!$C$11,0)))))</f>
        <v>1</v>
      </c>
      <c r="FK617" s="9" t="n">
        <f aca="false" t="array" ref="FK617:FK617">IF(FK616=0,0,IF(FK616/'🎚️ Escenario'!$C$11&gt;=36,$AL$23,INDEX($C$23:$AL$23,MAX(1,ROUNDUP(FK616/'🎚️ Escenario'!$C$11,0)))))</f>
        <v>1</v>
      </c>
      <c r="FL617" s="9" t="n">
        <f aca="false" t="array" ref="FL617:FL617">IF(FL616=0,0,IF(FL616/'🎚️ Escenario'!$C$11&gt;=36,$AL$23,INDEX($C$23:$AL$23,MAX(1,ROUNDUP(FL616/'🎚️ Escenario'!$C$11,0)))))</f>
        <v>1</v>
      </c>
      <c r="FM617" s="9" t="n">
        <f aca="false" t="array" ref="FM617:FM617">IF(FM616=0,0,IF(FM616/'🎚️ Escenario'!$C$11&gt;=36,$AL$23,INDEX($C$23:$AL$23,MAX(1,ROUNDUP(FM616/'🎚️ Escenario'!$C$11,0)))))</f>
        <v>1</v>
      </c>
      <c r="FN617" s="9" t="n">
        <f aca="false" t="array" ref="FN617:FN617">IF(FN616=0,0,IF(FN616/'🎚️ Escenario'!$C$11&gt;=36,$AL$23,INDEX($C$23:$AL$23,MAX(1,ROUNDUP(FN616/'🎚️ Escenario'!$C$11,0)))))</f>
        <v>1</v>
      </c>
      <c r="FO617" s="9" t="n">
        <f aca="false" t="array" ref="FO617:FO617">IF(FO616=0,0,IF(FO616/'🎚️ Escenario'!$C$11&gt;=36,$AL$23,INDEX($C$23:$AL$23,MAX(1,ROUNDUP(FO616/'🎚️ Escenario'!$C$11,0)))))</f>
        <v>1</v>
      </c>
      <c r="FP617" s="9" t="n">
        <f aca="false" t="array" ref="FP617:FP617">IF(FP616=0,0,IF(FP616/'🎚️ Escenario'!$C$11&gt;=36,$AL$23,INDEX($C$23:$AL$23,MAX(1,ROUNDUP(FP616/'🎚️ Escenario'!$C$11,0)))))</f>
        <v>1</v>
      </c>
    </row>
    <row r="618" customFormat="false" ht="15" hidden="false" customHeight="false" outlineLevel="2" collapsed="false">
      <c r="B618" s="9" t="s">
        <v>875</v>
      </c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237" t="n">
        <f aca="false">IF(AC616=0,0,IF(AC616&lt;=12*'🎚️ Escenario'!$C$11,1,1+$C$6))</f>
        <v>0</v>
      </c>
      <c r="AD618" s="237" t="n">
        <f aca="false">IF(AD616=0,0,IF(AD616&lt;=12*'🎚️ Escenario'!$C$11,1,1+$C$6))</f>
        <v>0</v>
      </c>
      <c r="AE618" s="237" t="n">
        <f aca="false">IF(AE616=0,0,IF(AE616&lt;=12*'🎚️ Escenario'!$C$11,1,1+$C$6))</f>
        <v>0</v>
      </c>
      <c r="AF618" s="237" t="n">
        <f aca="false">IF(AF616=0,0,IF(AF616&lt;=12*'🎚️ Escenario'!$C$11,1,1+$C$6))</f>
        <v>0</v>
      </c>
      <c r="AG618" s="237" t="n">
        <f aca="false">IF(AG616=0,0,IF(AG616&lt;=12*'🎚️ Escenario'!$C$11,1,1+$C$6))</f>
        <v>0</v>
      </c>
      <c r="AH618" s="237" t="n">
        <f aca="false">IF(AH616=0,0,IF(AH616&lt;=12*'🎚️ Escenario'!$C$11,1,1+$C$6))</f>
        <v>0</v>
      </c>
      <c r="AI618" s="237" t="n">
        <f aca="false">IF(AI616=0,0,IF(AI616&lt;=12*'🎚️ Escenario'!$C$11,1,1+$C$6))</f>
        <v>0</v>
      </c>
      <c r="AJ618" s="237" t="n">
        <f aca="false">IF(AJ616=0,0,IF(AJ616&lt;=12*'🎚️ Escenario'!$C$11,1,1+$C$6))</f>
        <v>0</v>
      </c>
      <c r="AK618" s="237" t="n">
        <f aca="false">IF(AK616=0,0,IF(AK616&lt;=12*'🎚️ Escenario'!$C$11,1,1+$C$6))</f>
        <v>0</v>
      </c>
      <c r="AL618" s="237" t="n">
        <f aca="false">IF(AL616=0,0,IF(AL616&lt;=12*'🎚️ Escenario'!$C$11,1,1+$C$6))</f>
        <v>0</v>
      </c>
      <c r="AM618" s="237" t="n">
        <f aca="false">IF(AM616=0,0,IF(AM616&lt;=12*'🎚️ Escenario'!$C$11,1,1+$C$6))</f>
        <v>0</v>
      </c>
      <c r="AN618" s="237" t="n">
        <f aca="false">IF(AN616=0,0,IF(AN616&lt;=12*'🎚️ Escenario'!$C$11,1,1+$C$6))</f>
        <v>0</v>
      </c>
      <c r="AO618" s="237" t="n">
        <f aca="false">IF(AO616=0,0,IF(AO616&lt;=12*'🎚️ Escenario'!$C$11,1,1+$C$6))</f>
        <v>0</v>
      </c>
      <c r="AP618" s="237" t="n">
        <f aca="false">IF(AP616=0,0,IF(AP616&lt;=12*'🎚️ Escenario'!$C$11,1,1+$C$6))</f>
        <v>0</v>
      </c>
      <c r="AQ618" s="237" t="n">
        <f aca="false">IF(AQ616=0,0,IF(AQ616&lt;=12*'🎚️ Escenario'!$C$11,1,1+$C$6))</f>
        <v>0</v>
      </c>
      <c r="AR618" s="237" t="n">
        <f aca="false">IF(AR616=0,0,IF(AR616&lt;=12*'🎚️ Escenario'!$C$11,1,1+$C$6))</f>
        <v>0</v>
      </c>
      <c r="AS618" s="237" t="n">
        <f aca="false">IF(AS616=0,0,IF(AS616&lt;=12*'🎚️ Escenario'!$C$11,1,1+$C$6))</f>
        <v>0</v>
      </c>
      <c r="AT618" s="237" t="n">
        <f aca="false">IF(AT616=0,0,IF(AT616&lt;=12*'🎚️ Escenario'!$C$11,1,1+$C$6))</f>
        <v>0</v>
      </c>
      <c r="AU618" s="237" t="n">
        <f aca="false">IF(AU616=0,0,IF(AU616&lt;=12*'🎚️ Escenario'!$C$11,1,1+$C$6))</f>
        <v>0</v>
      </c>
      <c r="AV618" s="237" t="n">
        <f aca="false">IF(AV616=0,0,IF(AV616&lt;=12*'🎚️ Escenario'!$C$11,1,1+$C$6))</f>
        <v>0</v>
      </c>
      <c r="AW618" s="237" t="n">
        <f aca="false">IF(AW616=0,0,IF(AW616&lt;=12*'🎚️ Escenario'!$C$11,1,1+$C$6))</f>
        <v>0</v>
      </c>
      <c r="AX618" s="237" t="n">
        <f aca="false">IF(AX616=0,0,IF(AX616&lt;=12*'🎚️ Escenario'!$C$11,1,1+$C$6))</f>
        <v>0</v>
      </c>
      <c r="AY618" s="237" t="n">
        <f aca="false">IF(AY616=0,0,IF(AY616&lt;=12*'🎚️ Escenario'!$C$11,1,1+$C$6))</f>
        <v>0</v>
      </c>
      <c r="AZ618" s="237" t="n">
        <f aca="false">IF(AZ616=0,0,IF(AZ616&lt;=12*'🎚️ Escenario'!$C$11,1,1+$C$6))</f>
        <v>0</v>
      </c>
      <c r="BA618" s="237" t="n">
        <f aca="false">IF(BA616=0,0,IF(BA616&lt;=12*'🎚️ Escenario'!$C$11,1,1+$C$6))</f>
        <v>0</v>
      </c>
      <c r="BB618" s="237" t="n">
        <f aca="false">IF(BB616=0,0,IF(BB616&lt;=12*'🎚️ Escenario'!$C$11,1,1+$C$6))</f>
        <v>0</v>
      </c>
      <c r="BC618" s="237" t="n">
        <f aca="false">IF(BC616=0,0,IF(BC616&lt;=12*'🎚️ Escenario'!$C$11,1,1+$C$6))</f>
        <v>0</v>
      </c>
      <c r="BD618" s="237" t="n">
        <f aca="false">IF(BD616=0,0,IF(BD616&lt;=12*'🎚️ Escenario'!$C$11,1,1+$C$6))</f>
        <v>0</v>
      </c>
      <c r="BE618" s="237" t="n">
        <f aca="false">IF(BE616=0,0,IF(BE616&lt;=12*'🎚️ Escenario'!$C$11,1,1+$C$6))</f>
        <v>0</v>
      </c>
      <c r="BF618" s="237" t="n">
        <f aca="false">IF(BF616=0,0,IF(BF616&lt;=12*'🎚️ Escenario'!$C$11,1,1+$C$6))</f>
        <v>0</v>
      </c>
      <c r="BG618" s="237" t="n">
        <f aca="false">IF(BG616=0,0,IF(BG616&lt;=12*'🎚️ Escenario'!$C$11,1,1+$C$6))</f>
        <v>0</v>
      </c>
      <c r="BH618" s="237" t="n">
        <f aca="false">IF(BH616=0,0,IF(BH616&lt;=12*'🎚️ Escenario'!$C$11,1,1+$C$6))</f>
        <v>0</v>
      </c>
      <c r="BI618" s="237" t="n">
        <f aca="false">IF(BI616=0,0,IF(BI616&lt;=12*'🎚️ Escenario'!$C$11,1,1+$C$6))</f>
        <v>0</v>
      </c>
      <c r="BJ618" s="237" t="n">
        <f aca="false">IF(BJ616=0,0,IF(BJ616&lt;=12*'🎚️ Escenario'!$C$11,1,1+$C$6))</f>
        <v>0</v>
      </c>
      <c r="BK618" s="237" t="n">
        <f aca="false">IF(BK616=0,0,IF(BK616&lt;=12*'🎚️ Escenario'!$C$11,1,1+$C$6))</f>
        <v>0</v>
      </c>
      <c r="BL618" s="237" t="n">
        <f aca="false">IF(BL616=0,0,IF(BL616&lt;=12*'🎚️ Escenario'!$C$11,1,1+$C$6))</f>
        <v>0</v>
      </c>
      <c r="BM618" s="237" t="n">
        <f aca="false">IF(BM616=0,0,IF(BM616&lt;=12*'🎚️ Escenario'!$C$11,1,1+$C$6))</f>
        <v>0</v>
      </c>
      <c r="BN618" s="237" t="n">
        <f aca="false">IF(BN616=0,0,IF(BN616&lt;=12*'🎚️ Escenario'!$C$11,1,1+$C$6))</f>
        <v>0</v>
      </c>
      <c r="BO618" s="237" t="n">
        <f aca="false">IF(BO616=0,0,IF(BO616&lt;=12*'🎚️ Escenario'!$C$11,1,1+$C$6))</f>
        <v>0</v>
      </c>
      <c r="BP618" s="237" t="n">
        <f aca="false">IF(BP616=0,0,IF(BP616&lt;=12*'🎚️ Escenario'!$C$11,1,1+$C$6))</f>
        <v>0</v>
      </c>
      <c r="BQ618" s="237" t="n">
        <f aca="false">IF(BQ616=0,0,IF(BQ616&lt;=12*'🎚️ Escenario'!$C$11,1,1+$C$6))</f>
        <v>0</v>
      </c>
      <c r="BR618" s="237" t="n">
        <f aca="false">IF(BR616=0,0,IF(BR616&lt;=12*'🎚️ Escenario'!$C$11,1,1+$C$6))</f>
        <v>0</v>
      </c>
      <c r="BS618" s="237" t="n">
        <f aca="false">IF(BS616=0,0,IF(BS616&lt;=12*'🎚️ Escenario'!$C$11,1,1+$C$6))</f>
        <v>0</v>
      </c>
      <c r="BT618" s="237" t="n">
        <f aca="false">IF(BT616=0,0,IF(BT616&lt;=12*'🎚️ Escenario'!$C$11,1,1+$C$6))</f>
        <v>0</v>
      </c>
      <c r="BU618" s="237" t="n">
        <f aca="false">IF(BU616=0,0,IF(BU616&lt;=12*'🎚️ Escenario'!$C$11,1,1+$C$6))</f>
        <v>0</v>
      </c>
      <c r="BV618" s="237" t="n">
        <f aca="false">IF(BV616=0,0,IF(BV616&lt;=12*'🎚️ Escenario'!$C$11,1,1+$C$6))</f>
        <v>0</v>
      </c>
      <c r="BW618" s="237" t="n">
        <f aca="false">IF(BW616=0,0,IF(BW616&lt;=12*'🎚️ Escenario'!$C$11,1,1+$C$6))</f>
        <v>0</v>
      </c>
      <c r="BX618" s="237" t="n">
        <f aca="false">IF(BX616=0,0,IF(BX616&lt;=12*'🎚️ Escenario'!$C$11,1,1+$C$6))</f>
        <v>0</v>
      </c>
      <c r="BY618" s="237" t="n">
        <f aca="false">IF(BY616=0,0,IF(BY616&lt;=12*'🎚️ Escenario'!$C$11,1,1+$C$6))</f>
        <v>0</v>
      </c>
      <c r="BZ618" s="237" t="n">
        <f aca="false">IF(BZ616=0,0,IF(BZ616&lt;=12*'🎚️ Escenario'!$C$11,1,1+$C$6))</f>
        <v>0</v>
      </c>
      <c r="CA618" s="237" t="n">
        <f aca="false">IF(CA616=0,0,IF(CA616&lt;=12*'🎚️ Escenario'!$C$11,1,1+$C$6))</f>
        <v>0</v>
      </c>
      <c r="CB618" s="237" t="n">
        <f aca="false">IF(CB616=0,0,IF(CB616&lt;=12*'🎚️ Escenario'!$C$11,1,1+$C$6))</f>
        <v>0</v>
      </c>
      <c r="CC618" s="237" t="n">
        <f aca="false">IF(CC616=0,0,IF(CC616&lt;=12*'🎚️ Escenario'!$C$11,1,1+$C$6))</f>
        <v>0</v>
      </c>
      <c r="CD618" s="237" t="n">
        <f aca="false">IF(CD616=0,0,IF(CD616&lt;=12*'🎚️ Escenario'!$C$11,1,1+$C$6))</f>
        <v>0</v>
      </c>
      <c r="CE618" s="237" t="n">
        <f aca="false">IF(CE616=0,0,IF(CE616&lt;=12*'🎚️ Escenario'!$C$11,1,1+$C$6))</f>
        <v>0</v>
      </c>
      <c r="CF618" s="237" t="n">
        <f aca="false">IF(CF616=0,0,IF(CF616&lt;=12*'🎚️ Escenario'!$C$11,1,1+$C$6))</f>
        <v>0</v>
      </c>
      <c r="CG618" s="237" t="n">
        <f aca="false">IF(CG616=0,0,IF(CG616&lt;=12*'🎚️ Escenario'!$C$11,1,1+$C$6))</f>
        <v>0</v>
      </c>
      <c r="CH618" s="237" t="n">
        <f aca="false">IF(CH616=0,0,IF(CH616&lt;=12*'🎚️ Escenario'!$C$11,1,1+$C$6))</f>
        <v>0</v>
      </c>
      <c r="CI618" s="237" t="n">
        <f aca="false">IF(CI616=0,0,IF(CI616&lt;=12*'🎚️ Escenario'!$C$11,1,1+$C$6))</f>
        <v>0</v>
      </c>
      <c r="CJ618" s="237" t="n">
        <f aca="false">IF(CJ616=0,0,IF(CJ616&lt;=12*'🎚️ Escenario'!$C$11,1,1+$C$6))</f>
        <v>0</v>
      </c>
      <c r="CK618" s="237" t="n">
        <f aca="false">IF(CK616=0,0,IF(CK616&lt;=12*'🎚️ Escenario'!$C$11,1,1+$C$6))</f>
        <v>0</v>
      </c>
      <c r="CL618" s="237" t="n">
        <f aca="false">IF(CL616=0,0,IF(CL616&lt;=12*'🎚️ Escenario'!$C$11,1,1+$C$6))</f>
        <v>0</v>
      </c>
      <c r="CM618" s="237" t="n">
        <f aca="false">IF(CM616=0,0,IF(CM616&lt;=12*'🎚️ Escenario'!$C$11,1,1+$C$6))</f>
        <v>0</v>
      </c>
      <c r="CN618" s="237" t="n">
        <f aca="false">IF(CN616=0,0,IF(CN616&lt;=12*'🎚️ Escenario'!$C$11,1,1+$C$6))</f>
        <v>0</v>
      </c>
      <c r="CO618" s="237" t="n">
        <f aca="false">IF(CO616=0,0,IF(CO616&lt;=12*'🎚️ Escenario'!$C$11,1,1+$C$6))</f>
        <v>0</v>
      </c>
      <c r="CP618" s="237" t="n">
        <f aca="false">IF(CP616=0,0,IF(CP616&lt;=12*'🎚️ Escenario'!$C$11,1,1+$C$6))</f>
        <v>0</v>
      </c>
      <c r="CQ618" s="237" t="n">
        <f aca="false">IF(CQ616=0,0,IF(CQ616&lt;=12*'🎚️ Escenario'!$C$11,1,1+$C$6))</f>
        <v>0</v>
      </c>
      <c r="CR618" s="237" t="n">
        <f aca="false">IF(CR616=0,0,IF(CR616&lt;=12*'🎚️ Escenario'!$C$11,1,1+$C$6))</f>
        <v>0</v>
      </c>
      <c r="CS618" s="237" t="n">
        <f aca="false">IF(CS616=0,0,IF(CS616&lt;=12*'🎚️ Escenario'!$C$11,1,1+$C$6))</f>
        <v>0</v>
      </c>
      <c r="CT618" s="237" t="n">
        <f aca="false">IF(CT616=0,0,IF(CT616&lt;=12*'🎚️ Escenario'!$C$11,1,1+$C$6))</f>
        <v>0</v>
      </c>
      <c r="CU618" s="237" t="n">
        <f aca="false">IF(CU616=0,0,IF(CU616&lt;=12*'🎚️ Escenario'!$C$11,1,1+$C$6))</f>
        <v>0</v>
      </c>
      <c r="CV618" s="237" t="n">
        <f aca="false">IF(CV616=0,0,IF(CV616&lt;=12*'🎚️ Escenario'!$C$11,1,1+$C$6))</f>
        <v>0</v>
      </c>
      <c r="CW618" s="237" t="n">
        <f aca="false">IF(CW616=0,0,IF(CW616&lt;=12*'🎚️ Escenario'!$C$11,1,1+$C$6))</f>
        <v>0</v>
      </c>
      <c r="CX618" s="237" t="n">
        <f aca="false">IF(CX616=0,0,IF(CX616&lt;=12*'🎚️ Escenario'!$C$11,1,1+$C$6))</f>
        <v>0</v>
      </c>
      <c r="CY618" s="237" t="n">
        <f aca="false">IF(CY616=0,0,IF(CY616&lt;=12*'🎚️ Escenario'!$C$11,1,1+$C$6))</f>
        <v>0</v>
      </c>
      <c r="CZ618" s="237" t="n">
        <f aca="false">IF(CZ616=0,0,IF(CZ616&lt;=12*'🎚️ Escenario'!$C$11,1,1+$C$6))</f>
        <v>0</v>
      </c>
      <c r="DA618" s="237" t="n">
        <f aca="false">IF(DA616=0,0,IF(DA616&lt;=12*'🎚️ Escenario'!$C$11,1,1+$C$6))</f>
        <v>0</v>
      </c>
      <c r="DB618" s="237" t="n">
        <f aca="false">IF(DB616=0,0,IF(DB616&lt;=12*'🎚️ Escenario'!$C$11,1,1+$C$6))</f>
        <v>0</v>
      </c>
      <c r="DC618" s="237" t="n">
        <f aca="false">IF(DC616=0,0,IF(DC616&lt;=12*'🎚️ Escenario'!$C$11,1,1+$C$6))</f>
        <v>0</v>
      </c>
      <c r="DD618" s="237" t="n">
        <f aca="false">IF(DD616=0,0,IF(DD616&lt;=12*'🎚️ Escenario'!$C$11,1,1+$C$6))</f>
        <v>0</v>
      </c>
      <c r="DE618" s="237" t="n">
        <f aca="false">IF(DE616=0,0,IF(DE616&lt;=12*'🎚️ Escenario'!$C$11,1,1+$C$6))</f>
        <v>0</v>
      </c>
      <c r="DF618" s="237" t="n">
        <f aca="false">IF(DF616=0,0,IF(DF616&lt;=12*'🎚️ Escenario'!$C$11,1,1+$C$6))</f>
        <v>0</v>
      </c>
      <c r="DG618" s="237" t="n">
        <f aca="false">IF(DG616=0,0,IF(DG616&lt;=12*'🎚️ Escenario'!$C$11,1,1+$C$6))</f>
        <v>0</v>
      </c>
      <c r="DH618" s="237" t="n">
        <f aca="false">IF(DH616=0,0,IF(DH616&lt;=12*'🎚️ Escenario'!$C$11,1,1+$C$6))</f>
        <v>0</v>
      </c>
      <c r="DI618" s="237" t="n">
        <f aca="false">IF(DI616=0,0,IF(DI616&lt;=12*'🎚️ Escenario'!$C$11,1,1+$C$6))</f>
        <v>0</v>
      </c>
      <c r="DJ618" s="237" t="n">
        <f aca="false">IF(DJ616=0,0,IF(DJ616&lt;=12*'🎚️ Escenario'!$C$11,1,1+$C$6))</f>
        <v>0</v>
      </c>
      <c r="DK618" s="237" t="n">
        <f aca="false">IF(DK616=0,0,IF(DK616&lt;=12*'🎚️ Escenario'!$C$11,1,1+$C$6))</f>
        <v>0</v>
      </c>
      <c r="DL618" s="237" t="n">
        <f aca="false">IF(DL616=0,0,IF(DL616&lt;=12*'🎚️ Escenario'!$C$11,1,1+$C$6))</f>
        <v>1</v>
      </c>
      <c r="DM618" s="237" t="n">
        <f aca="false">IF(DM616=0,0,IF(DM616&lt;=12*'🎚️ Escenario'!$C$11,1,1+$C$6))</f>
        <v>1</v>
      </c>
      <c r="DN618" s="237" t="n">
        <f aca="false">IF(DN616=0,0,IF(DN616&lt;=12*'🎚️ Escenario'!$C$11,1,1+$C$6))</f>
        <v>1</v>
      </c>
      <c r="DO618" s="237" t="n">
        <f aca="false">IF(DO616=0,0,IF(DO616&lt;=12*'🎚️ Escenario'!$C$11,1,1+$C$6))</f>
        <v>1</v>
      </c>
      <c r="DP618" s="237" t="n">
        <f aca="false">IF(DP616=0,0,IF(DP616&lt;=12*'🎚️ Escenario'!$C$11,1,1+$C$6))</f>
        <v>1</v>
      </c>
      <c r="DQ618" s="237" t="n">
        <f aca="false">IF(DQ616=0,0,IF(DQ616&lt;=12*'🎚️ Escenario'!$C$11,1,1+$C$6))</f>
        <v>1</v>
      </c>
      <c r="DR618" s="237" t="n">
        <f aca="false">IF(DR616=0,0,IF(DR616&lt;=12*'🎚️ Escenario'!$C$11,1,1+$C$6))</f>
        <v>1</v>
      </c>
      <c r="DS618" s="237" t="n">
        <f aca="false">IF(DS616=0,0,IF(DS616&lt;=12*'🎚️ Escenario'!$C$11,1,1+$C$6))</f>
        <v>1</v>
      </c>
      <c r="DT618" s="237" t="n">
        <f aca="false">IF(DT616=0,0,IF(DT616&lt;=12*'🎚️ Escenario'!$C$11,1,1+$C$6))</f>
        <v>1</v>
      </c>
      <c r="DU618" s="237" t="n">
        <f aca="false">IF(DU616=0,0,IF(DU616&lt;=12*'🎚️ Escenario'!$C$11,1,1+$C$6))</f>
        <v>1</v>
      </c>
      <c r="DV618" s="237" t="n">
        <f aca="false">IF(DV616=0,0,IF(DV616&lt;=12*'🎚️ Escenario'!$C$11,1,1+$C$6))</f>
        <v>1</v>
      </c>
      <c r="DW618" s="237" t="n">
        <f aca="false">IF(DW616=0,0,IF(DW616&lt;=12*'🎚️ Escenario'!$C$11,1,1+$C$6))</f>
        <v>1</v>
      </c>
      <c r="DX618" s="237" t="n">
        <f aca="false">IF(DX616=0,0,IF(DX616&lt;=12*'🎚️ Escenario'!$C$11,1,1+$C$6))</f>
        <v>1</v>
      </c>
      <c r="DY618" s="237" t="n">
        <f aca="false">IF(DY616=0,0,IF(DY616&lt;=12*'🎚️ Escenario'!$C$11,1,1+$C$6))</f>
        <v>1</v>
      </c>
      <c r="DZ618" s="237" t="n">
        <f aca="false">IF(DZ616=0,0,IF(DZ616&lt;=12*'🎚️ Escenario'!$C$11,1,1+$C$6))</f>
        <v>1</v>
      </c>
      <c r="EA618" s="237" t="n">
        <f aca="false">IF(EA616=0,0,IF(EA616&lt;=12*'🎚️ Escenario'!$C$11,1,1+$C$6))</f>
        <v>1.2</v>
      </c>
      <c r="EB618" s="237" t="n">
        <f aca="false">IF(EB616=0,0,IF(EB616&lt;=12*'🎚️ Escenario'!$C$11,1,1+$C$6))</f>
        <v>1.2</v>
      </c>
      <c r="EC618" s="237" t="n">
        <f aca="false">IF(EC616=0,0,IF(EC616&lt;=12*'🎚️ Escenario'!$C$11,1,1+$C$6))</f>
        <v>1.2</v>
      </c>
      <c r="ED618" s="237" t="n">
        <f aca="false">IF(ED616=0,0,IF(ED616&lt;=12*'🎚️ Escenario'!$C$11,1,1+$C$6))</f>
        <v>1.2</v>
      </c>
      <c r="EE618" s="237" t="n">
        <f aca="false">IF(EE616=0,0,IF(EE616&lt;=12*'🎚️ Escenario'!$C$11,1,1+$C$6))</f>
        <v>1.2</v>
      </c>
      <c r="EF618" s="237" t="n">
        <f aca="false">IF(EF616=0,0,IF(EF616&lt;=12*'🎚️ Escenario'!$C$11,1,1+$C$6))</f>
        <v>1.2</v>
      </c>
      <c r="EG618" s="237" t="n">
        <f aca="false">IF(EG616=0,0,IF(EG616&lt;=12*'🎚️ Escenario'!$C$11,1,1+$C$6))</f>
        <v>1.2</v>
      </c>
      <c r="EH618" s="237" t="n">
        <f aca="false">IF(EH616=0,0,IF(EH616&lt;=12*'🎚️ Escenario'!$C$11,1,1+$C$6))</f>
        <v>1.2</v>
      </c>
      <c r="EI618" s="237" t="n">
        <f aca="false">IF(EI616=0,0,IF(EI616&lt;=12*'🎚️ Escenario'!$C$11,1,1+$C$6))</f>
        <v>1.2</v>
      </c>
      <c r="EJ618" s="237" t="n">
        <f aca="false">IF(EJ616=0,0,IF(EJ616&lt;=12*'🎚️ Escenario'!$C$11,1,1+$C$6))</f>
        <v>1.2</v>
      </c>
      <c r="EK618" s="237" t="n">
        <f aca="false">IF(EK616=0,0,IF(EK616&lt;=12*'🎚️ Escenario'!$C$11,1,1+$C$6))</f>
        <v>1.2</v>
      </c>
      <c r="EL618" s="237" t="n">
        <f aca="false">IF(EL616=0,0,IF(EL616&lt;=12*'🎚️ Escenario'!$C$11,1,1+$C$6))</f>
        <v>1.2</v>
      </c>
      <c r="EM618" s="237" t="n">
        <f aca="false">IF(EM616=0,0,IF(EM616&lt;=12*'🎚️ Escenario'!$C$11,1,1+$C$6))</f>
        <v>1.2</v>
      </c>
      <c r="EN618" s="237" t="n">
        <f aca="false">IF(EN616=0,0,IF(EN616&lt;=12*'🎚️ Escenario'!$C$11,1,1+$C$6))</f>
        <v>1.2</v>
      </c>
      <c r="EO618" s="237" t="n">
        <f aca="false">IF(EO616=0,0,IF(EO616&lt;=12*'🎚️ Escenario'!$C$11,1,1+$C$6))</f>
        <v>1.2</v>
      </c>
      <c r="EP618" s="237" t="n">
        <f aca="false">IF(EP616=0,0,IF(EP616&lt;=12*'🎚️ Escenario'!$C$11,1,1+$C$6))</f>
        <v>1.2</v>
      </c>
      <c r="EQ618" s="237" t="n">
        <f aca="false">IF(EQ616=0,0,IF(EQ616&lt;=12*'🎚️ Escenario'!$C$11,1,1+$C$6))</f>
        <v>1.2</v>
      </c>
      <c r="ER618" s="237" t="n">
        <f aca="false">IF(ER616=0,0,IF(ER616&lt;=12*'🎚️ Escenario'!$C$11,1,1+$C$6))</f>
        <v>1.2</v>
      </c>
      <c r="ES618" s="238" t="n">
        <f aca="false">IF(ES616=0,0,IF(ES616&lt;=12*'🎚️ Escenario'!$C$11,1,1+$C$6))</f>
        <v>1.2</v>
      </c>
      <c r="ET618" s="238" t="n">
        <f aca="false">IF(ET616=0,0,IF(ET616&lt;=12*'🎚️ Escenario'!$C$11,1,1+$C$6))</f>
        <v>1.2</v>
      </c>
      <c r="EU618" s="238" t="n">
        <f aca="false">IF(EU616=0,0,IF(EU616&lt;=12*'🎚️ Escenario'!$C$11,1,1+$C$6))</f>
        <v>1.2</v>
      </c>
      <c r="EV618" s="238" t="n">
        <f aca="false">IF(EV616=0,0,IF(EV616&lt;=12*'🎚️ Escenario'!$C$11,1,1+$C$6))</f>
        <v>1.2</v>
      </c>
      <c r="EW618" s="238" t="n">
        <f aca="false">IF(EW616=0,0,IF(EW616&lt;=12*'🎚️ Escenario'!$C$11,1,1+$C$6))</f>
        <v>1.2</v>
      </c>
      <c r="EX618" s="238" t="n">
        <f aca="false">IF(EX616=0,0,IF(EX616&lt;=12*'🎚️ Escenario'!$C$11,1,1+$C$6))</f>
        <v>1.2</v>
      </c>
      <c r="EY618" s="238" t="n">
        <f aca="false">IF(EY616=0,0,IF(EY616&lt;=12*'🎚️ Escenario'!$C$11,1,1+$C$6))</f>
        <v>1.2</v>
      </c>
      <c r="EZ618" s="238" t="n">
        <f aca="false">IF(EZ616=0,0,IF(EZ616&lt;=12*'🎚️ Escenario'!$C$11,1,1+$C$6))</f>
        <v>1.2</v>
      </c>
      <c r="FA618" s="238" t="n">
        <f aca="false">IF(FA616=0,0,IF(FA616&lt;=12*'🎚️ Escenario'!$C$11,1,1+$C$6))</f>
        <v>1.2</v>
      </c>
      <c r="FB618" s="238" t="n">
        <f aca="false">IF(FB616=0,0,IF(FB616&lt;=12*'🎚️ Escenario'!$C$11,1,1+$C$6))</f>
        <v>1.2</v>
      </c>
      <c r="FC618" s="238" t="n">
        <f aca="false">IF(FC616=0,0,IF(FC616&lt;=12*'🎚️ Escenario'!$C$11,1,1+$C$6))</f>
        <v>1.2</v>
      </c>
      <c r="FD618" s="238" t="n">
        <f aca="false">IF(FD616=0,0,IF(FD616&lt;=12*'🎚️ Escenario'!$C$11,1,1+$C$6))</f>
        <v>1.2</v>
      </c>
      <c r="FE618" s="238" t="n">
        <f aca="false">IF(FE616=0,0,IF(FE616&lt;=12*'🎚️ Escenario'!$C$11,1,1+$C$6))</f>
        <v>1.2</v>
      </c>
      <c r="FF618" s="238" t="n">
        <f aca="false">IF(FF616=0,0,IF(FF616&lt;=12*'🎚️ Escenario'!$C$11,1,1+$C$6))</f>
        <v>1.2</v>
      </c>
      <c r="FG618" s="238" t="n">
        <f aca="false">IF(FG616=0,0,IF(FG616&lt;=12*'🎚️ Escenario'!$C$11,1,1+$C$6))</f>
        <v>1.2</v>
      </c>
      <c r="FH618" s="238" t="n">
        <f aca="false">IF(FH616=0,0,IF(FH616&lt;=12*'🎚️ Escenario'!$C$11,1,1+$C$6))</f>
        <v>1.2</v>
      </c>
      <c r="FI618" s="238" t="n">
        <f aca="false">IF(FI616=0,0,IF(FI616&lt;=12*'🎚️ Escenario'!$C$11,1,1+$C$6))</f>
        <v>1.2</v>
      </c>
      <c r="FJ618" s="238" t="n">
        <f aca="false">IF(FJ616=0,0,IF(FJ616&lt;=12*'🎚️ Escenario'!$C$11,1,1+$C$6))</f>
        <v>1.2</v>
      </c>
      <c r="FK618" s="238" t="n">
        <f aca="false">IF(FK616=0,0,IF(FK616&lt;=12*'🎚️ Escenario'!$C$11,1,1+$C$6))</f>
        <v>1.2</v>
      </c>
      <c r="FL618" s="238" t="n">
        <f aca="false">IF(FL616=0,0,IF(FL616&lt;=12*'🎚️ Escenario'!$C$11,1,1+$C$6))</f>
        <v>1.2</v>
      </c>
      <c r="FM618" s="238" t="n">
        <f aca="false">IF(FM616=0,0,IF(FM616&lt;=12*'🎚️ Escenario'!$C$11,1,1+$C$6))</f>
        <v>1.2</v>
      </c>
      <c r="FN618" s="238" t="n">
        <f aca="false">IF(FN616=0,0,IF(FN616&lt;=12*'🎚️ Escenario'!$C$11,1,1+$C$6))</f>
        <v>1.2</v>
      </c>
      <c r="FO618" s="238" t="n">
        <f aca="false">IF(FO616=0,0,IF(FO616&lt;=12*'🎚️ Escenario'!$C$11,1,1+$C$6))</f>
        <v>1.2</v>
      </c>
      <c r="FP618" s="238" t="n">
        <f aca="false">IF(FP616=0,0,IF(FP616&lt;=12*'🎚️ Escenario'!$C$11,1,1+$C$6))</f>
        <v>1.2</v>
      </c>
    </row>
    <row r="619" customFormat="false" ht="15" hidden="false" customHeight="false" outlineLevel="2" collapsed="false">
      <c r="B619" s="9" t="s">
        <v>876</v>
      </c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36" t="n">
        <f aca="false">AC617*$AC$615*AC618*AC$38*'⑫ Roll-out Plan'!$O$66</f>
        <v>0</v>
      </c>
      <c r="AD619" s="36" t="n">
        <f aca="false">AD617*$AC$615*AD618*AD$38*'⑫ Roll-out Plan'!$O$66</f>
        <v>0</v>
      </c>
      <c r="AE619" s="36" t="n">
        <f aca="false">AE617*$AC$615*AE618*AE$38*'⑫ Roll-out Plan'!$O$66</f>
        <v>0</v>
      </c>
      <c r="AF619" s="36" t="n">
        <f aca="false">AF617*$AC$615*AF618*AF$38*'⑫ Roll-out Plan'!$O$66</f>
        <v>0</v>
      </c>
      <c r="AG619" s="36" t="n">
        <f aca="false">AG617*$AC$615*AG618*AG$38*'⑫ Roll-out Plan'!$O$66</f>
        <v>0</v>
      </c>
      <c r="AH619" s="36" t="n">
        <f aca="false">AH617*$AC$615*AH618*AH$38*'⑫ Roll-out Plan'!$O$66</f>
        <v>0</v>
      </c>
      <c r="AI619" s="36" t="n">
        <f aca="false">AI617*$AC$615*AI618*AI$38*'⑫ Roll-out Plan'!$O$66</f>
        <v>0</v>
      </c>
      <c r="AJ619" s="36" t="n">
        <f aca="false">AJ617*$AC$615*AJ618*AJ$38*'⑫ Roll-out Plan'!$O$66</f>
        <v>0</v>
      </c>
      <c r="AK619" s="36" t="n">
        <f aca="false">AK617*$AC$615*AK618*AK$38*'⑫ Roll-out Plan'!$O$66</f>
        <v>0</v>
      </c>
      <c r="AL619" s="36" t="n">
        <f aca="false">AL617*$AC$615*AL618*AL$38*'⑫ Roll-out Plan'!$O$66</f>
        <v>0</v>
      </c>
      <c r="AM619" s="36" t="n">
        <f aca="false">AM617*$AC$615*AM618*AM$38*'⑫ Roll-out Plan'!$O$66</f>
        <v>0</v>
      </c>
      <c r="AN619" s="36" t="n">
        <f aca="false">AN617*$AC$615*AN618*AN$38*'⑫ Roll-out Plan'!$O$66</f>
        <v>0</v>
      </c>
      <c r="AO619" s="36" t="n">
        <f aca="false">AO617*$AC$615*AO618*AO$38*'⑫ Roll-out Plan'!$O$66</f>
        <v>0</v>
      </c>
      <c r="AP619" s="36" t="n">
        <f aca="false">AP617*$AC$615*AP618*AP$38*'⑫ Roll-out Plan'!$O$66</f>
        <v>0</v>
      </c>
      <c r="AQ619" s="36" t="n">
        <f aca="false">AQ617*$AC$615*AQ618*AQ$38*'⑫ Roll-out Plan'!$O$66</f>
        <v>0</v>
      </c>
      <c r="AR619" s="36" t="n">
        <f aca="false">AR617*$AC$615*AR618*AR$38*'⑫ Roll-out Plan'!$O$66</f>
        <v>0</v>
      </c>
      <c r="AS619" s="36" t="n">
        <f aca="false">AS617*$AC$615*AS618*AS$38*'⑫ Roll-out Plan'!$O$66</f>
        <v>0</v>
      </c>
      <c r="AT619" s="36" t="n">
        <f aca="false">AT617*$AC$615*AT618*AT$38*'⑫ Roll-out Plan'!$O$66</f>
        <v>0</v>
      </c>
      <c r="AU619" s="36" t="n">
        <f aca="false">AU617*$AC$615*AU618*AU$38*'⑫ Roll-out Plan'!$O$66</f>
        <v>0</v>
      </c>
      <c r="AV619" s="36" t="n">
        <f aca="false">AV617*$AC$615*AV618*AV$38*'⑫ Roll-out Plan'!$O$66</f>
        <v>0</v>
      </c>
      <c r="AW619" s="36" t="n">
        <f aca="false">AW617*$AC$615*AW618*AW$38*'⑫ Roll-out Plan'!$O$66</f>
        <v>0</v>
      </c>
      <c r="AX619" s="36" t="n">
        <f aca="false">AX617*$AC$615*AX618*AX$38*'⑫ Roll-out Plan'!$O$66</f>
        <v>0</v>
      </c>
      <c r="AY619" s="36" t="n">
        <f aca="false">AY617*$AC$615*AY618*AY$38*'⑫ Roll-out Plan'!$O$66</f>
        <v>0</v>
      </c>
      <c r="AZ619" s="36" t="n">
        <f aca="false">AZ617*$AC$615*AZ618*AZ$38*'⑫ Roll-out Plan'!$O$66</f>
        <v>0</v>
      </c>
      <c r="BA619" s="36" t="n">
        <f aca="false">BA617*$AC$615*BA618*BA$38*'⑫ Roll-out Plan'!$O$66</f>
        <v>0</v>
      </c>
      <c r="BB619" s="36" t="n">
        <f aca="false">BB617*$AC$615*BB618*BB$38*'⑫ Roll-out Plan'!$O$66</f>
        <v>0</v>
      </c>
      <c r="BC619" s="36" t="n">
        <f aca="false">BC617*$AC$615*BC618*BC$38*'⑫ Roll-out Plan'!$O$66</f>
        <v>0</v>
      </c>
      <c r="BD619" s="36" t="n">
        <f aca="false">BD617*$AC$615*BD618*BD$38*'⑫ Roll-out Plan'!$O$66</f>
        <v>0</v>
      </c>
      <c r="BE619" s="36" t="n">
        <f aca="false">BE617*$AC$615*BE618*BE$38*'⑫ Roll-out Plan'!$O$66</f>
        <v>0</v>
      </c>
      <c r="BF619" s="36" t="n">
        <f aca="false">BF617*$AC$615*BF618*BF$38*'⑫ Roll-out Plan'!$O$66</f>
        <v>0</v>
      </c>
      <c r="BG619" s="36" t="n">
        <f aca="false">BG617*$AC$615*BG618*BG$38*'⑫ Roll-out Plan'!$O$66</f>
        <v>0</v>
      </c>
      <c r="BH619" s="36" t="n">
        <f aca="false">BH617*$AC$615*BH618*BH$38*'⑫ Roll-out Plan'!$O$66</f>
        <v>0</v>
      </c>
      <c r="BI619" s="36" t="n">
        <f aca="false">BI617*$AC$615*BI618*BI$38*'⑫ Roll-out Plan'!$O$66</f>
        <v>0</v>
      </c>
      <c r="BJ619" s="36" t="n">
        <f aca="false">BJ617*$AC$615*BJ618*BJ$38*'⑫ Roll-out Plan'!$O$66</f>
        <v>0</v>
      </c>
      <c r="BK619" s="36" t="n">
        <f aca="false">BK617*$AC$615*BK618*BK$38*'⑫ Roll-out Plan'!$O$66</f>
        <v>0</v>
      </c>
      <c r="BL619" s="36" t="n">
        <f aca="false">BL617*$AC$615*BL618*BL$38*'⑫ Roll-out Plan'!$O$66</f>
        <v>0</v>
      </c>
      <c r="BM619" s="36" t="n">
        <f aca="false">BM617*$AC$615*BM618*BM$38*'⑫ Roll-out Plan'!$O$66</f>
        <v>0</v>
      </c>
      <c r="BN619" s="36" t="n">
        <f aca="false">BN617*$AC$615*BN618*BN$38*'⑫ Roll-out Plan'!$O$66</f>
        <v>0</v>
      </c>
      <c r="BO619" s="36" t="n">
        <f aca="false">BO617*$AC$615*BO618*BO$38*'⑫ Roll-out Plan'!$O$66</f>
        <v>0</v>
      </c>
      <c r="BP619" s="36" t="n">
        <f aca="false">BP617*$AC$615*BP618*BP$38*'⑫ Roll-out Plan'!$O$66</f>
        <v>0</v>
      </c>
      <c r="BQ619" s="36" t="n">
        <f aca="false">BQ617*$AC$615*BQ618*BQ$38*'⑫ Roll-out Plan'!$O$66</f>
        <v>0</v>
      </c>
      <c r="BR619" s="36" t="n">
        <f aca="false">BR617*$AC$615*BR618*BR$38*'⑫ Roll-out Plan'!$O$66</f>
        <v>0</v>
      </c>
      <c r="BS619" s="36" t="n">
        <f aca="false">BS617*$AC$615*BS618*BS$38*'⑫ Roll-out Plan'!$O$66</f>
        <v>0</v>
      </c>
      <c r="BT619" s="36" t="n">
        <f aca="false">BT617*$AC$615*BT618*BT$38*'⑫ Roll-out Plan'!$O$66</f>
        <v>0</v>
      </c>
      <c r="BU619" s="36" t="n">
        <f aca="false">BU617*$AC$615*BU618*BU$38*'⑫ Roll-out Plan'!$O$66</f>
        <v>0</v>
      </c>
      <c r="BV619" s="36" t="n">
        <f aca="false">BV617*$AC$615*BV618*BV$38*'⑫ Roll-out Plan'!$O$66</f>
        <v>0</v>
      </c>
      <c r="BW619" s="36" t="n">
        <f aca="false">BW617*$AC$615*BW618*BW$38*'⑫ Roll-out Plan'!$O$66</f>
        <v>0</v>
      </c>
      <c r="BX619" s="36" t="n">
        <f aca="false">BX617*$AC$615*BX618*BX$38*'⑫ Roll-out Plan'!$O$66</f>
        <v>0</v>
      </c>
      <c r="BY619" s="36" t="n">
        <f aca="false">BY617*$AC$615*BY618*BY$38*'⑫ Roll-out Plan'!$O$66</f>
        <v>0</v>
      </c>
      <c r="BZ619" s="36" t="n">
        <f aca="false">BZ617*$AC$615*BZ618*BZ$38*'⑫ Roll-out Plan'!$O$66</f>
        <v>0</v>
      </c>
      <c r="CA619" s="36" t="n">
        <f aca="false">CA617*$AC$615*CA618*CA$38*'⑫ Roll-out Plan'!$O$66</f>
        <v>0</v>
      </c>
      <c r="CB619" s="36" t="n">
        <f aca="false">CB617*$AC$615*CB618*CB$38*'⑫ Roll-out Plan'!$O$66</f>
        <v>0</v>
      </c>
      <c r="CC619" s="36" t="n">
        <f aca="false">CC617*$AC$615*CC618*CC$38*'⑫ Roll-out Plan'!$O$66</f>
        <v>0</v>
      </c>
      <c r="CD619" s="36" t="n">
        <f aca="false">CD617*$AC$615*CD618*CD$38*'⑫ Roll-out Plan'!$O$66</f>
        <v>0</v>
      </c>
      <c r="CE619" s="36" t="n">
        <f aca="false">CE617*$AC$615*CE618*CE$38*'⑫ Roll-out Plan'!$O$66</f>
        <v>0</v>
      </c>
      <c r="CF619" s="36" t="n">
        <f aca="false">CF617*$AC$615*CF618*CF$38*'⑫ Roll-out Plan'!$O$66</f>
        <v>0</v>
      </c>
      <c r="CG619" s="36" t="n">
        <f aca="false">CG617*$AC$615*CG618*CG$38*'⑫ Roll-out Plan'!$O$66</f>
        <v>0</v>
      </c>
      <c r="CH619" s="36" t="n">
        <f aca="false">CH617*$AC$615*CH618*CH$38*'⑫ Roll-out Plan'!$O$66</f>
        <v>0</v>
      </c>
      <c r="CI619" s="36" t="n">
        <f aca="false">CI617*$AC$615*CI618*CI$38*'⑫ Roll-out Plan'!$O$66</f>
        <v>0</v>
      </c>
      <c r="CJ619" s="36" t="n">
        <f aca="false">CJ617*$AC$615*CJ618*CJ$38*'⑫ Roll-out Plan'!$O$66</f>
        <v>0</v>
      </c>
      <c r="CK619" s="36" t="n">
        <f aca="false">CK617*$AC$615*CK618*CK$38*'⑫ Roll-out Plan'!$O$66</f>
        <v>0</v>
      </c>
      <c r="CL619" s="36" t="n">
        <f aca="false">CL617*$AC$615*CL618*CL$38*'⑫ Roll-out Plan'!$O$66</f>
        <v>0</v>
      </c>
      <c r="CM619" s="36" t="n">
        <f aca="false">CM617*$AC$615*CM618*CM$38*'⑫ Roll-out Plan'!$O$66</f>
        <v>0</v>
      </c>
      <c r="CN619" s="36" t="n">
        <f aca="false">CN617*$AC$615*CN618*CN$38*'⑫ Roll-out Plan'!$O$66</f>
        <v>0</v>
      </c>
      <c r="CO619" s="36" t="n">
        <f aca="false">CO617*$AC$615*CO618*CO$38*'⑫ Roll-out Plan'!$O$66</f>
        <v>0</v>
      </c>
      <c r="CP619" s="36" t="n">
        <f aca="false">CP617*$AC$615*CP618*CP$38*'⑫ Roll-out Plan'!$O$66</f>
        <v>0</v>
      </c>
      <c r="CQ619" s="36" t="n">
        <f aca="false">CQ617*$AC$615*CQ618*CQ$38*'⑫ Roll-out Plan'!$O$66</f>
        <v>0</v>
      </c>
      <c r="CR619" s="36" t="n">
        <f aca="false">CR617*$AC$615*CR618*CR$38*'⑫ Roll-out Plan'!$O$66</f>
        <v>0</v>
      </c>
      <c r="CS619" s="36" t="n">
        <f aca="false">CS617*$AC$615*CS618*CS$38*'⑫ Roll-out Plan'!$O$66</f>
        <v>0</v>
      </c>
      <c r="CT619" s="36" t="n">
        <f aca="false">CT617*$AC$615*CT618*CT$38*'⑫ Roll-out Plan'!$O$66</f>
        <v>0</v>
      </c>
      <c r="CU619" s="36" t="n">
        <f aca="false">CU617*$AC$615*CU618*CU$38*'⑫ Roll-out Plan'!$O$66</f>
        <v>0</v>
      </c>
      <c r="CV619" s="36" t="n">
        <f aca="false">CV617*$AC$615*CV618*CV$38*'⑫ Roll-out Plan'!$O$66</f>
        <v>0</v>
      </c>
      <c r="CW619" s="36" t="n">
        <f aca="false">CW617*$AC$615*CW618*CW$38*'⑫ Roll-out Plan'!$O$66</f>
        <v>0</v>
      </c>
      <c r="CX619" s="36" t="n">
        <f aca="false">CX617*$AC$615*CX618*CX$38*'⑫ Roll-out Plan'!$O$66</f>
        <v>0</v>
      </c>
      <c r="CY619" s="36" t="n">
        <f aca="false">CY617*$AC$615*CY618*CY$38*'⑫ Roll-out Plan'!$O$66</f>
        <v>0</v>
      </c>
      <c r="CZ619" s="36" t="n">
        <f aca="false">CZ617*$AC$615*CZ618*CZ$38*'⑫ Roll-out Plan'!$O$66</f>
        <v>0</v>
      </c>
      <c r="DA619" s="36" t="n">
        <f aca="false">DA617*$AC$615*DA618*DA$38*'⑫ Roll-out Plan'!$O$66</f>
        <v>0</v>
      </c>
      <c r="DB619" s="36" t="n">
        <f aca="false">DB617*$AC$615*DB618*DB$38*'⑫ Roll-out Plan'!$O$66</f>
        <v>0</v>
      </c>
      <c r="DC619" s="36" t="n">
        <f aca="false">DC617*$AC$615*DC618*DC$38*'⑫ Roll-out Plan'!$O$66</f>
        <v>0</v>
      </c>
      <c r="DD619" s="36" t="n">
        <f aca="false">DD617*$AC$615*DD618*DD$38*'⑫ Roll-out Plan'!$O$66</f>
        <v>0</v>
      </c>
      <c r="DE619" s="36" t="n">
        <f aca="false">DE617*$AC$615*DE618*DE$38*'⑫ Roll-out Plan'!$O$66</f>
        <v>0</v>
      </c>
      <c r="DF619" s="36" t="n">
        <f aca="false">DF617*$AC$615*DF618*DF$38*'⑫ Roll-out Plan'!$O$66</f>
        <v>0</v>
      </c>
      <c r="DG619" s="36" t="n">
        <f aca="false">DG617*$AC$615*DG618*DG$38*'⑫ Roll-out Plan'!$O$66</f>
        <v>0</v>
      </c>
      <c r="DH619" s="36" t="n">
        <f aca="false">DH617*$AC$615*DH618*DH$38*'⑫ Roll-out Plan'!$O$66</f>
        <v>0</v>
      </c>
      <c r="DI619" s="36" t="n">
        <f aca="false">DI617*$AC$615*DI618*DI$38*'⑫ Roll-out Plan'!$O$66</f>
        <v>0</v>
      </c>
      <c r="DJ619" s="36" t="n">
        <f aca="false">DJ617*$AC$615*DJ618*DJ$38*'⑫ Roll-out Plan'!$O$66</f>
        <v>0</v>
      </c>
      <c r="DK619" s="36" t="n">
        <f aca="false">DK617*$AC$615*DK618*DK$38*'⑫ Roll-out Plan'!$O$66</f>
        <v>0</v>
      </c>
      <c r="DL619" s="36" t="n">
        <f aca="false">DL617*$AC$615*DL618*DL$38*'⑫ Roll-out Plan'!$O$66</f>
        <v>0</v>
      </c>
      <c r="DM619" s="36" t="n">
        <f aca="false">DM617*$AC$615*DM618*DM$38*'⑫ Roll-out Plan'!$O$66</f>
        <v>0</v>
      </c>
      <c r="DN619" s="36" t="n">
        <f aca="false">DN617*$AC$615*DN618*DN$38*'⑫ Roll-out Plan'!$O$66</f>
        <v>0</v>
      </c>
      <c r="DO619" s="36" t="n">
        <f aca="false">DO617*$AC$615*DO618*DO$38*'⑫ Roll-out Plan'!$O$66</f>
        <v>0</v>
      </c>
      <c r="DP619" s="36" t="n">
        <f aca="false">DP617*$AC$615*DP618*DP$38*'⑫ Roll-out Plan'!$O$66</f>
        <v>0</v>
      </c>
      <c r="DQ619" s="36" t="n">
        <f aca="false">DQ617*$AC$615*DQ618*DQ$38*'⑫ Roll-out Plan'!$O$66</f>
        <v>0</v>
      </c>
      <c r="DR619" s="36" t="n">
        <f aca="false">DR617*$AC$615*DR618*DR$38*'⑫ Roll-out Plan'!$O$66</f>
        <v>0</v>
      </c>
      <c r="DS619" s="36" t="n">
        <f aca="false">DS617*$AC$615*DS618*DS$38*'⑫ Roll-out Plan'!$O$66</f>
        <v>0</v>
      </c>
      <c r="DT619" s="36" t="n">
        <f aca="false">DT617*$AC$615*DT618*DT$38*'⑫ Roll-out Plan'!$O$66</f>
        <v>0</v>
      </c>
      <c r="DU619" s="36" t="n">
        <f aca="false">DU617*$AC$615*DU618*DU$38*'⑫ Roll-out Plan'!$O$66</f>
        <v>0</v>
      </c>
      <c r="DV619" s="36" t="n">
        <f aca="false">DV617*$AC$615*DV618*DV$38*'⑫ Roll-out Plan'!$O$66</f>
        <v>0</v>
      </c>
      <c r="DW619" s="36" t="n">
        <f aca="false">DW617*$AC$615*DW618*DW$38*'⑫ Roll-out Plan'!$O$66</f>
        <v>0</v>
      </c>
      <c r="DX619" s="36" t="n">
        <f aca="false">DX617*$AC$615*DX618*DX$38*'⑫ Roll-out Plan'!$O$66</f>
        <v>0</v>
      </c>
      <c r="DY619" s="36" t="n">
        <f aca="false">DY617*$AC$615*DY618*DY$38*'⑫ Roll-out Plan'!$O$66</f>
        <v>0</v>
      </c>
      <c r="DZ619" s="36" t="n">
        <f aca="false">DZ617*$AC$615*DZ618*DZ$38*'⑫ Roll-out Plan'!$O$66</f>
        <v>0</v>
      </c>
      <c r="EA619" s="36" t="n">
        <f aca="false">EA617*$AC$615*EA618*EA$38*'⑫ Roll-out Plan'!$O$66</f>
        <v>0</v>
      </c>
      <c r="EB619" s="36" t="n">
        <f aca="false">EB617*$AC$615*EB618*EB$38*'⑫ Roll-out Plan'!$O$66</f>
        <v>0</v>
      </c>
      <c r="EC619" s="36" t="n">
        <f aca="false">EC617*$AC$615*EC618*EC$38*'⑫ Roll-out Plan'!$O$66</f>
        <v>0</v>
      </c>
      <c r="ED619" s="36" t="n">
        <f aca="false">ED617*$AC$615*ED618*ED$38*'⑫ Roll-out Plan'!$O$66</f>
        <v>0</v>
      </c>
      <c r="EE619" s="36" t="n">
        <f aca="false">EE617*$AC$615*EE618*EE$38*'⑫ Roll-out Plan'!$O$66</f>
        <v>0</v>
      </c>
      <c r="EF619" s="36" t="n">
        <f aca="false">EF617*$AC$615*EF618*EF$38*'⑫ Roll-out Plan'!$O$66</f>
        <v>0</v>
      </c>
      <c r="EG619" s="36" t="n">
        <f aca="false">EG617*$AC$615*EG618*EG$38*'⑫ Roll-out Plan'!$O$66</f>
        <v>0</v>
      </c>
      <c r="EH619" s="36" t="n">
        <f aca="false">EH617*$AC$615*EH618*EH$38*'⑫ Roll-out Plan'!$O$66</f>
        <v>0</v>
      </c>
      <c r="EI619" s="36" t="n">
        <f aca="false">EI617*$AC$615*EI618*EI$38*'⑫ Roll-out Plan'!$O$66</f>
        <v>0</v>
      </c>
      <c r="EJ619" s="36" t="n">
        <f aca="false">EJ617*$AC$615*EJ618*EJ$38*'⑫ Roll-out Plan'!$O$66</f>
        <v>0</v>
      </c>
      <c r="EK619" s="36" t="n">
        <f aca="false">EK617*$AC$615*EK618*EK$38*'⑫ Roll-out Plan'!$O$66</f>
        <v>0</v>
      </c>
      <c r="EL619" s="36" t="n">
        <f aca="false">EL617*$AC$615*EL618*EL$38*'⑫ Roll-out Plan'!$O$66</f>
        <v>0</v>
      </c>
      <c r="EM619" s="36" t="n">
        <f aca="false">EM617*$AC$615*EM618*EM$38*'⑫ Roll-out Plan'!$O$66</f>
        <v>0</v>
      </c>
      <c r="EN619" s="36" t="n">
        <f aca="false">EN617*$AC$615*EN618*EN$38*'⑫ Roll-out Plan'!$O$66</f>
        <v>0</v>
      </c>
      <c r="EO619" s="36" t="n">
        <f aca="false">EO617*$AC$615*EO618*EO$38*'⑫ Roll-out Plan'!$O$66</f>
        <v>0</v>
      </c>
      <c r="EP619" s="36" t="n">
        <f aca="false">EP617*$AC$615*EP618*EP$38*'⑫ Roll-out Plan'!$O$66</f>
        <v>0</v>
      </c>
      <c r="EQ619" s="36" t="n">
        <f aca="false">EQ617*$AC$615*EQ618*EQ$38*'⑫ Roll-out Plan'!$O$66</f>
        <v>0</v>
      </c>
      <c r="ER619" s="36" t="n">
        <f aca="false">ER617*$AC$615*ER618*ER$38*'⑫ Roll-out Plan'!$O$66</f>
        <v>0</v>
      </c>
      <c r="ES619" s="9" t="n">
        <f aca="false">ES617*$AC$615*ES618*ES$38*'⑫ Roll-out Plan'!$O$66</f>
        <v>0</v>
      </c>
      <c r="ET619" s="9" t="n">
        <f aca="false">ET617*$AC$615*ET618*ET$38*'⑫ Roll-out Plan'!$O$66</f>
        <v>0</v>
      </c>
      <c r="EU619" s="9" t="n">
        <f aca="false">EU617*$AC$615*EU618*EU$38*'⑫ Roll-out Plan'!$O$66</f>
        <v>0</v>
      </c>
      <c r="EV619" s="9" t="n">
        <f aca="false">EV617*$AC$615*EV618*EV$38*'⑫ Roll-out Plan'!$O$66</f>
        <v>0</v>
      </c>
      <c r="EW619" s="9" t="n">
        <f aca="false">EW617*$AC$615*EW618*EW$38*'⑫ Roll-out Plan'!$O$66</f>
        <v>0</v>
      </c>
      <c r="EX619" s="9" t="n">
        <f aca="false">EX617*$AC$615*EX618*EX$38*'⑫ Roll-out Plan'!$O$66</f>
        <v>0</v>
      </c>
      <c r="EY619" s="9" t="n">
        <f aca="false">EY617*$AC$615*EY618*EY$38*'⑫ Roll-out Plan'!$O$66</f>
        <v>0</v>
      </c>
      <c r="EZ619" s="9" t="n">
        <f aca="false">EZ617*$AC$615*EZ618*EZ$38*'⑫ Roll-out Plan'!$O$66</f>
        <v>0</v>
      </c>
      <c r="FA619" s="9" t="n">
        <f aca="false">FA617*$AC$615*FA618*FA$38*'⑫ Roll-out Plan'!$O$66</f>
        <v>0</v>
      </c>
      <c r="FB619" s="9" t="n">
        <f aca="false">FB617*$AC$615*FB618*FB$38*'⑫ Roll-out Plan'!$O$66</f>
        <v>0</v>
      </c>
      <c r="FC619" s="9" t="n">
        <f aca="false">FC617*$AC$615*FC618*FC$38*'⑫ Roll-out Plan'!$O$66</f>
        <v>0</v>
      </c>
      <c r="FD619" s="9" t="n">
        <f aca="false">FD617*$AC$615*FD618*FD$38*'⑫ Roll-out Plan'!$O$66</f>
        <v>0</v>
      </c>
      <c r="FE619" s="9" t="n">
        <f aca="false">FE617*$AC$615*FE618*FE$38*'⑫ Roll-out Plan'!$O$66</f>
        <v>0</v>
      </c>
      <c r="FF619" s="9" t="n">
        <f aca="false">FF617*$AC$615*FF618*FF$38*'⑫ Roll-out Plan'!$O$66</f>
        <v>0</v>
      </c>
      <c r="FG619" s="9" t="n">
        <f aca="false">FG617*$AC$615*FG618*FG$38*'⑫ Roll-out Plan'!$O$66</f>
        <v>0</v>
      </c>
      <c r="FH619" s="9" t="n">
        <f aca="false">FH617*$AC$615*FH618*FH$38*'⑫ Roll-out Plan'!$O$66</f>
        <v>0</v>
      </c>
      <c r="FI619" s="9" t="n">
        <f aca="false">FI617*$AC$615*FI618*FI$38*'⑫ Roll-out Plan'!$O$66</f>
        <v>0</v>
      </c>
      <c r="FJ619" s="9" t="n">
        <f aca="false">FJ617*$AC$615*FJ618*FJ$38*'⑫ Roll-out Plan'!$O$66</f>
        <v>0</v>
      </c>
      <c r="FK619" s="9" t="n">
        <f aca="false">FK617*$AC$615*FK618*FK$38*'⑫ Roll-out Plan'!$O$66</f>
        <v>0</v>
      </c>
      <c r="FL619" s="9" t="n">
        <f aca="false">FL617*$AC$615*FL618*FL$38*'⑫ Roll-out Plan'!$O$66</f>
        <v>0</v>
      </c>
      <c r="FM619" s="9" t="n">
        <f aca="false">FM617*$AC$615*FM618*FM$38*'⑫ Roll-out Plan'!$O$66</f>
        <v>0</v>
      </c>
      <c r="FN619" s="9" t="n">
        <f aca="false">FN617*$AC$615*FN618*FN$38*'⑫ Roll-out Plan'!$O$66</f>
        <v>0</v>
      </c>
      <c r="FO619" s="9" t="n">
        <f aca="false">FO617*$AC$615*FO618*FO$38*'⑫ Roll-out Plan'!$O$66</f>
        <v>0</v>
      </c>
      <c r="FP619" s="9" t="n">
        <f aca="false">FP617*$AC$615*FP618*FP$38*'⑫ Roll-out Plan'!$O$66</f>
        <v>0</v>
      </c>
    </row>
    <row r="620" customFormat="false" ht="15" hidden="false" customHeight="false" outlineLevel="2" collapsed="false">
      <c r="B620" s="9" t="s">
        <v>877</v>
      </c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112" t="n">
        <f aca="true">IFERROR(SUMPRODUCT(OFFSET($BJ$31,0,1-MIN(60,COLUMN()-29),1,MIN(60,COLUMN()-29)),OFFSET(AC619,0,-MIN(60,COLUMN()-29),1,MIN(60,COLUMN()-29))),0)</f>
        <v>0</v>
      </c>
      <c r="AD620" s="112" t="n">
        <f aca="true">IFERROR(SUMPRODUCT(OFFSET($BJ$31,0,1-MIN(60,COLUMN()-29),1,MIN(60,COLUMN()-29)),OFFSET(AD619,0,-MIN(60,COLUMN()-29),1,MIN(60,COLUMN()-29))),0)</f>
        <v>0</v>
      </c>
      <c r="AE620" s="112" t="n">
        <f aca="true">IFERROR(SUMPRODUCT(OFFSET($BJ$31,0,1-MIN(60,COLUMN()-29),1,MIN(60,COLUMN()-29)),OFFSET(AE619,0,-MIN(60,COLUMN()-29),1,MIN(60,COLUMN()-29))),0)</f>
        <v>0</v>
      </c>
      <c r="AF620" s="112" t="n">
        <f aca="true">IFERROR(SUMPRODUCT(OFFSET($BJ$31,0,1-MIN(60,COLUMN()-29),1,MIN(60,COLUMN()-29)),OFFSET(AF619,0,-MIN(60,COLUMN()-29),1,MIN(60,COLUMN()-29))),0)</f>
        <v>0</v>
      </c>
      <c r="AG620" s="112" t="n">
        <f aca="true">IFERROR(SUMPRODUCT(OFFSET($BJ$31,0,1-MIN(60,COLUMN()-29),1,MIN(60,COLUMN()-29)),OFFSET(AG619,0,-MIN(60,COLUMN()-29),1,MIN(60,COLUMN()-29))),0)</f>
        <v>0</v>
      </c>
      <c r="AH620" s="112" t="n">
        <f aca="true">IFERROR(SUMPRODUCT(OFFSET($BJ$31,0,1-MIN(60,COLUMN()-29),1,MIN(60,COLUMN()-29)),OFFSET(AH619,0,-MIN(60,COLUMN()-29),1,MIN(60,COLUMN()-29))),0)</f>
        <v>0</v>
      </c>
      <c r="AI620" s="112" t="n">
        <f aca="true">IFERROR(SUMPRODUCT(OFFSET($BJ$31,0,1-MIN(60,COLUMN()-29),1,MIN(60,COLUMN()-29)),OFFSET(AI619,0,-MIN(60,COLUMN()-29),1,MIN(60,COLUMN()-29))),0)</f>
        <v>0</v>
      </c>
      <c r="AJ620" s="112" t="n">
        <f aca="true">IFERROR(SUMPRODUCT(OFFSET($BJ$31,0,1-MIN(60,COLUMN()-29),1,MIN(60,COLUMN()-29)),OFFSET(AJ619,0,-MIN(60,COLUMN()-29),1,MIN(60,COLUMN()-29))),0)</f>
        <v>0</v>
      </c>
      <c r="AK620" s="112" t="n">
        <f aca="true">IFERROR(SUMPRODUCT(OFFSET($BJ$31,0,1-MIN(60,COLUMN()-29),1,MIN(60,COLUMN()-29)),OFFSET(AK619,0,-MIN(60,COLUMN()-29),1,MIN(60,COLUMN()-29))),0)</f>
        <v>0</v>
      </c>
      <c r="AL620" s="112" t="n">
        <f aca="true">IFERROR(SUMPRODUCT(OFFSET($BJ$31,0,1-MIN(60,COLUMN()-29),1,MIN(60,COLUMN()-29)),OFFSET(AL619,0,-MIN(60,COLUMN()-29),1,MIN(60,COLUMN()-29))),0)</f>
        <v>0</v>
      </c>
      <c r="AM620" s="112" t="n">
        <f aca="true">IFERROR(SUMPRODUCT(OFFSET($BJ$31,0,1-MIN(60,COLUMN()-29),1,MIN(60,COLUMN()-29)),OFFSET(AM619,0,-MIN(60,COLUMN()-29),1,MIN(60,COLUMN()-29))),0)</f>
        <v>0</v>
      </c>
      <c r="AN620" s="239" t="n">
        <f aca="true">IFERROR(SUMPRODUCT(OFFSET($BJ$31,0,1-MIN(60,COLUMN()-29),1,MIN(60,COLUMN()-29)),OFFSET(AN619,0,-MIN(60,COLUMN()-29),1,MIN(60,COLUMN()-29))),0)</f>
        <v>0</v>
      </c>
      <c r="AO620" s="112" t="n">
        <f aca="true">IFERROR(SUMPRODUCT(OFFSET($BJ$31,0,1-MIN(60,COLUMN()-29),1,MIN(60,COLUMN()-29)),OFFSET(AO619,0,-MIN(60,COLUMN()-29),1,MIN(60,COLUMN()-29))),0)</f>
        <v>0</v>
      </c>
      <c r="AP620" s="112" t="n">
        <f aca="true">IFERROR(SUMPRODUCT(OFFSET($BJ$31,0,1-MIN(60,COLUMN()-29),1,MIN(60,COLUMN()-29)),OFFSET(AP619,0,-MIN(60,COLUMN()-29),1,MIN(60,COLUMN()-29))),0)</f>
        <v>0</v>
      </c>
      <c r="AQ620" s="112" t="n">
        <f aca="true">IFERROR(SUMPRODUCT(OFFSET($BJ$31,0,1-MIN(60,COLUMN()-29),1,MIN(60,COLUMN()-29)),OFFSET(AQ619,0,-MIN(60,COLUMN()-29),1,MIN(60,COLUMN()-29))),0)</f>
        <v>0</v>
      </c>
      <c r="AR620" s="112" t="n">
        <f aca="true">IFERROR(SUMPRODUCT(OFFSET($BJ$31,0,1-MIN(60,COLUMN()-29),1,MIN(60,COLUMN()-29)),OFFSET(AR619,0,-MIN(60,COLUMN()-29),1,MIN(60,COLUMN()-29))),0)</f>
        <v>0</v>
      </c>
      <c r="AS620" s="112" t="n">
        <f aca="true">IFERROR(SUMPRODUCT(OFFSET($BJ$31,0,1-MIN(60,COLUMN()-29),1,MIN(60,COLUMN()-29)),OFFSET(AS619,0,-MIN(60,COLUMN()-29),1,MIN(60,COLUMN()-29))),0)</f>
        <v>0</v>
      </c>
      <c r="AT620" s="112" t="n">
        <f aca="true">IFERROR(SUMPRODUCT(OFFSET($BJ$31,0,1-MIN(60,COLUMN()-29),1,MIN(60,COLUMN()-29)),OFFSET(AT619,0,-MIN(60,COLUMN()-29),1,MIN(60,COLUMN()-29))),0)</f>
        <v>0</v>
      </c>
      <c r="AU620" s="112" t="n">
        <f aca="true">IFERROR(SUMPRODUCT(OFFSET($BJ$31,0,1-MIN(60,COLUMN()-29),1,MIN(60,COLUMN()-29)),OFFSET(AU619,0,-MIN(60,COLUMN()-29),1,MIN(60,COLUMN()-29))),0)</f>
        <v>0</v>
      </c>
      <c r="AV620" s="112" t="n">
        <f aca="true">IFERROR(SUMPRODUCT(OFFSET($BJ$31,0,1-MIN(60,COLUMN()-29),1,MIN(60,COLUMN()-29)),OFFSET(AV619,0,-MIN(60,COLUMN()-29),1,MIN(60,COLUMN()-29))),0)</f>
        <v>0</v>
      </c>
      <c r="AW620" s="112" t="n">
        <f aca="true">IFERROR(SUMPRODUCT(OFFSET($BJ$31,0,1-MIN(60,COLUMN()-29),1,MIN(60,COLUMN()-29)),OFFSET(AW619,0,-MIN(60,COLUMN()-29),1,MIN(60,COLUMN()-29))),0)</f>
        <v>0</v>
      </c>
      <c r="AX620" s="112" t="n">
        <f aca="true">IFERROR(SUMPRODUCT(OFFSET($BJ$31,0,1-MIN(60,COLUMN()-29),1,MIN(60,COLUMN()-29)),OFFSET(AX619,0,-MIN(60,COLUMN()-29),1,MIN(60,COLUMN()-29))),0)</f>
        <v>0</v>
      </c>
      <c r="AY620" s="112" t="n">
        <f aca="true">IFERROR(SUMPRODUCT(OFFSET($BJ$31,0,1-MIN(60,COLUMN()-29),1,MIN(60,COLUMN()-29)),OFFSET(AY619,0,-MIN(60,COLUMN()-29),1,MIN(60,COLUMN()-29))),0)</f>
        <v>0</v>
      </c>
      <c r="AZ620" s="112" t="n">
        <f aca="true">IFERROR(SUMPRODUCT(OFFSET($BJ$31,0,1-MIN(60,COLUMN()-29),1,MIN(60,COLUMN()-29)),OFFSET(AZ619,0,-MIN(60,COLUMN()-29),1,MIN(60,COLUMN()-29))),0)</f>
        <v>0</v>
      </c>
      <c r="BA620" s="112" t="n">
        <f aca="true">IFERROR(SUMPRODUCT(OFFSET($BJ$31,0,1-MIN(60,COLUMN()-29),1,MIN(60,COLUMN()-29)),OFFSET(BA619,0,-MIN(60,COLUMN()-29),1,MIN(60,COLUMN()-29))),0)</f>
        <v>0</v>
      </c>
      <c r="BB620" s="112" t="n">
        <f aca="true">IFERROR(SUMPRODUCT(OFFSET($BJ$31,0,1-MIN(60,COLUMN()-29),1,MIN(60,COLUMN()-29)),OFFSET(BB619,0,-MIN(60,COLUMN()-29),1,MIN(60,COLUMN()-29))),0)</f>
        <v>0</v>
      </c>
      <c r="BC620" s="112" t="n">
        <f aca="true">IFERROR(SUMPRODUCT(OFFSET($BJ$31,0,1-MIN(60,COLUMN()-29),1,MIN(60,COLUMN()-29)),OFFSET(BC619,0,-MIN(60,COLUMN()-29),1,MIN(60,COLUMN()-29))),0)</f>
        <v>0</v>
      </c>
      <c r="BD620" s="112" t="n">
        <f aca="true">IFERROR(SUMPRODUCT(OFFSET($BJ$31,0,1-MIN(60,COLUMN()-29),1,MIN(60,COLUMN()-29)),OFFSET(BD619,0,-MIN(60,COLUMN()-29),1,MIN(60,COLUMN()-29))),0)</f>
        <v>0</v>
      </c>
      <c r="BE620" s="112" t="n">
        <f aca="true">IFERROR(SUMPRODUCT(OFFSET($BJ$31,0,1-MIN(60,COLUMN()-29),1,MIN(60,COLUMN()-29)),OFFSET(BE619,0,-MIN(60,COLUMN()-29),1,MIN(60,COLUMN()-29))),0)</f>
        <v>0</v>
      </c>
      <c r="BF620" s="112" t="n">
        <f aca="true">IFERROR(SUMPRODUCT(OFFSET($BJ$31,0,1-MIN(60,COLUMN()-29),1,MIN(60,COLUMN()-29)),OFFSET(BF619,0,-MIN(60,COLUMN()-29),1,MIN(60,COLUMN()-29))),0)</f>
        <v>0</v>
      </c>
      <c r="BG620" s="112" t="n">
        <f aca="true">IFERROR(SUMPRODUCT(OFFSET($BJ$31,0,1-MIN(60,COLUMN()-29),1,MIN(60,COLUMN()-29)),OFFSET(BG619,0,-MIN(60,COLUMN()-29),1,MIN(60,COLUMN()-29))),0)</f>
        <v>0</v>
      </c>
      <c r="BH620" s="112" t="n">
        <f aca="true">IFERROR(SUMPRODUCT(OFFSET($BJ$31,0,1-MIN(60,COLUMN()-29),1,MIN(60,COLUMN()-29)),OFFSET(BH619,0,-MIN(60,COLUMN()-29),1,MIN(60,COLUMN()-29))),0)</f>
        <v>0</v>
      </c>
      <c r="BI620" s="112" t="n">
        <f aca="true">IFERROR(SUMPRODUCT(OFFSET($BJ$31,0,1-MIN(60,COLUMN()-29),1,MIN(60,COLUMN()-29)),OFFSET(BI619,0,-MIN(60,COLUMN()-29),1,MIN(60,COLUMN()-29))),0)</f>
        <v>0</v>
      </c>
      <c r="BJ620" s="112" t="n">
        <f aca="true">IFERROR(SUMPRODUCT(OFFSET($BJ$31,0,1-MIN(60,COLUMN()-29),1,MIN(60,COLUMN()-29)),OFFSET(BJ619,0,-MIN(60,COLUMN()-29),1,MIN(60,COLUMN()-29))),0)</f>
        <v>0</v>
      </c>
      <c r="BK620" s="112" t="n">
        <f aca="true">IFERROR(SUMPRODUCT(OFFSET($BJ$31,0,1-MIN(60,COLUMN()-29),1,MIN(60,COLUMN()-29)),OFFSET(BK619,0,-MIN(60,COLUMN()-29),1,MIN(60,COLUMN()-29))),0)</f>
        <v>0</v>
      </c>
      <c r="BL620" s="112" t="n">
        <f aca="true">IFERROR(SUMPRODUCT(OFFSET($BJ$31,0,1-MIN(60,COLUMN()-29),1,MIN(60,COLUMN()-29)),OFFSET(BL619,0,-MIN(60,COLUMN()-29),1,MIN(60,COLUMN()-29))),0)</f>
        <v>0</v>
      </c>
      <c r="BM620" s="112" t="n">
        <f aca="true">IFERROR(SUMPRODUCT(OFFSET($BJ$31,0,1-MIN(60,COLUMN()-29),1,MIN(60,COLUMN()-29)),OFFSET(BM619,0,-MIN(60,COLUMN()-29),1,MIN(60,COLUMN()-29))),0)</f>
        <v>0</v>
      </c>
      <c r="BN620" s="112" t="n">
        <f aca="true">IFERROR(SUMPRODUCT(OFFSET($BJ$31,0,1-MIN(60,COLUMN()-29),1,MIN(60,COLUMN()-29)),OFFSET(BN619,0,-MIN(60,COLUMN()-29),1,MIN(60,COLUMN()-29))),0)</f>
        <v>0</v>
      </c>
      <c r="BO620" s="112" t="n">
        <f aca="true">IFERROR(SUMPRODUCT(OFFSET($BJ$31,0,1-MIN(60,COLUMN()-29),1,MIN(60,COLUMN()-29)),OFFSET(BO619,0,-MIN(60,COLUMN()-29),1,MIN(60,COLUMN()-29))),0)</f>
        <v>0</v>
      </c>
      <c r="BP620" s="112" t="n">
        <f aca="true">IFERROR(SUMPRODUCT(OFFSET($BJ$31,0,1-MIN(60,COLUMN()-29),1,MIN(60,COLUMN()-29)),OFFSET(BP619,0,-MIN(60,COLUMN()-29),1,MIN(60,COLUMN()-29))),0)</f>
        <v>0</v>
      </c>
      <c r="BQ620" s="112" t="n">
        <f aca="true">IFERROR(SUMPRODUCT(OFFSET($BJ$31,0,1-MIN(60,COLUMN()-29),1,MIN(60,COLUMN()-29)),OFFSET(BQ619,0,-MIN(60,COLUMN()-29),1,MIN(60,COLUMN()-29))),0)</f>
        <v>0</v>
      </c>
      <c r="BR620" s="112" t="n">
        <f aca="true">IFERROR(SUMPRODUCT(OFFSET($BJ$31,0,1-MIN(60,COLUMN()-29),1,MIN(60,COLUMN()-29)),OFFSET(BR619,0,-MIN(60,COLUMN()-29),1,MIN(60,COLUMN()-29))),0)</f>
        <v>0</v>
      </c>
      <c r="BS620" s="112" t="n">
        <f aca="true">IFERROR(SUMPRODUCT(OFFSET($BJ$31,0,1-MIN(60,COLUMN()-29),1,MIN(60,COLUMN()-29)),OFFSET(BS619,0,-MIN(60,COLUMN()-29),1,MIN(60,COLUMN()-29))),0)</f>
        <v>0</v>
      </c>
      <c r="BT620" s="112" t="n">
        <f aca="true">IFERROR(SUMPRODUCT(OFFSET($BJ$31,0,1-MIN(60,COLUMN()-29),1,MIN(60,COLUMN()-29)),OFFSET(BT619,0,-MIN(60,COLUMN()-29),1,MIN(60,COLUMN()-29))),0)</f>
        <v>0</v>
      </c>
      <c r="BU620" s="112" t="n">
        <f aca="true">IFERROR(SUMPRODUCT(OFFSET($BJ$31,0,1-MIN(60,COLUMN()-29),1,MIN(60,COLUMN()-29)),OFFSET(BU619,0,-MIN(60,COLUMN()-29),1,MIN(60,COLUMN()-29))),0)</f>
        <v>0</v>
      </c>
      <c r="BV620" s="112" t="n">
        <f aca="true">IFERROR(SUMPRODUCT(OFFSET($BJ$31,0,1-MIN(60,COLUMN()-29),1,MIN(60,COLUMN()-29)),OFFSET(BV619,0,-MIN(60,COLUMN()-29),1,MIN(60,COLUMN()-29))),0)</f>
        <v>0</v>
      </c>
      <c r="BW620" s="112" t="n">
        <f aca="true">IFERROR(SUMPRODUCT(OFFSET($BJ$31,0,1-MIN(60,COLUMN()-29),1,MIN(60,COLUMN()-29)),OFFSET(BW619,0,-MIN(60,COLUMN()-29),1,MIN(60,COLUMN()-29))),0)</f>
        <v>0</v>
      </c>
      <c r="BX620" s="112" t="n">
        <f aca="true">IFERROR(SUMPRODUCT(OFFSET($BJ$31,0,1-MIN(60,COLUMN()-29),1,MIN(60,COLUMN()-29)),OFFSET(BX619,0,-MIN(60,COLUMN()-29),1,MIN(60,COLUMN()-29))),0)</f>
        <v>0</v>
      </c>
      <c r="BY620" s="112" t="n">
        <f aca="true">IFERROR(SUMPRODUCT(OFFSET($BJ$31,0,1-MIN(60,COLUMN()-29),1,MIN(60,COLUMN()-29)),OFFSET(BY619,0,-MIN(60,COLUMN()-29),1,MIN(60,COLUMN()-29))),0)</f>
        <v>0</v>
      </c>
      <c r="BZ620" s="112" t="n">
        <f aca="true">IFERROR(SUMPRODUCT(OFFSET($BJ$31,0,1-MIN(60,COLUMN()-29),1,MIN(60,COLUMN()-29)),OFFSET(BZ619,0,-MIN(60,COLUMN()-29),1,MIN(60,COLUMN()-29))),0)</f>
        <v>0</v>
      </c>
      <c r="CA620" s="112" t="n">
        <f aca="true">IFERROR(SUMPRODUCT(OFFSET($BJ$31,0,1-MIN(60,COLUMN()-29),1,MIN(60,COLUMN()-29)),OFFSET(CA619,0,-MIN(60,COLUMN()-29),1,MIN(60,COLUMN()-29))),0)</f>
        <v>0</v>
      </c>
      <c r="CB620" s="112" t="n">
        <f aca="true">IFERROR(SUMPRODUCT(OFFSET($BJ$31,0,1-MIN(60,COLUMN()-29),1,MIN(60,COLUMN()-29)),OFFSET(CB619,0,-MIN(60,COLUMN()-29),1,MIN(60,COLUMN()-29))),0)</f>
        <v>0</v>
      </c>
      <c r="CC620" s="112" t="n">
        <f aca="true">IFERROR(SUMPRODUCT(OFFSET($BJ$31,0,1-MIN(60,COLUMN()-29),1,MIN(60,COLUMN()-29)),OFFSET(CC619,0,-MIN(60,COLUMN()-29),1,MIN(60,COLUMN()-29))),0)</f>
        <v>0</v>
      </c>
      <c r="CD620" s="112" t="n">
        <f aca="true">IFERROR(SUMPRODUCT(OFFSET($BJ$31,0,1-MIN(60,COLUMN()-29),1,MIN(60,COLUMN()-29)),OFFSET(CD619,0,-MIN(60,COLUMN()-29),1,MIN(60,COLUMN()-29))),0)</f>
        <v>0</v>
      </c>
      <c r="CE620" s="112" t="n">
        <f aca="true">IFERROR(SUMPRODUCT(OFFSET($BJ$31,0,1-MIN(60,COLUMN()-29),1,MIN(60,COLUMN()-29)),OFFSET(CE619,0,-MIN(60,COLUMN()-29),1,MIN(60,COLUMN()-29))),0)</f>
        <v>0</v>
      </c>
      <c r="CF620" s="112" t="n">
        <f aca="true">IFERROR(SUMPRODUCT(OFFSET($BJ$31,0,1-MIN(60,COLUMN()-29),1,MIN(60,COLUMN()-29)),OFFSET(CF619,0,-MIN(60,COLUMN()-29),1,MIN(60,COLUMN()-29))),0)</f>
        <v>0</v>
      </c>
      <c r="CG620" s="112" t="n">
        <f aca="true">IFERROR(SUMPRODUCT(OFFSET($BJ$31,0,1-MIN(60,COLUMN()-29),1,MIN(60,COLUMN()-29)),OFFSET(CG619,0,-MIN(60,COLUMN()-29),1,MIN(60,COLUMN()-29))),0)</f>
        <v>0</v>
      </c>
      <c r="CH620" s="112" t="n">
        <f aca="true">IFERROR(SUMPRODUCT(OFFSET($BJ$31,0,1-MIN(60,COLUMN()-29),1,MIN(60,COLUMN()-29)),OFFSET(CH619,0,-MIN(60,COLUMN()-29),1,MIN(60,COLUMN()-29))),0)</f>
        <v>0</v>
      </c>
      <c r="CI620" s="112" t="n">
        <f aca="true">IFERROR(SUMPRODUCT(OFFSET($BJ$31,0,1-MIN(60,COLUMN()-29),1,MIN(60,COLUMN()-29)),OFFSET(CI619,0,-MIN(60,COLUMN()-29),1,MIN(60,COLUMN()-29))),0)</f>
        <v>0</v>
      </c>
      <c r="CJ620" s="112" t="n">
        <f aca="true">IFERROR(SUMPRODUCT(OFFSET($BJ$31,0,1-MIN(60,COLUMN()-29),1,MIN(60,COLUMN()-29)),OFFSET(CJ619,0,-MIN(60,COLUMN()-29),1,MIN(60,COLUMN()-29))),0)</f>
        <v>0</v>
      </c>
      <c r="CK620" s="112" t="n">
        <f aca="true">IFERROR(SUMPRODUCT(OFFSET($BJ$31,0,1-MIN(60,COLUMN()-29),1,MIN(60,COLUMN()-29)),OFFSET(CK619,0,-MIN(60,COLUMN()-29),1,MIN(60,COLUMN()-29))),0)</f>
        <v>0</v>
      </c>
      <c r="CL620" s="112" t="n">
        <f aca="true">IFERROR(SUMPRODUCT(OFFSET($BJ$31,0,1-MIN(60,COLUMN()-29),1,MIN(60,COLUMN()-29)),OFFSET(CL619,0,-MIN(60,COLUMN()-29),1,MIN(60,COLUMN()-29))),0)</f>
        <v>0</v>
      </c>
      <c r="CM620" s="112" t="n">
        <f aca="true">IFERROR(SUMPRODUCT(OFFSET($BJ$31,0,1-MIN(60,COLUMN()-29),1,MIN(60,COLUMN()-29)),OFFSET(CM619,0,-MIN(60,COLUMN()-29),1,MIN(60,COLUMN()-29))),0)</f>
        <v>0</v>
      </c>
      <c r="CN620" s="112" t="n">
        <f aca="true">IFERROR(SUMPRODUCT(OFFSET($BJ$31,0,1-MIN(60,COLUMN()-29),1,MIN(60,COLUMN()-29)),OFFSET(CN619,0,-MIN(60,COLUMN()-29),1,MIN(60,COLUMN()-29))),0)</f>
        <v>0</v>
      </c>
      <c r="CO620" s="112" t="n">
        <f aca="true">IFERROR(SUMPRODUCT(OFFSET($BJ$31,0,1-MIN(60,COLUMN()-29),1,MIN(60,COLUMN()-29)),OFFSET(CO619,0,-MIN(60,COLUMN()-29),1,MIN(60,COLUMN()-29))),0)</f>
        <v>0</v>
      </c>
      <c r="CP620" s="112" t="n">
        <f aca="true">IFERROR(SUMPRODUCT(OFFSET($BJ$31,0,1-MIN(60,COLUMN()-29),1,MIN(60,COLUMN()-29)),OFFSET(CP619,0,-MIN(60,COLUMN()-29),1,MIN(60,COLUMN()-29))),0)</f>
        <v>0</v>
      </c>
      <c r="CQ620" s="112" t="n">
        <f aca="true">IFERROR(SUMPRODUCT(OFFSET($BJ$31,0,1-MIN(60,COLUMN()-29),1,MIN(60,COLUMN()-29)),OFFSET(CQ619,0,-MIN(60,COLUMN()-29),1,MIN(60,COLUMN()-29))),0)</f>
        <v>0</v>
      </c>
      <c r="CR620" s="112" t="n">
        <f aca="true">IFERROR(SUMPRODUCT(OFFSET($BJ$31,0,1-MIN(60,COLUMN()-29),1,MIN(60,COLUMN()-29)),OFFSET(CR619,0,-MIN(60,COLUMN()-29),1,MIN(60,COLUMN()-29))),0)</f>
        <v>0</v>
      </c>
      <c r="CS620" s="112" t="n">
        <f aca="true">IFERROR(SUMPRODUCT(OFFSET($BJ$31,0,1-MIN(60,COLUMN()-29),1,MIN(60,COLUMN()-29)),OFFSET(CS619,0,-MIN(60,COLUMN()-29),1,MIN(60,COLUMN()-29))),0)</f>
        <v>0</v>
      </c>
      <c r="CT620" s="112" t="n">
        <f aca="true">IFERROR(SUMPRODUCT(OFFSET($BJ$31,0,1-MIN(60,COLUMN()-29),1,MIN(60,COLUMN()-29)),OFFSET(CT619,0,-MIN(60,COLUMN()-29),1,MIN(60,COLUMN()-29))),0)</f>
        <v>0</v>
      </c>
      <c r="CU620" s="112" t="n">
        <f aca="true">IFERROR(SUMPRODUCT(OFFSET($BJ$31,0,1-MIN(60,COLUMN()-29),1,MIN(60,COLUMN()-29)),OFFSET(CU619,0,-MIN(60,COLUMN()-29),1,MIN(60,COLUMN()-29))),0)</f>
        <v>0</v>
      </c>
      <c r="CV620" s="112" t="n">
        <f aca="true">IFERROR(SUMPRODUCT(OFFSET($BJ$31,0,1-MIN(60,COLUMN()-29),1,MIN(60,COLUMN()-29)),OFFSET(CV619,0,-MIN(60,COLUMN()-29),1,MIN(60,COLUMN()-29))),0)</f>
        <v>0</v>
      </c>
      <c r="CW620" s="112" t="n">
        <f aca="true">IFERROR(SUMPRODUCT(OFFSET($BJ$31,0,1-MIN(60,COLUMN()-29),1,MIN(60,COLUMN()-29)),OFFSET(CW619,0,-MIN(60,COLUMN()-29),1,MIN(60,COLUMN()-29))),0)</f>
        <v>0</v>
      </c>
      <c r="CX620" s="112" t="n">
        <f aca="true">IFERROR(SUMPRODUCT(OFFSET($BJ$31,0,1-MIN(60,COLUMN()-29),1,MIN(60,COLUMN()-29)),OFFSET(CX619,0,-MIN(60,COLUMN()-29),1,MIN(60,COLUMN()-29))),0)</f>
        <v>0</v>
      </c>
      <c r="CY620" s="112" t="n">
        <f aca="true">IFERROR(SUMPRODUCT(OFFSET($BJ$31,0,1-MIN(60,COLUMN()-29),1,MIN(60,COLUMN()-29)),OFFSET(CY619,0,-MIN(60,COLUMN()-29),1,MIN(60,COLUMN()-29))),0)</f>
        <v>0</v>
      </c>
      <c r="CZ620" s="112" t="n">
        <f aca="true">IFERROR(SUMPRODUCT(OFFSET($BJ$31,0,1-MIN(60,COLUMN()-29),1,MIN(60,COLUMN()-29)),OFFSET(CZ619,0,-MIN(60,COLUMN()-29),1,MIN(60,COLUMN()-29))),0)</f>
        <v>0</v>
      </c>
      <c r="DA620" s="112" t="n">
        <f aca="true">IFERROR(SUMPRODUCT(OFFSET($BJ$31,0,1-MIN(60,COLUMN()-29),1,MIN(60,COLUMN()-29)),OFFSET(DA619,0,-MIN(60,COLUMN()-29),1,MIN(60,COLUMN()-29))),0)</f>
        <v>0</v>
      </c>
      <c r="DB620" s="112" t="n">
        <f aca="true">IFERROR(SUMPRODUCT(OFFSET($BJ$31,0,1-MIN(60,COLUMN()-29),1,MIN(60,COLUMN()-29)),OFFSET(DB619,0,-MIN(60,COLUMN()-29),1,MIN(60,COLUMN()-29))),0)</f>
        <v>0</v>
      </c>
      <c r="DC620" s="112" t="n">
        <f aca="true">IFERROR(SUMPRODUCT(OFFSET($BJ$31,0,1-MIN(60,COLUMN()-29),1,MIN(60,COLUMN()-29)),OFFSET(DC619,0,-MIN(60,COLUMN()-29),1,MIN(60,COLUMN()-29))),0)</f>
        <v>0</v>
      </c>
      <c r="DD620" s="112" t="n">
        <f aca="true">IFERROR(SUMPRODUCT(OFFSET($BJ$31,0,1-MIN(60,COLUMN()-29),1,MIN(60,COLUMN()-29)),OFFSET(DD619,0,-MIN(60,COLUMN()-29),1,MIN(60,COLUMN()-29))),0)</f>
        <v>0</v>
      </c>
      <c r="DE620" s="112" t="n">
        <f aca="true">IFERROR(SUMPRODUCT(OFFSET($BJ$31,0,1-MIN(60,COLUMN()-29),1,MIN(60,COLUMN()-29)),OFFSET(DE619,0,-MIN(60,COLUMN()-29),1,MIN(60,COLUMN()-29))),0)</f>
        <v>0</v>
      </c>
      <c r="DF620" s="112" t="n">
        <f aca="true">IFERROR(SUMPRODUCT(OFFSET($BJ$31,0,1-MIN(60,COLUMN()-29),1,MIN(60,COLUMN()-29)),OFFSET(DF619,0,-MIN(60,COLUMN()-29),1,MIN(60,COLUMN()-29))),0)</f>
        <v>0</v>
      </c>
      <c r="DG620" s="112" t="n">
        <f aca="true">IFERROR(SUMPRODUCT(OFFSET($BJ$31,0,1-MIN(60,COLUMN()-29),1,MIN(60,COLUMN()-29)),OFFSET(DG619,0,-MIN(60,COLUMN()-29),1,MIN(60,COLUMN()-29))),0)</f>
        <v>0</v>
      </c>
      <c r="DH620" s="112" t="n">
        <f aca="true">IFERROR(SUMPRODUCT(OFFSET($BJ$31,0,1-MIN(60,COLUMN()-29),1,MIN(60,COLUMN()-29)),OFFSET(DH619,0,-MIN(60,COLUMN()-29),1,MIN(60,COLUMN()-29))),0)</f>
        <v>0</v>
      </c>
      <c r="DI620" s="112" t="n">
        <f aca="true">IFERROR(SUMPRODUCT(OFFSET($BJ$31,0,1-MIN(60,COLUMN()-29),1,MIN(60,COLUMN()-29)),OFFSET(DI619,0,-MIN(60,COLUMN()-29),1,MIN(60,COLUMN()-29))),0)</f>
        <v>0</v>
      </c>
      <c r="DJ620" s="112" t="n">
        <f aca="true">IFERROR(SUMPRODUCT(OFFSET($BJ$31,0,1-MIN(60,COLUMN()-29),1,MIN(60,COLUMN()-29)),OFFSET(DJ619,0,-MIN(60,COLUMN()-29),1,MIN(60,COLUMN()-29))),0)</f>
        <v>0</v>
      </c>
      <c r="DK620" s="112" t="n">
        <f aca="true">IFERROR(SUMPRODUCT(OFFSET($BJ$31,0,1-MIN(60,COLUMN()-29),1,MIN(60,COLUMN()-29)),OFFSET(DK619,0,-MIN(60,COLUMN()-29),1,MIN(60,COLUMN()-29))),0)</f>
        <v>0</v>
      </c>
      <c r="DL620" s="112" t="n">
        <f aca="true">IFERROR(SUMPRODUCT(OFFSET($BJ$31,0,1-MIN(60,COLUMN()-29),1,MIN(60,COLUMN()-29)),OFFSET(DL619,0,-MIN(60,COLUMN()-29),1,MIN(60,COLUMN()-29))),0)</f>
        <v>0</v>
      </c>
      <c r="DM620" s="112" t="n">
        <f aca="true">IFERROR(SUMPRODUCT(OFFSET($BJ$31,0,1-MIN(60,COLUMN()-29),1,MIN(60,COLUMN()-29)),OFFSET(DM619,0,-MIN(60,COLUMN()-29),1,MIN(60,COLUMN()-29))),0)</f>
        <v>0</v>
      </c>
      <c r="DN620" s="112" t="n">
        <f aca="true">IFERROR(SUMPRODUCT(OFFSET($BJ$31,0,1-MIN(60,COLUMN()-29),1,MIN(60,COLUMN()-29)),OFFSET(DN619,0,-MIN(60,COLUMN()-29),1,MIN(60,COLUMN()-29))),0)</f>
        <v>0</v>
      </c>
      <c r="DO620" s="112" t="n">
        <f aca="true">IFERROR(SUMPRODUCT(OFFSET($BJ$31,0,1-MIN(60,COLUMN()-29),1,MIN(60,COLUMN()-29)),OFFSET(DO619,0,-MIN(60,COLUMN()-29),1,MIN(60,COLUMN()-29))),0)</f>
        <v>0</v>
      </c>
      <c r="DP620" s="112" t="n">
        <f aca="true">IFERROR(SUMPRODUCT(OFFSET($BJ$31,0,1-MIN(60,COLUMN()-29),1,MIN(60,COLUMN()-29)),OFFSET(DP619,0,-MIN(60,COLUMN()-29),1,MIN(60,COLUMN()-29))),0)</f>
        <v>0</v>
      </c>
      <c r="DQ620" s="112" t="n">
        <f aca="true">IFERROR(SUMPRODUCT(OFFSET($BJ$31,0,1-MIN(60,COLUMN()-29),1,MIN(60,COLUMN()-29)),OFFSET(DQ619,0,-MIN(60,COLUMN()-29),1,MIN(60,COLUMN()-29))),0)</f>
        <v>0</v>
      </c>
      <c r="DR620" s="112" t="n">
        <f aca="true">IFERROR(SUMPRODUCT(OFFSET($BJ$31,0,1-MIN(60,COLUMN()-29),1,MIN(60,COLUMN()-29)),OFFSET(DR619,0,-MIN(60,COLUMN()-29),1,MIN(60,COLUMN()-29))),0)</f>
        <v>0</v>
      </c>
      <c r="DS620" s="112" t="n">
        <f aca="true">IFERROR(SUMPRODUCT(OFFSET($BJ$31,0,1-MIN(60,COLUMN()-29),1,MIN(60,COLUMN()-29)),OFFSET(DS619,0,-MIN(60,COLUMN()-29),1,MIN(60,COLUMN()-29))),0)</f>
        <v>0</v>
      </c>
      <c r="DT620" s="112" t="n">
        <f aca="true">IFERROR(SUMPRODUCT(OFFSET($BJ$31,0,1-MIN(60,COLUMN()-29),1,MIN(60,COLUMN()-29)),OFFSET(DT619,0,-MIN(60,COLUMN()-29),1,MIN(60,COLUMN()-29))),0)</f>
        <v>0</v>
      </c>
      <c r="DU620" s="112" t="n">
        <f aca="true">IFERROR(SUMPRODUCT(OFFSET($BJ$31,0,1-MIN(60,COLUMN()-29),1,MIN(60,COLUMN()-29)),OFFSET(DU619,0,-MIN(60,COLUMN()-29),1,MIN(60,COLUMN()-29))),0)</f>
        <v>0</v>
      </c>
      <c r="DV620" s="112" t="n">
        <f aca="true">IFERROR(SUMPRODUCT(OFFSET($BJ$31,0,1-MIN(60,COLUMN()-29),1,MIN(60,COLUMN()-29)),OFFSET(DV619,0,-MIN(60,COLUMN()-29),1,MIN(60,COLUMN()-29))),0)</f>
        <v>0</v>
      </c>
      <c r="DW620" s="112" t="n">
        <f aca="true">IFERROR(SUMPRODUCT(OFFSET($BJ$31,0,1-MIN(60,COLUMN()-29),1,MIN(60,COLUMN()-29)),OFFSET(DW619,0,-MIN(60,COLUMN()-29),1,MIN(60,COLUMN()-29))),0)</f>
        <v>0</v>
      </c>
      <c r="DX620" s="112" t="n">
        <f aca="true">IFERROR(SUMPRODUCT(OFFSET($BJ$31,0,1-MIN(60,COLUMN()-29),1,MIN(60,COLUMN()-29)),OFFSET(DX619,0,-MIN(60,COLUMN()-29),1,MIN(60,COLUMN()-29))),0)</f>
        <v>0</v>
      </c>
      <c r="DY620" s="112" t="n">
        <f aca="true">IFERROR(SUMPRODUCT(OFFSET($BJ$31,0,1-MIN(60,COLUMN()-29),1,MIN(60,COLUMN()-29)),OFFSET(DY619,0,-MIN(60,COLUMN()-29),1,MIN(60,COLUMN()-29))),0)</f>
        <v>0</v>
      </c>
      <c r="DZ620" s="112" t="n">
        <f aca="true">IFERROR(SUMPRODUCT(OFFSET($BJ$31,0,1-MIN(60,COLUMN()-29),1,MIN(60,COLUMN()-29)),OFFSET(DZ619,0,-MIN(60,COLUMN()-29),1,MIN(60,COLUMN()-29))),0)</f>
        <v>0</v>
      </c>
      <c r="EA620" s="112" t="n">
        <f aca="true">IFERROR(SUMPRODUCT(OFFSET($BJ$31,0,1-MIN(60,COLUMN()-29),1,MIN(60,COLUMN()-29)),OFFSET(EA619,0,-MIN(60,COLUMN()-29),1,MIN(60,COLUMN()-29))),0)</f>
        <v>0</v>
      </c>
      <c r="EB620" s="112" t="n">
        <f aca="true">IFERROR(SUMPRODUCT(OFFSET($BJ$31,0,1-MIN(60,COLUMN()-29),1,MIN(60,COLUMN()-29)),OFFSET(EB619,0,-MIN(60,COLUMN()-29),1,MIN(60,COLUMN()-29))),0)</f>
        <v>0</v>
      </c>
      <c r="EC620" s="112" t="n">
        <f aca="true">IFERROR(SUMPRODUCT(OFFSET($BJ$31,0,1-MIN(60,COLUMN()-29),1,MIN(60,COLUMN()-29)),OFFSET(EC619,0,-MIN(60,COLUMN()-29),1,MIN(60,COLUMN()-29))),0)</f>
        <v>0</v>
      </c>
      <c r="ED620" s="112" t="n">
        <f aca="true">IFERROR(SUMPRODUCT(OFFSET($BJ$31,0,1-MIN(60,COLUMN()-29),1,MIN(60,COLUMN()-29)),OFFSET(ED619,0,-MIN(60,COLUMN()-29),1,MIN(60,COLUMN()-29))),0)</f>
        <v>0</v>
      </c>
      <c r="EE620" s="112" t="n">
        <f aca="true">IFERROR(SUMPRODUCT(OFFSET($BJ$31,0,1-MIN(60,COLUMN()-29),1,MIN(60,COLUMN()-29)),OFFSET(EE619,0,-MIN(60,COLUMN()-29),1,MIN(60,COLUMN()-29))),0)</f>
        <v>0</v>
      </c>
      <c r="EF620" s="112" t="n">
        <f aca="true">IFERROR(SUMPRODUCT(OFFSET($BJ$31,0,1-MIN(60,COLUMN()-29),1,MIN(60,COLUMN()-29)),OFFSET(EF619,0,-MIN(60,COLUMN()-29),1,MIN(60,COLUMN()-29))),0)</f>
        <v>0</v>
      </c>
      <c r="EG620" s="112" t="n">
        <f aca="true">IFERROR(SUMPRODUCT(OFFSET($BJ$31,0,1-MIN(60,COLUMN()-29),1,MIN(60,COLUMN()-29)),OFFSET(EG619,0,-MIN(60,COLUMN()-29),1,MIN(60,COLUMN()-29))),0)</f>
        <v>0</v>
      </c>
      <c r="EH620" s="112" t="n">
        <f aca="true">IFERROR(SUMPRODUCT(OFFSET($BJ$31,0,1-MIN(60,COLUMN()-29),1,MIN(60,COLUMN()-29)),OFFSET(EH619,0,-MIN(60,COLUMN()-29),1,MIN(60,COLUMN()-29))),0)</f>
        <v>0</v>
      </c>
      <c r="EI620" s="112" t="n">
        <f aca="true">IFERROR(SUMPRODUCT(OFFSET($BJ$31,0,1-MIN(60,COLUMN()-29),1,MIN(60,COLUMN()-29)),OFFSET(EI619,0,-MIN(60,COLUMN()-29),1,MIN(60,COLUMN()-29))),0)</f>
        <v>0</v>
      </c>
      <c r="EJ620" s="112" t="n">
        <f aca="true">IFERROR(SUMPRODUCT(OFFSET($BJ$31,0,1-MIN(60,COLUMN()-29),1,MIN(60,COLUMN()-29)),OFFSET(EJ619,0,-MIN(60,COLUMN()-29),1,MIN(60,COLUMN()-29))),0)</f>
        <v>0</v>
      </c>
      <c r="EK620" s="112" t="n">
        <f aca="true">IFERROR(SUMPRODUCT(OFFSET($BJ$31,0,1-MIN(60,COLUMN()-29),1,MIN(60,COLUMN()-29)),OFFSET(EK619,0,-MIN(60,COLUMN()-29),1,MIN(60,COLUMN()-29))),0)</f>
        <v>0</v>
      </c>
      <c r="EL620" s="112" t="n">
        <f aca="true">IFERROR(SUMPRODUCT(OFFSET($BJ$31,0,1-MIN(60,COLUMN()-29),1,MIN(60,COLUMN()-29)),OFFSET(EL619,0,-MIN(60,COLUMN()-29),1,MIN(60,COLUMN()-29))),0)</f>
        <v>0</v>
      </c>
      <c r="EM620" s="112" t="n">
        <f aca="true">IFERROR(SUMPRODUCT(OFFSET($BJ$31,0,1-MIN(60,COLUMN()-29),1,MIN(60,COLUMN()-29)),OFFSET(EM619,0,-MIN(60,COLUMN()-29),1,MIN(60,COLUMN()-29))),0)</f>
        <v>0</v>
      </c>
      <c r="EN620" s="112" t="n">
        <f aca="true">IFERROR(SUMPRODUCT(OFFSET($BJ$31,0,1-MIN(60,COLUMN()-29),1,MIN(60,COLUMN()-29)),OFFSET(EN619,0,-MIN(60,COLUMN()-29),1,MIN(60,COLUMN()-29))),0)</f>
        <v>0</v>
      </c>
      <c r="EO620" s="112" t="n">
        <f aca="true">IFERROR(SUMPRODUCT(OFFSET($BJ$31,0,1-MIN(60,COLUMN()-29),1,MIN(60,COLUMN()-29)),OFFSET(EO619,0,-MIN(60,COLUMN()-29),1,MIN(60,COLUMN()-29))),0)</f>
        <v>0</v>
      </c>
      <c r="EP620" s="112" t="n">
        <f aca="true">IFERROR(SUMPRODUCT(OFFSET($BJ$31,0,1-MIN(60,COLUMN()-29),1,MIN(60,COLUMN()-29)),OFFSET(EP619,0,-MIN(60,COLUMN()-29),1,MIN(60,COLUMN()-29))),0)</f>
        <v>0</v>
      </c>
      <c r="EQ620" s="112" t="n">
        <f aca="true">IFERROR(SUMPRODUCT(OFFSET($BJ$31,0,1-MIN(60,COLUMN()-29),1,MIN(60,COLUMN()-29)),OFFSET(EQ619,0,-MIN(60,COLUMN()-29),1,MIN(60,COLUMN()-29))),0)</f>
        <v>0</v>
      </c>
      <c r="ER620" s="112" t="n">
        <f aca="true">IFERROR(SUMPRODUCT(OFFSET($BJ$31,0,1-MIN(60,COLUMN()-29),1,MIN(60,COLUMN()-29)),OFFSET(ER619,0,-MIN(60,COLUMN()-29),1,MIN(60,COLUMN()-29))),0)</f>
        <v>0</v>
      </c>
      <c r="ES620" s="9" t="n">
        <f aca="true">IFERROR(SUMPRODUCT(OFFSET($BJ$31,0,1-MIN(60,COLUMN()-29),1,MIN(60,COLUMN()-29)),OFFSET(ES619,0,-MIN(60,COLUMN()-29),1,MIN(60,COLUMN()-29))),0)</f>
        <v>0</v>
      </c>
      <c r="ET620" s="9" t="n">
        <f aca="true">IFERROR(SUMPRODUCT(OFFSET($BJ$31,0,1-MIN(60,COLUMN()-29),1,MIN(60,COLUMN()-29)),OFFSET(ET619,0,-MIN(60,COLUMN()-29),1,MIN(60,COLUMN()-29))),0)</f>
        <v>0</v>
      </c>
      <c r="EU620" s="9" t="n">
        <f aca="true">IFERROR(SUMPRODUCT(OFFSET($BJ$31,0,1-MIN(60,COLUMN()-29),1,MIN(60,COLUMN()-29)),OFFSET(EU619,0,-MIN(60,COLUMN()-29),1,MIN(60,COLUMN()-29))),0)</f>
        <v>0</v>
      </c>
      <c r="EV620" s="9" t="n">
        <f aca="true">IFERROR(SUMPRODUCT(OFFSET($BJ$31,0,1-MIN(60,COLUMN()-29),1,MIN(60,COLUMN()-29)),OFFSET(EV619,0,-MIN(60,COLUMN()-29),1,MIN(60,COLUMN()-29))),0)</f>
        <v>0</v>
      </c>
      <c r="EW620" s="9" t="n">
        <f aca="true">IFERROR(SUMPRODUCT(OFFSET($BJ$31,0,1-MIN(60,COLUMN()-29),1,MIN(60,COLUMN()-29)),OFFSET(EW619,0,-MIN(60,COLUMN()-29),1,MIN(60,COLUMN()-29))),0)</f>
        <v>0</v>
      </c>
      <c r="EX620" s="9" t="n">
        <f aca="true">IFERROR(SUMPRODUCT(OFFSET($BJ$31,0,1-MIN(60,COLUMN()-29),1,MIN(60,COLUMN()-29)),OFFSET(EX619,0,-MIN(60,COLUMN()-29),1,MIN(60,COLUMN()-29))),0)</f>
        <v>0</v>
      </c>
      <c r="EY620" s="9" t="n">
        <f aca="true">IFERROR(SUMPRODUCT(OFFSET($BJ$31,0,1-MIN(60,COLUMN()-29),1,MIN(60,COLUMN()-29)),OFFSET(EY619,0,-MIN(60,COLUMN()-29),1,MIN(60,COLUMN()-29))),0)</f>
        <v>0</v>
      </c>
      <c r="EZ620" s="9" t="n">
        <f aca="true">IFERROR(SUMPRODUCT(OFFSET($BJ$31,0,1-MIN(60,COLUMN()-29),1,MIN(60,COLUMN()-29)),OFFSET(EZ619,0,-MIN(60,COLUMN()-29),1,MIN(60,COLUMN()-29))),0)</f>
        <v>0</v>
      </c>
      <c r="FA620" s="9" t="n">
        <f aca="true">IFERROR(SUMPRODUCT(OFFSET($BJ$31,0,1-MIN(60,COLUMN()-29),1,MIN(60,COLUMN()-29)),OFFSET(FA619,0,-MIN(60,COLUMN()-29),1,MIN(60,COLUMN()-29))),0)</f>
        <v>0</v>
      </c>
      <c r="FB620" s="9" t="n">
        <f aca="true">IFERROR(SUMPRODUCT(OFFSET($BJ$31,0,1-MIN(60,COLUMN()-29),1,MIN(60,COLUMN()-29)),OFFSET(FB619,0,-MIN(60,COLUMN()-29),1,MIN(60,COLUMN()-29))),0)</f>
        <v>0</v>
      </c>
      <c r="FC620" s="9" t="n">
        <f aca="true">IFERROR(SUMPRODUCT(OFFSET($BJ$31,0,1-MIN(60,COLUMN()-29),1,MIN(60,COLUMN()-29)),OFFSET(FC619,0,-MIN(60,COLUMN()-29),1,MIN(60,COLUMN()-29))),0)</f>
        <v>0</v>
      </c>
      <c r="FD620" s="9" t="n">
        <f aca="true">IFERROR(SUMPRODUCT(OFFSET($BJ$31,0,1-MIN(60,COLUMN()-29),1,MIN(60,COLUMN()-29)),OFFSET(FD619,0,-MIN(60,COLUMN()-29),1,MIN(60,COLUMN()-29))),0)</f>
        <v>0</v>
      </c>
      <c r="FE620" s="9" t="n">
        <f aca="true">IFERROR(SUMPRODUCT(OFFSET($BJ$31,0,1-MIN(60,COLUMN()-29),1,MIN(60,COLUMN()-29)),OFFSET(FE619,0,-MIN(60,COLUMN()-29),1,MIN(60,COLUMN()-29))),0)</f>
        <v>0</v>
      </c>
      <c r="FF620" s="9" t="n">
        <f aca="true">IFERROR(SUMPRODUCT(OFFSET($BJ$31,0,1-MIN(60,COLUMN()-29),1,MIN(60,COLUMN()-29)),OFFSET(FF619,0,-MIN(60,COLUMN()-29),1,MIN(60,COLUMN()-29))),0)</f>
        <v>0</v>
      </c>
      <c r="FG620" s="9" t="n">
        <f aca="true">IFERROR(SUMPRODUCT(OFFSET($BJ$31,0,1-MIN(60,COLUMN()-29),1,MIN(60,COLUMN()-29)),OFFSET(FG619,0,-MIN(60,COLUMN()-29),1,MIN(60,COLUMN()-29))),0)</f>
        <v>0</v>
      </c>
      <c r="FH620" s="9" t="n">
        <f aca="true">IFERROR(SUMPRODUCT(OFFSET($BJ$31,0,1-MIN(60,COLUMN()-29),1,MIN(60,COLUMN()-29)),OFFSET(FH619,0,-MIN(60,COLUMN()-29),1,MIN(60,COLUMN()-29))),0)</f>
        <v>0</v>
      </c>
      <c r="FI620" s="9" t="n">
        <f aca="true">IFERROR(SUMPRODUCT(OFFSET($BJ$31,0,1-MIN(60,COLUMN()-29),1,MIN(60,COLUMN()-29)),OFFSET(FI619,0,-MIN(60,COLUMN()-29),1,MIN(60,COLUMN()-29))),0)</f>
        <v>0</v>
      </c>
      <c r="FJ620" s="9" t="n">
        <f aca="true">IFERROR(SUMPRODUCT(OFFSET($BJ$31,0,1-MIN(60,COLUMN()-29),1,MIN(60,COLUMN()-29)),OFFSET(FJ619,0,-MIN(60,COLUMN()-29),1,MIN(60,COLUMN()-29))),0)</f>
        <v>0</v>
      </c>
      <c r="FK620" s="9" t="n">
        <f aca="true">IFERROR(SUMPRODUCT(OFFSET($BJ$31,0,1-MIN(60,COLUMN()-29),1,MIN(60,COLUMN()-29)),OFFSET(FK619,0,-MIN(60,COLUMN()-29),1,MIN(60,COLUMN()-29))),0)</f>
        <v>0</v>
      </c>
      <c r="FL620" s="9" t="n">
        <f aca="true">IFERROR(SUMPRODUCT(OFFSET($BJ$31,0,1-MIN(60,COLUMN()-29),1,MIN(60,COLUMN()-29)),OFFSET(FL619,0,-MIN(60,COLUMN()-29),1,MIN(60,COLUMN()-29))),0)</f>
        <v>0</v>
      </c>
      <c r="FM620" s="9" t="n">
        <f aca="true">IFERROR(SUMPRODUCT(OFFSET($BJ$31,0,1-MIN(60,COLUMN()-29),1,MIN(60,COLUMN()-29)),OFFSET(FM619,0,-MIN(60,COLUMN()-29),1,MIN(60,COLUMN()-29))),0)</f>
        <v>0</v>
      </c>
      <c r="FN620" s="9" t="n">
        <f aca="true">IFERROR(SUMPRODUCT(OFFSET($BJ$31,0,1-MIN(60,COLUMN()-29),1,MIN(60,COLUMN()-29)),OFFSET(FN619,0,-MIN(60,COLUMN()-29),1,MIN(60,COLUMN()-29))),0)</f>
        <v>0</v>
      </c>
      <c r="FO620" s="9" t="n">
        <f aca="true">IFERROR(SUMPRODUCT(OFFSET($BJ$31,0,1-MIN(60,COLUMN()-29),1,MIN(60,COLUMN()-29)),OFFSET(FO619,0,-MIN(60,COLUMN()-29),1,MIN(60,COLUMN()-29))),0)</f>
        <v>0</v>
      </c>
      <c r="FP620" s="9" t="n">
        <f aca="true">IFERROR(SUMPRODUCT(OFFSET($BJ$31,0,1-MIN(60,COLUMN()-29),1,MIN(60,COLUMN()-29)),OFFSET(FP619,0,-MIN(60,COLUMN()-29),1,MIN(60,COLUMN()-29))),0)</f>
        <v>0</v>
      </c>
    </row>
    <row r="621" customFormat="false" ht="15" hidden="false" customHeight="false" outlineLevel="2" collapsed="false">
      <c r="B621" s="90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237"/>
      <c r="AD621" s="237"/>
      <c r="AE621" s="237"/>
      <c r="AF621" s="237"/>
      <c r="AG621" s="237"/>
      <c r="AH621" s="237"/>
      <c r="AI621" s="237"/>
      <c r="AJ621" s="237"/>
      <c r="AK621" s="237"/>
      <c r="AL621" s="237"/>
      <c r="AM621" s="237"/>
      <c r="AN621" s="237"/>
      <c r="AO621" s="237"/>
      <c r="AP621" s="237"/>
      <c r="AQ621" s="237"/>
      <c r="AR621" s="237"/>
      <c r="AS621" s="237"/>
      <c r="AT621" s="237"/>
      <c r="AU621" s="237"/>
      <c r="AV621" s="237"/>
      <c r="AW621" s="237"/>
      <c r="AX621" s="237"/>
      <c r="AY621" s="237"/>
      <c r="AZ621" s="237"/>
      <c r="BA621" s="237"/>
      <c r="BB621" s="237"/>
      <c r="BC621" s="237"/>
      <c r="BD621" s="237"/>
      <c r="BE621" s="237"/>
      <c r="BF621" s="237"/>
      <c r="BG621" s="237"/>
      <c r="BH621" s="237"/>
      <c r="BI621" s="237"/>
      <c r="BJ621" s="237"/>
      <c r="BK621" s="237"/>
      <c r="BL621" s="237"/>
      <c r="BM621" s="237"/>
      <c r="BN621" s="237"/>
      <c r="BO621" s="237"/>
      <c r="BP621" s="237"/>
      <c r="BQ621" s="237"/>
      <c r="BR621" s="237"/>
      <c r="BS621" s="237"/>
      <c r="BT621" s="237"/>
      <c r="BU621" s="237"/>
      <c r="BV621" s="237"/>
      <c r="BW621" s="237"/>
      <c r="BX621" s="237"/>
      <c r="BY621" s="237"/>
      <c r="BZ621" s="237"/>
      <c r="CA621" s="237"/>
      <c r="CB621" s="237"/>
      <c r="CC621" s="237"/>
      <c r="CD621" s="237"/>
      <c r="CE621" s="237"/>
      <c r="CF621" s="237"/>
      <c r="CG621" s="237"/>
      <c r="CH621" s="237"/>
      <c r="CI621" s="237"/>
      <c r="CJ621" s="237"/>
      <c r="CK621" s="237"/>
      <c r="CL621" s="237"/>
      <c r="CM621" s="237"/>
      <c r="CN621" s="237"/>
      <c r="CO621" s="237"/>
      <c r="CP621" s="237"/>
      <c r="CQ621" s="237"/>
      <c r="CR621" s="237"/>
      <c r="CS621" s="237"/>
      <c r="CT621" s="237"/>
      <c r="CU621" s="237"/>
      <c r="CV621" s="237"/>
      <c r="CW621" s="237"/>
      <c r="CX621" s="237"/>
      <c r="CY621" s="237"/>
      <c r="CZ621" s="237"/>
      <c r="DA621" s="237"/>
      <c r="DB621" s="237"/>
      <c r="DC621" s="237"/>
      <c r="DD621" s="237"/>
      <c r="DE621" s="237"/>
      <c r="DF621" s="237"/>
      <c r="DG621" s="237"/>
      <c r="DH621" s="237"/>
      <c r="DI621" s="237"/>
      <c r="DJ621" s="237"/>
      <c r="DK621" s="237"/>
      <c r="DL621" s="237"/>
      <c r="DM621" s="237"/>
      <c r="DN621" s="237"/>
      <c r="DO621" s="237"/>
      <c r="DP621" s="237"/>
      <c r="DQ621" s="237"/>
      <c r="DR621" s="237"/>
      <c r="DS621" s="237"/>
      <c r="DT621" s="237"/>
      <c r="DU621" s="237"/>
      <c r="DV621" s="237"/>
      <c r="DW621" s="237"/>
      <c r="DX621" s="237"/>
      <c r="DY621" s="237"/>
      <c r="DZ621" s="237"/>
      <c r="EA621" s="237"/>
      <c r="EB621" s="237"/>
      <c r="EC621" s="237"/>
      <c r="ED621" s="237"/>
      <c r="EE621" s="237"/>
      <c r="EF621" s="237"/>
      <c r="EG621" s="237"/>
      <c r="EH621" s="237"/>
      <c r="EI621" s="237"/>
      <c r="EJ621" s="237"/>
      <c r="EK621" s="237"/>
      <c r="EL621" s="237"/>
      <c r="EM621" s="237"/>
      <c r="EN621" s="237"/>
      <c r="EO621" s="237"/>
      <c r="EP621" s="237"/>
      <c r="EQ621" s="237"/>
      <c r="ER621" s="237"/>
      <c r="ES621" s="9"/>
      <c r="ET621" s="9"/>
      <c r="EU621" s="9"/>
      <c r="EV621" s="9"/>
      <c r="EW621" s="9"/>
      <c r="EX621" s="9"/>
      <c r="EY621" s="9"/>
      <c r="EZ621" s="9"/>
      <c r="FA621" s="9"/>
      <c r="FB621" s="9"/>
      <c r="FC621" s="9"/>
      <c r="FD621" s="9"/>
      <c r="FE621" s="9"/>
      <c r="FF621" s="9"/>
      <c r="FG621" s="9"/>
      <c r="FH621" s="9"/>
      <c r="FI621" s="9"/>
      <c r="FJ621" s="9"/>
      <c r="FK621" s="9"/>
      <c r="FL621" s="9"/>
      <c r="FM621" s="9"/>
      <c r="FN621" s="9"/>
      <c r="FO621" s="9"/>
      <c r="FP621" s="9"/>
    </row>
    <row r="622" customFormat="false" ht="15" hidden="false" customHeight="false" outlineLevel="2" collapsed="false">
      <c r="B622" s="240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237"/>
      <c r="AD622" s="237"/>
      <c r="AE622" s="237"/>
      <c r="AF622" s="237"/>
      <c r="AG622" s="237"/>
      <c r="AH622" s="237"/>
      <c r="AI622" s="237"/>
      <c r="AJ622" s="237"/>
      <c r="AK622" s="237"/>
      <c r="AL622" s="237"/>
      <c r="AM622" s="237"/>
      <c r="AN622" s="237"/>
      <c r="AO622" s="237"/>
      <c r="AP622" s="237"/>
      <c r="AQ622" s="237"/>
      <c r="AR622" s="237"/>
      <c r="AS622" s="237"/>
      <c r="AT622" s="237"/>
      <c r="AU622" s="237"/>
      <c r="AV622" s="237"/>
      <c r="AW622" s="237"/>
      <c r="AX622" s="237"/>
      <c r="AY622" s="237"/>
      <c r="AZ622" s="237"/>
      <c r="BA622" s="237"/>
      <c r="BB622" s="237"/>
      <c r="BC622" s="237"/>
      <c r="BD622" s="237"/>
      <c r="BE622" s="237"/>
      <c r="BF622" s="237"/>
      <c r="BG622" s="237"/>
      <c r="BH622" s="237"/>
      <c r="BI622" s="237"/>
      <c r="BJ622" s="237"/>
      <c r="BK622" s="237"/>
      <c r="BL622" s="237"/>
      <c r="BM622" s="237"/>
      <c r="BN622" s="237"/>
      <c r="BO622" s="237"/>
      <c r="BP622" s="237"/>
      <c r="BQ622" s="237"/>
      <c r="BR622" s="237"/>
      <c r="BS622" s="237"/>
      <c r="BT622" s="237"/>
      <c r="BU622" s="237"/>
      <c r="BV622" s="237"/>
      <c r="BW622" s="237"/>
      <c r="BX622" s="237"/>
      <c r="BY622" s="237"/>
      <c r="BZ622" s="237"/>
      <c r="CA622" s="237"/>
      <c r="CB622" s="237"/>
      <c r="CC622" s="237"/>
      <c r="CD622" s="237"/>
      <c r="CE622" s="237"/>
      <c r="CF622" s="237"/>
      <c r="CG622" s="237"/>
      <c r="CH622" s="237"/>
      <c r="CI622" s="237"/>
      <c r="CJ622" s="237"/>
      <c r="CK622" s="237"/>
      <c r="CL622" s="237"/>
      <c r="CM622" s="237"/>
      <c r="CN622" s="237"/>
      <c r="CO622" s="237"/>
      <c r="CP622" s="237"/>
      <c r="CQ622" s="237"/>
      <c r="CR622" s="237"/>
      <c r="CS622" s="237"/>
      <c r="CT622" s="237"/>
      <c r="CU622" s="237"/>
      <c r="CV622" s="237"/>
      <c r="CW622" s="237"/>
      <c r="CX622" s="237"/>
      <c r="CY622" s="237"/>
      <c r="CZ622" s="237"/>
      <c r="DA622" s="237"/>
      <c r="DB622" s="237"/>
      <c r="DC622" s="237"/>
      <c r="DD622" s="237"/>
      <c r="DE622" s="237"/>
      <c r="DF622" s="237"/>
      <c r="DG622" s="237"/>
      <c r="DH622" s="237"/>
      <c r="DI622" s="237"/>
      <c r="DJ622" s="237"/>
      <c r="DK622" s="237"/>
      <c r="DL622" s="237"/>
      <c r="DM622" s="237"/>
      <c r="DN622" s="237"/>
      <c r="DO622" s="237"/>
      <c r="DP622" s="237"/>
      <c r="DQ622" s="237"/>
      <c r="DR622" s="237"/>
      <c r="DS622" s="237"/>
      <c r="DT622" s="237"/>
      <c r="DU622" s="237"/>
      <c r="DV622" s="237"/>
      <c r="DW622" s="237"/>
      <c r="DX622" s="237"/>
      <c r="DY622" s="237"/>
      <c r="DZ622" s="237"/>
      <c r="EA622" s="237"/>
      <c r="EB622" s="237"/>
      <c r="EC622" s="237"/>
      <c r="ED622" s="237"/>
      <c r="EE622" s="237"/>
      <c r="EF622" s="237"/>
      <c r="EG622" s="237"/>
      <c r="EH622" s="237"/>
      <c r="EI622" s="237"/>
      <c r="EJ622" s="237"/>
      <c r="EK622" s="237"/>
      <c r="EL622" s="237"/>
      <c r="EM622" s="237"/>
      <c r="EN622" s="237"/>
      <c r="EO622" s="237"/>
      <c r="EP622" s="237"/>
      <c r="EQ622" s="237"/>
      <c r="ER622" s="237"/>
      <c r="ES622" s="9"/>
      <c r="ET622" s="9"/>
      <c r="EU622" s="9"/>
      <c r="EV622" s="9"/>
      <c r="EW622" s="9"/>
      <c r="EX622" s="9"/>
      <c r="EY622" s="9"/>
      <c r="EZ622" s="9"/>
      <c r="FA622" s="9"/>
      <c r="FB622" s="9"/>
      <c r="FC622" s="9"/>
      <c r="FD622" s="9"/>
      <c r="FE622" s="9"/>
      <c r="FF622" s="9"/>
      <c r="FG622" s="9"/>
      <c r="FH622" s="9"/>
      <c r="FI622" s="9"/>
      <c r="FJ622" s="9"/>
      <c r="FK622" s="9"/>
      <c r="FL622" s="9"/>
      <c r="FM622" s="9"/>
      <c r="FN622" s="9"/>
      <c r="FO622" s="9"/>
      <c r="FP622" s="9"/>
    </row>
    <row r="623" customFormat="false" ht="15" hidden="false" customHeight="false" outlineLevel="2" collapsed="false">
      <c r="B623" s="21" t="s">
        <v>935</v>
      </c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  <c r="BL623" s="21"/>
      <c r="BM623" s="21"/>
      <c r="BN623" s="21"/>
      <c r="BO623" s="21"/>
      <c r="BP623" s="21"/>
      <c r="BQ623" s="21"/>
      <c r="BR623" s="21"/>
      <c r="BS623" s="21"/>
      <c r="BT623" s="21"/>
      <c r="BU623" s="21"/>
      <c r="BV623" s="21"/>
      <c r="BW623" s="21"/>
      <c r="BX623" s="21"/>
      <c r="BY623" s="21"/>
      <c r="BZ623" s="21"/>
      <c r="CA623" s="21"/>
      <c r="CB623" s="21"/>
      <c r="CC623" s="21"/>
      <c r="CD623" s="21"/>
      <c r="CE623" s="21"/>
      <c r="CF623" s="21"/>
      <c r="CG623" s="21"/>
      <c r="CH623" s="21"/>
      <c r="CI623" s="21"/>
      <c r="CJ623" s="21"/>
      <c r="CK623" s="21"/>
      <c r="CL623" s="21"/>
      <c r="CM623" s="21"/>
      <c r="CN623" s="21"/>
      <c r="CO623" s="21"/>
      <c r="CP623" s="21"/>
      <c r="CQ623" s="21"/>
      <c r="CR623" s="21"/>
      <c r="CS623" s="21"/>
      <c r="CT623" s="21"/>
      <c r="CU623" s="21"/>
      <c r="CV623" s="21"/>
      <c r="CW623" s="21"/>
      <c r="CX623" s="21"/>
      <c r="CY623" s="21"/>
      <c r="CZ623" s="21"/>
      <c r="DA623" s="21"/>
      <c r="DB623" s="21"/>
      <c r="DC623" s="21"/>
      <c r="DD623" s="21"/>
      <c r="DE623" s="21"/>
      <c r="DF623" s="21"/>
      <c r="DG623" s="21"/>
      <c r="DH623" s="21"/>
      <c r="DI623" s="21"/>
      <c r="DJ623" s="21"/>
      <c r="DK623" s="21"/>
      <c r="DL623" s="21"/>
      <c r="DM623" s="21"/>
      <c r="DN623" s="21"/>
      <c r="DO623" s="21"/>
      <c r="DP623" s="21"/>
      <c r="DQ623" s="21"/>
      <c r="DR623" s="21"/>
      <c r="DS623" s="21"/>
      <c r="DT623" s="21"/>
      <c r="DU623" s="21"/>
      <c r="DV623" s="21"/>
      <c r="DW623" s="21"/>
      <c r="DX623" s="21"/>
      <c r="DY623" s="21"/>
      <c r="DZ623" s="21"/>
      <c r="EA623" s="21"/>
      <c r="EB623" s="21"/>
      <c r="EC623" s="21"/>
      <c r="ED623" s="21"/>
      <c r="EE623" s="21"/>
      <c r="EF623" s="21"/>
      <c r="EG623" s="21"/>
      <c r="EH623" s="21"/>
      <c r="EI623" s="21"/>
      <c r="EJ623" s="21"/>
      <c r="EK623" s="21"/>
      <c r="EL623" s="21"/>
      <c r="EM623" s="21"/>
      <c r="EN623" s="21"/>
      <c r="EO623" s="21"/>
      <c r="EP623" s="21"/>
      <c r="EQ623" s="21"/>
      <c r="ER623" s="21"/>
      <c r="ES623" s="9"/>
      <c r="ET623" s="9"/>
      <c r="EU623" s="9"/>
      <c r="EV623" s="9"/>
      <c r="EW623" s="9"/>
      <c r="EX623" s="9"/>
      <c r="EY623" s="9"/>
      <c r="EZ623" s="9"/>
      <c r="FA623" s="9"/>
      <c r="FB623" s="9"/>
      <c r="FC623" s="9"/>
      <c r="FD623" s="9"/>
      <c r="FE623" s="9"/>
      <c r="FF623" s="9"/>
      <c r="FG623" s="9"/>
      <c r="FH623" s="9"/>
      <c r="FI623" s="9"/>
      <c r="FJ623" s="9"/>
      <c r="FK623" s="9"/>
      <c r="FL623" s="9"/>
      <c r="FM623" s="9"/>
      <c r="FN623" s="9"/>
      <c r="FO623" s="9"/>
      <c r="FP623" s="9"/>
    </row>
    <row r="624" customFormat="false" ht="15" hidden="false" customHeight="false" outlineLevel="2" collapsed="false">
      <c r="B624" s="9" t="s">
        <v>872</v>
      </c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234" t="n">
        <f aca="false">('⑫ Roll-out Plan'!G67-2025)*12+'⑫ Roll-out Plan'!F67</f>
        <v>80</v>
      </c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9"/>
      <c r="CN624" s="9"/>
      <c r="CO624" s="9"/>
      <c r="CP624" s="9"/>
      <c r="CQ624" s="9"/>
      <c r="CR624" s="9"/>
      <c r="CS624" s="9"/>
      <c r="CT624" s="9"/>
      <c r="CU624" s="9"/>
      <c r="CV624" s="9"/>
      <c r="CW624" s="9"/>
      <c r="CX624" s="9"/>
      <c r="CY624" s="9"/>
      <c r="CZ624" s="9"/>
      <c r="DA624" s="9"/>
      <c r="DB624" s="9"/>
      <c r="DC624" s="9"/>
      <c r="DD624" s="9"/>
      <c r="DE624" s="9"/>
      <c r="DF624" s="9"/>
      <c r="DG624" s="9"/>
      <c r="DH624" s="9"/>
      <c r="DI624" s="9"/>
      <c r="DJ624" s="9"/>
      <c r="DK624" s="9"/>
      <c r="DL624" s="9"/>
      <c r="DM624" s="9"/>
      <c r="DN624" s="9"/>
      <c r="DO624" s="9"/>
      <c r="DP624" s="9"/>
      <c r="DQ624" s="9"/>
      <c r="DR624" s="9"/>
      <c r="DS624" s="9"/>
      <c r="DT624" s="9"/>
      <c r="DU624" s="9"/>
      <c r="DV624" s="9"/>
      <c r="DW624" s="9"/>
      <c r="DX624" s="9"/>
      <c r="DY624" s="9"/>
      <c r="DZ624" s="9"/>
      <c r="EA624" s="9"/>
      <c r="EB624" s="9"/>
      <c r="EC624" s="9"/>
      <c r="ED624" s="9"/>
      <c r="EE624" s="9"/>
      <c r="EF624" s="9"/>
      <c r="EG624" s="9"/>
      <c r="EH624" s="9"/>
      <c r="EI624" s="9"/>
      <c r="EJ624" s="9"/>
      <c r="EK624" s="9"/>
      <c r="EL624" s="9"/>
      <c r="EM624" s="9"/>
      <c r="EN624" s="9"/>
      <c r="EO624" s="9"/>
      <c r="EP624" s="9"/>
      <c r="EQ624" s="9"/>
      <c r="ER624" s="9"/>
      <c r="ES624" s="9"/>
      <c r="ET624" s="9"/>
      <c r="EU624" s="9"/>
      <c r="EV624" s="9"/>
      <c r="EW624" s="9"/>
      <c r="EX624" s="9"/>
      <c r="EY624" s="9"/>
      <c r="EZ624" s="9"/>
      <c r="FA624" s="9"/>
      <c r="FB624" s="9"/>
      <c r="FC624" s="9"/>
      <c r="FD624" s="9"/>
      <c r="FE624" s="9"/>
      <c r="FF624" s="9"/>
      <c r="FG624" s="9"/>
      <c r="FH624" s="9"/>
      <c r="FI624" s="9"/>
      <c r="FJ624" s="9"/>
      <c r="FK624" s="9"/>
      <c r="FL624" s="9"/>
      <c r="FM624" s="9"/>
      <c r="FN624" s="9"/>
      <c r="FO624" s="9"/>
      <c r="FP624" s="9"/>
    </row>
    <row r="625" customFormat="false" ht="15" hidden="false" customHeight="false" outlineLevel="2" collapsed="false">
      <c r="B625" s="9" t="s">
        <v>873</v>
      </c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235" t="n">
        <f aca="false">VLOOKUP("A",$B$14:$C$18,2,FALSE())</f>
        <v>210</v>
      </c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  <c r="CA625" s="9"/>
      <c r="CB625" s="9"/>
      <c r="CC625" s="9"/>
      <c r="CD625" s="9"/>
      <c r="CE625" s="9"/>
      <c r="CF625" s="9"/>
      <c r="CG625" s="9"/>
      <c r="CH625" s="9"/>
      <c r="CI625" s="9"/>
      <c r="CJ625" s="9"/>
      <c r="CK625" s="9"/>
      <c r="CL625" s="9"/>
      <c r="CM625" s="9"/>
      <c r="CN625" s="9"/>
      <c r="CO625" s="9"/>
      <c r="CP625" s="9"/>
      <c r="CQ625" s="9"/>
      <c r="CR625" s="9"/>
      <c r="CS625" s="9"/>
      <c r="CT625" s="9"/>
      <c r="CU625" s="9"/>
      <c r="CV625" s="9"/>
      <c r="CW625" s="9"/>
      <c r="CX625" s="9"/>
      <c r="CY625" s="9"/>
      <c r="CZ625" s="9"/>
      <c r="DA625" s="9"/>
      <c r="DB625" s="9"/>
      <c r="DC625" s="9"/>
      <c r="DD625" s="9"/>
      <c r="DE625" s="9"/>
      <c r="DF625" s="9"/>
      <c r="DG625" s="9"/>
      <c r="DH625" s="9"/>
      <c r="DI625" s="9"/>
      <c r="DJ625" s="9"/>
      <c r="DK625" s="9"/>
      <c r="DL625" s="9"/>
      <c r="DM625" s="9"/>
      <c r="DN625" s="9"/>
      <c r="DO625" s="9"/>
      <c r="DP625" s="9"/>
      <c r="DQ625" s="9"/>
      <c r="DR625" s="9"/>
      <c r="DS625" s="9"/>
      <c r="DT625" s="9"/>
      <c r="DU625" s="9"/>
      <c r="DV625" s="9"/>
      <c r="DW625" s="9"/>
      <c r="DX625" s="9"/>
      <c r="DY625" s="9"/>
      <c r="DZ625" s="9"/>
      <c r="EA625" s="9"/>
      <c r="EB625" s="9"/>
      <c r="EC625" s="9"/>
      <c r="ED625" s="9"/>
      <c r="EE625" s="9"/>
      <c r="EF625" s="9"/>
      <c r="EG625" s="9"/>
      <c r="EH625" s="9"/>
      <c r="EI625" s="9"/>
      <c r="EJ625" s="9"/>
      <c r="EK625" s="9"/>
      <c r="EL625" s="9"/>
      <c r="EM625" s="9"/>
      <c r="EN625" s="9"/>
      <c r="EO625" s="9"/>
      <c r="EP625" s="9"/>
      <c r="EQ625" s="9"/>
      <c r="ER625" s="9"/>
      <c r="ES625" s="9"/>
      <c r="ET625" s="9"/>
      <c r="EU625" s="9"/>
      <c r="EV625" s="9"/>
      <c r="EW625" s="9"/>
      <c r="EX625" s="9"/>
      <c r="EY625" s="9"/>
      <c r="EZ625" s="9"/>
      <c r="FA625" s="9"/>
      <c r="FB625" s="9"/>
      <c r="FC625" s="9"/>
      <c r="FD625" s="9"/>
      <c r="FE625" s="9"/>
      <c r="FF625" s="9"/>
      <c r="FG625" s="9"/>
      <c r="FH625" s="9"/>
      <c r="FI625" s="9"/>
      <c r="FJ625" s="9"/>
      <c r="FK625" s="9"/>
      <c r="FL625" s="9"/>
      <c r="FM625" s="9"/>
      <c r="FN625" s="9"/>
      <c r="FO625" s="9"/>
      <c r="FP625" s="9"/>
    </row>
    <row r="626" customFormat="false" ht="15" hidden="false" customHeight="false" outlineLevel="2" collapsed="false">
      <c r="B626" s="9" t="s">
        <v>799</v>
      </c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63" t="n">
        <f aca="false">IF(AC$35&gt;=$AC$624,AC$35-$AC$624+1,0)</f>
        <v>0</v>
      </c>
      <c r="AD626" s="63" t="n">
        <f aca="false">IF(AD$35&gt;=$AC$624,AD$35-$AC$624+1,0)</f>
        <v>0</v>
      </c>
      <c r="AE626" s="63" t="n">
        <f aca="false">IF(AE$35&gt;=$AC$624,AE$35-$AC$624+1,0)</f>
        <v>0</v>
      </c>
      <c r="AF626" s="63" t="n">
        <f aca="false">IF(AF$35&gt;=$AC$624,AF$35-$AC$624+1,0)</f>
        <v>0</v>
      </c>
      <c r="AG626" s="63" t="n">
        <f aca="false">IF(AG$35&gt;=$AC$624,AG$35-$AC$624+1,0)</f>
        <v>0</v>
      </c>
      <c r="AH626" s="63" t="n">
        <f aca="false">IF(AH$35&gt;=$AC$624,AH$35-$AC$624+1,0)</f>
        <v>0</v>
      </c>
      <c r="AI626" s="63" t="n">
        <f aca="false">IF(AI$35&gt;=$AC$624,AI$35-$AC$624+1,0)</f>
        <v>0</v>
      </c>
      <c r="AJ626" s="63" t="n">
        <f aca="false">IF(AJ$35&gt;=$AC$624,AJ$35-$AC$624+1,0)</f>
        <v>0</v>
      </c>
      <c r="AK626" s="63" t="n">
        <f aca="false">IF(AK$35&gt;=$AC$624,AK$35-$AC$624+1,0)</f>
        <v>0</v>
      </c>
      <c r="AL626" s="63" t="n">
        <f aca="false">IF(AL$35&gt;=$AC$624,AL$35-$AC$624+1,0)</f>
        <v>0</v>
      </c>
      <c r="AM626" s="63" t="n">
        <f aca="false">IF(AM$35&gt;=$AC$624,AM$35-$AC$624+1,0)</f>
        <v>0</v>
      </c>
      <c r="AN626" s="63" t="n">
        <f aca="false">IF(AN$35&gt;=$AC$624,AN$35-$AC$624+1,0)</f>
        <v>0</v>
      </c>
      <c r="AO626" s="63" t="n">
        <f aca="false">IF(AO$35&gt;=$AC$624,AO$35-$AC$624+1,0)</f>
        <v>0</v>
      </c>
      <c r="AP626" s="63" t="n">
        <f aca="false">IF(AP$35&gt;=$AC$624,AP$35-$AC$624+1,0)</f>
        <v>0</v>
      </c>
      <c r="AQ626" s="63" t="n">
        <f aca="false">IF(AQ$35&gt;=$AC$624,AQ$35-$AC$624+1,0)</f>
        <v>0</v>
      </c>
      <c r="AR626" s="63" t="n">
        <f aca="false">IF(AR$35&gt;=$AC$624,AR$35-$AC$624+1,0)</f>
        <v>0</v>
      </c>
      <c r="AS626" s="63" t="n">
        <f aca="false">IF(AS$35&gt;=$AC$624,AS$35-$AC$624+1,0)</f>
        <v>0</v>
      </c>
      <c r="AT626" s="63" t="n">
        <f aca="false">IF(AT$35&gt;=$AC$624,AT$35-$AC$624+1,0)</f>
        <v>0</v>
      </c>
      <c r="AU626" s="63" t="n">
        <f aca="false">IF(AU$35&gt;=$AC$624,AU$35-$AC$624+1,0)</f>
        <v>0</v>
      </c>
      <c r="AV626" s="63" t="n">
        <f aca="false">IF(AV$35&gt;=$AC$624,AV$35-$AC$624+1,0)</f>
        <v>0</v>
      </c>
      <c r="AW626" s="63" t="n">
        <f aca="false">IF(AW$35&gt;=$AC$624,AW$35-$AC$624+1,0)</f>
        <v>0</v>
      </c>
      <c r="AX626" s="63" t="n">
        <f aca="false">IF(AX$35&gt;=$AC$624,AX$35-$AC$624+1,0)</f>
        <v>0</v>
      </c>
      <c r="AY626" s="63" t="n">
        <f aca="false">IF(AY$35&gt;=$AC$624,AY$35-$AC$624+1,0)</f>
        <v>0</v>
      </c>
      <c r="AZ626" s="63" t="n">
        <f aca="false">IF(AZ$35&gt;=$AC$624,AZ$35-$AC$624+1,0)</f>
        <v>0</v>
      </c>
      <c r="BA626" s="63" t="n">
        <f aca="false">IF(BA$35&gt;=$AC$624,BA$35-$AC$624+1,0)</f>
        <v>0</v>
      </c>
      <c r="BB626" s="63" t="n">
        <f aca="false">IF(BB$35&gt;=$AC$624,BB$35-$AC$624+1,0)</f>
        <v>0</v>
      </c>
      <c r="BC626" s="63" t="n">
        <f aca="false">IF(BC$35&gt;=$AC$624,BC$35-$AC$624+1,0)</f>
        <v>0</v>
      </c>
      <c r="BD626" s="63" t="n">
        <f aca="false">IF(BD$35&gt;=$AC$624,BD$35-$AC$624+1,0)</f>
        <v>0</v>
      </c>
      <c r="BE626" s="63" t="n">
        <f aca="false">IF(BE$35&gt;=$AC$624,BE$35-$AC$624+1,0)</f>
        <v>0</v>
      </c>
      <c r="BF626" s="63" t="n">
        <f aca="false">IF(BF$35&gt;=$AC$624,BF$35-$AC$624+1,0)</f>
        <v>0</v>
      </c>
      <c r="BG626" s="63" t="n">
        <f aca="false">IF(BG$35&gt;=$AC$624,BG$35-$AC$624+1,0)</f>
        <v>0</v>
      </c>
      <c r="BH626" s="63" t="n">
        <f aca="false">IF(BH$35&gt;=$AC$624,BH$35-$AC$624+1,0)</f>
        <v>0</v>
      </c>
      <c r="BI626" s="63" t="n">
        <f aca="false">IF(BI$35&gt;=$AC$624,BI$35-$AC$624+1,0)</f>
        <v>0</v>
      </c>
      <c r="BJ626" s="63" t="n">
        <f aca="false">IF(BJ$35&gt;=$AC$624,BJ$35-$AC$624+1,0)</f>
        <v>0</v>
      </c>
      <c r="BK626" s="63" t="n">
        <f aca="false">IF(BK$35&gt;=$AC$624,BK$35-$AC$624+1,0)</f>
        <v>0</v>
      </c>
      <c r="BL626" s="63" t="n">
        <f aca="false">IF(BL$35&gt;=$AC$624,BL$35-$AC$624+1,0)</f>
        <v>0</v>
      </c>
      <c r="BM626" s="63" t="n">
        <f aca="false">IF(BM$35&gt;=$AC$624,BM$35-$AC$624+1,0)</f>
        <v>0</v>
      </c>
      <c r="BN626" s="63" t="n">
        <f aca="false">IF(BN$35&gt;=$AC$624,BN$35-$AC$624+1,0)</f>
        <v>0</v>
      </c>
      <c r="BO626" s="63" t="n">
        <f aca="false">IF(BO$35&gt;=$AC$624,BO$35-$AC$624+1,0)</f>
        <v>0</v>
      </c>
      <c r="BP626" s="63" t="n">
        <f aca="false">IF(BP$35&gt;=$AC$624,BP$35-$AC$624+1,0)</f>
        <v>0</v>
      </c>
      <c r="BQ626" s="63" t="n">
        <f aca="false">IF(BQ$35&gt;=$AC$624,BQ$35-$AC$624+1,0)</f>
        <v>0</v>
      </c>
      <c r="BR626" s="63" t="n">
        <f aca="false">IF(BR$35&gt;=$AC$624,BR$35-$AC$624+1,0)</f>
        <v>0</v>
      </c>
      <c r="BS626" s="63" t="n">
        <f aca="false">IF(BS$35&gt;=$AC$624,BS$35-$AC$624+1,0)</f>
        <v>0</v>
      </c>
      <c r="BT626" s="63" t="n">
        <f aca="false">IF(BT$35&gt;=$AC$624,BT$35-$AC$624+1,0)</f>
        <v>0</v>
      </c>
      <c r="BU626" s="63" t="n">
        <f aca="false">IF(BU$35&gt;=$AC$624,BU$35-$AC$624+1,0)</f>
        <v>0</v>
      </c>
      <c r="BV626" s="63" t="n">
        <f aca="false">IF(BV$35&gt;=$AC$624,BV$35-$AC$624+1,0)</f>
        <v>0</v>
      </c>
      <c r="BW626" s="63" t="n">
        <f aca="false">IF(BW$35&gt;=$AC$624,BW$35-$AC$624+1,0)</f>
        <v>0</v>
      </c>
      <c r="BX626" s="63" t="n">
        <f aca="false">IF(BX$35&gt;=$AC$624,BX$35-$AC$624+1,0)</f>
        <v>0</v>
      </c>
      <c r="BY626" s="63" t="n">
        <f aca="false">IF(BY$35&gt;=$AC$624,BY$35-$AC$624+1,0)</f>
        <v>0</v>
      </c>
      <c r="BZ626" s="63" t="n">
        <f aca="false">IF(BZ$35&gt;=$AC$624,BZ$35-$AC$624+1,0)</f>
        <v>0</v>
      </c>
      <c r="CA626" s="63" t="n">
        <f aca="false">IF(CA$35&gt;=$AC$624,CA$35-$AC$624+1,0)</f>
        <v>0</v>
      </c>
      <c r="CB626" s="63" t="n">
        <f aca="false">IF(CB$35&gt;=$AC$624,CB$35-$AC$624+1,0)</f>
        <v>0</v>
      </c>
      <c r="CC626" s="63" t="n">
        <f aca="false">IF(CC$35&gt;=$AC$624,CC$35-$AC$624+1,0)</f>
        <v>0</v>
      </c>
      <c r="CD626" s="63" t="n">
        <f aca="false">IF(CD$35&gt;=$AC$624,CD$35-$AC$624+1,0)</f>
        <v>0</v>
      </c>
      <c r="CE626" s="63" t="n">
        <f aca="false">IF(CE$35&gt;=$AC$624,CE$35-$AC$624+1,0)</f>
        <v>0</v>
      </c>
      <c r="CF626" s="63" t="n">
        <f aca="false">IF(CF$35&gt;=$AC$624,CF$35-$AC$624+1,0)</f>
        <v>0</v>
      </c>
      <c r="CG626" s="63" t="n">
        <f aca="false">IF(CG$35&gt;=$AC$624,CG$35-$AC$624+1,0)</f>
        <v>0</v>
      </c>
      <c r="CH626" s="63" t="n">
        <f aca="false">IF(CH$35&gt;=$AC$624,CH$35-$AC$624+1,0)</f>
        <v>0</v>
      </c>
      <c r="CI626" s="63" t="n">
        <f aca="false">IF(CI$35&gt;=$AC$624,CI$35-$AC$624+1,0)</f>
        <v>0</v>
      </c>
      <c r="CJ626" s="63" t="n">
        <f aca="false">IF(CJ$35&gt;=$AC$624,CJ$35-$AC$624+1,0)</f>
        <v>0</v>
      </c>
      <c r="CK626" s="63" t="n">
        <f aca="false">IF(CK$35&gt;=$AC$624,CK$35-$AC$624+1,0)</f>
        <v>0</v>
      </c>
      <c r="CL626" s="63" t="n">
        <f aca="false">IF(CL$35&gt;=$AC$624,CL$35-$AC$624+1,0)</f>
        <v>0</v>
      </c>
      <c r="CM626" s="63" t="n">
        <f aca="false">IF(CM$35&gt;=$AC$624,CM$35-$AC$624+1,0)</f>
        <v>0</v>
      </c>
      <c r="CN626" s="63" t="n">
        <f aca="false">IF(CN$35&gt;=$AC$624,CN$35-$AC$624+1,0)</f>
        <v>0</v>
      </c>
      <c r="CO626" s="63" t="n">
        <f aca="false">IF(CO$35&gt;=$AC$624,CO$35-$AC$624+1,0)</f>
        <v>0</v>
      </c>
      <c r="CP626" s="63" t="n">
        <f aca="false">IF(CP$35&gt;=$AC$624,CP$35-$AC$624+1,0)</f>
        <v>0</v>
      </c>
      <c r="CQ626" s="63" t="n">
        <f aca="false">IF(CQ$35&gt;=$AC$624,CQ$35-$AC$624+1,0)</f>
        <v>0</v>
      </c>
      <c r="CR626" s="63" t="n">
        <f aca="false">IF(CR$35&gt;=$AC$624,CR$35-$AC$624+1,0)</f>
        <v>0</v>
      </c>
      <c r="CS626" s="63" t="n">
        <f aca="false">IF(CS$35&gt;=$AC$624,CS$35-$AC$624+1,0)</f>
        <v>0</v>
      </c>
      <c r="CT626" s="63" t="n">
        <f aca="false">IF(CT$35&gt;=$AC$624,CT$35-$AC$624+1,0)</f>
        <v>0</v>
      </c>
      <c r="CU626" s="63" t="n">
        <f aca="false">IF(CU$35&gt;=$AC$624,CU$35-$AC$624+1,0)</f>
        <v>0</v>
      </c>
      <c r="CV626" s="63" t="n">
        <f aca="false">IF(CV$35&gt;=$AC$624,CV$35-$AC$624+1,0)</f>
        <v>0</v>
      </c>
      <c r="CW626" s="63" t="n">
        <f aca="false">IF(CW$35&gt;=$AC$624,CW$35-$AC$624+1,0)</f>
        <v>0</v>
      </c>
      <c r="CX626" s="63" t="n">
        <f aca="false">IF(CX$35&gt;=$AC$624,CX$35-$AC$624+1,0)</f>
        <v>0</v>
      </c>
      <c r="CY626" s="63" t="n">
        <f aca="false">IF(CY$35&gt;=$AC$624,CY$35-$AC$624+1,0)</f>
        <v>0</v>
      </c>
      <c r="CZ626" s="63" t="n">
        <f aca="false">IF(CZ$35&gt;=$AC$624,CZ$35-$AC$624+1,0)</f>
        <v>0</v>
      </c>
      <c r="DA626" s="63" t="n">
        <f aca="false">IF(DA$35&gt;=$AC$624,DA$35-$AC$624+1,0)</f>
        <v>0</v>
      </c>
      <c r="DB626" s="63" t="n">
        <f aca="false">IF(DB$35&gt;=$AC$624,DB$35-$AC$624+1,0)</f>
        <v>0</v>
      </c>
      <c r="DC626" s="63" t="n">
        <f aca="false">IF(DC$35&gt;=$AC$624,DC$35-$AC$624+1,0)</f>
        <v>0</v>
      </c>
      <c r="DD626" s="63" t="n">
        <f aca="false">IF(DD$35&gt;=$AC$624,DD$35-$AC$624+1,0)</f>
        <v>1</v>
      </c>
      <c r="DE626" s="63" t="n">
        <f aca="false">IF(DE$35&gt;=$AC$624,DE$35-$AC$624+1,0)</f>
        <v>2</v>
      </c>
      <c r="DF626" s="63" t="n">
        <f aca="false">IF(DF$35&gt;=$AC$624,DF$35-$AC$624+1,0)</f>
        <v>3</v>
      </c>
      <c r="DG626" s="63" t="n">
        <f aca="false">IF(DG$35&gt;=$AC$624,DG$35-$AC$624+1,0)</f>
        <v>4</v>
      </c>
      <c r="DH626" s="63" t="n">
        <f aca="false">IF(DH$35&gt;=$AC$624,DH$35-$AC$624+1,0)</f>
        <v>5</v>
      </c>
      <c r="DI626" s="63" t="n">
        <f aca="false">IF(DI$35&gt;=$AC$624,DI$35-$AC$624+1,0)</f>
        <v>6</v>
      </c>
      <c r="DJ626" s="63" t="n">
        <f aca="false">IF(DJ$35&gt;=$AC$624,DJ$35-$AC$624+1,0)</f>
        <v>7</v>
      </c>
      <c r="DK626" s="63" t="n">
        <f aca="false">IF(DK$35&gt;=$AC$624,DK$35-$AC$624+1,0)</f>
        <v>8</v>
      </c>
      <c r="DL626" s="63" t="n">
        <f aca="false">IF(DL$35&gt;=$AC$624,DL$35-$AC$624+1,0)</f>
        <v>9</v>
      </c>
      <c r="DM626" s="63" t="n">
        <f aca="false">IF(DM$35&gt;=$AC$624,DM$35-$AC$624+1,0)</f>
        <v>10</v>
      </c>
      <c r="DN626" s="63" t="n">
        <f aca="false">IF(DN$35&gt;=$AC$624,DN$35-$AC$624+1,0)</f>
        <v>11</v>
      </c>
      <c r="DO626" s="63" t="n">
        <f aca="false">IF(DO$35&gt;=$AC$624,DO$35-$AC$624+1,0)</f>
        <v>12</v>
      </c>
      <c r="DP626" s="63" t="n">
        <f aca="false">IF(DP$35&gt;=$AC$624,DP$35-$AC$624+1,0)</f>
        <v>13</v>
      </c>
      <c r="DQ626" s="63" t="n">
        <f aca="false">IF(DQ$35&gt;=$AC$624,DQ$35-$AC$624+1,0)</f>
        <v>14</v>
      </c>
      <c r="DR626" s="63" t="n">
        <f aca="false">IF(DR$35&gt;=$AC$624,DR$35-$AC$624+1,0)</f>
        <v>15</v>
      </c>
      <c r="DS626" s="63" t="n">
        <f aca="false">IF(DS$35&gt;=$AC$624,DS$35-$AC$624+1,0)</f>
        <v>16</v>
      </c>
      <c r="DT626" s="63" t="n">
        <f aca="false">IF(DT$35&gt;=$AC$624,DT$35-$AC$624+1,0)</f>
        <v>17</v>
      </c>
      <c r="DU626" s="63" t="n">
        <f aca="false">IF(DU$35&gt;=$AC$624,DU$35-$AC$624+1,0)</f>
        <v>18</v>
      </c>
      <c r="DV626" s="63" t="n">
        <f aca="false">IF(DV$35&gt;=$AC$624,DV$35-$AC$624+1,0)</f>
        <v>19</v>
      </c>
      <c r="DW626" s="63" t="n">
        <f aca="false">IF(DW$35&gt;=$AC$624,DW$35-$AC$624+1,0)</f>
        <v>20</v>
      </c>
      <c r="DX626" s="63" t="n">
        <f aca="false">IF(DX$35&gt;=$AC$624,DX$35-$AC$624+1,0)</f>
        <v>21</v>
      </c>
      <c r="DY626" s="63" t="n">
        <f aca="false">IF(DY$35&gt;=$AC$624,DY$35-$AC$624+1,0)</f>
        <v>22</v>
      </c>
      <c r="DZ626" s="63" t="n">
        <f aca="false">IF(DZ$35&gt;=$AC$624,DZ$35-$AC$624+1,0)</f>
        <v>23</v>
      </c>
      <c r="EA626" s="63" t="n">
        <f aca="false">IF(EA$35&gt;=$AC$624,EA$35-$AC$624+1,0)</f>
        <v>24</v>
      </c>
      <c r="EB626" s="63" t="n">
        <f aca="false">IF(EB$35&gt;=$AC$624,EB$35-$AC$624+1,0)</f>
        <v>25</v>
      </c>
      <c r="EC626" s="63" t="n">
        <f aca="false">IF(EC$35&gt;=$AC$624,EC$35-$AC$624+1,0)</f>
        <v>26</v>
      </c>
      <c r="ED626" s="63" t="n">
        <f aca="false">IF(ED$35&gt;=$AC$624,ED$35-$AC$624+1,0)</f>
        <v>27</v>
      </c>
      <c r="EE626" s="63" t="n">
        <f aca="false">IF(EE$35&gt;=$AC$624,EE$35-$AC$624+1,0)</f>
        <v>28</v>
      </c>
      <c r="EF626" s="63" t="n">
        <f aca="false">IF(EF$35&gt;=$AC$624,EF$35-$AC$624+1,0)</f>
        <v>29</v>
      </c>
      <c r="EG626" s="63" t="n">
        <f aca="false">IF(EG$35&gt;=$AC$624,EG$35-$AC$624+1,0)</f>
        <v>30</v>
      </c>
      <c r="EH626" s="63" t="n">
        <f aca="false">IF(EH$35&gt;=$AC$624,EH$35-$AC$624+1,0)</f>
        <v>31</v>
      </c>
      <c r="EI626" s="63" t="n">
        <f aca="false">IF(EI$35&gt;=$AC$624,EI$35-$AC$624+1,0)</f>
        <v>32</v>
      </c>
      <c r="EJ626" s="63" t="n">
        <f aca="false">IF(EJ$35&gt;=$AC$624,EJ$35-$AC$624+1,0)</f>
        <v>33</v>
      </c>
      <c r="EK626" s="63" t="n">
        <f aca="false">IF(EK$35&gt;=$AC$624,EK$35-$AC$624+1,0)</f>
        <v>34</v>
      </c>
      <c r="EL626" s="63" t="n">
        <f aca="false">IF(EL$35&gt;=$AC$624,EL$35-$AC$624+1,0)</f>
        <v>35</v>
      </c>
      <c r="EM626" s="63" t="n">
        <f aca="false">IF(EM$35&gt;=$AC$624,EM$35-$AC$624+1,0)</f>
        <v>36</v>
      </c>
      <c r="EN626" s="63" t="n">
        <f aca="false">IF(EN$35&gt;=$AC$624,EN$35-$AC$624+1,0)</f>
        <v>37</v>
      </c>
      <c r="EO626" s="63" t="n">
        <f aca="false">IF(EO$35&gt;=$AC$624,EO$35-$AC$624+1,0)</f>
        <v>38</v>
      </c>
      <c r="EP626" s="63" t="n">
        <f aca="false">IF(EP$35&gt;=$AC$624,EP$35-$AC$624+1,0)</f>
        <v>39</v>
      </c>
      <c r="EQ626" s="63" t="n">
        <f aca="false">IF(EQ$35&gt;=$AC$624,EQ$35-$AC$624+1,0)</f>
        <v>40</v>
      </c>
      <c r="ER626" s="63" t="n">
        <f aca="false">IF(ER$35&gt;=$AC$624,ER$35-$AC$624+1,0)</f>
        <v>41</v>
      </c>
      <c r="ES626" s="9" t="n">
        <f aca="false">IF(ES$35&gt;=$AC$624,ES$35-$AC$624+1,0)</f>
        <v>42</v>
      </c>
      <c r="ET626" s="9" t="n">
        <f aca="false">IF(ET$35&gt;=$AC$624,ET$35-$AC$624+1,0)</f>
        <v>43</v>
      </c>
      <c r="EU626" s="9" t="n">
        <f aca="false">IF(EU$35&gt;=$AC$624,EU$35-$AC$624+1,0)</f>
        <v>44</v>
      </c>
      <c r="EV626" s="9" t="n">
        <f aca="false">IF(EV$35&gt;=$AC$624,EV$35-$AC$624+1,0)</f>
        <v>45</v>
      </c>
      <c r="EW626" s="9" t="n">
        <f aca="false">IF(EW$35&gt;=$AC$624,EW$35-$AC$624+1,0)</f>
        <v>46</v>
      </c>
      <c r="EX626" s="9" t="n">
        <f aca="false">IF(EX$35&gt;=$AC$624,EX$35-$AC$624+1,0)</f>
        <v>47</v>
      </c>
      <c r="EY626" s="9" t="n">
        <f aca="false">IF(EY$35&gt;=$AC$624,EY$35-$AC$624+1,0)</f>
        <v>48</v>
      </c>
      <c r="EZ626" s="9" t="n">
        <f aca="false">IF(EZ$35&gt;=$AC$624,EZ$35-$AC$624+1,0)</f>
        <v>49</v>
      </c>
      <c r="FA626" s="9" t="n">
        <f aca="false">IF(FA$35&gt;=$AC$624,FA$35-$AC$624+1,0)</f>
        <v>50</v>
      </c>
      <c r="FB626" s="9" t="n">
        <f aca="false">IF(FB$35&gt;=$AC$624,FB$35-$AC$624+1,0)</f>
        <v>51</v>
      </c>
      <c r="FC626" s="9" t="n">
        <f aca="false">IF(FC$35&gt;=$AC$624,FC$35-$AC$624+1,0)</f>
        <v>52</v>
      </c>
      <c r="FD626" s="9" t="n">
        <f aca="false">IF(FD$35&gt;=$AC$624,FD$35-$AC$624+1,0)</f>
        <v>53</v>
      </c>
      <c r="FE626" s="9" t="n">
        <f aca="false">IF(FE$35&gt;=$AC$624,FE$35-$AC$624+1,0)</f>
        <v>54</v>
      </c>
      <c r="FF626" s="9" t="n">
        <f aca="false">IF(FF$35&gt;=$AC$624,FF$35-$AC$624+1,0)</f>
        <v>55</v>
      </c>
      <c r="FG626" s="9" t="n">
        <f aca="false">IF(FG$35&gt;=$AC$624,FG$35-$AC$624+1,0)</f>
        <v>56</v>
      </c>
      <c r="FH626" s="9" t="n">
        <f aca="false">IF(FH$35&gt;=$AC$624,FH$35-$AC$624+1,0)</f>
        <v>57</v>
      </c>
      <c r="FI626" s="9" t="n">
        <f aca="false">IF(FI$35&gt;=$AC$624,FI$35-$AC$624+1,0)</f>
        <v>58</v>
      </c>
      <c r="FJ626" s="9" t="n">
        <f aca="false">IF(FJ$35&gt;=$AC$624,FJ$35-$AC$624+1,0)</f>
        <v>59</v>
      </c>
      <c r="FK626" s="9" t="n">
        <f aca="false">IF(FK$35&gt;=$AC$624,FK$35-$AC$624+1,0)</f>
        <v>60</v>
      </c>
      <c r="FL626" s="9" t="n">
        <f aca="false">IF(FL$35&gt;=$AC$624,FL$35-$AC$624+1,0)</f>
        <v>61</v>
      </c>
      <c r="FM626" s="9" t="n">
        <f aca="false">IF(FM$35&gt;=$AC$624,FM$35-$AC$624+1,0)</f>
        <v>62</v>
      </c>
      <c r="FN626" s="9" t="n">
        <f aca="false">IF(FN$35&gt;=$AC$624,FN$35-$AC$624+1,0)</f>
        <v>63</v>
      </c>
      <c r="FO626" s="9" t="n">
        <f aca="false">IF(FO$35&gt;=$AC$624,FO$35-$AC$624+1,0)</f>
        <v>64</v>
      </c>
      <c r="FP626" s="9" t="n">
        <f aca="false">IF(FP$35&gt;=$AC$624,FP$35-$AC$624+1,0)</f>
        <v>65</v>
      </c>
    </row>
    <row r="627" customFormat="false" ht="15" hidden="false" customHeight="false" outlineLevel="2" collapsed="false">
      <c r="B627" s="9" t="s">
        <v>874</v>
      </c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236" t="n">
        <f aca="false" t="array" ref="AC627:AC627">IF(AC626=0,0,IF(AC626/'🎚️ Escenario'!$C$11&gt;=36,$AL$23,INDEX($C$23:$AL$23,MAX(1,ROUNDUP(AC626/'🎚️ Escenario'!$C$11,0)))))</f>
        <v>0</v>
      </c>
      <c r="AD627" s="236" t="n">
        <f aca="false" t="array" ref="AD627:AD627">IF(AD626=0,0,IF(AD626/'🎚️ Escenario'!$C$11&gt;=36,$AL$23,INDEX($C$23:$AL$23,MAX(1,ROUNDUP(AD626/'🎚️ Escenario'!$C$11,0)))))</f>
        <v>0</v>
      </c>
      <c r="AE627" s="236" t="n">
        <f aca="false" t="array" ref="AE627:AE627">IF(AE626=0,0,IF(AE626/'🎚️ Escenario'!$C$11&gt;=36,$AL$23,INDEX($C$23:$AL$23,MAX(1,ROUNDUP(AE626/'🎚️ Escenario'!$C$11,0)))))</f>
        <v>0</v>
      </c>
      <c r="AF627" s="236" t="n">
        <f aca="false" t="array" ref="AF627:AF627">IF(AF626=0,0,IF(AF626/'🎚️ Escenario'!$C$11&gt;=36,$AL$23,INDEX($C$23:$AL$23,MAX(1,ROUNDUP(AF626/'🎚️ Escenario'!$C$11,0)))))</f>
        <v>0</v>
      </c>
      <c r="AG627" s="236" t="n">
        <f aca="false" t="array" ref="AG627:AG627">IF(AG626=0,0,IF(AG626/'🎚️ Escenario'!$C$11&gt;=36,$AL$23,INDEX($C$23:$AL$23,MAX(1,ROUNDUP(AG626/'🎚️ Escenario'!$C$11,0)))))</f>
        <v>0</v>
      </c>
      <c r="AH627" s="236" t="n">
        <f aca="false" t="array" ref="AH627:AH627">IF(AH626=0,0,IF(AH626/'🎚️ Escenario'!$C$11&gt;=36,$AL$23,INDEX($C$23:$AL$23,MAX(1,ROUNDUP(AH626/'🎚️ Escenario'!$C$11,0)))))</f>
        <v>0</v>
      </c>
      <c r="AI627" s="236" t="n">
        <f aca="false" t="array" ref="AI627:AI627">IF(AI626=0,0,IF(AI626/'🎚️ Escenario'!$C$11&gt;=36,$AL$23,INDEX($C$23:$AL$23,MAX(1,ROUNDUP(AI626/'🎚️ Escenario'!$C$11,0)))))</f>
        <v>0</v>
      </c>
      <c r="AJ627" s="236" t="n">
        <f aca="false" t="array" ref="AJ627:AJ627">IF(AJ626=0,0,IF(AJ626/'🎚️ Escenario'!$C$11&gt;=36,$AL$23,INDEX($C$23:$AL$23,MAX(1,ROUNDUP(AJ626/'🎚️ Escenario'!$C$11,0)))))</f>
        <v>0</v>
      </c>
      <c r="AK627" s="236" t="n">
        <f aca="false" t="array" ref="AK627:AK627">IF(AK626=0,0,IF(AK626/'🎚️ Escenario'!$C$11&gt;=36,$AL$23,INDEX($C$23:$AL$23,MAX(1,ROUNDUP(AK626/'🎚️ Escenario'!$C$11,0)))))</f>
        <v>0</v>
      </c>
      <c r="AL627" s="236" t="n">
        <f aca="false" t="array" ref="AL627:AL627">IF(AL626=0,0,IF(AL626/'🎚️ Escenario'!$C$11&gt;=36,$AL$23,INDEX($C$23:$AL$23,MAX(1,ROUNDUP(AL626/'🎚️ Escenario'!$C$11,0)))))</f>
        <v>0</v>
      </c>
      <c r="AM627" s="236" t="n">
        <f aca="false" t="array" ref="AM627:AM627">IF(AM626=0,0,IF(AM626/'🎚️ Escenario'!$C$11&gt;=36,$AL$23,INDEX($C$23:$AL$23,MAX(1,ROUNDUP(AM626/'🎚️ Escenario'!$C$11,0)))))</f>
        <v>0</v>
      </c>
      <c r="AN627" s="236" t="n">
        <f aca="false" t="array" ref="AN627:AN627">IF(AN626=0,0,IF(AN626/'🎚️ Escenario'!$C$11&gt;=36,$AL$23,INDEX($C$23:$AL$23,MAX(1,ROUNDUP(AN626/'🎚️ Escenario'!$C$11,0)))))</f>
        <v>0</v>
      </c>
      <c r="AO627" s="236" t="n">
        <f aca="false" t="array" ref="AO627:AO627">IF(AO626=0,0,IF(AO626/'🎚️ Escenario'!$C$11&gt;=36,$AL$23,INDEX($C$23:$AL$23,MAX(1,ROUNDUP(AO626/'🎚️ Escenario'!$C$11,0)))))</f>
        <v>0</v>
      </c>
      <c r="AP627" s="236" t="n">
        <f aca="false" t="array" ref="AP627:AP627">IF(AP626=0,0,IF(AP626/'🎚️ Escenario'!$C$11&gt;=36,$AL$23,INDEX($C$23:$AL$23,MAX(1,ROUNDUP(AP626/'🎚️ Escenario'!$C$11,0)))))</f>
        <v>0</v>
      </c>
      <c r="AQ627" s="236" t="n">
        <f aca="false" t="array" ref="AQ627:AQ627">IF(AQ626=0,0,IF(AQ626/'🎚️ Escenario'!$C$11&gt;=36,$AL$23,INDEX($C$23:$AL$23,MAX(1,ROUNDUP(AQ626/'🎚️ Escenario'!$C$11,0)))))</f>
        <v>0</v>
      </c>
      <c r="AR627" s="236" t="n">
        <f aca="false" t="array" ref="AR627:AR627">IF(AR626=0,0,IF(AR626/'🎚️ Escenario'!$C$11&gt;=36,$AL$23,INDEX($C$23:$AL$23,MAX(1,ROUNDUP(AR626/'🎚️ Escenario'!$C$11,0)))))</f>
        <v>0</v>
      </c>
      <c r="AS627" s="236" t="n">
        <f aca="false" t="array" ref="AS627:AS627">IF(AS626=0,0,IF(AS626/'🎚️ Escenario'!$C$11&gt;=36,$AL$23,INDEX($C$23:$AL$23,MAX(1,ROUNDUP(AS626/'🎚️ Escenario'!$C$11,0)))))</f>
        <v>0</v>
      </c>
      <c r="AT627" s="236" t="n">
        <f aca="false" t="array" ref="AT627:AT627">IF(AT626=0,0,IF(AT626/'🎚️ Escenario'!$C$11&gt;=36,$AL$23,INDEX($C$23:$AL$23,MAX(1,ROUNDUP(AT626/'🎚️ Escenario'!$C$11,0)))))</f>
        <v>0</v>
      </c>
      <c r="AU627" s="236" t="n">
        <f aca="false" t="array" ref="AU627:AU627">IF(AU626=0,0,IF(AU626/'🎚️ Escenario'!$C$11&gt;=36,$AL$23,INDEX($C$23:$AL$23,MAX(1,ROUNDUP(AU626/'🎚️ Escenario'!$C$11,0)))))</f>
        <v>0</v>
      </c>
      <c r="AV627" s="236" t="n">
        <f aca="false" t="array" ref="AV627:AV627">IF(AV626=0,0,IF(AV626/'🎚️ Escenario'!$C$11&gt;=36,$AL$23,INDEX($C$23:$AL$23,MAX(1,ROUNDUP(AV626/'🎚️ Escenario'!$C$11,0)))))</f>
        <v>0</v>
      </c>
      <c r="AW627" s="236" t="n">
        <f aca="false" t="array" ref="AW627:AW627">IF(AW626=0,0,IF(AW626/'🎚️ Escenario'!$C$11&gt;=36,$AL$23,INDEX($C$23:$AL$23,MAX(1,ROUNDUP(AW626/'🎚️ Escenario'!$C$11,0)))))</f>
        <v>0</v>
      </c>
      <c r="AX627" s="236" t="n">
        <f aca="false" t="array" ref="AX627:AX627">IF(AX626=0,0,IF(AX626/'🎚️ Escenario'!$C$11&gt;=36,$AL$23,INDEX($C$23:$AL$23,MAX(1,ROUNDUP(AX626/'🎚️ Escenario'!$C$11,0)))))</f>
        <v>0</v>
      </c>
      <c r="AY627" s="236" t="n">
        <f aca="false" t="array" ref="AY627:AY627">IF(AY626=0,0,IF(AY626/'🎚️ Escenario'!$C$11&gt;=36,$AL$23,INDEX($C$23:$AL$23,MAX(1,ROUNDUP(AY626/'🎚️ Escenario'!$C$11,0)))))</f>
        <v>0</v>
      </c>
      <c r="AZ627" s="236" t="n">
        <f aca="false" t="array" ref="AZ627:AZ627">IF(AZ626=0,0,IF(AZ626/'🎚️ Escenario'!$C$11&gt;=36,$AL$23,INDEX($C$23:$AL$23,MAX(1,ROUNDUP(AZ626/'🎚️ Escenario'!$C$11,0)))))</f>
        <v>0</v>
      </c>
      <c r="BA627" s="236" t="n">
        <f aca="false" t="array" ref="BA627:BA627">IF(BA626=0,0,IF(BA626/'🎚️ Escenario'!$C$11&gt;=36,$AL$23,INDEX($C$23:$AL$23,MAX(1,ROUNDUP(BA626/'🎚️ Escenario'!$C$11,0)))))</f>
        <v>0</v>
      </c>
      <c r="BB627" s="236" t="n">
        <f aca="false" t="array" ref="BB627:BB627">IF(BB626=0,0,IF(BB626/'🎚️ Escenario'!$C$11&gt;=36,$AL$23,INDEX($C$23:$AL$23,MAX(1,ROUNDUP(BB626/'🎚️ Escenario'!$C$11,0)))))</f>
        <v>0</v>
      </c>
      <c r="BC627" s="236" t="n">
        <f aca="false" t="array" ref="BC627:BC627">IF(BC626=0,0,IF(BC626/'🎚️ Escenario'!$C$11&gt;=36,$AL$23,INDEX($C$23:$AL$23,MAX(1,ROUNDUP(BC626/'🎚️ Escenario'!$C$11,0)))))</f>
        <v>0</v>
      </c>
      <c r="BD627" s="236" t="n">
        <f aca="false" t="array" ref="BD627:BD627">IF(BD626=0,0,IF(BD626/'🎚️ Escenario'!$C$11&gt;=36,$AL$23,INDEX($C$23:$AL$23,MAX(1,ROUNDUP(BD626/'🎚️ Escenario'!$C$11,0)))))</f>
        <v>0</v>
      </c>
      <c r="BE627" s="236" t="n">
        <f aca="false" t="array" ref="BE627:BE627">IF(BE626=0,0,IF(BE626/'🎚️ Escenario'!$C$11&gt;=36,$AL$23,INDEX($C$23:$AL$23,MAX(1,ROUNDUP(BE626/'🎚️ Escenario'!$C$11,0)))))</f>
        <v>0</v>
      </c>
      <c r="BF627" s="236" t="n">
        <f aca="false" t="array" ref="BF627:BF627">IF(BF626=0,0,IF(BF626/'🎚️ Escenario'!$C$11&gt;=36,$AL$23,INDEX($C$23:$AL$23,MAX(1,ROUNDUP(BF626/'🎚️ Escenario'!$C$11,0)))))</f>
        <v>0</v>
      </c>
      <c r="BG627" s="236" t="n">
        <f aca="false" t="array" ref="BG627:BG627">IF(BG626=0,0,IF(BG626/'🎚️ Escenario'!$C$11&gt;=36,$AL$23,INDEX($C$23:$AL$23,MAX(1,ROUNDUP(BG626/'🎚️ Escenario'!$C$11,0)))))</f>
        <v>0</v>
      </c>
      <c r="BH627" s="236" t="n">
        <f aca="false" t="array" ref="BH627:BH627">IF(BH626=0,0,IF(BH626/'🎚️ Escenario'!$C$11&gt;=36,$AL$23,INDEX($C$23:$AL$23,MAX(1,ROUNDUP(BH626/'🎚️ Escenario'!$C$11,0)))))</f>
        <v>0</v>
      </c>
      <c r="BI627" s="236" t="n">
        <f aca="false" t="array" ref="BI627:BI627">IF(BI626=0,0,IF(BI626/'🎚️ Escenario'!$C$11&gt;=36,$AL$23,INDEX($C$23:$AL$23,MAX(1,ROUNDUP(BI626/'🎚️ Escenario'!$C$11,0)))))</f>
        <v>0</v>
      </c>
      <c r="BJ627" s="236" t="n">
        <f aca="false" t="array" ref="BJ627:BJ627">IF(BJ626=0,0,IF(BJ626/'🎚️ Escenario'!$C$11&gt;=36,$AL$23,INDEX($C$23:$AL$23,MAX(1,ROUNDUP(BJ626/'🎚️ Escenario'!$C$11,0)))))</f>
        <v>0</v>
      </c>
      <c r="BK627" s="236" t="n">
        <f aca="false" t="array" ref="BK627:BK627">IF(BK626=0,0,IF(BK626/'🎚️ Escenario'!$C$11&gt;=36,$AL$23,INDEX($C$23:$AL$23,MAX(1,ROUNDUP(BK626/'🎚️ Escenario'!$C$11,0)))))</f>
        <v>0</v>
      </c>
      <c r="BL627" s="236" t="n">
        <f aca="false" t="array" ref="BL627:BL627">IF(BL626=0,0,IF(BL626/'🎚️ Escenario'!$C$11&gt;=36,$AL$23,INDEX($C$23:$AL$23,MAX(1,ROUNDUP(BL626/'🎚️ Escenario'!$C$11,0)))))</f>
        <v>0</v>
      </c>
      <c r="BM627" s="236" t="n">
        <f aca="false" t="array" ref="BM627:BM627">IF(BM626=0,0,IF(BM626/'🎚️ Escenario'!$C$11&gt;=36,$AL$23,INDEX($C$23:$AL$23,MAX(1,ROUNDUP(BM626/'🎚️ Escenario'!$C$11,0)))))</f>
        <v>0</v>
      </c>
      <c r="BN627" s="236" t="n">
        <f aca="false" t="array" ref="BN627:BN627">IF(BN626=0,0,IF(BN626/'🎚️ Escenario'!$C$11&gt;=36,$AL$23,INDEX($C$23:$AL$23,MAX(1,ROUNDUP(BN626/'🎚️ Escenario'!$C$11,0)))))</f>
        <v>0</v>
      </c>
      <c r="BO627" s="236" t="n">
        <f aca="false" t="array" ref="BO627:BO627">IF(BO626=0,0,IF(BO626/'🎚️ Escenario'!$C$11&gt;=36,$AL$23,INDEX($C$23:$AL$23,MAX(1,ROUNDUP(BO626/'🎚️ Escenario'!$C$11,0)))))</f>
        <v>0</v>
      </c>
      <c r="BP627" s="236" t="n">
        <f aca="false" t="array" ref="BP627:BP627">IF(BP626=0,0,IF(BP626/'🎚️ Escenario'!$C$11&gt;=36,$AL$23,INDEX($C$23:$AL$23,MAX(1,ROUNDUP(BP626/'🎚️ Escenario'!$C$11,0)))))</f>
        <v>0</v>
      </c>
      <c r="BQ627" s="236" t="n">
        <f aca="false" t="array" ref="BQ627:BQ627">IF(BQ626=0,0,IF(BQ626/'🎚️ Escenario'!$C$11&gt;=36,$AL$23,INDEX($C$23:$AL$23,MAX(1,ROUNDUP(BQ626/'🎚️ Escenario'!$C$11,0)))))</f>
        <v>0</v>
      </c>
      <c r="BR627" s="236" t="n">
        <f aca="false" t="array" ref="BR627:BR627">IF(BR626=0,0,IF(BR626/'🎚️ Escenario'!$C$11&gt;=36,$AL$23,INDEX($C$23:$AL$23,MAX(1,ROUNDUP(BR626/'🎚️ Escenario'!$C$11,0)))))</f>
        <v>0</v>
      </c>
      <c r="BS627" s="236" t="n">
        <f aca="false" t="array" ref="BS627:BS627">IF(BS626=0,0,IF(BS626/'🎚️ Escenario'!$C$11&gt;=36,$AL$23,INDEX($C$23:$AL$23,MAX(1,ROUNDUP(BS626/'🎚️ Escenario'!$C$11,0)))))</f>
        <v>0</v>
      </c>
      <c r="BT627" s="236" t="n">
        <f aca="false" t="array" ref="BT627:BT627">IF(BT626=0,0,IF(BT626/'🎚️ Escenario'!$C$11&gt;=36,$AL$23,INDEX($C$23:$AL$23,MAX(1,ROUNDUP(BT626/'🎚️ Escenario'!$C$11,0)))))</f>
        <v>0</v>
      </c>
      <c r="BU627" s="236" t="n">
        <f aca="false" t="array" ref="BU627:BU627">IF(BU626=0,0,IF(BU626/'🎚️ Escenario'!$C$11&gt;=36,$AL$23,INDEX($C$23:$AL$23,MAX(1,ROUNDUP(BU626/'🎚️ Escenario'!$C$11,0)))))</f>
        <v>0</v>
      </c>
      <c r="BV627" s="236" t="n">
        <f aca="false" t="array" ref="BV627:BV627">IF(BV626=0,0,IF(BV626/'🎚️ Escenario'!$C$11&gt;=36,$AL$23,INDEX($C$23:$AL$23,MAX(1,ROUNDUP(BV626/'🎚️ Escenario'!$C$11,0)))))</f>
        <v>0</v>
      </c>
      <c r="BW627" s="236" t="n">
        <f aca="false" t="array" ref="BW627:BW627">IF(BW626=0,0,IF(BW626/'🎚️ Escenario'!$C$11&gt;=36,$AL$23,INDEX($C$23:$AL$23,MAX(1,ROUNDUP(BW626/'🎚️ Escenario'!$C$11,0)))))</f>
        <v>0</v>
      </c>
      <c r="BX627" s="236" t="n">
        <f aca="false" t="array" ref="BX627:BX627">IF(BX626=0,0,IF(BX626/'🎚️ Escenario'!$C$11&gt;=36,$AL$23,INDEX($C$23:$AL$23,MAX(1,ROUNDUP(BX626/'🎚️ Escenario'!$C$11,0)))))</f>
        <v>0</v>
      </c>
      <c r="BY627" s="236" t="n">
        <f aca="false" t="array" ref="BY627:BY627">IF(BY626=0,0,IF(BY626/'🎚️ Escenario'!$C$11&gt;=36,$AL$23,INDEX($C$23:$AL$23,MAX(1,ROUNDUP(BY626/'🎚️ Escenario'!$C$11,0)))))</f>
        <v>0</v>
      </c>
      <c r="BZ627" s="236" t="n">
        <f aca="false" t="array" ref="BZ627:BZ627">IF(BZ626=0,0,IF(BZ626/'🎚️ Escenario'!$C$11&gt;=36,$AL$23,INDEX($C$23:$AL$23,MAX(1,ROUNDUP(BZ626/'🎚️ Escenario'!$C$11,0)))))</f>
        <v>0</v>
      </c>
      <c r="CA627" s="236" t="n">
        <f aca="false" t="array" ref="CA627:CA627">IF(CA626=0,0,IF(CA626/'🎚️ Escenario'!$C$11&gt;=36,$AL$23,INDEX($C$23:$AL$23,MAX(1,ROUNDUP(CA626/'🎚️ Escenario'!$C$11,0)))))</f>
        <v>0</v>
      </c>
      <c r="CB627" s="236" t="n">
        <f aca="false" t="array" ref="CB627:CB627">IF(CB626=0,0,IF(CB626/'🎚️ Escenario'!$C$11&gt;=36,$AL$23,INDEX($C$23:$AL$23,MAX(1,ROUNDUP(CB626/'🎚️ Escenario'!$C$11,0)))))</f>
        <v>0</v>
      </c>
      <c r="CC627" s="236" t="n">
        <f aca="false" t="array" ref="CC627:CC627">IF(CC626=0,0,IF(CC626/'🎚️ Escenario'!$C$11&gt;=36,$AL$23,INDEX($C$23:$AL$23,MAX(1,ROUNDUP(CC626/'🎚️ Escenario'!$C$11,0)))))</f>
        <v>0</v>
      </c>
      <c r="CD627" s="236" t="n">
        <f aca="false" t="array" ref="CD627:CD627">IF(CD626=0,0,IF(CD626/'🎚️ Escenario'!$C$11&gt;=36,$AL$23,INDEX($C$23:$AL$23,MAX(1,ROUNDUP(CD626/'🎚️ Escenario'!$C$11,0)))))</f>
        <v>0</v>
      </c>
      <c r="CE627" s="236" t="n">
        <f aca="false" t="array" ref="CE627:CE627">IF(CE626=0,0,IF(CE626/'🎚️ Escenario'!$C$11&gt;=36,$AL$23,INDEX($C$23:$AL$23,MAX(1,ROUNDUP(CE626/'🎚️ Escenario'!$C$11,0)))))</f>
        <v>0</v>
      </c>
      <c r="CF627" s="236" t="n">
        <f aca="false" t="array" ref="CF627:CF627">IF(CF626=0,0,IF(CF626/'🎚️ Escenario'!$C$11&gt;=36,$AL$23,INDEX($C$23:$AL$23,MAX(1,ROUNDUP(CF626/'🎚️ Escenario'!$C$11,0)))))</f>
        <v>0</v>
      </c>
      <c r="CG627" s="236" t="n">
        <f aca="false" t="array" ref="CG627:CG627">IF(CG626=0,0,IF(CG626/'🎚️ Escenario'!$C$11&gt;=36,$AL$23,INDEX($C$23:$AL$23,MAX(1,ROUNDUP(CG626/'🎚️ Escenario'!$C$11,0)))))</f>
        <v>0</v>
      </c>
      <c r="CH627" s="236" t="n">
        <f aca="false" t="array" ref="CH627:CH627">IF(CH626=0,0,IF(CH626/'🎚️ Escenario'!$C$11&gt;=36,$AL$23,INDEX($C$23:$AL$23,MAX(1,ROUNDUP(CH626/'🎚️ Escenario'!$C$11,0)))))</f>
        <v>0</v>
      </c>
      <c r="CI627" s="236" t="n">
        <f aca="false" t="array" ref="CI627:CI627">IF(CI626=0,0,IF(CI626/'🎚️ Escenario'!$C$11&gt;=36,$AL$23,INDEX($C$23:$AL$23,MAX(1,ROUNDUP(CI626/'🎚️ Escenario'!$C$11,0)))))</f>
        <v>0</v>
      </c>
      <c r="CJ627" s="236" t="n">
        <f aca="false" t="array" ref="CJ627:CJ627">IF(CJ626=0,0,IF(CJ626/'🎚️ Escenario'!$C$11&gt;=36,$AL$23,INDEX($C$23:$AL$23,MAX(1,ROUNDUP(CJ626/'🎚️ Escenario'!$C$11,0)))))</f>
        <v>0</v>
      </c>
      <c r="CK627" s="236" t="n">
        <f aca="false" t="array" ref="CK627:CK627">IF(CK626=0,0,IF(CK626/'🎚️ Escenario'!$C$11&gt;=36,$AL$23,INDEX($C$23:$AL$23,MAX(1,ROUNDUP(CK626/'🎚️ Escenario'!$C$11,0)))))</f>
        <v>0</v>
      </c>
      <c r="CL627" s="236" t="n">
        <f aca="false" t="array" ref="CL627:CL627">IF(CL626=0,0,IF(CL626/'🎚️ Escenario'!$C$11&gt;=36,$AL$23,INDEX($C$23:$AL$23,MAX(1,ROUNDUP(CL626/'🎚️ Escenario'!$C$11,0)))))</f>
        <v>0</v>
      </c>
      <c r="CM627" s="236" t="n">
        <f aca="false" t="array" ref="CM627:CM627">IF(CM626=0,0,IF(CM626/'🎚️ Escenario'!$C$11&gt;=36,$AL$23,INDEX($C$23:$AL$23,MAX(1,ROUNDUP(CM626/'🎚️ Escenario'!$C$11,0)))))</f>
        <v>0</v>
      </c>
      <c r="CN627" s="236" t="n">
        <f aca="false" t="array" ref="CN627:CN627">IF(CN626=0,0,IF(CN626/'🎚️ Escenario'!$C$11&gt;=36,$AL$23,INDEX($C$23:$AL$23,MAX(1,ROUNDUP(CN626/'🎚️ Escenario'!$C$11,0)))))</f>
        <v>0</v>
      </c>
      <c r="CO627" s="236" t="n">
        <f aca="false" t="array" ref="CO627:CO627">IF(CO626=0,0,IF(CO626/'🎚️ Escenario'!$C$11&gt;=36,$AL$23,INDEX($C$23:$AL$23,MAX(1,ROUNDUP(CO626/'🎚️ Escenario'!$C$11,0)))))</f>
        <v>0</v>
      </c>
      <c r="CP627" s="236" t="n">
        <f aca="false" t="array" ref="CP627:CP627">IF(CP626=0,0,IF(CP626/'🎚️ Escenario'!$C$11&gt;=36,$AL$23,INDEX($C$23:$AL$23,MAX(1,ROUNDUP(CP626/'🎚️ Escenario'!$C$11,0)))))</f>
        <v>0</v>
      </c>
      <c r="CQ627" s="236" t="n">
        <f aca="false" t="array" ref="CQ627:CQ627">IF(CQ626=0,0,IF(CQ626/'🎚️ Escenario'!$C$11&gt;=36,$AL$23,INDEX($C$23:$AL$23,MAX(1,ROUNDUP(CQ626/'🎚️ Escenario'!$C$11,0)))))</f>
        <v>0</v>
      </c>
      <c r="CR627" s="236" t="n">
        <f aca="false" t="array" ref="CR627:CR627">IF(CR626=0,0,IF(CR626/'🎚️ Escenario'!$C$11&gt;=36,$AL$23,INDEX($C$23:$AL$23,MAX(1,ROUNDUP(CR626/'🎚️ Escenario'!$C$11,0)))))</f>
        <v>0</v>
      </c>
      <c r="CS627" s="236" t="n">
        <f aca="false" t="array" ref="CS627:CS627">IF(CS626=0,0,IF(CS626/'🎚️ Escenario'!$C$11&gt;=36,$AL$23,INDEX($C$23:$AL$23,MAX(1,ROUNDUP(CS626/'🎚️ Escenario'!$C$11,0)))))</f>
        <v>0</v>
      </c>
      <c r="CT627" s="236" t="n">
        <f aca="false" t="array" ref="CT627:CT627">IF(CT626=0,0,IF(CT626/'🎚️ Escenario'!$C$11&gt;=36,$AL$23,INDEX($C$23:$AL$23,MAX(1,ROUNDUP(CT626/'🎚️ Escenario'!$C$11,0)))))</f>
        <v>0</v>
      </c>
      <c r="CU627" s="236" t="n">
        <f aca="false" t="array" ref="CU627:CU627">IF(CU626=0,0,IF(CU626/'🎚️ Escenario'!$C$11&gt;=36,$AL$23,INDEX($C$23:$AL$23,MAX(1,ROUNDUP(CU626/'🎚️ Escenario'!$C$11,0)))))</f>
        <v>0</v>
      </c>
      <c r="CV627" s="236" t="n">
        <f aca="false" t="array" ref="CV627:CV627">IF(CV626=0,0,IF(CV626/'🎚️ Escenario'!$C$11&gt;=36,$AL$23,INDEX($C$23:$AL$23,MAX(1,ROUNDUP(CV626/'🎚️ Escenario'!$C$11,0)))))</f>
        <v>0</v>
      </c>
      <c r="CW627" s="236" t="n">
        <f aca="false" t="array" ref="CW627:CW627">IF(CW626=0,0,IF(CW626/'🎚️ Escenario'!$C$11&gt;=36,$AL$23,INDEX($C$23:$AL$23,MAX(1,ROUNDUP(CW626/'🎚️ Escenario'!$C$11,0)))))</f>
        <v>0</v>
      </c>
      <c r="CX627" s="236" t="n">
        <f aca="false" t="array" ref="CX627:CX627">IF(CX626=0,0,IF(CX626/'🎚️ Escenario'!$C$11&gt;=36,$AL$23,INDEX($C$23:$AL$23,MAX(1,ROUNDUP(CX626/'🎚️ Escenario'!$C$11,0)))))</f>
        <v>0</v>
      </c>
      <c r="CY627" s="236" t="n">
        <f aca="false" t="array" ref="CY627:CY627">IF(CY626=0,0,IF(CY626/'🎚️ Escenario'!$C$11&gt;=36,$AL$23,INDEX($C$23:$AL$23,MAX(1,ROUNDUP(CY626/'🎚️ Escenario'!$C$11,0)))))</f>
        <v>0</v>
      </c>
      <c r="CZ627" s="236" t="n">
        <f aca="false" t="array" ref="CZ627:CZ627">IF(CZ626=0,0,IF(CZ626/'🎚️ Escenario'!$C$11&gt;=36,$AL$23,INDEX($C$23:$AL$23,MAX(1,ROUNDUP(CZ626/'🎚️ Escenario'!$C$11,0)))))</f>
        <v>0</v>
      </c>
      <c r="DA627" s="236" t="n">
        <f aca="false" t="array" ref="DA627:DA627">IF(DA626=0,0,IF(DA626/'🎚️ Escenario'!$C$11&gt;=36,$AL$23,INDEX($C$23:$AL$23,MAX(1,ROUNDUP(DA626/'🎚️ Escenario'!$C$11,0)))))</f>
        <v>0</v>
      </c>
      <c r="DB627" s="236" t="n">
        <f aca="false" t="array" ref="DB627:DB627">IF(DB626=0,0,IF(DB626/'🎚️ Escenario'!$C$11&gt;=36,$AL$23,INDEX($C$23:$AL$23,MAX(1,ROUNDUP(DB626/'🎚️ Escenario'!$C$11,0)))))</f>
        <v>0</v>
      </c>
      <c r="DC627" s="236" t="n">
        <f aca="false" t="array" ref="DC627:DC627">IF(DC626=0,0,IF(DC626/'🎚️ Escenario'!$C$11&gt;=36,$AL$23,INDEX($C$23:$AL$23,MAX(1,ROUNDUP(DC626/'🎚️ Escenario'!$C$11,0)))))</f>
        <v>0</v>
      </c>
      <c r="DD627" s="236" t="n">
        <f aca="false" t="array" ref="DD627:DD627">IF(DD626=0,0,IF(DD626/'🎚️ Escenario'!$C$11&gt;=36,$AL$23,INDEX($C$23:$AL$23,MAX(1,ROUNDUP(DD626/'🎚️ Escenario'!$C$11,0)))))</f>
        <v>0.2</v>
      </c>
      <c r="DE627" s="236" t="n">
        <f aca="false" t="array" ref="DE627:DE627">IF(DE626=0,0,IF(DE626/'🎚️ Escenario'!$C$11&gt;=36,$AL$23,INDEX($C$23:$AL$23,MAX(1,ROUNDUP(DE626/'🎚️ Escenario'!$C$11,0)))))</f>
        <v>0.22</v>
      </c>
      <c r="DF627" s="236" t="n">
        <f aca="false" t="array" ref="DF627:DF627">IF(DF626=0,0,IF(DF626/'🎚️ Escenario'!$C$11&gt;=36,$AL$23,INDEX($C$23:$AL$23,MAX(1,ROUNDUP(DF626/'🎚️ Escenario'!$C$11,0)))))</f>
        <v>0.24</v>
      </c>
      <c r="DG627" s="236" t="n">
        <f aca="false" t="array" ref="DG627:DG627">IF(DG626=0,0,IF(DG626/'🎚️ Escenario'!$C$11&gt;=36,$AL$23,INDEX($C$23:$AL$23,MAX(1,ROUNDUP(DG626/'🎚️ Escenario'!$C$11,0)))))</f>
        <v>0.27</v>
      </c>
      <c r="DH627" s="236" t="n">
        <f aca="false" t="array" ref="DH627:DH627">IF(DH626=0,0,IF(DH626/'🎚️ Escenario'!$C$11&gt;=36,$AL$23,INDEX($C$23:$AL$23,MAX(1,ROUNDUP(DH626/'🎚️ Escenario'!$C$11,0)))))</f>
        <v>0.27</v>
      </c>
      <c r="DI627" s="236" t="n">
        <f aca="false" t="array" ref="DI627:DI627">IF(DI626=0,0,IF(DI626/'🎚️ Escenario'!$C$11&gt;=36,$AL$23,INDEX($C$23:$AL$23,MAX(1,ROUNDUP(DI626/'🎚️ Escenario'!$C$11,0)))))</f>
        <v>0.31</v>
      </c>
      <c r="DJ627" s="236" t="n">
        <f aca="false" t="array" ref="DJ627:DJ627">IF(DJ626=0,0,IF(DJ626/'🎚️ Escenario'!$C$11&gt;=36,$AL$23,INDEX($C$23:$AL$23,MAX(1,ROUNDUP(DJ626/'🎚️ Escenario'!$C$11,0)))))</f>
        <v>0.35</v>
      </c>
      <c r="DK627" s="236" t="n">
        <f aca="false" t="array" ref="DK627:DK627">IF(DK626=0,0,IF(DK626/'🎚️ Escenario'!$C$11&gt;=36,$AL$23,INDEX($C$23:$AL$23,MAX(1,ROUNDUP(DK626/'🎚️ Escenario'!$C$11,0)))))</f>
        <v>0.39</v>
      </c>
      <c r="DL627" s="236" t="n">
        <f aca="false" t="array" ref="DL627:DL627">IF(DL626=0,0,IF(DL626/'🎚️ Escenario'!$C$11&gt;=36,$AL$23,INDEX($C$23:$AL$23,MAX(1,ROUNDUP(DL626/'🎚️ Escenario'!$C$11,0)))))</f>
        <v>0.44</v>
      </c>
      <c r="DM627" s="236" t="n">
        <f aca="false" t="array" ref="DM627:DM627">IF(DM626=0,0,IF(DM626/'🎚️ Escenario'!$C$11&gt;=36,$AL$23,INDEX($C$23:$AL$23,MAX(1,ROUNDUP(DM626/'🎚️ Escenario'!$C$11,0)))))</f>
        <v>0.44</v>
      </c>
      <c r="DN627" s="236" t="n">
        <f aca="false" t="array" ref="DN627:DN627">IF(DN626=0,0,IF(DN626/'🎚️ Escenario'!$C$11&gt;=36,$AL$23,INDEX($C$23:$AL$23,MAX(1,ROUNDUP(DN626/'🎚️ Escenario'!$C$11,0)))))</f>
        <v>0.48</v>
      </c>
      <c r="DO627" s="236" t="n">
        <f aca="false" t="array" ref="DO627:DO627">IF(DO626=0,0,IF(DO626/'🎚️ Escenario'!$C$11&gt;=36,$AL$23,INDEX($C$23:$AL$23,MAX(1,ROUNDUP(DO626/'🎚️ Escenario'!$C$11,0)))))</f>
        <v>0.52</v>
      </c>
      <c r="DP627" s="236" t="n">
        <f aca="false" t="array" ref="DP627:DP627">IF(DP626=0,0,IF(DP626/'🎚️ Escenario'!$C$11&gt;=36,$AL$23,INDEX($C$23:$AL$23,MAX(1,ROUNDUP(DP626/'🎚️ Escenario'!$C$11,0)))))</f>
        <v>0.56</v>
      </c>
      <c r="DQ627" s="236" t="n">
        <f aca="false" t="array" ref="DQ627:DQ627">IF(DQ626=0,0,IF(DQ626/'🎚️ Escenario'!$C$11&gt;=36,$AL$23,INDEX($C$23:$AL$23,MAX(1,ROUNDUP(DQ626/'🎚️ Escenario'!$C$11,0)))))</f>
        <v>0.6</v>
      </c>
      <c r="DR627" s="236" t="n">
        <f aca="false" t="array" ref="DR627:DR627">IF(DR626=0,0,IF(DR626/'🎚️ Escenario'!$C$11&gt;=36,$AL$23,INDEX($C$23:$AL$23,MAX(1,ROUNDUP(DR626/'🎚️ Escenario'!$C$11,0)))))</f>
        <v>0.6</v>
      </c>
      <c r="DS627" s="236" t="n">
        <f aca="false" t="array" ref="DS627:DS627">IF(DS626=0,0,IF(DS626/'🎚️ Escenario'!$C$11&gt;=36,$AL$23,INDEX($C$23:$AL$23,MAX(1,ROUNDUP(DS626/'🎚️ Escenario'!$C$11,0)))))</f>
        <v>0.63</v>
      </c>
      <c r="DT627" s="236" t="n">
        <f aca="false" t="array" ref="DT627:DT627">IF(DT626=0,0,IF(DT626/'🎚️ Escenario'!$C$11&gt;=36,$AL$23,INDEX($C$23:$AL$23,MAX(1,ROUNDUP(DT626/'🎚️ Escenario'!$C$11,0)))))</f>
        <v>0.66</v>
      </c>
      <c r="DU627" s="236" t="n">
        <f aca="false" t="array" ref="DU627:DU627">IF(DU626=0,0,IF(DU626/'🎚️ Escenario'!$C$11&gt;=36,$AL$23,INDEX($C$23:$AL$23,MAX(1,ROUNDUP(DU626/'🎚️ Escenario'!$C$11,0)))))</f>
        <v>0.69</v>
      </c>
      <c r="DV627" s="236" t="n">
        <f aca="false" t="array" ref="DV627:DV627">IF(DV626=0,0,IF(DV626/'🎚️ Escenario'!$C$11&gt;=36,$AL$23,INDEX($C$23:$AL$23,MAX(1,ROUNDUP(DV626/'🎚️ Escenario'!$C$11,0)))))</f>
        <v>0.71</v>
      </c>
      <c r="DW627" s="236" t="n">
        <f aca="false" t="array" ref="DW627:DW627">IF(DW626=0,0,IF(DW626/'🎚️ Escenario'!$C$11&gt;=36,$AL$23,INDEX($C$23:$AL$23,MAX(1,ROUNDUP(DW626/'🎚️ Escenario'!$C$11,0)))))</f>
        <v>0.71</v>
      </c>
      <c r="DX627" s="236" t="n">
        <f aca="false" t="array" ref="DX627:DX627">IF(DX626=0,0,IF(DX626/'🎚️ Escenario'!$C$11&gt;=36,$AL$23,INDEX($C$23:$AL$23,MAX(1,ROUNDUP(DX626/'🎚️ Escenario'!$C$11,0)))))</f>
        <v>0.73</v>
      </c>
      <c r="DY627" s="236" t="n">
        <f aca="false" t="array" ref="DY627:DY627">IF(DY626=0,0,IF(DY626/'🎚️ Escenario'!$C$11&gt;=36,$AL$23,INDEX($C$23:$AL$23,MAX(1,ROUNDUP(DY626/'🎚️ Escenario'!$C$11,0)))))</f>
        <v>0.75</v>
      </c>
      <c r="DZ627" s="236" t="n">
        <f aca="false" t="array" ref="DZ627:DZ627">IF(DZ626=0,0,IF(DZ626/'🎚️ Escenario'!$C$11&gt;=36,$AL$23,INDEX($C$23:$AL$23,MAX(1,ROUNDUP(DZ626/'🎚️ Escenario'!$C$11,0)))))</f>
        <v>0.77</v>
      </c>
      <c r="EA627" s="236" t="n">
        <f aca="false" t="array" ref="EA627:EA627">IF(EA626=0,0,IF(EA626/'🎚️ Escenario'!$C$11&gt;=36,$AL$23,INDEX($C$23:$AL$23,MAX(1,ROUNDUP(EA626/'🎚️ Escenario'!$C$11,0)))))</f>
        <v>0.79</v>
      </c>
      <c r="EB627" s="236" t="n">
        <f aca="false" t="array" ref="EB627:EB627">IF(EB626=0,0,IF(EB626/'🎚️ Escenario'!$C$11&gt;=36,$AL$23,INDEX($C$23:$AL$23,MAX(1,ROUNDUP(EB626/'🎚️ Escenario'!$C$11,0)))))</f>
        <v>0.79</v>
      </c>
      <c r="EC627" s="236" t="n">
        <f aca="false" t="array" ref="EC627:EC627">IF(EC626=0,0,IF(EC626/'🎚️ Escenario'!$C$11&gt;=36,$AL$23,INDEX($C$23:$AL$23,MAX(1,ROUNDUP(EC626/'🎚️ Escenario'!$C$11,0)))))</f>
        <v>0.8</v>
      </c>
      <c r="ED627" s="236" t="n">
        <f aca="false" t="array" ref="ED627:ED627">IF(ED626=0,0,IF(ED626/'🎚️ Escenario'!$C$11&gt;=36,$AL$23,INDEX($C$23:$AL$23,MAX(1,ROUNDUP(ED626/'🎚️ Escenario'!$C$11,0)))))</f>
        <v>0.82</v>
      </c>
      <c r="EE627" s="236" t="n">
        <f aca="false" t="array" ref="EE627:EE627">IF(EE626=0,0,IF(EE626/'🎚️ Escenario'!$C$11&gt;=36,$AL$23,INDEX($C$23:$AL$23,MAX(1,ROUNDUP(EE626/'🎚️ Escenario'!$C$11,0)))))</f>
        <v>0.84</v>
      </c>
      <c r="EF627" s="236" t="n">
        <f aca="false" t="array" ref="EF627:EF627">IF(EF626=0,0,IF(EF626/'🎚️ Escenario'!$C$11&gt;=36,$AL$23,INDEX($C$23:$AL$23,MAX(1,ROUNDUP(EF626/'🎚️ Escenario'!$C$11,0)))))</f>
        <v>0.85</v>
      </c>
      <c r="EG627" s="236" t="n">
        <f aca="false" t="array" ref="EG627:EG627">IF(EG626=0,0,IF(EG626/'🎚️ Escenario'!$C$11&gt;=36,$AL$23,INDEX($C$23:$AL$23,MAX(1,ROUNDUP(EG626/'🎚️ Escenario'!$C$11,0)))))</f>
        <v>0.85</v>
      </c>
      <c r="EH627" s="236" t="n">
        <f aca="false" t="array" ref="EH627:EH627">IF(EH626=0,0,IF(EH626/'🎚️ Escenario'!$C$11&gt;=36,$AL$23,INDEX($C$23:$AL$23,MAX(1,ROUNDUP(EH626/'🎚️ Escenario'!$C$11,0)))))</f>
        <v>0.86</v>
      </c>
      <c r="EI627" s="236" t="n">
        <f aca="false" t="array" ref="EI627:EI627">IF(EI626=0,0,IF(EI626/'🎚️ Escenario'!$C$11&gt;=36,$AL$23,INDEX($C$23:$AL$23,MAX(1,ROUNDUP(EI626/'🎚️ Escenario'!$C$11,0)))))</f>
        <v>0.88</v>
      </c>
      <c r="EJ627" s="236" t="n">
        <f aca="false" t="array" ref="EJ627:EJ627">IF(EJ626=0,0,IF(EJ626/'🎚️ Escenario'!$C$11&gt;=36,$AL$23,INDEX($C$23:$AL$23,MAX(1,ROUNDUP(EJ626/'🎚️ Escenario'!$C$11,0)))))</f>
        <v>0.89</v>
      </c>
      <c r="EK627" s="236" t="n">
        <f aca="false" t="array" ref="EK627:EK627">IF(EK626=0,0,IF(EK626/'🎚️ Escenario'!$C$11&gt;=36,$AL$23,INDEX($C$23:$AL$23,MAX(1,ROUNDUP(EK626/'🎚️ Escenario'!$C$11,0)))))</f>
        <v>0.9</v>
      </c>
      <c r="EL627" s="236" t="n">
        <f aca="false" t="array" ref="EL627:EL627">IF(EL626=0,0,IF(EL626/'🎚️ Escenario'!$C$11&gt;=36,$AL$23,INDEX($C$23:$AL$23,MAX(1,ROUNDUP(EL626/'🎚️ Escenario'!$C$11,0)))))</f>
        <v>0.9</v>
      </c>
      <c r="EM627" s="236" t="n">
        <f aca="false" t="array" ref="EM627:EM627">IF(EM626=0,0,IF(EM626/'🎚️ Escenario'!$C$11&gt;=36,$AL$23,INDEX($C$23:$AL$23,MAX(1,ROUNDUP(EM626/'🎚️ Escenario'!$C$11,0)))))</f>
        <v>0.92</v>
      </c>
      <c r="EN627" s="236" t="n">
        <f aca="false" t="array" ref="EN627:EN627">IF(EN626=0,0,IF(EN626/'🎚️ Escenario'!$C$11&gt;=36,$AL$23,INDEX($C$23:$AL$23,MAX(1,ROUNDUP(EN626/'🎚️ Escenario'!$C$11,0)))))</f>
        <v>0.93</v>
      </c>
      <c r="EO627" s="236" t="n">
        <f aca="false" t="array" ref="EO627:EO627">IF(EO626=0,0,IF(EO626/'🎚️ Escenario'!$C$11&gt;=36,$AL$23,INDEX($C$23:$AL$23,MAX(1,ROUNDUP(EO626/'🎚️ Escenario'!$C$11,0)))))</f>
        <v>0.94</v>
      </c>
      <c r="EP627" s="236" t="n">
        <f aca="false" t="array" ref="EP627:EP627">IF(EP626=0,0,IF(EP626/'🎚️ Escenario'!$C$11&gt;=36,$AL$23,INDEX($C$23:$AL$23,MAX(1,ROUNDUP(EP626/'🎚️ Escenario'!$C$11,0)))))</f>
        <v>0.95</v>
      </c>
      <c r="EQ627" s="236" t="n">
        <f aca="false" t="array" ref="EQ627:EQ627">IF(EQ626=0,0,IF(EQ626/'🎚️ Escenario'!$C$11&gt;=36,$AL$23,INDEX($C$23:$AL$23,MAX(1,ROUNDUP(EQ626/'🎚️ Escenario'!$C$11,0)))))</f>
        <v>0.95</v>
      </c>
      <c r="ER627" s="236" t="n">
        <f aca="false" t="array" ref="ER627:ER627">IF(ER626=0,0,IF(ER626/'🎚️ Escenario'!$C$11&gt;=36,$AL$23,INDEX($C$23:$AL$23,MAX(1,ROUNDUP(ER626/'🎚️ Escenario'!$C$11,0)))))</f>
        <v>0.97</v>
      </c>
      <c r="ES627" s="9" t="n">
        <f aca="false" t="array" ref="ES627:ES627">IF(ES626=0,0,IF(ES626/'🎚️ Escenario'!$C$11&gt;=36,$AL$23,INDEX($C$23:$AL$23,MAX(1,ROUNDUP(ES626/'🎚️ Escenario'!$C$11,0)))))</f>
        <v>0.98</v>
      </c>
      <c r="ET627" s="9" t="n">
        <f aca="false" t="array" ref="ET627:ET627">IF(ET626=0,0,IF(ET626/'🎚️ Escenario'!$C$11&gt;=36,$AL$23,INDEX($C$23:$AL$23,MAX(1,ROUNDUP(ET626/'🎚️ Escenario'!$C$11,0)))))</f>
        <v>0.99</v>
      </c>
      <c r="EU627" s="9" t="n">
        <f aca="false" t="array" ref="EU627:EU627">IF(EU626=0,0,IF(EU626/'🎚️ Escenario'!$C$11&gt;=36,$AL$23,INDEX($C$23:$AL$23,MAX(1,ROUNDUP(EU626/'🎚️ Escenario'!$C$11,0)))))</f>
        <v>1</v>
      </c>
      <c r="EV627" s="9" t="n">
        <f aca="false" t="array" ref="EV627:EV627">IF(EV626=0,0,IF(EV626/'🎚️ Escenario'!$C$11&gt;=36,$AL$23,INDEX($C$23:$AL$23,MAX(1,ROUNDUP(EV626/'🎚️ Escenario'!$C$11,0)))))</f>
        <v>1</v>
      </c>
      <c r="EW627" s="9" t="n">
        <f aca="false" t="array" ref="EW627:EW627">IF(EW626=0,0,IF(EW626/'🎚️ Escenario'!$C$11&gt;=36,$AL$23,INDEX($C$23:$AL$23,MAX(1,ROUNDUP(EW626/'🎚️ Escenario'!$C$11,0)))))</f>
        <v>1</v>
      </c>
      <c r="EX627" s="9" t="n">
        <f aca="false" t="array" ref="EX627:EX627">IF(EX626=0,0,IF(EX626/'🎚️ Escenario'!$C$11&gt;=36,$AL$23,INDEX($C$23:$AL$23,MAX(1,ROUNDUP(EX626/'🎚️ Escenario'!$C$11,0)))))</f>
        <v>1</v>
      </c>
      <c r="EY627" s="9" t="n">
        <f aca="false" t="array" ref="EY627:EY627">IF(EY626=0,0,IF(EY626/'🎚️ Escenario'!$C$11&gt;=36,$AL$23,INDEX($C$23:$AL$23,MAX(1,ROUNDUP(EY626/'🎚️ Escenario'!$C$11,0)))))</f>
        <v>1</v>
      </c>
      <c r="EZ627" s="9" t="n">
        <f aca="false" t="array" ref="EZ627:EZ627">IF(EZ626=0,0,IF(EZ626/'🎚️ Escenario'!$C$11&gt;=36,$AL$23,INDEX($C$23:$AL$23,MAX(1,ROUNDUP(EZ626/'🎚️ Escenario'!$C$11,0)))))</f>
        <v>1</v>
      </c>
      <c r="FA627" s="9" t="n">
        <f aca="false" t="array" ref="FA627:FA627">IF(FA626=0,0,IF(FA626/'🎚️ Escenario'!$C$11&gt;=36,$AL$23,INDEX($C$23:$AL$23,MAX(1,ROUNDUP(FA626/'🎚️ Escenario'!$C$11,0)))))</f>
        <v>1</v>
      </c>
      <c r="FB627" s="9" t="n">
        <f aca="false" t="array" ref="FB627:FB627">IF(FB626=0,0,IF(FB626/'🎚️ Escenario'!$C$11&gt;=36,$AL$23,INDEX($C$23:$AL$23,MAX(1,ROUNDUP(FB626/'🎚️ Escenario'!$C$11,0)))))</f>
        <v>1</v>
      </c>
      <c r="FC627" s="9" t="n">
        <f aca="false" t="array" ref="FC627:FC627">IF(FC626=0,0,IF(FC626/'🎚️ Escenario'!$C$11&gt;=36,$AL$23,INDEX($C$23:$AL$23,MAX(1,ROUNDUP(FC626/'🎚️ Escenario'!$C$11,0)))))</f>
        <v>1</v>
      </c>
      <c r="FD627" s="9" t="n">
        <f aca="false" t="array" ref="FD627:FD627">IF(FD626=0,0,IF(FD626/'🎚️ Escenario'!$C$11&gt;=36,$AL$23,INDEX($C$23:$AL$23,MAX(1,ROUNDUP(FD626/'🎚️ Escenario'!$C$11,0)))))</f>
        <v>1</v>
      </c>
      <c r="FE627" s="9" t="n">
        <f aca="false" t="array" ref="FE627:FE627">IF(FE626=0,0,IF(FE626/'🎚️ Escenario'!$C$11&gt;=36,$AL$23,INDEX($C$23:$AL$23,MAX(1,ROUNDUP(FE626/'🎚️ Escenario'!$C$11,0)))))</f>
        <v>1</v>
      </c>
      <c r="FF627" s="9" t="n">
        <f aca="false" t="array" ref="FF627:FF627">IF(FF626=0,0,IF(FF626/'🎚️ Escenario'!$C$11&gt;=36,$AL$23,INDEX($C$23:$AL$23,MAX(1,ROUNDUP(FF626/'🎚️ Escenario'!$C$11,0)))))</f>
        <v>1</v>
      </c>
      <c r="FG627" s="9" t="n">
        <f aca="false" t="array" ref="FG627:FG627">IF(FG626=0,0,IF(FG626/'🎚️ Escenario'!$C$11&gt;=36,$AL$23,INDEX($C$23:$AL$23,MAX(1,ROUNDUP(FG626/'🎚️ Escenario'!$C$11,0)))))</f>
        <v>1</v>
      </c>
      <c r="FH627" s="9" t="n">
        <f aca="false" t="array" ref="FH627:FH627">IF(FH626=0,0,IF(FH626/'🎚️ Escenario'!$C$11&gt;=36,$AL$23,INDEX($C$23:$AL$23,MAX(1,ROUNDUP(FH626/'🎚️ Escenario'!$C$11,0)))))</f>
        <v>1</v>
      </c>
      <c r="FI627" s="9" t="n">
        <f aca="false" t="array" ref="FI627:FI627">IF(FI626=0,0,IF(FI626/'🎚️ Escenario'!$C$11&gt;=36,$AL$23,INDEX($C$23:$AL$23,MAX(1,ROUNDUP(FI626/'🎚️ Escenario'!$C$11,0)))))</f>
        <v>1</v>
      </c>
      <c r="FJ627" s="9" t="n">
        <f aca="false" t="array" ref="FJ627:FJ627">IF(FJ626=0,0,IF(FJ626/'🎚️ Escenario'!$C$11&gt;=36,$AL$23,INDEX($C$23:$AL$23,MAX(1,ROUNDUP(FJ626/'🎚️ Escenario'!$C$11,0)))))</f>
        <v>1</v>
      </c>
      <c r="FK627" s="9" t="n">
        <f aca="false" t="array" ref="FK627:FK627">IF(FK626=0,0,IF(FK626/'🎚️ Escenario'!$C$11&gt;=36,$AL$23,INDEX($C$23:$AL$23,MAX(1,ROUNDUP(FK626/'🎚️ Escenario'!$C$11,0)))))</f>
        <v>1</v>
      </c>
      <c r="FL627" s="9" t="n">
        <f aca="false" t="array" ref="FL627:FL627">IF(FL626=0,0,IF(FL626/'🎚️ Escenario'!$C$11&gt;=36,$AL$23,INDEX($C$23:$AL$23,MAX(1,ROUNDUP(FL626/'🎚️ Escenario'!$C$11,0)))))</f>
        <v>1</v>
      </c>
      <c r="FM627" s="9" t="n">
        <f aca="false" t="array" ref="FM627:FM627">IF(FM626=0,0,IF(FM626/'🎚️ Escenario'!$C$11&gt;=36,$AL$23,INDEX($C$23:$AL$23,MAX(1,ROUNDUP(FM626/'🎚️ Escenario'!$C$11,0)))))</f>
        <v>1</v>
      </c>
      <c r="FN627" s="9" t="n">
        <f aca="false" t="array" ref="FN627:FN627">IF(FN626=0,0,IF(FN626/'🎚️ Escenario'!$C$11&gt;=36,$AL$23,INDEX($C$23:$AL$23,MAX(1,ROUNDUP(FN626/'🎚️ Escenario'!$C$11,0)))))</f>
        <v>1</v>
      </c>
      <c r="FO627" s="9" t="n">
        <f aca="false" t="array" ref="FO627:FO627">IF(FO626=0,0,IF(FO626/'🎚️ Escenario'!$C$11&gt;=36,$AL$23,INDEX($C$23:$AL$23,MAX(1,ROUNDUP(FO626/'🎚️ Escenario'!$C$11,0)))))</f>
        <v>1</v>
      </c>
      <c r="FP627" s="9" t="n">
        <f aca="false" t="array" ref="FP627:FP627">IF(FP626=0,0,IF(FP626/'🎚️ Escenario'!$C$11&gt;=36,$AL$23,INDEX($C$23:$AL$23,MAX(1,ROUNDUP(FP626/'🎚️ Escenario'!$C$11,0)))))</f>
        <v>1</v>
      </c>
    </row>
    <row r="628" customFormat="false" ht="15" hidden="false" customHeight="false" outlineLevel="2" collapsed="false">
      <c r="B628" s="9" t="s">
        <v>875</v>
      </c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237" t="n">
        <f aca="false">IF(AC626=0,0,IF(AC626&lt;=12*'🎚️ Escenario'!$C$11,1,1+$C$6))</f>
        <v>0</v>
      </c>
      <c r="AD628" s="237" t="n">
        <f aca="false">IF(AD626=0,0,IF(AD626&lt;=12*'🎚️ Escenario'!$C$11,1,1+$C$6))</f>
        <v>0</v>
      </c>
      <c r="AE628" s="237" t="n">
        <f aca="false">IF(AE626=0,0,IF(AE626&lt;=12*'🎚️ Escenario'!$C$11,1,1+$C$6))</f>
        <v>0</v>
      </c>
      <c r="AF628" s="237" t="n">
        <f aca="false">IF(AF626=0,0,IF(AF626&lt;=12*'🎚️ Escenario'!$C$11,1,1+$C$6))</f>
        <v>0</v>
      </c>
      <c r="AG628" s="237" t="n">
        <f aca="false">IF(AG626=0,0,IF(AG626&lt;=12*'🎚️ Escenario'!$C$11,1,1+$C$6))</f>
        <v>0</v>
      </c>
      <c r="AH628" s="237" t="n">
        <f aca="false">IF(AH626=0,0,IF(AH626&lt;=12*'🎚️ Escenario'!$C$11,1,1+$C$6))</f>
        <v>0</v>
      </c>
      <c r="AI628" s="237" t="n">
        <f aca="false">IF(AI626=0,0,IF(AI626&lt;=12*'🎚️ Escenario'!$C$11,1,1+$C$6))</f>
        <v>0</v>
      </c>
      <c r="AJ628" s="237" t="n">
        <f aca="false">IF(AJ626=0,0,IF(AJ626&lt;=12*'🎚️ Escenario'!$C$11,1,1+$C$6))</f>
        <v>0</v>
      </c>
      <c r="AK628" s="237" t="n">
        <f aca="false">IF(AK626=0,0,IF(AK626&lt;=12*'🎚️ Escenario'!$C$11,1,1+$C$6))</f>
        <v>0</v>
      </c>
      <c r="AL628" s="237" t="n">
        <f aca="false">IF(AL626=0,0,IF(AL626&lt;=12*'🎚️ Escenario'!$C$11,1,1+$C$6))</f>
        <v>0</v>
      </c>
      <c r="AM628" s="237" t="n">
        <f aca="false">IF(AM626=0,0,IF(AM626&lt;=12*'🎚️ Escenario'!$C$11,1,1+$C$6))</f>
        <v>0</v>
      </c>
      <c r="AN628" s="237" t="n">
        <f aca="false">IF(AN626=0,0,IF(AN626&lt;=12*'🎚️ Escenario'!$C$11,1,1+$C$6))</f>
        <v>0</v>
      </c>
      <c r="AO628" s="237" t="n">
        <f aca="false">IF(AO626=0,0,IF(AO626&lt;=12*'🎚️ Escenario'!$C$11,1,1+$C$6))</f>
        <v>0</v>
      </c>
      <c r="AP628" s="237" t="n">
        <f aca="false">IF(AP626=0,0,IF(AP626&lt;=12*'🎚️ Escenario'!$C$11,1,1+$C$6))</f>
        <v>0</v>
      </c>
      <c r="AQ628" s="237" t="n">
        <f aca="false">IF(AQ626=0,0,IF(AQ626&lt;=12*'🎚️ Escenario'!$C$11,1,1+$C$6))</f>
        <v>0</v>
      </c>
      <c r="AR628" s="237" t="n">
        <f aca="false">IF(AR626=0,0,IF(AR626&lt;=12*'🎚️ Escenario'!$C$11,1,1+$C$6))</f>
        <v>0</v>
      </c>
      <c r="AS628" s="237" t="n">
        <f aca="false">IF(AS626=0,0,IF(AS626&lt;=12*'🎚️ Escenario'!$C$11,1,1+$C$6))</f>
        <v>0</v>
      </c>
      <c r="AT628" s="237" t="n">
        <f aca="false">IF(AT626=0,0,IF(AT626&lt;=12*'🎚️ Escenario'!$C$11,1,1+$C$6))</f>
        <v>0</v>
      </c>
      <c r="AU628" s="237" t="n">
        <f aca="false">IF(AU626=0,0,IF(AU626&lt;=12*'🎚️ Escenario'!$C$11,1,1+$C$6))</f>
        <v>0</v>
      </c>
      <c r="AV628" s="237" t="n">
        <f aca="false">IF(AV626=0,0,IF(AV626&lt;=12*'🎚️ Escenario'!$C$11,1,1+$C$6))</f>
        <v>0</v>
      </c>
      <c r="AW628" s="237" t="n">
        <f aca="false">IF(AW626=0,0,IF(AW626&lt;=12*'🎚️ Escenario'!$C$11,1,1+$C$6))</f>
        <v>0</v>
      </c>
      <c r="AX628" s="237" t="n">
        <f aca="false">IF(AX626=0,0,IF(AX626&lt;=12*'🎚️ Escenario'!$C$11,1,1+$C$6))</f>
        <v>0</v>
      </c>
      <c r="AY628" s="237" t="n">
        <f aca="false">IF(AY626=0,0,IF(AY626&lt;=12*'🎚️ Escenario'!$C$11,1,1+$C$6))</f>
        <v>0</v>
      </c>
      <c r="AZ628" s="237" t="n">
        <f aca="false">IF(AZ626=0,0,IF(AZ626&lt;=12*'🎚️ Escenario'!$C$11,1,1+$C$6))</f>
        <v>0</v>
      </c>
      <c r="BA628" s="237" t="n">
        <f aca="false">IF(BA626=0,0,IF(BA626&lt;=12*'🎚️ Escenario'!$C$11,1,1+$C$6))</f>
        <v>0</v>
      </c>
      <c r="BB628" s="237" t="n">
        <f aca="false">IF(BB626=0,0,IF(BB626&lt;=12*'🎚️ Escenario'!$C$11,1,1+$C$6))</f>
        <v>0</v>
      </c>
      <c r="BC628" s="237" t="n">
        <f aca="false">IF(BC626=0,0,IF(BC626&lt;=12*'🎚️ Escenario'!$C$11,1,1+$C$6))</f>
        <v>0</v>
      </c>
      <c r="BD628" s="237" t="n">
        <f aca="false">IF(BD626=0,0,IF(BD626&lt;=12*'🎚️ Escenario'!$C$11,1,1+$C$6))</f>
        <v>0</v>
      </c>
      <c r="BE628" s="237" t="n">
        <f aca="false">IF(BE626=0,0,IF(BE626&lt;=12*'🎚️ Escenario'!$C$11,1,1+$C$6))</f>
        <v>0</v>
      </c>
      <c r="BF628" s="237" t="n">
        <f aca="false">IF(BF626=0,0,IF(BF626&lt;=12*'🎚️ Escenario'!$C$11,1,1+$C$6))</f>
        <v>0</v>
      </c>
      <c r="BG628" s="237" t="n">
        <f aca="false">IF(BG626=0,0,IF(BG626&lt;=12*'🎚️ Escenario'!$C$11,1,1+$C$6))</f>
        <v>0</v>
      </c>
      <c r="BH628" s="237" t="n">
        <f aca="false">IF(BH626=0,0,IF(BH626&lt;=12*'🎚️ Escenario'!$C$11,1,1+$C$6))</f>
        <v>0</v>
      </c>
      <c r="BI628" s="237" t="n">
        <f aca="false">IF(BI626=0,0,IF(BI626&lt;=12*'🎚️ Escenario'!$C$11,1,1+$C$6))</f>
        <v>0</v>
      </c>
      <c r="BJ628" s="237" t="n">
        <f aca="false">IF(BJ626=0,0,IF(BJ626&lt;=12*'🎚️ Escenario'!$C$11,1,1+$C$6))</f>
        <v>0</v>
      </c>
      <c r="BK628" s="237" t="n">
        <f aca="false">IF(BK626=0,0,IF(BK626&lt;=12*'🎚️ Escenario'!$C$11,1,1+$C$6))</f>
        <v>0</v>
      </c>
      <c r="BL628" s="237" t="n">
        <f aca="false">IF(BL626=0,0,IF(BL626&lt;=12*'🎚️ Escenario'!$C$11,1,1+$C$6))</f>
        <v>0</v>
      </c>
      <c r="BM628" s="237" t="n">
        <f aca="false">IF(BM626=0,0,IF(BM626&lt;=12*'🎚️ Escenario'!$C$11,1,1+$C$6))</f>
        <v>0</v>
      </c>
      <c r="BN628" s="237" t="n">
        <f aca="false">IF(BN626=0,0,IF(BN626&lt;=12*'🎚️ Escenario'!$C$11,1,1+$C$6))</f>
        <v>0</v>
      </c>
      <c r="BO628" s="237" t="n">
        <f aca="false">IF(BO626=0,0,IF(BO626&lt;=12*'🎚️ Escenario'!$C$11,1,1+$C$6))</f>
        <v>0</v>
      </c>
      <c r="BP628" s="237" t="n">
        <f aca="false">IF(BP626=0,0,IF(BP626&lt;=12*'🎚️ Escenario'!$C$11,1,1+$C$6))</f>
        <v>0</v>
      </c>
      <c r="BQ628" s="237" t="n">
        <f aca="false">IF(BQ626=0,0,IF(BQ626&lt;=12*'🎚️ Escenario'!$C$11,1,1+$C$6))</f>
        <v>0</v>
      </c>
      <c r="BR628" s="237" t="n">
        <f aca="false">IF(BR626=0,0,IF(BR626&lt;=12*'🎚️ Escenario'!$C$11,1,1+$C$6))</f>
        <v>0</v>
      </c>
      <c r="BS628" s="237" t="n">
        <f aca="false">IF(BS626=0,0,IF(BS626&lt;=12*'🎚️ Escenario'!$C$11,1,1+$C$6))</f>
        <v>0</v>
      </c>
      <c r="BT628" s="237" t="n">
        <f aca="false">IF(BT626=0,0,IF(BT626&lt;=12*'🎚️ Escenario'!$C$11,1,1+$C$6))</f>
        <v>0</v>
      </c>
      <c r="BU628" s="237" t="n">
        <f aca="false">IF(BU626=0,0,IF(BU626&lt;=12*'🎚️ Escenario'!$C$11,1,1+$C$6))</f>
        <v>0</v>
      </c>
      <c r="BV628" s="237" t="n">
        <f aca="false">IF(BV626=0,0,IF(BV626&lt;=12*'🎚️ Escenario'!$C$11,1,1+$C$6))</f>
        <v>0</v>
      </c>
      <c r="BW628" s="237" t="n">
        <f aca="false">IF(BW626=0,0,IF(BW626&lt;=12*'🎚️ Escenario'!$C$11,1,1+$C$6))</f>
        <v>0</v>
      </c>
      <c r="BX628" s="237" t="n">
        <f aca="false">IF(BX626=0,0,IF(BX626&lt;=12*'🎚️ Escenario'!$C$11,1,1+$C$6))</f>
        <v>0</v>
      </c>
      <c r="BY628" s="237" t="n">
        <f aca="false">IF(BY626=0,0,IF(BY626&lt;=12*'🎚️ Escenario'!$C$11,1,1+$C$6))</f>
        <v>0</v>
      </c>
      <c r="BZ628" s="237" t="n">
        <f aca="false">IF(BZ626=0,0,IF(BZ626&lt;=12*'🎚️ Escenario'!$C$11,1,1+$C$6))</f>
        <v>0</v>
      </c>
      <c r="CA628" s="237" t="n">
        <f aca="false">IF(CA626=0,0,IF(CA626&lt;=12*'🎚️ Escenario'!$C$11,1,1+$C$6))</f>
        <v>0</v>
      </c>
      <c r="CB628" s="237" t="n">
        <f aca="false">IF(CB626=0,0,IF(CB626&lt;=12*'🎚️ Escenario'!$C$11,1,1+$C$6))</f>
        <v>0</v>
      </c>
      <c r="CC628" s="237" t="n">
        <f aca="false">IF(CC626=0,0,IF(CC626&lt;=12*'🎚️ Escenario'!$C$11,1,1+$C$6))</f>
        <v>0</v>
      </c>
      <c r="CD628" s="237" t="n">
        <f aca="false">IF(CD626=0,0,IF(CD626&lt;=12*'🎚️ Escenario'!$C$11,1,1+$C$6))</f>
        <v>0</v>
      </c>
      <c r="CE628" s="237" t="n">
        <f aca="false">IF(CE626=0,0,IF(CE626&lt;=12*'🎚️ Escenario'!$C$11,1,1+$C$6))</f>
        <v>0</v>
      </c>
      <c r="CF628" s="237" t="n">
        <f aca="false">IF(CF626=0,0,IF(CF626&lt;=12*'🎚️ Escenario'!$C$11,1,1+$C$6))</f>
        <v>0</v>
      </c>
      <c r="CG628" s="237" t="n">
        <f aca="false">IF(CG626=0,0,IF(CG626&lt;=12*'🎚️ Escenario'!$C$11,1,1+$C$6))</f>
        <v>0</v>
      </c>
      <c r="CH628" s="237" t="n">
        <f aca="false">IF(CH626=0,0,IF(CH626&lt;=12*'🎚️ Escenario'!$C$11,1,1+$C$6))</f>
        <v>0</v>
      </c>
      <c r="CI628" s="237" t="n">
        <f aca="false">IF(CI626=0,0,IF(CI626&lt;=12*'🎚️ Escenario'!$C$11,1,1+$C$6))</f>
        <v>0</v>
      </c>
      <c r="CJ628" s="237" t="n">
        <f aca="false">IF(CJ626=0,0,IF(CJ626&lt;=12*'🎚️ Escenario'!$C$11,1,1+$C$6))</f>
        <v>0</v>
      </c>
      <c r="CK628" s="237" t="n">
        <f aca="false">IF(CK626=0,0,IF(CK626&lt;=12*'🎚️ Escenario'!$C$11,1,1+$C$6))</f>
        <v>0</v>
      </c>
      <c r="CL628" s="237" t="n">
        <f aca="false">IF(CL626=0,0,IF(CL626&lt;=12*'🎚️ Escenario'!$C$11,1,1+$C$6))</f>
        <v>0</v>
      </c>
      <c r="CM628" s="237" t="n">
        <f aca="false">IF(CM626=0,0,IF(CM626&lt;=12*'🎚️ Escenario'!$C$11,1,1+$C$6))</f>
        <v>0</v>
      </c>
      <c r="CN628" s="237" t="n">
        <f aca="false">IF(CN626=0,0,IF(CN626&lt;=12*'🎚️ Escenario'!$C$11,1,1+$C$6))</f>
        <v>0</v>
      </c>
      <c r="CO628" s="237" t="n">
        <f aca="false">IF(CO626=0,0,IF(CO626&lt;=12*'🎚️ Escenario'!$C$11,1,1+$C$6))</f>
        <v>0</v>
      </c>
      <c r="CP628" s="237" t="n">
        <f aca="false">IF(CP626=0,0,IF(CP626&lt;=12*'🎚️ Escenario'!$C$11,1,1+$C$6))</f>
        <v>0</v>
      </c>
      <c r="CQ628" s="237" t="n">
        <f aca="false">IF(CQ626=0,0,IF(CQ626&lt;=12*'🎚️ Escenario'!$C$11,1,1+$C$6))</f>
        <v>0</v>
      </c>
      <c r="CR628" s="237" t="n">
        <f aca="false">IF(CR626=0,0,IF(CR626&lt;=12*'🎚️ Escenario'!$C$11,1,1+$C$6))</f>
        <v>0</v>
      </c>
      <c r="CS628" s="237" t="n">
        <f aca="false">IF(CS626=0,0,IF(CS626&lt;=12*'🎚️ Escenario'!$C$11,1,1+$C$6))</f>
        <v>0</v>
      </c>
      <c r="CT628" s="237" t="n">
        <f aca="false">IF(CT626=0,0,IF(CT626&lt;=12*'🎚️ Escenario'!$C$11,1,1+$C$6))</f>
        <v>0</v>
      </c>
      <c r="CU628" s="237" t="n">
        <f aca="false">IF(CU626=0,0,IF(CU626&lt;=12*'🎚️ Escenario'!$C$11,1,1+$C$6))</f>
        <v>0</v>
      </c>
      <c r="CV628" s="237" t="n">
        <f aca="false">IF(CV626=0,0,IF(CV626&lt;=12*'🎚️ Escenario'!$C$11,1,1+$C$6))</f>
        <v>0</v>
      </c>
      <c r="CW628" s="237" t="n">
        <f aca="false">IF(CW626=0,0,IF(CW626&lt;=12*'🎚️ Escenario'!$C$11,1,1+$C$6))</f>
        <v>0</v>
      </c>
      <c r="CX628" s="237" t="n">
        <f aca="false">IF(CX626=0,0,IF(CX626&lt;=12*'🎚️ Escenario'!$C$11,1,1+$C$6))</f>
        <v>0</v>
      </c>
      <c r="CY628" s="237" t="n">
        <f aca="false">IF(CY626=0,0,IF(CY626&lt;=12*'🎚️ Escenario'!$C$11,1,1+$C$6))</f>
        <v>0</v>
      </c>
      <c r="CZ628" s="237" t="n">
        <f aca="false">IF(CZ626=0,0,IF(CZ626&lt;=12*'🎚️ Escenario'!$C$11,1,1+$C$6))</f>
        <v>0</v>
      </c>
      <c r="DA628" s="237" t="n">
        <f aca="false">IF(DA626=0,0,IF(DA626&lt;=12*'🎚️ Escenario'!$C$11,1,1+$C$6))</f>
        <v>0</v>
      </c>
      <c r="DB628" s="237" t="n">
        <f aca="false">IF(DB626=0,0,IF(DB626&lt;=12*'🎚️ Escenario'!$C$11,1,1+$C$6))</f>
        <v>0</v>
      </c>
      <c r="DC628" s="237" t="n">
        <f aca="false">IF(DC626=0,0,IF(DC626&lt;=12*'🎚️ Escenario'!$C$11,1,1+$C$6))</f>
        <v>0</v>
      </c>
      <c r="DD628" s="237" t="n">
        <f aca="false">IF(DD626=0,0,IF(DD626&lt;=12*'🎚️ Escenario'!$C$11,1,1+$C$6))</f>
        <v>1</v>
      </c>
      <c r="DE628" s="237" t="n">
        <f aca="false">IF(DE626=0,0,IF(DE626&lt;=12*'🎚️ Escenario'!$C$11,1,1+$C$6))</f>
        <v>1</v>
      </c>
      <c r="DF628" s="237" t="n">
        <f aca="false">IF(DF626=0,0,IF(DF626&lt;=12*'🎚️ Escenario'!$C$11,1,1+$C$6))</f>
        <v>1</v>
      </c>
      <c r="DG628" s="237" t="n">
        <f aca="false">IF(DG626=0,0,IF(DG626&lt;=12*'🎚️ Escenario'!$C$11,1,1+$C$6))</f>
        <v>1</v>
      </c>
      <c r="DH628" s="237" t="n">
        <f aca="false">IF(DH626=0,0,IF(DH626&lt;=12*'🎚️ Escenario'!$C$11,1,1+$C$6))</f>
        <v>1</v>
      </c>
      <c r="DI628" s="237" t="n">
        <f aca="false">IF(DI626=0,0,IF(DI626&lt;=12*'🎚️ Escenario'!$C$11,1,1+$C$6))</f>
        <v>1</v>
      </c>
      <c r="DJ628" s="237" t="n">
        <f aca="false">IF(DJ626=0,0,IF(DJ626&lt;=12*'🎚️ Escenario'!$C$11,1,1+$C$6))</f>
        <v>1</v>
      </c>
      <c r="DK628" s="237" t="n">
        <f aca="false">IF(DK626=0,0,IF(DK626&lt;=12*'🎚️ Escenario'!$C$11,1,1+$C$6))</f>
        <v>1</v>
      </c>
      <c r="DL628" s="237" t="n">
        <f aca="false">IF(DL626=0,0,IF(DL626&lt;=12*'🎚️ Escenario'!$C$11,1,1+$C$6))</f>
        <v>1</v>
      </c>
      <c r="DM628" s="237" t="n">
        <f aca="false">IF(DM626=0,0,IF(DM626&lt;=12*'🎚️ Escenario'!$C$11,1,1+$C$6))</f>
        <v>1</v>
      </c>
      <c r="DN628" s="237" t="n">
        <f aca="false">IF(DN626=0,0,IF(DN626&lt;=12*'🎚️ Escenario'!$C$11,1,1+$C$6))</f>
        <v>1</v>
      </c>
      <c r="DO628" s="237" t="n">
        <f aca="false">IF(DO626=0,0,IF(DO626&lt;=12*'🎚️ Escenario'!$C$11,1,1+$C$6))</f>
        <v>1</v>
      </c>
      <c r="DP628" s="237" t="n">
        <f aca="false">IF(DP626=0,0,IF(DP626&lt;=12*'🎚️ Escenario'!$C$11,1,1+$C$6))</f>
        <v>1</v>
      </c>
      <c r="DQ628" s="237" t="n">
        <f aca="false">IF(DQ626=0,0,IF(DQ626&lt;=12*'🎚️ Escenario'!$C$11,1,1+$C$6))</f>
        <v>1</v>
      </c>
      <c r="DR628" s="237" t="n">
        <f aca="false">IF(DR626=0,0,IF(DR626&lt;=12*'🎚️ Escenario'!$C$11,1,1+$C$6))</f>
        <v>1</v>
      </c>
      <c r="DS628" s="237" t="n">
        <f aca="false">IF(DS626=0,0,IF(DS626&lt;=12*'🎚️ Escenario'!$C$11,1,1+$C$6))</f>
        <v>1.2</v>
      </c>
      <c r="DT628" s="237" t="n">
        <f aca="false">IF(DT626=0,0,IF(DT626&lt;=12*'🎚️ Escenario'!$C$11,1,1+$C$6))</f>
        <v>1.2</v>
      </c>
      <c r="DU628" s="237" t="n">
        <f aca="false">IF(DU626=0,0,IF(DU626&lt;=12*'🎚️ Escenario'!$C$11,1,1+$C$6))</f>
        <v>1.2</v>
      </c>
      <c r="DV628" s="237" t="n">
        <f aca="false">IF(DV626=0,0,IF(DV626&lt;=12*'🎚️ Escenario'!$C$11,1,1+$C$6))</f>
        <v>1.2</v>
      </c>
      <c r="DW628" s="237" t="n">
        <f aca="false">IF(DW626=0,0,IF(DW626&lt;=12*'🎚️ Escenario'!$C$11,1,1+$C$6))</f>
        <v>1.2</v>
      </c>
      <c r="DX628" s="237" t="n">
        <f aca="false">IF(DX626=0,0,IF(DX626&lt;=12*'🎚️ Escenario'!$C$11,1,1+$C$6))</f>
        <v>1.2</v>
      </c>
      <c r="DY628" s="237" t="n">
        <f aca="false">IF(DY626=0,0,IF(DY626&lt;=12*'🎚️ Escenario'!$C$11,1,1+$C$6))</f>
        <v>1.2</v>
      </c>
      <c r="DZ628" s="237" t="n">
        <f aca="false">IF(DZ626=0,0,IF(DZ626&lt;=12*'🎚️ Escenario'!$C$11,1,1+$C$6))</f>
        <v>1.2</v>
      </c>
      <c r="EA628" s="237" t="n">
        <f aca="false">IF(EA626=0,0,IF(EA626&lt;=12*'🎚️ Escenario'!$C$11,1,1+$C$6))</f>
        <v>1.2</v>
      </c>
      <c r="EB628" s="237" t="n">
        <f aca="false">IF(EB626=0,0,IF(EB626&lt;=12*'🎚️ Escenario'!$C$11,1,1+$C$6))</f>
        <v>1.2</v>
      </c>
      <c r="EC628" s="237" t="n">
        <f aca="false">IF(EC626=0,0,IF(EC626&lt;=12*'🎚️ Escenario'!$C$11,1,1+$C$6))</f>
        <v>1.2</v>
      </c>
      <c r="ED628" s="237" t="n">
        <f aca="false">IF(ED626=0,0,IF(ED626&lt;=12*'🎚️ Escenario'!$C$11,1,1+$C$6))</f>
        <v>1.2</v>
      </c>
      <c r="EE628" s="237" t="n">
        <f aca="false">IF(EE626=0,0,IF(EE626&lt;=12*'🎚️ Escenario'!$C$11,1,1+$C$6))</f>
        <v>1.2</v>
      </c>
      <c r="EF628" s="237" t="n">
        <f aca="false">IF(EF626=0,0,IF(EF626&lt;=12*'🎚️ Escenario'!$C$11,1,1+$C$6))</f>
        <v>1.2</v>
      </c>
      <c r="EG628" s="237" t="n">
        <f aca="false">IF(EG626=0,0,IF(EG626&lt;=12*'🎚️ Escenario'!$C$11,1,1+$C$6))</f>
        <v>1.2</v>
      </c>
      <c r="EH628" s="237" t="n">
        <f aca="false">IF(EH626=0,0,IF(EH626&lt;=12*'🎚️ Escenario'!$C$11,1,1+$C$6))</f>
        <v>1.2</v>
      </c>
      <c r="EI628" s="237" t="n">
        <f aca="false">IF(EI626=0,0,IF(EI626&lt;=12*'🎚️ Escenario'!$C$11,1,1+$C$6))</f>
        <v>1.2</v>
      </c>
      <c r="EJ628" s="237" t="n">
        <f aca="false">IF(EJ626=0,0,IF(EJ626&lt;=12*'🎚️ Escenario'!$C$11,1,1+$C$6))</f>
        <v>1.2</v>
      </c>
      <c r="EK628" s="237" t="n">
        <f aca="false">IF(EK626=0,0,IF(EK626&lt;=12*'🎚️ Escenario'!$C$11,1,1+$C$6))</f>
        <v>1.2</v>
      </c>
      <c r="EL628" s="237" t="n">
        <f aca="false">IF(EL626=0,0,IF(EL626&lt;=12*'🎚️ Escenario'!$C$11,1,1+$C$6))</f>
        <v>1.2</v>
      </c>
      <c r="EM628" s="237" t="n">
        <f aca="false">IF(EM626=0,0,IF(EM626&lt;=12*'🎚️ Escenario'!$C$11,1,1+$C$6))</f>
        <v>1.2</v>
      </c>
      <c r="EN628" s="237" t="n">
        <f aca="false">IF(EN626=0,0,IF(EN626&lt;=12*'🎚️ Escenario'!$C$11,1,1+$C$6))</f>
        <v>1.2</v>
      </c>
      <c r="EO628" s="237" t="n">
        <f aca="false">IF(EO626=0,0,IF(EO626&lt;=12*'🎚️ Escenario'!$C$11,1,1+$C$6))</f>
        <v>1.2</v>
      </c>
      <c r="EP628" s="237" t="n">
        <f aca="false">IF(EP626=0,0,IF(EP626&lt;=12*'🎚️ Escenario'!$C$11,1,1+$C$6))</f>
        <v>1.2</v>
      </c>
      <c r="EQ628" s="237" t="n">
        <f aca="false">IF(EQ626=0,0,IF(EQ626&lt;=12*'🎚️ Escenario'!$C$11,1,1+$C$6))</f>
        <v>1.2</v>
      </c>
      <c r="ER628" s="237" t="n">
        <f aca="false">IF(ER626=0,0,IF(ER626&lt;=12*'🎚️ Escenario'!$C$11,1,1+$C$6))</f>
        <v>1.2</v>
      </c>
      <c r="ES628" s="238" t="n">
        <f aca="false">IF(ES626=0,0,IF(ES626&lt;=12*'🎚️ Escenario'!$C$11,1,1+$C$6))</f>
        <v>1.2</v>
      </c>
      <c r="ET628" s="238" t="n">
        <f aca="false">IF(ET626=0,0,IF(ET626&lt;=12*'🎚️ Escenario'!$C$11,1,1+$C$6))</f>
        <v>1.2</v>
      </c>
      <c r="EU628" s="238" t="n">
        <f aca="false">IF(EU626=0,0,IF(EU626&lt;=12*'🎚️ Escenario'!$C$11,1,1+$C$6))</f>
        <v>1.2</v>
      </c>
      <c r="EV628" s="238" t="n">
        <f aca="false">IF(EV626=0,0,IF(EV626&lt;=12*'🎚️ Escenario'!$C$11,1,1+$C$6))</f>
        <v>1.2</v>
      </c>
      <c r="EW628" s="238" t="n">
        <f aca="false">IF(EW626=0,0,IF(EW626&lt;=12*'🎚️ Escenario'!$C$11,1,1+$C$6))</f>
        <v>1.2</v>
      </c>
      <c r="EX628" s="238" t="n">
        <f aca="false">IF(EX626=0,0,IF(EX626&lt;=12*'🎚️ Escenario'!$C$11,1,1+$C$6))</f>
        <v>1.2</v>
      </c>
      <c r="EY628" s="238" t="n">
        <f aca="false">IF(EY626=0,0,IF(EY626&lt;=12*'🎚️ Escenario'!$C$11,1,1+$C$6))</f>
        <v>1.2</v>
      </c>
      <c r="EZ628" s="238" t="n">
        <f aca="false">IF(EZ626=0,0,IF(EZ626&lt;=12*'🎚️ Escenario'!$C$11,1,1+$C$6))</f>
        <v>1.2</v>
      </c>
      <c r="FA628" s="238" t="n">
        <f aca="false">IF(FA626=0,0,IF(FA626&lt;=12*'🎚️ Escenario'!$C$11,1,1+$C$6))</f>
        <v>1.2</v>
      </c>
      <c r="FB628" s="238" t="n">
        <f aca="false">IF(FB626=0,0,IF(FB626&lt;=12*'🎚️ Escenario'!$C$11,1,1+$C$6))</f>
        <v>1.2</v>
      </c>
      <c r="FC628" s="238" t="n">
        <f aca="false">IF(FC626=0,0,IF(FC626&lt;=12*'🎚️ Escenario'!$C$11,1,1+$C$6))</f>
        <v>1.2</v>
      </c>
      <c r="FD628" s="238" t="n">
        <f aca="false">IF(FD626=0,0,IF(FD626&lt;=12*'🎚️ Escenario'!$C$11,1,1+$C$6))</f>
        <v>1.2</v>
      </c>
      <c r="FE628" s="238" t="n">
        <f aca="false">IF(FE626=0,0,IF(FE626&lt;=12*'🎚️ Escenario'!$C$11,1,1+$C$6))</f>
        <v>1.2</v>
      </c>
      <c r="FF628" s="238" t="n">
        <f aca="false">IF(FF626=0,0,IF(FF626&lt;=12*'🎚️ Escenario'!$C$11,1,1+$C$6))</f>
        <v>1.2</v>
      </c>
      <c r="FG628" s="238" t="n">
        <f aca="false">IF(FG626=0,0,IF(FG626&lt;=12*'🎚️ Escenario'!$C$11,1,1+$C$6))</f>
        <v>1.2</v>
      </c>
      <c r="FH628" s="238" t="n">
        <f aca="false">IF(FH626=0,0,IF(FH626&lt;=12*'🎚️ Escenario'!$C$11,1,1+$C$6))</f>
        <v>1.2</v>
      </c>
      <c r="FI628" s="238" t="n">
        <f aca="false">IF(FI626=0,0,IF(FI626&lt;=12*'🎚️ Escenario'!$C$11,1,1+$C$6))</f>
        <v>1.2</v>
      </c>
      <c r="FJ628" s="238" t="n">
        <f aca="false">IF(FJ626=0,0,IF(FJ626&lt;=12*'🎚️ Escenario'!$C$11,1,1+$C$6))</f>
        <v>1.2</v>
      </c>
      <c r="FK628" s="238" t="n">
        <f aca="false">IF(FK626=0,0,IF(FK626&lt;=12*'🎚️ Escenario'!$C$11,1,1+$C$6))</f>
        <v>1.2</v>
      </c>
      <c r="FL628" s="238" t="n">
        <f aca="false">IF(FL626=0,0,IF(FL626&lt;=12*'🎚️ Escenario'!$C$11,1,1+$C$6))</f>
        <v>1.2</v>
      </c>
      <c r="FM628" s="238" t="n">
        <f aca="false">IF(FM626=0,0,IF(FM626&lt;=12*'🎚️ Escenario'!$C$11,1,1+$C$6))</f>
        <v>1.2</v>
      </c>
      <c r="FN628" s="238" t="n">
        <f aca="false">IF(FN626=0,0,IF(FN626&lt;=12*'🎚️ Escenario'!$C$11,1,1+$C$6))</f>
        <v>1.2</v>
      </c>
      <c r="FO628" s="238" t="n">
        <f aca="false">IF(FO626=0,0,IF(FO626&lt;=12*'🎚️ Escenario'!$C$11,1,1+$C$6))</f>
        <v>1.2</v>
      </c>
      <c r="FP628" s="238" t="n">
        <f aca="false">IF(FP626=0,0,IF(FP626&lt;=12*'🎚️ Escenario'!$C$11,1,1+$C$6))</f>
        <v>1.2</v>
      </c>
    </row>
    <row r="629" customFormat="false" ht="15" hidden="false" customHeight="false" outlineLevel="2" collapsed="false">
      <c r="B629" s="9" t="s">
        <v>876</v>
      </c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36" t="n">
        <f aca="false">AC627*$AC$625*AC628*AC$38*'⑫ Roll-out Plan'!$O$67</f>
        <v>0</v>
      </c>
      <c r="AD629" s="36" t="n">
        <f aca="false">AD627*$AC$625*AD628*AD$38*'⑫ Roll-out Plan'!$O$67</f>
        <v>0</v>
      </c>
      <c r="AE629" s="36" t="n">
        <f aca="false">AE627*$AC$625*AE628*AE$38*'⑫ Roll-out Plan'!$O$67</f>
        <v>0</v>
      </c>
      <c r="AF629" s="36" t="n">
        <f aca="false">AF627*$AC$625*AF628*AF$38*'⑫ Roll-out Plan'!$O$67</f>
        <v>0</v>
      </c>
      <c r="AG629" s="36" t="n">
        <f aca="false">AG627*$AC$625*AG628*AG$38*'⑫ Roll-out Plan'!$O$67</f>
        <v>0</v>
      </c>
      <c r="AH629" s="36" t="n">
        <f aca="false">AH627*$AC$625*AH628*AH$38*'⑫ Roll-out Plan'!$O$67</f>
        <v>0</v>
      </c>
      <c r="AI629" s="36" t="n">
        <f aca="false">AI627*$AC$625*AI628*AI$38*'⑫ Roll-out Plan'!$O$67</f>
        <v>0</v>
      </c>
      <c r="AJ629" s="36" t="n">
        <f aca="false">AJ627*$AC$625*AJ628*AJ$38*'⑫ Roll-out Plan'!$O$67</f>
        <v>0</v>
      </c>
      <c r="AK629" s="36" t="n">
        <f aca="false">AK627*$AC$625*AK628*AK$38*'⑫ Roll-out Plan'!$O$67</f>
        <v>0</v>
      </c>
      <c r="AL629" s="36" t="n">
        <f aca="false">AL627*$AC$625*AL628*AL$38*'⑫ Roll-out Plan'!$O$67</f>
        <v>0</v>
      </c>
      <c r="AM629" s="36" t="n">
        <f aca="false">AM627*$AC$625*AM628*AM$38*'⑫ Roll-out Plan'!$O$67</f>
        <v>0</v>
      </c>
      <c r="AN629" s="36" t="n">
        <f aca="false">AN627*$AC$625*AN628*AN$38*'⑫ Roll-out Plan'!$O$67</f>
        <v>0</v>
      </c>
      <c r="AO629" s="36" t="n">
        <f aca="false">AO627*$AC$625*AO628*AO$38*'⑫ Roll-out Plan'!$O$67</f>
        <v>0</v>
      </c>
      <c r="AP629" s="36" t="n">
        <f aca="false">AP627*$AC$625*AP628*AP$38*'⑫ Roll-out Plan'!$O$67</f>
        <v>0</v>
      </c>
      <c r="AQ629" s="36" t="n">
        <f aca="false">AQ627*$AC$625*AQ628*AQ$38*'⑫ Roll-out Plan'!$O$67</f>
        <v>0</v>
      </c>
      <c r="AR629" s="36" t="n">
        <f aca="false">AR627*$AC$625*AR628*AR$38*'⑫ Roll-out Plan'!$O$67</f>
        <v>0</v>
      </c>
      <c r="AS629" s="36" t="n">
        <f aca="false">AS627*$AC$625*AS628*AS$38*'⑫ Roll-out Plan'!$O$67</f>
        <v>0</v>
      </c>
      <c r="AT629" s="36" t="n">
        <f aca="false">AT627*$AC$625*AT628*AT$38*'⑫ Roll-out Plan'!$O$67</f>
        <v>0</v>
      </c>
      <c r="AU629" s="36" t="n">
        <f aca="false">AU627*$AC$625*AU628*AU$38*'⑫ Roll-out Plan'!$O$67</f>
        <v>0</v>
      </c>
      <c r="AV629" s="36" t="n">
        <f aca="false">AV627*$AC$625*AV628*AV$38*'⑫ Roll-out Plan'!$O$67</f>
        <v>0</v>
      </c>
      <c r="AW629" s="36" t="n">
        <f aca="false">AW627*$AC$625*AW628*AW$38*'⑫ Roll-out Plan'!$O$67</f>
        <v>0</v>
      </c>
      <c r="AX629" s="36" t="n">
        <f aca="false">AX627*$AC$625*AX628*AX$38*'⑫ Roll-out Plan'!$O$67</f>
        <v>0</v>
      </c>
      <c r="AY629" s="36" t="n">
        <f aca="false">AY627*$AC$625*AY628*AY$38*'⑫ Roll-out Plan'!$O$67</f>
        <v>0</v>
      </c>
      <c r="AZ629" s="36" t="n">
        <f aca="false">AZ627*$AC$625*AZ628*AZ$38*'⑫ Roll-out Plan'!$O$67</f>
        <v>0</v>
      </c>
      <c r="BA629" s="36" t="n">
        <f aca="false">BA627*$AC$625*BA628*BA$38*'⑫ Roll-out Plan'!$O$67</f>
        <v>0</v>
      </c>
      <c r="BB629" s="36" t="n">
        <f aca="false">BB627*$AC$625*BB628*BB$38*'⑫ Roll-out Plan'!$O$67</f>
        <v>0</v>
      </c>
      <c r="BC629" s="36" t="n">
        <f aca="false">BC627*$AC$625*BC628*BC$38*'⑫ Roll-out Plan'!$O$67</f>
        <v>0</v>
      </c>
      <c r="BD629" s="36" t="n">
        <f aca="false">BD627*$AC$625*BD628*BD$38*'⑫ Roll-out Plan'!$O$67</f>
        <v>0</v>
      </c>
      <c r="BE629" s="36" t="n">
        <f aca="false">BE627*$AC$625*BE628*BE$38*'⑫ Roll-out Plan'!$O$67</f>
        <v>0</v>
      </c>
      <c r="BF629" s="36" t="n">
        <f aca="false">BF627*$AC$625*BF628*BF$38*'⑫ Roll-out Plan'!$O$67</f>
        <v>0</v>
      </c>
      <c r="BG629" s="36" t="n">
        <f aca="false">BG627*$AC$625*BG628*BG$38*'⑫ Roll-out Plan'!$O$67</f>
        <v>0</v>
      </c>
      <c r="BH629" s="36" t="n">
        <f aca="false">BH627*$AC$625*BH628*BH$38*'⑫ Roll-out Plan'!$O$67</f>
        <v>0</v>
      </c>
      <c r="BI629" s="36" t="n">
        <f aca="false">BI627*$AC$625*BI628*BI$38*'⑫ Roll-out Plan'!$O$67</f>
        <v>0</v>
      </c>
      <c r="BJ629" s="36" t="n">
        <f aca="false">BJ627*$AC$625*BJ628*BJ$38*'⑫ Roll-out Plan'!$O$67</f>
        <v>0</v>
      </c>
      <c r="BK629" s="36" t="n">
        <f aca="false">BK627*$AC$625*BK628*BK$38*'⑫ Roll-out Plan'!$O$67</f>
        <v>0</v>
      </c>
      <c r="BL629" s="36" t="n">
        <f aca="false">BL627*$AC$625*BL628*BL$38*'⑫ Roll-out Plan'!$O$67</f>
        <v>0</v>
      </c>
      <c r="BM629" s="36" t="n">
        <f aca="false">BM627*$AC$625*BM628*BM$38*'⑫ Roll-out Plan'!$O$67</f>
        <v>0</v>
      </c>
      <c r="BN629" s="36" t="n">
        <f aca="false">BN627*$AC$625*BN628*BN$38*'⑫ Roll-out Plan'!$O$67</f>
        <v>0</v>
      </c>
      <c r="BO629" s="36" t="n">
        <f aca="false">BO627*$AC$625*BO628*BO$38*'⑫ Roll-out Plan'!$O$67</f>
        <v>0</v>
      </c>
      <c r="BP629" s="36" t="n">
        <f aca="false">BP627*$AC$625*BP628*BP$38*'⑫ Roll-out Plan'!$O$67</f>
        <v>0</v>
      </c>
      <c r="BQ629" s="36" t="n">
        <f aca="false">BQ627*$AC$625*BQ628*BQ$38*'⑫ Roll-out Plan'!$O$67</f>
        <v>0</v>
      </c>
      <c r="BR629" s="36" t="n">
        <f aca="false">BR627*$AC$625*BR628*BR$38*'⑫ Roll-out Plan'!$O$67</f>
        <v>0</v>
      </c>
      <c r="BS629" s="36" t="n">
        <f aca="false">BS627*$AC$625*BS628*BS$38*'⑫ Roll-out Plan'!$O$67</f>
        <v>0</v>
      </c>
      <c r="BT629" s="36" t="n">
        <f aca="false">BT627*$AC$625*BT628*BT$38*'⑫ Roll-out Plan'!$O$67</f>
        <v>0</v>
      </c>
      <c r="BU629" s="36" t="n">
        <f aca="false">BU627*$AC$625*BU628*BU$38*'⑫ Roll-out Plan'!$O$67</f>
        <v>0</v>
      </c>
      <c r="BV629" s="36" t="n">
        <f aca="false">BV627*$AC$625*BV628*BV$38*'⑫ Roll-out Plan'!$O$67</f>
        <v>0</v>
      </c>
      <c r="BW629" s="36" t="n">
        <f aca="false">BW627*$AC$625*BW628*BW$38*'⑫ Roll-out Plan'!$O$67</f>
        <v>0</v>
      </c>
      <c r="BX629" s="36" t="n">
        <f aca="false">BX627*$AC$625*BX628*BX$38*'⑫ Roll-out Plan'!$O$67</f>
        <v>0</v>
      </c>
      <c r="BY629" s="36" t="n">
        <f aca="false">BY627*$AC$625*BY628*BY$38*'⑫ Roll-out Plan'!$O$67</f>
        <v>0</v>
      </c>
      <c r="BZ629" s="36" t="n">
        <f aca="false">BZ627*$AC$625*BZ628*BZ$38*'⑫ Roll-out Plan'!$O$67</f>
        <v>0</v>
      </c>
      <c r="CA629" s="36" t="n">
        <f aca="false">CA627*$AC$625*CA628*CA$38*'⑫ Roll-out Plan'!$O$67</f>
        <v>0</v>
      </c>
      <c r="CB629" s="36" t="n">
        <f aca="false">CB627*$AC$625*CB628*CB$38*'⑫ Roll-out Plan'!$O$67</f>
        <v>0</v>
      </c>
      <c r="CC629" s="36" t="n">
        <f aca="false">CC627*$AC$625*CC628*CC$38*'⑫ Roll-out Plan'!$O$67</f>
        <v>0</v>
      </c>
      <c r="CD629" s="36" t="n">
        <f aca="false">CD627*$AC$625*CD628*CD$38*'⑫ Roll-out Plan'!$O$67</f>
        <v>0</v>
      </c>
      <c r="CE629" s="36" t="n">
        <f aca="false">CE627*$AC$625*CE628*CE$38*'⑫ Roll-out Plan'!$O$67</f>
        <v>0</v>
      </c>
      <c r="CF629" s="36" t="n">
        <f aca="false">CF627*$AC$625*CF628*CF$38*'⑫ Roll-out Plan'!$O$67</f>
        <v>0</v>
      </c>
      <c r="CG629" s="36" t="n">
        <f aca="false">CG627*$AC$625*CG628*CG$38*'⑫ Roll-out Plan'!$O$67</f>
        <v>0</v>
      </c>
      <c r="CH629" s="36" t="n">
        <f aca="false">CH627*$AC$625*CH628*CH$38*'⑫ Roll-out Plan'!$O$67</f>
        <v>0</v>
      </c>
      <c r="CI629" s="36" t="n">
        <f aca="false">CI627*$AC$625*CI628*CI$38*'⑫ Roll-out Plan'!$O$67</f>
        <v>0</v>
      </c>
      <c r="CJ629" s="36" t="n">
        <f aca="false">CJ627*$AC$625*CJ628*CJ$38*'⑫ Roll-out Plan'!$O$67</f>
        <v>0</v>
      </c>
      <c r="CK629" s="36" t="n">
        <f aca="false">CK627*$AC$625*CK628*CK$38*'⑫ Roll-out Plan'!$O$67</f>
        <v>0</v>
      </c>
      <c r="CL629" s="36" t="n">
        <f aca="false">CL627*$AC$625*CL628*CL$38*'⑫ Roll-out Plan'!$O$67</f>
        <v>0</v>
      </c>
      <c r="CM629" s="36" t="n">
        <f aca="false">CM627*$AC$625*CM628*CM$38*'⑫ Roll-out Plan'!$O$67</f>
        <v>0</v>
      </c>
      <c r="CN629" s="36" t="n">
        <f aca="false">CN627*$AC$625*CN628*CN$38*'⑫ Roll-out Plan'!$O$67</f>
        <v>0</v>
      </c>
      <c r="CO629" s="36" t="n">
        <f aca="false">CO627*$AC$625*CO628*CO$38*'⑫ Roll-out Plan'!$O$67</f>
        <v>0</v>
      </c>
      <c r="CP629" s="36" t="n">
        <f aca="false">CP627*$AC$625*CP628*CP$38*'⑫ Roll-out Plan'!$O$67</f>
        <v>0</v>
      </c>
      <c r="CQ629" s="36" t="n">
        <f aca="false">CQ627*$AC$625*CQ628*CQ$38*'⑫ Roll-out Plan'!$O$67</f>
        <v>0</v>
      </c>
      <c r="CR629" s="36" t="n">
        <f aca="false">CR627*$AC$625*CR628*CR$38*'⑫ Roll-out Plan'!$O$67</f>
        <v>0</v>
      </c>
      <c r="CS629" s="36" t="n">
        <f aca="false">CS627*$AC$625*CS628*CS$38*'⑫ Roll-out Plan'!$O$67</f>
        <v>0</v>
      </c>
      <c r="CT629" s="36" t="n">
        <f aca="false">CT627*$AC$625*CT628*CT$38*'⑫ Roll-out Plan'!$O$67</f>
        <v>0</v>
      </c>
      <c r="CU629" s="36" t="n">
        <f aca="false">CU627*$AC$625*CU628*CU$38*'⑫ Roll-out Plan'!$O$67</f>
        <v>0</v>
      </c>
      <c r="CV629" s="36" t="n">
        <f aca="false">CV627*$AC$625*CV628*CV$38*'⑫ Roll-out Plan'!$O$67</f>
        <v>0</v>
      </c>
      <c r="CW629" s="36" t="n">
        <f aca="false">CW627*$AC$625*CW628*CW$38*'⑫ Roll-out Plan'!$O$67</f>
        <v>0</v>
      </c>
      <c r="CX629" s="36" t="n">
        <f aca="false">CX627*$AC$625*CX628*CX$38*'⑫ Roll-out Plan'!$O$67</f>
        <v>0</v>
      </c>
      <c r="CY629" s="36" t="n">
        <f aca="false">CY627*$AC$625*CY628*CY$38*'⑫ Roll-out Plan'!$O$67</f>
        <v>0</v>
      </c>
      <c r="CZ629" s="36" t="n">
        <f aca="false">CZ627*$AC$625*CZ628*CZ$38*'⑫ Roll-out Plan'!$O$67</f>
        <v>0</v>
      </c>
      <c r="DA629" s="36" t="n">
        <f aca="false">DA627*$AC$625*DA628*DA$38*'⑫ Roll-out Plan'!$O$67</f>
        <v>0</v>
      </c>
      <c r="DB629" s="36" t="n">
        <f aca="false">DB627*$AC$625*DB628*DB$38*'⑫ Roll-out Plan'!$O$67</f>
        <v>0</v>
      </c>
      <c r="DC629" s="36" t="n">
        <f aca="false">DC627*$AC$625*DC628*DC$38*'⑫ Roll-out Plan'!$O$67</f>
        <v>0</v>
      </c>
      <c r="DD629" s="36" t="n">
        <f aca="false">DD627*$AC$625*DD628*DD$38*'⑫ Roll-out Plan'!$O$67</f>
        <v>0</v>
      </c>
      <c r="DE629" s="36" t="n">
        <f aca="false">DE627*$AC$625*DE628*DE$38*'⑫ Roll-out Plan'!$O$67</f>
        <v>0</v>
      </c>
      <c r="DF629" s="36" t="n">
        <f aca="false">DF627*$AC$625*DF628*DF$38*'⑫ Roll-out Plan'!$O$67</f>
        <v>0</v>
      </c>
      <c r="DG629" s="36" t="n">
        <f aca="false">DG627*$AC$625*DG628*DG$38*'⑫ Roll-out Plan'!$O$67</f>
        <v>0</v>
      </c>
      <c r="DH629" s="36" t="n">
        <f aca="false">DH627*$AC$625*DH628*DH$38*'⑫ Roll-out Plan'!$O$67</f>
        <v>0</v>
      </c>
      <c r="DI629" s="36" t="n">
        <f aca="false">DI627*$AC$625*DI628*DI$38*'⑫ Roll-out Plan'!$O$67</f>
        <v>0</v>
      </c>
      <c r="DJ629" s="36" t="n">
        <f aca="false">DJ627*$AC$625*DJ628*DJ$38*'⑫ Roll-out Plan'!$O$67</f>
        <v>0</v>
      </c>
      <c r="DK629" s="36" t="n">
        <f aca="false">DK627*$AC$625*DK628*DK$38*'⑫ Roll-out Plan'!$O$67</f>
        <v>0</v>
      </c>
      <c r="DL629" s="36" t="n">
        <f aca="false">DL627*$AC$625*DL628*DL$38*'⑫ Roll-out Plan'!$O$67</f>
        <v>0</v>
      </c>
      <c r="DM629" s="36" t="n">
        <f aca="false">DM627*$AC$625*DM628*DM$38*'⑫ Roll-out Plan'!$O$67</f>
        <v>0</v>
      </c>
      <c r="DN629" s="36" t="n">
        <f aca="false">DN627*$AC$625*DN628*DN$38*'⑫ Roll-out Plan'!$O$67</f>
        <v>0</v>
      </c>
      <c r="DO629" s="36" t="n">
        <f aca="false">DO627*$AC$625*DO628*DO$38*'⑫ Roll-out Plan'!$O$67</f>
        <v>0</v>
      </c>
      <c r="DP629" s="36" t="n">
        <f aca="false">DP627*$AC$625*DP628*DP$38*'⑫ Roll-out Plan'!$O$67</f>
        <v>0</v>
      </c>
      <c r="DQ629" s="36" t="n">
        <f aca="false">DQ627*$AC$625*DQ628*DQ$38*'⑫ Roll-out Plan'!$O$67</f>
        <v>0</v>
      </c>
      <c r="DR629" s="36" t="n">
        <f aca="false">DR627*$AC$625*DR628*DR$38*'⑫ Roll-out Plan'!$O$67</f>
        <v>0</v>
      </c>
      <c r="DS629" s="36" t="n">
        <f aca="false">DS627*$AC$625*DS628*DS$38*'⑫ Roll-out Plan'!$O$67</f>
        <v>0</v>
      </c>
      <c r="DT629" s="36" t="n">
        <f aca="false">DT627*$AC$625*DT628*DT$38*'⑫ Roll-out Plan'!$O$67</f>
        <v>0</v>
      </c>
      <c r="DU629" s="36" t="n">
        <f aca="false">DU627*$AC$625*DU628*DU$38*'⑫ Roll-out Plan'!$O$67</f>
        <v>0</v>
      </c>
      <c r="DV629" s="36" t="n">
        <f aca="false">DV627*$AC$625*DV628*DV$38*'⑫ Roll-out Plan'!$O$67</f>
        <v>0</v>
      </c>
      <c r="DW629" s="36" t="n">
        <f aca="false">DW627*$AC$625*DW628*DW$38*'⑫ Roll-out Plan'!$O$67</f>
        <v>0</v>
      </c>
      <c r="DX629" s="36" t="n">
        <f aca="false">DX627*$AC$625*DX628*DX$38*'⑫ Roll-out Plan'!$O$67</f>
        <v>0</v>
      </c>
      <c r="DY629" s="36" t="n">
        <f aca="false">DY627*$AC$625*DY628*DY$38*'⑫ Roll-out Plan'!$O$67</f>
        <v>0</v>
      </c>
      <c r="DZ629" s="36" t="n">
        <f aca="false">DZ627*$AC$625*DZ628*DZ$38*'⑫ Roll-out Plan'!$O$67</f>
        <v>0</v>
      </c>
      <c r="EA629" s="36" t="n">
        <f aca="false">EA627*$AC$625*EA628*EA$38*'⑫ Roll-out Plan'!$O$67</f>
        <v>0</v>
      </c>
      <c r="EB629" s="36" t="n">
        <f aca="false">EB627*$AC$625*EB628*EB$38*'⑫ Roll-out Plan'!$O$67</f>
        <v>0</v>
      </c>
      <c r="EC629" s="36" t="n">
        <f aca="false">EC627*$AC$625*EC628*EC$38*'⑫ Roll-out Plan'!$O$67</f>
        <v>0</v>
      </c>
      <c r="ED629" s="36" t="n">
        <f aca="false">ED627*$AC$625*ED628*ED$38*'⑫ Roll-out Plan'!$O$67</f>
        <v>0</v>
      </c>
      <c r="EE629" s="36" t="n">
        <f aca="false">EE627*$AC$625*EE628*EE$38*'⑫ Roll-out Plan'!$O$67</f>
        <v>0</v>
      </c>
      <c r="EF629" s="36" t="n">
        <f aca="false">EF627*$AC$625*EF628*EF$38*'⑫ Roll-out Plan'!$O$67</f>
        <v>0</v>
      </c>
      <c r="EG629" s="36" t="n">
        <f aca="false">EG627*$AC$625*EG628*EG$38*'⑫ Roll-out Plan'!$O$67</f>
        <v>0</v>
      </c>
      <c r="EH629" s="36" t="n">
        <f aca="false">EH627*$AC$625*EH628*EH$38*'⑫ Roll-out Plan'!$O$67</f>
        <v>0</v>
      </c>
      <c r="EI629" s="36" t="n">
        <f aca="false">EI627*$AC$625*EI628*EI$38*'⑫ Roll-out Plan'!$O$67</f>
        <v>0</v>
      </c>
      <c r="EJ629" s="36" t="n">
        <f aca="false">EJ627*$AC$625*EJ628*EJ$38*'⑫ Roll-out Plan'!$O$67</f>
        <v>0</v>
      </c>
      <c r="EK629" s="36" t="n">
        <f aca="false">EK627*$AC$625*EK628*EK$38*'⑫ Roll-out Plan'!$O$67</f>
        <v>0</v>
      </c>
      <c r="EL629" s="36" t="n">
        <f aca="false">EL627*$AC$625*EL628*EL$38*'⑫ Roll-out Plan'!$O$67</f>
        <v>0</v>
      </c>
      <c r="EM629" s="36" t="n">
        <f aca="false">EM627*$AC$625*EM628*EM$38*'⑫ Roll-out Plan'!$O$67</f>
        <v>0</v>
      </c>
      <c r="EN629" s="36" t="n">
        <f aca="false">EN627*$AC$625*EN628*EN$38*'⑫ Roll-out Plan'!$O$67</f>
        <v>0</v>
      </c>
      <c r="EO629" s="36" t="n">
        <f aca="false">EO627*$AC$625*EO628*EO$38*'⑫ Roll-out Plan'!$O$67</f>
        <v>0</v>
      </c>
      <c r="EP629" s="36" t="n">
        <f aca="false">EP627*$AC$625*EP628*EP$38*'⑫ Roll-out Plan'!$O$67</f>
        <v>0</v>
      </c>
      <c r="EQ629" s="36" t="n">
        <f aca="false">EQ627*$AC$625*EQ628*EQ$38*'⑫ Roll-out Plan'!$O$67</f>
        <v>0</v>
      </c>
      <c r="ER629" s="36" t="n">
        <f aca="false">ER627*$AC$625*ER628*ER$38*'⑫ Roll-out Plan'!$O$67</f>
        <v>0</v>
      </c>
      <c r="ES629" s="9" t="n">
        <f aca="false">ES627*$AC$625*ES628*ES$38*'⑫ Roll-out Plan'!$O$67</f>
        <v>0</v>
      </c>
      <c r="ET629" s="9" t="n">
        <f aca="false">ET627*$AC$625*ET628*ET$38*'⑫ Roll-out Plan'!$O$67</f>
        <v>0</v>
      </c>
      <c r="EU629" s="9" t="n">
        <f aca="false">EU627*$AC$625*EU628*EU$38*'⑫ Roll-out Plan'!$O$67</f>
        <v>0</v>
      </c>
      <c r="EV629" s="9" t="n">
        <f aca="false">EV627*$AC$625*EV628*EV$38*'⑫ Roll-out Plan'!$O$67</f>
        <v>0</v>
      </c>
      <c r="EW629" s="9" t="n">
        <f aca="false">EW627*$AC$625*EW628*EW$38*'⑫ Roll-out Plan'!$O$67</f>
        <v>0</v>
      </c>
      <c r="EX629" s="9" t="n">
        <f aca="false">EX627*$AC$625*EX628*EX$38*'⑫ Roll-out Plan'!$O$67</f>
        <v>0</v>
      </c>
      <c r="EY629" s="9" t="n">
        <f aca="false">EY627*$AC$625*EY628*EY$38*'⑫ Roll-out Plan'!$O$67</f>
        <v>0</v>
      </c>
      <c r="EZ629" s="9" t="n">
        <f aca="false">EZ627*$AC$625*EZ628*EZ$38*'⑫ Roll-out Plan'!$O$67</f>
        <v>0</v>
      </c>
      <c r="FA629" s="9" t="n">
        <f aca="false">FA627*$AC$625*FA628*FA$38*'⑫ Roll-out Plan'!$O$67</f>
        <v>0</v>
      </c>
      <c r="FB629" s="9" t="n">
        <f aca="false">FB627*$AC$625*FB628*FB$38*'⑫ Roll-out Plan'!$O$67</f>
        <v>0</v>
      </c>
      <c r="FC629" s="9" t="n">
        <f aca="false">FC627*$AC$625*FC628*FC$38*'⑫ Roll-out Plan'!$O$67</f>
        <v>0</v>
      </c>
      <c r="FD629" s="9" t="n">
        <f aca="false">FD627*$AC$625*FD628*FD$38*'⑫ Roll-out Plan'!$O$67</f>
        <v>0</v>
      </c>
      <c r="FE629" s="9" t="n">
        <f aca="false">FE627*$AC$625*FE628*FE$38*'⑫ Roll-out Plan'!$O$67</f>
        <v>0</v>
      </c>
      <c r="FF629" s="9" t="n">
        <f aca="false">FF627*$AC$625*FF628*FF$38*'⑫ Roll-out Plan'!$O$67</f>
        <v>0</v>
      </c>
      <c r="FG629" s="9" t="n">
        <f aca="false">FG627*$AC$625*FG628*FG$38*'⑫ Roll-out Plan'!$O$67</f>
        <v>0</v>
      </c>
      <c r="FH629" s="9" t="n">
        <f aca="false">FH627*$AC$625*FH628*FH$38*'⑫ Roll-out Plan'!$O$67</f>
        <v>0</v>
      </c>
      <c r="FI629" s="9" t="n">
        <f aca="false">FI627*$AC$625*FI628*FI$38*'⑫ Roll-out Plan'!$O$67</f>
        <v>0</v>
      </c>
      <c r="FJ629" s="9" t="n">
        <f aca="false">FJ627*$AC$625*FJ628*FJ$38*'⑫ Roll-out Plan'!$O$67</f>
        <v>0</v>
      </c>
      <c r="FK629" s="9" t="n">
        <f aca="false">FK627*$AC$625*FK628*FK$38*'⑫ Roll-out Plan'!$O$67</f>
        <v>0</v>
      </c>
      <c r="FL629" s="9" t="n">
        <f aca="false">FL627*$AC$625*FL628*FL$38*'⑫ Roll-out Plan'!$O$67</f>
        <v>0</v>
      </c>
      <c r="FM629" s="9" t="n">
        <f aca="false">FM627*$AC$625*FM628*FM$38*'⑫ Roll-out Plan'!$O$67</f>
        <v>0</v>
      </c>
      <c r="FN629" s="9" t="n">
        <f aca="false">FN627*$AC$625*FN628*FN$38*'⑫ Roll-out Plan'!$O$67</f>
        <v>0</v>
      </c>
      <c r="FO629" s="9" t="n">
        <f aca="false">FO627*$AC$625*FO628*FO$38*'⑫ Roll-out Plan'!$O$67</f>
        <v>0</v>
      </c>
      <c r="FP629" s="9" t="n">
        <f aca="false">FP627*$AC$625*FP628*FP$38*'⑫ Roll-out Plan'!$O$67</f>
        <v>0</v>
      </c>
    </row>
    <row r="630" customFormat="false" ht="15" hidden="false" customHeight="false" outlineLevel="2" collapsed="false">
      <c r="B630" s="9" t="s">
        <v>877</v>
      </c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112" t="n">
        <f aca="true">IFERROR(SUMPRODUCT(OFFSET($BJ$31,0,1-MIN(60,COLUMN()-29),1,MIN(60,COLUMN()-29)),OFFSET(AC629,0,-MIN(60,COLUMN()-29),1,MIN(60,COLUMN()-29))),0)</f>
        <v>0</v>
      </c>
      <c r="AD630" s="112" t="n">
        <f aca="true">IFERROR(SUMPRODUCT(OFFSET($BJ$31,0,1-MIN(60,COLUMN()-29),1,MIN(60,COLUMN()-29)),OFFSET(AD629,0,-MIN(60,COLUMN()-29),1,MIN(60,COLUMN()-29))),0)</f>
        <v>0</v>
      </c>
      <c r="AE630" s="112" t="n">
        <f aca="true">IFERROR(SUMPRODUCT(OFFSET($BJ$31,0,1-MIN(60,COLUMN()-29),1,MIN(60,COLUMN()-29)),OFFSET(AE629,0,-MIN(60,COLUMN()-29),1,MIN(60,COLUMN()-29))),0)</f>
        <v>0</v>
      </c>
      <c r="AF630" s="112" t="n">
        <f aca="true">IFERROR(SUMPRODUCT(OFFSET($BJ$31,0,1-MIN(60,COLUMN()-29),1,MIN(60,COLUMN()-29)),OFFSET(AF629,0,-MIN(60,COLUMN()-29),1,MIN(60,COLUMN()-29))),0)</f>
        <v>0</v>
      </c>
      <c r="AG630" s="112" t="n">
        <f aca="true">IFERROR(SUMPRODUCT(OFFSET($BJ$31,0,1-MIN(60,COLUMN()-29),1,MIN(60,COLUMN()-29)),OFFSET(AG629,0,-MIN(60,COLUMN()-29),1,MIN(60,COLUMN()-29))),0)</f>
        <v>0</v>
      </c>
      <c r="AH630" s="112" t="n">
        <f aca="true">IFERROR(SUMPRODUCT(OFFSET($BJ$31,0,1-MIN(60,COLUMN()-29),1,MIN(60,COLUMN()-29)),OFFSET(AH629,0,-MIN(60,COLUMN()-29),1,MIN(60,COLUMN()-29))),0)</f>
        <v>0</v>
      </c>
      <c r="AI630" s="112" t="n">
        <f aca="true">IFERROR(SUMPRODUCT(OFFSET($BJ$31,0,1-MIN(60,COLUMN()-29),1,MIN(60,COLUMN()-29)),OFFSET(AI629,0,-MIN(60,COLUMN()-29),1,MIN(60,COLUMN()-29))),0)</f>
        <v>0</v>
      </c>
      <c r="AJ630" s="112" t="n">
        <f aca="true">IFERROR(SUMPRODUCT(OFFSET($BJ$31,0,1-MIN(60,COLUMN()-29),1,MIN(60,COLUMN()-29)),OFFSET(AJ629,0,-MIN(60,COLUMN()-29),1,MIN(60,COLUMN()-29))),0)</f>
        <v>0</v>
      </c>
      <c r="AK630" s="112" t="n">
        <f aca="true">IFERROR(SUMPRODUCT(OFFSET($BJ$31,0,1-MIN(60,COLUMN()-29),1,MIN(60,COLUMN()-29)),OFFSET(AK629,0,-MIN(60,COLUMN()-29),1,MIN(60,COLUMN()-29))),0)</f>
        <v>0</v>
      </c>
      <c r="AL630" s="112" t="n">
        <f aca="true">IFERROR(SUMPRODUCT(OFFSET($BJ$31,0,1-MIN(60,COLUMN()-29),1,MIN(60,COLUMN()-29)),OFFSET(AL629,0,-MIN(60,COLUMN()-29),1,MIN(60,COLUMN()-29))),0)</f>
        <v>0</v>
      </c>
      <c r="AM630" s="112" t="n">
        <f aca="true">IFERROR(SUMPRODUCT(OFFSET($BJ$31,0,1-MIN(60,COLUMN()-29),1,MIN(60,COLUMN()-29)),OFFSET(AM629,0,-MIN(60,COLUMN()-29),1,MIN(60,COLUMN()-29))),0)</f>
        <v>0</v>
      </c>
      <c r="AN630" s="239" t="n">
        <f aca="true">IFERROR(SUMPRODUCT(OFFSET($BJ$31,0,1-MIN(60,COLUMN()-29),1,MIN(60,COLUMN()-29)),OFFSET(AN629,0,-MIN(60,COLUMN()-29),1,MIN(60,COLUMN()-29))),0)</f>
        <v>0</v>
      </c>
      <c r="AO630" s="112" t="n">
        <f aca="true">IFERROR(SUMPRODUCT(OFFSET($BJ$31,0,1-MIN(60,COLUMN()-29),1,MIN(60,COLUMN()-29)),OFFSET(AO629,0,-MIN(60,COLUMN()-29),1,MIN(60,COLUMN()-29))),0)</f>
        <v>0</v>
      </c>
      <c r="AP630" s="112" t="n">
        <f aca="true">IFERROR(SUMPRODUCT(OFFSET($BJ$31,0,1-MIN(60,COLUMN()-29),1,MIN(60,COLUMN()-29)),OFFSET(AP629,0,-MIN(60,COLUMN()-29),1,MIN(60,COLUMN()-29))),0)</f>
        <v>0</v>
      </c>
      <c r="AQ630" s="112" t="n">
        <f aca="true">IFERROR(SUMPRODUCT(OFFSET($BJ$31,0,1-MIN(60,COLUMN()-29),1,MIN(60,COLUMN()-29)),OFFSET(AQ629,0,-MIN(60,COLUMN()-29),1,MIN(60,COLUMN()-29))),0)</f>
        <v>0</v>
      </c>
      <c r="AR630" s="112" t="n">
        <f aca="true">IFERROR(SUMPRODUCT(OFFSET($BJ$31,0,1-MIN(60,COLUMN()-29),1,MIN(60,COLUMN()-29)),OFFSET(AR629,0,-MIN(60,COLUMN()-29),1,MIN(60,COLUMN()-29))),0)</f>
        <v>0</v>
      </c>
      <c r="AS630" s="112" t="n">
        <f aca="true">IFERROR(SUMPRODUCT(OFFSET($BJ$31,0,1-MIN(60,COLUMN()-29),1,MIN(60,COLUMN()-29)),OFFSET(AS629,0,-MIN(60,COLUMN()-29),1,MIN(60,COLUMN()-29))),0)</f>
        <v>0</v>
      </c>
      <c r="AT630" s="112" t="n">
        <f aca="true">IFERROR(SUMPRODUCT(OFFSET($BJ$31,0,1-MIN(60,COLUMN()-29),1,MIN(60,COLUMN()-29)),OFFSET(AT629,0,-MIN(60,COLUMN()-29),1,MIN(60,COLUMN()-29))),0)</f>
        <v>0</v>
      </c>
      <c r="AU630" s="112" t="n">
        <f aca="true">IFERROR(SUMPRODUCT(OFFSET($BJ$31,0,1-MIN(60,COLUMN()-29),1,MIN(60,COLUMN()-29)),OFFSET(AU629,0,-MIN(60,COLUMN()-29),1,MIN(60,COLUMN()-29))),0)</f>
        <v>0</v>
      </c>
      <c r="AV630" s="112" t="n">
        <f aca="true">IFERROR(SUMPRODUCT(OFFSET($BJ$31,0,1-MIN(60,COLUMN()-29),1,MIN(60,COLUMN()-29)),OFFSET(AV629,0,-MIN(60,COLUMN()-29),1,MIN(60,COLUMN()-29))),0)</f>
        <v>0</v>
      </c>
      <c r="AW630" s="112" t="n">
        <f aca="true">IFERROR(SUMPRODUCT(OFFSET($BJ$31,0,1-MIN(60,COLUMN()-29),1,MIN(60,COLUMN()-29)),OFFSET(AW629,0,-MIN(60,COLUMN()-29),1,MIN(60,COLUMN()-29))),0)</f>
        <v>0</v>
      </c>
      <c r="AX630" s="112" t="n">
        <f aca="true">IFERROR(SUMPRODUCT(OFFSET($BJ$31,0,1-MIN(60,COLUMN()-29),1,MIN(60,COLUMN()-29)),OFFSET(AX629,0,-MIN(60,COLUMN()-29),1,MIN(60,COLUMN()-29))),0)</f>
        <v>0</v>
      </c>
      <c r="AY630" s="112" t="n">
        <f aca="true">IFERROR(SUMPRODUCT(OFFSET($BJ$31,0,1-MIN(60,COLUMN()-29),1,MIN(60,COLUMN()-29)),OFFSET(AY629,0,-MIN(60,COLUMN()-29),1,MIN(60,COLUMN()-29))),0)</f>
        <v>0</v>
      </c>
      <c r="AZ630" s="112" t="n">
        <f aca="true">IFERROR(SUMPRODUCT(OFFSET($BJ$31,0,1-MIN(60,COLUMN()-29),1,MIN(60,COLUMN()-29)),OFFSET(AZ629,0,-MIN(60,COLUMN()-29),1,MIN(60,COLUMN()-29))),0)</f>
        <v>0</v>
      </c>
      <c r="BA630" s="112" t="n">
        <f aca="true">IFERROR(SUMPRODUCT(OFFSET($BJ$31,0,1-MIN(60,COLUMN()-29),1,MIN(60,COLUMN()-29)),OFFSET(BA629,0,-MIN(60,COLUMN()-29),1,MIN(60,COLUMN()-29))),0)</f>
        <v>0</v>
      </c>
      <c r="BB630" s="112" t="n">
        <f aca="true">IFERROR(SUMPRODUCT(OFFSET($BJ$31,0,1-MIN(60,COLUMN()-29),1,MIN(60,COLUMN()-29)),OFFSET(BB629,0,-MIN(60,COLUMN()-29),1,MIN(60,COLUMN()-29))),0)</f>
        <v>0</v>
      </c>
      <c r="BC630" s="112" t="n">
        <f aca="true">IFERROR(SUMPRODUCT(OFFSET($BJ$31,0,1-MIN(60,COLUMN()-29),1,MIN(60,COLUMN()-29)),OFFSET(BC629,0,-MIN(60,COLUMN()-29),1,MIN(60,COLUMN()-29))),0)</f>
        <v>0</v>
      </c>
      <c r="BD630" s="112" t="n">
        <f aca="true">IFERROR(SUMPRODUCT(OFFSET($BJ$31,0,1-MIN(60,COLUMN()-29),1,MIN(60,COLUMN()-29)),OFFSET(BD629,0,-MIN(60,COLUMN()-29),1,MIN(60,COLUMN()-29))),0)</f>
        <v>0</v>
      </c>
      <c r="BE630" s="112" t="n">
        <f aca="true">IFERROR(SUMPRODUCT(OFFSET($BJ$31,0,1-MIN(60,COLUMN()-29),1,MIN(60,COLUMN()-29)),OFFSET(BE629,0,-MIN(60,COLUMN()-29),1,MIN(60,COLUMN()-29))),0)</f>
        <v>0</v>
      </c>
      <c r="BF630" s="112" t="n">
        <f aca="true">IFERROR(SUMPRODUCT(OFFSET($BJ$31,0,1-MIN(60,COLUMN()-29),1,MIN(60,COLUMN()-29)),OFFSET(BF629,0,-MIN(60,COLUMN()-29),1,MIN(60,COLUMN()-29))),0)</f>
        <v>0</v>
      </c>
      <c r="BG630" s="112" t="n">
        <f aca="true">IFERROR(SUMPRODUCT(OFFSET($BJ$31,0,1-MIN(60,COLUMN()-29),1,MIN(60,COLUMN()-29)),OFFSET(BG629,0,-MIN(60,COLUMN()-29),1,MIN(60,COLUMN()-29))),0)</f>
        <v>0</v>
      </c>
      <c r="BH630" s="112" t="n">
        <f aca="true">IFERROR(SUMPRODUCT(OFFSET($BJ$31,0,1-MIN(60,COLUMN()-29),1,MIN(60,COLUMN()-29)),OFFSET(BH629,0,-MIN(60,COLUMN()-29),1,MIN(60,COLUMN()-29))),0)</f>
        <v>0</v>
      </c>
      <c r="BI630" s="112" t="n">
        <f aca="true">IFERROR(SUMPRODUCT(OFFSET($BJ$31,0,1-MIN(60,COLUMN()-29),1,MIN(60,COLUMN()-29)),OFFSET(BI629,0,-MIN(60,COLUMN()-29),1,MIN(60,COLUMN()-29))),0)</f>
        <v>0</v>
      </c>
      <c r="BJ630" s="112" t="n">
        <f aca="true">IFERROR(SUMPRODUCT(OFFSET($BJ$31,0,1-MIN(60,COLUMN()-29),1,MIN(60,COLUMN()-29)),OFFSET(BJ629,0,-MIN(60,COLUMN()-29),1,MIN(60,COLUMN()-29))),0)</f>
        <v>0</v>
      </c>
      <c r="BK630" s="112" t="n">
        <f aca="true">IFERROR(SUMPRODUCT(OFFSET($BJ$31,0,1-MIN(60,COLUMN()-29),1,MIN(60,COLUMN()-29)),OFFSET(BK629,0,-MIN(60,COLUMN()-29),1,MIN(60,COLUMN()-29))),0)</f>
        <v>0</v>
      </c>
      <c r="BL630" s="112" t="n">
        <f aca="true">IFERROR(SUMPRODUCT(OFFSET($BJ$31,0,1-MIN(60,COLUMN()-29),1,MIN(60,COLUMN()-29)),OFFSET(BL629,0,-MIN(60,COLUMN()-29),1,MIN(60,COLUMN()-29))),0)</f>
        <v>0</v>
      </c>
      <c r="BM630" s="112" t="n">
        <f aca="true">IFERROR(SUMPRODUCT(OFFSET($BJ$31,0,1-MIN(60,COLUMN()-29),1,MIN(60,COLUMN()-29)),OFFSET(BM629,0,-MIN(60,COLUMN()-29),1,MIN(60,COLUMN()-29))),0)</f>
        <v>0</v>
      </c>
      <c r="BN630" s="112" t="n">
        <f aca="true">IFERROR(SUMPRODUCT(OFFSET($BJ$31,0,1-MIN(60,COLUMN()-29),1,MIN(60,COLUMN()-29)),OFFSET(BN629,0,-MIN(60,COLUMN()-29),1,MIN(60,COLUMN()-29))),0)</f>
        <v>0</v>
      </c>
      <c r="BO630" s="112" t="n">
        <f aca="true">IFERROR(SUMPRODUCT(OFFSET($BJ$31,0,1-MIN(60,COLUMN()-29),1,MIN(60,COLUMN()-29)),OFFSET(BO629,0,-MIN(60,COLUMN()-29),1,MIN(60,COLUMN()-29))),0)</f>
        <v>0</v>
      </c>
      <c r="BP630" s="112" t="n">
        <f aca="true">IFERROR(SUMPRODUCT(OFFSET($BJ$31,0,1-MIN(60,COLUMN()-29),1,MIN(60,COLUMN()-29)),OFFSET(BP629,0,-MIN(60,COLUMN()-29),1,MIN(60,COLUMN()-29))),0)</f>
        <v>0</v>
      </c>
      <c r="BQ630" s="112" t="n">
        <f aca="true">IFERROR(SUMPRODUCT(OFFSET($BJ$31,0,1-MIN(60,COLUMN()-29),1,MIN(60,COLUMN()-29)),OFFSET(BQ629,0,-MIN(60,COLUMN()-29),1,MIN(60,COLUMN()-29))),0)</f>
        <v>0</v>
      </c>
      <c r="BR630" s="112" t="n">
        <f aca="true">IFERROR(SUMPRODUCT(OFFSET($BJ$31,0,1-MIN(60,COLUMN()-29),1,MIN(60,COLUMN()-29)),OFFSET(BR629,0,-MIN(60,COLUMN()-29),1,MIN(60,COLUMN()-29))),0)</f>
        <v>0</v>
      </c>
      <c r="BS630" s="112" t="n">
        <f aca="true">IFERROR(SUMPRODUCT(OFFSET($BJ$31,0,1-MIN(60,COLUMN()-29),1,MIN(60,COLUMN()-29)),OFFSET(BS629,0,-MIN(60,COLUMN()-29),1,MIN(60,COLUMN()-29))),0)</f>
        <v>0</v>
      </c>
      <c r="BT630" s="112" t="n">
        <f aca="true">IFERROR(SUMPRODUCT(OFFSET($BJ$31,0,1-MIN(60,COLUMN()-29),1,MIN(60,COLUMN()-29)),OFFSET(BT629,0,-MIN(60,COLUMN()-29),1,MIN(60,COLUMN()-29))),0)</f>
        <v>0</v>
      </c>
      <c r="BU630" s="112" t="n">
        <f aca="true">IFERROR(SUMPRODUCT(OFFSET($BJ$31,0,1-MIN(60,COLUMN()-29),1,MIN(60,COLUMN()-29)),OFFSET(BU629,0,-MIN(60,COLUMN()-29),1,MIN(60,COLUMN()-29))),0)</f>
        <v>0</v>
      </c>
      <c r="BV630" s="112" t="n">
        <f aca="true">IFERROR(SUMPRODUCT(OFFSET($BJ$31,0,1-MIN(60,COLUMN()-29),1,MIN(60,COLUMN()-29)),OFFSET(BV629,0,-MIN(60,COLUMN()-29),1,MIN(60,COLUMN()-29))),0)</f>
        <v>0</v>
      </c>
      <c r="BW630" s="112" t="n">
        <f aca="true">IFERROR(SUMPRODUCT(OFFSET($BJ$31,0,1-MIN(60,COLUMN()-29),1,MIN(60,COLUMN()-29)),OFFSET(BW629,0,-MIN(60,COLUMN()-29),1,MIN(60,COLUMN()-29))),0)</f>
        <v>0</v>
      </c>
      <c r="BX630" s="112" t="n">
        <f aca="true">IFERROR(SUMPRODUCT(OFFSET($BJ$31,0,1-MIN(60,COLUMN()-29),1,MIN(60,COLUMN()-29)),OFFSET(BX629,0,-MIN(60,COLUMN()-29),1,MIN(60,COLUMN()-29))),0)</f>
        <v>0</v>
      </c>
      <c r="BY630" s="112" t="n">
        <f aca="true">IFERROR(SUMPRODUCT(OFFSET($BJ$31,0,1-MIN(60,COLUMN()-29),1,MIN(60,COLUMN()-29)),OFFSET(BY629,0,-MIN(60,COLUMN()-29),1,MIN(60,COLUMN()-29))),0)</f>
        <v>0</v>
      </c>
      <c r="BZ630" s="112" t="n">
        <f aca="true">IFERROR(SUMPRODUCT(OFFSET($BJ$31,0,1-MIN(60,COLUMN()-29),1,MIN(60,COLUMN()-29)),OFFSET(BZ629,0,-MIN(60,COLUMN()-29),1,MIN(60,COLUMN()-29))),0)</f>
        <v>0</v>
      </c>
      <c r="CA630" s="112" t="n">
        <f aca="true">IFERROR(SUMPRODUCT(OFFSET($BJ$31,0,1-MIN(60,COLUMN()-29),1,MIN(60,COLUMN()-29)),OFFSET(CA629,0,-MIN(60,COLUMN()-29),1,MIN(60,COLUMN()-29))),0)</f>
        <v>0</v>
      </c>
      <c r="CB630" s="112" t="n">
        <f aca="true">IFERROR(SUMPRODUCT(OFFSET($BJ$31,0,1-MIN(60,COLUMN()-29),1,MIN(60,COLUMN()-29)),OFFSET(CB629,0,-MIN(60,COLUMN()-29),1,MIN(60,COLUMN()-29))),0)</f>
        <v>0</v>
      </c>
      <c r="CC630" s="112" t="n">
        <f aca="true">IFERROR(SUMPRODUCT(OFFSET($BJ$31,0,1-MIN(60,COLUMN()-29),1,MIN(60,COLUMN()-29)),OFFSET(CC629,0,-MIN(60,COLUMN()-29),1,MIN(60,COLUMN()-29))),0)</f>
        <v>0</v>
      </c>
      <c r="CD630" s="112" t="n">
        <f aca="true">IFERROR(SUMPRODUCT(OFFSET($BJ$31,0,1-MIN(60,COLUMN()-29),1,MIN(60,COLUMN()-29)),OFFSET(CD629,0,-MIN(60,COLUMN()-29),1,MIN(60,COLUMN()-29))),0)</f>
        <v>0</v>
      </c>
      <c r="CE630" s="112" t="n">
        <f aca="true">IFERROR(SUMPRODUCT(OFFSET($BJ$31,0,1-MIN(60,COLUMN()-29),1,MIN(60,COLUMN()-29)),OFFSET(CE629,0,-MIN(60,COLUMN()-29),1,MIN(60,COLUMN()-29))),0)</f>
        <v>0</v>
      </c>
      <c r="CF630" s="112" t="n">
        <f aca="true">IFERROR(SUMPRODUCT(OFFSET($BJ$31,0,1-MIN(60,COLUMN()-29),1,MIN(60,COLUMN()-29)),OFFSET(CF629,0,-MIN(60,COLUMN()-29),1,MIN(60,COLUMN()-29))),0)</f>
        <v>0</v>
      </c>
      <c r="CG630" s="112" t="n">
        <f aca="true">IFERROR(SUMPRODUCT(OFFSET($BJ$31,0,1-MIN(60,COLUMN()-29),1,MIN(60,COLUMN()-29)),OFFSET(CG629,0,-MIN(60,COLUMN()-29),1,MIN(60,COLUMN()-29))),0)</f>
        <v>0</v>
      </c>
      <c r="CH630" s="112" t="n">
        <f aca="true">IFERROR(SUMPRODUCT(OFFSET($BJ$31,0,1-MIN(60,COLUMN()-29),1,MIN(60,COLUMN()-29)),OFFSET(CH629,0,-MIN(60,COLUMN()-29),1,MIN(60,COLUMN()-29))),0)</f>
        <v>0</v>
      </c>
      <c r="CI630" s="112" t="n">
        <f aca="true">IFERROR(SUMPRODUCT(OFFSET($BJ$31,0,1-MIN(60,COLUMN()-29),1,MIN(60,COLUMN()-29)),OFFSET(CI629,0,-MIN(60,COLUMN()-29),1,MIN(60,COLUMN()-29))),0)</f>
        <v>0</v>
      </c>
      <c r="CJ630" s="112" t="n">
        <f aca="true">IFERROR(SUMPRODUCT(OFFSET($BJ$31,0,1-MIN(60,COLUMN()-29),1,MIN(60,COLUMN()-29)),OFFSET(CJ629,0,-MIN(60,COLUMN()-29),1,MIN(60,COLUMN()-29))),0)</f>
        <v>0</v>
      </c>
      <c r="CK630" s="112" t="n">
        <f aca="true">IFERROR(SUMPRODUCT(OFFSET($BJ$31,0,1-MIN(60,COLUMN()-29),1,MIN(60,COLUMN()-29)),OFFSET(CK629,0,-MIN(60,COLUMN()-29),1,MIN(60,COLUMN()-29))),0)</f>
        <v>0</v>
      </c>
      <c r="CL630" s="112" t="n">
        <f aca="true">IFERROR(SUMPRODUCT(OFFSET($BJ$31,0,1-MIN(60,COLUMN()-29),1,MIN(60,COLUMN()-29)),OFFSET(CL629,0,-MIN(60,COLUMN()-29),1,MIN(60,COLUMN()-29))),0)</f>
        <v>0</v>
      </c>
      <c r="CM630" s="112" t="n">
        <f aca="true">IFERROR(SUMPRODUCT(OFFSET($BJ$31,0,1-MIN(60,COLUMN()-29),1,MIN(60,COLUMN()-29)),OFFSET(CM629,0,-MIN(60,COLUMN()-29),1,MIN(60,COLUMN()-29))),0)</f>
        <v>0</v>
      </c>
      <c r="CN630" s="112" t="n">
        <f aca="true">IFERROR(SUMPRODUCT(OFFSET($BJ$31,0,1-MIN(60,COLUMN()-29),1,MIN(60,COLUMN()-29)),OFFSET(CN629,0,-MIN(60,COLUMN()-29),1,MIN(60,COLUMN()-29))),0)</f>
        <v>0</v>
      </c>
      <c r="CO630" s="112" t="n">
        <f aca="true">IFERROR(SUMPRODUCT(OFFSET($BJ$31,0,1-MIN(60,COLUMN()-29),1,MIN(60,COLUMN()-29)),OFFSET(CO629,0,-MIN(60,COLUMN()-29),1,MIN(60,COLUMN()-29))),0)</f>
        <v>0</v>
      </c>
      <c r="CP630" s="112" t="n">
        <f aca="true">IFERROR(SUMPRODUCT(OFFSET($BJ$31,0,1-MIN(60,COLUMN()-29),1,MIN(60,COLUMN()-29)),OFFSET(CP629,0,-MIN(60,COLUMN()-29),1,MIN(60,COLUMN()-29))),0)</f>
        <v>0</v>
      </c>
      <c r="CQ630" s="112" t="n">
        <f aca="true">IFERROR(SUMPRODUCT(OFFSET($BJ$31,0,1-MIN(60,COLUMN()-29),1,MIN(60,COLUMN()-29)),OFFSET(CQ629,0,-MIN(60,COLUMN()-29),1,MIN(60,COLUMN()-29))),0)</f>
        <v>0</v>
      </c>
      <c r="CR630" s="112" t="n">
        <f aca="true">IFERROR(SUMPRODUCT(OFFSET($BJ$31,0,1-MIN(60,COLUMN()-29),1,MIN(60,COLUMN()-29)),OFFSET(CR629,0,-MIN(60,COLUMN()-29),1,MIN(60,COLUMN()-29))),0)</f>
        <v>0</v>
      </c>
      <c r="CS630" s="112" t="n">
        <f aca="true">IFERROR(SUMPRODUCT(OFFSET($BJ$31,0,1-MIN(60,COLUMN()-29),1,MIN(60,COLUMN()-29)),OFFSET(CS629,0,-MIN(60,COLUMN()-29),1,MIN(60,COLUMN()-29))),0)</f>
        <v>0</v>
      </c>
      <c r="CT630" s="112" t="n">
        <f aca="true">IFERROR(SUMPRODUCT(OFFSET($BJ$31,0,1-MIN(60,COLUMN()-29),1,MIN(60,COLUMN()-29)),OFFSET(CT629,0,-MIN(60,COLUMN()-29),1,MIN(60,COLUMN()-29))),0)</f>
        <v>0</v>
      </c>
      <c r="CU630" s="112" t="n">
        <f aca="true">IFERROR(SUMPRODUCT(OFFSET($BJ$31,0,1-MIN(60,COLUMN()-29),1,MIN(60,COLUMN()-29)),OFFSET(CU629,0,-MIN(60,COLUMN()-29),1,MIN(60,COLUMN()-29))),0)</f>
        <v>0</v>
      </c>
      <c r="CV630" s="112" t="n">
        <f aca="true">IFERROR(SUMPRODUCT(OFFSET($BJ$31,0,1-MIN(60,COLUMN()-29),1,MIN(60,COLUMN()-29)),OFFSET(CV629,0,-MIN(60,COLUMN()-29),1,MIN(60,COLUMN()-29))),0)</f>
        <v>0</v>
      </c>
      <c r="CW630" s="112" t="n">
        <f aca="true">IFERROR(SUMPRODUCT(OFFSET($BJ$31,0,1-MIN(60,COLUMN()-29),1,MIN(60,COLUMN()-29)),OFFSET(CW629,0,-MIN(60,COLUMN()-29),1,MIN(60,COLUMN()-29))),0)</f>
        <v>0</v>
      </c>
      <c r="CX630" s="112" t="n">
        <f aca="true">IFERROR(SUMPRODUCT(OFFSET($BJ$31,0,1-MIN(60,COLUMN()-29),1,MIN(60,COLUMN()-29)),OFFSET(CX629,0,-MIN(60,COLUMN()-29),1,MIN(60,COLUMN()-29))),0)</f>
        <v>0</v>
      </c>
      <c r="CY630" s="112" t="n">
        <f aca="true">IFERROR(SUMPRODUCT(OFFSET($BJ$31,0,1-MIN(60,COLUMN()-29),1,MIN(60,COLUMN()-29)),OFFSET(CY629,0,-MIN(60,COLUMN()-29),1,MIN(60,COLUMN()-29))),0)</f>
        <v>0</v>
      </c>
      <c r="CZ630" s="112" t="n">
        <f aca="true">IFERROR(SUMPRODUCT(OFFSET($BJ$31,0,1-MIN(60,COLUMN()-29),1,MIN(60,COLUMN()-29)),OFFSET(CZ629,0,-MIN(60,COLUMN()-29),1,MIN(60,COLUMN()-29))),0)</f>
        <v>0</v>
      </c>
      <c r="DA630" s="112" t="n">
        <f aca="true">IFERROR(SUMPRODUCT(OFFSET($BJ$31,0,1-MIN(60,COLUMN()-29),1,MIN(60,COLUMN()-29)),OFFSET(DA629,0,-MIN(60,COLUMN()-29),1,MIN(60,COLUMN()-29))),0)</f>
        <v>0</v>
      </c>
      <c r="DB630" s="112" t="n">
        <f aca="true">IFERROR(SUMPRODUCT(OFFSET($BJ$31,0,1-MIN(60,COLUMN()-29),1,MIN(60,COLUMN()-29)),OFFSET(DB629,0,-MIN(60,COLUMN()-29),1,MIN(60,COLUMN()-29))),0)</f>
        <v>0</v>
      </c>
      <c r="DC630" s="112" t="n">
        <f aca="true">IFERROR(SUMPRODUCT(OFFSET($BJ$31,0,1-MIN(60,COLUMN()-29),1,MIN(60,COLUMN()-29)),OFFSET(DC629,0,-MIN(60,COLUMN()-29),1,MIN(60,COLUMN()-29))),0)</f>
        <v>0</v>
      </c>
      <c r="DD630" s="112" t="n">
        <f aca="true">IFERROR(SUMPRODUCT(OFFSET($BJ$31,0,1-MIN(60,COLUMN()-29),1,MIN(60,COLUMN()-29)),OFFSET(DD629,0,-MIN(60,COLUMN()-29),1,MIN(60,COLUMN()-29))),0)</f>
        <v>0</v>
      </c>
      <c r="DE630" s="112" t="n">
        <f aca="true">IFERROR(SUMPRODUCT(OFFSET($BJ$31,0,1-MIN(60,COLUMN()-29),1,MIN(60,COLUMN()-29)),OFFSET(DE629,0,-MIN(60,COLUMN()-29),1,MIN(60,COLUMN()-29))),0)</f>
        <v>0</v>
      </c>
      <c r="DF630" s="112" t="n">
        <f aca="true">IFERROR(SUMPRODUCT(OFFSET($BJ$31,0,1-MIN(60,COLUMN()-29),1,MIN(60,COLUMN()-29)),OFFSET(DF629,0,-MIN(60,COLUMN()-29),1,MIN(60,COLUMN()-29))),0)</f>
        <v>0</v>
      </c>
      <c r="DG630" s="112" t="n">
        <f aca="true">IFERROR(SUMPRODUCT(OFFSET($BJ$31,0,1-MIN(60,COLUMN()-29),1,MIN(60,COLUMN()-29)),OFFSET(DG629,0,-MIN(60,COLUMN()-29),1,MIN(60,COLUMN()-29))),0)</f>
        <v>0</v>
      </c>
      <c r="DH630" s="112" t="n">
        <f aca="true">IFERROR(SUMPRODUCT(OFFSET($BJ$31,0,1-MIN(60,COLUMN()-29),1,MIN(60,COLUMN()-29)),OFFSET(DH629,0,-MIN(60,COLUMN()-29),1,MIN(60,COLUMN()-29))),0)</f>
        <v>0</v>
      </c>
      <c r="DI630" s="112" t="n">
        <f aca="true">IFERROR(SUMPRODUCT(OFFSET($BJ$31,0,1-MIN(60,COLUMN()-29),1,MIN(60,COLUMN()-29)),OFFSET(DI629,0,-MIN(60,COLUMN()-29),1,MIN(60,COLUMN()-29))),0)</f>
        <v>0</v>
      </c>
      <c r="DJ630" s="112" t="n">
        <f aca="true">IFERROR(SUMPRODUCT(OFFSET($BJ$31,0,1-MIN(60,COLUMN()-29),1,MIN(60,COLUMN()-29)),OFFSET(DJ629,0,-MIN(60,COLUMN()-29),1,MIN(60,COLUMN()-29))),0)</f>
        <v>0</v>
      </c>
      <c r="DK630" s="112" t="n">
        <f aca="true">IFERROR(SUMPRODUCT(OFFSET($BJ$31,0,1-MIN(60,COLUMN()-29),1,MIN(60,COLUMN()-29)),OFFSET(DK629,0,-MIN(60,COLUMN()-29),1,MIN(60,COLUMN()-29))),0)</f>
        <v>0</v>
      </c>
      <c r="DL630" s="112" t="n">
        <f aca="true">IFERROR(SUMPRODUCT(OFFSET($BJ$31,0,1-MIN(60,COLUMN()-29),1,MIN(60,COLUMN()-29)),OFFSET(DL629,0,-MIN(60,COLUMN()-29),1,MIN(60,COLUMN()-29))),0)</f>
        <v>0</v>
      </c>
      <c r="DM630" s="112" t="n">
        <f aca="true">IFERROR(SUMPRODUCT(OFFSET($BJ$31,0,1-MIN(60,COLUMN()-29),1,MIN(60,COLUMN()-29)),OFFSET(DM629,0,-MIN(60,COLUMN()-29),1,MIN(60,COLUMN()-29))),0)</f>
        <v>0</v>
      </c>
      <c r="DN630" s="112" t="n">
        <f aca="true">IFERROR(SUMPRODUCT(OFFSET($BJ$31,0,1-MIN(60,COLUMN()-29),1,MIN(60,COLUMN()-29)),OFFSET(DN629,0,-MIN(60,COLUMN()-29),1,MIN(60,COLUMN()-29))),0)</f>
        <v>0</v>
      </c>
      <c r="DO630" s="112" t="n">
        <f aca="true">IFERROR(SUMPRODUCT(OFFSET($BJ$31,0,1-MIN(60,COLUMN()-29),1,MIN(60,COLUMN()-29)),OFFSET(DO629,0,-MIN(60,COLUMN()-29),1,MIN(60,COLUMN()-29))),0)</f>
        <v>0</v>
      </c>
      <c r="DP630" s="112" t="n">
        <f aca="true">IFERROR(SUMPRODUCT(OFFSET($BJ$31,0,1-MIN(60,COLUMN()-29),1,MIN(60,COLUMN()-29)),OFFSET(DP629,0,-MIN(60,COLUMN()-29),1,MIN(60,COLUMN()-29))),0)</f>
        <v>0</v>
      </c>
      <c r="DQ630" s="112" t="n">
        <f aca="true">IFERROR(SUMPRODUCT(OFFSET($BJ$31,0,1-MIN(60,COLUMN()-29),1,MIN(60,COLUMN()-29)),OFFSET(DQ629,0,-MIN(60,COLUMN()-29),1,MIN(60,COLUMN()-29))),0)</f>
        <v>0</v>
      </c>
      <c r="DR630" s="112" t="n">
        <f aca="true">IFERROR(SUMPRODUCT(OFFSET($BJ$31,0,1-MIN(60,COLUMN()-29),1,MIN(60,COLUMN()-29)),OFFSET(DR629,0,-MIN(60,COLUMN()-29),1,MIN(60,COLUMN()-29))),0)</f>
        <v>0</v>
      </c>
      <c r="DS630" s="112" t="n">
        <f aca="true">IFERROR(SUMPRODUCT(OFFSET($BJ$31,0,1-MIN(60,COLUMN()-29),1,MIN(60,COLUMN()-29)),OFFSET(DS629,0,-MIN(60,COLUMN()-29),1,MIN(60,COLUMN()-29))),0)</f>
        <v>0</v>
      </c>
      <c r="DT630" s="112" t="n">
        <f aca="true">IFERROR(SUMPRODUCT(OFFSET($BJ$31,0,1-MIN(60,COLUMN()-29),1,MIN(60,COLUMN()-29)),OFFSET(DT629,0,-MIN(60,COLUMN()-29),1,MIN(60,COLUMN()-29))),0)</f>
        <v>0</v>
      </c>
      <c r="DU630" s="112" t="n">
        <f aca="true">IFERROR(SUMPRODUCT(OFFSET($BJ$31,0,1-MIN(60,COLUMN()-29),1,MIN(60,COLUMN()-29)),OFFSET(DU629,0,-MIN(60,COLUMN()-29),1,MIN(60,COLUMN()-29))),0)</f>
        <v>0</v>
      </c>
      <c r="DV630" s="112" t="n">
        <f aca="true">IFERROR(SUMPRODUCT(OFFSET($BJ$31,0,1-MIN(60,COLUMN()-29),1,MIN(60,COLUMN()-29)),OFFSET(DV629,0,-MIN(60,COLUMN()-29),1,MIN(60,COLUMN()-29))),0)</f>
        <v>0</v>
      </c>
      <c r="DW630" s="112" t="n">
        <f aca="true">IFERROR(SUMPRODUCT(OFFSET($BJ$31,0,1-MIN(60,COLUMN()-29),1,MIN(60,COLUMN()-29)),OFFSET(DW629,0,-MIN(60,COLUMN()-29),1,MIN(60,COLUMN()-29))),0)</f>
        <v>0</v>
      </c>
      <c r="DX630" s="112" t="n">
        <f aca="true">IFERROR(SUMPRODUCT(OFFSET($BJ$31,0,1-MIN(60,COLUMN()-29),1,MIN(60,COLUMN()-29)),OFFSET(DX629,0,-MIN(60,COLUMN()-29),1,MIN(60,COLUMN()-29))),0)</f>
        <v>0</v>
      </c>
      <c r="DY630" s="112" t="n">
        <f aca="true">IFERROR(SUMPRODUCT(OFFSET($BJ$31,0,1-MIN(60,COLUMN()-29),1,MIN(60,COLUMN()-29)),OFFSET(DY629,0,-MIN(60,COLUMN()-29),1,MIN(60,COLUMN()-29))),0)</f>
        <v>0</v>
      </c>
      <c r="DZ630" s="112" t="n">
        <f aca="true">IFERROR(SUMPRODUCT(OFFSET($BJ$31,0,1-MIN(60,COLUMN()-29),1,MIN(60,COLUMN()-29)),OFFSET(DZ629,0,-MIN(60,COLUMN()-29),1,MIN(60,COLUMN()-29))),0)</f>
        <v>0</v>
      </c>
      <c r="EA630" s="112" t="n">
        <f aca="true">IFERROR(SUMPRODUCT(OFFSET($BJ$31,0,1-MIN(60,COLUMN()-29),1,MIN(60,COLUMN()-29)),OFFSET(EA629,0,-MIN(60,COLUMN()-29),1,MIN(60,COLUMN()-29))),0)</f>
        <v>0</v>
      </c>
      <c r="EB630" s="112" t="n">
        <f aca="true">IFERROR(SUMPRODUCT(OFFSET($BJ$31,0,1-MIN(60,COLUMN()-29),1,MIN(60,COLUMN()-29)),OFFSET(EB629,0,-MIN(60,COLUMN()-29),1,MIN(60,COLUMN()-29))),0)</f>
        <v>0</v>
      </c>
      <c r="EC630" s="112" t="n">
        <f aca="true">IFERROR(SUMPRODUCT(OFFSET($BJ$31,0,1-MIN(60,COLUMN()-29),1,MIN(60,COLUMN()-29)),OFFSET(EC629,0,-MIN(60,COLUMN()-29),1,MIN(60,COLUMN()-29))),0)</f>
        <v>0</v>
      </c>
      <c r="ED630" s="112" t="n">
        <f aca="true">IFERROR(SUMPRODUCT(OFFSET($BJ$31,0,1-MIN(60,COLUMN()-29),1,MIN(60,COLUMN()-29)),OFFSET(ED629,0,-MIN(60,COLUMN()-29),1,MIN(60,COLUMN()-29))),0)</f>
        <v>0</v>
      </c>
      <c r="EE630" s="112" t="n">
        <f aca="true">IFERROR(SUMPRODUCT(OFFSET($BJ$31,0,1-MIN(60,COLUMN()-29),1,MIN(60,COLUMN()-29)),OFFSET(EE629,0,-MIN(60,COLUMN()-29),1,MIN(60,COLUMN()-29))),0)</f>
        <v>0</v>
      </c>
      <c r="EF630" s="112" t="n">
        <f aca="true">IFERROR(SUMPRODUCT(OFFSET($BJ$31,0,1-MIN(60,COLUMN()-29),1,MIN(60,COLUMN()-29)),OFFSET(EF629,0,-MIN(60,COLUMN()-29),1,MIN(60,COLUMN()-29))),0)</f>
        <v>0</v>
      </c>
      <c r="EG630" s="112" t="n">
        <f aca="true">IFERROR(SUMPRODUCT(OFFSET($BJ$31,0,1-MIN(60,COLUMN()-29),1,MIN(60,COLUMN()-29)),OFFSET(EG629,0,-MIN(60,COLUMN()-29),1,MIN(60,COLUMN()-29))),0)</f>
        <v>0</v>
      </c>
      <c r="EH630" s="112" t="n">
        <f aca="true">IFERROR(SUMPRODUCT(OFFSET($BJ$31,0,1-MIN(60,COLUMN()-29),1,MIN(60,COLUMN()-29)),OFFSET(EH629,0,-MIN(60,COLUMN()-29),1,MIN(60,COLUMN()-29))),0)</f>
        <v>0</v>
      </c>
      <c r="EI630" s="112" t="n">
        <f aca="true">IFERROR(SUMPRODUCT(OFFSET($BJ$31,0,1-MIN(60,COLUMN()-29),1,MIN(60,COLUMN()-29)),OFFSET(EI629,0,-MIN(60,COLUMN()-29),1,MIN(60,COLUMN()-29))),0)</f>
        <v>0</v>
      </c>
      <c r="EJ630" s="112" t="n">
        <f aca="true">IFERROR(SUMPRODUCT(OFFSET($BJ$31,0,1-MIN(60,COLUMN()-29),1,MIN(60,COLUMN()-29)),OFFSET(EJ629,0,-MIN(60,COLUMN()-29),1,MIN(60,COLUMN()-29))),0)</f>
        <v>0</v>
      </c>
      <c r="EK630" s="112" t="n">
        <f aca="true">IFERROR(SUMPRODUCT(OFFSET($BJ$31,0,1-MIN(60,COLUMN()-29),1,MIN(60,COLUMN()-29)),OFFSET(EK629,0,-MIN(60,COLUMN()-29),1,MIN(60,COLUMN()-29))),0)</f>
        <v>0</v>
      </c>
      <c r="EL630" s="112" t="n">
        <f aca="true">IFERROR(SUMPRODUCT(OFFSET($BJ$31,0,1-MIN(60,COLUMN()-29),1,MIN(60,COLUMN()-29)),OFFSET(EL629,0,-MIN(60,COLUMN()-29),1,MIN(60,COLUMN()-29))),0)</f>
        <v>0</v>
      </c>
      <c r="EM630" s="112" t="n">
        <f aca="true">IFERROR(SUMPRODUCT(OFFSET($BJ$31,0,1-MIN(60,COLUMN()-29),1,MIN(60,COLUMN()-29)),OFFSET(EM629,0,-MIN(60,COLUMN()-29),1,MIN(60,COLUMN()-29))),0)</f>
        <v>0</v>
      </c>
      <c r="EN630" s="112" t="n">
        <f aca="true">IFERROR(SUMPRODUCT(OFFSET($BJ$31,0,1-MIN(60,COLUMN()-29),1,MIN(60,COLUMN()-29)),OFFSET(EN629,0,-MIN(60,COLUMN()-29),1,MIN(60,COLUMN()-29))),0)</f>
        <v>0</v>
      </c>
      <c r="EO630" s="112" t="n">
        <f aca="true">IFERROR(SUMPRODUCT(OFFSET($BJ$31,0,1-MIN(60,COLUMN()-29),1,MIN(60,COLUMN()-29)),OFFSET(EO629,0,-MIN(60,COLUMN()-29),1,MIN(60,COLUMN()-29))),0)</f>
        <v>0</v>
      </c>
      <c r="EP630" s="112" t="n">
        <f aca="true">IFERROR(SUMPRODUCT(OFFSET($BJ$31,0,1-MIN(60,COLUMN()-29),1,MIN(60,COLUMN()-29)),OFFSET(EP629,0,-MIN(60,COLUMN()-29),1,MIN(60,COLUMN()-29))),0)</f>
        <v>0</v>
      </c>
      <c r="EQ630" s="112" t="n">
        <f aca="true">IFERROR(SUMPRODUCT(OFFSET($BJ$31,0,1-MIN(60,COLUMN()-29),1,MIN(60,COLUMN()-29)),OFFSET(EQ629,0,-MIN(60,COLUMN()-29),1,MIN(60,COLUMN()-29))),0)</f>
        <v>0</v>
      </c>
      <c r="ER630" s="112" t="n">
        <f aca="true">IFERROR(SUMPRODUCT(OFFSET($BJ$31,0,1-MIN(60,COLUMN()-29),1,MIN(60,COLUMN()-29)),OFFSET(ER629,0,-MIN(60,COLUMN()-29),1,MIN(60,COLUMN()-29))),0)</f>
        <v>0</v>
      </c>
      <c r="ES630" s="9" t="n">
        <f aca="true">IFERROR(SUMPRODUCT(OFFSET($BJ$31,0,1-MIN(60,COLUMN()-29),1,MIN(60,COLUMN()-29)),OFFSET(ES629,0,-MIN(60,COLUMN()-29),1,MIN(60,COLUMN()-29))),0)</f>
        <v>0</v>
      </c>
      <c r="ET630" s="9" t="n">
        <f aca="true">IFERROR(SUMPRODUCT(OFFSET($BJ$31,0,1-MIN(60,COLUMN()-29),1,MIN(60,COLUMN()-29)),OFFSET(ET629,0,-MIN(60,COLUMN()-29),1,MIN(60,COLUMN()-29))),0)</f>
        <v>0</v>
      </c>
      <c r="EU630" s="9" t="n">
        <f aca="true">IFERROR(SUMPRODUCT(OFFSET($BJ$31,0,1-MIN(60,COLUMN()-29),1,MIN(60,COLUMN()-29)),OFFSET(EU629,0,-MIN(60,COLUMN()-29),1,MIN(60,COLUMN()-29))),0)</f>
        <v>0</v>
      </c>
      <c r="EV630" s="9" t="n">
        <f aca="true">IFERROR(SUMPRODUCT(OFFSET($BJ$31,0,1-MIN(60,COLUMN()-29),1,MIN(60,COLUMN()-29)),OFFSET(EV629,0,-MIN(60,COLUMN()-29),1,MIN(60,COLUMN()-29))),0)</f>
        <v>0</v>
      </c>
      <c r="EW630" s="9" t="n">
        <f aca="true">IFERROR(SUMPRODUCT(OFFSET($BJ$31,0,1-MIN(60,COLUMN()-29),1,MIN(60,COLUMN()-29)),OFFSET(EW629,0,-MIN(60,COLUMN()-29),1,MIN(60,COLUMN()-29))),0)</f>
        <v>0</v>
      </c>
      <c r="EX630" s="9" t="n">
        <f aca="true">IFERROR(SUMPRODUCT(OFFSET($BJ$31,0,1-MIN(60,COLUMN()-29),1,MIN(60,COLUMN()-29)),OFFSET(EX629,0,-MIN(60,COLUMN()-29),1,MIN(60,COLUMN()-29))),0)</f>
        <v>0</v>
      </c>
      <c r="EY630" s="9" t="n">
        <f aca="true">IFERROR(SUMPRODUCT(OFFSET($BJ$31,0,1-MIN(60,COLUMN()-29),1,MIN(60,COLUMN()-29)),OFFSET(EY629,0,-MIN(60,COLUMN()-29),1,MIN(60,COLUMN()-29))),0)</f>
        <v>0</v>
      </c>
      <c r="EZ630" s="9" t="n">
        <f aca="true">IFERROR(SUMPRODUCT(OFFSET($BJ$31,0,1-MIN(60,COLUMN()-29),1,MIN(60,COLUMN()-29)),OFFSET(EZ629,0,-MIN(60,COLUMN()-29),1,MIN(60,COLUMN()-29))),0)</f>
        <v>0</v>
      </c>
      <c r="FA630" s="9" t="n">
        <f aca="true">IFERROR(SUMPRODUCT(OFFSET($BJ$31,0,1-MIN(60,COLUMN()-29),1,MIN(60,COLUMN()-29)),OFFSET(FA629,0,-MIN(60,COLUMN()-29),1,MIN(60,COLUMN()-29))),0)</f>
        <v>0</v>
      </c>
      <c r="FB630" s="9" t="n">
        <f aca="true">IFERROR(SUMPRODUCT(OFFSET($BJ$31,0,1-MIN(60,COLUMN()-29),1,MIN(60,COLUMN()-29)),OFFSET(FB629,0,-MIN(60,COLUMN()-29),1,MIN(60,COLUMN()-29))),0)</f>
        <v>0</v>
      </c>
      <c r="FC630" s="9" t="n">
        <f aca="true">IFERROR(SUMPRODUCT(OFFSET($BJ$31,0,1-MIN(60,COLUMN()-29),1,MIN(60,COLUMN()-29)),OFFSET(FC629,0,-MIN(60,COLUMN()-29),1,MIN(60,COLUMN()-29))),0)</f>
        <v>0</v>
      </c>
      <c r="FD630" s="9" t="n">
        <f aca="true">IFERROR(SUMPRODUCT(OFFSET($BJ$31,0,1-MIN(60,COLUMN()-29),1,MIN(60,COLUMN()-29)),OFFSET(FD629,0,-MIN(60,COLUMN()-29),1,MIN(60,COLUMN()-29))),0)</f>
        <v>0</v>
      </c>
      <c r="FE630" s="9" t="n">
        <f aca="true">IFERROR(SUMPRODUCT(OFFSET($BJ$31,0,1-MIN(60,COLUMN()-29),1,MIN(60,COLUMN()-29)),OFFSET(FE629,0,-MIN(60,COLUMN()-29),1,MIN(60,COLUMN()-29))),0)</f>
        <v>0</v>
      </c>
      <c r="FF630" s="9" t="n">
        <f aca="true">IFERROR(SUMPRODUCT(OFFSET($BJ$31,0,1-MIN(60,COLUMN()-29),1,MIN(60,COLUMN()-29)),OFFSET(FF629,0,-MIN(60,COLUMN()-29),1,MIN(60,COLUMN()-29))),0)</f>
        <v>0</v>
      </c>
      <c r="FG630" s="9" t="n">
        <f aca="true">IFERROR(SUMPRODUCT(OFFSET($BJ$31,0,1-MIN(60,COLUMN()-29),1,MIN(60,COLUMN()-29)),OFFSET(FG629,0,-MIN(60,COLUMN()-29),1,MIN(60,COLUMN()-29))),0)</f>
        <v>0</v>
      </c>
      <c r="FH630" s="9" t="n">
        <f aca="true">IFERROR(SUMPRODUCT(OFFSET($BJ$31,0,1-MIN(60,COLUMN()-29),1,MIN(60,COLUMN()-29)),OFFSET(FH629,0,-MIN(60,COLUMN()-29),1,MIN(60,COLUMN()-29))),0)</f>
        <v>0</v>
      </c>
      <c r="FI630" s="9" t="n">
        <f aca="true">IFERROR(SUMPRODUCT(OFFSET($BJ$31,0,1-MIN(60,COLUMN()-29),1,MIN(60,COLUMN()-29)),OFFSET(FI629,0,-MIN(60,COLUMN()-29),1,MIN(60,COLUMN()-29))),0)</f>
        <v>0</v>
      </c>
      <c r="FJ630" s="9" t="n">
        <f aca="true">IFERROR(SUMPRODUCT(OFFSET($BJ$31,0,1-MIN(60,COLUMN()-29),1,MIN(60,COLUMN()-29)),OFFSET(FJ629,0,-MIN(60,COLUMN()-29),1,MIN(60,COLUMN()-29))),0)</f>
        <v>0</v>
      </c>
      <c r="FK630" s="9" t="n">
        <f aca="true">IFERROR(SUMPRODUCT(OFFSET($BJ$31,0,1-MIN(60,COLUMN()-29),1,MIN(60,COLUMN()-29)),OFFSET(FK629,0,-MIN(60,COLUMN()-29),1,MIN(60,COLUMN()-29))),0)</f>
        <v>0</v>
      </c>
      <c r="FL630" s="9" t="n">
        <f aca="true">IFERROR(SUMPRODUCT(OFFSET($BJ$31,0,1-MIN(60,COLUMN()-29),1,MIN(60,COLUMN()-29)),OFFSET(FL629,0,-MIN(60,COLUMN()-29),1,MIN(60,COLUMN()-29))),0)</f>
        <v>0</v>
      </c>
      <c r="FM630" s="9" t="n">
        <f aca="true">IFERROR(SUMPRODUCT(OFFSET($BJ$31,0,1-MIN(60,COLUMN()-29),1,MIN(60,COLUMN()-29)),OFFSET(FM629,0,-MIN(60,COLUMN()-29),1,MIN(60,COLUMN()-29))),0)</f>
        <v>0</v>
      </c>
      <c r="FN630" s="9" t="n">
        <f aca="true">IFERROR(SUMPRODUCT(OFFSET($BJ$31,0,1-MIN(60,COLUMN()-29),1,MIN(60,COLUMN()-29)),OFFSET(FN629,0,-MIN(60,COLUMN()-29),1,MIN(60,COLUMN()-29))),0)</f>
        <v>0</v>
      </c>
      <c r="FO630" s="9" t="n">
        <f aca="true">IFERROR(SUMPRODUCT(OFFSET($BJ$31,0,1-MIN(60,COLUMN()-29),1,MIN(60,COLUMN()-29)),OFFSET(FO629,0,-MIN(60,COLUMN()-29),1,MIN(60,COLUMN()-29))),0)</f>
        <v>0</v>
      </c>
      <c r="FP630" s="9" t="n">
        <f aca="true">IFERROR(SUMPRODUCT(OFFSET($BJ$31,0,1-MIN(60,COLUMN()-29),1,MIN(60,COLUMN()-29)),OFFSET(FP629,0,-MIN(60,COLUMN()-29),1,MIN(60,COLUMN()-29))),0)</f>
        <v>0</v>
      </c>
    </row>
    <row r="631" customFormat="false" ht="15" hidden="false" customHeight="false" outlineLevel="2" collapsed="false">
      <c r="B631" s="90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237"/>
      <c r="AD631" s="237"/>
      <c r="AE631" s="237"/>
      <c r="AF631" s="237"/>
      <c r="AG631" s="237"/>
      <c r="AH631" s="237"/>
      <c r="AI631" s="237"/>
      <c r="AJ631" s="237"/>
      <c r="AK631" s="237"/>
      <c r="AL631" s="237"/>
      <c r="AM631" s="237"/>
      <c r="AN631" s="237"/>
      <c r="AO631" s="237"/>
      <c r="AP631" s="237"/>
      <c r="AQ631" s="237"/>
      <c r="AR631" s="237"/>
      <c r="AS631" s="237"/>
      <c r="AT631" s="237"/>
      <c r="AU631" s="237"/>
      <c r="AV631" s="237"/>
      <c r="AW631" s="237"/>
      <c r="AX631" s="237"/>
      <c r="AY631" s="237"/>
      <c r="AZ631" s="237"/>
      <c r="BA631" s="237"/>
      <c r="BB631" s="237"/>
      <c r="BC631" s="237"/>
      <c r="BD631" s="237"/>
      <c r="BE631" s="237"/>
      <c r="BF631" s="237"/>
      <c r="BG631" s="237"/>
      <c r="BH631" s="237"/>
      <c r="BI631" s="237"/>
      <c r="BJ631" s="237"/>
      <c r="BK631" s="237"/>
      <c r="BL631" s="237"/>
      <c r="BM631" s="237"/>
      <c r="BN631" s="237"/>
      <c r="BO631" s="237"/>
      <c r="BP631" s="237"/>
      <c r="BQ631" s="237"/>
      <c r="BR631" s="237"/>
      <c r="BS631" s="237"/>
      <c r="BT631" s="237"/>
      <c r="BU631" s="237"/>
      <c r="BV631" s="237"/>
      <c r="BW631" s="237"/>
      <c r="BX631" s="237"/>
      <c r="BY631" s="237"/>
      <c r="BZ631" s="237"/>
      <c r="CA631" s="237"/>
      <c r="CB631" s="237"/>
      <c r="CC631" s="237"/>
      <c r="CD631" s="237"/>
      <c r="CE631" s="237"/>
      <c r="CF631" s="237"/>
      <c r="CG631" s="237"/>
      <c r="CH631" s="237"/>
      <c r="CI631" s="237"/>
      <c r="CJ631" s="237"/>
      <c r="CK631" s="237"/>
      <c r="CL631" s="237"/>
      <c r="CM631" s="237"/>
      <c r="CN631" s="237"/>
      <c r="CO631" s="237"/>
      <c r="CP631" s="237"/>
      <c r="CQ631" s="237"/>
      <c r="CR631" s="237"/>
      <c r="CS631" s="237"/>
      <c r="CT631" s="237"/>
      <c r="CU631" s="237"/>
      <c r="CV631" s="237"/>
      <c r="CW631" s="237"/>
      <c r="CX631" s="237"/>
      <c r="CY631" s="237"/>
      <c r="CZ631" s="237"/>
      <c r="DA631" s="237"/>
      <c r="DB631" s="237"/>
      <c r="DC631" s="237"/>
      <c r="DD631" s="237"/>
      <c r="DE631" s="237"/>
      <c r="DF631" s="237"/>
      <c r="DG631" s="237"/>
      <c r="DH631" s="237"/>
      <c r="DI631" s="237"/>
      <c r="DJ631" s="237"/>
      <c r="DK631" s="237"/>
      <c r="DL631" s="237"/>
      <c r="DM631" s="237"/>
      <c r="DN631" s="237"/>
      <c r="DO631" s="237"/>
      <c r="DP631" s="237"/>
      <c r="DQ631" s="237"/>
      <c r="DR631" s="237"/>
      <c r="DS631" s="237"/>
      <c r="DT631" s="237"/>
      <c r="DU631" s="237"/>
      <c r="DV631" s="237"/>
      <c r="DW631" s="237"/>
      <c r="DX631" s="237"/>
      <c r="DY631" s="237"/>
      <c r="DZ631" s="237"/>
      <c r="EA631" s="237"/>
      <c r="EB631" s="237"/>
      <c r="EC631" s="237"/>
      <c r="ED631" s="237"/>
      <c r="EE631" s="237"/>
      <c r="EF631" s="237"/>
      <c r="EG631" s="237"/>
      <c r="EH631" s="237"/>
      <c r="EI631" s="237"/>
      <c r="EJ631" s="237"/>
      <c r="EK631" s="237"/>
      <c r="EL631" s="237"/>
      <c r="EM631" s="237"/>
      <c r="EN631" s="237"/>
      <c r="EO631" s="237"/>
      <c r="EP631" s="237"/>
      <c r="EQ631" s="237"/>
      <c r="ER631" s="237"/>
      <c r="ES631" s="9"/>
      <c r="ET631" s="9"/>
      <c r="EU631" s="9"/>
      <c r="EV631" s="9"/>
      <c r="EW631" s="9"/>
      <c r="EX631" s="9"/>
      <c r="EY631" s="9"/>
      <c r="EZ631" s="9"/>
      <c r="FA631" s="9"/>
      <c r="FB631" s="9"/>
      <c r="FC631" s="9"/>
      <c r="FD631" s="9"/>
      <c r="FE631" s="9"/>
      <c r="FF631" s="9"/>
      <c r="FG631" s="9"/>
      <c r="FH631" s="9"/>
      <c r="FI631" s="9"/>
      <c r="FJ631" s="9"/>
      <c r="FK631" s="9"/>
      <c r="FL631" s="9"/>
      <c r="FM631" s="9"/>
      <c r="FN631" s="9"/>
      <c r="FO631" s="9"/>
      <c r="FP631" s="9"/>
    </row>
    <row r="632" customFormat="false" ht="15" hidden="false" customHeight="false" outlineLevel="2" collapsed="false">
      <c r="B632" s="240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237"/>
      <c r="AD632" s="237"/>
      <c r="AE632" s="237"/>
      <c r="AF632" s="237"/>
      <c r="AG632" s="237"/>
      <c r="AH632" s="237"/>
      <c r="AI632" s="237"/>
      <c r="AJ632" s="237"/>
      <c r="AK632" s="237"/>
      <c r="AL632" s="237"/>
      <c r="AM632" s="237"/>
      <c r="AN632" s="237"/>
      <c r="AO632" s="237"/>
      <c r="AP632" s="237"/>
      <c r="AQ632" s="237"/>
      <c r="AR632" s="237"/>
      <c r="AS632" s="237"/>
      <c r="AT632" s="237"/>
      <c r="AU632" s="237"/>
      <c r="AV632" s="237"/>
      <c r="AW632" s="237"/>
      <c r="AX632" s="237"/>
      <c r="AY632" s="237"/>
      <c r="AZ632" s="237"/>
      <c r="BA632" s="237"/>
      <c r="BB632" s="237"/>
      <c r="BC632" s="237"/>
      <c r="BD632" s="237"/>
      <c r="BE632" s="237"/>
      <c r="BF632" s="237"/>
      <c r="BG632" s="237"/>
      <c r="BH632" s="237"/>
      <c r="BI632" s="237"/>
      <c r="BJ632" s="237"/>
      <c r="BK632" s="237"/>
      <c r="BL632" s="237"/>
      <c r="BM632" s="237"/>
      <c r="BN632" s="237"/>
      <c r="BO632" s="237"/>
      <c r="BP632" s="237"/>
      <c r="BQ632" s="237"/>
      <c r="BR632" s="237"/>
      <c r="BS632" s="237"/>
      <c r="BT632" s="237"/>
      <c r="BU632" s="237"/>
      <c r="BV632" s="237"/>
      <c r="BW632" s="237"/>
      <c r="BX632" s="237"/>
      <c r="BY632" s="237"/>
      <c r="BZ632" s="237"/>
      <c r="CA632" s="237"/>
      <c r="CB632" s="237"/>
      <c r="CC632" s="237"/>
      <c r="CD632" s="237"/>
      <c r="CE632" s="237"/>
      <c r="CF632" s="237"/>
      <c r="CG632" s="237"/>
      <c r="CH632" s="237"/>
      <c r="CI632" s="237"/>
      <c r="CJ632" s="237"/>
      <c r="CK632" s="237"/>
      <c r="CL632" s="237"/>
      <c r="CM632" s="237"/>
      <c r="CN632" s="237"/>
      <c r="CO632" s="237"/>
      <c r="CP632" s="237"/>
      <c r="CQ632" s="237"/>
      <c r="CR632" s="237"/>
      <c r="CS632" s="237"/>
      <c r="CT632" s="237"/>
      <c r="CU632" s="237"/>
      <c r="CV632" s="237"/>
      <c r="CW632" s="237"/>
      <c r="CX632" s="237"/>
      <c r="CY632" s="237"/>
      <c r="CZ632" s="237"/>
      <c r="DA632" s="237"/>
      <c r="DB632" s="237"/>
      <c r="DC632" s="237"/>
      <c r="DD632" s="237"/>
      <c r="DE632" s="237"/>
      <c r="DF632" s="237"/>
      <c r="DG632" s="237"/>
      <c r="DH632" s="237"/>
      <c r="DI632" s="237"/>
      <c r="DJ632" s="237"/>
      <c r="DK632" s="237"/>
      <c r="DL632" s="237"/>
      <c r="DM632" s="237"/>
      <c r="DN632" s="237"/>
      <c r="DO632" s="237"/>
      <c r="DP632" s="237"/>
      <c r="DQ632" s="237"/>
      <c r="DR632" s="237"/>
      <c r="DS632" s="237"/>
      <c r="DT632" s="237"/>
      <c r="DU632" s="237"/>
      <c r="DV632" s="237"/>
      <c r="DW632" s="237"/>
      <c r="DX632" s="237"/>
      <c r="DY632" s="237"/>
      <c r="DZ632" s="237"/>
      <c r="EA632" s="237"/>
      <c r="EB632" s="237"/>
      <c r="EC632" s="237"/>
      <c r="ED632" s="237"/>
      <c r="EE632" s="237"/>
      <c r="EF632" s="237"/>
      <c r="EG632" s="237"/>
      <c r="EH632" s="237"/>
      <c r="EI632" s="237"/>
      <c r="EJ632" s="237"/>
      <c r="EK632" s="237"/>
      <c r="EL632" s="237"/>
      <c r="EM632" s="237"/>
      <c r="EN632" s="237"/>
      <c r="EO632" s="237"/>
      <c r="EP632" s="237"/>
      <c r="EQ632" s="237"/>
      <c r="ER632" s="237"/>
      <c r="ES632" s="9"/>
      <c r="ET632" s="9"/>
      <c r="EU632" s="9"/>
      <c r="EV632" s="9"/>
      <c r="EW632" s="9"/>
      <c r="EX632" s="9"/>
      <c r="EY632" s="9"/>
      <c r="EZ632" s="9"/>
      <c r="FA632" s="9"/>
      <c r="FB632" s="9"/>
      <c r="FC632" s="9"/>
      <c r="FD632" s="9"/>
      <c r="FE632" s="9"/>
      <c r="FF632" s="9"/>
      <c r="FG632" s="9"/>
      <c r="FH632" s="9"/>
      <c r="FI632" s="9"/>
      <c r="FJ632" s="9"/>
      <c r="FK632" s="9"/>
      <c r="FL632" s="9"/>
      <c r="FM632" s="9"/>
      <c r="FN632" s="9"/>
      <c r="FO632" s="9"/>
      <c r="FP632" s="9"/>
    </row>
    <row r="633" customFormat="false" ht="15" hidden="false" customHeight="false" outlineLevel="2" collapsed="false">
      <c r="B633" s="21" t="s">
        <v>936</v>
      </c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  <c r="BL633" s="21"/>
      <c r="BM633" s="21"/>
      <c r="BN633" s="21"/>
      <c r="BO633" s="21"/>
      <c r="BP633" s="21"/>
      <c r="BQ633" s="21"/>
      <c r="BR633" s="21"/>
      <c r="BS633" s="21"/>
      <c r="BT633" s="21"/>
      <c r="BU633" s="21"/>
      <c r="BV633" s="21"/>
      <c r="BW633" s="21"/>
      <c r="BX633" s="21"/>
      <c r="BY633" s="21"/>
      <c r="BZ633" s="21"/>
      <c r="CA633" s="21"/>
      <c r="CB633" s="21"/>
      <c r="CC633" s="21"/>
      <c r="CD633" s="21"/>
      <c r="CE633" s="21"/>
      <c r="CF633" s="21"/>
      <c r="CG633" s="21"/>
      <c r="CH633" s="21"/>
      <c r="CI633" s="21"/>
      <c r="CJ633" s="21"/>
      <c r="CK633" s="21"/>
      <c r="CL633" s="21"/>
      <c r="CM633" s="21"/>
      <c r="CN633" s="21"/>
      <c r="CO633" s="21"/>
      <c r="CP633" s="21"/>
      <c r="CQ633" s="21"/>
      <c r="CR633" s="21"/>
      <c r="CS633" s="21"/>
      <c r="CT633" s="21"/>
      <c r="CU633" s="21"/>
      <c r="CV633" s="21"/>
      <c r="CW633" s="21"/>
      <c r="CX633" s="21"/>
      <c r="CY633" s="21"/>
      <c r="CZ633" s="21"/>
      <c r="DA633" s="21"/>
      <c r="DB633" s="21"/>
      <c r="DC633" s="21"/>
      <c r="DD633" s="21"/>
      <c r="DE633" s="21"/>
      <c r="DF633" s="21"/>
      <c r="DG633" s="21"/>
      <c r="DH633" s="21"/>
      <c r="DI633" s="21"/>
      <c r="DJ633" s="21"/>
      <c r="DK633" s="21"/>
      <c r="DL633" s="21"/>
      <c r="DM633" s="21"/>
      <c r="DN633" s="21"/>
      <c r="DO633" s="21"/>
      <c r="DP633" s="21"/>
      <c r="DQ633" s="21"/>
      <c r="DR633" s="21"/>
      <c r="DS633" s="21"/>
      <c r="DT633" s="21"/>
      <c r="DU633" s="21"/>
      <c r="DV633" s="21"/>
      <c r="DW633" s="21"/>
      <c r="DX633" s="21"/>
      <c r="DY633" s="21"/>
      <c r="DZ633" s="21"/>
      <c r="EA633" s="21"/>
      <c r="EB633" s="21"/>
      <c r="EC633" s="21"/>
      <c r="ED633" s="21"/>
      <c r="EE633" s="21"/>
      <c r="EF633" s="21"/>
      <c r="EG633" s="21"/>
      <c r="EH633" s="21"/>
      <c r="EI633" s="21"/>
      <c r="EJ633" s="21"/>
      <c r="EK633" s="21"/>
      <c r="EL633" s="21"/>
      <c r="EM633" s="21"/>
      <c r="EN633" s="21"/>
      <c r="EO633" s="21"/>
      <c r="EP633" s="21"/>
      <c r="EQ633" s="21"/>
      <c r="ER633" s="21"/>
      <c r="ES633" s="9"/>
      <c r="ET633" s="9"/>
      <c r="EU633" s="9"/>
      <c r="EV633" s="9"/>
      <c r="EW633" s="9"/>
      <c r="EX633" s="9"/>
      <c r="EY633" s="9"/>
      <c r="EZ633" s="9"/>
      <c r="FA633" s="9"/>
      <c r="FB633" s="9"/>
      <c r="FC633" s="9"/>
      <c r="FD633" s="9"/>
      <c r="FE633" s="9"/>
      <c r="FF633" s="9"/>
      <c r="FG633" s="9"/>
      <c r="FH633" s="9"/>
      <c r="FI633" s="9"/>
      <c r="FJ633" s="9"/>
      <c r="FK633" s="9"/>
      <c r="FL633" s="9"/>
      <c r="FM633" s="9"/>
      <c r="FN633" s="9"/>
      <c r="FO633" s="9"/>
      <c r="FP633" s="9"/>
    </row>
    <row r="634" customFormat="false" ht="15" hidden="false" customHeight="false" outlineLevel="2" collapsed="false">
      <c r="B634" s="9" t="s">
        <v>872</v>
      </c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234" t="n">
        <f aca="false">('⑫ Roll-out Plan'!G68-2025)*12+'⑫ Roll-out Plan'!F68</f>
        <v>84</v>
      </c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9"/>
      <c r="CN634" s="9"/>
      <c r="CO634" s="9"/>
      <c r="CP634" s="9"/>
      <c r="CQ634" s="9"/>
      <c r="CR634" s="9"/>
      <c r="CS634" s="9"/>
      <c r="CT634" s="9"/>
      <c r="CU634" s="9"/>
      <c r="CV634" s="9"/>
      <c r="CW634" s="9"/>
      <c r="CX634" s="9"/>
      <c r="CY634" s="9"/>
      <c r="CZ634" s="9"/>
      <c r="DA634" s="9"/>
      <c r="DB634" s="9"/>
      <c r="DC634" s="9"/>
      <c r="DD634" s="9"/>
      <c r="DE634" s="9"/>
      <c r="DF634" s="9"/>
      <c r="DG634" s="9"/>
      <c r="DH634" s="9"/>
      <c r="DI634" s="9"/>
      <c r="DJ634" s="9"/>
      <c r="DK634" s="9"/>
      <c r="DL634" s="9"/>
      <c r="DM634" s="9"/>
      <c r="DN634" s="9"/>
      <c r="DO634" s="9"/>
      <c r="DP634" s="9"/>
      <c r="DQ634" s="9"/>
      <c r="DR634" s="9"/>
      <c r="DS634" s="9"/>
      <c r="DT634" s="9"/>
      <c r="DU634" s="9"/>
      <c r="DV634" s="9"/>
      <c r="DW634" s="9"/>
      <c r="DX634" s="9"/>
      <c r="DY634" s="9"/>
      <c r="DZ634" s="9"/>
      <c r="EA634" s="9"/>
      <c r="EB634" s="9"/>
      <c r="EC634" s="9"/>
      <c r="ED634" s="9"/>
      <c r="EE634" s="9"/>
      <c r="EF634" s="9"/>
      <c r="EG634" s="9"/>
      <c r="EH634" s="9"/>
      <c r="EI634" s="9"/>
      <c r="EJ634" s="9"/>
      <c r="EK634" s="9"/>
      <c r="EL634" s="9"/>
      <c r="EM634" s="9"/>
      <c r="EN634" s="9"/>
      <c r="EO634" s="9"/>
      <c r="EP634" s="9"/>
      <c r="EQ634" s="9"/>
      <c r="ER634" s="9"/>
      <c r="ES634" s="9"/>
      <c r="ET634" s="9"/>
      <c r="EU634" s="9"/>
      <c r="EV634" s="9"/>
      <c r="EW634" s="9"/>
      <c r="EX634" s="9"/>
      <c r="EY634" s="9"/>
      <c r="EZ634" s="9"/>
      <c r="FA634" s="9"/>
      <c r="FB634" s="9"/>
      <c r="FC634" s="9"/>
      <c r="FD634" s="9"/>
      <c r="FE634" s="9"/>
      <c r="FF634" s="9"/>
      <c r="FG634" s="9"/>
      <c r="FH634" s="9"/>
      <c r="FI634" s="9"/>
      <c r="FJ634" s="9"/>
      <c r="FK634" s="9"/>
      <c r="FL634" s="9"/>
      <c r="FM634" s="9"/>
      <c r="FN634" s="9"/>
      <c r="FO634" s="9"/>
      <c r="FP634" s="9"/>
    </row>
    <row r="635" customFormat="false" ht="15" hidden="false" customHeight="false" outlineLevel="2" collapsed="false">
      <c r="B635" s="9" t="s">
        <v>873</v>
      </c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235" t="n">
        <f aca="false">VLOOKUP("B",$B$14:$C$18,2,FALSE())</f>
        <v>185</v>
      </c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9"/>
      <c r="CM635" s="9"/>
      <c r="CN635" s="9"/>
      <c r="CO635" s="9"/>
      <c r="CP635" s="9"/>
      <c r="CQ635" s="9"/>
      <c r="CR635" s="9"/>
      <c r="CS635" s="9"/>
      <c r="CT635" s="9"/>
      <c r="CU635" s="9"/>
      <c r="CV635" s="9"/>
      <c r="CW635" s="9"/>
      <c r="CX635" s="9"/>
      <c r="CY635" s="9"/>
      <c r="CZ635" s="9"/>
      <c r="DA635" s="9"/>
      <c r="DB635" s="9"/>
      <c r="DC635" s="9"/>
      <c r="DD635" s="9"/>
      <c r="DE635" s="9"/>
      <c r="DF635" s="9"/>
      <c r="DG635" s="9"/>
      <c r="DH635" s="9"/>
      <c r="DI635" s="9"/>
      <c r="DJ635" s="9"/>
      <c r="DK635" s="9"/>
      <c r="DL635" s="9"/>
      <c r="DM635" s="9"/>
      <c r="DN635" s="9"/>
      <c r="DO635" s="9"/>
      <c r="DP635" s="9"/>
      <c r="DQ635" s="9"/>
      <c r="DR635" s="9"/>
      <c r="DS635" s="9"/>
      <c r="DT635" s="9"/>
      <c r="DU635" s="9"/>
      <c r="DV635" s="9"/>
      <c r="DW635" s="9"/>
      <c r="DX635" s="9"/>
      <c r="DY635" s="9"/>
      <c r="DZ635" s="9"/>
      <c r="EA635" s="9"/>
      <c r="EB635" s="9"/>
      <c r="EC635" s="9"/>
      <c r="ED635" s="9"/>
      <c r="EE635" s="9"/>
      <c r="EF635" s="9"/>
      <c r="EG635" s="9"/>
      <c r="EH635" s="9"/>
      <c r="EI635" s="9"/>
      <c r="EJ635" s="9"/>
      <c r="EK635" s="9"/>
      <c r="EL635" s="9"/>
      <c r="EM635" s="9"/>
      <c r="EN635" s="9"/>
      <c r="EO635" s="9"/>
      <c r="EP635" s="9"/>
      <c r="EQ635" s="9"/>
      <c r="ER635" s="9"/>
      <c r="ES635" s="9"/>
      <c r="ET635" s="9"/>
      <c r="EU635" s="9"/>
      <c r="EV635" s="9"/>
      <c r="EW635" s="9"/>
      <c r="EX635" s="9"/>
      <c r="EY635" s="9"/>
      <c r="EZ635" s="9"/>
      <c r="FA635" s="9"/>
      <c r="FB635" s="9"/>
      <c r="FC635" s="9"/>
      <c r="FD635" s="9"/>
      <c r="FE635" s="9"/>
      <c r="FF635" s="9"/>
      <c r="FG635" s="9"/>
      <c r="FH635" s="9"/>
      <c r="FI635" s="9"/>
      <c r="FJ635" s="9"/>
      <c r="FK635" s="9"/>
      <c r="FL635" s="9"/>
      <c r="FM635" s="9"/>
      <c r="FN635" s="9"/>
      <c r="FO635" s="9"/>
      <c r="FP635" s="9"/>
    </row>
    <row r="636" customFormat="false" ht="15" hidden="false" customHeight="false" outlineLevel="2" collapsed="false">
      <c r="B636" s="9" t="s">
        <v>799</v>
      </c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63" t="n">
        <f aca="false">IF(AC$35&gt;=$AC$634,AC$35-$AC$634+1,0)</f>
        <v>0</v>
      </c>
      <c r="AD636" s="63" t="n">
        <f aca="false">IF(AD$35&gt;=$AC$634,AD$35-$AC$634+1,0)</f>
        <v>0</v>
      </c>
      <c r="AE636" s="63" t="n">
        <f aca="false">IF(AE$35&gt;=$AC$634,AE$35-$AC$634+1,0)</f>
        <v>0</v>
      </c>
      <c r="AF636" s="63" t="n">
        <f aca="false">IF(AF$35&gt;=$AC$634,AF$35-$AC$634+1,0)</f>
        <v>0</v>
      </c>
      <c r="AG636" s="63" t="n">
        <f aca="false">IF(AG$35&gt;=$AC$634,AG$35-$AC$634+1,0)</f>
        <v>0</v>
      </c>
      <c r="AH636" s="63" t="n">
        <f aca="false">IF(AH$35&gt;=$AC$634,AH$35-$AC$634+1,0)</f>
        <v>0</v>
      </c>
      <c r="AI636" s="63" t="n">
        <f aca="false">IF(AI$35&gt;=$AC$634,AI$35-$AC$634+1,0)</f>
        <v>0</v>
      </c>
      <c r="AJ636" s="63" t="n">
        <f aca="false">IF(AJ$35&gt;=$AC$634,AJ$35-$AC$634+1,0)</f>
        <v>0</v>
      </c>
      <c r="AK636" s="63" t="n">
        <f aca="false">IF(AK$35&gt;=$AC$634,AK$35-$AC$634+1,0)</f>
        <v>0</v>
      </c>
      <c r="AL636" s="63" t="n">
        <f aca="false">IF(AL$35&gt;=$AC$634,AL$35-$AC$634+1,0)</f>
        <v>0</v>
      </c>
      <c r="AM636" s="63" t="n">
        <f aca="false">IF(AM$35&gt;=$AC$634,AM$35-$AC$634+1,0)</f>
        <v>0</v>
      </c>
      <c r="AN636" s="63" t="n">
        <f aca="false">IF(AN$35&gt;=$AC$634,AN$35-$AC$634+1,0)</f>
        <v>0</v>
      </c>
      <c r="AO636" s="63" t="n">
        <f aca="false">IF(AO$35&gt;=$AC$634,AO$35-$AC$634+1,0)</f>
        <v>0</v>
      </c>
      <c r="AP636" s="63" t="n">
        <f aca="false">IF(AP$35&gt;=$AC$634,AP$35-$AC$634+1,0)</f>
        <v>0</v>
      </c>
      <c r="AQ636" s="63" t="n">
        <f aca="false">IF(AQ$35&gt;=$AC$634,AQ$35-$AC$634+1,0)</f>
        <v>0</v>
      </c>
      <c r="AR636" s="63" t="n">
        <f aca="false">IF(AR$35&gt;=$AC$634,AR$35-$AC$634+1,0)</f>
        <v>0</v>
      </c>
      <c r="AS636" s="63" t="n">
        <f aca="false">IF(AS$35&gt;=$AC$634,AS$35-$AC$634+1,0)</f>
        <v>0</v>
      </c>
      <c r="AT636" s="63" t="n">
        <f aca="false">IF(AT$35&gt;=$AC$634,AT$35-$AC$634+1,0)</f>
        <v>0</v>
      </c>
      <c r="AU636" s="63" t="n">
        <f aca="false">IF(AU$35&gt;=$AC$634,AU$35-$AC$634+1,0)</f>
        <v>0</v>
      </c>
      <c r="AV636" s="63" t="n">
        <f aca="false">IF(AV$35&gt;=$AC$634,AV$35-$AC$634+1,0)</f>
        <v>0</v>
      </c>
      <c r="AW636" s="63" t="n">
        <f aca="false">IF(AW$35&gt;=$AC$634,AW$35-$AC$634+1,0)</f>
        <v>0</v>
      </c>
      <c r="AX636" s="63" t="n">
        <f aca="false">IF(AX$35&gt;=$AC$634,AX$35-$AC$634+1,0)</f>
        <v>0</v>
      </c>
      <c r="AY636" s="63" t="n">
        <f aca="false">IF(AY$35&gt;=$AC$634,AY$35-$AC$634+1,0)</f>
        <v>0</v>
      </c>
      <c r="AZ636" s="63" t="n">
        <f aca="false">IF(AZ$35&gt;=$AC$634,AZ$35-$AC$634+1,0)</f>
        <v>0</v>
      </c>
      <c r="BA636" s="63" t="n">
        <f aca="false">IF(BA$35&gt;=$AC$634,BA$35-$AC$634+1,0)</f>
        <v>0</v>
      </c>
      <c r="BB636" s="63" t="n">
        <f aca="false">IF(BB$35&gt;=$AC$634,BB$35-$AC$634+1,0)</f>
        <v>0</v>
      </c>
      <c r="BC636" s="63" t="n">
        <f aca="false">IF(BC$35&gt;=$AC$634,BC$35-$AC$634+1,0)</f>
        <v>0</v>
      </c>
      <c r="BD636" s="63" t="n">
        <f aca="false">IF(BD$35&gt;=$AC$634,BD$35-$AC$634+1,0)</f>
        <v>0</v>
      </c>
      <c r="BE636" s="63" t="n">
        <f aca="false">IF(BE$35&gt;=$AC$634,BE$35-$AC$634+1,0)</f>
        <v>0</v>
      </c>
      <c r="BF636" s="63" t="n">
        <f aca="false">IF(BF$35&gt;=$AC$634,BF$35-$AC$634+1,0)</f>
        <v>0</v>
      </c>
      <c r="BG636" s="63" t="n">
        <f aca="false">IF(BG$35&gt;=$AC$634,BG$35-$AC$634+1,0)</f>
        <v>0</v>
      </c>
      <c r="BH636" s="63" t="n">
        <f aca="false">IF(BH$35&gt;=$AC$634,BH$35-$AC$634+1,0)</f>
        <v>0</v>
      </c>
      <c r="BI636" s="63" t="n">
        <f aca="false">IF(BI$35&gt;=$AC$634,BI$35-$AC$634+1,0)</f>
        <v>0</v>
      </c>
      <c r="BJ636" s="63" t="n">
        <f aca="false">IF(BJ$35&gt;=$AC$634,BJ$35-$AC$634+1,0)</f>
        <v>0</v>
      </c>
      <c r="BK636" s="63" t="n">
        <f aca="false">IF(BK$35&gt;=$AC$634,BK$35-$AC$634+1,0)</f>
        <v>0</v>
      </c>
      <c r="BL636" s="63" t="n">
        <f aca="false">IF(BL$35&gt;=$AC$634,BL$35-$AC$634+1,0)</f>
        <v>0</v>
      </c>
      <c r="BM636" s="63" t="n">
        <f aca="false">IF(BM$35&gt;=$AC$634,BM$35-$AC$634+1,0)</f>
        <v>0</v>
      </c>
      <c r="BN636" s="63" t="n">
        <f aca="false">IF(BN$35&gt;=$AC$634,BN$35-$AC$634+1,0)</f>
        <v>0</v>
      </c>
      <c r="BO636" s="63" t="n">
        <f aca="false">IF(BO$35&gt;=$AC$634,BO$35-$AC$634+1,0)</f>
        <v>0</v>
      </c>
      <c r="BP636" s="63" t="n">
        <f aca="false">IF(BP$35&gt;=$AC$634,BP$35-$AC$634+1,0)</f>
        <v>0</v>
      </c>
      <c r="BQ636" s="63" t="n">
        <f aca="false">IF(BQ$35&gt;=$AC$634,BQ$35-$AC$634+1,0)</f>
        <v>0</v>
      </c>
      <c r="BR636" s="63" t="n">
        <f aca="false">IF(BR$35&gt;=$AC$634,BR$35-$AC$634+1,0)</f>
        <v>0</v>
      </c>
      <c r="BS636" s="63" t="n">
        <f aca="false">IF(BS$35&gt;=$AC$634,BS$35-$AC$634+1,0)</f>
        <v>0</v>
      </c>
      <c r="BT636" s="63" t="n">
        <f aca="false">IF(BT$35&gt;=$AC$634,BT$35-$AC$634+1,0)</f>
        <v>0</v>
      </c>
      <c r="BU636" s="63" t="n">
        <f aca="false">IF(BU$35&gt;=$AC$634,BU$35-$AC$634+1,0)</f>
        <v>0</v>
      </c>
      <c r="BV636" s="63" t="n">
        <f aca="false">IF(BV$35&gt;=$AC$634,BV$35-$AC$634+1,0)</f>
        <v>0</v>
      </c>
      <c r="BW636" s="63" t="n">
        <f aca="false">IF(BW$35&gt;=$AC$634,BW$35-$AC$634+1,0)</f>
        <v>0</v>
      </c>
      <c r="BX636" s="63" t="n">
        <f aca="false">IF(BX$35&gt;=$AC$634,BX$35-$AC$634+1,0)</f>
        <v>0</v>
      </c>
      <c r="BY636" s="63" t="n">
        <f aca="false">IF(BY$35&gt;=$AC$634,BY$35-$AC$634+1,0)</f>
        <v>0</v>
      </c>
      <c r="BZ636" s="63" t="n">
        <f aca="false">IF(BZ$35&gt;=$AC$634,BZ$35-$AC$634+1,0)</f>
        <v>0</v>
      </c>
      <c r="CA636" s="63" t="n">
        <f aca="false">IF(CA$35&gt;=$AC$634,CA$35-$AC$634+1,0)</f>
        <v>0</v>
      </c>
      <c r="CB636" s="63" t="n">
        <f aca="false">IF(CB$35&gt;=$AC$634,CB$35-$AC$634+1,0)</f>
        <v>0</v>
      </c>
      <c r="CC636" s="63" t="n">
        <f aca="false">IF(CC$35&gt;=$AC$634,CC$35-$AC$634+1,0)</f>
        <v>0</v>
      </c>
      <c r="CD636" s="63" t="n">
        <f aca="false">IF(CD$35&gt;=$AC$634,CD$35-$AC$634+1,0)</f>
        <v>0</v>
      </c>
      <c r="CE636" s="63" t="n">
        <f aca="false">IF(CE$35&gt;=$AC$634,CE$35-$AC$634+1,0)</f>
        <v>0</v>
      </c>
      <c r="CF636" s="63" t="n">
        <f aca="false">IF(CF$35&gt;=$AC$634,CF$35-$AC$634+1,0)</f>
        <v>0</v>
      </c>
      <c r="CG636" s="63" t="n">
        <f aca="false">IF(CG$35&gt;=$AC$634,CG$35-$AC$634+1,0)</f>
        <v>0</v>
      </c>
      <c r="CH636" s="63" t="n">
        <f aca="false">IF(CH$35&gt;=$AC$634,CH$35-$AC$634+1,0)</f>
        <v>0</v>
      </c>
      <c r="CI636" s="63" t="n">
        <f aca="false">IF(CI$35&gt;=$AC$634,CI$35-$AC$634+1,0)</f>
        <v>0</v>
      </c>
      <c r="CJ636" s="63" t="n">
        <f aca="false">IF(CJ$35&gt;=$AC$634,CJ$35-$AC$634+1,0)</f>
        <v>0</v>
      </c>
      <c r="CK636" s="63" t="n">
        <f aca="false">IF(CK$35&gt;=$AC$634,CK$35-$AC$634+1,0)</f>
        <v>0</v>
      </c>
      <c r="CL636" s="63" t="n">
        <f aca="false">IF(CL$35&gt;=$AC$634,CL$35-$AC$634+1,0)</f>
        <v>0</v>
      </c>
      <c r="CM636" s="63" t="n">
        <f aca="false">IF(CM$35&gt;=$AC$634,CM$35-$AC$634+1,0)</f>
        <v>0</v>
      </c>
      <c r="CN636" s="63" t="n">
        <f aca="false">IF(CN$35&gt;=$AC$634,CN$35-$AC$634+1,0)</f>
        <v>0</v>
      </c>
      <c r="CO636" s="63" t="n">
        <f aca="false">IF(CO$35&gt;=$AC$634,CO$35-$AC$634+1,0)</f>
        <v>0</v>
      </c>
      <c r="CP636" s="63" t="n">
        <f aca="false">IF(CP$35&gt;=$AC$634,CP$35-$AC$634+1,0)</f>
        <v>0</v>
      </c>
      <c r="CQ636" s="63" t="n">
        <f aca="false">IF(CQ$35&gt;=$AC$634,CQ$35-$AC$634+1,0)</f>
        <v>0</v>
      </c>
      <c r="CR636" s="63" t="n">
        <f aca="false">IF(CR$35&gt;=$AC$634,CR$35-$AC$634+1,0)</f>
        <v>0</v>
      </c>
      <c r="CS636" s="63" t="n">
        <f aca="false">IF(CS$35&gt;=$AC$634,CS$35-$AC$634+1,0)</f>
        <v>0</v>
      </c>
      <c r="CT636" s="63" t="n">
        <f aca="false">IF(CT$35&gt;=$AC$634,CT$35-$AC$634+1,0)</f>
        <v>0</v>
      </c>
      <c r="CU636" s="63" t="n">
        <f aca="false">IF(CU$35&gt;=$AC$634,CU$35-$AC$634+1,0)</f>
        <v>0</v>
      </c>
      <c r="CV636" s="63" t="n">
        <f aca="false">IF(CV$35&gt;=$AC$634,CV$35-$AC$634+1,0)</f>
        <v>0</v>
      </c>
      <c r="CW636" s="63" t="n">
        <f aca="false">IF(CW$35&gt;=$AC$634,CW$35-$AC$634+1,0)</f>
        <v>0</v>
      </c>
      <c r="CX636" s="63" t="n">
        <f aca="false">IF(CX$35&gt;=$AC$634,CX$35-$AC$634+1,0)</f>
        <v>0</v>
      </c>
      <c r="CY636" s="63" t="n">
        <f aca="false">IF(CY$35&gt;=$AC$634,CY$35-$AC$634+1,0)</f>
        <v>0</v>
      </c>
      <c r="CZ636" s="63" t="n">
        <f aca="false">IF(CZ$35&gt;=$AC$634,CZ$35-$AC$634+1,0)</f>
        <v>0</v>
      </c>
      <c r="DA636" s="63" t="n">
        <f aca="false">IF(DA$35&gt;=$AC$634,DA$35-$AC$634+1,0)</f>
        <v>0</v>
      </c>
      <c r="DB636" s="63" t="n">
        <f aca="false">IF(DB$35&gt;=$AC$634,DB$35-$AC$634+1,0)</f>
        <v>0</v>
      </c>
      <c r="DC636" s="63" t="n">
        <f aca="false">IF(DC$35&gt;=$AC$634,DC$35-$AC$634+1,0)</f>
        <v>0</v>
      </c>
      <c r="DD636" s="63" t="n">
        <f aca="false">IF(DD$35&gt;=$AC$634,DD$35-$AC$634+1,0)</f>
        <v>0</v>
      </c>
      <c r="DE636" s="63" t="n">
        <f aca="false">IF(DE$35&gt;=$AC$634,DE$35-$AC$634+1,0)</f>
        <v>0</v>
      </c>
      <c r="DF636" s="63" t="n">
        <f aca="false">IF(DF$35&gt;=$AC$634,DF$35-$AC$634+1,0)</f>
        <v>0</v>
      </c>
      <c r="DG636" s="63" t="n">
        <f aca="false">IF(DG$35&gt;=$AC$634,DG$35-$AC$634+1,0)</f>
        <v>0</v>
      </c>
      <c r="DH636" s="63" t="n">
        <f aca="false">IF(DH$35&gt;=$AC$634,DH$35-$AC$634+1,0)</f>
        <v>1</v>
      </c>
      <c r="DI636" s="63" t="n">
        <f aca="false">IF(DI$35&gt;=$AC$634,DI$35-$AC$634+1,0)</f>
        <v>2</v>
      </c>
      <c r="DJ636" s="63" t="n">
        <f aca="false">IF(DJ$35&gt;=$AC$634,DJ$35-$AC$634+1,0)</f>
        <v>3</v>
      </c>
      <c r="DK636" s="63" t="n">
        <f aca="false">IF(DK$35&gt;=$AC$634,DK$35-$AC$634+1,0)</f>
        <v>4</v>
      </c>
      <c r="DL636" s="63" t="n">
        <f aca="false">IF(DL$35&gt;=$AC$634,DL$35-$AC$634+1,0)</f>
        <v>5</v>
      </c>
      <c r="DM636" s="63" t="n">
        <f aca="false">IF(DM$35&gt;=$AC$634,DM$35-$AC$634+1,0)</f>
        <v>6</v>
      </c>
      <c r="DN636" s="63" t="n">
        <f aca="false">IF(DN$35&gt;=$AC$634,DN$35-$AC$634+1,0)</f>
        <v>7</v>
      </c>
      <c r="DO636" s="63" t="n">
        <f aca="false">IF(DO$35&gt;=$AC$634,DO$35-$AC$634+1,0)</f>
        <v>8</v>
      </c>
      <c r="DP636" s="63" t="n">
        <f aca="false">IF(DP$35&gt;=$AC$634,DP$35-$AC$634+1,0)</f>
        <v>9</v>
      </c>
      <c r="DQ636" s="63" t="n">
        <f aca="false">IF(DQ$35&gt;=$AC$634,DQ$35-$AC$634+1,0)</f>
        <v>10</v>
      </c>
      <c r="DR636" s="63" t="n">
        <f aca="false">IF(DR$35&gt;=$AC$634,DR$35-$AC$634+1,0)</f>
        <v>11</v>
      </c>
      <c r="DS636" s="63" t="n">
        <f aca="false">IF(DS$35&gt;=$AC$634,DS$35-$AC$634+1,0)</f>
        <v>12</v>
      </c>
      <c r="DT636" s="63" t="n">
        <f aca="false">IF(DT$35&gt;=$AC$634,DT$35-$AC$634+1,0)</f>
        <v>13</v>
      </c>
      <c r="DU636" s="63" t="n">
        <f aca="false">IF(DU$35&gt;=$AC$634,DU$35-$AC$634+1,0)</f>
        <v>14</v>
      </c>
      <c r="DV636" s="63" t="n">
        <f aca="false">IF(DV$35&gt;=$AC$634,DV$35-$AC$634+1,0)</f>
        <v>15</v>
      </c>
      <c r="DW636" s="63" t="n">
        <f aca="false">IF(DW$35&gt;=$AC$634,DW$35-$AC$634+1,0)</f>
        <v>16</v>
      </c>
      <c r="DX636" s="63" t="n">
        <f aca="false">IF(DX$35&gt;=$AC$634,DX$35-$AC$634+1,0)</f>
        <v>17</v>
      </c>
      <c r="DY636" s="63" t="n">
        <f aca="false">IF(DY$35&gt;=$AC$634,DY$35-$AC$634+1,0)</f>
        <v>18</v>
      </c>
      <c r="DZ636" s="63" t="n">
        <f aca="false">IF(DZ$35&gt;=$AC$634,DZ$35-$AC$634+1,0)</f>
        <v>19</v>
      </c>
      <c r="EA636" s="63" t="n">
        <f aca="false">IF(EA$35&gt;=$AC$634,EA$35-$AC$634+1,0)</f>
        <v>20</v>
      </c>
      <c r="EB636" s="63" t="n">
        <f aca="false">IF(EB$35&gt;=$AC$634,EB$35-$AC$634+1,0)</f>
        <v>21</v>
      </c>
      <c r="EC636" s="63" t="n">
        <f aca="false">IF(EC$35&gt;=$AC$634,EC$35-$AC$634+1,0)</f>
        <v>22</v>
      </c>
      <c r="ED636" s="63" t="n">
        <f aca="false">IF(ED$35&gt;=$AC$634,ED$35-$AC$634+1,0)</f>
        <v>23</v>
      </c>
      <c r="EE636" s="63" t="n">
        <f aca="false">IF(EE$35&gt;=$AC$634,EE$35-$AC$634+1,0)</f>
        <v>24</v>
      </c>
      <c r="EF636" s="63" t="n">
        <f aca="false">IF(EF$35&gt;=$AC$634,EF$35-$AC$634+1,0)</f>
        <v>25</v>
      </c>
      <c r="EG636" s="63" t="n">
        <f aca="false">IF(EG$35&gt;=$AC$634,EG$35-$AC$634+1,0)</f>
        <v>26</v>
      </c>
      <c r="EH636" s="63" t="n">
        <f aca="false">IF(EH$35&gt;=$AC$634,EH$35-$AC$634+1,0)</f>
        <v>27</v>
      </c>
      <c r="EI636" s="63" t="n">
        <f aca="false">IF(EI$35&gt;=$AC$634,EI$35-$AC$634+1,0)</f>
        <v>28</v>
      </c>
      <c r="EJ636" s="63" t="n">
        <f aca="false">IF(EJ$35&gt;=$AC$634,EJ$35-$AC$634+1,0)</f>
        <v>29</v>
      </c>
      <c r="EK636" s="63" t="n">
        <f aca="false">IF(EK$35&gt;=$AC$634,EK$35-$AC$634+1,0)</f>
        <v>30</v>
      </c>
      <c r="EL636" s="63" t="n">
        <f aca="false">IF(EL$35&gt;=$AC$634,EL$35-$AC$634+1,0)</f>
        <v>31</v>
      </c>
      <c r="EM636" s="63" t="n">
        <f aca="false">IF(EM$35&gt;=$AC$634,EM$35-$AC$634+1,0)</f>
        <v>32</v>
      </c>
      <c r="EN636" s="63" t="n">
        <f aca="false">IF(EN$35&gt;=$AC$634,EN$35-$AC$634+1,0)</f>
        <v>33</v>
      </c>
      <c r="EO636" s="63" t="n">
        <f aca="false">IF(EO$35&gt;=$AC$634,EO$35-$AC$634+1,0)</f>
        <v>34</v>
      </c>
      <c r="EP636" s="63" t="n">
        <f aca="false">IF(EP$35&gt;=$AC$634,EP$35-$AC$634+1,0)</f>
        <v>35</v>
      </c>
      <c r="EQ636" s="63" t="n">
        <f aca="false">IF(EQ$35&gt;=$AC$634,EQ$35-$AC$634+1,0)</f>
        <v>36</v>
      </c>
      <c r="ER636" s="63" t="n">
        <f aca="false">IF(ER$35&gt;=$AC$634,ER$35-$AC$634+1,0)</f>
        <v>37</v>
      </c>
      <c r="ES636" s="9" t="n">
        <f aca="false">IF(ES$35&gt;=$AC$634,ES$35-$AC$634+1,0)</f>
        <v>38</v>
      </c>
      <c r="ET636" s="9" t="n">
        <f aca="false">IF(ET$35&gt;=$AC$634,ET$35-$AC$634+1,0)</f>
        <v>39</v>
      </c>
      <c r="EU636" s="9" t="n">
        <f aca="false">IF(EU$35&gt;=$AC$634,EU$35-$AC$634+1,0)</f>
        <v>40</v>
      </c>
      <c r="EV636" s="9" t="n">
        <f aca="false">IF(EV$35&gt;=$AC$634,EV$35-$AC$634+1,0)</f>
        <v>41</v>
      </c>
      <c r="EW636" s="9" t="n">
        <f aca="false">IF(EW$35&gt;=$AC$634,EW$35-$AC$634+1,0)</f>
        <v>42</v>
      </c>
      <c r="EX636" s="9" t="n">
        <f aca="false">IF(EX$35&gt;=$AC$634,EX$35-$AC$634+1,0)</f>
        <v>43</v>
      </c>
      <c r="EY636" s="9" t="n">
        <f aca="false">IF(EY$35&gt;=$AC$634,EY$35-$AC$634+1,0)</f>
        <v>44</v>
      </c>
      <c r="EZ636" s="9" t="n">
        <f aca="false">IF(EZ$35&gt;=$AC$634,EZ$35-$AC$634+1,0)</f>
        <v>45</v>
      </c>
      <c r="FA636" s="9" t="n">
        <f aca="false">IF(FA$35&gt;=$AC$634,FA$35-$AC$634+1,0)</f>
        <v>46</v>
      </c>
      <c r="FB636" s="9" t="n">
        <f aca="false">IF(FB$35&gt;=$AC$634,FB$35-$AC$634+1,0)</f>
        <v>47</v>
      </c>
      <c r="FC636" s="9" t="n">
        <f aca="false">IF(FC$35&gt;=$AC$634,FC$35-$AC$634+1,0)</f>
        <v>48</v>
      </c>
      <c r="FD636" s="9" t="n">
        <f aca="false">IF(FD$35&gt;=$AC$634,FD$35-$AC$634+1,0)</f>
        <v>49</v>
      </c>
      <c r="FE636" s="9" t="n">
        <f aca="false">IF(FE$35&gt;=$AC$634,FE$35-$AC$634+1,0)</f>
        <v>50</v>
      </c>
      <c r="FF636" s="9" t="n">
        <f aca="false">IF(FF$35&gt;=$AC$634,FF$35-$AC$634+1,0)</f>
        <v>51</v>
      </c>
      <c r="FG636" s="9" t="n">
        <f aca="false">IF(FG$35&gt;=$AC$634,FG$35-$AC$634+1,0)</f>
        <v>52</v>
      </c>
      <c r="FH636" s="9" t="n">
        <f aca="false">IF(FH$35&gt;=$AC$634,FH$35-$AC$634+1,0)</f>
        <v>53</v>
      </c>
      <c r="FI636" s="9" t="n">
        <f aca="false">IF(FI$35&gt;=$AC$634,FI$35-$AC$634+1,0)</f>
        <v>54</v>
      </c>
      <c r="FJ636" s="9" t="n">
        <f aca="false">IF(FJ$35&gt;=$AC$634,FJ$35-$AC$634+1,0)</f>
        <v>55</v>
      </c>
      <c r="FK636" s="9" t="n">
        <f aca="false">IF(FK$35&gt;=$AC$634,FK$35-$AC$634+1,0)</f>
        <v>56</v>
      </c>
      <c r="FL636" s="9" t="n">
        <f aca="false">IF(FL$35&gt;=$AC$634,FL$35-$AC$634+1,0)</f>
        <v>57</v>
      </c>
      <c r="FM636" s="9" t="n">
        <f aca="false">IF(FM$35&gt;=$AC$634,FM$35-$AC$634+1,0)</f>
        <v>58</v>
      </c>
      <c r="FN636" s="9" t="n">
        <f aca="false">IF(FN$35&gt;=$AC$634,FN$35-$AC$634+1,0)</f>
        <v>59</v>
      </c>
      <c r="FO636" s="9" t="n">
        <f aca="false">IF(FO$35&gt;=$AC$634,FO$35-$AC$634+1,0)</f>
        <v>60</v>
      </c>
      <c r="FP636" s="9" t="n">
        <f aca="false">IF(FP$35&gt;=$AC$634,FP$35-$AC$634+1,0)</f>
        <v>61</v>
      </c>
    </row>
    <row r="637" customFormat="false" ht="15" hidden="false" customHeight="false" outlineLevel="2" collapsed="false">
      <c r="B637" s="9" t="s">
        <v>874</v>
      </c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236" t="n">
        <f aca="false" t="array" ref="AC637:AC637">IF(AC636=0,0,IF(AC636/'🎚️ Escenario'!$C$11&gt;=36,$AL$23,INDEX($C$23:$AL$23,MAX(1,ROUNDUP(AC636/'🎚️ Escenario'!$C$11,0)))))</f>
        <v>0</v>
      </c>
      <c r="AD637" s="236" t="n">
        <f aca="false" t="array" ref="AD637:AD637">IF(AD636=0,0,IF(AD636/'🎚️ Escenario'!$C$11&gt;=36,$AL$23,INDEX($C$23:$AL$23,MAX(1,ROUNDUP(AD636/'🎚️ Escenario'!$C$11,0)))))</f>
        <v>0</v>
      </c>
      <c r="AE637" s="236" t="n">
        <f aca="false" t="array" ref="AE637:AE637">IF(AE636=0,0,IF(AE636/'🎚️ Escenario'!$C$11&gt;=36,$AL$23,INDEX($C$23:$AL$23,MAX(1,ROUNDUP(AE636/'🎚️ Escenario'!$C$11,0)))))</f>
        <v>0</v>
      </c>
      <c r="AF637" s="236" t="n">
        <f aca="false" t="array" ref="AF637:AF637">IF(AF636=0,0,IF(AF636/'🎚️ Escenario'!$C$11&gt;=36,$AL$23,INDEX($C$23:$AL$23,MAX(1,ROUNDUP(AF636/'🎚️ Escenario'!$C$11,0)))))</f>
        <v>0</v>
      </c>
      <c r="AG637" s="236" t="n">
        <f aca="false" t="array" ref="AG637:AG637">IF(AG636=0,0,IF(AG636/'🎚️ Escenario'!$C$11&gt;=36,$AL$23,INDEX($C$23:$AL$23,MAX(1,ROUNDUP(AG636/'🎚️ Escenario'!$C$11,0)))))</f>
        <v>0</v>
      </c>
      <c r="AH637" s="236" t="n">
        <f aca="false" t="array" ref="AH637:AH637">IF(AH636=0,0,IF(AH636/'🎚️ Escenario'!$C$11&gt;=36,$AL$23,INDEX($C$23:$AL$23,MAX(1,ROUNDUP(AH636/'🎚️ Escenario'!$C$11,0)))))</f>
        <v>0</v>
      </c>
      <c r="AI637" s="236" t="n">
        <f aca="false" t="array" ref="AI637:AI637">IF(AI636=0,0,IF(AI636/'🎚️ Escenario'!$C$11&gt;=36,$AL$23,INDEX($C$23:$AL$23,MAX(1,ROUNDUP(AI636/'🎚️ Escenario'!$C$11,0)))))</f>
        <v>0</v>
      </c>
      <c r="AJ637" s="236" t="n">
        <f aca="false" t="array" ref="AJ637:AJ637">IF(AJ636=0,0,IF(AJ636/'🎚️ Escenario'!$C$11&gt;=36,$AL$23,INDEX($C$23:$AL$23,MAX(1,ROUNDUP(AJ636/'🎚️ Escenario'!$C$11,0)))))</f>
        <v>0</v>
      </c>
      <c r="AK637" s="236" t="n">
        <f aca="false" t="array" ref="AK637:AK637">IF(AK636=0,0,IF(AK636/'🎚️ Escenario'!$C$11&gt;=36,$AL$23,INDEX($C$23:$AL$23,MAX(1,ROUNDUP(AK636/'🎚️ Escenario'!$C$11,0)))))</f>
        <v>0</v>
      </c>
      <c r="AL637" s="236" t="n">
        <f aca="false" t="array" ref="AL637:AL637">IF(AL636=0,0,IF(AL636/'🎚️ Escenario'!$C$11&gt;=36,$AL$23,INDEX($C$23:$AL$23,MAX(1,ROUNDUP(AL636/'🎚️ Escenario'!$C$11,0)))))</f>
        <v>0</v>
      </c>
      <c r="AM637" s="236" t="n">
        <f aca="false" t="array" ref="AM637:AM637">IF(AM636=0,0,IF(AM636/'🎚️ Escenario'!$C$11&gt;=36,$AL$23,INDEX($C$23:$AL$23,MAX(1,ROUNDUP(AM636/'🎚️ Escenario'!$C$11,0)))))</f>
        <v>0</v>
      </c>
      <c r="AN637" s="236" t="n">
        <f aca="false" t="array" ref="AN637:AN637">IF(AN636=0,0,IF(AN636/'🎚️ Escenario'!$C$11&gt;=36,$AL$23,INDEX($C$23:$AL$23,MAX(1,ROUNDUP(AN636/'🎚️ Escenario'!$C$11,0)))))</f>
        <v>0</v>
      </c>
      <c r="AO637" s="236" t="n">
        <f aca="false" t="array" ref="AO637:AO637">IF(AO636=0,0,IF(AO636/'🎚️ Escenario'!$C$11&gt;=36,$AL$23,INDEX($C$23:$AL$23,MAX(1,ROUNDUP(AO636/'🎚️ Escenario'!$C$11,0)))))</f>
        <v>0</v>
      </c>
      <c r="AP637" s="236" t="n">
        <f aca="false" t="array" ref="AP637:AP637">IF(AP636=0,0,IF(AP636/'🎚️ Escenario'!$C$11&gt;=36,$AL$23,INDEX($C$23:$AL$23,MAX(1,ROUNDUP(AP636/'🎚️ Escenario'!$C$11,0)))))</f>
        <v>0</v>
      </c>
      <c r="AQ637" s="236" t="n">
        <f aca="false" t="array" ref="AQ637:AQ637">IF(AQ636=0,0,IF(AQ636/'🎚️ Escenario'!$C$11&gt;=36,$AL$23,INDEX($C$23:$AL$23,MAX(1,ROUNDUP(AQ636/'🎚️ Escenario'!$C$11,0)))))</f>
        <v>0</v>
      </c>
      <c r="AR637" s="236" t="n">
        <f aca="false" t="array" ref="AR637:AR637">IF(AR636=0,0,IF(AR636/'🎚️ Escenario'!$C$11&gt;=36,$AL$23,INDEX($C$23:$AL$23,MAX(1,ROUNDUP(AR636/'🎚️ Escenario'!$C$11,0)))))</f>
        <v>0</v>
      </c>
      <c r="AS637" s="236" t="n">
        <f aca="false" t="array" ref="AS637:AS637">IF(AS636=0,0,IF(AS636/'🎚️ Escenario'!$C$11&gt;=36,$AL$23,INDEX($C$23:$AL$23,MAX(1,ROUNDUP(AS636/'🎚️ Escenario'!$C$11,0)))))</f>
        <v>0</v>
      </c>
      <c r="AT637" s="236" t="n">
        <f aca="false" t="array" ref="AT637:AT637">IF(AT636=0,0,IF(AT636/'🎚️ Escenario'!$C$11&gt;=36,$AL$23,INDEX($C$23:$AL$23,MAX(1,ROUNDUP(AT636/'🎚️ Escenario'!$C$11,0)))))</f>
        <v>0</v>
      </c>
      <c r="AU637" s="236" t="n">
        <f aca="false" t="array" ref="AU637:AU637">IF(AU636=0,0,IF(AU636/'🎚️ Escenario'!$C$11&gt;=36,$AL$23,INDEX($C$23:$AL$23,MAX(1,ROUNDUP(AU636/'🎚️ Escenario'!$C$11,0)))))</f>
        <v>0</v>
      </c>
      <c r="AV637" s="236" t="n">
        <f aca="false" t="array" ref="AV637:AV637">IF(AV636=0,0,IF(AV636/'🎚️ Escenario'!$C$11&gt;=36,$AL$23,INDEX($C$23:$AL$23,MAX(1,ROUNDUP(AV636/'🎚️ Escenario'!$C$11,0)))))</f>
        <v>0</v>
      </c>
      <c r="AW637" s="236" t="n">
        <f aca="false" t="array" ref="AW637:AW637">IF(AW636=0,0,IF(AW636/'🎚️ Escenario'!$C$11&gt;=36,$AL$23,INDEX($C$23:$AL$23,MAX(1,ROUNDUP(AW636/'🎚️ Escenario'!$C$11,0)))))</f>
        <v>0</v>
      </c>
      <c r="AX637" s="236" t="n">
        <f aca="false" t="array" ref="AX637:AX637">IF(AX636=0,0,IF(AX636/'🎚️ Escenario'!$C$11&gt;=36,$AL$23,INDEX($C$23:$AL$23,MAX(1,ROUNDUP(AX636/'🎚️ Escenario'!$C$11,0)))))</f>
        <v>0</v>
      </c>
      <c r="AY637" s="236" t="n">
        <f aca="false" t="array" ref="AY637:AY637">IF(AY636=0,0,IF(AY636/'🎚️ Escenario'!$C$11&gt;=36,$AL$23,INDEX($C$23:$AL$23,MAX(1,ROUNDUP(AY636/'🎚️ Escenario'!$C$11,0)))))</f>
        <v>0</v>
      </c>
      <c r="AZ637" s="236" t="n">
        <f aca="false" t="array" ref="AZ637:AZ637">IF(AZ636=0,0,IF(AZ636/'🎚️ Escenario'!$C$11&gt;=36,$AL$23,INDEX($C$23:$AL$23,MAX(1,ROUNDUP(AZ636/'🎚️ Escenario'!$C$11,0)))))</f>
        <v>0</v>
      </c>
      <c r="BA637" s="236" t="n">
        <f aca="false" t="array" ref="BA637:BA637">IF(BA636=0,0,IF(BA636/'🎚️ Escenario'!$C$11&gt;=36,$AL$23,INDEX($C$23:$AL$23,MAX(1,ROUNDUP(BA636/'🎚️ Escenario'!$C$11,0)))))</f>
        <v>0</v>
      </c>
      <c r="BB637" s="236" t="n">
        <f aca="false" t="array" ref="BB637:BB637">IF(BB636=0,0,IF(BB636/'🎚️ Escenario'!$C$11&gt;=36,$AL$23,INDEX($C$23:$AL$23,MAX(1,ROUNDUP(BB636/'🎚️ Escenario'!$C$11,0)))))</f>
        <v>0</v>
      </c>
      <c r="BC637" s="236" t="n">
        <f aca="false" t="array" ref="BC637:BC637">IF(BC636=0,0,IF(BC636/'🎚️ Escenario'!$C$11&gt;=36,$AL$23,INDEX($C$23:$AL$23,MAX(1,ROUNDUP(BC636/'🎚️ Escenario'!$C$11,0)))))</f>
        <v>0</v>
      </c>
      <c r="BD637" s="236" t="n">
        <f aca="false" t="array" ref="BD637:BD637">IF(BD636=0,0,IF(BD636/'🎚️ Escenario'!$C$11&gt;=36,$AL$23,INDEX($C$23:$AL$23,MAX(1,ROUNDUP(BD636/'🎚️ Escenario'!$C$11,0)))))</f>
        <v>0</v>
      </c>
      <c r="BE637" s="236" t="n">
        <f aca="false" t="array" ref="BE637:BE637">IF(BE636=0,0,IF(BE636/'🎚️ Escenario'!$C$11&gt;=36,$AL$23,INDEX($C$23:$AL$23,MAX(1,ROUNDUP(BE636/'🎚️ Escenario'!$C$11,0)))))</f>
        <v>0</v>
      </c>
      <c r="BF637" s="236" t="n">
        <f aca="false" t="array" ref="BF637:BF637">IF(BF636=0,0,IF(BF636/'🎚️ Escenario'!$C$11&gt;=36,$AL$23,INDEX($C$23:$AL$23,MAX(1,ROUNDUP(BF636/'🎚️ Escenario'!$C$11,0)))))</f>
        <v>0</v>
      </c>
      <c r="BG637" s="236" t="n">
        <f aca="false" t="array" ref="BG637:BG637">IF(BG636=0,0,IF(BG636/'🎚️ Escenario'!$C$11&gt;=36,$AL$23,INDEX($C$23:$AL$23,MAX(1,ROUNDUP(BG636/'🎚️ Escenario'!$C$11,0)))))</f>
        <v>0</v>
      </c>
      <c r="BH637" s="236" t="n">
        <f aca="false" t="array" ref="BH637:BH637">IF(BH636=0,0,IF(BH636/'🎚️ Escenario'!$C$11&gt;=36,$AL$23,INDEX($C$23:$AL$23,MAX(1,ROUNDUP(BH636/'🎚️ Escenario'!$C$11,0)))))</f>
        <v>0</v>
      </c>
      <c r="BI637" s="236" t="n">
        <f aca="false" t="array" ref="BI637:BI637">IF(BI636=0,0,IF(BI636/'🎚️ Escenario'!$C$11&gt;=36,$AL$23,INDEX($C$23:$AL$23,MAX(1,ROUNDUP(BI636/'🎚️ Escenario'!$C$11,0)))))</f>
        <v>0</v>
      </c>
      <c r="BJ637" s="236" t="n">
        <f aca="false" t="array" ref="BJ637:BJ637">IF(BJ636=0,0,IF(BJ636/'🎚️ Escenario'!$C$11&gt;=36,$AL$23,INDEX($C$23:$AL$23,MAX(1,ROUNDUP(BJ636/'🎚️ Escenario'!$C$11,0)))))</f>
        <v>0</v>
      </c>
      <c r="BK637" s="236" t="n">
        <f aca="false" t="array" ref="BK637:BK637">IF(BK636=0,0,IF(BK636/'🎚️ Escenario'!$C$11&gt;=36,$AL$23,INDEX($C$23:$AL$23,MAX(1,ROUNDUP(BK636/'🎚️ Escenario'!$C$11,0)))))</f>
        <v>0</v>
      </c>
      <c r="BL637" s="236" t="n">
        <f aca="false" t="array" ref="BL637:BL637">IF(BL636=0,0,IF(BL636/'🎚️ Escenario'!$C$11&gt;=36,$AL$23,INDEX($C$23:$AL$23,MAX(1,ROUNDUP(BL636/'🎚️ Escenario'!$C$11,0)))))</f>
        <v>0</v>
      </c>
      <c r="BM637" s="236" t="n">
        <f aca="false" t="array" ref="BM637:BM637">IF(BM636=0,0,IF(BM636/'🎚️ Escenario'!$C$11&gt;=36,$AL$23,INDEX($C$23:$AL$23,MAX(1,ROUNDUP(BM636/'🎚️ Escenario'!$C$11,0)))))</f>
        <v>0</v>
      </c>
      <c r="BN637" s="236" t="n">
        <f aca="false" t="array" ref="BN637:BN637">IF(BN636=0,0,IF(BN636/'🎚️ Escenario'!$C$11&gt;=36,$AL$23,INDEX($C$23:$AL$23,MAX(1,ROUNDUP(BN636/'🎚️ Escenario'!$C$11,0)))))</f>
        <v>0</v>
      </c>
      <c r="BO637" s="236" t="n">
        <f aca="false" t="array" ref="BO637:BO637">IF(BO636=0,0,IF(BO636/'🎚️ Escenario'!$C$11&gt;=36,$AL$23,INDEX($C$23:$AL$23,MAX(1,ROUNDUP(BO636/'🎚️ Escenario'!$C$11,0)))))</f>
        <v>0</v>
      </c>
      <c r="BP637" s="236" t="n">
        <f aca="false" t="array" ref="BP637:BP637">IF(BP636=0,0,IF(BP636/'🎚️ Escenario'!$C$11&gt;=36,$AL$23,INDEX($C$23:$AL$23,MAX(1,ROUNDUP(BP636/'🎚️ Escenario'!$C$11,0)))))</f>
        <v>0</v>
      </c>
      <c r="BQ637" s="236" t="n">
        <f aca="false" t="array" ref="BQ637:BQ637">IF(BQ636=0,0,IF(BQ636/'🎚️ Escenario'!$C$11&gt;=36,$AL$23,INDEX($C$23:$AL$23,MAX(1,ROUNDUP(BQ636/'🎚️ Escenario'!$C$11,0)))))</f>
        <v>0</v>
      </c>
      <c r="BR637" s="236" t="n">
        <f aca="false" t="array" ref="BR637:BR637">IF(BR636=0,0,IF(BR636/'🎚️ Escenario'!$C$11&gt;=36,$AL$23,INDEX($C$23:$AL$23,MAX(1,ROUNDUP(BR636/'🎚️ Escenario'!$C$11,0)))))</f>
        <v>0</v>
      </c>
      <c r="BS637" s="236" t="n">
        <f aca="false" t="array" ref="BS637:BS637">IF(BS636=0,0,IF(BS636/'🎚️ Escenario'!$C$11&gt;=36,$AL$23,INDEX($C$23:$AL$23,MAX(1,ROUNDUP(BS636/'🎚️ Escenario'!$C$11,0)))))</f>
        <v>0</v>
      </c>
      <c r="BT637" s="236" t="n">
        <f aca="false" t="array" ref="BT637:BT637">IF(BT636=0,0,IF(BT636/'🎚️ Escenario'!$C$11&gt;=36,$AL$23,INDEX($C$23:$AL$23,MAX(1,ROUNDUP(BT636/'🎚️ Escenario'!$C$11,0)))))</f>
        <v>0</v>
      </c>
      <c r="BU637" s="236" t="n">
        <f aca="false" t="array" ref="BU637:BU637">IF(BU636=0,0,IF(BU636/'🎚️ Escenario'!$C$11&gt;=36,$AL$23,INDEX($C$23:$AL$23,MAX(1,ROUNDUP(BU636/'🎚️ Escenario'!$C$11,0)))))</f>
        <v>0</v>
      </c>
      <c r="BV637" s="236" t="n">
        <f aca="false" t="array" ref="BV637:BV637">IF(BV636=0,0,IF(BV636/'🎚️ Escenario'!$C$11&gt;=36,$AL$23,INDEX($C$23:$AL$23,MAX(1,ROUNDUP(BV636/'🎚️ Escenario'!$C$11,0)))))</f>
        <v>0</v>
      </c>
      <c r="BW637" s="236" t="n">
        <f aca="false" t="array" ref="BW637:BW637">IF(BW636=0,0,IF(BW636/'🎚️ Escenario'!$C$11&gt;=36,$AL$23,INDEX($C$23:$AL$23,MAX(1,ROUNDUP(BW636/'🎚️ Escenario'!$C$11,0)))))</f>
        <v>0</v>
      </c>
      <c r="BX637" s="236" t="n">
        <f aca="false" t="array" ref="BX637:BX637">IF(BX636=0,0,IF(BX636/'🎚️ Escenario'!$C$11&gt;=36,$AL$23,INDEX($C$23:$AL$23,MAX(1,ROUNDUP(BX636/'🎚️ Escenario'!$C$11,0)))))</f>
        <v>0</v>
      </c>
      <c r="BY637" s="236" t="n">
        <f aca="false" t="array" ref="BY637:BY637">IF(BY636=0,0,IF(BY636/'🎚️ Escenario'!$C$11&gt;=36,$AL$23,INDEX($C$23:$AL$23,MAX(1,ROUNDUP(BY636/'🎚️ Escenario'!$C$11,0)))))</f>
        <v>0</v>
      </c>
      <c r="BZ637" s="236" t="n">
        <f aca="false" t="array" ref="BZ637:BZ637">IF(BZ636=0,0,IF(BZ636/'🎚️ Escenario'!$C$11&gt;=36,$AL$23,INDEX($C$23:$AL$23,MAX(1,ROUNDUP(BZ636/'🎚️ Escenario'!$C$11,0)))))</f>
        <v>0</v>
      </c>
      <c r="CA637" s="236" t="n">
        <f aca="false" t="array" ref="CA637:CA637">IF(CA636=0,0,IF(CA636/'🎚️ Escenario'!$C$11&gt;=36,$AL$23,INDEX($C$23:$AL$23,MAX(1,ROUNDUP(CA636/'🎚️ Escenario'!$C$11,0)))))</f>
        <v>0</v>
      </c>
      <c r="CB637" s="236" t="n">
        <f aca="false" t="array" ref="CB637:CB637">IF(CB636=0,0,IF(CB636/'🎚️ Escenario'!$C$11&gt;=36,$AL$23,INDEX($C$23:$AL$23,MAX(1,ROUNDUP(CB636/'🎚️ Escenario'!$C$11,0)))))</f>
        <v>0</v>
      </c>
      <c r="CC637" s="236" t="n">
        <f aca="false" t="array" ref="CC637:CC637">IF(CC636=0,0,IF(CC636/'🎚️ Escenario'!$C$11&gt;=36,$AL$23,INDEX($C$23:$AL$23,MAX(1,ROUNDUP(CC636/'🎚️ Escenario'!$C$11,0)))))</f>
        <v>0</v>
      </c>
      <c r="CD637" s="236" t="n">
        <f aca="false" t="array" ref="CD637:CD637">IF(CD636=0,0,IF(CD636/'🎚️ Escenario'!$C$11&gt;=36,$AL$23,INDEX($C$23:$AL$23,MAX(1,ROUNDUP(CD636/'🎚️ Escenario'!$C$11,0)))))</f>
        <v>0</v>
      </c>
      <c r="CE637" s="236" t="n">
        <f aca="false" t="array" ref="CE637:CE637">IF(CE636=0,0,IF(CE636/'🎚️ Escenario'!$C$11&gt;=36,$AL$23,INDEX($C$23:$AL$23,MAX(1,ROUNDUP(CE636/'🎚️ Escenario'!$C$11,0)))))</f>
        <v>0</v>
      </c>
      <c r="CF637" s="236" t="n">
        <f aca="false" t="array" ref="CF637:CF637">IF(CF636=0,0,IF(CF636/'🎚️ Escenario'!$C$11&gt;=36,$AL$23,INDEX($C$23:$AL$23,MAX(1,ROUNDUP(CF636/'🎚️ Escenario'!$C$11,0)))))</f>
        <v>0</v>
      </c>
      <c r="CG637" s="236" t="n">
        <f aca="false" t="array" ref="CG637:CG637">IF(CG636=0,0,IF(CG636/'🎚️ Escenario'!$C$11&gt;=36,$AL$23,INDEX($C$23:$AL$23,MAX(1,ROUNDUP(CG636/'🎚️ Escenario'!$C$11,0)))))</f>
        <v>0</v>
      </c>
      <c r="CH637" s="236" t="n">
        <f aca="false" t="array" ref="CH637:CH637">IF(CH636=0,0,IF(CH636/'🎚️ Escenario'!$C$11&gt;=36,$AL$23,INDEX($C$23:$AL$23,MAX(1,ROUNDUP(CH636/'🎚️ Escenario'!$C$11,0)))))</f>
        <v>0</v>
      </c>
      <c r="CI637" s="236" t="n">
        <f aca="false" t="array" ref="CI637:CI637">IF(CI636=0,0,IF(CI636/'🎚️ Escenario'!$C$11&gt;=36,$AL$23,INDEX($C$23:$AL$23,MAX(1,ROUNDUP(CI636/'🎚️ Escenario'!$C$11,0)))))</f>
        <v>0</v>
      </c>
      <c r="CJ637" s="236" t="n">
        <f aca="false" t="array" ref="CJ637:CJ637">IF(CJ636=0,0,IF(CJ636/'🎚️ Escenario'!$C$11&gt;=36,$AL$23,INDEX($C$23:$AL$23,MAX(1,ROUNDUP(CJ636/'🎚️ Escenario'!$C$11,0)))))</f>
        <v>0</v>
      </c>
      <c r="CK637" s="236" t="n">
        <f aca="false" t="array" ref="CK637:CK637">IF(CK636=0,0,IF(CK636/'🎚️ Escenario'!$C$11&gt;=36,$AL$23,INDEX($C$23:$AL$23,MAX(1,ROUNDUP(CK636/'🎚️ Escenario'!$C$11,0)))))</f>
        <v>0</v>
      </c>
      <c r="CL637" s="236" t="n">
        <f aca="false" t="array" ref="CL637:CL637">IF(CL636=0,0,IF(CL636/'🎚️ Escenario'!$C$11&gt;=36,$AL$23,INDEX($C$23:$AL$23,MAX(1,ROUNDUP(CL636/'🎚️ Escenario'!$C$11,0)))))</f>
        <v>0</v>
      </c>
      <c r="CM637" s="236" t="n">
        <f aca="false" t="array" ref="CM637:CM637">IF(CM636=0,0,IF(CM636/'🎚️ Escenario'!$C$11&gt;=36,$AL$23,INDEX($C$23:$AL$23,MAX(1,ROUNDUP(CM636/'🎚️ Escenario'!$C$11,0)))))</f>
        <v>0</v>
      </c>
      <c r="CN637" s="236" t="n">
        <f aca="false" t="array" ref="CN637:CN637">IF(CN636=0,0,IF(CN636/'🎚️ Escenario'!$C$11&gt;=36,$AL$23,INDEX($C$23:$AL$23,MAX(1,ROUNDUP(CN636/'🎚️ Escenario'!$C$11,0)))))</f>
        <v>0</v>
      </c>
      <c r="CO637" s="236" t="n">
        <f aca="false" t="array" ref="CO637:CO637">IF(CO636=0,0,IF(CO636/'🎚️ Escenario'!$C$11&gt;=36,$AL$23,INDEX($C$23:$AL$23,MAX(1,ROUNDUP(CO636/'🎚️ Escenario'!$C$11,0)))))</f>
        <v>0</v>
      </c>
      <c r="CP637" s="236" t="n">
        <f aca="false" t="array" ref="CP637:CP637">IF(CP636=0,0,IF(CP636/'🎚️ Escenario'!$C$11&gt;=36,$AL$23,INDEX($C$23:$AL$23,MAX(1,ROUNDUP(CP636/'🎚️ Escenario'!$C$11,0)))))</f>
        <v>0</v>
      </c>
      <c r="CQ637" s="236" t="n">
        <f aca="false" t="array" ref="CQ637:CQ637">IF(CQ636=0,0,IF(CQ636/'🎚️ Escenario'!$C$11&gt;=36,$AL$23,INDEX($C$23:$AL$23,MAX(1,ROUNDUP(CQ636/'🎚️ Escenario'!$C$11,0)))))</f>
        <v>0</v>
      </c>
      <c r="CR637" s="236" t="n">
        <f aca="false" t="array" ref="CR637:CR637">IF(CR636=0,0,IF(CR636/'🎚️ Escenario'!$C$11&gt;=36,$AL$23,INDEX($C$23:$AL$23,MAX(1,ROUNDUP(CR636/'🎚️ Escenario'!$C$11,0)))))</f>
        <v>0</v>
      </c>
      <c r="CS637" s="236" t="n">
        <f aca="false" t="array" ref="CS637:CS637">IF(CS636=0,0,IF(CS636/'🎚️ Escenario'!$C$11&gt;=36,$AL$23,INDEX($C$23:$AL$23,MAX(1,ROUNDUP(CS636/'🎚️ Escenario'!$C$11,0)))))</f>
        <v>0</v>
      </c>
      <c r="CT637" s="236" t="n">
        <f aca="false" t="array" ref="CT637:CT637">IF(CT636=0,0,IF(CT636/'🎚️ Escenario'!$C$11&gt;=36,$AL$23,INDEX($C$23:$AL$23,MAX(1,ROUNDUP(CT636/'🎚️ Escenario'!$C$11,0)))))</f>
        <v>0</v>
      </c>
      <c r="CU637" s="236" t="n">
        <f aca="false" t="array" ref="CU637:CU637">IF(CU636=0,0,IF(CU636/'🎚️ Escenario'!$C$11&gt;=36,$AL$23,INDEX($C$23:$AL$23,MAX(1,ROUNDUP(CU636/'🎚️ Escenario'!$C$11,0)))))</f>
        <v>0</v>
      </c>
      <c r="CV637" s="236" t="n">
        <f aca="false" t="array" ref="CV637:CV637">IF(CV636=0,0,IF(CV636/'🎚️ Escenario'!$C$11&gt;=36,$AL$23,INDEX($C$23:$AL$23,MAX(1,ROUNDUP(CV636/'🎚️ Escenario'!$C$11,0)))))</f>
        <v>0</v>
      </c>
      <c r="CW637" s="236" t="n">
        <f aca="false" t="array" ref="CW637:CW637">IF(CW636=0,0,IF(CW636/'🎚️ Escenario'!$C$11&gt;=36,$AL$23,INDEX($C$23:$AL$23,MAX(1,ROUNDUP(CW636/'🎚️ Escenario'!$C$11,0)))))</f>
        <v>0</v>
      </c>
      <c r="CX637" s="236" t="n">
        <f aca="false" t="array" ref="CX637:CX637">IF(CX636=0,0,IF(CX636/'🎚️ Escenario'!$C$11&gt;=36,$AL$23,INDEX($C$23:$AL$23,MAX(1,ROUNDUP(CX636/'🎚️ Escenario'!$C$11,0)))))</f>
        <v>0</v>
      </c>
      <c r="CY637" s="236" t="n">
        <f aca="false" t="array" ref="CY637:CY637">IF(CY636=0,0,IF(CY636/'🎚️ Escenario'!$C$11&gt;=36,$AL$23,INDEX($C$23:$AL$23,MAX(1,ROUNDUP(CY636/'🎚️ Escenario'!$C$11,0)))))</f>
        <v>0</v>
      </c>
      <c r="CZ637" s="236" t="n">
        <f aca="false" t="array" ref="CZ637:CZ637">IF(CZ636=0,0,IF(CZ636/'🎚️ Escenario'!$C$11&gt;=36,$AL$23,INDEX($C$23:$AL$23,MAX(1,ROUNDUP(CZ636/'🎚️ Escenario'!$C$11,0)))))</f>
        <v>0</v>
      </c>
      <c r="DA637" s="236" t="n">
        <f aca="false" t="array" ref="DA637:DA637">IF(DA636=0,0,IF(DA636/'🎚️ Escenario'!$C$11&gt;=36,$AL$23,INDEX($C$23:$AL$23,MAX(1,ROUNDUP(DA636/'🎚️ Escenario'!$C$11,0)))))</f>
        <v>0</v>
      </c>
      <c r="DB637" s="236" t="n">
        <f aca="false" t="array" ref="DB637:DB637">IF(DB636=0,0,IF(DB636/'🎚️ Escenario'!$C$11&gt;=36,$AL$23,INDEX($C$23:$AL$23,MAX(1,ROUNDUP(DB636/'🎚️ Escenario'!$C$11,0)))))</f>
        <v>0</v>
      </c>
      <c r="DC637" s="236" t="n">
        <f aca="false" t="array" ref="DC637:DC637">IF(DC636=0,0,IF(DC636/'🎚️ Escenario'!$C$11&gt;=36,$AL$23,INDEX($C$23:$AL$23,MAX(1,ROUNDUP(DC636/'🎚️ Escenario'!$C$11,0)))))</f>
        <v>0</v>
      </c>
      <c r="DD637" s="236" t="n">
        <f aca="false" t="array" ref="DD637:DD637">IF(DD636=0,0,IF(DD636/'🎚️ Escenario'!$C$11&gt;=36,$AL$23,INDEX($C$23:$AL$23,MAX(1,ROUNDUP(DD636/'🎚️ Escenario'!$C$11,0)))))</f>
        <v>0</v>
      </c>
      <c r="DE637" s="236" t="n">
        <f aca="false" t="array" ref="DE637:DE637">IF(DE636=0,0,IF(DE636/'🎚️ Escenario'!$C$11&gt;=36,$AL$23,INDEX($C$23:$AL$23,MAX(1,ROUNDUP(DE636/'🎚️ Escenario'!$C$11,0)))))</f>
        <v>0</v>
      </c>
      <c r="DF637" s="236" t="n">
        <f aca="false" t="array" ref="DF637:DF637">IF(DF636=0,0,IF(DF636/'🎚️ Escenario'!$C$11&gt;=36,$AL$23,INDEX($C$23:$AL$23,MAX(1,ROUNDUP(DF636/'🎚️ Escenario'!$C$11,0)))))</f>
        <v>0</v>
      </c>
      <c r="DG637" s="236" t="n">
        <f aca="false" t="array" ref="DG637:DG637">IF(DG636=0,0,IF(DG636/'🎚️ Escenario'!$C$11&gt;=36,$AL$23,INDEX($C$23:$AL$23,MAX(1,ROUNDUP(DG636/'🎚️ Escenario'!$C$11,0)))))</f>
        <v>0</v>
      </c>
      <c r="DH637" s="236" t="n">
        <f aca="false" t="array" ref="DH637:DH637">IF(DH636=0,0,IF(DH636/'🎚️ Escenario'!$C$11&gt;=36,$AL$23,INDEX($C$23:$AL$23,MAX(1,ROUNDUP(DH636/'🎚️ Escenario'!$C$11,0)))))</f>
        <v>0.2</v>
      </c>
      <c r="DI637" s="236" t="n">
        <f aca="false" t="array" ref="DI637:DI637">IF(DI636=0,0,IF(DI636/'🎚️ Escenario'!$C$11&gt;=36,$AL$23,INDEX($C$23:$AL$23,MAX(1,ROUNDUP(DI636/'🎚️ Escenario'!$C$11,0)))))</f>
        <v>0.22</v>
      </c>
      <c r="DJ637" s="236" t="n">
        <f aca="false" t="array" ref="DJ637:DJ637">IF(DJ636=0,0,IF(DJ636/'🎚️ Escenario'!$C$11&gt;=36,$AL$23,INDEX($C$23:$AL$23,MAX(1,ROUNDUP(DJ636/'🎚️ Escenario'!$C$11,0)))))</f>
        <v>0.24</v>
      </c>
      <c r="DK637" s="236" t="n">
        <f aca="false" t="array" ref="DK637:DK637">IF(DK636=0,0,IF(DK636/'🎚️ Escenario'!$C$11&gt;=36,$AL$23,INDEX($C$23:$AL$23,MAX(1,ROUNDUP(DK636/'🎚️ Escenario'!$C$11,0)))))</f>
        <v>0.27</v>
      </c>
      <c r="DL637" s="236" t="n">
        <f aca="false" t="array" ref="DL637:DL637">IF(DL636=0,0,IF(DL636/'🎚️ Escenario'!$C$11&gt;=36,$AL$23,INDEX($C$23:$AL$23,MAX(1,ROUNDUP(DL636/'🎚️ Escenario'!$C$11,0)))))</f>
        <v>0.27</v>
      </c>
      <c r="DM637" s="236" t="n">
        <f aca="false" t="array" ref="DM637:DM637">IF(DM636=0,0,IF(DM636/'🎚️ Escenario'!$C$11&gt;=36,$AL$23,INDEX($C$23:$AL$23,MAX(1,ROUNDUP(DM636/'🎚️ Escenario'!$C$11,0)))))</f>
        <v>0.31</v>
      </c>
      <c r="DN637" s="236" t="n">
        <f aca="false" t="array" ref="DN637:DN637">IF(DN636=0,0,IF(DN636/'🎚️ Escenario'!$C$11&gt;=36,$AL$23,INDEX($C$23:$AL$23,MAX(1,ROUNDUP(DN636/'🎚️ Escenario'!$C$11,0)))))</f>
        <v>0.35</v>
      </c>
      <c r="DO637" s="236" t="n">
        <f aca="false" t="array" ref="DO637:DO637">IF(DO636=0,0,IF(DO636/'🎚️ Escenario'!$C$11&gt;=36,$AL$23,INDEX($C$23:$AL$23,MAX(1,ROUNDUP(DO636/'🎚️ Escenario'!$C$11,0)))))</f>
        <v>0.39</v>
      </c>
      <c r="DP637" s="236" t="n">
        <f aca="false" t="array" ref="DP637:DP637">IF(DP636=0,0,IF(DP636/'🎚️ Escenario'!$C$11&gt;=36,$AL$23,INDEX($C$23:$AL$23,MAX(1,ROUNDUP(DP636/'🎚️ Escenario'!$C$11,0)))))</f>
        <v>0.44</v>
      </c>
      <c r="DQ637" s="236" t="n">
        <f aca="false" t="array" ref="DQ637:DQ637">IF(DQ636=0,0,IF(DQ636/'🎚️ Escenario'!$C$11&gt;=36,$AL$23,INDEX($C$23:$AL$23,MAX(1,ROUNDUP(DQ636/'🎚️ Escenario'!$C$11,0)))))</f>
        <v>0.44</v>
      </c>
      <c r="DR637" s="236" t="n">
        <f aca="false" t="array" ref="DR637:DR637">IF(DR636=0,0,IF(DR636/'🎚️ Escenario'!$C$11&gt;=36,$AL$23,INDEX($C$23:$AL$23,MAX(1,ROUNDUP(DR636/'🎚️ Escenario'!$C$11,0)))))</f>
        <v>0.48</v>
      </c>
      <c r="DS637" s="236" t="n">
        <f aca="false" t="array" ref="DS637:DS637">IF(DS636=0,0,IF(DS636/'🎚️ Escenario'!$C$11&gt;=36,$AL$23,INDEX($C$23:$AL$23,MAX(1,ROUNDUP(DS636/'🎚️ Escenario'!$C$11,0)))))</f>
        <v>0.52</v>
      </c>
      <c r="DT637" s="236" t="n">
        <f aca="false" t="array" ref="DT637:DT637">IF(DT636=0,0,IF(DT636/'🎚️ Escenario'!$C$11&gt;=36,$AL$23,INDEX($C$23:$AL$23,MAX(1,ROUNDUP(DT636/'🎚️ Escenario'!$C$11,0)))))</f>
        <v>0.56</v>
      </c>
      <c r="DU637" s="236" t="n">
        <f aca="false" t="array" ref="DU637:DU637">IF(DU636=0,0,IF(DU636/'🎚️ Escenario'!$C$11&gt;=36,$AL$23,INDEX($C$23:$AL$23,MAX(1,ROUNDUP(DU636/'🎚️ Escenario'!$C$11,0)))))</f>
        <v>0.6</v>
      </c>
      <c r="DV637" s="236" t="n">
        <f aca="false" t="array" ref="DV637:DV637">IF(DV636=0,0,IF(DV636/'🎚️ Escenario'!$C$11&gt;=36,$AL$23,INDEX($C$23:$AL$23,MAX(1,ROUNDUP(DV636/'🎚️ Escenario'!$C$11,0)))))</f>
        <v>0.6</v>
      </c>
      <c r="DW637" s="236" t="n">
        <f aca="false" t="array" ref="DW637:DW637">IF(DW636=0,0,IF(DW636/'🎚️ Escenario'!$C$11&gt;=36,$AL$23,INDEX($C$23:$AL$23,MAX(1,ROUNDUP(DW636/'🎚️ Escenario'!$C$11,0)))))</f>
        <v>0.63</v>
      </c>
      <c r="DX637" s="236" t="n">
        <f aca="false" t="array" ref="DX637:DX637">IF(DX636=0,0,IF(DX636/'🎚️ Escenario'!$C$11&gt;=36,$AL$23,INDEX($C$23:$AL$23,MAX(1,ROUNDUP(DX636/'🎚️ Escenario'!$C$11,0)))))</f>
        <v>0.66</v>
      </c>
      <c r="DY637" s="236" t="n">
        <f aca="false" t="array" ref="DY637:DY637">IF(DY636=0,0,IF(DY636/'🎚️ Escenario'!$C$11&gt;=36,$AL$23,INDEX($C$23:$AL$23,MAX(1,ROUNDUP(DY636/'🎚️ Escenario'!$C$11,0)))))</f>
        <v>0.69</v>
      </c>
      <c r="DZ637" s="236" t="n">
        <f aca="false" t="array" ref="DZ637:DZ637">IF(DZ636=0,0,IF(DZ636/'🎚️ Escenario'!$C$11&gt;=36,$AL$23,INDEX($C$23:$AL$23,MAX(1,ROUNDUP(DZ636/'🎚️ Escenario'!$C$11,0)))))</f>
        <v>0.71</v>
      </c>
      <c r="EA637" s="236" t="n">
        <f aca="false" t="array" ref="EA637:EA637">IF(EA636=0,0,IF(EA636/'🎚️ Escenario'!$C$11&gt;=36,$AL$23,INDEX($C$23:$AL$23,MAX(1,ROUNDUP(EA636/'🎚️ Escenario'!$C$11,0)))))</f>
        <v>0.71</v>
      </c>
      <c r="EB637" s="236" t="n">
        <f aca="false" t="array" ref="EB637:EB637">IF(EB636=0,0,IF(EB636/'🎚️ Escenario'!$C$11&gt;=36,$AL$23,INDEX($C$23:$AL$23,MAX(1,ROUNDUP(EB636/'🎚️ Escenario'!$C$11,0)))))</f>
        <v>0.73</v>
      </c>
      <c r="EC637" s="236" t="n">
        <f aca="false" t="array" ref="EC637:EC637">IF(EC636=0,0,IF(EC636/'🎚️ Escenario'!$C$11&gt;=36,$AL$23,INDEX($C$23:$AL$23,MAX(1,ROUNDUP(EC636/'🎚️ Escenario'!$C$11,0)))))</f>
        <v>0.75</v>
      </c>
      <c r="ED637" s="236" t="n">
        <f aca="false" t="array" ref="ED637:ED637">IF(ED636=0,0,IF(ED636/'🎚️ Escenario'!$C$11&gt;=36,$AL$23,INDEX($C$23:$AL$23,MAX(1,ROUNDUP(ED636/'🎚️ Escenario'!$C$11,0)))))</f>
        <v>0.77</v>
      </c>
      <c r="EE637" s="236" t="n">
        <f aca="false" t="array" ref="EE637:EE637">IF(EE636=0,0,IF(EE636/'🎚️ Escenario'!$C$11&gt;=36,$AL$23,INDEX($C$23:$AL$23,MAX(1,ROUNDUP(EE636/'🎚️ Escenario'!$C$11,0)))))</f>
        <v>0.79</v>
      </c>
      <c r="EF637" s="236" t="n">
        <f aca="false" t="array" ref="EF637:EF637">IF(EF636=0,0,IF(EF636/'🎚️ Escenario'!$C$11&gt;=36,$AL$23,INDEX($C$23:$AL$23,MAX(1,ROUNDUP(EF636/'🎚️ Escenario'!$C$11,0)))))</f>
        <v>0.79</v>
      </c>
      <c r="EG637" s="236" t="n">
        <f aca="false" t="array" ref="EG637:EG637">IF(EG636=0,0,IF(EG636/'🎚️ Escenario'!$C$11&gt;=36,$AL$23,INDEX($C$23:$AL$23,MAX(1,ROUNDUP(EG636/'🎚️ Escenario'!$C$11,0)))))</f>
        <v>0.8</v>
      </c>
      <c r="EH637" s="236" t="n">
        <f aca="false" t="array" ref="EH637:EH637">IF(EH636=0,0,IF(EH636/'🎚️ Escenario'!$C$11&gt;=36,$AL$23,INDEX($C$23:$AL$23,MAX(1,ROUNDUP(EH636/'🎚️ Escenario'!$C$11,0)))))</f>
        <v>0.82</v>
      </c>
      <c r="EI637" s="236" t="n">
        <f aca="false" t="array" ref="EI637:EI637">IF(EI636=0,0,IF(EI636/'🎚️ Escenario'!$C$11&gt;=36,$AL$23,INDEX($C$23:$AL$23,MAX(1,ROUNDUP(EI636/'🎚️ Escenario'!$C$11,0)))))</f>
        <v>0.84</v>
      </c>
      <c r="EJ637" s="236" t="n">
        <f aca="false" t="array" ref="EJ637:EJ637">IF(EJ636=0,0,IF(EJ636/'🎚️ Escenario'!$C$11&gt;=36,$AL$23,INDEX($C$23:$AL$23,MAX(1,ROUNDUP(EJ636/'🎚️ Escenario'!$C$11,0)))))</f>
        <v>0.85</v>
      </c>
      <c r="EK637" s="236" t="n">
        <f aca="false" t="array" ref="EK637:EK637">IF(EK636=0,0,IF(EK636/'🎚️ Escenario'!$C$11&gt;=36,$AL$23,INDEX($C$23:$AL$23,MAX(1,ROUNDUP(EK636/'🎚️ Escenario'!$C$11,0)))))</f>
        <v>0.85</v>
      </c>
      <c r="EL637" s="236" t="n">
        <f aca="false" t="array" ref="EL637:EL637">IF(EL636=0,0,IF(EL636/'🎚️ Escenario'!$C$11&gt;=36,$AL$23,INDEX($C$23:$AL$23,MAX(1,ROUNDUP(EL636/'🎚️ Escenario'!$C$11,0)))))</f>
        <v>0.86</v>
      </c>
      <c r="EM637" s="236" t="n">
        <f aca="false" t="array" ref="EM637:EM637">IF(EM636=0,0,IF(EM636/'🎚️ Escenario'!$C$11&gt;=36,$AL$23,INDEX($C$23:$AL$23,MAX(1,ROUNDUP(EM636/'🎚️ Escenario'!$C$11,0)))))</f>
        <v>0.88</v>
      </c>
      <c r="EN637" s="236" t="n">
        <f aca="false" t="array" ref="EN637:EN637">IF(EN636=0,0,IF(EN636/'🎚️ Escenario'!$C$11&gt;=36,$AL$23,INDEX($C$23:$AL$23,MAX(1,ROUNDUP(EN636/'🎚️ Escenario'!$C$11,0)))))</f>
        <v>0.89</v>
      </c>
      <c r="EO637" s="236" t="n">
        <f aca="false" t="array" ref="EO637:EO637">IF(EO636=0,0,IF(EO636/'🎚️ Escenario'!$C$11&gt;=36,$AL$23,INDEX($C$23:$AL$23,MAX(1,ROUNDUP(EO636/'🎚️ Escenario'!$C$11,0)))))</f>
        <v>0.9</v>
      </c>
      <c r="EP637" s="236" t="n">
        <f aca="false" t="array" ref="EP637:EP637">IF(EP636=0,0,IF(EP636/'🎚️ Escenario'!$C$11&gt;=36,$AL$23,INDEX($C$23:$AL$23,MAX(1,ROUNDUP(EP636/'🎚️ Escenario'!$C$11,0)))))</f>
        <v>0.9</v>
      </c>
      <c r="EQ637" s="236" t="n">
        <f aca="false" t="array" ref="EQ637:EQ637">IF(EQ636=0,0,IF(EQ636/'🎚️ Escenario'!$C$11&gt;=36,$AL$23,INDEX($C$23:$AL$23,MAX(1,ROUNDUP(EQ636/'🎚️ Escenario'!$C$11,0)))))</f>
        <v>0.92</v>
      </c>
      <c r="ER637" s="236" t="n">
        <f aca="false" t="array" ref="ER637:ER637">IF(ER636=0,0,IF(ER636/'🎚️ Escenario'!$C$11&gt;=36,$AL$23,INDEX($C$23:$AL$23,MAX(1,ROUNDUP(ER636/'🎚️ Escenario'!$C$11,0)))))</f>
        <v>0.93</v>
      </c>
      <c r="ES637" s="9" t="n">
        <f aca="false" t="array" ref="ES637:ES637">IF(ES636=0,0,IF(ES636/'🎚️ Escenario'!$C$11&gt;=36,$AL$23,INDEX($C$23:$AL$23,MAX(1,ROUNDUP(ES636/'🎚️ Escenario'!$C$11,0)))))</f>
        <v>0.94</v>
      </c>
      <c r="ET637" s="9" t="n">
        <f aca="false" t="array" ref="ET637:ET637">IF(ET636=0,0,IF(ET636/'🎚️ Escenario'!$C$11&gt;=36,$AL$23,INDEX($C$23:$AL$23,MAX(1,ROUNDUP(ET636/'🎚️ Escenario'!$C$11,0)))))</f>
        <v>0.95</v>
      </c>
      <c r="EU637" s="9" t="n">
        <f aca="false" t="array" ref="EU637:EU637">IF(EU636=0,0,IF(EU636/'🎚️ Escenario'!$C$11&gt;=36,$AL$23,INDEX($C$23:$AL$23,MAX(1,ROUNDUP(EU636/'🎚️ Escenario'!$C$11,0)))))</f>
        <v>0.95</v>
      </c>
      <c r="EV637" s="9" t="n">
        <f aca="false" t="array" ref="EV637:EV637">IF(EV636=0,0,IF(EV636/'🎚️ Escenario'!$C$11&gt;=36,$AL$23,INDEX($C$23:$AL$23,MAX(1,ROUNDUP(EV636/'🎚️ Escenario'!$C$11,0)))))</f>
        <v>0.97</v>
      </c>
      <c r="EW637" s="9" t="n">
        <f aca="false" t="array" ref="EW637:EW637">IF(EW636=0,0,IF(EW636/'🎚️ Escenario'!$C$11&gt;=36,$AL$23,INDEX($C$23:$AL$23,MAX(1,ROUNDUP(EW636/'🎚️ Escenario'!$C$11,0)))))</f>
        <v>0.98</v>
      </c>
      <c r="EX637" s="9" t="n">
        <f aca="false" t="array" ref="EX637:EX637">IF(EX636=0,0,IF(EX636/'🎚️ Escenario'!$C$11&gt;=36,$AL$23,INDEX($C$23:$AL$23,MAX(1,ROUNDUP(EX636/'🎚️ Escenario'!$C$11,0)))))</f>
        <v>0.99</v>
      </c>
      <c r="EY637" s="9" t="n">
        <f aca="false" t="array" ref="EY637:EY637">IF(EY636=0,0,IF(EY636/'🎚️ Escenario'!$C$11&gt;=36,$AL$23,INDEX($C$23:$AL$23,MAX(1,ROUNDUP(EY636/'🎚️ Escenario'!$C$11,0)))))</f>
        <v>1</v>
      </c>
      <c r="EZ637" s="9" t="n">
        <f aca="false" t="array" ref="EZ637:EZ637">IF(EZ636=0,0,IF(EZ636/'🎚️ Escenario'!$C$11&gt;=36,$AL$23,INDEX($C$23:$AL$23,MAX(1,ROUNDUP(EZ636/'🎚️ Escenario'!$C$11,0)))))</f>
        <v>1</v>
      </c>
      <c r="FA637" s="9" t="n">
        <f aca="false" t="array" ref="FA637:FA637">IF(FA636=0,0,IF(FA636/'🎚️ Escenario'!$C$11&gt;=36,$AL$23,INDEX($C$23:$AL$23,MAX(1,ROUNDUP(FA636/'🎚️ Escenario'!$C$11,0)))))</f>
        <v>1</v>
      </c>
      <c r="FB637" s="9" t="n">
        <f aca="false" t="array" ref="FB637:FB637">IF(FB636=0,0,IF(FB636/'🎚️ Escenario'!$C$11&gt;=36,$AL$23,INDEX($C$23:$AL$23,MAX(1,ROUNDUP(FB636/'🎚️ Escenario'!$C$11,0)))))</f>
        <v>1</v>
      </c>
      <c r="FC637" s="9" t="n">
        <f aca="false" t="array" ref="FC637:FC637">IF(FC636=0,0,IF(FC636/'🎚️ Escenario'!$C$11&gt;=36,$AL$23,INDEX($C$23:$AL$23,MAX(1,ROUNDUP(FC636/'🎚️ Escenario'!$C$11,0)))))</f>
        <v>1</v>
      </c>
      <c r="FD637" s="9" t="n">
        <f aca="false" t="array" ref="FD637:FD637">IF(FD636=0,0,IF(FD636/'🎚️ Escenario'!$C$11&gt;=36,$AL$23,INDEX($C$23:$AL$23,MAX(1,ROUNDUP(FD636/'🎚️ Escenario'!$C$11,0)))))</f>
        <v>1</v>
      </c>
      <c r="FE637" s="9" t="n">
        <f aca="false" t="array" ref="FE637:FE637">IF(FE636=0,0,IF(FE636/'🎚️ Escenario'!$C$11&gt;=36,$AL$23,INDEX($C$23:$AL$23,MAX(1,ROUNDUP(FE636/'🎚️ Escenario'!$C$11,0)))))</f>
        <v>1</v>
      </c>
      <c r="FF637" s="9" t="n">
        <f aca="false" t="array" ref="FF637:FF637">IF(FF636=0,0,IF(FF636/'🎚️ Escenario'!$C$11&gt;=36,$AL$23,INDEX($C$23:$AL$23,MAX(1,ROUNDUP(FF636/'🎚️ Escenario'!$C$11,0)))))</f>
        <v>1</v>
      </c>
      <c r="FG637" s="9" t="n">
        <f aca="false" t="array" ref="FG637:FG637">IF(FG636=0,0,IF(FG636/'🎚️ Escenario'!$C$11&gt;=36,$AL$23,INDEX($C$23:$AL$23,MAX(1,ROUNDUP(FG636/'🎚️ Escenario'!$C$11,0)))))</f>
        <v>1</v>
      </c>
      <c r="FH637" s="9" t="n">
        <f aca="false" t="array" ref="FH637:FH637">IF(FH636=0,0,IF(FH636/'🎚️ Escenario'!$C$11&gt;=36,$AL$23,INDEX($C$23:$AL$23,MAX(1,ROUNDUP(FH636/'🎚️ Escenario'!$C$11,0)))))</f>
        <v>1</v>
      </c>
      <c r="FI637" s="9" t="n">
        <f aca="false" t="array" ref="FI637:FI637">IF(FI636=0,0,IF(FI636/'🎚️ Escenario'!$C$11&gt;=36,$AL$23,INDEX($C$23:$AL$23,MAX(1,ROUNDUP(FI636/'🎚️ Escenario'!$C$11,0)))))</f>
        <v>1</v>
      </c>
      <c r="FJ637" s="9" t="n">
        <f aca="false" t="array" ref="FJ637:FJ637">IF(FJ636=0,0,IF(FJ636/'🎚️ Escenario'!$C$11&gt;=36,$AL$23,INDEX($C$23:$AL$23,MAX(1,ROUNDUP(FJ636/'🎚️ Escenario'!$C$11,0)))))</f>
        <v>1</v>
      </c>
      <c r="FK637" s="9" t="n">
        <f aca="false" t="array" ref="FK637:FK637">IF(FK636=0,0,IF(FK636/'🎚️ Escenario'!$C$11&gt;=36,$AL$23,INDEX($C$23:$AL$23,MAX(1,ROUNDUP(FK636/'🎚️ Escenario'!$C$11,0)))))</f>
        <v>1</v>
      </c>
      <c r="FL637" s="9" t="n">
        <f aca="false" t="array" ref="FL637:FL637">IF(FL636=0,0,IF(FL636/'🎚️ Escenario'!$C$11&gt;=36,$AL$23,INDEX($C$23:$AL$23,MAX(1,ROUNDUP(FL636/'🎚️ Escenario'!$C$11,0)))))</f>
        <v>1</v>
      </c>
      <c r="FM637" s="9" t="n">
        <f aca="false" t="array" ref="FM637:FM637">IF(FM636=0,0,IF(FM636/'🎚️ Escenario'!$C$11&gt;=36,$AL$23,INDEX($C$23:$AL$23,MAX(1,ROUNDUP(FM636/'🎚️ Escenario'!$C$11,0)))))</f>
        <v>1</v>
      </c>
      <c r="FN637" s="9" t="n">
        <f aca="false" t="array" ref="FN637:FN637">IF(FN636=0,0,IF(FN636/'🎚️ Escenario'!$C$11&gt;=36,$AL$23,INDEX($C$23:$AL$23,MAX(1,ROUNDUP(FN636/'🎚️ Escenario'!$C$11,0)))))</f>
        <v>1</v>
      </c>
      <c r="FO637" s="9" t="n">
        <f aca="false" t="array" ref="FO637:FO637">IF(FO636=0,0,IF(FO636/'🎚️ Escenario'!$C$11&gt;=36,$AL$23,INDEX($C$23:$AL$23,MAX(1,ROUNDUP(FO636/'🎚️ Escenario'!$C$11,0)))))</f>
        <v>1</v>
      </c>
      <c r="FP637" s="9" t="n">
        <f aca="false" t="array" ref="FP637:FP637">IF(FP636=0,0,IF(FP636/'🎚️ Escenario'!$C$11&gt;=36,$AL$23,INDEX($C$23:$AL$23,MAX(1,ROUNDUP(FP636/'🎚️ Escenario'!$C$11,0)))))</f>
        <v>1</v>
      </c>
    </row>
    <row r="638" customFormat="false" ht="15" hidden="false" customHeight="false" outlineLevel="2" collapsed="false">
      <c r="B638" s="9" t="s">
        <v>875</v>
      </c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237" t="n">
        <f aca="false">IF(AC636=0,0,IF(AC636&lt;=12*'🎚️ Escenario'!$C$11,1,1+$C$6))</f>
        <v>0</v>
      </c>
      <c r="AD638" s="237" t="n">
        <f aca="false">IF(AD636=0,0,IF(AD636&lt;=12*'🎚️ Escenario'!$C$11,1,1+$C$6))</f>
        <v>0</v>
      </c>
      <c r="AE638" s="237" t="n">
        <f aca="false">IF(AE636=0,0,IF(AE636&lt;=12*'🎚️ Escenario'!$C$11,1,1+$C$6))</f>
        <v>0</v>
      </c>
      <c r="AF638" s="237" t="n">
        <f aca="false">IF(AF636=0,0,IF(AF636&lt;=12*'🎚️ Escenario'!$C$11,1,1+$C$6))</f>
        <v>0</v>
      </c>
      <c r="AG638" s="237" t="n">
        <f aca="false">IF(AG636=0,0,IF(AG636&lt;=12*'🎚️ Escenario'!$C$11,1,1+$C$6))</f>
        <v>0</v>
      </c>
      <c r="AH638" s="237" t="n">
        <f aca="false">IF(AH636=0,0,IF(AH636&lt;=12*'🎚️ Escenario'!$C$11,1,1+$C$6))</f>
        <v>0</v>
      </c>
      <c r="AI638" s="237" t="n">
        <f aca="false">IF(AI636=0,0,IF(AI636&lt;=12*'🎚️ Escenario'!$C$11,1,1+$C$6))</f>
        <v>0</v>
      </c>
      <c r="AJ638" s="237" t="n">
        <f aca="false">IF(AJ636=0,0,IF(AJ636&lt;=12*'🎚️ Escenario'!$C$11,1,1+$C$6))</f>
        <v>0</v>
      </c>
      <c r="AK638" s="237" t="n">
        <f aca="false">IF(AK636=0,0,IF(AK636&lt;=12*'🎚️ Escenario'!$C$11,1,1+$C$6))</f>
        <v>0</v>
      </c>
      <c r="AL638" s="237" t="n">
        <f aca="false">IF(AL636=0,0,IF(AL636&lt;=12*'🎚️ Escenario'!$C$11,1,1+$C$6))</f>
        <v>0</v>
      </c>
      <c r="AM638" s="237" t="n">
        <f aca="false">IF(AM636=0,0,IF(AM636&lt;=12*'🎚️ Escenario'!$C$11,1,1+$C$6))</f>
        <v>0</v>
      </c>
      <c r="AN638" s="237" t="n">
        <f aca="false">IF(AN636=0,0,IF(AN636&lt;=12*'🎚️ Escenario'!$C$11,1,1+$C$6))</f>
        <v>0</v>
      </c>
      <c r="AO638" s="237" t="n">
        <f aca="false">IF(AO636=0,0,IF(AO636&lt;=12*'🎚️ Escenario'!$C$11,1,1+$C$6))</f>
        <v>0</v>
      </c>
      <c r="AP638" s="237" t="n">
        <f aca="false">IF(AP636=0,0,IF(AP636&lt;=12*'🎚️ Escenario'!$C$11,1,1+$C$6))</f>
        <v>0</v>
      </c>
      <c r="AQ638" s="237" t="n">
        <f aca="false">IF(AQ636=0,0,IF(AQ636&lt;=12*'🎚️ Escenario'!$C$11,1,1+$C$6))</f>
        <v>0</v>
      </c>
      <c r="AR638" s="237" t="n">
        <f aca="false">IF(AR636=0,0,IF(AR636&lt;=12*'🎚️ Escenario'!$C$11,1,1+$C$6))</f>
        <v>0</v>
      </c>
      <c r="AS638" s="237" t="n">
        <f aca="false">IF(AS636=0,0,IF(AS636&lt;=12*'🎚️ Escenario'!$C$11,1,1+$C$6))</f>
        <v>0</v>
      </c>
      <c r="AT638" s="237" t="n">
        <f aca="false">IF(AT636=0,0,IF(AT636&lt;=12*'🎚️ Escenario'!$C$11,1,1+$C$6))</f>
        <v>0</v>
      </c>
      <c r="AU638" s="237" t="n">
        <f aca="false">IF(AU636=0,0,IF(AU636&lt;=12*'🎚️ Escenario'!$C$11,1,1+$C$6))</f>
        <v>0</v>
      </c>
      <c r="AV638" s="237" t="n">
        <f aca="false">IF(AV636=0,0,IF(AV636&lt;=12*'🎚️ Escenario'!$C$11,1,1+$C$6))</f>
        <v>0</v>
      </c>
      <c r="AW638" s="237" t="n">
        <f aca="false">IF(AW636=0,0,IF(AW636&lt;=12*'🎚️ Escenario'!$C$11,1,1+$C$6))</f>
        <v>0</v>
      </c>
      <c r="AX638" s="237" t="n">
        <f aca="false">IF(AX636=0,0,IF(AX636&lt;=12*'🎚️ Escenario'!$C$11,1,1+$C$6))</f>
        <v>0</v>
      </c>
      <c r="AY638" s="237" t="n">
        <f aca="false">IF(AY636=0,0,IF(AY636&lt;=12*'🎚️ Escenario'!$C$11,1,1+$C$6))</f>
        <v>0</v>
      </c>
      <c r="AZ638" s="237" t="n">
        <f aca="false">IF(AZ636=0,0,IF(AZ636&lt;=12*'🎚️ Escenario'!$C$11,1,1+$C$6))</f>
        <v>0</v>
      </c>
      <c r="BA638" s="237" t="n">
        <f aca="false">IF(BA636=0,0,IF(BA636&lt;=12*'🎚️ Escenario'!$C$11,1,1+$C$6))</f>
        <v>0</v>
      </c>
      <c r="BB638" s="237" t="n">
        <f aca="false">IF(BB636=0,0,IF(BB636&lt;=12*'🎚️ Escenario'!$C$11,1,1+$C$6))</f>
        <v>0</v>
      </c>
      <c r="BC638" s="237" t="n">
        <f aca="false">IF(BC636=0,0,IF(BC636&lt;=12*'🎚️ Escenario'!$C$11,1,1+$C$6))</f>
        <v>0</v>
      </c>
      <c r="BD638" s="237" t="n">
        <f aca="false">IF(BD636=0,0,IF(BD636&lt;=12*'🎚️ Escenario'!$C$11,1,1+$C$6))</f>
        <v>0</v>
      </c>
      <c r="BE638" s="237" t="n">
        <f aca="false">IF(BE636=0,0,IF(BE636&lt;=12*'🎚️ Escenario'!$C$11,1,1+$C$6))</f>
        <v>0</v>
      </c>
      <c r="BF638" s="237" t="n">
        <f aca="false">IF(BF636=0,0,IF(BF636&lt;=12*'🎚️ Escenario'!$C$11,1,1+$C$6))</f>
        <v>0</v>
      </c>
      <c r="BG638" s="237" t="n">
        <f aca="false">IF(BG636=0,0,IF(BG636&lt;=12*'🎚️ Escenario'!$C$11,1,1+$C$6))</f>
        <v>0</v>
      </c>
      <c r="BH638" s="237" t="n">
        <f aca="false">IF(BH636=0,0,IF(BH636&lt;=12*'🎚️ Escenario'!$C$11,1,1+$C$6))</f>
        <v>0</v>
      </c>
      <c r="BI638" s="237" t="n">
        <f aca="false">IF(BI636=0,0,IF(BI636&lt;=12*'🎚️ Escenario'!$C$11,1,1+$C$6))</f>
        <v>0</v>
      </c>
      <c r="BJ638" s="237" t="n">
        <f aca="false">IF(BJ636=0,0,IF(BJ636&lt;=12*'🎚️ Escenario'!$C$11,1,1+$C$6))</f>
        <v>0</v>
      </c>
      <c r="BK638" s="237" t="n">
        <f aca="false">IF(BK636=0,0,IF(BK636&lt;=12*'🎚️ Escenario'!$C$11,1,1+$C$6))</f>
        <v>0</v>
      </c>
      <c r="BL638" s="237" t="n">
        <f aca="false">IF(BL636=0,0,IF(BL636&lt;=12*'🎚️ Escenario'!$C$11,1,1+$C$6))</f>
        <v>0</v>
      </c>
      <c r="BM638" s="237" t="n">
        <f aca="false">IF(BM636=0,0,IF(BM636&lt;=12*'🎚️ Escenario'!$C$11,1,1+$C$6))</f>
        <v>0</v>
      </c>
      <c r="BN638" s="237" t="n">
        <f aca="false">IF(BN636=0,0,IF(BN636&lt;=12*'🎚️ Escenario'!$C$11,1,1+$C$6))</f>
        <v>0</v>
      </c>
      <c r="BO638" s="237" t="n">
        <f aca="false">IF(BO636=0,0,IF(BO636&lt;=12*'🎚️ Escenario'!$C$11,1,1+$C$6))</f>
        <v>0</v>
      </c>
      <c r="BP638" s="237" t="n">
        <f aca="false">IF(BP636=0,0,IF(BP636&lt;=12*'🎚️ Escenario'!$C$11,1,1+$C$6))</f>
        <v>0</v>
      </c>
      <c r="BQ638" s="237" t="n">
        <f aca="false">IF(BQ636=0,0,IF(BQ636&lt;=12*'🎚️ Escenario'!$C$11,1,1+$C$6))</f>
        <v>0</v>
      </c>
      <c r="BR638" s="237" t="n">
        <f aca="false">IF(BR636=0,0,IF(BR636&lt;=12*'🎚️ Escenario'!$C$11,1,1+$C$6))</f>
        <v>0</v>
      </c>
      <c r="BS638" s="237" t="n">
        <f aca="false">IF(BS636=0,0,IF(BS636&lt;=12*'🎚️ Escenario'!$C$11,1,1+$C$6))</f>
        <v>0</v>
      </c>
      <c r="BT638" s="237" t="n">
        <f aca="false">IF(BT636=0,0,IF(BT636&lt;=12*'🎚️ Escenario'!$C$11,1,1+$C$6))</f>
        <v>0</v>
      </c>
      <c r="BU638" s="237" t="n">
        <f aca="false">IF(BU636=0,0,IF(BU636&lt;=12*'🎚️ Escenario'!$C$11,1,1+$C$6))</f>
        <v>0</v>
      </c>
      <c r="BV638" s="237" t="n">
        <f aca="false">IF(BV636=0,0,IF(BV636&lt;=12*'🎚️ Escenario'!$C$11,1,1+$C$6))</f>
        <v>0</v>
      </c>
      <c r="BW638" s="237" t="n">
        <f aca="false">IF(BW636=0,0,IF(BW636&lt;=12*'🎚️ Escenario'!$C$11,1,1+$C$6))</f>
        <v>0</v>
      </c>
      <c r="BX638" s="237" t="n">
        <f aca="false">IF(BX636=0,0,IF(BX636&lt;=12*'🎚️ Escenario'!$C$11,1,1+$C$6))</f>
        <v>0</v>
      </c>
      <c r="BY638" s="237" t="n">
        <f aca="false">IF(BY636=0,0,IF(BY636&lt;=12*'🎚️ Escenario'!$C$11,1,1+$C$6))</f>
        <v>0</v>
      </c>
      <c r="BZ638" s="237" t="n">
        <f aca="false">IF(BZ636=0,0,IF(BZ636&lt;=12*'🎚️ Escenario'!$C$11,1,1+$C$6))</f>
        <v>0</v>
      </c>
      <c r="CA638" s="237" t="n">
        <f aca="false">IF(CA636=0,0,IF(CA636&lt;=12*'🎚️ Escenario'!$C$11,1,1+$C$6))</f>
        <v>0</v>
      </c>
      <c r="CB638" s="237" t="n">
        <f aca="false">IF(CB636=0,0,IF(CB636&lt;=12*'🎚️ Escenario'!$C$11,1,1+$C$6))</f>
        <v>0</v>
      </c>
      <c r="CC638" s="237" t="n">
        <f aca="false">IF(CC636=0,0,IF(CC636&lt;=12*'🎚️ Escenario'!$C$11,1,1+$C$6))</f>
        <v>0</v>
      </c>
      <c r="CD638" s="237" t="n">
        <f aca="false">IF(CD636=0,0,IF(CD636&lt;=12*'🎚️ Escenario'!$C$11,1,1+$C$6))</f>
        <v>0</v>
      </c>
      <c r="CE638" s="237" t="n">
        <f aca="false">IF(CE636=0,0,IF(CE636&lt;=12*'🎚️ Escenario'!$C$11,1,1+$C$6))</f>
        <v>0</v>
      </c>
      <c r="CF638" s="237" t="n">
        <f aca="false">IF(CF636=0,0,IF(CF636&lt;=12*'🎚️ Escenario'!$C$11,1,1+$C$6))</f>
        <v>0</v>
      </c>
      <c r="CG638" s="237" t="n">
        <f aca="false">IF(CG636=0,0,IF(CG636&lt;=12*'🎚️ Escenario'!$C$11,1,1+$C$6))</f>
        <v>0</v>
      </c>
      <c r="CH638" s="237" t="n">
        <f aca="false">IF(CH636=0,0,IF(CH636&lt;=12*'🎚️ Escenario'!$C$11,1,1+$C$6))</f>
        <v>0</v>
      </c>
      <c r="CI638" s="237" t="n">
        <f aca="false">IF(CI636=0,0,IF(CI636&lt;=12*'🎚️ Escenario'!$C$11,1,1+$C$6))</f>
        <v>0</v>
      </c>
      <c r="CJ638" s="237" t="n">
        <f aca="false">IF(CJ636=0,0,IF(CJ636&lt;=12*'🎚️ Escenario'!$C$11,1,1+$C$6))</f>
        <v>0</v>
      </c>
      <c r="CK638" s="237" t="n">
        <f aca="false">IF(CK636=0,0,IF(CK636&lt;=12*'🎚️ Escenario'!$C$11,1,1+$C$6))</f>
        <v>0</v>
      </c>
      <c r="CL638" s="237" t="n">
        <f aca="false">IF(CL636=0,0,IF(CL636&lt;=12*'🎚️ Escenario'!$C$11,1,1+$C$6))</f>
        <v>0</v>
      </c>
      <c r="CM638" s="237" t="n">
        <f aca="false">IF(CM636=0,0,IF(CM636&lt;=12*'🎚️ Escenario'!$C$11,1,1+$C$6))</f>
        <v>0</v>
      </c>
      <c r="CN638" s="237" t="n">
        <f aca="false">IF(CN636=0,0,IF(CN636&lt;=12*'🎚️ Escenario'!$C$11,1,1+$C$6))</f>
        <v>0</v>
      </c>
      <c r="CO638" s="237" t="n">
        <f aca="false">IF(CO636=0,0,IF(CO636&lt;=12*'🎚️ Escenario'!$C$11,1,1+$C$6))</f>
        <v>0</v>
      </c>
      <c r="CP638" s="237" t="n">
        <f aca="false">IF(CP636=0,0,IF(CP636&lt;=12*'🎚️ Escenario'!$C$11,1,1+$C$6))</f>
        <v>0</v>
      </c>
      <c r="CQ638" s="237" t="n">
        <f aca="false">IF(CQ636=0,0,IF(CQ636&lt;=12*'🎚️ Escenario'!$C$11,1,1+$C$6))</f>
        <v>0</v>
      </c>
      <c r="CR638" s="237" t="n">
        <f aca="false">IF(CR636=0,0,IF(CR636&lt;=12*'🎚️ Escenario'!$C$11,1,1+$C$6))</f>
        <v>0</v>
      </c>
      <c r="CS638" s="237" t="n">
        <f aca="false">IF(CS636=0,0,IF(CS636&lt;=12*'🎚️ Escenario'!$C$11,1,1+$C$6))</f>
        <v>0</v>
      </c>
      <c r="CT638" s="237" t="n">
        <f aca="false">IF(CT636=0,0,IF(CT636&lt;=12*'🎚️ Escenario'!$C$11,1,1+$C$6))</f>
        <v>0</v>
      </c>
      <c r="CU638" s="237" t="n">
        <f aca="false">IF(CU636=0,0,IF(CU636&lt;=12*'🎚️ Escenario'!$C$11,1,1+$C$6))</f>
        <v>0</v>
      </c>
      <c r="CV638" s="237" t="n">
        <f aca="false">IF(CV636=0,0,IF(CV636&lt;=12*'🎚️ Escenario'!$C$11,1,1+$C$6))</f>
        <v>0</v>
      </c>
      <c r="CW638" s="237" t="n">
        <f aca="false">IF(CW636=0,0,IF(CW636&lt;=12*'🎚️ Escenario'!$C$11,1,1+$C$6))</f>
        <v>0</v>
      </c>
      <c r="CX638" s="237" t="n">
        <f aca="false">IF(CX636=0,0,IF(CX636&lt;=12*'🎚️ Escenario'!$C$11,1,1+$C$6))</f>
        <v>0</v>
      </c>
      <c r="CY638" s="237" t="n">
        <f aca="false">IF(CY636=0,0,IF(CY636&lt;=12*'🎚️ Escenario'!$C$11,1,1+$C$6))</f>
        <v>0</v>
      </c>
      <c r="CZ638" s="237" t="n">
        <f aca="false">IF(CZ636=0,0,IF(CZ636&lt;=12*'🎚️ Escenario'!$C$11,1,1+$C$6))</f>
        <v>0</v>
      </c>
      <c r="DA638" s="237" t="n">
        <f aca="false">IF(DA636=0,0,IF(DA636&lt;=12*'🎚️ Escenario'!$C$11,1,1+$C$6))</f>
        <v>0</v>
      </c>
      <c r="DB638" s="237" t="n">
        <f aca="false">IF(DB636=0,0,IF(DB636&lt;=12*'🎚️ Escenario'!$C$11,1,1+$C$6))</f>
        <v>0</v>
      </c>
      <c r="DC638" s="237" t="n">
        <f aca="false">IF(DC636=0,0,IF(DC636&lt;=12*'🎚️ Escenario'!$C$11,1,1+$C$6))</f>
        <v>0</v>
      </c>
      <c r="DD638" s="237" t="n">
        <f aca="false">IF(DD636=0,0,IF(DD636&lt;=12*'🎚️ Escenario'!$C$11,1,1+$C$6))</f>
        <v>0</v>
      </c>
      <c r="DE638" s="237" t="n">
        <f aca="false">IF(DE636=0,0,IF(DE636&lt;=12*'🎚️ Escenario'!$C$11,1,1+$C$6))</f>
        <v>0</v>
      </c>
      <c r="DF638" s="237" t="n">
        <f aca="false">IF(DF636=0,0,IF(DF636&lt;=12*'🎚️ Escenario'!$C$11,1,1+$C$6))</f>
        <v>0</v>
      </c>
      <c r="DG638" s="237" t="n">
        <f aca="false">IF(DG636=0,0,IF(DG636&lt;=12*'🎚️ Escenario'!$C$11,1,1+$C$6))</f>
        <v>0</v>
      </c>
      <c r="DH638" s="237" t="n">
        <f aca="false">IF(DH636=0,0,IF(DH636&lt;=12*'🎚️ Escenario'!$C$11,1,1+$C$6))</f>
        <v>1</v>
      </c>
      <c r="DI638" s="237" t="n">
        <f aca="false">IF(DI636=0,0,IF(DI636&lt;=12*'🎚️ Escenario'!$C$11,1,1+$C$6))</f>
        <v>1</v>
      </c>
      <c r="DJ638" s="237" t="n">
        <f aca="false">IF(DJ636=0,0,IF(DJ636&lt;=12*'🎚️ Escenario'!$C$11,1,1+$C$6))</f>
        <v>1</v>
      </c>
      <c r="DK638" s="237" t="n">
        <f aca="false">IF(DK636=0,0,IF(DK636&lt;=12*'🎚️ Escenario'!$C$11,1,1+$C$6))</f>
        <v>1</v>
      </c>
      <c r="DL638" s="237" t="n">
        <f aca="false">IF(DL636=0,0,IF(DL636&lt;=12*'🎚️ Escenario'!$C$11,1,1+$C$6))</f>
        <v>1</v>
      </c>
      <c r="DM638" s="237" t="n">
        <f aca="false">IF(DM636=0,0,IF(DM636&lt;=12*'🎚️ Escenario'!$C$11,1,1+$C$6))</f>
        <v>1</v>
      </c>
      <c r="DN638" s="237" t="n">
        <f aca="false">IF(DN636=0,0,IF(DN636&lt;=12*'🎚️ Escenario'!$C$11,1,1+$C$6))</f>
        <v>1</v>
      </c>
      <c r="DO638" s="237" t="n">
        <f aca="false">IF(DO636=0,0,IF(DO636&lt;=12*'🎚️ Escenario'!$C$11,1,1+$C$6))</f>
        <v>1</v>
      </c>
      <c r="DP638" s="237" t="n">
        <f aca="false">IF(DP636=0,0,IF(DP636&lt;=12*'🎚️ Escenario'!$C$11,1,1+$C$6))</f>
        <v>1</v>
      </c>
      <c r="DQ638" s="237" t="n">
        <f aca="false">IF(DQ636=0,0,IF(DQ636&lt;=12*'🎚️ Escenario'!$C$11,1,1+$C$6))</f>
        <v>1</v>
      </c>
      <c r="DR638" s="237" t="n">
        <f aca="false">IF(DR636=0,0,IF(DR636&lt;=12*'🎚️ Escenario'!$C$11,1,1+$C$6))</f>
        <v>1</v>
      </c>
      <c r="DS638" s="237" t="n">
        <f aca="false">IF(DS636=0,0,IF(DS636&lt;=12*'🎚️ Escenario'!$C$11,1,1+$C$6))</f>
        <v>1</v>
      </c>
      <c r="DT638" s="237" t="n">
        <f aca="false">IF(DT636=0,0,IF(DT636&lt;=12*'🎚️ Escenario'!$C$11,1,1+$C$6))</f>
        <v>1</v>
      </c>
      <c r="DU638" s="237" t="n">
        <f aca="false">IF(DU636=0,0,IF(DU636&lt;=12*'🎚️ Escenario'!$C$11,1,1+$C$6))</f>
        <v>1</v>
      </c>
      <c r="DV638" s="237" t="n">
        <f aca="false">IF(DV636=0,0,IF(DV636&lt;=12*'🎚️ Escenario'!$C$11,1,1+$C$6))</f>
        <v>1</v>
      </c>
      <c r="DW638" s="237" t="n">
        <f aca="false">IF(DW636=0,0,IF(DW636&lt;=12*'🎚️ Escenario'!$C$11,1,1+$C$6))</f>
        <v>1.2</v>
      </c>
      <c r="DX638" s="237" t="n">
        <f aca="false">IF(DX636=0,0,IF(DX636&lt;=12*'🎚️ Escenario'!$C$11,1,1+$C$6))</f>
        <v>1.2</v>
      </c>
      <c r="DY638" s="237" t="n">
        <f aca="false">IF(DY636=0,0,IF(DY636&lt;=12*'🎚️ Escenario'!$C$11,1,1+$C$6))</f>
        <v>1.2</v>
      </c>
      <c r="DZ638" s="237" t="n">
        <f aca="false">IF(DZ636=0,0,IF(DZ636&lt;=12*'🎚️ Escenario'!$C$11,1,1+$C$6))</f>
        <v>1.2</v>
      </c>
      <c r="EA638" s="237" t="n">
        <f aca="false">IF(EA636=0,0,IF(EA636&lt;=12*'🎚️ Escenario'!$C$11,1,1+$C$6))</f>
        <v>1.2</v>
      </c>
      <c r="EB638" s="237" t="n">
        <f aca="false">IF(EB636=0,0,IF(EB636&lt;=12*'🎚️ Escenario'!$C$11,1,1+$C$6))</f>
        <v>1.2</v>
      </c>
      <c r="EC638" s="237" t="n">
        <f aca="false">IF(EC636=0,0,IF(EC636&lt;=12*'🎚️ Escenario'!$C$11,1,1+$C$6))</f>
        <v>1.2</v>
      </c>
      <c r="ED638" s="237" t="n">
        <f aca="false">IF(ED636=0,0,IF(ED636&lt;=12*'🎚️ Escenario'!$C$11,1,1+$C$6))</f>
        <v>1.2</v>
      </c>
      <c r="EE638" s="237" t="n">
        <f aca="false">IF(EE636=0,0,IF(EE636&lt;=12*'🎚️ Escenario'!$C$11,1,1+$C$6))</f>
        <v>1.2</v>
      </c>
      <c r="EF638" s="237" t="n">
        <f aca="false">IF(EF636=0,0,IF(EF636&lt;=12*'🎚️ Escenario'!$C$11,1,1+$C$6))</f>
        <v>1.2</v>
      </c>
      <c r="EG638" s="237" t="n">
        <f aca="false">IF(EG636=0,0,IF(EG636&lt;=12*'🎚️ Escenario'!$C$11,1,1+$C$6))</f>
        <v>1.2</v>
      </c>
      <c r="EH638" s="237" t="n">
        <f aca="false">IF(EH636=0,0,IF(EH636&lt;=12*'🎚️ Escenario'!$C$11,1,1+$C$6))</f>
        <v>1.2</v>
      </c>
      <c r="EI638" s="237" t="n">
        <f aca="false">IF(EI636=0,0,IF(EI636&lt;=12*'🎚️ Escenario'!$C$11,1,1+$C$6))</f>
        <v>1.2</v>
      </c>
      <c r="EJ638" s="237" t="n">
        <f aca="false">IF(EJ636=0,0,IF(EJ636&lt;=12*'🎚️ Escenario'!$C$11,1,1+$C$6))</f>
        <v>1.2</v>
      </c>
      <c r="EK638" s="237" t="n">
        <f aca="false">IF(EK636=0,0,IF(EK636&lt;=12*'🎚️ Escenario'!$C$11,1,1+$C$6))</f>
        <v>1.2</v>
      </c>
      <c r="EL638" s="237" t="n">
        <f aca="false">IF(EL636=0,0,IF(EL636&lt;=12*'🎚️ Escenario'!$C$11,1,1+$C$6))</f>
        <v>1.2</v>
      </c>
      <c r="EM638" s="237" t="n">
        <f aca="false">IF(EM636=0,0,IF(EM636&lt;=12*'🎚️ Escenario'!$C$11,1,1+$C$6))</f>
        <v>1.2</v>
      </c>
      <c r="EN638" s="237" t="n">
        <f aca="false">IF(EN636=0,0,IF(EN636&lt;=12*'🎚️ Escenario'!$C$11,1,1+$C$6))</f>
        <v>1.2</v>
      </c>
      <c r="EO638" s="237" t="n">
        <f aca="false">IF(EO636=0,0,IF(EO636&lt;=12*'🎚️ Escenario'!$C$11,1,1+$C$6))</f>
        <v>1.2</v>
      </c>
      <c r="EP638" s="237" t="n">
        <f aca="false">IF(EP636=0,0,IF(EP636&lt;=12*'🎚️ Escenario'!$C$11,1,1+$C$6))</f>
        <v>1.2</v>
      </c>
      <c r="EQ638" s="237" t="n">
        <f aca="false">IF(EQ636=0,0,IF(EQ636&lt;=12*'🎚️ Escenario'!$C$11,1,1+$C$6))</f>
        <v>1.2</v>
      </c>
      <c r="ER638" s="237" t="n">
        <f aca="false">IF(ER636=0,0,IF(ER636&lt;=12*'🎚️ Escenario'!$C$11,1,1+$C$6))</f>
        <v>1.2</v>
      </c>
      <c r="ES638" s="238" t="n">
        <f aca="false">IF(ES636=0,0,IF(ES636&lt;=12*'🎚️ Escenario'!$C$11,1,1+$C$6))</f>
        <v>1.2</v>
      </c>
      <c r="ET638" s="238" t="n">
        <f aca="false">IF(ET636=0,0,IF(ET636&lt;=12*'🎚️ Escenario'!$C$11,1,1+$C$6))</f>
        <v>1.2</v>
      </c>
      <c r="EU638" s="238" t="n">
        <f aca="false">IF(EU636=0,0,IF(EU636&lt;=12*'🎚️ Escenario'!$C$11,1,1+$C$6))</f>
        <v>1.2</v>
      </c>
      <c r="EV638" s="238" t="n">
        <f aca="false">IF(EV636=0,0,IF(EV636&lt;=12*'🎚️ Escenario'!$C$11,1,1+$C$6))</f>
        <v>1.2</v>
      </c>
      <c r="EW638" s="238" t="n">
        <f aca="false">IF(EW636=0,0,IF(EW636&lt;=12*'🎚️ Escenario'!$C$11,1,1+$C$6))</f>
        <v>1.2</v>
      </c>
      <c r="EX638" s="238" t="n">
        <f aca="false">IF(EX636=0,0,IF(EX636&lt;=12*'🎚️ Escenario'!$C$11,1,1+$C$6))</f>
        <v>1.2</v>
      </c>
      <c r="EY638" s="238" t="n">
        <f aca="false">IF(EY636=0,0,IF(EY636&lt;=12*'🎚️ Escenario'!$C$11,1,1+$C$6))</f>
        <v>1.2</v>
      </c>
      <c r="EZ638" s="238" t="n">
        <f aca="false">IF(EZ636=0,0,IF(EZ636&lt;=12*'🎚️ Escenario'!$C$11,1,1+$C$6))</f>
        <v>1.2</v>
      </c>
      <c r="FA638" s="238" t="n">
        <f aca="false">IF(FA636=0,0,IF(FA636&lt;=12*'🎚️ Escenario'!$C$11,1,1+$C$6))</f>
        <v>1.2</v>
      </c>
      <c r="FB638" s="238" t="n">
        <f aca="false">IF(FB636=0,0,IF(FB636&lt;=12*'🎚️ Escenario'!$C$11,1,1+$C$6))</f>
        <v>1.2</v>
      </c>
      <c r="FC638" s="238" t="n">
        <f aca="false">IF(FC636=0,0,IF(FC636&lt;=12*'🎚️ Escenario'!$C$11,1,1+$C$6))</f>
        <v>1.2</v>
      </c>
      <c r="FD638" s="238" t="n">
        <f aca="false">IF(FD636=0,0,IF(FD636&lt;=12*'🎚️ Escenario'!$C$11,1,1+$C$6))</f>
        <v>1.2</v>
      </c>
      <c r="FE638" s="238" t="n">
        <f aca="false">IF(FE636=0,0,IF(FE636&lt;=12*'🎚️ Escenario'!$C$11,1,1+$C$6))</f>
        <v>1.2</v>
      </c>
      <c r="FF638" s="238" t="n">
        <f aca="false">IF(FF636=0,0,IF(FF636&lt;=12*'🎚️ Escenario'!$C$11,1,1+$C$6))</f>
        <v>1.2</v>
      </c>
      <c r="FG638" s="238" t="n">
        <f aca="false">IF(FG636=0,0,IF(FG636&lt;=12*'🎚️ Escenario'!$C$11,1,1+$C$6))</f>
        <v>1.2</v>
      </c>
      <c r="FH638" s="238" t="n">
        <f aca="false">IF(FH636=0,0,IF(FH636&lt;=12*'🎚️ Escenario'!$C$11,1,1+$C$6))</f>
        <v>1.2</v>
      </c>
      <c r="FI638" s="238" t="n">
        <f aca="false">IF(FI636=0,0,IF(FI636&lt;=12*'🎚️ Escenario'!$C$11,1,1+$C$6))</f>
        <v>1.2</v>
      </c>
      <c r="FJ638" s="238" t="n">
        <f aca="false">IF(FJ636=0,0,IF(FJ636&lt;=12*'🎚️ Escenario'!$C$11,1,1+$C$6))</f>
        <v>1.2</v>
      </c>
      <c r="FK638" s="238" t="n">
        <f aca="false">IF(FK636=0,0,IF(FK636&lt;=12*'🎚️ Escenario'!$C$11,1,1+$C$6))</f>
        <v>1.2</v>
      </c>
      <c r="FL638" s="238" t="n">
        <f aca="false">IF(FL636=0,0,IF(FL636&lt;=12*'🎚️ Escenario'!$C$11,1,1+$C$6))</f>
        <v>1.2</v>
      </c>
      <c r="FM638" s="238" t="n">
        <f aca="false">IF(FM636=0,0,IF(FM636&lt;=12*'🎚️ Escenario'!$C$11,1,1+$C$6))</f>
        <v>1.2</v>
      </c>
      <c r="FN638" s="238" t="n">
        <f aca="false">IF(FN636=0,0,IF(FN636&lt;=12*'🎚️ Escenario'!$C$11,1,1+$C$6))</f>
        <v>1.2</v>
      </c>
      <c r="FO638" s="238" t="n">
        <f aca="false">IF(FO636=0,0,IF(FO636&lt;=12*'🎚️ Escenario'!$C$11,1,1+$C$6))</f>
        <v>1.2</v>
      </c>
      <c r="FP638" s="238" t="n">
        <f aca="false">IF(FP636=0,0,IF(FP636&lt;=12*'🎚️ Escenario'!$C$11,1,1+$C$6))</f>
        <v>1.2</v>
      </c>
    </row>
    <row r="639" customFormat="false" ht="15" hidden="false" customHeight="false" outlineLevel="2" collapsed="false">
      <c r="B639" s="9" t="s">
        <v>876</v>
      </c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36" t="n">
        <f aca="false">AC637*$AC$635*AC638*AC$38*'⑫ Roll-out Plan'!$O$68</f>
        <v>0</v>
      </c>
      <c r="AD639" s="36" t="n">
        <f aca="false">AD637*$AC$635*AD638*AD$38*'⑫ Roll-out Plan'!$O$68</f>
        <v>0</v>
      </c>
      <c r="AE639" s="36" t="n">
        <f aca="false">AE637*$AC$635*AE638*AE$38*'⑫ Roll-out Plan'!$O$68</f>
        <v>0</v>
      </c>
      <c r="AF639" s="36" t="n">
        <f aca="false">AF637*$AC$635*AF638*AF$38*'⑫ Roll-out Plan'!$O$68</f>
        <v>0</v>
      </c>
      <c r="AG639" s="36" t="n">
        <f aca="false">AG637*$AC$635*AG638*AG$38*'⑫ Roll-out Plan'!$O$68</f>
        <v>0</v>
      </c>
      <c r="AH639" s="36" t="n">
        <f aca="false">AH637*$AC$635*AH638*AH$38*'⑫ Roll-out Plan'!$O$68</f>
        <v>0</v>
      </c>
      <c r="AI639" s="36" t="n">
        <f aca="false">AI637*$AC$635*AI638*AI$38*'⑫ Roll-out Plan'!$O$68</f>
        <v>0</v>
      </c>
      <c r="AJ639" s="36" t="n">
        <f aca="false">AJ637*$AC$635*AJ638*AJ$38*'⑫ Roll-out Plan'!$O$68</f>
        <v>0</v>
      </c>
      <c r="AK639" s="36" t="n">
        <f aca="false">AK637*$AC$635*AK638*AK$38*'⑫ Roll-out Plan'!$O$68</f>
        <v>0</v>
      </c>
      <c r="AL639" s="36" t="n">
        <f aca="false">AL637*$AC$635*AL638*AL$38*'⑫ Roll-out Plan'!$O$68</f>
        <v>0</v>
      </c>
      <c r="AM639" s="36" t="n">
        <f aca="false">AM637*$AC$635*AM638*AM$38*'⑫ Roll-out Plan'!$O$68</f>
        <v>0</v>
      </c>
      <c r="AN639" s="36" t="n">
        <f aca="false">AN637*$AC$635*AN638*AN$38*'⑫ Roll-out Plan'!$O$68</f>
        <v>0</v>
      </c>
      <c r="AO639" s="36" t="n">
        <f aca="false">AO637*$AC$635*AO638*AO$38*'⑫ Roll-out Plan'!$O$68</f>
        <v>0</v>
      </c>
      <c r="AP639" s="36" t="n">
        <f aca="false">AP637*$AC$635*AP638*AP$38*'⑫ Roll-out Plan'!$O$68</f>
        <v>0</v>
      </c>
      <c r="AQ639" s="36" t="n">
        <f aca="false">AQ637*$AC$635*AQ638*AQ$38*'⑫ Roll-out Plan'!$O$68</f>
        <v>0</v>
      </c>
      <c r="AR639" s="36" t="n">
        <f aca="false">AR637*$AC$635*AR638*AR$38*'⑫ Roll-out Plan'!$O$68</f>
        <v>0</v>
      </c>
      <c r="AS639" s="36" t="n">
        <f aca="false">AS637*$AC$635*AS638*AS$38*'⑫ Roll-out Plan'!$O$68</f>
        <v>0</v>
      </c>
      <c r="AT639" s="36" t="n">
        <f aca="false">AT637*$AC$635*AT638*AT$38*'⑫ Roll-out Plan'!$O$68</f>
        <v>0</v>
      </c>
      <c r="AU639" s="36" t="n">
        <f aca="false">AU637*$AC$635*AU638*AU$38*'⑫ Roll-out Plan'!$O$68</f>
        <v>0</v>
      </c>
      <c r="AV639" s="36" t="n">
        <f aca="false">AV637*$AC$635*AV638*AV$38*'⑫ Roll-out Plan'!$O$68</f>
        <v>0</v>
      </c>
      <c r="AW639" s="36" t="n">
        <f aca="false">AW637*$AC$635*AW638*AW$38*'⑫ Roll-out Plan'!$O$68</f>
        <v>0</v>
      </c>
      <c r="AX639" s="36" t="n">
        <f aca="false">AX637*$AC$635*AX638*AX$38*'⑫ Roll-out Plan'!$O$68</f>
        <v>0</v>
      </c>
      <c r="AY639" s="36" t="n">
        <f aca="false">AY637*$AC$635*AY638*AY$38*'⑫ Roll-out Plan'!$O$68</f>
        <v>0</v>
      </c>
      <c r="AZ639" s="36" t="n">
        <f aca="false">AZ637*$AC$635*AZ638*AZ$38*'⑫ Roll-out Plan'!$O$68</f>
        <v>0</v>
      </c>
      <c r="BA639" s="36" t="n">
        <f aca="false">BA637*$AC$635*BA638*BA$38*'⑫ Roll-out Plan'!$O$68</f>
        <v>0</v>
      </c>
      <c r="BB639" s="36" t="n">
        <f aca="false">BB637*$AC$635*BB638*BB$38*'⑫ Roll-out Plan'!$O$68</f>
        <v>0</v>
      </c>
      <c r="BC639" s="36" t="n">
        <f aca="false">BC637*$AC$635*BC638*BC$38*'⑫ Roll-out Plan'!$O$68</f>
        <v>0</v>
      </c>
      <c r="BD639" s="36" t="n">
        <f aca="false">BD637*$AC$635*BD638*BD$38*'⑫ Roll-out Plan'!$O$68</f>
        <v>0</v>
      </c>
      <c r="BE639" s="36" t="n">
        <f aca="false">BE637*$AC$635*BE638*BE$38*'⑫ Roll-out Plan'!$O$68</f>
        <v>0</v>
      </c>
      <c r="BF639" s="36" t="n">
        <f aca="false">BF637*$AC$635*BF638*BF$38*'⑫ Roll-out Plan'!$O$68</f>
        <v>0</v>
      </c>
      <c r="BG639" s="36" t="n">
        <f aca="false">BG637*$AC$635*BG638*BG$38*'⑫ Roll-out Plan'!$O$68</f>
        <v>0</v>
      </c>
      <c r="BH639" s="36" t="n">
        <f aca="false">BH637*$AC$635*BH638*BH$38*'⑫ Roll-out Plan'!$O$68</f>
        <v>0</v>
      </c>
      <c r="BI639" s="36" t="n">
        <f aca="false">BI637*$AC$635*BI638*BI$38*'⑫ Roll-out Plan'!$O$68</f>
        <v>0</v>
      </c>
      <c r="BJ639" s="36" t="n">
        <f aca="false">BJ637*$AC$635*BJ638*BJ$38*'⑫ Roll-out Plan'!$O$68</f>
        <v>0</v>
      </c>
      <c r="BK639" s="36" t="n">
        <f aca="false">BK637*$AC$635*BK638*BK$38*'⑫ Roll-out Plan'!$O$68</f>
        <v>0</v>
      </c>
      <c r="BL639" s="36" t="n">
        <f aca="false">BL637*$AC$635*BL638*BL$38*'⑫ Roll-out Plan'!$O$68</f>
        <v>0</v>
      </c>
      <c r="BM639" s="36" t="n">
        <f aca="false">BM637*$AC$635*BM638*BM$38*'⑫ Roll-out Plan'!$O$68</f>
        <v>0</v>
      </c>
      <c r="BN639" s="36" t="n">
        <f aca="false">BN637*$AC$635*BN638*BN$38*'⑫ Roll-out Plan'!$O$68</f>
        <v>0</v>
      </c>
      <c r="BO639" s="36" t="n">
        <f aca="false">BO637*$AC$635*BO638*BO$38*'⑫ Roll-out Plan'!$O$68</f>
        <v>0</v>
      </c>
      <c r="BP639" s="36" t="n">
        <f aca="false">BP637*$AC$635*BP638*BP$38*'⑫ Roll-out Plan'!$O$68</f>
        <v>0</v>
      </c>
      <c r="BQ639" s="36" t="n">
        <f aca="false">BQ637*$AC$635*BQ638*BQ$38*'⑫ Roll-out Plan'!$O$68</f>
        <v>0</v>
      </c>
      <c r="BR639" s="36" t="n">
        <f aca="false">BR637*$AC$635*BR638*BR$38*'⑫ Roll-out Plan'!$O$68</f>
        <v>0</v>
      </c>
      <c r="BS639" s="36" t="n">
        <f aca="false">BS637*$AC$635*BS638*BS$38*'⑫ Roll-out Plan'!$O$68</f>
        <v>0</v>
      </c>
      <c r="BT639" s="36" t="n">
        <f aca="false">BT637*$AC$635*BT638*BT$38*'⑫ Roll-out Plan'!$O$68</f>
        <v>0</v>
      </c>
      <c r="BU639" s="36" t="n">
        <f aca="false">BU637*$AC$635*BU638*BU$38*'⑫ Roll-out Plan'!$O$68</f>
        <v>0</v>
      </c>
      <c r="BV639" s="36" t="n">
        <f aca="false">BV637*$AC$635*BV638*BV$38*'⑫ Roll-out Plan'!$O$68</f>
        <v>0</v>
      </c>
      <c r="BW639" s="36" t="n">
        <f aca="false">BW637*$AC$635*BW638*BW$38*'⑫ Roll-out Plan'!$O$68</f>
        <v>0</v>
      </c>
      <c r="BX639" s="36" t="n">
        <f aca="false">BX637*$AC$635*BX638*BX$38*'⑫ Roll-out Plan'!$O$68</f>
        <v>0</v>
      </c>
      <c r="BY639" s="36" t="n">
        <f aca="false">BY637*$AC$635*BY638*BY$38*'⑫ Roll-out Plan'!$O$68</f>
        <v>0</v>
      </c>
      <c r="BZ639" s="36" t="n">
        <f aca="false">BZ637*$AC$635*BZ638*BZ$38*'⑫ Roll-out Plan'!$O$68</f>
        <v>0</v>
      </c>
      <c r="CA639" s="36" t="n">
        <f aca="false">CA637*$AC$635*CA638*CA$38*'⑫ Roll-out Plan'!$O$68</f>
        <v>0</v>
      </c>
      <c r="CB639" s="36" t="n">
        <f aca="false">CB637*$AC$635*CB638*CB$38*'⑫ Roll-out Plan'!$O$68</f>
        <v>0</v>
      </c>
      <c r="CC639" s="36" t="n">
        <f aca="false">CC637*$AC$635*CC638*CC$38*'⑫ Roll-out Plan'!$O$68</f>
        <v>0</v>
      </c>
      <c r="CD639" s="36" t="n">
        <f aca="false">CD637*$AC$635*CD638*CD$38*'⑫ Roll-out Plan'!$O$68</f>
        <v>0</v>
      </c>
      <c r="CE639" s="36" t="n">
        <f aca="false">CE637*$AC$635*CE638*CE$38*'⑫ Roll-out Plan'!$O$68</f>
        <v>0</v>
      </c>
      <c r="CF639" s="36" t="n">
        <f aca="false">CF637*$AC$635*CF638*CF$38*'⑫ Roll-out Plan'!$O$68</f>
        <v>0</v>
      </c>
      <c r="CG639" s="36" t="n">
        <f aca="false">CG637*$AC$635*CG638*CG$38*'⑫ Roll-out Plan'!$O$68</f>
        <v>0</v>
      </c>
      <c r="CH639" s="36" t="n">
        <f aca="false">CH637*$AC$635*CH638*CH$38*'⑫ Roll-out Plan'!$O$68</f>
        <v>0</v>
      </c>
      <c r="CI639" s="36" t="n">
        <f aca="false">CI637*$AC$635*CI638*CI$38*'⑫ Roll-out Plan'!$O$68</f>
        <v>0</v>
      </c>
      <c r="CJ639" s="36" t="n">
        <f aca="false">CJ637*$AC$635*CJ638*CJ$38*'⑫ Roll-out Plan'!$O$68</f>
        <v>0</v>
      </c>
      <c r="CK639" s="36" t="n">
        <f aca="false">CK637*$AC$635*CK638*CK$38*'⑫ Roll-out Plan'!$O$68</f>
        <v>0</v>
      </c>
      <c r="CL639" s="36" t="n">
        <f aca="false">CL637*$AC$635*CL638*CL$38*'⑫ Roll-out Plan'!$O$68</f>
        <v>0</v>
      </c>
      <c r="CM639" s="36" t="n">
        <f aca="false">CM637*$AC$635*CM638*CM$38*'⑫ Roll-out Plan'!$O$68</f>
        <v>0</v>
      </c>
      <c r="CN639" s="36" t="n">
        <f aca="false">CN637*$AC$635*CN638*CN$38*'⑫ Roll-out Plan'!$O$68</f>
        <v>0</v>
      </c>
      <c r="CO639" s="36" t="n">
        <f aca="false">CO637*$AC$635*CO638*CO$38*'⑫ Roll-out Plan'!$O$68</f>
        <v>0</v>
      </c>
      <c r="CP639" s="36" t="n">
        <f aca="false">CP637*$AC$635*CP638*CP$38*'⑫ Roll-out Plan'!$O$68</f>
        <v>0</v>
      </c>
      <c r="CQ639" s="36" t="n">
        <f aca="false">CQ637*$AC$635*CQ638*CQ$38*'⑫ Roll-out Plan'!$O$68</f>
        <v>0</v>
      </c>
      <c r="CR639" s="36" t="n">
        <f aca="false">CR637*$AC$635*CR638*CR$38*'⑫ Roll-out Plan'!$O$68</f>
        <v>0</v>
      </c>
      <c r="CS639" s="36" t="n">
        <f aca="false">CS637*$AC$635*CS638*CS$38*'⑫ Roll-out Plan'!$O$68</f>
        <v>0</v>
      </c>
      <c r="CT639" s="36" t="n">
        <f aca="false">CT637*$AC$635*CT638*CT$38*'⑫ Roll-out Plan'!$O$68</f>
        <v>0</v>
      </c>
      <c r="CU639" s="36" t="n">
        <f aca="false">CU637*$AC$635*CU638*CU$38*'⑫ Roll-out Plan'!$O$68</f>
        <v>0</v>
      </c>
      <c r="CV639" s="36" t="n">
        <f aca="false">CV637*$AC$635*CV638*CV$38*'⑫ Roll-out Plan'!$O$68</f>
        <v>0</v>
      </c>
      <c r="CW639" s="36" t="n">
        <f aca="false">CW637*$AC$635*CW638*CW$38*'⑫ Roll-out Plan'!$O$68</f>
        <v>0</v>
      </c>
      <c r="CX639" s="36" t="n">
        <f aca="false">CX637*$AC$635*CX638*CX$38*'⑫ Roll-out Plan'!$O$68</f>
        <v>0</v>
      </c>
      <c r="CY639" s="36" t="n">
        <f aca="false">CY637*$AC$635*CY638*CY$38*'⑫ Roll-out Plan'!$O$68</f>
        <v>0</v>
      </c>
      <c r="CZ639" s="36" t="n">
        <f aca="false">CZ637*$AC$635*CZ638*CZ$38*'⑫ Roll-out Plan'!$O$68</f>
        <v>0</v>
      </c>
      <c r="DA639" s="36" t="n">
        <f aca="false">DA637*$AC$635*DA638*DA$38*'⑫ Roll-out Plan'!$O$68</f>
        <v>0</v>
      </c>
      <c r="DB639" s="36" t="n">
        <f aca="false">DB637*$AC$635*DB638*DB$38*'⑫ Roll-out Plan'!$O$68</f>
        <v>0</v>
      </c>
      <c r="DC639" s="36" t="n">
        <f aca="false">DC637*$AC$635*DC638*DC$38*'⑫ Roll-out Plan'!$O$68</f>
        <v>0</v>
      </c>
      <c r="DD639" s="36" t="n">
        <f aca="false">DD637*$AC$635*DD638*DD$38*'⑫ Roll-out Plan'!$O$68</f>
        <v>0</v>
      </c>
      <c r="DE639" s="36" t="n">
        <f aca="false">DE637*$AC$635*DE638*DE$38*'⑫ Roll-out Plan'!$O$68</f>
        <v>0</v>
      </c>
      <c r="DF639" s="36" t="n">
        <f aca="false">DF637*$AC$635*DF638*DF$38*'⑫ Roll-out Plan'!$O$68</f>
        <v>0</v>
      </c>
      <c r="DG639" s="36" t="n">
        <f aca="false">DG637*$AC$635*DG638*DG$38*'⑫ Roll-out Plan'!$O$68</f>
        <v>0</v>
      </c>
      <c r="DH639" s="36" t="n">
        <f aca="false">DH637*$AC$635*DH638*DH$38*'⑫ Roll-out Plan'!$O$68</f>
        <v>0</v>
      </c>
      <c r="DI639" s="36" t="n">
        <f aca="false">DI637*$AC$635*DI638*DI$38*'⑫ Roll-out Plan'!$O$68</f>
        <v>0</v>
      </c>
      <c r="DJ639" s="36" t="n">
        <f aca="false">DJ637*$AC$635*DJ638*DJ$38*'⑫ Roll-out Plan'!$O$68</f>
        <v>0</v>
      </c>
      <c r="DK639" s="36" t="n">
        <f aca="false">DK637*$AC$635*DK638*DK$38*'⑫ Roll-out Plan'!$O$68</f>
        <v>0</v>
      </c>
      <c r="DL639" s="36" t="n">
        <f aca="false">DL637*$AC$635*DL638*DL$38*'⑫ Roll-out Plan'!$O$68</f>
        <v>0</v>
      </c>
      <c r="DM639" s="36" t="n">
        <f aca="false">DM637*$AC$635*DM638*DM$38*'⑫ Roll-out Plan'!$O$68</f>
        <v>0</v>
      </c>
      <c r="DN639" s="36" t="n">
        <f aca="false">DN637*$AC$635*DN638*DN$38*'⑫ Roll-out Plan'!$O$68</f>
        <v>0</v>
      </c>
      <c r="DO639" s="36" t="n">
        <f aca="false">DO637*$AC$635*DO638*DO$38*'⑫ Roll-out Plan'!$O$68</f>
        <v>0</v>
      </c>
      <c r="DP639" s="36" t="n">
        <f aca="false">DP637*$AC$635*DP638*DP$38*'⑫ Roll-out Plan'!$O$68</f>
        <v>0</v>
      </c>
      <c r="DQ639" s="36" t="n">
        <f aca="false">DQ637*$AC$635*DQ638*DQ$38*'⑫ Roll-out Plan'!$O$68</f>
        <v>0</v>
      </c>
      <c r="DR639" s="36" t="n">
        <f aca="false">DR637*$AC$635*DR638*DR$38*'⑫ Roll-out Plan'!$O$68</f>
        <v>0</v>
      </c>
      <c r="DS639" s="36" t="n">
        <f aca="false">DS637*$AC$635*DS638*DS$38*'⑫ Roll-out Plan'!$O$68</f>
        <v>0</v>
      </c>
      <c r="DT639" s="36" t="n">
        <f aca="false">DT637*$AC$635*DT638*DT$38*'⑫ Roll-out Plan'!$O$68</f>
        <v>0</v>
      </c>
      <c r="DU639" s="36" t="n">
        <f aca="false">DU637*$AC$635*DU638*DU$38*'⑫ Roll-out Plan'!$O$68</f>
        <v>0</v>
      </c>
      <c r="DV639" s="36" t="n">
        <f aca="false">DV637*$AC$635*DV638*DV$38*'⑫ Roll-out Plan'!$O$68</f>
        <v>0</v>
      </c>
      <c r="DW639" s="36" t="n">
        <f aca="false">DW637*$AC$635*DW638*DW$38*'⑫ Roll-out Plan'!$O$68</f>
        <v>0</v>
      </c>
      <c r="DX639" s="36" t="n">
        <f aca="false">DX637*$AC$635*DX638*DX$38*'⑫ Roll-out Plan'!$O$68</f>
        <v>0</v>
      </c>
      <c r="DY639" s="36" t="n">
        <f aca="false">DY637*$AC$635*DY638*DY$38*'⑫ Roll-out Plan'!$O$68</f>
        <v>0</v>
      </c>
      <c r="DZ639" s="36" t="n">
        <f aca="false">DZ637*$AC$635*DZ638*DZ$38*'⑫ Roll-out Plan'!$O$68</f>
        <v>0</v>
      </c>
      <c r="EA639" s="36" t="n">
        <f aca="false">EA637*$AC$635*EA638*EA$38*'⑫ Roll-out Plan'!$O$68</f>
        <v>0</v>
      </c>
      <c r="EB639" s="36" t="n">
        <f aca="false">EB637*$AC$635*EB638*EB$38*'⑫ Roll-out Plan'!$O$68</f>
        <v>0</v>
      </c>
      <c r="EC639" s="36" t="n">
        <f aca="false">EC637*$AC$635*EC638*EC$38*'⑫ Roll-out Plan'!$O$68</f>
        <v>0</v>
      </c>
      <c r="ED639" s="36" t="n">
        <f aca="false">ED637*$AC$635*ED638*ED$38*'⑫ Roll-out Plan'!$O$68</f>
        <v>0</v>
      </c>
      <c r="EE639" s="36" t="n">
        <f aca="false">EE637*$AC$635*EE638*EE$38*'⑫ Roll-out Plan'!$O$68</f>
        <v>0</v>
      </c>
      <c r="EF639" s="36" t="n">
        <f aca="false">EF637*$AC$635*EF638*EF$38*'⑫ Roll-out Plan'!$O$68</f>
        <v>0</v>
      </c>
      <c r="EG639" s="36" t="n">
        <f aca="false">EG637*$AC$635*EG638*EG$38*'⑫ Roll-out Plan'!$O$68</f>
        <v>0</v>
      </c>
      <c r="EH639" s="36" t="n">
        <f aca="false">EH637*$AC$635*EH638*EH$38*'⑫ Roll-out Plan'!$O$68</f>
        <v>0</v>
      </c>
      <c r="EI639" s="36" t="n">
        <f aca="false">EI637*$AC$635*EI638*EI$38*'⑫ Roll-out Plan'!$O$68</f>
        <v>0</v>
      </c>
      <c r="EJ639" s="36" t="n">
        <f aca="false">EJ637*$AC$635*EJ638*EJ$38*'⑫ Roll-out Plan'!$O$68</f>
        <v>0</v>
      </c>
      <c r="EK639" s="36" t="n">
        <f aca="false">EK637*$AC$635*EK638*EK$38*'⑫ Roll-out Plan'!$O$68</f>
        <v>0</v>
      </c>
      <c r="EL639" s="36" t="n">
        <f aca="false">EL637*$AC$635*EL638*EL$38*'⑫ Roll-out Plan'!$O$68</f>
        <v>0</v>
      </c>
      <c r="EM639" s="36" t="n">
        <f aca="false">EM637*$AC$635*EM638*EM$38*'⑫ Roll-out Plan'!$O$68</f>
        <v>0</v>
      </c>
      <c r="EN639" s="36" t="n">
        <f aca="false">EN637*$AC$635*EN638*EN$38*'⑫ Roll-out Plan'!$O$68</f>
        <v>0</v>
      </c>
      <c r="EO639" s="36" t="n">
        <f aca="false">EO637*$AC$635*EO638*EO$38*'⑫ Roll-out Plan'!$O$68</f>
        <v>0</v>
      </c>
      <c r="EP639" s="36" t="n">
        <f aca="false">EP637*$AC$635*EP638*EP$38*'⑫ Roll-out Plan'!$O$68</f>
        <v>0</v>
      </c>
      <c r="EQ639" s="36" t="n">
        <f aca="false">EQ637*$AC$635*EQ638*EQ$38*'⑫ Roll-out Plan'!$O$68</f>
        <v>0</v>
      </c>
      <c r="ER639" s="36" t="n">
        <f aca="false">ER637*$AC$635*ER638*ER$38*'⑫ Roll-out Plan'!$O$68</f>
        <v>0</v>
      </c>
      <c r="ES639" s="9" t="n">
        <f aca="false">ES637*$AC$635*ES638*ES$38*'⑫ Roll-out Plan'!$O$68</f>
        <v>0</v>
      </c>
      <c r="ET639" s="9" t="n">
        <f aca="false">ET637*$AC$635*ET638*ET$38*'⑫ Roll-out Plan'!$O$68</f>
        <v>0</v>
      </c>
      <c r="EU639" s="9" t="n">
        <f aca="false">EU637*$AC$635*EU638*EU$38*'⑫ Roll-out Plan'!$O$68</f>
        <v>0</v>
      </c>
      <c r="EV639" s="9" t="n">
        <f aca="false">EV637*$AC$635*EV638*EV$38*'⑫ Roll-out Plan'!$O$68</f>
        <v>0</v>
      </c>
      <c r="EW639" s="9" t="n">
        <f aca="false">EW637*$AC$635*EW638*EW$38*'⑫ Roll-out Plan'!$O$68</f>
        <v>0</v>
      </c>
      <c r="EX639" s="9" t="n">
        <f aca="false">EX637*$AC$635*EX638*EX$38*'⑫ Roll-out Plan'!$O$68</f>
        <v>0</v>
      </c>
      <c r="EY639" s="9" t="n">
        <f aca="false">EY637*$AC$635*EY638*EY$38*'⑫ Roll-out Plan'!$O$68</f>
        <v>0</v>
      </c>
      <c r="EZ639" s="9" t="n">
        <f aca="false">EZ637*$AC$635*EZ638*EZ$38*'⑫ Roll-out Plan'!$O$68</f>
        <v>0</v>
      </c>
      <c r="FA639" s="9" t="n">
        <f aca="false">FA637*$AC$635*FA638*FA$38*'⑫ Roll-out Plan'!$O$68</f>
        <v>0</v>
      </c>
      <c r="FB639" s="9" t="n">
        <f aca="false">FB637*$AC$635*FB638*FB$38*'⑫ Roll-out Plan'!$O$68</f>
        <v>0</v>
      </c>
      <c r="FC639" s="9" t="n">
        <f aca="false">FC637*$AC$635*FC638*FC$38*'⑫ Roll-out Plan'!$O$68</f>
        <v>0</v>
      </c>
      <c r="FD639" s="9" t="n">
        <f aca="false">FD637*$AC$635*FD638*FD$38*'⑫ Roll-out Plan'!$O$68</f>
        <v>0</v>
      </c>
      <c r="FE639" s="9" t="n">
        <f aca="false">FE637*$AC$635*FE638*FE$38*'⑫ Roll-out Plan'!$O$68</f>
        <v>0</v>
      </c>
      <c r="FF639" s="9" t="n">
        <f aca="false">FF637*$AC$635*FF638*FF$38*'⑫ Roll-out Plan'!$O$68</f>
        <v>0</v>
      </c>
      <c r="FG639" s="9" t="n">
        <f aca="false">FG637*$AC$635*FG638*FG$38*'⑫ Roll-out Plan'!$O$68</f>
        <v>0</v>
      </c>
      <c r="FH639" s="9" t="n">
        <f aca="false">FH637*$AC$635*FH638*FH$38*'⑫ Roll-out Plan'!$O$68</f>
        <v>0</v>
      </c>
      <c r="FI639" s="9" t="n">
        <f aca="false">FI637*$AC$635*FI638*FI$38*'⑫ Roll-out Plan'!$O$68</f>
        <v>0</v>
      </c>
      <c r="FJ639" s="9" t="n">
        <f aca="false">FJ637*$AC$635*FJ638*FJ$38*'⑫ Roll-out Plan'!$O$68</f>
        <v>0</v>
      </c>
      <c r="FK639" s="9" t="n">
        <f aca="false">FK637*$AC$635*FK638*FK$38*'⑫ Roll-out Plan'!$O$68</f>
        <v>0</v>
      </c>
      <c r="FL639" s="9" t="n">
        <f aca="false">FL637*$AC$635*FL638*FL$38*'⑫ Roll-out Plan'!$O$68</f>
        <v>0</v>
      </c>
      <c r="FM639" s="9" t="n">
        <f aca="false">FM637*$AC$635*FM638*FM$38*'⑫ Roll-out Plan'!$O$68</f>
        <v>0</v>
      </c>
      <c r="FN639" s="9" t="n">
        <f aca="false">FN637*$AC$635*FN638*FN$38*'⑫ Roll-out Plan'!$O$68</f>
        <v>0</v>
      </c>
      <c r="FO639" s="9" t="n">
        <f aca="false">FO637*$AC$635*FO638*FO$38*'⑫ Roll-out Plan'!$O$68</f>
        <v>0</v>
      </c>
      <c r="FP639" s="9" t="n">
        <f aca="false">FP637*$AC$635*FP638*FP$38*'⑫ Roll-out Plan'!$O$68</f>
        <v>0</v>
      </c>
    </row>
    <row r="640" customFormat="false" ht="15" hidden="false" customHeight="false" outlineLevel="2" collapsed="false">
      <c r="B640" s="9" t="s">
        <v>877</v>
      </c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112" t="n">
        <f aca="true">IFERROR(SUMPRODUCT(OFFSET($BJ$31,0,1-MIN(60,COLUMN()-29),1,MIN(60,COLUMN()-29)),OFFSET(AC639,0,-MIN(60,COLUMN()-29),1,MIN(60,COLUMN()-29))),0)</f>
        <v>0</v>
      </c>
      <c r="AD640" s="112" t="n">
        <f aca="true">IFERROR(SUMPRODUCT(OFFSET($BJ$31,0,1-MIN(60,COLUMN()-29),1,MIN(60,COLUMN()-29)),OFFSET(AD639,0,-MIN(60,COLUMN()-29),1,MIN(60,COLUMN()-29))),0)</f>
        <v>0</v>
      </c>
      <c r="AE640" s="112" t="n">
        <f aca="true">IFERROR(SUMPRODUCT(OFFSET($BJ$31,0,1-MIN(60,COLUMN()-29),1,MIN(60,COLUMN()-29)),OFFSET(AE639,0,-MIN(60,COLUMN()-29),1,MIN(60,COLUMN()-29))),0)</f>
        <v>0</v>
      </c>
      <c r="AF640" s="112" t="n">
        <f aca="true">IFERROR(SUMPRODUCT(OFFSET($BJ$31,0,1-MIN(60,COLUMN()-29),1,MIN(60,COLUMN()-29)),OFFSET(AF639,0,-MIN(60,COLUMN()-29),1,MIN(60,COLUMN()-29))),0)</f>
        <v>0</v>
      </c>
      <c r="AG640" s="112" t="n">
        <f aca="true">IFERROR(SUMPRODUCT(OFFSET($BJ$31,0,1-MIN(60,COLUMN()-29),1,MIN(60,COLUMN()-29)),OFFSET(AG639,0,-MIN(60,COLUMN()-29),1,MIN(60,COLUMN()-29))),0)</f>
        <v>0</v>
      </c>
      <c r="AH640" s="112" t="n">
        <f aca="true">IFERROR(SUMPRODUCT(OFFSET($BJ$31,0,1-MIN(60,COLUMN()-29),1,MIN(60,COLUMN()-29)),OFFSET(AH639,0,-MIN(60,COLUMN()-29),1,MIN(60,COLUMN()-29))),0)</f>
        <v>0</v>
      </c>
      <c r="AI640" s="112" t="n">
        <f aca="true">IFERROR(SUMPRODUCT(OFFSET($BJ$31,0,1-MIN(60,COLUMN()-29),1,MIN(60,COLUMN()-29)),OFFSET(AI639,0,-MIN(60,COLUMN()-29),1,MIN(60,COLUMN()-29))),0)</f>
        <v>0</v>
      </c>
      <c r="AJ640" s="112" t="n">
        <f aca="true">IFERROR(SUMPRODUCT(OFFSET($BJ$31,0,1-MIN(60,COLUMN()-29),1,MIN(60,COLUMN()-29)),OFFSET(AJ639,0,-MIN(60,COLUMN()-29),1,MIN(60,COLUMN()-29))),0)</f>
        <v>0</v>
      </c>
      <c r="AK640" s="112" t="n">
        <f aca="true">IFERROR(SUMPRODUCT(OFFSET($BJ$31,0,1-MIN(60,COLUMN()-29),1,MIN(60,COLUMN()-29)),OFFSET(AK639,0,-MIN(60,COLUMN()-29),1,MIN(60,COLUMN()-29))),0)</f>
        <v>0</v>
      </c>
      <c r="AL640" s="112" t="n">
        <f aca="true">IFERROR(SUMPRODUCT(OFFSET($BJ$31,0,1-MIN(60,COLUMN()-29),1,MIN(60,COLUMN()-29)),OFFSET(AL639,0,-MIN(60,COLUMN()-29),1,MIN(60,COLUMN()-29))),0)</f>
        <v>0</v>
      </c>
      <c r="AM640" s="112" t="n">
        <f aca="true">IFERROR(SUMPRODUCT(OFFSET($BJ$31,0,1-MIN(60,COLUMN()-29),1,MIN(60,COLUMN()-29)),OFFSET(AM639,0,-MIN(60,COLUMN()-29),1,MIN(60,COLUMN()-29))),0)</f>
        <v>0</v>
      </c>
      <c r="AN640" s="239" t="n">
        <f aca="true">IFERROR(SUMPRODUCT(OFFSET($BJ$31,0,1-MIN(60,COLUMN()-29),1,MIN(60,COLUMN()-29)),OFFSET(AN639,0,-MIN(60,COLUMN()-29),1,MIN(60,COLUMN()-29))),0)</f>
        <v>0</v>
      </c>
      <c r="AO640" s="112" t="n">
        <f aca="true">IFERROR(SUMPRODUCT(OFFSET($BJ$31,0,1-MIN(60,COLUMN()-29),1,MIN(60,COLUMN()-29)),OFFSET(AO639,0,-MIN(60,COLUMN()-29),1,MIN(60,COLUMN()-29))),0)</f>
        <v>0</v>
      </c>
      <c r="AP640" s="112" t="n">
        <f aca="true">IFERROR(SUMPRODUCT(OFFSET($BJ$31,0,1-MIN(60,COLUMN()-29),1,MIN(60,COLUMN()-29)),OFFSET(AP639,0,-MIN(60,COLUMN()-29),1,MIN(60,COLUMN()-29))),0)</f>
        <v>0</v>
      </c>
      <c r="AQ640" s="112" t="n">
        <f aca="true">IFERROR(SUMPRODUCT(OFFSET($BJ$31,0,1-MIN(60,COLUMN()-29),1,MIN(60,COLUMN()-29)),OFFSET(AQ639,0,-MIN(60,COLUMN()-29),1,MIN(60,COLUMN()-29))),0)</f>
        <v>0</v>
      </c>
      <c r="AR640" s="112" t="n">
        <f aca="true">IFERROR(SUMPRODUCT(OFFSET($BJ$31,0,1-MIN(60,COLUMN()-29),1,MIN(60,COLUMN()-29)),OFFSET(AR639,0,-MIN(60,COLUMN()-29),1,MIN(60,COLUMN()-29))),0)</f>
        <v>0</v>
      </c>
      <c r="AS640" s="112" t="n">
        <f aca="true">IFERROR(SUMPRODUCT(OFFSET($BJ$31,0,1-MIN(60,COLUMN()-29),1,MIN(60,COLUMN()-29)),OFFSET(AS639,0,-MIN(60,COLUMN()-29),1,MIN(60,COLUMN()-29))),0)</f>
        <v>0</v>
      </c>
      <c r="AT640" s="112" t="n">
        <f aca="true">IFERROR(SUMPRODUCT(OFFSET($BJ$31,0,1-MIN(60,COLUMN()-29),1,MIN(60,COLUMN()-29)),OFFSET(AT639,0,-MIN(60,COLUMN()-29),1,MIN(60,COLUMN()-29))),0)</f>
        <v>0</v>
      </c>
      <c r="AU640" s="112" t="n">
        <f aca="true">IFERROR(SUMPRODUCT(OFFSET($BJ$31,0,1-MIN(60,COLUMN()-29),1,MIN(60,COLUMN()-29)),OFFSET(AU639,0,-MIN(60,COLUMN()-29),1,MIN(60,COLUMN()-29))),0)</f>
        <v>0</v>
      </c>
      <c r="AV640" s="112" t="n">
        <f aca="true">IFERROR(SUMPRODUCT(OFFSET($BJ$31,0,1-MIN(60,COLUMN()-29),1,MIN(60,COLUMN()-29)),OFFSET(AV639,0,-MIN(60,COLUMN()-29),1,MIN(60,COLUMN()-29))),0)</f>
        <v>0</v>
      </c>
      <c r="AW640" s="112" t="n">
        <f aca="true">IFERROR(SUMPRODUCT(OFFSET($BJ$31,0,1-MIN(60,COLUMN()-29),1,MIN(60,COLUMN()-29)),OFFSET(AW639,0,-MIN(60,COLUMN()-29),1,MIN(60,COLUMN()-29))),0)</f>
        <v>0</v>
      </c>
      <c r="AX640" s="112" t="n">
        <f aca="true">IFERROR(SUMPRODUCT(OFFSET($BJ$31,0,1-MIN(60,COLUMN()-29),1,MIN(60,COLUMN()-29)),OFFSET(AX639,0,-MIN(60,COLUMN()-29),1,MIN(60,COLUMN()-29))),0)</f>
        <v>0</v>
      </c>
      <c r="AY640" s="112" t="n">
        <f aca="true">IFERROR(SUMPRODUCT(OFFSET($BJ$31,0,1-MIN(60,COLUMN()-29),1,MIN(60,COLUMN()-29)),OFFSET(AY639,0,-MIN(60,COLUMN()-29),1,MIN(60,COLUMN()-29))),0)</f>
        <v>0</v>
      </c>
      <c r="AZ640" s="112" t="n">
        <f aca="true">IFERROR(SUMPRODUCT(OFFSET($BJ$31,0,1-MIN(60,COLUMN()-29),1,MIN(60,COLUMN()-29)),OFFSET(AZ639,0,-MIN(60,COLUMN()-29),1,MIN(60,COLUMN()-29))),0)</f>
        <v>0</v>
      </c>
      <c r="BA640" s="112" t="n">
        <f aca="true">IFERROR(SUMPRODUCT(OFFSET($BJ$31,0,1-MIN(60,COLUMN()-29),1,MIN(60,COLUMN()-29)),OFFSET(BA639,0,-MIN(60,COLUMN()-29),1,MIN(60,COLUMN()-29))),0)</f>
        <v>0</v>
      </c>
      <c r="BB640" s="112" t="n">
        <f aca="true">IFERROR(SUMPRODUCT(OFFSET($BJ$31,0,1-MIN(60,COLUMN()-29),1,MIN(60,COLUMN()-29)),OFFSET(BB639,0,-MIN(60,COLUMN()-29),1,MIN(60,COLUMN()-29))),0)</f>
        <v>0</v>
      </c>
      <c r="BC640" s="112" t="n">
        <f aca="true">IFERROR(SUMPRODUCT(OFFSET($BJ$31,0,1-MIN(60,COLUMN()-29),1,MIN(60,COLUMN()-29)),OFFSET(BC639,0,-MIN(60,COLUMN()-29),1,MIN(60,COLUMN()-29))),0)</f>
        <v>0</v>
      </c>
      <c r="BD640" s="112" t="n">
        <f aca="true">IFERROR(SUMPRODUCT(OFFSET($BJ$31,0,1-MIN(60,COLUMN()-29),1,MIN(60,COLUMN()-29)),OFFSET(BD639,0,-MIN(60,COLUMN()-29),1,MIN(60,COLUMN()-29))),0)</f>
        <v>0</v>
      </c>
      <c r="BE640" s="112" t="n">
        <f aca="true">IFERROR(SUMPRODUCT(OFFSET($BJ$31,0,1-MIN(60,COLUMN()-29),1,MIN(60,COLUMN()-29)),OFFSET(BE639,0,-MIN(60,COLUMN()-29),1,MIN(60,COLUMN()-29))),0)</f>
        <v>0</v>
      </c>
      <c r="BF640" s="112" t="n">
        <f aca="true">IFERROR(SUMPRODUCT(OFFSET($BJ$31,0,1-MIN(60,COLUMN()-29),1,MIN(60,COLUMN()-29)),OFFSET(BF639,0,-MIN(60,COLUMN()-29),1,MIN(60,COLUMN()-29))),0)</f>
        <v>0</v>
      </c>
      <c r="BG640" s="112" t="n">
        <f aca="true">IFERROR(SUMPRODUCT(OFFSET($BJ$31,0,1-MIN(60,COLUMN()-29),1,MIN(60,COLUMN()-29)),OFFSET(BG639,0,-MIN(60,COLUMN()-29),1,MIN(60,COLUMN()-29))),0)</f>
        <v>0</v>
      </c>
      <c r="BH640" s="112" t="n">
        <f aca="true">IFERROR(SUMPRODUCT(OFFSET($BJ$31,0,1-MIN(60,COLUMN()-29),1,MIN(60,COLUMN()-29)),OFFSET(BH639,0,-MIN(60,COLUMN()-29),1,MIN(60,COLUMN()-29))),0)</f>
        <v>0</v>
      </c>
      <c r="BI640" s="112" t="n">
        <f aca="true">IFERROR(SUMPRODUCT(OFFSET($BJ$31,0,1-MIN(60,COLUMN()-29),1,MIN(60,COLUMN()-29)),OFFSET(BI639,0,-MIN(60,COLUMN()-29),1,MIN(60,COLUMN()-29))),0)</f>
        <v>0</v>
      </c>
      <c r="BJ640" s="112" t="n">
        <f aca="true">IFERROR(SUMPRODUCT(OFFSET($BJ$31,0,1-MIN(60,COLUMN()-29),1,MIN(60,COLUMN()-29)),OFFSET(BJ639,0,-MIN(60,COLUMN()-29),1,MIN(60,COLUMN()-29))),0)</f>
        <v>0</v>
      </c>
      <c r="BK640" s="112" t="n">
        <f aca="true">IFERROR(SUMPRODUCT(OFFSET($BJ$31,0,1-MIN(60,COLUMN()-29),1,MIN(60,COLUMN()-29)),OFFSET(BK639,0,-MIN(60,COLUMN()-29),1,MIN(60,COLUMN()-29))),0)</f>
        <v>0</v>
      </c>
      <c r="BL640" s="112" t="n">
        <f aca="true">IFERROR(SUMPRODUCT(OFFSET($BJ$31,0,1-MIN(60,COLUMN()-29),1,MIN(60,COLUMN()-29)),OFFSET(BL639,0,-MIN(60,COLUMN()-29),1,MIN(60,COLUMN()-29))),0)</f>
        <v>0</v>
      </c>
      <c r="BM640" s="112" t="n">
        <f aca="true">IFERROR(SUMPRODUCT(OFFSET($BJ$31,0,1-MIN(60,COLUMN()-29),1,MIN(60,COLUMN()-29)),OFFSET(BM639,0,-MIN(60,COLUMN()-29),1,MIN(60,COLUMN()-29))),0)</f>
        <v>0</v>
      </c>
      <c r="BN640" s="112" t="n">
        <f aca="true">IFERROR(SUMPRODUCT(OFFSET($BJ$31,0,1-MIN(60,COLUMN()-29),1,MIN(60,COLUMN()-29)),OFFSET(BN639,0,-MIN(60,COLUMN()-29),1,MIN(60,COLUMN()-29))),0)</f>
        <v>0</v>
      </c>
      <c r="BO640" s="112" t="n">
        <f aca="true">IFERROR(SUMPRODUCT(OFFSET($BJ$31,0,1-MIN(60,COLUMN()-29),1,MIN(60,COLUMN()-29)),OFFSET(BO639,0,-MIN(60,COLUMN()-29),1,MIN(60,COLUMN()-29))),0)</f>
        <v>0</v>
      </c>
      <c r="BP640" s="112" t="n">
        <f aca="true">IFERROR(SUMPRODUCT(OFFSET($BJ$31,0,1-MIN(60,COLUMN()-29),1,MIN(60,COLUMN()-29)),OFFSET(BP639,0,-MIN(60,COLUMN()-29),1,MIN(60,COLUMN()-29))),0)</f>
        <v>0</v>
      </c>
      <c r="BQ640" s="112" t="n">
        <f aca="true">IFERROR(SUMPRODUCT(OFFSET($BJ$31,0,1-MIN(60,COLUMN()-29),1,MIN(60,COLUMN()-29)),OFFSET(BQ639,0,-MIN(60,COLUMN()-29),1,MIN(60,COLUMN()-29))),0)</f>
        <v>0</v>
      </c>
      <c r="BR640" s="112" t="n">
        <f aca="true">IFERROR(SUMPRODUCT(OFFSET($BJ$31,0,1-MIN(60,COLUMN()-29),1,MIN(60,COLUMN()-29)),OFFSET(BR639,0,-MIN(60,COLUMN()-29),1,MIN(60,COLUMN()-29))),0)</f>
        <v>0</v>
      </c>
      <c r="BS640" s="112" t="n">
        <f aca="true">IFERROR(SUMPRODUCT(OFFSET($BJ$31,0,1-MIN(60,COLUMN()-29),1,MIN(60,COLUMN()-29)),OFFSET(BS639,0,-MIN(60,COLUMN()-29),1,MIN(60,COLUMN()-29))),0)</f>
        <v>0</v>
      </c>
      <c r="BT640" s="112" t="n">
        <f aca="true">IFERROR(SUMPRODUCT(OFFSET($BJ$31,0,1-MIN(60,COLUMN()-29),1,MIN(60,COLUMN()-29)),OFFSET(BT639,0,-MIN(60,COLUMN()-29),1,MIN(60,COLUMN()-29))),0)</f>
        <v>0</v>
      </c>
      <c r="BU640" s="112" t="n">
        <f aca="true">IFERROR(SUMPRODUCT(OFFSET($BJ$31,0,1-MIN(60,COLUMN()-29),1,MIN(60,COLUMN()-29)),OFFSET(BU639,0,-MIN(60,COLUMN()-29),1,MIN(60,COLUMN()-29))),0)</f>
        <v>0</v>
      </c>
      <c r="BV640" s="112" t="n">
        <f aca="true">IFERROR(SUMPRODUCT(OFFSET($BJ$31,0,1-MIN(60,COLUMN()-29),1,MIN(60,COLUMN()-29)),OFFSET(BV639,0,-MIN(60,COLUMN()-29),1,MIN(60,COLUMN()-29))),0)</f>
        <v>0</v>
      </c>
      <c r="BW640" s="112" t="n">
        <f aca="true">IFERROR(SUMPRODUCT(OFFSET($BJ$31,0,1-MIN(60,COLUMN()-29),1,MIN(60,COLUMN()-29)),OFFSET(BW639,0,-MIN(60,COLUMN()-29),1,MIN(60,COLUMN()-29))),0)</f>
        <v>0</v>
      </c>
      <c r="BX640" s="112" t="n">
        <f aca="true">IFERROR(SUMPRODUCT(OFFSET($BJ$31,0,1-MIN(60,COLUMN()-29),1,MIN(60,COLUMN()-29)),OFFSET(BX639,0,-MIN(60,COLUMN()-29),1,MIN(60,COLUMN()-29))),0)</f>
        <v>0</v>
      </c>
      <c r="BY640" s="112" t="n">
        <f aca="true">IFERROR(SUMPRODUCT(OFFSET($BJ$31,0,1-MIN(60,COLUMN()-29),1,MIN(60,COLUMN()-29)),OFFSET(BY639,0,-MIN(60,COLUMN()-29),1,MIN(60,COLUMN()-29))),0)</f>
        <v>0</v>
      </c>
      <c r="BZ640" s="112" t="n">
        <f aca="true">IFERROR(SUMPRODUCT(OFFSET($BJ$31,0,1-MIN(60,COLUMN()-29),1,MIN(60,COLUMN()-29)),OFFSET(BZ639,0,-MIN(60,COLUMN()-29),1,MIN(60,COLUMN()-29))),0)</f>
        <v>0</v>
      </c>
      <c r="CA640" s="112" t="n">
        <f aca="true">IFERROR(SUMPRODUCT(OFFSET($BJ$31,0,1-MIN(60,COLUMN()-29),1,MIN(60,COLUMN()-29)),OFFSET(CA639,0,-MIN(60,COLUMN()-29),1,MIN(60,COLUMN()-29))),0)</f>
        <v>0</v>
      </c>
      <c r="CB640" s="112" t="n">
        <f aca="true">IFERROR(SUMPRODUCT(OFFSET($BJ$31,0,1-MIN(60,COLUMN()-29),1,MIN(60,COLUMN()-29)),OFFSET(CB639,0,-MIN(60,COLUMN()-29),1,MIN(60,COLUMN()-29))),0)</f>
        <v>0</v>
      </c>
      <c r="CC640" s="112" t="n">
        <f aca="true">IFERROR(SUMPRODUCT(OFFSET($BJ$31,0,1-MIN(60,COLUMN()-29),1,MIN(60,COLUMN()-29)),OFFSET(CC639,0,-MIN(60,COLUMN()-29),1,MIN(60,COLUMN()-29))),0)</f>
        <v>0</v>
      </c>
      <c r="CD640" s="112" t="n">
        <f aca="true">IFERROR(SUMPRODUCT(OFFSET($BJ$31,0,1-MIN(60,COLUMN()-29),1,MIN(60,COLUMN()-29)),OFFSET(CD639,0,-MIN(60,COLUMN()-29),1,MIN(60,COLUMN()-29))),0)</f>
        <v>0</v>
      </c>
      <c r="CE640" s="112" t="n">
        <f aca="true">IFERROR(SUMPRODUCT(OFFSET($BJ$31,0,1-MIN(60,COLUMN()-29),1,MIN(60,COLUMN()-29)),OFFSET(CE639,0,-MIN(60,COLUMN()-29),1,MIN(60,COLUMN()-29))),0)</f>
        <v>0</v>
      </c>
      <c r="CF640" s="112" t="n">
        <f aca="true">IFERROR(SUMPRODUCT(OFFSET($BJ$31,0,1-MIN(60,COLUMN()-29),1,MIN(60,COLUMN()-29)),OFFSET(CF639,0,-MIN(60,COLUMN()-29),1,MIN(60,COLUMN()-29))),0)</f>
        <v>0</v>
      </c>
      <c r="CG640" s="112" t="n">
        <f aca="true">IFERROR(SUMPRODUCT(OFFSET($BJ$31,0,1-MIN(60,COLUMN()-29),1,MIN(60,COLUMN()-29)),OFFSET(CG639,0,-MIN(60,COLUMN()-29),1,MIN(60,COLUMN()-29))),0)</f>
        <v>0</v>
      </c>
      <c r="CH640" s="112" t="n">
        <f aca="true">IFERROR(SUMPRODUCT(OFFSET($BJ$31,0,1-MIN(60,COLUMN()-29),1,MIN(60,COLUMN()-29)),OFFSET(CH639,0,-MIN(60,COLUMN()-29),1,MIN(60,COLUMN()-29))),0)</f>
        <v>0</v>
      </c>
      <c r="CI640" s="112" t="n">
        <f aca="true">IFERROR(SUMPRODUCT(OFFSET($BJ$31,0,1-MIN(60,COLUMN()-29),1,MIN(60,COLUMN()-29)),OFFSET(CI639,0,-MIN(60,COLUMN()-29),1,MIN(60,COLUMN()-29))),0)</f>
        <v>0</v>
      </c>
      <c r="CJ640" s="112" t="n">
        <f aca="true">IFERROR(SUMPRODUCT(OFFSET($BJ$31,0,1-MIN(60,COLUMN()-29),1,MIN(60,COLUMN()-29)),OFFSET(CJ639,0,-MIN(60,COLUMN()-29),1,MIN(60,COLUMN()-29))),0)</f>
        <v>0</v>
      </c>
      <c r="CK640" s="112" t="n">
        <f aca="true">IFERROR(SUMPRODUCT(OFFSET($BJ$31,0,1-MIN(60,COLUMN()-29),1,MIN(60,COLUMN()-29)),OFFSET(CK639,0,-MIN(60,COLUMN()-29),1,MIN(60,COLUMN()-29))),0)</f>
        <v>0</v>
      </c>
      <c r="CL640" s="112" t="n">
        <f aca="true">IFERROR(SUMPRODUCT(OFFSET($BJ$31,0,1-MIN(60,COLUMN()-29),1,MIN(60,COLUMN()-29)),OFFSET(CL639,0,-MIN(60,COLUMN()-29),1,MIN(60,COLUMN()-29))),0)</f>
        <v>0</v>
      </c>
      <c r="CM640" s="112" t="n">
        <f aca="true">IFERROR(SUMPRODUCT(OFFSET($BJ$31,0,1-MIN(60,COLUMN()-29),1,MIN(60,COLUMN()-29)),OFFSET(CM639,0,-MIN(60,COLUMN()-29),1,MIN(60,COLUMN()-29))),0)</f>
        <v>0</v>
      </c>
      <c r="CN640" s="112" t="n">
        <f aca="true">IFERROR(SUMPRODUCT(OFFSET($BJ$31,0,1-MIN(60,COLUMN()-29),1,MIN(60,COLUMN()-29)),OFFSET(CN639,0,-MIN(60,COLUMN()-29),1,MIN(60,COLUMN()-29))),0)</f>
        <v>0</v>
      </c>
      <c r="CO640" s="112" t="n">
        <f aca="true">IFERROR(SUMPRODUCT(OFFSET($BJ$31,0,1-MIN(60,COLUMN()-29),1,MIN(60,COLUMN()-29)),OFFSET(CO639,0,-MIN(60,COLUMN()-29),1,MIN(60,COLUMN()-29))),0)</f>
        <v>0</v>
      </c>
      <c r="CP640" s="112" t="n">
        <f aca="true">IFERROR(SUMPRODUCT(OFFSET($BJ$31,0,1-MIN(60,COLUMN()-29),1,MIN(60,COLUMN()-29)),OFFSET(CP639,0,-MIN(60,COLUMN()-29),1,MIN(60,COLUMN()-29))),0)</f>
        <v>0</v>
      </c>
      <c r="CQ640" s="112" t="n">
        <f aca="true">IFERROR(SUMPRODUCT(OFFSET($BJ$31,0,1-MIN(60,COLUMN()-29),1,MIN(60,COLUMN()-29)),OFFSET(CQ639,0,-MIN(60,COLUMN()-29),1,MIN(60,COLUMN()-29))),0)</f>
        <v>0</v>
      </c>
      <c r="CR640" s="112" t="n">
        <f aca="true">IFERROR(SUMPRODUCT(OFFSET($BJ$31,0,1-MIN(60,COLUMN()-29),1,MIN(60,COLUMN()-29)),OFFSET(CR639,0,-MIN(60,COLUMN()-29),1,MIN(60,COLUMN()-29))),0)</f>
        <v>0</v>
      </c>
      <c r="CS640" s="112" t="n">
        <f aca="true">IFERROR(SUMPRODUCT(OFFSET($BJ$31,0,1-MIN(60,COLUMN()-29),1,MIN(60,COLUMN()-29)),OFFSET(CS639,0,-MIN(60,COLUMN()-29),1,MIN(60,COLUMN()-29))),0)</f>
        <v>0</v>
      </c>
      <c r="CT640" s="112" t="n">
        <f aca="true">IFERROR(SUMPRODUCT(OFFSET($BJ$31,0,1-MIN(60,COLUMN()-29),1,MIN(60,COLUMN()-29)),OFFSET(CT639,0,-MIN(60,COLUMN()-29),1,MIN(60,COLUMN()-29))),0)</f>
        <v>0</v>
      </c>
      <c r="CU640" s="112" t="n">
        <f aca="true">IFERROR(SUMPRODUCT(OFFSET($BJ$31,0,1-MIN(60,COLUMN()-29),1,MIN(60,COLUMN()-29)),OFFSET(CU639,0,-MIN(60,COLUMN()-29),1,MIN(60,COLUMN()-29))),0)</f>
        <v>0</v>
      </c>
      <c r="CV640" s="112" t="n">
        <f aca="true">IFERROR(SUMPRODUCT(OFFSET($BJ$31,0,1-MIN(60,COLUMN()-29),1,MIN(60,COLUMN()-29)),OFFSET(CV639,0,-MIN(60,COLUMN()-29),1,MIN(60,COLUMN()-29))),0)</f>
        <v>0</v>
      </c>
      <c r="CW640" s="112" t="n">
        <f aca="true">IFERROR(SUMPRODUCT(OFFSET($BJ$31,0,1-MIN(60,COLUMN()-29),1,MIN(60,COLUMN()-29)),OFFSET(CW639,0,-MIN(60,COLUMN()-29),1,MIN(60,COLUMN()-29))),0)</f>
        <v>0</v>
      </c>
      <c r="CX640" s="112" t="n">
        <f aca="true">IFERROR(SUMPRODUCT(OFFSET($BJ$31,0,1-MIN(60,COLUMN()-29),1,MIN(60,COLUMN()-29)),OFFSET(CX639,0,-MIN(60,COLUMN()-29),1,MIN(60,COLUMN()-29))),0)</f>
        <v>0</v>
      </c>
      <c r="CY640" s="112" t="n">
        <f aca="true">IFERROR(SUMPRODUCT(OFFSET($BJ$31,0,1-MIN(60,COLUMN()-29),1,MIN(60,COLUMN()-29)),OFFSET(CY639,0,-MIN(60,COLUMN()-29),1,MIN(60,COLUMN()-29))),0)</f>
        <v>0</v>
      </c>
      <c r="CZ640" s="112" t="n">
        <f aca="true">IFERROR(SUMPRODUCT(OFFSET($BJ$31,0,1-MIN(60,COLUMN()-29),1,MIN(60,COLUMN()-29)),OFFSET(CZ639,0,-MIN(60,COLUMN()-29),1,MIN(60,COLUMN()-29))),0)</f>
        <v>0</v>
      </c>
      <c r="DA640" s="112" t="n">
        <f aca="true">IFERROR(SUMPRODUCT(OFFSET($BJ$31,0,1-MIN(60,COLUMN()-29),1,MIN(60,COLUMN()-29)),OFFSET(DA639,0,-MIN(60,COLUMN()-29),1,MIN(60,COLUMN()-29))),0)</f>
        <v>0</v>
      </c>
      <c r="DB640" s="112" t="n">
        <f aca="true">IFERROR(SUMPRODUCT(OFFSET($BJ$31,0,1-MIN(60,COLUMN()-29),1,MIN(60,COLUMN()-29)),OFFSET(DB639,0,-MIN(60,COLUMN()-29),1,MIN(60,COLUMN()-29))),0)</f>
        <v>0</v>
      </c>
      <c r="DC640" s="112" t="n">
        <f aca="true">IFERROR(SUMPRODUCT(OFFSET($BJ$31,0,1-MIN(60,COLUMN()-29),1,MIN(60,COLUMN()-29)),OFFSET(DC639,0,-MIN(60,COLUMN()-29),1,MIN(60,COLUMN()-29))),0)</f>
        <v>0</v>
      </c>
      <c r="DD640" s="112" t="n">
        <f aca="true">IFERROR(SUMPRODUCT(OFFSET($BJ$31,0,1-MIN(60,COLUMN()-29),1,MIN(60,COLUMN()-29)),OFFSET(DD639,0,-MIN(60,COLUMN()-29),1,MIN(60,COLUMN()-29))),0)</f>
        <v>0</v>
      </c>
      <c r="DE640" s="112" t="n">
        <f aca="true">IFERROR(SUMPRODUCT(OFFSET($BJ$31,0,1-MIN(60,COLUMN()-29),1,MIN(60,COLUMN()-29)),OFFSET(DE639,0,-MIN(60,COLUMN()-29),1,MIN(60,COLUMN()-29))),0)</f>
        <v>0</v>
      </c>
      <c r="DF640" s="112" t="n">
        <f aca="true">IFERROR(SUMPRODUCT(OFFSET($BJ$31,0,1-MIN(60,COLUMN()-29),1,MIN(60,COLUMN()-29)),OFFSET(DF639,0,-MIN(60,COLUMN()-29),1,MIN(60,COLUMN()-29))),0)</f>
        <v>0</v>
      </c>
      <c r="DG640" s="112" t="n">
        <f aca="true">IFERROR(SUMPRODUCT(OFFSET($BJ$31,0,1-MIN(60,COLUMN()-29),1,MIN(60,COLUMN()-29)),OFFSET(DG639,0,-MIN(60,COLUMN()-29),1,MIN(60,COLUMN()-29))),0)</f>
        <v>0</v>
      </c>
      <c r="DH640" s="112" t="n">
        <f aca="true">IFERROR(SUMPRODUCT(OFFSET($BJ$31,0,1-MIN(60,COLUMN()-29),1,MIN(60,COLUMN()-29)),OFFSET(DH639,0,-MIN(60,COLUMN()-29),1,MIN(60,COLUMN()-29))),0)</f>
        <v>0</v>
      </c>
      <c r="DI640" s="112" t="n">
        <f aca="true">IFERROR(SUMPRODUCT(OFFSET($BJ$31,0,1-MIN(60,COLUMN()-29),1,MIN(60,COLUMN()-29)),OFFSET(DI639,0,-MIN(60,COLUMN()-29),1,MIN(60,COLUMN()-29))),0)</f>
        <v>0</v>
      </c>
      <c r="DJ640" s="112" t="n">
        <f aca="true">IFERROR(SUMPRODUCT(OFFSET($BJ$31,0,1-MIN(60,COLUMN()-29),1,MIN(60,COLUMN()-29)),OFFSET(DJ639,0,-MIN(60,COLUMN()-29),1,MIN(60,COLUMN()-29))),0)</f>
        <v>0</v>
      </c>
      <c r="DK640" s="112" t="n">
        <f aca="true">IFERROR(SUMPRODUCT(OFFSET($BJ$31,0,1-MIN(60,COLUMN()-29),1,MIN(60,COLUMN()-29)),OFFSET(DK639,0,-MIN(60,COLUMN()-29),1,MIN(60,COLUMN()-29))),0)</f>
        <v>0</v>
      </c>
      <c r="DL640" s="112" t="n">
        <f aca="true">IFERROR(SUMPRODUCT(OFFSET($BJ$31,0,1-MIN(60,COLUMN()-29),1,MIN(60,COLUMN()-29)),OFFSET(DL639,0,-MIN(60,COLUMN()-29),1,MIN(60,COLUMN()-29))),0)</f>
        <v>0</v>
      </c>
      <c r="DM640" s="112" t="n">
        <f aca="true">IFERROR(SUMPRODUCT(OFFSET($BJ$31,0,1-MIN(60,COLUMN()-29),1,MIN(60,COLUMN()-29)),OFFSET(DM639,0,-MIN(60,COLUMN()-29),1,MIN(60,COLUMN()-29))),0)</f>
        <v>0</v>
      </c>
      <c r="DN640" s="112" t="n">
        <f aca="true">IFERROR(SUMPRODUCT(OFFSET($BJ$31,0,1-MIN(60,COLUMN()-29),1,MIN(60,COLUMN()-29)),OFFSET(DN639,0,-MIN(60,COLUMN()-29),1,MIN(60,COLUMN()-29))),0)</f>
        <v>0</v>
      </c>
      <c r="DO640" s="112" t="n">
        <f aca="true">IFERROR(SUMPRODUCT(OFFSET($BJ$31,0,1-MIN(60,COLUMN()-29),1,MIN(60,COLUMN()-29)),OFFSET(DO639,0,-MIN(60,COLUMN()-29),1,MIN(60,COLUMN()-29))),0)</f>
        <v>0</v>
      </c>
      <c r="DP640" s="112" t="n">
        <f aca="true">IFERROR(SUMPRODUCT(OFFSET($BJ$31,0,1-MIN(60,COLUMN()-29),1,MIN(60,COLUMN()-29)),OFFSET(DP639,0,-MIN(60,COLUMN()-29),1,MIN(60,COLUMN()-29))),0)</f>
        <v>0</v>
      </c>
      <c r="DQ640" s="112" t="n">
        <f aca="true">IFERROR(SUMPRODUCT(OFFSET($BJ$31,0,1-MIN(60,COLUMN()-29),1,MIN(60,COLUMN()-29)),OFFSET(DQ639,0,-MIN(60,COLUMN()-29),1,MIN(60,COLUMN()-29))),0)</f>
        <v>0</v>
      </c>
      <c r="DR640" s="112" t="n">
        <f aca="true">IFERROR(SUMPRODUCT(OFFSET($BJ$31,0,1-MIN(60,COLUMN()-29),1,MIN(60,COLUMN()-29)),OFFSET(DR639,0,-MIN(60,COLUMN()-29),1,MIN(60,COLUMN()-29))),0)</f>
        <v>0</v>
      </c>
      <c r="DS640" s="112" t="n">
        <f aca="true">IFERROR(SUMPRODUCT(OFFSET($BJ$31,0,1-MIN(60,COLUMN()-29),1,MIN(60,COLUMN()-29)),OFFSET(DS639,0,-MIN(60,COLUMN()-29),1,MIN(60,COLUMN()-29))),0)</f>
        <v>0</v>
      </c>
      <c r="DT640" s="112" t="n">
        <f aca="true">IFERROR(SUMPRODUCT(OFFSET($BJ$31,0,1-MIN(60,COLUMN()-29),1,MIN(60,COLUMN()-29)),OFFSET(DT639,0,-MIN(60,COLUMN()-29),1,MIN(60,COLUMN()-29))),0)</f>
        <v>0</v>
      </c>
      <c r="DU640" s="112" t="n">
        <f aca="true">IFERROR(SUMPRODUCT(OFFSET($BJ$31,0,1-MIN(60,COLUMN()-29),1,MIN(60,COLUMN()-29)),OFFSET(DU639,0,-MIN(60,COLUMN()-29),1,MIN(60,COLUMN()-29))),0)</f>
        <v>0</v>
      </c>
      <c r="DV640" s="112" t="n">
        <f aca="true">IFERROR(SUMPRODUCT(OFFSET($BJ$31,0,1-MIN(60,COLUMN()-29),1,MIN(60,COLUMN()-29)),OFFSET(DV639,0,-MIN(60,COLUMN()-29),1,MIN(60,COLUMN()-29))),0)</f>
        <v>0</v>
      </c>
      <c r="DW640" s="112" t="n">
        <f aca="true">IFERROR(SUMPRODUCT(OFFSET($BJ$31,0,1-MIN(60,COLUMN()-29),1,MIN(60,COLUMN()-29)),OFFSET(DW639,0,-MIN(60,COLUMN()-29),1,MIN(60,COLUMN()-29))),0)</f>
        <v>0</v>
      </c>
      <c r="DX640" s="112" t="n">
        <f aca="true">IFERROR(SUMPRODUCT(OFFSET($BJ$31,0,1-MIN(60,COLUMN()-29),1,MIN(60,COLUMN()-29)),OFFSET(DX639,0,-MIN(60,COLUMN()-29),1,MIN(60,COLUMN()-29))),0)</f>
        <v>0</v>
      </c>
      <c r="DY640" s="112" t="n">
        <f aca="true">IFERROR(SUMPRODUCT(OFFSET($BJ$31,0,1-MIN(60,COLUMN()-29),1,MIN(60,COLUMN()-29)),OFFSET(DY639,0,-MIN(60,COLUMN()-29),1,MIN(60,COLUMN()-29))),0)</f>
        <v>0</v>
      </c>
      <c r="DZ640" s="112" t="n">
        <f aca="true">IFERROR(SUMPRODUCT(OFFSET($BJ$31,0,1-MIN(60,COLUMN()-29),1,MIN(60,COLUMN()-29)),OFFSET(DZ639,0,-MIN(60,COLUMN()-29),1,MIN(60,COLUMN()-29))),0)</f>
        <v>0</v>
      </c>
      <c r="EA640" s="112" t="n">
        <f aca="true">IFERROR(SUMPRODUCT(OFFSET($BJ$31,0,1-MIN(60,COLUMN()-29),1,MIN(60,COLUMN()-29)),OFFSET(EA639,0,-MIN(60,COLUMN()-29),1,MIN(60,COLUMN()-29))),0)</f>
        <v>0</v>
      </c>
      <c r="EB640" s="112" t="n">
        <f aca="true">IFERROR(SUMPRODUCT(OFFSET($BJ$31,0,1-MIN(60,COLUMN()-29),1,MIN(60,COLUMN()-29)),OFFSET(EB639,0,-MIN(60,COLUMN()-29),1,MIN(60,COLUMN()-29))),0)</f>
        <v>0</v>
      </c>
      <c r="EC640" s="112" t="n">
        <f aca="true">IFERROR(SUMPRODUCT(OFFSET($BJ$31,0,1-MIN(60,COLUMN()-29),1,MIN(60,COLUMN()-29)),OFFSET(EC639,0,-MIN(60,COLUMN()-29),1,MIN(60,COLUMN()-29))),0)</f>
        <v>0</v>
      </c>
      <c r="ED640" s="112" t="n">
        <f aca="true">IFERROR(SUMPRODUCT(OFFSET($BJ$31,0,1-MIN(60,COLUMN()-29),1,MIN(60,COLUMN()-29)),OFFSET(ED639,0,-MIN(60,COLUMN()-29),1,MIN(60,COLUMN()-29))),0)</f>
        <v>0</v>
      </c>
      <c r="EE640" s="112" t="n">
        <f aca="true">IFERROR(SUMPRODUCT(OFFSET($BJ$31,0,1-MIN(60,COLUMN()-29),1,MIN(60,COLUMN()-29)),OFFSET(EE639,0,-MIN(60,COLUMN()-29),1,MIN(60,COLUMN()-29))),0)</f>
        <v>0</v>
      </c>
      <c r="EF640" s="112" t="n">
        <f aca="true">IFERROR(SUMPRODUCT(OFFSET($BJ$31,0,1-MIN(60,COLUMN()-29),1,MIN(60,COLUMN()-29)),OFFSET(EF639,0,-MIN(60,COLUMN()-29),1,MIN(60,COLUMN()-29))),0)</f>
        <v>0</v>
      </c>
      <c r="EG640" s="112" t="n">
        <f aca="true">IFERROR(SUMPRODUCT(OFFSET($BJ$31,0,1-MIN(60,COLUMN()-29),1,MIN(60,COLUMN()-29)),OFFSET(EG639,0,-MIN(60,COLUMN()-29),1,MIN(60,COLUMN()-29))),0)</f>
        <v>0</v>
      </c>
      <c r="EH640" s="112" t="n">
        <f aca="true">IFERROR(SUMPRODUCT(OFFSET($BJ$31,0,1-MIN(60,COLUMN()-29),1,MIN(60,COLUMN()-29)),OFFSET(EH639,0,-MIN(60,COLUMN()-29),1,MIN(60,COLUMN()-29))),0)</f>
        <v>0</v>
      </c>
      <c r="EI640" s="112" t="n">
        <f aca="true">IFERROR(SUMPRODUCT(OFFSET($BJ$31,0,1-MIN(60,COLUMN()-29),1,MIN(60,COLUMN()-29)),OFFSET(EI639,0,-MIN(60,COLUMN()-29),1,MIN(60,COLUMN()-29))),0)</f>
        <v>0</v>
      </c>
      <c r="EJ640" s="112" t="n">
        <f aca="true">IFERROR(SUMPRODUCT(OFFSET($BJ$31,0,1-MIN(60,COLUMN()-29),1,MIN(60,COLUMN()-29)),OFFSET(EJ639,0,-MIN(60,COLUMN()-29),1,MIN(60,COLUMN()-29))),0)</f>
        <v>0</v>
      </c>
      <c r="EK640" s="112" t="n">
        <f aca="true">IFERROR(SUMPRODUCT(OFFSET($BJ$31,0,1-MIN(60,COLUMN()-29),1,MIN(60,COLUMN()-29)),OFFSET(EK639,0,-MIN(60,COLUMN()-29),1,MIN(60,COLUMN()-29))),0)</f>
        <v>0</v>
      </c>
      <c r="EL640" s="112" t="n">
        <f aca="true">IFERROR(SUMPRODUCT(OFFSET($BJ$31,0,1-MIN(60,COLUMN()-29),1,MIN(60,COLUMN()-29)),OFFSET(EL639,0,-MIN(60,COLUMN()-29),1,MIN(60,COLUMN()-29))),0)</f>
        <v>0</v>
      </c>
      <c r="EM640" s="112" t="n">
        <f aca="true">IFERROR(SUMPRODUCT(OFFSET($BJ$31,0,1-MIN(60,COLUMN()-29),1,MIN(60,COLUMN()-29)),OFFSET(EM639,0,-MIN(60,COLUMN()-29),1,MIN(60,COLUMN()-29))),0)</f>
        <v>0</v>
      </c>
      <c r="EN640" s="112" t="n">
        <f aca="true">IFERROR(SUMPRODUCT(OFFSET($BJ$31,0,1-MIN(60,COLUMN()-29),1,MIN(60,COLUMN()-29)),OFFSET(EN639,0,-MIN(60,COLUMN()-29),1,MIN(60,COLUMN()-29))),0)</f>
        <v>0</v>
      </c>
      <c r="EO640" s="112" t="n">
        <f aca="true">IFERROR(SUMPRODUCT(OFFSET($BJ$31,0,1-MIN(60,COLUMN()-29),1,MIN(60,COLUMN()-29)),OFFSET(EO639,0,-MIN(60,COLUMN()-29),1,MIN(60,COLUMN()-29))),0)</f>
        <v>0</v>
      </c>
      <c r="EP640" s="112" t="n">
        <f aca="true">IFERROR(SUMPRODUCT(OFFSET($BJ$31,0,1-MIN(60,COLUMN()-29),1,MIN(60,COLUMN()-29)),OFFSET(EP639,0,-MIN(60,COLUMN()-29),1,MIN(60,COLUMN()-29))),0)</f>
        <v>0</v>
      </c>
      <c r="EQ640" s="112" t="n">
        <f aca="true">IFERROR(SUMPRODUCT(OFFSET($BJ$31,0,1-MIN(60,COLUMN()-29),1,MIN(60,COLUMN()-29)),OFFSET(EQ639,0,-MIN(60,COLUMN()-29),1,MIN(60,COLUMN()-29))),0)</f>
        <v>0</v>
      </c>
      <c r="ER640" s="112" t="n">
        <f aca="true">IFERROR(SUMPRODUCT(OFFSET($BJ$31,0,1-MIN(60,COLUMN()-29),1,MIN(60,COLUMN()-29)),OFFSET(ER639,0,-MIN(60,COLUMN()-29),1,MIN(60,COLUMN()-29))),0)</f>
        <v>0</v>
      </c>
      <c r="ES640" s="9" t="n">
        <f aca="true">IFERROR(SUMPRODUCT(OFFSET($BJ$31,0,1-MIN(60,COLUMN()-29),1,MIN(60,COLUMN()-29)),OFFSET(ES639,0,-MIN(60,COLUMN()-29),1,MIN(60,COLUMN()-29))),0)</f>
        <v>0</v>
      </c>
      <c r="ET640" s="9" t="n">
        <f aca="true">IFERROR(SUMPRODUCT(OFFSET($BJ$31,0,1-MIN(60,COLUMN()-29),1,MIN(60,COLUMN()-29)),OFFSET(ET639,0,-MIN(60,COLUMN()-29),1,MIN(60,COLUMN()-29))),0)</f>
        <v>0</v>
      </c>
      <c r="EU640" s="9" t="n">
        <f aca="true">IFERROR(SUMPRODUCT(OFFSET($BJ$31,0,1-MIN(60,COLUMN()-29),1,MIN(60,COLUMN()-29)),OFFSET(EU639,0,-MIN(60,COLUMN()-29),1,MIN(60,COLUMN()-29))),0)</f>
        <v>0</v>
      </c>
      <c r="EV640" s="9" t="n">
        <f aca="true">IFERROR(SUMPRODUCT(OFFSET($BJ$31,0,1-MIN(60,COLUMN()-29),1,MIN(60,COLUMN()-29)),OFFSET(EV639,0,-MIN(60,COLUMN()-29),1,MIN(60,COLUMN()-29))),0)</f>
        <v>0</v>
      </c>
      <c r="EW640" s="9" t="n">
        <f aca="true">IFERROR(SUMPRODUCT(OFFSET($BJ$31,0,1-MIN(60,COLUMN()-29),1,MIN(60,COLUMN()-29)),OFFSET(EW639,0,-MIN(60,COLUMN()-29),1,MIN(60,COLUMN()-29))),0)</f>
        <v>0</v>
      </c>
      <c r="EX640" s="9" t="n">
        <f aca="true">IFERROR(SUMPRODUCT(OFFSET($BJ$31,0,1-MIN(60,COLUMN()-29),1,MIN(60,COLUMN()-29)),OFFSET(EX639,0,-MIN(60,COLUMN()-29),1,MIN(60,COLUMN()-29))),0)</f>
        <v>0</v>
      </c>
      <c r="EY640" s="9" t="n">
        <f aca="true">IFERROR(SUMPRODUCT(OFFSET($BJ$31,0,1-MIN(60,COLUMN()-29),1,MIN(60,COLUMN()-29)),OFFSET(EY639,0,-MIN(60,COLUMN()-29),1,MIN(60,COLUMN()-29))),0)</f>
        <v>0</v>
      </c>
      <c r="EZ640" s="9" t="n">
        <f aca="true">IFERROR(SUMPRODUCT(OFFSET($BJ$31,0,1-MIN(60,COLUMN()-29),1,MIN(60,COLUMN()-29)),OFFSET(EZ639,0,-MIN(60,COLUMN()-29),1,MIN(60,COLUMN()-29))),0)</f>
        <v>0</v>
      </c>
      <c r="FA640" s="9" t="n">
        <f aca="true">IFERROR(SUMPRODUCT(OFFSET($BJ$31,0,1-MIN(60,COLUMN()-29),1,MIN(60,COLUMN()-29)),OFFSET(FA639,0,-MIN(60,COLUMN()-29),1,MIN(60,COLUMN()-29))),0)</f>
        <v>0</v>
      </c>
      <c r="FB640" s="9" t="n">
        <f aca="true">IFERROR(SUMPRODUCT(OFFSET($BJ$31,0,1-MIN(60,COLUMN()-29),1,MIN(60,COLUMN()-29)),OFFSET(FB639,0,-MIN(60,COLUMN()-29),1,MIN(60,COLUMN()-29))),0)</f>
        <v>0</v>
      </c>
      <c r="FC640" s="9" t="n">
        <f aca="true">IFERROR(SUMPRODUCT(OFFSET($BJ$31,0,1-MIN(60,COLUMN()-29),1,MIN(60,COLUMN()-29)),OFFSET(FC639,0,-MIN(60,COLUMN()-29),1,MIN(60,COLUMN()-29))),0)</f>
        <v>0</v>
      </c>
      <c r="FD640" s="9" t="n">
        <f aca="true">IFERROR(SUMPRODUCT(OFFSET($BJ$31,0,1-MIN(60,COLUMN()-29),1,MIN(60,COLUMN()-29)),OFFSET(FD639,0,-MIN(60,COLUMN()-29),1,MIN(60,COLUMN()-29))),0)</f>
        <v>0</v>
      </c>
      <c r="FE640" s="9" t="n">
        <f aca="true">IFERROR(SUMPRODUCT(OFFSET($BJ$31,0,1-MIN(60,COLUMN()-29),1,MIN(60,COLUMN()-29)),OFFSET(FE639,0,-MIN(60,COLUMN()-29),1,MIN(60,COLUMN()-29))),0)</f>
        <v>0</v>
      </c>
      <c r="FF640" s="9" t="n">
        <f aca="true">IFERROR(SUMPRODUCT(OFFSET($BJ$31,0,1-MIN(60,COLUMN()-29),1,MIN(60,COLUMN()-29)),OFFSET(FF639,0,-MIN(60,COLUMN()-29),1,MIN(60,COLUMN()-29))),0)</f>
        <v>0</v>
      </c>
      <c r="FG640" s="9" t="n">
        <f aca="true">IFERROR(SUMPRODUCT(OFFSET($BJ$31,0,1-MIN(60,COLUMN()-29),1,MIN(60,COLUMN()-29)),OFFSET(FG639,0,-MIN(60,COLUMN()-29),1,MIN(60,COLUMN()-29))),0)</f>
        <v>0</v>
      </c>
      <c r="FH640" s="9" t="n">
        <f aca="true">IFERROR(SUMPRODUCT(OFFSET($BJ$31,0,1-MIN(60,COLUMN()-29),1,MIN(60,COLUMN()-29)),OFFSET(FH639,0,-MIN(60,COLUMN()-29),1,MIN(60,COLUMN()-29))),0)</f>
        <v>0</v>
      </c>
      <c r="FI640" s="9" t="n">
        <f aca="true">IFERROR(SUMPRODUCT(OFFSET($BJ$31,0,1-MIN(60,COLUMN()-29),1,MIN(60,COLUMN()-29)),OFFSET(FI639,0,-MIN(60,COLUMN()-29),1,MIN(60,COLUMN()-29))),0)</f>
        <v>0</v>
      </c>
      <c r="FJ640" s="9" t="n">
        <f aca="true">IFERROR(SUMPRODUCT(OFFSET($BJ$31,0,1-MIN(60,COLUMN()-29),1,MIN(60,COLUMN()-29)),OFFSET(FJ639,0,-MIN(60,COLUMN()-29),1,MIN(60,COLUMN()-29))),0)</f>
        <v>0</v>
      </c>
      <c r="FK640" s="9" t="n">
        <f aca="true">IFERROR(SUMPRODUCT(OFFSET($BJ$31,0,1-MIN(60,COLUMN()-29),1,MIN(60,COLUMN()-29)),OFFSET(FK639,0,-MIN(60,COLUMN()-29),1,MIN(60,COLUMN()-29))),0)</f>
        <v>0</v>
      </c>
      <c r="FL640" s="9" t="n">
        <f aca="true">IFERROR(SUMPRODUCT(OFFSET($BJ$31,0,1-MIN(60,COLUMN()-29),1,MIN(60,COLUMN()-29)),OFFSET(FL639,0,-MIN(60,COLUMN()-29),1,MIN(60,COLUMN()-29))),0)</f>
        <v>0</v>
      </c>
      <c r="FM640" s="9" t="n">
        <f aca="true">IFERROR(SUMPRODUCT(OFFSET($BJ$31,0,1-MIN(60,COLUMN()-29),1,MIN(60,COLUMN()-29)),OFFSET(FM639,0,-MIN(60,COLUMN()-29),1,MIN(60,COLUMN()-29))),0)</f>
        <v>0</v>
      </c>
      <c r="FN640" s="9" t="n">
        <f aca="true">IFERROR(SUMPRODUCT(OFFSET($BJ$31,0,1-MIN(60,COLUMN()-29),1,MIN(60,COLUMN()-29)),OFFSET(FN639,0,-MIN(60,COLUMN()-29),1,MIN(60,COLUMN()-29))),0)</f>
        <v>0</v>
      </c>
      <c r="FO640" s="9" t="n">
        <f aca="true">IFERROR(SUMPRODUCT(OFFSET($BJ$31,0,1-MIN(60,COLUMN()-29),1,MIN(60,COLUMN()-29)),OFFSET(FO639,0,-MIN(60,COLUMN()-29),1,MIN(60,COLUMN()-29))),0)</f>
        <v>0</v>
      </c>
      <c r="FP640" s="9" t="n">
        <f aca="true">IFERROR(SUMPRODUCT(OFFSET($BJ$31,0,1-MIN(60,COLUMN()-29),1,MIN(60,COLUMN()-29)),OFFSET(FP639,0,-MIN(60,COLUMN()-29),1,MIN(60,COLUMN()-29))),0)</f>
        <v>0</v>
      </c>
    </row>
    <row r="641" customFormat="false" ht="15" hidden="false" customHeight="false" outlineLevel="2" collapsed="false">
      <c r="B641" s="90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237"/>
      <c r="AD641" s="237"/>
      <c r="AE641" s="237"/>
      <c r="AF641" s="237"/>
      <c r="AG641" s="237"/>
      <c r="AH641" s="237"/>
      <c r="AI641" s="237"/>
      <c r="AJ641" s="237"/>
      <c r="AK641" s="237"/>
      <c r="AL641" s="237"/>
      <c r="AM641" s="237"/>
      <c r="AN641" s="237"/>
      <c r="AO641" s="237"/>
      <c r="AP641" s="237"/>
      <c r="AQ641" s="237"/>
      <c r="AR641" s="237"/>
      <c r="AS641" s="237"/>
      <c r="AT641" s="237"/>
      <c r="AU641" s="237"/>
      <c r="AV641" s="237"/>
      <c r="AW641" s="237"/>
      <c r="AX641" s="237"/>
      <c r="AY641" s="237"/>
      <c r="AZ641" s="237"/>
      <c r="BA641" s="237"/>
      <c r="BB641" s="237"/>
      <c r="BC641" s="237"/>
      <c r="BD641" s="237"/>
      <c r="BE641" s="237"/>
      <c r="BF641" s="237"/>
      <c r="BG641" s="237"/>
      <c r="BH641" s="237"/>
      <c r="BI641" s="237"/>
      <c r="BJ641" s="237"/>
      <c r="BK641" s="237"/>
      <c r="BL641" s="237"/>
      <c r="BM641" s="237"/>
      <c r="BN641" s="237"/>
      <c r="BO641" s="237"/>
      <c r="BP641" s="237"/>
      <c r="BQ641" s="237"/>
      <c r="BR641" s="237"/>
      <c r="BS641" s="237"/>
      <c r="BT641" s="237"/>
      <c r="BU641" s="237"/>
      <c r="BV641" s="237"/>
      <c r="BW641" s="237"/>
      <c r="BX641" s="237"/>
      <c r="BY641" s="237"/>
      <c r="BZ641" s="237"/>
      <c r="CA641" s="237"/>
      <c r="CB641" s="237"/>
      <c r="CC641" s="237"/>
      <c r="CD641" s="237"/>
      <c r="CE641" s="237"/>
      <c r="CF641" s="237"/>
      <c r="CG641" s="237"/>
      <c r="CH641" s="237"/>
      <c r="CI641" s="237"/>
      <c r="CJ641" s="237"/>
      <c r="CK641" s="237"/>
      <c r="CL641" s="237"/>
      <c r="CM641" s="237"/>
      <c r="CN641" s="237"/>
      <c r="CO641" s="237"/>
      <c r="CP641" s="237"/>
      <c r="CQ641" s="237"/>
      <c r="CR641" s="237"/>
      <c r="CS641" s="237"/>
      <c r="CT641" s="237"/>
      <c r="CU641" s="237"/>
      <c r="CV641" s="237"/>
      <c r="CW641" s="237"/>
      <c r="CX641" s="237"/>
      <c r="CY641" s="237"/>
      <c r="CZ641" s="237"/>
      <c r="DA641" s="237"/>
      <c r="DB641" s="237"/>
      <c r="DC641" s="237"/>
      <c r="DD641" s="237"/>
      <c r="DE641" s="237"/>
      <c r="DF641" s="237"/>
      <c r="DG641" s="237"/>
      <c r="DH641" s="237"/>
      <c r="DI641" s="237"/>
      <c r="DJ641" s="237"/>
      <c r="DK641" s="237"/>
      <c r="DL641" s="237"/>
      <c r="DM641" s="237"/>
      <c r="DN641" s="237"/>
      <c r="DO641" s="237"/>
      <c r="DP641" s="237"/>
      <c r="DQ641" s="237"/>
      <c r="DR641" s="237"/>
      <c r="DS641" s="237"/>
      <c r="DT641" s="237"/>
      <c r="DU641" s="237"/>
      <c r="DV641" s="237"/>
      <c r="DW641" s="237"/>
      <c r="DX641" s="237"/>
      <c r="DY641" s="237"/>
      <c r="DZ641" s="237"/>
      <c r="EA641" s="237"/>
      <c r="EB641" s="237"/>
      <c r="EC641" s="237"/>
      <c r="ED641" s="237"/>
      <c r="EE641" s="237"/>
      <c r="EF641" s="237"/>
      <c r="EG641" s="237"/>
      <c r="EH641" s="237"/>
      <c r="EI641" s="237"/>
      <c r="EJ641" s="237"/>
      <c r="EK641" s="237"/>
      <c r="EL641" s="237"/>
      <c r="EM641" s="237"/>
      <c r="EN641" s="237"/>
      <c r="EO641" s="237"/>
      <c r="EP641" s="237"/>
      <c r="EQ641" s="237"/>
      <c r="ER641" s="237"/>
      <c r="ES641" s="9"/>
      <c r="ET641" s="9"/>
      <c r="EU641" s="9"/>
      <c r="EV641" s="9"/>
      <c r="EW641" s="9"/>
      <c r="EX641" s="9"/>
      <c r="EY641" s="9"/>
      <c r="EZ641" s="9"/>
      <c r="FA641" s="9"/>
      <c r="FB641" s="9"/>
      <c r="FC641" s="9"/>
      <c r="FD641" s="9"/>
      <c r="FE641" s="9"/>
      <c r="FF641" s="9"/>
      <c r="FG641" s="9"/>
      <c r="FH641" s="9"/>
      <c r="FI641" s="9"/>
      <c r="FJ641" s="9"/>
      <c r="FK641" s="9"/>
      <c r="FL641" s="9"/>
      <c r="FM641" s="9"/>
      <c r="FN641" s="9"/>
      <c r="FO641" s="9"/>
      <c r="FP641" s="9"/>
    </row>
    <row r="642" customFormat="false" ht="15" hidden="false" customHeight="false" outlineLevel="2" collapsed="false">
      <c r="B642" s="240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237"/>
      <c r="AD642" s="237"/>
      <c r="AE642" s="237"/>
      <c r="AF642" s="237"/>
      <c r="AG642" s="237"/>
      <c r="AH642" s="237"/>
      <c r="AI642" s="237"/>
      <c r="AJ642" s="237"/>
      <c r="AK642" s="237"/>
      <c r="AL642" s="237"/>
      <c r="AM642" s="237"/>
      <c r="AN642" s="237"/>
      <c r="AO642" s="237"/>
      <c r="AP642" s="237"/>
      <c r="AQ642" s="237"/>
      <c r="AR642" s="237"/>
      <c r="AS642" s="237"/>
      <c r="AT642" s="237"/>
      <c r="AU642" s="237"/>
      <c r="AV642" s="237"/>
      <c r="AW642" s="237"/>
      <c r="AX642" s="237"/>
      <c r="AY642" s="237"/>
      <c r="AZ642" s="237"/>
      <c r="BA642" s="237"/>
      <c r="BB642" s="237"/>
      <c r="BC642" s="237"/>
      <c r="BD642" s="237"/>
      <c r="BE642" s="237"/>
      <c r="BF642" s="237"/>
      <c r="BG642" s="237"/>
      <c r="BH642" s="237"/>
      <c r="BI642" s="237"/>
      <c r="BJ642" s="237"/>
      <c r="BK642" s="237"/>
      <c r="BL642" s="237"/>
      <c r="BM642" s="237"/>
      <c r="BN642" s="237"/>
      <c r="BO642" s="237"/>
      <c r="BP642" s="237"/>
      <c r="BQ642" s="237"/>
      <c r="BR642" s="237"/>
      <c r="BS642" s="237"/>
      <c r="BT642" s="237"/>
      <c r="BU642" s="237"/>
      <c r="BV642" s="237"/>
      <c r="BW642" s="237"/>
      <c r="BX642" s="237"/>
      <c r="BY642" s="237"/>
      <c r="BZ642" s="237"/>
      <c r="CA642" s="237"/>
      <c r="CB642" s="237"/>
      <c r="CC642" s="237"/>
      <c r="CD642" s="237"/>
      <c r="CE642" s="237"/>
      <c r="CF642" s="237"/>
      <c r="CG642" s="237"/>
      <c r="CH642" s="237"/>
      <c r="CI642" s="237"/>
      <c r="CJ642" s="237"/>
      <c r="CK642" s="237"/>
      <c r="CL642" s="237"/>
      <c r="CM642" s="237"/>
      <c r="CN642" s="237"/>
      <c r="CO642" s="237"/>
      <c r="CP642" s="237"/>
      <c r="CQ642" s="237"/>
      <c r="CR642" s="237"/>
      <c r="CS642" s="237"/>
      <c r="CT642" s="237"/>
      <c r="CU642" s="237"/>
      <c r="CV642" s="237"/>
      <c r="CW642" s="237"/>
      <c r="CX642" s="237"/>
      <c r="CY642" s="237"/>
      <c r="CZ642" s="237"/>
      <c r="DA642" s="237"/>
      <c r="DB642" s="237"/>
      <c r="DC642" s="237"/>
      <c r="DD642" s="237"/>
      <c r="DE642" s="237"/>
      <c r="DF642" s="237"/>
      <c r="DG642" s="237"/>
      <c r="DH642" s="237"/>
      <c r="DI642" s="237"/>
      <c r="DJ642" s="237"/>
      <c r="DK642" s="237"/>
      <c r="DL642" s="237"/>
      <c r="DM642" s="237"/>
      <c r="DN642" s="237"/>
      <c r="DO642" s="237"/>
      <c r="DP642" s="237"/>
      <c r="DQ642" s="237"/>
      <c r="DR642" s="237"/>
      <c r="DS642" s="237"/>
      <c r="DT642" s="237"/>
      <c r="DU642" s="237"/>
      <c r="DV642" s="237"/>
      <c r="DW642" s="237"/>
      <c r="DX642" s="237"/>
      <c r="DY642" s="237"/>
      <c r="DZ642" s="237"/>
      <c r="EA642" s="237"/>
      <c r="EB642" s="237"/>
      <c r="EC642" s="237"/>
      <c r="ED642" s="237"/>
      <c r="EE642" s="237"/>
      <c r="EF642" s="237"/>
      <c r="EG642" s="237"/>
      <c r="EH642" s="237"/>
      <c r="EI642" s="237"/>
      <c r="EJ642" s="237"/>
      <c r="EK642" s="237"/>
      <c r="EL642" s="237"/>
      <c r="EM642" s="237"/>
      <c r="EN642" s="237"/>
      <c r="EO642" s="237"/>
      <c r="EP642" s="237"/>
      <c r="EQ642" s="237"/>
      <c r="ER642" s="237"/>
      <c r="ES642" s="9"/>
      <c r="ET642" s="9"/>
      <c r="EU642" s="9"/>
      <c r="EV642" s="9"/>
      <c r="EW642" s="9"/>
      <c r="EX642" s="9"/>
      <c r="EY642" s="9"/>
      <c r="EZ642" s="9"/>
      <c r="FA642" s="9"/>
      <c r="FB642" s="9"/>
      <c r="FC642" s="9"/>
      <c r="FD642" s="9"/>
      <c r="FE642" s="9"/>
      <c r="FF642" s="9"/>
      <c r="FG642" s="9"/>
      <c r="FH642" s="9"/>
      <c r="FI642" s="9"/>
      <c r="FJ642" s="9"/>
      <c r="FK642" s="9"/>
      <c r="FL642" s="9"/>
      <c r="FM642" s="9"/>
      <c r="FN642" s="9"/>
      <c r="FO642" s="9"/>
      <c r="FP642" s="9"/>
    </row>
    <row r="643" customFormat="false" ht="15" hidden="false" customHeight="false" outlineLevel="2" collapsed="false">
      <c r="B643" s="21" t="s">
        <v>937</v>
      </c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  <c r="BL643" s="21"/>
      <c r="BM643" s="21"/>
      <c r="BN643" s="21"/>
      <c r="BO643" s="21"/>
      <c r="BP643" s="21"/>
      <c r="BQ643" s="21"/>
      <c r="BR643" s="21"/>
      <c r="BS643" s="21"/>
      <c r="BT643" s="21"/>
      <c r="BU643" s="21"/>
      <c r="BV643" s="21"/>
      <c r="BW643" s="21"/>
      <c r="BX643" s="21"/>
      <c r="BY643" s="21"/>
      <c r="BZ643" s="21"/>
      <c r="CA643" s="21"/>
      <c r="CB643" s="21"/>
      <c r="CC643" s="21"/>
      <c r="CD643" s="21"/>
      <c r="CE643" s="21"/>
      <c r="CF643" s="21"/>
      <c r="CG643" s="21"/>
      <c r="CH643" s="21"/>
      <c r="CI643" s="21"/>
      <c r="CJ643" s="21"/>
      <c r="CK643" s="21"/>
      <c r="CL643" s="21"/>
      <c r="CM643" s="21"/>
      <c r="CN643" s="21"/>
      <c r="CO643" s="21"/>
      <c r="CP643" s="21"/>
      <c r="CQ643" s="21"/>
      <c r="CR643" s="21"/>
      <c r="CS643" s="21"/>
      <c r="CT643" s="21"/>
      <c r="CU643" s="21"/>
      <c r="CV643" s="21"/>
      <c r="CW643" s="21"/>
      <c r="CX643" s="21"/>
      <c r="CY643" s="21"/>
      <c r="CZ643" s="21"/>
      <c r="DA643" s="21"/>
      <c r="DB643" s="21"/>
      <c r="DC643" s="21"/>
      <c r="DD643" s="21"/>
      <c r="DE643" s="21"/>
      <c r="DF643" s="21"/>
      <c r="DG643" s="21"/>
      <c r="DH643" s="21"/>
      <c r="DI643" s="21"/>
      <c r="DJ643" s="21"/>
      <c r="DK643" s="21"/>
      <c r="DL643" s="21"/>
      <c r="DM643" s="21"/>
      <c r="DN643" s="21"/>
      <c r="DO643" s="21"/>
      <c r="DP643" s="21"/>
      <c r="DQ643" s="21"/>
      <c r="DR643" s="21"/>
      <c r="DS643" s="21"/>
      <c r="DT643" s="21"/>
      <c r="DU643" s="21"/>
      <c r="DV643" s="21"/>
      <c r="DW643" s="21"/>
      <c r="DX643" s="21"/>
      <c r="DY643" s="21"/>
      <c r="DZ643" s="21"/>
      <c r="EA643" s="21"/>
      <c r="EB643" s="21"/>
      <c r="EC643" s="21"/>
      <c r="ED643" s="21"/>
      <c r="EE643" s="21"/>
      <c r="EF643" s="21"/>
      <c r="EG643" s="21"/>
      <c r="EH643" s="21"/>
      <c r="EI643" s="21"/>
      <c r="EJ643" s="21"/>
      <c r="EK643" s="21"/>
      <c r="EL643" s="21"/>
      <c r="EM643" s="21"/>
      <c r="EN643" s="21"/>
      <c r="EO643" s="21"/>
      <c r="EP643" s="21"/>
      <c r="EQ643" s="21"/>
      <c r="ER643" s="21"/>
      <c r="ES643" s="9"/>
      <c r="ET643" s="9"/>
      <c r="EU643" s="9"/>
      <c r="EV643" s="9"/>
      <c r="EW643" s="9"/>
      <c r="EX643" s="9"/>
      <c r="EY643" s="9"/>
      <c r="EZ643" s="9"/>
      <c r="FA643" s="9"/>
      <c r="FB643" s="9"/>
      <c r="FC643" s="9"/>
      <c r="FD643" s="9"/>
      <c r="FE643" s="9"/>
      <c r="FF643" s="9"/>
      <c r="FG643" s="9"/>
      <c r="FH643" s="9"/>
      <c r="FI643" s="9"/>
      <c r="FJ643" s="9"/>
      <c r="FK643" s="9"/>
      <c r="FL643" s="9"/>
      <c r="FM643" s="9"/>
      <c r="FN643" s="9"/>
      <c r="FO643" s="9"/>
      <c r="FP643" s="9"/>
    </row>
    <row r="644" customFormat="false" ht="15" hidden="false" customHeight="false" outlineLevel="2" collapsed="false">
      <c r="B644" s="9" t="s">
        <v>872</v>
      </c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234" t="n">
        <f aca="false">('⑫ Roll-out Plan'!G69-2025)*12+'⑫ Roll-out Plan'!F69</f>
        <v>83</v>
      </c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  <c r="CO644" s="9"/>
      <c r="CP644" s="9"/>
      <c r="CQ644" s="9"/>
      <c r="CR644" s="9"/>
      <c r="CS644" s="9"/>
      <c r="CT644" s="9"/>
      <c r="CU644" s="9"/>
      <c r="CV644" s="9"/>
      <c r="CW644" s="9"/>
      <c r="CX644" s="9"/>
      <c r="CY644" s="9"/>
      <c r="CZ644" s="9"/>
      <c r="DA644" s="9"/>
      <c r="DB644" s="9"/>
      <c r="DC644" s="9"/>
      <c r="DD644" s="9"/>
      <c r="DE644" s="9"/>
      <c r="DF644" s="9"/>
      <c r="DG644" s="9"/>
      <c r="DH644" s="9"/>
      <c r="DI644" s="9"/>
      <c r="DJ644" s="9"/>
      <c r="DK644" s="9"/>
      <c r="DL644" s="9"/>
      <c r="DM644" s="9"/>
      <c r="DN644" s="9"/>
      <c r="DO644" s="9"/>
      <c r="DP644" s="9"/>
      <c r="DQ644" s="9"/>
      <c r="DR644" s="9"/>
      <c r="DS644" s="9"/>
      <c r="DT644" s="9"/>
      <c r="DU644" s="9"/>
      <c r="DV644" s="9"/>
      <c r="DW644" s="9"/>
      <c r="DX644" s="9"/>
      <c r="DY644" s="9"/>
      <c r="DZ644" s="9"/>
      <c r="EA644" s="9"/>
      <c r="EB644" s="9"/>
      <c r="EC644" s="9"/>
      <c r="ED644" s="9"/>
      <c r="EE644" s="9"/>
      <c r="EF644" s="9"/>
      <c r="EG644" s="9"/>
      <c r="EH644" s="9"/>
      <c r="EI644" s="9"/>
      <c r="EJ644" s="9"/>
      <c r="EK644" s="9"/>
      <c r="EL644" s="9"/>
      <c r="EM644" s="9"/>
      <c r="EN644" s="9"/>
      <c r="EO644" s="9"/>
      <c r="EP644" s="9"/>
      <c r="EQ644" s="9"/>
      <c r="ER644" s="9"/>
      <c r="ES644" s="9"/>
      <c r="ET644" s="9"/>
      <c r="EU644" s="9"/>
      <c r="EV644" s="9"/>
      <c r="EW644" s="9"/>
      <c r="EX644" s="9"/>
      <c r="EY644" s="9"/>
      <c r="EZ644" s="9"/>
      <c r="FA644" s="9"/>
      <c r="FB644" s="9"/>
      <c r="FC644" s="9"/>
      <c r="FD644" s="9"/>
      <c r="FE644" s="9"/>
      <c r="FF644" s="9"/>
      <c r="FG644" s="9"/>
      <c r="FH644" s="9"/>
      <c r="FI644" s="9"/>
      <c r="FJ644" s="9"/>
      <c r="FK644" s="9"/>
      <c r="FL644" s="9"/>
      <c r="FM644" s="9"/>
      <c r="FN644" s="9"/>
      <c r="FO644" s="9"/>
      <c r="FP644" s="9"/>
    </row>
    <row r="645" customFormat="false" ht="15" hidden="false" customHeight="false" outlineLevel="2" collapsed="false">
      <c r="B645" s="9" t="s">
        <v>873</v>
      </c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235" t="n">
        <f aca="false">VLOOKUP("A",$B$14:$C$18,2,FALSE())</f>
        <v>210</v>
      </c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9"/>
      <c r="CM645" s="9"/>
      <c r="CN645" s="9"/>
      <c r="CO645" s="9"/>
      <c r="CP645" s="9"/>
      <c r="CQ645" s="9"/>
      <c r="CR645" s="9"/>
      <c r="CS645" s="9"/>
      <c r="CT645" s="9"/>
      <c r="CU645" s="9"/>
      <c r="CV645" s="9"/>
      <c r="CW645" s="9"/>
      <c r="CX645" s="9"/>
      <c r="CY645" s="9"/>
      <c r="CZ645" s="9"/>
      <c r="DA645" s="9"/>
      <c r="DB645" s="9"/>
      <c r="DC645" s="9"/>
      <c r="DD645" s="9"/>
      <c r="DE645" s="9"/>
      <c r="DF645" s="9"/>
      <c r="DG645" s="9"/>
      <c r="DH645" s="9"/>
      <c r="DI645" s="9"/>
      <c r="DJ645" s="9"/>
      <c r="DK645" s="9"/>
      <c r="DL645" s="9"/>
      <c r="DM645" s="9"/>
      <c r="DN645" s="9"/>
      <c r="DO645" s="9"/>
      <c r="DP645" s="9"/>
      <c r="DQ645" s="9"/>
      <c r="DR645" s="9"/>
      <c r="DS645" s="9"/>
      <c r="DT645" s="9"/>
      <c r="DU645" s="9"/>
      <c r="DV645" s="9"/>
      <c r="DW645" s="9"/>
      <c r="DX645" s="9"/>
      <c r="DY645" s="9"/>
      <c r="DZ645" s="9"/>
      <c r="EA645" s="9"/>
      <c r="EB645" s="9"/>
      <c r="EC645" s="9"/>
      <c r="ED645" s="9"/>
      <c r="EE645" s="9"/>
      <c r="EF645" s="9"/>
      <c r="EG645" s="9"/>
      <c r="EH645" s="9"/>
      <c r="EI645" s="9"/>
      <c r="EJ645" s="9"/>
      <c r="EK645" s="9"/>
      <c r="EL645" s="9"/>
      <c r="EM645" s="9"/>
      <c r="EN645" s="9"/>
      <c r="EO645" s="9"/>
      <c r="EP645" s="9"/>
      <c r="EQ645" s="9"/>
      <c r="ER645" s="9"/>
      <c r="ES645" s="9"/>
      <c r="ET645" s="9"/>
      <c r="EU645" s="9"/>
      <c r="EV645" s="9"/>
      <c r="EW645" s="9"/>
      <c r="EX645" s="9"/>
      <c r="EY645" s="9"/>
      <c r="EZ645" s="9"/>
      <c r="FA645" s="9"/>
      <c r="FB645" s="9"/>
      <c r="FC645" s="9"/>
      <c r="FD645" s="9"/>
      <c r="FE645" s="9"/>
      <c r="FF645" s="9"/>
      <c r="FG645" s="9"/>
      <c r="FH645" s="9"/>
      <c r="FI645" s="9"/>
      <c r="FJ645" s="9"/>
      <c r="FK645" s="9"/>
      <c r="FL645" s="9"/>
      <c r="FM645" s="9"/>
      <c r="FN645" s="9"/>
      <c r="FO645" s="9"/>
      <c r="FP645" s="9"/>
    </row>
    <row r="646" customFormat="false" ht="15" hidden="false" customHeight="false" outlineLevel="2" collapsed="false">
      <c r="B646" s="9" t="s">
        <v>799</v>
      </c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63" t="n">
        <f aca="false">IF(AC$35&gt;=$AC$644,AC$35-$AC$644+1,0)</f>
        <v>0</v>
      </c>
      <c r="AD646" s="63" t="n">
        <f aca="false">IF(AD$35&gt;=$AC$644,AD$35-$AC$644+1,0)</f>
        <v>0</v>
      </c>
      <c r="AE646" s="63" t="n">
        <f aca="false">IF(AE$35&gt;=$AC$644,AE$35-$AC$644+1,0)</f>
        <v>0</v>
      </c>
      <c r="AF646" s="63" t="n">
        <f aca="false">IF(AF$35&gt;=$AC$644,AF$35-$AC$644+1,0)</f>
        <v>0</v>
      </c>
      <c r="AG646" s="63" t="n">
        <f aca="false">IF(AG$35&gt;=$AC$644,AG$35-$AC$644+1,0)</f>
        <v>0</v>
      </c>
      <c r="AH646" s="63" t="n">
        <f aca="false">IF(AH$35&gt;=$AC$644,AH$35-$AC$644+1,0)</f>
        <v>0</v>
      </c>
      <c r="AI646" s="63" t="n">
        <f aca="false">IF(AI$35&gt;=$AC$644,AI$35-$AC$644+1,0)</f>
        <v>0</v>
      </c>
      <c r="AJ646" s="63" t="n">
        <f aca="false">IF(AJ$35&gt;=$AC$644,AJ$35-$AC$644+1,0)</f>
        <v>0</v>
      </c>
      <c r="AK646" s="63" t="n">
        <f aca="false">IF(AK$35&gt;=$AC$644,AK$35-$AC$644+1,0)</f>
        <v>0</v>
      </c>
      <c r="AL646" s="63" t="n">
        <f aca="false">IF(AL$35&gt;=$AC$644,AL$35-$AC$644+1,0)</f>
        <v>0</v>
      </c>
      <c r="AM646" s="63" t="n">
        <f aca="false">IF(AM$35&gt;=$AC$644,AM$35-$AC$644+1,0)</f>
        <v>0</v>
      </c>
      <c r="AN646" s="63" t="n">
        <f aca="false">IF(AN$35&gt;=$AC$644,AN$35-$AC$644+1,0)</f>
        <v>0</v>
      </c>
      <c r="AO646" s="63" t="n">
        <f aca="false">IF(AO$35&gt;=$AC$644,AO$35-$AC$644+1,0)</f>
        <v>0</v>
      </c>
      <c r="AP646" s="63" t="n">
        <f aca="false">IF(AP$35&gt;=$AC$644,AP$35-$AC$644+1,0)</f>
        <v>0</v>
      </c>
      <c r="AQ646" s="63" t="n">
        <f aca="false">IF(AQ$35&gt;=$AC$644,AQ$35-$AC$644+1,0)</f>
        <v>0</v>
      </c>
      <c r="AR646" s="63" t="n">
        <f aca="false">IF(AR$35&gt;=$AC$644,AR$35-$AC$644+1,0)</f>
        <v>0</v>
      </c>
      <c r="AS646" s="63" t="n">
        <f aca="false">IF(AS$35&gt;=$AC$644,AS$35-$AC$644+1,0)</f>
        <v>0</v>
      </c>
      <c r="AT646" s="63" t="n">
        <f aca="false">IF(AT$35&gt;=$AC$644,AT$35-$AC$644+1,0)</f>
        <v>0</v>
      </c>
      <c r="AU646" s="63" t="n">
        <f aca="false">IF(AU$35&gt;=$AC$644,AU$35-$AC$644+1,0)</f>
        <v>0</v>
      </c>
      <c r="AV646" s="63" t="n">
        <f aca="false">IF(AV$35&gt;=$AC$644,AV$35-$AC$644+1,0)</f>
        <v>0</v>
      </c>
      <c r="AW646" s="63" t="n">
        <f aca="false">IF(AW$35&gt;=$AC$644,AW$35-$AC$644+1,0)</f>
        <v>0</v>
      </c>
      <c r="AX646" s="63" t="n">
        <f aca="false">IF(AX$35&gt;=$AC$644,AX$35-$AC$644+1,0)</f>
        <v>0</v>
      </c>
      <c r="AY646" s="63" t="n">
        <f aca="false">IF(AY$35&gt;=$AC$644,AY$35-$AC$644+1,0)</f>
        <v>0</v>
      </c>
      <c r="AZ646" s="63" t="n">
        <f aca="false">IF(AZ$35&gt;=$AC$644,AZ$35-$AC$644+1,0)</f>
        <v>0</v>
      </c>
      <c r="BA646" s="63" t="n">
        <f aca="false">IF(BA$35&gt;=$AC$644,BA$35-$AC$644+1,0)</f>
        <v>0</v>
      </c>
      <c r="BB646" s="63" t="n">
        <f aca="false">IF(BB$35&gt;=$AC$644,BB$35-$AC$644+1,0)</f>
        <v>0</v>
      </c>
      <c r="BC646" s="63" t="n">
        <f aca="false">IF(BC$35&gt;=$AC$644,BC$35-$AC$644+1,0)</f>
        <v>0</v>
      </c>
      <c r="BD646" s="63" t="n">
        <f aca="false">IF(BD$35&gt;=$AC$644,BD$35-$AC$644+1,0)</f>
        <v>0</v>
      </c>
      <c r="BE646" s="63" t="n">
        <f aca="false">IF(BE$35&gt;=$AC$644,BE$35-$AC$644+1,0)</f>
        <v>0</v>
      </c>
      <c r="BF646" s="63" t="n">
        <f aca="false">IF(BF$35&gt;=$AC$644,BF$35-$AC$644+1,0)</f>
        <v>0</v>
      </c>
      <c r="BG646" s="63" t="n">
        <f aca="false">IF(BG$35&gt;=$AC$644,BG$35-$AC$644+1,0)</f>
        <v>0</v>
      </c>
      <c r="BH646" s="63" t="n">
        <f aca="false">IF(BH$35&gt;=$AC$644,BH$35-$AC$644+1,0)</f>
        <v>0</v>
      </c>
      <c r="BI646" s="63" t="n">
        <f aca="false">IF(BI$35&gt;=$AC$644,BI$35-$AC$644+1,0)</f>
        <v>0</v>
      </c>
      <c r="BJ646" s="63" t="n">
        <f aca="false">IF(BJ$35&gt;=$AC$644,BJ$35-$AC$644+1,0)</f>
        <v>0</v>
      </c>
      <c r="BK646" s="63" t="n">
        <f aca="false">IF(BK$35&gt;=$AC$644,BK$35-$AC$644+1,0)</f>
        <v>0</v>
      </c>
      <c r="BL646" s="63" t="n">
        <f aca="false">IF(BL$35&gt;=$AC$644,BL$35-$AC$644+1,0)</f>
        <v>0</v>
      </c>
      <c r="BM646" s="63" t="n">
        <f aca="false">IF(BM$35&gt;=$AC$644,BM$35-$AC$644+1,0)</f>
        <v>0</v>
      </c>
      <c r="BN646" s="63" t="n">
        <f aca="false">IF(BN$35&gt;=$AC$644,BN$35-$AC$644+1,0)</f>
        <v>0</v>
      </c>
      <c r="BO646" s="63" t="n">
        <f aca="false">IF(BO$35&gt;=$AC$644,BO$35-$AC$644+1,0)</f>
        <v>0</v>
      </c>
      <c r="BP646" s="63" t="n">
        <f aca="false">IF(BP$35&gt;=$AC$644,BP$35-$AC$644+1,0)</f>
        <v>0</v>
      </c>
      <c r="BQ646" s="63" t="n">
        <f aca="false">IF(BQ$35&gt;=$AC$644,BQ$35-$AC$644+1,0)</f>
        <v>0</v>
      </c>
      <c r="BR646" s="63" t="n">
        <f aca="false">IF(BR$35&gt;=$AC$644,BR$35-$AC$644+1,0)</f>
        <v>0</v>
      </c>
      <c r="BS646" s="63" t="n">
        <f aca="false">IF(BS$35&gt;=$AC$644,BS$35-$AC$644+1,0)</f>
        <v>0</v>
      </c>
      <c r="BT646" s="63" t="n">
        <f aca="false">IF(BT$35&gt;=$AC$644,BT$35-$AC$644+1,0)</f>
        <v>0</v>
      </c>
      <c r="BU646" s="63" t="n">
        <f aca="false">IF(BU$35&gt;=$AC$644,BU$35-$AC$644+1,0)</f>
        <v>0</v>
      </c>
      <c r="BV646" s="63" t="n">
        <f aca="false">IF(BV$35&gt;=$AC$644,BV$35-$AC$644+1,0)</f>
        <v>0</v>
      </c>
      <c r="BW646" s="63" t="n">
        <f aca="false">IF(BW$35&gt;=$AC$644,BW$35-$AC$644+1,0)</f>
        <v>0</v>
      </c>
      <c r="BX646" s="63" t="n">
        <f aca="false">IF(BX$35&gt;=$AC$644,BX$35-$AC$644+1,0)</f>
        <v>0</v>
      </c>
      <c r="BY646" s="63" t="n">
        <f aca="false">IF(BY$35&gt;=$AC$644,BY$35-$AC$644+1,0)</f>
        <v>0</v>
      </c>
      <c r="BZ646" s="63" t="n">
        <f aca="false">IF(BZ$35&gt;=$AC$644,BZ$35-$AC$644+1,0)</f>
        <v>0</v>
      </c>
      <c r="CA646" s="63" t="n">
        <f aca="false">IF(CA$35&gt;=$AC$644,CA$35-$AC$644+1,0)</f>
        <v>0</v>
      </c>
      <c r="CB646" s="63" t="n">
        <f aca="false">IF(CB$35&gt;=$AC$644,CB$35-$AC$644+1,0)</f>
        <v>0</v>
      </c>
      <c r="CC646" s="63" t="n">
        <f aca="false">IF(CC$35&gt;=$AC$644,CC$35-$AC$644+1,0)</f>
        <v>0</v>
      </c>
      <c r="CD646" s="63" t="n">
        <f aca="false">IF(CD$35&gt;=$AC$644,CD$35-$AC$644+1,0)</f>
        <v>0</v>
      </c>
      <c r="CE646" s="63" t="n">
        <f aca="false">IF(CE$35&gt;=$AC$644,CE$35-$AC$644+1,0)</f>
        <v>0</v>
      </c>
      <c r="CF646" s="63" t="n">
        <f aca="false">IF(CF$35&gt;=$AC$644,CF$35-$AC$644+1,0)</f>
        <v>0</v>
      </c>
      <c r="CG646" s="63" t="n">
        <f aca="false">IF(CG$35&gt;=$AC$644,CG$35-$AC$644+1,0)</f>
        <v>0</v>
      </c>
      <c r="CH646" s="63" t="n">
        <f aca="false">IF(CH$35&gt;=$AC$644,CH$35-$AC$644+1,0)</f>
        <v>0</v>
      </c>
      <c r="CI646" s="63" t="n">
        <f aca="false">IF(CI$35&gt;=$AC$644,CI$35-$AC$644+1,0)</f>
        <v>0</v>
      </c>
      <c r="CJ646" s="63" t="n">
        <f aca="false">IF(CJ$35&gt;=$AC$644,CJ$35-$AC$644+1,0)</f>
        <v>0</v>
      </c>
      <c r="CK646" s="63" t="n">
        <f aca="false">IF(CK$35&gt;=$AC$644,CK$35-$AC$644+1,0)</f>
        <v>0</v>
      </c>
      <c r="CL646" s="63" t="n">
        <f aca="false">IF(CL$35&gt;=$AC$644,CL$35-$AC$644+1,0)</f>
        <v>0</v>
      </c>
      <c r="CM646" s="63" t="n">
        <f aca="false">IF(CM$35&gt;=$AC$644,CM$35-$AC$644+1,0)</f>
        <v>0</v>
      </c>
      <c r="CN646" s="63" t="n">
        <f aca="false">IF(CN$35&gt;=$AC$644,CN$35-$AC$644+1,0)</f>
        <v>0</v>
      </c>
      <c r="CO646" s="63" t="n">
        <f aca="false">IF(CO$35&gt;=$AC$644,CO$35-$AC$644+1,0)</f>
        <v>0</v>
      </c>
      <c r="CP646" s="63" t="n">
        <f aca="false">IF(CP$35&gt;=$AC$644,CP$35-$AC$644+1,0)</f>
        <v>0</v>
      </c>
      <c r="CQ646" s="63" t="n">
        <f aca="false">IF(CQ$35&gt;=$AC$644,CQ$35-$AC$644+1,0)</f>
        <v>0</v>
      </c>
      <c r="CR646" s="63" t="n">
        <f aca="false">IF(CR$35&gt;=$AC$644,CR$35-$AC$644+1,0)</f>
        <v>0</v>
      </c>
      <c r="CS646" s="63" t="n">
        <f aca="false">IF(CS$35&gt;=$AC$644,CS$35-$AC$644+1,0)</f>
        <v>0</v>
      </c>
      <c r="CT646" s="63" t="n">
        <f aca="false">IF(CT$35&gt;=$AC$644,CT$35-$AC$644+1,0)</f>
        <v>0</v>
      </c>
      <c r="CU646" s="63" t="n">
        <f aca="false">IF(CU$35&gt;=$AC$644,CU$35-$AC$644+1,0)</f>
        <v>0</v>
      </c>
      <c r="CV646" s="63" t="n">
        <f aca="false">IF(CV$35&gt;=$AC$644,CV$35-$AC$644+1,0)</f>
        <v>0</v>
      </c>
      <c r="CW646" s="63" t="n">
        <f aca="false">IF(CW$35&gt;=$AC$644,CW$35-$AC$644+1,0)</f>
        <v>0</v>
      </c>
      <c r="CX646" s="63" t="n">
        <f aca="false">IF(CX$35&gt;=$AC$644,CX$35-$AC$644+1,0)</f>
        <v>0</v>
      </c>
      <c r="CY646" s="63" t="n">
        <f aca="false">IF(CY$35&gt;=$AC$644,CY$35-$AC$644+1,0)</f>
        <v>0</v>
      </c>
      <c r="CZ646" s="63" t="n">
        <f aca="false">IF(CZ$35&gt;=$AC$644,CZ$35-$AC$644+1,0)</f>
        <v>0</v>
      </c>
      <c r="DA646" s="63" t="n">
        <f aca="false">IF(DA$35&gt;=$AC$644,DA$35-$AC$644+1,0)</f>
        <v>0</v>
      </c>
      <c r="DB646" s="63" t="n">
        <f aca="false">IF(DB$35&gt;=$AC$644,DB$35-$AC$644+1,0)</f>
        <v>0</v>
      </c>
      <c r="DC646" s="63" t="n">
        <f aca="false">IF(DC$35&gt;=$AC$644,DC$35-$AC$644+1,0)</f>
        <v>0</v>
      </c>
      <c r="DD646" s="63" t="n">
        <f aca="false">IF(DD$35&gt;=$AC$644,DD$35-$AC$644+1,0)</f>
        <v>0</v>
      </c>
      <c r="DE646" s="63" t="n">
        <f aca="false">IF(DE$35&gt;=$AC$644,DE$35-$AC$644+1,0)</f>
        <v>0</v>
      </c>
      <c r="DF646" s="63" t="n">
        <f aca="false">IF(DF$35&gt;=$AC$644,DF$35-$AC$644+1,0)</f>
        <v>0</v>
      </c>
      <c r="DG646" s="63" t="n">
        <f aca="false">IF(DG$35&gt;=$AC$644,DG$35-$AC$644+1,0)</f>
        <v>1</v>
      </c>
      <c r="DH646" s="63" t="n">
        <f aca="false">IF(DH$35&gt;=$AC$644,DH$35-$AC$644+1,0)</f>
        <v>2</v>
      </c>
      <c r="DI646" s="63" t="n">
        <f aca="false">IF(DI$35&gt;=$AC$644,DI$35-$AC$644+1,0)</f>
        <v>3</v>
      </c>
      <c r="DJ646" s="63" t="n">
        <f aca="false">IF(DJ$35&gt;=$AC$644,DJ$35-$AC$644+1,0)</f>
        <v>4</v>
      </c>
      <c r="DK646" s="63" t="n">
        <f aca="false">IF(DK$35&gt;=$AC$644,DK$35-$AC$644+1,0)</f>
        <v>5</v>
      </c>
      <c r="DL646" s="63" t="n">
        <f aca="false">IF(DL$35&gt;=$AC$644,DL$35-$AC$644+1,0)</f>
        <v>6</v>
      </c>
      <c r="DM646" s="63" t="n">
        <f aca="false">IF(DM$35&gt;=$AC$644,DM$35-$AC$644+1,0)</f>
        <v>7</v>
      </c>
      <c r="DN646" s="63" t="n">
        <f aca="false">IF(DN$35&gt;=$AC$644,DN$35-$AC$644+1,0)</f>
        <v>8</v>
      </c>
      <c r="DO646" s="63" t="n">
        <f aca="false">IF(DO$35&gt;=$AC$644,DO$35-$AC$644+1,0)</f>
        <v>9</v>
      </c>
      <c r="DP646" s="63" t="n">
        <f aca="false">IF(DP$35&gt;=$AC$644,DP$35-$AC$644+1,0)</f>
        <v>10</v>
      </c>
      <c r="DQ646" s="63" t="n">
        <f aca="false">IF(DQ$35&gt;=$AC$644,DQ$35-$AC$644+1,0)</f>
        <v>11</v>
      </c>
      <c r="DR646" s="63" t="n">
        <f aca="false">IF(DR$35&gt;=$AC$644,DR$35-$AC$644+1,0)</f>
        <v>12</v>
      </c>
      <c r="DS646" s="63" t="n">
        <f aca="false">IF(DS$35&gt;=$AC$644,DS$35-$AC$644+1,0)</f>
        <v>13</v>
      </c>
      <c r="DT646" s="63" t="n">
        <f aca="false">IF(DT$35&gt;=$AC$644,DT$35-$AC$644+1,0)</f>
        <v>14</v>
      </c>
      <c r="DU646" s="63" t="n">
        <f aca="false">IF(DU$35&gt;=$AC$644,DU$35-$AC$644+1,0)</f>
        <v>15</v>
      </c>
      <c r="DV646" s="63" t="n">
        <f aca="false">IF(DV$35&gt;=$AC$644,DV$35-$AC$644+1,0)</f>
        <v>16</v>
      </c>
      <c r="DW646" s="63" t="n">
        <f aca="false">IF(DW$35&gt;=$AC$644,DW$35-$AC$644+1,0)</f>
        <v>17</v>
      </c>
      <c r="DX646" s="63" t="n">
        <f aca="false">IF(DX$35&gt;=$AC$644,DX$35-$AC$644+1,0)</f>
        <v>18</v>
      </c>
      <c r="DY646" s="63" t="n">
        <f aca="false">IF(DY$35&gt;=$AC$644,DY$35-$AC$644+1,0)</f>
        <v>19</v>
      </c>
      <c r="DZ646" s="63" t="n">
        <f aca="false">IF(DZ$35&gt;=$AC$644,DZ$35-$AC$644+1,0)</f>
        <v>20</v>
      </c>
      <c r="EA646" s="63" t="n">
        <f aca="false">IF(EA$35&gt;=$AC$644,EA$35-$AC$644+1,0)</f>
        <v>21</v>
      </c>
      <c r="EB646" s="63" t="n">
        <f aca="false">IF(EB$35&gt;=$AC$644,EB$35-$AC$644+1,0)</f>
        <v>22</v>
      </c>
      <c r="EC646" s="63" t="n">
        <f aca="false">IF(EC$35&gt;=$AC$644,EC$35-$AC$644+1,0)</f>
        <v>23</v>
      </c>
      <c r="ED646" s="63" t="n">
        <f aca="false">IF(ED$35&gt;=$AC$644,ED$35-$AC$644+1,0)</f>
        <v>24</v>
      </c>
      <c r="EE646" s="63" t="n">
        <f aca="false">IF(EE$35&gt;=$AC$644,EE$35-$AC$644+1,0)</f>
        <v>25</v>
      </c>
      <c r="EF646" s="63" t="n">
        <f aca="false">IF(EF$35&gt;=$AC$644,EF$35-$AC$644+1,0)</f>
        <v>26</v>
      </c>
      <c r="EG646" s="63" t="n">
        <f aca="false">IF(EG$35&gt;=$AC$644,EG$35-$AC$644+1,0)</f>
        <v>27</v>
      </c>
      <c r="EH646" s="63" t="n">
        <f aca="false">IF(EH$35&gt;=$AC$644,EH$35-$AC$644+1,0)</f>
        <v>28</v>
      </c>
      <c r="EI646" s="63" t="n">
        <f aca="false">IF(EI$35&gt;=$AC$644,EI$35-$AC$644+1,0)</f>
        <v>29</v>
      </c>
      <c r="EJ646" s="63" t="n">
        <f aca="false">IF(EJ$35&gt;=$AC$644,EJ$35-$AC$644+1,0)</f>
        <v>30</v>
      </c>
      <c r="EK646" s="63" t="n">
        <f aca="false">IF(EK$35&gt;=$AC$644,EK$35-$AC$644+1,0)</f>
        <v>31</v>
      </c>
      <c r="EL646" s="63" t="n">
        <f aca="false">IF(EL$35&gt;=$AC$644,EL$35-$AC$644+1,0)</f>
        <v>32</v>
      </c>
      <c r="EM646" s="63" t="n">
        <f aca="false">IF(EM$35&gt;=$AC$644,EM$35-$AC$644+1,0)</f>
        <v>33</v>
      </c>
      <c r="EN646" s="63" t="n">
        <f aca="false">IF(EN$35&gt;=$AC$644,EN$35-$AC$644+1,0)</f>
        <v>34</v>
      </c>
      <c r="EO646" s="63" t="n">
        <f aca="false">IF(EO$35&gt;=$AC$644,EO$35-$AC$644+1,0)</f>
        <v>35</v>
      </c>
      <c r="EP646" s="63" t="n">
        <f aca="false">IF(EP$35&gt;=$AC$644,EP$35-$AC$644+1,0)</f>
        <v>36</v>
      </c>
      <c r="EQ646" s="63" t="n">
        <f aca="false">IF(EQ$35&gt;=$AC$644,EQ$35-$AC$644+1,0)</f>
        <v>37</v>
      </c>
      <c r="ER646" s="63" t="n">
        <f aca="false">IF(ER$35&gt;=$AC$644,ER$35-$AC$644+1,0)</f>
        <v>38</v>
      </c>
      <c r="ES646" s="9" t="n">
        <f aca="false">IF(ES$35&gt;=$AC$644,ES$35-$AC$644+1,0)</f>
        <v>39</v>
      </c>
      <c r="ET646" s="9" t="n">
        <f aca="false">IF(ET$35&gt;=$AC$644,ET$35-$AC$644+1,0)</f>
        <v>40</v>
      </c>
      <c r="EU646" s="9" t="n">
        <f aca="false">IF(EU$35&gt;=$AC$644,EU$35-$AC$644+1,0)</f>
        <v>41</v>
      </c>
      <c r="EV646" s="9" t="n">
        <f aca="false">IF(EV$35&gt;=$AC$644,EV$35-$AC$644+1,0)</f>
        <v>42</v>
      </c>
      <c r="EW646" s="9" t="n">
        <f aca="false">IF(EW$35&gt;=$AC$644,EW$35-$AC$644+1,0)</f>
        <v>43</v>
      </c>
      <c r="EX646" s="9" t="n">
        <f aca="false">IF(EX$35&gt;=$AC$644,EX$35-$AC$644+1,0)</f>
        <v>44</v>
      </c>
      <c r="EY646" s="9" t="n">
        <f aca="false">IF(EY$35&gt;=$AC$644,EY$35-$AC$644+1,0)</f>
        <v>45</v>
      </c>
      <c r="EZ646" s="9" t="n">
        <f aca="false">IF(EZ$35&gt;=$AC$644,EZ$35-$AC$644+1,0)</f>
        <v>46</v>
      </c>
      <c r="FA646" s="9" t="n">
        <f aca="false">IF(FA$35&gt;=$AC$644,FA$35-$AC$644+1,0)</f>
        <v>47</v>
      </c>
      <c r="FB646" s="9" t="n">
        <f aca="false">IF(FB$35&gt;=$AC$644,FB$35-$AC$644+1,0)</f>
        <v>48</v>
      </c>
      <c r="FC646" s="9" t="n">
        <f aca="false">IF(FC$35&gt;=$AC$644,FC$35-$AC$644+1,0)</f>
        <v>49</v>
      </c>
      <c r="FD646" s="9" t="n">
        <f aca="false">IF(FD$35&gt;=$AC$644,FD$35-$AC$644+1,0)</f>
        <v>50</v>
      </c>
      <c r="FE646" s="9" t="n">
        <f aca="false">IF(FE$35&gt;=$AC$644,FE$35-$AC$644+1,0)</f>
        <v>51</v>
      </c>
      <c r="FF646" s="9" t="n">
        <f aca="false">IF(FF$35&gt;=$AC$644,FF$35-$AC$644+1,0)</f>
        <v>52</v>
      </c>
      <c r="FG646" s="9" t="n">
        <f aca="false">IF(FG$35&gt;=$AC$644,FG$35-$AC$644+1,0)</f>
        <v>53</v>
      </c>
      <c r="FH646" s="9" t="n">
        <f aca="false">IF(FH$35&gt;=$AC$644,FH$35-$AC$644+1,0)</f>
        <v>54</v>
      </c>
      <c r="FI646" s="9" t="n">
        <f aca="false">IF(FI$35&gt;=$AC$644,FI$35-$AC$644+1,0)</f>
        <v>55</v>
      </c>
      <c r="FJ646" s="9" t="n">
        <f aca="false">IF(FJ$35&gt;=$AC$644,FJ$35-$AC$644+1,0)</f>
        <v>56</v>
      </c>
      <c r="FK646" s="9" t="n">
        <f aca="false">IF(FK$35&gt;=$AC$644,FK$35-$AC$644+1,0)</f>
        <v>57</v>
      </c>
      <c r="FL646" s="9" t="n">
        <f aca="false">IF(FL$35&gt;=$AC$644,FL$35-$AC$644+1,0)</f>
        <v>58</v>
      </c>
      <c r="FM646" s="9" t="n">
        <f aca="false">IF(FM$35&gt;=$AC$644,FM$35-$AC$644+1,0)</f>
        <v>59</v>
      </c>
      <c r="FN646" s="9" t="n">
        <f aca="false">IF(FN$35&gt;=$AC$644,FN$35-$AC$644+1,0)</f>
        <v>60</v>
      </c>
      <c r="FO646" s="9" t="n">
        <f aca="false">IF(FO$35&gt;=$AC$644,FO$35-$AC$644+1,0)</f>
        <v>61</v>
      </c>
      <c r="FP646" s="9" t="n">
        <f aca="false">IF(FP$35&gt;=$AC$644,FP$35-$AC$644+1,0)</f>
        <v>62</v>
      </c>
    </row>
    <row r="647" customFormat="false" ht="15" hidden="false" customHeight="false" outlineLevel="2" collapsed="false">
      <c r="B647" s="9" t="s">
        <v>874</v>
      </c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236" t="n">
        <f aca="false" t="array" ref="AC647:AC647">IF(AC646=0,0,IF(AC646/'🎚️ Escenario'!$C$11&gt;=36,$AL$23,INDEX($C$23:$AL$23,MAX(1,ROUNDUP(AC646/'🎚️ Escenario'!$C$11,0)))))</f>
        <v>0</v>
      </c>
      <c r="AD647" s="236" t="n">
        <f aca="false" t="array" ref="AD647:AD647">IF(AD646=0,0,IF(AD646/'🎚️ Escenario'!$C$11&gt;=36,$AL$23,INDEX($C$23:$AL$23,MAX(1,ROUNDUP(AD646/'🎚️ Escenario'!$C$11,0)))))</f>
        <v>0</v>
      </c>
      <c r="AE647" s="236" t="n">
        <f aca="false" t="array" ref="AE647:AE647">IF(AE646=0,0,IF(AE646/'🎚️ Escenario'!$C$11&gt;=36,$AL$23,INDEX($C$23:$AL$23,MAX(1,ROUNDUP(AE646/'🎚️ Escenario'!$C$11,0)))))</f>
        <v>0</v>
      </c>
      <c r="AF647" s="236" t="n">
        <f aca="false" t="array" ref="AF647:AF647">IF(AF646=0,0,IF(AF646/'🎚️ Escenario'!$C$11&gt;=36,$AL$23,INDEX($C$23:$AL$23,MAX(1,ROUNDUP(AF646/'🎚️ Escenario'!$C$11,0)))))</f>
        <v>0</v>
      </c>
      <c r="AG647" s="236" t="n">
        <f aca="false" t="array" ref="AG647:AG647">IF(AG646=0,0,IF(AG646/'🎚️ Escenario'!$C$11&gt;=36,$AL$23,INDEX($C$23:$AL$23,MAX(1,ROUNDUP(AG646/'🎚️ Escenario'!$C$11,0)))))</f>
        <v>0</v>
      </c>
      <c r="AH647" s="236" t="n">
        <f aca="false" t="array" ref="AH647:AH647">IF(AH646=0,0,IF(AH646/'🎚️ Escenario'!$C$11&gt;=36,$AL$23,INDEX($C$23:$AL$23,MAX(1,ROUNDUP(AH646/'🎚️ Escenario'!$C$11,0)))))</f>
        <v>0</v>
      </c>
      <c r="AI647" s="236" t="n">
        <f aca="false" t="array" ref="AI647:AI647">IF(AI646=0,0,IF(AI646/'🎚️ Escenario'!$C$11&gt;=36,$AL$23,INDEX($C$23:$AL$23,MAX(1,ROUNDUP(AI646/'🎚️ Escenario'!$C$11,0)))))</f>
        <v>0</v>
      </c>
      <c r="AJ647" s="236" t="n">
        <f aca="false" t="array" ref="AJ647:AJ647">IF(AJ646=0,0,IF(AJ646/'🎚️ Escenario'!$C$11&gt;=36,$AL$23,INDEX($C$23:$AL$23,MAX(1,ROUNDUP(AJ646/'🎚️ Escenario'!$C$11,0)))))</f>
        <v>0</v>
      </c>
      <c r="AK647" s="236" t="n">
        <f aca="false" t="array" ref="AK647:AK647">IF(AK646=0,0,IF(AK646/'🎚️ Escenario'!$C$11&gt;=36,$AL$23,INDEX($C$23:$AL$23,MAX(1,ROUNDUP(AK646/'🎚️ Escenario'!$C$11,0)))))</f>
        <v>0</v>
      </c>
      <c r="AL647" s="236" t="n">
        <f aca="false" t="array" ref="AL647:AL647">IF(AL646=0,0,IF(AL646/'🎚️ Escenario'!$C$11&gt;=36,$AL$23,INDEX($C$23:$AL$23,MAX(1,ROUNDUP(AL646/'🎚️ Escenario'!$C$11,0)))))</f>
        <v>0</v>
      </c>
      <c r="AM647" s="236" t="n">
        <f aca="false" t="array" ref="AM647:AM647">IF(AM646=0,0,IF(AM646/'🎚️ Escenario'!$C$11&gt;=36,$AL$23,INDEX($C$23:$AL$23,MAX(1,ROUNDUP(AM646/'🎚️ Escenario'!$C$11,0)))))</f>
        <v>0</v>
      </c>
      <c r="AN647" s="236" t="n">
        <f aca="false" t="array" ref="AN647:AN647">IF(AN646=0,0,IF(AN646/'🎚️ Escenario'!$C$11&gt;=36,$AL$23,INDEX($C$23:$AL$23,MAX(1,ROUNDUP(AN646/'🎚️ Escenario'!$C$11,0)))))</f>
        <v>0</v>
      </c>
      <c r="AO647" s="236" t="n">
        <f aca="false" t="array" ref="AO647:AO647">IF(AO646=0,0,IF(AO646/'🎚️ Escenario'!$C$11&gt;=36,$AL$23,INDEX($C$23:$AL$23,MAX(1,ROUNDUP(AO646/'🎚️ Escenario'!$C$11,0)))))</f>
        <v>0</v>
      </c>
      <c r="AP647" s="236" t="n">
        <f aca="false" t="array" ref="AP647:AP647">IF(AP646=0,0,IF(AP646/'🎚️ Escenario'!$C$11&gt;=36,$AL$23,INDEX($C$23:$AL$23,MAX(1,ROUNDUP(AP646/'🎚️ Escenario'!$C$11,0)))))</f>
        <v>0</v>
      </c>
      <c r="AQ647" s="236" t="n">
        <f aca="false" t="array" ref="AQ647:AQ647">IF(AQ646=0,0,IF(AQ646/'🎚️ Escenario'!$C$11&gt;=36,$AL$23,INDEX($C$23:$AL$23,MAX(1,ROUNDUP(AQ646/'🎚️ Escenario'!$C$11,0)))))</f>
        <v>0</v>
      </c>
      <c r="AR647" s="236" t="n">
        <f aca="false" t="array" ref="AR647:AR647">IF(AR646=0,0,IF(AR646/'🎚️ Escenario'!$C$11&gt;=36,$AL$23,INDEX($C$23:$AL$23,MAX(1,ROUNDUP(AR646/'🎚️ Escenario'!$C$11,0)))))</f>
        <v>0</v>
      </c>
      <c r="AS647" s="236" t="n">
        <f aca="false" t="array" ref="AS647:AS647">IF(AS646=0,0,IF(AS646/'🎚️ Escenario'!$C$11&gt;=36,$AL$23,INDEX($C$23:$AL$23,MAX(1,ROUNDUP(AS646/'🎚️ Escenario'!$C$11,0)))))</f>
        <v>0</v>
      </c>
      <c r="AT647" s="236" t="n">
        <f aca="false" t="array" ref="AT647:AT647">IF(AT646=0,0,IF(AT646/'🎚️ Escenario'!$C$11&gt;=36,$AL$23,INDEX($C$23:$AL$23,MAX(1,ROUNDUP(AT646/'🎚️ Escenario'!$C$11,0)))))</f>
        <v>0</v>
      </c>
      <c r="AU647" s="236" t="n">
        <f aca="false" t="array" ref="AU647:AU647">IF(AU646=0,0,IF(AU646/'🎚️ Escenario'!$C$11&gt;=36,$AL$23,INDEX($C$23:$AL$23,MAX(1,ROUNDUP(AU646/'🎚️ Escenario'!$C$11,0)))))</f>
        <v>0</v>
      </c>
      <c r="AV647" s="236" t="n">
        <f aca="false" t="array" ref="AV647:AV647">IF(AV646=0,0,IF(AV646/'🎚️ Escenario'!$C$11&gt;=36,$AL$23,INDEX($C$23:$AL$23,MAX(1,ROUNDUP(AV646/'🎚️ Escenario'!$C$11,0)))))</f>
        <v>0</v>
      </c>
      <c r="AW647" s="236" t="n">
        <f aca="false" t="array" ref="AW647:AW647">IF(AW646=0,0,IF(AW646/'🎚️ Escenario'!$C$11&gt;=36,$AL$23,INDEX($C$23:$AL$23,MAX(1,ROUNDUP(AW646/'🎚️ Escenario'!$C$11,0)))))</f>
        <v>0</v>
      </c>
      <c r="AX647" s="236" t="n">
        <f aca="false" t="array" ref="AX647:AX647">IF(AX646=0,0,IF(AX646/'🎚️ Escenario'!$C$11&gt;=36,$AL$23,INDEX($C$23:$AL$23,MAX(1,ROUNDUP(AX646/'🎚️ Escenario'!$C$11,0)))))</f>
        <v>0</v>
      </c>
      <c r="AY647" s="236" t="n">
        <f aca="false" t="array" ref="AY647:AY647">IF(AY646=0,0,IF(AY646/'🎚️ Escenario'!$C$11&gt;=36,$AL$23,INDEX($C$23:$AL$23,MAX(1,ROUNDUP(AY646/'🎚️ Escenario'!$C$11,0)))))</f>
        <v>0</v>
      </c>
      <c r="AZ647" s="236" t="n">
        <f aca="false" t="array" ref="AZ647:AZ647">IF(AZ646=0,0,IF(AZ646/'🎚️ Escenario'!$C$11&gt;=36,$AL$23,INDEX($C$23:$AL$23,MAX(1,ROUNDUP(AZ646/'🎚️ Escenario'!$C$11,0)))))</f>
        <v>0</v>
      </c>
      <c r="BA647" s="236" t="n">
        <f aca="false" t="array" ref="BA647:BA647">IF(BA646=0,0,IF(BA646/'🎚️ Escenario'!$C$11&gt;=36,$AL$23,INDEX($C$23:$AL$23,MAX(1,ROUNDUP(BA646/'🎚️ Escenario'!$C$11,0)))))</f>
        <v>0</v>
      </c>
      <c r="BB647" s="236" t="n">
        <f aca="false" t="array" ref="BB647:BB647">IF(BB646=0,0,IF(BB646/'🎚️ Escenario'!$C$11&gt;=36,$AL$23,INDEX($C$23:$AL$23,MAX(1,ROUNDUP(BB646/'🎚️ Escenario'!$C$11,0)))))</f>
        <v>0</v>
      </c>
      <c r="BC647" s="236" t="n">
        <f aca="false" t="array" ref="BC647:BC647">IF(BC646=0,0,IF(BC646/'🎚️ Escenario'!$C$11&gt;=36,$AL$23,INDEX($C$23:$AL$23,MAX(1,ROUNDUP(BC646/'🎚️ Escenario'!$C$11,0)))))</f>
        <v>0</v>
      </c>
      <c r="BD647" s="236" t="n">
        <f aca="false" t="array" ref="BD647:BD647">IF(BD646=0,0,IF(BD646/'🎚️ Escenario'!$C$11&gt;=36,$AL$23,INDEX($C$23:$AL$23,MAX(1,ROUNDUP(BD646/'🎚️ Escenario'!$C$11,0)))))</f>
        <v>0</v>
      </c>
      <c r="BE647" s="236" t="n">
        <f aca="false" t="array" ref="BE647:BE647">IF(BE646=0,0,IF(BE646/'🎚️ Escenario'!$C$11&gt;=36,$AL$23,INDEX($C$23:$AL$23,MAX(1,ROUNDUP(BE646/'🎚️ Escenario'!$C$11,0)))))</f>
        <v>0</v>
      </c>
      <c r="BF647" s="236" t="n">
        <f aca="false" t="array" ref="BF647:BF647">IF(BF646=0,0,IF(BF646/'🎚️ Escenario'!$C$11&gt;=36,$AL$23,INDEX($C$23:$AL$23,MAX(1,ROUNDUP(BF646/'🎚️ Escenario'!$C$11,0)))))</f>
        <v>0</v>
      </c>
      <c r="BG647" s="236" t="n">
        <f aca="false" t="array" ref="BG647:BG647">IF(BG646=0,0,IF(BG646/'🎚️ Escenario'!$C$11&gt;=36,$AL$23,INDEX($C$23:$AL$23,MAX(1,ROUNDUP(BG646/'🎚️ Escenario'!$C$11,0)))))</f>
        <v>0</v>
      </c>
      <c r="BH647" s="236" t="n">
        <f aca="false" t="array" ref="BH647:BH647">IF(BH646=0,0,IF(BH646/'🎚️ Escenario'!$C$11&gt;=36,$AL$23,INDEX($C$23:$AL$23,MAX(1,ROUNDUP(BH646/'🎚️ Escenario'!$C$11,0)))))</f>
        <v>0</v>
      </c>
      <c r="BI647" s="236" t="n">
        <f aca="false" t="array" ref="BI647:BI647">IF(BI646=0,0,IF(BI646/'🎚️ Escenario'!$C$11&gt;=36,$AL$23,INDEX($C$23:$AL$23,MAX(1,ROUNDUP(BI646/'🎚️ Escenario'!$C$11,0)))))</f>
        <v>0</v>
      </c>
      <c r="BJ647" s="236" t="n">
        <f aca="false" t="array" ref="BJ647:BJ647">IF(BJ646=0,0,IF(BJ646/'🎚️ Escenario'!$C$11&gt;=36,$AL$23,INDEX($C$23:$AL$23,MAX(1,ROUNDUP(BJ646/'🎚️ Escenario'!$C$11,0)))))</f>
        <v>0</v>
      </c>
      <c r="BK647" s="236" t="n">
        <f aca="false" t="array" ref="BK647:BK647">IF(BK646=0,0,IF(BK646/'🎚️ Escenario'!$C$11&gt;=36,$AL$23,INDEX($C$23:$AL$23,MAX(1,ROUNDUP(BK646/'🎚️ Escenario'!$C$11,0)))))</f>
        <v>0</v>
      </c>
      <c r="BL647" s="236" t="n">
        <f aca="false" t="array" ref="BL647:BL647">IF(BL646=0,0,IF(BL646/'🎚️ Escenario'!$C$11&gt;=36,$AL$23,INDEX($C$23:$AL$23,MAX(1,ROUNDUP(BL646/'🎚️ Escenario'!$C$11,0)))))</f>
        <v>0</v>
      </c>
      <c r="BM647" s="236" t="n">
        <f aca="false" t="array" ref="BM647:BM647">IF(BM646=0,0,IF(BM646/'🎚️ Escenario'!$C$11&gt;=36,$AL$23,INDEX($C$23:$AL$23,MAX(1,ROUNDUP(BM646/'🎚️ Escenario'!$C$11,0)))))</f>
        <v>0</v>
      </c>
      <c r="BN647" s="236" t="n">
        <f aca="false" t="array" ref="BN647:BN647">IF(BN646=0,0,IF(BN646/'🎚️ Escenario'!$C$11&gt;=36,$AL$23,INDEX($C$23:$AL$23,MAX(1,ROUNDUP(BN646/'🎚️ Escenario'!$C$11,0)))))</f>
        <v>0</v>
      </c>
      <c r="BO647" s="236" t="n">
        <f aca="false" t="array" ref="BO647:BO647">IF(BO646=0,0,IF(BO646/'🎚️ Escenario'!$C$11&gt;=36,$AL$23,INDEX($C$23:$AL$23,MAX(1,ROUNDUP(BO646/'🎚️ Escenario'!$C$11,0)))))</f>
        <v>0</v>
      </c>
      <c r="BP647" s="236" t="n">
        <f aca="false" t="array" ref="BP647:BP647">IF(BP646=0,0,IF(BP646/'🎚️ Escenario'!$C$11&gt;=36,$AL$23,INDEX($C$23:$AL$23,MAX(1,ROUNDUP(BP646/'🎚️ Escenario'!$C$11,0)))))</f>
        <v>0</v>
      </c>
      <c r="BQ647" s="236" t="n">
        <f aca="false" t="array" ref="BQ647:BQ647">IF(BQ646=0,0,IF(BQ646/'🎚️ Escenario'!$C$11&gt;=36,$AL$23,INDEX($C$23:$AL$23,MAX(1,ROUNDUP(BQ646/'🎚️ Escenario'!$C$11,0)))))</f>
        <v>0</v>
      </c>
      <c r="BR647" s="236" t="n">
        <f aca="false" t="array" ref="BR647:BR647">IF(BR646=0,0,IF(BR646/'🎚️ Escenario'!$C$11&gt;=36,$AL$23,INDEX($C$23:$AL$23,MAX(1,ROUNDUP(BR646/'🎚️ Escenario'!$C$11,0)))))</f>
        <v>0</v>
      </c>
      <c r="BS647" s="236" t="n">
        <f aca="false" t="array" ref="BS647:BS647">IF(BS646=0,0,IF(BS646/'🎚️ Escenario'!$C$11&gt;=36,$AL$23,INDEX($C$23:$AL$23,MAX(1,ROUNDUP(BS646/'🎚️ Escenario'!$C$11,0)))))</f>
        <v>0</v>
      </c>
      <c r="BT647" s="236" t="n">
        <f aca="false" t="array" ref="BT647:BT647">IF(BT646=0,0,IF(BT646/'🎚️ Escenario'!$C$11&gt;=36,$AL$23,INDEX($C$23:$AL$23,MAX(1,ROUNDUP(BT646/'🎚️ Escenario'!$C$11,0)))))</f>
        <v>0</v>
      </c>
      <c r="BU647" s="236" t="n">
        <f aca="false" t="array" ref="BU647:BU647">IF(BU646=0,0,IF(BU646/'🎚️ Escenario'!$C$11&gt;=36,$AL$23,INDEX($C$23:$AL$23,MAX(1,ROUNDUP(BU646/'🎚️ Escenario'!$C$11,0)))))</f>
        <v>0</v>
      </c>
      <c r="BV647" s="236" t="n">
        <f aca="false" t="array" ref="BV647:BV647">IF(BV646=0,0,IF(BV646/'🎚️ Escenario'!$C$11&gt;=36,$AL$23,INDEX($C$23:$AL$23,MAX(1,ROUNDUP(BV646/'🎚️ Escenario'!$C$11,0)))))</f>
        <v>0</v>
      </c>
      <c r="BW647" s="236" t="n">
        <f aca="false" t="array" ref="BW647:BW647">IF(BW646=0,0,IF(BW646/'🎚️ Escenario'!$C$11&gt;=36,$AL$23,INDEX($C$23:$AL$23,MAX(1,ROUNDUP(BW646/'🎚️ Escenario'!$C$11,0)))))</f>
        <v>0</v>
      </c>
      <c r="BX647" s="236" t="n">
        <f aca="false" t="array" ref="BX647:BX647">IF(BX646=0,0,IF(BX646/'🎚️ Escenario'!$C$11&gt;=36,$AL$23,INDEX($C$23:$AL$23,MAX(1,ROUNDUP(BX646/'🎚️ Escenario'!$C$11,0)))))</f>
        <v>0</v>
      </c>
      <c r="BY647" s="236" t="n">
        <f aca="false" t="array" ref="BY647:BY647">IF(BY646=0,0,IF(BY646/'🎚️ Escenario'!$C$11&gt;=36,$AL$23,INDEX($C$23:$AL$23,MAX(1,ROUNDUP(BY646/'🎚️ Escenario'!$C$11,0)))))</f>
        <v>0</v>
      </c>
      <c r="BZ647" s="236" t="n">
        <f aca="false" t="array" ref="BZ647:BZ647">IF(BZ646=0,0,IF(BZ646/'🎚️ Escenario'!$C$11&gt;=36,$AL$23,INDEX($C$23:$AL$23,MAX(1,ROUNDUP(BZ646/'🎚️ Escenario'!$C$11,0)))))</f>
        <v>0</v>
      </c>
      <c r="CA647" s="236" t="n">
        <f aca="false" t="array" ref="CA647:CA647">IF(CA646=0,0,IF(CA646/'🎚️ Escenario'!$C$11&gt;=36,$AL$23,INDEX($C$23:$AL$23,MAX(1,ROUNDUP(CA646/'🎚️ Escenario'!$C$11,0)))))</f>
        <v>0</v>
      </c>
      <c r="CB647" s="236" t="n">
        <f aca="false" t="array" ref="CB647:CB647">IF(CB646=0,0,IF(CB646/'🎚️ Escenario'!$C$11&gt;=36,$AL$23,INDEX($C$23:$AL$23,MAX(1,ROUNDUP(CB646/'🎚️ Escenario'!$C$11,0)))))</f>
        <v>0</v>
      </c>
      <c r="CC647" s="236" t="n">
        <f aca="false" t="array" ref="CC647:CC647">IF(CC646=0,0,IF(CC646/'🎚️ Escenario'!$C$11&gt;=36,$AL$23,INDEX($C$23:$AL$23,MAX(1,ROUNDUP(CC646/'🎚️ Escenario'!$C$11,0)))))</f>
        <v>0</v>
      </c>
      <c r="CD647" s="236" t="n">
        <f aca="false" t="array" ref="CD647:CD647">IF(CD646=0,0,IF(CD646/'🎚️ Escenario'!$C$11&gt;=36,$AL$23,INDEX($C$23:$AL$23,MAX(1,ROUNDUP(CD646/'🎚️ Escenario'!$C$11,0)))))</f>
        <v>0</v>
      </c>
      <c r="CE647" s="236" t="n">
        <f aca="false" t="array" ref="CE647:CE647">IF(CE646=0,0,IF(CE646/'🎚️ Escenario'!$C$11&gt;=36,$AL$23,INDEX($C$23:$AL$23,MAX(1,ROUNDUP(CE646/'🎚️ Escenario'!$C$11,0)))))</f>
        <v>0</v>
      </c>
      <c r="CF647" s="236" t="n">
        <f aca="false" t="array" ref="CF647:CF647">IF(CF646=0,0,IF(CF646/'🎚️ Escenario'!$C$11&gt;=36,$AL$23,INDEX($C$23:$AL$23,MAX(1,ROUNDUP(CF646/'🎚️ Escenario'!$C$11,0)))))</f>
        <v>0</v>
      </c>
      <c r="CG647" s="236" t="n">
        <f aca="false" t="array" ref="CG647:CG647">IF(CG646=0,0,IF(CG646/'🎚️ Escenario'!$C$11&gt;=36,$AL$23,INDEX($C$23:$AL$23,MAX(1,ROUNDUP(CG646/'🎚️ Escenario'!$C$11,0)))))</f>
        <v>0</v>
      </c>
      <c r="CH647" s="236" t="n">
        <f aca="false" t="array" ref="CH647:CH647">IF(CH646=0,0,IF(CH646/'🎚️ Escenario'!$C$11&gt;=36,$AL$23,INDEX($C$23:$AL$23,MAX(1,ROUNDUP(CH646/'🎚️ Escenario'!$C$11,0)))))</f>
        <v>0</v>
      </c>
      <c r="CI647" s="236" t="n">
        <f aca="false" t="array" ref="CI647:CI647">IF(CI646=0,0,IF(CI646/'🎚️ Escenario'!$C$11&gt;=36,$AL$23,INDEX($C$23:$AL$23,MAX(1,ROUNDUP(CI646/'🎚️ Escenario'!$C$11,0)))))</f>
        <v>0</v>
      </c>
      <c r="CJ647" s="236" t="n">
        <f aca="false" t="array" ref="CJ647:CJ647">IF(CJ646=0,0,IF(CJ646/'🎚️ Escenario'!$C$11&gt;=36,$AL$23,INDEX($C$23:$AL$23,MAX(1,ROUNDUP(CJ646/'🎚️ Escenario'!$C$11,0)))))</f>
        <v>0</v>
      </c>
      <c r="CK647" s="236" t="n">
        <f aca="false" t="array" ref="CK647:CK647">IF(CK646=0,0,IF(CK646/'🎚️ Escenario'!$C$11&gt;=36,$AL$23,INDEX($C$23:$AL$23,MAX(1,ROUNDUP(CK646/'🎚️ Escenario'!$C$11,0)))))</f>
        <v>0</v>
      </c>
      <c r="CL647" s="236" t="n">
        <f aca="false" t="array" ref="CL647:CL647">IF(CL646=0,0,IF(CL646/'🎚️ Escenario'!$C$11&gt;=36,$AL$23,INDEX($C$23:$AL$23,MAX(1,ROUNDUP(CL646/'🎚️ Escenario'!$C$11,0)))))</f>
        <v>0</v>
      </c>
      <c r="CM647" s="236" t="n">
        <f aca="false" t="array" ref="CM647:CM647">IF(CM646=0,0,IF(CM646/'🎚️ Escenario'!$C$11&gt;=36,$AL$23,INDEX($C$23:$AL$23,MAX(1,ROUNDUP(CM646/'🎚️ Escenario'!$C$11,0)))))</f>
        <v>0</v>
      </c>
      <c r="CN647" s="236" t="n">
        <f aca="false" t="array" ref="CN647:CN647">IF(CN646=0,0,IF(CN646/'🎚️ Escenario'!$C$11&gt;=36,$AL$23,INDEX($C$23:$AL$23,MAX(1,ROUNDUP(CN646/'🎚️ Escenario'!$C$11,0)))))</f>
        <v>0</v>
      </c>
      <c r="CO647" s="236" t="n">
        <f aca="false" t="array" ref="CO647:CO647">IF(CO646=0,0,IF(CO646/'🎚️ Escenario'!$C$11&gt;=36,$AL$23,INDEX($C$23:$AL$23,MAX(1,ROUNDUP(CO646/'🎚️ Escenario'!$C$11,0)))))</f>
        <v>0</v>
      </c>
      <c r="CP647" s="236" t="n">
        <f aca="false" t="array" ref="CP647:CP647">IF(CP646=0,0,IF(CP646/'🎚️ Escenario'!$C$11&gt;=36,$AL$23,INDEX($C$23:$AL$23,MAX(1,ROUNDUP(CP646/'🎚️ Escenario'!$C$11,0)))))</f>
        <v>0</v>
      </c>
      <c r="CQ647" s="236" t="n">
        <f aca="false" t="array" ref="CQ647:CQ647">IF(CQ646=0,0,IF(CQ646/'🎚️ Escenario'!$C$11&gt;=36,$AL$23,INDEX($C$23:$AL$23,MAX(1,ROUNDUP(CQ646/'🎚️ Escenario'!$C$11,0)))))</f>
        <v>0</v>
      </c>
      <c r="CR647" s="236" t="n">
        <f aca="false" t="array" ref="CR647:CR647">IF(CR646=0,0,IF(CR646/'🎚️ Escenario'!$C$11&gt;=36,$AL$23,INDEX($C$23:$AL$23,MAX(1,ROUNDUP(CR646/'🎚️ Escenario'!$C$11,0)))))</f>
        <v>0</v>
      </c>
      <c r="CS647" s="236" t="n">
        <f aca="false" t="array" ref="CS647:CS647">IF(CS646=0,0,IF(CS646/'🎚️ Escenario'!$C$11&gt;=36,$AL$23,INDEX($C$23:$AL$23,MAX(1,ROUNDUP(CS646/'🎚️ Escenario'!$C$11,0)))))</f>
        <v>0</v>
      </c>
      <c r="CT647" s="236" t="n">
        <f aca="false" t="array" ref="CT647:CT647">IF(CT646=0,0,IF(CT646/'🎚️ Escenario'!$C$11&gt;=36,$AL$23,INDEX($C$23:$AL$23,MAX(1,ROUNDUP(CT646/'🎚️ Escenario'!$C$11,0)))))</f>
        <v>0</v>
      </c>
      <c r="CU647" s="236" t="n">
        <f aca="false" t="array" ref="CU647:CU647">IF(CU646=0,0,IF(CU646/'🎚️ Escenario'!$C$11&gt;=36,$AL$23,INDEX($C$23:$AL$23,MAX(1,ROUNDUP(CU646/'🎚️ Escenario'!$C$11,0)))))</f>
        <v>0</v>
      </c>
      <c r="CV647" s="236" t="n">
        <f aca="false" t="array" ref="CV647:CV647">IF(CV646=0,0,IF(CV646/'🎚️ Escenario'!$C$11&gt;=36,$AL$23,INDEX($C$23:$AL$23,MAX(1,ROUNDUP(CV646/'🎚️ Escenario'!$C$11,0)))))</f>
        <v>0</v>
      </c>
      <c r="CW647" s="236" t="n">
        <f aca="false" t="array" ref="CW647:CW647">IF(CW646=0,0,IF(CW646/'🎚️ Escenario'!$C$11&gt;=36,$AL$23,INDEX($C$23:$AL$23,MAX(1,ROUNDUP(CW646/'🎚️ Escenario'!$C$11,0)))))</f>
        <v>0</v>
      </c>
      <c r="CX647" s="236" t="n">
        <f aca="false" t="array" ref="CX647:CX647">IF(CX646=0,0,IF(CX646/'🎚️ Escenario'!$C$11&gt;=36,$AL$23,INDEX($C$23:$AL$23,MAX(1,ROUNDUP(CX646/'🎚️ Escenario'!$C$11,0)))))</f>
        <v>0</v>
      </c>
      <c r="CY647" s="236" t="n">
        <f aca="false" t="array" ref="CY647:CY647">IF(CY646=0,0,IF(CY646/'🎚️ Escenario'!$C$11&gt;=36,$AL$23,INDEX($C$23:$AL$23,MAX(1,ROUNDUP(CY646/'🎚️ Escenario'!$C$11,0)))))</f>
        <v>0</v>
      </c>
      <c r="CZ647" s="236" t="n">
        <f aca="false" t="array" ref="CZ647:CZ647">IF(CZ646=0,0,IF(CZ646/'🎚️ Escenario'!$C$11&gt;=36,$AL$23,INDEX($C$23:$AL$23,MAX(1,ROUNDUP(CZ646/'🎚️ Escenario'!$C$11,0)))))</f>
        <v>0</v>
      </c>
      <c r="DA647" s="236" t="n">
        <f aca="false" t="array" ref="DA647:DA647">IF(DA646=0,0,IF(DA646/'🎚️ Escenario'!$C$11&gt;=36,$AL$23,INDEX($C$23:$AL$23,MAX(1,ROUNDUP(DA646/'🎚️ Escenario'!$C$11,0)))))</f>
        <v>0</v>
      </c>
      <c r="DB647" s="236" t="n">
        <f aca="false" t="array" ref="DB647:DB647">IF(DB646=0,0,IF(DB646/'🎚️ Escenario'!$C$11&gt;=36,$AL$23,INDEX($C$23:$AL$23,MAX(1,ROUNDUP(DB646/'🎚️ Escenario'!$C$11,0)))))</f>
        <v>0</v>
      </c>
      <c r="DC647" s="236" t="n">
        <f aca="false" t="array" ref="DC647:DC647">IF(DC646=0,0,IF(DC646/'🎚️ Escenario'!$C$11&gt;=36,$AL$23,INDEX($C$23:$AL$23,MAX(1,ROUNDUP(DC646/'🎚️ Escenario'!$C$11,0)))))</f>
        <v>0</v>
      </c>
      <c r="DD647" s="236" t="n">
        <f aca="false" t="array" ref="DD647:DD647">IF(DD646=0,0,IF(DD646/'🎚️ Escenario'!$C$11&gt;=36,$AL$23,INDEX($C$23:$AL$23,MAX(1,ROUNDUP(DD646/'🎚️ Escenario'!$C$11,0)))))</f>
        <v>0</v>
      </c>
      <c r="DE647" s="236" t="n">
        <f aca="false" t="array" ref="DE647:DE647">IF(DE646=0,0,IF(DE646/'🎚️ Escenario'!$C$11&gt;=36,$AL$23,INDEX($C$23:$AL$23,MAX(1,ROUNDUP(DE646/'🎚️ Escenario'!$C$11,0)))))</f>
        <v>0</v>
      </c>
      <c r="DF647" s="236" t="n">
        <f aca="false" t="array" ref="DF647:DF647">IF(DF646=0,0,IF(DF646/'🎚️ Escenario'!$C$11&gt;=36,$AL$23,INDEX($C$23:$AL$23,MAX(1,ROUNDUP(DF646/'🎚️ Escenario'!$C$11,0)))))</f>
        <v>0</v>
      </c>
      <c r="DG647" s="236" t="n">
        <f aca="false" t="array" ref="DG647:DG647">IF(DG646=0,0,IF(DG646/'🎚️ Escenario'!$C$11&gt;=36,$AL$23,INDEX($C$23:$AL$23,MAX(1,ROUNDUP(DG646/'🎚️ Escenario'!$C$11,0)))))</f>
        <v>0.2</v>
      </c>
      <c r="DH647" s="236" t="n">
        <f aca="false" t="array" ref="DH647:DH647">IF(DH646=0,0,IF(DH646/'🎚️ Escenario'!$C$11&gt;=36,$AL$23,INDEX($C$23:$AL$23,MAX(1,ROUNDUP(DH646/'🎚️ Escenario'!$C$11,0)))))</f>
        <v>0.22</v>
      </c>
      <c r="DI647" s="236" t="n">
        <f aca="false" t="array" ref="DI647:DI647">IF(DI646=0,0,IF(DI646/'🎚️ Escenario'!$C$11&gt;=36,$AL$23,INDEX($C$23:$AL$23,MAX(1,ROUNDUP(DI646/'🎚️ Escenario'!$C$11,0)))))</f>
        <v>0.24</v>
      </c>
      <c r="DJ647" s="236" t="n">
        <f aca="false" t="array" ref="DJ647:DJ647">IF(DJ646=0,0,IF(DJ646/'🎚️ Escenario'!$C$11&gt;=36,$AL$23,INDEX($C$23:$AL$23,MAX(1,ROUNDUP(DJ646/'🎚️ Escenario'!$C$11,0)))))</f>
        <v>0.27</v>
      </c>
      <c r="DK647" s="236" t="n">
        <f aca="false" t="array" ref="DK647:DK647">IF(DK646=0,0,IF(DK646/'🎚️ Escenario'!$C$11&gt;=36,$AL$23,INDEX($C$23:$AL$23,MAX(1,ROUNDUP(DK646/'🎚️ Escenario'!$C$11,0)))))</f>
        <v>0.27</v>
      </c>
      <c r="DL647" s="236" t="n">
        <f aca="false" t="array" ref="DL647:DL647">IF(DL646=0,0,IF(DL646/'🎚️ Escenario'!$C$11&gt;=36,$AL$23,INDEX($C$23:$AL$23,MAX(1,ROUNDUP(DL646/'🎚️ Escenario'!$C$11,0)))))</f>
        <v>0.31</v>
      </c>
      <c r="DM647" s="236" t="n">
        <f aca="false" t="array" ref="DM647:DM647">IF(DM646=0,0,IF(DM646/'🎚️ Escenario'!$C$11&gt;=36,$AL$23,INDEX($C$23:$AL$23,MAX(1,ROUNDUP(DM646/'🎚️ Escenario'!$C$11,0)))))</f>
        <v>0.35</v>
      </c>
      <c r="DN647" s="236" t="n">
        <f aca="false" t="array" ref="DN647:DN647">IF(DN646=0,0,IF(DN646/'🎚️ Escenario'!$C$11&gt;=36,$AL$23,INDEX($C$23:$AL$23,MAX(1,ROUNDUP(DN646/'🎚️ Escenario'!$C$11,0)))))</f>
        <v>0.39</v>
      </c>
      <c r="DO647" s="236" t="n">
        <f aca="false" t="array" ref="DO647:DO647">IF(DO646=0,0,IF(DO646/'🎚️ Escenario'!$C$11&gt;=36,$AL$23,INDEX($C$23:$AL$23,MAX(1,ROUNDUP(DO646/'🎚️ Escenario'!$C$11,0)))))</f>
        <v>0.44</v>
      </c>
      <c r="DP647" s="236" t="n">
        <f aca="false" t="array" ref="DP647:DP647">IF(DP646=0,0,IF(DP646/'🎚️ Escenario'!$C$11&gt;=36,$AL$23,INDEX($C$23:$AL$23,MAX(1,ROUNDUP(DP646/'🎚️ Escenario'!$C$11,0)))))</f>
        <v>0.44</v>
      </c>
      <c r="DQ647" s="236" t="n">
        <f aca="false" t="array" ref="DQ647:DQ647">IF(DQ646=0,0,IF(DQ646/'🎚️ Escenario'!$C$11&gt;=36,$AL$23,INDEX($C$23:$AL$23,MAX(1,ROUNDUP(DQ646/'🎚️ Escenario'!$C$11,0)))))</f>
        <v>0.48</v>
      </c>
      <c r="DR647" s="236" t="n">
        <f aca="false" t="array" ref="DR647:DR647">IF(DR646=0,0,IF(DR646/'🎚️ Escenario'!$C$11&gt;=36,$AL$23,INDEX($C$23:$AL$23,MAX(1,ROUNDUP(DR646/'🎚️ Escenario'!$C$11,0)))))</f>
        <v>0.52</v>
      </c>
      <c r="DS647" s="236" t="n">
        <f aca="false" t="array" ref="DS647:DS647">IF(DS646=0,0,IF(DS646/'🎚️ Escenario'!$C$11&gt;=36,$AL$23,INDEX($C$23:$AL$23,MAX(1,ROUNDUP(DS646/'🎚️ Escenario'!$C$11,0)))))</f>
        <v>0.56</v>
      </c>
      <c r="DT647" s="236" t="n">
        <f aca="false" t="array" ref="DT647:DT647">IF(DT646=0,0,IF(DT646/'🎚️ Escenario'!$C$11&gt;=36,$AL$23,INDEX($C$23:$AL$23,MAX(1,ROUNDUP(DT646/'🎚️ Escenario'!$C$11,0)))))</f>
        <v>0.6</v>
      </c>
      <c r="DU647" s="236" t="n">
        <f aca="false" t="array" ref="DU647:DU647">IF(DU646=0,0,IF(DU646/'🎚️ Escenario'!$C$11&gt;=36,$AL$23,INDEX($C$23:$AL$23,MAX(1,ROUNDUP(DU646/'🎚️ Escenario'!$C$11,0)))))</f>
        <v>0.6</v>
      </c>
      <c r="DV647" s="236" t="n">
        <f aca="false" t="array" ref="DV647:DV647">IF(DV646=0,0,IF(DV646/'🎚️ Escenario'!$C$11&gt;=36,$AL$23,INDEX($C$23:$AL$23,MAX(1,ROUNDUP(DV646/'🎚️ Escenario'!$C$11,0)))))</f>
        <v>0.63</v>
      </c>
      <c r="DW647" s="236" t="n">
        <f aca="false" t="array" ref="DW647:DW647">IF(DW646=0,0,IF(DW646/'🎚️ Escenario'!$C$11&gt;=36,$AL$23,INDEX($C$23:$AL$23,MAX(1,ROUNDUP(DW646/'🎚️ Escenario'!$C$11,0)))))</f>
        <v>0.66</v>
      </c>
      <c r="DX647" s="236" t="n">
        <f aca="false" t="array" ref="DX647:DX647">IF(DX646=0,0,IF(DX646/'🎚️ Escenario'!$C$11&gt;=36,$AL$23,INDEX($C$23:$AL$23,MAX(1,ROUNDUP(DX646/'🎚️ Escenario'!$C$11,0)))))</f>
        <v>0.69</v>
      </c>
      <c r="DY647" s="236" t="n">
        <f aca="false" t="array" ref="DY647:DY647">IF(DY646=0,0,IF(DY646/'🎚️ Escenario'!$C$11&gt;=36,$AL$23,INDEX($C$23:$AL$23,MAX(1,ROUNDUP(DY646/'🎚️ Escenario'!$C$11,0)))))</f>
        <v>0.71</v>
      </c>
      <c r="DZ647" s="236" t="n">
        <f aca="false" t="array" ref="DZ647:DZ647">IF(DZ646=0,0,IF(DZ646/'🎚️ Escenario'!$C$11&gt;=36,$AL$23,INDEX($C$23:$AL$23,MAX(1,ROUNDUP(DZ646/'🎚️ Escenario'!$C$11,0)))))</f>
        <v>0.71</v>
      </c>
      <c r="EA647" s="236" t="n">
        <f aca="false" t="array" ref="EA647:EA647">IF(EA646=0,0,IF(EA646/'🎚️ Escenario'!$C$11&gt;=36,$AL$23,INDEX($C$23:$AL$23,MAX(1,ROUNDUP(EA646/'🎚️ Escenario'!$C$11,0)))))</f>
        <v>0.73</v>
      </c>
      <c r="EB647" s="236" t="n">
        <f aca="false" t="array" ref="EB647:EB647">IF(EB646=0,0,IF(EB646/'🎚️ Escenario'!$C$11&gt;=36,$AL$23,INDEX($C$23:$AL$23,MAX(1,ROUNDUP(EB646/'🎚️ Escenario'!$C$11,0)))))</f>
        <v>0.75</v>
      </c>
      <c r="EC647" s="236" t="n">
        <f aca="false" t="array" ref="EC647:EC647">IF(EC646=0,0,IF(EC646/'🎚️ Escenario'!$C$11&gt;=36,$AL$23,INDEX($C$23:$AL$23,MAX(1,ROUNDUP(EC646/'🎚️ Escenario'!$C$11,0)))))</f>
        <v>0.77</v>
      </c>
      <c r="ED647" s="236" t="n">
        <f aca="false" t="array" ref="ED647:ED647">IF(ED646=0,0,IF(ED646/'🎚️ Escenario'!$C$11&gt;=36,$AL$23,INDEX($C$23:$AL$23,MAX(1,ROUNDUP(ED646/'🎚️ Escenario'!$C$11,0)))))</f>
        <v>0.79</v>
      </c>
      <c r="EE647" s="236" t="n">
        <f aca="false" t="array" ref="EE647:EE647">IF(EE646=0,0,IF(EE646/'🎚️ Escenario'!$C$11&gt;=36,$AL$23,INDEX($C$23:$AL$23,MAX(1,ROUNDUP(EE646/'🎚️ Escenario'!$C$11,0)))))</f>
        <v>0.79</v>
      </c>
      <c r="EF647" s="236" t="n">
        <f aca="false" t="array" ref="EF647:EF647">IF(EF646=0,0,IF(EF646/'🎚️ Escenario'!$C$11&gt;=36,$AL$23,INDEX($C$23:$AL$23,MAX(1,ROUNDUP(EF646/'🎚️ Escenario'!$C$11,0)))))</f>
        <v>0.8</v>
      </c>
      <c r="EG647" s="236" t="n">
        <f aca="false" t="array" ref="EG647:EG647">IF(EG646=0,0,IF(EG646/'🎚️ Escenario'!$C$11&gt;=36,$AL$23,INDEX($C$23:$AL$23,MAX(1,ROUNDUP(EG646/'🎚️ Escenario'!$C$11,0)))))</f>
        <v>0.82</v>
      </c>
      <c r="EH647" s="236" t="n">
        <f aca="false" t="array" ref="EH647:EH647">IF(EH646=0,0,IF(EH646/'🎚️ Escenario'!$C$11&gt;=36,$AL$23,INDEX($C$23:$AL$23,MAX(1,ROUNDUP(EH646/'🎚️ Escenario'!$C$11,0)))))</f>
        <v>0.84</v>
      </c>
      <c r="EI647" s="236" t="n">
        <f aca="false" t="array" ref="EI647:EI647">IF(EI646=0,0,IF(EI646/'🎚️ Escenario'!$C$11&gt;=36,$AL$23,INDEX($C$23:$AL$23,MAX(1,ROUNDUP(EI646/'🎚️ Escenario'!$C$11,0)))))</f>
        <v>0.85</v>
      </c>
      <c r="EJ647" s="236" t="n">
        <f aca="false" t="array" ref="EJ647:EJ647">IF(EJ646=0,0,IF(EJ646/'🎚️ Escenario'!$C$11&gt;=36,$AL$23,INDEX($C$23:$AL$23,MAX(1,ROUNDUP(EJ646/'🎚️ Escenario'!$C$11,0)))))</f>
        <v>0.85</v>
      </c>
      <c r="EK647" s="236" t="n">
        <f aca="false" t="array" ref="EK647:EK647">IF(EK646=0,0,IF(EK646/'🎚️ Escenario'!$C$11&gt;=36,$AL$23,INDEX($C$23:$AL$23,MAX(1,ROUNDUP(EK646/'🎚️ Escenario'!$C$11,0)))))</f>
        <v>0.86</v>
      </c>
      <c r="EL647" s="236" t="n">
        <f aca="false" t="array" ref="EL647:EL647">IF(EL646=0,0,IF(EL646/'🎚️ Escenario'!$C$11&gt;=36,$AL$23,INDEX($C$23:$AL$23,MAX(1,ROUNDUP(EL646/'🎚️ Escenario'!$C$11,0)))))</f>
        <v>0.88</v>
      </c>
      <c r="EM647" s="236" t="n">
        <f aca="false" t="array" ref="EM647:EM647">IF(EM646=0,0,IF(EM646/'🎚️ Escenario'!$C$11&gt;=36,$AL$23,INDEX($C$23:$AL$23,MAX(1,ROUNDUP(EM646/'🎚️ Escenario'!$C$11,0)))))</f>
        <v>0.89</v>
      </c>
      <c r="EN647" s="236" t="n">
        <f aca="false" t="array" ref="EN647:EN647">IF(EN646=0,0,IF(EN646/'🎚️ Escenario'!$C$11&gt;=36,$AL$23,INDEX($C$23:$AL$23,MAX(1,ROUNDUP(EN646/'🎚️ Escenario'!$C$11,0)))))</f>
        <v>0.9</v>
      </c>
      <c r="EO647" s="236" t="n">
        <f aca="false" t="array" ref="EO647:EO647">IF(EO646=0,0,IF(EO646/'🎚️ Escenario'!$C$11&gt;=36,$AL$23,INDEX($C$23:$AL$23,MAX(1,ROUNDUP(EO646/'🎚️ Escenario'!$C$11,0)))))</f>
        <v>0.9</v>
      </c>
      <c r="EP647" s="236" t="n">
        <f aca="false" t="array" ref="EP647:EP647">IF(EP646=0,0,IF(EP646/'🎚️ Escenario'!$C$11&gt;=36,$AL$23,INDEX($C$23:$AL$23,MAX(1,ROUNDUP(EP646/'🎚️ Escenario'!$C$11,0)))))</f>
        <v>0.92</v>
      </c>
      <c r="EQ647" s="236" t="n">
        <f aca="false" t="array" ref="EQ647:EQ647">IF(EQ646=0,0,IF(EQ646/'🎚️ Escenario'!$C$11&gt;=36,$AL$23,INDEX($C$23:$AL$23,MAX(1,ROUNDUP(EQ646/'🎚️ Escenario'!$C$11,0)))))</f>
        <v>0.93</v>
      </c>
      <c r="ER647" s="236" t="n">
        <f aca="false" t="array" ref="ER647:ER647">IF(ER646=0,0,IF(ER646/'🎚️ Escenario'!$C$11&gt;=36,$AL$23,INDEX($C$23:$AL$23,MAX(1,ROUNDUP(ER646/'🎚️ Escenario'!$C$11,0)))))</f>
        <v>0.94</v>
      </c>
      <c r="ES647" s="9" t="n">
        <f aca="false" t="array" ref="ES647:ES647">IF(ES646=0,0,IF(ES646/'🎚️ Escenario'!$C$11&gt;=36,$AL$23,INDEX($C$23:$AL$23,MAX(1,ROUNDUP(ES646/'🎚️ Escenario'!$C$11,0)))))</f>
        <v>0.95</v>
      </c>
      <c r="ET647" s="9" t="n">
        <f aca="false" t="array" ref="ET647:ET647">IF(ET646=0,0,IF(ET646/'🎚️ Escenario'!$C$11&gt;=36,$AL$23,INDEX($C$23:$AL$23,MAX(1,ROUNDUP(ET646/'🎚️ Escenario'!$C$11,0)))))</f>
        <v>0.95</v>
      </c>
      <c r="EU647" s="9" t="n">
        <f aca="false" t="array" ref="EU647:EU647">IF(EU646=0,0,IF(EU646/'🎚️ Escenario'!$C$11&gt;=36,$AL$23,INDEX($C$23:$AL$23,MAX(1,ROUNDUP(EU646/'🎚️ Escenario'!$C$11,0)))))</f>
        <v>0.97</v>
      </c>
      <c r="EV647" s="9" t="n">
        <f aca="false" t="array" ref="EV647:EV647">IF(EV646=0,0,IF(EV646/'🎚️ Escenario'!$C$11&gt;=36,$AL$23,INDEX($C$23:$AL$23,MAX(1,ROUNDUP(EV646/'🎚️ Escenario'!$C$11,0)))))</f>
        <v>0.98</v>
      </c>
      <c r="EW647" s="9" t="n">
        <f aca="false" t="array" ref="EW647:EW647">IF(EW646=0,0,IF(EW646/'🎚️ Escenario'!$C$11&gt;=36,$AL$23,INDEX($C$23:$AL$23,MAX(1,ROUNDUP(EW646/'🎚️ Escenario'!$C$11,0)))))</f>
        <v>0.99</v>
      </c>
      <c r="EX647" s="9" t="n">
        <f aca="false" t="array" ref="EX647:EX647">IF(EX646=0,0,IF(EX646/'🎚️ Escenario'!$C$11&gt;=36,$AL$23,INDEX($C$23:$AL$23,MAX(1,ROUNDUP(EX646/'🎚️ Escenario'!$C$11,0)))))</f>
        <v>1</v>
      </c>
      <c r="EY647" s="9" t="n">
        <f aca="false" t="array" ref="EY647:EY647">IF(EY646=0,0,IF(EY646/'🎚️ Escenario'!$C$11&gt;=36,$AL$23,INDEX($C$23:$AL$23,MAX(1,ROUNDUP(EY646/'🎚️ Escenario'!$C$11,0)))))</f>
        <v>1</v>
      </c>
      <c r="EZ647" s="9" t="n">
        <f aca="false" t="array" ref="EZ647:EZ647">IF(EZ646=0,0,IF(EZ646/'🎚️ Escenario'!$C$11&gt;=36,$AL$23,INDEX($C$23:$AL$23,MAX(1,ROUNDUP(EZ646/'🎚️ Escenario'!$C$11,0)))))</f>
        <v>1</v>
      </c>
      <c r="FA647" s="9" t="n">
        <f aca="false" t="array" ref="FA647:FA647">IF(FA646=0,0,IF(FA646/'🎚️ Escenario'!$C$11&gt;=36,$AL$23,INDEX($C$23:$AL$23,MAX(1,ROUNDUP(FA646/'🎚️ Escenario'!$C$11,0)))))</f>
        <v>1</v>
      </c>
      <c r="FB647" s="9" t="n">
        <f aca="false" t="array" ref="FB647:FB647">IF(FB646=0,0,IF(FB646/'🎚️ Escenario'!$C$11&gt;=36,$AL$23,INDEX($C$23:$AL$23,MAX(1,ROUNDUP(FB646/'🎚️ Escenario'!$C$11,0)))))</f>
        <v>1</v>
      </c>
      <c r="FC647" s="9" t="n">
        <f aca="false" t="array" ref="FC647:FC647">IF(FC646=0,0,IF(FC646/'🎚️ Escenario'!$C$11&gt;=36,$AL$23,INDEX($C$23:$AL$23,MAX(1,ROUNDUP(FC646/'🎚️ Escenario'!$C$11,0)))))</f>
        <v>1</v>
      </c>
      <c r="FD647" s="9" t="n">
        <f aca="false" t="array" ref="FD647:FD647">IF(FD646=0,0,IF(FD646/'🎚️ Escenario'!$C$11&gt;=36,$AL$23,INDEX($C$23:$AL$23,MAX(1,ROUNDUP(FD646/'🎚️ Escenario'!$C$11,0)))))</f>
        <v>1</v>
      </c>
      <c r="FE647" s="9" t="n">
        <f aca="false" t="array" ref="FE647:FE647">IF(FE646=0,0,IF(FE646/'🎚️ Escenario'!$C$11&gt;=36,$AL$23,INDEX($C$23:$AL$23,MAX(1,ROUNDUP(FE646/'🎚️ Escenario'!$C$11,0)))))</f>
        <v>1</v>
      </c>
      <c r="FF647" s="9" t="n">
        <f aca="false" t="array" ref="FF647:FF647">IF(FF646=0,0,IF(FF646/'🎚️ Escenario'!$C$11&gt;=36,$AL$23,INDEX($C$23:$AL$23,MAX(1,ROUNDUP(FF646/'🎚️ Escenario'!$C$11,0)))))</f>
        <v>1</v>
      </c>
      <c r="FG647" s="9" t="n">
        <f aca="false" t="array" ref="FG647:FG647">IF(FG646=0,0,IF(FG646/'🎚️ Escenario'!$C$11&gt;=36,$AL$23,INDEX($C$23:$AL$23,MAX(1,ROUNDUP(FG646/'🎚️ Escenario'!$C$11,0)))))</f>
        <v>1</v>
      </c>
      <c r="FH647" s="9" t="n">
        <f aca="false" t="array" ref="FH647:FH647">IF(FH646=0,0,IF(FH646/'🎚️ Escenario'!$C$11&gt;=36,$AL$23,INDEX($C$23:$AL$23,MAX(1,ROUNDUP(FH646/'🎚️ Escenario'!$C$11,0)))))</f>
        <v>1</v>
      </c>
      <c r="FI647" s="9" t="n">
        <f aca="false" t="array" ref="FI647:FI647">IF(FI646=0,0,IF(FI646/'🎚️ Escenario'!$C$11&gt;=36,$AL$23,INDEX($C$23:$AL$23,MAX(1,ROUNDUP(FI646/'🎚️ Escenario'!$C$11,0)))))</f>
        <v>1</v>
      </c>
      <c r="FJ647" s="9" t="n">
        <f aca="false" t="array" ref="FJ647:FJ647">IF(FJ646=0,0,IF(FJ646/'🎚️ Escenario'!$C$11&gt;=36,$AL$23,INDEX($C$23:$AL$23,MAX(1,ROUNDUP(FJ646/'🎚️ Escenario'!$C$11,0)))))</f>
        <v>1</v>
      </c>
      <c r="FK647" s="9" t="n">
        <f aca="false" t="array" ref="FK647:FK647">IF(FK646=0,0,IF(FK646/'🎚️ Escenario'!$C$11&gt;=36,$AL$23,INDEX($C$23:$AL$23,MAX(1,ROUNDUP(FK646/'🎚️ Escenario'!$C$11,0)))))</f>
        <v>1</v>
      </c>
      <c r="FL647" s="9" t="n">
        <f aca="false" t="array" ref="FL647:FL647">IF(FL646=0,0,IF(FL646/'🎚️ Escenario'!$C$11&gt;=36,$AL$23,INDEX($C$23:$AL$23,MAX(1,ROUNDUP(FL646/'🎚️ Escenario'!$C$11,0)))))</f>
        <v>1</v>
      </c>
      <c r="FM647" s="9" t="n">
        <f aca="false" t="array" ref="FM647:FM647">IF(FM646=0,0,IF(FM646/'🎚️ Escenario'!$C$11&gt;=36,$AL$23,INDEX($C$23:$AL$23,MAX(1,ROUNDUP(FM646/'🎚️ Escenario'!$C$11,0)))))</f>
        <v>1</v>
      </c>
      <c r="FN647" s="9" t="n">
        <f aca="false" t="array" ref="FN647:FN647">IF(FN646=0,0,IF(FN646/'🎚️ Escenario'!$C$11&gt;=36,$AL$23,INDEX($C$23:$AL$23,MAX(1,ROUNDUP(FN646/'🎚️ Escenario'!$C$11,0)))))</f>
        <v>1</v>
      </c>
      <c r="FO647" s="9" t="n">
        <f aca="false" t="array" ref="FO647:FO647">IF(FO646=0,0,IF(FO646/'🎚️ Escenario'!$C$11&gt;=36,$AL$23,INDEX($C$23:$AL$23,MAX(1,ROUNDUP(FO646/'🎚️ Escenario'!$C$11,0)))))</f>
        <v>1</v>
      </c>
      <c r="FP647" s="9" t="n">
        <f aca="false" t="array" ref="FP647:FP647">IF(FP646=0,0,IF(FP646/'🎚️ Escenario'!$C$11&gt;=36,$AL$23,INDEX($C$23:$AL$23,MAX(1,ROUNDUP(FP646/'🎚️ Escenario'!$C$11,0)))))</f>
        <v>1</v>
      </c>
    </row>
    <row r="648" customFormat="false" ht="15" hidden="false" customHeight="false" outlineLevel="2" collapsed="false">
      <c r="B648" s="9" t="s">
        <v>875</v>
      </c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237" t="n">
        <f aca="false">IF(AC646=0,0,IF(AC646&lt;=12*'🎚️ Escenario'!$C$11,1,1+$C$6))</f>
        <v>0</v>
      </c>
      <c r="AD648" s="237" t="n">
        <f aca="false">IF(AD646=0,0,IF(AD646&lt;=12*'🎚️ Escenario'!$C$11,1,1+$C$6))</f>
        <v>0</v>
      </c>
      <c r="AE648" s="237" t="n">
        <f aca="false">IF(AE646=0,0,IF(AE646&lt;=12*'🎚️ Escenario'!$C$11,1,1+$C$6))</f>
        <v>0</v>
      </c>
      <c r="AF648" s="237" t="n">
        <f aca="false">IF(AF646=0,0,IF(AF646&lt;=12*'🎚️ Escenario'!$C$11,1,1+$C$6))</f>
        <v>0</v>
      </c>
      <c r="AG648" s="237" t="n">
        <f aca="false">IF(AG646=0,0,IF(AG646&lt;=12*'🎚️ Escenario'!$C$11,1,1+$C$6))</f>
        <v>0</v>
      </c>
      <c r="AH648" s="237" t="n">
        <f aca="false">IF(AH646=0,0,IF(AH646&lt;=12*'🎚️ Escenario'!$C$11,1,1+$C$6))</f>
        <v>0</v>
      </c>
      <c r="AI648" s="237" t="n">
        <f aca="false">IF(AI646=0,0,IF(AI646&lt;=12*'🎚️ Escenario'!$C$11,1,1+$C$6))</f>
        <v>0</v>
      </c>
      <c r="AJ648" s="237" t="n">
        <f aca="false">IF(AJ646=0,0,IF(AJ646&lt;=12*'🎚️ Escenario'!$C$11,1,1+$C$6))</f>
        <v>0</v>
      </c>
      <c r="AK648" s="237" t="n">
        <f aca="false">IF(AK646=0,0,IF(AK646&lt;=12*'🎚️ Escenario'!$C$11,1,1+$C$6))</f>
        <v>0</v>
      </c>
      <c r="AL648" s="237" t="n">
        <f aca="false">IF(AL646=0,0,IF(AL646&lt;=12*'🎚️ Escenario'!$C$11,1,1+$C$6))</f>
        <v>0</v>
      </c>
      <c r="AM648" s="237" t="n">
        <f aca="false">IF(AM646=0,0,IF(AM646&lt;=12*'🎚️ Escenario'!$C$11,1,1+$C$6))</f>
        <v>0</v>
      </c>
      <c r="AN648" s="237" t="n">
        <f aca="false">IF(AN646=0,0,IF(AN646&lt;=12*'🎚️ Escenario'!$C$11,1,1+$C$6))</f>
        <v>0</v>
      </c>
      <c r="AO648" s="237" t="n">
        <f aca="false">IF(AO646=0,0,IF(AO646&lt;=12*'🎚️ Escenario'!$C$11,1,1+$C$6))</f>
        <v>0</v>
      </c>
      <c r="AP648" s="237" t="n">
        <f aca="false">IF(AP646=0,0,IF(AP646&lt;=12*'🎚️ Escenario'!$C$11,1,1+$C$6))</f>
        <v>0</v>
      </c>
      <c r="AQ648" s="237" t="n">
        <f aca="false">IF(AQ646=0,0,IF(AQ646&lt;=12*'🎚️ Escenario'!$C$11,1,1+$C$6))</f>
        <v>0</v>
      </c>
      <c r="AR648" s="237" t="n">
        <f aca="false">IF(AR646=0,0,IF(AR646&lt;=12*'🎚️ Escenario'!$C$11,1,1+$C$6))</f>
        <v>0</v>
      </c>
      <c r="AS648" s="237" t="n">
        <f aca="false">IF(AS646=0,0,IF(AS646&lt;=12*'🎚️ Escenario'!$C$11,1,1+$C$6))</f>
        <v>0</v>
      </c>
      <c r="AT648" s="237" t="n">
        <f aca="false">IF(AT646=0,0,IF(AT646&lt;=12*'🎚️ Escenario'!$C$11,1,1+$C$6))</f>
        <v>0</v>
      </c>
      <c r="AU648" s="237" t="n">
        <f aca="false">IF(AU646=0,0,IF(AU646&lt;=12*'🎚️ Escenario'!$C$11,1,1+$C$6))</f>
        <v>0</v>
      </c>
      <c r="AV648" s="237" t="n">
        <f aca="false">IF(AV646=0,0,IF(AV646&lt;=12*'🎚️ Escenario'!$C$11,1,1+$C$6))</f>
        <v>0</v>
      </c>
      <c r="AW648" s="237" t="n">
        <f aca="false">IF(AW646=0,0,IF(AW646&lt;=12*'🎚️ Escenario'!$C$11,1,1+$C$6))</f>
        <v>0</v>
      </c>
      <c r="AX648" s="237" t="n">
        <f aca="false">IF(AX646=0,0,IF(AX646&lt;=12*'🎚️ Escenario'!$C$11,1,1+$C$6))</f>
        <v>0</v>
      </c>
      <c r="AY648" s="237" t="n">
        <f aca="false">IF(AY646=0,0,IF(AY646&lt;=12*'🎚️ Escenario'!$C$11,1,1+$C$6))</f>
        <v>0</v>
      </c>
      <c r="AZ648" s="237" t="n">
        <f aca="false">IF(AZ646=0,0,IF(AZ646&lt;=12*'🎚️ Escenario'!$C$11,1,1+$C$6))</f>
        <v>0</v>
      </c>
      <c r="BA648" s="237" t="n">
        <f aca="false">IF(BA646=0,0,IF(BA646&lt;=12*'🎚️ Escenario'!$C$11,1,1+$C$6))</f>
        <v>0</v>
      </c>
      <c r="BB648" s="237" t="n">
        <f aca="false">IF(BB646=0,0,IF(BB646&lt;=12*'🎚️ Escenario'!$C$11,1,1+$C$6))</f>
        <v>0</v>
      </c>
      <c r="BC648" s="237" t="n">
        <f aca="false">IF(BC646=0,0,IF(BC646&lt;=12*'🎚️ Escenario'!$C$11,1,1+$C$6))</f>
        <v>0</v>
      </c>
      <c r="BD648" s="237" t="n">
        <f aca="false">IF(BD646=0,0,IF(BD646&lt;=12*'🎚️ Escenario'!$C$11,1,1+$C$6))</f>
        <v>0</v>
      </c>
      <c r="BE648" s="237" t="n">
        <f aca="false">IF(BE646=0,0,IF(BE646&lt;=12*'🎚️ Escenario'!$C$11,1,1+$C$6))</f>
        <v>0</v>
      </c>
      <c r="BF648" s="237" t="n">
        <f aca="false">IF(BF646=0,0,IF(BF646&lt;=12*'🎚️ Escenario'!$C$11,1,1+$C$6))</f>
        <v>0</v>
      </c>
      <c r="BG648" s="237" t="n">
        <f aca="false">IF(BG646=0,0,IF(BG646&lt;=12*'🎚️ Escenario'!$C$11,1,1+$C$6))</f>
        <v>0</v>
      </c>
      <c r="BH648" s="237" t="n">
        <f aca="false">IF(BH646=0,0,IF(BH646&lt;=12*'🎚️ Escenario'!$C$11,1,1+$C$6))</f>
        <v>0</v>
      </c>
      <c r="BI648" s="237" t="n">
        <f aca="false">IF(BI646=0,0,IF(BI646&lt;=12*'🎚️ Escenario'!$C$11,1,1+$C$6))</f>
        <v>0</v>
      </c>
      <c r="BJ648" s="237" t="n">
        <f aca="false">IF(BJ646=0,0,IF(BJ646&lt;=12*'🎚️ Escenario'!$C$11,1,1+$C$6))</f>
        <v>0</v>
      </c>
      <c r="BK648" s="237" t="n">
        <f aca="false">IF(BK646=0,0,IF(BK646&lt;=12*'🎚️ Escenario'!$C$11,1,1+$C$6))</f>
        <v>0</v>
      </c>
      <c r="BL648" s="237" t="n">
        <f aca="false">IF(BL646=0,0,IF(BL646&lt;=12*'🎚️ Escenario'!$C$11,1,1+$C$6))</f>
        <v>0</v>
      </c>
      <c r="BM648" s="237" t="n">
        <f aca="false">IF(BM646=0,0,IF(BM646&lt;=12*'🎚️ Escenario'!$C$11,1,1+$C$6))</f>
        <v>0</v>
      </c>
      <c r="BN648" s="237" t="n">
        <f aca="false">IF(BN646=0,0,IF(BN646&lt;=12*'🎚️ Escenario'!$C$11,1,1+$C$6))</f>
        <v>0</v>
      </c>
      <c r="BO648" s="237" t="n">
        <f aca="false">IF(BO646=0,0,IF(BO646&lt;=12*'🎚️ Escenario'!$C$11,1,1+$C$6))</f>
        <v>0</v>
      </c>
      <c r="BP648" s="237" t="n">
        <f aca="false">IF(BP646=0,0,IF(BP646&lt;=12*'🎚️ Escenario'!$C$11,1,1+$C$6))</f>
        <v>0</v>
      </c>
      <c r="BQ648" s="237" t="n">
        <f aca="false">IF(BQ646=0,0,IF(BQ646&lt;=12*'🎚️ Escenario'!$C$11,1,1+$C$6))</f>
        <v>0</v>
      </c>
      <c r="BR648" s="237" t="n">
        <f aca="false">IF(BR646=0,0,IF(BR646&lt;=12*'🎚️ Escenario'!$C$11,1,1+$C$6))</f>
        <v>0</v>
      </c>
      <c r="BS648" s="237" t="n">
        <f aca="false">IF(BS646=0,0,IF(BS646&lt;=12*'🎚️ Escenario'!$C$11,1,1+$C$6))</f>
        <v>0</v>
      </c>
      <c r="BT648" s="237" t="n">
        <f aca="false">IF(BT646=0,0,IF(BT646&lt;=12*'🎚️ Escenario'!$C$11,1,1+$C$6))</f>
        <v>0</v>
      </c>
      <c r="BU648" s="237" t="n">
        <f aca="false">IF(BU646=0,0,IF(BU646&lt;=12*'🎚️ Escenario'!$C$11,1,1+$C$6))</f>
        <v>0</v>
      </c>
      <c r="BV648" s="237" t="n">
        <f aca="false">IF(BV646=0,0,IF(BV646&lt;=12*'🎚️ Escenario'!$C$11,1,1+$C$6))</f>
        <v>0</v>
      </c>
      <c r="BW648" s="237" t="n">
        <f aca="false">IF(BW646=0,0,IF(BW646&lt;=12*'🎚️ Escenario'!$C$11,1,1+$C$6))</f>
        <v>0</v>
      </c>
      <c r="BX648" s="237" t="n">
        <f aca="false">IF(BX646=0,0,IF(BX646&lt;=12*'🎚️ Escenario'!$C$11,1,1+$C$6))</f>
        <v>0</v>
      </c>
      <c r="BY648" s="237" t="n">
        <f aca="false">IF(BY646=0,0,IF(BY646&lt;=12*'🎚️ Escenario'!$C$11,1,1+$C$6))</f>
        <v>0</v>
      </c>
      <c r="BZ648" s="237" t="n">
        <f aca="false">IF(BZ646=0,0,IF(BZ646&lt;=12*'🎚️ Escenario'!$C$11,1,1+$C$6))</f>
        <v>0</v>
      </c>
      <c r="CA648" s="237" t="n">
        <f aca="false">IF(CA646=0,0,IF(CA646&lt;=12*'🎚️ Escenario'!$C$11,1,1+$C$6))</f>
        <v>0</v>
      </c>
      <c r="CB648" s="237" t="n">
        <f aca="false">IF(CB646=0,0,IF(CB646&lt;=12*'🎚️ Escenario'!$C$11,1,1+$C$6))</f>
        <v>0</v>
      </c>
      <c r="CC648" s="237" t="n">
        <f aca="false">IF(CC646=0,0,IF(CC646&lt;=12*'🎚️ Escenario'!$C$11,1,1+$C$6))</f>
        <v>0</v>
      </c>
      <c r="CD648" s="237" t="n">
        <f aca="false">IF(CD646=0,0,IF(CD646&lt;=12*'🎚️ Escenario'!$C$11,1,1+$C$6))</f>
        <v>0</v>
      </c>
      <c r="CE648" s="237" t="n">
        <f aca="false">IF(CE646=0,0,IF(CE646&lt;=12*'🎚️ Escenario'!$C$11,1,1+$C$6))</f>
        <v>0</v>
      </c>
      <c r="CF648" s="237" t="n">
        <f aca="false">IF(CF646=0,0,IF(CF646&lt;=12*'🎚️ Escenario'!$C$11,1,1+$C$6))</f>
        <v>0</v>
      </c>
      <c r="CG648" s="237" t="n">
        <f aca="false">IF(CG646=0,0,IF(CG646&lt;=12*'🎚️ Escenario'!$C$11,1,1+$C$6))</f>
        <v>0</v>
      </c>
      <c r="CH648" s="237" t="n">
        <f aca="false">IF(CH646=0,0,IF(CH646&lt;=12*'🎚️ Escenario'!$C$11,1,1+$C$6))</f>
        <v>0</v>
      </c>
      <c r="CI648" s="237" t="n">
        <f aca="false">IF(CI646=0,0,IF(CI646&lt;=12*'🎚️ Escenario'!$C$11,1,1+$C$6))</f>
        <v>0</v>
      </c>
      <c r="CJ648" s="237" t="n">
        <f aca="false">IF(CJ646=0,0,IF(CJ646&lt;=12*'🎚️ Escenario'!$C$11,1,1+$C$6))</f>
        <v>0</v>
      </c>
      <c r="CK648" s="237" t="n">
        <f aca="false">IF(CK646=0,0,IF(CK646&lt;=12*'🎚️ Escenario'!$C$11,1,1+$C$6))</f>
        <v>0</v>
      </c>
      <c r="CL648" s="237" t="n">
        <f aca="false">IF(CL646=0,0,IF(CL646&lt;=12*'🎚️ Escenario'!$C$11,1,1+$C$6))</f>
        <v>0</v>
      </c>
      <c r="CM648" s="237" t="n">
        <f aca="false">IF(CM646=0,0,IF(CM646&lt;=12*'🎚️ Escenario'!$C$11,1,1+$C$6))</f>
        <v>0</v>
      </c>
      <c r="CN648" s="237" t="n">
        <f aca="false">IF(CN646=0,0,IF(CN646&lt;=12*'🎚️ Escenario'!$C$11,1,1+$C$6))</f>
        <v>0</v>
      </c>
      <c r="CO648" s="237" t="n">
        <f aca="false">IF(CO646=0,0,IF(CO646&lt;=12*'🎚️ Escenario'!$C$11,1,1+$C$6))</f>
        <v>0</v>
      </c>
      <c r="CP648" s="237" t="n">
        <f aca="false">IF(CP646=0,0,IF(CP646&lt;=12*'🎚️ Escenario'!$C$11,1,1+$C$6))</f>
        <v>0</v>
      </c>
      <c r="CQ648" s="237" t="n">
        <f aca="false">IF(CQ646=0,0,IF(CQ646&lt;=12*'🎚️ Escenario'!$C$11,1,1+$C$6))</f>
        <v>0</v>
      </c>
      <c r="CR648" s="237" t="n">
        <f aca="false">IF(CR646=0,0,IF(CR646&lt;=12*'🎚️ Escenario'!$C$11,1,1+$C$6))</f>
        <v>0</v>
      </c>
      <c r="CS648" s="237" t="n">
        <f aca="false">IF(CS646=0,0,IF(CS646&lt;=12*'🎚️ Escenario'!$C$11,1,1+$C$6))</f>
        <v>0</v>
      </c>
      <c r="CT648" s="237" t="n">
        <f aca="false">IF(CT646=0,0,IF(CT646&lt;=12*'🎚️ Escenario'!$C$11,1,1+$C$6))</f>
        <v>0</v>
      </c>
      <c r="CU648" s="237" t="n">
        <f aca="false">IF(CU646=0,0,IF(CU646&lt;=12*'🎚️ Escenario'!$C$11,1,1+$C$6))</f>
        <v>0</v>
      </c>
      <c r="CV648" s="237" t="n">
        <f aca="false">IF(CV646=0,0,IF(CV646&lt;=12*'🎚️ Escenario'!$C$11,1,1+$C$6))</f>
        <v>0</v>
      </c>
      <c r="CW648" s="237" t="n">
        <f aca="false">IF(CW646=0,0,IF(CW646&lt;=12*'🎚️ Escenario'!$C$11,1,1+$C$6))</f>
        <v>0</v>
      </c>
      <c r="CX648" s="237" t="n">
        <f aca="false">IF(CX646=0,0,IF(CX646&lt;=12*'🎚️ Escenario'!$C$11,1,1+$C$6))</f>
        <v>0</v>
      </c>
      <c r="CY648" s="237" t="n">
        <f aca="false">IF(CY646=0,0,IF(CY646&lt;=12*'🎚️ Escenario'!$C$11,1,1+$C$6))</f>
        <v>0</v>
      </c>
      <c r="CZ648" s="237" t="n">
        <f aca="false">IF(CZ646=0,0,IF(CZ646&lt;=12*'🎚️ Escenario'!$C$11,1,1+$C$6))</f>
        <v>0</v>
      </c>
      <c r="DA648" s="237" t="n">
        <f aca="false">IF(DA646=0,0,IF(DA646&lt;=12*'🎚️ Escenario'!$C$11,1,1+$C$6))</f>
        <v>0</v>
      </c>
      <c r="DB648" s="237" t="n">
        <f aca="false">IF(DB646=0,0,IF(DB646&lt;=12*'🎚️ Escenario'!$C$11,1,1+$C$6))</f>
        <v>0</v>
      </c>
      <c r="DC648" s="237" t="n">
        <f aca="false">IF(DC646=0,0,IF(DC646&lt;=12*'🎚️ Escenario'!$C$11,1,1+$C$6))</f>
        <v>0</v>
      </c>
      <c r="DD648" s="237" t="n">
        <f aca="false">IF(DD646=0,0,IF(DD646&lt;=12*'🎚️ Escenario'!$C$11,1,1+$C$6))</f>
        <v>0</v>
      </c>
      <c r="DE648" s="237" t="n">
        <f aca="false">IF(DE646=0,0,IF(DE646&lt;=12*'🎚️ Escenario'!$C$11,1,1+$C$6))</f>
        <v>0</v>
      </c>
      <c r="DF648" s="237" t="n">
        <f aca="false">IF(DF646=0,0,IF(DF646&lt;=12*'🎚️ Escenario'!$C$11,1,1+$C$6))</f>
        <v>0</v>
      </c>
      <c r="DG648" s="237" t="n">
        <f aca="false">IF(DG646=0,0,IF(DG646&lt;=12*'🎚️ Escenario'!$C$11,1,1+$C$6))</f>
        <v>1</v>
      </c>
      <c r="DH648" s="237" t="n">
        <f aca="false">IF(DH646=0,0,IF(DH646&lt;=12*'🎚️ Escenario'!$C$11,1,1+$C$6))</f>
        <v>1</v>
      </c>
      <c r="DI648" s="237" t="n">
        <f aca="false">IF(DI646=0,0,IF(DI646&lt;=12*'🎚️ Escenario'!$C$11,1,1+$C$6))</f>
        <v>1</v>
      </c>
      <c r="DJ648" s="237" t="n">
        <f aca="false">IF(DJ646=0,0,IF(DJ646&lt;=12*'🎚️ Escenario'!$C$11,1,1+$C$6))</f>
        <v>1</v>
      </c>
      <c r="DK648" s="237" t="n">
        <f aca="false">IF(DK646=0,0,IF(DK646&lt;=12*'🎚️ Escenario'!$C$11,1,1+$C$6))</f>
        <v>1</v>
      </c>
      <c r="DL648" s="237" t="n">
        <f aca="false">IF(DL646=0,0,IF(DL646&lt;=12*'🎚️ Escenario'!$C$11,1,1+$C$6))</f>
        <v>1</v>
      </c>
      <c r="DM648" s="237" t="n">
        <f aca="false">IF(DM646=0,0,IF(DM646&lt;=12*'🎚️ Escenario'!$C$11,1,1+$C$6))</f>
        <v>1</v>
      </c>
      <c r="DN648" s="237" t="n">
        <f aca="false">IF(DN646=0,0,IF(DN646&lt;=12*'🎚️ Escenario'!$C$11,1,1+$C$6))</f>
        <v>1</v>
      </c>
      <c r="DO648" s="237" t="n">
        <f aca="false">IF(DO646=0,0,IF(DO646&lt;=12*'🎚️ Escenario'!$C$11,1,1+$C$6))</f>
        <v>1</v>
      </c>
      <c r="DP648" s="237" t="n">
        <f aca="false">IF(DP646=0,0,IF(DP646&lt;=12*'🎚️ Escenario'!$C$11,1,1+$C$6))</f>
        <v>1</v>
      </c>
      <c r="DQ648" s="237" t="n">
        <f aca="false">IF(DQ646=0,0,IF(DQ646&lt;=12*'🎚️ Escenario'!$C$11,1,1+$C$6))</f>
        <v>1</v>
      </c>
      <c r="DR648" s="237" t="n">
        <f aca="false">IF(DR646=0,0,IF(DR646&lt;=12*'🎚️ Escenario'!$C$11,1,1+$C$6))</f>
        <v>1</v>
      </c>
      <c r="DS648" s="237" t="n">
        <f aca="false">IF(DS646=0,0,IF(DS646&lt;=12*'🎚️ Escenario'!$C$11,1,1+$C$6))</f>
        <v>1</v>
      </c>
      <c r="DT648" s="237" t="n">
        <f aca="false">IF(DT646=0,0,IF(DT646&lt;=12*'🎚️ Escenario'!$C$11,1,1+$C$6))</f>
        <v>1</v>
      </c>
      <c r="DU648" s="237" t="n">
        <f aca="false">IF(DU646=0,0,IF(DU646&lt;=12*'🎚️ Escenario'!$C$11,1,1+$C$6))</f>
        <v>1</v>
      </c>
      <c r="DV648" s="237" t="n">
        <f aca="false">IF(DV646=0,0,IF(DV646&lt;=12*'🎚️ Escenario'!$C$11,1,1+$C$6))</f>
        <v>1.2</v>
      </c>
      <c r="DW648" s="237" t="n">
        <f aca="false">IF(DW646=0,0,IF(DW646&lt;=12*'🎚️ Escenario'!$C$11,1,1+$C$6))</f>
        <v>1.2</v>
      </c>
      <c r="DX648" s="237" t="n">
        <f aca="false">IF(DX646=0,0,IF(DX646&lt;=12*'🎚️ Escenario'!$C$11,1,1+$C$6))</f>
        <v>1.2</v>
      </c>
      <c r="DY648" s="237" t="n">
        <f aca="false">IF(DY646=0,0,IF(DY646&lt;=12*'🎚️ Escenario'!$C$11,1,1+$C$6))</f>
        <v>1.2</v>
      </c>
      <c r="DZ648" s="237" t="n">
        <f aca="false">IF(DZ646=0,0,IF(DZ646&lt;=12*'🎚️ Escenario'!$C$11,1,1+$C$6))</f>
        <v>1.2</v>
      </c>
      <c r="EA648" s="237" t="n">
        <f aca="false">IF(EA646=0,0,IF(EA646&lt;=12*'🎚️ Escenario'!$C$11,1,1+$C$6))</f>
        <v>1.2</v>
      </c>
      <c r="EB648" s="237" t="n">
        <f aca="false">IF(EB646=0,0,IF(EB646&lt;=12*'🎚️ Escenario'!$C$11,1,1+$C$6))</f>
        <v>1.2</v>
      </c>
      <c r="EC648" s="237" t="n">
        <f aca="false">IF(EC646=0,0,IF(EC646&lt;=12*'🎚️ Escenario'!$C$11,1,1+$C$6))</f>
        <v>1.2</v>
      </c>
      <c r="ED648" s="237" t="n">
        <f aca="false">IF(ED646=0,0,IF(ED646&lt;=12*'🎚️ Escenario'!$C$11,1,1+$C$6))</f>
        <v>1.2</v>
      </c>
      <c r="EE648" s="237" t="n">
        <f aca="false">IF(EE646=0,0,IF(EE646&lt;=12*'🎚️ Escenario'!$C$11,1,1+$C$6))</f>
        <v>1.2</v>
      </c>
      <c r="EF648" s="237" t="n">
        <f aca="false">IF(EF646=0,0,IF(EF646&lt;=12*'🎚️ Escenario'!$C$11,1,1+$C$6))</f>
        <v>1.2</v>
      </c>
      <c r="EG648" s="237" t="n">
        <f aca="false">IF(EG646=0,0,IF(EG646&lt;=12*'🎚️ Escenario'!$C$11,1,1+$C$6))</f>
        <v>1.2</v>
      </c>
      <c r="EH648" s="237" t="n">
        <f aca="false">IF(EH646=0,0,IF(EH646&lt;=12*'🎚️ Escenario'!$C$11,1,1+$C$6))</f>
        <v>1.2</v>
      </c>
      <c r="EI648" s="237" t="n">
        <f aca="false">IF(EI646=0,0,IF(EI646&lt;=12*'🎚️ Escenario'!$C$11,1,1+$C$6))</f>
        <v>1.2</v>
      </c>
      <c r="EJ648" s="237" t="n">
        <f aca="false">IF(EJ646=0,0,IF(EJ646&lt;=12*'🎚️ Escenario'!$C$11,1,1+$C$6))</f>
        <v>1.2</v>
      </c>
      <c r="EK648" s="237" t="n">
        <f aca="false">IF(EK646=0,0,IF(EK646&lt;=12*'🎚️ Escenario'!$C$11,1,1+$C$6))</f>
        <v>1.2</v>
      </c>
      <c r="EL648" s="237" t="n">
        <f aca="false">IF(EL646=0,0,IF(EL646&lt;=12*'🎚️ Escenario'!$C$11,1,1+$C$6))</f>
        <v>1.2</v>
      </c>
      <c r="EM648" s="237" t="n">
        <f aca="false">IF(EM646=0,0,IF(EM646&lt;=12*'🎚️ Escenario'!$C$11,1,1+$C$6))</f>
        <v>1.2</v>
      </c>
      <c r="EN648" s="237" t="n">
        <f aca="false">IF(EN646=0,0,IF(EN646&lt;=12*'🎚️ Escenario'!$C$11,1,1+$C$6))</f>
        <v>1.2</v>
      </c>
      <c r="EO648" s="237" t="n">
        <f aca="false">IF(EO646=0,0,IF(EO646&lt;=12*'🎚️ Escenario'!$C$11,1,1+$C$6))</f>
        <v>1.2</v>
      </c>
      <c r="EP648" s="237" t="n">
        <f aca="false">IF(EP646=0,0,IF(EP646&lt;=12*'🎚️ Escenario'!$C$11,1,1+$C$6))</f>
        <v>1.2</v>
      </c>
      <c r="EQ648" s="237" t="n">
        <f aca="false">IF(EQ646=0,0,IF(EQ646&lt;=12*'🎚️ Escenario'!$C$11,1,1+$C$6))</f>
        <v>1.2</v>
      </c>
      <c r="ER648" s="237" t="n">
        <f aca="false">IF(ER646=0,0,IF(ER646&lt;=12*'🎚️ Escenario'!$C$11,1,1+$C$6))</f>
        <v>1.2</v>
      </c>
      <c r="ES648" s="238" t="n">
        <f aca="false">IF(ES646=0,0,IF(ES646&lt;=12*'🎚️ Escenario'!$C$11,1,1+$C$6))</f>
        <v>1.2</v>
      </c>
      <c r="ET648" s="238" t="n">
        <f aca="false">IF(ET646=0,0,IF(ET646&lt;=12*'🎚️ Escenario'!$C$11,1,1+$C$6))</f>
        <v>1.2</v>
      </c>
      <c r="EU648" s="238" t="n">
        <f aca="false">IF(EU646=0,0,IF(EU646&lt;=12*'🎚️ Escenario'!$C$11,1,1+$C$6))</f>
        <v>1.2</v>
      </c>
      <c r="EV648" s="238" t="n">
        <f aca="false">IF(EV646=0,0,IF(EV646&lt;=12*'🎚️ Escenario'!$C$11,1,1+$C$6))</f>
        <v>1.2</v>
      </c>
      <c r="EW648" s="238" t="n">
        <f aca="false">IF(EW646=0,0,IF(EW646&lt;=12*'🎚️ Escenario'!$C$11,1,1+$C$6))</f>
        <v>1.2</v>
      </c>
      <c r="EX648" s="238" t="n">
        <f aca="false">IF(EX646=0,0,IF(EX646&lt;=12*'🎚️ Escenario'!$C$11,1,1+$C$6))</f>
        <v>1.2</v>
      </c>
      <c r="EY648" s="238" t="n">
        <f aca="false">IF(EY646=0,0,IF(EY646&lt;=12*'🎚️ Escenario'!$C$11,1,1+$C$6))</f>
        <v>1.2</v>
      </c>
      <c r="EZ648" s="238" t="n">
        <f aca="false">IF(EZ646=0,0,IF(EZ646&lt;=12*'🎚️ Escenario'!$C$11,1,1+$C$6))</f>
        <v>1.2</v>
      </c>
      <c r="FA648" s="238" t="n">
        <f aca="false">IF(FA646=0,0,IF(FA646&lt;=12*'🎚️ Escenario'!$C$11,1,1+$C$6))</f>
        <v>1.2</v>
      </c>
      <c r="FB648" s="238" t="n">
        <f aca="false">IF(FB646=0,0,IF(FB646&lt;=12*'🎚️ Escenario'!$C$11,1,1+$C$6))</f>
        <v>1.2</v>
      </c>
      <c r="FC648" s="238" t="n">
        <f aca="false">IF(FC646=0,0,IF(FC646&lt;=12*'🎚️ Escenario'!$C$11,1,1+$C$6))</f>
        <v>1.2</v>
      </c>
      <c r="FD648" s="238" t="n">
        <f aca="false">IF(FD646=0,0,IF(FD646&lt;=12*'🎚️ Escenario'!$C$11,1,1+$C$6))</f>
        <v>1.2</v>
      </c>
      <c r="FE648" s="238" t="n">
        <f aca="false">IF(FE646=0,0,IF(FE646&lt;=12*'🎚️ Escenario'!$C$11,1,1+$C$6))</f>
        <v>1.2</v>
      </c>
      <c r="FF648" s="238" t="n">
        <f aca="false">IF(FF646=0,0,IF(FF646&lt;=12*'🎚️ Escenario'!$C$11,1,1+$C$6))</f>
        <v>1.2</v>
      </c>
      <c r="FG648" s="238" t="n">
        <f aca="false">IF(FG646=0,0,IF(FG646&lt;=12*'🎚️ Escenario'!$C$11,1,1+$C$6))</f>
        <v>1.2</v>
      </c>
      <c r="FH648" s="238" t="n">
        <f aca="false">IF(FH646=0,0,IF(FH646&lt;=12*'🎚️ Escenario'!$C$11,1,1+$C$6))</f>
        <v>1.2</v>
      </c>
      <c r="FI648" s="238" t="n">
        <f aca="false">IF(FI646=0,0,IF(FI646&lt;=12*'🎚️ Escenario'!$C$11,1,1+$C$6))</f>
        <v>1.2</v>
      </c>
      <c r="FJ648" s="238" t="n">
        <f aca="false">IF(FJ646=0,0,IF(FJ646&lt;=12*'🎚️ Escenario'!$C$11,1,1+$C$6))</f>
        <v>1.2</v>
      </c>
      <c r="FK648" s="238" t="n">
        <f aca="false">IF(FK646=0,0,IF(FK646&lt;=12*'🎚️ Escenario'!$C$11,1,1+$C$6))</f>
        <v>1.2</v>
      </c>
      <c r="FL648" s="238" t="n">
        <f aca="false">IF(FL646=0,0,IF(FL646&lt;=12*'🎚️ Escenario'!$C$11,1,1+$C$6))</f>
        <v>1.2</v>
      </c>
      <c r="FM648" s="238" t="n">
        <f aca="false">IF(FM646=0,0,IF(FM646&lt;=12*'🎚️ Escenario'!$C$11,1,1+$C$6))</f>
        <v>1.2</v>
      </c>
      <c r="FN648" s="238" t="n">
        <f aca="false">IF(FN646=0,0,IF(FN646&lt;=12*'🎚️ Escenario'!$C$11,1,1+$C$6))</f>
        <v>1.2</v>
      </c>
      <c r="FO648" s="238" t="n">
        <f aca="false">IF(FO646=0,0,IF(FO646&lt;=12*'🎚️ Escenario'!$C$11,1,1+$C$6))</f>
        <v>1.2</v>
      </c>
      <c r="FP648" s="238" t="n">
        <f aca="false">IF(FP646=0,0,IF(FP646&lt;=12*'🎚️ Escenario'!$C$11,1,1+$C$6))</f>
        <v>1.2</v>
      </c>
    </row>
    <row r="649" customFormat="false" ht="15" hidden="false" customHeight="false" outlineLevel="2" collapsed="false">
      <c r="B649" s="9" t="s">
        <v>876</v>
      </c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36" t="n">
        <f aca="false">AC647*$AC$645*AC648*AC$38*'⑫ Roll-out Plan'!$O$69</f>
        <v>0</v>
      </c>
      <c r="AD649" s="36" t="n">
        <f aca="false">AD647*$AC$645*AD648*AD$38*'⑫ Roll-out Plan'!$O$69</f>
        <v>0</v>
      </c>
      <c r="AE649" s="36" t="n">
        <f aca="false">AE647*$AC$645*AE648*AE$38*'⑫ Roll-out Plan'!$O$69</f>
        <v>0</v>
      </c>
      <c r="AF649" s="36" t="n">
        <f aca="false">AF647*$AC$645*AF648*AF$38*'⑫ Roll-out Plan'!$O$69</f>
        <v>0</v>
      </c>
      <c r="AG649" s="36" t="n">
        <f aca="false">AG647*$AC$645*AG648*AG$38*'⑫ Roll-out Plan'!$O$69</f>
        <v>0</v>
      </c>
      <c r="AH649" s="36" t="n">
        <f aca="false">AH647*$AC$645*AH648*AH$38*'⑫ Roll-out Plan'!$O$69</f>
        <v>0</v>
      </c>
      <c r="AI649" s="36" t="n">
        <f aca="false">AI647*$AC$645*AI648*AI$38*'⑫ Roll-out Plan'!$O$69</f>
        <v>0</v>
      </c>
      <c r="AJ649" s="36" t="n">
        <f aca="false">AJ647*$AC$645*AJ648*AJ$38*'⑫ Roll-out Plan'!$O$69</f>
        <v>0</v>
      </c>
      <c r="AK649" s="36" t="n">
        <f aca="false">AK647*$AC$645*AK648*AK$38*'⑫ Roll-out Plan'!$O$69</f>
        <v>0</v>
      </c>
      <c r="AL649" s="36" t="n">
        <f aca="false">AL647*$AC$645*AL648*AL$38*'⑫ Roll-out Plan'!$O$69</f>
        <v>0</v>
      </c>
      <c r="AM649" s="36" t="n">
        <f aca="false">AM647*$AC$645*AM648*AM$38*'⑫ Roll-out Plan'!$O$69</f>
        <v>0</v>
      </c>
      <c r="AN649" s="36" t="n">
        <f aca="false">AN647*$AC$645*AN648*AN$38*'⑫ Roll-out Plan'!$O$69</f>
        <v>0</v>
      </c>
      <c r="AO649" s="36" t="n">
        <f aca="false">AO647*$AC$645*AO648*AO$38*'⑫ Roll-out Plan'!$O$69</f>
        <v>0</v>
      </c>
      <c r="AP649" s="36" t="n">
        <f aca="false">AP647*$AC$645*AP648*AP$38*'⑫ Roll-out Plan'!$O$69</f>
        <v>0</v>
      </c>
      <c r="AQ649" s="36" t="n">
        <f aca="false">AQ647*$AC$645*AQ648*AQ$38*'⑫ Roll-out Plan'!$O$69</f>
        <v>0</v>
      </c>
      <c r="AR649" s="36" t="n">
        <f aca="false">AR647*$AC$645*AR648*AR$38*'⑫ Roll-out Plan'!$O$69</f>
        <v>0</v>
      </c>
      <c r="AS649" s="36" t="n">
        <f aca="false">AS647*$AC$645*AS648*AS$38*'⑫ Roll-out Plan'!$O$69</f>
        <v>0</v>
      </c>
      <c r="AT649" s="36" t="n">
        <f aca="false">AT647*$AC$645*AT648*AT$38*'⑫ Roll-out Plan'!$O$69</f>
        <v>0</v>
      </c>
      <c r="AU649" s="36" t="n">
        <f aca="false">AU647*$AC$645*AU648*AU$38*'⑫ Roll-out Plan'!$O$69</f>
        <v>0</v>
      </c>
      <c r="AV649" s="36" t="n">
        <f aca="false">AV647*$AC$645*AV648*AV$38*'⑫ Roll-out Plan'!$O$69</f>
        <v>0</v>
      </c>
      <c r="AW649" s="36" t="n">
        <f aca="false">AW647*$AC$645*AW648*AW$38*'⑫ Roll-out Plan'!$O$69</f>
        <v>0</v>
      </c>
      <c r="AX649" s="36" t="n">
        <f aca="false">AX647*$AC$645*AX648*AX$38*'⑫ Roll-out Plan'!$O$69</f>
        <v>0</v>
      </c>
      <c r="AY649" s="36" t="n">
        <f aca="false">AY647*$AC$645*AY648*AY$38*'⑫ Roll-out Plan'!$O$69</f>
        <v>0</v>
      </c>
      <c r="AZ649" s="36" t="n">
        <f aca="false">AZ647*$AC$645*AZ648*AZ$38*'⑫ Roll-out Plan'!$O$69</f>
        <v>0</v>
      </c>
      <c r="BA649" s="36" t="n">
        <f aca="false">BA647*$AC$645*BA648*BA$38*'⑫ Roll-out Plan'!$O$69</f>
        <v>0</v>
      </c>
      <c r="BB649" s="36" t="n">
        <f aca="false">BB647*$AC$645*BB648*BB$38*'⑫ Roll-out Plan'!$O$69</f>
        <v>0</v>
      </c>
      <c r="BC649" s="36" t="n">
        <f aca="false">BC647*$AC$645*BC648*BC$38*'⑫ Roll-out Plan'!$O$69</f>
        <v>0</v>
      </c>
      <c r="BD649" s="36" t="n">
        <f aca="false">BD647*$AC$645*BD648*BD$38*'⑫ Roll-out Plan'!$O$69</f>
        <v>0</v>
      </c>
      <c r="BE649" s="36" t="n">
        <f aca="false">BE647*$AC$645*BE648*BE$38*'⑫ Roll-out Plan'!$O$69</f>
        <v>0</v>
      </c>
      <c r="BF649" s="36" t="n">
        <f aca="false">BF647*$AC$645*BF648*BF$38*'⑫ Roll-out Plan'!$O$69</f>
        <v>0</v>
      </c>
      <c r="BG649" s="36" t="n">
        <f aca="false">BG647*$AC$645*BG648*BG$38*'⑫ Roll-out Plan'!$O$69</f>
        <v>0</v>
      </c>
      <c r="BH649" s="36" t="n">
        <f aca="false">BH647*$AC$645*BH648*BH$38*'⑫ Roll-out Plan'!$O$69</f>
        <v>0</v>
      </c>
      <c r="BI649" s="36" t="n">
        <f aca="false">BI647*$AC$645*BI648*BI$38*'⑫ Roll-out Plan'!$O$69</f>
        <v>0</v>
      </c>
      <c r="BJ649" s="36" t="n">
        <f aca="false">BJ647*$AC$645*BJ648*BJ$38*'⑫ Roll-out Plan'!$O$69</f>
        <v>0</v>
      </c>
      <c r="BK649" s="36" t="n">
        <f aca="false">BK647*$AC$645*BK648*BK$38*'⑫ Roll-out Plan'!$O$69</f>
        <v>0</v>
      </c>
      <c r="BL649" s="36" t="n">
        <f aca="false">BL647*$AC$645*BL648*BL$38*'⑫ Roll-out Plan'!$O$69</f>
        <v>0</v>
      </c>
      <c r="BM649" s="36" t="n">
        <f aca="false">BM647*$AC$645*BM648*BM$38*'⑫ Roll-out Plan'!$O$69</f>
        <v>0</v>
      </c>
      <c r="BN649" s="36" t="n">
        <f aca="false">BN647*$AC$645*BN648*BN$38*'⑫ Roll-out Plan'!$O$69</f>
        <v>0</v>
      </c>
      <c r="BO649" s="36" t="n">
        <f aca="false">BO647*$AC$645*BO648*BO$38*'⑫ Roll-out Plan'!$O$69</f>
        <v>0</v>
      </c>
      <c r="BP649" s="36" t="n">
        <f aca="false">BP647*$AC$645*BP648*BP$38*'⑫ Roll-out Plan'!$O$69</f>
        <v>0</v>
      </c>
      <c r="BQ649" s="36" t="n">
        <f aca="false">BQ647*$AC$645*BQ648*BQ$38*'⑫ Roll-out Plan'!$O$69</f>
        <v>0</v>
      </c>
      <c r="BR649" s="36" t="n">
        <f aca="false">BR647*$AC$645*BR648*BR$38*'⑫ Roll-out Plan'!$O$69</f>
        <v>0</v>
      </c>
      <c r="BS649" s="36" t="n">
        <f aca="false">BS647*$AC$645*BS648*BS$38*'⑫ Roll-out Plan'!$O$69</f>
        <v>0</v>
      </c>
      <c r="BT649" s="36" t="n">
        <f aca="false">BT647*$AC$645*BT648*BT$38*'⑫ Roll-out Plan'!$O$69</f>
        <v>0</v>
      </c>
      <c r="BU649" s="36" t="n">
        <f aca="false">BU647*$AC$645*BU648*BU$38*'⑫ Roll-out Plan'!$O$69</f>
        <v>0</v>
      </c>
      <c r="BV649" s="36" t="n">
        <f aca="false">BV647*$AC$645*BV648*BV$38*'⑫ Roll-out Plan'!$O$69</f>
        <v>0</v>
      </c>
      <c r="BW649" s="36" t="n">
        <f aca="false">BW647*$AC$645*BW648*BW$38*'⑫ Roll-out Plan'!$O$69</f>
        <v>0</v>
      </c>
      <c r="BX649" s="36" t="n">
        <f aca="false">BX647*$AC$645*BX648*BX$38*'⑫ Roll-out Plan'!$O$69</f>
        <v>0</v>
      </c>
      <c r="BY649" s="36" t="n">
        <f aca="false">BY647*$AC$645*BY648*BY$38*'⑫ Roll-out Plan'!$O$69</f>
        <v>0</v>
      </c>
      <c r="BZ649" s="36" t="n">
        <f aca="false">BZ647*$AC$645*BZ648*BZ$38*'⑫ Roll-out Plan'!$O$69</f>
        <v>0</v>
      </c>
      <c r="CA649" s="36" t="n">
        <f aca="false">CA647*$AC$645*CA648*CA$38*'⑫ Roll-out Plan'!$O$69</f>
        <v>0</v>
      </c>
      <c r="CB649" s="36" t="n">
        <f aca="false">CB647*$AC$645*CB648*CB$38*'⑫ Roll-out Plan'!$O$69</f>
        <v>0</v>
      </c>
      <c r="CC649" s="36" t="n">
        <f aca="false">CC647*$AC$645*CC648*CC$38*'⑫ Roll-out Plan'!$O$69</f>
        <v>0</v>
      </c>
      <c r="CD649" s="36" t="n">
        <f aca="false">CD647*$AC$645*CD648*CD$38*'⑫ Roll-out Plan'!$O$69</f>
        <v>0</v>
      </c>
      <c r="CE649" s="36" t="n">
        <f aca="false">CE647*$AC$645*CE648*CE$38*'⑫ Roll-out Plan'!$O$69</f>
        <v>0</v>
      </c>
      <c r="CF649" s="36" t="n">
        <f aca="false">CF647*$AC$645*CF648*CF$38*'⑫ Roll-out Plan'!$O$69</f>
        <v>0</v>
      </c>
      <c r="CG649" s="36" t="n">
        <f aca="false">CG647*$AC$645*CG648*CG$38*'⑫ Roll-out Plan'!$O$69</f>
        <v>0</v>
      </c>
      <c r="CH649" s="36" t="n">
        <f aca="false">CH647*$AC$645*CH648*CH$38*'⑫ Roll-out Plan'!$O$69</f>
        <v>0</v>
      </c>
      <c r="CI649" s="36" t="n">
        <f aca="false">CI647*$AC$645*CI648*CI$38*'⑫ Roll-out Plan'!$O$69</f>
        <v>0</v>
      </c>
      <c r="CJ649" s="36" t="n">
        <f aca="false">CJ647*$AC$645*CJ648*CJ$38*'⑫ Roll-out Plan'!$O$69</f>
        <v>0</v>
      </c>
      <c r="CK649" s="36" t="n">
        <f aca="false">CK647*$AC$645*CK648*CK$38*'⑫ Roll-out Plan'!$O$69</f>
        <v>0</v>
      </c>
      <c r="CL649" s="36" t="n">
        <f aca="false">CL647*$AC$645*CL648*CL$38*'⑫ Roll-out Plan'!$O$69</f>
        <v>0</v>
      </c>
      <c r="CM649" s="36" t="n">
        <f aca="false">CM647*$AC$645*CM648*CM$38*'⑫ Roll-out Plan'!$O$69</f>
        <v>0</v>
      </c>
      <c r="CN649" s="36" t="n">
        <f aca="false">CN647*$AC$645*CN648*CN$38*'⑫ Roll-out Plan'!$O$69</f>
        <v>0</v>
      </c>
      <c r="CO649" s="36" t="n">
        <f aca="false">CO647*$AC$645*CO648*CO$38*'⑫ Roll-out Plan'!$O$69</f>
        <v>0</v>
      </c>
      <c r="CP649" s="36" t="n">
        <f aca="false">CP647*$AC$645*CP648*CP$38*'⑫ Roll-out Plan'!$O$69</f>
        <v>0</v>
      </c>
      <c r="CQ649" s="36" t="n">
        <f aca="false">CQ647*$AC$645*CQ648*CQ$38*'⑫ Roll-out Plan'!$O$69</f>
        <v>0</v>
      </c>
      <c r="CR649" s="36" t="n">
        <f aca="false">CR647*$AC$645*CR648*CR$38*'⑫ Roll-out Plan'!$O$69</f>
        <v>0</v>
      </c>
      <c r="CS649" s="36" t="n">
        <f aca="false">CS647*$AC$645*CS648*CS$38*'⑫ Roll-out Plan'!$O$69</f>
        <v>0</v>
      </c>
      <c r="CT649" s="36" t="n">
        <f aca="false">CT647*$AC$645*CT648*CT$38*'⑫ Roll-out Plan'!$O$69</f>
        <v>0</v>
      </c>
      <c r="CU649" s="36" t="n">
        <f aca="false">CU647*$AC$645*CU648*CU$38*'⑫ Roll-out Plan'!$O$69</f>
        <v>0</v>
      </c>
      <c r="CV649" s="36" t="n">
        <f aca="false">CV647*$AC$645*CV648*CV$38*'⑫ Roll-out Plan'!$O$69</f>
        <v>0</v>
      </c>
      <c r="CW649" s="36" t="n">
        <f aca="false">CW647*$AC$645*CW648*CW$38*'⑫ Roll-out Plan'!$O$69</f>
        <v>0</v>
      </c>
      <c r="CX649" s="36" t="n">
        <f aca="false">CX647*$AC$645*CX648*CX$38*'⑫ Roll-out Plan'!$O$69</f>
        <v>0</v>
      </c>
      <c r="CY649" s="36" t="n">
        <f aca="false">CY647*$AC$645*CY648*CY$38*'⑫ Roll-out Plan'!$O$69</f>
        <v>0</v>
      </c>
      <c r="CZ649" s="36" t="n">
        <f aca="false">CZ647*$AC$645*CZ648*CZ$38*'⑫ Roll-out Plan'!$O$69</f>
        <v>0</v>
      </c>
      <c r="DA649" s="36" t="n">
        <f aca="false">DA647*$AC$645*DA648*DA$38*'⑫ Roll-out Plan'!$O$69</f>
        <v>0</v>
      </c>
      <c r="DB649" s="36" t="n">
        <f aca="false">DB647*$AC$645*DB648*DB$38*'⑫ Roll-out Plan'!$O$69</f>
        <v>0</v>
      </c>
      <c r="DC649" s="36" t="n">
        <f aca="false">DC647*$AC$645*DC648*DC$38*'⑫ Roll-out Plan'!$O$69</f>
        <v>0</v>
      </c>
      <c r="DD649" s="36" t="n">
        <f aca="false">DD647*$AC$645*DD648*DD$38*'⑫ Roll-out Plan'!$O$69</f>
        <v>0</v>
      </c>
      <c r="DE649" s="36" t="n">
        <f aca="false">DE647*$AC$645*DE648*DE$38*'⑫ Roll-out Plan'!$O$69</f>
        <v>0</v>
      </c>
      <c r="DF649" s="36" t="n">
        <f aca="false">DF647*$AC$645*DF648*DF$38*'⑫ Roll-out Plan'!$O$69</f>
        <v>0</v>
      </c>
      <c r="DG649" s="36" t="n">
        <f aca="false">DG647*$AC$645*DG648*DG$38*'⑫ Roll-out Plan'!$O$69</f>
        <v>0</v>
      </c>
      <c r="DH649" s="36" t="n">
        <f aca="false">DH647*$AC$645*DH648*DH$38*'⑫ Roll-out Plan'!$O$69</f>
        <v>0</v>
      </c>
      <c r="DI649" s="36" t="n">
        <f aca="false">DI647*$AC$645*DI648*DI$38*'⑫ Roll-out Plan'!$O$69</f>
        <v>0</v>
      </c>
      <c r="DJ649" s="36" t="n">
        <f aca="false">DJ647*$AC$645*DJ648*DJ$38*'⑫ Roll-out Plan'!$O$69</f>
        <v>0</v>
      </c>
      <c r="DK649" s="36" t="n">
        <f aca="false">DK647*$AC$645*DK648*DK$38*'⑫ Roll-out Plan'!$O$69</f>
        <v>0</v>
      </c>
      <c r="DL649" s="36" t="n">
        <f aca="false">DL647*$AC$645*DL648*DL$38*'⑫ Roll-out Plan'!$O$69</f>
        <v>0</v>
      </c>
      <c r="DM649" s="36" t="n">
        <f aca="false">DM647*$AC$645*DM648*DM$38*'⑫ Roll-out Plan'!$O$69</f>
        <v>0</v>
      </c>
      <c r="DN649" s="36" t="n">
        <f aca="false">DN647*$AC$645*DN648*DN$38*'⑫ Roll-out Plan'!$O$69</f>
        <v>0</v>
      </c>
      <c r="DO649" s="36" t="n">
        <f aca="false">DO647*$AC$645*DO648*DO$38*'⑫ Roll-out Plan'!$O$69</f>
        <v>0</v>
      </c>
      <c r="DP649" s="36" t="n">
        <f aca="false">DP647*$AC$645*DP648*DP$38*'⑫ Roll-out Plan'!$O$69</f>
        <v>0</v>
      </c>
      <c r="DQ649" s="36" t="n">
        <f aca="false">DQ647*$AC$645*DQ648*DQ$38*'⑫ Roll-out Plan'!$O$69</f>
        <v>0</v>
      </c>
      <c r="DR649" s="36" t="n">
        <f aca="false">DR647*$AC$645*DR648*DR$38*'⑫ Roll-out Plan'!$O$69</f>
        <v>0</v>
      </c>
      <c r="DS649" s="36" t="n">
        <f aca="false">DS647*$AC$645*DS648*DS$38*'⑫ Roll-out Plan'!$O$69</f>
        <v>0</v>
      </c>
      <c r="DT649" s="36" t="n">
        <f aca="false">DT647*$AC$645*DT648*DT$38*'⑫ Roll-out Plan'!$O$69</f>
        <v>0</v>
      </c>
      <c r="DU649" s="36" t="n">
        <f aca="false">DU647*$AC$645*DU648*DU$38*'⑫ Roll-out Plan'!$O$69</f>
        <v>0</v>
      </c>
      <c r="DV649" s="36" t="n">
        <f aca="false">DV647*$AC$645*DV648*DV$38*'⑫ Roll-out Plan'!$O$69</f>
        <v>0</v>
      </c>
      <c r="DW649" s="36" t="n">
        <f aca="false">DW647*$AC$645*DW648*DW$38*'⑫ Roll-out Plan'!$O$69</f>
        <v>0</v>
      </c>
      <c r="DX649" s="36" t="n">
        <f aca="false">DX647*$AC$645*DX648*DX$38*'⑫ Roll-out Plan'!$O$69</f>
        <v>0</v>
      </c>
      <c r="DY649" s="36" t="n">
        <f aca="false">DY647*$AC$645*DY648*DY$38*'⑫ Roll-out Plan'!$O$69</f>
        <v>0</v>
      </c>
      <c r="DZ649" s="36" t="n">
        <f aca="false">DZ647*$AC$645*DZ648*DZ$38*'⑫ Roll-out Plan'!$O$69</f>
        <v>0</v>
      </c>
      <c r="EA649" s="36" t="n">
        <f aca="false">EA647*$AC$645*EA648*EA$38*'⑫ Roll-out Plan'!$O$69</f>
        <v>0</v>
      </c>
      <c r="EB649" s="36" t="n">
        <f aca="false">EB647*$AC$645*EB648*EB$38*'⑫ Roll-out Plan'!$O$69</f>
        <v>0</v>
      </c>
      <c r="EC649" s="36" t="n">
        <f aca="false">EC647*$AC$645*EC648*EC$38*'⑫ Roll-out Plan'!$O$69</f>
        <v>0</v>
      </c>
      <c r="ED649" s="36" t="n">
        <f aca="false">ED647*$AC$645*ED648*ED$38*'⑫ Roll-out Plan'!$O$69</f>
        <v>0</v>
      </c>
      <c r="EE649" s="36" t="n">
        <f aca="false">EE647*$AC$645*EE648*EE$38*'⑫ Roll-out Plan'!$O$69</f>
        <v>0</v>
      </c>
      <c r="EF649" s="36" t="n">
        <f aca="false">EF647*$AC$645*EF648*EF$38*'⑫ Roll-out Plan'!$O$69</f>
        <v>0</v>
      </c>
      <c r="EG649" s="36" t="n">
        <f aca="false">EG647*$AC$645*EG648*EG$38*'⑫ Roll-out Plan'!$O$69</f>
        <v>0</v>
      </c>
      <c r="EH649" s="36" t="n">
        <f aca="false">EH647*$AC$645*EH648*EH$38*'⑫ Roll-out Plan'!$O$69</f>
        <v>0</v>
      </c>
      <c r="EI649" s="36" t="n">
        <f aca="false">EI647*$AC$645*EI648*EI$38*'⑫ Roll-out Plan'!$O$69</f>
        <v>0</v>
      </c>
      <c r="EJ649" s="36" t="n">
        <f aca="false">EJ647*$AC$645*EJ648*EJ$38*'⑫ Roll-out Plan'!$O$69</f>
        <v>0</v>
      </c>
      <c r="EK649" s="36" t="n">
        <f aca="false">EK647*$AC$645*EK648*EK$38*'⑫ Roll-out Plan'!$O$69</f>
        <v>0</v>
      </c>
      <c r="EL649" s="36" t="n">
        <f aca="false">EL647*$AC$645*EL648*EL$38*'⑫ Roll-out Plan'!$O$69</f>
        <v>0</v>
      </c>
      <c r="EM649" s="36" t="n">
        <f aca="false">EM647*$AC$645*EM648*EM$38*'⑫ Roll-out Plan'!$O$69</f>
        <v>0</v>
      </c>
      <c r="EN649" s="36" t="n">
        <f aca="false">EN647*$AC$645*EN648*EN$38*'⑫ Roll-out Plan'!$O$69</f>
        <v>0</v>
      </c>
      <c r="EO649" s="36" t="n">
        <f aca="false">EO647*$AC$645*EO648*EO$38*'⑫ Roll-out Plan'!$O$69</f>
        <v>0</v>
      </c>
      <c r="EP649" s="36" t="n">
        <f aca="false">EP647*$AC$645*EP648*EP$38*'⑫ Roll-out Plan'!$O$69</f>
        <v>0</v>
      </c>
      <c r="EQ649" s="36" t="n">
        <f aca="false">EQ647*$AC$645*EQ648*EQ$38*'⑫ Roll-out Plan'!$O$69</f>
        <v>0</v>
      </c>
      <c r="ER649" s="36" t="n">
        <f aca="false">ER647*$AC$645*ER648*ER$38*'⑫ Roll-out Plan'!$O$69</f>
        <v>0</v>
      </c>
      <c r="ES649" s="9" t="n">
        <f aca="false">ES647*$AC$645*ES648*ES$38*'⑫ Roll-out Plan'!$O$69</f>
        <v>0</v>
      </c>
      <c r="ET649" s="9" t="n">
        <f aca="false">ET647*$AC$645*ET648*ET$38*'⑫ Roll-out Plan'!$O$69</f>
        <v>0</v>
      </c>
      <c r="EU649" s="9" t="n">
        <f aca="false">EU647*$AC$645*EU648*EU$38*'⑫ Roll-out Plan'!$O$69</f>
        <v>0</v>
      </c>
      <c r="EV649" s="9" t="n">
        <f aca="false">EV647*$AC$645*EV648*EV$38*'⑫ Roll-out Plan'!$O$69</f>
        <v>0</v>
      </c>
      <c r="EW649" s="9" t="n">
        <f aca="false">EW647*$AC$645*EW648*EW$38*'⑫ Roll-out Plan'!$O$69</f>
        <v>0</v>
      </c>
      <c r="EX649" s="9" t="n">
        <f aca="false">EX647*$AC$645*EX648*EX$38*'⑫ Roll-out Plan'!$O$69</f>
        <v>0</v>
      </c>
      <c r="EY649" s="9" t="n">
        <f aca="false">EY647*$AC$645*EY648*EY$38*'⑫ Roll-out Plan'!$O$69</f>
        <v>0</v>
      </c>
      <c r="EZ649" s="9" t="n">
        <f aca="false">EZ647*$AC$645*EZ648*EZ$38*'⑫ Roll-out Plan'!$O$69</f>
        <v>0</v>
      </c>
      <c r="FA649" s="9" t="n">
        <f aca="false">FA647*$AC$645*FA648*FA$38*'⑫ Roll-out Plan'!$O$69</f>
        <v>0</v>
      </c>
      <c r="FB649" s="9" t="n">
        <f aca="false">FB647*$AC$645*FB648*FB$38*'⑫ Roll-out Plan'!$O$69</f>
        <v>0</v>
      </c>
      <c r="FC649" s="9" t="n">
        <f aca="false">FC647*$AC$645*FC648*FC$38*'⑫ Roll-out Plan'!$O$69</f>
        <v>0</v>
      </c>
      <c r="FD649" s="9" t="n">
        <f aca="false">FD647*$AC$645*FD648*FD$38*'⑫ Roll-out Plan'!$O$69</f>
        <v>0</v>
      </c>
      <c r="FE649" s="9" t="n">
        <f aca="false">FE647*$AC$645*FE648*FE$38*'⑫ Roll-out Plan'!$O$69</f>
        <v>0</v>
      </c>
      <c r="FF649" s="9" t="n">
        <f aca="false">FF647*$AC$645*FF648*FF$38*'⑫ Roll-out Plan'!$O$69</f>
        <v>0</v>
      </c>
      <c r="FG649" s="9" t="n">
        <f aca="false">FG647*$AC$645*FG648*FG$38*'⑫ Roll-out Plan'!$O$69</f>
        <v>0</v>
      </c>
      <c r="FH649" s="9" t="n">
        <f aca="false">FH647*$AC$645*FH648*FH$38*'⑫ Roll-out Plan'!$O$69</f>
        <v>0</v>
      </c>
      <c r="FI649" s="9" t="n">
        <f aca="false">FI647*$AC$645*FI648*FI$38*'⑫ Roll-out Plan'!$O$69</f>
        <v>0</v>
      </c>
      <c r="FJ649" s="9" t="n">
        <f aca="false">FJ647*$AC$645*FJ648*FJ$38*'⑫ Roll-out Plan'!$O$69</f>
        <v>0</v>
      </c>
      <c r="FK649" s="9" t="n">
        <f aca="false">FK647*$AC$645*FK648*FK$38*'⑫ Roll-out Plan'!$O$69</f>
        <v>0</v>
      </c>
      <c r="FL649" s="9" t="n">
        <f aca="false">FL647*$AC$645*FL648*FL$38*'⑫ Roll-out Plan'!$O$69</f>
        <v>0</v>
      </c>
      <c r="FM649" s="9" t="n">
        <f aca="false">FM647*$AC$645*FM648*FM$38*'⑫ Roll-out Plan'!$O$69</f>
        <v>0</v>
      </c>
      <c r="FN649" s="9" t="n">
        <f aca="false">FN647*$AC$645*FN648*FN$38*'⑫ Roll-out Plan'!$O$69</f>
        <v>0</v>
      </c>
      <c r="FO649" s="9" t="n">
        <f aca="false">FO647*$AC$645*FO648*FO$38*'⑫ Roll-out Plan'!$O$69</f>
        <v>0</v>
      </c>
      <c r="FP649" s="9" t="n">
        <f aca="false">FP647*$AC$645*FP648*FP$38*'⑫ Roll-out Plan'!$O$69</f>
        <v>0</v>
      </c>
    </row>
    <row r="650" customFormat="false" ht="15" hidden="false" customHeight="false" outlineLevel="2" collapsed="false">
      <c r="B650" s="9" t="s">
        <v>877</v>
      </c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112" t="n">
        <f aca="true">IFERROR(SUMPRODUCT(OFFSET($BJ$31,0,1-MIN(60,COLUMN()-29),1,MIN(60,COLUMN()-29)),OFFSET(AC649,0,-MIN(60,COLUMN()-29),1,MIN(60,COLUMN()-29))),0)</f>
        <v>0</v>
      </c>
      <c r="AD650" s="112" t="n">
        <f aca="true">IFERROR(SUMPRODUCT(OFFSET($BJ$31,0,1-MIN(60,COLUMN()-29),1,MIN(60,COLUMN()-29)),OFFSET(AD649,0,-MIN(60,COLUMN()-29),1,MIN(60,COLUMN()-29))),0)</f>
        <v>0</v>
      </c>
      <c r="AE650" s="112" t="n">
        <f aca="true">IFERROR(SUMPRODUCT(OFFSET($BJ$31,0,1-MIN(60,COLUMN()-29),1,MIN(60,COLUMN()-29)),OFFSET(AE649,0,-MIN(60,COLUMN()-29),1,MIN(60,COLUMN()-29))),0)</f>
        <v>0</v>
      </c>
      <c r="AF650" s="112" t="n">
        <f aca="true">IFERROR(SUMPRODUCT(OFFSET($BJ$31,0,1-MIN(60,COLUMN()-29),1,MIN(60,COLUMN()-29)),OFFSET(AF649,0,-MIN(60,COLUMN()-29),1,MIN(60,COLUMN()-29))),0)</f>
        <v>0</v>
      </c>
      <c r="AG650" s="112" t="n">
        <f aca="true">IFERROR(SUMPRODUCT(OFFSET($BJ$31,0,1-MIN(60,COLUMN()-29),1,MIN(60,COLUMN()-29)),OFFSET(AG649,0,-MIN(60,COLUMN()-29),1,MIN(60,COLUMN()-29))),0)</f>
        <v>0</v>
      </c>
      <c r="AH650" s="112" t="n">
        <f aca="true">IFERROR(SUMPRODUCT(OFFSET($BJ$31,0,1-MIN(60,COLUMN()-29),1,MIN(60,COLUMN()-29)),OFFSET(AH649,0,-MIN(60,COLUMN()-29),1,MIN(60,COLUMN()-29))),0)</f>
        <v>0</v>
      </c>
      <c r="AI650" s="112" t="n">
        <f aca="true">IFERROR(SUMPRODUCT(OFFSET($BJ$31,0,1-MIN(60,COLUMN()-29),1,MIN(60,COLUMN()-29)),OFFSET(AI649,0,-MIN(60,COLUMN()-29),1,MIN(60,COLUMN()-29))),0)</f>
        <v>0</v>
      </c>
      <c r="AJ650" s="112" t="n">
        <f aca="true">IFERROR(SUMPRODUCT(OFFSET($BJ$31,0,1-MIN(60,COLUMN()-29),1,MIN(60,COLUMN()-29)),OFFSET(AJ649,0,-MIN(60,COLUMN()-29),1,MIN(60,COLUMN()-29))),0)</f>
        <v>0</v>
      </c>
      <c r="AK650" s="112" t="n">
        <f aca="true">IFERROR(SUMPRODUCT(OFFSET($BJ$31,0,1-MIN(60,COLUMN()-29),1,MIN(60,COLUMN()-29)),OFFSET(AK649,0,-MIN(60,COLUMN()-29),1,MIN(60,COLUMN()-29))),0)</f>
        <v>0</v>
      </c>
      <c r="AL650" s="112" t="n">
        <f aca="true">IFERROR(SUMPRODUCT(OFFSET($BJ$31,0,1-MIN(60,COLUMN()-29),1,MIN(60,COLUMN()-29)),OFFSET(AL649,0,-MIN(60,COLUMN()-29),1,MIN(60,COLUMN()-29))),0)</f>
        <v>0</v>
      </c>
      <c r="AM650" s="112" t="n">
        <f aca="true">IFERROR(SUMPRODUCT(OFFSET($BJ$31,0,1-MIN(60,COLUMN()-29),1,MIN(60,COLUMN()-29)),OFFSET(AM649,0,-MIN(60,COLUMN()-29),1,MIN(60,COLUMN()-29))),0)</f>
        <v>0</v>
      </c>
      <c r="AN650" s="239" t="n">
        <f aca="true">IFERROR(SUMPRODUCT(OFFSET($BJ$31,0,1-MIN(60,COLUMN()-29),1,MIN(60,COLUMN()-29)),OFFSET(AN649,0,-MIN(60,COLUMN()-29),1,MIN(60,COLUMN()-29))),0)</f>
        <v>0</v>
      </c>
      <c r="AO650" s="112" t="n">
        <f aca="true">IFERROR(SUMPRODUCT(OFFSET($BJ$31,0,1-MIN(60,COLUMN()-29),1,MIN(60,COLUMN()-29)),OFFSET(AO649,0,-MIN(60,COLUMN()-29),1,MIN(60,COLUMN()-29))),0)</f>
        <v>0</v>
      </c>
      <c r="AP650" s="112" t="n">
        <f aca="true">IFERROR(SUMPRODUCT(OFFSET($BJ$31,0,1-MIN(60,COLUMN()-29),1,MIN(60,COLUMN()-29)),OFFSET(AP649,0,-MIN(60,COLUMN()-29),1,MIN(60,COLUMN()-29))),0)</f>
        <v>0</v>
      </c>
      <c r="AQ650" s="112" t="n">
        <f aca="true">IFERROR(SUMPRODUCT(OFFSET($BJ$31,0,1-MIN(60,COLUMN()-29),1,MIN(60,COLUMN()-29)),OFFSET(AQ649,0,-MIN(60,COLUMN()-29),1,MIN(60,COLUMN()-29))),0)</f>
        <v>0</v>
      </c>
      <c r="AR650" s="112" t="n">
        <f aca="true">IFERROR(SUMPRODUCT(OFFSET($BJ$31,0,1-MIN(60,COLUMN()-29),1,MIN(60,COLUMN()-29)),OFFSET(AR649,0,-MIN(60,COLUMN()-29),1,MIN(60,COLUMN()-29))),0)</f>
        <v>0</v>
      </c>
      <c r="AS650" s="112" t="n">
        <f aca="true">IFERROR(SUMPRODUCT(OFFSET($BJ$31,0,1-MIN(60,COLUMN()-29),1,MIN(60,COLUMN()-29)),OFFSET(AS649,0,-MIN(60,COLUMN()-29),1,MIN(60,COLUMN()-29))),0)</f>
        <v>0</v>
      </c>
      <c r="AT650" s="112" t="n">
        <f aca="true">IFERROR(SUMPRODUCT(OFFSET($BJ$31,0,1-MIN(60,COLUMN()-29),1,MIN(60,COLUMN()-29)),OFFSET(AT649,0,-MIN(60,COLUMN()-29),1,MIN(60,COLUMN()-29))),0)</f>
        <v>0</v>
      </c>
      <c r="AU650" s="112" t="n">
        <f aca="true">IFERROR(SUMPRODUCT(OFFSET($BJ$31,0,1-MIN(60,COLUMN()-29),1,MIN(60,COLUMN()-29)),OFFSET(AU649,0,-MIN(60,COLUMN()-29),1,MIN(60,COLUMN()-29))),0)</f>
        <v>0</v>
      </c>
      <c r="AV650" s="112" t="n">
        <f aca="true">IFERROR(SUMPRODUCT(OFFSET($BJ$31,0,1-MIN(60,COLUMN()-29),1,MIN(60,COLUMN()-29)),OFFSET(AV649,0,-MIN(60,COLUMN()-29),1,MIN(60,COLUMN()-29))),0)</f>
        <v>0</v>
      </c>
      <c r="AW650" s="112" t="n">
        <f aca="true">IFERROR(SUMPRODUCT(OFFSET($BJ$31,0,1-MIN(60,COLUMN()-29),1,MIN(60,COLUMN()-29)),OFFSET(AW649,0,-MIN(60,COLUMN()-29),1,MIN(60,COLUMN()-29))),0)</f>
        <v>0</v>
      </c>
      <c r="AX650" s="112" t="n">
        <f aca="true">IFERROR(SUMPRODUCT(OFFSET($BJ$31,0,1-MIN(60,COLUMN()-29),1,MIN(60,COLUMN()-29)),OFFSET(AX649,0,-MIN(60,COLUMN()-29),1,MIN(60,COLUMN()-29))),0)</f>
        <v>0</v>
      </c>
      <c r="AY650" s="112" t="n">
        <f aca="true">IFERROR(SUMPRODUCT(OFFSET($BJ$31,0,1-MIN(60,COLUMN()-29),1,MIN(60,COLUMN()-29)),OFFSET(AY649,0,-MIN(60,COLUMN()-29),1,MIN(60,COLUMN()-29))),0)</f>
        <v>0</v>
      </c>
      <c r="AZ650" s="112" t="n">
        <f aca="true">IFERROR(SUMPRODUCT(OFFSET($BJ$31,0,1-MIN(60,COLUMN()-29),1,MIN(60,COLUMN()-29)),OFFSET(AZ649,0,-MIN(60,COLUMN()-29),1,MIN(60,COLUMN()-29))),0)</f>
        <v>0</v>
      </c>
      <c r="BA650" s="112" t="n">
        <f aca="true">IFERROR(SUMPRODUCT(OFFSET($BJ$31,0,1-MIN(60,COLUMN()-29),1,MIN(60,COLUMN()-29)),OFFSET(BA649,0,-MIN(60,COLUMN()-29),1,MIN(60,COLUMN()-29))),0)</f>
        <v>0</v>
      </c>
      <c r="BB650" s="112" t="n">
        <f aca="true">IFERROR(SUMPRODUCT(OFFSET($BJ$31,0,1-MIN(60,COLUMN()-29),1,MIN(60,COLUMN()-29)),OFFSET(BB649,0,-MIN(60,COLUMN()-29),1,MIN(60,COLUMN()-29))),0)</f>
        <v>0</v>
      </c>
      <c r="BC650" s="112" t="n">
        <f aca="true">IFERROR(SUMPRODUCT(OFFSET($BJ$31,0,1-MIN(60,COLUMN()-29),1,MIN(60,COLUMN()-29)),OFFSET(BC649,0,-MIN(60,COLUMN()-29),1,MIN(60,COLUMN()-29))),0)</f>
        <v>0</v>
      </c>
      <c r="BD650" s="112" t="n">
        <f aca="true">IFERROR(SUMPRODUCT(OFFSET($BJ$31,0,1-MIN(60,COLUMN()-29),1,MIN(60,COLUMN()-29)),OFFSET(BD649,0,-MIN(60,COLUMN()-29),1,MIN(60,COLUMN()-29))),0)</f>
        <v>0</v>
      </c>
      <c r="BE650" s="112" t="n">
        <f aca="true">IFERROR(SUMPRODUCT(OFFSET($BJ$31,0,1-MIN(60,COLUMN()-29),1,MIN(60,COLUMN()-29)),OFFSET(BE649,0,-MIN(60,COLUMN()-29),1,MIN(60,COLUMN()-29))),0)</f>
        <v>0</v>
      </c>
      <c r="BF650" s="112" t="n">
        <f aca="true">IFERROR(SUMPRODUCT(OFFSET($BJ$31,0,1-MIN(60,COLUMN()-29),1,MIN(60,COLUMN()-29)),OFFSET(BF649,0,-MIN(60,COLUMN()-29),1,MIN(60,COLUMN()-29))),0)</f>
        <v>0</v>
      </c>
      <c r="BG650" s="112" t="n">
        <f aca="true">IFERROR(SUMPRODUCT(OFFSET($BJ$31,0,1-MIN(60,COLUMN()-29),1,MIN(60,COLUMN()-29)),OFFSET(BG649,0,-MIN(60,COLUMN()-29),1,MIN(60,COLUMN()-29))),0)</f>
        <v>0</v>
      </c>
      <c r="BH650" s="112" t="n">
        <f aca="true">IFERROR(SUMPRODUCT(OFFSET($BJ$31,0,1-MIN(60,COLUMN()-29),1,MIN(60,COLUMN()-29)),OFFSET(BH649,0,-MIN(60,COLUMN()-29),1,MIN(60,COLUMN()-29))),0)</f>
        <v>0</v>
      </c>
      <c r="BI650" s="112" t="n">
        <f aca="true">IFERROR(SUMPRODUCT(OFFSET($BJ$31,0,1-MIN(60,COLUMN()-29),1,MIN(60,COLUMN()-29)),OFFSET(BI649,0,-MIN(60,COLUMN()-29),1,MIN(60,COLUMN()-29))),0)</f>
        <v>0</v>
      </c>
      <c r="BJ650" s="112" t="n">
        <f aca="true">IFERROR(SUMPRODUCT(OFFSET($BJ$31,0,1-MIN(60,COLUMN()-29),1,MIN(60,COLUMN()-29)),OFFSET(BJ649,0,-MIN(60,COLUMN()-29),1,MIN(60,COLUMN()-29))),0)</f>
        <v>0</v>
      </c>
      <c r="BK650" s="112" t="n">
        <f aca="true">IFERROR(SUMPRODUCT(OFFSET($BJ$31,0,1-MIN(60,COLUMN()-29),1,MIN(60,COLUMN()-29)),OFFSET(BK649,0,-MIN(60,COLUMN()-29),1,MIN(60,COLUMN()-29))),0)</f>
        <v>0</v>
      </c>
      <c r="BL650" s="112" t="n">
        <f aca="true">IFERROR(SUMPRODUCT(OFFSET($BJ$31,0,1-MIN(60,COLUMN()-29),1,MIN(60,COLUMN()-29)),OFFSET(BL649,0,-MIN(60,COLUMN()-29),1,MIN(60,COLUMN()-29))),0)</f>
        <v>0</v>
      </c>
      <c r="BM650" s="112" t="n">
        <f aca="true">IFERROR(SUMPRODUCT(OFFSET($BJ$31,0,1-MIN(60,COLUMN()-29),1,MIN(60,COLUMN()-29)),OFFSET(BM649,0,-MIN(60,COLUMN()-29),1,MIN(60,COLUMN()-29))),0)</f>
        <v>0</v>
      </c>
      <c r="BN650" s="112" t="n">
        <f aca="true">IFERROR(SUMPRODUCT(OFFSET($BJ$31,0,1-MIN(60,COLUMN()-29),1,MIN(60,COLUMN()-29)),OFFSET(BN649,0,-MIN(60,COLUMN()-29),1,MIN(60,COLUMN()-29))),0)</f>
        <v>0</v>
      </c>
      <c r="BO650" s="112" t="n">
        <f aca="true">IFERROR(SUMPRODUCT(OFFSET($BJ$31,0,1-MIN(60,COLUMN()-29),1,MIN(60,COLUMN()-29)),OFFSET(BO649,0,-MIN(60,COLUMN()-29),1,MIN(60,COLUMN()-29))),0)</f>
        <v>0</v>
      </c>
      <c r="BP650" s="112" t="n">
        <f aca="true">IFERROR(SUMPRODUCT(OFFSET($BJ$31,0,1-MIN(60,COLUMN()-29),1,MIN(60,COLUMN()-29)),OFFSET(BP649,0,-MIN(60,COLUMN()-29),1,MIN(60,COLUMN()-29))),0)</f>
        <v>0</v>
      </c>
      <c r="BQ650" s="112" t="n">
        <f aca="true">IFERROR(SUMPRODUCT(OFFSET($BJ$31,0,1-MIN(60,COLUMN()-29),1,MIN(60,COLUMN()-29)),OFFSET(BQ649,0,-MIN(60,COLUMN()-29),1,MIN(60,COLUMN()-29))),0)</f>
        <v>0</v>
      </c>
      <c r="BR650" s="112" t="n">
        <f aca="true">IFERROR(SUMPRODUCT(OFFSET($BJ$31,0,1-MIN(60,COLUMN()-29),1,MIN(60,COLUMN()-29)),OFFSET(BR649,0,-MIN(60,COLUMN()-29),1,MIN(60,COLUMN()-29))),0)</f>
        <v>0</v>
      </c>
      <c r="BS650" s="112" t="n">
        <f aca="true">IFERROR(SUMPRODUCT(OFFSET($BJ$31,0,1-MIN(60,COLUMN()-29),1,MIN(60,COLUMN()-29)),OFFSET(BS649,0,-MIN(60,COLUMN()-29),1,MIN(60,COLUMN()-29))),0)</f>
        <v>0</v>
      </c>
      <c r="BT650" s="112" t="n">
        <f aca="true">IFERROR(SUMPRODUCT(OFFSET($BJ$31,0,1-MIN(60,COLUMN()-29),1,MIN(60,COLUMN()-29)),OFFSET(BT649,0,-MIN(60,COLUMN()-29),1,MIN(60,COLUMN()-29))),0)</f>
        <v>0</v>
      </c>
      <c r="BU650" s="112" t="n">
        <f aca="true">IFERROR(SUMPRODUCT(OFFSET($BJ$31,0,1-MIN(60,COLUMN()-29),1,MIN(60,COLUMN()-29)),OFFSET(BU649,0,-MIN(60,COLUMN()-29),1,MIN(60,COLUMN()-29))),0)</f>
        <v>0</v>
      </c>
      <c r="BV650" s="112" t="n">
        <f aca="true">IFERROR(SUMPRODUCT(OFFSET($BJ$31,0,1-MIN(60,COLUMN()-29),1,MIN(60,COLUMN()-29)),OFFSET(BV649,0,-MIN(60,COLUMN()-29),1,MIN(60,COLUMN()-29))),0)</f>
        <v>0</v>
      </c>
      <c r="BW650" s="112" t="n">
        <f aca="true">IFERROR(SUMPRODUCT(OFFSET($BJ$31,0,1-MIN(60,COLUMN()-29),1,MIN(60,COLUMN()-29)),OFFSET(BW649,0,-MIN(60,COLUMN()-29),1,MIN(60,COLUMN()-29))),0)</f>
        <v>0</v>
      </c>
      <c r="BX650" s="112" t="n">
        <f aca="true">IFERROR(SUMPRODUCT(OFFSET($BJ$31,0,1-MIN(60,COLUMN()-29),1,MIN(60,COLUMN()-29)),OFFSET(BX649,0,-MIN(60,COLUMN()-29),1,MIN(60,COLUMN()-29))),0)</f>
        <v>0</v>
      </c>
      <c r="BY650" s="112" t="n">
        <f aca="true">IFERROR(SUMPRODUCT(OFFSET($BJ$31,0,1-MIN(60,COLUMN()-29),1,MIN(60,COLUMN()-29)),OFFSET(BY649,0,-MIN(60,COLUMN()-29),1,MIN(60,COLUMN()-29))),0)</f>
        <v>0</v>
      </c>
      <c r="BZ650" s="112" t="n">
        <f aca="true">IFERROR(SUMPRODUCT(OFFSET($BJ$31,0,1-MIN(60,COLUMN()-29),1,MIN(60,COLUMN()-29)),OFFSET(BZ649,0,-MIN(60,COLUMN()-29),1,MIN(60,COLUMN()-29))),0)</f>
        <v>0</v>
      </c>
      <c r="CA650" s="112" t="n">
        <f aca="true">IFERROR(SUMPRODUCT(OFFSET($BJ$31,0,1-MIN(60,COLUMN()-29),1,MIN(60,COLUMN()-29)),OFFSET(CA649,0,-MIN(60,COLUMN()-29),1,MIN(60,COLUMN()-29))),0)</f>
        <v>0</v>
      </c>
      <c r="CB650" s="112" t="n">
        <f aca="true">IFERROR(SUMPRODUCT(OFFSET($BJ$31,0,1-MIN(60,COLUMN()-29),1,MIN(60,COLUMN()-29)),OFFSET(CB649,0,-MIN(60,COLUMN()-29),1,MIN(60,COLUMN()-29))),0)</f>
        <v>0</v>
      </c>
      <c r="CC650" s="112" t="n">
        <f aca="true">IFERROR(SUMPRODUCT(OFFSET($BJ$31,0,1-MIN(60,COLUMN()-29),1,MIN(60,COLUMN()-29)),OFFSET(CC649,0,-MIN(60,COLUMN()-29),1,MIN(60,COLUMN()-29))),0)</f>
        <v>0</v>
      </c>
      <c r="CD650" s="112" t="n">
        <f aca="true">IFERROR(SUMPRODUCT(OFFSET($BJ$31,0,1-MIN(60,COLUMN()-29),1,MIN(60,COLUMN()-29)),OFFSET(CD649,0,-MIN(60,COLUMN()-29),1,MIN(60,COLUMN()-29))),0)</f>
        <v>0</v>
      </c>
      <c r="CE650" s="112" t="n">
        <f aca="true">IFERROR(SUMPRODUCT(OFFSET($BJ$31,0,1-MIN(60,COLUMN()-29),1,MIN(60,COLUMN()-29)),OFFSET(CE649,0,-MIN(60,COLUMN()-29),1,MIN(60,COLUMN()-29))),0)</f>
        <v>0</v>
      </c>
      <c r="CF650" s="112" t="n">
        <f aca="true">IFERROR(SUMPRODUCT(OFFSET($BJ$31,0,1-MIN(60,COLUMN()-29),1,MIN(60,COLUMN()-29)),OFFSET(CF649,0,-MIN(60,COLUMN()-29),1,MIN(60,COLUMN()-29))),0)</f>
        <v>0</v>
      </c>
      <c r="CG650" s="112" t="n">
        <f aca="true">IFERROR(SUMPRODUCT(OFFSET($BJ$31,0,1-MIN(60,COLUMN()-29),1,MIN(60,COLUMN()-29)),OFFSET(CG649,0,-MIN(60,COLUMN()-29),1,MIN(60,COLUMN()-29))),0)</f>
        <v>0</v>
      </c>
      <c r="CH650" s="112" t="n">
        <f aca="true">IFERROR(SUMPRODUCT(OFFSET($BJ$31,0,1-MIN(60,COLUMN()-29),1,MIN(60,COLUMN()-29)),OFFSET(CH649,0,-MIN(60,COLUMN()-29),1,MIN(60,COLUMN()-29))),0)</f>
        <v>0</v>
      </c>
      <c r="CI650" s="112" t="n">
        <f aca="true">IFERROR(SUMPRODUCT(OFFSET($BJ$31,0,1-MIN(60,COLUMN()-29),1,MIN(60,COLUMN()-29)),OFFSET(CI649,0,-MIN(60,COLUMN()-29),1,MIN(60,COLUMN()-29))),0)</f>
        <v>0</v>
      </c>
      <c r="CJ650" s="112" t="n">
        <f aca="true">IFERROR(SUMPRODUCT(OFFSET($BJ$31,0,1-MIN(60,COLUMN()-29),1,MIN(60,COLUMN()-29)),OFFSET(CJ649,0,-MIN(60,COLUMN()-29),1,MIN(60,COLUMN()-29))),0)</f>
        <v>0</v>
      </c>
      <c r="CK650" s="112" t="n">
        <f aca="true">IFERROR(SUMPRODUCT(OFFSET($BJ$31,0,1-MIN(60,COLUMN()-29),1,MIN(60,COLUMN()-29)),OFFSET(CK649,0,-MIN(60,COLUMN()-29),1,MIN(60,COLUMN()-29))),0)</f>
        <v>0</v>
      </c>
      <c r="CL650" s="112" t="n">
        <f aca="true">IFERROR(SUMPRODUCT(OFFSET($BJ$31,0,1-MIN(60,COLUMN()-29),1,MIN(60,COLUMN()-29)),OFFSET(CL649,0,-MIN(60,COLUMN()-29),1,MIN(60,COLUMN()-29))),0)</f>
        <v>0</v>
      </c>
      <c r="CM650" s="112" t="n">
        <f aca="true">IFERROR(SUMPRODUCT(OFFSET($BJ$31,0,1-MIN(60,COLUMN()-29),1,MIN(60,COLUMN()-29)),OFFSET(CM649,0,-MIN(60,COLUMN()-29),1,MIN(60,COLUMN()-29))),0)</f>
        <v>0</v>
      </c>
      <c r="CN650" s="112" t="n">
        <f aca="true">IFERROR(SUMPRODUCT(OFFSET($BJ$31,0,1-MIN(60,COLUMN()-29),1,MIN(60,COLUMN()-29)),OFFSET(CN649,0,-MIN(60,COLUMN()-29),1,MIN(60,COLUMN()-29))),0)</f>
        <v>0</v>
      </c>
      <c r="CO650" s="112" t="n">
        <f aca="true">IFERROR(SUMPRODUCT(OFFSET($BJ$31,0,1-MIN(60,COLUMN()-29),1,MIN(60,COLUMN()-29)),OFFSET(CO649,0,-MIN(60,COLUMN()-29),1,MIN(60,COLUMN()-29))),0)</f>
        <v>0</v>
      </c>
      <c r="CP650" s="112" t="n">
        <f aca="true">IFERROR(SUMPRODUCT(OFFSET($BJ$31,0,1-MIN(60,COLUMN()-29),1,MIN(60,COLUMN()-29)),OFFSET(CP649,0,-MIN(60,COLUMN()-29),1,MIN(60,COLUMN()-29))),0)</f>
        <v>0</v>
      </c>
      <c r="CQ650" s="112" t="n">
        <f aca="true">IFERROR(SUMPRODUCT(OFFSET($BJ$31,0,1-MIN(60,COLUMN()-29),1,MIN(60,COLUMN()-29)),OFFSET(CQ649,0,-MIN(60,COLUMN()-29),1,MIN(60,COLUMN()-29))),0)</f>
        <v>0</v>
      </c>
      <c r="CR650" s="112" t="n">
        <f aca="true">IFERROR(SUMPRODUCT(OFFSET($BJ$31,0,1-MIN(60,COLUMN()-29),1,MIN(60,COLUMN()-29)),OFFSET(CR649,0,-MIN(60,COLUMN()-29),1,MIN(60,COLUMN()-29))),0)</f>
        <v>0</v>
      </c>
      <c r="CS650" s="112" t="n">
        <f aca="true">IFERROR(SUMPRODUCT(OFFSET($BJ$31,0,1-MIN(60,COLUMN()-29),1,MIN(60,COLUMN()-29)),OFFSET(CS649,0,-MIN(60,COLUMN()-29),1,MIN(60,COLUMN()-29))),0)</f>
        <v>0</v>
      </c>
      <c r="CT650" s="112" t="n">
        <f aca="true">IFERROR(SUMPRODUCT(OFFSET($BJ$31,0,1-MIN(60,COLUMN()-29),1,MIN(60,COLUMN()-29)),OFFSET(CT649,0,-MIN(60,COLUMN()-29),1,MIN(60,COLUMN()-29))),0)</f>
        <v>0</v>
      </c>
      <c r="CU650" s="112" t="n">
        <f aca="true">IFERROR(SUMPRODUCT(OFFSET($BJ$31,0,1-MIN(60,COLUMN()-29),1,MIN(60,COLUMN()-29)),OFFSET(CU649,0,-MIN(60,COLUMN()-29),1,MIN(60,COLUMN()-29))),0)</f>
        <v>0</v>
      </c>
      <c r="CV650" s="112" t="n">
        <f aca="true">IFERROR(SUMPRODUCT(OFFSET($BJ$31,0,1-MIN(60,COLUMN()-29),1,MIN(60,COLUMN()-29)),OFFSET(CV649,0,-MIN(60,COLUMN()-29),1,MIN(60,COLUMN()-29))),0)</f>
        <v>0</v>
      </c>
      <c r="CW650" s="112" t="n">
        <f aca="true">IFERROR(SUMPRODUCT(OFFSET($BJ$31,0,1-MIN(60,COLUMN()-29),1,MIN(60,COLUMN()-29)),OFFSET(CW649,0,-MIN(60,COLUMN()-29),1,MIN(60,COLUMN()-29))),0)</f>
        <v>0</v>
      </c>
      <c r="CX650" s="112" t="n">
        <f aca="true">IFERROR(SUMPRODUCT(OFFSET($BJ$31,0,1-MIN(60,COLUMN()-29),1,MIN(60,COLUMN()-29)),OFFSET(CX649,0,-MIN(60,COLUMN()-29),1,MIN(60,COLUMN()-29))),0)</f>
        <v>0</v>
      </c>
      <c r="CY650" s="112" t="n">
        <f aca="true">IFERROR(SUMPRODUCT(OFFSET($BJ$31,0,1-MIN(60,COLUMN()-29),1,MIN(60,COLUMN()-29)),OFFSET(CY649,0,-MIN(60,COLUMN()-29),1,MIN(60,COLUMN()-29))),0)</f>
        <v>0</v>
      </c>
      <c r="CZ650" s="112" t="n">
        <f aca="true">IFERROR(SUMPRODUCT(OFFSET($BJ$31,0,1-MIN(60,COLUMN()-29),1,MIN(60,COLUMN()-29)),OFFSET(CZ649,0,-MIN(60,COLUMN()-29),1,MIN(60,COLUMN()-29))),0)</f>
        <v>0</v>
      </c>
      <c r="DA650" s="112" t="n">
        <f aca="true">IFERROR(SUMPRODUCT(OFFSET($BJ$31,0,1-MIN(60,COLUMN()-29),1,MIN(60,COLUMN()-29)),OFFSET(DA649,0,-MIN(60,COLUMN()-29),1,MIN(60,COLUMN()-29))),0)</f>
        <v>0</v>
      </c>
      <c r="DB650" s="112" t="n">
        <f aca="true">IFERROR(SUMPRODUCT(OFFSET($BJ$31,0,1-MIN(60,COLUMN()-29),1,MIN(60,COLUMN()-29)),OFFSET(DB649,0,-MIN(60,COLUMN()-29),1,MIN(60,COLUMN()-29))),0)</f>
        <v>0</v>
      </c>
      <c r="DC650" s="112" t="n">
        <f aca="true">IFERROR(SUMPRODUCT(OFFSET($BJ$31,0,1-MIN(60,COLUMN()-29),1,MIN(60,COLUMN()-29)),OFFSET(DC649,0,-MIN(60,COLUMN()-29),1,MIN(60,COLUMN()-29))),0)</f>
        <v>0</v>
      </c>
      <c r="DD650" s="112" t="n">
        <f aca="true">IFERROR(SUMPRODUCT(OFFSET($BJ$31,0,1-MIN(60,COLUMN()-29),1,MIN(60,COLUMN()-29)),OFFSET(DD649,0,-MIN(60,COLUMN()-29),1,MIN(60,COLUMN()-29))),0)</f>
        <v>0</v>
      </c>
      <c r="DE650" s="112" t="n">
        <f aca="true">IFERROR(SUMPRODUCT(OFFSET($BJ$31,0,1-MIN(60,COLUMN()-29),1,MIN(60,COLUMN()-29)),OFFSET(DE649,0,-MIN(60,COLUMN()-29),1,MIN(60,COLUMN()-29))),0)</f>
        <v>0</v>
      </c>
      <c r="DF650" s="112" t="n">
        <f aca="true">IFERROR(SUMPRODUCT(OFFSET($BJ$31,0,1-MIN(60,COLUMN()-29),1,MIN(60,COLUMN()-29)),OFFSET(DF649,0,-MIN(60,COLUMN()-29),1,MIN(60,COLUMN()-29))),0)</f>
        <v>0</v>
      </c>
      <c r="DG650" s="112" t="n">
        <f aca="true">IFERROR(SUMPRODUCT(OFFSET($BJ$31,0,1-MIN(60,COLUMN()-29),1,MIN(60,COLUMN()-29)),OFFSET(DG649,0,-MIN(60,COLUMN()-29),1,MIN(60,COLUMN()-29))),0)</f>
        <v>0</v>
      </c>
      <c r="DH650" s="112" t="n">
        <f aca="true">IFERROR(SUMPRODUCT(OFFSET($BJ$31,0,1-MIN(60,COLUMN()-29),1,MIN(60,COLUMN()-29)),OFFSET(DH649,0,-MIN(60,COLUMN()-29),1,MIN(60,COLUMN()-29))),0)</f>
        <v>0</v>
      </c>
      <c r="DI650" s="112" t="n">
        <f aca="true">IFERROR(SUMPRODUCT(OFFSET($BJ$31,0,1-MIN(60,COLUMN()-29),1,MIN(60,COLUMN()-29)),OFFSET(DI649,0,-MIN(60,COLUMN()-29),1,MIN(60,COLUMN()-29))),0)</f>
        <v>0</v>
      </c>
      <c r="DJ650" s="112" t="n">
        <f aca="true">IFERROR(SUMPRODUCT(OFFSET($BJ$31,0,1-MIN(60,COLUMN()-29),1,MIN(60,COLUMN()-29)),OFFSET(DJ649,0,-MIN(60,COLUMN()-29),1,MIN(60,COLUMN()-29))),0)</f>
        <v>0</v>
      </c>
      <c r="DK650" s="112" t="n">
        <f aca="true">IFERROR(SUMPRODUCT(OFFSET($BJ$31,0,1-MIN(60,COLUMN()-29),1,MIN(60,COLUMN()-29)),OFFSET(DK649,0,-MIN(60,COLUMN()-29),1,MIN(60,COLUMN()-29))),0)</f>
        <v>0</v>
      </c>
      <c r="DL650" s="112" t="n">
        <f aca="true">IFERROR(SUMPRODUCT(OFFSET($BJ$31,0,1-MIN(60,COLUMN()-29),1,MIN(60,COLUMN()-29)),OFFSET(DL649,0,-MIN(60,COLUMN()-29),1,MIN(60,COLUMN()-29))),0)</f>
        <v>0</v>
      </c>
      <c r="DM650" s="112" t="n">
        <f aca="true">IFERROR(SUMPRODUCT(OFFSET($BJ$31,0,1-MIN(60,COLUMN()-29),1,MIN(60,COLUMN()-29)),OFFSET(DM649,0,-MIN(60,COLUMN()-29),1,MIN(60,COLUMN()-29))),0)</f>
        <v>0</v>
      </c>
      <c r="DN650" s="112" t="n">
        <f aca="true">IFERROR(SUMPRODUCT(OFFSET($BJ$31,0,1-MIN(60,COLUMN()-29),1,MIN(60,COLUMN()-29)),OFFSET(DN649,0,-MIN(60,COLUMN()-29),1,MIN(60,COLUMN()-29))),0)</f>
        <v>0</v>
      </c>
      <c r="DO650" s="112" t="n">
        <f aca="true">IFERROR(SUMPRODUCT(OFFSET($BJ$31,0,1-MIN(60,COLUMN()-29),1,MIN(60,COLUMN()-29)),OFFSET(DO649,0,-MIN(60,COLUMN()-29),1,MIN(60,COLUMN()-29))),0)</f>
        <v>0</v>
      </c>
      <c r="DP650" s="112" t="n">
        <f aca="true">IFERROR(SUMPRODUCT(OFFSET($BJ$31,0,1-MIN(60,COLUMN()-29),1,MIN(60,COLUMN()-29)),OFFSET(DP649,0,-MIN(60,COLUMN()-29),1,MIN(60,COLUMN()-29))),0)</f>
        <v>0</v>
      </c>
      <c r="DQ650" s="112" t="n">
        <f aca="true">IFERROR(SUMPRODUCT(OFFSET($BJ$31,0,1-MIN(60,COLUMN()-29),1,MIN(60,COLUMN()-29)),OFFSET(DQ649,0,-MIN(60,COLUMN()-29),1,MIN(60,COLUMN()-29))),0)</f>
        <v>0</v>
      </c>
      <c r="DR650" s="112" t="n">
        <f aca="true">IFERROR(SUMPRODUCT(OFFSET($BJ$31,0,1-MIN(60,COLUMN()-29),1,MIN(60,COLUMN()-29)),OFFSET(DR649,0,-MIN(60,COLUMN()-29),1,MIN(60,COLUMN()-29))),0)</f>
        <v>0</v>
      </c>
      <c r="DS650" s="112" t="n">
        <f aca="true">IFERROR(SUMPRODUCT(OFFSET($BJ$31,0,1-MIN(60,COLUMN()-29),1,MIN(60,COLUMN()-29)),OFFSET(DS649,0,-MIN(60,COLUMN()-29),1,MIN(60,COLUMN()-29))),0)</f>
        <v>0</v>
      </c>
      <c r="DT650" s="112" t="n">
        <f aca="true">IFERROR(SUMPRODUCT(OFFSET($BJ$31,0,1-MIN(60,COLUMN()-29),1,MIN(60,COLUMN()-29)),OFFSET(DT649,0,-MIN(60,COLUMN()-29),1,MIN(60,COLUMN()-29))),0)</f>
        <v>0</v>
      </c>
      <c r="DU650" s="112" t="n">
        <f aca="true">IFERROR(SUMPRODUCT(OFFSET($BJ$31,0,1-MIN(60,COLUMN()-29),1,MIN(60,COLUMN()-29)),OFFSET(DU649,0,-MIN(60,COLUMN()-29),1,MIN(60,COLUMN()-29))),0)</f>
        <v>0</v>
      </c>
      <c r="DV650" s="112" t="n">
        <f aca="true">IFERROR(SUMPRODUCT(OFFSET($BJ$31,0,1-MIN(60,COLUMN()-29),1,MIN(60,COLUMN()-29)),OFFSET(DV649,0,-MIN(60,COLUMN()-29),1,MIN(60,COLUMN()-29))),0)</f>
        <v>0</v>
      </c>
      <c r="DW650" s="112" t="n">
        <f aca="true">IFERROR(SUMPRODUCT(OFFSET($BJ$31,0,1-MIN(60,COLUMN()-29),1,MIN(60,COLUMN()-29)),OFFSET(DW649,0,-MIN(60,COLUMN()-29),1,MIN(60,COLUMN()-29))),0)</f>
        <v>0</v>
      </c>
      <c r="DX650" s="112" t="n">
        <f aca="true">IFERROR(SUMPRODUCT(OFFSET($BJ$31,0,1-MIN(60,COLUMN()-29),1,MIN(60,COLUMN()-29)),OFFSET(DX649,0,-MIN(60,COLUMN()-29),1,MIN(60,COLUMN()-29))),0)</f>
        <v>0</v>
      </c>
      <c r="DY650" s="112" t="n">
        <f aca="true">IFERROR(SUMPRODUCT(OFFSET($BJ$31,0,1-MIN(60,COLUMN()-29),1,MIN(60,COLUMN()-29)),OFFSET(DY649,0,-MIN(60,COLUMN()-29),1,MIN(60,COLUMN()-29))),0)</f>
        <v>0</v>
      </c>
      <c r="DZ650" s="112" t="n">
        <f aca="true">IFERROR(SUMPRODUCT(OFFSET($BJ$31,0,1-MIN(60,COLUMN()-29),1,MIN(60,COLUMN()-29)),OFFSET(DZ649,0,-MIN(60,COLUMN()-29),1,MIN(60,COLUMN()-29))),0)</f>
        <v>0</v>
      </c>
      <c r="EA650" s="112" t="n">
        <f aca="true">IFERROR(SUMPRODUCT(OFFSET($BJ$31,0,1-MIN(60,COLUMN()-29),1,MIN(60,COLUMN()-29)),OFFSET(EA649,0,-MIN(60,COLUMN()-29),1,MIN(60,COLUMN()-29))),0)</f>
        <v>0</v>
      </c>
      <c r="EB650" s="112" t="n">
        <f aca="true">IFERROR(SUMPRODUCT(OFFSET($BJ$31,0,1-MIN(60,COLUMN()-29),1,MIN(60,COLUMN()-29)),OFFSET(EB649,0,-MIN(60,COLUMN()-29),1,MIN(60,COLUMN()-29))),0)</f>
        <v>0</v>
      </c>
      <c r="EC650" s="112" t="n">
        <f aca="true">IFERROR(SUMPRODUCT(OFFSET($BJ$31,0,1-MIN(60,COLUMN()-29),1,MIN(60,COLUMN()-29)),OFFSET(EC649,0,-MIN(60,COLUMN()-29),1,MIN(60,COLUMN()-29))),0)</f>
        <v>0</v>
      </c>
      <c r="ED650" s="112" t="n">
        <f aca="true">IFERROR(SUMPRODUCT(OFFSET($BJ$31,0,1-MIN(60,COLUMN()-29),1,MIN(60,COLUMN()-29)),OFFSET(ED649,0,-MIN(60,COLUMN()-29),1,MIN(60,COLUMN()-29))),0)</f>
        <v>0</v>
      </c>
      <c r="EE650" s="112" t="n">
        <f aca="true">IFERROR(SUMPRODUCT(OFFSET($BJ$31,0,1-MIN(60,COLUMN()-29),1,MIN(60,COLUMN()-29)),OFFSET(EE649,0,-MIN(60,COLUMN()-29),1,MIN(60,COLUMN()-29))),0)</f>
        <v>0</v>
      </c>
      <c r="EF650" s="112" t="n">
        <f aca="true">IFERROR(SUMPRODUCT(OFFSET($BJ$31,0,1-MIN(60,COLUMN()-29),1,MIN(60,COLUMN()-29)),OFFSET(EF649,0,-MIN(60,COLUMN()-29),1,MIN(60,COLUMN()-29))),0)</f>
        <v>0</v>
      </c>
      <c r="EG650" s="112" t="n">
        <f aca="true">IFERROR(SUMPRODUCT(OFFSET($BJ$31,0,1-MIN(60,COLUMN()-29),1,MIN(60,COLUMN()-29)),OFFSET(EG649,0,-MIN(60,COLUMN()-29),1,MIN(60,COLUMN()-29))),0)</f>
        <v>0</v>
      </c>
      <c r="EH650" s="112" t="n">
        <f aca="true">IFERROR(SUMPRODUCT(OFFSET($BJ$31,0,1-MIN(60,COLUMN()-29),1,MIN(60,COLUMN()-29)),OFFSET(EH649,0,-MIN(60,COLUMN()-29),1,MIN(60,COLUMN()-29))),0)</f>
        <v>0</v>
      </c>
      <c r="EI650" s="112" t="n">
        <f aca="true">IFERROR(SUMPRODUCT(OFFSET($BJ$31,0,1-MIN(60,COLUMN()-29),1,MIN(60,COLUMN()-29)),OFFSET(EI649,0,-MIN(60,COLUMN()-29),1,MIN(60,COLUMN()-29))),0)</f>
        <v>0</v>
      </c>
      <c r="EJ650" s="112" t="n">
        <f aca="true">IFERROR(SUMPRODUCT(OFFSET($BJ$31,0,1-MIN(60,COLUMN()-29),1,MIN(60,COLUMN()-29)),OFFSET(EJ649,0,-MIN(60,COLUMN()-29),1,MIN(60,COLUMN()-29))),0)</f>
        <v>0</v>
      </c>
      <c r="EK650" s="112" t="n">
        <f aca="true">IFERROR(SUMPRODUCT(OFFSET($BJ$31,0,1-MIN(60,COLUMN()-29),1,MIN(60,COLUMN()-29)),OFFSET(EK649,0,-MIN(60,COLUMN()-29),1,MIN(60,COLUMN()-29))),0)</f>
        <v>0</v>
      </c>
      <c r="EL650" s="112" t="n">
        <f aca="true">IFERROR(SUMPRODUCT(OFFSET($BJ$31,0,1-MIN(60,COLUMN()-29),1,MIN(60,COLUMN()-29)),OFFSET(EL649,0,-MIN(60,COLUMN()-29),1,MIN(60,COLUMN()-29))),0)</f>
        <v>0</v>
      </c>
      <c r="EM650" s="112" t="n">
        <f aca="true">IFERROR(SUMPRODUCT(OFFSET($BJ$31,0,1-MIN(60,COLUMN()-29),1,MIN(60,COLUMN()-29)),OFFSET(EM649,0,-MIN(60,COLUMN()-29),1,MIN(60,COLUMN()-29))),0)</f>
        <v>0</v>
      </c>
      <c r="EN650" s="112" t="n">
        <f aca="true">IFERROR(SUMPRODUCT(OFFSET($BJ$31,0,1-MIN(60,COLUMN()-29),1,MIN(60,COLUMN()-29)),OFFSET(EN649,0,-MIN(60,COLUMN()-29),1,MIN(60,COLUMN()-29))),0)</f>
        <v>0</v>
      </c>
      <c r="EO650" s="112" t="n">
        <f aca="true">IFERROR(SUMPRODUCT(OFFSET($BJ$31,0,1-MIN(60,COLUMN()-29),1,MIN(60,COLUMN()-29)),OFFSET(EO649,0,-MIN(60,COLUMN()-29),1,MIN(60,COLUMN()-29))),0)</f>
        <v>0</v>
      </c>
      <c r="EP650" s="112" t="n">
        <f aca="true">IFERROR(SUMPRODUCT(OFFSET($BJ$31,0,1-MIN(60,COLUMN()-29),1,MIN(60,COLUMN()-29)),OFFSET(EP649,0,-MIN(60,COLUMN()-29),1,MIN(60,COLUMN()-29))),0)</f>
        <v>0</v>
      </c>
      <c r="EQ650" s="112" t="n">
        <f aca="true">IFERROR(SUMPRODUCT(OFFSET($BJ$31,0,1-MIN(60,COLUMN()-29),1,MIN(60,COLUMN()-29)),OFFSET(EQ649,0,-MIN(60,COLUMN()-29),1,MIN(60,COLUMN()-29))),0)</f>
        <v>0</v>
      </c>
      <c r="ER650" s="112" t="n">
        <f aca="true">IFERROR(SUMPRODUCT(OFFSET($BJ$31,0,1-MIN(60,COLUMN()-29),1,MIN(60,COLUMN()-29)),OFFSET(ER649,0,-MIN(60,COLUMN()-29),1,MIN(60,COLUMN()-29))),0)</f>
        <v>0</v>
      </c>
      <c r="ES650" s="9" t="n">
        <f aca="true">IFERROR(SUMPRODUCT(OFFSET($BJ$31,0,1-MIN(60,COLUMN()-29),1,MIN(60,COLUMN()-29)),OFFSET(ES649,0,-MIN(60,COLUMN()-29),1,MIN(60,COLUMN()-29))),0)</f>
        <v>0</v>
      </c>
      <c r="ET650" s="9" t="n">
        <f aca="true">IFERROR(SUMPRODUCT(OFFSET($BJ$31,0,1-MIN(60,COLUMN()-29),1,MIN(60,COLUMN()-29)),OFFSET(ET649,0,-MIN(60,COLUMN()-29),1,MIN(60,COLUMN()-29))),0)</f>
        <v>0</v>
      </c>
      <c r="EU650" s="9" t="n">
        <f aca="true">IFERROR(SUMPRODUCT(OFFSET($BJ$31,0,1-MIN(60,COLUMN()-29),1,MIN(60,COLUMN()-29)),OFFSET(EU649,0,-MIN(60,COLUMN()-29),1,MIN(60,COLUMN()-29))),0)</f>
        <v>0</v>
      </c>
      <c r="EV650" s="9" t="n">
        <f aca="true">IFERROR(SUMPRODUCT(OFFSET($BJ$31,0,1-MIN(60,COLUMN()-29),1,MIN(60,COLUMN()-29)),OFFSET(EV649,0,-MIN(60,COLUMN()-29),1,MIN(60,COLUMN()-29))),0)</f>
        <v>0</v>
      </c>
      <c r="EW650" s="9" t="n">
        <f aca="true">IFERROR(SUMPRODUCT(OFFSET($BJ$31,0,1-MIN(60,COLUMN()-29),1,MIN(60,COLUMN()-29)),OFFSET(EW649,0,-MIN(60,COLUMN()-29),1,MIN(60,COLUMN()-29))),0)</f>
        <v>0</v>
      </c>
      <c r="EX650" s="9" t="n">
        <f aca="true">IFERROR(SUMPRODUCT(OFFSET($BJ$31,0,1-MIN(60,COLUMN()-29),1,MIN(60,COLUMN()-29)),OFFSET(EX649,0,-MIN(60,COLUMN()-29),1,MIN(60,COLUMN()-29))),0)</f>
        <v>0</v>
      </c>
      <c r="EY650" s="9" t="n">
        <f aca="true">IFERROR(SUMPRODUCT(OFFSET($BJ$31,0,1-MIN(60,COLUMN()-29),1,MIN(60,COLUMN()-29)),OFFSET(EY649,0,-MIN(60,COLUMN()-29),1,MIN(60,COLUMN()-29))),0)</f>
        <v>0</v>
      </c>
      <c r="EZ650" s="9" t="n">
        <f aca="true">IFERROR(SUMPRODUCT(OFFSET($BJ$31,0,1-MIN(60,COLUMN()-29),1,MIN(60,COLUMN()-29)),OFFSET(EZ649,0,-MIN(60,COLUMN()-29),1,MIN(60,COLUMN()-29))),0)</f>
        <v>0</v>
      </c>
      <c r="FA650" s="9" t="n">
        <f aca="true">IFERROR(SUMPRODUCT(OFFSET($BJ$31,0,1-MIN(60,COLUMN()-29),1,MIN(60,COLUMN()-29)),OFFSET(FA649,0,-MIN(60,COLUMN()-29),1,MIN(60,COLUMN()-29))),0)</f>
        <v>0</v>
      </c>
      <c r="FB650" s="9" t="n">
        <f aca="true">IFERROR(SUMPRODUCT(OFFSET($BJ$31,0,1-MIN(60,COLUMN()-29),1,MIN(60,COLUMN()-29)),OFFSET(FB649,0,-MIN(60,COLUMN()-29),1,MIN(60,COLUMN()-29))),0)</f>
        <v>0</v>
      </c>
      <c r="FC650" s="9" t="n">
        <f aca="true">IFERROR(SUMPRODUCT(OFFSET($BJ$31,0,1-MIN(60,COLUMN()-29),1,MIN(60,COLUMN()-29)),OFFSET(FC649,0,-MIN(60,COLUMN()-29),1,MIN(60,COLUMN()-29))),0)</f>
        <v>0</v>
      </c>
      <c r="FD650" s="9" t="n">
        <f aca="true">IFERROR(SUMPRODUCT(OFFSET($BJ$31,0,1-MIN(60,COLUMN()-29),1,MIN(60,COLUMN()-29)),OFFSET(FD649,0,-MIN(60,COLUMN()-29),1,MIN(60,COLUMN()-29))),0)</f>
        <v>0</v>
      </c>
      <c r="FE650" s="9" t="n">
        <f aca="true">IFERROR(SUMPRODUCT(OFFSET($BJ$31,0,1-MIN(60,COLUMN()-29),1,MIN(60,COLUMN()-29)),OFFSET(FE649,0,-MIN(60,COLUMN()-29),1,MIN(60,COLUMN()-29))),0)</f>
        <v>0</v>
      </c>
      <c r="FF650" s="9" t="n">
        <f aca="true">IFERROR(SUMPRODUCT(OFFSET($BJ$31,0,1-MIN(60,COLUMN()-29),1,MIN(60,COLUMN()-29)),OFFSET(FF649,0,-MIN(60,COLUMN()-29),1,MIN(60,COLUMN()-29))),0)</f>
        <v>0</v>
      </c>
      <c r="FG650" s="9" t="n">
        <f aca="true">IFERROR(SUMPRODUCT(OFFSET($BJ$31,0,1-MIN(60,COLUMN()-29),1,MIN(60,COLUMN()-29)),OFFSET(FG649,0,-MIN(60,COLUMN()-29),1,MIN(60,COLUMN()-29))),0)</f>
        <v>0</v>
      </c>
      <c r="FH650" s="9" t="n">
        <f aca="true">IFERROR(SUMPRODUCT(OFFSET($BJ$31,0,1-MIN(60,COLUMN()-29),1,MIN(60,COLUMN()-29)),OFFSET(FH649,0,-MIN(60,COLUMN()-29),1,MIN(60,COLUMN()-29))),0)</f>
        <v>0</v>
      </c>
      <c r="FI650" s="9" t="n">
        <f aca="true">IFERROR(SUMPRODUCT(OFFSET($BJ$31,0,1-MIN(60,COLUMN()-29),1,MIN(60,COLUMN()-29)),OFFSET(FI649,0,-MIN(60,COLUMN()-29),1,MIN(60,COLUMN()-29))),0)</f>
        <v>0</v>
      </c>
      <c r="FJ650" s="9" t="n">
        <f aca="true">IFERROR(SUMPRODUCT(OFFSET($BJ$31,0,1-MIN(60,COLUMN()-29),1,MIN(60,COLUMN()-29)),OFFSET(FJ649,0,-MIN(60,COLUMN()-29),1,MIN(60,COLUMN()-29))),0)</f>
        <v>0</v>
      </c>
      <c r="FK650" s="9" t="n">
        <f aca="true">IFERROR(SUMPRODUCT(OFFSET($BJ$31,0,1-MIN(60,COLUMN()-29),1,MIN(60,COLUMN()-29)),OFFSET(FK649,0,-MIN(60,COLUMN()-29),1,MIN(60,COLUMN()-29))),0)</f>
        <v>0</v>
      </c>
      <c r="FL650" s="9" t="n">
        <f aca="true">IFERROR(SUMPRODUCT(OFFSET($BJ$31,0,1-MIN(60,COLUMN()-29),1,MIN(60,COLUMN()-29)),OFFSET(FL649,0,-MIN(60,COLUMN()-29),1,MIN(60,COLUMN()-29))),0)</f>
        <v>0</v>
      </c>
      <c r="FM650" s="9" t="n">
        <f aca="true">IFERROR(SUMPRODUCT(OFFSET($BJ$31,0,1-MIN(60,COLUMN()-29),1,MIN(60,COLUMN()-29)),OFFSET(FM649,0,-MIN(60,COLUMN()-29),1,MIN(60,COLUMN()-29))),0)</f>
        <v>0</v>
      </c>
      <c r="FN650" s="9" t="n">
        <f aca="true">IFERROR(SUMPRODUCT(OFFSET($BJ$31,0,1-MIN(60,COLUMN()-29),1,MIN(60,COLUMN()-29)),OFFSET(FN649,0,-MIN(60,COLUMN()-29),1,MIN(60,COLUMN()-29))),0)</f>
        <v>0</v>
      </c>
      <c r="FO650" s="9" t="n">
        <f aca="true">IFERROR(SUMPRODUCT(OFFSET($BJ$31,0,1-MIN(60,COLUMN()-29),1,MIN(60,COLUMN()-29)),OFFSET(FO649,0,-MIN(60,COLUMN()-29),1,MIN(60,COLUMN()-29))),0)</f>
        <v>0</v>
      </c>
      <c r="FP650" s="9" t="n">
        <f aca="true">IFERROR(SUMPRODUCT(OFFSET($BJ$31,0,1-MIN(60,COLUMN()-29),1,MIN(60,COLUMN()-29)),OFFSET(FP649,0,-MIN(60,COLUMN()-29),1,MIN(60,COLUMN()-29))),0)</f>
        <v>0</v>
      </c>
    </row>
    <row r="651" customFormat="false" ht="15" hidden="false" customHeight="false" outlineLevel="2" collapsed="false">
      <c r="B651" s="90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237"/>
      <c r="AD651" s="237"/>
      <c r="AE651" s="237"/>
      <c r="AF651" s="237"/>
      <c r="AG651" s="237"/>
      <c r="AH651" s="237"/>
      <c r="AI651" s="237"/>
      <c r="AJ651" s="237"/>
      <c r="AK651" s="237"/>
      <c r="AL651" s="237"/>
      <c r="AM651" s="237"/>
      <c r="AN651" s="237"/>
      <c r="AO651" s="237"/>
      <c r="AP651" s="237"/>
      <c r="AQ651" s="237"/>
      <c r="AR651" s="237"/>
      <c r="AS651" s="237"/>
      <c r="AT651" s="237"/>
      <c r="AU651" s="237"/>
      <c r="AV651" s="237"/>
      <c r="AW651" s="237"/>
      <c r="AX651" s="237"/>
      <c r="AY651" s="237"/>
      <c r="AZ651" s="237"/>
      <c r="BA651" s="237"/>
      <c r="BB651" s="237"/>
      <c r="BC651" s="237"/>
      <c r="BD651" s="237"/>
      <c r="BE651" s="237"/>
      <c r="BF651" s="237"/>
      <c r="BG651" s="237"/>
      <c r="BH651" s="237"/>
      <c r="BI651" s="237"/>
      <c r="BJ651" s="237"/>
      <c r="BK651" s="237"/>
      <c r="BL651" s="237"/>
      <c r="BM651" s="237"/>
      <c r="BN651" s="237"/>
      <c r="BO651" s="237"/>
      <c r="BP651" s="237"/>
      <c r="BQ651" s="237"/>
      <c r="BR651" s="237"/>
      <c r="BS651" s="237"/>
      <c r="BT651" s="237"/>
      <c r="BU651" s="237"/>
      <c r="BV651" s="237"/>
      <c r="BW651" s="237"/>
      <c r="BX651" s="237"/>
      <c r="BY651" s="237"/>
      <c r="BZ651" s="237"/>
      <c r="CA651" s="237"/>
      <c r="CB651" s="237"/>
      <c r="CC651" s="237"/>
      <c r="CD651" s="237"/>
      <c r="CE651" s="237"/>
      <c r="CF651" s="237"/>
      <c r="CG651" s="237"/>
      <c r="CH651" s="237"/>
      <c r="CI651" s="237"/>
      <c r="CJ651" s="237"/>
      <c r="CK651" s="237"/>
      <c r="CL651" s="237"/>
      <c r="CM651" s="237"/>
      <c r="CN651" s="237"/>
      <c r="CO651" s="237"/>
      <c r="CP651" s="237"/>
      <c r="CQ651" s="237"/>
      <c r="CR651" s="237"/>
      <c r="CS651" s="237"/>
      <c r="CT651" s="237"/>
      <c r="CU651" s="237"/>
      <c r="CV651" s="237"/>
      <c r="CW651" s="237"/>
      <c r="CX651" s="237"/>
      <c r="CY651" s="237"/>
      <c r="CZ651" s="237"/>
      <c r="DA651" s="237"/>
      <c r="DB651" s="237"/>
      <c r="DC651" s="237"/>
      <c r="DD651" s="237"/>
      <c r="DE651" s="237"/>
      <c r="DF651" s="237"/>
      <c r="DG651" s="237"/>
      <c r="DH651" s="237"/>
      <c r="DI651" s="237"/>
      <c r="DJ651" s="237"/>
      <c r="DK651" s="237"/>
      <c r="DL651" s="237"/>
      <c r="DM651" s="237"/>
      <c r="DN651" s="237"/>
      <c r="DO651" s="237"/>
      <c r="DP651" s="237"/>
      <c r="DQ651" s="237"/>
      <c r="DR651" s="237"/>
      <c r="DS651" s="237"/>
      <c r="DT651" s="237"/>
      <c r="DU651" s="237"/>
      <c r="DV651" s="237"/>
      <c r="DW651" s="237"/>
      <c r="DX651" s="237"/>
      <c r="DY651" s="237"/>
      <c r="DZ651" s="237"/>
      <c r="EA651" s="237"/>
      <c r="EB651" s="237"/>
      <c r="EC651" s="237"/>
      <c r="ED651" s="237"/>
      <c r="EE651" s="237"/>
      <c r="EF651" s="237"/>
      <c r="EG651" s="237"/>
      <c r="EH651" s="237"/>
      <c r="EI651" s="237"/>
      <c r="EJ651" s="237"/>
      <c r="EK651" s="237"/>
      <c r="EL651" s="237"/>
      <c r="EM651" s="237"/>
      <c r="EN651" s="237"/>
      <c r="EO651" s="237"/>
      <c r="EP651" s="237"/>
      <c r="EQ651" s="237"/>
      <c r="ER651" s="237"/>
      <c r="ES651" s="9"/>
      <c r="ET651" s="9"/>
      <c r="EU651" s="9"/>
      <c r="EV651" s="9"/>
      <c r="EW651" s="9"/>
      <c r="EX651" s="9"/>
      <c r="EY651" s="9"/>
      <c r="EZ651" s="9"/>
      <c r="FA651" s="9"/>
      <c r="FB651" s="9"/>
      <c r="FC651" s="9"/>
      <c r="FD651" s="9"/>
      <c r="FE651" s="9"/>
      <c r="FF651" s="9"/>
      <c r="FG651" s="9"/>
      <c r="FH651" s="9"/>
      <c r="FI651" s="9"/>
      <c r="FJ651" s="9"/>
      <c r="FK651" s="9"/>
      <c r="FL651" s="9"/>
      <c r="FM651" s="9"/>
      <c r="FN651" s="9"/>
      <c r="FO651" s="9"/>
      <c r="FP651" s="9"/>
    </row>
    <row r="652" customFormat="false" ht="15" hidden="false" customHeight="false" outlineLevel="2" collapsed="false">
      <c r="B652" s="240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237"/>
      <c r="AD652" s="237"/>
      <c r="AE652" s="237"/>
      <c r="AF652" s="237"/>
      <c r="AG652" s="237"/>
      <c r="AH652" s="237"/>
      <c r="AI652" s="237"/>
      <c r="AJ652" s="237"/>
      <c r="AK652" s="237"/>
      <c r="AL652" s="237"/>
      <c r="AM652" s="237"/>
      <c r="AN652" s="237"/>
      <c r="AO652" s="237"/>
      <c r="AP652" s="237"/>
      <c r="AQ652" s="237"/>
      <c r="AR652" s="237"/>
      <c r="AS652" s="237"/>
      <c r="AT652" s="237"/>
      <c r="AU652" s="237"/>
      <c r="AV652" s="237"/>
      <c r="AW652" s="237"/>
      <c r="AX652" s="237"/>
      <c r="AY652" s="237"/>
      <c r="AZ652" s="237"/>
      <c r="BA652" s="237"/>
      <c r="BB652" s="237"/>
      <c r="BC652" s="237"/>
      <c r="BD652" s="237"/>
      <c r="BE652" s="237"/>
      <c r="BF652" s="237"/>
      <c r="BG652" s="237"/>
      <c r="BH652" s="237"/>
      <c r="BI652" s="237"/>
      <c r="BJ652" s="237"/>
      <c r="BK652" s="237"/>
      <c r="BL652" s="237"/>
      <c r="BM652" s="237"/>
      <c r="BN652" s="237"/>
      <c r="BO652" s="237"/>
      <c r="BP652" s="237"/>
      <c r="BQ652" s="237"/>
      <c r="BR652" s="237"/>
      <c r="BS652" s="237"/>
      <c r="BT652" s="237"/>
      <c r="BU652" s="237"/>
      <c r="BV652" s="237"/>
      <c r="BW652" s="237"/>
      <c r="BX652" s="237"/>
      <c r="BY652" s="237"/>
      <c r="BZ652" s="237"/>
      <c r="CA652" s="237"/>
      <c r="CB652" s="237"/>
      <c r="CC652" s="237"/>
      <c r="CD652" s="237"/>
      <c r="CE652" s="237"/>
      <c r="CF652" s="237"/>
      <c r="CG652" s="237"/>
      <c r="CH652" s="237"/>
      <c r="CI652" s="237"/>
      <c r="CJ652" s="237"/>
      <c r="CK652" s="237"/>
      <c r="CL652" s="237"/>
      <c r="CM652" s="237"/>
      <c r="CN652" s="237"/>
      <c r="CO652" s="237"/>
      <c r="CP652" s="237"/>
      <c r="CQ652" s="237"/>
      <c r="CR652" s="237"/>
      <c r="CS652" s="237"/>
      <c r="CT652" s="237"/>
      <c r="CU652" s="237"/>
      <c r="CV652" s="237"/>
      <c r="CW652" s="237"/>
      <c r="CX652" s="237"/>
      <c r="CY652" s="237"/>
      <c r="CZ652" s="237"/>
      <c r="DA652" s="237"/>
      <c r="DB652" s="237"/>
      <c r="DC652" s="237"/>
      <c r="DD652" s="237"/>
      <c r="DE652" s="237"/>
      <c r="DF652" s="237"/>
      <c r="DG652" s="237"/>
      <c r="DH652" s="237"/>
      <c r="DI652" s="237"/>
      <c r="DJ652" s="237"/>
      <c r="DK652" s="237"/>
      <c r="DL652" s="237"/>
      <c r="DM652" s="237"/>
      <c r="DN652" s="237"/>
      <c r="DO652" s="237"/>
      <c r="DP652" s="237"/>
      <c r="DQ652" s="237"/>
      <c r="DR652" s="237"/>
      <c r="DS652" s="237"/>
      <c r="DT652" s="237"/>
      <c r="DU652" s="237"/>
      <c r="DV652" s="237"/>
      <c r="DW652" s="237"/>
      <c r="DX652" s="237"/>
      <c r="DY652" s="237"/>
      <c r="DZ652" s="237"/>
      <c r="EA652" s="237"/>
      <c r="EB652" s="237"/>
      <c r="EC652" s="237"/>
      <c r="ED652" s="237"/>
      <c r="EE652" s="237"/>
      <c r="EF652" s="237"/>
      <c r="EG652" s="237"/>
      <c r="EH652" s="237"/>
      <c r="EI652" s="237"/>
      <c r="EJ652" s="237"/>
      <c r="EK652" s="237"/>
      <c r="EL652" s="237"/>
      <c r="EM652" s="237"/>
      <c r="EN652" s="237"/>
      <c r="EO652" s="237"/>
      <c r="EP652" s="237"/>
      <c r="EQ652" s="237"/>
      <c r="ER652" s="237"/>
      <c r="ES652" s="9"/>
      <c r="ET652" s="9"/>
      <c r="EU652" s="9"/>
      <c r="EV652" s="9"/>
      <c r="EW652" s="9"/>
      <c r="EX652" s="9"/>
      <c r="EY652" s="9"/>
      <c r="EZ652" s="9"/>
      <c r="FA652" s="9"/>
      <c r="FB652" s="9"/>
      <c r="FC652" s="9"/>
      <c r="FD652" s="9"/>
      <c r="FE652" s="9"/>
      <c r="FF652" s="9"/>
      <c r="FG652" s="9"/>
      <c r="FH652" s="9"/>
      <c r="FI652" s="9"/>
      <c r="FJ652" s="9"/>
      <c r="FK652" s="9"/>
      <c r="FL652" s="9"/>
      <c r="FM652" s="9"/>
      <c r="FN652" s="9"/>
      <c r="FO652" s="9"/>
      <c r="FP652" s="9"/>
    </row>
    <row r="653" customFormat="false" ht="15" hidden="false" customHeight="false" outlineLevel="2" collapsed="false">
      <c r="B653" s="21" t="s">
        <v>938</v>
      </c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1"/>
      <c r="BL653" s="21"/>
      <c r="BM653" s="21"/>
      <c r="BN653" s="21"/>
      <c r="BO653" s="21"/>
      <c r="BP653" s="21"/>
      <c r="BQ653" s="21"/>
      <c r="BR653" s="21"/>
      <c r="BS653" s="21"/>
      <c r="BT653" s="21"/>
      <c r="BU653" s="21"/>
      <c r="BV653" s="21"/>
      <c r="BW653" s="21"/>
      <c r="BX653" s="21"/>
      <c r="BY653" s="21"/>
      <c r="BZ653" s="21"/>
      <c r="CA653" s="21"/>
      <c r="CB653" s="21"/>
      <c r="CC653" s="21"/>
      <c r="CD653" s="21"/>
      <c r="CE653" s="21"/>
      <c r="CF653" s="21"/>
      <c r="CG653" s="21"/>
      <c r="CH653" s="21"/>
      <c r="CI653" s="21"/>
      <c r="CJ653" s="21"/>
      <c r="CK653" s="21"/>
      <c r="CL653" s="21"/>
      <c r="CM653" s="21"/>
      <c r="CN653" s="21"/>
      <c r="CO653" s="21"/>
      <c r="CP653" s="21"/>
      <c r="CQ653" s="21"/>
      <c r="CR653" s="21"/>
      <c r="CS653" s="21"/>
      <c r="CT653" s="21"/>
      <c r="CU653" s="21"/>
      <c r="CV653" s="21"/>
      <c r="CW653" s="21"/>
      <c r="CX653" s="21"/>
      <c r="CY653" s="21"/>
      <c r="CZ653" s="21"/>
      <c r="DA653" s="21"/>
      <c r="DB653" s="21"/>
      <c r="DC653" s="21"/>
      <c r="DD653" s="21"/>
      <c r="DE653" s="21"/>
      <c r="DF653" s="21"/>
      <c r="DG653" s="21"/>
      <c r="DH653" s="21"/>
      <c r="DI653" s="21"/>
      <c r="DJ653" s="21"/>
      <c r="DK653" s="21"/>
      <c r="DL653" s="21"/>
      <c r="DM653" s="21"/>
      <c r="DN653" s="21"/>
      <c r="DO653" s="21"/>
      <c r="DP653" s="21"/>
      <c r="DQ653" s="21"/>
      <c r="DR653" s="21"/>
      <c r="DS653" s="21"/>
      <c r="DT653" s="21"/>
      <c r="DU653" s="21"/>
      <c r="DV653" s="21"/>
      <c r="DW653" s="21"/>
      <c r="DX653" s="21"/>
      <c r="DY653" s="21"/>
      <c r="DZ653" s="21"/>
      <c r="EA653" s="21"/>
      <c r="EB653" s="21"/>
      <c r="EC653" s="21"/>
      <c r="ED653" s="21"/>
      <c r="EE653" s="21"/>
      <c r="EF653" s="21"/>
      <c r="EG653" s="21"/>
      <c r="EH653" s="21"/>
      <c r="EI653" s="21"/>
      <c r="EJ653" s="21"/>
      <c r="EK653" s="21"/>
      <c r="EL653" s="21"/>
      <c r="EM653" s="21"/>
      <c r="EN653" s="21"/>
      <c r="EO653" s="21"/>
      <c r="EP653" s="21"/>
      <c r="EQ653" s="21"/>
      <c r="ER653" s="21"/>
      <c r="ES653" s="9"/>
      <c r="ET653" s="9"/>
      <c r="EU653" s="9"/>
      <c r="EV653" s="9"/>
      <c r="EW653" s="9"/>
      <c r="EX653" s="9"/>
      <c r="EY653" s="9"/>
      <c r="EZ653" s="9"/>
      <c r="FA653" s="9"/>
      <c r="FB653" s="9"/>
      <c r="FC653" s="9"/>
      <c r="FD653" s="9"/>
      <c r="FE653" s="9"/>
      <c r="FF653" s="9"/>
      <c r="FG653" s="9"/>
      <c r="FH653" s="9"/>
      <c r="FI653" s="9"/>
      <c r="FJ653" s="9"/>
      <c r="FK653" s="9"/>
      <c r="FL653" s="9"/>
      <c r="FM653" s="9"/>
      <c r="FN653" s="9"/>
      <c r="FO653" s="9"/>
      <c r="FP653" s="9"/>
    </row>
    <row r="654" customFormat="false" ht="15" hidden="false" customHeight="false" outlineLevel="2" collapsed="false">
      <c r="B654" s="9" t="s">
        <v>872</v>
      </c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234" t="n">
        <f aca="false">('⑫ Roll-out Plan'!G70-2025)*12+'⑫ Roll-out Plan'!F70</f>
        <v>90</v>
      </c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9"/>
      <c r="CM654" s="9"/>
      <c r="CN654" s="9"/>
      <c r="CO654" s="9"/>
      <c r="CP654" s="9"/>
      <c r="CQ654" s="9"/>
      <c r="CR654" s="9"/>
      <c r="CS654" s="9"/>
      <c r="CT654" s="9"/>
      <c r="CU654" s="9"/>
      <c r="CV654" s="9"/>
      <c r="CW654" s="9"/>
      <c r="CX654" s="9"/>
      <c r="CY654" s="9"/>
      <c r="CZ654" s="9"/>
      <c r="DA654" s="9"/>
      <c r="DB654" s="9"/>
      <c r="DC654" s="9"/>
      <c r="DD654" s="9"/>
      <c r="DE654" s="9"/>
      <c r="DF654" s="9"/>
      <c r="DG654" s="9"/>
      <c r="DH654" s="9"/>
      <c r="DI654" s="9"/>
      <c r="DJ654" s="9"/>
      <c r="DK654" s="9"/>
      <c r="DL654" s="9"/>
      <c r="DM654" s="9"/>
      <c r="DN654" s="9"/>
      <c r="DO654" s="9"/>
      <c r="DP654" s="9"/>
      <c r="DQ654" s="9"/>
      <c r="DR654" s="9"/>
      <c r="DS654" s="9"/>
      <c r="DT654" s="9"/>
      <c r="DU654" s="9"/>
      <c r="DV654" s="9"/>
      <c r="DW654" s="9"/>
      <c r="DX654" s="9"/>
      <c r="DY654" s="9"/>
      <c r="DZ654" s="9"/>
      <c r="EA654" s="9"/>
      <c r="EB654" s="9"/>
      <c r="EC654" s="9"/>
      <c r="ED654" s="9"/>
      <c r="EE654" s="9"/>
      <c r="EF654" s="9"/>
      <c r="EG654" s="9"/>
      <c r="EH654" s="9"/>
      <c r="EI654" s="9"/>
      <c r="EJ654" s="9"/>
      <c r="EK654" s="9"/>
      <c r="EL654" s="9"/>
      <c r="EM654" s="9"/>
      <c r="EN654" s="9"/>
      <c r="EO654" s="9"/>
      <c r="EP654" s="9"/>
      <c r="EQ654" s="9"/>
      <c r="ER654" s="9"/>
      <c r="ES654" s="9"/>
      <c r="ET654" s="9"/>
      <c r="EU654" s="9"/>
      <c r="EV654" s="9"/>
      <c r="EW654" s="9"/>
      <c r="EX654" s="9"/>
      <c r="EY654" s="9"/>
      <c r="EZ654" s="9"/>
      <c r="FA654" s="9"/>
      <c r="FB654" s="9"/>
      <c r="FC654" s="9"/>
      <c r="FD654" s="9"/>
      <c r="FE654" s="9"/>
      <c r="FF654" s="9"/>
      <c r="FG654" s="9"/>
      <c r="FH654" s="9"/>
      <c r="FI654" s="9"/>
      <c r="FJ654" s="9"/>
      <c r="FK654" s="9"/>
      <c r="FL654" s="9"/>
      <c r="FM654" s="9"/>
      <c r="FN654" s="9"/>
      <c r="FO654" s="9"/>
      <c r="FP654" s="9"/>
    </row>
    <row r="655" customFormat="false" ht="15" hidden="false" customHeight="false" outlineLevel="2" collapsed="false">
      <c r="B655" s="9" t="s">
        <v>873</v>
      </c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235" t="n">
        <f aca="false">VLOOKUP("B",$B$14:$C$18,2,FALSE())</f>
        <v>185</v>
      </c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  <c r="CA655" s="9"/>
      <c r="CB655" s="9"/>
      <c r="CC655" s="9"/>
      <c r="CD655" s="9"/>
      <c r="CE655" s="9"/>
      <c r="CF655" s="9"/>
      <c r="CG655" s="9"/>
      <c r="CH655" s="9"/>
      <c r="CI655" s="9"/>
      <c r="CJ655" s="9"/>
      <c r="CK655" s="9"/>
      <c r="CL655" s="9"/>
      <c r="CM655" s="9"/>
      <c r="CN655" s="9"/>
      <c r="CO655" s="9"/>
      <c r="CP655" s="9"/>
      <c r="CQ655" s="9"/>
      <c r="CR655" s="9"/>
      <c r="CS655" s="9"/>
      <c r="CT655" s="9"/>
      <c r="CU655" s="9"/>
      <c r="CV655" s="9"/>
      <c r="CW655" s="9"/>
      <c r="CX655" s="9"/>
      <c r="CY655" s="9"/>
      <c r="CZ655" s="9"/>
      <c r="DA655" s="9"/>
      <c r="DB655" s="9"/>
      <c r="DC655" s="9"/>
      <c r="DD655" s="9"/>
      <c r="DE655" s="9"/>
      <c r="DF655" s="9"/>
      <c r="DG655" s="9"/>
      <c r="DH655" s="9"/>
      <c r="DI655" s="9"/>
      <c r="DJ655" s="9"/>
      <c r="DK655" s="9"/>
      <c r="DL655" s="9"/>
      <c r="DM655" s="9"/>
      <c r="DN655" s="9"/>
      <c r="DO655" s="9"/>
      <c r="DP655" s="9"/>
      <c r="DQ655" s="9"/>
      <c r="DR655" s="9"/>
      <c r="DS655" s="9"/>
      <c r="DT655" s="9"/>
      <c r="DU655" s="9"/>
      <c r="DV655" s="9"/>
      <c r="DW655" s="9"/>
      <c r="DX655" s="9"/>
      <c r="DY655" s="9"/>
      <c r="DZ655" s="9"/>
      <c r="EA655" s="9"/>
      <c r="EB655" s="9"/>
      <c r="EC655" s="9"/>
      <c r="ED655" s="9"/>
      <c r="EE655" s="9"/>
      <c r="EF655" s="9"/>
      <c r="EG655" s="9"/>
      <c r="EH655" s="9"/>
      <c r="EI655" s="9"/>
      <c r="EJ655" s="9"/>
      <c r="EK655" s="9"/>
      <c r="EL655" s="9"/>
      <c r="EM655" s="9"/>
      <c r="EN655" s="9"/>
      <c r="EO655" s="9"/>
      <c r="EP655" s="9"/>
      <c r="EQ655" s="9"/>
      <c r="ER655" s="9"/>
      <c r="ES655" s="9"/>
      <c r="ET655" s="9"/>
      <c r="EU655" s="9"/>
      <c r="EV655" s="9"/>
      <c r="EW655" s="9"/>
      <c r="EX655" s="9"/>
      <c r="EY655" s="9"/>
      <c r="EZ655" s="9"/>
      <c r="FA655" s="9"/>
      <c r="FB655" s="9"/>
      <c r="FC655" s="9"/>
      <c r="FD655" s="9"/>
      <c r="FE655" s="9"/>
      <c r="FF655" s="9"/>
      <c r="FG655" s="9"/>
      <c r="FH655" s="9"/>
      <c r="FI655" s="9"/>
      <c r="FJ655" s="9"/>
      <c r="FK655" s="9"/>
      <c r="FL655" s="9"/>
      <c r="FM655" s="9"/>
      <c r="FN655" s="9"/>
      <c r="FO655" s="9"/>
      <c r="FP655" s="9"/>
    </row>
    <row r="656" customFormat="false" ht="15" hidden="false" customHeight="false" outlineLevel="2" collapsed="false">
      <c r="B656" s="9" t="s">
        <v>799</v>
      </c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63" t="n">
        <f aca="false">IF(AC$35&gt;=$AC$654,AC$35-$AC$654+1,0)</f>
        <v>0</v>
      </c>
      <c r="AD656" s="63" t="n">
        <f aca="false">IF(AD$35&gt;=$AC$654,AD$35-$AC$654+1,0)</f>
        <v>0</v>
      </c>
      <c r="AE656" s="63" t="n">
        <f aca="false">IF(AE$35&gt;=$AC$654,AE$35-$AC$654+1,0)</f>
        <v>0</v>
      </c>
      <c r="AF656" s="63" t="n">
        <f aca="false">IF(AF$35&gt;=$AC$654,AF$35-$AC$654+1,0)</f>
        <v>0</v>
      </c>
      <c r="AG656" s="63" t="n">
        <f aca="false">IF(AG$35&gt;=$AC$654,AG$35-$AC$654+1,0)</f>
        <v>0</v>
      </c>
      <c r="AH656" s="63" t="n">
        <f aca="false">IF(AH$35&gt;=$AC$654,AH$35-$AC$654+1,0)</f>
        <v>0</v>
      </c>
      <c r="AI656" s="63" t="n">
        <f aca="false">IF(AI$35&gt;=$AC$654,AI$35-$AC$654+1,0)</f>
        <v>0</v>
      </c>
      <c r="AJ656" s="63" t="n">
        <f aca="false">IF(AJ$35&gt;=$AC$654,AJ$35-$AC$654+1,0)</f>
        <v>0</v>
      </c>
      <c r="AK656" s="63" t="n">
        <f aca="false">IF(AK$35&gt;=$AC$654,AK$35-$AC$654+1,0)</f>
        <v>0</v>
      </c>
      <c r="AL656" s="63" t="n">
        <f aca="false">IF(AL$35&gt;=$AC$654,AL$35-$AC$654+1,0)</f>
        <v>0</v>
      </c>
      <c r="AM656" s="63" t="n">
        <f aca="false">IF(AM$35&gt;=$AC$654,AM$35-$AC$654+1,0)</f>
        <v>0</v>
      </c>
      <c r="AN656" s="63" t="n">
        <f aca="false">IF(AN$35&gt;=$AC$654,AN$35-$AC$654+1,0)</f>
        <v>0</v>
      </c>
      <c r="AO656" s="63" t="n">
        <f aca="false">IF(AO$35&gt;=$AC$654,AO$35-$AC$654+1,0)</f>
        <v>0</v>
      </c>
      <c r="AP656" s="63" t="n">
        <f aca="false">IF(AP$35&gt;=$AC$654,AP$35-$AC$654+1,0)</f>
        <v>0</v>
      </c>
      <c r="AQ656" s="63" t="n">
        <f aca="false">IF(AQ$35&gt;=$AC$654,AQ$35-$AC$654+1,0)</f>
        <v>0</v>
      </c>
      <c r="AR656" s="63" t="n">
        <f aca="false">IF(AR$35&gt;=$AC$654,AR$35-$AC$654+1,0)</f>
        <v>0</v>
      </c>
      <c r="AS656" s="63" t="n">
        <f aca="false">IF(AS$35&gt;=$AC$654,AS$35-$AC$654+1,0)</f>
        <v>0</v>
      </c>
      <c r="AT656" s="63" t="n">
        <f aca="false">IF(AT$35&gt;=$AC$654,AT$35-$AC$654+1,0)</f>
        <v>0</v>
      </c>
      <c r="AU656" s="63" t="n">
        <f aca="false">IF(AU$35&gt;=$AC$654,AU$35-$AC$654+1,0)</f>
        <v>0</v>
      </c>
      <c r="AV656" s="63" t="n">
        <f aca="false">IF(AV$35&gt;=$AC$654,AV$35-$AC$654+1,0)</f>
        <v>0</v>
      </c>
      <c r="AW656" s="63" t="n">
        <f aca="false">IF(AW$35&gt;=$AC$654,AW$35-$AC$654+1,0)</f>
        <v>0</v>
      </c>
      <c r="AX656" s="63" t="n">
        <f aca="false">IF(AX$35&gt;=$AC$654,AX$35-$AC$654+1,0)</f>
        <v>0</v>
      </c>
      <c r="AY656" s="63" t="n">
        <f aca="false">IF(AY$35&gt;=$AC$654,AY$35-$AC$654+1,0)</f>
        <v>0</v>
      </c>
      <c r="AZ656" s="63" t="n">
        <f aca="false">IF(AZ$35&gt;=$AC$654,AZ$35-$AC$654+1,0)</f>
        <v>0</v>
      </c>
      <c r="BA656" s="63" t="n">
        <f aca="false">IF(BA$35&gt;=$AC$654,BA$35-$AC$654+1,0)</f>
        <v>0</v>
      </c>
      <c r="BB656" s="63" t="n">
        <f aca="false">IF(BB$35&gt;=$AC$654,BB$35-$AC$654+1,0)</f>
        <v>0</v>
      </c>
      <c r="BC656" s="63" t="n">
        <f aca="false">IF(BC$35&gt;=$AC$654,BC$35-$AC$654+1,0)</f>
        <v>0</v>
      </c>
      <c r="BD656" s="63" t="n">
        <f aca="false">IF(BD$35&gt;=$AC$654,BD$35-$AC$654+1,0)</f>
        <v>0</v>
      </c>
      <c r="BE656" s="63" t="n">
        <f aca="false">IF(BE$35&gt;=$AC$654,BE$35-$AC$654+1,0)</f>
        <v>0</v>
      </c>
      <c r="BF656" s="63" t="n">
        <f aca="false">IF(BF$35&gt;=$AC$654,BF$35-$AC$654+1,0)</f>
        <v>0</v>
      </c>
      <c r="BG656" s="63" t="n">
        <f aca="false">IF(BG$35&gt;=$AC$654,BG$35-$AC$654+1,0)</f>
        <v>0</v>
      </c>
      <c r="BH656" s="63" t="n">
        <f aca="false">IF(BH$35&gt;=$AC$654,BH$35-$AC$654+1,0)</f>
        <v>0</v>
      </c>
      <c r="BI656" s="63" t="n">
        <f aca="false">IF(BI$35&gt;=$AC$654,BI$35-$AC$654+1,0)</f>
        <v>0</v>
      </c>
      <c r="BJ656" s="63" t="n">
        <f aca="false">IF(BJ$35&gt;=$AC$654,BJ$35-$AC$654+1,0)</f>
        <v>0</v>
      </c>
      <c r="BK656" s="63" t="n">
        <f aca="false">IF(BK$35&gt;=$AC$654,BK$35-$AC$654+1,0)</f>
        <v>0</v>
      </c>
      <c r="BL656" s="63" t="n">
        <f aca="false">IF(BL$35&gt;=$AC$654,BL$35-$AC$654+1,0)</f>
        <v>0</v>
      </c>
      <c r="BM656" s="63" t="n">
        <f aca="false">IF(BM$35&gt;=$AC$654,BM$35-$AC$654+1,0)</f>
        <v>0</v>
      </c>
      <c r="BN656" s="63" t="n">
        <f aca="false">IF(BN$35&gt;=$AC$654,BN$35-$AC$654+1,0)</f>
        <v>0</v>
      </c>
      <c r="BO656" s="63" t="n">
        <f aca="false">IF(BO$35&gt;=$AC$654,BO$35-$AC$654+1,0)</f>
        <v>0</v>
      </c>
      <c r="BP656" s="63" t="n">
        <f aca="false">IF(BP$35&gt;=$AC$654,BP$35-$AC$654+1,0)</f>
        <v>0</v>
      </c>
      <c r="BQ656" s="63" t="n">
        <f aca="false">IF(BQ$35&gt;=$AC$654,BQ$35-$AC$654+1,0)</f>
        <v>0</v>
      </c>
      <c r="BR656" s="63" t="n">
        <f aca="false">IF(BR$35&gt;=$AC$654,BR$35-$AC$654+1,0)</f>
        <v>0</v>
      </c>
      <c r="BS656" s="63" t="n">
        <f aca="false">IF(BS$35&gt;=$AC$654,BS$35-$AC$654+1,0)</f>
        <v>0</v>
      </c>
      <c r="BT656" s="63" t="n">
        <f aca="false">IF(BT$35&gt;=$AC$654,BT$35-$AC$654+1,0)</f>
        <v>0</v>
      </c>
      <c r="BU656" s="63" t="n">
        <f aca="false">IF(BU$35&gt;=$AC$654,BU$35-$AC$654+1,0)</f>
        <v>0</v>
      </c>
      <c r="BV656" s="63" t="n">
        <f aca="false">IF(BV$35&gt;=$AC$654,BV$35-$AC$654+1,0)</f>
        <v>0</v>
      </c>
      <c r="BW656" s="63" t="n">
        <f aca="false">IF(BW$35&gt;=$AC$654,BW$35-$AC$654+1,0)</f>
        <v>0</v>
      </c>
      <c r="BX656" s="63" t="n">
        <f aca="false">IF(BX$35&gt;=$AC$654,BX$35-$AC$654+1,0)</f>
        <v>0</v>
      </c>
      <c r="BY656" s="63" t="n">
        <f aca="false">IF(BY$35&gt;=$AC$654,BY$35-$AC$654+1,0)</f>
        <v>0</v>
      </c>
      <c r="BZ656" s="63" t="n">
        <f aca="false">IF(BZ$35&gt;=$AC$654,BZ$35-$AC$654+1,0)</f>
        <v>0</v>
      </c>
      <c r="CA656" s="63" t="n">
        <f aca="false">IF(CA$35&gt;=$AC$654,CA$35-$AC$654+1,0)</f>
        <v>0</v>
      </c>
      <c r="CB656" s="63" t="n">
        <f aca="false">IF(CB$35&gt;=$AC$654,CB$35-$AC$654+1,0)</f>
        <v>0</v>
      </c>
      <c r="CC656" s="63" t="n">
        <f aca="false">IF(CC$35&gt;=$AC$654,CC$35-$AC$654+1,0)</f>
        <v>0</v>
      </c>
      <c r="CD656" s="63" t="n">
        <f aca="false">IF(CD$35&gt;=$AC$654,CD$35-$AC$654+1,0)</f>
        <v>0</v>
      </c>
      <c r="CE656" s="63" t="n">
        <f aca="false">IF(CE$35&gt;=$AC$654,CE$35-$AC$654+1,0)</f>
        <v>0</v>
      </c>
      <c r="CF656" s="63" t="n">
        <f aca="false">IF(CF$35&gt;=$AC$654,CF$35-$AC$654+1,0)</f>
        <v>0</v>
      </c>
      <c r="CG656" s="63" t="n">
        <f aca="false">IF(CG$35&gt;=$AC$654,CG$35-$AC$654+1,0)</f>
        <v>0</v>
      </c>
      <c r="CH656" s="63" t="n">
        <f aca="false">IF(CH$35&gt;=$AC$654,CH$35-$AC$654+1,0)</f>
        <v>0</v>
      </c>
      <c r="CI656" s="63" t="n">
        <f aca="false">IF(CI$35&gt;=$AC$654,CI$35-$AC$654+1,0)</f>
        <v>0</v>
      </c>
      <c r="CJ656" s="63" t="n">
        <f aca="false">IF(CJ$35&gt;=$AC$654,CJ$35-$AC$654+1,0)</f>
        <v>0</v>
      </c>
      <c r="CK656" s="63" t="n">
        <f aca="false">IF(CK$35&gt;=$AC$654,CK$35-$AC$654+1,0)</f>
        <v>0</v>
      </c>
      <c r="CL656" s="63" t="n">
        <f aca="false">IF(CL$35&gt;=$AC$654,CL$35-$AC$654+1,0)</f>
        <v>0</v>
      </c>
      <c r="CM656" s="63" t="n">
        <f aca="false">IF(CM$35&gt;=$AC$654,CM$35-$AC$654+1,0)</f>
        <v>0</v>
      </c>
      <c r="CN656" s="63" t="n">
        <f aca="false">IF(CN$35&gt;=$AC$654,CN$35-$AC$654+1,0)</f>
        <v>0</v>
      </c>
      <c r="CO656" s="63" t="n">
        <f aca="false">IF(CO$35&gt;=$AC$654,CO$35-$AC$654+1,0)</f>
        <v>0</v>
      </c>
      <c r="CP656" s="63" t="n">
        <f aca="false">IF(CP$35&gt;=$AC$654,CP$35-$AC$654+1,0)</f>
        <v>0</v>
      </c>
      <c r="CQ656" s="63" t="n">
        <f aca="false">IF(CQ$35&gt;=$AC$654,CQ$35-$AC$654+1,0)</f>
        <v>0</v>
      </c>
      <c r="CR656" s="63" t="n">
        <f aca="false">IF(CR$35&gt;=$AC$654,CR$35-$AC$654+1,0)</f>
        <v>0</v>
      </c>
      <c r="CS656" s="63" t="n">
        <f aca="false">IF(CS$35&gt;=$AC$654,CS$35-$AC$654+1,0)</f>
        <v>0</v>
      </c>
      <c r="CT656" s="63" t="n">
        <f aca="false">IF(CT$35&gt;=$AC$654,CT$35-$AC$654+1,0)</f>
        <v>0</v>
      </c>
      <c r="CU656" s="63" t="n">
        <f aca="false">IF(CU$35&gt;=$AC$654,CU$35-$AC$654+1,0)</f>
        <v>0</v>
      </c>
      <c r="CV656" s="63" t="n">
        <f aca="false">IF(CV$35&gt;=$AC$654,CV$35-$AC$654+1,0)</f>
        <v>0</v>
      </c>
      <c r="CW656" s="63" t="n">
        <f aca="false">IF(CW$35&gt;=$AC$654,CW$35-$AC$654+1,0)</f>
        <v>0</v>
      </c>
      <c r="CX656" s="63" t="n">
        <f aca="false">IF(CX$35&gt;=$AC$654,CX$35-$AC$654+1,0)</f>
        <v>0</v>
      </c>
      <c r="CY656" s="63" t="n">
        <f aca="false">IF(CY$35&gt;=$AC$654,CY$35-$AC$654+1,0)</f>
        <v>0</v>
      </c>
      <c r="CZ656" s="63" t="n">
        <f aca="false">IF(CZ$35&gt;=$AC$654,CZ$35-$AC$654+1,0)</f>
        <v>0</v>
      </c>
      <c r="DA656" s="63" t="n">
        <f aca="false">IF(DA$35&gt;=$AC$654,DA$35-$AC$654+1,0)</f>
        <v>0</v>
      </c>
      <c r="DB656" s="63" t="n">
        <f aca="false">IF(DB$35&gt;=$AC$654,DB$35-$AC$654+1,0)</f>
        <v>0</v>
      </c>
      <c r="DC656" s="63" t="n">
        <f aca="false">IF(DC$35&gt;=$AC$654,DC$35-$AC$654+1,0)</f>
        <v>0</v>
      </c>
      <c r="DD656" s="63" t="n">
        <f aca="false">IF(DD$35&gt;=$AC$654,DD$35-$AC$654+1,0)</f>
        <v>0</v>
      </c>
      <c r="DE656" s="63" t="n">
        <f aca="false">IF(DE$35&gt;=$AC$654,DE$35-$AC$654+1,0)</f>
        <v>0</v>
      </c>
      <c r="DF656" s="63" t="n">
        <f aca="false">IF(DF$35&gt;=$AC$654,DF$35-$AC$654+1,0)</f>
        <v>0</v>
      </c>
      <c r="DG656" s="63" t="n">
        <f aca="false">IF(DG$35&gt;=$AC$654,DG$35-$AC$654+1,0)</f>
        <v>0</v>
      </c>
      <c r="DH656" s="63" t="n">
        <f aca="false">IF(DH$35&gt;=$AC$654,DH$35-$AC$654+1,0)</f>
        <v>0</v>
      </c>
      <c r="DI656" s="63" t="n">
        <f aca="false">IF(DI$35&gt;=$AC$654,DI$35-$AC$654+1,0)</f>
        <v>0</v>
      </c>
      <c r="DJ656" s="63" t="n">
        <f aca="false">IF(DJ$35&gt;=$AC$654,DJ$35-$AC$654+1,0)</f>
        <v>0</v>
      </c>
      <c r="DK656" s="63" t="n">
        <f aca="false">IF(DK$35&gt;=$AC$654,DK$35-$AC$654+1,0)</f>
        <v>0</v>
      </c>
      <c r="DL656" s="63" t="n">
        <f aca="false">IF(DL$35&gt;=$AC$654,DL$35-$AC$654+1,0)</f>
        <v>0</v>
      </c>
      <c r="DM656" s="63" t="n">
        <f aca="false">IF(DM$35&gt;=$AC$654,DM$35-$AC$654+1,0)</f>
        <v>0</v>
      </c>
      <c r="DN656" s="63" t="n">
        <f aca="false">IF(DN$35&gt;=$AC$654,DN$35-$AC$654+1,0)</f>
        <v>1</v>
      </c>
      <c r="DO656" s="63" t="n">
        <f aca="false">IF(DO$35&gt;=$AC$654,DO$35-$AC$654+1,0)</f>
        <v>2</v>
      </c>
      <c r="DP656" s="63" t="n">
        <f aca="false">IF(DP$35&gt;=$AC$654,DP$35-$AC$654+1,0)</f>
        <v>3</v>
      </c>
      <c r="DQ656" s="63" t="n">
        <f aca="false">IF(DQ$35&gt;=$AC$654,DQ$35-$AC$654+1,0)</f>
        <v>4</v>
      </c>
      <c r="DR656" s="63" t="n">
        <f aca="false">IF(DR$35&gt;=$AC$654,DR$35-$AC$654+1,0)</f>
        <v>5</v>
      </c>
      <c r="DS656" s="63" t="n">
        <f aca="false">IF(DS$35&gt;=$AC$654,DS$35-$AC$654+1,0)</f>
        <v>6</v>
      </c>
      <c r="DT656" s="63" t="n">
        <f aca="false">IF(DT$35&gt;=$AC$654,DT$35-$AC$654+1,0)</f>
        <v>7</v>
      </c>
      <c r="DU656" s="63" t="n">
        <f aca="false">IF(DU$35&gt;=$AC$654,DU$35-$AC$654+1,0)</f>
        <v>8</v>
      </c>
      <c r="DV656" s="63" t="n">
        <f aca="false">IF(DV$35&gt;=$AC$654,DV$35-$AC$654+1,0)</f>
        <v>9</v>
      </c>
      <c r="DW656" s="63" t="n">
        <f aca="false">IF(DW$35&gt;=$AC$654,DW$35-$AC$654+1,0)</f>
        <v>10</v>
      </c>
      <c r="DX656" s="63" t="n">
        <f aca="false">IF(DX$35&gt;=$AC$654,DX$35-$AC$654+1,0)</f>
        <v>11</v>
      </c>
      <c r="DY656" s="63" t="n">
        <f aca="false">IF(DY$35&gt;=$AC$654,DY$35-$AC$654+1,0)</f>
        <v>12</v>
      </c>
      <c r="DZ656" s="63" t="n">
        <f aca="false">IF(DZ$35&gt;=$AC$654,DZ$35-$AC$654+1,0)</f>
        <v>13</v>
      </c>
      <c r="EA656" s="63" t="n">
        <f aca="false">IF(EA$35&gt;=$AC$654,EA$35-$AC$654+1,0)</f>
        <v>14</v>
      </c>
      <c r="EB656" s="63" t="n">
        <f aca="false">IF(EB$35&gt;=$AC$654,EB$35-$AC$654+1,0)</f>
        <v>15</v>
      </c>
      <c r="EC656" s="63" t="n">
        <f aca="false">IF(EC$35&gt;=$AC$654,EC$35-$AC$654+1,0)</f>
        <v>16</v>
      </c>
      <c r="ED656" s="63" t="n">
        <f aca="false">IF(ED$35&gt;=$AC$654,ED$35-$AC$654+1,0)</f>
        <v>17</v>
      </c>
      <c r="EE656" s="63" t="n">
        <f aca="false">IF(EE$35&gt;=$AC$654,EE$35-$AC$654+1,0)</f>
        <v>18</v>
      </c>
      <c r="EF656" s="63" t="n">
        <f aca="false">IF(EF$35&gt;=$AC$654,EF$35-$AC$654+1,0)</f>
        <v>19</v>
      </c>
      <c r="EG656" s="63" t="n">
        <f aca="false">IF(EG$35&gt;=$AC$654,EG$35-$AC$654+1,0)</f>
        <v>20</v>
      </c>
      <c r="EH656" s="63" t="n">
        <f aca="false">IF(EH$35&gt;=$AC$654,EH$35-$AC$654+1,0)</f>
        <v>21</v>
      </c>
      <c r="EI656" s="63" t="n">
        <f aca="false">IF(EI$35&gt;=$AC$654,EI$35-$AC$654+1,0)</f>
        <v>22</v>
      </c>
      <c r="EJ656" s="63" t="n">
        <f aca="false">IF(EJ$35&gt;=$AC$654,EJ$35-$AC$654+1,0)</f>
        <v>23</v>
      </c>
      <c r="EK656" s="63" t="n">
        <f aca="false">IF(EK$35&gt;=$AC$654,EK$35-$AC$654+1,0)</f>
        <v>24</v>
      </c>
      <c r="EL656" s="63" t="n">
        <f aca="false">IF(EL$35&gt;=$AC$654,EL$35-$AC$654+1,0)</f>
        <v>25</v>
      </c>
      <c r="EM656" s="63" t="n">
        <f aca="false">IF(EM$35&gt;=$AC$654,EM$35-$AC$654+1,0)</f>
        <v>26</v>
      </c>
      <c r="EN656" s="63" t="n">
        <f aca="false">IF(EN$35&gt;=$AC$654,EN$35-$AC$654+1,0)</f>
        <v>27</v>
      </c>
      <c r="EO656" s="63" t="n">
        <f aca="false">IF(EO$35&gt;=$AC$654,EO$35-$AC$654+1,0)</f>
        <v>28</v>
      </c>
      <c r="EP656" s="63" t="n">
        <f aca="false">IF(EP$35&gt;=$AC$654,EP$35-$AC$654+1,0)</f>
        <v>29</v>
      </c>
      <c r="EQ656" s="63" t="n">
        <f aca="false">IF(EQ$35&gt;=$AC$654,EQ$35-$AC$654+1,0)</f>
        <v>30</v>
      </c>
      <c r="ER656" s="63" t="n">
        <f aca="false">IF(ER$35&gt;=$AC$654,ER$35-$AC$654+1,0)</f>
        <v>31</v>
      </c>
      <c r="ES656" s="9" t="n">
        <f aca="false">IF(ES$35&gt;=$AC$654,ES$35-$AC$654+1,0)</f>
        <v>32</v>
      </c>
      <c r="ET656" s="9" t="n">
        <f aca="false">IF(ET$35&gt;=$AC$654,ET$35-$AC$654+1,0)</f>
        <v>33</v>
      </c>
      <c r="EU656" s="9" t="n">
        <f aca="false">IF(EU$35&gt;=$AC$654,EU$35-$AC$654+1,0)</f>
        <v>34</v>
      </c>
      <c r="EV656" s="9" t="n">
        <f aca="false">IF(EV$35&gt;=$AC$654,EV$35-$AC$654+1,0)</f>
        <v>35</v>
      </c>
      <c r="EW656" s="9" t="n">
        <f aca="false">IF(EW$35&gt;=$AC$654,EW$35-$AC$654+1,0)</f>
        <v>36</v>
      </c>
      <c r="EX656" s="9" t="n">
        <f aca="false">IF(EX$35&gt;=$AC$654,EX$35-$AC$654+1,0)</f>
        <v>37</v>
      </c>
      <c r="EY656" s="9" t="n">
        <f aca="false">IF(EY$35&gt;=$AC$654,EY$35-$AC$654+1,0)</f>
        <v>38</v>
      </c>
      <c r="EZ656" s="9" t="n">
        <f aca="false">IF(EZ$35&gt;=$AC$654,EZ$35-$AC$654+1,0)</f>
        <v>39</v>
      </c>
      <c r="FA656" s="9" t="n">
        <f aca="false">IF(FA$35&gt;=$AC$654,FA$35-$AC$654+1,0)</f>
        <v>40</v>
      </c>
      <c r="FB656" s="9" t="n">
        <f aca="false">IF(FB$35&gt;=$AC$654,FB$35-$AC$654+1,0)</f>
        <v>41</v>
      </c>
      <c r="FC656" s="9" t="n">
        <f aca="false">IF(FC$35&gt;=$AC$654,FC$35-$AC$654+1,0)</f>
        <v>42</v>
      </c>
      <c r="FD656" s="9" t="n">
        <f aca="false">IF(FD$35&gt;=$AC$654,FD$35-$AC$654+1,0)</f>
        <v>43</v>
      </c>
      <c r="FE656" s="9" t="n">
        <f aca="false">IF(FE$35&gt;=$AC$654,FE$35-$AC$654+1,0)</f>
        <v>44</v>
      </c>
      <c r="FF656" s="9" t="n">
        <f aca="false">IF(FF$35&gt;=$AC$654,FF$35-$AC$654+1,0)</f>
        <v>45</v>
      </c>
      <c r="FG656" s="9" t="n">
        <f aca="false">IF(FG$35&gt;=$AC$654,FG$35-$AC$654+1,0)</f>
        <v>46</v>
      </c>
      <c r="FH656" s="9" t="n">
        <f aca="false">IF(FH$35&gt;=$AC$654,FH$35-$AC$654+1,0)</f>
        <v>47</v>
      </c>
      <c r="FI656" s="9" t="n">
        <f aca="false">IF(FI$35&gt;=$AC$654,FI$35-$AC$654+1,0)</f>
        <v>48</v>
      </c>
      <c r="FJ656" s="9" t="n">
        <f aca="false">IF(FJ$35&gt;=$AC$654,FJ$35-$AC$654+1,0)</f>
        <v>49</v>
      </c>
      <c r="FK656" s="9" t="n">
        <f aca="false">IF(FK$35&gt;=$AC$654,FK$35-$AC$654+1,0)</f>
        <v>50</v>
      </c>
      <c r="FL656" s="9" t="n">
        <f aca="false">IF(FL$35&gt;=$AC$654,FL$35-$AC$654+1,0)</f>
        <v>51</v>
      </c>
      <c r="FM656" s="9" t="n">
        <f aca="false">IF(FM$35&gt;=$AC$654,FM$35-$AC$654+1,0)</f>
        <v>52</v>
      </c>
      <c r="FN656" s="9" t="n">
        <f aca="false">IF(FN$35&gt;=$AC$654,FN$35-$AC$654+1,0)</f>
        <v>53</v>
      </c>
      <c r="FO656" s="9" t="n">
        <f aca="false">IF(FO$35&gt;=$AC$654,FO$35-$AC$654+1,0)</f>
        <v>54</v>
      </c>
      <c r="FP656" s="9" t="n">
        <f aca="false">IF(FP$35&gt;=$AC$654,FP$35-$AC$654+1,0)</f>
        <v>55</v>
      </c>
    </row>
    <row r="657" customFormat="false" ht="15" hidden="false" customHeight="false" outlineLevel="2" collapsed="false">
      <c r="B657" s="9" t="s">
        <v>874</v>
      </c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236" t="n">
        <f aca="false" t="array" ref="AC657:AC657">IF(AC656=0,0,IF(AC656/'🎚️ Escenario'!$C$11&gt;=36,$AL$23,INDEX($C$23:$AL$23,MAX(1,ROUNDUP(AC656/'🎚️ Escenario'!$C$11,0)))))</f>
        <v>0</v>
      </c>
      <c r="AD657" s="236" t="n">
        <f aca="false" t="array" ref="AD657:AD657">IF(AD656=0,0,IF(AD656/'🎚️ Escenario'!$C$11&gt;=36,$AL$23,INDEX($C$23:$AL$23,MAX(1,ROUNDUP(AD656/'🎚️ Escenario'!$C$11,0)))))</f>
        <v>0</v>
      </c>
      <c r="AE657" s="236" t="n">
        <f aca="false" t="array" ref="AE657:AE657">IF(AE656=0,0,IF(AE656/'🎚️ Escenario'!$C$11&gt;=36,$AL$23,INDEX($C$23:$AL$23,MAX(1,ROUNDUP(AE656/'🎚️ Escenario'!$C$11,0)))))</f>
        <v>0</v>
      </c>
      <c r="AF657" s="236" t="n">
        <f aca="false" t="array" ref="AF657:AF657">IF(AF656=0,0,IF(AF656/'🎚️ Escenario'!$C$11&gt;=36,$AL$23,INDEX($C$23:$AL$23,MAX(1,ROUNDUP(AF656/'🎚️ Escenario'!$C$11,0)))))</f>
        <v>0</v>
      </c>
      <c r="AG657" s="236" t="n">
        <f aca="false" t="array" ref="AG657:AG657">IF(AG656=0,0,IF(AG656/'🎚️ Escenario'!$C$11&gt;=36,$AL$23,INDEX($C$23:$AL$23,MAX(1,ROUNDUP(AG656/'🎚️ Escenario'!$C$11,0)))))</f>
        <v>0</v>
      </c>
      <c r="AH657" s="236" t="n">
        <f aca="false" t="array" ref="AH657:AH657">IF(AH656=0,0,IF(AH656/'🎚️ Escenario'!$C$11&gt;=36,$AL$23,INDEX($C$23:$AL$23,MAX(1,ROUNDUP(AH656/'🎚️ Escenario'!$C$11,0)))))</f>
        <v>0</v>
      </c>
      <c r="AI657" s="236" t="n">
        <f aca="false" t="array" ref="AI657:AI657">IF(AI656=0,0,IF(AI656/'🎚️ Escenario'!$C$11&gt;=36,$AL$23,INDEX($C$23:$AL$23,MAX(1,ROUNDUP(AI656/'🎚️ Escenario'!$C$11,0)))))</f>
        <v>0</v>
      </c>
      <c r="AJ657" s="236" t="n">
        <f aca="false" t="array" ref="AJ657:AJ657">IF(AJ656=0,0,IF(AJ656/'🎚️ Escenario'!$C$11&gt;=36,$AL$23,INDEX($C$23:$AL$23,MAX(1,ROUNDUP(AJ656/'🎚️ Escenario'!$C$11,0)))))</f>
        <v>0</v>
      </c>
      <c r="AK657" s="236" t="n">
        <f aca="false" t="array" ref="AK657:AK657">IF(AK656=0,0,IF(AK656/'🎚️ Escenario'!$C$11&gt;=36,$AL$23,INDEX($C$23:$AL$23,MAX(1,ROUNDUP(AK656/'🎚️ Escenario'!$C$11,0)))))</f>
        <v>0</v>
      </c>
      <c r="AL657" s="236" t="n">
        <f aca="false" t="array" ref="AL657:AL657">IF(AL656=0,0,IF(AL656/'🎚️ Escenario'!$C$11&gt;=36,$AL$23,INDEX($C$23:$AL$23,MAX(1,ROUNDUP(AL656/'🎚️ Escenario'!$C$11,0)))))</f>
        <v>0</v>
      </c>
      <c r="AM657" s="236" t="n">
        <f aca="false" t="array" ref="AM657:AM657">IF(AM656=0,0,IF(AM656/'🎚️ Escenario'!$C$11&gt;=36,$AL$23,INDEX($C$23:$AL$23,MAX(1,ROUNDUP(AM656/'🎚️ Escenario'!$C$11,0)))))</f>
        <v>0</v>
      </c>
      <c r="AN657" s="236" t="n">
        <f aca="false" t="array" ref="AN657:AN657">IF(AN656=0,0,IF(AN656/'🎚️ Escenario'!$C$11&gt;=36,$AL$23,INDEX($C$23:$AL$23,MAX(1,ROUNDUP(AN656/'🎚️ Escenario'!$C$11,0)))))</f>
        <v>0</v>
      </c>
      <c r="AO657" s="236" t="n">
        <f aca="false" t="array" ref="AO657:AO657">IF(AO656=0,0,IF(AO656/'🎚️ Escenario'!$C$11&gt;=36,$AL$23,INDEX($C$23:$AL$23,MAX(1,ROUNDUP(AO656/'🎚️ Escenario'!$C$11,0)))))</f>
        <v>0</v>
      </c>
      <c r="AP657" s="236" t="n">
        <f aca="false" t="array" ref="AP657:AP657">IF(AP656=0,0,IF(AP656/'🎚️ Escenario'!$C$11&gt;=36,$AL$23,INDEX($C$23:$AL$23,MAX(1,ROUNDUP(AP656/'🎚️ Escenario'!$C$11,0)))))</f>
        <v>0</v>
      </c>
      <c r="AQ657" s="236" t="n">
        <f aca="false" t="array" ref="AQ657:AQ657">IF(AQ656=0,0,IF(AQ656/'🎚️ Escenario'!$C$11&gt;=36,$AL$23,INDEX($C$23:$AL$23,MAX(1,ROUNDUP(AQ656/'🎚️ Escenario'!$C$11,0)))))</f>
        <v>0</v>
      </c>
      <c r="AR657" s="236" t="n">
        <f aca="false" t="array" ref="AR657:AR657">IF(AR656=0,0,IF(AR656/'🎚️ Escenario'!$C$11&gt;=36,$AL$23,INDEX($C$23:$AL$23,MAX(1,ROUNDUP(AR656/'🎚️ Escenario'!$C$11,0)))))</f>
        <v>0</v>
      </c>
      <c r="AS657" s="236" t="n">
        <f aca="false" t="array" ref="AS657:AS657">IF(AS656=0,0,IF(AS656/'🎚️ Escenario'!$C$11&gt;=36,$AL$23,INDEX($C$23:$AL$23,MAX(1,ROUNDUP(AS656/'🎚️ Escenario'!$C$11,0)))))</f>
        <v>0</v>
      </c>
      <c r="AT657" s="236" t="n">
        <f aca="false" t="array" ref="AT657:AT657">IF(AT656=0,0,IF(AT656/'🎚️ Escenario'!$C$11&gt;=36,$AL$23,INDEX($C$23:$AL$23,MAX(1,ROUNDUP(AT656/'🎚️ Escenario'!$C$11,0)))))</f>
        <v>0</v>
      </c>
      <c r="AU657" s="236" t="n">
        <f aca="false" t="array" ref="AU657:AU657">IF(AU656=0,0,IF(AU656/'🎚️ Escenario'!$C$11&gt;=36,$AL$23,INDEX($C$23:$AL$23,MAX(1,ROUNDUP(AU656/'🎚️ Escenario'!$C$11,0)))))</f>
        <v>0</v>
      </c>
      <c r="AV657" s="236" t="n">
        <f aca="false" t="array" ref="AV657:AV657">IF(AV656=0,0,IF(AV656/'🎚️ Escenario'!$C$11&gt;=36,$AL$23,INDEX($C$23:$AL$23,MAX(1,ROUNDUP(AV656/'🎚️ Escenario'!$C$11,0)))))</f>
        <v>0</v>
      </c>
      <c r="AW657" s="236" t="n">
        <f aca="false" t="array" ref="AW657:AW657">IF(AW656=0,0,IF(AW656/'🎚️ Escenario'!$C$11&gt;=36,$AL$23,INDEX($C$23:$AL$23,MAX(1,ROUNDUP(AW656/'🎚️ Escenario'!$C$11,0)))))</f>
        <v>0</v>
      </c>
      <c r="AX657" s="236" t="n">
        <f aca="false" t="array" ref="AX657:AX657">IF(AX656=0,0,IF(AX656/'🎚️ Escenario'!$C$11&gt;=36,$AL$23,INDEX($C$23:$AL$23,MAX(1,ROUNDUP(AX656/'🎚️ Escenario'!$C$11,0)))))</f>
        <v>0</v>
      </c>
      <c r="AY657" s="236" t="n">
        <f aca="false" t="array" ref="AY657:AY657">IF(AY656=0,0,IF(AY656/'🎚️ Escenario'!$C$11&gt;=36,$AL$23,INDEX($C$23:$AL$23,MAX(1,ROUNDUP(AY656/'🎚️ Escenario'!$C$11,0)))))</f>
        <v>0</v>
      </c>
      <c r="AZ657" s="236" t="n">
        <f aca="false" t="array" ref="AZ657:AZ657">IF(AZ656=0,0,IF(AZ656/'🎚️ Escenario'!$C$11&gt;=36,$AL$23,INDEX($C$23:$AL$23,MAX(1,ROUNDUP(AZ656/'🎚️ Escenario'!$C$11,0)))))</f>
        <v>0</v>
      </c>
      <c r="BA657" s="236" t="n">
        <f aca="false" t="array" ref="BA657:BA657">IF(BA656=0,0,IF(BA656/'🎚️ Escenario'!$C$11&gt;=36,$AL$23,INDEX($C$23:$AL$23,MAX(1,ROUNDUP(BA656/'🎚️ Escenario'!$C$11,0)))))</f>
        <v>0</v>
      </c>
      <c r="BB657" s="236" t="n">
        <f aca="false" t="array" ref="BB657:BB657">IF(BB656=0,0,IF(BB656/'🎚️ Escenario'!$C$11&gt;=36,$AL$23,INDEX($C$23:$AL$23,MAX(1,ROUNDUP(BB656/'🎚️ Escenario'!$C$11,0)))))</f>
        <v>0</v>
      </c>
      <c r="BC657" s="236" t="n">
        <f aca="false" t="array" ref="BC657:BC657">IF(BC656=0,0,IF(BC656/'🎚️ Escenario'!$C$11&gt;=36,$AL$23,INDEX($C$23:$AL$23,MAX(1,ROUNDUP(BC656/'🎚️ Escenario'!$C$11,0)))))</f>
        <v>0</v>
      </c>
      <c r="BD657" s="236" t="n">
        <f aca="false" t="array" ref="BD657:BD657">IF(BD656=0,0,IF(BD656/'🎚️ Escenario'!$C$11&gt;=36,$AL$23,INDEX($C$23:$AL$23,MAX(1,ROUNDUP(BD656/'🎚️ Escenario'!$C$11,0)))))</f>
        <v>0</v>
      </c>
      <c r="BE657" s="236" t="n">
        <f aca="false" t="array" ref="BE657:BE657">IF(BE656=0,0,IF(BE656/'🎚️ Escenario'!$C$11&gt;=36,$AL$23,INDEX($C$23:$AL$23,MAX(1,ROUNDUP(BE656/'🎚️ Escenario'!$C$11,0)))))</f>
        <v>0</v>
      </c>
      <c r="BF657" s="236" t="n">
        <f aca="false" t="array" ref="BF657:BF657">IF(BF656=0,0,IF(BF656/'🎚️ Escenario'!$C$11&gt;=36,$AL$23,INDEX($C$23:$AL$23,MAX(1,ROUNDUP(BF656/'🎚️ Escenario'!$C$11,0)))))</f>
        <v>0</v>
      </c>
      <c r="BG657" s="236" t="n">
        <f aca="false" t="array" ref="BG657:BG657">IF(BG656=0,0,IF(BG656/'🎚️ Escenario'!$C$11&gt;=36,$AL$23,INDEX($C$23:$AL$23,MAX(1,ROUNDUP(BG656/'🎚️ Escenario'!$C$11,0)))))</f>
        <v>0</v>
      </c>
      <c r="BH657" s="236" t="n">
        <f aca="false" t="array" ref="BH657:BH657">IF(BH656=0,0,IF(BH656/'🎚️ Escenario'!$C$11&gt;=36,$AL$23,INDEX($C$23:$AL$23,MAX(1,ROUNDUP(BH656/'🎚️ Escenario'!$C$11,0)))))</f>
        <v>0</v>
      </c>
      <c r="BI657" s="236" t="n">
        <f aca="false" t="array" ref="BI657:BI657">IF(BI656=0,0,IF(BI656/'🎚️ Escenario'!$C$11&gt;=36,$AL$23,INDEX($C$23:$AL$23,MAX(1,ROUNDUP(BI656/'🎚️ Escenario'!$C$11,0)))))</f>
        <v>0</v>
      </c>
      <c r="BJ657" s="236" t="n">
        <f aca="false" t="array" ref="BJ657:BJ657">IF(BJ656=0,0,IF(BJ656/'🎚️ Escenario'!$C$11&gt;=36,$AL$23,INDEX($C$23:$AL$23,MAX(1,ROUNDUP(BJ656/'🎚️ Escenario'!$C$11,0)))))</f>
        <v>0</v>
      </c>
      <c r="BK657" s="236" t="n">
        <f aca="false" t="array" ref="BK657:BK657">IF(BK656=0,0,IF(BK656/'🎚️ Escenario'!$C$11&gt;=36,$AL$23,INDEX($C$23:$AL$23,MAX(1,ROUNDUP(BK656/'🎚️ Escenario'!$C$11,0)))))</f>
        <v>0</v>
      </c>
      <c r="BL657" s="236" t="n">
        <f aca="false" t="array" ref="BL657:BL657">IF(BL656=0,0,IF(BL656/'🎚️ Escenario'!$C$11&gt;=36,$AL$23,INDEX($C$23:$AL$23,MAX(1,ROUNDUP(BL656/'🎚️ Escenario'!$C$11,0)))))</f>
        <v>0</v>
      </c>
      <c r="BM657" s="236" t="n">
        <f aca="false" t="array" ref="BM657:BM657">IF(BM656=0,0,IF(BM656/'🎚️ Escenario'!$C$11&gt;=36,$AL$23,INDEX($C$23:$AL$23,MAX(1,ROUNDUP(BM656/'🎚️ Escenario'!$C$11,0)))))</f>
        <v>0</v>
      </c>
      <c r="BN657" s="236" t="n">
        <f aca="false" t="array" ref="BN657:BN657">IF(BN656=0,0,IF(BN656/'🎚️ Escenario'!$C$11&gt;=36,$AL$23,INDEX($C$23:$AL$23,MAX(1,ROUNDUP(BN656/'🎚️ Escenario'!$C$11,0)))))</f>
        <v>0</v>
      </c>
      <c r="BO657" s="236" t="n">
        <f aca="false" t="array" ref="BO657:BO657">IF(BO656=0,0,IF(BO656/'🎚️ Escenario'!$C$11&gt;=36,$AL$23,INDEX($C$23:$AL$23,MAX(1,ROUNDUP(BO656/'🎚️ Escenario'!$C$11,0)))))</f>
        <v>0</v>
      </c>
      <c r="BP657" s="236" t="n">
        <f aca="false" t="array" ref="BP657:BP657">IF(BP656=0,0,IF(BP656/'🎚️ Escenario'!$C$11&gt;=36,$AL$23,INDEX($C$23:$AL$23,MAX(1,ROUNDUP(BP656/'🎚️ Escenario'!$C$11,0)))))</f>
        <v>0</v>
      </c>
      <c r="BQ657" s="236" t="n">
        <f aca="false" t="array" ref="BQ657:BQ657">IF(BQ656=0,0,IF(BQ656/'🎚️ Escenario'!$C$11&gt;=36,$AL$23,INDEX($C$23:$AL$23,MAX(1,ROUNDUP(BQ656/'🎚️ Escenario'!$C$11,0)))))</f>
        <v>0</v>
      </c>
      <c r="BR657" s="236" t="n">
        <f aca="false" t="array" ref="BR657:BR657">IF(BR656=0,0,IF(BR656/'🎚️ Escenario'!$C$11&gt;=36,$AL$23,INDEX($C$23:$AL$23,MAX(1,ROUNDUP(BR656/'🎚️ Escenario'!$C$11,0)))))</f>
        <v>0</v>
      </c>
      <c r="BS657" s="236" t="n">
        <f aca="false" t="array" ref="BS657:BS657">IF(BS656=0,0,IF(BS656/'🎚️ Escenario'!$C$11&gt;=36,$AL$23,INDEX($C$23:$AL$23,MAX(1,ROUNDUP(BS656/'🎚️ Escenario'!$C$11,0)))))</f>
        <v>0</v>
      </c>
      <c r="BT657" s="236" t="n">
        <f aca="false" t="array" ref="BT657:BT657">IF(BT656=0,0,IF(BT656/'🎚️ Escenario'!$C$11&gt;=36,$AL$23,INDEX($C$23:$AL$23,MAX(1,ROUNDUP(BT656/'🎚️ Escenario'!$C$11,0)))))</f>
        <v>0</v>
      </c>
      <c r="BU657" s="236" t="n">
        <f aca="false" t="array" ref="BU657:BU657">IF(BU656=0,0,IF(BU656/'🎚️ Escenario'!$C$11&gt;=36,$AL$23,INDEX($C$23:$AL$23,MAX(1,ROUNDUP(BU656/'🎚️ Escenario'!$C$11,0)))))</f>
        <v>0</v>
      </c>
      <c r="BV657" s="236" t="n">
        <f aca="false" t="array" ref="BV657:BV657">IF(BV656=0,0,IF(BV656/'🎚️ Escenario'!$C$11&gt;=36,$AL$23,INDEX($C$23:$AL$23,MAX(1,ROUNDUP(BV656/'🎚️ Escenario'!$C$11,0)))))</f>
        <v>0</v>
      </c>
      <c r="BW657" s="236" t="n">
        <f aca="false" t="array" ref="BW657:BW657">IF(BW656=0,0,IF(BW656/'🎚️ Escenario'!$C$11&gt;=36,$AL$23,INDEX($C$23:$AL$23,MAX(1,ROUNDUP(BW656/'🎚️ Escenario'!$C$11,0)))))</f>
        <v>0</v>
      </c>
      <c r="BX657" s="236" t="n">
        <f aca="false" t="array" ref="BX657:BX657">IF(BX656=0,0,IF(BX656/'🎚️ Escenario'!$C$11&gt;=36,$AL$23,INDEX($C$23:$AL$23,MAX(1,ROUNDUP(BX656/'🎚️ Escenario'!$C$11,0)))))</f>
        <v>0</v>
      </c>
      <c r="BY657" s="236" t="n">
        <f aca="false" t="array" ref="BY657:BY657">IF(BY656=0,0,IF(BY656/'🎚️ Escenario'!$C$11&gt;=36,$AL$23,INDEX($C$23:$AL$23,MAX(1,ROUNDUP(BY656/'🎚️ Escenario'!$C$11,0)))))</f>
        <v>0</v>
      </c>
      <c r="BZ657" s="236" t="n">
        <f aca="false" t="array" ref="BZ657:BZ657">IF(BZ656=0,0,IF(BZ656/'🎚️ Escenario'!$C$11&gt;=36,$AL$23,INDEX($C$23:$AL$23,MAX(1,ROUNDUP(BZ656/'🎚️ Escenario'!$C$11,0)))))</f>
        <v>0</v>
      </c>
      <c r="CA657" s="236" t="n">
        <f aca="false" t="array" ref="CA657:CA657">IF(CA656=0,0,IF(CA656/'🎚️ Escenario'!$C$11&gt;=36,$AL$23,INDEX($C$23:$AL$23,MAX(1,ROUNDUP(CA656/'🎚️ Escenario'!$C$11,0)))))</f>
        <v>0</v>
      </c>
      <c r="CB657" s="236" t="n">
        <f aca="false" t="array" ref="CB657:CB657">IF(CB656=0,0,IF(CB656/'🎚️ Escenario'!$C$11&gt;=36,$AL$23,INDEX($C$23:$AL$23,MAX(1,ROUNDUP(CB656/'🎚️ Escenario'!$C$11,0)))))</f>
        <v>0</v>
      </c>
      <c r="CC657" s="236" t="n">
        <f aca="false" t="array" ref="CC657:CC657">IF(CC656=0,0,IF(CC656/'🎚️ Escenario'!$C$11&gt;=36,$AL$23,INDEX($C$23:$AL$23,MAX(1,ROUNDUP(CC656/'🎚️ Escenario'!$C$11,0)))))</f>
        <v>0</v>
      </c>
      <c r="CD657" s="236" t="n">
        <f aca="false" t="array" ref="CD657:CD657">IF(CD656=0,0,IF(CD656/'🎚️ Escenario'!$C$11&gt;=36,$AL$23,INDEX($C$23:$AL$23,MAX(1,ROUNDUP(CD656/'🎚️ Escenario'!$C$11,0)))))</f>
        <v>0</v>
      </c>
      <c r="CE657" s="236" t="n">
        <f aca="false" t="array" ref="CE657:CE657">IF(CE656=0,0,IF(CE656/'🎚️ Escenario'!$C$11&gt;=36,$AL$23,INDEX($C$23:$AL$23,MAX(1,ROUNDUP(CE656/'🎚️ Escenario'!$C$11,0)))))</f>
        <v>0</v>
      </c>
      <c r="CF657" s="236" t="n">
        <f aca="false" t="array" ref="CF657:CF657">IF(CF656=0,0,IF(CF656/'🎚️ Escenario'!$C$11&gt;=36,$AL$23,INDEX($C$23:$AL$23,MAX(1,ROUNDUP(CF656/'🎚️ Escenario'!$C$11,0)))))</f>
        <v>0</v>
      </c>
      <c r="CG657" s="236" t="n">
        <f aca="false" t="array" ref="CG657:CG657">IF(CG656=0,0,IF(CG656/'🎚️ Escenario'!$C$11&gt;=36,$AL$23,INDEX($C$23:$AL$23,MAX(1,ROUNDUP(CG656/'🎚️ Escenario'!$C$11,0)))))</f>
        <v>0</v>
      </c>
      <c r="CH657" s="236" t="n">
        <f aca="false" t="array" ref="CH657:CH657">IF(CH656=0,0,IF(CH656/'🎚️ Escenario'!$C$11&gt;=36,$AL$23,INDEX($C$23:$AL$23,MAX(1,ROUNDUP(CH656/'🎚️ Escenario'!$C$11,0)))))</f>
        <v>0</v>
      </c>
      <c r="CI657" s="236" t="n">
        <f aca="false" t="array" ref="CI657:CI657">IF(CI656=0,0,IF(CI656/'🎚️ Escenario'!$C$11&gt;=36,$AL$23,INDEX($C$23:$AL$23,MAX(1,ROUNDUP(CI656/'🎚️ Escenario'!$C$11,0)))))</f>
        <v>0</v>
      </c>
      <c r="CJ657" s="236" t="n">
        <f aca="false" t="array" ref="CJ657:CJ657">IF(CJ656=0,0,IF(CJ656/'🎚️ Escenario'!$C$11&gt;=36,$AL$23,INDEX($C$23:$AL$23,MAX(1,ROUNDUP(CJ656/'🎚️ Escenario'!$C$11,0)))))</f>
        <v>0</v>
      </c>
      <c r="CK657" s="236" t="n">
        <f aca="false" t="array" ref="CK657:CK657">IF(CK656=0,0,IF(CK656/'🎚️ Escenario'!$C$11&gt;=36,$AL$23,INDEX($C$23:$AL$23,MAX(1,ROUNDUP(CK656/'🎚️ Escenario'!$C$11,0)))))</f>
        <v>0</v>
      </c>
      <c r="CL657" s="236" t="n">
        <f aca="false" t="array" ref="CL657:CL657">IF(CL656=0,0,IF(CL656/'🎚️ Escenario'!$C$11&gt;=36,$AL$23,INDEX($C$23:$AL$23,MAX(1,ROUNDUP(CL656/'🎚️ Escenario'!$C$11,0)))))</f>
        <v>0</v>
      </c>
      <c r="CM657" s="236" t="n">
        <f aca="false" t="array" ref="CM657:CM657">IF(CM656=0,0,IF(CM656/'🎚️ Escenario'!$C$11&gt;=36,$AL$23,INDEX($C$23:$AL$23,MAX(1,ROUNDUP(CM656/'🎚️ Escenario'!$C$11,0)))))</f>
        <v>0</v>
      </c>
      <c r="CN657" s="236" t="n">
        <f aca="false" t="array" ref="CN657:CN657">IF(CN656=0,0,IF(CN656/'🎚️ Escenario'!$C$11&gt;=36,$AL$23,INDEX($C$23:$AL$23,MAX(1,ROUNDUP(CN656/'🎚️ Escenario'!$C$11,0)))))</f>
        <v>0</v>
      </c>
      <c r="CO657" s="236" t="n">
        <f aca="false" t="array" ref="CO657:CO657">IF(CO656=0,0,IF(CO656/'🎚️ Escenario'!$C$11&gt;=36,$AL$23,INDEX($C$23:$AL$23,MAX(1,ROUNDUP(CO656/'🎚️ Escenario'!$C$11,0)))))</f>
        <v>0</v>
      </c>
      <c r="CP657" s="236" t="n">
        <f aca="false" t="array" ref="CP657:CP657">IF(CP656=0,0,IF(CP656/'🎚️ Escenario'!$C$11&gt;=36,$AL$23,INDEX($C$23:$AL$23,MAX(1,ROUNDUP(CP656/'🎚️ Escenario'!$C$11,0)))))</f>
        <v>0</v>
      </c>
      <c r="CQ657" s="236" t="n">
        <f aca="false" t="array" ref="CQ657:CQ657">IF(CQ656=0,0,IF(CQ656/'🎚️ Escenario'!$C$11&gt;=36,$AL$23,INDEX($C$23:$AL$23,MAX(1,ROUNDUP(CQ656/'🎚️ Escenario'!$C$11,0)))))</f>
        <v>0</v>
      </c>
      <c r="CR657" s="236" t="n">
        <f aca="false" t="array" ref="CR657:CR657">IF(CR656=0,0,IF(CR656/'🎚️ Escenario'!$C$11&gt;=36,$AL$23,INDEX($C$23:$AL$23,MAX(1,ROUNDUP(CR656/'🎚️ Escenario'!$C$11,0)))))</f>
        <v>0</v>
      </c>
      <c r="CS657" s="236" t="n">
        <f aca="false" t="array" ref="CS657:CS657">IF(CS656=0,0,IF(CS656/'🎚️ Escenario'!$C$11&gt;=36,$AL$23,INDEX($C$23:$AL$23,MAX(1,ROUNDUP(CS656/'🎚️ Escenario'!$C$11,0)))))</f>
        <v>0</v>
      </c>
      <c r="CT657" s="236" t="n">
        <f aca="false" t="array" ref="CT657:CT657">IF(CT656=0,0,IF(CT656/'🎚️ Escenario'!$C$11&gt;=36,$AL$23,INDEX($C$23:$AL$23,MAX(1,ROUNDUP(CT656/'🎚️ Escenario'!$C$11,0)))))</f>
        <v>0</v>
      </c>
      <c r="CU657" s="236" t="n">
        <f aca="false" t="array" ref="CU657:CU657">IF(CU656=0,0,IF(CU656/'🎚️ Escenario'!$C$11&gt;=36,$AL$23,INDEX($C$23:$AL$23,MAX(1,ROUNDUP(CU656/'🎚️ Escenario'!$C$11,0)))))</f>
        <v>0</v>
      </c>
      <c r="CV657" s="236" t="n">
        <f aca="false" t="array" ref="CV657:CV657">IF(CV656=0,0,IF(CV656/'🎚️ Escenario'!$C$11&gt;=36,$AL$23,INDEX($C$23:$AL$23,MAX(1,ROUNDUP(CV656/'🎚️ Escenario'!$C$11,0)))))</f>
        <v>0</v>
      </c>
      <c r="CW657" s="236" t="n">
        <f aca="false" t="array" ref="CW657:CW657">IF(CW656=0,0,IF(CW656/'🎚️ Escenario'!$C$11&gt;=36,$AL$23,INDEX($C$23:$AL$23,MAX(1,ROUNDUP(CW656/'🎚️ Escenario'!$C$11,0)))))</f>
        <v>0</v>
      </c>
      <c r="CX657" s="236" t="n">
        <f aca="false" t="array" ref="CX657:CX657">IF(CX656=0,0,IF(CX656/'🎚️ Escenario'!$C$11&gt;=36,$AL$23,INDEX($C$23:$AL$23,MAX(1,ROUNDUP(CX656/'🎚️ Escenario'!$C$11,0)))))</f>
        <v>0</v>
      </c>
      <c r="CY657" s="236" t="n">
        <f aca="false" t="array" ref="CY657:CY657">IF(CY656=0,0,IF(CY656/'🎚️ Escenario'!$C$11&gt;=36,$AL$23,INDEX($C$23:$AL$23,MAX(1,ROUNDUP(CY656/'🎚️ Escenario'!$C$11,0)))))</f>
        <v>0</v>
      </c>
      <c r="CZ657" s="236" t="n">
        <f aca="false" t="array" ref="CZ657:CZ657">IF(CZ656=0,0,IF(CZ656/'🎚️ Escenario'!$C$11&gt;=36,$AL$23,INDEX($C$23:$AL$23,MAX(1,ROUNDUP(CZ656/'🎚️ Escenario'!$C$11,0)))))</f>
        <v>0</v>
      </c>
      <c r="DA657" s="236" t="n">
        <f aca="false" t="array" ref="DA657:DA657">IF(DA656=0,0,IF(DA656/'🎚️ Escenario'!$C$11&gt;=36,$AL$23,INDEX($C$23:$AL$23,MAX(1,ROUNDUP(DA656/'🎚️ Escenario'!$C$11,0)))))</f>
        <v>0</v>
      </c>
      <c r="DB657" s="236" t="n">
        <f aca="false" t="array" ref="DB657:DB657">IF(DB656=0,0,IF(DB656/'🎚️ Escenario'!$C$11&gt;=36,$AL$23,INDEX($C$23:$AL$23,MAX(1,ROUNDUP(DB656/'🎚️ Escenario'!$C$11,0)))))</f>
        <v>0</v>
      </c>
      <c r="DC657" s="236" t="n">
        <f aca="false" t="array" ref="DC657:DC657">IF(DC656=0,0,IF(DC656/'🎚️ Escenario'!$C$11&gt;=36,$AL$23,INDEX($C$23:$AL$23,MAX(1,ROUNDUP(DC656/'🎚️ Escenario'!$C$11,0)))))</f>
        <v>0</v>
      </c>
      <c r="DD657" s="236" t="n">
        <f aca="false" t="array" ref="DD657:DD657">IF(DD656=0,0,IF(DD656/'🎚️ Escenario'!$C$11&gt;=36,$AL$23,INDEX($C$23:$AL$23,MAX(1,ROUNDUP(DD656/'🎚️ Escenario'!$C$11,0)))))</f>
        <v>0</v>
      </c>
      <c r="DE657" s="236" t="n">
        <f aca="false" t="array" ref="DE657:DE657">IF(DE656=0,0,IF(DE656/'🎚️ Escenario'!$C$11&gt;=36,$AL$23,INDEX($C$23:$AL$23,MAX(1,ROUNDUP(DE656/'🎚️ Escenario'!$C$11,0)))))</f>
        <v>0</v>
      </c>
      <c r="DF657" s="236" t="n">
        <f aca="false" t="array" ref="DF657:DF657">IF(DF656=0,0,IF(DF656/'🎚️ Escenario'!$C$11&gt;=36,$AL$23,INDEX($C$23:$AL$23,MAX(1,ROUNDUP(DF656/'🎚️ Escenario'!$C$11,0)))))</f>
        <v>0</v>
      </c>
      <c r="DG657" s="236" t="n">
        <f aca="false" t="array" ref="DG657:DG657">IF(DG656=0,0,IF(DG656/'🎚️ Escenario'!$C$11&gt;=36,$AL$23,INDEX($C$23:$AL$23,MAX(1,ROUNDUP(DG656/'🎚️ Escenario'!$C$11,0)))))</f>
        <v>0</v>
      </c>
      <c r="DH657" s="236" t="n">
        <f aca="false" t="array" ref="DH657:DH657">IF(DH656=0,0,IF(DH656/'🎚️ Escenario'!$C$11&gt;=36,$AL$23,INDEX($C$23:$AL$23,MAX(1,ROUNDUP(DH656/'🎚️ Escenario'!$C$11,0)))))</f>
        <v>0</v>
      </c>
      <c r="DI657" s="236" t="n">
        <f aca="false" t="array" ref="DI657:DI657">IF(DI656=0,0,IF(DI656/'🎚️ Escenario'!$C$11&gt;=36,$AL$23,INDEX($C$23:$AL$23,MAX(1,ROUNDUP(DI656/'🎚️ Escenario'!$C$11,0)))))</f>
        <v>0</v>
      </c>
      <c r="DJ657" s="236" t="n">
        <f aca="false" t="array" ref="DJ657:DJ657">IF(DJ656=0,0,IF(DJ656/'🎚️ Escenario'!$C$11&gt;=36,$AL$23,INDEX($C$23:$AL$23,MAX(1,ROUNDUP(DJ656/'🎚️ Escenario'!$C$11,0)))))</f>
        <v>0</v>
      </c>
      <c r="DK657" s="236" t="n">
        <f aca="false" t="array" ref="DK657:DK657">IF(DK656=0,0,IF(DK656/'🎚️ Escenario'!$C$11&gt;=36,$AL$23,INDEX($C$23:$AL$23,MAX(1,ROUNDUP(DK656/'🎚️ Escenario'!$C$11,0)))))</f>
        <v>0</v>
      </c>
      <c r="DL657" s="236" t="n">
        <f aca="false" t="array" ref="DL657:DL657">IF(DL656=0,0,IF(DL656/'🎚️ Escenario'!$C$11&gt;=36,$AL$23,INDEX($C$23:$AL$23,MAX(1,ROUNDUP(DL656/'🎚️ Escenario'!$C$11,0)))))</f>
        <v>0</v>
      </c>
      <c r="DM657" s="236" t="n">
        <f aca="false" t="array" ref="DM657:DM657">IF(DM656=0,0,IF(DM656/'🎚️ Escenario'!$C$11&gt;=36,$AL$23,INDEX($C$23:$AL$23,MAX(1,ROUNDUP(DM656/'🎚️ Escenario'!$C$11,0)))))</f>
        <v>0</v>
      </c>
      <c r="DN657" s="236" t="n">
        <f aca="false" t="array" ref="DN657:DN657">IF(DN656=0,0,IF(DN656/'🎚️ Escenario'!$C$11&gt;=36,$AL$23,INDEX($C$23:$AL$23,MAX(1,ROUNDUP(DN656/'🎚️ Escenario'!$C$11,0)))))</f>
        <v>0.2</v>
      </c>
      <c r="DO657" s="236" t="n">
        <f aca="false" t="array" ref="DO657:DO657">IF(DO656=0,0,IF(DO656/'🎚️ Escenario'!$C$11&gt;=36,$AL$23,INDEX($C$23:$AL$23,MAX(1,ROUNDUP(DO656/'🎚️ Escenario'!$C$11,0)))))</f>
        <v>0.22</v>
      </c>
      <c r="DP657" s="236" t="n">
        <f aca="false" t="array" ref="DP657:DP657">IF(DP656=0,0,IF(DP656/'🎚️ Escenario'!$C$11&gt;=36,$AL$23,INDEX($C$23:$AL$23,MAX(1,ROUNDUP(DP656/'🎚️ Escenario'!$C$11,0)))))</f>
        <v>0.24</v>
      </c>
      <c r="DQ657" s="236" t="n">
        <f aca="false" t="array" ref="DQ657:DQ657">IF(DQ656=0,0,IF(DQ656/'🎚️ Escenario'!$C$11&gt;=36,$AL$23,INDEX($C$23:$AL$23,MAX(1,ROUNDUP(DQ656/'🎚️ Escenario'!$C$11,0)))))</f>
        <v>0.27</v>
      </c>
      <c r="DR657" s="236" t="n">
        <f aca="false" t="array" ref="DR657:DR657">IF(DR656=0,0,IF(DR656/'🎚️ Escenario'!$C$11&gt;=36,$AL$23,INDEX($C$23:$AL$23,MAX(1,ROUNDUP(DR656/'🎚️ Escenario'!$C$11,0)))))</f>
        <v>0.27</v>
      </c>
      <c r="DS657" s="236" t="n">
        <f aca="false" t="array" ref="DS657:DS657">IF(DS656=0,0,IF(DS656/'🎚️ Escenario'!$C$11&gt;=36,$AL$23,INDEX($C$23:$AL$23,MAX(1,ROUNDUP(DS656/'🎚️ Escenario'!$C$11,0)))))</f>
        <v>0.31</v>
      </c>
      <c r="DT657" s="236" t="n">
        <f aca="false" t="array" ref="DT657:DT657">IF(DT656=0,0,IF(DT656/'🎚️ Escenario'!$C$11&gt;=36,$AL$23,INDEX($C$23:$AL$23,MAX(1,ROUNDUP(DT656/'🎚️ Escenario'!$C$11,0)))))</f>
        <v>0.35</v>
      </c>
      <c r="DU657" s="236" t="n">
        <f aca="false" t="array" ref="DU657:DU657">IF(DU656=0,0,IF(DU656/'🎚️ Escenario'!$C$11&gt;=36,$AL$23,INDEX($C$23:$AL$23,MAX(1,ROUNDUP(DU656/'🎚️ Escenario'!$C$11,0)))))</f>
        <v>0.39</v>
      </c>
      <c r="DV657" s="236" t="n">
        <f aca="false" t="array" ref="DV657:DV657">IF(DV656=0,0,IF(DV656/'🎚️ Escenario'!$C$11&gt;=36,$AL$23,INDEX($C$23:$AL$23,MAX(1,ROUNDUP(DV656/'🎚️ Escenario'!$C$11,0)))))</f>
        <v>0.44</v>
      </c>
      <c r="DW657" s="236" t="n">
        <f aca="false" t="array" ref="DW657:DW657">IF(DW656=0,0,IF(DW656/'🎚️ Escenario'!$C$11&gt;=36,$AL$23,INDEX($C$23:$AL$23,MAX(1,ROUNDUP(DW656/'🎚️ Escenario'!$C$11,0)))))</f>
        <v>0.44</v>
      </c>
      <c r="DX657" s="236" t="n">
        <f aca="false" t="array" ref="DX657:DX657">IF(DX656=0,0,IF(DX656/'🎚️ Escenario'!$C$11&gt;=36,$AL$23,INDEX($C$23:$AL$23,MAX(1,ROUNDUP(DX656/'🎚️ Escenario'!$C$11,0)))))</f>
        <v>0.48</v>
      </c>
      <c r="DY657" s="236" t="n">
        <f aca="false" t="array" ref="DY657:DY657">IF(DY656=0,0,IF(DY656/'🎚️ Escenario'!$C$11&gt;=36,$AL$23,INDEX($C$23:$AL$23,MAX(1,ROUNDUP(DY656/'🎚️ Escenario'!$C$11,0)))))</f>
        <v>0.52</v>
      </c>
      <c r="DZ657" s="236" t="n">
        <f aca="false" t="array" ref="DZ657:DZ657">IF(DZ656=0,0,IF(DZ656/'🎚️ Escenario'!$C$11&gt;=36,$AL$23,INDEX($C$23:$AL$23,MAX(1,ROUNDUP(DZ656/'🎚️ Escenario'!$C$11,0)))))</f>
        <v>0.56</v>
      </c>
      <c r="EA657" s="236" t="n">
        <f aca="false" t="array" ref="EA657:EA657">IF(EA656=0,0,IF(EA656/'🎚️ Escenario'!$C$11&gt;=36,$AL$23,INDEX($C$23:$AL$23,MAX(1,ROUNDUP(EA656/'🎚️ Escenario'!$C$11,0)))))</f>
        <v>0.6</v>
      </c>
      <c r="EB657" s="236" t="n">
        <f aca="false" t="array" ref="EB657:EB657">IF(EB656=0,0,IF(EB656/'🎚️ Escenario'!$C$11&gt;=36,$AL$23,INDEX($C$23:$AL$23,MAX(1,ROUNDUP(EB656/'🎚️ Escenario'!$C$11,0)))))</f>
        <v>0.6</v>
      </c>
      <c r="EC657" s="236" t="n">
        <f aca="false" t="array" ref="EC657:EC657">IF(EC656=0,0,IF(EC656/'🎚️ Escenario'!$C$11&gt;=36,$AL$23,INDEX($C$23:$AL$23,MAX(1,ROUNDUP(EC656/'🎚️ Escenario'!$C$11,0)))))</f>
        <v>0.63</v>
      </c>
      <c r="ED657" s="236" t="n">
        <f aca="false" t="array" ref="ED657:ED657">IF(ED656=0,0,IF(ED656/'🎚️ Escenario'!$C$11&gt;=36,$AL$23,INDEX($C$23:$AL$23,MAX(1,ROUNDUP(ED656/'🎚️ Escenario'!$C$11,0)))))</f>
        <v>0.66</v>
      </c>
      <c r="EE657" s="236" t="n">
        <f aca="false" t="array" ref="EE657:EE657">IF(EE656=0,0,IF(EE656/'🎚️ Escenario'!$C$11&gt;=36,$AL$23,INDEX($C$23:$AL$23,MAX(1,ROUNDUP(EE656/'🎚️ Escenario'!$C$11,0)))))</f>
        <v>0.69</v>
      </c>
      <c r="EF657" s="236" t="n">
        <f aca="false" t="array" ref="EF657:EF657">IF(EF656=0,0,IF(EF656/'🎚️ Escenario'!$C$11&gt;=36,$AL$23,INDEX($C$23:$AL$23,MAX(1,ROUNDUP(EF656/'🎚️ Escenario'!$C$11,0)))))</f>
        <v>0.71</v>
      </c>
      <c r="EG657" s="236" t="n">
        <f aca="false" t="array" ref="EG657:EG657">IF(EG656=0,0,IF(EG656/'🎚️ Escenario'!$C$11&gt;=36,$AL$23,INDEX($C$23:$AL$23,MAX(1,ROUNDUP(EG656/'🎚️ Escenario'!$C$11,0)))))</f>
        <v>0.71</v>
      </c>
      <c r="EH657" s="236" t="n">
        <f aca="false" t="array" ref="EH657:EH657">IF(EH656=0,0,IF(EH656/'🎚️ Escenario'!$C$11&gt;=36,$AL$23,INDEX($C$23:$AL$23,MAX(1,ROUNDUP(EH656/'🎚️ Escenario'!$C$11,0)))))</f>
        <v>0.73</v>
      </c>
      <c r="EI657" s="236" t="n">
        <f aca="false" t="array" ref="EI657:EI657">IF(EI656=0,0,IF(EI656/'🎚️ Escenario'!$C$11&gt;=36,$AL$23,INDEX($C$23:$AL$23,MAX(1,ROUNDUP(EI656/'🎚️ Escenario'!$C$11,0)))))</f>
        <v>0.75</v>
      </c>
      <c r="EJ657" s="236" t="n">
        <f aca="false" t="array" ref="EJ657:EJ657">IF(EJ656=0,0,IF(EJ656/'🎚️ Escenario'!$C$11&gt;=36,$AL$23,INDEX($C$23:$AL$23,MAX(1,ROUNDUP(EJ656/'🎚️ Escenario'!$C$11,0)))))</f>
        <v>0.77</v>
      </c>
      <c r="EK657" s="236" t="n">
        <f aca="false" t="array" ref="EK657:EK657">IF(EK656=0,0,IF(EK656/'🎚️ Escenario'!$C$11&gt;=36,$AL$23,INDEX($C$23:$AL$23,MAX(1,ROUNDUP(EK656/'🎚️ Escenario'!$C$11,0)))))</f>
        <v>0.79</v>
      </c>
      <c r="EL657" s="236" t="n">
        <f aca="false" t="array" ref="EL657:EL657">IF(EL656=0,0,IF(EL656/'🎚️ Escenario'!$C$11&gt;=36,$AL$23,INDEX($C$23:$AL$23,MAX(1,ROUNDUP(EL656/'🎚️ Escenario'!$C$11,0)))))</f>
        <v>0.79</v>
      </c>
      <c r="EM657" s="236" t="n">
        <f aca="false" t="array" ref="EM657:EM657">IF(EM656=0,0,IF(EM656/'🎚️ Escenario'!$C$11&gt;=36,$AL$23,INDEX($C$23:$AL$23,MAX(1,ROUNDUP(EM656/'🎚️ Escenario'!$C$11,0)))))</f>
        <v>0.8</v>
      </c>
      <c r="EN657" s="236" t="n">
        <f aca="false" t="array" ref="EN657:EN657">IF(EN656=0,0,IF(EN656/'🎚️ Escenario'!$C$11&gt;=36,$AL$23,INDEX($C$23:$AL$23,MAX(1,ROUNDUP(EN656/'🎚️ Escenario'!$C$11,0)))))</f>
        <v>0.82</v>
      </c>
      <c r="EO657" s="236" t="n">
        <f aca="false" t="array" ref="EO657:EO657">IF(EO656=0,0,IF(EO656/'🎚️ Escenario'!$C$11&gt;=36,$AL$23,INDEX($C$23:$AL$23,MAX(1,ROUNDUP(EO656/'🎚️ Escenario'!$C$11,0)))))</f>
        <v>0.84</v>
      </c>
      <c r="EP657" s="236" t="n">
        <f aca="false" t="array" ref="EP657:EP657">IF(EP656=0,0,IF(EP656/'🎚️ Escenario'!$C$11&gt;=36,$AL$23,INDEX($C$23:$AL$23,MAX(1,ROUNDUP(EP656/'🎚️ Escenario'!$C$11,0)))))</f>
        <v>0.85</v>
      </c>
      <c r="EQ657" s="236" t="n">
        <f aca="false" t="array" ref="EQ657:EQ657">IF(EQ656=0,0,IF(EQ656/'🎚️ Escenario'!$C$11&gt;=36,$AL$23,INDEX($C$23:$AL$23,MAX(1,ROUNDUP(EQ656/'🎚️ Escenario'!$C$11,0)))))</f>
        <v>0.85</v>
      </c>
      <c r="ER657" s="236" t="n">
        <f aca="false" t="array" ref="ER657:ER657">IF(ER656=0,0,IF(ER656/'🎚️ Escenario'!$C$11&gt;=36,$AL$23,INDEX($C$23:$AL$23,MAX(1,ROUNDUP(ER656/'🎚️ Escenario'!$C$11,0)))))</f>
        <v>0.86</v>
      </c>
      <c r="ES657" s="9" t="n">
        <f aca="false" t="array" ref="ES657:ES657">IF(ES656=0,0,IF(ES656/'🎚️ Escenario'!$C$11&gt;=36,$AL$23,INDEX($C$23:$AL$23,MAX(1,ROUNDUP(ES656/'🎚️ Escenario'!$C$11,0)))))</f>
        <v>0.88</v>
      </c>
      <c r="ET657" s="9" t="n">
        <f aca="false" t="array" ref="ET657:ET657">IF(ET656=0,0,IF(ET656/'🎚️ Escenario'!$C$11&gt;=36,$AL$23,INDEX($C$23:$AL$23,MAX(1,ROUNDUP(ET656/'🎚️ Escenario'!$C$11,0)))))</f>
        <v>0.89</v>
      </c>
      <c r="EU657" s="9" t="n">
        <f aca="false" t="array" ref="EU657:EU657">IF(EU656=0,0,IF(EU656/'🎚️ Escenario'!$C$11&gt;=36,$AL$23,INDEX($C$23:$AL$23,MAX(1,ROUNDUP(EU656/'🎚️ Escenario'!$C$11,0)))))</f>
        <v>0.9</v>
      </c>
      <c r="EV657" s="9" t="n">
        <f aca="false" t="array" ref="EV657:EV657">IF(EV656=0,0,IF(EV656/'🎚️ Escenario'!$C$11&gt;=36,$AL$23,INDEX($C$23:$AL$23,MAX(1,ROUNDUP(EV656/'🎚️ Escenario'!$C$11,0)))))</f>
        <v>0.9</v>
      </c>
      <c r="EW657" s="9" t="n">
        <f aca="false" t="array" ref="EW657:EW657">IF(EW656=0,0,IF(EW656/'🎚️ Escenario'!$C$11&gt;=36,$AL$23,INDEX($C$23:$AL$23,MAX(1,ROUNDUP(EW656/'🎚️ Escenario'!$C$11,0)))))</f>
        <v>0.92</v>
      </c>
      <c r="EX657" s="9" t="n">
        <f aca="false" t="array" ref="EX657:EX657">IF(EX656=0,0,IF(EX656/'🎚️ Escenario'!$C$11&gt;=36,$AL$23,INDEX($C$23:$AL$23,MAX(1,ROUNDUP(EX656/'🎚️ Escenario'!$C$11,0)))))</f>
        <v>0.93</v>
      </c>
      <c r="EY657" s="9" t="n">
        <f aca="false" t="array" ref="EY657:EY657">IF(EY656=0,0,IF(EY656/'🎚️ Escenario'!$C$11&gt;=36,$AL$23,INDEX($C$23:$AL$23,MAX(1,ROUNDUP(EY656/'🎚️ Escenario'!$C$11,0)))))</f>
        <v>0.94</v>
      </c>
      <c r="EZ657" s="9" t="n">
        <f aca="false" t="array" ref="EZ657:EZ657">IF(EZ656=0,0,IF(EZ656/'🎚️ Escenario'!$C$11&gt;=36,$AL$23,INDEX($C$23:$AL$23,MAX(1,ROUNDUP(EZ656/'🎚️ Escenario'!$C$11,0)))))</f>
        <v>0.95</v>
      </c>
      <c r="FA657" s="9" t="n">
        <f aca="false" t="array" ref="FA657:FA657">IF(FA656=0,0,IF(FA656/'🎚️ Escenario'!$C$11&gt;=36,$AL$23,INDEX($C$23:$AL$23,MAX(1,ROUNDUP(FA656/'🎚️ Escenario'!$C$11,0)))))</f>
        <v>0.95</v>
      </c>
      <c r="FB657" s="9" t="n">
        <f aca="false" t="array" ref="FB657:FB657">IF(FB656=0,0,IF(FB656/'🎚️ Escenario'!$C$11&gt;=36,$AL$23,INDEX($C$23:$AL$23,MAX(1,ROUNDUP(FB656/'🎚️ Escenario'!$C$11,0)))))</f>
        <v>0.97</v>
      </c>
      <c r="FC657" s="9" t="n">
        <f aca="false" t="array" ref="FC657:FC657">IF(FC656=0,0,IF(FC656/'🎚️ Escenario'!$C$11&gt;=36,$AL$23,INDEX($C$23:$AL$23,MAX(1,ROUNDUP(FC656/'🎚️ Escenario'!$C$11,0)))))</f>
        <v>0.98</v>
      </c>
      <c r="FD657" s="9" t="n">
        <f aca="false" t="array" ref="FD657:FD657">IF(FD656=0,0,IF(FD656/'🎚️ Escenario'!$C$11&gt;=36,$AL$23,INDEX($C$23:$AL$23,MAX(1,ROUNDUP(FD656/'🎚️ Escenario'!$C$11,0)))))</f>
        <v>0.99</v>
      </c>
      <c r="FE657" s="9" t="n">
        <f aca="false" t="array" ref="FE657:FE657">IF(FE656=0,0,IF(FE656/'🎚️ Escenario'!$C$11&gt;=36,$AL$23,INDEX($C$23:$AL$23,MAX(1,ROUNDUP(FE656/'🎚️ Escenario'!$C$11,0)))))</f>
        <v>1</v>
      </c>
      <c r="FF657" s="9" t="n">
        <f aca="false" t="array" ref="FF657:FF657">IF(FF656=0,0,IF(FF656/'🎚️ Escenario'!$C$11&gt;=36,$AL$23,INDEX($C$23:$AL$23,MAX(1,ROUNDUP(FF656/'🎚️ Escenario'!$C$11,0)))))</f>
        <v>1</v>
      </c>
      <c r="FG657" s="9" t="n">
        <f aca="false" t="array" ref="FG657:FG657">IF(FG656=0,0,IF(FG656/'🎚️ Escenario'!$C$11&gt;=36,$AL$23,INDEX($C$23:$AL$23,MAX(1,ROUNDUP(FG656/'🎚️ Escenario'!$C$11,0)))))</f>
        <v>1</v>
      </c>
      <c r="FH657" s="9" t="n">
        <f aca="false" t="array" ref="FH657:FH657">IF(FH656=0,0,IF(FH656/'🎚️ Escenario'!$C$11&gt;=36,$AL$23,INDEX($C$23:$AL$23,MAX(1,ROUNDUP(FH656/'🎚️ Escenario'!$C$11,0)))))</f>
        <v>1</v>
      </c>
      <c r="FI657" s="9" t="n">
        <f aca="false" t="array" ref="FI657:FI657">IF(FI656=0,0,IF(FI656/'🎚️ Escenario'!$C$11&gt;=36,$AL$23,INDEX($C$23:$AL$23,MAX(1,ROUNDUP(FI656/'🎚️ Escenario'!$C$11,0)))))</f>
        <v>1</v>
      </c>
      <c r="FJ657" s="9" t="n">
        <f aca="false" t="array" ref="FJ657:FJ657">IF(FJ656=0,0,IF(FJ656/'🎚️ Escenario'!$C$11&gt;=36,$AL$23,INDEX($C$23:$AL$23,MAX(1,ROUNDUP(FJ656/'🎚️ Escenario'!$C$11,0)))))</f>
        <v>1</v>
      </c>
      <c r="FK657" s="9" t="n">
        <f aca="false" t="array" ref="FK657:FK657">IF(FK656=0,0,IF(FK656/'🎚️ Escenario'!$C$11&gt;=36,$AL$23,INDEX($C$23:$AL$23,MAX(1,ROUNDUP(FK656/'🎚️ Escenario'!$C$11,0)))))</f>
        <v>1</v>
      </c>
      <c r="FL657" s="9" t="n">
        <f aca="false" t="array" ref="FL657:FL657">IF(FL656=0,0,IF(FL656/'🎚️ Escenario'!$C$11&gt;=36,$AL$23,INDEX($C$23:$AL$23,MAX(1,ROUNDUP(FL656/'🎚️ Escenario'!$C$11,0)))))</f>
        <v>1</v>
      </c>
      <c r="FM657" s="9" t="n">
        <f aca="false" t="array" ref="FM657:FM657">IF(FM656=0,0,IF(FM656/'🎚️ Escenario'!$C$11&gt;=36,$AL$23,INDEX($C$23:$AL$23,MAX(1,ROUNDUP(FM656/'🎚️ Escenario'!$C$11,0)))))</f>
        <v>1</v>
      </c>
      <c r="FN657" s="9" t="n">
        <f aca="false" t="array" ref="FN657:FN657">IF(FN656=0,0,IF(FN656/'🎚️ Escenario'!$C$11&gt;=36,$AL$23,INDEX($C$23:$AL$23,MAX(1,ROUNDUP(FN656/'🎚️ Escenario'!$C$11,0)))))</f>
        <v>1</v>
      </c>
      <c r="FO657" s="9" t="n">
        <f aca="false" t="array" ref="FO657:FO657">IF(FO656=0,0,IF(FO656/'🎚️ Escenario'!$C$11&gt;=36,$AL$23,INDEX($C$23:$AL$23,MAX(1,ROUNDUP(FO656/'🎚️ Escenario'!$C$11,0)))))</f>
        <v>1</v>
      </c>
      <c r="FP657" s="9" t="n">
        <f aca="false" t="array" ref="FP657:FP657">IF(FP656=0,0,IF(FP656/'🎚️ Escenario'!$C$11&gt;=36,$AL$23,INDEX($C$23:$AL$23,MAX(1,ROUNDUP(FP656/'🎚️ Escenario'!$C$11,0)))))</f>
        <v>1</v>
      </c>
    </row>
    <row r="658" customFormat="false" ht="15" hidden="false" customHeight="false" outlineLevel="2" collapsed="false">
      <c r="B658" s="9" t="s">
        <v>875</v>
      </c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237" t="n">
        <f aca="false">IF(AC656=0,0,IF(AC656&lt;=12*'🎚️ Escenario'!$C$11,1,1+$C$6))</f>
        <v>0</v>
      </c>
      <c r="AD658" s="237" t="n">
        <f aca="false">IF(AD656=0,0,IF(AD656&lt;=12*'🎚️ Escenario'!$C$11,1,1+$C$6))</f>
        <v>0</v>
      </c>
      <c r="AE658" s="237" t="n">
        <f aca="false">IF(AE656=0,0,IF(AE656&lt;=12*'🎚️ Escenario'!$C$11,1,1+$C$6))</f>
        <v>0</v>
      </c>
      <c r="AF658" s="237" t="n">
        <f aca="false">IF(AF656=0,0,IF(AF656&lt;=12*'🎚️ Escenario'!$C$11,1,1+$C$6))</f>
        <v>0</v>
      </c>
      <c r="AG658" s="237" t="n">
        <f aca="false">IF(AG656=0,0,IF(AG656&lt;=12*'🎚️ Escenario'!$C$11,1,1+$C$6))</f>
        <v>0</v>
      </c>
      <c r="AH658" s="237" t="n">
        <f aca="false">IF(AH656=0,0,IF(AH656&lt;=12*'🎚️ Escenario'!$C$11,1,1+$C$6))</f>
        <v>0</v>
      </c>
      <c r="AI658" s="237" t="n">
        <f aca="false">IF(AI656=0,0,IF(AI656&lt;=12*'🎚️ Escenario'!$C$11,1,1+$C$6))</f>
        <v>0</v>
      </c>
      <c r="AJ658" s="237" t="n">
        <f aca="false">IF(AJ656=0,0,IF(AJ656&lt;=12*'🎚️ Escenario'!$C$11,1,1+$C$6))</f>
        <v>0</v>
      </c>
      <c r="AK658" s="237" t="n">
        <f aca="false">IF(AK656=0,0,IF(AK656&lt;=12*'🎚️ Escenario'!$C$11,1,1+$C$6))</f>
        <v>0</v>
      </c>
      <c r="AL658" s="237" t="n">
        <f aca="false">IF(AL656=0,0,IF(AL656&lt;=12*'🎚️ Escenario'!$C$11,1,1+$C$6))</f>
        <v>0</v>
      </c>
      <c r="AM658" s="237" t="n">
        <f aca="false">IF(AM656=0,0,IF(AM656&lt;=12*'🎚️ Escenario'!$C$11,1,1+$C$6))</f>
        <v>0</v>
      </c>
      <c r="AN658" s="237" t="n">
        <f aca="false">IF(AN656=0,0,IF(AN656&lt;=12*'🎚️ Escenario'!$C$11,1,1+$C$6))</f>
        <v>0</v>
      </c>
      <c r="AO658" s="237" t="n">
        <f aca="false">IF(AO656=0,0,IF(AO656&lt;=12*'🎚️ Escenario'!$C$11,1,1+$C$6))</f>
        <v>0</v>
      </c>
      <c r="AP658" s="237" t="n">
        <f aca="false">IF(AP656=0,0,IF(AP656&lt;=12*'🎚️ Escenario'!$C$11,1,1+$C$6))</f>
        <v>0</v>
      </c>
      <c r="AQ658" s="237" t="n">
        <f aca="false">IF(AQ656=0,0,IF(AQ656&lt;=12*'🎚️ Escenario'!$C$11,1,1+$C$6))</f>
        <v>0</v>
      </c>
      <c r="AR658" s="237" t="n">
        <f aca="false">IF(AR656=0,0,IF(AR656&lt;=12*'🎚️ Escenario'!$C$11,1,1+$C$6))</f>
        <v>0</v>
      </c>
      <c r="AS658" s="237" t="n">
        <f aca="false">IF(AS656=0,0,IF(AS656&lt;=12*'🎚️ Escenario'!$C$11,1,1+$C$6))</f>
        <v>0</v>
      </c>
      <c r="AT658" s="237" t="n">
        <f aca="false">IF(AT656=0,0,IF(AT656&lt;=12*'🎚️ Escenario'!$C$11,1,1+$C$6))</f>
        <v>0</v>
      </c>
      <c r="AU658" s="237" t="n">
        <f aca="false">IF(AU656=0,0,IF(AU656&lt;=12*'🎚️ Escenario'!$C$11,1,1+$C$6))</f>
        <v>0</v>
      </c>
      <c r="AV658" s="237" t="n">
        <f aca="false">IF(AV656=0,0,IF(AV656&lt;=12*'🎚️ Escenario'!$C$11,1,1+$C$6))</f>
        <v>0</v>
      </c>
      <c r="AW658" s="237" t="n">
        <f aca="false">IF(AW656=0,0,IF(AW656&lt;=12*'🎚️ Escenario'!$C$11,1,1+$C$6))</f>
        <v>0</v>
      </c>
      <c r="AX658" s="237" t="n">
        <f aca="false">IF(AX656=0,0,IF(AX656&lt;=12*'🎚️ Escenario'!$C$11,1,1+$C$6))</f>
        <v>0</v>
      </c>
      <c r="AY658" s="237" t="n">
        <f aca="false">IF(AY656=0,0,IF(AY656&lt;=12*'🎚️ Escenario'!$C$11,1,1+$C$6))</f>
        <v>0</v>
      </c>
      <c r="AZ658" s="237" t="n">
        <f aca="false">IF(AZ656=0,0,IF(AZ656&lt;=12*'🎚️ Escenario'!$C$11,1,1+$C$6))</f>
        <v>0</v>
      </c>
      <c r="BA658" s="237" t="n">
        <f aca="false">IF(BA656=0,0,IF(BA656&lt;=12*'🎚️ Escenario'!$C$11,1,1+$C$6))</f>
        <v>0</v>
      </c>
      <c r="BB658" s="237" t="n">
        <f aca="false">IF(BB656=0,0,IF(BB656&lt;=12*'🎚️ Escenario'!$C$11,1,1+$C$6))</f>
        <v>0</v>
      </c>
      <c r="BC658" s="237" t="n">
        <f aca="false">IF(BC656=0,0,IF(BC656&lt;=12*'🎚️ Escenario'!$C$11,1,1+$C$6))</f>
        <v>0</v>
      </c>
      <c r="BD658" s="237" t="n">
        <f aca="false">IF(BD656=0,0,IF(BD656&lt;=12*'🎚️ Escenario'!$C$11,1,1+$C$6))</f>
        <v>0</v>
      </c>
      <c r="BE658" s="237" t="n">
        <f aca="false">IF(BE656=0,0,IF(BE656&lt;=12*'🎚️ Escenario'!$C$11,1,1+$C$6))</f>
        <v>0</v>
      </c>
      <c r="BF658" s="237" t="n">
        <f aca="false">IF(BF656=0,0,IF(BF656&lt;=12*'🎚️ Escenario'!$C$11,1,1+$C$6))</f>
        <v>0</v>
      </c>
      <c r="BG658" s="237" t="n">
        <f aca="false">IF(BG656=0,0,IF(BG656&lt;=12*'🎚️ Escenario'!$C$11,1,1+$C$6))</f>
        <v>0</v>
      </c>
      <c r="BH658" s="237" t="n">
        <f aca="false">IF(BH656=0,0,IF(BH656&lt;=12*'🎚️ Escenario'!$C$11,1,1+$C$6))</f>
        <v>0</v>
      </c>
      <c r="BI658" s="237" t="n">
        <f aca="false">IF(BI656=0,0,IF(BI656&lt;=12*'🎚️ Escenario'!$C$11,1,1+$C$6))</f>
        <v>0</v>
      </c>
      <c r="BJ658" s="237" t="n">
        <f aca="false">IF(BJ656=0,0,IF(BJ656&lt;=12*'🎚️ Escenario'!$C$11,1,1+$C$6))</f>
        <v>0</v>
      </c>
      <c r="BK658" s="237" t="n">
        <f aca="false">IF(BK656=0,0,IF(BK656&lt;=12*'🎚️ Escenario'!$C$11,1,1+$C$6))</f>
        <v>0</v>
      </c>
      <c r="BL658" s="237" t="n">
        <f aca="false">IF(BL656=0,0,IF(BL656&lt;=12*'🎚️ Escenario'!$C$11,1,1+$C$6))</f>
        <v>0</v>
      </c>
      <c r="BM658" s="237" t="n">
        <f aca="false">IF(BM656=0,0,IF(BM656&lt;=12*'🎚️ Escenario'!$C$11,1,1+$C$6))</f>
        <v>0</v>
      </c>
      <c r="BN658" s="237" t="n">
        <f aca="false">IF(BN656=0,0,IF(BN656&lt;=12*'🎚️ Escenario'!$C$11,1,1+$C$6))</f>
        <v>0</v>
      </c>
      <c r="BO658" s="237" t="n">
        <f aca="false">IF(BO656=0,0,IF(BO656&lt;=12*'🎚️ Escenario'!$C$11,1,1+$C$6))</f>
        <v>0</v>
      </c>
      <c r="BP658" s="237" t="n">
        <f aca="false">IF(BP656=0,0,IF(BP656&lt;=12*'🎚️ Escenario'!$C$11,1,1+$C$6))</f>
        <v>0</v>
      </c>
      <c r="BQ658" s="237" t="n">
        <f aca="false">IF(BQ656=0,0,IF(BQ656&lt;=12*'🎚️ Escenario'!$C$11,1,1+$C$6))</f>
        <v>0</v>
      </c>
      <c r="BR658" s="237" t="n">
        <f aca="false">IF(BR656=0,0,IF(BR656&lt;=12*'🎚️ Escenario'!$C$11,1,1+$C$6))</f>
        <v>0</v>
      </c>
      <c r="BS658" s="237" t="n">
        <f aca="false">IF(BS656=0,0,IF(BS656&lt;=12*'🎚️ Escenario'!$C$11,1,1+$C$6))</f>
        <v>0</v>
      </c>
      <c r="BT658" s="237" t="n">
        <f aca="false">IF(BT656=0,0,IF(BT656&lt;=12*'🎚️ Escenario'!$C$11,1,1+$C$6))</f>
        <v>0</v>
      </c>
      <c r="BU658" s="237" t="n">
        <f aca="false">IF(BU656=0,0,IF(BU656&lt;=12*'🎚️ Escenario'!$C$11,1,1+$C$6))</f>
        <v>0</v>
      </c>
      <c r="BV658" s="237" t="n">
        <f aca="false">IF(BV656=0,0,IF(BV656&lt;=12*'🎚️ Escenario'!$C$11,1,1+$C$6))</f>
        <v>0</v>
      </c>
      <c r="BW658" s="237" t="n">
        <f aca="false">IF(BW656=0,0,IF(BW656&lt;=12*'🎚️ Escenario'!$C$11,1,1+$C$6))</f>
        <v>0</v>
      </c>
      <c r="BX658" s="237" t="n">
        <f aca="false">IF(BX656=0,0,IF(BX656&lt;=12*'🎚️ Escenario'!$C$11,1,1+$C$6))</f>
        <v>0</v>
      </c>
      <c r="BY658" s="237" t="n">
        <f aca="false">IF(BY656=0,0,IF(BY656&lt;=12*'🎚️ Escenario'!$C$11,1,1+$C$6))</f>
        <v>0</v>
      </c>
      <c r="BZ658" s="237" t="n">
        <f aca="false">IF(BZ656=0,0,IF(BZ656&lt;=12*'🎚️ Escenario'!$C$11,1,1+$C$6))</f>
        <v>0</v>
      </c>
      <c r="CA658" s="237" t="n">
        <f aca="false">IF(CA656=0,0,IF(CA656&lt;=12*'🎚️ Escenario'!$C$11,1,1+$C$6))</f>
        <v>0</v>
      </c>
      <c r="CB658" s="237" t="n">
        <f aca="false">IF(CB656=0,0,IF(CB656&lt;=12*'🎚️ Escenario'!$C$11,1,1+$C$6))</f>
        <v>0</v>
      </c>
      <c r="CC658" s="237" t="n">
        <f aca="false">IF(CC656=0,0,IF(CC656&lt;=12*'🎚️ Escenario'!$C$11,1,1+$C$6))</f>
        <v>0</v>
      </c>
      <c r="CD658" s="237" t="n">
        <f aca="false">IF(CD656=0,0,IF(CD656&lt;=12*'🎚️ Escenario'!$C$11,1,1+$C$6))</f>
        <v>0</v>
      </c>
      <c r="CE658" s="237" t="n">
        <f aca="false">IF(CE656=0,0,IF(CE656&lt;=12*'🎚️ Escenario'!$C$11,1,1+$C$6))</f>
        <v>0</v>
      </c>
      <c r="CF658" s="237" t="n">
        <f aca="false">IF(CF656=0,0,IF(CF656&lt;=12*'🎚️ Escenario'!$C$11,1,1+$C$6))</f>
        <v>0</v>
      </c>
      <c r="CG658" s="237" t="n">
        <f aca="false">IF(CG656=0,0,IF(CG656&lt;=12*'🎚️ Escenario'!$C$11,1,1+$C$6))</f>
        <v>0</v>
      </c>
      <c r="CH658" s="237" t="n">
        <f aca="false">IF(CH656=0,0,IF(CH656&lt;=12*'🎚️ Escenario'!$C$11,1,1+$C$6))</f>
        <v>0</v>
      </c>
      <c r="CI658" s="237" t="n">
        <f aca="false">IF(CI656=0,0,IF(CI656&lt;=12*'🎚️ Escenario'!$C$11,1,1+$C$6))</f>
        <v>0</v>
      </c>
      <c r="CJ658" s="237" t="n">
        <f aca="false">IF(CJ656=0,0,IF(CJ656&lt;=12*'🎚️ Escenario'!$C$11,1,1+$C$6))</f>
        <v>0</v>
      </c>
      <c r="CK658" s="237" t="n">
        <f aca="false">IF(CK656=0,0,IF(CK656&lt;=12*'🎚️ Escenario'!$C$11,1,1+$C$6))</f>
        <v>0</v>
      </c>
      <c r="CL658" s="237" t="n">
        <f aca="false">IF(CL656=0,0,IF(CL656&lt;=12*'🎚️ Escenario'!$C$11,1,1+$C$6))</f>
        <v>0</v>
      </c>
      <c r="CM658" s="237" t="n">
        <f aca="false">IF(CM656=0,0,IF(CM656&lt;=12*'🎚️ Escenario'!$C$11,1,1+$C$6))</f>
        <v>0</v>
      </c>
      <c r="CN658" s="237" t="n">
        <f aca="false">IF(CN656=0,0,IF(CN656&lt;=12*'🎚️ Escenario'!$C$11,1,1+$C$6))</f>
        <v>0</v>
      </c>
      <c r="CO658" s="237" t="n">
        <f aca="false">IF(CO656=0,0,IF(CO656&lt;=12*'🎚️ Escenario'!$C$11,1,1+$C$6))</f>
        <v>0</v>
      </c>
      <c r="CP658" s="237" t="n">
        <f aca="false">IF(CP656=0,0,IF(CP656&lt;=12*'🎚️ Escenario'!$C$11,1,1+$C$6))</f>
        <v>0</v>
      </c>
      <c r="CQ658" s="237" t="n">
        <f aca="false">IF(CQ656=0,0,IF(CQ656&lt;=12*'🎚️ Escenario'!$C$11,1,1+$C$6))</f>
        <v>0</v>
      </c>
      <c r="CR658" s="237" t="n">
        <f aca="false">IF(CR656=0,0,IF(CR656&lt;=12*'🎚️ Escenario'!$C$11,1,1+$C$6))</f>
        <v>0</v>
      </c>
      <c r="CS658" s="237" t="n">
        <f aca="false">IF(CS656=0,0,IF(CS656&lt;=12*'🎚️ Escenario'!$C$11,1,1+$C$6))</f>
        <v>0</v>
      </c>
      <c r="CT658" s="237" t="n">
        <f aca="false">IF(CT656=0,0,IF(CT656&lt;=12*'🎚️ Escenario'!$C$11,1,1+$C$6))</f>
        <v>0</v>
      </c>
      <c r="CU658" s="237" t="n">
        <f aca="false">IF(CU656=0,0,IF(CU656&lt;=12*'🎚️ Escenario'!$C$11,1,1+$C$6))</f>
        <v>0</v>
      </c>
      <c r="CV658" s="237" t="n">
        <f aca="false">IF(CV656=0,0,IF(CV656&lt;=12*'🎚️ Escenario'!$C$11,1,1+$C$6))</f>
        <v>0</v>
      </c>
      <c r="CW658" s="237" t="n">
        <f aca="false">IF(CW656=0,0,IF(CW656&lt;=12*'🎚️ Escenario'!$C$11,1,1+$C$6))</f>
        <v>0</v>
      </c>
      <c r="CX658" s="237" t="n">
        <f aca="false">IF(CX656=0,0,IF(CX656&lt;=12*'🎚️ Escenario'!$C$11,1,1+$C$6))</f>
        <v>0</v>
      </c>
      <c r="CY658" s="237" t="n">
        <f aca="false">IF(CY656=0,0,IF(CY656&lt;=12*'🎚️ Escenario'!$C$11,1,1+$C$6))</f>
        <v>0</v>
      </c>
      <c r="CZ658" s="237" t="n">
        <f aca="false">IF(CZ656=0,0,IF(CZ656&lt;=12*'🎚️ Escenario'!$C$11,1,1+$C$6))</f>
        <v>0</v>
      </c>
      <c r="DA658" s="237" t="n">
        <f aca="false">IF(DA656=0,0,IF(DA656&lt;=12*'🎚️ Escenario'!$C$11,1,1+$C$6))</f>
        <v>0</v>
      </c>
      <c r="DB658" s="237" t="n">
        <f aca="false">IF(DB656=0,0,IF(DB656&lt;=12*'🎚️ Escenario'!$C$11,1,1+$C$6))</f>
        <v>0</v>
      </c>
      <c r="DC658" s="237" t="n">
        <f aca="false">IF(DC656=0,0,IF(DC656&lt;=12*'🎚️ Escenario'!$C$11,1,1+$C$6))</f>
        <v>0</v>
      </c>
      <c r="DD658" s="237" t="n">
        <f aca="false">IF(DD656=0,0,IF(DD656&lt;=12*'🎚️ Escenario'!$C$11,1,1+$C$6))</f>
        <v>0</v>
      </c>
      <c r="DE658" s="237" t="n">
        <f aca="false">IF(DE656=0,0,IF(DE656&lt;=12*'🎚️ Escenario'!$C$11,1,1+$C$6))</f>
        <v>0</v>
      </c>
      <c r="DF658" s="237" t="n">
        <f aca="false">IF(DF656=0,0,IF(DF656&lt;=12*'🎚️ Escenario'!$C$11,1,1+$C$6))</f>
        <v>0</v>
      </c>
      <c r="DG658" s="237" t="n">
        <f aca="false">IF(DG656=0,0,IF(DG656&lt;=12*'🎚️ Escenario'!$C$11,1,1+$C$6))</f>
        <v>0</v>
      </c>
      <c r="DH658" s="237" t="n">
        <f aca="false">IF(DH656=0,0,IF(DH656&lt;=12*'🎚️ Escenario'!$C$11,1,1+$C$6))</f>
        <v>0</v>
      </c>
      <c r="DI658" s="237" t="n">
        <f aca="false">IF(DI656=0,0,IF(DI656&lt;=12*'🎚️ Escenario'!$C$11,1,1+$C$6))</f>
        <v>0</v>
      </c>
      <c r="DJ658" s="237" t="n">
        <f aca="false">IF(DJ656=0,0,IF(DJ656&lt;=12*'🎚️ Escenario'!$C$11,1,1+$C$6))</f>
        <v>0</v>
      </c>
      <c r="DK658" s="237" t="n">
        <f aca="false">IF(DK656=0,0,IF(DK656&lt;=12*'🎚️ Escenario'!$C$11,1,1+$C$6))</f>
        <v>0</v>
      </c>
      <c r="DL658" s="237" t="n">
        <f aca="false">IF(DL656=0,0,IF(DL656&lt;=12*'🎚️ Escenario'!$C$11,1,1+$C$6))</f>
        <v>0</v>
      </c>
      <c r="DM658" s="237" t="n">
        <f aca="false">IF(DM656=0,0,IF(DM656&lt;=12*'🎚️ Escenario'!$C$11,1,1+$C$6))</f>
        <v>0</v>
      </c>
      <c r="DN658" s="237" t="n">
        <f aca="false">IF(DN656=0,0,IF(DN656&lt;=12*'🎚️ Escenario'!$C$11,1,1+$C$6))</f>
        <v>1</v>
      </c>
      <c r="DO658" s="237" t="n">
        <f aca="false">IF(DO656=0,0,IF(DO656&lt;=12*'🎚️ Escenario'!$C$11,1,1+$C$6))</f>
        <v>1</v>
      </c>
      <c r="DP658" s="237" t="n">
        <f aca="false">IF(DP656=0,0,IF(DP656&lt;=12*'🎚️ Escenario'!$C$11,1,1+$C$6))</f>
        <v>1</v>
      </c>
      <c r="DQ658" s="237" t="n">
        <f aca="false">IF(DQ656=0,0,IF(DQ656&lt;=12*'🎚️ Escenario'!$C$11,1,1+$C$6))</f>
        <v>1</v>
      </c>
      <c r="DR658" s="237" t="n">
        <f aca="false">IF(DR656=0,0,IF(DR656&lt;=12*'🎚️ Escenario'!$C$11,1,1+$C$6))</f>
        <v>1</v>
      </c>
      <c r="DS658" s="237" t="n">
        <f aca="false">IF(DS656=0,0,IF(DS656&lt;=12*'🎚️ Escenario'!$C$11,1,1+$C$6))</f>
        <v>1</v>
      </c>
      <c r="DT658" s="237" t="n">
        <f aca="false">IF(DT656=0,0,IF(DT656&lt;=12*'🎚️ Escenario'!$C$11,1,1+$C$6))</f>
        <v>1</v>
      </c>
      <c r="DU658" s="237" t="n">
        <f aca="false">IF(DU656=0,0,IF(DU656&lt;=12*'🎚️ Escenario'!$C$11,1,1+$C$6))</f>
        <v>1</v>
      </c>
      <c r="DV658" s="237" t="n">
        <f aca="false">IF(DV656=0,0,IF(DV656&lt;=12*'🎚️ Escenario'!$C$11,1,1+$C$6))</f>
        <v>1</v>
      </c>
      <c r="DW658" s="237" t="n">
        <f aca="false">IF(DW656=0,0,IF(DW656&lt;=12*'🎚️ Escenario'!$C$11,1,1+$C$6))</f>
        <v>1</v>
      </c>
      <c r="DX658" s="237" t="n">
        <f aca="false">IF(DX656=0,0,IF(DX656&lt;=12*'🎚️ Escenario'!$C$11,1,1+$C$6))</f>
        <v>1</v>
      </c>
      <c r="DY658" s="237" t="n">
        <f aca="false">IF(DY656=0,0,IF(DY656&lt;=12*'🎚️ Escenario'!$C$11,1,1+$C$6))</f>
        <v>1</v>
      </c>
      <c r="DZ658" s="237" t="n">
        <f aca="false">IF(DZ656=0,0,IF(DZ656&lt;=12*'🎚️ Escenario'!$C$11,1,1+$C$6))</f>
        <v>1</v>
      </c>
      <c r="EA658" s="237" t="n">
        <f aca="false">IF(EA656=0,0,IF(EA656&lt;=12*'🎚️ Escenario'!$C$11,1,1+$C$6))</f>
        <v>1</v>
      </c>
      <c r="EB658" s="237" t="n">
        <f aca="false">IF(EB656=0,0,IF(EB656&lt;=12*'🎚️ Escenario'!$C$11,1,1+$C$6))</f>
        <v>1</v>
      </c>
      <c r="EC658" s="237" t="n">
        <f aca="false">IF(EC656=0,0,IF(EC656&lt;=12*'🎚️ Escenario'!$C$11,1,1+$C$6))</f>
        <v>1.2</v>
      </c>
      <c r="ED658" s="237" t="n">
        <f aca="false">IF(ED656=0,0,IF(ED656&lt;=12*'🎚️ Escenario'!$C$11,1,1+$C$6))</f>
        <v>1.2</v>
      </c>
      <c r="EE658" s="237" t="n">
        <f aca="false">IF(EE656=0,0,IF(EE656&lt;=12*'🎚️ Escenario'!$C$11,1,1+$C$6))</f>
        <v>1.2</v>
      </c>
      <c r="EF658" s="237" t="n">
        <f aca="false">IF(EF656=0,0,IF(EF656&lt;=12*'🎚️ Escenario'!$C$11,1,1+$C$6))</f>
        <v>1.2</v>
      </c>
      <c r="EG658" s="237" t="n">
        <f aca="false">IF(EG656=0,0,IF(EG656&lt;=12*'🎚️ Escenario'!$C$11,1,1+$C$6))</f>
        <v>1.2</v>
      </c>
      <c r="EH658" s="237" t="n">
        <f aca="false">IF(EH656=0,0,IF(EH656&lt;=12*'🎚️ Escenario'!$C$11,1,1+$C$6))</f>
        <v>1.2</v>
      </c>
      <c r="EI658" s="237" t="n">
        <f aca="false">IF(EI656=0,0,IF(EI656&lt;=12*'🎚️ Escenario'!$C$11,1,1+$C$6))</f>
        <v>1.2</v>
      </c>
      <c r="EJ658" s="237" t="n">
        <f aca="false">IF(EJ656=0,0,IF(EJ656&lt;=12*'🎚️ Escenario'!$C$11,1,1+$C$6))</f>
        <v>1.2</v>
      </c>
      <c r="EK658" s="237" t="n">
        <f aca="false">IF(EK656=0,0,IF(EK656&lt;=12*'🎚️ Escenario'!$C$11,1,1+$C$6))</f>
        <v>1.2</v>
      </c>
      <c r="EL658" s="237" t="n">
        <f aca="false">IF(EL656=0,0,IF(EL656&lt;=12*'🎚️ Escenario'!$C$11,1,1+$C$6))</f>
        <v>1.2</v>
      </c>
      <c r="EM658" s="237" t="n">
        <f aca="false">IF(EM656=0,0,IF(EM656&lt;=12*'🎚️ Escenario'!$C$11,1,1+$C$6))</f>
        <v>1.2</v>
      </c>
      <c r="EN658" s="237" t="n">
        <f aca="false">IF(EN656=0,0,IF(EN656&lt;=12*'🎚️ Escenario'!$C$11,1,1+$C$6))</f>
        <v>1.2</v>
      </c>
      <c r="EO658" s="237" t="n">
        <f aca="false">IF(EO656=0,0,IF(EO656&lt;=12*'🎚️ Escenario'!$C$11,1,1+$C$6))</f>
        <v>1.2</v>
      </c>
      <c r="EP658" s="237" t="n">
        <f aca="false">IF(EP656=0,0,IF(EP656&lt;=12*'🎚️ Escenario'!$C$11,1,1+$C$6))</f>
        <v>1.2</v>
      </c>
      <c r="EQ658" s="237" t="n">
        <f aca="false">IF(EQ656=0,0,IF(EQ656&lt;=12*'🎚️ Escenario'!$C$11,1,1+$C$6))</f>
        <v>1.2</v>
      </c>
      <c r="ER658" s="237" t="n">
        <f aca="false">IF(ER656=0,0,IF(ER656&lt;=12*'🎚️ Escenario'!$C$11,1,1+$C$6))</f>
        <v>1.2</v>
      </c>
      <c r="ES658" s="238" t="n">
        <f aca="false">IF(ES656=0,0,IF(ES656&lt;=12*'🎚️ Escenario'!$C$11,1,1+$C$6))</f>
        <v>1.2</v>
      </c>
      <c r="ET658" s="238" t="n">
        <f aca="false">IF(ET656=0,0,IF(ET656&lt;=12*'🎚️ Escenario'!$C$11,1,1+$C$6))</f>
        <v>1.2</v>
      </c>
      <c r="EU658" s="238" t="n">
        <f aca="false">IF(EU656=0,0,IF(EU656&lt;=12*'🎚️ Escenario'!$C$11,1,1+$C$6))</f>
        <v>1.2</v>
      </c>
      <c r="EV658" s="238" t="n">
        <f aca="false">IF(EV656=0,0,IF(EV656&lt;=12*'🎚️ Escenario'!$C$11,1,1+$C$6))</f>
        <v>1.2</v>
      </c>
      <c r="EW658" s="238" t="n">
        <f aca="false">IF(EW656=0,0,IF(EW656&lt;=12*'🎚️ Escenario'!$C$11,1,1+$C$6))</f>
        <v>1.2</v>
      </c>
      <c r="EX658" s="238" t="n">
        <f aca="false">IF(EX656=0,0,IF(EX656&lt;=12*'🎚️ Escenario'!$C$11,1,1+$C$6))</f>
        <v>1.2</v>
      </c>
      <c r="EY658" s="238" t="n">
        <f aca="false">IF(EY656=0,0,IF(EY656&lt;=12*'🎚️ Escenario'!$C$11,1,1+$C$6))</f>
        <v>1.2</v>
      </c>
      <c r="EZ658" s="238" t="n">
        <f aca="false">IF(EZ656=0,0,IF(EZ656&lt;=12*'🎚️ Escenario'!$C$11,1,1+$C$6))</f>
        <v>1.2</v>
      </c>
      <c r="FA658" s="238" t="n">
        <f aca="false">IF(FA656=0,0,IF(FA656&lt;=12*'🎚️ Escenario'!$C$11,1,1+$C$6))</f>
        <v>1.2</v>
      </c>
      <c r="FB658" s="238" t="n">
        <f aca="false">IF(FB656=0,0,IF(FB656&lt;=12*'🎚️ Escenario'!$C$11,1,1+$C$6))</f>
        <v>1.2</v>
      </c>
      <c r="FC658" s="238" t="n">
        <f aca="false">IF(FC656=0,0,IF(FC656&lt;=12*'🎚️ Escenario'!$C$11,1,1+$C$6))</f>
        <v>1.2</v>
      </c>
      <c r="FD658" s="238" t="n">
        <f aca="false">IF(FD656=0,0,IF(FD656&lt;=12*'🎚️ Escenario'!$C$11,1,1+$C$6))</f>
        <v>1.2</v>
      </c>
      <c r="FE658" s="238" t="n">
        <f aca="false">IF(FE656=0,0,IF(FE656&lt;=12*'🎚️ Escenario'!$C$11,1,1+$C$6))</f>
        <v>1.2</v>
      </c>
      <c r="FF658" s="238" t="n">
        <f aca="false">IF(FF656=0,0,IF(FF656&lt;=12*'🎚️ Escenario'!$C$11,1,1+$C$6))</f>
        <v>1.2</v>
      </c>
      <c r="FG658" s="238" t="n">
        <f aca="false">IF(FG656=0,0,IF(FG656&lt;=12*'🎚️ Escenario'!$C$11,1,1+$C$6))</f>
        <v>1.2</v>
      </c>
      <c r="FH658" s="238" t="n">
        <f aca="false">IF(FH656=0,0,IF(FH656&lt;=12*'🎚️ Escenario'!$C$11,1,1+$C$6))</f>
        <v>1.2</v>
      </c>
      <c r="FI658" s="238" t="n">
        <f aca="false">IF(FI656=0,0,IF(FI656&lt;=12*'🎚️ Escenario'!$C$11,1,1+$C$6))</f>
        <v>1.2</v>
      </c>
      <c r="FJ658" s="238" t="n">
        <f aca="false">IF(FJ656=0,0,IF(FJ656&lt;=12*'🎚️ Escenario'!$C$11,1,1+$C$6))</f>
        <v>1.2</v>
      </c>
      <c r="FK658" s="238" t="n">
        <f aca="false">IF(FK656=0,0,IF(FK656&lt;=12*'🎚️ Escenario'!$C$11,1,1+$C$6))</f>
        <v>1.2</v>
      </c>
      <c r="FL658" s="238" t="n">
        <f aca="false">IF(FL656=0,0,IF(FL656&lt;=12*'🎚️ Escenario'!$C$11,1,1+$C$6))</f>
        <v>1.2</v>
      </c>
      <c r="FM658" s="238" t="n">
        <f aca="false">IF(FM656=0,0,IF(FM656&lt;=12*'🎚️ Escenario'!$C$11,1,1+$C$6))</f>
        <v>1.2</v>
      </c>
      <c r="FN658" s="238" t="n">
        <f aca="false">IF(FN656=0,0,IF(FN656&lt;=12*'🎚️ Escenario'!$C$11,1,1+$C$6))</f>
        <v>1.2</v>
      </c>
      <c r="FO658" s="238" t="n">
        <f aca="false">IF(FO656=0,0,IF(FO656&lt;=12*'🎚️ Escenario'!$C$11,1,1+$C$6))</f>
        <v>1.2</v>
      </c>
      <c r="FP658" s="238" t="n">
        <f aca="false">IF(FP656=0,0,IF(FP656&lt;=12*'🎚️ Escenario'!$C$11,1,1+$C$6))</f>
        <v>1.2</v>
      </c>
    </row>
    <row r="659" customFormat="false" ht="15" hidden="false" customHeight="false" outlineLevel="2" collapsed="false">
      <c r="B659" s="9" t="s">
        <v>876</v>
      </c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36" t="n">
        <f aca="false">AC657*$AC$655*AC658*AC$38*'⑫ Roll-out Plan'!$O$70</f>
        <v>0</v>
      </c>
      <c r="AD659" s="36" t="n">
        <f aca="false">AD657*$AC$655*AD658*AD$38*'⑫ Roll-out Plan'!$O$70</f>
        <v>0</v>
      </c>
      <c r="AE659" s="36" t="n">
        <f aca="false">AE657*$AC$655*AE658*AE$38*'⑫ Roll-out Plan'!$O$70</f>
        <v>0</v>
      </c>
      <c r="AF659" s="36" t="n">
        <f aca="false">AF657*$AC$655*AF658*AF$38*'⑫ Roll-out Plan'!$O$70</f>
        <v>0</v>
      </c>
      <c r="AG659" s="36" t="n">
        <f aca="false">AG657*$AC$655*AG658*AG$38*'⑫ Roll-out Plan'!$O$70</f>
        <v>0</v>
      </c>
      <c r="AH659" s="36" t="n">
        <f aca="false">AH657*$AC$655*AH658*AH$38*'⑫ Roll-out Plan'!$O$70</f>
        <v>0</v>
      </c>
      <c r="AI659" s="36" t="n">
        <f aca="false">AI657*$AC$655*AI658*AI$38*'⑫ Roll-out Plan'!$O$70</f>
        <v>0</v>
      </c>
      <c r="AJ659" s="36" t="n">
        <f aca="false">AJ657*$AC$655*AJ658*AJ$38*'⑫ Roll-out Plan'!$O$70</f>
        <v>0</v>
      </c>
      <c r="AK659" s="36" t="n">
        <f aca="false">AK657*$AC$655*AK658*AK$38*'⑫ Roll-out Plan'!$O$70</f>
        <v>0</v>
      </c>
      <c r="AL659" s="36" t="n">
        <f aca="false">AL657*$AC$655*AL658*AL$38*'⑫ Roll-out Plan'!$O$70</f>
        <v>0</v>
      </c>
      <c r="AM659" s="36" t="n">
        <f aca="false">AM657*$AC$655*AM658*AM$38*'⑫ Roll-out Plan'!$O$70</f>
        <v>0</v>
      </c>
      <c r="AN659" s="36" t="n">
        <f aca="false">AN657*$AC$655*AN658*AN$38*'⑫ Roll-out Plan'!$O$70</f>
        <v>0</v>
      </c>
      <c r="AO659" s="36" t="n">
        <f aca="false">AO657*$AC$655*AO658*AO$38*'⑫ Roll-out Plan'!$O$70</f>
        <v>0</v>
      </c>
      <c r="AP659" s="36" t="n">
        <f aca="false">AP657*$AC$655*AP658*AP$38*'⑫ Roll-out Plan'!$O$70</f>
        <v>0</v>
      </c>
      <c r="AQ659" s="36" t="n">
        <f aca="false">AQ657*$AC$655*AQ658*AQ$38*'⑫ Roll-out Plan'!$O$70</f>
        <v>0</v>
      </c>
      <c r="AR659" s="36" t="n">
        <f aca="false">AR657*$AC$655*AR658*AR$38*'⑫ Roll-out Plan'!$O$70</f>
        <v>0</v>
      </c>
      <c r="AS659" s="36" t="n">
        <f aca="false">AS657*$AC$655*AS658*AS$38*'⑫ Roll-out Plan'!$O$70</f>
        <v>0</v>
      </c>
      <c r="AT659" s="36" t="n">
        <f aca="false">AT657*$AC$655*AT658*AT$38*'⑫ Roll-out Plan'!$O$70</f>
        <v>0</v>
      </c>
      <c r="AU659" s="36" t="n">
        <f aca="false">AU657*$AC$655*AU658*AU$38*'⑫ Roll-out Plan'!$O$70</f>
        <v>0</v>
      </c>
      <c r="AV659" s="36" t="n">
        <f aca="false">AV657*$AC$655*AV658*AV$38*'⑫ Roll-out Plan'!$O$70</f>
        <v>0</v>
      </c>
      <c r="AW659" s="36" t="n">
        <f aca="false">AW657*$AC$655*AW658*AW$38*'⑫ Roll-out Plan'!$O$70</f>
        <v>0</v>
      </c>
      <c r="AX659" s="36" t="n">
        <f aca="false">AX657*$AC$655*AX658*AX$38*'⑫ Roll-out Plan'!$O$70</f>
        <v>0</v>
      </c>
      <c r="AY659" s="36" t="n">
        <f aca="false">AY657*$AC$655*AY658*AY$38*'⑫ Roll-out Plan'!$O$70</f>
        <v>0</v>
      </c>
      <c r="AZ659" s="36" t="n">
        <f aca="false">AZ657*$AC$655*AZ658*AZ$38*'⑫ Roll-out Plan'!$O$70</f>
        <v>0</v>
      </c>
      <c r="BA659" s="36" t="n">
        <f aca="false">BA657*$AC$655*BA658*BA$38*'⑫ Roll-out Plan'!$O$70</f>
        <v>0</v>
      </c>
      <c r="BB659" s="36" t="n">
        <f aca="false">BB657*$AC$655*BB658*BB$38*'⑫ Roll-out Plan'!$O$70</f>
        <v>0</v>
      </c>
      <c r="BC659" s="36" t="n">
        <f aca="false">BC657*$AC$655*BC658*BC$38*'⑫ Roll-out Plan'!$O$70</f>
        <v>0</v>
      </c>
      <c r="BD659" s="36" t="n">
        <f aca="false">BD657*$AC$655*BD658*BD$38*'⑫ Roll-out Plan'!$O$70</f>
        <v>0</v>
      </c>
      <c r="BE659" s="36" t="n">
        <f aca="false">BE657*$AC$655*BE658*BE$38*'⑫ Roll-out Plan'!$O$70</f>
        <v>0</v>
      </c>
      <c r="BF659" s="36" t="n">
        <f aca="false">BF657*$AC$655*BF658*BF$38*'⑫ Roll-out Plan'!$O$70</f>
        <v>0</v>
      </c>
      <c r="BG659" s="36" t="n">
        <f aca="false">BG657*$AC$655*BG658*BG$38*'⑫ Roll-out Plan'!$O$70</f>
        <v>0</v>
      </c>
      <c r="BH659" s="36" t="n">
        <f aca="false">BH657*$AC$655*BH658*BH$38*'⑫ Roll-out Plan'!$O$70</f>
        <v>0</v>
      </c>
      <c r="BI659" s="36" t="n">
        <f aca="false">BI657*$AC$655*BI658*BI$38*'⑫ Roll-out Plan'!$O$70</f>
        <v>0</v>
      </c>
      <c r="BJ659" s="36" t="n">
        <f aca="false">BJ657*$AC$655*BJ658*BJ$38*'⑫ Roll-out Plan'!$O$70</f>
        <v>0</v>
      </c>
      <c r="BK659" s="36" t="n">
        <f aca="false">BK657*$AC$655*BK658*BK$38*'⑫ Roll-out Plan'!$O$70</f>
        <v>0</v>
      </c>
      <c r="BL659" s="36" t="n">
        <f aca="false">BL657*$AC$655*BL658*BL$38*'⑫ Roll-out Plan'!$O$70</f>
        <v>0</v>
      </c>
      <c r="BM659" s="36" t="n">
        <f aca="false">BM657*$AC$655*BM658*BM$38*'⑫ Roll-out Plan'!$O$70</f>
        <v>0</v>
      </c>
      <c r="BN659" s="36" t="n">
        <f aca="false">BN657*$AC$655*BN658*BN$38*'⑫ Roll-out Plan'!$O$70</f>
        <v>0</v>
      </c>
      <c r="BO659" s="36" t="n">
        <f aca="false">BO657*$AC$655*BO658*BO$38*'⑫ Roll-out Plan'!$O$70</f>
        <v>0</v>
      </c>
      <c r="BP659" s="36" t="n">
        <f aca="false">BP657*$AC$655*BP658*BP$38*'⑫ Roll-out Plan'!$O$70</f>
        <v>0</v>
      </c>
      <c r="BQ659" s="36" t="n">
        <f aca="false">BQ657*$AC$655*BQ658*BQ$38*'⑫ Roll-out Plan'!$O$70</f>
        <v>0</v>
      </c>
      <c r="BR659" s="36" t="n">
        <f aca="false">BR657*$AC$655*BR658*BR$38*'⑫ Roll-out Plan'!$O$70</f>
        <v>0</v>
      </c>
      <c r="BS659" s="36" t="n">
        <f aca="false">BS657*$AC$655*BS658*BS$38*'⑫ Roll-out Plan'!$O$70</f>
        <v>0</v>
      </c>
      <c r="BT659" s="36" t="n">
        <f aca="false">BT657*$AC$655*BT658*BT$38*'⑫ Roll-out Plan'!$O$70</f>
        <v>0</v>
      </c>
      <c r="BU659" s="36" t="n">
        <f aca="false">BU657*$AC$655*BU658*BU$38*'⑫ Roll-out Plan'!$O$70</f>
        <v>0</v>
      </c>
      <c r="BV659" s="36" t="n">
        <f aca="false">BV657*$AC$655*BV658*BV$38*'⑫ Roll-out Plan'!$O$70</f>
        <v>0</v>
      </c>
      <c r="BW659" s="36" t="n">
        <f aca="false">BW657*$AC$655*BW658*BW$38*'⑫ Roll-out Plan'!$O$70</f>
        <v>0</v>
      </c>
      <c r="BX659" s="36" t="n">
        <f aca="false">BX657*$AC$655*BX658*BX$38*'⑫ Roll-out Plan'!$O$70</f>
        <v>0</v>
      </c>
      <c r="BY659" s="36" t="n">
        <f aca="false">BY657*$AC$655*BY658*BY$38*'⑫ Roll-out Plan'!$O$70</f>
        <v>0</v>
      </c>
      <c r="BZ659" s="36" t="n">
        <f aca="false">BZ657*$AC$655*BZ658*BZ$38*'⑫ Roll-out Plan'!$O$70</f>
        <v>0</v>
      </c>
      <c r="CA659" s="36" t="n">
        <f aca="false">CA657*$AC$655*CA658*CA$38*'⑫ Roll-out Plan'!$O$70</f>
        <v>0</v>
      </c>
      <c r="CB659" s="36" t="n">
        <f aca="false">CB657*$AC$655*CB658*CB$38*'⑫ Roll-out Plan'!$O$70</f>
        <v>0</v>
      </c>
      <c r="CC659" s="36" t="n">
        <f aca="false">CC657*$AC$655*CC658*CC$38*'⑫ Roll-out Plan'!$O$70</f>
        <v>0</v>
      </c>
      <c r="CD659" s="36" t="n">
        <f aca="false">CD657*$AC$655*CD658*CD$38*'⑫ Roll-out Plan'!$O$70</f>
        <v>0</v>
      </c>
      <c r="CE659" s="36" t="n">
        <f aca="false">CE657*$AC$655*CE658*CE$38*'⑫ Roll-out Plan'!$O$70</f>
        <v>0</v>
      </c>
      <c r="CF659" s="36" t="n">
        <f aca="false">CF657*$AC$655*CF658*CF$38*'⑫ Roll-out Plan'!$O$70</f>
        <v>0</v>
      </c>
      <c r="CG659" s="36" t="n">
        <f aca="false">CG657*$AC$655*CG658*CG$38*'⑫ Roll-out Plan'!$O$70</f>
        <v>0</v>
      </c>
      <c r="CH659" s="36" t="n">
        <f aca="false">CH657*$AC$655*CH658*CH$38*'⑫ Roll-out Plan'!$O$70</f>
        <v>0</v>
      </c>
      <c r="CI659" s="36" t="n">
        <f aca="false">CI657*$AC$655*CI658*CI$38*'⑫ Roll-out Plan'!$O$70</f>
        <v>0</v>
      </c>
      <c r="CJ659" s="36" t="n">
        <f aca="false">CJ657*$AC$655*CJ658*CJ$38*'⑫ Roll-out Plan'!$O$70</f>
        <v>0</v>
      </c>
      <c r="CK659" s="36" t="n">
        <f aca="false">CK657*$AC$655*CK658*CK$38*'⑫ Roll-out Plan'!$O$70</f>
        <v>0</v>
      </c>
      <c r="CL659" s="36" t="n">
        <f aca="false">CL657*$AC$655*CL658*CL$38*'⑫ Roll-out Plan'!$O$70</f>
        <v>0</v>
      </c>
      <c r="CM659" s="36" t="n">
        <f aca="false">CM657*$AC$655*CM658*CM$38*'⑫ Roll-out Plan'!$O$70</f>
        <v>0</v>
      </c>
      <c r="CN659" s="36" t="n">
        <f aca="false">CN657*$AC$655*CN658*CN$38*'⑫ Roll-out Plan'!$O$70</f>
        <v>0</v>
      </c>
      <c r="CO659" s="36" t="n">
        <f aca="false">CO657*$AC$655*CO658*CO$38*'⑫ Roll-out Plan'!$O$70</f>
        <v>0</v>
      </c>
      <c r="CP659" s="36" t="n">
        <f aca="false">CP657*$AC$655*CP658*CP$38*'⑫ Roll-out Plan'!$O$70</f>
        <v>0</v>
      </c>
      <c r="CQ659" s="36" t="n">
        <f aca="false">CQ657*$AC$655*CQ658*CQ$38*'⑫ Roll-out Plan'!$O$70</f>
        <v>0</v>
      </c>
      <c r="CR659" s="36" t="n">
        <f aca="false">CR657*$AC$655*CR658*CR$38*'⑫ Roll-out Plan'!$O$70</f>
        <v>0</v>
      </c>
      <c r="CS659" s="36" t="n">
        <f aca="false">CS657*$AC$655*CS658*CS$38*'⑫ Roll-out Plan'!$O$70</f>
        <v>0</v>
      </c>
      <c r="CT659" s="36" t="n">
        <f aca="false">CT657*$AC$655*CT658*CT$38*'⑫ Roll-out Plan'!$O$70</f>
        <v>0</v>
      </c>
      <c r="CU659" s="36" t="n">
        <f aca="false">CU657*$AC$655*CU658*CU$38*'⑫ Roll-out Plan'!$O$70</f>
        <v>0</v>
      </c>
      <c r="CV659" s="36" t="n">
        <f aca="false">CV657*$AC$655*CV658*CV$38*'⑫ Roll-out Plan'!$O$70</f>
        <v>0</v>
      </c>
      <c r="CW659" s="36" t="n">
        <f aca="false">CW657*$AC$655*CW658*CW$38*'⑫ Roll-out Plan'!$O$70</f>
        <v>0</v>
      </c>
      <c r="CX659" s="36" t="n">
        <f aca="false">CX657*$AC$655*CX658*CX$38*'⑫ Roll-out Plan'!$O$70</f>
        <v>0</v>
      </c>
      <c r="CY659" s="36" t="n">
        <f aca="false">CY657*$AC$655*CY658*CY$38*'⑫ Roll-out Plan'!$O$70</f>
        <v>0</v>
      </c>
      <c r="CZ659" s="36" t="n">
        <f aca="false">CZ657*$AC$655*CZ658*CZ$38*'⑫ Roll-out Plan'!$O$70</f>
        <v>0</v>
      </c>
      <c r="DA659" s="36" t="n">
        <f aca="false">DA657*$AC$655*DA658*DA$38*'⑫ Roll-out Plan'!$O$70</f>
        <v>0</v>
      </c>
      <c r="DB659" s="36" t="n">
        <f aca="false">DB657*$AC$655*DB658*DB$38*'⑫ Roll-out Plan'!$O$70</f>
        <v>0</v>
      </c>
      <c r="DC659" s="36" t="n">
        <f aca="false">DC657*$AC$655*DC658*DC$38*'⑫ Roll-out Plan'!$O$70</f>
        <v>0</v>
      </c>
      <c r="DD659" s="36" t="n">
        <f aca="false">DD657*$AC$655*DD658*DD$38*'⑫ Roll-out Plan'!$O$70</f>
        <v>0</v>
      </c>
      <c r="DE659" s="36" t="n">
        <f aca="false">DE657*$AC$655*DE658*DE$38*'⑫ Roll-out Plan'!$O$70</f>
        <v>0</v>
      </c>
      <c r="DF659" s="36" t="n">
        <f aca="false">DF657*$AC$655*DF658*DF$38*'⑫ Roll-out Plan'!$O$70</f>
        <v>0</v>
      </c>
      <c r="DG659" s="36" t="n">
        <f aca="false">DG657*$AC$655*DG658*DG$38*'⑫ Roll-out Plan'!$O$70</f>
        <v>0</v>
      </c>
      <c r="DH659" s="36" t="n">
        <f aca="false">DH657*$AC$655*DH658*DH$38*'⑫ Roll-out Plan'!$O$70</f>
        <v>0</v>
      </c>
      <c r="DI659" s="36" t="n">
        <f aca="false">DI657*$AC$655*DI658*DI$38*'⑫ Roll-out Plan'!$O$70</f>
        <v>0</v>
      </c>
      <c r="DJ659" s="36" t="n">
        <f aca="false">DJ657*$AC$655*DJ658*DJ$38*'⑫ Roll-out Plan'!$O$70</f>
        <v>0</v>
      </c>
      <c r="DK659" s="36" t="n">
        <f aca="false">DK657*$AC$655*DK658*DK$38*'⑫ Roll-out Plan'!$O$70</f>
        <v>0</v>
      </c>
      <c r="DL659" s="36" t="n">
        <f aca="false">DL657*$AC$655*DL658*DL$38*'⑫ Roll-out Plan'!$O$70</f>
        <v>0</v>
      </c>
      <c r="DM659" s="36" t="n">
        <f aca="false">DM657*$AC$655*DM658*DM$38*'⑫ Roll-out Plan'!$O$70</f>
        <v>0</v>
      </c>
      <c r="DN659" s="36" t="n">
        <f aca="false">DN657*$AC$655*DN658*DN$38*'⑫ Roll-out Plan'!$O$70</f>
        <v>0</v>
      </c>
      <c r="DO659" s="36" t="n">
        <f aca="false">DO657*$AC$655*DO658*DO$38*'⑫ Roll-out Plan'!$O$70</f>
        <v>0</v>
      </c>
      <c r="DP659" s="36" t="n">
        <f aca="false">DP657*$AC$655*DP658*DP$38*'⑫ Roll-out Plan'!$O$70</f>
        <v>0</v>
      </c>
      <c r="DQ659" s="36" t="n">
        <f aca="false">DQ657*$AC$655*DQ658*DQ$38*'⑫ Roll-out Plan'!$O$70</f>
        <v>0</v>
      </c>
      <c r="DR659" s="36" t="n">
        <f aca="false">DR657*$AC$655*DR658*DR$38*'⑫ Roll-out Plan'!$O$70</f>
        <v>0</v>
      </c>
      <c r="DS659" s="36" t="n">
        <f aca="false">DS657*$AC$655*DS658*DS$38*'⑫ Roll-out Plan'!$O$70</f>
        <v>0</v>
      </c>
      <c r="DT659" s="36" t="n">
        <f aca="false">DT657*$AC$655*DT658*DT$38*'⑫ Roll-out Plan'!$O$70</f>
        <v>0</v>
      </c>
      <c r="DU659" s="36" t="n">
        <f aca="false">DU657*$AC$655*DU658*DU$38*'⑫ Roll-out Plan'!$O$70</f>
        <v>0</v>
      </c>
      <c r="DV659" s="36" t="n">
        <f aca="false">DV657*$AC$655*DV658*DV$38*'⑫ Roll-out Plan'!$O$70</f>
        <v>0</v>
      </c>
      <c r="DW659" s="36" t="n">
        <f aca="false">DW657*$AC$655*DW658*DW$38*'⑫ Roll-out Plan'!$O$70</f>
        <v>0</v>
      </c>
      <c r="DX659" s="36" t="n">
        <f aca="false">DX657*$AC$655*DX658*DX$38*'⑫ Roll-out Plan'!$O$70</f>
        <v>0</v>
      </c>
      <c r="DY659" s="36" t="n">
        <f aca="false">DY657*$AC$655*DY658*DY$38*'⑫ Roll-out Plan'!$O$70</f>
        <v>0</v>
      </c>
      <c r="DZ659" s="36" t="n">
        <f aca="false">DZ657*$AC$655*DZ658*DZ$38*'⑫ Roll-out Plan'!$O$70</f>
        <v>0</v>
      </c>
      <c r="EA659" s="36" t="n">
        <f aca="false">EA657*$AC$655*EA658*EA$38*'⑫ Roll-out Plan'!$O$70</f>
        <v>0</v>
      </c>
      <c r="EB659" s="36" t="n">
        <f aca="false">EB657*$AC$655*EB658*EB$38*'⑫ Roll-out Plan'!$O$70</f>
        <v>0</v>
      </c>
      <c r="EC659" s="36" t="n">
        <f aca="false">EC657*$AC$655*EC658*EC$38*'⑫ Roll-out Plan'!$O$70</f>
        <v>0</v>
      </c>
      <c r="ED659" s="36" t="n">
        <f aca="false">ED657*$AC$655*ED658*ED$38*'⑫ Roll-out Plan'!$O$70</f>
        <v>0</v>
      </c>
      <c r="EE659" s="36" t="n">
        <f aca="false">EE657*$AC$655*EE658*EE$38*'⑫ Roll-out Plan'!$O$70</f>
        <v>0</v>
      </c>
      <c r="EF659" s="36" t="n">
        <f aca="false">EF657*$AC$655*EF658*EF$38*'⑫ Roll-out Plan'!$O$70</f>
        <v>0</v>
      </c>
      <c r="EG659" s="36" t="n">
        <f aca="false">EG657*$AC$655*EG658*EG$38*'⑫ Roll-out Plan'!$O$70</f>
        <v>0</v>
      </c>
      <c r="EH659" s="36" t="n">
        <f aca="false">EH657*$AC$655*EH658*EH$38*'⑫ Roll-out Plan'!$O$70</f>
        <v>0</v>
      </c>
      <c r="EI659" s="36" t="n">
        <f aca="false">EI657*$AC$655*EI658*EI$38*'⑫ Roll-out Plan'!$O$70</f>
        <v>0</v>
      </c>
      <c r="EJ659" s="36" t="n">
        <f aca="false">EJ657*$AC$655*EJ658*EJ$38*'⑫ Roll-out Plan'!$O$70</f>
        <v>0</v>
      </c>
      <c r="EK659" s="36" t="n">
        <f aca="false">EK657*$AC$655*EK658*EK$38*'⑫ Roll-out Plan'!$O$70</f>
        <v>0</v>
      </c>
      <c r="EL659" s="36" t="n">
        <f aca="false">EL657*$AC$655*EL658*EL$38*'⑫ Roll-out Plan'!$O$70</f>
        <v>0</v>
      </c>
      <c r="EM659" s="36" t="n">
        <f aca="false">EM657*$AC$655*EM658*EM$38*'⑫ Roll-out Plan'!$O$70</f>
        <v>0</v>
      </c>
      <c r="EN659" s="36" t="n">
        <f aca="false">EN657*$AC$655*EN658*EN$38*'⑫ Roll-out Plan'!$O$70</f>
        <v>0</v>
      </c>
      <c r="EO659" s="36" t="n">
        <f aca="false">EO657*$AC$655*EO658*EO$38*'⑫ Roll-out Plan'!$O$70</f>
        <v>0</v>
      </c>
      <c r="EP659" s="36" t="n">
        <f aca="false">EP657*$AC$655*EP658*EP$38*'⑫ Roll-out Plan'!$O$70</f>
        <v>0</v>
      </c>
      <c r="EQ659" s="36" t="n">
        <f aca="false">EQ657*$AC$655*EQ658*EQ$38*'⑫ Roll-out Plan'!$O$70</f>
        <v>0</v>
      </c>
      <c r="ER659" s="36" t="n">
        <f aca="false">ER657*$AC$655*ER658*ER$38*'⑫ Roll-out Plan'!$O$70</f>
        <v>0</v>
      </c>
      <c r="ES659" s="9" t="n">
        <f aca="false">ES657*$AC$655*ES658*ES$38*'⑫ Roll-out Plan'!$O$70</f>
        <v>0</v>
      </c>
      <c r="ET659" s="9" t="n">
        <f aca="false">ET657*$AC$655*ET658*ET$38*'⑫ Roll-out Plan'!$O$70</f>
        <v>0</v>
      </c>
      <c r="EU659" s="9" t="n">
        <f aca="false">EU657*$AC$655*EU658*EU$38*'⑫ Roll-out Plan'!$O$70</f>
        <v>0</v>
      </c>
      <c r="EV659" s="9" t="n">
        <f aca="false">EV657*$AC$655*EV658*EV$38*'⑫ Roll-out Plan'!$O$70</f>
        <v>0</v>
      </c>
      <c r="EW659" s="9" t="n">
        <f aca="false">EW657*$AC$655*EW658*EW$38*'⑫ Roll-out Plan'!$O$70</f>
        <v>0</v>
      </c>
      <c r="EX659" s="9" t="n">
        <f aca="false">EX657*$AC$655*EX658*EX$38*'⑫ Roll-out Plan'!$O$70</f>
        <v>0</v>
      </c>
      <c r="EY659" s="9" t="n">
        <f aca="false">EY657*$AC$655*EY658*EY$38*'⑫ Roll-out Plan'!$O$70</f>
        <v>0</v>
      </c>
      <c r="EZ659" s="9" t="n">
        <f aca="false">EZ657*$AC$655*EZ658*EZ$38*'⑫ Roll-out Plan'!$O$70</f>
        <v>0</v>
      </c>
      <c r="FA659" s="9" t="n">
        <f aca="false">FA657*$AC$655*FA658*FA$38*'⑫ Roll-out Plan'!$O$70</f>
        <v>0</v>
      </c>
      <c r="FB659" s="9" t="n">
        <f aca="false">FB657*$AC$655*FB658*FB$38*'⑫ Roll-out Plan'!$O$70</f>
        <v>0</v>
      </c>
      <c r="FC659" s="9" t="n">
        <f aca="false">FC657*$AC$655*FC658*FC$38*'⑫ Roll-out Plan'!$O$70</f>
        <v>0</v>
      </c>
      <c r="FD659" s="9" t="n">
        <f aca="false">FD657*$AC$655*FD658*FD$38*'⑫ Roll-out Plan'!$O$70</f>
        <v>0</v>
      </c>
      <c r="FE659" s="9" t="n">
        <f aca="false">FE657*$AC$655*FE658*FE$38*'⑫ Roll-out Plan'!$O$70</f>
        <v>0</v>
      </c>
      <c r="FF659" s="9" t="n">
        <f aca="false">FF657*$AC$655*FF658*FF$38*'⑫ Roll-out Plan'!$O$70</f>
        <v>0</v>
      </c>
      <c r="FG659" s="9" t="n">
        <f aca="false">FG657*$AC$655*FG658*FG$38*'⑫ Roll-out Plan'!$O$70</f>
        <v>0</v>
      </c>
      <c r="FH659" s="9" t="n">
        <f aca="false">FH657*$AC$655*FH658*FH$38*'⑫ Roll-out Plan'!$O$70</f>
        <v>0</v>
      </c>
      <c r="FI659" s="9" t="n">
        <f aca="false">FI657*$AC$655*FI658*FI$38*'⑫ Roll-out Plan'!$O$70</f>
        <v>0</v>
      </c>
      <c r="FJ659" s="9" t="n">
        <f aca="false">FJ657*$AC$655*FJ658*FJ$38*'⑫ Roll-out Plan'!$O$70</f>
        <v>0</v>
      </c>
      <c r="FK659" s="9" t="n">
        <f aca="false">FK657*$AC$655*FK658*FK$38*'⑫ Roll-out Plan'!$O$70</f>
        <v>0</v>
      </c>
      <c r="FL659" s="9" t="n">
        <f aca="false">FL657*$AC$655*FL658*FL$38*'⑫ Roll-out Plan'!$O$70</f>
        <v>0</v>
      </c>
      <c r="FM659" s="9" t="n">
        <f aca="false">FM657*$AC$655*FM658*FM$38*'⑫ Roll-out Plan'!$O$70</f>
        <v>0</v>
      </c>
      <c r="FN659" s="9" t="n">
        <f aca="false">FN657*$AC$655*FN658*FN$38*'⑫ Roll-out Plan'!$O$70</f>
        <v>0</v>
      </c>
      <c r="FO659" s="9" t="n">
        <f aca="false">FO657*$AC$655*FO658*FO$38*'⑫ Roll-out Plan'!$O$70</f>
        <v>0</v>
      </c>
      <c r="FP659" s="9" t="n">
        <f aca="false">FP657*$AC$655*FP658*FP$38*'⑫ Roll-out Plan'!$O$70</f>
        <v>0</v>
      </c>
    </row>
    <row r="660" customFormat="false" ht="15" hidden="false" customHeight="false" outlineLevel="2" collapsed="false">
      <c r="B660" s="9" t="s">
        <v>877</v>
      </c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112" t="n">
        <f aca="true">IFERROR(SUMPRODUCT(OFFSET($BJ$31,0,1-MIN(60,COLUMN()-29),1,MIN(60,COLUMN()-29)),OFFSET(AC659,0,-MIN(60,COLUMN()-29),1,MIN(60,COLUMN()-29))),0)</f>
        <v>0</v>
      </c>
      <c r="AD660" s="112" t="n">
        <f aca="true">IFERROR(SUMPRODUCT(OFFSET($BJ$31,0,1-MIN(60,COLUMN()-29),1,MIN(60,COLUMN()-29)),OFFSET(AD659,0,-MIN(60,COLUMN()-29),1,MIN(60,COLUMN()-29))),0)</f>
        <v>0</v>
      </c>
      <c r="AE660" s="112" t="n">
        <f aca="true">IFERROR(SUMPRODUCT(OFFSET($BJ$31,0,1-MIN(60,COLUMN()-29),1,MIN(60,COLUMN()-29)),OFFSET(AE659,0,-MIN(60,COLUMN()-29),1,MIN(60,COLUMN()-29))),0)</f>
        <v>0</v>
      </c>
      <c r="AF660" s="112" t="n">
        <f aca="true">IFERROR(SUMPRODUCT(OFFSET($BJ$31,0,1-MIN(60,COLUMN()-29),1,MIN(60,COLUMN()-29)),OFFSET(AF659,0,-MIN(60,COLUMN()-29),1,MIN(60,COLUMN()-29))),0)</f>
        <v>0</v>
      </c>
      <c r="AG660" s="112" t="n">
        <f aca="true">IFERROR(SUMPRODUCT(OFFSET($BJ$31,0,1-MIN(60,COLUMN()-29),1,MIN(60,COLUMN()-29)),OFFSET(AG659,0,-MIN(60,COLUMN()-29),1,MIN(60,COLUMN()-29))),0)</f>
        <v>0</v>
      </c>
      <c r="AH660" s="112" t="n">
        <f aca="true">IFERROR(SUMPRODUCT(OFFSET($BJ$31,0,1-MIN(60,COLUMN()-29),1,MIN(60,COLUMN()-29)),OFFSET(AH659,0,-MIN(60,COLUMN()-29),1,MIN(60,COLUMN()-29))),0)</f>
        <v>0</v>
      </c>
      <c r="AI660" s="112" t="n">
        <f aca="true">IFERROR(SUMPRODUCT(OFFSET($BJ$31,0,1-MIN(60,COLUMN()-29),1,MIN(60,COLUMN()-29)),OFFSET(AI659,0,-MIN(60,COLUMN()-29),1,MIN(60,COLUMN()-29))),0)</f>
        <v>0</v>
      </c>
      <c r="AJ660" s="112" t="n">
        <f aca="true">IFERROR(SUMPRODUCT(OFFSET($BJ$31,0,1-MIN(60,COLUMN()-29),1,MIN(60,COLUMN()-29)),OFFSET(AJ659,0,-MIN(60,COLUMN()-29),1,MIN(60,COLUMN()-29))),0)</f>
        <v>0</v>
      </c>
      <c r="AK660" s="112" t="n">
        <f aca="true">IFERROR(SUMPRODUCT(OFFSET($BJ$31,0,1-MIN(60,COLUMN()-29),1,MIN(60,COLUMN()-29)),OFFSET(AK659,0,-MIN(60,COLUMN()-29),1,MIN(60,COLUMN()-29))),0)</f>
        <v>0</v>
      </c>
      <c r="AL660" s="112" t="n">
        <f aca="true">IFERROR(SUMPRODUCT(OFFSET($BJ$31,0,1-MIN(60,COLUMN()-29),1,MIN(60,COLUMN()-29)),OFFSET(AL659,0,-MIN(60,COLUMN()-29),1,MIN(60,COLUMN()-29))),0)</f>
        <v>0</v>
      </c>
      <c r="AM660" s="112" t="n">
        <f aca="true">IFERROR(SUMPRODUCT(OFFSET($BJ$31,0,1-MIN(60,COLUMN()-29),1,MIN(60,COLUMN()-29)),OFFSET(AM659,0,-MIN(60,COLUMN()-29),1,MIN(60,COLUMN()-29))),0)</f>
        <v>0</v>
      </c>
      <c r="AN660" s="239" t="n">
        <f aca="true">IFERROR(SUMPRODUCT(OFFSET($BJ$31,0,1-MIN(60,COLUMN()-29),1,MIN(60,COLUMN()-29)),OFFSET(AN659,0,-MIN(60,COLUMN()-29),1,MIN(60,COLUMN()-29))),0)</f>
        <v>0</v>
      </c>
      <c r="AO660" s="112" t="n">
        <f aca="true">IFERROR(SUMPRODUCT(OFFSET($BJ$31,0,1-MIN(60,COLUMN()-29),1,MIN(60,COLUMN()-29)),OFFSET(AO659,0,-MIN(60,COLUMN()-29),1,MIN(60,COLUMN()-29))),0)</f>
        <v>0</v>
      </c>
      <c r="AP660" s="112" t="n">
        <f aca="true">IFERROR(SUMPRODUCT(OFFSET($BJ$31,0,1-MIN(60,COLUMN()-29),1,MIN(60,COLUMN()-29)),OFFSET(AP659,0,-MIN(60,COLUMN()-29),1,MIN(60,COLUMN()-29))),0)</f>
        <v>0</v>
      </c>
      <c r="AQ660" s="112" t="n">
        <f aca="true">IFERROR(SUMPRODUCT(OFFSET($BJ$31,0,1-MIN(60,COLUMN()-29),1,MIN(60,COLUMN()-29)),OFFSET(AQ659,0,-MIN(60,COLUMN()-29),1,MIN(60,COLUMN()-29))),0)</f>
        <v>0</v>
      </c>
      <c r="AR660" s="112" t="n">
        <f aca="true">IFERROR(SUMPRODUCT(OFFSET($BJ$31,0,1-MIN(60,COLUMN()-29),1,MIN(60,COLUMN()-29)),OFFSET(AR659,0,-MIN(60,COLUMN()-29),1,MIN(60,COLUMN()-29))),0)</f>
        <v>0</v>
      </c>
      <c r="AS660" s="112" t="n">
        <f aca="true">IFERROR(SUMPRODUCT(OFFSET($BJ$31,0,1-MIN(60,COLUMN()-29),1,MIN(60,COLUMN()-29)),OFFSET(AS659,0,-MIN(60,COLUMN()-29),1,MIN(60,COLUMN()-29))),0)</f>
        <v>0</v>
      </c>
      <c r="AT660" s="112" t="n">
        <f aca="true">IFERROR(SUMPRODUCT(OFFSET($BJ$31,0,1-MIN(60,COLUMN()-29),1,MIN(60,COLUMN()-29)),OFFSET(AT659,0,-MIN(60,COLUMN()-29),1,MIN(60,COLUMN()-29))),0)</f>
        <v>0</v>
      </c>
      <c r="AU660" s="112" t="n">
        <f aca="true">IFERROR(SUMPRODUCT(OFFSET($BJ$31,0,1-MIN(60,COLUMN()-29),1,MIN(60,COLUMN()-29)),OFFSET(AU659,0,-MIN(60,COLUMN()-29),1,MIN(60,COLUMN()-29))),0)</f>
        <v>0</v>
      </c>
      <c r="AV660" s="112" t="n">
        <f aca="true">IFERROR(SUMPRODUCT(OFFSET($BJ$31,0,1-MIN(60,COLUMN()-29),1,MIN(60,COLUMN()-29)),OFFSET(AV659,0,-MIN(60,COLUMN()-29),1,MIN(60,COLUMN()-29))),0)</f>
        <v>0</v>
      </c>
      <c r="AW660" s="112" t="n">
        <f aca="true">IFERROR(SUMPRODUCT(OFFSET($BJ$31,0,1-MIN(60,COLUMN()-29),1,MIN(60,COLUMN()-29)),OFFSET(AW659,0,-MIN(60,COLUMN()-29),1,MIN(60,COLUMN()-29))),0)</f>
        <v>0</v>
      </c>
      <c r="AX660" s="112" t="n">
        <f aca="true">IFERROR(SUMPRODUCT(OFFSET($BJ$31,0,1-MIN(60,COLUMN()-29),1,MIN(60,COLUMN()-29)),OFFSET(AX659,0,-MIN(60,COLUMN()-29),1,MIN(60,COLUMN()-29))),0)</f>
        <v>0</v>
      </c>
      <c r="AY660" s="112" t="n">
        <f aca="true">IFERROR(SUMPRODUCT(OFFSET($BJ$31,0,1-MIN(60,COLUMN()-29),1,MIN(60,COLUMN()-29)),OFFSET(AY659,0,-MIN(60,COLUMN()-29),1,MIN(60,COLUMN()-29))),0)</f>
        <v>0</v>
      </c>
      <c r="AZ660" s="112" t="n">
        <f aca="true">IFERROR(SUMPRODUCT(OFFSET($BJ$31,0,1-MIN(60,COLUMN()-29),1,MIN(60,COLUMN()-29)),OFFSET(AZ659,0,-MIN(60,COLUMN()-29),1,MIN(60,COLUMN()-29))),0)</f>
        <v>0</v>
      </c>
      <c r="BA660" s="112" t="n">
        <f aca="true">IFERROR(SUMPRODUCT(OFFSET($BJ$31,0,1-MIN(60,COLUMN()-29),1,MIN(60,COLUMN()-29)),OFFSET(BA659,0,-MIN(60,COLUMN()-29),1,MIN(60,COLUMN()-29))),0)</f>
        <v>0</v>
      </c>
      <c r="BB660" s="112" t="n">
        <f aca="true">IFERROR(SUMPRODUCT(OFFSET($BJ$31,0,1-MIN(60,COLUMN()-29),1,MIN(60,COLUMN()-29)),OFFSET(BB659,0,-MIN(60,COLUMN()-29),1,MIN(60,COLUMN()-29))),0)</f>
        <v>0</v>
      </c>
      <c r="BC660" s="112" t="n">
        <f aca="true">IFERROR(SUMPRODUCT(OFFSET($BJ$31,0,1-MIN(60,COLUMN()-29),1,MIN(60,COLUMN()-29)),OFFSET(BC659,0,-MIN(60,COLUMN()-29),1,MIN(60,COLUMN()-29))),0)</f>
        <v>0</v>
      </c>
      <c r="BD660" s="112" t="n">
        <f aca="true">IFERROR(SUMPRODUCT(OFFSET($BJ$31,0,1-MIN(60,COLUMN()-29),1,MIN(60,COLUMN()-29)),OFFSET(BD659,0,-MIN(60,COLUMN()-29),1,MIN(60,COLUMN()-29))),0)</f>
        <v>0</v>
      </c>
      <c r="BE660" s="112" t="n">
        <f aca="true">IFERROR(SUMPRODUCT(OFFSET($BJ$31,0,1-MIN(60,COLUMN()-29),1,MIN(60,COLUMN()-29)),OFFSET(BE659,0,-MIN(60,COLUMN()-29),1,MIN(60,COLUMN()-29))),0)</f>
        <v>0</v>
      </c>
      <c r="BF660" s="112" t="n">
        <f aca="true">IFERROR(SUMPRODUCT(OFFSET($BJ$31,0,1-MIN(60,COLUMN()-29),1,MIN(60,COLUMN()-29)),OFFSET(BF659,0,-MIN(60,COLUMN()-29),1,MIN(60,COLUMN()-29))),0)</f>
        <v>0</v>
      </c>
      <c r="BG660" s="112" t="n">
        <f aca="true">IFERROR(SUMPRODUCT(OFFSET($BJ$31,0,1-MIN(60,COLUMN()-29),1,MIN(60,COLUMN()-29)),OFFSET(BG659,0,-MIN(60,COLUMN()-29),1,MIN(60,COLUMN()-29))),0)</f>
        <v>0</v>
      </c>
      <c r="BH660" s="112" t="n">
        <f aca="true">IFERROR(SUMPRODUCT(OFFSET($BJ$31,0,1-MIN(60,COLUMN()-29),1,MIN(60,COLUMN()-29)),OFFSET(BH659,0,-MIN(60,COLUMN()-29),1,MIN(60,COLUMN()-29))),0)</f>
        <v>0</v>
      </c>
      <c r="BI660" s="112" t="n">
        <f aca="true">IFERROR(SUMPRODUCT(OFFSET($BJ$31,0,1-MIN(60,COLUMN()-29),1,MIN(60,COLUMN()-29)),OFFSET(BI659,0,-MIN(60,COLUMN()-29),1,MIN(60,COLUMN()-29))),0)</f>
        <v>0</v>
      </c>
      <c r="BJ660" s="112" t="n">
        <f aca="true">IFERROR(SUMPRODUCT(OFFSET($BJ$31,0,1-MIN(60,COLUMN()-29),1,MIN(60,COLUMN()-29)),OFFSET(BJ659,0,-MIN(60,COLUMN()-29),1,MIN(60,COLUMN()-29))),0)</f>
        <v>0</v>
      </c>
      <c r="BK660" s="112" t="n">
        <f aca="true">IFERROR(SUMPRODUCT(OFFSET($BJ$31,0,1-MIN(60,COLUMN()-29),1,MIN(60,COLUMN()-29)),OFFSET(BK659,0,-MIN(60,COLUMN()-29),1,MIN(60,COLUMN()-29))),0)</f>
        <v>0</v>
      </c>
      <c r="BL660" s="112" t="n">
        <f aca="true">IFERROR(SUMPRODUCT(OFFSET($BJ$31,0,1-MIN(60,COLUMN()-29),1,MIN(60,COLUMN()-29)),OFFSET(BL659,0,-MIN(60,COLUMN()-29),1,MIN(60,COLUMN()-29))),0)</f>
        <v>0</v>
      </c>
      <c r="BM660" s="112" t="n">
        <f aca="true">IFERROR(SUMPRODUCT(OFFSET($BJ$31,0,1-MIN(60,COLUMN()-29),1,MIN(60,COLUMN()-29)),OFFSET(BM659,0,-MIN(60,COLUMN()-29),1,MIN(60,COLUMN()-29))),0)</f>
        <v>0</v>
      </c>
      <c r="BN660" s="112" t="n">
        <f aca="true">IFERROR(SUMPRODUCT(OFFSET($BJ$31,0,1-MIN(60,COLUMN()-29),1,MIN(60,COLUMN()-29)),OFFSET(BN659,0,-MIN(60,COLUMN()-29),1,MIN(60,COLUMN()-29))),0)</f>
        <v>0</v>
      </c>
      <c r="BO660" s="112" t="n">
        <f aca="true">IFERROR(SUMPRODUCT(OFFSET($BJ$31,0,1-MIN(60,COLUMN()-29),1,MIN(60,COLUMN()-29)),OFFSET(BO659,0,-MIN(60,COLUMN()-29),1,MIN(60,COLUMN()-29))),0)</f>
        <v>0</v>
      </c>
      <c r="BP660" s="112" t="n">
        <f aca="true">IFERROR(SUMPRODUCT(OFFSET($BJ$31,0,1-MIN(60,COLUMN()-29),1,MIN(60,COLUMN()-29)),OFFSET(BP659,0,-MIN(60,COLUMN()-29),1,MIN(60,COLUMN()-29))),0)</f>
        <v>0</v>
      </c>
      <c r="BQ660" s="112" t="n">
        <f aca="true">IFERROR(SUMPRODUCT(OFFSET($BJ$31,0,1-MIN(60,COLUMN()-29),1,MIN(60,COLUMN()-29)),OFFSET(BQ659,0,-MIN(60,COLUMN()-29),1,MIN(60,COLUMN()-29))),0)</f>
        <v>0</v>
      </c>
      <c r="BR660" s="112" t="n">
        <f aca="true">IFERROR(SUMPRODUCT(OFFSET($BJ$31,0,1-MIN(60,COLUMN()-29),1,MIN(60,COLUMN()-29)),OFFSET(BR659,0,-MIN(60,COLUMN()-29),1,MIN(60,COLUMN()-29))),0)</f>
        <v>0</v>
      </c>
      <c r="BS660" s="112" t="n">
        <f aca="true">IFERROR(SUMPRODUCT(OFFSET($BJ$31,0,1-MIN(60,COLUMN()-29),1,MIN(60,COLUMN()-29)),OFFSET(BS659,0,-MIN(60,COLUMN()-29),1,MIN(60,COLUMN()-29))),0)</f>
        <v>0</v>
      </c>
      <c r="BT660" s="112" t="n">
        <f aca="true">IFERROR(SUMPRODUCT(OFFSET($BJ$31,0,1-MIN(60,COLUMN()-29),1,MIN(60,COLUMN()-29)),OFFSET(BT659,0,-MIN(60,COLUMN()-29),1,MIN(60,COLUMN()-29))),0)</f>
        <v>0</v>
      </c>
      <c r="BU660" s="112" t="n">
        <f aca="true">IFERROR(SUMPRODUCT(OFFSET($BJ$31,0,1-MIN(60,COLUMN()-29),1,MIN(60,COLUMN()-29)),OFFSET(BU659,0,-MIN(60,COLUMN()-29),1,MIN(60,COLUMN()-29))),0)</f>
        <v>0</v>
      </c>
      <c r="BV660" s="112" t="n">
        <f aca="true">IFERROR(SUMPRODUCT(OFFSET($BJ$31,0,1-MIN(60,COLUMN()-29),1,MIN(60,COLUMN()-29)),OFFSET(BV659,0,-MIN(60,COLUMN()-29),1,MIN(60,COLUMN()-29))),0)</f>
        <v>0</v>
      </c>
      <c r="BW660" s="112" t="n">
        <f aca="true">IFERROR(SUMPRODUCT(OFFSET($BJ$31,0,1-MIN(60,COLUMN()-29),1,MIN(60,COLUMN()-29)),OFFSET(BW659,0,-MIN(60,COLUMN()-29),1,MIN(60,COLUMN()-29))),0)</f>
        <v>0</v>
      </c>
      <c r="BX660" s="112" t="n">
        <f aca="true">IFERROR(SUMPRODUCT(OFFSET($BJ$31,0,1-MIN(60,COLUMN()-29),1,MIN(60,COLUMN()-29)),OFFSET(BX659,0,-MIN(60,COLUMN()-29),1,MIN(60,COLUMN()-29))),0)</f>
        <v>0</v>
      </c>
      <c r="BY660" s="112" t="n">
        <f aca="true">IFERROR(SUMPRODUCT(OFFSET($BJ$31,0,1-MIN(60,COLUMN()-29),1,MIN(60,COLUMN()-29)),OFFSET(BY659,0,-MIN(60,COLUMN()-29),1,MIN(60,COLUMN()-29))),0)</f>
        <v>0</v>
      </c>
      <c r="BZ660" s="112" t="n">
        <f aca="true">IFERROR(SUMPRODUCT(OFFSET($BJ$31,0,1-MIN(60,COLUMN()-29),1,MIN(60,COLUMN()-29)),OFFSET(BZ659,0,-MIN(60,COLUMN()-29),1,MIN(60,COLUMN()-29))),0)</f>
        <v>0</v>
      </c>
      <c r="CA660" s="112" t="n">
        <f aca="true">IFERROR(SUMPRODUCT(OFFSET($BJ$31,0,1-MIN(60,COLUMN()-29),1,MIN(60,COLUMN()-29)),OFFSET(CA659,0,-MIN(60,COLUMN()-29),1,MIN(60,COLUMN()-29))),0)</f>
        <v>0</v>
      </c>
      <c r="CB660" s="112" t="n">
        <f aca="true">IFERROR(SUMPRODUCT(OFFSET($BJ$31,0,1-MIN(60,COLUMN()-29),1,MIN(60,COLUMN()-29)),OFFSET(CB659,0,-MIN(60,COLUMN()-29),1,MIN(60,COLUMN()-29))),0)</f>
        <v>0</v>
      </c>
      <c r="CC660" s="112" t="n">
        <f aca="true">IFERROR(SUMPRODUCT(OFFSET($BJ$31,0,1-MIN(60,COLUMN()-29),1,MIN(60,COLUMN()-29)),OFFSET(CC659,0,-MIN(60,COLUMN()-29),1,MIN(60,COLUMN()-29))),0)</f>
        <v>0</v>
      </c>
      <c r="CD660" s="112" t="n">
        <f aca="true">IFERROR(SUMPRODUCT(OFFSET($BJ$31,0,1-MIN(60,COLUMN()-29),1,MIN(60,COLUMN()-29)),OFFSET(CD659,0,-MIN(60,COLUMN()-29),1,MIN(60,COLUMN()-29))),0)</f>
        <v>0</v>
      </c>
      <c r="CE660" s="112" t="n">
        <f aca="true">IFERROR(SUMPRODUCT(OFFSET($BJ$31,0,1-MIN(60,COLUMN()-29),1,MIN(60,COLUMN()-29)),OFFSET(CE659,0,-MIN(60,COLUMN()-29),1,MIN(60,COLUMN()-29))),0)</f>
        <v>0</v>
      </c>
      <c r="CF660" s="112" t="n">
        <f aca="true">IFERROR(SUMPRODUCT(OFFSET($BJ$31,0,1-MIN(60,COLUMN()-29),1,MIN(60,COLUMN()-29)),OFFSET(CF659,0,-MIN(60,COLUMN()-29),1,MIN(60,COLUMN()-29))),0)</f>
        <v>0</v>
      </c>
      <c r="CG660" s="112" t="n">
        <f aca="true">IFERROR(SUMPRODUCT(OFFSET($BJ$31,0,1-MIN(60,COLUMN()-29),1,MIN(60,COLUMN()-29)),OFFSET(CG659,0,-MIN(60,COLUMN()-29),1,MIN(60,COLUMN()-29))),0)</f>
        <v>0</v>
      </c>
      <c r="CH660" s="112" t="n">
        <f aca="true">IFERROR(SUMPRODUCT(OFFSET($BJ$31,0,1-MIN(60,COLUMN()-29),1,MIN(60,COLUMN()-29)),OFFSET(CH659,0,-MIN(60,COLUMN()-29),1,MIN(60,COLUMN()-29))),0)</f>
        <v>0</v>
      </c>
      <c r="CI660" s="112" t="n">
        <f aca="true">IFERROR(SUMPRODUCT(OFFSET($BJ$31,0,1-MIN(60,COLUMN()-29),1,MIN(60,COLUMN()-29)),OFFSET(CI659,0,-MIN(60,COLUMN()-29),1,MIN(60,COLUMN()-29))),0)</f>
        <v>0</v>
      </c>
      <c r="CJ660" s="112" t="n">
        <f aca="true">IFERROR(SUMPRODUCT(OFFSET($BJ$31,0,1-MIN(60,COLUMN()-29),1,MIN(60,COLUMN()-29)),OFFSET(CJ659,0,-MIN(60,COLUMN()-29),1,MIN(60,COLUMN()-29))),0)</f>
        <v>0</v>
      </c>
      <c r="CK660" s="112" t="n">
        <f aca="true">IFERROR(SUMPRODUCT(OFFSET($BJ$31,0,1-MIN(60,COLUMN()-29),1,MIN(60,COLUMN()-29)),OFFSET(CK659,0,-MIN(60,COLUMN()-29),1,MIN(60,COLUMN()-29))),0)</f>
        <v>0</v>
      </c>
      <c r="CL660" s="112" t="n">
        <f aca="true">IFERROR(SUMPRODUCT(OFFSET($BJ$31,0,1-MIN(60,COLUMN()-29),1,MIN(60,COLUMN()-29)),OFFSET(CL659,0,-MIN(60,COLUMN()-29),1,MIN(60,COLUMN()-29))),0)</f>
        <v>0</v>
      </c>
      <c r="CM660" s="112" t="n">
        <f aca="true">IFERROR(SUMPRODUCT(OFFSET($BJ$31,0,1-MIN(60,COLUMN()-29),1,MIN(60,COLUMN()-29)),OFFSET(CM659,0,-MIN(60,COLUMN()-29),1,MIN(60,COLUMN()-29))),0)</f>
        <v>0</v>
      </c>
      <c r="CN660" s="112" t="n">
        <f aca="true">IFERROR(SUMPRODUCT(OFFSET($BJ$31,0,1-MIN(60,COLUMN()-29),1,MIN(60,COLUMN()-29)),OFFSET(CN659,0,-MIN(60,COLUMN()-29),1,MIN(60,COLUMN()-29))),0)</f>
        <v>0</v>
      </c>
      <c r="CO660" s="112" t="n">
        <f aca="true">IFERROR(SUMPRODUCT(OFFSET($BJ$31,0,1-MIN(60,COLUMN()-29),1,MIN(60,COLUMN()-29)),OFFSET(CO659,0,-MIN(60,COLUMN()-29),1,MIN(60,COLUMN()-29))),0)</f>
        <v>0</v>
      </c>
      <c r="CP660" s="112" t="n">
        <f aca="true">IFERROR(SUMPRODUCT(OFFSET($BJ$31,0,1-MIN(60,COLUMN()-29),1,MIN(60,COLUMN()-29)),OFFSET(CP659,0,-MIN(60,COLUMN()-29),1,MIN(60,COLUMN()-29))),0)</f>
        <v>0</v>
      </c>
      <c r="CQ660" s="112" t="n">
        <f aca="true">IFERROR(SUMPRODUCT(OFFSET($BJ$31,0,1-MIN(60,COLUMN()-29),1,MIN(60,COLUMN()-29)),OFFSET(CQ659,0,-MIN(60,COLUMN()-29),1,MIN(60,COLUMN()-29))),0)</f>
        <v>0</v>
      </c>
      <c r="CR660" s="112" t="n">
        <f aca="true">IFERROR(SUMPRODUCT(OFFSET($BJ$31,0,1-MIN(60,COLUMN()-29),1,MIN(60,COLUMN()-29)),OFFSET(CR659,0,-MIN(60,COLUMN()-29),1,MIN(60,COLUMN()-29))),0)</f>
        <v>0</v>
      </c>
      <c r="CS660" s="112" t="n">
        <f aca="true">IFERROR(SUMPRODUCT(OFFSET($BJ$31,0,1-MIN(60,COLUMN()-29),1,MIN(60,COLUMN()-29)),OFFSET(CS659,0,-MIN(60,COLUMN()-29),1,MIN(60,COLUMN()-29))),0)</f>
        <v>0</v>
      </c>
      <c r="CT660" s="112" t="n">
        <f aca="true">IFERROR(SUMPRODUCT(OFFSET($BJ$31,0,1-MIN(60,COLUMN()-29),1,MIN(60,COLUMN()-29)),OFFSET(CT659,0,-MIN(60,COLUMN()-29),1,MIN(60,COLUMN()-29))),0)</f>
        <v>0</v>
      </c>
      <c r="CU660" s="112" t="n">
        <f aca="true">IFERROR(SUMPRODUCT(OFFSET($BJ$31,0,1-MIN(60,COLUMN()-29),1,MIN(60,COLUMN()-29)),OFFSET(CU659,0,-MIN(60,COLUMN()-29),1,MIN(60,COLUMN()-29))),0)</f>
        <v>0</v>
      </c>
      <c r="CV660" s="112" t="n">
        <f aca="true">IFERROR(SUMPRODUCT(OFFSET($BJ$31,0,1-MIN(60,COLUMN()-29),1,MIN(60,COLUMN()-29)),OFFSET(CV659,0,-MIN(60,COLUMN()-29),1,MIN(60,COLUMN()-29))),0)</f>
        <v>0</v>
      </c>
      <c r="CW660" s="112" t="n">
        <f aca="true">IFERROR(SUMPRODUCT(OFFSET($BJ$31,0,1-MIN(60,COLUMN()-29),1,MIN(60,COLUMN()-29)),OFFSET(CW659,0,-MIN(60,COLUMN()-29),1,MIN(60,COLUMN()-29))),0)</f>
        <v>0</v>
      </c>
      <c r="CX660" s="112" t="n">
        <f aca="true">IFERROR(SUMPRODUCT(OFFSET($BJ$31,0,1-MIN(60,COLUMN()-29),1,MIN(60,COLUMN()-29)),OFFSET(CX659,0,-MIN(60,COLUMN()-29),1,MIN(60,COLUMN()-29))),0)</f>
        <v>0</v>
      </c>
      <c r="CY660" s="112" t="n">
        <f aca="true">IFERROR(SUMPRODUCT(OFFSET($BJ$31,0,1-MIN(60,COLUMN()-29),1,MIN(60,COLUMN()-29)),OFFSET(CY659,0,-MIN(60,COLUMN()-29),1,MIN(60,COLUMN()-29))),0)</f>
        <v>0</v>
      </c>
      <c r="CZ660" s="112" t="n">
        <f aca="true">IFERROR(SUMPRODUCT(OFFSET($BJ$31,0,1-MIN(60,COLUMN()-29),1,MIN(60,COLUMN()-29)),OFFSET(CZ659,0,-MIN(60,COLUMN()-29),1,MIN(60,COLUMN()-29))),0)</f>
        <v>0</v>
      </c>
      <c r="DA660" s="112" t="n">
        <f aca="true">IFERROR(SUMPRODUCT(OFFSET($BJ$31,0,1-MIN(60,COLUMN()-29),1,MIN(60,COLUMN()-29)),OFFSET(DA659,0,-MIN(60,COLUMN()-29),1,MIN(60,COLUMN()-29))),0)</f>
        <v>0</v>
      </c>
      <c r="DB660" s="112" t="n">
        <f aca="true">IFERROR(SUMPRODUCT(OFFSET($BJ$31,0,1-MIN(60,COLUMN()-29),1,MIN(60,COLUMN()-29)),OFFSET(DB659,0,-MIN(60,COLUMN()-29),1,MIN(60,COLUMN()-29))),0)</f>
        <v>0</v>
      </c>
      <c r="DC660" s="112" t="n">
        <f aca="true">IFERROR(SUMPRODUCT(OFFSET($BJ$31,0,1-MIN(60,COLUMN()-29),1,MIN(60,COLUMN()-29)),OFFSET(DC659,0,-MIN(60,COLUMN()-29),1,MIN(60,COLUMN()-29))),0)</f>
        <v>0</v>
      </c>
      <c r="DD660" s="112" t="n">
        <f aca="true">IFERROR(SUMPRODUCT(OFFSET($BJ$31,0,1-MIN(60,COLUMN()-29),1,MIN(60,COLUMN()-29)),OFFSET(DD659,0,-MIN(60,COLUMN()-29),1,MIN(60,COLUMN()-29))),0)</f>
        <v>0</v>
      </c>
      <c r="DE660" s="112" t="n">
        <f aca="true">IFERROR(SUMPRODUCT(OFFSET($BJ$31,0,1-MIN(60,COLUMN()-29),1,MIN(60,COLUMN()-29)),OFFSET(DE659,0,-MIN(60,COLUMN()-29),1,MIN(60,COLUMN()-29))),0)</f>
        <v>0</v>
      </c>
      <c r="DF660" s="112" t="n">
        <f aca="true">IFERROR(SUMPRODUCT(OFFSET($BJ$31,0,1-MIN(60,COLUMN()-29),1,MIN(60,COLUMN()-29)),OFFSET(DF659,0,-MIN(60,COLUMN()-29),1,MIN(60,COLUMN()-29))),0)</f>
        <v>0</v>
      </c>
      <c r="DG660" s="112" t="n">
        <f aca="true">IFERROR(SUMPRODUCT(OFFSET($BJ$31,0,1-MIN(60,COLUMN()-29),1,MIN(60,COLUMN()-29)),OFFSET(DG659,0,-MIN(60,COLUMN()-29),1,MIN(60,COLUMN()-29))),0)</f>
        <v>0</v>
      </c>
      <c r="DH660" s="112" t="n">
        <f aca="true">IFERROR(SUMPRODUCT(OFFSET($BJ$31,0,1-MIN(60,COLUMN()-29),1,MIN(60,COLUMN()-29)),OFFSET(DH659,0,-MIN(60,COLUMN()-29),1,MIN(60,COLUMN()-29))),0)</f>
        <v>0</v>
      </c>
      <c r="DI660" s="112" t="n">
        <f aca="true">IFERROR(SUMPRODUCT(OFFSET($BJ$31,0,1-MIN(60,COLUMN()-29),1,MIN(60,COLUMN()-29)),OFFSET(DI659,0,-MIN(60,COLUMN()-29),1,MIN(60,COLUMN()-29))),0)</f>
        <v>0</v>
      </c>
      <c r="DJ660" s="112" t="n">
        <f aca="true">IFERROR(SUMPRODUCT(OFFSET($BJ$31,0,1-MIN(60,COLUMN()-29),1,MIN(60,COLUMN()-29)),OFFSET(DJ659,0,-MIN(60,COLUMN()-29),1,MIN(60,COLUMN()-29))),0)</f>
        <v>0</v>
      </c>
      <c r="DK660" s="112" t="n">
        <f aca="true">IFERROR(SUMPRODUCT(OFFSET($BJ$31,0,1-MIN(60,COLUMN()-29),1,MIN(60,COLUMN()-29)),OFFSET(DK659,0,-MIN(60,COLUMN()-29),1,MIN(60,COLUMN()-29))),0)</f>
        <v>0</v>
      </c>
      <c r="DL660" s="112" t="n">
        <f aca="true">IFERROR(SUMPRODUCT(OFFSET($BJ$31,0,1-MIN(60,COLUMN()-29),1,MIN(60,COLUMN()-29)),OFFSET(DL659,0,-MIN(60,COLUMN()-29),1,MIN(60,COLUMN()-29))),0)</f>
        <v>0</v>
      </c>
      <c r="DM660" s="112" t="n">
        <f aca="true">IFERROR(SUMPRODUCT(OFFSET($BJ$31,0,1-MIN(60,COLUMN()-29),1,MIN(60,COLUMN()-29)),OFFSET(DM659,0,-MIN(60,COLUMN()-29),1,MIN(60,COLUMN()-29))),0)</f>
        <v>0</v>
      </c>
      <c r="DN660" s="112" t="n">
        <f aca="true">IFERROR(SUMPRODUCT(OFFSET($BJ$31,0,1-MIN(60,COLUMN()-29),1,MIN(60,COLUMN()-29)),OFFSET(DN659,0,-MIN(60,COLUMN()-29),1,MIN(60,COLUMN()-29))),0)</f>
        <v>0</v>
      </c>
      <c r="DO660" s="112" t="n">
        <f aca="true">IFERROR(SUMPRODUCT(OFFSET($BJ$31,0,1-MIN(60,COLUMN()-29),1,MIN(60,COLUMN()-29)),OFFSET(DO659,0,-MIN(60,COLUMN()-29),1,MIN(60,COLUMN()-29))),0)</f>
        <v>0</v>
      </c>
      <c r="DP660" s="112" t="n">
        <f aca="true">IFERROR(SUMPRODUCT(OFFSET($BJ$31,0,1-MIN(60,COLUMN()-29),1,MIN(60,COLUMN()-29)),OFFSET(DP659,0,-MIN(60,COLUMN()-29),1,MIN(60,COLUMN()-29))),0)</f>
        <v>0</v>
      </c>
      <c r="DQ660" s="112" t="n">
        <f aca="true">IFERROR(SUMPRODUCT(OFFSET($BJ$31,0,1-MIN(60,COLUMN()-29),1,MIN(60,COLUMN()-29)),OFFSET(DQ659,0,-MIN(60,COLUMN()-29),1,MIN(60,COLUMN()-29))),0)</f>
        <v>0</v>
      </c>
      <c r="DR660" s="112" t="n">
        <f aca="true">IFERROR(SUMPRODUCT(OFFSET($BJ$31,0,1-MIN(60,COLUMN()-29),1,MIN(60,COLUMN()-29)),OFFSET(DR659,0,-MIN(60,COLUMN()-29),1,MIN(60,COLUMN()-29))),0)</f>
        <v>0</v>
      </c>
      <c r="DS660" s="112" t="n">
        <f aca="true">IFERROR(SUMPRODUCT(OFFSET($BJ$31,0,1-MIN(60,COLUMN()-29),1,MIN(60,COLUMN()-29)),OFFSET(DS659,0,-MIN(60,COLUMN()-29),1,MIN(60,COLUMN()-29))),0)</f>
        <v>0</v>
      </c>
      <c r="DT660" s="112" t="n">
        <f aca="true">IFERROR(SUMPRODUCT(OFFSET($BJ$31,0,1-MIN(60,COLUMN()-29),1,MIN(60,COLUMN()-29)),OFFSET(DT659,0,-MIN(60,COLUMN()-29),1,MIN(60,COLUMN()-29))),0)</f>
        <v>0</v>
      </c>
      <c r="DU660" s="112" t="n">
        <f aca="true">IFERROR(SUMPRODUCT(OFFSET($BJ$31,0,1-MIN(60,COLUMN()-29),1,MIN(60,COLUMN()-29)),OFFSET(DU659,0,-MIN(60,COLUMN()-29),1,MIN(60,COLUMN()-29))),0)</f>
        <v>0</v>
      </c>
      <c r="DV660" s="112" t="n">
        <f aca="true">IFERROR(SUMPRODUCT(OFFSET($BJ$31,0,1-MIN(60,COLUMN()-29),1,MIN(60,COLUMN()-29)),OFFSET(DV659,0,-MIN(60,COLUMN()-29),1,MIN(60,COLUMN()-29))),0)</f>
        <v>0</v>
      </c>
      <c r="DW660" s="112" t="n">
        <f aca="true">IFERROR(SUMPRODUCT(OFFSET($BJ$31,0,1-MIN(60,COLUMN()-29),1,MIN(60,COLUMN()-29)),OFFSET(DW659,0,-MIN(60,COLUMN()-29),1,MIN(60,COLUMN()-29))),0)</f>
        <v>0</v>
      </c>
      <c r="DX660" s="112" t="n">
        <f aca="true">IFERROR(SUMPRODUCT(OFFSET($BJ$31,0,1-MIN(60,COLUMN()-29),1,MIN(60,COLUMN()-29)),OFFSET(DX659,0,-MIN(60,COLUMN()-29),1,MIN(60,COLUMN()-29))),0)</f>
        <v>0</v>
      </c>
      <c r="DY660" s="112" t="n">
        <f aca="true">IFERROR(SUMPRODUCT(OFFSET($BJ$31,0,1-MIN(60,COLUMN()-29),1,MIN(60,COLUMN()-29)),OFFSET(DY659,0,-MIN(60,COLUMN()-29),1,MIN(60,COLUMN()-29))),0)</f>
        <v>0</v>
      </c>
      <c r="DZ660" s="112" t="n">
        <f aca="true">IFERROR(SUMPRODUCT(OFFSET($BJ$31,0,1-MIN(60,COLUMN()-29),1,MIN(60,COLUMN()-29)),OFFSET(DZ659,0,-MIN(60,COLUMN()-29),1,MIN(60,COLUMN()-29))),0)</f>
        <v>0</v>
      </c>
      <c r="EA660" s="112" t="n">
        <f aca="true">IFERROR(SUMPRODUCT(OFFSET($BJ$31,0,1-MIN(60,COLUMN()-29),1,MIN(60,COLUMN()-29)),OFFSET(EA659,0,-MIN(60,COLUMN()-29),1,MIN(60,COLUMN()-29))),0)</f>
        <v>0</v>
      </c>
      <c r="EB660" s="112" t="n">
        <f aca="true">IFERROR(SUMPRODUCT(OFFSET($BJ$31,0,1-MIN(60,COLUMN()-29),1,MIN(60,COLUMN()-29)),OFFSET(EB659,0,-MIN(60,COLUMN()-29),1,MIN(60,COLUMN()-29))),0)</f>
        <v>0</v>
      </c>
      <c r="EC660" s="112" t="n">
        <f aca="true">IFERROR(SUMPRODUCT(OFFSET($BJ$31,0,1-MIN(60,COLUMN()-29),1,MIN(60,COLUMN()-29)),OFFSET(EC659,0,-MIN(60,COLUMN()-29),1,MIN(60,COLUMN()-29))),0)</f>
        <v>0</v>
      </c>
      <c r="ED660" s="112" t="n">
        <f aca="true">IFERROR(SUMPRODUCT(OFFSET($BJ$31,0,1-MIN(60,COLUMN()-29),1,MIN(60,COLUMN()-29)),OFFSET(ED659,0,-MIN(60,COLUMN()-29),1,MIN(60,COLUMN()-29))),0)</f>
        <v>0</v>
      </c>
      <c r="EE660" s="112" t="n">
        <f aca="true">IFERROR(SUMPRODUCT(OFFSET($BJ$31,0,1-MIN(60,COLUMN()-29),1,MIN(60,COLUMN()-29)),OFFSET(EE659,0,-MIN(60,COLUMN()-29),1,MIN(60,COLUMN()-29))),0)</f>
        <v>0</v>
      </c>
      <c r="EF660" s="112" t="n">
        <f aca="true">IFERROR(SUMPRODUCT(OFFSET($BJ$31,0,1-MIN(60,COLUMN()-29),1,MIN(60,COLUMN()-29)),OFFSET(EF659,0,-MIN(60,COLUMN()-29),1,MIN(60,COLUMN()-29))),0)</f>
        <v>0</v>
      </c>
      <c r="EG660" s="112" t="n">
        <f aca="true">IFERROR(SUMPRODUCT(OFFSET($BJ$31,0,1-MIN(60,COLUMN()-29),1,MIN(60,COLUMN()-29)),OFFSET(EG659,0,-MIN(60,COLUMN()-29),1,MIN(60,COLUMN()-29))),0)</f>
        <v>0</v>
      </c>
      <c r="EH660" s="112" t="n">
        <f aca="true">IFERROR(SUMPRODUCT(OFFSET($BJ$31,0,1-MIN(60,COLUMN()-29),1,MIN(60,COLUMN()-29)),OFFSET(EH659,0,-MIN(60,COLUMN()-29),1,MIN(60,COLUMN()-29))),0)</f>
        <v>0</v>
      </c>
      <c r="EI660" s="112" t="n">
        <f aca="true">IFERROR(SUMPRODUCT(OFFSET($BJ$31,0,1-MIN(60,COLUMN()-29),1,MIN(60,COLUMN()-29)),OFFSET(EI659,0,-MIN(60,COLUMN()-29),1,MIN(60,COLUMN()-29))),0)</f>
        <v>0</v>
      </c>
      <c r="EJ660" s="112" t="n">
        <f aca="true">IFERROR(SUMPRODUCT(OFFSET($BJ$31,0,1-MIN(60,COLUMN()-29),1,MIN(60,COLUMN()-29)),OFFSET(EJ659,0,-MIN(60,COLUMN()-29),1,MIN(60,COLUMN()-29))),0)</f>
        <v>0</v>
      </c>
      <c r="EK660" s="112" t="n">
        <f aca="true">IFERROR(SUMPRODUCT(OFFSET($BJ$31,0,1-MIN(60,COLUMN()-29),1,MIN(60,COLUMN()-29)),OFFSET(EK659,0,-MIN(60,COLUMN()-29),1,MIN(60,COLUMN()-29))),0)</f>
        <v>0</v>
      </c>
      <c r="EL660" s="112" t="n">
        <f aca="true">IFERROR(SUMPRODUCT(OFFSET($BJ$31,0,1-MIN(60,COLUMN()-29),1,MIN(60,COLUMN()-29)),OFFSET(EL659,0,-MIN(60,COLUMN()-29),1,MIN(60,COLUMN()-29))),0)</f>
        <v>0</v>
      </c>
      <c r="EM660" s="112" t="n">
        <f aca="true">IFERROR(SUMPRODUCT(OFFSET($BJ$31,0,1-MIN(60,COLUMN()-29),1,MIN(60,COLUMN()-29)),OFFSET(EM659,0,-MIN(60,COLUMN()-29),1,MIN(60,COLUMN()-29))),0)</f>
        <v>0</v>
      </c>
      <c r="EN660" s="112" t="n">
        <f aca="true">IFERROR(SUMPRODUCT(OFFSET($BJ$31,0,1-MIN(60,COLUMN()-29),1,MIN(60,COLUMN()-29)),OFFSET(EN659,0,-MIN(60,COLUMN()-29),1,MIN(60,COLUMN()-29))),0)</f>
        <v>0</v>
      </c>
      <c r="EO660" s="112" t="n">
        <f aca="true">IFERROR(SUMPRODUCT(OFFSET($BJ$31,0,1-MIN(60,COLUMN()-29),1,MIN(60,COLUMN()-29)),OFFSET(EO659,0,-MIN(60,COLUMN()-29),1,MIN(60,COLUMN()-29))),0)</f>
        <v>0</v>
      </c>
      <c r="EP660" s="112" t="n">
        <f aca="true">IFERROR(SUMPRODUCT(OFFSET($BJ$31,0,1-MIN(60,COLUMN()-29),1,MIN(60,COLUMN()-29)),OFFSET(EP659,0,-MIN(60,COLUMN()-29),1,MIN(60,COLUMN()-29))),0)</f>
        <v>0</v>
      </c>
      <c r="EQ660" s="112" t="n">
        <f aca="true">IFERROR(SUMPRODUCT(OFFSET($BJ$31,0,1-MIN(60,COLUMN()-29),1,MIN(60,COLUMN()-29)),OFFSET(EQ659,0,-MIN(60,COLUMN()-29),1,MIN(60,COLUMN()-29))),0)</f>
        <v>0</v>
      </c>
      <c r="ER660" s="112" t="n">
        <f aca="true">IFERROR(SUMPRODUCT(OFFSET($BJ$31,0,1-MIN(60,COLUMN()-29),1,MIN(60,COLUMN()-29)),OFFSET(ER659,0,-MIN(60,COLUMN()-29),1,MIN(60,COLUMN()-29))),0)</f>
        <v>0</v>
      </c>
      <c r="ES660" s="9" t="n">
        <f aca="true">IFERROR(SUMPRODUCT(OFFSET($BJ$31,0,1-MIN(60,COLUMN()-29),1,MIN(60,COLUMN()-29)),OFFSET(ES659,0,-MIN(60,COLUMN()-29),1,MIN(60,COLUMN()-29))),0)</f>
        <v>0</v>
      </c>
      <c r="ET660" s="9" t="n">
        <f aca="true">IFERROR(SUMPRODUCT(OFFSET($BJ$31,0,1-MIN(60,COLUMN()-29),1,MIN(60,COLUMN()-29)),OFFSET(ET659,0,-MIN(60,COLUMN()-29),1,MIN(60,COLUMN()-29))),0)</f>
        <v>0</v>
      </c>
      <c r="EU660" s="9" t="n">
        <f aca="true">IFERROR(SUMPRODUCT(OFFSET($BJ$31,0,1-MIN(60,COLUMN()-29),1,MIN(60,COLUMN()-29)),OFFSET(EU659,0,-MIN(60,COLUMN()-29),1,MIN(60,COLUMN()-29))),0)</f>
        <v>0</v>
      </c>
      <c r="EV660" s="9" t="n">
        <f aca="true">IFERROR(SUMPRODUCT(OFFSET($BJ$31,0,1-MIN(60,COLUMN()-29),1,MIN(60,COLUMN()-29)),OFFSET(EV659,0,-MIN(60,COLUMN()-29),1,MIN(60,COLUMN()-29))),0)</f>
        <v>0</v>
      </c>
      <c r="EW660" s="9" t="n">
        <f aca="true">IFERROR(SUMPRODUCT(OFFSET($BJ$31,0,1-MIN(60,COLUMN()-29),1,MIN(60,COLUMN()-29)),OFFSET(EW659,0,-MIN(60,COLUMN()-29),1,MIN(60,COLUMN()-29))),0)</f>
        <v>0</v>
      </c>
      <c r="EX660" s="9" t="n">
        <f aca="true">IFERROR(SUMPRODUCT(OFFSET($BJ$31,0,1-MIN(60,COLUMN()-29),1,MIN(60,COLUMN()-29)),OFFSET(EX659,0,-MIN(60,COLUMN()-29),1,MIN(60,COLUMN()-29))),0)</f>
        <v>0</v>
      </c>
      <c r="EY660" s="9" t="n">
        <f aca="true">IFERROR(SUMPRODUCT(OFFSET($BJ$31,0,1-MIN(60,COLUMN()-29),1,MIN(60,COLUMN()-29)),OFFSET(EY659,0,-MIN(60,COLUMN()-29),1,MIN(60,COLUMN()-29))),0)</f>
        <v>0</v>
      </c>
      <c r="EZ660" s="9" t="n">
        <f aca="true">IFERROR(SUMPRODUCT(OFFSET($BJ$31,0,1-MIN(60,COLUMN()-29),1,MIN(60,COLUMN()-29)),OFFSET(EZ659,0,-MIN(60,COLUMN()-29),1,MIN(60,COLUMN()-29))),0)</f>
        <v>0</v>
      </c>
      <c r="FA660" s="9" t="n">
        <f aca="true">IFERROR(SUMPRODUCT(OFFSET($BJ$31,0,1-MIN(60,COLUMN()-29),1,MIN(60,COLUMN()-29)),OFFSET(FA659,0,-MIN(60,COLUMN()-29),1,MIN(60,COLUMN()-29))),0)</f>
        <v>0</v>
      </c>
      <c r="FB660" s="9" t="n">
        <f aca="true">IFERROR(SUMPRODUCT(OFFSET($BJ$31,0,1-MIN(60,COLUMN()-29),1,MIN(60,COLUMN()-29)),OFFSET(FB659,0,-MIN(60,COLUMN()-29),1,MIN(60,COLUMN()-29))),0)</f>
        <v>0</v>
      </c>
      <c r="FC660" s="9" t="n">
        <f aca="true">IFERROR(SUMPRODUCT(OFFSET($BJ$31,0,1-MIN(60,COLUMN()-29),1,MIN(60,COLUMN()-29)),OFFSET(FC659,0,-MIN(60,COLUMN()-29),1,MIN(60,COLUMN()-29))),0)</f>
        <v>0</v>
      </c>
      <c r="FD660" s="9" t="n">
        <f aca="true">IFERROR(SUMPRODUCT(OFFSET($BJ$31,0,1-MIN(60,COLUMN()-29),1,MIN(60,COLUMN()-29)),OFFSET(FD659,0,-MIN(60,COLUMN()-29),1,MIN(60,COLUMN()-29))),0)</f>
        <v>0</v>
      </c>
      <c r="FE660" s="9" t="n">
        <f aca="true">IFERROR(SUMPRODUCT(OFFSET($BJ$31,0,1-MIN(60,COLUMN()-29),1,MIN(60,COLUMN()-29)),OFFSET(FE659,0,-MIN(60,COLUMN()-29),1,MIN(60,COLUMN()-29))),0)</f>
        <v>0</v>
      </c>
      <c r="FF660" s="9" t="n">
        <f aca="true">IFERROR(SUMPRODUCT(OFFSET($BJ$31,0,1-MIN(60,COLUMN()-29),1,MIN(60,COLUMN()-29)),OFFSET(FF659,0,-MIN(60,COLUMN()-29),1,MIN(60,COLUMN()-29))),0)</f>
        <v>0</v>
      </c>
      <c r="FG660" s="9" t="n">
        <f aca="true">IFERROR(SUMPRODUCT(OFFSET($BJ$31,0,1-MIN(60,COLUMN()-29),1,MIN(60,COLUMN()-29)),OFFSET(FG659,0,-MIN(60,COLUMN()-29),1,MIN(60,COLUMN()-29))),0)</f>
        <v>0</v>
      </c>
      <c r="FH660" s="9" t="n">
        <f aca="true">IFERROR(SUMPRODUCT(OFFSET($BJ$31,0,1-MIN(60,COLUMN()-29),1,MIN(60,COLUMN()-29)),OFFSET(FH659,0,-MIN(60,COLUMN()-29),1,MIN(60,COLUMN()-29))),0)</f>
        <v>0</v>
      </c>
      <c r="FI660" s="9" t="n">
        <f aca="true">IFERROR(SUMPRODUCT(OFFSET($BJ$31,0,1-MIN(60,COLUMN()-29),1,MIN(60,COLUMN()-29)),OFFSET(FI659,0,-MIN(60,COLUMN()-29),1,MIN(60,COLUMN()-29))),0)</f>
        <v>0</v>
      </c>
      <c r="FJ660" s="9" t="n">
        <f aca="true">IFERROR(SUMPRODUCT(OFFSET($BJ$31,0,1-MIN(60,COLUMN()-29),1,MIN(60,COLUMN()-29)),OFFSET(FJ659,0,-MIN(60,COLUMN()-29),1,MIN(60,COLUMN()-29))),0)</f>
        <v>0</v>
      </c>
      <c r="FK660" s="9" t="n">
        <f aca="true">IFERROR(SUMPRODUCT(OFFSET($BJ$31,0,1-MIN(60,COLUMN()-29),1,MIN(60,COLUMN()-29)),OFFSET(FK659,0,-MIN(60,COLUMN()-29),1,MIN(60,COLUMN()-29))),0)</f>
        <v>0</v>
      </c>
      <c r="FL660" s="9" t="n">
        <f aca="true">IFERROR(SUMPRODUCT(OFFSET($BJ$31,0,1-MIN(60,COLUMN()-29),1,MIN(60,COLUMN()-29)),OFFSET(FL659,0,-MIN(60,COLUMN()-29),1,MIN(60,COLUMN()-29))),0)</f>
        <v>0</v>
      </c>
      <c r="FM660" s="9" t="n">
        <f aca="true">IFERROR(SUMPRODUCT(OFFSET($BJ$31,0,1-MIN(60,COLUMN()-29),1,MIN(60,COLUMN()-29)),OFFSET(FM659,0,-MIN(60,COLUMN()-29),1,MIN(60,COLUMN()-29))),0)</f>
        <v>0</v>
      </c>
      <c r="FN660" s="9" t="n">
        <f aca="true">IFERROR(SUMPRODUCT(OFFSET($BJ$31,0,1-MIN(60,COLUMN()-29),1,MIN(60,COLUMN()-29)),OFFSET(FN659,0,-MIN(60,COLUMN()-29),1,MIN(60,COLUMN()-29))),0)</f>
        <v>0</v>
      </c>
      <c r="FO660" s="9" t="n">
        <f aca="true">IFERROR(SUMPRODUCT(OFFSET($BJ$31,0,1-MIN(60,COLUMN()-29),1,MIN(60,COLUMN()-29)),OFFSET(FO659,0,-MIN(60,COLUMN()-29),1,MIN(60,COLUMN()-29))),0)</f>
        <v>0</v>
      </c>
      <c r="FP660" s="9" t="n">
        <f aca="true">IFERROR(SUMPRODUCT(OFFSET($BJ$31,0,1-MIN(60,COLUMN()-29),1,MIN(60,COLUMN()-29)),OFFSET(FP659,0,-MIN(60,COLUMN()-29),1,MIN(60,COLUMN()-29))),0)</f>
        <v>0</v>
      </c>
    </row>
    <row r="661" customFormat="false" ht="15" hidden="false" customHeight="false" outlineLevel="2" collapsed="false">
      <c r="B661" s="90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237"/>
      <c r="AD661" s="237"/>
      <c r="AE661" s="237"/>
      <c r="AF661" s="237"/>
      <c r="AG661" s="237"/>
      <c r="AH661" s="237"/>
      <c r="AI661" s="237"/>
      <c r="AJ661" s="237"/>
      <c r="AK661" s="237"/>
      <c r="AL661" s="237"/>
      <c r="AM661" s="237"/>
      <c r="AN661" s="237"/>
      <c r="AO661" s="237"/>
      <c r="AP661" s="237"/>
      <c r="AQ661" s="237"/>
      <c r="AR661" s="237"/>
      <c r="AS661" s="237"/>
      <c r="AT661" s="237"/>
      <c r="AU661" s="237"/>
      <c r="AV661" s="237"/>
      <c r="AW661" s="237"/>
      <c r="AX661" s="237"/>
      <c r="AY661" s="237"/>
      <c r="AZ661" s="237"/>
      <c r="BA661" s="237"/>
      <c r="BB661" s="237"/>
      <c r="BC661" s="237"/>
      <c r="BD661" s="237"/>
      <c r="BE661" s="237"/>
      <c r="BF661" s="237"/>
      <c r="BG661" s="237"/>
      <c r="BH661" s="237"/>
      <c r="BI661" s="237"/>
      <c r="BJ661" s="237"/>
      <c r="BK661" s="237"/>
      <c r="BL661" s="237"/>
      <c r="BM661" s="237"/>
      <c r="BN661" s="237"/>
      <c r="BO661" s="237"/>
      <c r="BP661" s="237"/>
      <c r="BQ661" s="237"/>
      <c r="BR661" s="237"/>
      <c r="BS661" s="237"/>
      <c r="BT661" s="237"/>
      <c r="BU661" s="237"/>
      <c r="BV661" s="237"/>
      <c r="BW661" s="237"/>
      <c r="BX661" s="237"/>
      <c r="BY661" s="237"/>
      <c r="BZ661" s="237"/>
      <c r="CA661" s="237"/>
      <c r="CB661" s="237"/>
      <c r="CC661" s="237"/>
      <c r="CD661" s="237"/>
      <c r="CE661" s="237"/>
      <c r="CF661" s="237"/>
      <c r="CG661" s="237"/>
      <c r="CH661" s="237"/>
      <c r="CI661" s="237"/>
      <c r="CJ661" s="237"/>
      <c r="CK661" s="237"/>
      <c r="CL661" s="237"/>
      <c r="CM661" s="237"/>
      <c r="CN661" s="237"/>
      <c r="CO661" s="237"/>
      <c r="CP661" s="237"/>
      <c r="CQ661" s="237"/>
      <c r="CR661" s="237"/>
      <c r="CS661" s="237"/>
      <c r="CT661" s="237"/>
      <c r="CU661" s="237"/>
      <c r="CV661" s="237"/>
      <c r="CW661" s="237"/>
      <c r="CX661" s="237"/>
      <c r="CY661" s="237"/>
      <c r="CZ661" s="237"/>
      <c r="DA661" s="237"/>
      <c r="DB661" s="237"/>
      <c r="DC661" s="237"/>
      <c r="DD661" s="237"/>
      <c r="DE661" s="237"/>
      <c r="DF661" s="237"/>
      <c r="DG661" s="237"/>
      <c r="DH661" s="237"/>
      <c r="DI661" s="237"/>
      <c r="DJ661" s="237"/>
      <c r="DK661" s="237"/>
      <c r="DL661" s="237"/>
      <c r="DM661" s="237"/>
      <c r="DN661" s="237"/>
      <c r="DO661" s="237"/>
      <c r="DP661" s="237"/>
      <c r="DQ661" s="237"/>
      <c r="DR661" s="237"/>
      <c r="DS661" s="237"/>
      <c r="DT661" s="237"/>
      <c r="DU661" s="237"/>
      <c r="DV661" s="237"/>
      <c r="DW661" s="237"/>
      <c r="DX661" s="237"/>
      <c r="DY661" s="237"/>
      <c r="DZ661" s="237"/>
      <c r="EA661" s="237"/>
      <c r="EB661" s="237"/>
      <c r="EC661" s="237"/>
      <c r="ED661" s="237"/>
      <c r="EE661" s="237"/>
      <c r="EF661" s="237"/>
      <c r="EG661" s="237"/>
      <c r="EH661" s="237"/>
      <c r="EI661" s="237"/>
      <c r="EJ661" s="237"/>
      <c r="EK661" s="237"/>
      <c r="EL661" s="237"/>
      <c r="EM661" s="237"/>
      <c r="EN661" s="237"/>
      <c r="EO661" s="237"/>
      <c r="EP661" s="237"/>
      <c r="EQ661" s="237"/>
      <c r="ER661" s="237"/>
      <c r="ES661" s="9"/>
      <c r="ET661" s="9"/>
      <c r="EU661" s="9"/>
      <c r="EV661" s="9"/>
      <c r="EW661" s="9"/>
      <c r="EX661" s="9"/>
      <c r="EY661" s="9"/>
      <c r="EZ661" s="9"/>
      <c r="FA661" s="9"/>
      <c r="FB661" s="9"/>
      <c r="FC661" s="9"/>
      <c r="FD661" s="9"/>
      <c r="FE661" s="9"/>
      <c r="FF661" s="9"/>
      <c r="FG661" s="9"/>
      <c r="FH661" s="9"/>
      <c r="FI661" s="9"/>
      <c r="FJ661" s="9"/>
      <c r="FK661" s="9"/>
      <c r="FL661" s="9"/>
      <c r="FM661" s="9"/>
      <c r="FN661" s="9"/>
      <c r="FO661" s="9"/>
      <c r="FP661" s="9"/>
    </row>
    <row r="662" customFormat="false" ht="15" hidden="false" customHeight="false" outlineLevel="2" collapsed="false">
      <c r="B662" s="240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237"/>
      <c r="AD662" s="237"/>
      <c r="AE662" s="237"/>
      <c r="AF662" s="237"/>
      <c r="AG662" s="237"/>
      <c r="AH662" s="237"/>
      <c r="AI662" s="237"/>
      <c r="AJ662" s="237"/>
      <c r="AK662" s="237"/>
      <c r="AL662" s="237"/>
      <c r="AM662" s="237"/>
      <c r="AN662" s="237"/>
      <c r="AO662" s="237"/>
      <c r="AP662" s="237"/>
      <c r="AQ662" s="237"/>
      <c r="AR662" s="237"/>
      <c r="AS662" s="237"/>
      <c r="AT662" s="237"/>
      <c r="AU662" s="237"/>
      <c r="AV662" s="237"/>
      <c r="AW662" s="237"/>
      <c r="AX662" s="237"/>
      <c r="AY662" s="237"/>
      <c r="AZ662" s="237"/>
      <c r="BA662" s="237"/>
      <c r="BB662" s="237"/>
      <c r="BC662" s="237"/>
      <c r="BD662" s="237"/>
      <c r="BE662" s="237"/>
      <c r="BF662" s="237"/>
      <c r="BG662" s="237"/>
      <c r="BH662" s="237"/>
      <c r="BI662" s="237"/>
      <c r="BJ662" s="237"/>
      <c r="BK662" s="237"/>
      <c r="BL662" s="237"/>
      <c r="BM662" s="237"/>
      <c r="BN662" s="237"/>
      <c r="BO662" s="237"/>
      <c r="BP662" s="237"/>
      <c r="BQ662" s="237"/>
      <c r="BR662" s="237"/>
      <c r="BS662" s="237"/>
      <c r="BT662" s="237"/>
      <c r="BU662" s="237"/>
      <c r="BV662" s="237"/>
      <c r="BW662" s="237"/>
      <c r="BX662" s="237"/>
      <c r="BY662" s="237"/>
      <c r="BZ662" s="237"/>
      <c r="CA662" s="237"/>
      <c r="CB662" s="237"/>
      <c r="CC662" s="237"/>
      <c r="CD662" s="237"/>
      <c r="CE662" s="237"/>
      <c r="CF662" s="237"/>
      <c r="CG662" s="237"/>
      <c r="CH662" s="237"/>
      <c r="CI662" s="237"/>
      <c r="CJ662" s="237"/>
      <c r="CK662" s="237"/>
      <c r="CL662" s="237"/>
      <c r="CM662" s="237"/>
      <c r="CN662" s="237"/>
      <c r="CO662" s="237"/>
      <c r="CP662" s="237"/>
      <c r="CQ662" s="237"/>
      <c r="CR662" s="237"/>
      <c r="CS662" s="237"/>
      <c r="CT662" s="237"/>
      <c r="CU662" s="237"/>
      <c r="CV662" s="237"/>
      <c r="CW662" s="237"/>
      <c r="CX662" s="237"/>
      <c r="CY662" s="237"/>
      <c r="CZ662" s="237"/>
      <c r="DA662" s="237"/>
      <c r="DB662" s="237"/>
      <c r="DC662" s="237"/>
      <c r="DD662" s="237"/>
      <c r="DE662" s="237"/>
      <c r="DF662" s="237"/>
      <c r="DG662" s="237"/>
      <c r="DH662" s="237"/>
      <c r="DI662" s="237"/>
      <c r="DJ662" s="237"/>
      <c r="DK662" s="237"/>
      <c r="DL662" s="237"/>
      <c r="DM662" s="237"/>
      <c r="DN662" s="237"/>
      <c r="DO662" s="237"/>
      <c r="DP662" s="237"/>
      <c r="DQ662" s="237"/>
      <c r="DR662" s="237"/>
      <c r="DS662" s="237"/>
      <c r="DT662" s="237"/>
      <c r="DU662" s="237"/>
      <c r="DV662" s="237"/>
      <c r="DW662" s="237"/>
      <c r="DX662" s="237"/>
      <c r="DY662" s="237"/>
      <c r="DZ662" s="237"/>
      <c r="EA662" s="237"/>
      <c r="EB662" s="237"/>
      <c r="EC662" s="237"/>
      <c r="ED662" s="237"/>
      <c r="EE662" s="237"/>
      <c r="EF662" s="237"/>
      <c r="EG662" s="237"/>
      <c r="EH662" s="237"/>
      <c r="EI662" s="237"/>
      <c r="EJ662" s="237"/>
      <c r="EK662" s="237"/>
      <c r="EL662" s="237"/>
      <c r="EM662" s="237"/>
      <c r="EN662" s="237"/>
      <c r="EO662" s="237"/>
      <c r="EP662" s="237"/>
      <c r="EQ662" s="237"/>
      <c r="ER662" s="237"/>
      <c r="ES662" s="9"/>
      <c r="ET662" s="9"/>
      <c r="EU662" s="9"/>
      <c r="EV662" s="9"/>
      <c r="EW662" s="9"/>
      <c r="EX662" s="9"/>
      <c r="EY662" s="9"/>
      <c r="EZ662" s="9"/>
      <c r="FA662" s="9"/>
      <c r="FB662" s="9"/>
      <c r="FC662" s="9"/>
      <c r="FD662" s="9"/>
      <c r="FE662" s="9"/>
      <c r="FF662" s="9"/>
      <c r="FG662" s="9"/>
      <c r="FH662" s="9"/>
      <c r="FI662" s="9"/>
      <c r="FJ662" s="9"/>
      <c r="FK662" s="9"/>
      <c r="FL662" s="9"/>
      <c r="FM662" s="9"/>
      <c r="FN662" s="9"/>
      <c r="FO662" s="9"/>
      <c r="FP662" s="9"/>
    </row>
    <row r="663" customFormat="false" ht="15" hidden="false" customHeight="false" outlineLevel="2" collapsed="false">
      <c r="B663" s="21" t="s">
        <v>939</v>
      </c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  <c r="AP663" s="21"/>
      <c r="AQ663" s="21"/>
      <c r="AR663" s="21"/>
      <c r="AS663" s="21"/>
      <c r="AT663" s="21"/>
      <c r="AU663" s="21"/>
      <c r="AV663" s="21"/>
      <c r="AW663" s="21"/>
      <c r="AX663" s="21"/>
      <c r="AY663" s="21"/>
      <c r="AZ663" s="21"/>
      <c r="BA663" s="21"/>
      <c r="BB663" s="21"/>
      <c r="BC663" s="21"/>
      <c r="BD663" s="21"/>
      <c r="BE663" s="21"/>
      <c r="BF663" s="21"/>
      <c r="BG663" s="21"/>
      <c r="BH663" s="21"/>
      <c r="BI663" s="21"/>
      <c r="BJ663" s="21"/>
      <c r="BK663" s="21"/>
      <c r="BL663" s="21"/>
      <c r="BM663" s="21"/>
      <c r="BN663" s="21"/>
      <c r="BO663" s="21"/>
      <c r="BP663" s="21"/>
      <c r="BQ663" s="21"/>
      <c r="BR663" s="21"/>
      <c r="BS663" s="21"/>
      <c r="BT663" s="21"/>
      <c r="BU663" s="21"/>
      <c r="BV663" s="21"/>
      <c r="BW663" s="21"/>
      <c r="BX663" s="21"/>
      <c r="BY663" s="21"/>
      <c r="BZ663" s="21"/>
      <c r="CA663" s="21"/>
      <c r="CB663" s="21"/>
      <c r="CC663" s="21"/>
      <c r="CD663" s="21"/>
      <c r="CE663" s="21"/>
      <c r="CF663" s="21"/>
      <c r="CG663" s="21"/>
      <c r="CH663" s="21"/>
      <c r="CI663" s="21"/>
      <c r="CJ663" s="21"/>
      <c r="CK663" s="21"/>
      <c r="CL663" s="21"/>
      <c r="CM663" s="21"/>
      <c r="CN663" s="21"/>
      <c r="CO663" s="21"/>
      <c r="CP663" s="21"/>
      <c r="CQ663" s="21"/>
      <c r="CR663" s="21"/>
      <c r="CS663" s="21"/>
      <c r="CT663" s="21"/>
      <c r="CU663" s="21"/>
      <c r="CV663" s="21"/>
      <c r="CW663" s="21"/>
      <c r="CX663" s="21"/>
      <c r="CY663" s="21"/>
      <c r="CZ663" s="21"/>
      <c r="DA663" s="21"/>
      <c r="DB663" s="21"/>
      <c r="DC663" s="21"/>
      <c r="DD663" s="21"/>
      <c r="DE663" s="21"/>
      <c r="DF663" s="21"/>
      <c r="DG663" s="21"/>
      <c r="DH663" s="21"/>
      <c r="DI663" s="21"/>
      <c r="DJ663" s="21"/>
      <c r="DK663" s="21"/>
      <c r="DL663" s="21"/>
      <c r="DM663" s="21"/>
      <c r="DN663" s="21"/>
      <c r="DO663" s="21"/>
      <c r="DP663" s="21"/>
      <c r="DQ663" s="21"/>
      <c r="DR663" s="21"/>
      <c r="DS663" s="21"/>
      <c r="DT663" s="21"/>
      <c r="DU663" s="21"/>
      <c r="DV663" s="21"/>
      <c r="DW663" s="21"/>
      <c r="DX663" s="21"/>
      <c r="DY663" s="21"/>
      <c r="DZ663" s="21"/>
      <c r="EA663" s="21"/>
      <c r="EB663" s="21"/>
      <c r="EC663" s="21"/>
      <c r="ED663" s="21"/>
      <c r="EE663" s="21"/>
      <c r="EF663" s="21"/>
      <c r="EG663" s="21"/>
      <c r="EH663" s="21"/>
      <c r="EI663" s="21"/>
      <c r="EJ663" s="21"/>
      <c r="EK663" s="21"/>
      <c r="EL663" s="21"/>
      <c r="EM663" s="21"/>
      <c r="EN663" s="21"/>
      <c r="EO663" s="21"/>
      <c r="EP663" s="21"/>
      <c r="EQ663" s="21"/>
      <c r="ER663" s="21"/>
      <c r="ES663" s="9"/>
      <c r="ET663" s="9"/>
      <c r="EU663" s="9"/>
      <c r="EV663" s="9"/>
      <c r="EW663" s="9"/>
      <c r="EX663" s="9"/>
      <c r="EY663" s="9"/>
      <c r="EZ663" s="9"/>
      <c r="FA663" s="9"/>
      <c r="FB663" s="9"/>
      <c r="FC663" s="9"/>
      <c r="FD663" s="9"/>
      <c r="FE663" s="9"/>
      <c r="FF663" s="9"/>
      <c r="FG663" s="9"/>
      <c r="FH663" s="9"/>
      <c r="FI663" s="9"/>
      <c r="FJ663" s="9"/>
      <c r="FK663" s="9"/>
      <c r="FL663" s="9"/>
      <c r="FM663" s="9"/>
      <c r="FN663" s="9"/>
      <c r="FO663" s="9"/>
      <c r="FP663" s="9"/>
    </row>
    <row r="664" customFormat="false" ht="15" hidden="false" customHeight="false" outlineLevel="2" collapsed="false">
      <c r="B664" s="9" t="s">
        <v>872</v>
      </c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234" t="n">
        <f aca="false">('⑫ Roll-out Plan'!G71-2025)*12+'⑫ Roll-out Plan'!F71</f>
        <v>89</v>
      </c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9"/>
      <c r="CV664" s="9"/>
      <c r="CW664" s="9"/>
      <c r="CX664" s="9"/>
      <c r="CY664" s="9"/>
      <c r="CZ664" s="9"/>
      <c r="DA664" s="9"/>
      <c r="DB664" s="9"/>
      <c r="DC664" s="9"/>
      <c r="DD664" s="9"/>
      <c r="DE664" s="9"/>
      <c r="DF664" s="9"/>
      <c r="DG664" s="9"/>
      <c r="DH664" s="9"/>
      <c r="DI664" s="9"/>
      <c r="DJ664" s="9"/>
      <c r="DK664" s="9"/>
      <c r="DL664" s="9"/>
      <c r="DM664" s="9"/>
      <c r="DN664" s="9"/>
      <c r="DO664" s="9"/>
      <c r="DP664" s="9"/>
      <c r="DQ664" s="9"/>
      <c r="DR664" s="9"/>
      <c r="DS664" s="9"/>
      <c r="DT664" s="9"/>
      <c r="DU664" s="9"/>
      <c r="DV664" s="9"/>
      <c r="DW664" s="9"/>
      <c r="DX664" s="9"/>
      <c r="DY664" s="9"/>
      <c r="DZ664" s="9"/>
      <c r="EA664" s="9"/>
      <c r="EB664" s="9"/>
      <c r="EC664" s="9"/>
      <c r="ED664" s="9"/>
      <c r="EE664" s="9"/>
      <c r="EF664" s="9"/>
      <c r="EG664" s="9"/>
      <c r="EH664" s="9"/>
      <c r="EI664" s="9"/>
      <c r="EJ664" s="9"/>
      <c r="EK664" s="9"/>
      <c r="EL664" s="9"/>
      <c r="EM664" s="9"/>
      <c r="EN664" s="9"/>
      <c r="EO664" s="9"/>
      <c r="EP664" s="9"/>
      <c r="EQ664" s="9"/>
      <c r="ER664" s="9"/>
      <c r="ES664" s="9"/>
      <c r="ET664" s="9"/>
      <c r="EU664" s="9"/>
      <c r="EV664" s="9"/>
      <c r="EW664" s="9"/>
      <c r="EX664" s="9"/>
      <c r="EY664" s="9"/>
      <c r="EZ664" s="9"/>
      <c r="FA664" s="9"/>
      <c r="FB664" s="9"/>
      <c r="FC664" s="9"/>
      <c r="FD664" s="9"/>
      <c r="FE664" s="9"/>
      <c r="FF664" s="9"/>
      <c r="FG664" s="9"/>
      <c r="FH664" s="9"/>
      <c r="FI664" s="9"/>
      <c r="FJ664" s="9"/>
      <c r="FK664" s="9"/>
      <c r="FL664" s="9"/>
      <c r="FM664" s="9"/>
      <c r="FN664" s="9"/>
      <c r="FO664" s="9"/>
      <c r="FP664" s="9"/>
    </row>
    <row r="665" customFormat="false" ht="15" hidden="false" customHeight="false" outlineLevel="2" collapsed="false">
      <c r="B665" s="9" t="s">
        <v>873</v>
      </c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235" t="n">
        <f aca="false">VLOOKUP("A",$B$14:$C$18,2,FALSE())</f>
        <v>210</v>
      </c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9"/>
      <c r="CV665" s="9"/>
      <c r="CW665" s="9"/>
      <c r="CX665" s="9"/>
      <c r="CY665" s="9"/>
      <c r="CZ665" s="9"/>
      <c r="DA665" s="9"/>
      <c r="DB665" s="9"/>
      <c r="DC665" s="9"/>
      <c r="DD665" s="9"/>
      <c r="DE665" s="9"/>
      <c r="DF665" s="9"/>
      <c r="DG665" s="9"/>
      <c r="DH665" s="9"/>
      <c r="DI665" s="9"/>
      <c r="DJ665" s="9"/>
      <c r="DK665" s="9"/>
      <c r="DL665" s="9"/>
      <c r="DM665" s="9"/>
      <c r="DN665" s="9"/>
      <c r="DO665" s="9"/>
      <c r="DP665" s="9"/>
      <c r="DQ665" s="9"/>
      <c r="DR665" s="9"/>
      <c r="DS665" s="9"/>
      <c r="DT665" s="9"/>
      <c r="DU665" s="9"/>
      <c r="DV665" s="9"/>
      <c r="DW665" s="9"/>
      <c r="DX665" s="9"/>
      <c r="DY665" s="9"/>
      <c r="DZ665" s="9"/>
      <c r="EA665" s="9"/>
      <c r="EB665" s="9"/>
      <c r="EC665" s="9"/>
      <c r="ED665" s="9"/>
      <c r="EE665" s="9"/>
      <c r="EF665" s="9"/>
      <c r="EG665" s="9"/>
      <c r="EH665" s="9"/>
      <c r="EI665" s="9"/>
      <c r="EJ665" s="9"/>
      <c r="EK665" s="9"/>
      <c r="EL665" s="9"/>
      <c r="EM665" s="9"/>
      <c r="EN665" s="9"/>
      <c r="EO665" s="9"/>
      <c r="EP665" s="9"/>
      <c r="EQ665" s="9"/>
      <c r="ER665" s="9"/>
      <c r="ES665" s="9"/>
      <c r="ET665" s="9"/>
      <c r="EU665" s="9"/>
      <c r="EV665" s="9"/>
      <c r="EW665" s="9"/>
      <c r="EX665" s="9"/>
      <c r="EY665" s="9"/>
      <c r="EZ665" s="9"/>
      <c r="FA665" s="9"/>
      <c r="FB665" s="9"/>
      <c r="FC665" s="9"/>
      <c r="FD665" s="9"/>
      <c r="FE665" s="9"/>
      <c r="FF665" s="9"/>
      <c r="FG665" s="9"/>
      <c r="FH665" s="9"/>
      <c r="FI665" s="9"/>
      <c r="FJ665" s="9"/>
      <c r="FK665" s="9"/>
      <c r="FL665" s="9"/>
      <c r="FM665" s="9"/>
      <c r="FN665" s="9"/>
      <c r="FO665" s="9"/>
      <c r="FP665" s="9"/>
    </row>
    <row r="666" customFormat="false" ht="15" hidden="false" customHeight="false" outlineLevel="2" collapsed="false">
      <c r="B666" s="9" t="s">
        <v>799</v>
      </c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63" t="n">
        <f aca="false">IF(AC$35&gt;=$AC$664,AC$35-$AC$664+1,0)</f>
        <v>0</v>
      </c>
      <c r="AD666" s="63" t="n">
        <f aca="false">IF(AD$35&gt;=$AC$664,AD$35-$AC$664+1,0)</f>
        <v>0</v>
      </c>
      <c r="AE666" s="63" t="n">
        <f aca="false">IF(AE$35&gt;=$AC$664,AE$35-$AC$664+1,0)</f>
        <v>0</v>
      </c>
      <c r="AF666" s="63" t="n">
        <f aca="false">IF(AF$35&gt;=$AC$664,AF$35-$AC$664+1,0)</f>
        <v>0</v>
      </c>
      <c r="AG666" s="63" t="n">
        <f aca="false">IF(AG$35&gt;=$AC$664,AG$35-$AC$664+1,0)</f>
        <v>0</v>
      </c>
      <c r="AH666" s="63" t="n">
        <f aca="false">IF(AH$35&gt;=$AC$664,AH$35-$AC$664+1,0)</f>
        <v>0</v>
      </c>
      <c r="AI666" s="63" t="n">
        <f aca="false">IF(AI$35&gt;=$AC$664,AI$35-$AC$664+1,0)</f>
        <v>0</v>
      </c>
      <c r="AJ666" s="63" t="n">
        <f aca="false">IF(AJ$35&gt;=$AC$664,AJ$35-$AC$664+1,0)</f>
        <v>0</v>
      </c>
      <c r="AK666" s="63" t="n">
        <f aca="false">IF(AK$35&gt;=$AC$664,AK$35-$AC$664+1,0)</f>
        <v>0</v>
      </c>
      <c r="AL666" s="63" t="n">
        <f aca="false">IF(AL$35&gt;=$AC$664,AL$35-$AC$664+1,0)</f>
        <v>0</v>
      </c>
      <c r="AM666" s="63" t="n">
        <f aca="false">IF(AM$35&gt;=$AC$664,AM$35-$AC$664+1,0)</f>
        <v>0</v>
      </c>
      <c r="AN666" s="63" t="n">
        <f aca="false">IF(AN$35&gt;=$AC$664,AN$35-$AC$664+1,0)</f>
        <v>0</v>
      </c>
      <c r="AO666" s="63" t="n">
        <f aca="false">IF(AO$35&gt;=$AC$664,AO$35-$AC$664+1,0)</f>
        <v>0</v>
      </c>
      <c r="AP666" s="63" t="n">
        <f aca="false">IF(AP$35&gt;=$AC$664,AP$35-$AC$664+1,0)</f>
        <v>0</v>
      </c>
      <c r="AQ666" s="63" t="n">
        <f aca="false">IF(AQ$35&gt;=$AC$664,AQ$35-$AC$664+1,0)</f>
        <v>0</v>
      </c>
      <c r="AR666" s="63" t="n">
        <f aca="false">IF(AR$35&gt;=$AC$664,AR$35-$AC$664+1,0)</f>
        <v>0</v>
      </c>
      <c r="AS666" s="63" t="n">
        <f aca="false">IF(AS$35&gt;=$AC$664,AS$35-$AC$664+1,0)</f>
        <v>0</v>
      </c>
      <c r="AT666" s="63" t="n">
        <f aca="false">IF(AT$35&gt;=$AC$664,AT$35-$AC$664+1,0)</f>
        <v>0</v>
      </c>
      <c r="AU666" s="63" t="n">
        <f aca="false">IF(AU$35&gt;=$AC$664,AU$35-$AC$664+1,0)</f>
        <v>0</v>
      </c>
      <c r="AV666" s="63" t="n">
        <f aca="false">IF(AV$35&gt;=$AC$664,AV$35-$AC$664+1,0)</f>
        <v>0</v>
      </c>
      <c r="AW666" s="63" t="n">
        <f aca="false">IF(AW$35&gt;=$AC$664,AW$35-$AC$664+1,0)</f>
        <v>0</v>
      </c>
      <c r="AX666" s="63" t="n">
        <f aca="false">IF(AX$35&gt;=$AC$664,AX$35-$AC$664+1,0)</f>
        <v>0</v>
      </c>
      <c r="AY666" s="63" t="n">
        <f aca="false">IF(AY$35&gt;=$AC$664,AY$35-$AC$664+1,0)</f>
        <v>0</v>
      </c>
      <c r="AZ666" s="63" t="n">
        <f aca="false">IF(AZ$35&gt;=$AC$664,AZ$35-$AC$664+1,0)</f>
        <v>0</v>
      </c>
      <c r="BA666" s="63" t="n">
        <f aca="false">IF(BA$35&gt;=$AC$664,BA$35-$AC$664+1,0)</f>
        <v>0</v>
      </c>
      <c r="BB666" s="63" t="n">
        <f aca="false">IF(BB$35&gt;=$AC$664,BB$35-$AC$664+1,0)</f>
        <v>0</v>
      </c>
      <c r="BC666" s="63" t="n">
        <f aca="false">IF(BC$35&gt;=$AC$664,BC$35-$AC$664+1,0)</f>
        <v>0</v>
      </c>
      <c r="BD666" s="63" t="n">
        <f aca="false">IF(BD$35&gt;=$AC$664,BD$35-$AC$664+1,0)</f>
        <v>0</v>
      </c>
      <c r="BE666" s="63" t="n">
        <f aca="false">IF(BE$35&gt;=$AC$664,BE$35-$AC$664+1,0)</f>
        <v>0</v>
      </c>
      <c r="BF666" s="63" t="n">
        <f aca="false">IF(BF$35&gt;=$AC$664,BF$35-$AC$664+1,0)</f>
        <v>0</v>
      </c>
      <c r="BG666" s="63" t="n">
        <f aca="false">IF(BG$35&gt;=$AC$664,BG$35-$AC$664+1,0)</f>
        <v>0</v>
      </c>
      <c r="BH666" s="63" t="n">
        <f aca="false">IF(BH$35&gt;=$AC$664,BH$35-$AC$664+1,0)</f>
        <v>0</v>
      </c>
      <c r="BI666" s="63" t="n">
        <f aca="false">IF(BI$35&gt;=$AC$664,BI$35-$AC$664+1,0)</f>
        <v>0</v>
      </c>
      <c r="BJ666" s="63" t="n">
        <f aca="false">IF(BJ$35&gt;=$AC$664,BJ$35-$AC$664+1,0)</f>
        <v>0</v>
      </c>
      <c r="BK666" s="63" t="n">
        <f aca="false">IF(BK$35&gt;=$AC$664,BK$35-$AC$664+1,0)</f>
        <v>0</v>
      </c>
      <c r="BL666" s="63" t="n">
        <f aca="false">IF(BL$35&gt;=$AC$664,BL$35-$AC$664+1,0)</f>
        <v>0</v>
      </c>
      <c r="BM666" s="63" t="n">
        <f aca="false">IF(BM$35&gt;=$AC$664,BM$35-$AC$664+1,0)</f>
        <v>0</v>
      </c>
      <c r="BN666" s="63" t="n">
        <f aca="false">IF(BN$35&gt;=$AC$664,BN$35-$AC$664+1,0)</f>
        <v>0</v>
      </c>
      <c r="BO666" s="63" t="n">
        <f aca="false">IF(BO$35&gt;=$AC$664,BO$35-$AC$664+1,0)</f>
        <v>0</v>
      </c>
      <c r="BP666" s="63" t="n">
        <f aca="false">IF(BP$35&gt;=$AC$664,BP$35-$AC$664+1,0)</f>
        <v>0</v>
      </c>
      <c r="BQ666" s="63" t="n">
        <f aca="false">IF(BQ$35&gt;=$AC$664,BQ$35-$AC$664+1,0)</f>
        <v>0</v>
      </c>
      <c r="BR666" s="63" t="n">
        <f aca="false">IF(BR$35&gt;=$AC$664,BR$35-$AC$664+1,0)</f>
        <v>0</v>
      </c>
      <c r="BS666" s="63" t="n">
        <f aca="false">IF(BS$35&gt;=$AC$664,BS$35-$AC$664+1,0)</f>
        <v>0</v>
      </c>
      <c r="BT666" s="63" t="n">
        <f aca="false">IF(BT$35&gt;=$AC$664,BT$35-$AC$664+1,0)</f>
        <v>0</v>
      </c>
      <c r="BU666" s="63" t="n">
        <f aca="false">IF(BU$35&gt;=$AC$664,BU$35-$AC$664+1,0)</f>
        <v>0</v>
      </c>
      <c r="BV666" s="63" t="n">
        <f aca="false">IF(BV$35&gt;=$AC$664,BV$35-$AC$664+1,0)</f>
        <v>0</v>
      </c>
      <c r="BW666" s="63" t="n">
        <f aca="false">IF(BW$35&gt;=$AC$664,BW$35-$AC$664+1,0)</f>
        <v>0</v>
      </c>
      <c r="BX666" s="63" t="n">
        <f aca="false">IF(BX$35&gt;=$AC$664,BX$35-$AC$664+1,0)</f>
        <v>0</v>
      </c>
      <c r="BY666" s="63" t="n">
        <f aca="false">IF(BY$35&gt;=$AC$664,BY$35-$AC$664+1,0)</f>
        <v>0</v>
      </c>
      <c r="BZ666" s="63" t="n">
        <f aca="false">IF(BZ$35&gt;=$AC$664,BZ$35-$AC$664+1,0)</f>
        <v>0</v>
      </c>
      <c r="CA666" s="63" t="n">
        <f aca="false">IF(CA$35&gt;=$AC$664,CA$35-$AC$664+1,0)</f>
        <v>0</v>
      </c>
      <c r="CB666" s="63" t="n">
        <f aca="false">IF(CB$35&gt;=$AC$664,CB$35-$AC$664+1,0)</f>
        <v>0</v>
      </c>
      <c r="CC666" s="63" t="n">
        <f aca="false">IF(CC$35&gt;=$AC$664,CC$35-$AC$664+1,0)</f>
        <v>0</v>
      </c>
      <c r="CD666" s="63" t="n">
        <f aca="false">IF(CD$35&gt;=$AC$664,CD$35-$AC$664+1,0)</f>
        <v>0</v>
      </c>
      <c r="CE666" s="63" t="n">
        <f aca="false">IF(CE$35&gt;=$AC$664,CE$35-$AC$664+1,0)</f>
        <v>0</v>
      </c>
      <c r="CF666" s="63" t="n">
        <f aca="false">IF(CF$35&gt;=$AC$664,CF$35-$AC$664+1,0)</f>
        <v>0</v>
      </c>
      <c r="CG666" s="63" t="n">
        <f aca="false">IF(CG$35&gt;=$AC$664,CG$35-$AC$664+1,0)</f>
        <v>0</v>
      </c>
      <c r="CH666" s="63" t="n">
        <f aca="false">IF(CH$35&gt;=$AC$664,CH$35-$AC$664+1,0)</f>
        <v>0</v>
      </c>
      <c r="CI666" s="63" t="n">
        <f aca="false">IF(CI$35&gt;=$AC$664,CI$35-$AC$664+1,0)</f>
        <v>0</v>
      </c>
      <c r="CJ666" s="63" t="n">
        <f aca="false">IF(CJ$35&gt;=$AC$664,CJ$35-$AC$664+1,0)</f>
        <v>0</v>
      </c>
      <c r="CK666" s="63" t="n">
        <f aca="false">IF(CK$35&gt;=$AC$664,CK$35-$AC$664+1,0)</f>
        <v>0</v>
      </c>
      <c r="CL666" s="63" t="n">
        <f aca="false">IF(CL$35&gt;=$AC$664,CL$35-$AC$664+1,0)</f>
        <v>0</v>
      </c>
      <c r="CM666" s="63" t="n">
        <f aca="false">IF(CM$35&gt;=$AC$664,CM$35-$AC$664+1,0)</f>
        <v>0</v>
      </c>
      <c r="CN666" s="63" t="n">
        <f aca="false">IF(CN$35&gt;=$AC$664,CN$35-$AC$664+1,0)</f>
        <v>0</v>
      </c>
      <c r="CO666" s="63" t="n">
        <f aca="false">IF(CO$35&gt;=$AC$664,CO$35-$AC$664+1,0)</f>
        <v>0</v>
      </c>
      <c r="CP666" s="63" t="n">
        <f aca="false">IF(CP$35&gt;=$AC$664,CP$35-$AC$664+1,0)</f>
        <v>0</v>
      </c>
      <c r="CQ666" s="63" t="n">
        <f aca="false">IF(CQ$35&gt;=$AC$664,CQ$35-$AC$664+1,0)</f>
        <v>0</v>
      </c>
      <c r="CR666" s="63" t="n">
        <f aca="false">IF(CR$35&gt;=$AC$664,CR$35-$AC$664+1,0)</f>
        <v>0</v>
      </c>
      <c r="CS666" s="63" t="n">
        <f aca="false">IF(CS$35&gt;=$AC$664,CS$35-$AC$664+1,0)</f>
        <v>0</v>
      </c>
      <c r="CT666" s="63" t="n">
        <f aca="false">IF(CT$35&gt;=$AC$664,CT$35-$AC$664+1,0)</f>
        <v>0</v>
      </c>
      <c r="CU666" s="63" t="n">
        <f aca="false">IF(CU$35&gt;=$AC$664,CU$35-$AC$664+1,0)</f>
        <v>0</v>
      </c>
      <c r="CV666" s="63" t="n">
        <f aca="false">IF(CV$35&gt;=$AC$664,CV$35-$AC$664+1,0)</f>
        <v>0</v>
      </c>
      <c r="CW666" s="63" t="n">
        <f aca="false">IF(CW$35&gt;=$AC$664,CW$35-$AC$664+1,0)</f>
        <v>0</v>
      </c>
      <c r="CX666" s="63" t="n">
        <f aca="false">IF(CX$35&gt;=$AC$664,CX$35-$AC$664+1,0)</f>
        <v>0</v>
      </c>
      <c r="CY666" s="63" t="n">
        <f aca="false">IF(CY$35&gt;=$AC$664,CY$35-$AC$664+1,0)</f>
        <v>0</v>
      </c>
      <c r="CZ666" s="63" t="n">
        <f aca="false">IF(CZ$35&gt;=$AC$664,CZ$35-$AC$664+1,0)</f>
        <v>0</v>
      </c>
      <c r="DA666" s="63" t="n">
        <f aca="false">IF(DA$35&gt;=$AC$664,DA$35-$AC$664+1,0)</f>
        <v>0</v>
      </c>
      <c r="DB666" s="63" t="n">
        <f aca="false">IF(DB$35&gt;=$AC$664,DB$35-$AC$664+1,0)</f>
        <v>0</v>
      </c>
      <c r="DC666" s="63" t="n">
        <f aca="false">IF(DC$35&gt;=$AC$664,DC$35-$AC$664+1,0)</f>
        <v>0</v>
      </c>
      <c r="DD666" s="63" t="n">
        <f aca="false">IF(DD$35&gt;=$AC$664,DD$35-$AC$664+1,0)</f>
        <v>0</v>
      </c>
      <c r="DE666" s="63" t="n">
        <f aca="false">IF(DE$35&gt;=$AC$664,DE$35-$AC$664+1,0)</f>
        <v>0</v>
      </c>
      <c r="DF666" s="63" t="n">
        <f aca="false">IF(DF$35&gt;=$AC$664,DF$35-$AC$664+1,0)</f>
        <v>0</v>
      </c>
      <c r="DG666" s="63" t="n">
        <f aca="false">IF(DG$35&gt;=$AC$664,DG$35-$AC$664+1,0)</f>
        <v>0</v>
      </c>
      <c r="DH666" s="63" t="n">
        <f aca="false">IF(DH$35&gt;=$AC$664,DH$35-$AC$664+1,0)</f>
        <v>0</v>
      </c>
      <c r="DI666" s="63" t="n">
        <f aca="false">IF(DI$35&gt;=$AC$664,DI$35-$AC$664+1,0)</f>
        <v>0</v>
      </c>
      <c r="DJ666" s="63" t="n">
        <f aca="false">IF(DJ$35&gt;=$AC$664,DJ$35-$AC$664+1,0)</f>
        <v>0</v>
      </c>
      <c r="DK666" s="63" t="n">
        <f aca="false">IF(DK$35&gt;=$AC$664,DK$35-$AC$664+1,0)</f>
        <v>0</v>
      </c>
      <c r="DL666" s="63" t="n">
        <f aca="false">IF(DL$35&gt;=$AC$664,DL$35-$AC$664+1,0)</f>
        <v>0</v>
      </c>
      <c r="DM666" s="63" t="n">
        <f aca="false">IF(DM$35&gt;=$AC$664,DM$35-$AC$664+1,0)</f>
        <v>1</v>
      </c>
      <c r="DN666" s="63" t="n">
        <f aca="false">IF(DN$35&gt;=$AC$664,DN$35-$AC$664+1,0)</f>
        <v>2</v>
      </c>
      <c r="DO666" s="63" t="n">
        <f aca="false">IF(DO$35&gt;=$AC$664,DO$35-$AC$664+1,0)</f>
        <v>3</v>
      </c>
      <c r="DP666" s="63" t="n">
        <f aca="false">IF(DP$35&gt;=$AC$664,DP$35-$AC$664+1,0)</f>
        <v>4</v>
      </c>
      <c r="DQ666" s="63" t="n">
        <f aca="false">IF(DQ$35&gt;=$AC$664,DQ$35-$AC$664+1,0)</f>
        <v>5</v>
      </c>
      <c r="DR666" s="63" t="n">
        <f aca="false">IF(DR$35&gt;=$AC$664,DR$35-$AC$664+1,0)</f>
        <v>6</v>
      </c>
      <c r="DS666" s="63" t="n">
        <f aca="false">IF(DS$35&gt;=$AC$664,DS$35-$AC$664+1,0)</f>
        <v>7</v>
      </c>
      <c r="DT666" s="63" t="n">
        <f aca="false">IF(DT$35&gt;=$AC$664,DT$35-$AC$664+1,0)</f>
        <v>8</v>
      </c>
      <c r="DU666" s="63" t="n">
        <f aca="false">IF(DU$35&gt;=$AC$664,DU$35-$AC$664+1,0)</f>
        <v>9</v>
      </c>
      <c r="DV666" s="63" t="n">
        <f aca="false">IF(DV$35&gt;=$AC$664,DV$35-$AC$664+1,0)</f>
        <v>10</v>
      </c>
      <c r="DW666" s="63" t="n">
        <f aca="false">IF(DW$35&gt;=$AC$664,DW$35-$AC$664+1,0)</f>
        <v>11</v>
      </c>
      <c r="DX666" s="63" t="n">
        <f aca="false">IF(DX$35&gt;=$AC$664,DX$35-$AC$664+1,0)</f>
        <v>12</v>
      </c>
      <c r="DY666" s="63" t="n">
        <f aca="false">IF(DY$35&gt;=$AC$664,DY$35-$AC$664+1,0)</f>
        <v>13</v>
      </c>
      <c r="DZ666" s="63" t="n">
        <f aca="false">IF(DZ$35&gt;=$AC$664,DZ$35-$AC$664+1,0)</f>
        <v>14</v>
      </c>
      <c r="EA666" s="63" t="n">
        <f aca="false">IF(EA$35&gt;=$AC$664,EA$35-$AC$664+1,0)</f>
        <v>15</v>
      </c>
      <c r="EB666" s="63" t="n">
        <f aca="false">IF(EB$35&gt;=$AC$664,EB$35-$AC$664+1,0)</f>
        <v>16</v>
      </c>
      <c r="EC666" s="63" t="n">
        <f aca="false">IF(EC$35&gt;=$AC$664,EC$35-$AC$664+1,0)</f>
        <v>17</v>
      </c>
      <c r="ED666" s="63" t="n">
        <f aca="false">IF(ED$35&gt;=$AC$664,ED$35-$AC$664+1,0)</f>
        <v>18</v>
      </c>
      <c r="EE666" s="63" t="n">
        <f aca="false">IF(EE$35&gt;=$AC$664,EE$35-$AC$664+1,0)</f>
        <v>19</v>
      </c>
      <c r="EF666" s="63" t="n">
        <f aca="false">IF(EF$35&gt;=$AC$664,EF$35-$AC$664+1,0)</f>
        <v>20</v>
      </c>
      <c r="EG666" s="63" t="n">
        <f aca="false">IF(EG$35&gt;=$AC$664,EG$35-$AC$664+1,0)</f>
        <v>21</v>
      </c>
      <c r="EH666" s="63" t="n">
        <f aca="false">IF(EH$35&gt;=$AC$664,EH$35-$AC$664+1,0)</f>
        <v>22</v>
      </c>
      <c r="EI666" s="63" t="n">
        <f aca="false">IF(EI$35&gt;=$AC$664,EI$35-$AC$664+1,0)</f>
        <v>23</v>
      </c>
      <c r="EJ666" s="63" t="n">
        <f aca="false">IF(EJ$35&gt;=$AC$664,EJ$35-$AC$664+1,0)</f>
        <v>24</v>
      </c>
      <c r="EK666" s="63" t="n">
        <f aca="false">IF(EK$35&gt;=$AC$664,EK$35-$AC$664+1,0)</f>
        <v>25</v>
      </c>
      <c r="EL666" s="63" t="n">
        <f aca="false">IF(EL$35&gt;=$AC$664,EL$35-$AC$664+1,0)</f>
        <v>26</v>
      </c>
      <c r="EM666" s="63" t="n">
        <f aca="false">IF(EM$35&gt;=$AC$664,EM$35-$AC$664+1,0)</f>
        <v>27</v>
      </c>
      <c r="EN666" s="63" t="n">
        <f aca="false">IF(EN$35&gt;=$AC$664,EN$35-$AC$664+1,0)</f>
        <v>28</v>
      </c>
      <c r="EO666" s="63" t="n">
        <f aca="false">IF(EO$35&gt;=$AC$664,EO$35-$AC$664+1,0)</f>
        <v>29</v>
      </c>
      <c r="EP666" s="63" t="n">
        <f aca="false">IF(EP$35&gt;=$AC$664,EP$35-$AC$664+1,0)</f>
        <v>30</v>
      </c>
      <c r="EQ666" s="63" t="n">
        <f aca="false">IF(EQ$35&gt;=$AC$664,EQ$35-$AC$664+1,0)</f>
        <v>31</v>
      </c>
      <c r="ER666" s="63" t="n">
        <f aca="false">IF(ER$35&gt;=$AC$664,ER$35-$AC$664+1,0)</f>
        <v>32</v>
      </c>
      <c r="ES666" s="9" t="n">
        <f aca="false">IF(ES$35&gt;=$AC$664,ES$35-$AC$664+1,0)</f>
        <v>33</v>
      </c>
      <c r="ET666" s="9" t="n">
        <f aca="false">IF(ET$35&gt;=$AC$664,ET$35-$AC$664+1,0)</f>
        <v>34</v>
      </c>
      <c r="EU666" s="9" t="n">
        <f aca="false">IF(EU$35&gt;=$AC$664,EU$35-$AC$664+1,0)</f>
        <v>35</v>
      </c>
      <c r="EV666" s="9" t="n">
        <f aca="false">IF(EV$35&gt;=$AC$664,EV$35-$AC$664+1,0)</f>
        <v>36</v>
      </c>
      <c r="EW666" s="9" t="n">
        <f aca="false">IF(EW$35&gt;=$AC$664,EW$35-$AC$664+1,0)</f>
        <v>37</v>
      </c>
      <c r="EX666" s="9" t="n">
        <f aca="false">IF(EX$35&gt;=$AC$664,EX$35-$AC$664+1,0)</f>
        <v>38</v>
      </c>
      <c r="EY666" s="9" t="n">
        <f aca="false">IF(EY$35&gt;=$AC$664,EY$35-$AC$664+1,0)</f>
        <v>39</v>
      </c>
      <c r="EZ666" s="9" t="n">
        <f aca="false">IF(EZ$35&gt;=$AC$664,EZ$35-$AC$664+1,0)</f>
        <v>40</v>
      </c>
      <c r="FA666" s="9" t="n">
        <f aca="false">IF(FA$35&gt;=$AC$664,FA$35-$AC$664+1,0)</f>
        <v>41</v>
      </c>
      <c r="FB666" s="9" t="n">
        <f aca="false">IF(FB$35&gt;=$AC$664,FB$35-$AC$664+1,0)</f>
        <v>42</v>
      </c>
      <c r="FC666" s="9" t="n">
        <f aca="false">IF(FC$35&gt;=$AC$664,FC$35-$AC$664+1,0)</f>
        <v>43</v>
      </c>
      <c r="FD666" s="9" t="n">
        <f aca="false">IF(FD$35&gt;=$AC$664,FD$35-$AC$664+1,0)</f>
        <v>44</v>
      </c>
      <c r="FE666" s="9" t="n">
        <f aca="false">IF(FE$35&gt;=$AC$664,FE$35-$AC$664+1,0)</f>
        <v>45</v>
      </c>
      <c r="FF666" s="9" t="n">
        <f aca="false">IF(FF$35&gt;=$AC$664,FF$35-$AC$664+1,0)</f>
        <v>46</v>
      </c>
      <c r="FG666" s="9" t="n">
        <f aca="false">IF(FG$35&gt;=$AC$664,FG$35-$AC$664+1,0)</f>
        <v>47</v>
      </c>
      <c r="FH666" s="9" t="n">
        <f aca="false">IF(FH$35&gt;=$AC$664,FH$35-$AC$664+1,0)</f>
        <v>48</v>
      </c>
      <c r="FI666" s="9" t="n">
        <f aca="false">IF(FI$35&gt;=$AC$664,FI$35-$AC$664+1,0)</f>
        <v>49</v>
      </c>
      <c r="FJ666" s="9" t="n">
        <f aca="false">IF(FJ$35&gt;=$AC$664,FJ$35-$AC$664+1,0)</f>
        <v>50</v>
      </c>
      <c r="FK666" s="9" t="n">
        <f aca="false">IF(FK$35&gt;=$AC$664,FK$35-$AC$664+1,0)</f>
        <v>51</v>
      </c>
      <c r="FL666" s="9" t="n">
        <f aca="false">IF(FL$35&gt;=$AC$664,FL$35-$AC$664+1,0)</f>
        <v>52</v>
      </c>
      <c r="FM666" s="9" t="n">
        <f aca="false">IF(FM$35&gt;=$AC$664,FM$35-$AC$664+1,0)</f>
        <v>53</v>
      </c>
      <c r="FN666" s="9" t="n">
        <f aca="false">IF(FN$35&gt;=$AC$664,FN$35-$AC$664+1,0)</f>
        <v>54</v>
      </c>
      <c r="FO666" s="9" t="n">
        <f aca="false">IF(FO$35&gt;=$AC$664,FO$35-$AC$664+1,0)</f>
        <v>55</v>
      </c>
      <c r="FP666" s="9" t="n">
        <f aca="false">IF(FP$35&gt;=$AC$664,FP$35-$AC$664+1,0)</f>
        <v>56</v>
      </c>
    </row>
    <row r="667" customFormat="false" ht="15" hidden="false" customHeight="false" outlineLevel="2" collapsed="false">
      <c r="B667" s="9" t="s">
        <v>874</v>
      </c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236" t="n">
        <f aca="false" t="array" ref="AC667:AC667">IF(AC666=0,0,IF(AC666/'🎚️ Escenario'!$C$11&gt;=36,$AL$23,INDEX($C$23:$AL$23,MAX(1,ROUNDUP(AC666/'🎚️ Escenario'!$C$11,0)))))</f>
        <v>0</v>
      </c>
      <c r="AD667" s="236" t="n">
        <f aca="false" t="array" ref="AD667:AD667">IF(AD666=0,0,IF(AD666/'🎚️ Escenario'!$C$11&gt;=36,$AL$23,INDEX($C$23:$AL$23,MAX(1,ROUNDUP(AD666/'🎚️ Escenario'!$C$11,0)))))</f>
        <v>0</v>
      </c>
      <c r="AE667" s="236" t="n">
        <f aca="false" t="array" ref="AE667:AE667">IF(AE666=0,0,IF(AE666/'🎚️ Escenario'!$C$11&gt;=36,$AL$23,INDEX($C$23:$AL$23,MAX(1,ROUNDUP(AE666/'🎚️ Escenario'!$C$11,0)))))</f>
        <v>0</v>
      </c>
      <c r="AF667" s="236" t="n">
        <f aca="false" t="array" ref="AF667:AF667">IF(AF666=0,0,IF(AF666/'🎚️ Escenario'!$C$11&gt;=36,$AL$23,INDEX($C$23:$AL$23,MAX(1,ROUNDUP(AF666/'🎚️ Escenario'!$C$11,0)))))</f>
        <v>0</v>
      </c>
      <c r="AG667" s="236" t="n">
        <f aca="false" t="array" ref="AG667:AG667">IF(AG666=0,0,IF(AG666/'🎚️ Escenario'!$C$11&gt;=36,$AL$23,INDEX($C$23:$AL$23,MAX(1,ROUNDUP(AG666/'🎚️ Escenario'!$C$11,0)))))</f>
        <v>0</v>
      </c>
      <c r="AH667" s="236" t="n">
        <f aca="false" t="array" ref="AH667:AH667">IF(AH666=0,0,IF(AH666/'🎚️ Escenario'!$C$11&gt;=36,$AL$23,INDEX($C$23:$AL$23,MAX(1,ROUNDUP(AH666/'🎚️ Escenario'!$C$11,0)))))</f>
        <v>0</v>
      </c>
      <c r="AI667" s="236" t="n">
        <f aca="false" t="array" ref="AI667:AI667">IF(AI666=0,0,IF(AI666/'🎚️ Escenario'!$C$11&gt;=36,$AL$23,INDEX($C$23:$AL$23,MAX(1,ROUNDUP(AI666/'🎚️ Escenario'!$C$11,0)))))</f>
        <v>0</v>
      </c>
      <c r="AJ667" s="236" t="n">
        <f aca="false" t="array" ref="AJ667:AJ667">IF(AJ666=0,0,IF(AJ666/'🎚️ Escenario'!$C$11&gt;=36,$AL$23,INDEX($C$23:$AL$23,MAX(1,ROUNDUP(AJ666/'🎚️ Escenario'!$C$11,0)))))</f>
        <v>0</v>
      </c>
      <c r="AK667" s="236" t="n">
        <f aca="false" t="array" ref="AK667:AK667">IF(AK666=0,0,IF(AK666/'🎚️ Escenario'!$C$11&gt;=36,$AL$23,INDEX($C$23:$AL$23,MAX(1,ROUNDUP(AK666/'🎚️ Escenario'!$C$11,0)))))</f>
        <v>0</v>
      </c>
      <c r="AL667" s="236" t="n">
        <f aca="false" t="array" ref="AL667:AL667">IF(AL666=0,0,IF(AL666/'🎚️ Escenario'!$C$11&gt;=36,$AL$23,INDEX($C$23:$AL$23,MAX(1,ROUNDUP(AL666/'🎚️ Escenario'!$C$11,0)))))</f>
        <v>0</v>
      </c>
      <c r="AM667" s="236" t="n">
        <f aca="false" t="array" ref="AM667:AM667">IF(AM666=0,0,IF(AM666/'🎚️ Escenario'!$C$11&gt;=36,$AL$23,INDEX($C$23:$AL$23,MAX(1,ROUNDUP(AM666/'🎚️ Escenario'!$C$11,0)))))</f>
        <v>0</v>
      </c>
      <c r="AN667" s="236" t="n">
        <f aca="false" t="array" ref="AN667:AN667">IF(AN666=0,0,IF(AN666/'🎚️ Escenario'!$C$11&gt;=36,$AL$23,INDEX($C$23:$AL$23,MAX(1,ROUNDUP(AN666/'🎚️ Escenario'!$C$11,0)))))</f>
        <v>0</v>
      </c>
      <c r="AO667" s="236" t="n">
        <f aca="false" t="array" ref="AO667:AO667">IF(AO666=0,0,IF(AO666/'🎚️ Escenario'!$C$11&gt;=36,$AL$23,INDEX($C$23:$AL$23,MAX(1,ROUNDUP(AO666/'🎚️ Escenario'!$C$11,0)))))</f>
        <v>0</v>
      </c>
      <c r="AP667" s="236" t="n">
        <f aca="false" t="array" ref="AP667:AP667">IF(AP666=0,0,IF(AP666/'🎚️ Escenario'!$C$11&gt;=36,$AL$23,INDEX($C$23:$AL$23,MAX(1,ROUNDUP(AP666/'🎚️ Escenario'!$C$11,0)))))</f>
        <v>0</v>
      </c>
      <c r="AQ667" s="236" t="n">
        <f aca="false" t="array" ref="AQ667:AQ667">IF(AQ666=0,0,IF(AQ666/'🎚️ Escenario'!$C$11&gt;=36,$AL$23,INDEX($C$23:$AL$23,MAX(1,ROUNDUP(AQ666/'🎚️ Escenario'!$C$11,0)))))</f>
        <v>0</v>
      </c>
      <c r="AR667" s="236" t="n">
        <f aca="false" t="array" ref="AR667:AR667">IF(AR666=0,0,IF(AR666/'🎚️ Escenario'!$C$11&gt;=36,$AL$23,INDEX($C$23:$AL$23,MAX(1,ROUNDUP(AR666/'🎚️ Escenario'!$C$11,0)))))</f>
        <v>0</v>
      </c>
      <c r="AS667" s="236" t="n">
        <f aca="false" t="array" ref="AS667:AS667">IF(AS666=0,0,IF(AS666/'🎚️ Escenario'!$C$11&gt;=36,$AL$23,INDEX($C$23:$AL$23,MAX(1,ROUNDUP(AS666/'🎚️ Escenario'!$C$11,0)))))</f>
        <v>0</v>
      </c>
      <c r="AT667" s="236" t="n">
        <f aca="false" t="array" ref="AT667:AT667">IF(AT666=0,0,IF(AT666/'🎚️ Escenario'!$C$11&gt;=36,$AL$23,INDEX($C$23:$AL$23,MAX(1,ROUNDUP(AT666/'🎚️ Escenario'!$C$11,0)))))</f>
        <v>0</v>
      </c>
      <c r="AU667" s="236" t="n">
        <f aca="false" t="array" ref="AU667:AU667">IF(AU666=0,0,IF(AU666/'🎚️ Escenario'!$C$11&gt;=36,$AL$23,INDEX($C$23:$AL$23,MAX(1,ROUNDUP(AU666/'🎚️ Escenario'!$C$11,0)))))</f>
        <v>0</v>
      </c>
      <c r="AV667" s="236" t="n">
        <f aca="false" t="array" ref="AV667:AV667">IF(AV666=0,0,IF(AV666/'🎚️ Escenario'!$C$11&gt;=36,$AL$23,INDEX($C$23:$AL$23,MAX(1,ROUNDUP(AV666/'🎚️ Escenario'!$C$11,0)))))</f>
        <v>0</v>
      </c>
      <c r="AW667" s="236" t="n">
        <f aca="false" t="array" ref="AW667:AW667">IF(AW666=0,0,IF(AW666/'🎚️ Escenario'!$C$11&gt;=36,$AL$23,INDEX($C$23:$AL$23,MAX(1,ROUNDUP(AW666/'🎚️ Escenario'!$C$11,0)))))</f>
        <v>0</v>
      </c>
      <c r="AX667" s="236" t="n">
        <f aca="false" t="array" ref="AX667:AX667">IF(AX666=0,0,IF(AX666/'🎚️ Escenario'!$C$11&gt;=36,$AL$23,INDEX($C$23:$AL$23,MAX(1,ROUNDUP(AX666/'🎚️ Escenario'!$C$11,0)))))</f>
        <v>0</v>
      </c>
      <c r="AY667" s="236" t="n">
        <f aca="false" t="array" ref="AY667:AY667">IF(AY666=0,0,IF(AY666/'🎚️ Escenario'!$C$11&gt;=36,$AL$23,INDEX($C$23:$AL$23,MAX(1,ROUNDUP(AY666/'🎚️ Escenario'!$C$11,0)))))</f>
        <v>0</v>
      </c>
      <c r="AZ667" s="236" t="n">
        <f aca="false" t="array" ref="AZ667:AZ667">IF(AZ666=0,0,IF(AZ666/'🎚️ Escenario'!$C$11&gt;=36,$AL$23,INDEX($C$23:$AL$23,MAX(1,ROUNDUP(AZ666/'🎚️ Escenario'!$C$11,0)))))</f>
        <v>0</v>
      </c>
      <c r="BA667" s="236" t="n">
        <f aca="false" t="array" ref="BA667:BA667">IF(BA666=0,0,IF(BA666/'🎚️ Escenario'!$C$11&gt;=36,$AL$23,INDEX($C$23:$AL$23,MAX(1,ROUNDUP(BA666/'🎚️ Escenario'!$C$11,0)))))</f>
        <v>0</v>
      </c>
      <c r="BB667" s="236" t="n">
        <f aca="false" t="array" ref="BB667:BB667">IF(BB666=0,0,IF(BB666/'🎚️ Escenario'!$C$11&gt;=36,$AL$23,INDEX($C$23:$AL$23,MAX(1,ROUNDUP(BB666/'🎚️ Escenario'!$C$11,0)))))</f>
        <v>0</v>
      </c>
      <c r="BC667" s="236" t="n">
        <f aca="false" t="array" ref="BC667:BC667">IF(BC666=0,0,IF(BC666/'🎚️ Escenario'!$C$11&gt;=36,$AL$23,INDEX($C$23:$AL$23,MAX(1,ROUNDUP(BC666/'🎚️ Escenario'!$C$11,0)))))</f>
        <v>0</v>
      </c>
      <c r="BD667" s="236" t="n">
        <f aca="false" t="array" ref="BD667:BD667">IF(BD666=0,0,IF(BD666/'🎚️ Escenario'!$C$11&gt;=36,$AL$23,INDEX($C$23:$AL$23,MAX(1,ROUNDUP(BD666/'🎚️ Escenario'!$C$11,0)))))</f>
        <v>0</v>
      </c>
      <c r="BE667" s="236" t="n">
        <f aca="false" t="array" ref="BE667:BE667">IF(BE666=0,0,IF(BE666/'🎚️ Escenario'!$C$11&gt;=36,$AL$23,INDEX($C$23:$AL$23,MAX(1,ROUNDUP(BE666/'🎚️ Escenario'!$C$11,0)))))</f>
        <v>0</v>
      </c>
      <c r="BF667" s="236" t="n">
        <f aca="false" t="array" ref="BF667:BF667">IF(BF666=0,0,IF(BF666/'🎚️ Escenario'!$C$11&gt;=36,$AL$23,INDEX($C$23:$AL$23,MAX(1,ROUNDUP(BF666/'🎚️ Escenario'!$C$11,0)))))</f>
        <v>0</v>
      </c>
      <c r="BG667" s="236" t="n">
        <f aca="false" t="array" ref="BG667:BG667">IF(BG666=0,0,IF(BG666/'🎚️ Escenario'!$C$11&gt;=36,$AL$23,INDEX($C$23:$AL$23,MAX(1,ROUNDUP(BG666/'🎚️ Escenario'!$C$11,0)))))</f>
        <v>0</v>
      </c>
      <c r="BH667" s="236" t="n">
        <f aca="false" t="array" ref="BH667:BH667">IF(BH666=0,0,IF(BH666/'🎚️ Escenario'!$C$11&gt;=36,$AL$23,INDEX($C$23:$AL$23,MAX(1,ROUNDUP(BH666/'🎚️ Escenario'!$C$11,0)))))</f>
        <v>0</v>
      </c>
      <c r="BI667" s="236" t="n">
        <f aca="false" t="array" ref="BI667:BI667">IF(BI666=0,0,IF(BI666/'🎚️ Escenario'!$C$11&gt;=36,$AL$23,INDEX($C$23:$AL$23,MAX(1,ROUNDUP(BI666/'🎚️ Escenario'!$C$11,0)))))</f>
        <v>0</v>
      </c>
      <c r="BJ667" s="236" t="n">
        <f aca="false" t="array" ref="BJ667:BJ667">IF(BJ666=0,0,IF(BJ666/'🎚️ Escenario'!$C$11&gt;=36,$AL$23,INDEX($C$23:$AL$23,MAX(1,ROUNDUP(BJ666/'🎚️ Escenario'!$C$11,0)))))</f>
        <v>0</v>
      </c>
      <c r="BK667" s="236" t="n">
        <f aca="false" t="array" ref="BK667:BK667">IF(BK666=0,0,IF(BK666/'🎚️ Escenario'!$C$11&gt;=36,$AL$23,INDEX($C$23:$AL$23,MAX(1,ROUNDUP(BK666/'🎚️ Escenario'!$C$11,0)))))</f>
        <v>0</v>
      </c>
      <c r="BL667" s="236" t="n">
        <f aca="false" t="array" ref="BL667:BL667">IF(BL666=0,0,IF(BL666/'🎚️ Escenario'!$C$11&gt;=36,$AL$23,INDEX($C$23:$AL$23,MAX(1,ROUNDUP(BL666/'🎚️ Escenario'!$C$11,0)))))</f>
        <v>0</v>
      </c>
      <c r="BM667" s="236" t="n">
        <f aca="false" t="array" ref="BM667:BM667">IF(BM666=0,0,IF(BM666/'🎚️ Escenario'!$C$11&gt;=36,$AL$23,INDEX($C$23:$AL$23,MAX(1,ROUNDUP(BM666/'🎚️ Escenario'!$C$11,0)))))</f>
        <v>0</v>
      </c>
      <c r="BN667" s="236" t="n">
        <f aca="false" t="array" ref="BN667:BN667">IF(BN666=0,0,IF(BN666/'🎚️ Escenario'!$C$11&gt;=36,$AL$23,INDEX($C$23:$AL$23,MAX(1,ROUNDUP(BN666/'🎚️ Escenario'!$C$11,0)))))</f>
        <v>0</v>
      </c>
      <c r="BO667" s="236" t="n">
        <f aca="false" t="array" ref="BO667:BO667">IF(BO666=0,0,IF(BO666/'🎚️ Escenario'!$C$11&gt;=36,$AL$23,INDEX($C$23:$AL$23,MAX(1,ROUNDUP(BO666/'🎚️ Escenario'!$C$11,0)))))</f>
        <v>0</v>
      </c>
      <c r="BP667" s="236" t="n">
        <f aca="false" t="array" ref="BP667:BP667">IF(BP666=0,0,IF(BP666/'🎚️ Escenario'!$C$11&gt;=36,$AL$23,INDEX($C$23:$AL$23,MAX(1,ROUNDUP(BP666/'🎚️ Escenario'!$C$11,0)))))</f>
        <v>0</v>
      </c>
      <c r="BQ667" s="236" t="n">
        <f aca="false" t="array" ref="BQ667:BQ667">IF(BQ666=0,0,IF(BQ666/'🎚️ Escenario'!$C$11&gt;=36,$AL$23,INDEX($C$23:$AL$23,MAX(1,ROUNDUP(BQ666/'🎚️ Escenario'!$C$11,0)))))</f>
        <v>0</v>
      </c>
      <c r="BR667" s="236" t="n">
        <f aca="false" t="array" ref="BR667:BR667">IF(BR666=0,0,IF(BR666/'🎚️ Escenario'!$C$11&gt;=36,$AL$23,INDEX($C$23:$AL$23,MAX(1,ROUNDUP(BR666/'🎚️ Escenario'!$C$11,0)))))</f>
        <v>0</v>
      </c>
      <c r="BS667" s="236" t="n">
        <f aca="false" t="array" ref="BS667:BS667">IF(BS666=0,0,IF(BS666/'🎚️ Escenario'!$C$11&gt;=36,$AL$23,INDEX($C$23:$AL$23,MAX(1,ROUNDUP(BS666/'🎚️ Escenario'!$C$11,0)))))</f>
        <v>0</v>
      </c>
      <c r="BT667" s="236" t="n">
        <f aca="false" t="array" ref="BT667:BT667">IF(BT666=0,0,IF(BT666/'🎚️ Escenario'!$C$11&gt;=36,$AL$23,INDEX($C$23:$AL$23,MAX(1,ROUNDUP(BT666/'🎚️ Escenario'!$C$11,0)))))</f>
        <v>0</v>
      </c>
      <c r="BU667" s="236" t="n">
        <f aca="false" t="array" ref="BU667:BU667">IF(BU666=0,0,IF(BU666/'🎚️ Escenario'!$C$11&gt;=36,$AL$23,INDEX($C$23:$AL$23,MAX(1,ROUNDUP(BU666/'🎚️ Escenario'!$C$11,0)))))</f>
        <v>0</v>
      </c>
      <c r="BV667" s="236" t="n">
        <f aca="false" t="array" ref="BV667:BV667">IF(BV666=0,0,IF(BV666/'🎚️ Escenario'!$C$11&gt;=36,$AL$23,INDEX($C$23:$AL$23,MAX(1,ROUNDUP(BV666/'🎚️ Escenario'!$C$11,0)))))</f>
        <v>0</v>
      </c>
      <c r="BW667" s="236" t="n">
        <f aca="false" t="array" ref="BW667:BW667">IF(BW666=0,0,IF(BW666/'🎚️ Escenario'!$C$11&gt;=36,$AL$23,INDEX($C$23:$AL$23,MAX(1,ROUNDUP(BW666/'🎚️ Escenario'!$C$11,0)))))</f>
        <v>0</v>
      </c>
      <c r="BX667" s="236" t="n">
        <f aca="false" t="array" ref="BX667:BX667">IF(BX666=0,0,IF(BX666/'🎚️ Escenario'!$C$11&gt;=36,$AL$23,INDEX($C$23:$AL$23,MAX(1,ROUNDUP(BX666/'🎚️ Escenario'!$C$11,0)))))</f>
        <v>0</v>
      </c>
      <c r="BY667" s="236" t="n">
        <f aca="false" t="array" ref="BY667:BY667">IF(BY666=0,0,IF(BY666/'🎚️ Escenario'!$C$11&gt;=36,$AL$23,INDEX($C$23:$AL$23,MAX(1,ROUNDUP(BY666/'🎚️ Escenario'!$C$11,0)))))</f>
        <v>0</v>
      </c>
      <c r="BZ667" s="236" t="n">
        <f aca="false" t="array" ref="BZ667:BZ667">IF(BZ666=0,0,IF(BZ666/'🎚️ Escenario'!$C$11&gt;=36,$AL$23,INDEX($C$23:$AL$23,MAX(1,ROUNDUP(BZ666/'🎚️ Escenario'!$C$11,0)))))</f>
        <v>0</v>
      </c>
      <c r="CA667" s="236" t="n">
        <f aca="false" t="array" ref="CA667:CA667">IF(CA666=0,0,IF(CA666/'🎚️ Escenario'!$C$11&gt;=36,$AL$23,INDEX($C$23:$AL$23,MAX(1,ROUNDUP(CA666/'🎚️ Escenario'!$C$11,0)))))</f>
        <v>0</v>
      </c>
      <c r="CB667" s="236" t="n">
        <f aca="false" t="array" ref="CB667:CB667">IF(CB666=0,0,IF(CB666/'🎚️ Escenario'!$C$11&gt;=36,$AL$23,INDEX($C$23:$AL$23,MAX(1,ROUNDUP(CB666/'🎚️ Escenario'!$C$11,0)))))</f>
        <v>0</v>
      </c>
      <c r="CC667" s="236" t="n">
        <f aca="false" t="array" ref="CC667:CC667">IF(CC666=0,0,IF(CC666/'🎚️ Escenario'!$C$11&gt;=36,$AL$23,INDEX($C$23:$AL$23,MAX(1,ROUNDUP(CC666/'🎚️ Escenario'!$C$11,0)))))</f>
        <v>0</v>
      </c>
      <c r="CD667" s="236" t="n">
        <f aca="false" t="array" ref="CD667:CD667">IF(CD666=0,0,IF(CD666/'🎚️ Escenario'!$C$11&gt;=36,$AL$23,INDEX($C$23:$AL$23,MAX(1,ROUNDUP(CD666/'🎚️ Escenario'!$C$11,0)))))</f>
        <v>0</v>
      </c>
      <c r="CE667" s="236" t="n">
        <f aca="false" t="array" ref="CE667:CE667">IF(CE666=0,0,IF(CE666/'🎚️ Escenario'!$C$11&gt;=36,$AL$23,INDEX($C$23:$AL$23,MAX(1,ROUNDUP(CE666/'🎚️ Escenario'!$C$11,0)))))</f>
        <v>0</v>
      </c>
      <c r="CF667" s="236" t="n">
        <f aca="false" t="array" ref="CF667:CF667">IF(CF666=0,0,IF(CF666/'🎚️ Escenario'!$C$11&gt;=36,$AL$23,INDEX($C$23:$AL$23,MAX(1,ROUNDUP(CF666/'🎚️ Escenario'!$C$11,0)))))</f>
        <v>0</v>
      </c>
      <c r="CG667" s="236" t="n">
        <f aca="false" t="array" ref="CG667:CG667">IF(CG666=0,0,IF(CG666/'🎚️ Escenario'!$C$11&gt;=36,$AL$23,INDEX($C$23:$AL$23,MAX(1,ROUNDUP(CG666/'🎚️ Escenario'!$C$11,0)))))</f>
        <v>0</v>
      </c>
      <c r="CH667" s="236" t="n">
        <f aca="false" t="array" ref="CH667:CH667">IF(CH666=0,0,IF(CH666/'🎚️ Escenario'!$C$11&gt;=36,$AL$23,INDEX($C$23:$AL$23,MAX(1,ROUNDUP(CH666/'🎚️ Escenario'!$C$11,0)))))</f>
        <v>0</v>
      </c>
      <c r="CI667" s="236" t="n">
        <f aca="false" t="array" ref="CI667:CI667">IF(CI666=0,0,IF(CI666/'🎚️ Escenario'!$C$11&gt;=36,$AL$23,INDEX($C$23:$AL$23,MAX(1,ROUNDUP(CI666/'🎚️ Escenario'!$C$11,0)))))</f>
        <v>0</v>
      </c>
      <c r="CJ667" s="236" t="n">
        <f aca="false" t="array" ref="CJ667:CJ667">IF(CJ666=0,0,IF(CJ666/'🎚️ Escenario'!$C$11&gt;=36,$AL$23,INDEX($C$23:$AL$23,MAX(1,ROUNDUP(CJ666/'🎚️ Escenario'!$C$11,0)))))</f>
        <v>0</v>
      </c>
      <c r="CK667" s="236" t="n">
        <f aca="false" t="array" ref="CK667:CK667">IF(CK666=0,0,IF(CK666/'🎚️ Escenario'!$C$11&gt;=36,$AL$23,INDEX($C$23:$AL$23,MAX(1,ROUNDUP(CK666/'🎚️ Escenario'!$C$11,0)))))</f>
        <v>0</v>
      </c>
      <c r="CL667" s="236" t="n">
        <f aca="false" t="array" ref="CL667:CL667">IF(CL666=0,0,IF(CL666/'🎚️ Escenario'!$C$11&gt;=36,$AL$23,INDEX($C$23:$AL$23,MAX(1,ROUNDUP(CL666/'🎚️ Escenario'!$C$11,0)))))</f>
        <v>0</v>
      </c>
      <c r="CM667" s="236" t="n">
        <f aca="false" t="array" ref="CM667:CM667">IF(CM666=0,0,IF(CM666/'🎚️ Escenario'!$C$11&gt;=36,$AL$23,INDEX($C$23:$AL$23,MAX(1,ROUNDUP(CM666/'🎚️ Escenario'!$C$11,0)))))</f>
        <v>0</v>
      </c>
      <c r="CN667" s="236" t="n">
        <f aca="false" t="array" ref="CN667:CN667">IF(CN666=0,0,IF(CN666/'🎚️ Escenario'!$C$11&gt;=36,$AL$23,INDEX($C$23:$AL$23,MAX(1,ROUNDUP(CN666/'🎚️ Escenario'!$C$11,0)))))</f>
        <v>0</v>
      </c>
      <c r="CO667" s="236" t="n">
        <f aca="false" t="array" ref="CO667:CO667">IF(CO666=0,0,IF(CO666/'🎚️ Escenario'!$C$11&gt;=36,$AL$23,INDEX($C$23:$AL$23,MAX(1,ROUNDUP(CO666/'🎚️ Escenario'!$C$11,0)))))</f>
        <v>0</v>
      </c>
      <c r="CP667" s="236" t="n">
        <f aca="false" t="array" ref="CP667:CP667">IF(CP666=0,0,IF(CP666/'🎚️ Escenario'!$C$11&gt;=36,$AL$23,INDEX($C$23:$AL$23,MAX(1,ROUNDUP(CP666/'🎚️ Escenario'!$C$11,0)))))</f>
        <v>0</v>
      </c>
      <c r="CQ667" s="236" t="n">
        <f aca="false" t="array" ref="CQ667:CQ667">IF(CQ666=0,0,IF(CQ666/'🎚️ Escenario'!$C$11&gt;=36,$AL$23,INDEX($C$23:$AL$23,MAX(1,ROUNDUP(CQ666/'🎚️ Escenario'!$C$11,0)))))</f>
        <v>0</v>
      </c>
      <c r="CR667" s="236" t="n">
        <f aca="false" t="array" ref="CR667:CR667">IF(CR666=0,0,IF(CR666/'🎚️ Escenario'!$C$11&gt;=36,$AL$23,INDEX($C$23:$AL$23,MAX(1,ROUNDUP(CR666/'🎚️ Escenario'!$C$11,0)))))</f>
        <v>0</v>
      </c>
      <c r="CS667" s="236" t="n">
        <f aca="false" t="array" ref="CS667:CS667">IF(CS666=0,0,IF(CS666/'🎚️ Escenario'!$C$11&gt;=36,$AL$23,INDEX($C$23:$AL$23,MAX(1,ROUNDUP(CS666/'🎚️ Escenario'!$C$11,0)))))</f>
        <v>0</v>
      </c>
      <c r="CT667" s="236" t="n">
        <f aca="false" t="array" ref="CT667:CT667">IF(CT666=0,0,IF(CT666/'🎚️ Escenario'!$C$11&gt;=36,$AL$23,INDEX($C$23:$AL$23,MAX(1,ROUNDUP(CT666/'🎚️ Escenario'!$C$11,0)))))</f>
        <v>0</v>
      </c>
      <c r="CU667" s="236" t="n">
        <f aca="false" t="array" ref="CU667:CU667">IF(CU666=0,0,IF(CU666/'🎚️ Escenario'!$C$11&gt;=36,$AL$23,INDEX($C$23:$AL$23,MAX(1,ROUNDUP(CU666/'🎚️ Escenario'!$C$11,0)))))</f>
        <v>0</v>
      </c>
      <c r="CV667" s="236" t="n">
        <f aca="false" t="array" ref="CV667:CV667">IF(CV666=0,0,IF(CV666/'🎚️ Escenario'!$C$11&gt;=36,$AL$23,INDEX($C$23:$AL$23,MAX(1,ROUNDUP(CV666/'🎚️ Escenario'!$C$11,0)))))</f>
        <v>0</v>
      </c>
      <c r="CW667" s="236" t="n">
        <f aca="false" t="array" ref="CW667:CW667">IF(CW666=0,0,IF(CW666/'🎚️ Escenario'!$C$11&gt;=36,$AL$23,INDEX($C$23:$AL$23,MAX(1,ROUNDUP(CW666/'🎚️ Escenario'!$C$11,0)))))</f>
        <v>0</v>
      </c>
      <c r="CX667" s="236" t="n">
        <f aca="false" t="array" ref="CX667:CX667">IF(CX666=0,0,IF(CX666/'🎚️ Escenario'!$C$11&gt;=36,$AL$23,INDEX($C$23:$AL$23,MAX(1,ROUNDUP(CX666/'🎚️ Escenario'!$C$11,0)))))</f>
        <v>0</v>
      </c>
      <c r="CY667" s="236" t="n">
        <f aca="false" t="array" ref="CY667:CY667">IF(CY666=0,0,IF(CY666/'🎚️ Escenario'!$C$11&gt;=36,$AL$23,INDEX($C$23:$AL$23,MAX(1,ROUNDUP(CY666/'🎚️ Escenario'!$C$11,0)))))</f>
        <v>0</v>
      </c>
      <c r="CZ667" s="236" t="n">
        <f aca="false" t="array" ref="CZ667:CZ667">IF(CZ666=0,0,IF(CZ666/'🎚️ Escenario'!$C$11&gt;=36,$AL$23,INDEX($C$23:$AL$23,MAX(1,ROUNDUP(CZ666/'🎚️ Escenario'!$C$11,0)))))</f>
        <v>0</v>
      </c>
      <c r="DA667" s="236" t="n">
        <f aca="false" t="array" ref="DA667:DA667">IF(DA666=0,0,IF(DA666/'🎚️ Escenario'!$C$11&gt;=36,$AL$23,INDEX($C$23:$AL$23,MAX(1,ROUNDUP(DA666/'🎚️ Escenario'!$C$11,0)))))</f>
        <v>0</v>
      </c>
      <c r="DB667" s="236" t="n">
        <f aca="false" t="array" ref="DB667:DB667">IF(DB666=0,0,IF(DB666/'🎚️ Escenario'!$C$11&gt;=36,$AL$23,INDEX($C$23:$AL$23,MAX(1,ROUNDUP(DB666/'🎚️ Escenario'!$C$11,0)))))</f>
        <v>0</v>
      </c>
      <c r="DC667" s="236" t="n">
        <f aca="false" t="array" ref="DC667:DC667">IF(DC666=0,0,IF(DC666/'🎚️ Escenario'!$C$11&gt;=36,$AL$23,INDEX($C$23:$AL$23,MAX(1,ROUNDUP(DC666/'🎚️ Escenario'!$C$11,0)))))</f>
        <v>0</v>
      </c>
      <c r="DD667" s="236" t="n">
        <f aca="false" t="array" ref="DD667:DD667">IF(DD666=0,0,IF(DD666/'🎚️ Escenario'!$C$11&gt;=36,$AL$23,INDEX($C$23:$AL$23,MAX(1,ROUNDUP(DD666/'🎚️ Escenario'!$C$11,0)))))</f>
        <v>0</v>
      </c>
      <c r="DE667" s="236" t="n">
        <f aca="false" t="array" ref="DE667:DE667">IF(DE666=0,0,IF(DE666/'🎚️ Escenario'!$C$11&gt;=36,$AL$23,INDEX($C$23:$AL$23,MAX(1,ROUNDUP(DE666/'🎚️ Escenario'!$C$11,0)))))</f>
        <v>0</v>
      </c>
      <c r="DF667" s="236" t="n">
        <f aca="false" t="array" ref="DF667:DF667">IF(DF666=0,0,IF(DF666/'🎚️ Escenario'!$C$11&gt;=36,$AL$23,INDEX($C$23:$AL$23,MAX(1,ROUNDUP(DF666/'🎚️ Escenario'!$C$11,0)))))</f>
        <v>0</v>
      </c>
      <c r="DG667" s="236" t="n">
        <f aca="false" t="array" ref="DG667:DG667">IF(DG666=0,0,IF(DG666/'🎚️ Escenario'!$C$11&gt;=36,$AL$23,INDEX($C$23:$AL$23,MAX(1,ROUNDUP(DG666/'🎚️ Escenario'!$C$11,0)))))</f>
        <v>0</v>
      </c>
      <c r="DH667" s="236" t="n">
        <f aca="false" t="array" ref="DH667:DH667">IF(DH666=0,0,IF(DH666/'🎚️ Escenario'!$C$11&gt;=36,$AL$23,INDEX($C$23:$AL$23,MAX(1,ROUNDUP(DH666/'🎚️ Escenario'!$C$11,0)))))</f>
        <v>0</v>
      </c>
      <c r="DI667" s="236" t="n">
        <f aca="false" t="array" ref="DI667:DI667">IF(DI666=0,0,IF(DI666/'🎚️ Escenario'!$C$11&gt;=36,$AL$23,INDEX($C$23:$AL$23,MAX(1,ROUNDUP(DI666/'🎚️ Escenario'!$C$11,0)))))</f>
        <v>0</v>
      </c>
      <c r="DJ667" s="236" t="n">
        <f aca="false" t="array" ref="DJ667:DJ667">IF(DJ666=0,0,IF(DJ666/'🎚️ Escenario'!$C$11&gt;=36,$AL$23,INDEX($C$23:$AL$23,MAX(1,ROUNDUP(DJ666/'🎚️ Escenario'!$C$11,0)))))</f>
        <v>0</v>
      </c>
      <c r="DK667" s="236" t="n">
        <f aca="false" t="array" ref="DK667:DK667">IF(DK666=0,0,IF(DK666/'🎚️ Escenario'!$C$11&gt;=36,$AL$23,INDEX($C$23:$AL$23,MAX(1,ROUNDUP(DK666/'🎚️ Escenario'!$C$11,0)))))</f>
        <v>0</v>
      </c>
      <c r="DL667" s="236" t="n">
        <f aca="false" t="array" ref="DL667:DL667">IF(DL666=0,0,IF(DL666/'🎚️ Escenario'!$C$11&gt;=36,$AL$23,INDEX($C$23:$AL$23,MAX(1,ROUNDUP(DL666/'🎚️ Escenario'!$C$11,0)))))</f>
        <v>0</v>
      </c>
      <c r="DM667" s="236" t="n">
        <f aca="false" t="array" ref="DM667:DM667">IF(DM666=0,0,IF(DM666/'🎚️ Escenario'!$C$11&gt;=36,$AL$23,INDEX($C$23:$AL$23,MAX(1,ROUNDUP(DM666/'🎚️ Escenario'!$C$11,0)))))</f>
        <v>0.2</v>
      </c>
      <c r="DN667" s="236" t="n">
        <f aca="false" t="array" ref="DN667:DN667">IF(DN666=0,0,IF(DN666/'🎚️ Escenario'!$C$11&gt;=36,$AL$23,INDEX($C$23:$AL$23,MAX(1,ROUNDUP(DN666/'🎚️ Escenario'!$C$11,0)))))</f>
        <v>0.22</v>
      </c>
      <c r="DO667" s="236" t="n">
        <f aca="false" t="array" ref="DO667:DO667">IF(DO666=0,0,IF(DO666/'🎚️ Escenario'!$C$11&gt;=36,$AL$23,INDEX($C$23:$AL$23,MAX(1,ROUNDUP(DO666/'🎚️ Escenario'!$C$11,0)))))</f>
        <v>0.24</v>
      </c>
      <c r="DP667" s="236" t="n">
        <f aca="false" t="array" ref="DP667:DP667">IF(DP666=0,0,IF(DP666/'🎚️ Escenario'!$C$11&gt;=36,$AL$23,INDEX($C$23:$AL$23,MAX(1,ROUNDUP(DP666/'🎚️ Escenario'!$C$11,0)))))</f>
        <v>0.27</v>
      </c>
      <c r="DQ667" s="236" t="n">
        <f aca="false" t="array" ref="DQ667:DQ667">IF(DQ666=0,0,IF(DQ666/'🎚️ Escenario'!$C$11&gt;=36,$AL$23,INDEX($C$23:$AL$23,MAX(1,ROUNDUP(DQ666/'🎚️ Escenario'!$C$11,0)))))</f>
        <v>0.27</v>
      </c>
      <c r="DR667" s="236" t="n">
        <f aca="false" t="array" ref="DR667:DR667">IF(DR666=0,0,IF(DR666/'🎚️ Escenario'!$C$11&gt;=36,$AL$23,INDEX($C$23:$AL$23,MAX(1,ROUNDUP(DR666/'🎚️ Escenario'!$C$11,0)))))</f>
        <v>0.31</v>
      </c>
      <c r="DS667" s="236" t="n">
        <f aca="false" t="array" ref="DS667:DS667">IF(DS666=0,0,IF(DS666/'🎚️ Escenario'!$C$11&gt;=36,$AL$23,INDEX($C$23:$AL$23,MAX(1,ROUNDUP(DS666/'🎚️ Escenario'!$C$11,0)))))</f>
        <v>0.35</v>
      </c>
      <c r="DT667" s="236" t="n">
        <f aca="false" t="array" ref="DT667:DT667">IF(DT666=0,0,IF(DT666/'🎚️ Escenario'!$C$11&gt;=36,$AL$23,INDEX($C$23:$AL$23,MAX(1,ROUNDUP(DT666/'🎚️ Escenario'!$C$11,0)))))</f>
        <v>0.39</v>
      </c>
      <c r="DU667" s="236" t="n">
        <f aca="false" t="array" ref="DU667:DU667">IF(DU666=0,0,IF(DU666/'🎚️ Escenario'!$C$11&gt;=36,$AL$23,INDEX($C$23:$AL$23,MAX(1,ROUNDUP(DU666/'🎚️ Escenario'!$C$11,0)))))</f>
        <v>0.44</v>
      </c>
      <c r="DV667" s="236" t="n">
        <f aca="false" t="array" ref="DV667:DV667">IF(DV666=0,0,IF(DV666/'🎚️ Escenario'!$C$11&gt;=36,$AL$23,INDEX($C$23:$AL$23,MAX(1,ROUNDUP(DV666/'🎚️ Escenario'!$C$11,0)))))</f>
        <v>0.44</v>
      </c>
      <c r="DW667" s="236" t="n">
        <f aca="false" t="array" ref="DW667:DW667">IF(DW666=0,0,IF(DW666/'🎚️ Escenario'!$C$11&gt;=36,$AL$23,INDEX($C$23:$AL$23,MAX(1,ROUNDUP(DW666/'🎚️ Escenario'!$C$11,0)))))</f>
        <v>0.48</v>
      </c>
      <c r="DX667" s="236" t="n">
        <f aca="false" t="array" ref="DX667:DX667">IF(DX666=0,0,IF(DX666/'🎚️ Escenario'!$C$11&gt;=36,$AL$23,INDEX($C$23:$AL$23,MAX(1,ROUNDUP(DX666/'🎚️ Escenario'!$C$11,0)))))</f>
        <v>0.52</v>
      </c>
      <c r="DY667" s="236" t="n">
        <f aca="false" t="array" ref="DY667:DY667">IF(DY666=0,0,IF(DY666/'🎚️ Escenario'!$C$11&gt;=36,$AL$23,INDEX($C$23:$AL$23,MAX(1,ROUNDUP(DY666/'🎚️ Escenario'!$C$11,0)))))</f>
        <v>0.56</v>
      </c>
      <c r="DZ667" s="236" t="n">
        <f aca="false" t="array" ref="DZ667:DZ667">IF(DZ666=0,0,IF(DZ666/'🎚️ Escenario'!$C$11&gt;=36,$AL$23,INDEX($C$23:$AL$23,MAX(1,ROUNDUP(DZ666/'🎚️ Escenario'!$C$11,0)))))</f>
        <v>0.6</v>
      </c>
      <c r="EA667" s="236" t="n">
        <f aca="false" t="array" ref="EA667:EA667">IF(EA666=0,0,IF(EA666/'🎚️ Escenario'!$C$11&gt;=36,$AL$23,INDEX($C$23:$AL$23,MAX(1,ROUNDUP(EA666/'🎚️ Escenario'!$C$11,0)))))</f>
        <v>0.6</v>
      </c>
      <c r="EB667" s="236" t="n">
        <f aca="false" t="array" ref="EB667:EB667">IF(EB666=0,0,IF(EB666/'🎚️ Escenario'!$C$11&gt;=36,$AL$23,INDEX($C$23:$AL$23,MAX(1,ROUNDUP(EB666/'🎚️ Escenario'!$C$11,0)))))</f>
        <v>0.63</v>
      </c>
      <c r="EC667" s="236" t="n">
        <f aca="false" t="array" ref="EC667:EC667">IF(EC666=0,0,IF(EC666/'🎚️ Escenario'!$C$11&gt;=36,$AL$23,INDEX($C$23:$AL$23,MAX(1,ROUNDUP(EC666/'🎚️ Escenario'!$C$11,0)))))</f>
        <v>0.66</v>
      </c>
      <c r="ED667" s="236" t="n">
        <f aca="false" t="array" ref="ED667:ED667">IF(ED666=0,0,IF(ED666/'🎚️ Escenario'!$C$11&gt;=36,$AL$23,INDEX($C$23:$AL$23,MAX(1,ROUNDUP(ED666/'🎚️ Escenario'!$C$11,0)))))</f>
        <v>0.69</v>
      </c>
      <c r="EE667" s="236" t="n">
        <f aca="false" t="array" ref="EE667:EE667">IF(EE666=0,0,IF(EE666/'🎚️ Escenario'!$C$11&gt;=36,$AL$23,INDEX($C$23:$AL$23,MAX(1,ROUNDUP(EE666/'🎚️ Escenario'!$C$11,0)))))</f>
        <v>0.71</v>
      </c>
      <c r="EF667" s="236" t="n">
        <f aca="false" t="array" ref="EF667:EF667">IF(EF666=0,0,IF(EF666/'🎚️ Escenario'!$C$11&gt;=36,$AL$23,INDEX($C$23:$AL$23,MAX(1,ROUNDUP(EF666/'🎚️ Escenario'!$C$11,0)))))</f>
        <v>0.71</v>
      </c>
      <c r="EG667" s="236" t="n">
        <f aca="false" t="array" ref="EG667:EG667">IF(EG666=0,0,IF(EG666/'🎚️ Escenario'!$C$11&gt;=36,$AL$23,INDEX($C$23:$AL$23,MAX(1,ROUNDUP(EG666/'🎚️ Escenario'!$C$11,0)))))</f>
        <v>0.73</v>
      </c>
      <c r="EH667" s="236" t="n">
        <f aca="false" t="array" ref="EH667:EH667">IF(EH666=0,0,IF(EH666/'🎚️ Escenario'!$C$11&gt;=36,$AL$23,INDEX($C$23:$AL$23,MAX(1,ROUNDUP(EH666/'🎚️ Escenario'!$C$11,0)))))</f>
        <v>0.75</v>
      </c>
      <c r="EI667" s="236" t="n">
        <f aca="false" t="array" ref="EI667:EI667">IF(EI666=0,0,IF(EI666/'🎚️ Escenario'!$C$11&gt;=36,$AL$23,INDEX($C$23:$AL$23,MAX(1,ROUNDUP(EI666/'🎚️ Escenario'!$C$11,0)))))</f>
        <v>0.77</v>
      </c>
      <c r="EJ667" s="236" t="n">
        <f aca="false" t="array" ref="EJ667:EJ667">IF(EJ666=0,0,IF(EJ666/'🎚️ Escenario'!$C$11&gt;=36,$AL$23,INDEX($C$23:$AL$23,MAX(1,ROUNDUP(EJ666/'🎚️ Escenario'!$C$11,0)))))</f>
        <v>0.79</v>
      </c>
      <c r="EK667" s="236" t="n">
        <f aca="false" t="array" ref="EK667:EK667">IF(EK666=0,0,IF(EK666/'🎚️ Escenario'!$C$11&gt;=36,$AL$23,INDEX($C$23:$AL$23,MAX(1,ROUNDUP(EK666/'🎚️ Escenario'!$C$11,0)))))</f>
        <v>0.79</v>
      </c>
      <c r="EL667" s="236" t="n">
        <f aca="false" t="array" ref="EL667:EL667">IF(EL666=0,0,IF(EL666/'🎚️ Escenario'!$C$11&gt;=36,$AL$23,INDEX($C$23:$AL$23,MAX(1,ROUNDUP(EL666/'🎚️ Escenario'!$C$11,0)))))</f>
        <v>0.8</v>
      </c>
      <c r="EM667" s="236" t="n">
        <f aca="false" t="array" ref="EM667:EM667">IF(EM666=0,0,IF(EM666/'🎚️ Escenario'!$C$11&gt;=36,$AL$23,INDEX($C$23:$AL$23,MAX(1,ROUNDUP(EM666/'🎚️ Escenario'!$C$11,0)))))</f>
        <v>0.82</v>
      </c>
      <c r="EN667" s="236" t="n">
        <f aca="false" t="array" ref="EN667:EN667">IF(EN666=0,0,IF(EN666/'🎚️ Escenario'!$C$11&gt;=36,$AL$23,INDEX($C$23:$AL$23,MAX(1,ROUNDUP(EN666/'🎚️ Escenario'!$C$11,0)))))</f>
        <v>0.84</v>
      </c>
      <c r="EO667" s="236" t="n">
        <f aca="false" t="array" ref="EO667:EO667">IF(EO666=0,0,IF(EO666/'🎚️ Escenario'!$C$11&gt;=36,$AL$23,INDEX($C$23:$AL$23,MAX(1,ROUNDUP(EO666/'🎚️ Escenario'!$C$11,0)))))</f>
        <v>0.85</v>
      </c>
      <c r="EP667" s="236" t="n">
        <f aca="false" t="array" ref="EP667:EP667">IF(EP666=0,0,IF(EP666/'🎚️ Escenario'!$C$11&gt;=36,$AL$23,INDEX($C$23:$AL$23,MAX(1,ROUNDUP(EP666/'🎚️ Escenario'!$C$11,0)))))</f>
        <v>0.85</v>
      </c>
      <c r="EQ667" s="236" t="n">
        <f aca="false" t="array" ref="EQ667:EQ667">IF(EQ666=0,0,IF(EQ666/'🎚️ Escenario'!$C$11&gt;=36,$AL$23,INDEX($C$23:$AL$23,MAX(1,ROUNDUP(EQ666/'🎚️ Escenario'!$C$11,0)))))</f>
        <v>0.86</v>
      </c>
      <c r="ER667" s="236" t="n">
        <f aca="false" t="array" ref="ER667:ER667">IF(ER666=0,0,IF(ER666/'🎚️ Escenario'!$C$11&gt;=36,$AL$23,INDEX($C$23:$AL$23,MAX(1,ROUNDUP(ER666/'🎚️ Escenario'!$C$11,0)))))</f>
        <v>0.88</v>
      </c>
      <c r="ES667" s="9" t="n">
        <f aca="false" t="array" ref="ES667:ES667">IF(ES666=0,0,IF(ES666/'🎚️ Escenario'!$C$11&gt;=36,$AL$23,INDEX($C$23:$AL$23,MAX(1,ROUNDUP(ES666/'🎚️ Escenario'!$C$11,0)))))</f>
        <v>0.89</v>
      </c>
      <c r="ET667" s="9" t="n">
        <f aca="false" t="array" ref="ET667:ET667">IF(ET666=0,0,IF(ET666/'🎚️ Escenario'!$C$11&gt;=36,$AL$23,INDEX($C$23:$AL$23,MAX(1,ROUNDUP(ET666/'🎚️ Escenario'!$C$11,0)))))</f>
        <v>0.9</v>
      </c>
      <c r="EU667" s="9" t="n">
        <f aca="false" t="array" ref="EU667:EU667">IF(EU666=0,0,IF(EU666/'🎚️ Escenario'!$C$11&gt;=36,$AL$23,INDEX($C$23:$AL$23,MAX(1,ROUNDUP(EU666/'🎚️ Escenario'!$C$11,0)))))</f>
        <v>0.9</v>
      </c>
      <c r="EV667" s="9" t="n">
        <f aca="false" t="array" ref="EV667:EV667">IF(EV666=0,0,IF(EV666/'🎚️ Escenario'!$C$11&gt;=36,$AL$23,INDEX($C$23:$AL$23,MAX(1,ROUNDUP(EV666/'🎚️ Escenario'!$C$11,0)))))</f>
        <v>0.92</v>
      </c>
      <c r="EW667" s="9" t="n">
        <f aca="false" t="array" ref="EW667:EW667">IF(EW666=0,0,IF(EW666/'🎚️ Escenario'!$C$11&gt;=36,$AL$23,INDEX($C$23:$AL$23,MAX(1,ROUNDUP(EW666/'🎚️ Escenario'!$C$11,0)))))</f>
        <v>0.93</v>
      </c>
      <c r="EX667" s="9" t="n">
        <f aca="false" t="array" ref="EX667:EX667">IF(EX666=0,0,IF(EX666/'🎚️ Escenario'!$C$11&gt;=36,$AL$23,INDEX($C$23:$AL$23,MAX(1,ROUNDUP(EX666/'🎚️ Escenario'!$C$11,0)))))</f>
        <v>0.94</v>
      </c>
      <c r="EY667" s="9" t="n">
        <f aca="false" t="array" ref="EY667:EY667">IF(EY666=0,0,IF(EY666/'🎚️ Escenario'!$C$11&gt;=36,$AL$23,INDEX($C$23:$AL$23,MAX(1,ROUNDUP(EY666/'🎚️ Escenario'!$C$11,0)))))</f>
        <v>0.95</v>
      </c>
      <c r="EZ667" s="9" t="n">
        <f aca="false" t="array" ref="EZ667:EZ667">IF(EZ666=0,0,IF(EZ666/'🎚️ Escenario'!$C$11&gt;=36,$AL$23,INDEX($C$23:$AL$23,MAX(1,ROUNDUP(EZ666/'🎚️ Escenario'!$C$11,0)))))</f>
        <v>0.95</v>
      </c>
      <c r="FA667" s="9" t="n">
        <f aca="false" t="array" ref="FA667:FA667">IF(FA666=0,0,IF(FA666/'🎚️ Escenario'!$C$11&gt;=36,$AL$23,INDEX($C$23:$AL$23,MAX(1,ROUNDUP(FA666/'🎚️ Escenario'!$C$11,0)))))</f>
        <v>0.97</v>
      </c>
      <c r="FB667" s="9" t="n">
        <f aca="false" t="array" ref="FB667:FB667">IF(FB666=0,0,IF(FB666/'🎚️ Escenario'!$C$11&gt;=36,$AL$23,INDEX($C$23:$AL$23,MAX(1,ROUNDUP(FB666/'🎚️ Escenario'!$C$11,0)))))</f>
        <v>0.98</v>
      </c>
      <c r="FC667" s="9" t="n">
        <f aca="false" t="array" ref="FC667:FC667">IF(FC666=0,0,IF(FC666/'🎚️ Escenario'!$C$11&gt;=36,$AL$23,INDEX($C$23:$AL$23,MAX(1,ROUNDUP(FC666/'🎚️ Escenario'!$C$11,0)))))</f>
        <v>0.99</v>
      </c>
      <c r="FD667" s="9" t="n">
        <f aca="false" t="array" ref="FD667:FD667">IF(FD666=0,0,IF(FD666/'🎚️ Escenario'!$C$11&gt;=36,$AL$23,INDEX($C$23:$AL$23,MAX(1,ROUNDUP(FD666/'🎚️ Escenario'!$C$11,0)))))</f>
        <v>1</v>
      </c>
      <c r="FE667" s="9" t="n">
        <f aca="false" t="array" ref="FE667:FE667">IF(FE666=0,0,IF(FE666/'🎚️ Escenario'!$C$11&gt;=36,$AL$23,INDEX($C$23:$AL$23,MAX(1,ROUNDUP(FE666/'🎚️ Escenario'!$C$11,0)))))</f>
        <v>1</v>
      </c>
      <c r="FF667" s="9" t="n">
        <f aca="false" t="array" ref="FF667:FF667">IF(FF666=0,0,IF(FF666/'🎚️ Escenario'!$C$11&gt;=36,$AL$23,INDEX($C$23:$AL$23,MAX(1,ROUNDUP(FF666/'🎚️ Escenario'!$C$11,0)))))</f>
        <v>1</v>
      </c>
      <c r="FG667" s="9" t="n">
        <f aca="false" t="array" ref="FG667:FG667">IF(FG666=0,0,IF(FG666/'🎚️ Escenario'!$C$11&gt;=36,$AL$23,INDEX($C$23:$AL$23,MAX(1,ROUNDUP(FG666/'🎚️ Escenario'!$C$11,0)))))</f>
        <v>1</v>
      </c>
      <c r="FH667" s="9" t="n">
        <f aca="false" t="array" ref="FH667:FH667">IF(FH666=0,0,IF(FH666/'🎚️ Escenario'!$C$11&gt;=36,$AL$23,INDEX($C$23:$AL$23,MAX(1,ROUNDUP(FH666/'🎚️ Escenario'!$C$11,0)))))</f>
        <v>1</v>
      </c>
      <c r="FI667" s="9" t="n">
        <f aca="false" t="array" ref="FI667:FI667">IF(FI666=0,0,IF(FI666/'🎚️ Escenario'!$C$11&gt;=36,$AL$23,INDEX($C$23:$AL$23,MAX(1,ROUNDUP(FI666/'🎚️ Escenario'!$C$11,0)))))</f>
        <v>1</v>
      </c>
      <c r="FJ667" s="9" t="n">
        <f aca="false" t="array" ref="FJ667:FJ667">IF(FJ666=0,0,IF(FJ666/'🎚️ Escenario'!$C$11&gt;=36,$AL$23,INDEX($C$23:$AL$23,MAX(1,ROUNDUP(FJ666/'🎚️ Escenario'!$C$11,0)))))</f>
        <v>1</v>
      </c>
      <c r="FK667" s="9" t="n">
        <f aca="false" t="array" ref="FK667:FK667">IF(FK666=0,0,IF(FK666/'🎚️ Escenario'!$C$11&gt;=36,$AL$23,INDEX($C$23:$AL$23,MAX(1,ROUNDUP(FK666/'🎚️ Escenario'!$C$11,0)))))</f>
        <v>1</v>
      </c>
      <c r="FL667" s="9" t="n">
        <f aca="false" t="array" ref="FL667:FL667">IF(FL666=0,0,IF(FL666/'🎚️ Escenario'!$C$11&gt;=36,$AL$23,INDEX($C$23:$AL$23,MAX(1,ROUNDUP(FL666/'🎚️ Escenario'!$C$11,0)))))</f>
        <v>1</v>
      </c>
      <c r="FM667" s="9" t="n">
        <f aca="false" t="array" ref="FM667:FM667">IF(FM666=0,0,IF(FM666/'🎚️ Escenario'!$C$11&gt;=36,$AL$23,INDEX($C$23:$AL$23,MAX(1,ROUNDUP(FM666/'🎚️ Escenario'!$C$11,0)))))</f>
        <v>1</v>
      </c>
      <c r="FN667" s="9" t="n">
        <f aca="false" t="array" ref="FN667:FN667">IF(FN666=0,0,IF(FN666/'🎚️ Escenario'!$C$11&gt;=36,$AL$23,INDEX($C$23:$AL$23,MAX(1,ROUNDUP(FN666/'🎚️ Escenario'!$C$11,0)))))</f>
        <v>1</v>
      </c>
      <c r="FO667" s="9" t="n">
        <f aca="false" t="array" ref="FO667:FO667">IF(FO666=0,0,IF(FO666/'🎚️ Escenario'!$C$11&gt;=36,$AL$23,INDEX($C$23:$AL$23,MAX(1,ROUNDUP(FO666/'🎚️ Escenario'!$C$11,0)))))</f>
        <v>1</v>
      </c>
      <c r="FP667" s="9" t="n">
        <f aca="false" t="array" ref="FP667:FP667">IF(FP666=0,0,IF(FP666/'🎚️ Escenario'!$C$11&gt;=36,$AL$23,INDEX($C$23:$AL$23,MAX(1,ROUNDUP(FP666/'🎚️ Escenario'!$C$11,0)))))</f>
        <v>1</v>
      </c>
    </row>
    <row r="668" customFormat="false" ht="15" hidden="false" customHeight="false" outlineLevel="2" collapsed="false">
      <c r="B668" s="9" t="s">
        <v>875</v>
      </c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237" t="n">
        <f aca="false">IF(AC666=0,0,IF(AC666&lt;=12*'🎚️ Escenario'!$C$11,1,1+$C$6))</f>
        <v>0</v>
      </c>
      <c r="AD668" s="237" t="n">
        <f aca="false">IF(AD666=0,0,IF(AD666&lt;=12*'🎚️ Escenario'!$C$11,1,1+$C$6))</f>
        <v>0</v>
      </c>
      <c r="AE668" s="237" t="n">
        <f aca="false">IF(AE666=0,0,IF(AE666&lt;=12*'🎚️ Escenario'!$C$11,1,1+$C$6))</f>
        <v>0</v>
      </c>
      <c r="AF668" s="237" t="n">
        <f aca="false">IF(AF666=0,0,IF(AF666&lt;=12*'🎚️ Escenario'!$C$11,1,1+$C$6))</f>
        <v>0</v>
      </c>
      <c r="AG668" s="237" t="n">
        <f aca="false">IF(AG666=0,0,IF(AG666&lt;=12*'🎚️ Escenario'!$C$11,1,1+$C$6))</f>
        <v>0</v>
      </c>
      <c r="AH668" s="237" t="n">
        <f aca="false">IF(AH666=0,0,IF(AH666&lt;=12*'🎚️ Escenario'!$C$11,1,1+$C$6))</f>
        <v>0</v>
      </c>
      <c r="AI668" s="237" t="n">
        <f aca="false">IF(AI666=0,0,IF(AI666&lt;=12*'🎚️ Escenario'!$C$11,1,1+$C$6))</f>
        <v>0</v>
      </c>
      <c r="AJ668" s="237" t="n">
        <f aca="false">IF(AJ666=0,0,IF(AJ666&lt;=12*'🎚️ Escenario'!$C$11,1,1+$C$6))</f>
        <v>0</v>
      </c>
      <c r="AK668" s="237" t="n">
        <f aca="false">IF(AK666=0,0,IF(AK666&lt;=12*'🎚️ Escenario'!$C$11,1,1+$C$6))</f>
        <v>0</v>
      </c>
      <c r="AL668" s="237" t="n">
        <f aca="false">IF(AL666=0,0,IF(AL666&lt;=12*'🎚️ Escenario'!$C$11,1,1+$C$6))</f>
        <v>0</v>
      </c>
      <c r="AM668" s="237" t="n">
        <f aca="false">IF(AM666=0,0,IF(AM666&lt;=12*'🎚️ Escenario'!$C$11,1,1+$C$6))</f>
        <v>0</v>
      </c>
      <c r="AN668" s="237" t="n">
        <f aca="false">IF(AN666=0,0,IF(AN666&lt;=12*'🎚️ Escenario'!$C$11,1,1+$C$6))</f>
        <v>0</v>
      </c>
      <c r="AO668" s="237" t="n">
        <f aca="false">IF(AO666=0,0,IF(AO666&lt;=12*'🎚️ Escenario'!$C$11,1,1+$C$6))</f>
        <v>0</v>
      </c>
      <c r="AP668" s="237" t="n">
        <f aca="false">IF(AP666=0,0,IF(AP666&lt;=12*'🎚️ Escenario'!$C$11,1,1+$C$6))</f>
        <v>0</v>
      </c>
      <c r="AQ668" s="237" t="n">
        <f aca="false">IF(AQ666=0,0,IF(AQ666&lt;=12*'🎚️ Escenario'!$C$11,1,1+$C$6))</f>
        <v>0</v>
      </c>
      <c r="AR668" s="237" t="n">
        <f aca="false">IF(AR666=0,0,IF(AR666&lt;=12*'🎚️ Escenario'!$C$11,1,1+$C$6))</f>
        <v>0</v>
      </c>
      <c r="AS668" s="237" t="n">
        <f aca="false">IF(AS666=0,0,IF(AS666&lt;=12*'🎚️ Escenario'!$C$11,1,1+$C$6))</f>
        <v>0</v>
      </c>
      <c r="AT668" s="237" t="n">
        <f aca="false">IF(AT666=0,0,IF(AT666&lt;=12*'🎚️ Escenario'!$C$11,1,1+$C$6))</f>
        <v>0</v>
      </c>
      <c r="AU668" s="237" t="n">
        <f aca="false">IF(AU666=0,0,IF(AU666&lt;=12*'🎚️ Escenario'!$C$11,1,1+$C$6))</f>
        <v>0</v>
      </c>
      <c r="AV668" s="237" t="n">
        <f aca="false">IF(AV666=0,0,IF(AV666&lt;=12*'🎚️ Escenario'!$C$11,1,1+$C$6))</f>
        <v>0</v>
      </c>
      <c r="AW668" s="237" t="n">
        <f aca="false">IF(AW666=0,0,IF(AW666&lt;=12*'🎚️ Escenario'!$C$11,1,1+$C$6))</f>
        <v>0</v>
      </c>
      <c r="AX668" s="237" t="n">
        <f aca="false">IF(AX666=0,0,IF(AX666&lt;=12*'🎚️ Escenario'!$C$11,1,1+$C$6))</f>
        <v>0</v>
      </c>
      <c r="AY668" s="237" t="n">
        <f aca="false">IF(AY666=0,0,IF(AY666&lt;=12*'🎚️ Escenario'!$C$11,1,1+$C$6))</f>
        <v>0</v>
      </c>
      <c r="AZ668" s="237" t="n">
        <f aca="false">IF(AZ666=0,0,IF(AZ666&lt;=12*'🎚️ Escenario'!$C$11,1,1+$C$6))</f>
        <v>0</v>
      </c>
      <c r="BA668" s="237" t="n">
        <f aca="false">IF(BA666=0,0,IF(BA666&lt;=12*'🎚️ Escenario'!$C$11,1,1+$C$6))</f>
        <v>0</v>
      </c>
      <c r="BB668" s="237" t="n">
        <f aca="false">IF(BB666=0,0,IF(BB666&lt;=12*'🎚️ Escenario'!$C$11,1,1+$C$6))</f>
        <v>0</v>
      </c>
      <c r="BC668" s="237" t="n">
        <f aca="false">IF(BC666=0,0,IF(BC666&lt;=12*'🎚️ Escenario'!$C$11,1,1+$C$6))</f>
        <v>0</v>
      </c>
      <c r="BD668" s="237" t="n">
        <f aca="false">IF(BD666=0,0,IF(BD666&lt;=12*'🎚️ Escenario'!$C$11,1,1+$C$6))</f>
        <v>0</v>
      </c>
      <c r="BE668" s="237" t="n">
        <f aca="false">IF(BE666=0,0,IF(BE666&lt;=12*'🎚️ Escenario'!$C$11,1,1+$C$6))</f>
        <v>0</v>
      </c>
      <c r="BF668" s="237" t="n">
        <f aca="false">IF(BF666=0,0,IF(BF666&lt;=12*'🎚️ Escenario'!$C$11,1,1+$C$6))</f>
        <v>0</v>
      </c>
      <c r="BG668" s="237" t="n">
        <f aca="false">IF(BG666=0,0,IF(BG666&lt;=12*'🎚️ Escenario'!$C$11,1,1+$C$6))</f>
        <v>0</v>
      </c>
      <c r="BH668" s="237" t="n">
        <f aca="false">IF(BH666=0,0,IF(BH666&lt;=12*'🎚️ Escenario'!$C$11,1,1+$C$6))</f>
        <v>0</v>
      </c>
      <c r="BI668" s="237" t="n">
        <f aca="false">IF(BI666=0,0,IF(BI666&lt;=12*'🎚️ Escenario'!$C$11,1,1+$C$6))</f>
        <v>0</v>
      </c>
      <c r="BJ668" s="237" t="n">
        <f aca="false">IF(BJ666=0,0,IF(BJ666&lt;=12*'🎚️ Escenario'!$C$11,1,1+$C$6))</f>
        <v>0</v>
      </c>
      <c r="BK668" s="237" t="n">
        <f aca="false">IF(BK666=0,0,IF(BK666&lt;=12*'🎚️ Escenario'!$C$11,1,1+$C$6))</f>
        <v>0</v>
      </c>
      <c r="BL668" s="237" t="n">
        <f aca="false">IF(BL666=0,0,IF(BL666&lt;=12*'🎚️ Escenario'!$C$11,1,1+$C$6))</f>
        <v>0</v>
      </c>
      <c r="BM668" s="237" t="n">
        <f aca="false">IF(BM666=0,0,IF(BM666&lt;=12*'🎚️ Escenario'!$C$11,1,1+$C$6))</f>
        <v>0</v>
      </c>
      <c r="BN668" s="237" t="n">
        <f aca="false">IF(BN666=0,0,IF(BN666&lt;=12*'🎚️ Escenario'!$C$11,1,1+$C$6))</f>
        <v>0</v>
      </c>
      <c r="BO668" s="237" t="n">
        <f aca="false">IF(BO666=0,0,IF(BO666&lt;=12*'🎚️ Escenario'!$C$11,1,1+$C$6))</f>
        <v>0</v>
      </c>
      <c r="BP668" s="237" t="n">
        <f aca="false">IF(BP666=0,0,IF(BP666&lt;=12*'🎚️ Escenario'!$C$11,1,1+$C$6))</f>
        <v>0</v>
      </c>
      <c r="BQ668" s="237" t="n">
        <f aca="false">IF(BQ666=0,0,IF(BQ666&lt;=12*'🎚️ Escenario'!$C$11,1,1+$C$6))</f>
        <v>0</v>
      </c>
      <c r="BR668" s="237" t="n">
        <f aca="false">IF(BR666=0,0,IF(BR666&lt;=12*'🎚️ Escenario'!$C$11,1,1+$C$6))</f>
        <v>0</v>
      </c>
      <c r="BS668" s="237" t="n">
        <f aca="false">IF(BS666=0,0,IF(BS666&lt;=12*'🎚️ Escenario'!$C$11,1,1+$C$6))</f>
        <v>0</v>
      </c>
      <c r="BT668" s="237" t="n">
        <f aca="false">IF(BT666=0,0,IF(BT666&lt;=12*'🎚️ Escenario'!$C$11,1,1+$C$6))</f>
        <v>0</v>
      </c>
      <c r="BU668" s="237" t="n">
        <f aca="false">IF(BU666=0,0,IF(BU666&lt;=12*'🎚️ Escenario'!$C$11,1,1+$C$6))</f>
        <v>0</v>
      </c>
      <c r="BV668" s="237" t="n">
        <f aca="false">IF(BV666=0,0,IF(BV666&lt;=12*'🎚️ Escenario'!$C$11,1,1+$C$6))</f>
        <v>0</v>
      </c>
      <c r="BW668" s="237" t="n">
        <f aca="false">IF(BW666=0,0,IF(BW666&lt;=12*'🎚️ Escenario'!$C$11,1,1+$C$6))</f>
        <v>0</v>
      </c>
      <c r="BX668" s="237" t="n">
        <f aca="false">IF(BX666=0,0,IF(BX666&lt;=12*'🎚️ Escenario'!$C$11,1,1+$C$6))</f>
        <v>0</v>
      </c>
      <c r="BY668" s="237" t="n">
        <f aca="false">IF(BY666=0,0,IF(BY666&lt;=12*'🎚️ Escenario'!$C$11,1,1+$C$6))</f>
        <v>0</v>
      </c>
      <c r="BZ668" s="237" t="n">
        <f aca="false">IF(BZ666=0,0,IF(BZ666&lt;=12*'🎚️ Escenario'!$C$11,1,1+$C$6))</f>
        <v>0</v>
      </c>
      <c r="CA668" s="237" t="n">
        <f aca="false">IF(CA666=0,0,IF(CA666&lt;=12*'🎚️ Escenario'!$C$11,1,1+$C$6))</f>
        <v>0</v>
      </c>
      <c r="CB668" s="237" t="n">
        <f aca="false">IF(CB666=0,0,IF(CB666&lt;=12*'🎚️ Escenario'!$C$11,1,1+$C$6))</f>
        <v>0</v>
      </c>
      <c r="CC668" s="237" t="n">
        <f aca="false">IF(CC666=0,0,IF(CC666&lt;=12*'🎚️ Escenario'!$C$11,1,1+$C$6))</f>
        <v>0</v>
      </c>
      <c r="CD668" s="237" t="n">
        <f aca="false">IF(CD666=0,0,IF(CD666&lt;=12*'🎚️ Escenario'!$C$11,1,1+$C$6))</f>
        <v>0</v>
      </c>
      <c r="CE668" s="237" t="n">
        <f aca="false">IF(CE666=0,0,IF(CE666&lt;=12*'🎚️ Escenario'!$C$11,1,1+$C$6))</f>
        <v>0</v>
      </c>
      <c r="CF668" s="237" t="n">
        <f aca="false">IF(CF666=0,0,IF(CF666&lt;=12*'🎚️ Escenario'!$C$11,1,1+$C$6))</f>
        <v>0</v>
      </c>
      <c r="CG668" s="237" t="n">
        <f aca="false">IF(CG666=0,0,IF(CG666&lt;=12*'🎚️ Escenario'!$C$11,1,1+$C$6))</f>
        <v>0</v>
      </c>
      <c r="CH668" s="237" t="n">
        <f aca="false">IF(CH666=0,0,IF(CH666&lt;=12*'🎚️ Escenario'!$C$11,1,1+$C$6))</f>
        <v>0</v>
      </c>
      <c r="CI668" s="237" t="n">
        <f aca="false">IF(CI666=0,0,IF(CI666&lt;=12*'🎚️ Escenario'!$C$11,1,1+$C$6))</f>
        <v>0</v>
      </c>
      <c r="CJ668" s="237" t="n">
        <f aca="false">IF(CJ666=0,0,IF(CJ666&lt;=12*'🎚️ Escenario'!$C$11,1,1+$C$6))</f>
        <v>0</v>
      </c>
      <c r="CK668" s="237" t="n">
        <f aca="false">IF(CK666=0,0,IF(CK666&lt;=12*'🎚️ Escenario'!$C$11,1,1+$C$6))</f>
        <v>0</v>
      </c>
      <c r="CL668" s="237" t="n">
        <f aca="false">IF(CL666=0,0,IF(CL666&lt;=12*'🎚️ Escenario'!$C$11,1,1+$C$6))</f>
        <v>0</v>
      </c>
      <c r="CM668" s="237" t="n">
        <f aca="false">IF(CM666=0,0,IF(CM666&lt;=12*'🎚️ Escenario'!$C$11,1,1+$C$6))</f>
        <v>0</v>
      </c>
      <c r="CN668" s="237" t="n">
        <f aca="false">IF(CN666=0,0,IF(CN666&lt;=12*'🎚️ Escenario'!$C$11,1,1+$C$6))</f>
        <v>0</v>
      </c>
      <c r="CO668" s="237" t="n">
        <f aca="false">IF(CO666=0,0,IF(CO666&lt;=12*'🎚️ Escenario'!$C$11,1,1+$C$6))</f>
        <v>0</v>
      </c>
      <c r="CP668" s="237" t="n">
        <f aca="false">IF(CP666=0,0,IF(CP666&lt;=12*'🎚️ Escenario'!$C$11,1,1+$C$6))</f>
        <v>0</v>
      </c>
      <c r="CQ668" s="237" t="n">
        <f aca="false">IF(CQ666=0,0,IF(CQ666&lt;=12*'🎚️ Escenario'!$C$11,1,1+$C$6))</f>
        <v>0</v>
      </c>
      <c r="CR668" s="237" t="n">
        <f aca="false">IF(CR666=0,0,IF(CR666&lt;=12*'🎚️ Escenario'!$C$11,1,1+$C$6))</f>
        <v>0</v>
      </c>
      <c r="CS668" s="237" t="n">
        <f aca="false">IF(CS666=0,0,IF(CS666&lt;=12*'🎚️ Escenario'!$C$11,1,1+$C$6))</f>
        <v>0</v>
      </c>
      <c r="CT668" s="237" t="n">
        <f aca="false">IF(CT666=0,0,IF(CT666&lt;=12*'🎚️ Escenario'!$C$11,1,1+$C$6))</f>
        <v>0</v>
      </c>
      <c r="CU668" s="237" t="n">
        <f aca="false">IF(CU666=0,0,IF(CU666&lt;=12*'🎚️ Escenario'!$C$11,1,1+$C$6))</f>
        <v>0</v>
      </c>
      <c r="CV668" s="237" t="n">
        <f aca="false">IF(CV666=0,0,IF(CV666&lt;=12*'🎚️ Escenario'!$C$11,1,1+$C$6))</f>
        <v>0</v>
      </c>
      <c r="CW668" s="237" t="n">
        <f aca="false">IF(CW666=0,0,IF(CW666&lt;=12*'🎚️ Escenario'!$C$11,1,1+$C$6))</f>
        <v>0</v>
      </c>
      <c r="CX668" s="237" t="n">
        <f aca="false">IF(CX666=0,0,IF(CX666&lt;=12*'🎚️ Escenario'!$C$11,1,1+$C$6))</f>
        <v>0</v>
      </c>
      <c r="CY668" s="237" t="n">
        <f aca="false">IF(CY666=0,0,IF(CY666&lt;=12*'🎚️ Escenario'!$C$11,1,1+$C$6))</f>
        <v>0</v>
      </c>
      <c r="CZ668" s="237" t="n">
        <f aca="false">IF(CZ666=0,0,IF(CZ666&lt;=12*'🎚️ Escenario'!$C$11,1,1+$C$6))</f>
        <v>0</v>
      </c>
      <c r="DA668" s="237" t="n">
        <f aca="false">IF(DA666=0,0,IF(DA666&lt;=12*'🎚️ Escenario'!$C$11,1,1+$C$6))</f>
        <v>0</v>
      </c>
      <c r="DB668" s="237" t="n">
        <f aca="false">IF(DB666=0,0,IF(DB666&lt;=12*'🎚️ Escenario'!$C$11,1,1+$C$6))</f>
        <v>0</v>
      </c>
      <c r="DC668" s="237" t="n">
        <f aca="false">IF(DC666=0,0,IF(DC666&lt;=12*'🎚️ Escenario'!$C$11,1,1+$C$6))</f>
        <v>0</v>
      </c>
      <c r="DD668" s="237" t="n">
        <f aca="false">IF(DD666=0,0,IF(DD666&lt;=12*'🎚️ Escenario'!$C$11,1,1+$C$6))</f>
        <v>0</v>
      </c>
      <c r="DE668" s="237" t="n">
        <f aca="false">IF(DE666=0,0,IF(DE666&lt;=12*'🎚️ Escenario'!$C$11,1,1+$C$6))</f>
        <v>0</v>
      </c>
      <c r="DF668" s="237" t="n">
        <f aca="false">IF(DF666=0,0,IF(DF666&lt;=12*'🎚️ Escenario'!$C$11,1,1+$C$6))</f>
        <v>0</v>
      </c>
      <c r="DG668" s="237" t="n">
        <f aca="false">IF(DG666=0,0,IF(DG666&lt;=12*'🎚️ Escenario'!$C$11,1,1+$C$6))</f>
        <v>0</v>
      </c>
      <c r="DH668" s="237" t="n">
        <f aca="false">IF(DH666=0,0,IF(DH666&lt;=12*'🎚️ Escenario'!$C$11,1,1+$C$6))</f>
        <v>0</v>
      </c>
      <c r="DI668" s="237" t="n">
        <f aca="false">IF(DI666=0,0,IF(DI666&lt;=12*'🎚️ Escenario'!$C$11,1,1+$C$6))</f>
        <v>0</v>
      </c>
      <c r="DJ668" s="237" t="n">
        <f aca="false">IF(DJ666=0,0,IF(DJ666&lt;=12*'🎚️ Escenario'!$C$11,1,1+$C$6))</f>
        <v>0</v>
      </c>
      <c r="DK668" s="237" t="n">
        <f aca="false">IF(DK666=0,0,IF(DK666&lt;=12*'🎚️ Escenario'!$C$11,1,1+$C$6))</f>
        <v>0</v>
      </c>
      <c r="DL668" s="237" t="n">
        <f aca="false">IF(DL666=0,0,IF(DL666&lt;=12*'🎚️ Escenario'!$C$11,1,1+$C$6))</f>
        <v>0</v>
      </c>
      <c r="DM668" s="237" t="n">
        <f aca="false">IF(DM666=0,0,IF(DM666&lt;=12*'🎚️ Escenario'!$C$11,1,1+$C$6))</f>
        <v>1</v>
      </c>
      <c r="DN668" s="237" t="n">
        <f aca="false">IF(DN666=0,0,IF(DN666&lt;=12*'🎚️ Escenario'!$C$11,1,1+$C$6))</f>
        <v>1</v>
      </c>
      <c r="DO668" s="237" t="n">
        <f aca="false">IF(DO666=0,0,IF(DO666&lt;=12*'🎚️ Escenario'!$C$11,1,1+$C$6))</f>
        <v>1</v>
      </c>
      <c r="DP668" s="237" t="n">
        <f aca="false">IF(DP666=0,0,IF(DP666&lt;=12*'🎚️ Escenario'!$C$11,1,1+$C$6))</f>
        <v>1</v>
      </c>
      <c r="DQ668" s="237" t="n">
        <f aca="false">IF(DQ666=0,0,IF(DQ666&lt;=12*'🎚️ Escenario'!$C$11,1,1+$C$6))</f>
        <v>1</v>
      </c>
      <c r="DR668" s="237" t="n">
        <f aca="false">IF(DR666=0,0,IF(DR666&lt;=12*'🎚️ Escenario'!$C$11,1,1+$C$6))</f>
        <v>1</v>
      </c>
      <c r="DS668" s="237" t="n">
        <f aca="false">IF(DS666=0,0,IF(DS666&lt;=12*'🎚️ Escenario'!$C$11,1,1+$C$6))</f>
        <v>1</v>
      </c>
      <c r="DT668" s="237" t="n">
        <f aca="false">IF(DT666=0,0,IF(DT666&lt;=12*'🎚️ Escenario'!$C$11,1,1+$C$6))</f>
        <v>1</v>
      </c>
      <c r="DU668" s="237" t="n">
        <f aca="false">IF(DU666=0,0,IF(DU666&lt;=12*'🎚️ Escenario'!$C$11,1,1+$C$6))</f>
        <v>1</v>
      </c>
      <c r="DV668" s="237" t="n">
        <f aca="false">IF(DV666=0,0,IF(DV666&lt;=12*'🎚️ Escenario'!$C$11,1,1+$C$6))</f>
        <v>1</v>
      </c>
      <c r="DW668" s="237" t="n">
        <f aca="false">IF(DW666=0,0,IF(DW666&lt;=12*'🎚️ Escenario'!$C$11,1,1+$C$6))</f>
        <v>1</v>
      </c>
      <c r="DX668" s="237" t="n">
        <f aca="false">IF(DX666=0,0,IF(DX666&lt;=12*'🎚️ Escenario'!$C$11,1,1+$C$6))</f>
        <v>1</v>
      </c>
      <c r="DY668" s="237" t="n">
        <f aca="false">IF(DY666=0,0,IF(DY666&lt;=12*'🎚️ Escenario'!$C$11,1,1+$C$6))</f>
        <v>1</v>
      </c>
      <c r="DZ668" s="237" t="n">
        <f aca="false">IF(DZ666=0,0,IF(DZ666&lt;=12*'🎚️ Escenario'!$C$11,1,1+$C$6))</f>
        <v>1</v>
      </c>
      <c r="EA668" s="237" t="n">
        <f aca="false">IF(EA666=0,0,IF(EA666&lt;=12*'🎚️ Escenario'!$C$11,1,1+$C$6))</f>
        <v>1</v>
      </c>
      <c r="EB668" s="237" t="n">
        <f aca="false">IF(EB666=0,0,IF(EB666&lt;=12*'🎚️ Escenario'!$C$11,1,1+$C$6))</f>
        <v>1.2</v>
      </c>
      <c r="EC668" s="237" t="n">
        <f aca="false">IF(EC666=0,0,IF(EC666&lt;=12*'🎚️ Escenario'!$C$11,1,1+$C$6))</f>
        <v>1.2</v>
      </c>
      <c r="ED668" s="237" t="n">
        <f aca="false">IF(ED666=0,0,IF(ED666&lt;=12*'🎚️ Escenario'!$C$11,1,1+$C$6))</f>
        <v>1.2</v>
      </c>
      <c r="EE668" s="237" t="n">
        <f aca="false">IF(EE666=0,0,IF(EE666&lt;=12*'🎚️ Escenario'!$C$11,1,1+$C$6))</f>
        <v>1.2</v>
      </c>
      <c r="EF668" s="237" t="n">
        <f aca="false">IF(EF666=0,0,IF(EF666&lt;=12*'🎚️ Escenario'!$C$11,1,1+$C$6))</f>
        <v>1.2</v>
      </c>
      <c r="EG668" s="237" t="n">
        <f aca="false">IF(EG666=0,0,IF(EG666&lt;=12*'🎚️ Escenario'!$C$11,1,1+$C$6))</f>
        <v>1.2</v>
      </c>
      <c r="EH668" s="237" t="n">
        <f aca="false">IF(EH666=0,0,IF(EH666&lt;=12*'🎚️ Escenario'!$C$11,1,1+$C$6))</f>
        <v>1.2</v>
      </c>
      <c r="EI668" s="237" t="n">
        <f aca="false">IF(EI666=0,0,IF(EI666&lt;=12*'🎚️ Escenario'!$C$11,1,1+$C$6))</f>
        <v>1.2</v>
      </c>
      <c r="EJ668" s="237" t="n">
        <f aca="false">IF(EJ666=0,0,IF(EJ666&lt;=12*'🎚️ Escenario'!$C$11,1,1+$C$6))</f>
        <v>1.2</v>
      </c>
      <c r="EK668" s="237" t="n">
        <f aca="false">IF(EK666=0,0,IF(EK666&lt;=12*'🎚️ Escenario'!$C$11,1,1+$C$6))</f>
        <v>1.2</v>
      </c>
      <c r="EL668" s="237" t="n">
        <f aca="false">IF(EL666=0,0,IF(EL666&lt;=12*'🎚️ Escenario'!$C$11,1,1+$C$6))</f>
        <v>1.2</v>
      </c>
      <c r="EM668" s="237" t="n">
        <f aca="false">IF(EM666=0,0,IF(EM666&lt;=12*'🎚️ Escenario'!$C$11,1,1+$C$6))</f>
        <v>1.2</v>
      </c>
      <c r="EN668" s="237" t="n">
        <f aca="false">IF(EN666=0,0,IF(EN666&lt;=12*'🎚️ Escenario'!$C$11,1,1+$C$6))</f>
        <v>1.2</v>
      </c>
      <c r="EO668" s="237" t="n">
        <f aca="false">IF(EO666=0,0,IF(EO666&lt;=12*'🎚️ Escenario'!$C$11,1,1+$C$6))</f>
        <v>1.2</v>
      </c>
      <c r="EP668" s="237" t="n">
        <f aca="false">IF(EP666=0,0,IF(EP666&lt;=12*'🎚️ Escenario'!$C$11,1,1+$C$6))</f>
        <v>1.2</v>
      </c>
      <c r="EQ668" s="237" t="n">
        <f aca="false">IF(EQ666=0,0,IF(EQ666&lt;=12*'🎚️ Escenario'!$C$11,1,1+$C$6))</f>
        <v>1.2</v>
      </c>
      <c r="ER668" s="237" t="n">
        <f aca="false">IF(ER666=0,0,IF(ER666&lt;=12*'🎚️ Escenario'!$C$11,1,1+$C$6))</f>
        <v>1.2</v>
      </c>
      <c r="ES668" s="238" t="n">
        <f aca="false">IF(ES666=0,0,IF(ES666&lt;=12*'🎚️ Escenario'!$C$11,1,1+$C$6))</f>
        <v>1.2</v>
      </c>
      <c r="ET668" s="238" t="n">
        <f aca="false">IF(ET666=0,0,IF(ET666&lt;=12*'🎚️ Escenario'!$C$11,1,1+$C$6))</f>
        <v>1.2</v>
      </c>
      <c r="EU668" s="238" t="n">
        <f aca="false">IF(EU666=0,0,IF(EU666&lt;=12*'🎚️ Escenario'!$C$11,1,1+$C$6))</f>
        <v>1.2</v>
      </c>
      <c r="EV668" s="238" t="n">
        <f aca="false">IF(EV666=0,0,IF(EV666&lt;=12*'🎚️ Escenario'!$C$11,1,1+$C$6))</f>
        <v>1.2</v>
      </c>
      <c r="EW668" s="238" t="n">
        <f aca="false">IF(EW666=0,0,IF(EW666&lt;=12*'🎚️ Escenario'!$C$11,1,1+$C$6))</f>
        <v>1.2</v>
      </c>
      <c r="EX668" s="238" t="n">
        <f aca="false">IF(EX666=0,0,IF(EX666&lt;=12*'🎚️ Escenario'!$C$11,1,1+$C$6))</f>
        <v>1.2</v>
      </c>
      <c r="EY668" s="238" t="n">
        <f aca="false">IF(EY666=0,0,IF(EY666&lt;=12*'🎚️ Escenario'!$C$11,1,1+$C$6))</f>
        <v>1.2</v>
      </c>
      <c r="EZ668" s="238" t="n">
        <f aca="false">IF(EZ666=0,0,IF(EZ666&lt;=12*'🎚️ Escenario'!$C$11,1,1+$C$6))</f>
        <v>1.2</v>
      </c>
      <c r="FA668" s="238" t="n">
        <f aca="false">IF(FA666=0,0,IF(FA666&lt;=12*'🎚️ Escenario'!$C$11,1,1+$C$6))</f>
        <v>1.2</v>
      </c>
      <c r="FB668" s="238" t="n">
        <f aca="false">IF(FB666=0,0,IF(FB666&lt;=12*'🎚️ Escenario'!$C$11,1,1+$C$6))</f>
        <v>1.2</v>
      </c>
      <c r="FC668" s="238" t="n">
        <f aca="false">IF(FC666=0,0,IF(FC666&lt;=12*'🎚️ Escenario'!$C$11,1,1+$C$6))</f>
        <v>1.2</v>
      </c>
      <c r="FD668" s="238" t="n">
        <f aca="false">IF(FD666=0,0,IF(FD666&lt;=12*'🎚️ Escenario'!$C$11,1,1+$C$6))</f>
        <v>1.2</v>
      </c>
      <c r="FE668" s="238" t="n">
        <f aca="false">IF(FE666=0,0,IF(FE666&lt;=12*'🎚️ Escenario'!$C$11,1,1+$C$6))</f>
        <v>1.2</v>
      </c>
      <c r="FF668" s="238" t="n">
        <f aca="false">IF(FF666=0,0,IF(FF666&lt;=12*'🎚️ Escenario'!$C$11,1,1+$C$6))</f>
        <v>1.2</v>
      </c>
      <c r="FG668" s="238" t="n">
        <f aca="false">IF(FG666=0,0,IF(FG666&lt;=12*'🎚️ Escenario'!$C$11,1,1+$C$6))</f>
        <v>1.2</v>
      </c>
      <c r="FH668" s="238" t="n">
        <f aca="false">IF(FH666=0,0,IF(FH666&lt;=12*'🎚️ Escenario'!$C$11,1,1+$C$6))</f>
        <v>1.2</v>
      </c>
      <c r="FI668" s="238" t="n">
        <f aca="false">IF(FI666=0,0,IF(FI666&lt;=12*'🎚️ Escenario'!$C$11,1,1+$C$6))</f>
        <v>1.2</v>
      </c>
      <c r="FJ668" s="238" t="n">
        <f aca="false">IF(FJ666=0,0,IF(FJ666&lt;=12*'🎚️ Escenario'!$C$11,1,1+$C$6))</f>
        <v>1.2</v>
      </c>
      <c r="FK668" s="238" t="n">
        <f aca="false">IF(FK666=0,0,IF(FK666&lt;=12*'🎚️ Escenario'!$C$11,1,1+$C$6))</f>
        <v>1.2</v>
      </c>
      <c r="FL668" s="238" t="n">
        <f aca="false">IF(FL666=0,0,IF(FL666&lt;=12*'🎚️ Escenario'!$C$11,1,1+$C$6))</f>
        <v>1.2</v>
      </c>
      <c r="FM668" s="238" t="n">
        <f aca="false">IF(FM666=0,0,IF(FM666&lt;=12*'🎚️ Escenario'!$C$11,1,1+$C$6))</f>
        <v>1.2</v>
      </c>
      <c r="FN668" s="238" t="n">
        <f aca="false">IF(FN666=0,0,IF(FN666&lt;=12*'🎚️ Escenario'!$C$11,1,1+$C$6))</f>
        <v>1.2</v>
      </c>
      <c r="FO668" s="238" t="n">
        <f aca="false">IF(FO666=0,0,IF(FO666&lt;=12*'🎚️ Escenario'!$C$11,1,1+$C$6))</f>
        <v>1.2</v>
      </c>
      <c r="FP668" s="238" t="n">
        <f aca="false">IF(FP666=0,0,IF(FP666&lt;=12*'🎚️ Escenario'!$C$11,1,1+$C$6))</f>
        <v>1.2</v>
      </c>
    </row>
    <row r="669" customFormat="false" ht="15" hidden="false" customHeight="false" outlineLevel="2" collapsed="false">
      <c r="B669" s="9" t="s">
        <v>876</v>
      </c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36" t="n">
        <f aca="false">AC667*$AC$665*AC668*AC$38*'⑫ Roll-out Plan'!$O$71</f>
        <v>0</v>
      </c>
      <c r="AD669" s="36" t="n">
        <f aca="false">AD667*$AC$665*AD668*AD$38*'⑫ Roll-out Plan'!$O$71</f>
        <v>0</v>
      </c>
      <c r="AE669" s="36" t="n">
        <f aca="false">AE667*$AC$665*AE668*AE$38*'⑫ Roll-out Plan'!$O$71</f>
        <v>0</v>
      </c>
      <c r="AF669" s="36" t="n">
        <f aca="false">AF667*$AC$665*AF668*AF$38*'⑫ Roll-out Plan'!$O$71</f>
        <v>0</v>
      </c>
      <c r="AG669" s="36" t="n">
        <f aca="false">AG667*$AC$665*AG668*AG$38*'⑫ Roll-out Plan'!$O$71</f>
        <v>0</v>
      </c>
      <c r="AH669" s="36" t="n">
        <f aca="false">AH667*$AC$665*AH668*AH$38*'⑫ Roll-out Plan'!$O$71</f>
        <v>0</v>
      </c>
      <c r="AI669" s="36" t="n">
        <f aca="false">AI667*$AC$665*AI668*AI$38*'⑫ Roll-out Plan'!$O$71</f>
        <v>0</v>
      </c>
      <c r="AJ669" s="36" t="n">
        <f aca="false">AJ667*$AC$665*AJ668*AJ$38*'⑫ Roll-out Plan'!$O$71</f>
        <v>0</v>
      </c>
      <c r="AK669" s="36" t="n">
        <f aca="false">AK667*$AC$665*AK668*AK$38*'⑫ Roll-out Plan'!$O$71</f>
        <v>0</v>
      </c>
      <c r="AL669" s="36" t="n">
        <f aca="false">AL667*$AC$665*AL668*AL$38*'⑫ Roll-out Plan'!$O$71</f>
        <v>0</v>
      </c>
      <c r="AM669" s="36" t="n">
        <f aca="false">AM667*$AC$665*AM668*AM$38*'⑫ Roll-out Plan'!$O$71</f>
        <v>0</v>
      </c>
      <c r="AN669" s="36" t="n">
        <f aca="false">AN667*$AC$665*AN668*AN$38*'⑫ Roll-out Plan'!$O$71</f>
        <v>0</v>
      </c>
      <c r="AO669" s="36" t="n">
        <f aca="false">AO667*$AC$665*AO668*AO$38*'⑫ Roll-out Plan'!$O$71</f>
        <v>0</v>
      </c>
      <c r="AP669" s="36" t="n">
        <f aca="false">AP667*$AC$665*AP668*AP$38*'⑫ Roll-out Plan'!$O$71</f>
        <v>0</v>
      </c>
      <c r="AQ669" s="36" t="n">
        <f aca="false">AQ667*$AC$665*AQ668*AQ$38*'⑫ Roll-out Plan'!$O$71</f>
        <v>0</v>
      </c>
      <c r="AR669" s="36" t="n">
        <f aca="false">AR667*$AC$665*AR668*AR$38*'⑫ Roll-out Plan'!$O$71</f>
        <v>0</v>
      </c>
      <c r="AS669" s="36" t="n">
        <f aca="false">AS667*$AC$665*AS668*AS$38*'⑫ Roll-out Plan'!$O$71</f>
        <v>0</v>
      </c>
      <c r="AT669" s="36" t="n">
        <f aca="false">AT667*$AC$665*AT668*AT$38*'⑫ Roll-out Plan'!$O$71</f>
        <v>0</v>
      </c>
      <c r="AU669" s="36" t="n">
        <f aca="false">AU667*$AC$665*AU668*AU$38*'⑫ Roll-out Plan'!$O$71</f>
        <v>0</v>
      </c>
      <c r="AV669" s="36" t="n">
        <f aca="false">AV667*$AC$665*AV668*AV$38*'⑫ Roll-out Plan'!$O$71</f>
        <v>0</v>
      </c>
      <c r="AW669" s="36" t="n">
        <f aca="false">AW667*$AC$665*AW668*AW$38*'⑫ Roll-out Plan'!$O$71</f>
        <v>0</v>
      </c>
      <c r="AX669" s="36" t="n">
        <f aca="false">AX667*$AC$665*AX668*AX$38*'⑫ Roll-out Plan'!$O$71</f>
        <v>0</v>
      </c>
      <c r="AY669" s="36" t="n">
        <f aca="false">AY667*$AC$665*AY668*AY$38*'⑫ Roll-out Plan'!$O$71</f>
        <v>0</v>
      </c>
      <c r="AZ669" s="36" t="n">
        <f aca="false">AZ667*$AC$665*AZ668*AZ$38*'⑫ Roll-out Plan'!$O$71</f>
        <v>0</v>
      </c>
      <c r="BA669" s="36" t="n">
        <f aca="false">BA667*$AC$665*BA668*BA$38*'⑫ Roll-out Plan'!$O$71</f>
        <v>0</v>
      </c>
      <c r="BB669" s="36" t="n">
        <f aca="false">BB667*$AC$665*BB668*BB$38*'⑫ Roll-out Plan'!$O$71</f>
        <v>0</v>
      </c>
      <c r="BC669" s="36" t="n">
        <f aca="false">BC667*$AC$665*BC668*BC$38*'⑫ Roll-out Plan'!$O$71</f>
        <v>0</v>
      </c>
      <c r="BD669" s="36" t="n">
        <f aca="false">BD667*$AC$665*BD668*BD$38*'⑫ Roll-out Plan'!$O$71</f>
        <v>0</v>
      </c>
      <c r="BE669" s="36" t="n">
        <f aca="false">BE667*$AC$665*BE668*BE$38*'⑫ Roll-out Plan'!$O$71</f>
        <v>0</v>
      </c>
      <c r="BF669" s="36" t="n">
        <f aca="false">BF667*$AC$665*BF668*BF$38*'⑫ Roll-out Plan'!$O$71</f>
        <v>0</v>
      </c>
      <c r="BG669" s="36" t="n">
        <f aca="false">BG667*$AC$665*BG668*BG$38*'⑫ Roll-out Plan'!$O$71</f>
        <v>0</v>
      </c>
      <c r="BH669" s="36" t="n">
        <f aca="false">BH667*$AC$665*BH668*BH$38*'⑫ Roll-out Plan'!$O$71</f>
        <v>0</v>
      </c>
      <c r="BI669" s="36" t="n">
        <f aca="false">BI667*$AC$665*BI668*BI$38*'⑫ Roll-out Plan'!$O$71</f>
        <v>0</v>
      </c>
      <c r="BJ669" s="36" t="n">
        <f aca="false">BJ667*$AC$665*BJ668*BJ$38*'⑫ Roll-out Plan'!$O$71</f>
        <v>0</v>
      </c>
      <c r="BK669" s="36" t="n">
        <f aca="false">BK667*$AC$665*BK668*BK$38*'⑫ Roll-out Plan'!$O$71</f>
        <v>0</v>
      </c>
      <c r="BL669" s="36" t="n">
        <f aca="false">BL667*$AC$665*BL668*BL$38*'⑫ Roll-out Plan'!$O$71</f>
        <v>0</v>
      </c>
      <c r="BM669" s="36" t="n">
        <f aca="false">BM667*$AC$665*BM668*BM$38*'⑫ Roll-out Plan'!$O$71</f>
        <v>0</v>
      </c>
      <c r="BN669" s="36" t="n">
        <f aca="false">BN667*$AC$665*BN668*BN$38*'⑫ Roll-out Plan'!$O$71</f>
        <v>0</v>
      </c>
      <c r="BO669" s="36" t="n">
        <f aca="false">BO667*$AC$665*BO668*BO$38*'⑫ Roll-out Plan'!$O$71</f>
        <v>0</v>
      </c>
      <c r="BP669" s="36" t="n">
        <f aca="false">BP667*$AC$665*BP668*BP$38*'⑫ Roll-out Plan'!$O$71</f>
        <v>0</v>
      </c>
      <c r="BQ669" s="36" t="n">
        <f aca="false">BQ667*$AC$665*BQ668*BQ$38*'⑫ Roll-out Plan'!$O$71</f>
        <v>0</v>
      </c>
      <c r="BR669" s="36" t="n">
        <f aca="false">BR667*$AC$665*BR668*BR$38*'⑫ Roll-out Plan'!$O$71</f>
        <v>0</v>
      </c>
      <c r="BS669" s="36" t="n">
        <f aca="false">BS667*$AC$665*BS668*BS$38*'⑫ Roll-out Plan'!$O$71</f>
        <v>0</v>
      </c>
      <c r="BT669" s="36" t="n">
        <f aca="false">BT667*$AC$665*BT668*BT$38*'⑫ Roll-out Plan'!$O$71</f>
        <v>0</v>
      </c>
      <c r="BU669" s="36" t="n">
        <f aca="false">BU667*$AC$665*BU668*BU$38*'⑫ Roll-out Plan'!$O$71</f>
        <v>0</v>
      </c>
      <c r="BV669" s="36" t="n">
        <f aca="false">BV667*$AC$665*BV668*BV$38*'⑫ Roll-out Plan'!$O$71</f>
        <v>0</v>
      </c>
      <c r="BW669" s="36" t="n">
        <f aca="false">BW667*$AC$665*BW668*BW$38*'⑫ Roll-out Plan'!$O$71</f>
        <v>0</v>
      </c>
      <c r="BX669" s="36" t="n">
        <f aca="false">BX667*$AC$665*BX668*BX$38*'⑫ Roll-out Plan'!$O$71</f>
        <v>0</v>
      </c>
      <c r="BY669" s="36" t="n">
        <f aca="false">BY667*$AC$665*BY668*BY$38*'⑫ Roll-out Plan'!$O$71</f>
        <v>0</v>
      </c>
      <c r="BZ669" s="36" t="n">
        <f aca="false">BZ667*$AC$665*BZ668*BZ$38*'⑫ Roll-out Plan'!$O$71</f>
        <v>0</v>
      </c>
      <c r="CA669" s="36" t="n">
        <f aca="false">CA667*$AC$665*CA668*CA$38*'⑫ Roll-out Plan'!$O$71</f>
        <v>0</v>
      </c>
      <c r="CB669" s="36" t="n">
        <f aca="false">CB667*$AC$665*CB668*CB$38*'⑫ Roll-out Plan'!$O$71</f>
        <v>0</v>
      </c>
      <c r="CC669" s="36" t="n">
        <f aca="false">CC667*$AC$665*CC668*CC$38*'⑫ Roll-out Plan'!$O$71</f>
        <v>0</v>
      </c>
      <c r="CD669" s="36" t="n">
        <f aca="false">CD667*$AC$665*CD668*CD$38*'⑫ Roll-out Plan'!$O$71</f>
        <v>0</v>
      </c>
      <c r="CE669" s="36" t="n">
        <f aca="false">CE667*$AC$665*CE668*CE$38*'⑫ Roll-out Plan'!$O$71</f>
        <v>0</v>
      </c>
      <c r="CF669" s="36" t="n">
        <f aca="false">CF667*$AC$665*CF668*CF$38*'⑫ Roll-out Plan'!$O$71</f>
        <v>0</v>
      </c>
      <c r="CG669" s="36" t="n">
        <f aca="false">CG667*$AC$665*CG668*CG$38*'⑫ Roll-out Plan'!$O$71</f>
        <v>0</v>
      </c>
      <c r="CH669" s="36" t="n">
        <f aca="false">CH667*$AC$665*CH668*CH$38*'⑫ Roll-out Plan'!$O$71</f>
        <v>0</v>
      </c>
      <c r="CI669" s="36" t="n">
        <f aca="false">CI667*$AC$665*CI668*CI$38*'⑫ Roll-out Plan'!$O$71</f>
        <v>0</v>
      </c>
      <c r="CJ669" s="36" t="n">
        <f aca="false">CJ667*$AC$665*CJ668*CJ$38*'⑫ Roll-out Plan'!$O$71</f>
        <v>0</v>
      </c>
      <c r="CK669" s="36" t="n">
        <f aca="false">CK667*$AC$665*CK668*CK$38*'⑫ Roll-out Plan'!$O$71</f>
        <v>0</v>
      </c>
      <c r="CL669" s="36" t="n">
        <f aca="false">CL667*$AC$665*CL668*CL$38*'⑫ Roll-out Plan'!$O$71</f>
        <v>0</v>
      </c>
      <c r="CM669" s="36" t="n">
        <f aca="false">CM667*$AC$665*CM668*CM$38*'⑫ Roll-out Plan'!$O$71</f>
        <v>0</v>
      </c>
      <c r="CN669" s="36" t="n">
        <f aca="false">CN667*$AC$665*CN668*CN$38*'⑫ Roll-out Plan'!$O$71</f>
        <v>0</v>
      </c>
      <c r="CO669" s="36" t="n">
        <f aca="false">CO667*$AC$665*CO668*CO$38*'⑫ Roll-out Plan'!$O$71</f>
        <v>0</v>
      </c>
      <c r="CP669" s="36" t="n">
        <f aca="false">CP667*$AC$665*CP668*CP$38*'⑫ Roll-out Plan'!$O$71</f>
        <v>0</v>
      </c>
      <c r="CQ669" s="36" t="n">
        <f aca="false">CQ667*$AC$665*CQ668*CQ$38*'⑫ Roll-out Plan'!$O$71</f>
        <v>0</v>
      </c>
      <c r="CR669" s="36" t="n">
        <f aca="false">CR667*$AC$665*CR668*CR$38*'⑫ Roll-out Plan'!$O$71</f>
        <v>0</v>
      </c>
      <c r="CS669" s="36" t="n">
        <f aca="false">CS667*$AC$665*CS668*CS$38*'⑫ Roll-out Plan'!$O$71</f>
        <v>0</v>
      </c>
      <c r="CT669" s="36" t="n">
        <f aca="false">CT667*$AC$665*CT668*CT$38*'⑫ Roll-out Plan'!$O$71</f>
        <v>0</v>
      </c>
      <c r="CU669" s="36" t="n">
        <f aca="false">CU667*$AC$665*CU668*CU$38*'⑫ Roll-out Plan'!$O$71</f>
        <v>0</v>
      </c>
      <c r="CV669" s="36" t="n">
        <f aca="false">CV667*$AC$665*CV668*CV$38*'⑫ Roll-out Plan'!$O$71</f>
        <v>0</v>
      </c>
      <c r="CW669" s="36" t="n">
        <f aca="false">CW667*$AC$665*CW668*CW$38*'⑫ Roll-out Plan'!$O$71</f>
        <v>0</v>
      </c>
      <c r="CX669" s="36" t="n">
        <f aca="false">CX667*$AC$665*CX668*CX$38*'⑫ Roll-out Plan'!$O$71</f>
        <v>0</v>
      </c>
      <c r="CY669" s="36" t="n">
        <f aca="false">CY667*$AC$665*CY668*CY$38*'⑫ Roll-out Plan'!$O$71</f>
        <v>0</v>
      </c>
      <c r="CZ669" s="36" t="n">
        <f aca="false">CZ667*$AC$665*CZ668*CZ$38*'⑫ Roll-out Plan'!$O$71</f>
        <v>0</v>
      </c>
      <c r="DA669" s="36" t="n">
        <f aca="false">DA667*$AC$665*DA668*DA$38*'⑫ Roll-out Plan'!$O$71</f>
        <v>0</v>
      </c>
      <c r="DB669" s="36" t="n">
        <f aca="false">DB667*$AC$665*DB668*DB$38*'⑫ Roll-out Plan'!$O$71</f>
        <v>0</v>
      </c>
      <c r="DC669" s="36" t="n">
        <f aca="false">DC667*$AC$665*DC668*DC$38*'⑫ Roll-out Plan'!$O$71</f>
        <v>0</v>
      </c>
      <c r="DD669" s="36" t="n">
        <f aca="false">DD667*$AC$665*DD668*DD$38*'⑫ Roll-out Plan'!$O$71</f>
        <v>0</v>
      </c>
      <c r="DE669" s="36" t="n">
        <f aca="false">DE667*$AC$665*DE668*DE$38*'⑫ Roll-out Plan'!$O$71</f>
        <v>0</v>
      </c>
      <c r="DF669" s="36" t="n">
        <f aca="false">DF667*$AC$665*DF668*DF$38*'⑫ Roll-out Plan'!$O$71</f>
        <v>0</v>
      </c>
      <c r="DG669" s="36" t="n">
        <f aca="false">DG667*$AC$665*DG668*DG$38*'⑫ Roll-out Plan'!$O$71</f>
        <v>0</v>
      </c>
      <c r="DH669" s="36" t="n">
        <f aca="false">DH667*$AC$665*DH668*DH$38*'⑫ Roll-out Plan'!$O$71</f>
        <v>0</v>
      </c>
      <c r="DI669" s="36" t="n">
        <f aca="false">DI667*$AC$665*DI668*DI$38*'⑫ Roll-out Plan'!$O$71</f>
        <v>0</v>
      </c>
      <c r="DJ669" s="36" t="n">
        <f aca="false">DJ667*$AC$665*DJ668*DJ$38*'⑫ Roll-out Plan'!$O$71</f>
        <v>0</v>
      </c>
      <c r="DK669" s="36" t="n">
        <f aca="false">DK667*$AC$665*DK668*DK$38*'⑫ Roll-out Plan'!$O$71</f>
        <v>0</v>
      </c>
      <c r="DL669" s="36" t="n">
        <f aca="false">DL667*$AC$665*DL668*DL$38*'⑫ Roll-out Plan'!$O$71</f>
        <v>0</v>
      </c>
      <c r="DM669" s="36" t="n">
        <f aca="false">DM667*$AC$665*DM668*DM$38*'⑫ Roll-out Plan'!$O$71</f>
        <v>0</v>
      </c>
      <c r="DN669" s="36" t="n">
        <f aca="false">DN667*$AC$665*DN668*DN$38*'⑫ Roll-out Plan'!$O$71</f>
        <v>0</v>
      </c>
      <c r="DO669" s="36" t="n">
        <f aca="false">DO667*$AC$665*DO668*DO$38*'⑫ Roll-out Plan'!$O$71</f>
        <v>0</v>
      </c>
      <c r="DP669" s="36" t="n">
        <f aca="false">DP667*$AC$665*DP668*DP$38*'⑫ Roll-out Plan'!$O$71</f>
        <v>0</v>
      </c>
      <c r="DQ669" s="36" t="n">
        <f aca="false">DQ667*$AC$665*DQ668*DQ$38*'⑫ Roll-out Plan'!$O$71</f>
        <v>0</v>
      </c>
      <c r="DR669" s="36" t="n">
        <f aca="false">DR667*$AC$665*DR668*DR$38*'⑫ Roll-out Plan'!$O$71</f>
        <v>0</v>
      </c>
      <c r="DS669" s="36" t="n">
        <f aca="false">DS667*$AC$665*DS668*DS$38*'⑫ Roll-out Plan'!$O$71</f>
        <v>0</v>
      </c>
      <c r="DT669" s="36" t="n">
        <f aca="false">DT667*$AC$665*DT668*DT$38*'⑫ Roll-out Plan'!$O$71</f>
        <v>0</v>
      </c>
      <c r="DU669" s="36" t="n">
        <f aca="false">DU667*$AC$665*DU668*DU$38*'⑫ Roll-out Plan'!$O$71</f>
        <v>0</v>
      </c>
      <c r="DV669" s="36" t="n">
        <f aca="false">DV667*$AC$665*DV668*DV$38*'⑫ Roll-out Plan'!$O$71</f>
        <v>0</v>
      </c>
      <c r="DW669" s="36" t="n">
        <f aca="false">DW667*$AC$665*DW668*DW$38*'⑫ Roll-out Plan'!$O$71</f>
        <v>0</v>
      </c>
      <c r="DX669" s="36" t="n">
        <f aca="false">DX667*$AC$665*DX668*DX$38*'⑫ Roll-out Plan'!$O$71</f>
        <v>0</v>
      </c>
      <c r="DY669" s="36" t="n">
        <f aca="false">DY667*$AC$665*DY668*DY$38*'⑫ Roll-out Plan'!$O$71</f>
        <v>0</v>
      </c>
      <c r="DZ669" s="36" t="n">
        <f aca="false">DZ667*$AC$665*DZ668*DZ$38*'⑫ Roll-out Plan'!$O$71</f>
        <v>0</v>
      </c>
      <c r="EA669" s="36" t="n">
        <f aca="false">EA667*$AC$665*EA668*EA$38*'⑫ Roll-out Plan'!$O$71</f>
        <v>0</v>
      </c>
      <c r="EB669" s="36" t="n">
        <f aca="false">EB667*$AC$665*EB668*EB$38*'⑫ Roll-out Plan'!$O$71</f>
        <v>0</v>
      </c>
      <c r="EC669" s="36" t="n">
        <f aca="false">EC667*$AC$665*EC668*EC$38*'⑫ Roll-out Plan'!$O$71</f>
        <v>0</v>
      </c>
      <c r="ED669" s="36" t="n">
        <f aca="false">ED667*$AC$665*ED668*ED$38*'⑫ Roll-out Plan'!$O$71</f>
        <v>0</v>
      </c>
      <c r="EE669" s="36" t="n">
        <f aca="false">EE667*$AC$665*EE668*EE$38*'⑫ Roll-out Plan'!$O$71</f>
        <v>0</v>
      </c>
      <c r="EF669" s="36" t="n">
        <f aca="false">EF667*$AC$665*EF668*EF$38*'⑫ Roll-out Plan'!$O$71</f>
        <v>0</v>
      </c>
      <c r="EG669" s="36" t="n">
        <f aca="false">EG667*$AC$665*EG668*EG$38*'⑫ Roll-out Plan'!$O$71</f>
        <v>0</v>
      </c>
      <c r="EH669" s="36" t="n">
        <f aca="false">EH667*$AC$665*EH668*EH$38*'⑫ Roll-out Plan'!$O$71</f>
        <v>0</v>
      </c>
      <c r="EI669" s="36" t="n">
        <f aca="false">EI667*$AC$665*EI668*EI$38*'⑫ Roll-out Plan'!$O$71</f>
        <v>0</v>
      </c>
      <c r="EJ669" s="36" t="n">
        <f aca="false">EJ667*$AC$665*EJ668*EJ$38*'⑫ Roll-out Plan'!$O$71</f>
        <v>0</v>
      </c>
      <c r="EK669" s="36" t="n">
        <f aca="false">EK667*$AC$665*EK668*EK$38*'⑫ Roll-out Plan'!$O$71</f>
        <v>0</v>
      </c>
      <c r="EL669" s="36" t="n">
        <f aca="false">EL667*$AC$665*EL668*EL$38*'⑫ Roll-out Plan'!$O$71</f>
        <v>0</v>
      </c>
      <c r="EM669" s="36" t="n">
        <f aca="false">EM667*$AC$665*EM668*EM$38*'⑫ Roll-out Plan'!$O$71</f>
        <v>0</v>
      </c>
      <c r="EN669" s="36" t="n">
        <f aca="false">EN667*$AC$665*EN668*EN$38*'⑫ Roll-out Plan'!$O$71</f>
        <v>0</v>
      </c>
      <c r="EO669" s="36" t="n">
        <f aca="false">EO667*$AC$665*EO668*EO$38*'⑫ Roll-out Plan'!$O$71</f>
        <v>0</v>
      </c>
      <c r="EP669" s="36" t="n">
        <f aca="false">EP667*$AC$665*EP668*EP$38*'⑫ Roll-out Plan'!$O$71</f>
        <v>0</v>
      </c>
      <c r="EQ669" s="36" t="n">
        <f aca="false">EQ667*$AC$665*EQ668*EQ$38*'⑫ Roll-out Plan'!$O$71</f>
        <v>0</v>
      </c>
      <c r="ER669" s="36" t="n">
        <f aca="false">ER667*$AC$665*ER668*ER$38*'⑫ Roll-out Plan'!$O$71</f>
        <v>0</v>
      </c>
      <c r="ES669" s="9" t="n">
        <f aca="false">ES667*$AC$665*ES668*ES$38*'⑫ Roll-out Plan'!$O$71</f>
        <v>0</v>
      </c>
      <c r="ET669" s="9" t="n">
        <f aca="false">ET667*$AC$665*ET668*ET$38*'⑫ Roll-out Plan'!$O$71</f>
        <v>0</v>
      </c>
      <c r="EU669" s="9" t="n">
        <f aca="false">EU667*$AC$665*EU668*EU$38*'⑫ Roll-out Plan'!$O$71</f>
        <v>0</v>
      </c>
      <c r="EV669" s="9" t="n">
        <f aca="false">EV667*$AC$665*EV668*EV$38*'⑫ Roll-out Plan'!$O$71</f>
        <v>0</v>
      </c>
      <c r="EW669" s="9" t="n">
        <f aca="false">EW667*$AC$665*EW668*EW$38*'⑫ Roll-out Plan'!$O$71</f>
        <v>0</v>
      </c>
      <c r="EX669" s="9" t="n">
        <f aca="false">EX667*$AC$665*EX668*EX$38*'⑫ Roll-out Plan'!$O$71</f>
        <v>0</v>
      </c>
      <c r="EY669" s="9" t="n">
        <f aca="false">EY667*$AC$665*EY668*EY$38*'⑫ Roll-out Plan'!$O$71</f>
        <v>0</v>
      </c>
      <c r="EZ669" s="9" t="n">
        <f aca="false">EZ667*$AC$665*EZ668*EZ$38*'⑫ Roll-out Plan'!$O$71</f>
        <v>0</v>
      </c>
      <c r="FA669" s="9" t="n">
        <f aca="false">FA667*$AC$665*FA668*FA$38*'⑫ Roll-out Plan'!$O$71</f>
        <v>0</v>
      </c>
      <c r="FB669" s="9" t="n">
        <f aca="false">FB667*$AC$665*FB668*FB$38*'⑫ Roll-out Plan'!$O$71</f>
        <v>0</v>
      </c>
      <c r="FC669" s="9" t="n">
        <f aca="false">FC667*$AC$665*FC668*FC$38*'⑫ Roll-out Plan'!$O$71</f>
        <v>0</v>
      </c>
      <c r="FD669" s="9" t="n">
        <f aca="false">FD667*$AC$665*FD668*FD$38*'⑫ Roll-out Plan'!$O$71</f>
        <v>0</v>
      </c>
      <c r="FE669" s="9" t="n">
        <f aca="false">FE667*$AC$665*FE668*FE$38*'⑫ Roll-out Plan'!$O$71</f>
        <v>0</v>
      </c>
      <c r="FF669" s="9" t="n">
        <f aca="false">FF667*$AC$665*FF668*FF$38*'⑫ Roll-out Plan'!$O$71</f>
        <v>0</v>
      </c>
      <c r="FG669" s="9" t="n">
        <f aca="false">FG667*$AC$665*FG668*FG$38*'⑫ Roll-out Plan'!$O$71</f>
        <v>0</v>
      </c>
      <c r="FH669" s="9" t="n">
        <f aca="false">FH667*$AC$665*FH668*FH$38*'⑫ Roll-out Plan'!$O$71</f>
        <v>0</v>
      </c>
      <c r="FI669" s="9" t="n">
        <f aca="false">FI667*$AC$665*FI668*FI$38*'⑫ Roll-out Plan'!$O$71</f>
        <v>0</v>
      </c>
      <c r="FJ669" s="9" t="n">
        <f aca="false">FJ667*$AC$665*FJ668*FJ$38*'⑫ Roll-out Plan'!$O$71</f>
        <v>0</v>
      </c>
      <c r="FK669" s="9" t="n">
        <f aca="false">FK667*$AC$665*FK668*FK$38*'⑫ Roll-out Plan'!$O$71</f>
        <v>0</v>
      </c>
      <c r="FL669" s="9" t="n">
        <f aca="false">FL667*$AC$665*FL668*FL$38*'⑫ Roll-out Plan'!$O$71</f>
        <v>0</v>
      </c>
      <c r="FM669" s="9" t="n">
        <f aca="false">FM667*$AC$665*FM668*FM$38*'⑫ Roll-out Plan'!$O$71</f>
        <v>0</v>
      </c>
      <c r="FN669" s="9" t="n">
        <f aca="false">FN667*$AC$665*FN668*FN$38*'⑫ Roll-out Plan'!$O$71</f>
        <v>0</v>
      </c>
      <c r="FO669" s="9" t="n">
        <f aca="false">FO667*$AC$665*FO668*FO$38*'⑫ Roll-out Plan'!$O$71</f>
        <v>0</v>
      </c>
      <c r="FP669" s="9" t="n">
        <f aca="false">FP667*$AC$665*FP668*FP$38*'⑫ Roll-out Plan'!$O$71</f>
        <v>0</v>
      </c>
    </row>
    <row r="670" customFormat="false" ht="15" hidden="false" customHeight="false" outlineLevel="2" collapsed="false">
      <c r="B670" s="9" t="s">
        <v>877</v>
      </c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112" t="n">
        <f aca="true">IFERROR(SUMPRODUCT(OFFSET($BJ$31,0,1-MIN(60,COLUMN()-29),1,MIN(60,COLUMN()-29)),OFFSET(AC669,0,-MIN(60,COLUMN()-29),1,MIN(60,COLUMN()-29))),0)</f>
        <v>0</v>
      </c>
      <c r="AD670" s="112" t="n">
        <f aca="true">IFERROR(SUMPRODUCT(OFFSET($BJ$31,0,1-MIN(60,COLUMN()-29),1,MIN(60,COLUMN()-29)),OFFSET(AD669,0,-MIN(60,COLUMN()-29),1,MIN(60,COLUMN()-29))),0)</f>
        <v>0</v>
      </c>
      <c r="AE670" s="112" t="n">
        <f aca="true">IFERROR(SUMPRODUCT(OFFSET($BJ$31,0,1-MIN(60,COLUMN()-29),1,MIN(60,COLUMN()-29)),OFFSET(AE669,0,-MIN(60,COLUMN()-29),1,MIN(60,COLUMN()-29))),0)</f>
        <v>0</v>
      </c>
      <c r="AF670" s="112" t="n">
        <f aca="true">IFERROR(SUMPRODUCT(OFFSET($BJ$31,0,1-MIN(60,COLUMN()-29),1,MIN(60,COLUMN()-29)),OFFSET(AF669,0,-MIN(60,COLUMN()-29),1,MIN(60,COLUMN()-29))),0)</f>
        <v>0</v>
      </c>
      <c r="AG670" s="112" t="n">
        <f aca="true">IFERROR(SUMPRODUCT(OFFSET($BJ$31,0,1-MIN(60,COLUMN()-29),1,MIN(60,COLUMN()-29)),OFFSET(AG669,0,-MIN(60,COLUMN()-29),1,MIN(60,COLUMN()-29))),0)</f>
        <v>0</v>
      </c>
      <c r="AH670" s="112" t="n">
        <f aca="true">IFERROR(SUMPRODUCT(OFFSET($BJ$31,0,1-MIN(60,COLUMN()-29),1,MIN(60,COLUMN()-29)),OFFSET(AH669,0,-MIN(60,COLUMN()-29),1,MIN(60,COLUMN()-29))),0)</f>
        <v>0</v>
      </c>
      <c r="AI670" s="112" t="n">
        <f aca="true">IFERROR(SUMPRODUCT(OFFSET($BJ$31,0,1-MIN(60,COLUMN()-29),1,MIN(60,COLUMN()-29)),OFFSET(AI669,0,-MIN(60,COLUMN()-29),1,MIN(60,COLUMN()-29))),0)</f>
        <v>0</v>
      </c>
      <c r="AJ670" s="112" t="n">
        <f aca="true">IFERROR(SUMPRODUCT(OFFSET($BJ$31,0,1-MIN(60,COLUMN()-29),1,MIN(60,COLUMN()-29)),OFFSET(AJ669,0,-MIN(60,COLUMN()-29),1,MIN(60,COLUMN()-29))),0)</f>
        <v>0</v>
      </c>
      <c r="AK670" s="112" t="n">
        <f aca="true">IFERROR(SUMPRODUCT(OFFSET($BJ$31,0,1-MIN(60,COLUMN()-29),1,MIN(60,COLUMN()-29)),OFFSET(AK669,0,-MIN(60,COLUMN()-29),1,MIN(60,COLUMN()-29))),0)</f>
        <v>0</v>
      </c>
      <c r="AL670" s="112" t="n">
        <f aca="true">IFERROR(SUMPRODUCT(OFFSET($BJ$31,0,1-MIN(60,COLUMN()-29),1,MIN(60,COLUMN()-29)),OFFSET(AL669,0,-MIN(60,COLUMN()-29),1,MIN(60,COLUMN()-29))),0)</f>
        <v>0</v>
      </c>
      <c r="AM670" s="112" t="n">
        <f aca="true">IFERROR(SUMPRODUCT(OFFSET($BJ$31,0,1-MIN(60,COLUMN()-29),1,MIN(60,COLUMN()-29)),OFFSET(AM669,0,-MIN(60,COLUMN()-29),1,MIN(60,COLUMN()-29))),0)</f>
        <v>0</v>
      </c>
      <c r="AN670" s="239" t="n">
        <f aca="true">IFERROR(SUMPRODUCT(OFFSET($BJ$31,0,1-MIN(60,COLUMN()-29),1,MIN(60,COLUMN()-29)),OFFSET(AN669,0,-MIN(60,COLUMN()-29),1,MIN(60,COLUMN()-29))),0)</f>
        <v>0</v>
      </c>
      <c r="AO670" s="112" t="n">
        <f aca="true">IFERROR(SUMPRODUCT(OFFSET($BJ$31,0,1-MIN(60,COLUMN()-29),1,MIN(60,COLUMN()-29)),OFFSET(AO669,0,-MIN(60,COLUMN()-29),1,MIN(60,COLUMN()-29))),0)</f>
        <v>0</v>
      </c>
      <c r="AP670" s="112" t="n">
        <f aca="true">IFERROR(SUMPRODUCT(OFFSET($BJ$31,0,1-MIN(60,COLUMN()-29),1,MIN(60,COLUMN()-29)),OFFSET(AP669,0,-MIN(60,COLUMN()-29),1,MIN(60,COLUMN()-29))),0)</f>
        <v>0</v>
      </c>
      <c r="AQ670" s="112" t="n">
        <f aca="true">IFERROR(SUMPRODUCT(OFFSET($BJ$31,0,1-MIN(60,COLUMN()-29),1,MIN(60,COLUMN()-29)),OFFSET(AQ669,0,-MIN(60,COLUMN()-29),1,MIN(60,COLUMN()-29))),0)</f>
        <v>0</v>
      </c>
      <c r="AR670" s="112" t="n">
        <f aca="true">IFERROR(SUMPRODUCT(OFFSET($BJ$31,0,1-MIN(60,COLUMN()-29),1,MIN(60,COLUMN()-29)),OFFSET(AR669,0,-MIN(60,COLUMN()-29),1,MIN(60,COLUMN()-29))),0)</f>
        <v>0</v>
      </c>
      <c r="AS670" s="112" t="n">
        <f aca="true">IFERROR(SUMPRODUCT(OFFSET($BJ$31,0,1-MIN(60,COLUMN()-29),1,MIN(60,COLUMN()-29)),OFFSET(AS669,0,-MIN(60,COLUMN()-29),1,MIN(60,COLUMN()-29))),0)</f>
        <v>0</v>
      </c>
      <c r="AT670" s="112" t="n">
        <f aca="true">IFERROR(SUMPRODUCT(OFFSET($BJ$31,0,1-MIN(60,COLUMN()-29),1,MIN(60,COLUMN()-29)),OFFSET(AT669,0,-MIN(60,COLUMN()-29),1,MIN(60,COLUMN()-29))),0)</f>
        <v>0</v>
      </c>
      <c r="AU670" s="112" t="n">
        <f aca="true">IFERROR(SUMPRODUCT(OFFSET($BJ$31,0,1-MIN(60,COLUMN()-29),1,MIN(60,COLUMN()-29)),OFFSET(AU669,0,-MIN(60,COLUMN()-29),1,MIN(60,COLUMN()-29))),0)</f>
        <v>0</v>
      </c>
      <c r="AV670" s="112" t="n">
        <f aca="true">IFERROR(SUMPRODUCT(OFFSET($BJ$31,0,1-MIN(60,COLUMN()-29),1,MIN(60,COLUMN()-29)),OFFSET(AV669,0,-MIN(60,COLUMN()-29),1,MIN(60,COLUMN()-29))),0)</f>
        <v>0</v>
      </c>
      <c r="AW670" s="112" t="n">
        <f aca="true">IFERROR(SUMPRODUCT(OFFSET($BJ$31,0,1-MIN(60,COLUMN()-29),1,MIN(60,COLUMN()-29)),OFFSET(AW669,0,-MIN(60,COLUMN()-29),1,MIN(60,COLUMN()-29))),0)</f>
        <v>0</v>
      </c>
      <c r="AX670" s="112" t="n">
        <f aca="true">IFERROR(SUMPRODUCT(OFFSET($BJ$31,0,1-MIN(60,COLUMN()-29),1,MIN(60,COLUMN()-29)),OFFSET(AX669,0,-MIN(60,COLUMN()-29),1,MIN(60,COLUMN()-29))),0)</f>
        <v>0</v>
      </c>
      <c r="AY670" s="112" t="n">
        <f aca="true">IFERROR(SUMPRODUCT(OFFSET($BJ$31,0,1-MIN(60,COLUMN()-29),1,MIN(60,COLUMN()-29)),OFFSET(AY669,0,-MIN(60,COLUMN()-29),1,MIN(60,COLUMN()-29))),0)</f>
        <v>0</v>
      </c>
      <c r="AZ670" s="112" t="n">
        <f aca="true">IFERROR(SUMPRODUCT(OFFSET($BJ$31,0,1-MIN(60,COLUMN()-29),1,MIN(60,COLUMN()-29)),OFFSET(AZ669,0,-MIN(60,COLUMN()-29),1,MIN(60,COLUMN()-29))),0)</f>
        <v>0</v>
      </c>
      <c r="BA670" s="112" t="n">
        <f aca="true">IFERROR(SUMPRODUCT(OFFSET($BJ$31,0,1-MIN(60,COLUMN()-29),1,MIN(60,COLUMN()-29)),OFFSET(BA669,0,-MIN(60,COLUMN()-29),1,MIN(60,COLUMN()-29))),0)</f>
        <v>0</v>
      </c>
      <c r="BB670" s="112" t="n">
        <f aca="true">IFERROR(SUMPRODUCT(OFFSET($BJ$31,0,1-MIN(60,COLUMN()-29),1,MIN(60,COLUMN()-29)),OFFSET(BB669,0,-MIN(60,COLUMN()-29),1,MIN(60,COLUMN()-29))),0)</f>
        <v>0</v>
      </c>
      <c r="BC670" s="112" t="n">
        <f aca="true">IFERROR(SUMPRODUCT(OFFSET($BJ$31,0,1-MIN(60,COLUMN()-29),1,MIN(60,COLUMN()-29)),OFFSET(BC669,0,-MIN(60,COLUMN()-29),1,MIN(60,COLUMN()-29))),0)</f>
        <v>0</v>
      </c>
      <c r="BD670" s="112" t="n">
        <f aca="true">IFERROR(SUMPRODUCT(OFFSET($BJ$31,0,1-MIN(60,COLUMN()-29),1,MIN(60,COLUMN()-29)),OFFSET(BD669,0,-MIN(60,COLUMN()-29),1,MIN(60,COLUMN()-29))),0)</f>
        <v>0</v>
      </c>
      <c r="BE670" s="112" t="n">
        <f aca="true">IFERROR(SUMPRODUCT(OFFSET($BJ$31,0,1-MIN(60,COLUMN()-29),1,MIN(60,COLUMN()-29)),OFFSET(BE669,0,-MIN(60,COLUMN()-29),1,MIN(60,COLUMN()-29))),0)</f>
        <v>0</v>
      </c>
      <c r="BF670" s="112" t="n">
        <f aca="true">IFERROR(SUMPRODUCT(OFFSET($BJ$31,0,1-MIN(60,COLUMN()-29),1,MIN(60,COLUMN()-29)),OFFSET(BF669,0,-MIN(60,COLUMN()-29),1,MIN(60,COLUMN()-29))),0)</f>
        <v>0</v>
      </c>
      <c r="BG670" s="112" t="n">
        <f aca="true">IFERROR(SUMPRODUCT(OFFSET($BJ$31,0,1-MIN(60,COLUMN()-29),1,MIN(60,COLUMN()-29)),OFFSET(BG669,0,-MIN(60,COLUMN()-29),1,MIN(60,COLUMN()-29))),0)</f>
        <v>0</v>
      </c>
      <c r="BH670" s="112" t="n">
        <f aca="true">IFERROR(SUMPRODUCT(OFFSET($BJ$31,0,1-MIN(60,COLUMN()-29),1,MIN(60,COLUMN()-29)),OFFSET(BH669,0,-MIN(60,COLUMN()-29),1,MIN(60,COLUMN()-29))),0)</f>
        <v>0</v>
      </c>
      <c r="BI670" s="112" t="n">
        <f aca="true">IFERROR(SUMPRODUCT(OFFSET($BJ$31,0,1-MIN(60,COLUMN()-29),1,MIN(60,COLUMN()-29)),OFFSET(BI669,0,-MIN(60,COLUMN()-29),1,MIN(60,COLUMN()-29))),0)</f>
        <v>0</v>
      </c>
      <c r="BJ670" s="112" t="n">
        <f aca="true">IFERROR(SUMPRODUCT(OFFSET($BJ$31,0,1-MIN(60,COLUMN()-29),1,MIN(60,COLUMN()-29)),OFFSET(BJ669,0,-MIN(60,COLUMN()-29),1,MIN(60,COLUMN()-29))),0)</f>
        <v>0</v>
      </c>
      <c r="BK670" s="112" t="n">
        <f aca="true">IFERROR(SUMPRODUCT(OFFSET($BJ$31,0,1-MIN(60,COLUMN()-29),1,MIN(60,COLUMN()-29)),OFFSET(BK669,0,-MIN(60,COLUMN()-29),1,MIN(60,COLUMN()-29))),0)</f>
        <v>0</v>
      </c>
      <c r="BL670" s="112" t="n">
        <f aca="true">IFERROR(SUMPRODUCT(OFFSET($BJ$31,0,1-MIN(60,COLUMN()-29),1,MIN(60,COLUMN()-29)),OFFSET(BL669,0,-MIN(60,COLUMN()-29),1,MIN(60,COLUMN()-29))),0)</f>
        <v>0</v>
      </c>
      <c r="BM670" s="112" t="n">
        <f aca="true">IFERROR(SUMPRODUCT(OFFSET($BJ$31,0,1-MIN(60,COLUMN()-29),1,MIN(60,COLUMN()-29)),OFFSET(BM669,0,-MIN(60,COLUMN()-29),1,MIN(60,COLUMN()-29))),0)</f>
        <v>0</v>
      </c>
      <c r="BN670" s="112" t="n">
        <f aca="true">IFERROR(SUMPRODUCT(OFFSET($BJ$31,0,1-MIN(60,COLUMN()-29),1,MIN(60,COLUMN()-29)),OFFSET(BN669,0,-MIN(60,COLUMN()-29),1,MIN(60,COLUMN()-29))),0)</f>
        <v>0</v>
      </c>
      <c r="BO670" s="112" t="n">
        <f aca="true">IFERROR(SUMPRODUCT(OFFSET($BJ$31,0,1-MIN(60,COLUMN()-29),1,MIN(60,COLUMN()-29)),OFFSET(BO669,0,-MIN(60,COLUMN()-29),1,MIN(60,COLUMN()-29))),0)</f>
        <v>0</v>
      </c>
      <c r="BP670" s="112" t="n">
        <f aca="true">IFERROR(SUMPRODUCT(OFFSET($BJ$31,0,1-MIN(60,COLUMN()-29),1,MIN(60,COLUMN()-29)),OFFSET(BP669,0,-MIN(60,COLUMN()-29),1,MIN(60,COLUMN()-29))),0)</f>
        <v>0</v>
      </c>
      <c r="BQ670" s="112" t="n">
        <f aca="true">IFERROR(SUMPRODUCT(OFFSET($BJ$31,0,1-MIN(60,COLUMN()-29),1,MIN(60,COLUMN()-29)),OFFSET(BQ669,0,-MIN(60,COLUMN()-29),1,MIN(60,COLUMN()-29))),0)</f>
        <v>0</v>
      </c>
      <c r="BR670" s="112" t="n">
        <f aca="true">IFERROR(SUMPRODUCT(OFFSET($BJ$31,0,1-MIN(60,COLUMN()-29),1,MIN(60,COLUMN()-29)),OFFSET(BR669,0,-MIN(60,COLUMN()-29),1,MIN(60,COLUMN()-29))),0)</f>
        <v>0</v>
      </c>
      <c r="BS670" s="112" t="n">
        <f aca="true">IFERROR(SUMPRODUCT(OFFSET($BJ$31,0,1-MIN(60,COLUMN()-29),1,MIN(60,COLUMN()-29)),OFFSET(BS669,0,-MIN(60,COLUMN()-29),1,MIN(60,COLUMN()-29))),0)</f>
        <v>0</v>
      </c>
      <c r="BT670" s="112" t="n">
        <f aca="true">IFERROR(SUMPRODUCT(OFFSET($BJ$31,0,1-MIN(60,COLUMN()-29),1,MIN(60,COLUMN()-29)),OFFSET(BT669,0,-MIN(60,COLUMN()-29),1,MIN(60,COLUMN()-29))),0)</f>
        <v>0</v>
      </c>
      <c r="BU670" s="112" t="n">
        <f aca="true">IFERROR(SUMPRODUCT(OFFSET($BJ$31,0,1-MIN(60,COLUMN()-29),1,MIN(60,COLUMN()-29)),OFFSET(BU669,0,-MIN(60,COLUMN()-29),1,MIN(60,COLUMN()-29))),0)</f>
        <v>0</v>
      </c>
      <c r="BV670" s="112" t="n">
        <f aca="true">IFERROR(SUMPRODUCT(OFFSET($BJ$31,0,1-MIN(60,COLUMN()-29),1,MIN(60,COLUMN()-29)),OFFSET(BV669,0,-MIN(60,COLUMN()-29),1,MIN(60,COLUMN()-29))),0)</f>
        <v>0</v>
      </c>
      <c r="BW670" s="112" t="n">
        <f aca="true">IFERROR(SUMPRODUCT(OFFSET($BJ$31,0,1-MIN(60,COLUMN()-29),1,MIN(60,COLUMN()-29)),OFFSET(BW669,0,-MIN(60,COLUMN()-29),1,MIN(60,COLUMN()-29))),0)</f>
        <v>0</v>
      </c>
      <c r="BX670" s="112" t="n">
        <f aca="true">IFERROR(SUMPRODUCT(OFFSET($BJ$31,0,1-MIN(60,COLUMN()-29),1,MIN(60,COLUMN()-29)),OFFSET(BX669,0,-MIN(60,COLUMN()-29),1,MIN(60,COLUMN()-29))),0)</f>
        <v>0</v>
      </c>
      <c r="BY670" s="112" t="n">
        <f aca="true">IFERROR(SUMPRODUCT(OFFSET($BJ$31,0,1-MIN(60,COLUMN()-29),1,MIN(60,COLUMN()-29)),OFFSET(BY669,0,-MIN(60,COLUMN()-29),1,MIN(60,COLUMN()-29))),0)</f>
        <v>0</v>
      </c>
      <c r="BZ670" s="112" t="n">
        <f aca="true">IFERROR(SUMPRODUCT(OFFSET($BJ$31,0,1-MIN(60,COLUMN()-29),1,MIN(60,COLUMN()-29)),OFFSET(BZ669,0,-MIN(60,COLUMN()-29),1,MIN(60,COLUMN()-29))),0)</f>
        <v>0</v>
      </c>
      <c r="CA670" s="112" t="n">
        <f aca="true">IFERROR(SUMPRODUCT(OFFSET($BJ$31,0,1-MIN(60,COLUMN()-29),1,MIN(60,COLUMN()-29)),OFFSET(CA669,0,-MIN(60,COLUMN()-29),1,MIN(60,COLUMN()-29))),0)</f>
        <v>0</v>
      </c>
      <c r="CB670" s="112" t="n">
        <f aca="true">IFERROR(SUMPRODUCT(OFFSET($BJ$31,0,1-MIN(60,COLUMN()-29),1,MIN(60,COLUMN()-29)),OFFSET(CB669,0,-MIN(60,COLUMN()-29),1,MIN(60,COLUMN()-29))),0)</f>
        <v>0</v>
      </c>
      <c r="CC670" s="112" t="n">
        <f aca="true">IFERROR(SUMPRODUCT(OFFSET($BJ$31,0,1-MIN(60,COLUMN()-29),1,MIN(60,COLUMN()-29)),OFFSET(CC669,0,-MIN(60,COLUMN()-29),1,MIN(60,COLUMN()-29))),0)</f>
        <v>0</v>
      </c>
      <c r="CD670" s="112" t="n">
        <f aca="true">IFERROR(SUMPRODUCT(OFFSET($BJ$31,0,1-MIN(60,COLUMN()-29),1,MIN(60,COLUMN()-29)),OFFSET(CD669,0,-MIN(60,COLUMN()-29),1,MIN(60,COLUMN()-29))),0)</f>
        <v>0</v>
      </c>
      <c r="CE670" s="112" t="n">
        <f aca="true">IFERROR(SUMPRODUCT(OFFSET($BJ$31,0,1-MIN(60,COLUMN()-29),1,MIN(60,COLUMN()-29)),OFFSET(CE669,0,-MIN(60,COLUMN()-29),1,MIN(60,COLUMN()-29))),0)</f>
        <v>0</v>
      </c>
      <c r="CF670" s="112" t="n">
        <f aca="true">IFERROR(SUMPRODUCT(OFFSET($BJ$31,0,1-MIN(60,COLUMN()-29),1,MIN(60,COLUMN()-29)),OFFSET(CF669,0,-MIN(60,COLUMN()-29),1,MIN(60,COLUMN()-29))),0)</f>
        <v>0</v>
      </c>
      <c r="CG670" s="112" t="n">
        <f aca="true">IFERROR(SUMPRODUCT(OFFSET($BJ$31,0,1-MIN(60,COLUMN()-29),1,MIN(60,COLUMN()-29)),OFFSET(CG669,0,-MIN(60,COLUMN()-29),1,MIN(60,COLUMN()-29))),0)</f>
        <v>0</v>
      </c>
      <c r="CH670" s="112" t="n">
        <f aca="true">IFERROR(SUMPRODUCT(OFFSET($BJ$31,0,1-MIN(60,COLUMN()-29),1,MIN(60,COLUMN()-29)),OFFSET(CH669,0,-MIN(60,COLUMN()-29),1,MIN(60,COLUMN()-29))),0)</f>
        <v>0</v>
      </c>
      <c r="CI670" s="112" t="n">
        <f aca="true">IFERROR(SUMPRODUCT(OFFSET($BJ$31,0,1-MIN(60,COLUMN()-29),1,MIN(60,COLUMN()-29)),OFFSET(CI669,0,-MIN(60,COLUMN()-29),1,MIN(60,COLUMN()-29))),0)</f>
        <v>0</v>
      </c>
      <c r="CJ670" s="112" t="n">
        <f aca="true">IFERROR(SUMPRODUCT(OFFSET($BJ$31,0,1-MIN(60,COLUMN()-29),1,MIN(60,COLUMN()-29)),OFFSET(CJ669,0,-MIN(60,COLUMN()-29),1,MIN(60,COLUMN()-29))),0)</f>
        <v>0</v>
      </c>
      <c r="CK670" s="112" t="n">
        <f aca="true">IFERROR(SUMPRODUCT(OFFSET($BJ$31,0,1-MIN(60,COLUMN()-29),1,MIN(60,COLUMN()-29)),OFFSET(CK669,0,-MIN(60,COLUMN()-29),1,MIN(60,COLUMN()-29))),0)</f>
        <v>0</v>
      </c>
      <c r="CL670" s="112" t="n">
        <f aca="true">IFERROR(SUMPRODUCT(OFFSET($BJ$31,0,1-MIN(60,COLUMN()-29),1,MIN(60,COLUMN()-29)),OFFSET(CL669,0,-MIN(60,COLUMN()-29),1,MIN(60,COLUMN()-29))),0)</f>
        <v>0</v>
      </c>
      <c r="CM670" s="112" t="n">
        <f aca="true">IFERROR(SUMPRODUCT(OFFSET($BJ$31,0,1-MIN(60,COLUMN()-29),1,MIN(60,COLUMN()-29)),OFFSET(CM669,0,-MIN(60,COLUMN()-29),1,MIN(60,COLUMN()-29))),0)</f>
        <v>0</v>
      </c>
      <c r="CN670" s="112" t="n">
        <f aca="true">IFERROR(SUMPRODUCT(OFFSET($BJ$31,0,1-MIN(60,COLUMN()-29),1,MIN(60,COLUMN()-29)),OFFSET(CN669,0,-MIN(60,COLUMN()-29),1,MIN(60,COLUMN()-29))),0)</f>
        <v>0</v>
      </c>
      <c r="CO670" s="112" t="n">
        <f aca="true">IFERROR(SUMPRODUCT(OFFSET($BJ$31,0,1-MIN(60,COLUMN()-29),1,MIN(60,COLUMN()-29)),OFFSET(CO669,0,-MIN(60,COLUMN()-29),1,MIN(60,COLUMN()-29))),0)</f>
        <v>0</v>
      </c>
      <c r="CP670" s="112" t="n">
        <f aca="true">IFERROR(SUMPRODUCT(OFFSET($BJ$31,0,1-MIN(60,COLUMN()-29),1,MIN(60,COLUMN()-29)),OFFSET(CP669,0,-MIN(60,COLUMN()-29),1,MIN(60,COLUMN()-29))),0)</f>
        <v>0</v>
      </c>
      <c r="CQ670" s="112" t="n">
        <f aca="true">IFERROR(SUMPRODUCT(OFFSET($BJ$31,0,1-MIN(60,COLUMN()-29),1,MIN(60,COLUMN()-29)),OFFSET(CQ669,0,-MIN(60,COLUMN()-29),1,MIN(60,COLUMN()-29))),0)</f>
        <v>0</v>
      </c>
      <c r="CR670" s="112" t="n">
        <f aca="true">IFERROR(SUMPRODUCT(OFFSET($BJ$31,0,1-MIN(60,COLUMN()-29),1,MIN(60,COLUMN()-29)),OFFSET(CR669,0,-MIN(60,COLUMN()-29),1,MIN(60,COLUMN()-29))),0)</f>
        <v>0</v>
      </c>
      <c r="CS670" s="112" t="n">
        <f aca="true">IFERROR(SUMPRODUCT(OFFSET($BJ$31,0,1-MIN(60,COLUMN()-29),1,MIN(60,COLUMN()-29)),OFFSET(CS669,0,-MIN(60,COLUMN()-29),1,MIN(60,COLUMN()-29))),0)</f>
        <v>0</v>
      </c>
      <c r="CT670" s="112" t="n">
        <f aca="true">IFERROR(SUMPRODUCT(OFFSET($BJ$31,0,1-MIN(60,COLUMN()-29),1,MIN(60,COLUMN()-29)),OFFSET(CT669,0,-MIN(60,COLUMN()-29),1,MIN(60,COLUMN()-29))),0)</f>
        <v>0</v>
      </c>
      <c r="CU670" s="112" t="n">
        <f aca="true">IFERROR(SUMPRODUCT(OFFSET($BJ$31,0,1-MIN(60,COLUMN()-29),1,MIN(60,COLUMN()-29)),OFFSET(CU669,0,-MIN(60,COLUMN()-29),1,MIN(60,COLUMN()-29))),0)</f>
        <v>0</v>
      </c>
      <c r="CV670" s="112" t="n">
        <f aca="true">IFERROR(SUMPRODUCT(OFFSET($BJ$31,0,1-MIN(60,COLUMN()-29),1,MIN(60,COLUMN()-29)),OFFSET(CV669,0,-MIN(60,COLUMN()-29),1,MIN(60,COLUMN()-29))),0)</f>
        <v>0</v>
      </c>
      <c r="CW670" s="112" t="n">
        <f aca="true">IFERROR(SUMPRODUCT(OFFSET($BJ$31,0,1-MIN(60,COLUMN()-29),1,MIN(60,COLUMN()-29)),OFFSET(CW669,0,-MIN(60,COLUMN()-29),1,MIN(60,COLUMN()-29))),0)</f>
        <v>0</v>
      </c>
      <c r="CX670" s="112" t="n">
        <f aca="true">IFERROR(SUMPRODUCT(OFFSET($BJ$31,0,1-MIN(60,COLUMN()-29),1,MIN(60,COLUMN()-29)),OFFSET(CX669,0,-MIN(60,COLUMN()-29),1,MIN(60,COLUMN()-29))),0)</f>
        <v>0</v>
      </c>
      <c r="CY670" s="112" t="n">
        <f aca="true">IFERROR(SUMPRODUCT(OFFSET($BJ$31,0,1-MIN(60,COLUMN()-29),1,MIN(60,COLUMN()-29)),OFFSET(CY669,0,-MIN(60,COLUMN()-29),1,MIN(60,COLUMN()-29))),0)</f>
        <v>0</v>
      </c>
      <c r="CZ670" s="112" t="n">
        <f aca="true">IFERROR(SUMPRODUCT(OFFSET($BJ$31,0,1-MIN(60,COLUMN()-29),1,MIN(60,COLUMN()-29)),OFFSET(CZ669,0,-MIN(60,COLUMN()-29),1,MIN(60,COLUMN()-29))),0)</f>
        <v>0</v>
      </c>
      <c r="DA670" s="112" t="n">
        <f aca="true">IFERROR(SUMPRODUCT(OFFSET($BJ$31,0,1-MIN(60,COLUMN()-29),1,MIN(60,COLUMN()-29)),OFFSET(DA669,0,-MIN(60,COLUMN()-29),1,MIN(60,COLUMN()-29))),0)</f>
        <v>0</v>
      </c>
      <c r="DB670" s="112" t="n">
        <f aca="true">IFERROR(SUMPRODUCT(OFFSET($BJ$31,0,1-MIN(60,COLUMN()-29),1,MIN(60,COLUMN()-29)),OFFSET(DB669,0,-MIN(60,COLUMN()-29),1,MIN(60,COLUMN()-29))),0)</f>
        <v>0</v>
      </c>
      <c r="DC670" s="112" t="n">
        <f aca="true">IFERROR(SUMPRODUCT(OFFSET($BJ$31,0,1-MIN(60,COLUMN()-29),1,MIN(60,COLUMN()-29)),OFFSET(DC669,0,-MIN(60,COLUMN()-29),1,MIN(60,COLUMN()-29))),0)</f>
        <v>0</v>
      </c>
      <c r="DD670" s="112" t="n">
        <f aca="true">IFERROR(SUMPRODUCT(OFFSET($BJ$31,0,1-MIN(60,COLUMN()-29),1,MIN(60,COLUMN()-29)),OFFSET(DD669,0,-MIN(60,COLUMN()-29),1,MIN(60,COLUMN()-29))),0)</f>
        <v>0</v>
      </c>
      <c r="DE670" s="112" t="n">
        <f aca="true">IFERROR(SUMPRODUCT(OFFSET($BJ$31,0,1-MIN(60,COLUMN()-29),1,MIN(60,COLUMN()-29)),OFFSET(DE669,0,-MIN(60,COLUMN()-29),1,MIN(60,COLUMN()-29))),0)</f>
        <v>0</v>
      </c>
      <c r="DF670" s="112" t="n">
        <f aca="true">IFERROR(SUMPRODUCT(OFFSET($BJ$31,0,1-MIN(60,COLUMN()-29),1,MIN(60,COLUMN()-29)),OFFSET(DF669,0,-MIN(60,COLUMN()-29),1,MIN(60,COLUMN()-29))),0)</f>
        <v>0</v>
      </c>
      <c r="DG670" s="112" t="n">
        <f aca="true">IFERROR(SUMPRODUCT(OFFSET($BJ$31,0,1-MIN(60,COLUMN()-29),1,MIN(60,COLUMN()-29)),OFFSET(DG669,0,-MIN(60,COLUMN()-29),1,MIN(60,COLUMN()-29))),0)</f>
        <v>0</v>
      </c>
      <c r="DH670" s="112" t="n">
        <f aca="true">IFERROR(SUMPRODUCT(OFFSET($BJ$31,0,1-MIN(60,COLUMN()-29),1,MIN(60,COLUMN()-29)),OFFSET(DH669,0,-MIN(60,COLUMN()-29),1,MIN(60,COLUMN()-29))),0)</f>
        <v>0</v>
      </c>
      <c r="DI670" s="112" t="n">
        <f aca="true">IFERROR(SUMPRODUCT(OFFSET($BJ$31,0,1-MIN(60,COLUMN()-29),1,MIN(60,COLUMN()-29)),OFFSET(DI669,0,-MIN(60,COLUMN()-29),1,MIN(60,COLUMN()-29))),0)</f>
        <v>0</v>
      </c>
      <c r="DJ670" s="112" t="n">
        <f aca="true">IFERROR(SUMPRODUCT(OFFSET($BJ$31,0,1-MIN(60,COLUMN()-29),1,MIN(60,COLUMN()-29)),OFFSET(DJ669,0,-MIN(60,COLUMN()-29),1,MIN(60,COLUMN()-29))),0)</f>
        <v>0</v>
      </c>
      <c r="DK670" s="112" t="n">
        <f aca="true">IFERROR(SUMPRODUCT(OFFSET($BJ$31,0,1-MIN(60,COLUMN()-29),1,MIN(60,COLUMN()-29)),OFFSET(DK669,0,-MIN(60,COLUMN()-29),1,MIN(60,COLUMN()-29))),0)</f>
        <v>0</v>
      </c>
      <c r="DL670" s="112" t="n">
        <f aca="true">IFERROR(SUMPRODUCT(OFFSET($BJ$31,0,1-MIN(60,COLUMN()-29),1,MIN(60,COLUMN()-29)),OFFSET(DL669,0,-MIN(60,COLUMN()-29),1,MIN(60,COLUMN()-29))),0)</f>
        <v>0</v>
      </c>
      <c r="DM670" s="112" t="n">
        <f aca="true">IFERROR(SUMPRODUCT(OFFSET($BJ$31,0,1-MIN(60,COLUMN()-29),1,MIN(60,COLUMN()-29)),OFFSET(DM669,0,-MIN(60,COLUMN()-29),1,MIN(60,COLUMN()-29))),0)</f>
        <v>0</v>
      </c>
      <c r="DN670" s="112" t="n">
        <f aca="true">IFERROR(SUMPRODUCT(OFFSET($BJ$31,0,1-MIN(60,COLUMN()-29),1,MIN(60,COLUMN()-29)),OFFSET(DN669,0,-MIN(60,COLUMN()-29),1,MIN(60,COLUMN()-29))),0)</f>
        <v>0</v>
      </c>
      <c r="DO670" s="112" t="n">
        <f aca="true">IFERROR(SUMPRODUCT(OFFSET($BJ$31,0,1-MIN(60,COLUMN()-29),1,MIN(60,COLUMN()-29)),OFFSET(DO669,0,-MIN(60,COLUMN()-29),1,MIN(60,COLUMN()-29))),0)</f>
        <v>0</v>
      </c>
      <c r="DP670" s="112" t="n">
        <f aca="true">IFERROR(SUMPRODUCT(OFFSET($BJ$31,0,1-MIN(60,COLUMN()-29),1,MIN(60,COLUMN()-29)),OFFSET(DP669,0,-MIN(60,COLUMN()-29),1,MIN(60,COLUMN()-29))),0)</f>
        <v>0</v>
      </c>
      <c r="DQ670" s="112" t="n">
        <f aca="true">IFERROR(SUMPRODUCT(OFFSET($BJ$31,0,1-MIN(60,COLUMN()-29),1,MIN(60,COLUMN()-29)),OFFSET(DQ669,0,-MIN(60,COLUMN()-29),1,MIN(60,COLUMN()-29))),0)</f>
        <v>0</v>
      </c>
      <c r="DR670" s="112" t="n">
        <f aca="true">IFERROR(SUMPRODUCT(OFFSET($BJ$31,0,1-MIN(60,COLUMN()-29),1,MIN(60,COLUMN()-29)),OFFSET(DR669,0,-MIN(60,COLUMN()-29),1,MIN(60,COLUMN()-29))),0)</f>
        <v>0</v>
      </c>
      <c r="DS670" s="112" t="n">
        <f aca="true">IFERROR(SUMPRODUCT(OFFSET($BJ$31,0,1-MIN(60,COLUMN()-29),1,MIN(60,COLUMN()-29)),OFFSET(DS669,0,-MIN(60,COLUMN()-29),1,MIN(60,COLUMN()-29))),0)</f>
        <v>0</v>
      </c>
      <c r="DT670" s="112" t="n">
        <f aca="true">IFERROR(SUMPRODUCT(OFFSET($BJ$31,0,1-MIN(60,COLUMN()-29),1,MIN(60,COLUMN()-29)),OFFSET(DT669,0,-MIN(60,COLUMN()-29),1,MIN(60,COLUMN()-29))),0)</f>
        <v>0</v>
      </c>
      <c r="DU670" s="112" t="n">
        <f aca="true">IFERROR(SUMPRODUCT(OFFSET($BJ$31,0,1-MIN(60,COLUMN()-29),1,MIN(60,COLUMN()-29)),OFFSET(DU669,0,-MIN(60,COLUMN()-29),1,MIN(60,COLUMN()-29))),0)</f>
        <v>0</v>
      </c>
      <c r="DV670" s="112" t="n">
        <f aca="true">IFERROR(SUMPRODUCT(OFFSET($BJ$31,0,1-MIN(60,COLUMN()-29),1,MIN(60,COLUMN()-29)),OFFSET(DV669,0,-MIN(60,COLUMN()-29),1,MIN(60,COLUMN()-29))),0)</f>
        <v>0</v>
      </c>
      <c r="DW670" s="112" t="n">
        <f aca="true">IFERROR(SUMPRODUCT(OFFSET($BJ$31,0,1-MIN(60,COLUMN()-29),1,MIN(60,COLUMN()-29)),OFFSET(DW669,0,-MIN(60,COLUMN()-29),1,MIN(60,COLUMN()-29))),0)</f>
        <v>0</v>
      </c>
      <c r="DX670" s="112" t="n">
        <f aca="true">IFERROR(SUMPRODUCT(OFFSET($BJ$31,0,1-MIN(60,COLUMN()-29),1,MIN(60,COLUMN()-29)),OFFSET(DX669,0,-MIN(60,COLUMN()-29),1,MIN(60,COLUMN()-29))),0)</f>
        <v>0</v>
      </c>
      <c r="DY670" s="112" t="n">
        <f aca="true">IFERROR(SUMPRODUCT(OFFSET($BJ$31,0,1-MIN(60,COLUMN()-29),1,MIN(60,COLUMN()-29)),OFFSET(DY669,0,-MIN(60,COLUMN()-29),1,MIN(60,COLUMN()-29))),0)</f>
        <v>0</v>
      </c>
      <c r="DZ670" s="112" t="n">
        <f aca="true">IFERROR(SUMPRODUCT(OFFSET($BJ$31,0,1-MIN(60,COLUMN()-29),1,MIN(60,COLUMN()-29)),OFFSET(DZ669,0,-MIN(60,COLUMN()-29),1,MIN(60,COLUMN()-29))),0)</f>
        <v>0</v>
      </c>
      <c r="EA670" s="112" t="n">
        <f aca="true">IFERROR(SUMPRODUCT(OFFSET($BJ$31,0,1-MIN(60,COLUMN()-29),1,MIN(60,COLUMN()-29)),OFFSET(EA669,0,-MIN(60,COLUMN()-29),1,MIN(60,COLUMN()-29))),0)</f>
        <v>0</v>
      </c>
      <c r="EB670" s="112" t="n">
        <f aca="true">IFERROR(SUMPRODUCT(OFFSET($BJ$31,0,1-MIN(60,COLUMN()-29),1,MIN(60,COLUMN()-29)),OFFSET(EB669,0,-MIN(60,COLUMN()-29),1,MIN(60,COLUMN()-29))),0)</f>
        <v>0</v>
      </c>
      <c r="EC670" s="112" t="n">
        <f aca="true">IFERROR(SUMPRODUCT(OFFSET($BJ$31,0,1-MIN(60,COLUMN()-29),1,MIN(60,COLUMN()-29)),OFFSET(EC669,0,-MIN(60,COLUMN()-29),1,MIN(60,COLUMN()-29))),0)</f>
        <v>0</v>
      </c>
      <c r="ED670" s="112" t="n">
        <f aca="true">IFERROR(SUMPRODUCT(OFFSET($BJ$31,0,1-MIN(60,COLUMN()-29),1,MIN(60,COLUMN()-29)),OFFSET(ED669,0,-MIN(60,COLUMN()-29),1,MIN(60,COLUMN()-29))),0)</f>
        <v>0</v>
      </c>
      <c r="EE670" s="112" t="n">
        <f aca="true">IFERROR(SUMPRODUCT(OFFSET($BJ$31,0,1-MIN(60,COLUMN()-29),1,MIN(60,COLUMN()-29)),OFFSET(EE669,0,-MIN(60,COLUMN()-29),1,MIN(60,COLUMN()-29))),0)</f>
        <v>0</v>
      </c>
      <c r="EF670" s="112" t="n">
        <f aca="true">IFERROR(SUMPRODUCT(OFFSET($BJ$31,0,1-MIN(60,COLUMN()-29),1,MIN(60,COLUMN()-29)),OFFSET(EF669,0,-MIN(60,COLUMN()-29),1,MIN(60,COLUMN()-29))),0)</f>
        <v>0</v>
      </c>
      <c r="EG670" s="112" t="n">
        <f aca="true">IFERROR(SUMPRODUCT(OFFSET($BJ$31,0,1-MIN(60,COLUMN()-29),1,MIN(60,COLUMN()-29)),OFFSET(EG669,0,-MIN(60,COLUMN()-29),1,MIN(60,COLUMN()-29))),0)</f>
        <v>0</v>
      </c>
      <c r="EH670" s="112" t="n">
        <f aca="true">IFERROR(SUMPRODUCT(OFFSET($BJ$31,0,1-MIN(60,COLUMN()-29),1,MIN(60,COLUMN()-29)),OFFSET(EH669,0,-MIN(60,COLUMN()-29),1,MIN(60,COLUMN()-29))),0)</f>
        <v>0</v>
      </c>
      <c r="EI670" s="112" t="n">
        <f aca="true">IFERROR(SUMPRODUCT(OFFSET($BJ$31,0,1-MIN(60,COLUMN()-29),1,MIN(60,COLUMN()-29)),OFFSET(EI669,0,-MIN(60,COLUMN()-29),1,MIN(60,COLUMN()-29))),0)</f>
        <v>0</v>
      </c>
      <c r="EJ670" s="112" t="n">
        <f aca="true">IFERROR(SUMPRODUCT(OFFSET($BJ$31,0,1-MIN(60,COLUMN()-29),1,MIN(60,COLUMN()-29)),OFFSET(EJ669,0,-MIN(60,COLUMN()-29),1,MIN(60,COLUMN()-29))),0)</f>
        <v>0</v>
      </c>
      <c r="EK670" s="112" t="n">
        <f aca="true">IFERROR(SUMPRODUCT(OFFSET($BJ$31,0,1-MIN(60,COLUMN()-29),1,MIN(60,COLUMN()-29)),OFFSET(EK669,0,-MIN(60,COLUMN()-29),1,MIN(60,COLUMN()-29))),0)</f>
        <v>0</v>
      </c>
      <c r="EL670" s="112" t="n">
        <f aca="true">IFERROR(SUMPRODUCT(OFFSET($BJ$31,0,1-MIN(60,COLUMN()-29),1,MIN(60,COLUMN()-29)),OFFSET(EL669,0,-MIN(60,COLUMN()-29),1,MIN(60,COLUMN()-29))),0)</f>
        <v>0</v>
      </c>
      <c r="EM670" s="112" t="n">
        <f aca="true">IFERROR(SUMPRODUCT(OFFSET($BJ$31,0,1-MIN(60,COLUMN()-29),1,MIN(60,COLUMN()-29)),OFFSET(EM669,0,-MIN(60,COLUMN()-29),1,MIN(60,COLUMN()-29))),0)</f>
        <v>0</v>
      </c>
      <c r="EN670" s="112" t="n">
        <f aca="true">IFERROR(SUMPRODUCT(OFFSET($BJ$31,0,1-MIN(60,COLUMN()-29),1,MIN(60,COLUMN()-29)),OFFSET(EN669,0,-MIN(60,COLUMN()-29),1,MIN(60,COLUMN()-29))),0)</f>
        <v>0</v>
      </c>
      <c r="EO670" s="112" t="n">
        <f aca="true">IFERROR(SUMPRODUCT(OFFSET($BJ$31,0,1-MIN(60,COLUMN()-29),1,MIN(60,COLUMN()-29)),OFFSET(EO669,0,-MIN(60,COLUMN()-29),1,MIN(60,COLUMN()-29))),0)</f>
        <v>0</v>
      </c>
      <c r="EP670" s="112" t="n">
        <f aca="true">IFERROR(SUMPRODUCT(OFFSET($BJ$31,0,1-MIN(60,COLUMN()-29),1,MIN(60,COLUMN()-29)),OFFSET(EP669,0,-MIN(60,COLUMN()-29),1,MIN(60,COLUMN()-29))),0)</f>
        <v>0</v>
      </c>
      <c r="EQ670" s="112" t="n">
        <f aca="true">IFERROR(SUMPRODUCT(OFFSET($BJ$31,0,1-MIN(60,COLUMN()-29),1,MIN(60,COLUMN()-29)),OFFSET(EQ669,0,-MIN(60,COLUMN()-29),1,MIN(60,COLUMN()-29))),0)</f>
        <v>0</v>
      </c>
      <c r="ER670" s="112" t="n">
        <f aca="true">IFERROR(SUMPRODUCT(OFFSET($BJ$31,0,1-MIN(60,COLUMN()-29),1,MIN(60,COLUMN()-29)),OFFSET(ER669,0,-MIN(60,COLUMN()-29),1,MIN(60,COLUMN()-29))),0)</f>
        <v>0</v>
      </c>
      <c r="ES670" s="9" t="n">
        <f aca="true">IFERROR(SUMPRODUCT(OFFSET($BJ$31,0,1-MIN(60,COLUMN()-29),1,MIN(60,COLUMN()-29)),OFFSET(ES669,0,-MIN(60,COLUMN()-29),1,MIN(60,COLUMN()-29))),0)</f>
        <v>0</v>
      </c>
      <c r="ET670" s="9" t="n">
        <f aca="true">IFERROR(SUMPRODUCT(OFFSET($BJ$31,0,1-MIN(60,COLUMN()-29),1,MIN(60,COLUMN()-29)),OFFSET(ET669,0,-MIN(60,COLUMN()-29),1,MIN(60,COLUMN()-29))),0)</f>
        <v>0</v>
      </c>
      <c r="EU670" s="9" t="n">
        <f aca="true">IFERROR(SUMPRODUCT(OFFSET($BJ$31,0,1-MIN(60,COLUMN()-29),1,MIN(60,COLUMN()-29)),OFFSET(EU669,0,-MIN(60,COLUMN()-29),1,MIN(60,COLUMN()-29))),0)</f>
        <v>0</v>
      </c>
      <c r="EV670" s="9" t="n">
        <f aca="true">IFERROR(SUMPRODUCT(OFFSET($BJ$31,0,1-MIN(60,COLUMN()-29),1,MIN(60,COLUMN()-29)),OFFSET(EV669,0,-MIN(60,COLUMN()-29),1,MIN(60,COLUMN()-29))),0)</f>
        <v>0</v>
      </c>
      <c r="EW670" s="9" t="n">
        <f aca="true">IFERROR(SUMPRODUCT(OFFSET($BJ$31,0,1-MIN(60,COLUMN()-29),1,MIN(60,COLUMN()-29)),OFFSET(EW669,0,-MIN(60,COLUMN()-29),1,MIN(60,COLUMN()-29))),0)</f>
        <v>0</v>
      </c>
      <c r="EX670" s="9" t="n">
        <f aca="true">IFERROR(SUMPRODUCT(OFFSET($BJ$31,0,1-MIN(60,COLUMN()-29),1,MIN(60,COLUMN()-29)),OFFSET(EX669,0,-MIN(60,COLUMN()-29),1,MIN(60,COLUMN()-29))),0)</f>
        <v>0</v>
      </c>
      <c r="EY670" s="9" t="n">
        <f aca="true">IFERROR(SUMPRODUCT(OFFSET($BJ$31,0,1-MIN(60,COLUMN()-29),1,MIN(60,COLUMN()-29)),OFFSET(EY669,0,-MIN(60,COLUMN()-29),1,MIN(60,COLUMN()-29))),0)</f>
        <v>0</v>
      </c>
      <c r="EZ670" s="9" t="n">
        <f aca="true">IFERROR(SUMPRODUCT(OFFSET($BJ$31,0,1-MIN(60,COLUMN()-29),1,MIN(60,COLUMN()-29)),OFFSET(EZ669,0,-MIN(60,COLUMN()-29),1,MIN(60,COLUMN()-29))),0)</f>
        <v>0</v>
      </c>
      <c r="FA670" s="9" t="n">
        <f aca="true">IFERROR(SUMPRODUCT(OFFSET($BJ$31,0,1-MIN(60,COLUMN()-29),1,MIN(60,COLUMN()-29)),OFFSET(FA669,0,-MIN(60,COLUMN()-29),1,MIN(60,COLUMN()-29))),0)</f>
        <v>0</v>
      </c>
      <c r="FB670" s="9" t="n">
        <f aca="true">IFERROR(SUMPRODUCT(OFFSET($BJ$31,0,1-MIN(60,COLUMN()-29),1,MIN(60,COLUMN()-29)),OFFSET(FB669,0,-MIN(60,COLUMN()-29),1,MIN(60,COLUMN()-29))),0)</f>
        <v>0</v>
      </c>
      <c r="FC670" s="9" t="n">
        <f aca="true">IFERROR(SUMPRODUCT(OFFSET($BJ$31,0,1-MIN(60,COLUMN()-29),1,MIN(60,COLUMN()-29)),OFFSET(FC669,0,-MIN(60,COLUMN()-29),1,MIN(60,COLUMN()-29))),0)</f>
        <v>0</v>
      </c>
      <c r="FD670" s="9" t="n">
        <f aca="true">IFERROR(SUMPRODUCT(OFFSET($BJ$31,0,1-MIN(60,COLUMN()-29),1,MIN(60,COLUMN()-29)),OFFSET(FD669,0,-MIN(60,COLUMN()-29),1,MIN(60,COLUMN()-29))),0)</f>
        <v>0</v>
      </c>
      <c r="FE670" s="9" t="n">
        <f aca="true">IFERROR(SUMPRODUCT(OFFSET($BJ$31,0,1-MIN(60,COLUMN()-29),1,MIN(60,COLUMN()-29)),OFFSET(FE669,0,-MIN(60,COLUMN()-29),1,MIN(60,COLUMN()-29))),0)</f>
        <v>0</v>
      </c>
      <c r="FF670" s="9" t="n">
        <f aca="true">IFERROR(SUMPRODUCT(OFFSET($BJ$31,0,1-MIN(60,COLUMN()-29),1,MIN(60,COLUMN()-29)),OFFSET(FF669,0,-MIN(60,COLUMN()-29),1,MIN(60,COLUMN()-29))),0)</f>
        <v>0</v>
      </c>
      <c r="FG670" s="9" t="n">
        <f aca="true">IFERROR(SUMPRODUCT(OFFSET($BJ$31,0,1-MIN(60,COLUMN()-29),1,MIN(60,COLUMN()-29)),OFFSET(FG669,0,-MIN(60,COLUMN()-29),1,MIN(60,COLUMN()-29))),0)</f>
        <v>0</v>
      </c>
      <c r="FH670" s="9" t="n">
        <f aca="true">IFERROR(SUMPRODUCT(OFFSET($BJ$31,0,1-MIN(60,COLUMN()-29),1,MIN(60,COLUMN()-29)),OFFSET(FH669,0,-MIN(60,COLUMN()-29),1,MIN(60,COLUMN()-29))),0)</f>
        <v>0</v>
      </c>
      <c r="FI670" s="9" t="n">
        <f aca="true">IFERROR(SUMPRODUCT(OFFSET($BJ$31,0,1-MIN(60,COLUMN()-29),1,MIN(60,COLUMN()-29)),OFFSET(FI669,0,-MIN(60,COLUMN()-29),1,MIN(60,COLUMN()-29))),0)</f>
        <v>0</v>
      </c>
      <c r="FJ670" s="9" t="n">
        <f aca="true">IFERROR(SUMPRODUCT(OFFSET($BJ$31,0,1-MIN(60,COLUMN()-29),1,MIN(60,COLUMN()-29)),OFFSET(FJ669,0,-MIN(60,COLUMN()-29),1,MIN(60,COLUMN()-29))),0)</f>
        <v>0</v>
      </c>
      <c r="FK670" s="9" t="n">
        <f aca="true">IFERROR(SUMPRODUCT(OFFSET($BJ$31,0,1-MIN(60,COLUMN()-29),1,MIN(60,COLUMN()-29)),OFFSET(FK669,0,-MIN(60,COLUMN()-29),1,MIN(60,COLUMN()-29))),0)</f>
        <v>0</v>
      </c>
      <c r="FL670" s="9" t="n">
        <f aca="true">IFERROR(SUMPRODUCT(OFFSET($BJ$31,0,1-MIN(60,COLUMN()-29),1,MIN(60,COLUMN()-29)),OFFSET(FL669,0,-MIN(60,COLUMN()-29),1,MIN(60,COLUMN()-29))),0)</f>
        <v>0</v>
      </c>
      <c r="FM670" s="9" t="n">
        <f aca="true">IFERROR(SUMPRODUCT(OFFSET($BJ$31,0,1-MIN(60,COLUMN()-29),1,MIN(60,COLUMN()-29)),OFFSET(FM669,0,-MIN(60,COLUMN()-29),1,MIN(60,COLUMN()-29))),0)</f>
        <v>0</v>
      </c>
      <c r="FN670" s="9" t="n">
        <f aca="true">IFERROR(SUMPRODUCT(OFFSET($BJ$31,0,1-MIN(60,COLUMN()-29),1,MIN(60,COLUMN()-29)),OFFSET(FN669,0,-MIN(60,COLUMN()-29),1,MIN(60,COLUMN()-29))),0)</f>
        <v>0</v>
      </c>
      <c r="FO670" s="9" t="n">
        <f aca="true">IFERROR(SUMPRODUCT(OFFSET($BJ$31,0,1-MIN(60,COLUMN()-29),1,MIN(60,COLUMN()-29)),OFFSET(FO669,0,-MIN(60,COLUMN()-29),1,MIN(60,COLUMN()-29))),0)</f>
        <v>0</v>
      </c>
      <c r="FP670" s="9" t="n">
        <f aca="true">IFERROR(SUMPRODUCT(OFFSET($BJ$31,0,1-MIN(60,COLUMN()-29),1,MIN(60,COLUMN()-29)),OFFSET(FP669,0,-MIN(60,COLUMN()-29),1,MIN(60,COLUMN()-29))),0)</f>
        <v>0</v>
      </c>
    </row>
    <row r="671" customFormat="false" ht="15" hidden="false" customHeight="false" outlineLevel="2" collapsed="false">
      <c r="B671" s="90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237"/>
      <c r="AD671" s="237"/>
      <c r="AE671" s="237"/>
      <c r="AF671" s="237"/>
      <c r="AG671" s="237"/>
      <c r="AH671" s="237"/>
      <c r="AI671" s="237"/>
      <c r="AJ671" s="237"/>
      <c r="AK671" s="237"/>
      <c r="AL671" s="237"/>
      <c r="AM671" s="237"/>
      <c r="AN671" s="237"/>
      <c r="AO671" s="237"/>
      <c r="AP671" s="237"/>
      <c r="AQ671" s="237"/>
      <c r="AR671" s="237"/>
      <c r="AS671" s="237"/>
      <c r="AT671" s="237"/>
      <c r="AU671" s="237"/>
      <c r="AV671" s="237"/>
      <c r="AW671" s="237"/>
      <c r="AX671" s="237"/>
      <c r="AY671" s="237"/>
      <c r="AZ671" s="237"/>
      <c r="BA671" s="237"/>
      <c r="BB671" s="237"/>
      <c r="BC671" s="237"/>
      <c r="BD671" s="237"/>
      <c r="BE671" s="237"/>
      <c r="BF671" s="237"/>
      <c r="BG671" s="237"/>
      <c r="BH671" s="237"/>
      <c r="BI671" s="237"/>
      <c r="BJ671" s="237"/>
      <c r="BK671" s="237"/>
      <c r="BL671" s="237"/>
      <c r="BM671" s="237"/>
      <c r="BN671" s="237"/>
      <c r="BO671" s="237"/>
      <c r="BP671" s="237"/>
      <c r="BQ671" s="237"/>
      <c r="BR671" s="237"/>
      <c r="BS671" s="237"/>
      <c r="BT671" s="237"/>
      <c r="BU671" s="237"/>
      <c r="BV671" s="237"/>
      <c r="BW671" s="237"/>
      <c r="BX671" s="237"/>
      <c r="BY671" s="237"/>
      <c r="BZ671" s="237"/>
      <c r="CA671" s="237"/>
      <c r="CB671" s="237"/>
      <c r="CC671" s="237"/>
      <c r="CD671" s="237"/>
      <c r="CE671" s="237"/>
      <c r="CF671" s="237"/>
      <c r="CG671" s="237"/>
      <c r="CH671" s="237"/>
      <c r="CI671" s="237"/>
      <c r="CJ671" s="237"/>
      <c r="CK671" s="237"/>
      <c r="CL671" s="237"/>
      <c r="CM671" s="237"/>
      <c r="CN671" s="237"/>
      <c r="CO671" s="237"/>
      <c r="CP671" s="237"/>
      <c r="CQ671" s="237"/>
      <c r="CR671" s="237"/>
      <c r="CS671" s="237"/>
      <c r="CT671" s="237"/>
      <c r="CU671" s="237"/>
      <c r="CV671" s="237"/>
      <c r="CW671" s="237"/>
      <c r="CX671" s="237"/>
      <c r="CY671" s="237"/>
      <c r="CZ671" s="237"/>
      <c r="DA671" s="237"/>
      <c r="DB671" s="237"/>
      <c r="DC671" s="237"/>
      <c r="DD671" s="237"/>
      <c r="DE671" s="237"/>
      <c r="DF671" s="237"/>
      <c r="DG671" s="237"/>
      <c r="DH671" s="237"/>
      <c r="DI671" s="237"/>
      <c r="DJ671" s="237"/>
      <c r="DK671" s="237"/>
      <c r="DL671" s="237"/>
      <c r="DM671" s="237"/>
      <c r="DN671" s="237"/>
      <c r="DO671" s="237"/>
      <c r="DP671" s="237"/>
      <c r="DQ671" s="237"/>
      <c r="DR671" s="237"/>
      <c r="DS671" s="237"/>
      <c r="DT671" s="237"/>
      <c r="DU671" s="237"/>
      <c r="DV671" s="237"/>
      <c r="DW671" s="237"/>
      <c r="DX671" s="237"/>
      <c r="DY671" s="237"/>
      <c r="DZ671" s="237"/>
      <c r="EA671" s="237"/>
      <c r="EB671" s="237"/>
      <c r="EC671" s="237"/>
      <c r="ED671" s="237"/>
      <c r="EE671" s="237"/>
      <c r="EF671" s="237"/>
      <c r="EG671" s="237"/>
      <c r="EH671" s="237"/>
      <c r="EI671" s="237"/>
      <c r="EJ671" s="237"/>
      <c r="EK671" s="237"/>
      <c r="EL671" s="237"/>
      <c r="EM671" s="237"/>
      <c r="EN671" s="237"/>
      <c r="EO671" s="237"/>
      <c r="EP671" s="237"/>
      <c r="EQ671" s="237"/>
      <c r="ER671" s="237"/>
      <c r="ES671" s="9"/>
      <c r="ET671" s="9"/>
      <c r="EU671" s="9"/>
      <c r="EV671" s="9"/>
      <c r="EW671" s="9"/>
      <c r="EX671" s="9"/>
      <c r="EY671" s="9"/>
      <c r="EZ671" s="9"/>
      <c r="FA671" s="9"/>
      <c r="FB671" s="9"/>
      <c r="FC671" s="9"/>
      <c r="FD671" s="9"/>
      <c r="FE671" s="9"/>
      <c r="FF671" s="9"/>
      <c r="FG671" s="9"/>
      <c r="FH671" s="9"/>
      <c r="FI671" s="9"/>
      <c r="FJ671" s="9"/>
      <c r="FK671" s="9"/>
      <c r="FL671" s="9"/>
      <c r="FM671" s="9"/>
      <c r="FN671" s="9"/>
      <c r="FO671" s="9"/>
      <c r="FP671" s="9"/>
    </row>
    <row r="672" customFormat="false" ht="15" hidden="false" customHeight="false" outlineLevel="2" collapsed="false">
      <c r="B672" s="240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237"/>
      <c r="AD672" s="237"/>
      <c r="AE672" s="237"/>
      <c r="AF672" s="237"/>
      <c r="AG672" s="237"/>
      <c r="AH672" s="237"/>
      <c r="AI672" s="237"/>
      <c r="AJ672" s="237"/>
      <c r="AK672" s="237"/>
      <c r="AL672" s="237"/>
      <c r="AM672" s="237"/>
      <c r="AN672" s="237"/>
      <c r="AO672" s="237"/>
      <c r="AP672" s="237"/>
      <c r="AQ672" s="237"/>
      <c r="AR672" s="237"/>
      <c r="AS672" s="237"/>
      <c r="AT672" s="237"/>
      <c r="AU672" s="237"/>
      <c r="AV672" s="237"/>
      <c r="AW672" s="237"/>
      <c r="AX672" s="237"/>
      <c r="AY672" s="237"/>
      <c r="AZ672" s="237"/>
      <c r="BA672" s="237"/>
      <c r="BB672" s="237"/>
      <c r="BC672" s="237"/>
      <c r="BD672" s="237"/>
      <c r="BE672" s="237"/>
      <c r="BF672" s="237"/>
      <c r="BG672" s="237"/>
      <c r="BH672" s="237"/>
      <c r="BI672" s="237"/>
      <c r="BJ672" s="237"/>
      <c r="BK672" s="237"/>
      <c r="BL672" s="237"/>
      <c r="BM672" s="237"/>
      <c r="BN672" s="237"/>
      <c r="BO672" s="237"/>
      <c r="BP672" s="237"/>
      <c r="BQ672" s="237"/>
      <c r="BR672" s="237"/>
      <c r="BS672" s="237"/>
      <c r="BT672" s="237"/>
      <c r="BU672" s="237"/>
      <c r="BV672" s="237"/>
      <c r="BW672" s="237"/>
      <c r="BX672" s="237"/>
      <c r="BY672" s="237"/>
      <c r="BZ672" s="237"/>
      <c r="CA672" s="237"/>
      <c r="CB672" s="237"/>
      <c r="CC672" s="237"/>
      <c r="CD672" s="237"/>
      <c r="CE672" s="237"/>
      <c r="CF672" s="237"/>
      <c r="CG672" s="237"/>
      <c r="CH672" s="237"/>
      <c r="CI672" s="237"/>
      <c r="CJ672" s="237"/>
      <c r="CK672" s="237"/>
      <c r="CL672" s="237"/>
      <c r="CM672" s="237"/>
      <c r="CN672" s="237"/>
      <c r="CO672" s="237"/>
      <c r="CP672" s="237"/>
      <c r="CQ672" s="237"/>
      <c r="CR672" s="237"/>
      <c r="CS672" s="237"/>
      <c r="CT672" s="237"/>
      <c r="CU672" s="237"/>
      <c r="CV672" s="237"/>
      <c r="CW672" s="237"/>
      <c r="CX672" s="237"/>
      <c r="CY672" s="237"/>
      <c r="CZ672" s="237"/>
      <c r="DA672" s="237"/>
      <c r="DB672" s="237"/>
      <c r="DC672" s="237"/>
      <c r="DD672" s="237"/>
      <c r="DE672" s="237"/>
      <c r="DF672" s="237"/>
      <c r="DG672" s="237"/>
      <c r="DH672" s="237"/>
      <c r="DI672" s="237"/>
      <c r="DJ672" s="237"/>
      <c r="DK672" s="237"/>
      <c r="DL672" s="237"/>
      <c r="DM672" s="237"/>
      <c r="DN672" s="237"/>
      <c r="DO672" s="237"/>
      <c r="DP672" s="237"/>
      <c r="DQ672" s="237"/>
      <c r="DR672" s="237"/>
      <c r="DS672" s="237"/>
      <c r="DT672" s="237"/>
      <c r="DU672" s="237"/>
      <c r="DV672" s="237"/>
      <c r="DW672" s="237"/>
      <c r="DX672" s="237"/>
      <c r="DY672" s="237"/>
      <c r="DZ672" s="237"/>
      <c r="EA672" s="237"/>
      <c r="EB672" s="237"/>
      <c r="EC672" s="237"/>
      <c r="ED672" s="237"/>
      <c r="EE672" s="237"/>
      <c r="EF672" s="237"/>
      <c r="EG672" s="237"/>
      <c r="EH672" s="237"/>
      <c r="EI672" s="237"/>
      <c r="EJ672" s="237"/>
      <c r="EK672" s="237"/>
      <c r="EL672" s="237"/>
      <c r="EM672" s="237"/>
      <c r="EN672" s="237"/>
      <c r="EO672" s="237"/>
      <c r="EP672" s="237"/>
      <c r="EQ672" s="237"/>
      <c r="ER672" s="237"/>
      <c r="ES672" s="9"/>
      <c r="ET672" s="9"/>
      <c r="EU672" s="9"/>
      <c r="EV672" s="9"/>
      <c r="EW672" s="9"/>
      <c r="EX672" s="9"/>
      <c r="EY672" s="9"/>
      <c r="EZ672" s="9"/>
      <c r="FA672" s="9"/>
      <c r="FB672" s="9"/>
      <c r="FC672" s="9"/>
      <c r="FD672" s="9"/>
      <c r="FE672" s="9"/>
      <c r="FF672" s="9"/>
      <c r="FG672" s="9"/>
      <c r="FH672" s="9"/>
      <c r="FI672" s="9"/>
      <c r="FJ672" s="9"/>
      <c r="FK672" s="9"/>
      <c r="FL672" s="9"/>
      <c r="FM672" s="9"/>
      <c r="FN672" s="9"/>
      <c r="FO672" s="9"/>
      <c r="FP672" s="9"/>
    </row>
    <row r="673" customFormat="false" ht="15" hidden="false" customHeight="false" outlineLevel="2" collapsed="false">
      <c r="B673" s="21" t="s">
        <v>940</v>
      </c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/>
      <c r="BE673" s="21"/>
      <c r="BF673" s="21"/>
      <c r="BG673" s="21"/>
      <c r="BH673" s="21"/>
      <c r="BI673" s="21"/>
      <c r="BJ673" s="21"/>
      <c r="BK673" s="21"/>
      <c r="BL673" s="21"/>
      <c r="BM673" s="21"/>
      <c r="BN673" s="21"/>
      <c r="BO673" s="21"/>
      <c r="BP673" s="21"/>
      <c r="BQ673" s="21"/>
      <c r="BR673" s="21"/>
      <c r="BS673" s="21"/>
      <c r="BT673" s="21"/>
      <c r="BU673" s="21"/>
      <c r="BV673" s="21"/>
      <c r="BW673" s="21"/>
      <c r="BX673" s="21"/>
      <c r="BY673" s="21"/>
      <c r="BZ673" s="21"/>
      <c r="CA673" s="21"/>
      <c r="CB673" s="21"/>
      <c r="CC673" s="21"/>
      <c r="CD673" s="21"/>
      <c r="CE673" s="21"/>
      <c r="CF673" s="21"/>
      <c r="CG673" s="21"/>
      <c r="CH673" s="21"/>
      <c r="CI673" s="21"/>
      <c r="CJ673" s="21"/>
      <c r="CK673" s="21"/>
      <c r="CL673" s="21"/>
      <c r="CM673" s="21"/>
      <c r="CN673" s="21"/>
      <c r="CO673" s="21"/>
      <c r="CP673" s="21"/>
      <c r="CQ673" s="21"/>
      <c r="CR673" s="21"/>
      <c r="CS673" s="21"/>
      <c r="CT673" s="21"/>
      <c r="CU673" s="21"/>
      <c r="CV673" s="21"/>
      <c r="CW673" s="21"/>
      <c r="CX673" s="21"/>
      <c r="CY673" s="21"/>
      <c r="CZ673" s="21"/>
      <c r="DA673" s="21"/>
      <c r="DB673" s="21"/>
      <c r="DC673" s="21"/>
      <c r="DD673" s="21"/>
      <c r="DE673" s="21"/>
      <c r="DF673" s="21"/>
      <c r="DG673" s="21"/>
      <c r="DH673" s="21"/>
      <c r="DI673" s="21"/>
      <c r="DJ673" s="21"/>
      <c r="DK673" s="21"/>
      <c r="DL673" s="21"/>
      <c r="DM673" s="21"/>
      <c r="DN673" s="21"/>
      <c r="DO673" s="21"/>
      <c r="DP673" s="21"/>
      <c r="DQ673" s="21"/>
      <c r="DR673" s="21"/>
      <c r="DS673" s="21"/>
      <c r="DT673" s="21"/>
      <c r="DU673" s="21"/>
      <c r="DV673" s="21"/>
      <c r="DW673" s="21"/>
      <c r="DX673" s="21"/>
      <c r="DY673" s="21"/>
      <c r="DZ673" s="21"/>
      <c r="EA673" s="21"/>
      <c r="EB673" s="21"/>
      <c r="EC673" s="21"/>
      <c r="ED673" s="21"/>
      <c r="EE673" s="21"/>
      <c r="EF673" s="21"/>
      <c r="EG673" s="21"/>
      <c r="EH673" s="21"/>
      <c r="EI673" s="21"/>
      <c r="EJ673" s="21"/>
      <c r="EK673" s="21"/>
      <c r="EL673" s="21"/>
      <c r="EM673" s="21"/>
      <c r="EN673" s="21"/>
      <c r="EO673" s="21"/>
      <c r="EP673" s="21"/>
      <c r="EQ673" s="21"/>
      <c r="ER673" s="21"/>
      <c r="ES673" s="9"/>
      <c r="ET673" s="9"/>
      <c r="EU673" s="9"/>
      <c r="EV673" s="9"/>
      <c r="EW673" s="9"/>
      <c r="EX673" s="9"/>
      <c r="EY673" s="9"/>
      <c r="EZ673" s="9"/>
      <c r="FA673" s="9"/>
      <c r="FB673" s="9"/>
      <c r="FC673" s="9"/>
      <c r="FD673" s="9"/>
      <c r="FE673" s="9"/>
      <c r="FF673" s="9"/>
      <c r="FG673" s="9"/>
      <c r="FH673" s="9"/>
      <c r="FI673" s="9"/>
      <c r="FJ673" s="9"/>
      <c r="FK673" s="9"/>
      <c r="FL673" s="9"/>
      <c r="FM673" s="9"/>
      <c r="FN673" s="9"/>
      <c r="FO673" s="9"/>
      <c r="FP673" s="9"/>
    </row>
    <row r="674" customFormat="false" ht="15" hidden="false" customHeight="false" outlineLevel="2" collapsed="false">
      <c r="B674" s="9" t="s">
        <v>872</v>
      </c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234" t="n">
        <f aca="false">('⑫ Roll-out Plan'!G72-2025)*12+'⑫ Roll-out Plan'!F72</f>
        <v>91</v>
      </c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  <c r="CU674" s="9"/>
      <c r="CV674" s="9"/>
      <c r="CW674" s="9"/>
      <c r="CX674" s="9"/>
      <c r="CY674" s="9"/>
      <c r="CZ674" s="9"/>
      <c r="DA674" s="9"/>
      <c r="DB674" s="9"/>
      <c r="DC674" s="9"/>
      <c r="DD674" s="9"/>
      <c r="DE674" s="9"/>
      <c r="DF674" s="9"/>
      <c r="DG674" s="9"/>
      <c r="DH674" s="9"/>
      <c r="DI674" s="9"/>
      <c r="DJ674" s="9"/>
      <c r="DK674" s="9"/>
      <c r="DL674" s="9"/>
      <c r="DM674" s="9"/>
      <c r="DN674" s="9"/>
      <c r="DO674" s="9"/>
      <c r="DP674" s="9"/>
      <c r="DQ674" s="9"/>
      <c r="DR674" s="9"/>
      <c r="DS674" s="9"/>
      <c r="DT674" s="9"/>
      <c r="DU674" s="9"/>
      <c r="DV674" s="9"/>
      <c r="DW674" s="9"/>
      <c r="DX674" s="9"/>
      <c r="DY674" s="9"/>
      <c r="DZ674" s="9"/>
      <c r="EA674" s="9"/>
      <c r="EB674" s="9"/>
      <c r="EC674" s="9"/>
      <c r="ED674" s="9"/>
      <c r="EE674" s="9"/>
      <c r="EF674" s="9"/>
      <c r="EG674" s="9"/>
      <c r="EH674" s="9"/>
      <c r="EI674" s="9"/>
      <c r="EJ674" s="9"/>
      <c r="EK674" s="9"/>
      <c r="EL674" s="9"/>
      <c r="EM674" s="9"/>
      <c r="EN674" s="9"/>
      <c r="EO674" s="9"/>
      <c r="EP674" s="9"/>
      <c r="EQ674" s="9"/>
      <c r="ER674" s="9"/>
      <c r="ES674" s="9"/>
      <c r="ET674" s="9"/>
      <c r="EU674" s="9"/>
      <c r="EV674" s="9"/>
      <c r="EW674" s="9"/>
      <c r="EX674" s="9"/>
      <c r="EY674" s="9"/>
      <c r="EZ674" s="9"/>
      <c r="FA674" s="9"/>
      <c r="FB674" s="9"/>
      <c r="FC674" s="9"/>
      <c r="FD674" s="9"/>
      <c r="FE674" s="9"/>
      <c r="FF674" s="9"/>
      <c r="FG674" s="9"/>
      <c r="FH674" s="9"/>
      <c r="FI674" s="9"/>
      <c r="FJ674" s="9"/>
      <c r="FK674" s="9"/>
      <c r="FL674" s="9"/>
      <c r="FM674" s="9"/>
      <c r="FN674" s="9"/>
      <c r="FO674" s="9"/>
      <c r="FP674" s="9"/>
    </row>
    <row r="675" customFormat="false" ht="15" hidden="false" customHeight="false" outlineLevel="2" collapsed="false">
      <c r="B675" s="9" t="s">
        <v>873</v>
      </c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235" t="n">
        <f aca="false">VLOOKUP("B",$B$14:$C$18,2,FALSE())</f>
        <v>185</v>
      </c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  <c r="CA675" s="9"/>
      <c r="CB675" s="9"/>
      <c r="CC675" s="9"/>
      <c r="CD675" s="9"/>
      <c r="CE675" s="9"/>
      <c r="CF675" s="9"/>
      <c r="CG675" s="9"/>
      <c r="CH675" s="9"/>
      <c r="CI675" s="9"/>
      <c r="CJ675" s="9"/>
      <c r="CK675" s="9"/>
      <c r="CL675" s="9"/>
      <c r="CM675" s="9"/>
      <c r="CN675" s="9"/>
      <c r="CO675" s="9"/>
      <c r="CP675" s="9"/>
      <c r="CQ675" s="9"/>
      <c r="CR675" s="9"/>
      <c r="CS675" s="9"/>
      <c r="CT675" s="9"/>
      <c r="CU675" s="9"/>
      <c r="CV675" s="9"/>
      <c r="CW675" s="9"/>
      <c r="CX675" s="9"/>
      <c r="CY675" s="9"/>
      <c r="CZ675" s="9"/>
      <c r="DA675" s="9"/>
      <c r="DB675" s="9"/>
      <c r="DC675" s="9"/>
      <c r="DD675" s="9"/>
      <c r="DE675" s="9"/>
      <c r="DF675" s="9"/>
      <c r="DG675" s="9"/>
      <c r="DH675" s="9"/>
      <c r="DI675" s="9"/>
      <c r="DJ675" s="9"/>
      <c r="DK675" s="9"/>
      <c r="DL675" s="9"/>
      <c r="DM675" s="9"/>
      <c r="DN675" s="9"/>
      <c r="DO675" s="9"/>
      <c r="DP675" s="9"/>
      <c r="DQ675" s="9"/>
      <c r="DR675" s="9"/>
      <c r="DS675" s="9"/>
      <c r="DT675" s="9"/>
      <c r="DU675" s="9"/>
      <c r="DV675" s="9"/>
      <c r="DW675" s="9"/>
      <c r="DX675" s="9"/>
      <c r="DY675" s="9"/>
      <c r="DZ675" s="9"/>
      <c r="EA675" s="9"/>
      <c r="EB675" s="9"/>
      <c r="EC675" s="9"/>
      <c r="ED675" s="9"/>
      <c r="EE675" s="9"/>
      <c r="EF675" s="9"/>
      <c r="EG675" s="9"/>
      <c r="EH675" s="9"/>
      <c r="EI675" s="9"/>
      <c r="EJ675" s="9"/>
      <c r="EK675" s="9"/>
      <c r="EL675" s="9"/>
      <c r="EM675" s="9"/>
      <c r="EN675" s="9"/>
      <c r="EO675" s="9"/>
      <c r="EP675" s="9"/>
      <c r="EQ675" s="9"/>
      <c r="ER675" s="9"/>
      <c r="ES675" s="9"/>
      <c r="ET675" s="9"/>
      <c r="EU675" s="9"/>
      <c r="EV675" s="9"/>
      <c r="EW675" s="9"/>
      <c r="EX675" s="9"/>
      <c r="EY675" s="9"/>
      <c r="EZ675" s="9"/>
      <c r="FA675" s="9"/>
      <c r="FB675" s="9"/>
      <c r="FC675" s="9"/>
      <c r="FD675" s="9"/>
      <c r="FE675" s="9"/>
      <c r="FF675" s="9"/>
      <c r="FG675" s="9"/>
      <c r="FH675" s="9"/>
      <c r="FI675" s="9"/>
      <c r="FJ675" s="9"/>
      <c r="FK675" s="9"/>
      <c r="FL675" s="9"/>
      <c r="FM675" s="9"/>
      <c r="FN675" s="9"/>
      <c r="FO675" s="9"/>
      <c r="FP675" s="9"/>
    </row>
    <row r="676" customFormat="false" ht="15" hidden="false" customHeight="false" outlineLevel="2" collapsed="false">
      <c r="B676" s="9" t="s">
        <v>799</v>
      </c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63" t="n">
        <f aca="false">IF(AC$35&gt;=$AC$674,AC$35-$AC$674+1,0)</f>
        <v>0</v>
      </c>
      <c r="AD676" s="63" t="n">
        <f aca="false">IF(AD$35&gt;=$AC$674,AD$35-$AC$674+1,0)</f>
        <v>0</v>
      </c>
      <c r="AE676" s="63" t="n">
        <f aca="false">IF(AE$35&gt;=$AC$674,AE$35-$AC$674+1,0)</f>
        <v>0</v>
      </c>
      <c r="AF676" s="63" t="n">
        <f aca="false">IF(AF$35&gt;=$AC$674,AF$35-$AC$674+1,0)</f>
        <v>0</v>
      </c>
      <c r="AG676" s="63" t="n">
        <f aca="false">IF(AG$35&gt;=$AC$674,AG$35-$AC$674+1,0)</f>
        <v>0</v>
      </c>
      <c r="AH676" s="63" t="n">
        <f aca="false">IF(AH$35&gt;=$AC$674,AH$35-$AC$674+1,0)</f>
        <v>0</v>
      </c>
      <c r="AI676" s="63" t="n">
        <f aca="false">IF(AI$35&gt;=$AC$674,AI$35-$AC$674+1,0)</f>
        <v>0</v>
      </c>
      <c r="AJ676" s="63" t="n">
        <f aca="false">IF(AJ$35&gt;=$AC$674,AJ$35-$AC$674+1,0)</f>
        <v>0</v>
      </c>
      <c r="AK676" s="63" t="n">
        <f aca="false">IF(AK$35&gt;=$AC$674,AK$35-$AC$674+1,0)</f>
        <v>0</v>
      </c>
      <c r="AL676" s="63" t="n">
        <f aca="false">IF(AL$35&gt;=$AC$674,AL$35-$AC$674+1,0)</f>
        <v>0</v>
      </c>
      <c r="AM676" s="63" t="n">
        <f aca="false">IF(AM$35&gt;=$AC$674,AM$35-$AC$674+1,0)</f>
        <v>0</v>
      </c>
      <c r="AN676" s="63" t="n">
        <f aca="false">IF(AN$35&gt;=$AC$674,AN$35-$AC$674+1,0)</f>
        <v>0</v>
      </c>
      <c r="AO676" s="63" t="n">
        <f aca="false">IF(AO$35&gt;=$AC$674,AO$35-$AC$674+1,0)</f>
        <v>0</v>
      </c>
      <c r="AP676" s="63" t="n">
        <f aca="false">IF(AP$35&gt;=$AC$674,AP$35-$AC$674+1,0)</f>
        <v>0</v>
      </c>
      <c r="AQ676" s="63" t="n">
        <f aca="false">IF(AQ$35&gt;=$AC$674,AQ$35-$AC$674+1,0)</f>
        <v>0</v>
      </c>
      <c r="AR676" s="63" t="n">
        <f aca="false">IF(AR$35&gt;=$AC$674,AR$35-$AC$674+1,0)</f>
        <v>0</v>
      </c>
      <c r="AS676" s="63" t="n">
        <f aca="false">IF(AS$35&gt;=$AC$674,AS$35-$AC$674+1,0)</f>
        <v>0</v>
      </c>
      <c r="AT676" s="63" t="n">
        <f aca="false">IF(AT$35&gt;=$AC$674,AT$35-$AC$674+1,0)</f>
        <v>0</v>
      </c>
      <c r="AU676" s="63" t="n">
        <f aca="false">IF(AU$35&gt;=$AC$674,AU$35-$AC$674+1,0)</f>
        <v>0</v>
      </c>
      <c r="AV676" s="63" t="n">
        <f aca="false">IF(AV$35&gt;=$AC$674,AV$35-$AC$674+1,0)</f>
        <v>0</v>
      </c>
      <c r="AW676" s="63" t="n">
        <f aca="false">IF(AW$35&gt;=$AC$674,AW$35-$AC$674+1,0)</f>
        <v>0</v>
      </c>
      <c r="AX676" s="63" t="n">
        <f aca="false">IF(AX$35&gt;=$AC$674,AX$35-$AC$674+1,0)</f>
        <v>0</v>
      </c>
      <c r="AY676" s="63" t="n">
        <f aca="false">IF(AY$35&gt;=$AC$674,AY$35-$AC$674+1,0)</f>
        <v>0</v>
      </c>
      <c r="AZ676" s="63" t="n">
        <f aca="false">IF(AZ$35&gt;=$AC$674,AZ$35-$AC$674+1,0)</f>
        <v>0</v>
      </c>
      <c r="BA676" s="63" t="n">
        <f aca="false">IF(BA$35&gt;=$AC$674,BA$35-$AC$674+1,0)</f>
        <v>0</v>
      </c>
      <c r="BB676" s="63" t="n">
        <f aca="false">IF(BB$35&gt;=$AC$674,BB$35-$AC$674+1,0)</f>
        <v>0</v>
      </c>
      <c r="BC676" s="63" t="n">
        <f aca="false">IF(BC$35&gt;=$AC$674,BC$35-$AC$674+1,0)</f>
        <v>0</v>
      </c>
      <c r="BD676" s="63" t="n">
        <f aca="false">IF(BD$35&gt;=$AC$674,BD$35-$AC$674+1,0)</f>
        <v>0</v>
      </c>
      <c r="BE676" s="63" t="n">
        <f aca="false">IF(BE$35&gt;=$AC$674,BE$35-$AC$674+1,0)</f>
        <v>0</v>
      </c>
      <c r="BF676" s="63" t="n">
        <f aca="false">IF(BF$35&gt;=$AC$674,BF$35-$AC$674+1,0)</f>
        <v>0</v>
      </c>
      <c r="BG676" s="63" t="n">
        <f aca="false">IF(BG$35&gt;=$AC$674,BG$35-$AC$674+1,0)</f>
        <v>0</v>
      </c>
      <c r="BH676" s="63" t="n">
        <f aca="false">IF(BH$35&gt;=$AC$674,BH$35-$AC$674+1,0)</f>
        <v>0</v>
      </c>
      <c r="BI676" s="63" t="n">
        <f aca="false">IF(BI$35&gt;=$AC$674,BI$35-$AC$674+1,0)</f>
        <v>0</v>
      </c>
      <c r="BJ676" s="63" t="n">
        <f aca="false">IF(BJ$35&gt;=$AC$674,BJ$35-$AC$674+1,0)</f>
        <v>0</v>
      </c>
      <c r="BK676" s="63" t="n">
        <f aca="false">IF(BK$35&gt;=$AC$674,BK$35-$AC$674+1,0)</f>
        <v>0</v>
      </c>
      <c r="BL676" s="63" t="n">
        <f aca="false">IF(BL$35&gt;=$AC$674,BL$35-$AC$674+1,0)</f>
        <v>0</v>
      </c>
      <c r="BM676" s="63" t="n">
        <f aca="false">IF(BM$35&gt;=$AC$674,BM$35-$AC$674+1,0)</f>
        <v>0</v>
      </c>
      <c r="BN676" s="63" t="n">
        <f aca="false">IF(BN$35&gt;=$AC$674,BN$35-$AC$674+1,0)</f>
        <v>0</v>
      </c>
      <c r="BO676" s="63" t="n">
        <f aca="false">IF(BO$35&gt;=$AC$674,BO$35-$AC$674+1,0)</f>
        <v>0</v>
      </c>
      <c r="BP676" s="63" t="n">
        <f aca="false">IF(BP$35&gt;=$AC$674,BP$35-$AC$674+1,0)</f>
        <v>0</v>
      </c>
      <c r="BQ676" s="63" t="n">
        <f aca="false">IF(BQ$35&gt;=$AC$674,BQ$35-$AC$674+1,0)</f>
        <v>0</v>
      </c>
      <c r="BR676" s="63" t="n">
        <f aca="false">IF(BR$35&gt;=$AC$674,BR$35-$AC$674+1,0)</f>
        <v>0</v>
      </c>
      <c r="BS676" s="63" t="n">
        <f aca="false">IF(BS$35&gt;=$AC$674,BS$35-$AC$674+1,0)</f>
        <v>0</v>
      </c>
      <c r="BT676" s="63" t="n">
        <f aca="false">IF(BT$35&gt;=$AC$674,BT$35-$AC$674+1,0)</f>
        <v>0</v>
      </c>
      <c r="BU676" s="63" t="n">
        <f aca="false">IF(BU$35&gt;=$AC$674,BU$35-$AC$674+1,0)</f>
        <v>0</v>
      </c>
      <c r="BV676" s="63" t="n">
        <f aca="false">IF(BV$35&gt;=$AC$674,BV$35-$AC$674+1,0)</f>
        <v>0</v>
      </c>
      <c r="BW676" s="63" t="n">
        <f aca="false">IF(BW$35&gt;=$AC$674,BW$35-$AC$674+1,0)</f>
        <v>0</v>
      </c>
      <c r="BX676" s="63" t="n">
        <f aca="false">IF(BX$35&gt;=$AC$674,BX$35-$AC$674+1,0)</f>
        <v>0</v>
      </c>
      <c r="BY676" s="63" t="n">
        <f aca="false">IF(BY$35&gt;=$AC$674,BY$35-$AC$674+1,0)</f>
        <v>0</v>
      </c>
      <c r="BZ676" s="63" t="n">
        <f aca="false">IF(BZ$35&gt;=$AC$674,BZ$35-$AC$674+1,0)</f>
        <v>0</v>
      </c>
      <c r="CA676" s="63" t="n">
        <f aca="false">IF(CA$35&gt;=$AC$674,CA$35-$AC$674+1,0)</f>
        <v>0</v>
      </c>
      <c r="CB676" s="63" t="n">
        <f aca="false">IF(CB$35&gt;=$AC$674,CB$35-$AC$674+1,0)</f>
        <v>0</v>
      </c>
      <c r="CC676" s="63" t="n">
        <f aca="false">IF(CC$35&gt;=$AC$674,CC$35-$AC$674+1,0)</f>
        <v>0</v>
      </c>
      <c r="CD676" s="63" t="n">
        <f aca="false">IF(CD$35&gt;=$AC$674,CD$35-$AC$674+1,0)</f>
        <v>0</v>
      </c>
      <c r="CE676" s="63" t="n">
        <f aca="false">IF(CE$35&gt;=$AC$674,CE$35-$AC$674+1,0)</f>
        <v>0</v>
      </c>
      <c r="CF676" s="63" t="n">
        <f aca="false">IF(CF$35&gt;=$AC$674,CF$35-$AC$674+1,0)</f>
        <v>0</v>
      </c>
      <c r="CG676" s="63" t="n">
        <f aca="false">IF(CG$35&gt;=$AC$674,CG$35-$AC$674+1,0)</f>
        <v>0</v>
      </c>
      <c r="CH676" s="63" t="n">
        <f aca="false">IF(CH$35&gt;=$AC$674,CH$35-$AC$674+1,0)</f>
        <v>0</v>
      </c>
      <c r="CI676" s="63" t="n">
        <f aca="false">IF(CI$35&gt;=$AC$674,CI$35-$AC$674+1,0)</f>
        <v>0</v>
      </c>
      <c r="CJ676" s="63" t="n">
        <f aca="false">IF(CJ$35&gt;=$AC$674,CJ$35-$AC$674+1,0)</f>
        <v>0</v>
      </c>
      <c r="CK676" s="63" t="n">
        <f aca="false">IF(CK$35&gt;=$AC$674,CK$35-$AC$674+1,0)</f>
        <v>0</v>
      </c>
      <c r="CL676" s="63" t="n">
        <f aca="false">IF(CL$35&gt;=$AC$674,CL$35-$AC$674+1,0)</f>
        <v>0</v>
      </c>
      <c r="CM676" s="63" t="n">
        <f aca="false">IF(CM$35&gt;=$AC$674,CM$35-$AC$674+1,0)</f>
        <v>0</v>
      </c>
      <c r="CN676" s="63" t="n">
        <f aca="false">IF(CN$35&gt;=$AC$674,CN$35-$AC$674+1,0)</f>
        <v>0</v>
      </c>
      <c r="CO676" s="63" t="n">
        <f aca="false">IF(CO$35&gt;=$AC$674,CO$35-$AC$674+1,0)</f>
        <v>0</v>
      </c>
      <c r="CP676" s="63" t="n">
        <f aca="false">IF(CP$35&gt;=$AC$674,CP$35-$AC$674+1,0)</f>
        <v>0</v>
      </c>
      <c r="CQ676" s="63" t="n">
        <f aca="false">IF(CQ$35&gt;=$AC$674,CQ$35-$AC$674+1,0)</f>
        <v>0</v>
      </c>
      <c r="CR676" s="63" t="n">
        <f aca="false">IF(CR$35&gt;=$AC$674,CR$35-$AC$674+1,0)</f>
        <v>0</v>
      </c>
      <c r="CS676" s="63" t="n">
        <f aca="false">IF(CS$35&gt;=$AC$674,CS$35-$AC$674+1,0)</f>
        <v>0</v>
      </c>
      <c r="CT676" s="63" t="n">
        <f aca="false">IF(CT$35&gt;=$AC$674,CT$35-$AC$674+1,0)</f>
        <v>0</v>
      </c>
      <c r="CU676" s="63" t="n">
        <f aca="false">IF(CU$35&gt;=$AC$674,CU$35-$AC$674+1,0)</f>
        <v>0</v>
      </c>
      <c r="CV676" s="63" t="n">
        <f aca="false">IF(CV$35&gt;=$AC$674,CV$35-$AC$674+1,0)</f>
        <v>0</v>
      </c>
      <c r="CW676" s="63" t="n">
        <f aca="false">IF(CW$35&gt;=$AC$674,CW$35-$AC$674+1,0)</f>
        <v>0</v>
      </c>
      <c r="CX676" s="63" t="n">
        <f aca="false">IF(CX$35&gt;=$AC$674,CX$35-$AC$674+1,0)</f>
        <v>0</v>
      </c>
      <c r="CY676" s="63" t="n">
        <f aca="false">IF(CY$35&gt;=$AC$674,CY$35-$AC$674+1,0)</f>
        <v>0</v>
      </c>
      <c r="CZ676" s="63" t="n">
        <f aca="false">IF(CZ$35&gt;=$AC$674,CZ$35-$AC$674+1,0)</f>
        <v>0</v>
      </c>
      <c r="DA676" s="63" t="n">
        <f aca="false">IF(DA$35&gt;=$AC$674,DA$35-$AC$674+1,0)</f>
        <v>0</v>
      </c>
      <c r="DB676" s="63" t="n">
        <f aca="false">IF(DB$35&gt;=$AC$674,DB$35-$AC$674+1,0)</f>
        <v>0</v>
      </c>
      <c r="DC676" s="63" t="n">
        <f aca="false">IF(DC$35&gt;=$AC$674,DC$35-$AC$674+1,0)</f>
        <v>0</v>
      </c>
      <c r="DD676" s="63" t="n">
        <f aca="false">IF(DD$35&gt;=$AC$674,DD$35-$AC$674+1,0)</f>
        <v>0</v>
      </c>
      <c r="DE676" s="63" t="n">
        <f aca="false">IF(DE$35&gt;=$AC$674,DE$35-$AC$674+1,0)</f>
        <v>0</v>
      </c>
      <c r="DF676" s="63" t="n">
        <f aca="false">IF(DF$35&gt;=$AC$674,DF$35-$AC$674+1,0)</f>
        <v>0</v>
      </c>
      <c r="DG676" s="63" t="n">
        <f aca="false">IF(DG$35&gt;=$AC$674,DG$35-$AC$674+1,0)</f>
        <v>0</v>
      </c>
      <c r="DH676" s="63" t="n">
        <f aca="false">IF(DH$35&gt;=$AC$674,DH$35-$AC$674+1,0)</f>
        <v>0</v>
      </c>
      <c r="DI676" s="63" t="n">
        <f aca="false">IF(DI$35&gt;=$AC$674,DI$35-$AC$674+1,0)</f>
        <v>0</v>
      </c>
      <c r="DJ676" s="63" t="n">
        <f aca="false">IF(DJ$35&gt;=$AC$674,DJ$35-$AC$674+1,0)</f>
        <v>0</v>
      </c>
      <c r="DK676" s="63" t="n">
        <f aca="false">IF(DK$35&gt;=$AC$674,DK$35-$AC$674+1,0)</f>
        <v>0</v>
      </c>
      <c r="DL676" s="63" t="n">
        <f aca="false">IF(DL$35&gt;=$AC$674,DL$35-$AC$674+1,0)</f>
        <v>0</v>
      </c>
      <c r="DM676" s="63" t="n">
        <f aca="false">IF(DM$35&gt;=$AC$674,DM$35-$AC$674+1,0)</f>
        <v>0</v>
      </c>
      <c r="DN676" s="63" t="n">
        <f aca="false">IF(DN$35&gt;=$AC$674,DN$35-$AC$674+1,0)</f>
        <v>0</v>
      </c>
      <c r="DO676" s="63" t="n">
        <f aca="false">IF(DO$35&gt;=$AC$674,DO$35-$AC$674+1,0)</f>
        <v>1</v>
      </c>
      <c r="DP676" s="63" t="n">
        <f aca="false">IF(DP$35&gt;=$AC$674,DP$35-$AC$674+1,0)</f>
        <v>2</v>
      </c>
      <c r="DQ676" s="63" t="n">
        <f aca="false">IF(DQ$35&gt;=$AC$674,DQ$35-$AC$674+1,0)</f>
        <v>3</v>
      </c>
      <c r="DR676" s="63" t="n">
        <f aca="false">IF(DR$35&gt;=$AC$674,DR$35-$AC$674+1,0)</f>
        <v>4</v>
      </c>
      <c r="DS676" s="63" t="n">
        <f aca="false">IF(DS$35&gt;=$AC$674,DS$35-$AC$674+1,0)</f>
        <v>5</v>
      </c>
      <c r="DT676" s="63" t="n">
        <f aca="false">IF(DT$35&gt;=$AC$674,DT$35-$AC$674+1,0)</f>
        <v>6</v>
      </c>
      <c r="DU676" s="63" t="n">
        <f aca="false">IF(DU$35&gt;=$AC$674,DU$35-$AC$674+1,0)</f>
        <v>7</v>
      </c>
      <c r="DV676" s="63" t="n">
        <f aca="false">IF(DV$35&gt;=$AC$674,DV$35-$AC$674+1,0)</f>
        <v>8</v>
      </c>
      <c r="DW676" s="63" t="n">
        <f aca="false">IF(DW$35&gt;=$AC$674,DW$35-$AC$674+1,0)</f>
        <v>9</v>
      </c>
      <c r="DX676" s="63" t="n">
        <f aca="false">IF(DX$35&gt;=$AC$674,DX$35-$AC$674+1,0)</f>
        <v>10</v>
      </c>
      <c r="DY676" s="63" t="n">
        <f aca="false">IF(DY$35&gt;=$AC$674,DY$35-$AC$674+1,0)</f>
        <v>11</v>
      </c>
      <c r="DZ676" s="63" t="n">
        <f aca="false">IF(DZ$35&gt;=$AC$674,DZ$35-$AC$674+1,0)</f>
        <v>12</v>
      </c>
      <c r="EA676" s="63" t="n">
        <f aca="false">IF(EA$35&gt;=$AC$674,EA$35-$AC$674+1,0)</f>
        <v>13</v>
      </c>
      <c r="EB676" s="63" t="n">
        <f aca="false">IF(EB$35&gt;=$AC$674,EB$35-$AC$674+1,0)</f>
        <v>14</v>
      </c>
      <c r="EC676" s="63" t="n">
        <f aca="false">IF(EC$35&gt;=$AC$674,EC$35-$AC$674+1,0)</f>
        <v>15</v>
      </c>
      <c r="ED676" s="63" t="n">
        <f aca="false">IF(ED$35&gt;=$AC$674,ED$35-$AC$674+1,0)</f>
        <v>16</v>
      </c>
      <c r="EE676" s="63" t="n">
        <f aca="false">IF(EE$35&gt;=$AC$674,EE$35-$AC$674+1,0)</f>
        <v>17</v>
      </c>
      <c r="EF676" s="63" t="n">
        <f aca="false">IF(EF$35&gt;=$AC$674,EF$35-$AC$674+1,0)</f>
        <v>18</v>
      </c>
      <c r="EG676" s="63" t="n">
        <f aca="false">IF(EG$35&gt;=$AC$674,EG$35-$AC$674+1,0)</f>
        <v>19</v>
      </c>
      <c r="EH676" s="63" t="n">
        <f aca="false">IF(EH$35&gt;=$AC$674,EH$35-$AC$674+1,0)</f>
        <v>20</v>
      </c>
      <c r="EI676" s="63" t="n">
        <f aca="false">IF(EI$35&gt;=$AC$674,EI$35-$AC$674+1,0)</f>
        <v>21</v>
      </c>
      <c r="EJ676" s="63" t="n">
        <f aca="false">IF(EJ$35&gt;=$AC$674,EJ$35-$AC$674+1,0)</f>
        <v>22</v>
      </c>
      <c r="EK676" s="63" t="n">
        <f aca="false">IF(EK$35&gt;=$AC$674,EK$35-$AC$674+1,0)</f>
        <v>23</v>
      </c>
      <c r="EL676" s="63" t="n">
        <f aca="false">IF(EL$35&gt;=$AC$674,EL$35-$AC$674+1,0)</f>
        <v>24</v>
      </c>
      <c r="EM676" s="63" t="n">
        <f aca="false">IF(EM$35&gt;=$AC$674,EM$35-$AC$674+1,0)</f>
        <v>25</v>
      </c>
      <c r="EN676" s="63" t="n">
        <f aca="false">IF(EN$35&gt;=$AC$674,EN$35-$AC$674+1,0)</f>
        <v>26</v>
      </c>
      <c r="EO676" s="63" t="n">
        <f aca="false">IF(EO$35&gt;=$AC$674,EO$35-$AC$674+1,0)</f>
        <v>27</v>
      </c>
      <c r="EP676" s="63" t="n">
        <f aca="false">IF(EP$35&gt;=$AC$674,EP$35-$AC$674+1,0)</f>
        <v>28</v>
      </c>
      <c r="EQ676" s="63" t="n">
        <f aca="false">IF(EQ$35&gt;=$AC$674,EQ$35-$AC$674+1,0)</f>
        <v>29</v>
      </c>
      <c r="ER676" s="63" t="n">
        <f aca="false">IF(ER$35&gt;=$AC$674,ER$35-$AC$674+1,0)</f>
        <v>30</v>
      </c>
      <c r="ES676" s="9" t="n">
        <f aca="false">IF(ES$35&gt;=$AC$674,ES$35-$AC$674+1,0)</f>
        <v>31</v>
      </c>
      <c r="ET676" s="9" t="n">
        <f aca="false">IF(ET$35&gt;=$AC$674,ET$35-$AC$674+1,0)</f>
        <v>32</v>
      </c>
      <c r="EU676" s="9" t="n">
        <f aca="false">IF(EU$35&gt;=$AC$674,EU$35-$AC$674+1,0)</f>
        <v>33</v>
      </c>
      <c r="EV676" s="9" t="n">
        <f aca="false">IF(EV$35&gt;=$AC$674,EV$35-$AC$674+1,0)</f>
        <v>34</v>
      </c>
      <c r="EW676" s="9" t="n">
        <f aca="false">IF(EW$35&gt;=$AC$674,EW$35-$AC$674+1,0)</f>
        <v>35</v>
      </c>
      <c r="EX676" s="9" t="n">
        <f aca="false">IF(EX$35&gt;=$AC$674,EX$35-$AC$674+1,0)</f>
        <v>36</v>
      </c>
      <c r="EY676" s="9" t="n">
        <f aca="false">IF(EY$35&gt;=$AC$674,EY$35-$AC$674+1,0)</f>
        <v>37</v>
      </c>
      <c r="EZ676" s="9" t="n">
        <f aca="false">IF(EZ$35&gt;=$AC$674,EZ$35-$AC$674+1,0)</f>
        <v>38</v>
      </c>
      <c r="FA676" s="9" t="n">
        <f aca="false">IF(FA$35&gt;=$AC$674,FA$35-$AC$674+1,0)</f>
        <v>39</v>
      </c>
      <c r="FB676" s="9" t="n">
        <f aca="false">IF(FB$35&gt;=$AC$674,FB$35-$AC$674+1,0)</f>
        <v>40</v>
      </c>
      <c r="FC676" s="9" t="n">
        <f aca="false">IF(FC$35&gt;=$AC$674,FC$35-$AC$674+1,0)</f>
        <v>41</v>
      </c>
      <c r="FD676" s="9" t="n">
        <f aca="false">IF(FD$35&gt;=$AC$674,FD$35-$AC$674+1,0)</f>
        <v>42</v>
      </c>
      <c r="FE676" s="9" t="n">
        <f aca="false">IF(FE$35&gt;=$AC$674,FE$35-$AC$674+1,0)</f>
        <v>43</v>
      </c>
      <c r="FF676" s="9" t="n">
        <f aca="false">IF(FF$35&gt;=$AC$674,FF$35-$AC$674+1,0)</f>
        <v>44</v>
      </c>
      <c r="FG676" s="9" t="n">
        <f aca="false">IF(FG$35&gt;=$AC$674,FG$35-$AC$674+1,0)</f>
        <v>45</v>
      </c>
      <c r="FH676" s="9" t="n">
        <f aca="false">IF(FH$35&gt;=$AC$674,FH$35-$AC$674+1,0)</f>
        <v>46</v>
      </c>
      <c r="FI676" s="9" t="n">
        <f aca="false">IF(FI$35&gt;=$AC$674,FI$35-$AC$674+1,0)</f>
        <v>47</v>
      </c>
      <c r="FJ676" s="9" t="n">
        <f aca="false">IF(FJ$35&gt;=$AC$674,FJ$35-$AC$674+1,0)</f>
        <v>48</v>
      </c>
      <c r="FK676" s="9" t="n">
        <f aca="false">IF(FK$35&gt;=$AC$674,FK$35-$AC$674+1,0)</f>
        <v>49</v>
      </c>
      <c r="FL676" s="9" t="n">
        <f aca="false">IF(FL$35&gt;=$AC$674,FL$35-$AC$674+1,0)</f>
        <v>50</v>
      </c>
      <c r="FM676" s="9" t="n">
        <f aca="false">IF(FM$35&gt;=$AC$674,FM$35-$AC$674+1,0)</f>
        <v>51</v>
      </c>
      <c r="FN676" s="9" t="n">
        <f aca="false">IF(FN$35&gt;=$AC$674,FN$35-$AC$674+1,0)</f>
        <v>52</v>
      </c>
      <c r="FO676" s="9" t="n">
        <f aca="false">IF(FO$35&gt;=$AC$674,FO$35-$AC$674+1,0)</f>
        <v>53</v>
      </c>
      <c r="FP676" s="9" t="n">
        <f aca="false">IF(FP$35&gt;=$AC$674,FP$35-$AC$674+1,0)</f>
        <v>54</v>
      </c>
    </row>
    <row r="677" customFormat="false" ht="15" hidden="false" customHeight="false" outlineLevel="2" collapsed="false">
      <c r="B677" s="9" t="s">
        <v>874</v>
      </c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236" t="n">
        <f aca="false" t="array" ref="AC677:AC677">IF(AC676=0,0,IF(AC676/'🎚️ Escenario'!$C$11&gt;=36,$AL$23,INDEX($C$23:$AL$23,MAX(1,ROUNDUP(AC676/'🎚️ Escenario'!$C$11,0)))))</f>
        <v>0</v>
      </c>
      <c r="AD677" s="236" t="n">
        <f aca="false" t="array" ref="AD677:AD677">IF(AD676=0,0,IF(AD676/'🎚️ Escenario'!$C$11&gt;=36,$AL$23,INDEX($C$23:$AL$23,MAX(1,ROUNDUP(AD676/'🎚️ Escenario'!$C$11,0)))))</f>
        <v>0</v>
      </c>
      <c r="AE677" s="236" t="n">
        <f aca="false" t="array" ref="AE677:AE677">IF(AE676=0,0,IF(AE676/'🎚️ Escenario'!$C$11&gt;=36,$AL$23,INDEX($C$23:$AL$23,MAX(1,ROUNDUP(AE676/'🎚️ Escenario'!$C$11,0)))))</f>
        <v>0</v>
      </c>
      <c r="AF677" s="236" t="n">
        <f aca="false" t="array" ref="AF677:AF677">IF(AF676=0,0,IF(AF676/'🎚️ Escenario'!$C$11&gt;=36,$AL$23,INDEX($C$23:$AL$23,MAX(1,ROUNDUP(AF676/'🎚️ Escenario'!$C$11,0)))))</f>
        <v>0</v>
      </c>
      <c r="AG677" s="236" t="n">
        <f aca="false" t="array" ref="AG677:AG677">IF(AG676=0,0,IF(AG676/'🎚️ Escenario'!$C$11&gt;=36,$AL$23,INDEX($C$23:$AL$23,MAX(1,ROUNDUP(AG676/'🎚️ Escenario'!$C$11,0)))))</f>
        <v>0</v>
      </c>
      <c r="AH677" s="236" t="n">
        <f aca="false" t="array" ref="AH677:AH677">IF(AH676=0,0,IF(AH676/'🎚️ Escenario'!$C$11&gt;=36,$AL$23,INDEX($C$23:$AL$23,MAX(1,ROUNDUP(AH676/'🎚️ Escenario'!$C$11,0)))))</f>
        <v>0</v>
      </c>
      <c r="AI677" s="236" t="n">
        <f aca="false" t="array" ref="AI677:AI677">IF(AI676=0,0,IF(AI676/'🎚️ Escenario'!$C$11&gt;=36,$AL$23,INDEX($C$23:$AL$23,MAX(1,ROUNDUP(AI676/'🎚️ Escenario'!$C$11,0)))))</f>
        <v>0</v>
      </c>
      <c r="AJ677" s="236" t="n">
        <f aca="false" t="array" ref="AJ677:AJ677">IF(AJ676=0,0,IF(AJ676/'🎚️ Escenario'!$C$11&gt;=36,$AL$23,INDEX($C$23:$AL$23,MAX(1,ROUNDUP(AJ676/'🎚️ Escenario'!$C$11,0)))))</f>
        <v>0</v>
      </c>
      <c r="AK677" s="236" t="n">
        <f aca="false" t="array" ref="AK677:AK677">IF(AK676=0,0,IF(AK676/'🎚️ Escenario'!$C$11&gt;=36,$AL$23,INDEX($C$23:$AL$23,MAX(1,ROUNDUP(AK676/'🎚️ Escenario'!$C$11,0)))))</f>
        <v>0</v>
      </c>
      <c r="AL677" s="236" t="n">
        <f aca="false" t="array" ref="AL677:AL677">IF(AL676=0,0,IF(AL676/'🎚️ Escenario'!$C$11&gt;=36,$AL$23,INDEX($C$23:$AL$23,MAX(1,ROUNDUP(AL676/'🎚️ Escenario'!$C$11,0)))))</f>
        <v>0</v>
      </c>
      <c r="AM677" s="236" t="n">
        <f aca="false" t="array" ref="AM677:AM677">IF(AM676=0,0,IF(AM676/'🎚️ Escenario'!$C$11&gt;=36,$AL$23,INDEX($C$23:$AL$23,MAX(1,ROUNDUP(AM676/'🎚️ Escenario'!$C$11,0)))))</f>
        <v>0</v>
      </c>
      <c r="AN677" s="236" t="n">
        <f aca="false" t="array" ref="AN677:AN677">IF(AN676=0,0,IF(AN676/'🎚️ Escenario'!$C$11&gt;=36,$AL$23,INDEX($C$23:$AL$23,MAX(1,ROUNDUP(AN676/'🎚️ Escenario'!$C$11,0)))))</f>
        <v>0</v>
      </c>
      <c r="AO677" s="236" t="n">
        <f aca="false" t="array" ref="AO677:AO677">IF(AO676=0,0,IF(AO676/'🎚️ Escenario'!$C$11&gt;=36,$AL$23,INDEX($C$23:$AL$23,MAX(1,ROUNDUP(AO676/'🎚️ Escenario'!$C$11,0)))))</f>
        <v>0</v>
      </c>
      <c r="AP677" s="236" t="n">
        <f aca="false" t="array" ref="AP677:AP677">IF(AP676=0,0,IF(AP676/'🎚️ Escenario'!$C$11&gt;=36,$AL$23,INDEX($C$23:$AL$23,MAX(1,ROUNDUP(AP676/'🎚️ Escenario'!$C$11,0)))))</f>
        <v>0</v>
      </c>
      <c r="AQ677" s="236" t="n">
        <f aca="false" t="array" ref="AQ677:AQ677">IF(AQ676=0,0,IF(AQ676/'🎚️ Escenario'!$C$11&gt;=36,$AL$23,INDEX($C$23:$AL$23,MAX(1,ROUNDUP(AQ676/'🎚️ Escenario'!$C$11,0)))))</f>
        <v>0</v>
      </c>
      <c r="AR677" s="236" t="n">
        <f aca="false" t="array" ref="AR677:AR677">IF(AR676=0,0,IF(AR676/'🎚️ Escenario'!$C$11&gt;=36,$AL$23,INDEX($C$23:$AL$23,MAX(1,ROUNDUP(AR676/'🎚️ Escenario'!$C$11,0)))))</f>
        <v>0</v>
      </c>
      <c r="AS677" s="236" t="n">
        <f aca="false" t="array" ref="AS677:AS677">IF(AS676=0,0,IF(AS676/'🎚️ Escenario'!$C$11&gt;=36,$AL$23,INDEX($C$23:$AL$23,MAX(1,ROUNDUP(AS676/'🎚️ Escenario'!$C$11,0)))))</f>
        <v>0</v>
      </c>
      <c r="AT677" s="236" t="n">
        <f aca="false" t="array" ref="AT677:AT677">IF(AT676=0,0,IF(AT676/'🎚️ Escenario'!$C$11&gt;=36,$AL$23,INDEX($C$23:$AL$23,MAX(1,ROUNDUP(AT676/'🎚️ Escenario'!$C$11,0)))))</f>
        <v>0</v>
      </c>
      <c r="AU677" s="236" t="n">
        <f aca="false" t="array" ref="AU677:AU677">IF(AU676=0,0,IF(AU676/'🎚️ Escenario'!$C$11&gt;=36,$AL$23,INDEX($C$23:$AL$23,MAX(1,ROUNDUP(AU676/'🎚️ Escenario'!$C$11,0)))))</f>
        <v>0</v>
      </c>
      <c r="AV677" s="236" t="n">
        <f aca="false" t="array" ref="AV677:AV677">IF(AV676=0,0,IF(AV676/'🎚️ Escenario'!$C$11&gt;=36,$AL$23,INDEX($C$23:$AL$23,MAX(1,ROUNDUP(AV676/'🎚️ Escenario'!$C$11,0)))))</f>
        <v>0</v>
      </c>
      <c r="AW677" s="236" t="n">
        <f aca="false" t="array" ref="AW677:AW677">IF(AW676=0,0,IF(AW676/'🎚️ Escenario'!$C$11&gt;=36,$AL$23,INDEX($C$23:$AL$23,MAX(1,ROUNDUP(AW676/'🎚️ Escenario'!$C$11,0)))))</f>
        <v>0</v>
      </c>
      <c r="AX677" s="236" t="n">
        <f aca="false" t="array" ref="AX677:AX677">IF(AX676=0,0,IF(AX676/'🎚️ Escenario'!$C$11&gt;=36,$AL$23,INDEX($C$23:$AL$23,MAX(1,ROUNDUP(AX676/'🎚️ Escenario'!$C$11,0)))))</f>
        <v>0</v>
      </c>
      <c r="AY677" s="236" t="n">
        <f aca="false" t="array" ref="AY677:AY677">IF(AY676=0,0,IF(AY676/'🎚️ Escenario'!$C$11&gt;=36,$AL$23,INDEX($C$23:$AL$23,MAX(1,ROUNDUP(AY676/'🎚️ Escenario'!$C$11,0)))))</f>
        <v>0</v>
      </c>
      <c r="AZ677" s="236" t="n">
        <f aca="false" t="array" ref="AZ677:AZ677">IF(AZ676=0,0,IF(AZ676/'🎚️ Escenario'!$C$11&gt;=36,$AL$23,INDEX($C$23:$AL$23,MAX(1,ROUNDUP(AZ676/'🎚️ Escenario'!$C$11,0)))))</f>
        <v>0</v>
      </c>
      <c r="BA677" s="236" t="n">
        <f aca="false" t="array" ref="BA677:BA677">IF(BA676=0,0,IF(BA676/'🎚️ Escenario'!$C$11&gt;=36,$AL$23,INDEX($C$23:$AL$23,MAX(1,ROUNDUP(BA676/'🎚️ Escenario'!$C$11,0)))))</f>
        <v>0</v>
      </c>
      <c r="BB677" s="236" t="n">
        <f aca="false" t="array" ref="BB677:BB677">IF(BB676=0,0,IF(BB676/'🎚️ Escenario'!$C$11&gt;=36,$AL$23,INDEX($C$23:$AL$23,MAX(1,ROUNDUP(BB676/'🎚️ Escenario'!$C$11,0)))))</f>
        <v>0</v>
      </c>
      <c r="BC677" s="236" t="n">
        <f aca="false" t="array" ref="BC677:BC677">IF(BC676=0,0,IF(BC676/'🎚️ Escenario'!$C$11&gt;=36,$AL$23,INDEX($C$23:$AL$23,MAX(1,ROUNDUP(BC676/'🎚️ Escenario'!$C$11,0)))))</f>
        <v>0</v>
      </c>
      <c r="BD677" s="236" t="n">
        <f aca="false" t="array" ref="BD677:BD677">IF(BD676=0,0,IF(BD676/'🎚️ Escenario'!$C$11&gt;=36,$AL$23,INDEX($C$23:$AL$23,MAX(1,ROUNDUP(BD676/'🎚️ Escenario'!$C$11,0)))))</f>
        <v>0</v>
      </c>
      <c r="BE677" s="236" t="n">
        <f aca="false" t="array" ref="BE677:BE677">IF(BE676=0,0,IF(BE676/'🎚️ Escenario'!$C$11&gt;=36,$AL$23,INDEX($C$23:$AL$23,MAX(1,ROUNDUP(BE676/'🎚️ Escenario'!$C$11,0)))))</f>
        <v>0</v>
      </c>
      <c r="BF677" s="236" t="n">
        <f aca="false" t="array" ref="BF677:BF677">IF(BF676=0,0,IF(BF676/'🎚️ Escenario'!$C$11&gt;=36,$AL$23,INDEX($C$23:$AL$23,MAX(1,ROUNDUP(BF676/'🎚️ Escenario'!$C$11,0)))))</f>
        <v>0</v>
      </c>
      <c r="BG677" s="236" t="n">
        <f aca="false" t="array" ref="BG677:BG677">IF(BG676=0,0,IF(BG676/'🎚️ Escenario'!$C$11&gt;=36,$AL$23,INDEX($C$23:$AL$23,MAX(1,ROUNDUP(BG676/'🎚️ Escenario'!$C$11,0)))))</f>
        <v>0</v>
      </c>
      <c r="BH677" s="236" t="n">
        <f aca="false" t="array" ref="BH677:BH677">IF(BH676=0,0,IF(BH676/'🎚️ Escenario'!$C$11&gt;=36,$AL$23,INDEX($C$23:$AL$23,MAX(1,ROUNDUP(BH676/'🎚️ Escenario'!$C$11,0)))))</f>
        <v>0</v>
      </c>
      <c r="BI677" s="236" t="n">
        <f aca="false" t="array" ref="BI677:BI677">IF(BI676=0,0,IF(BI676/'🎚️ Escenario'!$C$11&gt;=36,$AL$23,INDEX($C$23:$AL$23,MAX(1,ROUNDUP(BI676/'🎚️ Escenario'!$C$11,0)))))</f>
        <v>0</v>
      </c>
      <c r="BJ677" s="236" t="n">
        <f aca="false" t="array" ref="BJ677:BJ677">IF(BJ676=0,0,IF(BJ676/'🎚️ Escenario'!$C$11&gt;=36,$AL$23,INDEX($C$23:$AL$23,MAX(1,ROUNDUP(BJ676/'🎚️ Escenario'!$C$11,0)))))</f>
        <v>0</v>
      </c>
      <c r="BK677" s="236" t="n">
        <f aca="false" t="array" ref="BK677:BK677">IF(BK676=0,0,IF(BK676/'🎚️ Escenario'!$C$11&gt;=36,$AL$23,INDEX($C$23:$AL$23,MAX(1,ROUNDUP(BK676/'🎚️ Escenario'!$C$11,0)))))</f>
        <v>0</v>
      </c>
      <c r="BL677" s="236" t="n">
        <f aca="false" t="array" ref="BL677:BL677">IF(BL676=0,0,IF(BL676/'🎚️ Escenario'!$C$11&gt;=36,$AL$23,INDEX($C$23:$AL$23,MAX(1,ROUNDUP(BL676/'🎚️ Escenario'!$C$11,0)))))</f>
        <v>0</v>
      </c>
      <c r="BM677" s="236" t="n">
        <f aca="false" t="array" ref="BM677:BM677">IF(BM676=0,0,IF(BM676/'🎚️ Escenario'!$C$11&gt;=36,$AL$23,INDEX($C$23:$AL$23,MAX(1,ROUNDUP(BM676/'🎚️ Escenario'!$C$11,0)))))</f>
        <v>0</v>
      </c>
      <c r="BN677" s="236" t="n">
        <f aca="false" t="array" ref="BN677:BN677">IF(BN676=0,0,IF(BN676/'🎚️ Escenario'!$C$11&gt;=36,$AL$23,INDEX($C$23:$AL$23,MAX(1,ROUNDUP(BN676/'🎚️ Escenario'!$C$11,0)))))</f>
        <v>0</v>
      </c>
      <c r="BO677" s="236" t="n">
        <f aca="false" t="array" ref="BO677:BO677">IF(BO676=0,0,IF(BO676/'🎚️ Escenario'!$C$11&gt;=36,$AL$23,INDEX($C$23:$AL$23,MAX(1,ROUNDUP(BO676/'🎚️ Escenario'!$C$11,0)))))</f>
        <v>0</v>
      </c>
      <c r="BP677" s="236" t="n">
        <f aca="false" t="array" ref="BP677:BP677">IF(BP676=0,0,IF(BP676/'🎚️ Escenario'!$C$11&gt;=36,$AL$23,INDEX($C$23:$AL$23,MAX(1,ROUNDUP(BP676/'🎚️ Escenario'!$C$11,0)))))</f>
        <v>0</v>
      </c>
      <c r="BQ677" s="236" t="n">
        <f aca="false" t="array" ref="BQ677:BQ677">IF(BQ676=0,0,IF(BQ676/'🎚️ Escenario'!$C$11&gt;=36,$AL$23,INDEX($C$23:$AL$23,MAX(1,ROUNDUP(BQ676/'🎚️ Escenario'!$C$11,0)))))</f>
        <v>0</v>
      </c>
      <c r="BR677" s="236" t="n">
        <f aca="false" t="array" ref="BR677:BR677">IF(BR676=0,0,IF(BR676/'🎚️ Escenario'!$C$11&gt;=36,$AL$23,INDEX($C$23:$AL$23,MAX(1,ROUNDUP(BR676/'🎚️ Escenario'!$C$11,0)))))</f>
        <v>0</v>
      </c>
      <c r="BS677" s="236" t="n">
        <f aca="false" t="array" ref="BS677:BS677">IF(BS676=0,0,IF(BS676/'🎚️ Escenario'!$C$11&gt;=36,$AL$23,INDEX($C$23:$AL$23,MAX(1,ROUNDUP(BS676/'🎚️ Escenario'!$C$11,0)))))</f>
        <v>0</v>
      </c>
      <c r="BT677" s="236" t="n">
        <f aca="false" t="array" ref="BT677:BT677">IF(BT676=0,0,IF(BT676/'🎚️ Escenario'!$C$11&gt;=36,$AL$23,INDEX($C$23:$AL$23,MAX(1,ROUNDUP(BT676/'🎚️ Escenario'!$C$11,0)))))</f>
        <v>0</v>
      </c>
      <c r="BU677" s="236" t="n">
        <f aca="false" t="array" ref="BU677:BU677">IF(BU676=0,0,IF(BU676/'🎚️ Escenario'!$C$11&gt;=36,$AL$23,INDEX($C$23:$AL$23,MAX(1,ROUNDUP(BU676/'🎚️ Escenario'!$C$11,0)))))</f>
        <v>0</v>
      </c>
      <c r="BV677" s="236" t="n">
        <f aca="false" t="array" ref="BV677:BV677">IF(BV676=0,0,IF(BV676/'🎚️ Escenario'!$C$11&gt;=36,$AL$23,INDEX($C$23:$AL$23,MAX(1,ROUNDUP(BV676/'🎚️ Escenario'!$C$11,0)))))</f>
        <v>0</v>
      </c>
      <c r="BW677" s="236" t="n">
        <f aca="false" t="array" ref="BW677:BW677">IF(BW676=0,0,IF(BW676/'🎚️ Escenario'!$C$11&gt;=36,$AL$23,INDEX($C$23:$AL$23,MAX(1,ROUNDUP(BW676/'🎚️ Escenario'!$C$11,0)))))</f>
        <v>0</v>
      </c>
      <c r="BX677" s="236" t="n">
        <f aca="false" t="array" ref="BX677:BX677">IF(BX676=0,0,IF(BX676/'🎚️ Escenario'!$C$11&gt;=36,$AL$23,INDEX($C$23:$AL$23,MAX(1,ROUNDUP(BX676/'🎚️ Escenario'!$C$11,0)))))</f>
        <v>0</v>
      </c>
      <c r="BY677" s="236" t="n">
        <f aca="false" t="array" ref="BY677:BY677">IF(BY676=0,0,IF(BY676/'🎚️ Escenario'!$C$11&gt;=36,$AL$23,INDEX($C$23:$AL$23,MAX(1,ROUNDUP(BY676/'🎚️ Escenario'!$C$11,0)))))</f>
        <v>0</v>
      </c>
      <c r="BZ677" s="236" t="n">
        <f aca="false" t="array" ref="BZ677:BZ677">IF(BZ676=0,0,IF(BZ676/'🎚️ Escenario'!$C$11&gt;=36,$AL$23,INDEX($C$23:$AL$23,MAX(1,ROUNDUP(BZ676/'🎚️ Escenario'!$C$11,0)))))</f>
        <v>0</v>
      </c>
      <c r="CA677" s="236" t="n">
        <f aca="false" t="array" ref="CA677:CA677">IF(CA676=0,0,IF(CA676/'🎚️ Escenario'!$C$11&gt;=36,$AL$23,INDEX($C$23:$AL$23,MAX(1,ROUNDUP(CA676/'🎚️ Escenario'!$C$11,0)))))</f>
        <v>0</v>
      </c>
      <c r="CB677" s="236" t="n">
        <f aca="false" t="array" ref="CB677:CB677">IF(CB676=0,0,IF(CB676/'🎚️ Escenario'!$C$11&gt;=36,$AL$23,INDEX($C$23:$AL$23,MAX(1,ROUNDUP(CB676/'🎚️ Escenario'!$C$11,0)))))</f>
        <v>0</v>
      </c>
      <c r="CC677" s="236" t="n">
        <f aca="false" t="array" ref="CC677:CC677">IF(CC676=0,0,IF(CC676/'🎚️ Escenario'!$C$11&gt;=36,$AL$23,INDEX($C$23:$AL$23,MAX(1,ROUNDUP(CC676/'🎚️ Escenario'!$C$11,0)))))</f>
        <v>0</v>
      </c>
      <c r="CD677" s="236" t="n">
        <f aca="false" t="array" ref="CD677:CD677">IF(CD676=0,0,IF(CD676/'🎚️ Escenario'!$C$11&gt;=36,$AL$23,INDEX($C$23:$AL$23,MAX(1,ROUNDUP(CD676/'🎚️ Escenario'!$C$11,0)))))</f>
        <v>0</v>
      </c>
      <c r="CE677" s="236" t="n">
        <f aca="false" t="array" ref="CE677:CE677">IF(CE676=0,0,IF(CE676/'🎚️ Escenario'!$C$11&gt;=36,$AL$23,INDEX($C$23:$AL$23,MAX(1,ROUNDUP(CE676/'🎚️ Escenario'!$C$11,0)))))</f>
        <v>0</v>
      </c>
      <c r="CF677" s="236" t="n">
        <f aca="false" t="array" ref="CF677:CF677">IF(CF676=0,0,IF(CF676/'🎚️ Escenario'!$C$11&gt;=36,$AL$23,INDEX($C$23:$AL$23,MAX(1,ROUNDUP(CF676/'🎚️ Escenario'!$C$11,0)))))</f>
        <v>0</v>
      </c>
      <c r="CG677" s="236" t="n">
        <f aca="false" t="array" ref="CG677:CG677">IF(CG676=0,0,IF(CG676/'🎚️ Escenario'!$C$11&gt;=36,$AL$23,INDEX($C$23:$AL$23,MAX(1,ROUNDUP(CG676/'🎚️ Escenario'!$C$11,0)))))</f>
        <v>0</v>
      </c>
      <c r="CH677" s="236" t="n">
        <f aca="false" t="array" ref="CH677:CH677">IF(CH676=0,0,IF(CH676/'🎚️ Escenario'!$C$11&gt;=36,$AL$23,INDEX($C$23:$AL$23,MAX(1,ROUNDUP(CH676/'🎚️ Escenario'!$C$11,0)))))</f>
        <v>0</v>
      </c>
      <c r="CI677" s="236" t="n">
        <f aca="false" t="array" ref="CI677:CI677">IF(CI676=0,0,IF(CI676/'🎚️ Escenario'!$C$11&gt;=36,$AL$23,INDEX($C$23:$AL$23,MAX(1,ROUNDUP(CI676/'🎚️ Escenario'!$C$11,0)))))</f>
        <v>0</v>
      </c>
      <c r="CJ677" s="236" t="n">
        <f aca="false" t="array" ref="CJ677:CJ677">IF(CJ676=0,0,IF(CJ676/'🎚️ Escenario'!$C$11&gt;=36,$AL$23,INDEX($C$23:$AL$23,MAX(1,ROUNDUP(CJ676/'🎚️ Escenario'!$C$11,0)))))</f>
        <v>0</v>
      </c>
      <c r="CK677" s="236" t="n">
        <f aca="false" t="array" ref="CK677:CK677">IF(CK676=0,0,IF(CK676/'🎚️ Escenario'!$C$11&gt;=36,$AL$23,INDEX($C$23:$AL$23,MAX(1,ROUNDUP(CK676/'🎚️ Escenario'!$C$11,0)))))</f>
        <v>0</v>
      </c>
      <c r="CL677" s="236" t="n">
        <f aca="false" t="array" ref="CL677:CL677">IF(CL676=0,0,IF(CL676/'🎚️ Escenario'!$C$11&gt;=36,$AL$23,INDEX($C$23:$AL$23,MAX(1,ROUNDUP(CL676/'🎚️ Escenario'!$C$11,0)))))</f>
        <v>0</v>
      </c>
      <c r="CM677" s="236" t="n">
        <f aca="false" t="array" ref="CM677:CM677">IF(CM676=0,0,IF(CM676/'🎚️ Escenario'!$C$11&gt;=36,$AL$23,INDEX($C$23:$AL$23,MAX(1,ROUNDUP(CM676/'🎚️ Escenario'!$C$11,0)))))</f>
        <v>0</v>
      </c>
      <c r="CN677" s="236" t="n">
        <f aca="false" t="array" ref="CN677:CN677">IF(CN676=0,0,IF(CN676/'🎚️ Escenario'!$C$11&gt;=36,$AL$23,INDEX($C$23:$AL$23,MAX(1,ROUNDUP(CN676/'🎚️ Escenario'!$C$11,0)))))</f>
        <v>0</v>
      </c>
      <c r="CO677" s="236" t="n">
        <f aca="false" t="array" ref="CO677:CO677">IF(CO676=0,0,IF(CO676/'🎚️ Escenario'!$C$11&gt;=36,$AL$23,INDEX($C$23:$AL$23,MAX(1,ROUNDUP(CO676/'🎚️ Escenario'!$C$11,0)))))</f>
        <v>0</v>
      </c>
      <c r="CP677" s="236" t="n">
        <f aca="false" t="array" ref="CP677:CP677">IF(CP676=0,0,IF(CP676/'🎚️ Escenario'!$C$11&gt;=36,$AL$23,INDEX($C$23:$AL$23,MAX(1,ROUNDUP(CP676/'🎚️ Escenario'!$C$11,0)))))</f>
        <v>0</v>
      </c>
      <c r="CQ677" s="236" t="n">
        <f aca="false" t="array" ref="CQ677:CQ677">IF(CQ676=0,0,IF(CQ676/'🎚️ Escenario'!$C$11&gt;=36,$AL$23,INDEX($C$23:$AL$23,MAX(1,ROUNDUP(CQ676/'🎚️ Escenario'!$C$11,0)))))</f>
        <v>0</v>
      </c>
      <c r="CR677" s="236" t="n">
        <f aca="false" t="array" ref="CR677:CR677">IF(CR676=0,0,IF(CR676/'🎚️ Escenario'!$C$11&gt;=36,$AL$23,INDEX($C$23:$AL$23,MAX(1,ROUNDUP(CR676/'🎚️ Escenario'!$C$11,0)))))</f>
        <v>0</v>
      </c>
      <c r="CS677" s="236" t="n">
        <f aca="false" t="array" ref="CS677:CS677">IF(CS676=0,0,IF(CS676/'🎚️ Escenario'!$C$11&gt;=36,$AL$23,INDEX($C$23:$AL$23,MAX(1,ROUNDUP(CS676/'🎚️ Escenario'!$C$11,0)))))</f>
        <v>0</v>
      </c>
      <c r="CT677" s="236" t="n">
        <f aca="false" t="array" ref="CT677:CT677">IF(CT676=0,0,IF(CT676/'🎚️ Escenario'!$C$11&gt;=36,$AL$23,INDEX($C$23:$AL$23,MAX(1,ROUNDUP(CT676/'🎚️ Escenario'!$C$11,0)))))</f>
        <v>0</v>
      </c>
      <c r="CU677" s="236" t="n">
        <f aca="false" t="array" ref="CU677:CU677">IF(CU676=0,0,IF(CU676/'🎚️ Escenario'!$C$11&gt;=36,$AL$23,INDEX($C$23:$AL$23,MAX(1,ROUNDUP(CU676/'🎚️ Escenario'!$C$11,0)))))</f>
        <v>0</v>
      </c>
      <c r="CV677" s="236" t="n">
        <f aca="false" t="array" ref="CV677:CV677">IF(CV676=0,0,IF(CV676/'🎚️ Escenario'!$C$11&gt;=36,$AL$23,INDEX($C$23:$AL$23,MAX(1,ROUNDUP(CV676/'🎚️ Escenario'!$C$11,0)))))</f>
        <v>0</v>
      </c>
      <c r="CW677" s="236" t="n">
        <f aca="false" t="array" ref="CW677:CW677">IF(CW676=0,0,IF(CW676/'🎚️ Escenario'!$C$11&gt;=36,$AL$23,INDEX($C$23:$AL$23,MAX(1,ROUNDUP(CW676/'🎚️ Escenario'!$C$11,0)))))</f>
        <v>0</v>
      </c>
      <c r="CX677" s="236" t="n">
        <f aca="false" t="array" ref="CX677:CX677">IF(CX676=0,0,IF(CX676/'🎚️ Escenario'!$C$11&gt;=36,$AL$23,INDEX($C$23:$AL$23,MAX(1,ROUNDUP(CX676/'🎚️ Escenario'!$C$11,0)))))</f>
        <v>0</v>
      </c>
      <c r="CY677" s="236" t="n">
        <f aca="false" t="array" ref="CY677:CY677">IF(CY676=0,0,IF(CY676/'🎚️ Escenario'!$C$11&gt;=36,$AL$23,INDEX($C$23:$AL$23,MAX(1,ROUNDUP(CY676/'🎚️ Escenario'!$C$11,0)))))</f>
        <v>0</v>
      </c>
      <c r="CZ677" s="236" t="n">
        <f aca="false" t="array" ref="CZ677:CZ677">IF(CZ676=0,0,IF(CZ676/'🎚️ Escenario'!$C$11&gt;=36,$AL$23,INDEX($C$23:$AL$23,MAX(1,ROUNDUP(CZ676/'🎚️ Escenario'!$C$11,0)))))</f>
        <v>0</v>
      </c>
      <c r="DA677" s="236" t="n">
        <f aca="false" t="array" ref="DA677:DA677">IF(DA676=0,0,IF(DA676/'🎚️ Escenario'!$C$11&gt;=36,$AL$23,INDEX($C$23:$AL$23,MAX(1,ROUNDUP(DA676/'🎚️ Escenario'!$C$11,0)))))</f>
        <v>0</v>
      </c>
      <c r="DB677" s="236" t="n">
        <f aca="false" t="array" ref="DB677:DB677">IF(DB676=0,0,IF(DB676/'🎚️ Escenario'!$C$11&gt;=36,$AL$23,INDEX($C$23:$AL$23,MAX(1,ROUNDUP(DB676/'🎚️ Escenario'!$C$11,0)))))</f>
        <v>0</v>
      </c>
      <c r="DC677" s="236" t="n">
        <f aca="false" t="array" ref="DC677:DC677">IF(DC676=0,0,IF(DC676/'🎚️ Escenario'!$C$11&gt;=36,$AL$23,INDEX($C$23:$AL$23,MAX(1,ROUNDUP(DC676/'🎚️ Escenario'!$C$11,0)))))</f>
        <v>0</v>
      </c>
      <c r="DD677" s="236" t="n">
        <f aca="false" t="array" ref="DD677:DD677">IF(DD676=0,0,IF(DD676/'🎚️ Escenario'!$C$11&gt;=36,$AL$23,INDEX($C$23:$AL$23,MAX(1,ROUNDUP(DD676/'🎚️ Escenario'!$C$11,0)))))</f>
        <v>0</v>
      </c>
      <c r="DE677" s="236" t="n">
        <f aca="false" t="array" ref="DE677:DE677">IF(DE676=0,0,IF(DE676/'🎚️ Escenario'!$C$11&gt;=36,$AL$23,INDEX($C$23:$AL$23,MAX(1,ROUNDUP(DE676/'🎚️ Escenario'!$C$11,0)))))</f>
        <v>0</v>
      </c>
      <c r="DF677" s="236" t="n">
        <f aca="false" t="array" ref="DF677:DF677">IF(DF676=0,0,IF(DF676/'🎚️ Escenario'!$C$11&gt;=36,$AL$23,INDEX($C$23:$AL$23,MAX(1,ROUNDUP(DF676/'🎚️ Escenario'!$C$11,0)))))</f>
        <v>0</v>
      </c>
      <c r="DG677" s="236" t="n">
        <f aca="false" t="array" ref="DG677:DG677">IF(DG676=0,0,IF(DG676/'🎚️ Escenario'!$C$11&gt;=36,$AL$23,INDEX($C$23:$AL$23,MAX(1,ROUNDUP(DG676/'🎚️ Escenario'!$C$11,0)))))</f>
        <v>0</v>
      </c>
      <c r="DH677" s="236" t="n">
        <f aca="false" t="array" ref="DH677:DH677">IF(DH676=0,0,IF(DH676/'🎚️ Escenario'!$C$11&gt;=36,$AL$23,INDEX($C$23:$AL$23,MAX(1,ROUNDUP(DH676/'🎚️ Escenario'!$C$11,0)))))</f>
        <v>0</v>
      </c>
      <c r="DI677" s="236" t="n">
        <f aca="false" t="array" ref="DI677:DI677">IF(DI676=0,0,IF(DI676/'🎚️ Escenario'!$C$11&gt;=36,$AL$23,INDEX($C$23:$AL$23,MAX(1,ROUNDUP(DI676/'🎚️ Escenario'!$C$11,0)))))</f>
        <v>0</v>
      </c>
      <c r="DJ677" s="236" t="n">
        <f aca="false" t="array" ref="DJ677:DJ677">IF(DJ676=0,0,IF(DJ676/'🎚️ Escenario'!$C$11&gt;=36,$AL$23,INDEX($C$23:$AL$23,MAX(1,ROUNDUP(DJ676/'🎚️ Escenario'!$C$11,0)))))</f>
        <v>0</v>
      </c>
      <c r="DK677" s="236" t="n">
        <f aca="false" t="array" ref="DK677:DK677">IF(DK676=0,0,IF(DK676/'🎚️ Escenario'!$C$11&gt;=36,$AL$23,INDEX($C$23:$AL$23,MAX(1,ROUNDUP(DK676/'🎚️ Escenario'!$C$11,0)))))</f>
        <v>0</v>
      </c>
      <c r="DL677" s="236" t="n">
        <f aca="false" t="array" ref="DL677:DL677">IF(DL676=0,0,IF(DL676/'🎚️ Escenario'!$C$11&gt;=36,$AL$23,INDEX($C$23:$AL$23,MAX(1,ROUNDUP(DL676/'🎚️ Escenario'!$C$11,0)))))</f>
        <v>0</v>
      </c>
      <c r="DM677" s="236" t="n">
        <f aca="false" t="array" ref="DM677:DM677">IF(DM676=0,0,IF(DM676/'🎚️ Escenario'!$C$11&gt;=36,$AL$23,INDEX($C$23:$AL$23,MAX(1,ROUNDUP(DM676/'🎚️ Escenario'!$C$11,0)))))</f>
        <v>0</v>
      </c>
      <c r="DN677" s="236" t="n">
        <f aca="false" t="array" ref="DN677:DN677">IF(DN676=0,0,IF(DN676/'🎚️ Escenario'!$C$11&gt;=36,$AL$23,INDEX($C$23:$AL$23,MAX(1,ROUNDUP(DN676/'🎚️ Escenario'!$C$11,0)))))</f>
        <v>0</v>
      </c>
      <c r="DO677" s="236" t="n">
        <f aca="false" t="array" ref="DO677:DO677">IF(DO676=0,0,IF(DO676/'🎚️ Escenario'!$C$11&gt;=36,$AL$23,INDEX($C$23:$AL$23,MAX(1,ROUNDUP(DO676/'🎚️ Escenario'!$C$11,0)))))</f>
        <v>0.2</v>
      </c>
      <c r="DP677" s="236" t="n">
        <f aca="false" t="array" ref="DP677:DP677">IF(DP676=0,0,IF(DP676/'🎚️ Escenario'!$C$11&gt;=36,$AL$23,INDEX($C$23:$AL$23,MAX(1,ROUNDUP(DP676/'🎚️ Escenario'!$C$11,0)))))</f>
        <v>0.22</v>
      </c>
      <c r="DQ677" s="236" t="n">
        <f aca="false" t="array" ref="DQ677:DQ677">IF(DQ676=0,0,IF(DQ676/'🎚️ Escenario'!$C$11&gt;=36,$AL$23,INDEX($C$23:$AL$23,MAX(1,ROUNDUP(DQ676/'🎚️ Escenario'!$C$11,0)))))</f>
        <v>0.24</v>
      </c>
      <c r="DR677" s="236" t="n">
        <f aca="false" t="array" ref="DR677:DR677">IF(DR676=0,0,IF(DR676/'🎚️ Escenario'!$C$11&gt;=36,$AL$23,INDEX($C$23:$AL$23,MAX(1,ROUNDUP(DR676/'🎚️ Escenario'!$C$11,0)))))</f>
        <v>0.27</v>
      </c>
      <c r="DS677" s="236" t="n">
        <f aca="false" t="array" ref="DS677:DS677">IF(DS676=0,0,IF(DS676/'🎚️ Escenario'!$C$11&gt;=36,$AL$23,INDEX($C$23:$AL$23,MAX(1,ROUNDUP(DS676/'🎚️ Escenario'!$C$11,0)))))</f>
        <v>0.27</v>
      </c>
      <c r="DT677" s="236" t="n">
        <f aca="false" t="array" ref="DT677:DT677">IF(DT676=0,0,IF(DT676/'🎚️ Escenario'!$C$11&gt;=36,$AL$23,INDEX($C$23:$AL$23,MAX(1,ROUNDUP(DT676/'🎚️ Escenario'!$C$11,0)))))</f>
        <v>0.31</v>
      </c>
      <c r="DU677" s="236" t="n">
        <f aca="false" t="array" ref="DU677:DU677">IF(DU676=0,0,IF(DU676/'🎚️ Escenario'!$C$11&gt;=36,$AL$23,INDEX($C$23:$AL$23,MAX(1,ROUNDUP(DU676/'🎚️ Escenario'!$C$11,0)))))</f>
        <v>0.35</v>
      </c>
      <c r="DV677" s="236" t="n">
        <f aca="false" t="array" ref="DV677:DV677">IF(DV676=0,0,IF(DV676/'🎚️ Escenario'!$C$11&gt;=36,$AL$23,INDEX($C$23:$AL$23,MAX(1,ROUNDUP(DV676/'🎚️ Escenario'!$C$11,0)))))</f>
        <v>0.39</v>
      </c>
      <c r="DW677" s="236" t="n">
        <f aca="false" t="array" ref="DW677:DW677">IF(DW676=0,0,IF(DW676/'🎚️ Escenario'!$C$11&gt;=36,$AL$23,INDEX($C$23:$AL$23,MAX(1,ROUNDUP(DW676/'🎚️ Escenario'!$C$11,0)))))</f>
        <v>0.44</v>
      </c>
      <c r="DX677" s="236" t="n">
        <f aca="false" t="array" ref="DX677:DX677">IF(DX676=0,0,IF(DX676/'🎚️ Escenario'!$C$11&gt;=36,$AL$23,INDEX($C$23:$AL$23,MAX(1,ROUNDUP(DX676/'🎚️ Escenario'!$C$11,0)))))</f>
        <v>0.44</v>
      </c>
      <c r="DY677" s="236" t="n">
        <f aca="false" t="array" ref="DY677:DY677">IF(DY676=0,0,IF(DY676/'🎚️ Escenario'!$C$11&gt;=36,$AL$23,INDEX($C$23:$AL$23,MAX(1,ROUNDUP(DY676/'🎚️ Escenario'!$C$11,0)))))</f>
        <v>0.48</v>
      </c>
      <c r="DZ677" s="236" t="n">
        <f aca="false" t="array" ref="DZ677:DZ677">IF(DZ676=0,0,IF(DZ676/'🎚️ Escenario'!$C$11&gt;=36,$AL$23,INDEX($C$23:$AL$23,MAX(1,ROUNDUP(DZ676/'🎚️ Escenario'!$C$11,0)))))</f>
        <v>0.52</v>
      </c>
      <c r="EA677" s="236" t="n">
        <f aca="false" t="array" ref="EA677:EA677">IF(EA676=0,0,IF(EA676/'🎚️ Escenario'!$C$11&gt;=36,$AL$23,INDEX($C$23:$AL$23,MAX(1,ROUNDUP(EA676/'🎚️ Escenario'!$C$11,0)))))</f>
        <v>0.56</v>
      </c>
      <c r="EB677" s="236" t="n">
        <f aca="false" t="array" ref="EB677:EB677">IF(EB676=0,0,IF(EB676/'🎚️ Escenario'!$C$11&gt;=36,$AL$23,INDEX($C$23:$AL$23,MAX(1,ROUNDUP(EB676/'🎚️ Escenario'!$C$11,0)))))</f>
        <v>0.6</v>
      </c>
      <c r="EC677" s="236" t="n">
        <f aca="false" t="array" ref="EC677:EC677">IF(EC676=0,0,IF(EC676/'🎚️ Escenario'!$C$11&gt;=36,$AL$23,INDEX($C$23:$AL$23,MAX(1,ROUNDUP(EC676/'🎚️ Escenario'!$C$11,0)))))</f>
        <v>0.6</v>
      </c>
      <c r="ED677" s="236" t="n">
        <f aca="false" t="array" ref="ED677:ED677">IF(ED676=0,0,IF(ED676/'🎚️ Escenario'!$C$11&gt;=36,$AL$23,INDEX($C$23:$AL$23,MAX(1,ROUNDUP(ED676/'🎚️ Escenario'!$C$11,0)))))</f>
        <v>0.63</v>
      </c>
      <c r="EE677" s="236" t="n">
        <f aca="false" t="array" ref="EE677:EE677">IF(EE676=0,0,IF(EE676/'🎚️ Escenario'!$C$11&gt;=36,$AL$23,INDEX($C$23:$AL$23,MAX(1,ROUNDUP(EE676/'🎚️ Escenario'!$C$11,0)))))</f>
        <v>0.66</v>
      </c>
      <c r="EF677" s="236" t="n">
        <f aca="false" t="array" ref="EF677:EF677">IF(EF676=0,0,IF(EF676/'🎚️ Escenario'!$C$11&gt;=36,$AL$23,INDEX($C$23:$AL$23,MAX(1,ROUNDUP(EF676/'🎚️ Escenario'!$C$11,0)))))</f>
        <v>0.69</v>
      </c>
      <c r="EG677" s="236" t="n">
        <f aca="false" t="array" ref="EG677:EG677">IF(EG676=0,0,IF(EG676/'🎚️ Escenario'!$C$11&gt;=36,$AL$23,INDEX($C$23:$AL$23,MAX(1,ROUNDUP(EG676/'🎚️ Escenario'!$C$11,0)))))</f>
        <v>0.71</v>
      </c>
      <c r="EH677" s="236" t="n">
        <f aca="false" t="array" ref="EH677:EH677">IF(EH676=0,0,IF(EH676/'🎚️ Escenario'!$C$11&gt;=36,$AL$23,INDEX($C$23:$AL$23,MAX(1,ROUNDUP(EH676/'🎚️ Escenario'!$C$11,0)))))</f>
        <v>0.71</v>
      </c>
      <c r="EI677" s="236" t="n">
        <f aca="false" t="array" ref="EI677:EI677">IF(EI676=0,0,IF(EI676/'🎚️ Escenario'!$C$11&gt;=36,$AL$23,INDEX($C$23:$AL$23,MAX(1,ROUNDUP(EI676/'🎚️ Escenario'!$C$11,0)))))</f>
        <v>0.73</v>
      </c>
      <c r="EJ677" s="236" t="n">
        <f aca="false" t="array" ref="EJ677:EJ677">IF(EJ676=0,0,IF(EJ676/'🎚️ Escenario'!$C$11&gt;=36,$AL$23,INDEX($C$23:$AL$23,MAX(1,ROUNDUP(EJ676/'🎚️ Escenario'!$C$11,0)))))</f>
        <v>0.75</v>
      </c>
      <c r="EK677" s="236" t="n">
        <f aca="false" t="array" ref="EK677:EK677">IF(EK676=0,0,IF(EK676/'🎚️ Escenario'!$C$11&gt;=36,$AL$23,INDEX($C$23:$AL$23,MAX(1,ROUNDUP(EK676/'🎚️ Escenario'!$C$11,0)))))</f>
        <v>0.77</v>
      </c>
      <c r="EL677" s="236" t="n">
        <f aca="false" t="array" ref="EL677:EL677">IF(EL676=0,0,IF(EL676/'🎚️ Escenario'!$C$11&gt;=36,$AL$23,INDEX($C$23:$AL$23,MAX(1,ROUNDUP(EL676/'🎚️ Escenario'!$C$11,0)))))</f>
        <v>0.79</v>
      </c>
      <c r="EM677" s="236" t="n">
        <f aca="false" t="array" ref="EM677:EM677">IF(EM676=0,0,IF(EM676/'🎚️ Escenario'!$C$11&gt;=36,$AL$23,INDEX($C$23:$AL$23,MAX(1,ROUNDUP(EM676/'🎚️ Escenario'!$C$11,0)))))</f>
        <v>0.79</v>
      </c>
      <c r="EN677" s="236" t="n">
        <f aca="false" t="array" ref="EN677:EN677">IF(EN676=0,0,IF(EN676/'🎚️ Escenario'!$C$11&gt;=36,$AL$23,INDEX($C$23:$AL$23,MAX(1,ROUNDUP(EN676/'🎚️ Escenario'!$C$11,0)))))</f>
        <v>0.8</v>
      </c>
      <c r="EO677" s="236" t="n">
        <f aca="false" t="array" ref="EO677:EO677">IF(EO676=0,0,IF(EO676/'🎚️ Escenario'!$C$11&gt;=36,$AL$23,INDEX($C$23:$AL$23,MAX(1,ROUNDUP(EO676/'🎚️ Escenario'!$C$11,0)))))</f>
        <v>0.82</v>
      </c>
      <c r="EP677" s="236" t="n">
        <f aca="false" t="array" ref="EP677:EP677">IF(EP676=0,0,IF(EP676/'🎚️ Escenario'!$C$11&gt;=36,$AL$23,INDEX($C$23:$AL$23,MAX(1,ROUNDUP(EP676/'🎚️ Escenario'!$C$11,0)))))</f>
        <v>0.84</v>
      </c>
      <c r="EQ677" s="236" t="n">
        <f aca="false" t="array" ref="EQ677:EQ677">IF(EQ676=0,0,IF(EQ676/'🎚️ Escenario'!$C$11&gt;=36,$AL$23,INDEX($C$23:$AL$23,MAX(1,ROUNDUP(EQ676/'🎚️ Escenario'!$C$11,0)))))</f>
        <v>0.85</v>
      </c>
      <c r="ER677" s="236" t="n">
        <f aca="false" t="array" ref="ER677:ER677">IF(ER676=0,0,IF(ER676/'🎚️ Escenario'!$C$11&gt;=36,$AL$23,INDEX($C$23:$AL$23,MAX(1,ROUNDUP(ER676/'🎚️ Escenario'!$C$11,0)))))</f>
        <v>0.85</v>
      </c>
      <c r="ES677" s="9" t="n">
        <f aca="false" t="array" ref="ES677:ES677">IF(ES676=0,0,IF(ES676/'🎚️ Escenario'!$C$11&gt;=36,$AL$23,INDEX($C$23:$AL$23,MAX(1,ROUNDUP(ES676/'🎚️ Escenario'!$C$11,0)))))</f>
        <v>0.86</v>
      </c>
      <c r="ET677" s="9" t="n">
        <f aca="false" t="array" ref="ET677:ET677">IF(ET676=0,0,IF(ET676/'🎚️ Escenario'!$C$11&gt;=36,$AL$23,INDEX($C$23:$AL$23,MAX(1,ROUNDUP(ET676/'🎚️ Escenario'!$C$11,0)))))</f>
        <v>0.88</v>
      </c>
      <c r="EU677" s="9" t="n">
        <f aca="false" t="array" ref="EU677:EU677">IF(EU676=0,0,IF(EU676/'🎚️ Escenario'!$C$11&gt;=36,$AL$23,INDEX($C$23:$AL$23,MAX(1,ROUNDUP(EU676/'🎚️ Escenario'!$C$11,0)))))</f>
        <v>0.89</v>
      </c>
      <c r="EV677" s="9" t="n">
        <f aca="false" t="array" ref="EV677:EV677">IF(EV676=0,0,IF(EV676/'🎚️ Escenario'!$C$11&gt;=36,$AL$23,INDEX($C$23:$AL$23,MAX(1,ROUNDUP(EV676/'🎚️ Escenario'!$C$11,0)))))</f>
        <v>0.9</v>
      </c>
      <c r="EW677" s="9" t="n">
        <f aca="false" t="array" ref="EW677:EW677">IF(EW676=0,0,IF(EW676/'🎚️ Escenario'!$C$11&gt;=36,$AL$23,INDEX($C$23:$AL$23,MAX(1,ROUNDUP(EW676/'🎚️ Escenario'!$C$11,0)))))</f>
        <v>0.9</v>
      </c>
      <c r="EX677" s="9" t="n">
        <f aca="false" t="array" ref="EX677:EX677">IF(EX676=0,0,IF(EX676/'🎚️ Escenario'!$C$11&gt;=36,$AL$23,INDEX($C$23:$AL$23,MAX(1,ROUNDUP(EX676/'🎚️ Escenario'!$C$11,0)))))</f>
        <v>0.92</v>
      </c>
      <c r="EY677" s="9" t="n">
        <f aca="false" t="array" ref="EY677:EY677">IF(EY676=0,0,IF(EY676/'🎚️ Escenario'!$C$11&gt;=36,$AL$23,INDEX($C$23:$AL$23,MAX(1,ROUNDUP(EY676/'🎚️ Escenario'!$C$11,0)))))</f>
        <v>0.93</v>
      </c>
      <c r="EZ677" s="9" t="n">
        <f aca="false" t="array" ref="EZ677:EZ677">IF(EZ676=0,0,IF(EZ676/'🎚️ Escenario'!$C$11&gt;=36,$AL$23,INDEX($C$23:$AL$23,MAX(1,ROUNDUP(EZ676/'🎚️ Escenario'!$C$11,0)))))</f>
        <v>0.94</v>
      </c>
      <c r="FA677" s="9" t="n">
        <f aca="false" t="array" ref="FA677:FA677">IF(FA676=0,0,IF(FA676/'🎚️ Escenario'!$C$11&gt;=36,$AL$23,INDEX($C$23:$AL$23,MAX(1,ROUNDUP(FA676/'🎚️ Escenario'!$C$11,0)))))</f>
        <v>0.95</v>
      </c>
      <c r="FB677" s="9" t="n">
        <f aca="false" t="array" ref="FB677:FB677">IF(FB676=0,0,IF(FB676/'🎚️ Escenario'!$C$11&gt;=36,$AL$23,INDEX($C$23:$AL$23,MAX(1,ROUNDUP(FB676/'🎚️ Escenario'!$C$11,0)))))</f>
        <v>0.95</v>
      </c>
      <c r="FC677" s="9" t="n">
        <f aca="false" t="array" ref="FC677:FC677">IF(FC676=0,0,IF(FC676/'🎚️ Escenario'!$C$11&gt;=36,$AL$23,INDEX($C$23:$AL$23,MAX(1,ROUNDUP(FC676/'🎚️ Escenario'!$C$11,0)))))</f>
        <v>0.97</v>
      </c>
      <c r="FD677" s="9" t="n">
        <f aca="false" t="array" ref="FD677:FD677">IF(FD676=0,0,IF(FD676/'🎚️ Escenario'!$C$11&gt;=36,$AL$23,INDEX($C$23:$AL$23,MAX(1,ROUNDUP(FD676/'🎚️ Escenario'!$C$11,0)))))</f>
        <v>0.98</v>
      </c>
      <c r="FE677" s="9" t="n">
        <f aca="false" t="array" ref="FE677:FE677">IF(FE676=0,0,IF(FE676/'🎚️ Escenario'!$C$11&gt;=36,$AL$23,INDEX($C$23:$AL$23,MAX(1,ROUNDUP(FE676/'🎚️ Escenario'!$C$11,0)))))</f>
        <v>0.99</v>
      </c>
      <c r="FF677" s="9" t="n">
        <f aca="false" t="array" ref="FF677:FF677">IF(FF676=0,0,IF(FF676/'🎚️ Escenario'!$C$11&gt;=36,$AL$23,INDEX($C$23:$AL$23,MAX(1,ROUNDUP(FF676/'🎚️ Escenario'!$C$11,0)))))</f>
        <v>1</v>
      </c>
      <c r="FG677" s="9" t="n">
        <f aca="false" t="array" ref="FG677:FG677">IF(FG676=0,0,IF(FG676/'🎚️ Escenario'!$C$11&gt;=36,$AL$23,INDEX($C$23:$AL$23,MAX(1,ROUNDUP(FG676/'🎚️ Escenario'!$C$11,0)))))</f>
        <v>1</v>
      </c>
      <c r="FH677" s="9" t="n">
        <f aca="false" t="array" ref="FH677:FH677">IF(FH676=0,0,IF(FH676/'🎚️ Escenario'!$C$11&gt;=36,$AL$23,INDEX($C$23:$AL$23,MAX(1,ROUNDUP(FH676/'🎚️ Escenario'!$C$11,0)))))</f>
        <v>1</v>
      </c>
      <c r="FI677" s="9" t="n">
        <f aca="false" t="array" ref="FI677:FI677">IF(FI676=0,0,IF(FI676/'🎚️ Escenario'!$C$11&gt;=36,$AL$23,INDEX($C$23:$AL$23,MAX(1,ROUNDUP(FI676/'🎚️ Escenario'!$C$11,0)))))</f>
        <v>1</v>
      </c>
      <c r="FJ677" s="9" t="n">
        <f aca="false" t="array" ref="FJ677:FJ677">IF(FJ676=0,0,IF(FJ676/'🎚️ Escenario'!$C$11&gt;=36,$AL$23,INDEX($C$23:$AL$23,MAX(1,ROUNDUP(FJ676/'🎚️ Escenario'!$C$11,0)))))</f>
        <v>1</v>
      </c>
      <c r="FK677" s="9" t="n">
        <f aca="false" t="array" ref="FK677:FK677">IF(FK676=0,0,IF(FK676/'🎚️ Escenario'!$C$11&gt;=36,$AL$23,INDEX($C$23:$AL$23,MAX(1,ROUNDUP(FK676/'🎚️ Escenario'!$C$11,0)))))</f>
        <v>1</v>
      </c>
      <c r="FL677" s="9" t="n">
        <f aca="false" t="array" ref="FL677:FL677">IF(FL676=0,0,IF(FL676/'🎚️ Escenario'!$C$11&gt;=36,$AL$23,INDEX($C$23:$AL$23,MAX(1,ROUNDUP(FL676/'🎚️ Escenario'!$C$11,0)))))</f>
        <v>1</v>
      </c>
      <c r="FM677" s="9" t="n">
        <f aca="false" t="array" ref="FM677:FM677">IF(FM676=0,0,IF(FM676/'🎚️ Escenario'!$C$11&gt;=36,$AL$23,INDEX($C$23:$AL$23,MAX(1,ROUNDUP(FM676/'🎚️ Escenario'!$C$11,0)))))</f>
        <v>1</v>
      </c>
      <c r="FN677" s="9" t="n">
        <f aca="false" t="array" ref="FN677:FN677">IF(FN676=0,0,IF(FN676/'🎚️ Escenario'!$C$11&gt;=36,$AL$23,INDEX($C$23:$AL$23,MAX(1,ROUNDUP(FN676/'🎚️ Escenario'!$C$11,0)))))</f>
        <v>1</v>
      </c>
      <c r="FO677" s="9" t="n">
        <f aca="false" t="array" ref="FO677:FO677">IF(FO676=0,0,IF(FO676/'🎚️ Escenario'!$C$11&gt;=36,$AL$23,INDEX($C$23:$AL$23,MAX(1,ROUNDUP(FO676/'🎚️ Escenario'!$C$11,0)))))</f>
        <v>1</v>
      </c>
      <c r="FP677" s="9" t="n">
        <f aca="false" t="array" ref="FP677:FP677">IF(FP676=0,0,IF(FP676/'🎚️ Escenario'!$C$11&gt;=36,$AL$23,INDEX($C$23:$AL$23,MAX(1,ROUNDUP(FP676/'🎚️ Escenario'!$C$11,0)))))</f>
        <v>1</v>
      </c>
    </row>
    <row r="678" customFormat="false" ht="15" hidden="false" customHeight="false" outlineLevel="2" collapsed="false">
      <c r="B678" s="9" t="s">
        <v>875</v>
      </c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237" t="n">
        <f aca="false">IF(AC676=0,0,IF(AC676&lt;=12*'🎚️ Escenario'!$C$11,1,1+$C$6))</f>
        <v>0</v>
      </c>
      <c r="AD678" s="237" t="n">
        <f aca="false">IF(AD676=0,0,IF(AD676&lt;=12*'🎚️ Escenario'!$C$11,1,1+$C$6))</f>
        <v>0</v>
      </c>
      <c r="AE678" s="237" t="n">
        <f aca="false">IF(AE676=0,0,IF(AE676&lt;=12*'🎚️ Escenario'!$C$11,1,1+$C$6))</f>
        <v>0</v>
      </c>
      <c r="AF678" s="237" t="n">
        <f aca="false">IF(AF676=0,0,IF(AF676&lt;=12*'🎚️ Escenario'!$C$11,1,1+$C$6))</f>
        <v>0</v>
      </c>
      <c r="AG678" s="237" t="n">
        <f aca="false">IF(AG676=0,0,IF(AG676&lt;=12*'🎚️ Escenario'!$C$11,1,1+$C$6))</f>
        <v>0</v>
      </c>
      <c r="AH678" s="237" t="n">
        <f aca="false">IF(AH676=0,0,IF(AH676&lt;=12*'🎚️ Escenario'!$C$11,1,1+$C$6))</f>
        <v>0</v>
      </c>
      <c r="AI678" s="237" t="n">
        <f aca="false">IF(AI676=0,0,IF(AI676&lt;=12*'🎚️ Escenario'!$C$11,1,1+$C$6))</f>
        <v>0</v>
      </c>
      <c r="AJ678" s="237" t="n">
        <f aca="false">IF(AJ676=0,0,IF(AJ676&lt;=12*'🎚️ Escenario'!$C$11,1,1+$C$6))</f>
        <v>0</v>
      </c>
      <c r="AK678" s="237" t="n">
        <f aca="false">IF(AK676=0,0,IF(AK676&lt;=12*'🎚️ Escenario'!$C$11,1,1+$C$6))</f>
        <v>0</v>
      </c>
      <c r="AL678" s="237" t="n">
        <f aca="false">IF(AL676=0,0,IF(AL676&lt;=12*'🎚️ Escenario'!$C$11,1,1+$C$6))</f>
        <v>0</v>
      </c>
      <c r="AM678" s="237" t="n">
        <f aca="false">IF(AM676=0,0,IF(AM676&lt;=12*'🎚️ Escenario'!$C$11,1,1+$C$6))</f>
        <v>0</v>
      </c>
      <c r="AN678" s="237" t="n">
        <f aca="false">IF(AN676=0,0,IF(AN676&lt;=12*'🎚️ Escenario'!$C$11,1,1+$C$6))</f>
        <v>0</v>
      </c>
      <c r="AO678" s="237" t="n">
        <f aca="false">IF(AO676=0,0,IF(AO676&lt;=12*'🎚️ Escenario'!$C$11,1,1+$C$6))</f>
        <v>0</v>
      </c>
      <c r="AP678" s="237" t="n">
        <f aca="false">IF(AP676=0,0,IF(AP676&lt;=12*'🎚️ Escenario'!$C$11,1,1+$C$6))</f>
        <v>0</v>
      </c>
      <c r="AQ678" s="237" t="n">
        <f aca="false">IF(AQ676=0,0,IF(AQ676&lt;=12*'🎚️ Escenario'!$C$11,1,1+$C$6))</f>
        <v>0</v>
      </c>
      <c r="AR678" s="237" t="n">
        <f aca="false">IF(AR676=0,0,IF(AR676&lt;=12*'🎚️ Escenario'!$C$11,1,1+$C$6))</f>
        <v>0</v>
      </c>
      <c r="AS678" s="237" t="n">
        <f aca="false">IF(AS676=0,0,IF(AS676&lt;=12*'🎚️ Escenario'!$C$11,1,1+$C$6))</f>
        <v>0</v>
      </c>
      <c r="AT678" s="237" t="n">
        <f aca="false">IF(AT676=0,0,IF(AT676&lt;=12*'🎚️ Escenario'!$C$11,1,1+$C$6))</f>
        <v>0</v>
      </c>
      <c r="AU678" s="237" t="n">
        <f aca="false">IF(AU676=0,0,IF(AU676&lt;=12*'🎚️ Escenario'!$C$11,1,1+$C$6))</f>
        <v>0</v>
      </c>
      <c r="AV678" s="237" t="n">
        <f aca="false">IF(AV676=0,0,IF(AV676&lt;=12*'🎚️ Escenario'!$C$11,1,1+$C$6))</f>
        <v>0</v>
      </c>
      <c r="AW678" s="237" t="n">
        <f aca="false">IF(AW676=0,0,IF(AW676&lt;=12*'🎚️ Escenario'!$C$11,1,1+$C$6))</f>
        <v>0</v>
      </c>
      <c r="AX678" s="237" t="n">
        <f aca="false">IF(AX676=0,0,IF(AX676&lt;=12*'🎚️ Escenario'!$C$11,1,1+$C$6))</f>
        <v>0</v>
      </c>
      <c r="AY678" s="237" t="n">
        <f aca="false">IF(AY676=0,0,IF(AY676&lt;=12*'🎚️ Escenario'!$C$11,1,1+$C$6))</f>
        <v>0</v>
      </c>
      <c r="AZ678" s="237" t="n">
        <f aca="false">IF(AZ676=0,0,IF(AZ676&lt;=12*'🎚️ Escenario'!$C$11,1,1+$C$6))</f>
        <v>0</v>
      </c>
      <c r="BA678" s="237" t="n">
        <f aca="false">IF(BA676=0,0,IF(BA676&lt;=12*'🎚️ Escenario'!$C$11,1,1+$C$6))</f>
        <v>0</v>
      </c>
      <c r="BB678" s="237" t="n">
        <f aca="false">IF(BB676=0,0,IF(BB676&lt;=12*'🎚️ Escenario'!$C$11,1,1+$C$6))</f>
        <v>0</v>
      </c>
      <c r="BC678" s="237" t="n">
        <f aca="false">IF(BC676=0,0,IF(BC676&lt;=12*'🎚️ Escenario'!$C$11,1,1+$C$6))</f>
        <v>0</v>
      </c>
      <c r="BD678" s="237" t="n">
        <f aca="false">IF(BD676=0,0,IF(BD676&lt;=12*'🎚️ Escenario'!$C$11,1,1+$C$6))</f>
        <v>0</v>
      </c>
      <c r="BE678" s="237" t="n">
        <f aca="false">IF(BE676=0,0,IF(BE676&lt;=12*'🎚️ Escenario'!$C$11,1,1+$C$6))</f>
        <v>0</v>
      </c>
      <c r="BF678" s="237" t="n">
        <f aca="false">IF(BF676=0,0,IF(BF676&lt;=12*'🎚️ Escenario'!$C$11,1,1+$C$6))</f>
        <v>0</v>
      </c>
      <c r="BG678" s="237" t="n">
        <f aca="false">IF(BG676=0,0,IF(BG676&lt;=12*'🎚️ Escenario'!$C$11,1,1+$C$6))</f>
        <v>0</v>
      </c>
      <c r="BH678" s="237" t="n">
        <f aca="false">IF(BH676=0,0,IF(BH676&lt;=12*'🎚️ Escenario'!$C$11,1,1+$C$6))</f>
        <v>0</v>
      </c>
      <c r="BI678" s="237" t="n">
        <f aca="false">IF(BI676=0,0,IF(BI676&lt;=12*'🎚️ Escenario'!$C$11,1,1+$C$6))</f>
        <v>0</v>
      </c>
      <c r="BJ678" s="237" t="n">
        <f aca="false">IF(BJ676=0,0,IF(BJ676&lt;=12*'🎚️ Escenario'!$C$11,1,1+$C$6))</f>
        <v>0</v>
      </c>
      <c r="BK678" s="237" t="n">
        <f aca="false">IF(BK676=0,0,IF(BK676&lt;=12*'🎚️ Escenario'!$C$11,1,1+$C$6))</f>
        <v>0</v>
      </c>
      <c r="BL678" s="237" t="n">
        <f aca="false">IF(BL676=0,0,IF(BL676&lt;=12*'🎚️ Escenario'!$C$11,1,1+$C$6))</f>
        <v>0</v>
      </c>
      <c r="BM678" s="237" t="n">
        <f aca="false">IF(BM676=0,0,IF(BM676&lt;=12*'🎚️ Escenario'!$C$11,1,1+$C$6))</f>
        <v>0</v>
      </c>
      <c r="BN678" s="237" t="n">
        <f aca="false">IF(BN676=0,0,IF(BN676&lt;=12*'🎚️ Escenario'!$C$11,1,1+$C$6))</f>
        <v>0</v>
      </c>
      <c r="BO678" s="237" t="n">
        <f aca="false">IF(BO676=0,0,IF(BO676&lt;=12*'🎚️ Escenario'!$C$11,1,1+$C$6))</f>
        <v>0</v>
      </c>
      <c r="BP678" s="237" t="n">
        <f aca="false">IF(BP676=0,0,IF(BP676&lt;=12*'🎚️ Escenario'!$C$11,1,1+$C$6))</f>
        <v>0</v>
      </c>
      <c r="BQ678" s="237" t="n">
        <f aca="false">IF(BQ676=0,0,IF(BQ676&lt;=12*'🎚️ Escenario'!$C$11,1,1+$C$6))</f>
        <v>0</v>
      </c>
      <c r="BR678" s="237" t="n">
        <f aca="false">IF(BR676=0,0,IF(BR676&lt;=12*'🎚️ Escenario'!$C$11,1,1+$C$6))</f>
        <v>0</v>
      </c>
      <c r="BS678" s="237" t="n">
        <f aca="false">IF(BS676=0,0,IF(BS676&lt;=12*'🎚️ Escenario'!$C$11,1,1+$C$6))</f>
        <v>0</v>
      </c>
      <c r="BT678" s="237" t="n">
        <f aca="false">IF(BT676=0,0,IF(BT676&lt;=12*'🎚️ Escenario'!$C$11,1,1+$C$6))</f>
        <v>0</v>
      </c>
      <c r="BU678" s="237" t="n">
        <f aca="false">IF(BU676=0,0,IF(BU676&lt;=12*'🎚️ Escenario'!$C$11,1,1+$C$6))</f>
        <v>0</v>
      </c>
      <c r="BV678" s="237" t="n">
        <f aca="false">IF(BV676=0,0,IF(BV676&lt;=12*'🎚️ Escenario'!$C$11,1,1+$C$6))</f>
        <v>0</v>
      </c>
      <c r="BW678" s="237" t="n">
        <f aca="false">IF(BW676=0,0,IF(BW676&lt;=12*'🎚️ Escenario'!$C$11,1,1+$C$6))</f>
        <v>0</v>
      </c>
      <c r="BX678" s="237" t="n">
        <f aca="false">IF(BX676=0,0,IF(BX676&lt;=12*'🎚️ Escenario'!$C$11,1,1+$C$6))</f>
        <v>0</v>
      </c>
      <c r="BY678" s="237" t="n">
        <f aca="false">IF(BY676=0,0,IF(BY676&lt;=12*'🎚️ Escenario'!$C$11,1,1+$C$6))</f>
        <v>0</v>
      </c>
      <c r="BZ678" s="237" t="n">
        <f aca="false">IF(BZ676=0,0,IF(BZ676&lt;=12*'🎚️ Escenario'!$C$11,1,1+$C$6))</f>
        <v>0</v>
      </c>
      <c r="CA678" s="237" t="n">
        <f aca="false">IF(CA676=0,0,IF(CA676&lt;=12*'🎚️ Escenario'!$C$11,1,1+$C$6))</f>
        <v>0</v>
      </c>
      <c r="CB678" s="237" t="n">
        <f aca="false">IF(CB676=0,0,IF(CB676&lt;=12*'🎚️ Escenario'!$C$11,1,1+$C$6))</f>
        <v>0</v>
      </c>
      <c r="CC678" s="237" t="n">
        <f aca="false">IF(CC676=0,0,IF(CC676&lt;=12*'🎚️ Escenario'!$C$11,1,1+$C$6))</f>
        <v>0</v>
      </c>
      <c r="CD678" s="237" t="n">
        <f aca="false">IF(CD676=0,0,IF(CD676&lt;=12*'🎚️ Escenario'!$C$11,1,1+$C$6))</f>
        <v>0</v>
      </c>
      <c r="CE678" s="237" t="n">
        <f aca="false">IF(CE676=0,0,IF(CE676&lt;=12*'🎚️ Escenario'!$C$11,1,1+$C$6))</f>
        <v>0</v>
      </c>
      <c r="CF678" s="237" t="n">
        <f aca="false">IF(CF676=0,0,IF(CF676&lt;=12*'🎚️ Escenario'!$C$11,1,1+$C$6))</f>
        <v>0</v>
      </c>
      <c r="CG678" s="237" t="n">
        <f aca="false">IF(CG676=0,0,IF(CG676&lt;=12*'🎚️ Escenario'!$C$11,1,1+$C$6))</f>
        <v>0</v>
      </c>
      <c r="CH678" s="237" t="n">
        <f aca="false">IF(CH676=0,0,IF(CH676&lt;=12*'🎚️ Escenario'!$C$11,1,1+$C$6))</f>
        <v>0</v>
      </c>
      <c r="CI678" s="237" t="n">
        <f aca="false">IF(CI676=0,0,IF(CI676&lt;=12*'🎚️ Escenario'!$C$11,1,1+$C$6))</f>
        <v>0</v>
      </c>
      <c r="CJ678" s="237" t="n">
        <f aca="false">IF(CJ676=0,0,IF(CJ676&lt;=12*'🎚️ Escenario'!$C$11,1,1+$C$6))</f>
        <v>0</v>
      </c>
      <c r="CK678" s="237" t="n">
        <f aca="false">IF(CK676=0,0,IF(CK676&lt;=12*'🎚️ Escenario'!$C$11,1,1+$C$6))</f>
        <v>0</v>
      </c>
      <c r="CL678" s="237" t="n">
        <f aca="false">IF(CL676=0,0,IF(CL676&lt;=12*'🎚️ Escenario'!$C$11,1,1+$C$6))</f>
        <v>0</v>
      </c>
      <c r="CM678" s="237" t="n">
        <f aca="false">IF(CM676=0,0,IF(CM676&lt;=12*'🎚️ Escenario'!$C$11,1,1+$C$6))</f>
        <v>0</v>
      </c>
      <c r="CN678" s="237" t="n">
        <f aca="false">IF(CN676=0,0,IF(CN676&lt;=12*'🎚️ Escenario'!$C$11,1,1+$C$6))</f>
        <v>0</v>
      </c>
      <c r="CO678" s="237" t="n">
        <f aca="false">IF(CO676=0,0,IF(CO676&lt;=12*'🎚️ Escenario'!$C$11,1,1+$C$6))</f>
        <v>0</v>
      </c>
      <c r="CP678" s="237" t="n">
        <f aca="false">IF(CP676=0,0,IF(CP676&lt;=12*'🎚️ Escenario'!$C$11,1,1+$C$6))</f>
        <v>0</v>
      </c>
      <c r="CQ678" s="237" t="n">
        <f aca="false">IF(CQ676=0,0,IF(CQ676&lt;=12*'🎚️ Escenario'!$C$11,1,1+$C$6))</f>
        <v>0</v>
      </c>
      <c r="CR678" s="237" t="n">
        <f aca="false">IF(CR676=0,0,IF(CR676&lt;=12*'🎚️ Escenario'!$C$11,1,1+$C$6))</f>
        <v>0</v>
      </c>
      <c r="CS678" s="237" t="n">
        <f aca="false">IF(CS676=0,0,IF(CS676&lt;=12*'🎚️ Escenario'!$C$11,1,1+$C$6))</f>
        <v>0</v>
      </c>
      <c r="CT678" s="237" t="n">
        <f aca="false">IF(CT676=0,0,IF(CT676&lt;=12*'🎚️ Escenario'!$C$11,1,1+$C$6))</f>
        <v>0</v>
      </c>
      <c r="CU678" s="237" t="n">
        <f aca="false">IF(CU676=0,0,IF(CU676&lt;=12*'🎚️ Escenario'!$C$11,1,1+$C$6))</f>
        <v>0</v>
      </c>
      <c r="CV678" s="237" t="n">
        <f aca="false">IF(CV676=0,0,IF(CV676&lt;=12*'🎚️ Escenario'!$C$11,1,1+$C$6))</f>
        <v>0</v>
      </c>
      <c r="CW678" s="237" t="n">
        <f aca="false">IF(CW676=0,0,IF(CW676&lt;=12*'🎚️ Escenario'!$C$11,1,1+$C$6))</f>
        <v>0</v>
      </c>
      <c r="CX678" s="237" t="n">
        <f aca="false">IF(CX676=0,0,IF(CX676&lt;=12*'🎚️ Escenario'!$C$11,1,1+$C$6))</f>
        <v>0</v>
      </c>
      <c r="CY678" s="237" t="n">
        <f aca="false">IF(CY676=0,0,IF(CY676&lt;=12*'🎚️ Escenario'!$C$11,1,1+$C$6))</f>
        <v>0</v>
      </c>
      <c r="CZ678" s="237" t="n">
        <f aca="false">IF(CZ676=0,0,IF(CZ676&lt;=12*'🎚️ Escenario'!$C$11,1,1+$C$6))</f>
        <v>0</v>
      </c>
      <c r="DA678" s="237" t="n">
        <f aca="false">IF(DA676=0,0,IF(DA676&lt;=12*'🎚️ Escenario'!$C$11,1,1+$C$6))</f>
        <v>0</v>
      </c>
      <c r="DB678" s="237" t="n">
        <f aca="false">IF(DB676=0,0,IF(DB676&lt;=12*'🎚️ Escenario'!$C$11,1,1+$C$6))</f>
        <v>0</v>
      </c>
      <c r="DC678" s="237" t="n">
        <f aca="false">IF(DC676=0,0,IF(DC676&lt;=12*'🎚️ Escenario'!$C$11,1,1+$C$6))</f>
        <v>0</v>
      </c>
      <c r="DD678" s="237" t="n">
        <f aca="false">IF(DD676=0,0,IF(DD676&lt;=12*'🎚️ Escenario'!$C$11,1,1+$C$6))</f>
        <v>0</v>
      </c>
      <c r="DE678" s="237" t="n">
        <f aca="false">IF(DE676=0,0,IF(DE676&lt;=12*'🎚️ Escenario'!$C$11,1,1+$C$6))</f>
        <v>0</v>
      </c>
      <c r="DF678" s="237" t="n">
        <f aca="false">IF(DF676=0,0,IF(DF676&lt;=12*'🎚️ Escenario'!$C$11,1,1+$C$6))</f>
        <v>0</v>
      </c>
      <c r="DG678" s="237" t="n">
        <f aca="false">IF(DG676=0,0,IF(DG676&lt;=12*'🎚️ Escenario'!$C$11,1,1+$C$6))</f>
        <v>0</v>
      </c>
      <c r="DH678" s="237" t="n">
        <f aca="false">IF(DH676=0,0,IF(DH676&lt;=12*'🎚️ Escenario'!$C$11,1,1+$C$6))</f>
        <v>0</v>
      </c>
      <c r="DI678" s="237" t="n">
        <f aca="false">IF(DI676=0,0,IF(DI676&lt;=12*'🎚️ Escenario'!$C$11,1,1+$C$6))</f>
        <v>0</v>
      </c>
      <c r="DJ678" s="237" t="n">
        <f aca="false">IF(DJ676=0,0,IF(DJ676&lt;=12*'🎚️ Escenario'!$C$11,1,1+$C$6))</f>
        <v>0</v>
      </c>
      <c r="DK678" s="237" t="n">
        <f aca="false">IF(DK676=0,0,IF(DK676&lt;=12*'🎚️ Escenario'!$C$11,1,1+$C$6))</f>
        <v>0</v>
      </c>
      <c r="DL678" s="237" t="n">
        <f aca="false">IF(DL676=0,0,IF(DL676&lt;=12*'🎚️ Escenario'!$C$11,1,1+$C$6))</f>
        <v>0</v>
      </c>
      <c r="DM678" s="237" t="n">
        <f aca="false">IF(DM676=0,0,IF(DM676&lt;=12*'🎚️ Escenario'!$C$11,1,1+$C$6))</f>
        <v>0</v>
      </c>
      <c r="DN678" s="237" t="n">
        <f aca="false">IF(DN676=0,0,IF(DN676&lt;=12*'🎚️ Escenario'!$C$11,1,1+$C$6))</f>
        <v>0</v>
      </c>
      <c r="DO678" s="237" t="n">
        <f aca="false">IF(DO676=0,0,IF(DO676&lt;=12*'🎚️ Escenario'!$C$11,1,1+$C$6))</f>
        <v>1</v>
      </c>
      <c r="DP678" s="237" t="n">
        <f aca="false">IF(DP676=0,0,IF(DP676&lt;=12*'🎚️ Escenario'!$C$11,1,1+$C$6))</f>
        <v>1</v>
      </c>
      <c r="DQ678" s="237" t="n">
        <f aca="false">IF(DQ676=0,0,IF(DQ676&lt;=12*'🎚️ Escenario'!$C$11,1,1+$C$6))</f>
        <v>1</v>
      </c>
      <c r="DR678" s="237" t="n">
        <f aca="false">IF(DR676=0,0,IF(DR676&lt;=12*'🎚️ Escenario'!$C$11,1,1+$C$6))</f>
        <v>1</v>
      </c>
      <c r="DS678" s="237" t="n">
        <f aca="false">IF(DS676=0,0,IF(DS676&lt;=12*'🎚️ Escenario'!$C$11,1,1+$C$6))</f>
        <v>1</v>
      </c>
      <c r="DT678" s="237" t="n">
        <f aca="false">IF(DT676=0,0,IF(DT676&lt;=12*'🎚️ Escenario'!$C$11,1,1+$C$6))</f>
        <v>1</v>
      </c>
      <c r="DU678" s="237" t="n">
        <f aca="false">IF(DU676=0,0,IF(DU676&lt;=12*'🎚️ Escenario'!$C$11,1,1+$C$6))</f>
        <v>1</v>
      </c>
      <c r="DV678" s="237" t="n">
        <f aca="false">IF(DV676=0,0,IF(DV676&lt;=12*'🎚️ Escenario'!$C$11,1,1+$C$6))</f>
        <v>1</v>
      </c>
      <c r="DW678" s="237" t="n">
        <f aca="false">IF(DW676=0,0,IF(DW676&lt;=12*'🎚️ Escenario'!$C$11,1,1+$C$6))</f>
        <v>1</v>
      </c>
      <c r="DX678" s="237" t="n">
        <f aca="false">IF(DX676=0,0,IF(DX676&lt;=12*'🎚️ Escenario'!$C$11,1,1+$C$6))</f>
        <v>1</v>
      </c>
      <c r="DY678" s="237" t="n">
        <f aca="false">IF(DY676=0,0,IF(DY676&lt;=12*'🎚️ Escenario'!$C$11,1,1+$C$6))</f>
        <v>1</v>
      </c>
      <c r="DZ678" s="237" t="n">
        <f aca="false">IF(DZ676=0,0,IF(DZ676&lt;=12*'🎚️ Escenario'!$C$11,1,1+$C$6))</f>
        <v>1</v>
      </c>
      <c r="EA678" s="237" t="n">
        <f aca="false">IF(EA676=0,0,IF(EA676&lt;=12*'🎚️ Escenario'!$C$11,1,1+$C$6))</f>
        <v>1</v>
      </c>
      <c r="EB678" s="237" t="n">
        <f aca="false">IF(EB676=0,0,IF(EB676&lt;=12*'🎚️ Escenario'!$C$11,1,1+$C$6))</f>
        <v>1</v>
      </c>
      <c r="EC678" s="237" t="n">
        <f aca="false">IF(EC676=0,0,IF(EC676&lt;=12*'🎚️ Escenario'!$C$11,1,1+$C$6))</f>
        <v>1</v>
      </c>
      <c r="ED678" s="237" t="n">
        <f aca="false">IF(ED676=0,0,IF(ED676&lt;=12*'🎚️ Escenario'!$C$11,1,1+$C$6))</f>
        <v>1.2</v>
      </c>
      <c r="EE678" s="237" t="n">
        <f aca="false">IF(EE676=0,0,IF(EE676&lt;=12*'🎚️ Escenario'!$C$11,1,1+$C$6))</f>
        <v>1.2</v>
      </c>
      <c r="EF678" s="237" t="n">
        <f aca="false">IF(EF676=0,0,IF(EF676&lt;=12*'🎚️ Escenario'!$C$11,1,1+$C$6))</f>
        <v>1.2</v>
      </c>
      <c r="EG678" s="237" t="n">
        <f aca="false">IF(EG676=0,0,IF(EG676&lt;=12*'🎚️ Escenario'!$C$11,1,1+$C$6))</f>
        <v>1.2</v>
      </c>
      <c r="EH678" s="237" t="n">
        <f aca="false">IF(EH676=0,0,IF(EH676&lt;=12*'🎚️ Escenario'!$C$11,1,1+$C$6))</f>
        <v>1.2</v>
      </c>
      <c r="EI678" s="237" t="n">
        <f aca="false">IF(EI676=0,0,IF(EI676&lt;=12*'🎚️ Escenario'!$C$11,1,1+$C$6))</f>
        <v>1.2</v>
      </c>
      <c r="EJ678" s="237" t="n">
        <f aca="false">IF(EJ676=0,0,IF(EJ676&lt;=12*'🎚️ Escenario'!$C$11,1,1+$C$6))</f>
        <v>1.2</v>
      </c>
      <c r="EK678" s="237" t="n">
        <f aca="false">IF(EK676=0,0,IF(EK676&lt;=12*'🎚️ Escenario'!$C$11,1,1+$C$6))</f>
        <v>1.2</v>
      </c>
      <c r="EL678" s="237" t="n">
        <f aca="false">IF(EL676=0,0,IF(EL676&lt;=12*'🎚️ Escenario'!$C$11,1,1+$C$6))</f>
        <v>1.2</v>
      </c>
      <c r="EM678" s="237" t="n">
        <f aca="false">IF(EM676=0,0,IF(EM676&lt;=12*'🎚️ Escenario'!$C$11,1,1+$C$6))</f>
        <v>1.2</v>
      </c>
      <c r="EN678" s="237" t="n">
        <f aca="false">IF(EN676=0,0,IF(EN676&lt;=12*'🎚️ Escenario'!$C$11,1,1+$C$6))</f>
        <v>1.2</v>
      </c>
      <c r="EO678" s="237" t="n">
        <f aca="false">IF(EO676=0,0,IF(EO676&lt;=12*'🎚️ Escenario'!$C$11,1,1+$C$6))</f>
        <v>1.2</v>
      </c>
      <c r="EP678" s="237" t="n">
        <f aca="false">IF(EP676=0,0,IF(EP676&lt;=12*'🎚️ Escenario'!$C$11,1,1+$C$6))</f>
        <v>1.2</v>
      </c>
      <c r="EQ678" s="237" t="n">
        <f aca="false">IF(EQ676=0,0,IF(EQ676&lt;=12*'🎚️ Escenario'!$C$11,1,1+$C$6))</f>
        <v>1.2</v>
      </c>
      <c r="ER678" s="237" t="n">
        <f aca="false">IF(ER676=0,0,IF(ER676&lt;=12*'🎚️ Escenario'!$C$11,1,1+$C$6))</f>
        <v>1.2</v>
      </c>
      <c r="ES678" s="238" t="n">
        <f aca="false">IF(ES676=0,0,IF(ES676&lt;=12*'🎚️ Escenario'!$C$11,1,1+$C$6))</f>
        <v>1.2</v>
      </c>
      <c r="ET678" s="238" t="n">
        <f aca="false">IF(ET676=0,0,IF(ET676&lt;=12*'🎚️ Escenario'!$C$11,1,1+$C$6))</f>
        <v>1.2</v>
      </c>
      <c r="EU678" s="238" t="n">
        <f aca="false">IF(EU676=0,0,IF(EU676&lt;=12*'🎚️ Escenario'!$C$11,1,1+$C$6))</f>
        <v>1.2</v>
      </c>
      <c r="EV678" s="238" t="n">
        <f aca="false">IF(EV676=0,0,IF(EV676&lt;=12*'🎚️ Escenario'!$C$11,1,1+$C$6))</f>
        <v>1.2</v>
      </c>
      <c r="EW678" s="238" t="n">
        <f aca="false">IF(EW676=0,0,IF(EW676&lt;=12*'🎚️ Escenario'!$C$11,1,1+$C$6))</f>
        <v>1.2</v>
      </c>
      <c r="EX678" s="238" t="n">
        <f aca="false">IF(EX676=0,0,IF(EX676&lt;=12*'🎚️ Escenario'!$C$11,1,1+$C$6))</f>
        <v>1.2</v>
      </c>
      <c r="EY678" s="238" t="n">
        <f aca="false">IF(EY676=0,0,IF(EY676&lt;=12*'🎚️ Escenario'!$C$11,1,1+$C$6))</f>
        <v>1.2</v>
      </c>
      <c r="EZ678" s="238" t="n">
        <f aca="false">IF(EZ676=0,0,IF(EZ676&lt;=12*'🎚️ Escenario'!$C$11,1,1+$C$6))</f>
        <v>1.2</v>
      </c>
      <c r="FA678" s="238" t="n">
        <f aca="false">IF(FA676=0,0,IF(FA676&lt;=12*'🎚️ Escenario'!$C$11,1,1+$C$6))</f>
        <v>1.2</v>
      </c>
      <c r="FB678" s="238" t="n">
        <f aca="false">IF(FB676=0,0,IF(FB676&lt;=12*'🎚️ Escenario'!$C$11,1,1+$C$6))</f>
        <v>1.2</v>
      </c>
      <c r="FC678" s="238" t="n">
        <f aca="false">IF(FC676=0,0,IF(FC676&lt;=12*'🎚️ Escenario'!$C$11,1,1+$C$6))</f>
        <v>1.2</v>
      </c>
      <c r="FD678" s="238" t="n">
        <f aca="false">IF(FD676=0,0,IF(FD676&lt;=12*'🎚️ Escenario'!$C$11,1,1+$C$6))</f>
        <v>1.2</v>
      </c>
      <c r="FE678" s="238" t="n">
        <f aca="false">IF(FE676=0,0,IF(FE676&lt;=12*'🎚️ Escenario'!$C$11,1,1+$C$6))</f>
        <v>1.2</v>
      </c>
      <c r="FF678" s="238" t="n">
        <f aca="false">IF(FF676=0,0,IF(FF676&lt;=12*'🎚️ Escenario'!$C$11,1,1+$C$6))</f>
        <v>1.2</v>
      </c>
      <c r="FG678" s="238" t="n">
        <f aca="false">IF(FG676=0,0,IF(FG676&lt;=12*'🎚️ Escenario'!$C$11,1,1+$C$6))</f>
        <v>1.2</v>
      </c>
      <c r="FH678" s="238" t="n">
        <f aca="false">IF(FH676=0,0,IF(FH676&lt;=12*'🎚️ Escenario'!$C$11,1,1+$C$6))</f>
        <v>1.2</v>
      </c>
      <c r="FI678" s="238" t="n">
        <f aca="false">IF(FI676=0,0,IF(FI676&lt;=12*'🎚️ Escenario'!$C$11,1,1+$C$6))</f>
        <v>1.2</v>
      </c>
      <c r="FJ678" s="238" t="n">
        <f aca="false">IF(FJ676=0,0,IF(FJ676&lt;=12*'🎚️ Escenario'!$C$11,1,1+$C$6))</f>
        <v>1.2</v>
      </c>
      <c r="FK678" s="238" t="n">
        <f aca="false">IF(FK676=0,0,IF(FK676&lt;=12*'🎚️ Escenario'!$C$11,1,1+$C$6))</f>
        <v>1.2</v>
      </c>
      <c r="FL678" s="238" t="n">
        <f aca="false">IF(FL676=0,0,IF(FL676&lt;=12*'🎚️ Escenario'!$C$11,1,1+$C$6))</f>
        <v>1.2</v>
      </c>
      <c r="FM678" s="238" t="n">
        <f aca="false">IF(FM676=0,0,IF(FM676&lt;=12*'🎚️ Escenario'!$C$11,1,1+$C$6))</f>
        <v>1.2</v>
      </c>
      <c r="FN678" s="238" t="n">
        <f aca="false">IF(FN676=0,0,IF(FN676&lt;=12*'🎚️ Escenario'!$C$11,1,1+$C$6))</f>
        <v>1.2</v>
      </c>
      <c r="FO678" s="238" t="n">
        <f aca="false">IF(FO676=0,0,IF(FO676&lt;=12*'🎚️ Escenario'!$C$11,1,1+$C$6))</f>
        <v>1.2</v>
      </c>
      <c r="FP678" s="238" t="n">
        <f aca="false">IF(FP676=0,0,IF(FP676&lt;=12*'🎚️ Escenario'!$C$11,1,1+$C$6))</f>
        <v>1.2</v>
      </c>
    </row>
    <row r="679" customFormat="false" ht="15" hidden="false" customHeight="false" outlineLevel="2" collapsed="false">
      <c r="B679" s="9" t="s">
        <v>876</v>
      </c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36" t="n">
        <f aca="false">AC677*$AC$675*AC678*AC$38*'⑫ Roll-out Plan'!$O$72</f>
        <v>0</v>
      </c>
      <c r="AD679" s="36" t="n">
        <f aca="false">AD677*$AC$675*AD678*AD$38*'⑫ Roll-out Plan'!$O$72</f>
        <v>0</v>
      </c>
      <c r="AE679" s="36" t="n">
        <f aca="false">AE677*$AC$675*AE678*AE$38*'⑫ Roll-out Plan'!$O$72</f>
        <v>0</v>
      </c>
      <c r="AF679" s="36" t="n">
        <f aca="false">AF677*$AC$675*AF678*AF$38*'⑫ Roll-out Plan'!$O$72</f>
        <v>0</v>
      </c>
      <c r="AG679" s="36" t="n">
        <f aca="false">AG677*$AC$675*AG678*AG$38*'⑫ Roll-out Plan'!$O$72</f>
        <v>0</v>
      </c>
      <c r="AH679" s="36" t="n">
        <f aca="false">AH677*$AC$675*AH678*AH$38*'⑫ Roll-out Plan'!$O$72</f>
        <v>0</v>
      </c>
      <c r="AI679" s="36" t="n">
        <f aca="false">AI677*$AC$675*AI678*AI$38*'⑫ Roll-out Plan'!$O$72</f>
        <v>0</v>
      </c>
      <c r="AJ679" s="36" t="n">
        <f aca="false">AJ677*$AC$675*AJ678*AJ$38*'⑫ Roll-out Plan'!$O$72</f>
        <v>0</v>
      </c>
      <c r="AK679" s="36" t="n">
        <f aca="false">AK677*$AC$675*AK678*AK$38*'⑫ Roll-out Plan'!$O$72</f>
        <v>0</v>
      </c>
      <c r="AL679" s="36" t="n">
        <f aca="false">AL677*$AC$675*AL678*AL$38*'⑫ Roll-out Plan'!$O$72</f>
        <v>0</v>
      </c>
      <c r="AM679" s="36" t="n">
        <f aca="false">AM677*$AC$675*AM678*AM$38*'⑫ Roll-out Plan'!$O$72</f>
        <v>0</v>
      </c>
      <c r="AN679" s="36" t="n">
        <f aca="false">AN677*$AC$675*AN678*AN$38*'⑫ Roll-out Plan'!$O$72</f>
        <v>0</v>
      </c>
      <c r="AO679" s="36" t="n">
        <f aca="false">AO677*$AC$675*AO678*AO$38*'⑫ Roll-out Plan'!$O$72</f>
        <v>0</v>
      </c>
      <c r="AP679" s="36" t="n">
        <f aca="false">AP677*$AC$675*AP678*AP$38*'⑫ Roll-out Plan'!$O$72</f>
        <v>0</v>
      </c>
      <c r="AQ679" s="36" t="n">
        <f aca="false">AQ677*$AC$675*AQ678*AQ$38*'⑫ Roll-out Plan'!$O$72</f>
        <v>0</v>
      </c>
      <c r="AR679" s="36" t="n">
        <f aca="false">AR677*$AC$675*AR678*AR$38*'⑫ Roll-out Plan'!$O$72</f>
        <v>0</v>
      </c>
      <c r="AS679" s="36" t="n">
        <f aca="false">AS677*$AC$675*AS678*AS$38*'⑫ Roll-out Plan'!$O$72</f>
        <v>0</v>
      </c>
      <c r="AT679" s="36" t="n">
        <f aca="false">AT677*$AC$675*AT678*AT$38*'⑫ Roll-out Plan'!$O$72</f>
        <v>0</v>
      </c>
      <c r="AU679" s="36" t="n">
        <f aca="false">AU677*$AC$675*AU678*AU$38*'⑫ Roll-out Plan'!$O$72</f>
        <v>0</v>
      </c>
      <c r="AV679" s="36" t="n">
        <f aca="false">AV677*$AC$675*AV678*AV$38*'⑫ Roll-out Plan'!$O$72</f>
        <v>0</v>
      </c>
      <c r="AW679" s="36" t="n">
        <f aca="false">AW677*$AC$675*AW678*AW$38*'⑫ Roll-out Plan'!$O$72</f>
        <v>0</v>
      </c>
      <c r="AX679" s="36" t="n">
        <f aca="false">AX677*$AC$675*AX678*AX$38*'⑫ Roll-out Plan'!$O$72</f>
        <v>0</v>
      </c>
      <c r="AY679" s="36" t="n">
        <f aca="false">AY677*$AC$675*AY678*AY$38*'⑫ Roll-out Plan'!$O$72</f>
        <v>0</v>
      </c>
      <c r="AZ679" s="36" t="n">
        <f aca="false">AZ677*$AC$675*AZ678*AZ$38*'⑫ Roll-out Plan'!$O$72</f>
        <v>0</v>
      </c>
      <c r="BA679" s="36" t="n">
        <f aca="false">BA677*$AC$675*BA678*BA$38*'⑫ Roll-out Plan'!$O$72</f>
        <v>0</v>
      </c>
      <c r="BB679" s="36" t="n">
        <f aca="false">BB677*$AC$675*BB678*BB$38*'⑫ Roll-out Plan'!$O$72</f>
        <v>0</v>
      </c>
      <c r="BC679" s="36" t="n">
        <f aca="false">BC677*$AC$675*BC678*BC$38*'⑫ Roll-out Plan'!$O$72</f>
        <v>0</v>
      </c>
      <c r="BD679" s="36" t="n">
        <f aca="false">BD677*$AC$675*BD678*BD$38*'⑫ Roll-out Plan'!$O$72</f>
        <v>0</v>
      </c>
      <c r="BE679" s="36" t="n">
        <f aca="false">BE677*$AC$675*BE678*BE$38*'⑫ Roll-out Plan'!$O$72</f>
        <v>0</v>
      </c>
      <c r="BF679" s="36" t="n">
        <f aca="false">BF677*$AC$675*BF678*BF$38*'⑫ Roll-out Plan'!$O$72</f>
        <v>0</v>
      </c>
      <c r="BG679" s="36" t="n">
        <f aca="false">BG677*$AC$675*BG678*BG$38*'⑫ Roll-out Plan'!$O$72</f>
        <v>0</v>
      </c>
      <c r="BH679" s="36" t="n">
        <f aca="false">BH677*$AC$675*BH678*BH$38*'⑫ Roll-out Plan'!$O$72</f>
        <v>0</v>
      </c>
      <c r="BI679" s="36" t="n">
        <f aca="false">BI677*$AC$675*BI678*BI$38*'⑫ Roll-out Plan'!$O$72</f>
        <v>0</v>
      </c>
      <c r="BJ679" s="36" t="n">
        <f aca="false">BJ677*$AC$675*BJ678*BJ$38*'⑫ Roll-out Plan'!$O$72</f>
        <v>0</v>
      </c>
      <c r="BK679" s="36" t="n">
        <f aca="false">BK677*$AC$675*BK678*BK$38*'⑫ Roll-out Plan'!$O$72</f>
        <v>0</v>
      </c>
      <c r="BL679" s="36" t="n">
        <f aca="false">BL677*$AC$675*BL678*BL$38*'⑫ Roll-out Plan'!$O$72</f>
        <v>0</v>
      </c>
      <c r="BM679" s="36" t="n">
        <f aca="false">BM677*$AC$675*BM678*BM$38*'⑫ Roll-out Plan'!$O$72</f>
        <v>0</v>
      </c>
      <c r="BN679" s="36" t="n">
        <f aca="false">BN677*$AC$675*BN678*BN$38*'⑫ Roll-out Plan'!$O$72</f>
        <v>0</v>
      </c>
      <c r="BO679" s="36" t="n">
        <f aca="false">BO677*$AC$675*BO678*BO$38*'⑫ Roll-out Plan'!$O$72</f>
        <v>0</v>
      </c>
      <c r="BP679" s="36" t="n">
        <f aca="false">BP677*$AC$675*BP678*BP$38*'⑫ Roll-out Plan'!$O$72</f>
        <v>0</v>
      </c>
      <c r="BQ679" s="36" t="n">
        <f aca="false">BQ677*$AC$675*BQ678*BQ$38*'⑫ Roll-out Plan'!$O$72</f>
        <v>0</v>
      </c>
      <c r="BR679" s="36" t="n">
        <f aca="false">BR677*$AC$675*BR678*BR$38*'⑫ Roll-out Plan'!$O$72</f>
        <v>0</v>
      </c>
      <c r="BS679" s="36" t="n">
        <f aca="false">BS677*$AC$675*BS678*BS$38*'⑫ Roll-out Plan'!$O$72</f>
        <v>0</v>
      </c>
      <c r="BT679" s="36" t="n">
        <f aca="false">BT677*$AC$675*BT678*BT$38*'⑫ Roll-out Plan'!$O$72</f>
        <v>0</v>
      </c>
      <c r="BU679" s="36" t="n">
        <f aca="false">BU677*$AC$675*BU678*BU$38*'⑫ Roll-out Plan'!$O$72</f>
        <v>0</v>
      </c>
      <c r="BV679" s="36" t="n">
        <f aca="false">BV677*$AC$675*BV678*BV$38*'⑫ Roll-out Plan'!$O$72</f>
        <v>0</v>
      </c>
      <c r="BW679" s="36" t="n">
        <f aca="false">BW677*$AC$675*BW678*BW$38*'⑫ Roll-out Plan'!$O$72</f>
        <v>0</v>
      </c>
      <c r="BX679" s="36" t="n">
        <f aca="false">BX677*$AC$675*BX678*BX$38*'⑫ Roll-out Plan'!$O$72</f>
        <v>0</v>
      </c>
      <c r="BY679" s="36" t="n">
        <f aca="false">BY677*$AC$675*BY678*BY$38*'⑫ Roll-out Plan'!$O$72</f>
        <v>0</v>
      </c>
      <c r="BZ679" s="36" t="n">
        <f aca="false">BZ677*$AC$675*BZ678*BZ$38*'⑫ Roll-out Plan'!$O$72</f>
        <v>0</v>
      </c>
      <c r="CA679" s="36" t="n">
        <f aca="false">CA677*$AC$675*CA678*CA$38*'⑫ Roll-out Plan'!$O$72</f>
        <v>0</v>
      </c>
      <c r="CB679" s="36" t="n">
        <f aca="false">CB677*$AC$675*CB678*CB$38*'⑫ Roll-out Plan'!$O$72</f>
        <v>0</v>
      </c>
      <c r="CC679" s="36" t="n">
        <f aca="false">CC677*$AC$675*CC678*CC$38*'⑫ Roll-out Plan'!$O$72</f>
        <v>0</v>
      </c>
      <c r="CD679" s="36" t="n">
        <f aca="false">CD677*$AC$675*CD678*CD$38*'⑫ Roll-out Plan'!$O$72</f>
        <v>0</v>
      </c>
      <c r="CE679" s="36" t="n">
        <f aca="false">CE677*$AC$675*CE678*CE$38*'⑫ Roll-out Plan'!$O$72</f>
        <v>0</v>
      </c>
      <c r="CF679" s="36" t="n">
        <f aca="false">CF677*$AC$675*CF678*CF$38*'⑫ Roll-out Plan'!$O$72</f>
        <v>0</v>
      </c>
      <c r="CG679" s="36" t="n">
        <f aca="false">CG677*$AC$675*CG678*CG$38*'⑫ Roll-out Plan'!$O$72</f>
        <v>0</v>
      </c>
      <c r="CH679" s="36" t="n">
        <f aca="false">CH677*$AC$675*CH678*CH$38*'⑫ Roll-out Plan'!$O$72</f>
        <v>0</v>
      </c>
      <c r="CI679" s="36" t="n">
        <f aca="false">CI677*$AC$675*CI678*CI$38*'⑫ Roll-out Plan'!$O$72</f>
        <v>0</v>
      </c>
      <c r="CJ679" s="36" t="n">
        <f aca="false">CJ677*$AC$675*CJ678*CJ$38*'⑫ Roll-out Plan'!$O$72</f>
        <v>0</v>
      </c>
      <c r="CK679" s="36" t="n">
        <f aca="false">CK677*$AC$675*CK678*CK$38*'⑫ Roll-out Plan'!$O$72</f>
        <v>0</v>
      </c>
      <c r="CL679" s="36" t="n">
        <f aca="false">CL677*$AC$675*CL678*CL$38*'⑫ Roll-out Plan'!$O$72</f>
        <v>0</v>
      </c>
      <c r="CM679" s="36" t="n">
        <f aca="false">CM677*$AC$675*CM678*CM$38*'⑫ Roll-out Plan'!$O$72</f>
        <v>0</v>
      </c>
      <c r="CN679" s="36" t="n">
        <f aca="false">CN677*$AC$675*CN678*CN$38*'⑫ Roll-out Plan'!$O$72</f>
        <v>0</v>
      </c>
      <c r="CO679" s="36" t="n">
        <f aca="false">CO677*$AC$675*CO678*CO$38*'⑫ Roll-out Plan'!$O$72</f>
        <v>0</v>
      </c>
      <c r="CP679" s="36" t="n">
        <f aca="false">CP677*$AC$675*CP678*CP$38*'⑫ Roll-out Plan'!$O$72</f>
        <v>0</v>
      </c>
      <c r="CQ679" s="36" t="n">
        <f aca="false">CQ677*$AC$675*CQ678*CQ$38*'⑫ Roll-out Plan'!$O$72</f>
        <v>0</v>
      </c>
      <c r="CR679" s="36" t="n">
        <f aca="false">CR677*$AC$675*CR678*CR$38*'⑫ Roll-out Plan'!$O$72</f>
        <v>0</v>
      </c>
      <c r="CS679" s="36" t="n">
        <f aca="false">CS677*$AC$675*CS678*CS$38*'⑫ Roll-out Plan'!$O$72</f>
        <v>0</v>
      </c>
      <c r="CT679" s="36" t="n">
        <f aca="false">CT677*$AC$675*CT678*CT$38*'⑫ Roll-out Plan'!$O$72</f>
        <v>0</v>
      </c>
      <c r="CU679" s="36" t="n">
        <f aca="false">CU677*$AC$675*CU678*CU$38*'⑫ Roll-out Plan'!$O$72</f>
        <v>0</v>
      </c>
      <c r="CV679" s="36" t="n">
        <f aca="false">CV677*$AC$675*CV678*CV$38*'⑫ Roll-out Plan'!$O$72</f>
        <v>0</v>
      </c>
      <c r="CW679" s="36" t="n">
        <f aca="false">CW677*$AC$675*CW678*CW$38*'⑫ Roll-out Plan'!$O$72</f>
        <v>0</v>
      </c>
      <c r="CX679" s="36" t="n">
        <f aca="false">CX677*$AC$675*CX678*CX$38*'⑫ Roll-out Plan'!$O$72</f>
        <v>0</v>
      </c>
      <c r="CY679" s="36" t="n">
        <f aca="false">CY677*$AC$675*CY678*CY$38*'⑫ Roll-out Plan'!$O$72</f>
        <v>0</v>
      </c>
      <c r="CZ679" s="36" t="n">
        <f aca="false">CZ677*$AC$675*CZ678*CZ$38*'⑫ Roll-out Plan'!$O$72</f>
        <v>0</v>
      </c>
      <c r="DA679" s="36" t="n">
        <f aca="false">DA677*$AC$675*DA678*DA$38*'⑫ Roll-out Plan'!$O$72</f>
        <v>0</v>
      </c>
      <c r="DB679" s="36" t="n">
        <f aca="false">DB677*$AC$675*DB678*DB$38*'⑫ Roll-out Plan'!$O$72</f>
        <v>0</v>
      </c>
      <c r="DC679" s="36" t="n">
        <f aca="false">DC677*$AC$675*DC678*DC$38*'⑫ Roll-out Plan'!$O$72</f>
        <v>0</v>
      </c>
      <c r="DD679" s="36" t="n">
        <f aca="false">DD677*$AC$675*DD678*DD$38*'⑫ Roll-out Plan'!$O$72</f>
        <v>0</v>
      </c>
      <c r="DE679" s="36" t="n">
        <f aca="false">DE677*$AC$675*DE678*DE$38*'⑫ Roll-out Plan'!$O$72</f>
        <v>0</v>
      </c>
      <c r="DF679" s="36" t="n">
        <f aca="false">DF677*$AC$675*DF678*DF$38*'⑫ Roll-out Plan'!$O$72</f>
        <v>0</v>
      </c>
      <c r="DG679" s="36" t="n">
        <f aca="false">DG677*$AC$675*DG678*DG$38*'⑫ Roll-out Plan'!$O$72</f>
        <v>0</v>
      </c>
      <c r="DH679" s="36" t="n">
        <f aca="false">DH677*$AC$675*DH678*DH$38*'⑫ Roll-out Plan'!$O$72</f>
        <v>0</v>
      </c>
      <c r="DI679" s="36" t="n">
        <f aca="false">DI677*$AC$675*DI678*DI$38*'⑫ Roll-out Plan'!$O$72</f>
        <v>0</v>
      </c>
      <c r="DJ679" s="36" t="n">
        <f aca="false">DJ677*$AC$675*DJ678*DJ$38*'⑫ Roll-out Plan'!$O$72</f>
        <v>0</v>
      </c>
      <c r="DK679" s="36" t="n">
        <f aca="false">DK677*$AC$675*DK678*DK$38*'⑫ Roll-out Plan'!$O$72</f>
        <v>0</v>
      </c>
      <c r="DL679" s="36" t="n">
        <f aca="false">DL677*$AC$675*DL678*DL$38*'⑫ Roll-out Plan'!$O$72</f>
        <v>0</v>
      </c>
      <c r="DM679" s="36" t="n">
        <f aca="false">DM677*$AC$675*DM678*DM$38*'⑫ Roll-out Plan'!$O$72</f>
        <v>0</v>
      </c>
      <c r="DN679" s="36" t="n">
        <f aca="false">DN677*$AC$675*DN678*DN$38*'⑫ Roll-out Plan'!$O$72</f>
        <v>0</v>
      </c>
      <c r="DO679" s="36" t="n">
        <f aca="false">DO677*$AC$675*DO678*DO$38*'⑫ Roll-out Plan'!$O$72</f>
        <v>0</v>
      </c>
      <c r="DP679" s="36" t="n">
        <f aca="false">DP677*$AC$675*DP678*DP$38*'⑫ Roll-out Plan'!$O$72</f>
        <v>0</v>
      </c>
      <c r="DQ679" s="36" t="n">
        <f aca="false">DQ677*$AC$675*DQ678*DQ$38*'⑫ Roll-out Plan'!$O$72</f>
        <v>0</v>
      </c>
      <c r="DR679" s="36" t="n">
        <f aca="false">DR677*$AC$675*DR678*DR$38*'⑫ Roll-out Plan'!$O$72</f>
        <v>0</v>
      </c>
      <c r="DS679" s="36" t="n">
        <f aca="false">DS677*$AC$675*DS678*DS$38*'⑫ Roll-out Plan'!$O$72</f>
        <v>0</v>
      </c>
      <c r="DT679" s="36" t="n">
        <f aca="false">DT677*$AC$675*DT678*DT$38*'⑫ Roll-out Plan'!$O$72</f>
        <v>0</v>
      </c>
      <c r="DU679" s="36" t="n">
        <f aca="false">DU677*$AC$675*DU678*DU$38*'⑫ Roll-out Plan'!$O$72</f>
        <v>0</v>
      </c>
      <c r="DV679" s="36" t="n">
        <f aca="false">DV677*$AC$675*DV678*DV$38*'⑫ Roll-out Plan'!$O$72</f>
        <v>0</v>
      </c>
      <c r="DW679" s="36" t="n">
        <f aca="false">DW677*$AC$675*DW678*DW$38*'⑫ Roll-out Plan'!$O$72</f>
        <v>0</v>
      </c>
      <c r="DX679" s="36" t="n">
        <f aca="false">DX677*$AC$675*DX678*DX$38*'⑫ Roll-out Plan'!$O$72</f>
        <v>0</v>
      </c>
      <c r="DY679" s="36" t="n">
        <f aca="false">DY677*$AC$675*DY678*DY$38*'⑫ Roll-out Plan'!$O$72</f>
        <v>0</v>
      </c>
      <c r="DZ679" s="36" t="n">
        <f aca="false">DZ677*$AC$675*DZ678*DZ$38*'⑫ Roll-out Plan'!$O$72</f>
        <v>0</v>
      </c>
      <c r="EA679" s="36" t="n">
        <f aca="false">EA677*$AC$675*EA678*EA$38*'⑫ Roll-out Plan'!$O$72</f>
        <v>0</v>
      </c>
      <c r="EB679" s="36" t="n">
        <f aca="false">EB677*$AC$675*EB678*EB$38*'⑫ Roll-out Plan'!$O$72</f>
        <v>0</v>
      </c>
      <c r="EC679" s="36" t="n">
        <f aca="false">EC677*$AC$675*EC678*EC$38*'⑫ Roll-out Plan'!$O$72</f>
        <v>0</v>
      </c>
      <c r="ED679" s="36" t="n">
        <f aca="false">ED677*$AC$675*ED678*ED$38*'⑫ Roll-out Plan'!$O$72</f>
        <v>0</v>
      </c>
      <c r="EE679" s="36" t="n">
        <f aca="false">EE677*$AC$675*EE678*EE$38*'⑫ Roll-out Plan'!$O$72</f>
        <v>0</v>
      </c>
      <c r="EF679" s="36" t="n">
        <f aca="false">EF677*$AC$675*EF678*EF$38*'⑫ Roll-out Plan'!$O$72</f>
        <v>0</v>
      </c>
      <c r="EG679" s="36" t="n">
        <f aca="false">EG677*$AC$675*EG678*EG$38*'⑫ Roll-out Plan'!$O$72</f>
        <v>0</v>
      </c>
      <c r="EH679" s="36" t="n">
        <f aca="false">EH677*$AC$675*EH678*EH$38*'⑫ Roll-out Plan'!$O$72</f>
        <v>0</v>
      </c>
      <c r="EI679" s="36" t="n">
        <f aca="false">EI677*$AC$675*EI678*EI$38*'⑫ Roll-out Plan'!$O$72</f>
        <v>0</v>
      </c>
      <c r="EJ679" s="36" t="n">
        <f aca="false">EJ677*$AC$675*EJ678*EJ$38*'⑫ Roll-out Plan'!$O$72</f>
        <v>0</v>
      </c>
      <c r="EK679" s="36" t="n">
        <f aca="false">EK677*$AC$675*EK678*EK$38*'⑫ Roll-out Plan'!$O$72</f>
        <v>0</v>
      </c>
      <c r="EL679" s="36" t="n">
        <f aca="false">EL677*$AC$675*EL678*EL$38*'⑫ Roll-out Plan'!$O$72</f>
        <v>0</v>
      </c>
      <c r="EM679" s="36" t="n">
        <f aca="false">EM677*$AC$675*EM678*EM$38*'⑫ Roll-out Plan'!$O$72</f>
        <v>0</v>
      </c>
      <c r="EN679" s="36" t="n">
        <f aca="false">EN677*$AC$675*EN678*EN$38*'⑫ Roll-out Plan'!$O$72</f>
        <v>0</v>
      </c>
      <c r="EO679" s="36" t="n">
        <f aca="false">EO677*$AC$675*EO678*EO$38*'⑫ Roll-out Plan'!$O$72</f>
        <v>0</v>
      </c>
      <c r="EP679" s="36" t="n">
        <f aca="false">EP677*$AC$675*EP678*EP$38*'⑫ Roll-out Plan'!$O$72</f>
        <v>0</v>
      </c>
      <c r="EQ679" s="36" t="n">
        <f aca="false">EQ677*$AC$675*EQ678*EQ$38*'⑫ Roll-out Plan'!$O$72</f>
        <v>0</v>
      </c>
      <c r="ER679" s="36" t="n">
        <f aca="false">ER677*$AC$675*ER678*ER$38*'⑫ Roll-out Plan'!$O$72</f>
        <v>0</v>
      </c>
      <c r="ES679" s="9" t="n">
        <f aca="false">ES677*$AC$675*ES678*ES$38*'⑫ Roll-out Plan'!$O$72</f>
        <v>0</v>
      </c>
      <c r="ET679" s="9" t="n">
        <f aca="false">ET677*$AC$675*ET678*ET$38*'⑫ Roll-out Plan'!$O$72</f>
        <v>0</v>
      </c>
      <c r="EU679" s="9" t="n">
        <f aca="false">EU677*$AC$675*EU678*EU$38*'⑫ Roll-out Plan'!$O$72</f>
        <v>0</v>
      </c>
      <c r="EV679" s="9" t="n">
        <f aca="false">EV677*$AC$675*EV678*EV$38*'⑫ Roll-out Plan'!$O$72</f>
        <v>0</v>
      </c>
      <c r="EW679" s="9" t="n">
        <f aca="false">EW677*$AC$675*EW678*EW$38*'⑫ Roll-out Plan'!$O$72</f>
        <v>0</v>
      </c>
      <c r="EX679" s="9" t="n">
        <f aca="false">EX677*$AC$675*EX678*EX$38*'⑫ Roll-out Plan'!$O$72</f>
        <v>0</v>
      </c>
      <c r="EY679" s="9" t="n">
        <f aca="false">EY677*$AC$675*EY678*EY$38*'⑫ Roll-out Plan'!$O$72</f>
        <v>0</v>
      </c>
      <c r="EZ679" s="9" t="n">
        <f aca="false">EZ677*$AC$675*EZ678*EZ$38*'⑫ Roll-out Plan'!$O$72</f>
        <v>0</v>
      </c>
      <c r="FA679" s="9" t="n">
        <f aca="false">FA677*$AC$675*FA678*FA$38*'⑫ Roll-out Plan'!$O$72</f>
        <v>0</v>
      </c>
      <c r="FB679" s="9" t="n">
        <f aca="false">FB677*$AC$675*FB678*FB$38*'⑫ Roll-out Plan'!$O$72</f>
        <v>0</v>
      </c>
      <c r="FC679" s="9" t="n">
        <f aca="false">FC677*$AC$675*FC678*FC$38*'⑫ Roll-out Plan'!$O$72</f>
        <v>0</v>
      </c>
      <c r="FD679" s="9" t="n">
        <f aca="false">FD677*$AC$675*FD678*FD$38*'⑫ Roll-out Plan'!$O$72</f>
        <v>0</v>
      </c>
      <c r="FE679" s="9" t="n">
        <f aca="false">FE677*$AC$675*FE678*FE$38*'⑫ Roll-out Plan'!$O$72</f>
        <v>0</v>
      </c>
      <c r="FF679" s="9" t="n">
        <f aca="false">FF677*$AC$675*FF678*FF$38*'⑫ Roll-out Plan'!$O$72</f>
        <v>0</v>
      </c>
      <c r="FG679" s="9" t="n">
        <f aca="false">FG677*$AC$675*FG678*FG$38*'⑫ Roll-out Plan'!$O$72</f>
        <v>0</v>
      </c>
      <c r="FH679" s="9" t="n">
        <f aca="false">FH677*$AC$675*FH678*FH$38*'⑫ Roll-out Plan'!$O$72</f>
        <v>0</v>
      </c>
      <c r="FI679" s="9" t="n">
        <f aca="false">FI677*$AC$675*FI678*FI$38*'⑫ Roll-out Plan'!$O$72</f>
        <v>0</v>
      </c>
      <c r="FJ679" s="9" t="n">
        <f aca="false">FJ677*$AC$675*FJ678*FJ$38*'⑫ Roll-out Plan'!$O$72</f>
        <v>0</v>
      </c>
      <c r="FK679" s="9" t="n">
        <f aca="false">FK677*$AC$675*FK678*FK$38*'⑫ Roll-out Plan'!$O$72</f>
        <v>0</v>
      </c>
      <c r="FL679" s="9" t="n">
        <f aca="false">FL677*$AC$675*FL678*FL$38*'⑫ Roll-out Plan'!$O$72</f>
        <v>0</v>
      </c>
      <c r="FM679" s="9" t="n">
        <f aca="false">FM677*$AC$675*FM678*FM$38*'⑫ Roll-out Plan'!$O$72</f>
        <v>0</v>
      </c>
      <c r="FN679" s="9" t="n">
        <f aca="false">FN677*$AC$675*FN678*FN$38*'⑫ Roll-out Plan'!$O$72</f>
        <v>0</v>
      </c>
      <c r="FO679" s="9" t="n">
        <f aca="false">FO677*$AC$675*FO678*FO$38*'⑫ Roll-out Plan'!$O$72</f>
        <v>0</v>
      </c>
      <c r="FP679" s="9" t="n">
        <f aca="false">FP677*$AC$675*FP678*FP$38*'⑫ Roll-out Plan'!$O$72</f>
        <v>0</v>
      </c>
    </row>
    <row r="680" customFormat="false" ht="15" hidden="false" customHeight="false" outlineLevel="2" collapsed="false">
      <c r="B680" s="9" t="s">
        <v>877</v>
      </c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112" t="n">
        <f aca="true">IFERROR(SUMPRODUCT(OFFSET($BJ$31,0,1-MIN(60,COLUMN()-29),1,MIN(60,COLUMN()-29)),OFFSET(AC679,0,-MIN(60,COLUMN()-29),1,MIN(60,COLUMN()-29))),0)</f>
        <v>0</v>
      </c>
      <c r="AD680" s="112" t="n">
        <f aca="true">IFERROR(SUMPRODUCT(OFFSET($BJ$31,0,1-MIN(60,COLUMN()-29),1,MIN(60,COLUMN()-29)),OFFSET(AD679,0,-MIN(60,COLUMN()-29),1,MIN(60,COLUMN()-29))),0)</f>
        <v>0</v>
      </c>
      <c r="AE680" s="112" t="n">
        <f aca="true">IFERROR(SUMPRODUCT(OFFSET($BJ$31,0,1-MIN(60,COLUMN()-29),1,MIN(60,COLUMN()-29)),OFFSET(AE679,0,-MIN(60,COLUMN()-29),1,MIN(60,COLUMN()-29))),0)</f>
        <v>0</v>
      </c>
      <c r="AF680" s="112" t="n">
        <f aca="true">IFERROR(SUMPRODUCT(OFFSET($BJ$31,0,1-MIN(60,COLUMN()-29),1,MIN(60,COLUMN()-29)),OFFSET(AF679,0,-MIN(60,COLUMN()-29),1,MIN(60,COLUMN()-29))),0)</f>
        <v>0</v>
      </c>
      <c r="AG680" s="112" t="n">
        <f aca="true">IFERROR(SUMPRODUCT(OFFSET($BJ$31,0,1-MIN(60,COLUMN()-29),1,MIN(60,COLUMN()-29)),OFFSET(AG679,0,-MIN(60,COLUMN()-29),1,MIN(60,COLUMN()-29))),0)</f>
        <v>0</v>
      </c>
      <c r="AH680" s="112" t="n">
        <f aca="true">IFERROR(SUMPRODUCT(OFFSET($BJ$31,0,1-MIN(60,COLUMN()-29),1,MIN(60,COLUMN()-29)),OFFSET(AH679,0,-MIN(60,COLUMN()-29),1,MIN(60,COLUMN()-29))),0)</f>
        <v>0</v>
      </c>
      <c r="AI680" s="112" t="n">
        <f aca="true">IFERROR(SUMPRODUCT(OFFSET($BJ$31,0,1-MIN(60,COLUMN()-29),1,MIN(60,COLUMN()-29)),OFFSET(AI679,0,-MIN(60,COLUMN()-29),1,MIN(60,COLUMN()-29))),0)</f>
        <v>0</v>
      </c>
      <c r="AJ680" s="112" t="n">
        <f aca="true">IFERROR(SUMPRODUCT(OFFSET($BJ$31,0,1-MIN(60,COLUMN()-29),1,MIN(60,COLUMN()-29)),OFFSET(AJ679,0,-MIN(60,COLUMN()-29),1,MIN(60,COLUMN()-29))),0)</f>
        <v>0</v>
      </c>
      <c r="AK680" s="112" t="n">
        <f aca="true">IFERROR(SUMPRODUCT(OFFSET($BJ$31,0,1-MIN(60,COLUMN()-29),1,MIN(60,COLUMN()-29)),OFFSET(AK679,0,-MIN(60,COLUMN()-29),1,MIN(60,COLUMN()-29))),0)</f>
        <v>0</v>
      </c>
      <c r="AL680" s="112" t="n">
        <f aca="true">IFERROR(SUMPRODUCT(OFFSET($BJ$31,0,1-MIN(60,COLUMN()-29),1,MIN(60,COLUMN()-29)),OFFSET(AL679,0,-MIN(60,COLUMN()-29),1,MIN(60,COLUMN()-29))),0)</f>
        <v>0</v>
      </c>
      <c r="AM680" s="112" t="n">
        <f aca="true">IFERROR(SUMPRODUCT(OFFSET($BJ$31,0,1-MIN(60,COLUMN()-29),1,MIN(60,COLUMN()-29)),OFFSET(AM679,0,-MIN(60,COLUMN()-29),1,MIN(60,COLUMN()-29))),0)</f>
        <v>0</v>
      </c>
      <c r="AN680" s="239" t="n">
        <f aca="true">IFERROR(SUMPRODUCT(OFFSET($BJ$31,0,1-MIN(60,COLUMN()-29),1,MIN(60,COLUMN()-29)),OFFSET(AN679,0,-MIN(60,COLUMN()-29),1,MIN(60,COLUMN()-29))),0)</f>
        <v>0</v>
      </c>
      <c r="AO680" s="112" t="n">
        <f aca="true">IFERROR(SUMPRODUCT(OFFSET($BJ$31,0,1-MIN(60,COLUMN()-29),1,MIN(60,COLUMN()-29)),OFFSET(AO679,0,-MIN(60,COLUMN()-29),1,MIN(60,COLUMN()-29))),0)</f>
        <v>0</v>
      </c>
      <c r="AP680" s="112" t="n">
        <f aca="true">IFERROR(SUMPRODUCT(OFFSET($BJ$31,0,1-MIN(60,COLUMN()-29),1,MIN(60,COLUMN()-29)),OFFSET(AP679,0,-MIN(60,COLUMN()-29),1,MIN(60,COLUMN()-29))),0)</f>
        <v>0</v>
      </c>
      <c r="AQ680" s="112" t="n">
        <f aca="true">IFERROR(SUMPRODUCT(OFFSET($BJ$31,0,1-MIN(60,COLUMN()-29),1,MIN(60,COLUMN()-29)),OFFSET(AQ679,0,-MIN(60,COLUMN()-29),1,MIN(60,COLUMN()-29))),0)</f>
        <v>0</v>
      </c>
      <c r="AR680" s="112" t="n">
        <f aca="true">IFERROR(SUMPRODUCT(OFFSET($BJ$31,0,1-MIN(60,COLUMN()-29),1,MIN(60,COLUMN()-29)),OFFSET(AR679,0,-MIN(60,COLUMN()-29),1,MIN(60,COLUMN()-29))),0)</f>
        <v>0</v>
      </c>
      <c r="AS680" s="112" t="n">
        <f aca="true">IFERROR(SUMPRODUCT(OFFSET($BJ$31,0,1-MIN(60,COLUMN()-29),1,MIN(60,COLUMN()-29)),OFFSET(AS679,0,-MIN(60,COLUMN()-29),1,MIN(60,COLUMN()-29))),0)</f>
        <v>0</v>
      </c>
      <c r="AT680" s="112" t="n">
        <f aca="true">IFERROR(SUMPRODUCT(OFFSET($BJ$31,0,1-MIN(60,COLUMN()-29),1,MIN(60,COLUMN()-29)),OFFSET(AT679,0,-MIN(60,COLUMN()-29),1,MIN(60,COLUMN()-29))),0)</f>
        <v>0</v>
      </c>
      <c r="AU680" s="112" t="n">
        <f aca="true">IFERROR(SUMPRODUCT(OFFSET($BJ$31,0,1-MIN(60,COLUMN()-29),1,MIN(60,COLUMN()-29)),OFFSET(AU679,0,-MIN(60,COLUMN()-29),1,MIN(60,COLUMN()-29))),0)</f>
        <v>0</v>
      </c>
      <c r="AV680" s="112" t="n">
        <f aca="true">IFERROR(SUMPRODUCT(OFFSET($BJ$31,0,1-MIN(60,COLUMN()-29),1,MIN(60,COLUMN()-29)),OFFSET(AV679,0,-MIN(60,COLUMN()-29),1,MIN(60,COLUMN()-29))),0)</f>
        <v>0</v>
      </c>
      <c r="AW680" s="112" t="n">
        <f aca="true">IFERROR(SUMPRODUCT(OFFSET($BJ$31,0,1-MIN(60,COLUMN()-29),1,MIN(60,COLUMN()-29)),OFFSET(AW679,0,-MIN(60,COLUMN()-29),1,MIN(60,COLUMN()-29))),0)</f>
        <v>0</v>
      </c>
      <c r="AX680" s="112" t="n">
        <f aca="true">IFERROR(SUMPRODUCT(OFFSET($BJ$31,0,1-MIN(60,COLUMN()-29),1,MIN(60,COLUMN()-29)),OFFSET(AX679,0,-MIN(60,COLUMN()-29),1,MIN(60,COLUMN()-29))),0)</f>
        <v>0</v>
      </c>
      <c r="AY680" s="112" t="n">
        <f aca="true">IFERROR(SUMPRODUCT(OFFSET($BJ$31,0,1-MIN(60,COLUMN()-29),1,MIN(60,COLUMN()-29)),OFFSET(AY679,0,-MIN(60,COLUMN()-29),1,MIN(60,COLUMN()-29))),0)</f>
        <v>0</v>
      </c>
      <c r="AZ680" s="112" t="n">
        <f aca="true">IFERROR(SUMPRODUCT(OFFSET($BJ$31,0,1-MIN(60,COLUMN()-29),1,MIN(60,COLUMN()-29)),OFFSET(AZ679,0,-MIN(60,COLUMN()-29),1,MIN(60,COLUMN()-29))),0)</f>
        <v>0</v>
      </c>
      <c r="BA680" s="112" t="n">
        <f aca="true">IFERROR(SUMPRODUCT(OFFSET($BJ$31,0,1-MIN(60,COLUMN()-29),1,MIN(60,COLUMN()-29)),OFFSET(BA679,0,-MIN(60,COLUMN()-29),1,MIN(60,COLUMN()-29))),0)</f>
        <v>0</v>
      </c>
      <c r="BB680" s="112" t="n">
        <f aca="true">IFERROR(SUMPRODUCT(OFFSET($BJ$31,0,1-MIN(60,COLUMN()-29),1,MIN(60,COLUMN()-29)),OFFSET(BB679,0,-MIN(60,COLUMN()-29),1,MIN(60,COLUMN()-29))),0)</f>
        <v>0</v>
      </c>
      <c r="BC680" s="112" t="n">
        <f aca="true">IFERROR(SUMPRODUCT(OFFSET($BJ$31,0,1-MIN(60,COLUMN()-29),1,MIN(60,COLUMN()-29)),OFFSET(BC679,0,-MIN(60,COLUMN()-29),1,MIN(60,COLUMN()-29))),0)</f>
        <v>0</v>
      </c>
      <c r="BD680" s="112" t="n">
        <f aca="true">IFERROR(SUMPRODUCT(OFFSET($BJ$31,0,1-MIN(60,COLUMN()-29),1,MIN(60,COLUMN()-29)),OFFSET(BD679,0,-MIN(60,COLUMN()-29),1,MIN(60,COLUMN()-29))),0)</f>
        <v>0</v>
      </c>
      <c r="BE680" s="112" t="n">
        <f aca="true">IFERROR(SUMPRODUCT(OFFSET($BJ$31,0,1-MIN(60,COLUMN()-29),1,MIN(60,COLUMN()-29)),OFFSET(BE679,0,-MIN(60,COLUMN()-29),1,MIN(60,COLUMN()-29))),0)</f>
        <v>0</v>
      </c>
      <c r="BF680" s="112" t="n">
        <f aca="true">IFERROR(SUMPRODUCT(OFFSET($BJ$31,0,1-MIN(60,COLUMN()-29),1,MIN(60,COLUMN()-29)),OFFSET(BF679,0,-MIN(60,COLUMN()-29),1,MIN(60,COLUMN()-29))),0)</f>
        <v>0</v>
      </c>
      <c r="BG680" s="112" t="n">
        <f aca="true">IFERROR(SUMPRODUCT(OFFSET($BJ$31,0,1-MIN(60,COLUMN()-29),1,MIN(60,COLUMN()-29)),OFFSET(BG679,0,-MIN(60,COLUMN()-29),1,MIN(60,COLUMN()-29))),0)</f>
        <v>0</v>
      </c>
      <c r="BH680" s="112" t="n">
        <f aca="true">IFERROR(SUMPRODUCT(OFFSET($BJ$31,0,1-MIN(60,COLUMN()-29),1,MIN(60,COLUMN()-29)),OFFSET(BH679,0,-MIN(60,COLUMN()-29),1,MIN(60,COLUMN()-29))),0)</f>
        <v>0</v>
      </c>
      <c r="BI680" s="112" t="n">
        <f aca="true">IFERROR(SUMPRODUCT(OFFSET($BJ$31,0,1-MIN(60,COLUMN()-29),1,MIN(60,COLUMN()-29)),OFFSET(BI679,0,-MIN(60,COLUMN()-29),1,MIN(60,COLUMN()-29))),0)</f>
        <v>0</v>
      </c>
      <c r="BJ680" s="112" t="n">
        <f aca="true">IFERROR(SUMPRODUCT(OFFSET($BJ$31,0,1-MIN(60,COLUMN()-29),1,MIN(60,COLUMN()-29)),OFFSET(BJ679,0,-MIN(60,COLUMN()-29),1,MIN(60,COLUMN()-29))),0)</f>
        <v>0</v>
      </c>
      <c r="BK680" s="112" t="n">
        <f aca="true">IFERROR(SUMPRODUCT(OFFSET($BJ$31,0,1-MIN(60,COLUMN()-29),1,MIN(60,COLUMN()-29)),OFFSET(BK679,0,-MIN(60,COLUMN()-29),1,MIN(60,COLUMN()-29))),0)</f>
        <v>0</v>
      </c>
      <c r="BL680" s="112" t="n">
        <f aca="true">IFERROR(SUMPRODUCT(OFFSET($BJ$31,0,1-MIN(60,COLUMN()-29),1,MIN(60,COLUMN()-29)),OFFSET(BL679,0,-MIN(60,COLUMN()-29),1,MIN(60,COLUMN()-29))),0)</f>
        <v>0</v>
      </c>
      <c r="BM680" s="112" t="n">
        <f aca="true">IFERROR(SUMPRODUCT(OFFSET($BJ$31,0,1-MIN(60,COLUMN()-29),1,MIN(60,COLUMN()-29)),OFFSET(BM679,0,-MIN(60,COLUMN()-29),1,MIN(60,COLUMN()-29))),0)</f>
        <v>0</v>
      </c>
      <c r="BN680" s="112" t="n">
        <f aca="true">IFERROR(SUMPRODUCT(OFFSET($BJ$31,0,1-MIN(60,COLUMN()-29),1,MIN(60,COLUMN()-29)),OFFSET(BN679,0,-MIN(60,COLUMN()-29),1,MIN(60,COLUMN()-29))),0)</f>
        <v>0</v>
      </c>
      <c r="BO680" s="112" t="n">
        <f aca="true">IFERROR(SUMPRODUCT(OFFSET($BJ$31,0,1-MIN(60,COLUMN()-29),1,MIN(60,COLUMN()-29)),OFFSET(BO679,0,-MIN(60,COLUMN()-29),1,MIN(60,COLUMN()-29))),0)</f>
        <v>0</v>
      </c>
      <c r="BP680" s="112" t="n">
        <f aca="true">IFERROR(SUMPRODUCT(OFFSET($BJ$31,0,1-MIN(60,COLUMN()-29),1,MIN(60,COLUMN()-29)),OFFSET(BP679,0,-MIN(60,COLUMN()-29),1,MIN(60,COLUMN()-29))),0)</f>
        <v>0</v>
      </c>
      <c r="BQ680" s="112" t="n">
        <f aca="true">IFERROR(SUMPRODUCT(OFFSET($BJ$31,0,1-MIN(60,COLUMN()-29),1,MIN(60,COLUMN()-29)),OFFSET(BQ679,0,-MIN(60,COLUMN()-29),1,MIN(60,COLUMN()-29))),0)</f>
        <v>0</v>
      </c>
      <c r="BR680" s="112" t="n">
        <f aca="true">IFERROR(SUMPRODUCT(OFFSET($BJ$31,0,1-MIN(60,COLUMN()-29),1,MIN(60,COLUMN()-29)),OFFSET(BR679,0,-MIN(60,COLUMN()-29),1,MIN(60,COLUMN()-29))),0)</f>
        <v>0</v>
      </c>
      <c r="BS680" s="112" t="n">
        <f aca="true">IFERROR(SUMPRODUCT(OFFSET($BJ$31,0,1-MIN(60,COLUMN()-29),1,MIN(60,COLUMN()-29)),OFFSET(BS679,0,-MIN(60,COLUMN()-29),1,MIN(60,COLUMN()-29))),0)</f>
        <v>0</v>
      </c>
      <c r="BT680" s="112" t="n">
        <f aca="true">IFERROR(SUMPRODUCT(OFFSET($BJ$31,0,1-MIN(60,COLUMN()-29),1,MIN(60,COLUMN()-29)),OFFSET(BT679,0,-MIN(60,COLUMN()-29),1,MIN(60,COLUMN()-29))),0)</f>
        <v>0</v>
      </c>
      <c r="BU680" s="112" t="n">
        <f aca="true">IFERROR(SUMPRODUCT(OFFSET($BJ$31,0,1-MIN(60,COLUMN()-29),1,MIN(60,COLUMN()-29)),OFFSET(BU679,0,-MIN(60,COLUMN()-29),1,MIN(60,COLUMN()-29))),0)</f>
        <v>0</v>
      </c>
      <c r="BV680" s="112" t="n">
        <f aca="true">IFERROR(SUMPRODUCT(OFFSET($BJ$31,0,1-MIN(60,COLUMN()-29),1,MIN(60,COLUMN()-29)),OFFSET(BV679,0,-MIN(60,COLUMN()-29),1,MIN(60,COLUMN()-29))),0)</f>
        <v>0</v>
      </c>
      <c r="BW680" s="112" t="n">
        <f aca="true">IFERROR(SUMPRODUCT(OFFSET($BJ$31,0,1-MIN(60,COLUMN()-29),1,MIN(60,COLUMN()-29)),OFFSET(BW679,0,-MIN(60,COLUMN()-29),1,MIN(60,COLUMN()-29))),0)</f>
        <v>0</v>
      </c>
      <c r="BX680" s="112" t="n">
        <f aca="true">IFERROR(SUMPRODUCT(OFFSET($BJ$31,0,1-MIN(60,COLUMN()-29),1,MIN(60,COLUMN()-29)),OFFSET(BX679,0,-MIN(60,COLUMN()-29),1,MIN(60,COLUMN()-29))),0)</f>
        <v>0</v>
      </c>
      <c r="BY680" s="112" t="n">
        <f aca="true">IFERROR(SUMPRODUCT(OFFSET($BJ$31,0,1-MIN(60,COLUMN()-29),1,MIN(60,COLUMN()-29)),OFFSET(BY679,0,-MIN(60,COLUMN()-29),1,MIN(60,COLUMN()-29))),0)</f>
        <v>0</v>
      </c>
      <c r="BZ680" s="112" t="n">
        <f aca="true">IFERROR(SUMPRODUCT(OFFSET($BJ$31,0,1-MIN(60,COLUMN()-29),1,MIN(60,COLUMN()-29)),OFFSET(BZ679,0,-MIN(60,COLUMN()-29),1,MIN(60,COLUMN()-29))),0)</f>
        <v>0</v>
      </c>
      <c r="CA680" s="112" t="n">
        <f aca="true">IFERROR(SUMPRODUCT(OFFSET($BJ$31,0,1-MIN(60,COLUMN()-29),1,MIN(60,COLUMN()-29)),OFFSET(CA679,0,-MIN(60,COLUMN()-29),1,MIN(60,COLUMN()-29))),0)</f>
        <v>0</v>
      </c>
      <c r="CB680" s="112" t="n">
        <f aca="true">IFERROR(SUMPRODUCT(OFFSET($BJ$31,0,1-MIN(60,COLUMN()-29),1,MIN(60,COLUMN()-29)),OFFSET(CB679,0,-MIN(60,COLUMN()-29),1,MIN(60,COLUMN()-29))),0)</f>
        <v>0</v>
      </c>
      <c r="CC680" s="112" t="n">
        <f aca="true">IFERROR(SUMPRODUCT(OFFSET($BJ$31,0,1-MIN(60,COLUMN()-29),1,MIN(60,COLUMN()-29)),OFFSET(CC679,0,-MIN(60,COLUMN()-29),1,MIN(60,COLUMN()-29))),0)</f>
        <v>0</v>
      </c>
      <c r="CD680" s="112" t="n">
        <f aca="true">IFERROR(SUMPRODUCT(OFFSET($BJ$31,0,1-MIN(60,COLUMN()-29),1,MIN(60,COLUMN()-29)),OFFSET(CD679,0,-MIN(60,COLUMN()-29),1,MIN(60,COLUMN()-29))),0)</f>
        <v>0</v>
      </c>
      <c r="CE680" s="112" t="n">
        <f aca="true">IFERROR(SUMPRODUCT(OFFSET($BJ$31,0,1-MIN(60,COLUMN()-29),1,MIN(60,COLUMN()-29)),OFFSET(CE679,0,-MIN(60,COLUMN()-29),1,MIN(60,COLUMN()-29))),0)</f>
        <v>0</v>
      </c>
      <c r="CF680" s="112" t="n">
        <f aca="true">IFERROR(SUMPRODUCT(OFFSET($BJ$31,0,1-MIN(60,COLUMN()-29),1,MIN(60,COLUMN()-29)),OFFSET(CF679,0,-MIN(60,COLUMN()-29),1,MIN(60,COLUMN()-29))),0)</f>
        <v>0</v>
      </c>
      <c r="CG680" s="112" t="n">
        <f aca="true">IFERROR(SUMPRODUCT(OFFSET($BJ$31,0,1-MIN(60,COLUMN()-29),1,MIN(60,COLUMN()-29)),OFFSET(CG679,0,-MIN(60,COLUMN()-29),1,MIN(60,COLUMN()-29))),0)</f>
        <v>0</v>
      </c>
      <c r="CH680" s="112" t="n">
        <f aca="true">IFERROR(SUMPRODUCT(OFFSET($BJ$31,0,1-MIN(60,COLUMN()-29),1,MIN(60,COLUMN()-29)),OFFSET(CH679,0,-MIN(60,COLUMN()-29),1,MIN(60,COLUMN()-29))),0)</f>
        <v>0</v>
      </c>
      <c r="CI680" s="112" t="n">
        <f aca="true">IFERROR(SUMPRODUCT(OFFSET($BJ$31,0,1-MIN(60,COLUMN()-29),1,MIN(60,COLUMN()-29)),OFFSET(CI679,0,-MIN(60,COLUMN()-29),1,MIN(60,COLUMN()-29))),0)</f>
        <v>0</v>
      </c>
      <c r="CJ680" s="112" t="n">
        <f aca="true">IFERROR(SUMPRODUCT(OFFSET($BJ$31,0,1-MIN(60,COLUMN()-29),1,MIN(60,COLUMN()-29)),OFFSET(CJ679,0,-MIN(60,COLUMN()-29),1,MIN(60,COLUMN()-29))),0)</f>
        <v>0</v>
      </c>
      <c r="CK680" s="112" t="n">
        <f aca="true">IFERROR(SUMPRODUCT(OFFSET($BJ$31,0,1-MIN(60,COLUMN()-29),1,MIN(60,COLUMN()-29)),OFFSET(CK679,0,-MIN(60,COLUMN()-29),1,MIN(60,COLUMN()-29))),0)</f>
        <v>0</v>
      </c>
      <c r="CL680" s="112" t="n">
        <f aca="true">IFERROR(SUMPRODUCT(OFFSET($BJ$31,0,1-MIN(60,COLUMN()-29),1,MIN(60,COLUMN()-29)),OFFSET(CL679,0,-MIN(60,COLUMN()-29),1,MIN(60,COLUMN()-29))),0)</f>
        <v>0</v>
      </c>
      <c r="CM680" s="112" t="n">
        <f aca="true">IFERROR(SUMPRODUCT(OFFSET($BJ$31,0,1-MIN(60,COLUMN()-29),1,MIN(60,COLUMN()-29)),OFFSET(CM679,0,-MIN(60,COLUMN()-29),1,MIN(60,COLUMN()-29))),0)</f>
        <v>0</v>
      </c>
      <c r="CN680" s="112" t="n">
        <f aca="true">IFERROR(SUMPRODUCT(OFFSET($BJ$31,0,1-MIN(60,COLUMN()-29),1,MIN(60,COLUMN()-29)),OFFSET(CN679,0,-MIN(60,COLUMN()-29),1,MIN(60,COLUMN()-29))),0)</f>
        <v>0</v>
      </c>
      <c r="CO680" s="112" t="n">
        <f aca="true">IFERROR(SUMPRODUCT(OFFSET($BJ$31,0,1-MIN(60,COLUMN()-29),1,MIN(60,COLUMN()-29)),OFFSET(CO679,0,-MIN(60,COLUMN()-29),1,MIN(60,COLUMN()-29))),0)</f>
        <v>0</v>
      </c>
      <c r="CP680" s="112" t="n">
        <f aca="true">IFERROR(SUMPRODUCT(OFFSET($BJ$31,0,1-MIN(60,COLUMN()-29),1,MIN(60,COLUMN()-29)),OFFSET(CP679,0,-MIN(60,COLUMN()-29),1,MIN(60,COLUMN()-29))),0)</f>
        <v>0</v>
      </c>
      <c r="CQ680" s="112" t="n">
        <f aca="true">IFERROR(SUMPRODUCT(OFFSET($BJ$31,0,1-MIN(60,COLUMN()-29),1,MIN(60,COLUMN()-29)),OFFSET(CQ679,0,-MIN(60,COLUMN()-29),1,MIN(60,COLUMN()-29))),0)</f>
        <v>0</v>
      </c>
      <c r="CR680" s="112" t="n">
        <f aca="true">IFERROR(SUMPRODUCT(OFFSET($BJ$31,0,1-MIN(60,COLUMN()-29),1,MIN(60,COLUMN()-29)),OFFSET(CR679,0,-MIN(60,COLUMN()-29),1,MIN(60,COLUMN()-29))),0)</f>
        <v>0</v>
      </c>
      <c r="CS680" s="112" t="n">
        <f aca="true">IFERROR(SUMPRODUCT(OFFSET($BJ$31,0,1-MIN(60,COLUMN()-29),1,MIN(60,COLUMN()-29)),OFFSET(CS679,0,-MIN(60,COLUMN()-29),1,MIN(60,COLUMN()-29))),0)</f>
        <v>0</v>
      </c>
      <c r="CT680" s="112" t="n">
        <f aca="true">IFERROR(SUMPRODUCT(OFFSET($BJ$31,0,1-MIN(60,COLUMN()-29),1,MIN(60,COLUMN()-29)),OFFSET(CT679,0,-MIN(60,COLUMN()-29),1,MIN(60,COLUMN()-29))),0)</f>
        <v>0</v>
      </c>
      <c r="CU680" s="112" t="n">
        <f aca="true">IFERROR(SUMPRODUCT(OFFSET($BJ$31,0,1-MIN(60,COLUMN()-29),1,MIN(60,COLUMN()-29)),OFFSET(CU679,0,-MIN(60,COLUMN()-29),1,MIN(60,COLUMN()-29))),0)</f>
        <v>0</v>
      </c>
      <c r="CV680" s="112" t="n">
        <f aca="true">IFERROR(SUMPRODUCT(OFFSET($BJ$31,0,1-MIN(60,COLUMN()-29),1,MIN(60,COLUMN()-29)),OFFSET(CV679,0,-MIN(60,COLUMN()-29),1,MIN(60,COLUMN()-29))),0)</f>
        <v>0</v>
      </c>
      <c r="CW680" s="112" t="n">
        <f aca="true">IFERROR(SUMPRODUCT(OFFSET($BJ$31,0,1-MIN(60,COLUMN()-29),1,MIN(60,COLUMN()-29)),OFFSET(CW679,0,-MIN(60,COLUMN()-29),1,MIN(60,COLUMN()-29))),0)</f>
        <v>0</v>
      </c>
      <c r="CX680" s="112" t="n">
        <f aca="true">IFERROR(SUMPRODUCT(OFFSET($BJ$31,0,1-MIN(60,COLUMN()-29),1,MIN(60,COLUMN()-29)),OFFSET(CX679,0,-MIN(60,COLUMN()-29),1,MIN(60,COLUMN()-29))),0)</f>
        <v>0</v>
      </c>
      <c r="CY680" s="112" t="n">
        <f aca="true">IFERROR(SUMPRODUCT(OFFSET($BJ$31,0,1-MIN(60,COLUMN()-29),1,MIN(60,COLUMN()-29)),OFFSET(CY679,0,-MIN(60,COLUMN()-29),1,MIN(60,COLUMN()-29))),0)</f>
        <v>0</v>
      </c>
      <c r="CZ680" s="112" t="n">
        <f aca="true">IFERROR(SUMPRODUCT(OFFSET($BJ$31,0,1-MIN(60,COLUMN()-29),1,MIN(60,COLUMN()-29)),OFFSET(CZ679,0,-MIN(60,COLUMN()-29),1,MIN(60,COLUMN()-29))),0)</f>
        <v>0</v>
      </c>
      <c r="DA680" s="112" t="n">
        <f aca="true">IFERROR(SUMPRODUCT(OFFSET($BJ$31,0,1-MIN(60,COLUMN()-29),1,MIN(60,COLUMN()-29)),OFFSET(DA679,0,-MIN(60,COLUMN()-29),1,MIN(60,COLUMN()-29))),0)</f>
        <v>0</v>
      </c>
      <c r="DB680" s="112" t="n">
        <f aca="true">IFERROR(SUMPRODUCT(OFFSET($BJ$31,0,1-MIN(60,COLUMN()-29),1,MIN(60,COLUMN()-29)),OFFSET(DB679,0,-MIN(60,COLUMN()-29),1,MIN(60,COLUMN()-29))),0)</f>
        <v>0</v>
      </c>
      <c r="DC680" s="112" t="n">
        <f aca="true">IFERROR(SUMPRODUCT(OFFSET($BJ$31,0,1-MIN(60,COLUMN()-29),1,MIN(60,COLUMN()-29)),OFFSET(DC679,0,-MIN(60,COLUMN()-29),1,MIN(60,COLUMN()-29))),0)</f>
        <v>0</v>
      </c>
      <c r="DD680" s="112" t="n">
        <f aca="true">IFERROR(SUMPRODUCT(OFFSET($BJ$31,0,1-MIN(60,COLUMN()-29),1,MIN(60,COLUMN()-29)),OFFSET(DD679,0,-MIN(60,COLUMN()-29),1,MIN(60,COLUMN()-29))),0)</f>
        <v>0</v>
      </c>
      <c r="DE680" s="112" t="n">
        <f aca="true">IFERROR(SUMPRODUCT(OFFSET($BJ$31,0,1-MIN(60,COLUMN()-29),1,MIN(60,COLUMN()-29)),OFFSET(DE679,0,-MIN(60,COLUMN()-29),1,MIN(60,COLUMN()-29))),0)</f>
        <v>0</v>
      </c>
      <c r="DF680" s="112" t="n">
        <f aca="true">IFERROR(SUMPRODUCT(OFFSET($BJ$31,0,1-MIN(60,COLUMN()-29),1,MIN(60,COLUMN()-29)),OFFSET(DF679,0,-MIN(60,COLUMN()-29),1,MIN(60,COLUMN()-29))),0)</f>
        <v>0</v>
      </c>
      <c r="DG680" s="112" t="n">
        <f aca="true">IFERROR(SUMPRODUCT(OFFSET($BJ$31,0,1-MIN(60,COLUMN()-29),1,MIN(60,COLUMN()-29)),OFFSET(DG679,0,-MIN(60,COLUMN()-29),1,MIN(60,COLUMN()-29))),0)</f>
        <v>0</v>
      </c>
      <c r="DH680" s="112" t="n">
        <f aca="true">IFERROR(SUMPRODUCT(OFFSET($BJ$31,0,1-MIN(60,COLUMN()-29),1,MIN(60,COLUMN()-29)),OFFSET(DH679,0,-MIN(60,COLUMN()-29),1,MIN(60,COLUMN()-29))),0)</f>
        <v>0</v>
      </c>
      <c r="DI680" s="112" t="n">
        <f aca="true">IFERROR(SUMPRODUCT(OFFSET($BJ$31,0,1-MIN(60,COLUMN()-29),1,MIN(60,COLUMN()-29)),OFFSET(DI679,0,-MIN(60,COLUMN()-29),1,MIN(60,COLUMN()-29))),0)</f>
        <v>0</v>
      </c>
      <c r="DJ680" s="112" t="n">
        <f aca="true">IFERROR(SUMPRODUCT(OFFSET($BJ$31,0,1-MIN(60,COLUMN()-29),1,MIN(60,COLUMN()-29)),OFFSET(DJ679,0,-MIN(60,COLUMN()-29),1,MIN(60,COLUMN()-29))),0)</f>
        <v>0</v>
      </c>
      <c r="DK680" s="112" t="n">
        <f aca="true">IFERROR(SUMPRODUCT(OFFSET($BJ$31,0,1-MIN(60,COLUMN()-29),1,MIN(60,COLUMN()-29)),OFFSET(DK679,0,-MIN(60,COLUMN()-29),1,MIN(60,COLUMN()-29))),0)</f>
        <v>0</v>
      </c>
      <c r="DL680" s="112" t="n">
        <f aca="true">IFERROR(SUMPRODUCT(OFFSET($BJ$31,0,1-MIN(60,COLUMN()-29),1,MIN(60,COLUMN()-29)),OFFSET(DL679,0,-MIN(60,COLUMN()-29),1,MIN(60,COLUMN()-29))),0)</f>
        <v>0</v>
      </c>
      <c r="DM680" s="112" t="n">
        <f aca="true">IFERROR(SUMPRODUCT(OFFSET($BJ$31,0,1-MIN(60,COLUMN()-29),1,MIN(60,COLUMN()-29)),OFFSET(DM679,0,-MIN(60,COLUMN()-29),1,MIN(60,COLUMN()-29))),0)</f>
        <v>0</v>
      </c>
      <c r="DN680" s="112" t="n">
        <f aca="true">IFERROR(SUMPRODUCT(OFFSET($BJ$31,0,1-MIN(60,COLUMN()-29),1,MIN(60,COLUMN()-29)),OFFSET(DN679,0,-MIN(60,COLUMN()-29),1,MIN(60,COLUMN()-29))),0)</f>
        <v>0</v>
      </c>
      <c r="DO680" s="112" t="n">
        <f aca="true">IFERROR(SUMPRODUCT(OFFSET($BJ$31,0,1-MIN(60,COLUMN()-29),1,MIN(60,COLUMN()-29)),OFFSET(DO679,0,-MIN(60,COLUMN()-29),1,MIN(60,COLUMN()-29))),0)</f>
        <v>0</v>
      </c>
      <c r="DP680" s="112" t="n">
        <f aca="true">IFERROR(SUMPRODUCT(OFFSET($BJ$31,0,1-MIN(60,COLUMN()-29),1,MIN(60,COLUMN()-29)),OFFSET(DP679,0,-MIN(60,COLUMN()-29),1,MIN(60,COLUMN()-29))),0)</f>
        <v>0</v>
      </c>
      <c r="DQ680" s="112" t="n">
        <f aca="true">IFERROR(SUMPRODUCT(OFFSET($BJ$31,0,1-MIN(60,COLUMN()-29),1,MIN(60,COLUMN()-29)),OFFSET(DQ679,0,-MIN(60,COLUMN()-29),1,MIN(60,COLUMN()-29))),0)</f>
        <v>0</v>
      </c>
      <c r="DR680" s="112" t="n">
        <f aca="true">IFERROR(SUMPRODUCT(OFFSET($BJ$31,0,1-MIN(60,COLUMN()-29),1,MIN(60,COLUMN()-29)),OFFSET(DR679,0,-MIN(60,COLUMN()-29),1,MIN(60,COLUMN()-29))),0)</f>
        <v>0</v>
      </c>
      <c r="DS680" s="112" t="n">
        <f aca="true">IFERROR(SUMPRODUCT(OFFSET($BJ$31,0,1-MIN(60,COLUMN()-29),1,MIN(60,COLUMN()-29)),OFFSET(DS679,0,-MIN(60,COLUMN()-29),1,MIN(60,COLUMN()-29))),0)</f>
        <v>0</v>
      </c>
      <c r="DT680" s="112" t="n">
        <f aca="true">IFERROR(SUMPRODUCT(OFFSET($BJ$31,0,1-MIN(60,COLUMN()-29),1,MIN(60,COLUMN()-29)),OFFSET(DT679,0,-MIN(60,COLUMN()-29),1,MIN(60,COLUMN()-29))),0)</f>
        <v>0</v>
      </c>
      <c r="DU680" s="112" t="n">
        <f aca="true">IFERROR(SUMPRODUCT(OFFSET($BJ$31,0,1-MIN(60,COLUMN()-29),1,MIN(60,COLUMN()-29)),OFFSET(DU679,0,-MIN(60,COLUMN()-29),1,MIN(60,COLUMN()-29))),0)</f>
        <v>0</v>
      </c>
      <c r="DV680" s="112" t="n">
        <f aca="true">IFERROR(SUMPRODUCT(OFFSET($BJ$31,0,1-MIN(60,COLUMN()-29),1,MIN(60,COLUMN()-29)),OFFSET(DV679,0,-MIN(60,COLUMN()-29),1,MIN(60,COLUMN()-29))),0)</f>
        <v>0</v>
      </c>
      <c r="DW680" s="112" t="n">
        <f aca="true">IFERROR(SUMPRODUCT(OFFSET($BJ$31,0,1-MIN(60,COLUMN()-29),1,MIN(60,COLUMN()-29)),OFFSET(DW679,0,-MIN(60,COLUMN()-29),1,MIN(60,COLUMN()-29))),0)</f>
        <v>0</v>
      </c>
      <c r="DX680" s="112" t="n">
        <f aca="true">IFERROR(SUMPRODUCT(OFFSET($BJ$31,0,1-MIN(60,COLUMN()-29),1,MIN(60,COLUMN()-29)),OFFSET(DX679,0,-MIN(60,COLUMN()-29),1,MIN(60,COLUMN()-29))),0)</f>
        <v>0</v>
      </c>
      <c r="DY680" s="112" t="n">
        <f aca="true">IFERROR(SUMPRODUCT(OFFSET($BJ$31,0,1-MIN(60,COLUMN()-29),1,MIN(60,COLUMN()-29)),OFFSET(DY679,0,-MIN(60,COLUMN()-29),1,MIN(60,COLUMN()-29))),0)</f>
        <v>0</v>
      </c>
      <c r="DZ680" s="112" t="n">
        <f aca="true">IFERROR(SUMPRODUCT(OFFSET($BJ$31,0,1-MIN(60,COLUMN()-29),1,MIN(60,COLUMN()-29)),OFFSET(DZ679,0,-MIN(60,COLUMN()-29),1,MIN(60,COLUMN()-29))),0)</f>
        <v>0</v>
      </c>
      <c r="EA680" s="112" t="n">
        <f aca="true">IFERROR(SUMPRODUCT(OFFSET($BJ$31,0,1-MIN(60,COLUMN()-29),1,MIN(60,COLUMN()-29)),OFFSET(EA679,0,-MIN(60,COLUMN()-29),1,MIN(60,COLUMN()-29))),0)</f>
        <v>0</v>
      </c>
      <c r="EB680" s="112" t="n">
        <f aca="true">IFERROR(SUMPRODUCT(OFFSET($BJ$31,0,1-MIN(60,COLUMN()-29),1,MIN(60,COLUMN()-29)),OFFSET(EB679,0,-MIN(60,COLUMN()-29),1,MIN(60,COLUMN()-29))),0)</f>
        <v>0</v>
      </c>
      <c r="EC680" s="112" t="n">
        <f aca="true">IFERROR(SUMPRODUCT(OFFSET($BJ$31,0,1-MIN(60,COLUMN()-29),1,MIN(60,COLUMN()-29)),OFFSET(EC679,0,-MIN(60,COLUMN()-29),1,MIN(60,COLUMN()-29))),0)</f>
        <v>0</v>
      </c>
      <c r="ED680" s="112" t="n">
        <f aca="true">IFERROR(SUMPRODUCT(OFFSET($BJ$31,0,1-MIN(60,COLUMN()-29),1,MIN(60,COLUMN()-29)),OFFSET(ED679,0,-MIN(60,COLUMN()-29),1,MIN(60,COLUMN()-29))),0)</f>
        <v>0</v>
      </c>
      <c r="EE680" s="112" t="n">
        <f aca="true">IFERROR(SUMPRODUCT(OFFSET($BJ$31,0,1-MIN(60,COLUMN()-29),1,MIN(60,COLUMN()-29)),OFFSET(EE679,0,-MIN(60,COLUMN()-29),1,MIN(60,COLUMN()-29))),0)</f>
        <v>0</v>
      </c>
      <c r="EF680" s="112" t="n">
        <f aca="true">IFERROR(SUMPRODUCT(OFFSET($BJ$31,0,1-MIN(60,COLUMN()-29),1,MIN(60,COLUMN()-29)),OFFSET(EF679,0,-MIN(60,COLUMN()-29),1,MIN(60,COLUMN()-29))),0)</f>
        <v>0</v>
      </c>
      <c r="EG680" s="112" t="n">
        <f aca="true">IFERROR(SUMPRODUCT(OFFSET($BJ$31,0,1-MIN(60,COLUMN()-29),1,MIN(60,COLUMN()-29)),OFFSET(EG679,0,-MIN(60,COLUMN()-29),1,MIN(60,COLUMN()-29))),0)</f>
        <v>0</v>
      </c>
      <c r="EH680" s="112" t="n">
        <f aca="true">IFERROR(SUMPRODUCT(OFFSET($BJ$31,0,1-MIN(60,COLUMN()-29),1,MIN(60,COLUMN()-29)),OFFSET(EH679,0,-MIN(60,COLUMN()-29),1,MIN(60,COLUMN()-29))),0)</f>
        <v>0</v>
      </c>
      <c r="EI680" s="112" t="n">
        <f aca="true">IFERROR(SUMPRODUCT(OFFSET($BJ$31,0,1-MIN(60,COLUMN()-29),1,MIN(60,COLUMN()-29)),OFFSET(EI679,0,-MIN(60,COLUMN()-29),1,MIN(60,COLUMN()-29))),0)</f>
        <v>0</v>
      </c>
      <c r="EJ680" s="112" t="n">
        <f aca="true">IFERROR(SUMPRODUCT(OFFSET($BJ$31,0,1-MIN(60,COLUMN()-29),1,MIN(60,COLUMN()-29)),OFFSET(EJ679,0,-MIN(60,COLUMN()-29),1,MIN(60,COLUMN()-29))),0)</f>
        <v>0</v>
      </c>
      <c r="EK680" s="112" t="n">
        <f aca="true">IFERROR(SUMPRODUCT(OFFSET($BJ$31,0,1-MIN(60,COLUMN()-29),1,MIN(60,COLUMN()-29)),OFFSET(EK679,0,-MIN(60,COLUMN()-29),1,MIN(60,COLUMN()-29))),0)</f>
        <v>0</v>
      </c>
      <c r="EL680" s="112" t="n">
        <f aca="true">IFERROR(SUMPRODUCT(OFFSET($BJ$31,0,1-MIN(60,COLUMN()-29),1,MIN(60,COLUMN()-29)),OFFSET(EL679,0,-MIN(60,COLUMN()-29),1,MIN(60,COLUMN()-29))),0)</f>
        <v>0</v>
      </c>
      <c r="EM680" s="112" t="n">
        <f aca="true">IFERROR(SUMPRODUCT(OFFSET($BJ$31,0,1-MIN(60,COLUMN()-29),1,MIN(60,COLUMN()-29)),OFFSET(EM679,0,-MIN(60,COLUMN()-29),1,MIN(60,COLUMN()-29))),0)</f>
        <v>0</v>
      </c>
      <c r="EN680" s="112" t="n">
        <f aca="true">IFERROR(SUMPRODUCT(OFFSET($BJ$31,0,1-MIN(60,COLUMN()-29),1,MIN(60,COLUMN()-29)),OFFSET(EN679,0,-MIN(60,COLUMN()-29),1,MIN(60,COLUMN()-29))),0)</f>
        <v>0</v>
      </c>
      <c r="EO680" s="112" t="n">
        <f aca="true">IFERROR(SUMPRODUCT(OFFSET($BJ$31,0,1-MIN(60,COLUMN()-29),1,MIN(60,COLUMN()-29)),OFFSET(EO679,0,-MIN(60,COLUMN()-29),1,MIN(60,COLUMN()-29))),0)</f>
        <v>0</v>
      </c>
      <c r="EP680" s="112" t="n">
        <f aca="true">IFERROR(SUMPRODUCT(OFFSET($BJ$31,0,1-MIN(60,COLUMN()-29),1,MIN(60,COLUMN()-29)),OFFSET(EP679,0,-MIN(60,COLUMN()-29),1,MIN(60,COLUMN()-29))),0)</f>
        <v>0</v>
      </c>
      <c r="EQ680" s="112" t="n">
        <f aca="true">IFERROR(SUMPRODUCT(OFFSET($BJ$31,0,1-MIN(60,COLUMN()-29),1,MIN(60,COLUMN()-29)),OFFSET(EQ679,0,-MIN(60,COLUMN()-29),1,MIN(60,COLUMN()-29))),0)</f>
        <v>0</v>
      </c>
      <c r="ER680" s="112" t="n">
        <f aca="true">IFERROR(SUMPRODUCT(OFFSET($BJ$31,0,1-MIN(60,COLUMN()-29),1,MIN(60,COLUMN()-29)),OFFSET(ER679,0,-MIN(60,COLUMN()-29),1,MIN(60,COLUMN()-29))),0)</f>
        <v>0</v>
      </c>
      <c r="ES680" s="9" t="n">
        <f aca="true">IFERROR(SUMPRODUCT(OFFSET($BJ$31,0,1-MIN(60,COLUMN()-29),1,MIN(60,COLUMN()-29)),OFFSET(ES679,0,-MIN(60,COLUMN()-29),1,MIN(60,COLUMN()-29))),0)</f>
        <v>0</v>
      </c>
      <c r="ET680" s="9" t="n">
        <f aca="true">IFERROR(SUMPRODUCT(OFFSET($BJ$31,0,1-MIN(60,COLUMN()-29),1,MIN(60,COLUMN()-29)),OFFSET(ET679,0,-MIN(60,COLUMN()-29),1,MIN(60,COLUMN()-29))),0)</f>
        <v>0</v>
      </c>
      <c r="EU680" s="9" t="n">
        <f aca="true">IFERROR(SUMPRODUCT(OFFSET($BJ$31,0,1-MIN(60,COLUMN()-29),1,MIN(60,COLUMN()-29)),OFFSET(EU679,0,-MIN(60,COLUMN()-29),1,MIN(60,COLUMN()-29))),0)</f>
        <v>0</v>
      </c>
      <c r="EV680" s="9" t="n">
        <f aca="true">IFERROR(SUMPRODUCT(OFFSET($BJ$31,0,1-MIN(60,COLUMN()-29),1,MIN(60,COLUMN()-29)),OFFSET(EV679,0,-MIN(60,COLUMN()-29),1,MIN(60,COLUMN()-29))),0)</f>
        <v>0</v>
      </c>
      <c r="EW680" s="9" t="n">
        <f aca="true">IFERROR(SUMPRODUCT(OFFSET($BJ$31,0,1-MIN(60,COLUMN()-29),1,MIN(60,COLUMN()-29)),OFFSET(EW679,0,-MIN(60,COLUMN()-29),1,MIN(60,COLUMN()-29))),0)</f>
        <v>0</v>
      </c>
      <c r="EX680" s="9" t="n">
        <f aca="true">IFERROR(SUMPRODUCT(OFFSET($BJ$31,0,1-MIN(60,COLUMN()-29),1,MIN(60,COLUMN()-29)),OFFSET(EX679,0,-MIN(60,COLUMN()-29),1,MIN(60,COLUMN()-29))),0)</f>
        <v>0</v>
      </c>
      <c r="EY680" s="9" t="n">
        <f aca="true">IFERROR(SUMPRODUCT(OFFSET($BJ$31,0,1-MIN(60,COLUMN()-29),1,MIN(60,COLUMN()-29)),OFFSET(EY679,0,-MIN(60,COLUMN()-29),1,MIN(60,COLUMN()-29))),0)</f>
        <v>0</v>
      </c>
      <c r="EZ680" s="9" t="n">
        <f aca="true">IFERROR(SUMPRODUCT(OFFSET($BJ$31,0,1-MIN(60,COLUMN()-29),1,MIN(60,COLUMN()-29)),OFFSET(EZ679,0,-MIN(60,COLUMN()-29),1,MIN(60,COLUMN()-29))),0)</f>
        <v>0</v>
      </c>
      <c r="FA680" s="9" t="n">
        <f aca="true">IFERROR(SUMPRODUCT(OFFSET($BJ$31,0,1-MIN(60,COLUMN()-29),1,MIN(60,COLUMN()-29)),OFFSET(FA679,0,-MIN(60,COLUMN()-29),1,MIN(60,COLUMN()-29))),0)</f>
        <v>0</v>
      </c>
      <c r="FB680" s="9" t="n">
        <f aca="true">IFERROR(SUMPRODUCT(OFFSET($BJ$31,0,1-MIN(60,COLUMN()-29),1,MIN(60,COLUMN()-29)),OFFSET(FB679,0,-MIN(60,COLUMN()-29),1,MIN(60,COLUMN()-29))),0)</f>
        <v>0</v>
      </c>
      <c r="FC680" s="9" t="n">
        <f aca="true">IFERROR(SUMPRODUCT(OFFSET($BJ$31,0,1-MIN(60,COLUMN()-29),1,MIN(60,COLUMN()-29)),OFFSET(FC679,0,-MIN(60,COLUMN()-29),1,MIN(60,COLUMN()-29))),0)</f>
        <v>0</v>
      </c>
      <c r="FD680" s="9" t="n">
        <f aca="true">IFERROR(SUMPRODUCT(OFFSET($BJ$31,0,1-MIN(60,COLUMN()-29),1,MIN(60,COLUMN()-29)),OFFSET(FD679,0,-MIN(60,COLUMN()-29),1,MIN(60,COLUMN()-29))),0)</f>
        <v>0</v>
      </c>
      <c r="FE680" s="9" t="n">
        <f aca="true">IFERROR(SUMPRODUCT(OFFSET($BJ$31,0,1-MIN(60,COLUMN()-29),1,MIN(60,COLUMN()-29)),OFFSET(FE679,0,-MIN(60,COLUMN()-29),1,MIN(60,COLUMN()-29))),0)</f>
        <v>0</v>
      </c>
      <c r="FF680" s="9" t="n">
        <f aca="true">IFERROR(SUMPRODUCT(OFFSET($BJ$31,0,1-MIN(60,COLUMN()-29),1,MIN(60,COLUMN()-29)),OFFSET(FF679,0,-MIN(60,COLUMN()-29),1,MIN(60,COLUMN()-29))),0)</f>
        <v>0</v>
      </c>
      <c r="FG680" s="9" t="n">
        <f aca="true">IFERROR(SUMPRODUCT(OFFSET($BJ$31,0,1-MIN(60,COLUMN()-29),1,MIN(60,COLUMN()-29)),OFFSET(FG679,0,-MIN(60,COLUMN()-29),1,MIN(60,COLUMN()-29))),0)</f>
        <v>0</v>
      </c>
      <c r="FH680" s="9" t="n">
        <f aca="true">IFERROR(SUMPRODUCT(OFFSET($BJ$31,0,1-MIN(60,COLUMN()-29),1,MIN(60,COLUMN()-29)),OFFSET(FH679,0,-MIN(60,COLUMN()-29),1,MIN(60,COLUMN()-29))),0)</f>
        <v>0</v>
      </c>
      <c r="FI680" s="9" t="n">
        <f aca="true">IFERROR(SUMPRODUCT(OFFSET($BJ$31,0,1-MIN(60,COLUMN()-29),1,MIN(60,COLUMN()-29)),OFFSET(FI679,0,-MIN(60,COLUMN()-29),1,MIN(60,COLUMN()-29))),0)</f>
        <v>0</v>
      </c>
      <c r="FJ680" s="9" t="n">
        <f aca="true">IFERROR(SUMPRODUCT(OFFSET($BJ$31,0,1-MIN(60,COLUMN()-29),1,MIN(60,COLUMN()-29)),OFFSET(FJ679,0,-MIN(60,COLUMN()-29),1,MIN(60,COLUMN()-29))),0)</f>
        <v>0</v>
      </c>
      <c r="FK680" s="9" t="n">
        <f aca="true">IFERROR(SUMPRODUCT(OFFSET($BJ$31,0,1-MIN(60,COLUMN()-29),1,MIN(60,COLUMN()-29)),OFFSET(FK679,0,-MIN(60,COLUMN()-29),1,MIN(60,COLUMN()-29))),0)</f>
        <v>0</v>
      </c>
      <c r="FL680" s="9" t="n">
        <f aca="true">IFERROR(SUMPRODUCT(OFFSET($BJ$31,0,1-MIN(60,COLUMN()-29),1,MIN(60,COLUMN()-29)),OFFSET(FL679,0,-MIN(60,COLUMN()-29),1,MIN(60,COLUMN()-29))),0)</f>
        <v>0</v>
      </c>
      <c r="FM680" s="9" t="n">
        <f aca="true">IFERROR(SUMPRODUCT(OFFSET($BJ$31,0,1-MIN(60,COLUMN()-29),1,MIN(60,COLUMN()-29)),OFFSET(FM679,0,-MIN(60,COLUMN()-29),1,MIN(60,COLUMN()-29))),0)</f>
        <v>0</v>
      </c>
      <c r="FN680" s="9" t="n">
        <f aca="true">IFERROR(SUMPRODUCT(OFFSET($BJ$31,0,1-MIN(60,COLUMN()-29),1,MIN(60,COLUMN()-29)),OFFSET(FN679,0,-MIN(60,COLUMN()-29),1,MIN(60,COLUMN()-29))),0)</f>
        <v>0</v>
      </c>
      <c r="FO680" s="9" t="n">
        <f aca="true">IFERROR(SUMPRODUCT(OFFSET($BJ$31,0,1-MIN(60,COLUMN()-29),1,MIN(60,COLUMN()-29)),OFFSET(FO679,0,-MIN(60,COLUMN()-29),1,MIN(60,COLUMN()-29))),0)</f>
        <v>0</v>
      </c>
      <c r="FP680" s="9" t="n">
        <f aca="true">IFERROR(SUMPRODUCT(OFFSET($BJ$31,0,1-MIN(60,COLUMN()-29),1,MIN(60,COLUMN()-29)),OFFSET(FP679,0,-MIN(60,COLUMN()-29),1,MIN(60,COLUMN()-29))),0)</f>
        <v>0</v>
      </c>
    </row>
    <row r="681" customFormat="false" ht="15" hidden="false" customHeight="false" outlineLevel="2" collapsed="false">
      <c r="B681" s="90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237"/>
      <c r="AD681" s="237"/>
      <c r="AE681" s="237"/>
      <c r="AF681" s="237"/>
      <c r="AG681" s="237"/>
      <c r="AH681" s="237"/>
      <c r="AI681" s="237"/>
      <c r="AJ681" s="237"/>
      <c r="AK681" s="237"/>
      <c r="AL681" s="237"/>
      <c r="AM681" s="237"/>
      <c r="AN681" s="237"/>
      <c r="AO681" s="237"/>
      <c r="AP681" s="237"/>
      <c r="AQ681" s="237"/>
      <c r="AR681" s="237"/>
      <c r="AS681" s="237"/>
      <c r="AT681" s="237"/>
      <c r="AU681" s="237"/>
      <c r="AV681" s="237"/>
      <c r="AW681" s="237"/>
      <c r="AX681" s="237"/>
      <c r="AY681" s="237"/>
      <c r="AZ681" s="237"/>
      <c r="BA681" s="237"/>
      <c r="BB681" s="237"/>
      <c r="BC681" s="237"/>
      <c r="BD681" s="237"/>
      <c r="BE681" s="237"/>
      <c r="BF681" s="237"/>
      <c r="BG681" s="237"/>
      <c r="BH681" s="237"/>
      <c r="BI681" s="237"/>
      <c r="BJ681" s="237"/>
      <c r="BK681" s="237"/>
      <c r="BL681" s="237"/>
      <c r="BM681" s="237"/>
      <c r="BN681" s="237"/>
      <c r="BO681" s="237"/>
      <c r="BP681" s="237"/>
      <c r="BQ681" s="237"/>
      <c r="BR681" s="237"/>
      <c r="BS681" s="237"/>
      <c r="BT681" s="237"/>
      <c r="BU681" s="237"/>
      <c r="BV681" s="237"/>
      <c r="BW681" s="237"/>
      <c r="BX681" s="237"/>
      <c r="BY681" s="237"/>
      <c r="BZ681" s="237"/>
      <c r="CA681" s="237"/>
      <c r="CB681" s="237"/>
      <c r="CC681" s="237"/>
      <c r="CD681" s="237"/>
      <c r="CE681" s="237"/>
      <c r="CF681" s="237"/>
      <c r="CG681" s="237"/>
      <c r="CH681" s="237"/>
      <c r="CI681" s="237"/>
      <c r="CJ681" s="237"/>
      <c r="CK681" s="237"/>
      <c r="CL681" s="237"/>
      <c r="CM681" s="237"/>
      <c r="CN681" s="237"/>
      <c r="CO681" s="237"/>
      <c r="CP681" s="237"/>
      <c r="CQ681" s="237"/>
      <c r="CR681" s="237"/>
      <c r="CS681" s="237"/>
      <c r="CT681" s="237"/>
      <c r="CU681" s="237"/>
      <c r="CV681" s="237"/>
      <c r="CW681" s="237"/>
      <c r="CX681" s="237"/>
      <c r="CY681" s="237"/>
      <c r="CZ681" s="237"/>
      <c r="DA681" s="237"/>
      <c r="DB681" s="237"/>
      <c r="DC681" s="237"/>
      <c r="DD681" s="237"/>
      <c r="DE681" s="237"/>
      <c r="DF681" s="237"/>
      <c r="DG681" s="237"/>
      <c r="DH681" s="237"/>
      <c r="DI681" s="237"/>
      <c r="DJ681" s="237"/>
      <c r="DK681" s="237"/>
      <c r="DL681" s="237"/>
      <c r="DM681" s="237"/>
      <c r="DN681" s="237"/>
      <c r="DO681" s="237"/>
      <c r="DP681" s="237"/>
      <c r="DQ681" s="237"/>
      <c r="DR681" s="237"/>
      <c r="DS681" s="237"/>
      <c r="DT681" s="237"/>
      <c r="DU681" s="237"/>
      <c r="DV681" s="237"/>
      <c r="DW681" s="237"/>
      <c r="DX681" s="237"/>
      <c r="DY681" s="237"/>
      <c r="DZ681" s="237"/>
      <c r="EA681" s="237"/>
      <c r="EB681" s="237"/>
      <c r="EC681" s="237"/>
      <c r="ED681" s="237"/>
      <c r="EE681" s="237"/>
      <c r="EF681" s="237"/>
      <c r="EG681" s="237"/>
      <c r="EH681" s="237"/>
      <c r="EI681" s="237"/>
      <c r="EJ681" s="237"/>
      <c r="EK681" s="237"/>
      <c r="EL681" s="237"/>
      <c r="EM681" s="237"/>
      <c r="EN681" s="237"/>
      <c r="EO681" s="237"/>
      <c r="EP681" s="237"/>
      <c r="EQ681" s="237"/>
      <c r="ER681" s="237"/>
      <c r="ES681" s="9"/>
      <c r="ET681" s="9"/>
      <c r="EU681" s="9"/>
      <c r="EV681" s="9"/>
      <c r="EW681" s="9"/>
      <c r="EX681" s="9"/>
      <c r="EY681" s="9"/>
      <c r="EZ681" s="9"/>
      <c r="FA681" s="9"/>
      <c r="FB681" s="9"/>
      <c r="FC681" s="9"/>
      <c r="FD681" s="9"/>
      <c r="FE681" s="9"/>
      <c r="FF681" s="9"/>
      <c r="FG681" s="9"/>
      <c r="FH681" s="9"/>
      <c r="FI681" s="9"/>
      <c r="FJ681" s="9"/>
      <c r="FK681" s="9"/>
      <c r="FL681" s="9"/>
      <c r="FM681" s="9"/>
      <c r="FN681" s="9"/>
      <c r="FO681" s="9"/>
      <c r="FP681" s="9"/>
    </row>
    <row r="682" customFormat="false" ht="15" hidden="false" customHeight="false" outlineLevel="2" collapsed="false">
      <c r="B682" s="240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237"/>
      <c r="AD682" s="237"/>
      <c r="AE682" s="237"/>
      <c r="AF682" s="237"/>
      <c r="AG682" s="237"/>
      <c r="AH682" s="237"/>
      <c r="AI682" s="237"/>
      <c r="AJ682" s="237"/>
      <c r="AK682" s="237"/>
      <c r="AL682" s="237"/>
      <c r="AM682" s="237"/>
      <c r="AN682" s="237"/>
      <c r="AO682" s="237"/>
      <c r="AP682" s="237"/>
      <c r="AQ682" s="237"/>
      <c r="AR682" s="237"/>
      <c r="AS682" s="237"/>
      <c r="AT682" s="237"/>
      <c r="AU682" s="237"/>
      <c r="AV682" s="237"/>
      <c r="AW682" s="237"/>
      <c r="AX682" s="237"/>
      <c r="AY682" s="237"/>
      <c r="AZ682" s="237"/>
      <c r="BA682" s="237"/>
      <c r="BB682" s="237"/>
      <c r="BC682" s="237"/>
      <c r="BD682" s="237"/>
      <c r="BE682" s="237"/>
      <c r="BF682" s="237"/>
      <c r="BG682" s="237"/>
      <c r="BH682" s="237"/>
      <c r="BI682" s="237"/>
      <c r="BJ682" s="237"/>
      <c r="BK682" s="237"/>
      <c r="BL682" s="237"/>
      <c r="BM682" s="237"/>
      <c r="BN682" s="237"/>
      <c r="BO682" s="237"/>
      <c r="BP682" s="237"/>
      <c r="BQ682" s="237"/>
      <c r="BR682" s="237"/>
      <c r="BS682" s="237"/>
      <c r="BT682" s="237"/>
      <c r="BU682" s="237"/>
      <c r="BV682" s="237"/>
      <c r="BW682" s="237"/>
      <c r="BX682" s="237"/>
      <c r="BY682" s="237"/>
      <c r="BZ682" s="237"/>
      <c r="CA682" s="237"/>
      <c r="CB682" s="237"/>
      <c r="CC682" s="237"/>
      <c r="CD682" s="237"/>
      <c r="CE682" s="237"/>
      <c r="CF682" s="237"/>
      <c r="CG682" s="237"/>
      <c r="CH682" s="237"/>
      <c r="CI682" s="237"/>
      <c r="CJ682" s="237"/>
      <c r="CK682" s="237"/>
      <c r="CL682" s="237"/>
      <c r="CM682" s="237"/>
      <c r="CN682" s="237"/>
      <c r="CO682" s="237"/>
      <c r="CP682" s="237"/>
      <c r="CQ682" s="237"/>
      <c r="CR682" s="237"/>
      <c r="CS682" s="237"/>
      <c r="CT682" s="237"/>
      <c r="CU682" s="237"/>
      <c r="CV682" s="237"/>
      <c r="CW682" s="237"/>
      <c r="CX682" s="237"/>
      <c r="CY682" s="237"/>
      <c r="CZ682" s="237"/>
      <c r="DA682" s="237"/>
      <c r="DB682" s="237"/>
      <c r="DC682" s="237"/>
      <c r="DD682" s="237"/>
      <c r="DE682" s="237"/>
      <c r="DF682" s="237"/>
      <c r="DG682" s="237"/>
      <c r="DH682" s="237"/>
      <c r="DI682" s="237"/>
      <c r="DJ682" s="237"/>
      <c r="DK682" s="237"/>
      <c r="DL682" s="237"/>
      <c r="DM682" s="237"/>
      <c r="DN682" s="237"/>
      <c r="DO682" s="237"/>
      <c r="DP682" s="237"/>
      <c r="DQ682" s="237"/>
      <c r="DR682" s="237"/>
      <c r="DS682" s="237"/>
      <c r="DT682" s="237"/>
      <c r="DU682" s="237"/>
      <c r="DV682" s="237"/>
      <c r="DW682" s="237"/>
      <c r="DX682" s="237"/>
      <c r="DY682" s="237"/>
      <c r="DZ682" s="237"/>
      <c r="EA682" s="237"/>
      <c r="EB682" s="237"/>
      <c r="EC682" s="237"/>
      <c r="ED682" s="237"/>
      <c r="EE682" s="237"/>
      <c r="EF682" s="237"/>
      <c r="EG682" s="237"/>
      <c r="EH682" s="237"/>
      <c r="EI682" s="237"/>
      <c r="EJ682" s="237"/>
      <c r="EK682" s="237"/>
      <c r="EL682" s="237"/>
      <c r="EM682" s="237"/>
      <c r="EN682" s="237"/>
      <c r="EO682" s="237"/>
      <c r="EP682" s="237"/>
      <c r="EQ682" s="237"/>
      <c r="ER682" s="237"/>
      <c r="ES682" s="9"/>
      <c r="ET682" s="9"/>
      <c r="EU682" s="9"/>
      <c r="EV682" s="9"/>
      <c r="EW682" s="9"/>
      <c r="EX682" s="9"/>
      <c r="EY682" s="9"/>
      <c r="EZ682" s="9"/>
      <c r="FA682" s="9"/>
      <c r="FB682" s="9"/>
      <c r="FC682" s="9"/>
      <c r="FD682" s="9"/>
      <c r="FE682" s="9"/>
      <c r="FF682" s="9"/>
      <c r="FG682" s="9"/>
      <c r="FH682" s="9"/>
      <c r="FI682" s="9"/>
      <c r="FJ682" s="9"/>
      <c r="FK682" s="9"/>
      <c r="FL682" s="9"/>
      <c r="FM682" s="9"/>
      <c r="FN682" s="9"/>
      <c r="FO682" s="9"/>
      <c r="FP682" s="9"/>
    </row>
    <row r="683" customFormat="false" ht="15" hidden="false" customHeight="false" outlineLevel="2" collapsed="false">
      <c r="B683" s="21" t="s">
        <v>941</v>
      </c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  <c r="AP683" s="21"/>
      <c r="AQ683" s="21"/>
      <c r="AR683" s="21"/>
      <c r="AS683" s="21"/>
      <c r="AT683" s="21"/>
      <c r="AU683" s="21"/>
      <c r="AV683" s="21"/>
      <c r="AW683" s="21"/>
      <c r="AX683" s="21"/>
      <c r="AY683" s="21"/>
      <c r="AZ683" s="21"/>
      <c r="BA683" s="21"/>
      <c r="BB683" s="21"/>
      <c r="BC683" s="21"/>
      <c r="BD683" s="21"/>
      <c r="BE683" s="21"/>
      <c r="BF683" s="21"/>
      <c r="BG683" s="21"/>
      <c r="BH683" s="21"/>
      <c r="BI683" s="21"/>
      <c r="BJ683" s="21"/>
      <c r="BK683" s="21"/>
      <c r="BL683" s="21"/>
      <c r="BM683" s="21"/>
      <c r="BN683" s="21"/>
      <c r="BO683" s="21"/>
      <c r="BP683" s="21"/>
      <c r="BQ683" s="21"/>
      <c r="BR683" s="21"/>
      <c r="BS683" s="21"/>
      <c r="BT683" s="21"/>
      <c r="BU683" s="21"/>
      <c r="BV683" s="21"/>
      <c r="BW683" s="21"/>
      <c r="BX683" s="21"/>
      <c r="BY683" s="21"/>
      <c r="BZ683" s="21"/>
      <c r="CA683" s="21"/>
      <c r="CB683" s="21"/>
      <c r="CC683" s="21"/>
      <c r="CD683" s="21"/>
      <c r="CE683" s="21"/>
      <c r="CF683" s="21"/>
      <c r="CG683" s="21"/>
      <c r="CH683" s="21"/>
      <c r="CI683" s="21"/>
      <c r="CJ683" s="21"/>
      <c r="CK683" s="21"/>
      <c r="CL683" s="21"/>
      <c r="CM683" s="21"/>
      <c r="CN683" s="21"/>
      <c r="CO683" s="21"/>
      <c r="CP683" s="21"/>
      <c r="CQ683" s="21"/>
      <c r="CR683" s="21"/>
      <c r="CS683" s="21"/>
      <c r="CT683" s="21"/>
      <c r="CU683" s="21"/>
      <c r="CV683" s="21"/>
      <c r="CW683" s="21"/>
      <c r="CX683" s="21"/>
      <c r="CY683" s="21"/>
      <c r="CZ683" s="21"/>
      <c r="DA683" s="21"/>
      <c r="DB683" s="21"/>
      <c r="DC683" s="21"/>
      <c r="DD683" s="21"/>
      <c r="DE683" s="21"/>
      <c r="DF683" s="21"/>
      <c r="DG683" s="21"/>
      <c r="DH683" s="21"/>
      <c r="DI683" s="21"/>
      <c r="DJ683" s="21"/>
      <c r="DK683" s="21"/>
      <c r="DL683" s="21"/>
      <c r="DM683" s="21"/>
      <c r="DN683" s="21"/>
      <c r="DO683" s="21"/>
      <c r="DP683" s="21"/>
      <c r="DQ683" s="21"/>
      <c r="DR683" s="21"/>
      <c r="DS683" s="21"/>
      <c r="DT683" s="21"/>
      <c r="DU683" s="21"/>
      <c r="DV683" s="21"/>
      <c r="DW683" s="21"/>
      <c r="DX683" s="21"/>
      <c r="DY683" s="21"/>
      <c r="DZ683" s="21"/>
      <c r="EA683" s="21"/>
      <c r="EB683" s="21"/>
      <c r="EC683" s="21"/>
      <c r="ED683" s="21"/>
      <c r="EE683" s="21"/>
      <c r="EF683" s="21"/>
      <c r="EG683" s="21"/>
      <c r="EH683" s="21"/>
      <c r="EI683" s="21"/>
      <c r="EJ683" s="21"/>
      <c r="EK683" s="21"/>
      <c r="EL683" s="21"/>
      <c r="EM683" s="21"/>
      <c r="EN683" s="21"/>
      <c r="EO683" s="21"/>
      <c r="EP683" s="21"/>
      <c r="EQ683" s="21"/>
      <c r="ER683" s="21"/>
      <c r="ES683" s="9"/>
      <c r="ET683" s="9"/>
      <c r="EU683" s="9"/>
      <c r="EV683" s="9"/>
      <c r="EW683" s="9"/>
      <c r="EX683" s="9"/>
      <c r="EY683" s="9"/>
      <c r="EZ683" s="9"/>
      <c r="FA683" s="9"/>
      <c r="FB683" s="9"/>
      <c r="FC683" s="9"/>
      <c r="FD683" s="9"/>
      <c r="FE683" s="9"/>
      <c r="FF683" s="9"/>
      <c r="FG683" s="9"/>
      <c r="FH683" s="9"/>
      <c r="FI683" s="9"/>
      <c r="FJ683" s="9"/>
      <c r="FK683" s="9"/>
      <c r="FL683" s="9"/>
      <c r="FM683" s="9"/>
      <c r="FN683" s="9"/>
      <c r="FO683" s="9"/>
      <c r="FP683" s="9"/>
    </row>
    <row r="684" customFormat="false" ht="15" hidden="false" customHeight="false" outlineLevel="2" collapsed="false">
      <c r="B684" s="9" t="s">
        <v>872</v>
      </c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234" t="n">
        <f aca="false">('⑫ Roll-out Plan'!G73-2025)*12+'⑫ Roll-out Plan'!F73</f>
        <v>73</v>
      </c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9"/>
      <c r="CV684" s="9"/>
      <c r="CW684" s="9"/>
      <c r="CX684" s="9"/>
      <c r="CY684" s="9"/>
      <c r="CZ684" s="9"/>
      <c r="DA684" s="9"/>
      <c r="DB684" s="9"/>
      <c r="DC684" s="9"/>
      <c r="DD684" s="9"/>
      <c r="DE684" s="9"/>
      <c r="DF684" s="9"/>
      <c r="DG684" s="9"/>
      <c r="DH684" s="9"/>
      <c r="DI684" s="9"/>
      <c r="DJ684" s="9"/>
      <c r="DK684" s="9"/>
      <c r="DL684" s="9"/>
      <c r="DM684" s="9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9"/>
      <c r="DY684" s="9"/>
      <c r="DZ684" s="9"/>
      <c r="EA684" s="9"/>
      <c r="EB684" s="9"/>
      <c r="EC684" s="9"/>
      <c r="ED684" s="9"/>
      <c r="EE684" s="9"/>
      <c r="EF684" s="9"/>
      <c r="EG684" s="9"/>
      <c r="EH684" s="9"/>
      <c r="EI684" s="9"/>
      <c r="EJ684" s="9"/>
      <c r="EK684" s="9"/>
      <c r="EL684" s="9"/>
      <c r="EM684" s="9"/>
      <c r="EN684" s="9"/>
      <c r="EO684" s="9"/>
      <c r="EP684" s="9"/>
      <c r="EQ684" s="9"/>
      <c r="ER684" s="9"/>
      <c r="ES684" s="9"/>
      <c r="ET684" s="9"/>
      <c r="EU684" s="9"/>
      <c r="EV684" s="9"/>
      <c r="EW684" s="9"/>
      <c r="EX684" s="9"/>
      <c r="EY684" s="9"/>
      <c r="EZ684" s="9"/>
      <c r="FA684" s="9"/>
      <c r="FB684" s="9"/>
      <c r="FC684" s="9"/>
      <c r="FD684" s="9"/>
      <c r="FE684" s="9"/>
      <c r="FF684" s="9"/>
      <c r="FG684" s="9"/>
      <c r="FH684" s="9"/>
      <c r="FI684" s="9"/>
      <c r="FJ684" s="9"/>
      <c r="FK684" s="9"/>
      <c r="FL684" s="9"/>
      <c r="FM684" s="9"/>
      <c r="FN684" s="9"/>
      <c r="FO684" s="9"/>
      <c r="FP684" s="9"/>
    </row>
    <row r="685" customFormat="false" ht="15" hidden="false" customHeight="false" outlineLevel="2" collapsed="false">
      <c r="B685" s="9" t="s">
        <v>873</v>
      </c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235" t="n">
        <f aca="false">VLOOKUP("B",$B$14:$C$18,2,FALSE())</f>
        <v>185</v>
      </c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9"/>
      <c r="CV685" s="9"/>
      <c r="CW685" s="9"/>
      <c r="CX685" s="9"/>
      <c r="CY685" s="9"/>
      <c r="CZ685" s="9"/>
      <c r="DA685" s="9"/>
      <c r="DB685" s="9"/>
      <c r="DC685" s="9"/>
      <c r="DD685" s="9"/>
      <c r="DE685" s="9"/>
      <c r="DF685" s="9"/>
      <c r="DG685" s="9"/>
      <c r="DH685" s="9"/>
      <c r="DI685" s="9"/>
      <c r="DJ685" s="9"/>
      <c r="DK685" s="9"/>
      <c r="DL685" s="9"/>
      <c r="DM685" s="9"/>
      <c r="DN685" s="9"/>
      <c r="DO685" s="9"/>
      <c r="DP685" s="9"/>
      <c r="DQ685" s="9"/>
      <c r="DR685" s="9"/>
      <c r="DS685" s="9"/>
      <c r="DT685" s="9"/>
      <c r="DU685" s="9"/>
      <c r="DV685" s="9"/>
      <c r="DW685" s="9"/>
      <c r="DX685" s="9"/>
      <c r="DY685" s="9"/>
      <c r="DZ685" s="9"/>
      <c r="EA685" s="9"/>
      <c r="EB685" s="9"/>
      <c r="EC685" s="9"/>
      <c r="ED685" s="9"/>
      <c r="EE685" s="9"/>
      <c r="EF685" s="9"/>
      <c r="EG685" s="9"/>
      <c r="EH685" s="9"/>
      <c r="EI685" s="9"/>
      <c r="EJ685" s="9"/>
      <c r="EK685" s="9"/>
      <c r="EL685" s="9"/>
      <c r="EM685" s="9"/>
      <c r="EN685" s="9"/>
      <c r="EO685" s="9"/>
      <c r="EP685" s="9"/>
      <c r="EQ685" s="9"/>
      <c r="ER685" s="9"/>
      <c r="ES685" s="9"/>
      <c r="ET685" s="9"/>
      <c r="EU685" s="9"/>
      <c r="EV685" s="9"/>
      <c r="EW685" s="9"/>
      <c r="EX685" s="9"/>
      <c r="EY685" s="9"/>
      <c r="EZ685" s="9"/>
      <c r="FA685" s="9"/>
      <c r="FB685" s="9"/>
      <c r="FC685" s="9"/>
      <c r="FD685" s="9"/>
      <c r="FE685" s="9"/>
      <c r="FF685" s="9"/>
      <c r="FG685" s="9"/>
      <c r="FH685" s="9"/>
      <c r="FI685" s="9"/>
      <c r="FJ685" s="9"/>
      <c r="FK685" s="9"/>
      <c r="FL685" s="9"/>
      <c r="FM685" s="9"/>
      <c r="FN685" s="9"/>
      <c r="FO685" s="9"/>
      <c r="FP685" s="9"/>
    </row>
    <row r="686" customFormat="false" ht="15" hidden="false" customHeight="false" outlineLevel="2" collapsed="false">
      <c r="B686" s="9" t="s">
        <v>799</v>
      </c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63" t="n">
        <f aca="false">IF(AC$35&gt;=$AC$684,AC$35-$AC$684+1,0)</f>
        <v>0</v>
      </c>
      <c r="AD686" s="63" t="n">
        <f aca="false">IF(AD$35&gt;=$AC$684,AD$35-$AC$684+1,0)</f>
        <v>0</v>
      </c>
      <c r="AE686" s="63" t="n">
        <f aca="false">IF(AE$35&gt;=$AC$684,AE$35-$AC$684+1,0)</f>
        <v>0</v>
      </c>
      <c r="AF686" s="63" t="n">
        <f aca="false">IF(AF$35&gt;=$AC$684,AF$35-$AC$684+1,0)</f>
        <v>0</v>
      </c>
      <c r="AG686" s="63" t="n">
        <f aca="false">IF(AG$35&gt;=$AC$684,AG$35-$AC$684+1,0)</f>
        <v>0</v>
      </c>
      <c r="AH686" s="63" t="n">
        <f aca="false">IF(AH$35&gt;=$AC$684,AH$35-$AC$684+1,0)</f>
        <v>0</v>
      </c>
      <c r="AI686" s="63" t="n">
        <f aca="false">IF(AI$35&gt;=$AC$684,AI$35-$AC$684+1,0)</f>
        <v>0</v>
      </c>
      <c r="AJ686" s="63" t="n">
        <f aca="false">IF(AJ$35&gt;=$AC$684,AJ$35-$AC$684+1,0)</f>
        <v>0</v>
      </c>
      <c r="AK686" s="63" t="n">
        <f aca="false">IF(AK$35&gt;=$AC$684,AK$35-$AC$684+1,0)</f>
        <v>0</v>
      </c>
      <c r="AL686" s="63" t="n">
        <f aca="false">IF(AL$35&gt;=$AC$684,AL$35-$AC$684+1,0)</f>
        <v>0</v>
      </c>
      <c r="AM686" s="63" t="n">
        <f aca="false">IF(AM$35&gt;=$AC$684,AM$35-$AC$684+1,0)</f>
        <v>0</v>
      </c>
      <c r="AN686" s="63" t="n">
        <f aca="false">IF(AN$35&gt;=$AC$684,AN$35-$AC$684+1,0)</f>
        <v>0</v>
      </c>
      <c r="AO686" s="63" t="n">
        <f aca="false">IF(AO$35&gt;=$AC$684,AO$35-$AC$684+1,0)</f>
        <v>0</v>
      </c>
      <c r="AP686" s="63" t="n">
        <f aca="false">IF(AP$35&gt;=$AC$684,AP$35-$AC$684+1,0)</f>
        <v>0</v>
      </c>
      <c r="AQ686" s="63" t="n">
        <f aca="false">IF(AQ$35&gt;=$AC$684,AQ$35-$AC$684+1,0)</f>
        <v>0</v>
      </c>
      <c r="AR686" s="63" t="n">
        <f aca="false">IF(AR$35&gt;=$AC$684,AR$35-$AC$684+1,0)</f>
        <v>0</v>
      </c>
      <c r="AS686" s="63" t="n">
        <f aca="false">IF(AS$35&gt;=$AC$684,AS$35-$AC$684+1,0)</f>
        <v>0</v>
      </c>
      <c r="AT686" s="63" t="n">
        <f aca="false">IF(AT$35&gt;=$AC$684,AT$35-$AC$684+1,0)</f>
        <v>0</v>
      </c>
      <c r="AU686" s="63" t="n">
        <f aca="false">IF(AU$35&gt;=$AC$684,AU$35-$AC$684+1,0)</f>
        <v>0</v>
      </c>
      <c r="AV686" s="63" t="n">
        <f aca="false">IF(AV$35&gt;=$AC$684,AV$35-$AC$684+1,0)</f>
        <v>0</v>
      </c>
      <c r="AW686" s="63" t="n">
        <f aca="false">IF(AW$35&gt;=$AC$684,AW$35-$AC$684+1,0)</f>
        <v>0</v>
      </c>
      <c r="AX686" s="63" t="n">
        <f aca="false">IF(AX$35&gt;=$AC$684,AX$35-$AC$684+1,0)</f>
        <v>0</v>
      </c>
      <c r="AY686" s="63" t="n">
        <f aca="false">IF(AY$35&gt;=$AC$684,AY$35-$AC$684+1,0)</f>
        <v>0</v>
      </c>
      <c r="AZ686" s="63" t="n">
        <f aca="false">IF(AZ$35&gt;=$AC$684,AZ$35-$AC$684+1,0)</f>
        <v>0</v>
      </c>
      <c r="BA686" s="63" t="n">
        <f aca="false">IF(BA$35&gt;=$AC$684,BA$35-$AC$684+1,0)</f>
        <v>0</v>
      </c>
      <c r="BB686" s="63" t="n">
        <f aca="false">IF(BB$35&gt;=$AC$684,BB$35-$AC$684+1,0)</f>
        <v>0</v>
      </c>
      <c r="BC686" s="63" t="n">
        <f aca="false">IF(BC$35&gt;=$AC$684,BC$35-$AC$684+1,0)</f>
        <v>0</v>
      </c>
      <c r="BD686" s="63" t="n">
        <f aca="false">IF(BD$35&gt;=$AC$684,BD$35-$AC$684+1,0)</f>
        <v>0</v>
      </c>
      <c r="BE686" s="63" t="n">
        <f aca="false">IF(BE$35&gt;=$AC$684,BE$35-$AC$684+1,0)</f>
        <v>0</v>
      </c>
      <c r="BF686" s="63" t="n">
        <f aca="false">IF(BF$35&gt;=$AC$684,BF$35-$AC$684+1,0)</f>
        <v>0</v>
      </c>
      <c r="BG686" s="63" t="n">
        <f aca="false">IF(BG$35&gt;=$AC$684,BG$35-$AC$684+1,0)</f>
        <v>0</v>
      </c>
      <c r="BH686" s="63" t="n">
        <f aca="false">IF(BH$35&gt;=$AC$684,BH$35-$AC$684+1,0)</f>
        <v>0</v>
      </c>
      <c r="BI686" s="63" t="n">
        <f aca="false">IF(BI$35&gt;=$AC$684,BI$35-$AC$684+1,0)</f>
        <v>0</v>
      </c>
      <c r="BJ686" s="63" t="n">
        <f aca="false">IF(BJ$35&gt;=$AC$684,BJ$35-$AC$684+1,0)</f>
        <v>0</v>
      </c>
      <c r="BK686" s="63" t="n">
        <f aca="false">IF(BK$35&gt;=$AC$684,BK$35-$AC$684+1,0)</f>
        <v>0</v>
      </c>
      <c r="BL686" s="63" t="n">
        <f aca="false">IF(BL$35&gt;=$AC$684,BL$35-$AC$684+1,0)</f>
        <v>0</v>
      </c>
      <c r="BM686" s="63" t="n">
        <f aca="false">IF(BM$35&gt;=$AC$684,BM$35-$AC$684+1,0)</f>
        <v>0</v>
      </c>
      <c r="BN686" s="63" t="n">
        <f aca="false">IF(BN$35&gt;=$AC$684,BN$35-$AC$684+1,0)</f>
        <v>0</v>
      </c>
      <c r="BO686" s="63" t="n">
        <f aca="false">IF(BO$35&gt;=$AC$684,BO$35-$AC$684+1,0)</f>
        <v>0</v>
      </c>
      <c r="BP686" s="63" t="n">
        <f aca="false">IF(BP$35&gt;=$AC$684,BP$35-$AC$684+1,0)</f>
        <v>0</v>
      </c>
      <c r="BQ686" s="63" t="n">
        <f aca="false">IF(BQ$35&gt;=$AC$684,BQ$35-$AC$684+1,0)</f>
        <v>0</v>
      </c>
      <c r="BR686" s="63" t="n">
        <f aca="false">IF(BR$35&gt;=$AC$684,BR$35-$AC$684+1,0)</f>
        <v>0</v>
      </c>
      <c r="BS686" s="63" t="n">
        <f aca="false">IF(BS$35&gt;=$AC$684,BS$35-$AC$684+1,0)</f>
        <v>0</v>
      </c>
      <c r="BT686" s="63" t="n">
        <f aca="false">IF(BT$35&gt;=$AC$684,BT$35-$AC$684+1,0)</f>
        <v>0</v>
      </c>
      <c r="BU686" s="63" t="n">
        <f aca="false">IF(BU$35&gt;=$AC$684,BU$35-$AC$684+1,0)</f>
        <v>0</v>
      </c>
      <c r="BV686" s="63" t="n">
        <f aca="false">IF(BV$35&gt;=$AC$684,BV$35-$AC$684+1,0)</f>
        <v>0</v>
      </c>
      <c r="BW686" s="63" t="n">
        <f aca="false">IF(BW$35&gt;=$AC$684,BW$35-$AC$684+1,0)</f>
        <v>0</v>
      </c>
      <c r="BX686" s="63" t="n">
        <f aca="false">IF(BX$35&gt;=$AC$684,BX$35-$AC$684+1,0)</f>
        <v>0</v>
      </c>
      <c r="BY686" s="63" t="n">
        <f aca="false">IF(BY$35&gt;=$AC$684,BY$35-$AC$684+1,0)</f>
        <v>0</v>
      </c>
      <c r="BZ686" s="63" t="n">
        <f aca="false">IF(BZ$35&gt;=$AC$684,BZ$35-$AC$684+1,0)</f>
        <v>0</v>
      </c>
      <c r="CA686" s="63" t="n">
        <f aca="false">IF(CA$35&gt;=$AC$684,CA$35-$AC$684+1,0)</f>
        <v>0</v>
      </c>
      <c r="CB686" s="63" t="n">
        <f aca="false">IF(CB$35&gt;=$AC$684,CB$35-$AC$684+1,0)</f>
        <v>0</v>
      </c>
      <c r="CC686" s="63" t="n">
        <f aca="false">IF(CC$35&gt;=$AC$684,CC$35-$AC$684+1,0)</f>
        <v>0</v>
      </c>
      <c r="CD686" s="63" t="n">
        <f aca="false">IF(CD$35&gt;=$AC$684,CD$35-$AC$684+1,0)</f>
        <v>0</v>
      </c>
      <c r="CE686" s="63" t="n">
        <f aca="false">IF(CE$35&gt;=$AC$684,CE$35-$AC$684+1,0)</f>
        <v>0</v>
      </c>
      <c r="CF686" s="63" t="n">
        <f aca="false">IF(CF$35&gt;=$AC$684,CF$35-$AC$684+1,0)</f>
        <v>0</v>
      </c>
      <c r="CG686" s="63" t="n">
        <f aca="false">IF(CG$35&gt;=$AC$684,CG$35-$AC$684+1,0)</f>
        <v>0</v>
      </c>
      <c r="CH686" s="63" t="n">
        <f aca="false">IF(CH$35&gt;=$AC$684,CH$35-$AC$684+1,0)</f>
        <v>0</v>
      </c>
      <c r="CI686" s="63" t="n">
        <f aca="false">IF(CI$35&gt;=$AC$684,CI$35-$AC$684+1,0)</f>
        <v>0</v>
      </c>
      <c r="CJ686" s="63" t="n">
        <f aca="false">IF(CJ$35&gt;=$AC$684,CJ$35-$AC$684+1,0)</f>
        <v>0</v>
      </c>
      <c r="CK686" s="63" t="n">
        <f aca="false">IF(CK$35&gt;=$AC$684,CK$35-$AC$684+1,0)</f>
        <v>0</v>
      </c>
      <c r="CL686" s="63" t="n">
        <f aca="false">IF(CL$35&gt;=$AC$684,CL$35-$AC$684+1,0)</f>
        <v>0</v>
      </c>
      <c r="CM686" s="63" t="n">
        <f aca="false">IF(CM$35&gt;=$AC$684,CM$35-$AC$684+1,0)</f>
        <v>0</v>
      </c>
      <c r="CN686" s="63" t="n">
        <f aca="false">IF(CN$35&gt;=$AC$684,CN$35-$AC$684+1,0)</f>
        <v>0</v>
      </c>
      <c r="CO686" s="63" t="n">
        <f aca="false">IF(CO$35&gt;=$AC$684,CO$35-$AC$684+1,0)</f>
        <v>0</v>
      </c>
      <c r="CP686" s="63" t="n">
        <f aca="false">IF(CP$35&gt;=$AC$684,CP$35-$AC$684+1,0)</f>
        <v>0</v>
      </c>
      <c r="CQ686" s="63" t="n">
        <f aca="false">IF(CQ$35&gt;=$AC$684,CQ$35-$AC$684+1,0)</f>
        <v>0</v>
      </c>
      <c r="CR686" s="63" t="n">
        <f aca="false">IF(CR$35&gt;=$AC$684,CR$35-$AC$684+1,0)</f>
        <v>0</v>
      </c>
      <c r="CS686" s="63" t="n">
        <f aca="false">IF(CS$35&gt;=$AC$684,CS$35-$AC$684+1,0)</f>
        <v>0</v>
      </c>
      <c r="CT686" s="63" t="n">
        <f aca="false">IF(CT$35&gt;=$AC$684,CT$35-$AC$684+1,0)</f>
        <v>0</v>
      </c>
      <c r="CU686" s="63" t="n">
        <f aca="false">IF(CU$35&gt;=$AC$684,CU$35-$AC$684+1,0)</f>
        <v>0</v>
      </c>
      <c r="CV686" s="63" t="n">
        <f aca="false">IF(CV$35&gt;=$AC$684,CV$35-$AC$684+1,0)</f>
        <v>0</v>
      </c>
      <c r="CW686" s="63" t="n">
        <f aca="false">IF(CW$35&gt;=$AC$684,CW$35-$AC$684+1,0)</f>
        <v>1</v>
      </c>
      <c r="CX686" s="63" t="n">
        <f aca="false">IF(CX$35&gt;=$AC$684,CX$35-$AC$684+1,0)</f>
        <v>2</v>
      </c>
      <c r="CY686" s="63" t="n">
        <f aca="false">IF(CY$35&gt;=$AC$684,CY$35-$AC$684+1,0)</f>
        <v>3</v>
      </c>
      <c r="CZ686" s="63" t="n">
        <f aca="false">IF(CZ$35&gt;=$AC$684,CZ$35-$AC$684+1,0)</f>
        <v>4</v>
      </c>
      <c r="DA686" s="63" t="n">
        <f aca="false">IF(DA$35&gt;=$AC$684,DA$35-$AC$684+1,0)</f>
        <v>5</v>
      </c>
      <c r="DB686" s="63" t="n">
        <f aca="false">IF(DB$35&gt;=$AC$684,DB$35-$AC$684+1,0)</f>
        <v>6</v>
      </c>
      <c r="DC686" s="63" t="n">
        <f aca="false">IF(DC$35&gt;=$AC$684,DC$35-$AC$684+1,0)</f>
        <v>7</v>
      </c>
      <c r="DD686" s="63" t="n">
        <f aca="false">IF(DD$35&gt;=$AC$684,DD$35-$AC$684+1,0)</f>
        <v>8</v>
      </c>
      <c r="DE686" s="63" t="n">
        <f aca="false">IF(DE$35&gt;=$AC$684,DE$35-$AC$684+1,0)</f>
        <v>9</v>
      </c>
      <c r="DF686" s="63" t="n">
        <f aca="false">IF(DF$35&gt;=$AC$684,DF$35-$AC$684+1,0)</f>
        <v>10</v>
      </c>
      <c r="DG686" s="63" t="n">
        <f aca="false">IF(DG$35&gt;=$AC$684,DG$35-$AC$684+1,0)</f>
        <v>11</v>
      </c>
      <c r="DH686" s="63" t="n">
        <f aca="false">IF(DH$35&gt;=$AC$684,DH$35-$AC$684+1,0)</f>
        <v>12</v>
      </c>
      <c r="DI686" s="63" t="n">
        <f aca="false">IF(DI$35&gt;=$AC$684,DI$35-$AC$684+1,0)</f>
        <v>13</v>
      </c>
      <c r="DJ686" s="63" t="n">
        <f aca="false">IF(DJ$35&gt;=$AC$684,DJ$35-$AC$684+1,0)</f>
        <v>14</v>
      </c>
      <c r="DK686" s="63" t="n">
        <f aca="false">IF(DK$35&gt;=$AC$684,DK$35-$AC$684+1,0)</f>
        <v>15</v>
      </c>
      <c r="DL686" s="63" t="n">
        <f aca="false">IF(DL$35&gt;=$AC$684,DL$35-$AC$684+1,0)</f>
        <v>16</v>
      </c>
      <c r="DM686" s="63" t="n">
        <f aca="false">IF(DM$35&gt;=$AC$684,DM$35-$AC$684+1,0)</f>
        <v>17</v>
      </c>
      <c r="DN686" s="63" t="n">
        <f aca="false">IF(DN$35&gt;=$AC$684,DN$35-$AC$684+1,0)</f>
        <v>18</v>
      </c>
      <c r="DO686" s="63" t="n">
        <f aca="false">IF(DO$35&gt;=$AC$684,DO$35-$AC$684+1,0)</f>
        <v>19</v>
      </c>
      <c r="DP686" s="63" t="n">
        <f aca="false">IF(DP$35&gt;=$AC$684,DP$35-$AC$684+1,0)</f>
        <v>20</v>
      </c>
      <c r="DQ686" s="63" t="n">
        <f aca="false">IF(DQ$35&gt;=$AC$684,DQ$35-$AC$684+1,0)</f>
        <v>21</v>
      </c>
      <c r="DR686" s="63" t="n">
        <f aca="false">IF(DR$35&gt;=$AC$684,DR$35-$AC$684+1,0)</f>
        <v>22</v>
      </c>
      <c r="DS686" s="63" t="n">
        <f aca="false">IF(DS$35&gt;=$AC$684,DS$35-$AC$684+1,0)</f>
        <v>23</v>
      </c>
      <c r="DT686" s="63" t="n">
        <f aca="false">IF(DT$35&gt;=$AC$684,DT$35-$AC$684+1,0)</f>
        <v>24</v>
      </c>
      <c r="DU686" s="63" t="n">
        <f aca="false">IF(DU$35&gt;=$AC$684,DU$35-$AC$684+1,0)</f>
        <v>25</v>
      </c>
      <c r="DV686" s="63" t="n">
        <f aca="false">IF(DV$35&gt;=$AC$684,DV$35-$AC$684+1,0)</f>
        <v>26</v>
      </c>
      <c r="DW686" s="63" t="n">
        <f aca="false">IF(DW$35&gt;=$AC$684,DW$35-$AC$684+1,0)</f>
        <v>27</v>
      </c>
      <c r="DX686" s="63" t="n">
        <f aca="false">IF(DX$35&gt;=$AC$684,DX$35-$AC$684+1,0)</f>
        <v>28</v>
      </c>
      <c r="DY686" s="63" t="n">
        <f aca="false">IF(DY$35&gt;=$AC$684,DY$35-$AC$684+1,0)</f>
        <v>29</v>
      </c>
      <c r="DZ686" s="63" t="n">
        <f aca="false">IF(DZ$35&gt;=$AC$684,DZ$35-$AC$684+1,0)</f>
        <v>30</v>
      </c>
      <c r="EA686" s="63" t="n">
        <f aca="false">IF(EA$35&gt;=$AC$684,EA$35-$AC$684+1,0)</f>
        <v>31</v>
      </c>
      <c r="EB686" s="63" t="n">
        <f aca="false">IF(EB$35&gt;=$AC$684,EB$35-$AC$684+1,0)</f>
        <v>32</v>
      </c>
      <c r="EC686" s="63" t="n">
        <f aca="false">IF(EC$35&gt;=$AC$684,EC$35-$AC$684+1,0)</f>
        <v>33</v>
      </c>
      <c r="ED686" s="63" t="n">
        <f aca="false">IF(ED$35&gt;=$AC$684,ED$35-$AC$684+1,0)</f>
        <v>34</v>
      </c>
      <c r="EE686" s="63" t="n">
        <f aca="false">IF(EE$35&gt;=$AC$684,EE$35-$AC$684+1,0)</f>
        <v>35</v>
      </c>
      <c r="EF686" s="63" t="n">
        <f aca="false">IF(EF$35&gt;=$AC$684,EF$35-$AC$684+1,0)</f>
        <v>36</v>
      </c>
      <c r="EG686" s="63" t="n">
        <f aca="false">IF(EG$35&gt;=$AC$684,EG$35-$AC$684+1,0)</f>
        <v>37</v>
      </c>
      <c r="EH686" s="63" t="n">
        <f aca="false">IF(EH$35&gt;=$AC$684,EH$35-$AC$684+1,0)</f>
        <v>38</v>
      </c>
      <c r="EI686" s="63" t="n">
        <f aca="false">IF(EI$35&gt;=$AC$684,EI$35-$AC$684+1,0)</f>
        <v>39</v>
      </c>
      <c r="EJ686" s="63" t="n">
        <f aca="false">IF(EJ$35&gt;=$AC$684,EJ$35-$AC$684+1,0)</f>
        <v>40</v>
      </c>
      <c r="EK686" s="63" t="n">
        <f aca="false">IF(EK$35&gt;=$AC$684,EK$35-$AC$684+1,0)</f>
        <v>41</v>
      </c>
      <c r="EL686" s="63" t="n">
        <f aca="false">IF(EL$35&gt;=$AC$684,EL$35-$AC$684+1,0)</f>
        <v>42</v>
      </c>
      <c r="EM686" s="63" t="n">
        <f aca="false">IF(EM$35&gt;=$AC$684,EM$35-$AC$684+1,0)</f>
        <v>43</v>
      </c>
      <c r="EN686" s="63" t="n">
        <f aca="false">IF(EN$35&gt;=$AC$684,EN$35-$AC$684+1,0)</f>
        <v>44</v>
      </c>
      <c r="EO686" s="63" t="n">
        <f aca="false">IF(EO$35&gt;=$AC$684,EO$35-$AC$684+1,0)</f>
        <v>45</v>
      </c>
      <c r="EP686" s="63" t="n">
        <f aca="false">IF(EP$35&gt;=$AC$684,EP$35-$AC$684+1,0)</f>
        <v>46</v>
      </c>
      <c r="EQ686" s="63" t="n">
        <f aca="false">IF(EQ$35&gt;=$AC$684,EQ$35-$AC$684+1,0)</f>
        <v>47</v>
      </c>
      <c r="ER686" s="63" t="n">
        <f aca="false">IF(ER$35&gt;=$AC$684,ER$35-$AC$684+1,0)</f>
        <v>48</v>
      </c>
      <c r="ES686" s="9" t="n">
        <f aca="false">IF(ES$35&gt;=$AC$684,ES$35-$AC$684+1,0)</f>
        <v>49</v>
      </c>
      <c r="ET686" s="9" t="n">
        <f aca="false">IF(ET$35&gt;=$AC$684,ET$35-$AC$684+1,0)</f>
        <v>50</v>
      </c>
      <c r="EU686" s="9" t="n">
        <f aca="false">IF(EU$35&gt;=$AC$684,EU$35-$AC$684+1,0)</f>
        <v>51</v>
      </c>
      <c r="EV686" s="9" t="n">
        <f aca="false">IF(EV$35&gt;=$AC$684,EV$35-$AC$684+1,0)</f>
        <v>52</v>
      </c>
      <c r="EW686" s="9" t="n">
        <f aca="false">IF(EW$35&gt;=$AC$684,EW$35-$AC$684+1,0)</f>
        <v>53</v>
      </c>
      <c r="EX686" s="9" t="n">
        <f aca="false">IF(EX$35&gt;=$AC$684,EX$35-$AC$684+1,0)</f>
        <v>54</v>
      </c>
      <c r="EY686" s="9" t="n">
        <f aca="false">IF(EY$35&gt;=$AC$684,EY$35-$AC$684+1,0)</f>
        <v>55</v>
      </c>
      <c r="EZ686" s="9" t="n">
        <f aca="false">IF(EZ$35&gt;=$AC$684,EZ$35-$AC$684+1,0)</f>
        <v>56</v>
      </c>
      <c r="FA686" s="9" t="n">
        <f aca="false">IF(FA$35&gt;=$AC$684,FA$35-$AC$684+1,0)</f>
        <v>57</v>
      </c>
      <c r="FB686" s="9" t="n">
        <f aca="false">IF(FB$35&gt;=$AC$684,FB$35-$AC$684+1,0)</f>
        <v>58</v>
      </c>
      <c r="FC686" s="9" t="n">
        <f aca="false">IF(FC$35&gt;=$AC$684,FC$35-$AC$684+1,0)</f>
        <v>59</v>
      </c>
      <c r="FD686" s="9" t="n">
        <f aca="false">IF(FD$35&gt;=$AC$684,FD$35-$AC$684+1,0)</f>
        <v>60</v>
      </c>
      <c r="FE686" s="9" t="n">
        <f aca="false">IF(FE$35&gt;=$AC$684,FE$35-$AC$684+1,0)</f>
        <v>61</v>
      </c>
      <c r="FF686" s="9" t="n">
        <f aca="false">IF(FF$35&gt;=$AC$684,FF$35-$AC$684+1,0)</f>
        <v>62</v>
      </c>
      <c r="FG686" s="9" t="n">
        <f aca="false">IF(FG$35&gt;=$AC$684,FG$35-$AC$684+1,0)</f>
        <v>63</v>
      </c>
      <c r="FH686" s="9" t="n">
        <f aca="false">IF(FH$35&gt;=$AC$684,FH$35-$AC$684+1,0)</f>
        <v>64</v>
      </c>
      <c r="FI686" s="9" t="n">
        <f aca="false">IF(FI$35&gt;=$AC$684,FI$35-$AC$684+1,0)</f>
        <v>65</v>
      </c>
      <c r="FJ686" s="9" t="n">
        <f aca="false">IF(FJ$35&gt;=$AC$684,FJ$35-$AC$684+1,0)</f>
        <v>66</v>
      </c>
      <c r="FK686" s="9" t="n">
        <f aca="false">IF(FK$35&gt;=$AC$684,FK$35-$AC$684+1,0)</f>
        <v>67</v>
      </c>
      <c r="FL686" s="9" t="n">
        <f aca="false">IF(FL$35&gt;=$AC$684,FL$35-$AC$684+1,0)</f>
        <v>68</v>
      </c>
      <c r="FM686" s="9" t="n">
        <f aca="false">IF(FM$35&gt;=$AC$684,FM$35-$AC$684+1,0)</f>
        <v>69</v>
      </c>
      <c r="FN686" s="9" t="n">
        <f aca="false">IF(FN$35&gt;=$AC$684,FN$35-$AC$684+1,0)</f>
        <v>70</v>
      </c>
      <c r="FO686" s="9" t="n">
        <f aca="false">IF(FO$35&gt;=$AC$684,FO$35-$AC$684+1,0)</f>
        <v>71</v>
      </c>
      <c r="FP686" s="9" t="n">
        <f aca="false">IF(FP$35&gt;=$AC$684,FP$35-$AC$684+1,0)</f>
        <v>72</v>
      </c>
    </row>
    <row r="687" customFormat="false" ht="15" hidden="false" customHeight="false" outlineLevel="2" collapsed="false">
      <c r="B687" s="9" t="s">
        <v>874</v>
      </c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236" t="n">
        <f aca="false" t="array" ref="AC687:AC687">IF(AC686=0,0,IF(AC686/'🎚️ Escenario'!$C$11&gt;=36,$AL$23,INDEX($C$23:$AL$23,MAX(1,ROUNDUP(AC686/'🎚️ Escenario'!$C$11,0)))))</f>
        <v>0</v>
      </c>
      <c r="AD687" s="236" t="n">
        <f aca="false" t="array" ref="AD687:AD687">IF(AD686=0,0,IF(AD686/'🎚️ Escenario'!$C$11&gt;=36,$AL$23,INDEX($C$23:$AL$23,MAX(1,ROUNDUP(AD686/'🎚️ Escenario'!$C$11,0)))))</f>
        <v>0</v>
      </c>
      <c r="AE687" s="236" t="n">
        <f aca="false" t="array" ref="AE687:AE687">IF(AE686=0,0,IF(AE686/'🎚️ Escenario'!$C$11&gt;=36,$AL$23,INDEX($C$23:$AL$23,MAX(1,ROUNDUP(AE686/'🎚️ Escenario'!$C$11,0)))))</f>
        <v>0</v>
      </c>
      <c r="AF687" s="236" t="n">
        <f aca="false" t="array" ref="AF687:AF687">IF(AF686=0,0,IF(AF686/'🎚️ Escenario'!$C$11&gt;=36,$AL$23,INDEX($C$23:$AL$23,MAX(1,ROUNDUP(AF686/'🎚️ Escenario'!$C$11,0)))))</f>
        <v>0</v>
      </c>
      <c r="AG687" s="236" t="n">
        <f aca="false" t="array" ref="AG687:AG687">IF(AG686=0,0,IF(AG686/'🎚️ Escenario'!$C$11&gt;=36,$AL$23,INDEX($C$23:$AL$23,MAX(1,ROUNDUP(AG686/'🎚️ Escenario'!$C$11,0)))))</f>
        <v>0</v>
      </c>
      <c r="AH687" s="236" t="n">
        <f aca="false" t="array" ref="AH687:AH687">IF(AH686=0,0,IF(AH686/'🎚️ Escenario'!$C$11&gt;=36,$AL$23,INDEX($C$23:$AL$23,MAX(1,ROUNDUP(AH686/'🎚️ Escenario'!$C$11,0)))))</f>
        <v>0</v>
      </c>
      <c r="AI687" s="236" t="n">
        <f aca="false" t="array" ref="AI687:AI687">IF(AI686=0,0,IF(AI686/'🎚️ Escenario'!$C$11&gt;=36,$AL$23,INDEX($C$23:$AL$23,MAX(1,ROUNDUP(AI686/'🎚️ Escenario'!$C$11,0)))))</f>
        <v>0</v>
      </c>
      <c r="AJ687" s="236" t="n">
        <f aca="false" t="array" ref="AJ687:AJ687">IF(AJ686=0,0,IF(AJ686/'🎚️ Escenario'!$C$11&gt;=36,$AL$23,INDEX($C$23:$AL$23,MAX(1,ROUNDUP(AJ686/'🎚️ Escenario'!$C$11,0)))))</f>
        <v>0</v>
      </c>
      <c r="AK687" s="236" t="n">
        <f aca="false" t="array" ref="AK687:AK687">IF(AK686=0,0,IF(AK686/'🎚️ Escenario'!$C$11&gt;=36,$AL$23,INDEX($C$23:$AL$23,MAX(1,ROUNDUP(AK686/'🎚️ Escenario'!$C$11,0)))))</f>
        <v>0</v>
      </c>
      <c r="AL687" s="236" t="n">
        <f aca="false" t="array" ref="AL687:AL687">IF(AL686=0,0,IF(AL686/'🎚️ Escenario'!$C$11&gt;=36,$AL$23,INDEX($C$23:$AL$23,MAX(1,ROUNDUP(AL686/'🎚️ Escenario'!$C$11,0)))))</f>
        <v>0</v>
      </c>
      <c r="AM687" s="236" t="n">
        <f aca="false" t="array" ref="AM687:AM687">IF(AM686=0,0,IF(AM686/'🎚️ Escenario'!$C$11&gt;=36,$AL$23,INDEX($C$23:$AL$23,MAX(1,ROUNDUP(AM686/'🎚️ Escenario'!$C$11,0)))))</f>
        <v>0</v>
      </c>
      <c r="AN687" s="236" t="n">
        <f aca="false" t="array" ref="AN687:AN687">IF(AN686=0,0,IF(AN686/'🎚️ Escenario'!$C$11&gt;=36,$AL$23,INDEX($C$23:$AL$23,MAX(1,ROUNDUP(AN686/'🎚️ Escenario'!$C$11,0)))))</f>
        <v>0</v>
      </c>
      <c r="AO687" s="236" t="n">
        <f aca="false" t="array" ref="AO687:AO687">IF(AO686=0,0,IF(AO686/'🎚️ Escenario'!$C$11&gt;=36,$AL$23,INDEX($C$23:$AL$23,MAX(1,ROUNDUP(AO686/'🎚️ Escenario'!$C$11,0)))))</f>
        <v>0</v>
      </c>
      <c r="AP687" s="236" t="n">
        <f aca="false" t="array" ref="AP687:AP687">IF(AP686=0,0,IF(AP686/'🎚️ Escenario'!$C$11&gt;=36,$AL$23,INDEX($C$23:$AL$23,MAX(1,ROUNDUP(AP686/'🎚️ Escenario'!$C$11,0)))))</f>
        <v>0</v>
      </c>
      <c r="AQ687" s="236" t="n">
        <f aca="false" t="array" ref="AQ687:AQ687">IF(AQ686=0,0,IF(AQ686/'🎚️ Escenario'!$C$11&gt;=36,$AL$23,INDEX($C$23:$AL$23,MAX(1,ROUNDUP(AQ686/'🎚️ Escenario'!$C$11,0)))))</f>
        <v>0</v>
      </c>
      <c r="AR687" s="236" t="n">
        <f aca="false" t="array" ref="AR687:AR687">IF(AR686=0,0,IF(AR686/'🎚️ Escenario'!$C$11&gt;=36,$AL$23,INDEX($C$23:$AL$23,MAX(1,ROUNDUP(AR686/'🎚️ Escenario'!$C$11,0)))))</f>
        <v>0</v>
      </c>
      <c r="AS687" s="236" t="n">
        <f aca="false" t="array" ref="AS687:AS687">IF(AS686=0,0,IF(AS686/'🎚️ Escenario'!$C$11&gt;=36,$AL$23,INDEX($C$23:$AL$23,MAX(1,ROUNDUP(AS686/'🎚️ Escenario'!$C$11,0)))))</f>
        <v>0</v>
      </c>
      <c r="AT687" s="236" t="n">
        <f aca="false" t="array" ref="AT687:AT687">IF(AT686=0,0,IF(AT686/'🎚️ Escenario'!$C$11&gt;=36,$AL$23,INDEX($C$23:$AL$23,MAX(1,ROUNDUP(AT686/'🎚️ Escenario'!$C$11,0)))))</f>
        <v>0</v>
      </c>
      <c r="AU687" s="236" t="n">
        <f aca="false" t="array" ref="AU687:AU687">IF(AU686=0,0,IF(AU686/'🎚️ Escenario'!$C$11&gt;=36,$AL$23,INDEX($C$23:$AL$23,MAX(1,ROUNDUP(AU686/'🎚️ Escenario'!$C$11,0)))))</f>
        <v>0</v>
      </c>
      <c r="AV687" s="236" t="n">
        <f aca="false" t="array" ref="AV687:AV687">IF(AV686=0,0,IF(AV686/'🎚️ Escenario'!$C$11&gt;=36,$AL$23,INDEX($C$23:$AL$23,MAX(1,ROUNDUP(AV686/'🎚️ Escenario'!$C$11,0)))))</f>
        <v>0</v>
      </c>
      <c r="AW687" s="236" t="n">
        <f aca="false" t="array" ref="AW687:AW687">IF(AW686=0,0,IF(AW686/'🎚️ Escenario'!$C$11&gt;=36,$AL$23,INDEX($C$23:$AL$23,MAX(1,ROUNDUP(AW686/'🎚️ Escenario'!$C$11,0)))))</f>
        <v>0</v>
      </c>
      <c r="AX687" s="236" t="n">
        <f aca="false" t="array" ref="AX687:AX687">IF(AX686=0,0,IF(AX686/'🎚️ Escenario'!$C$11&gt;=36,$AL$23,INDEX($C$23:$AL$23,MAX(1,ROUNDUP(AX686/'🎚️ Escenario'!$C$11,0)))))</f>
        <v>0</v>
      </c>
      <c r="AY687" s="236" t="n">
        <f aca="false" t="array" ref="AY687:AY687">IF(AY686=0,0,IF(AY686/'🎚️ Escenario'!$C$11&gt;=36,$AL$23,INDEX($C$23:$AL$23,MAX(1,ROUNDUP(AY686/'🎚️ Escenario'!$C$11,0)))))</f>
        <v>0</v>
      </c>
      <c r="AZ687" s="236" t="n">
        <f aca="false" t="array" ref="AZ687:AZ687">IF(AZ686=0,0,IF(AZ686/'🎚️ Escenario'!$C$11&gt;=36,$AL$23,INDEX($C$23:$AL$23,MAX(1,ROUNDUP(AZ686/'🎚️ Escenario'!$C$11,0)))))</f>
        <v>0</v>
      </c>
      <c r="BA687" s="236" t="n">
        <f aca="false" t="array" ref="BA687:BA687">IF(BA686=0,0,IF(BA686/'🎚️ Escenario'!$C$11&gt;=36,$AL$23,INDEX($C$23:$AL$23,MAX(1,ROUNDUP(BA686/'🎚️ Escenario'!$C$11,0)))))</f>
        <v>0</v>
      </c>
      <c r="BB687" s="236" t="n">
        <f aca="false" t="array" ref="BB687:BB687">IF(BB686=0,0,IF(BB686/'🎚️ Escenario'!$C$11&gt;=36,$AL$23,INDEX($C$23:$AL$23,MAX(1,ROUNDUP(BB686/'🎚️ Escenario'!$C$11,0)))))</f>
        <v>0</v>
      </c>
      <c r="BC687" s="236" t="n">
        <f aca="false" t="array" ref="BC687:BC687">IF(BC686=0,0,IF(BC686/'🎚️ Escenario'!$C$11&gt;=36,$AL$23,INDEX($C$23:$AL$23,MAX(1,ROUNDUP(BC686/'🎚️ Escenario'!$C$11,0)))))</f>
        <v>0</v>
      </c>
      <c r="BD687" s="236" t="n">
        <f aca="false" t="array" ref="BD687:BD687">IF(BD686=0,0,IF(BD686/'🎚️ Escenario'!$C$11&gt;=36,$AL$23,INDEX($C$23:$AL$23,MAX(1,ROUNDUP(BD686/'🎚️ Escenario'!$C$11,0)))))</f>
        <v>0</v>
      </c>
      <c r="BE687" s="236" t="n">
        <f aca="false" t="array" ref="BE687:BE687">IF(BE686=0,0,IF(BE686/'🎚️ Escenario'!$C$11&gt;=36,$AL$23,INDEX($C$23:$AL$23,MAX(1,ROUNDUP(BE686/'🎚️ Escenario'!$C$11,0)))))</f>
        <v>0</v>
      </c>
      <c r="BF687" s="236" t="n">
        <f aca="false" t="array" ref="BF687:BF687">IF(BF686=0,0,IF(BF686/'🎚️ Escenario'!$C$11&gt;=36,$AL$23,INDEX($C$23:$AL$23,MAX(1,ROUNDUP(BF686/'🎚️ Escenario'!$C$11,0)))))</f>
        <v>0</v>
      </c>
      <c r="BG687" s="236" t="n">
        <f aca="false" t="array" ref="BG687:BG687">IF(BG686=0,0,IF(BG686/'🎚️ Escenario'!$C$11&gt;=36,$AL$23,INDEX($C$23:$AL$23,MAX(1,ROUNDUP(BG686/'🎚️ Escenario'!$C$11,0)))))</f>
        <v>0</v>
      </c>
      <c r="BH687" s="236" t="n">
        <f aca="false" t="array" ref="BH687:BH687">IF(BH686=0,0,IF(BH686/'🎚️ Escenario'!$C$11&gt;=36,$AL$23,INDEX($C$23:$AL$23,MAX(1,ROUNDUP(BH686/'🎚️ Escenario'!$C$11,0)))))</f>
        <v>0</v>
      </c>
      <c r="BI687" s="236" t="n">
        <f aca="false" t="array" ref="BI687:BI687">IF(BI686=0,0,IF(BI686/'🎚️ Escenario'!$C$11&gt;=36,$AL$23,INDEX($C$23:$AL$23,MAX(1,ROUNDUP(BI686/'🎚️ Escenario'!$C$11,0)))))</f>
        <v>0</v>
      </c>
      <c r="BJ687" s="236" t="n">
        <f aca="false" t="array" ref="BJ687:BJ687">IF(BJ686=0,0,IF(BJ686/'🎚️ Escenario'!$C$11&gt;=36,$AL$23,INDEX($C$23:$AL$23,MAX(1,ROUNDUP(BJ686/'🎚️ Escenario'!$C$11,0)))))</f>
        <v>0</v>
      </c>
      <c r="BK687" s="236" t="n">
        <f aca="false" t="array" ref="BK687:BK687">IF(BK686=0,0,IF(BK686/'🎚️ Escenario'!$C$11&gt;=36,$AL$23,INDEX($C$23:$AL$23,MAX(1,ROUNDUP(BK686/'🎚️ Escenario'!$C$11,0)))))</f>
        <v>0</v>
      </c>
      <c r="BL687" s="236" t="n">
        <f aca="false" t="array" ref="BL687:BL687">IF(BL686=0,0,IF(BL686/'🎚️ Escenario'!$C$11&gt;=36,$AL$23,INDEX($C$23:$AL$23,MAX(1,ROUNDUP(BL686/'🎚️ Escenario'!$C$11,0)))))</f>
        <v>0</v>
      </c>
      <c r="BM687" s="236" t="n">
        <f aca="false" t="array" ref="BM687:BM687">IF(BM686=0,0,IF(BM686/'🎚️ Escenario'!$C$11&gt;=36,$AL$23,INDEX($C$23:$AL$23,MAX(1,ROUNDUP(BM686/'🎚️ Escenario'!$C$11,0)))))</f>
        <v>0</v>
      </c>
      <c r="BN687" s="236" t="n">
        <f aca="false" t="array" ref="BN687:BN687">IF(BN686=0,0,IF(BN686/'🎚️ Escenario'!$C$11&gt;=36,$AL$23,INDEX($C$23:$AL$23,MAX(1,ROUNDUP(BN686/'🎚️ Escenario'!$C$11,0)))))</f>
        <v>0</v>
      </c>
      <c r="BO687" s="236" t="n">
        <f aca="false" t="array" ref="BO687:BO687">IF(BO686=0,0,IF(BO686/'🎚️ Escenario'!$C$11&gt;=36,$AL$23,INDEX($C$23:$AL$23,MAX(1,ROUNDUP(BO686/'🎚️ Escenario'!$C$11,0)))))</f>
        <v>0</v>
      </c>
      <c r="BP687" s="236" t="n">
        <f aca="false" t="array" ref="BP687:BP687">IF(BP686=0,0,IF(BP686/'🎚️ Escenario'!$C$11&gt;=36,$AL$23,INDEX($C$23:$AL$23,MAX(1,ROUNDUP(BP686/'🎚️ Escenario'!$C$11,0)))))</f>
        <v>0</v>
      </c>
      <c r="BQ687" s="236" t="n">
        <f aca="false" t="array" ref="BQ687:BQ687">IF(BQ686=0,0,IF(BQ686/'🎚️ Escenario'!$C$11&gt;=36,$AL$23,INDEX($C$23:$AL$23,MAX(1,ROUNDUP(BQ686/'🎚️ Escenario'!$C$11,0)))))</f>
        <v>0</v>
      </c>
      <c r="BR687" s="236" t="n">
        <f aca="false" t="array" ref="BR687:BR687">IF(BR686=0,0,IF(BR686/'🎚️ Escenario'!$C$11&gt;=36,$AL$23,INDEX($C$23:$AL$23,MAX(1,ROUNDUP(BR686/'🎚️ Escenario'!$C$11,0)))))</f>
        <v>0</v>
      </c>
      <c r="BS687" s="236" t="n">
        <f aca="false" t="array" ref="BS687:BS687">IF(BS686=0,0,IF(BS686/'🎚️ Escenario'!$C$11&gt;=36,$AL$23,INDEX($C$23:$AL$23,MAX(1,ROUNDUP(BS686/'🎚️ Escenario'!$C$11,0)))))</f>
        <v>0</v>
      </c>
      <c r="BT687" s="236" t="n">
        <f aca="false" t="array" ref="BT687:BT687">IF(BT686=0,0,IF(BT686/'🎚️ Escenario'!$C$11&gt;=36,$AL$23,INDEX($C$23:$AL$23,MAX(1,ROUNDUP(BT686/'🎚️ Escenario'!$C$11,0)))))</f>
        <v>0</v>
      </c>
      <c r="BU687" s="236" t="n">
        <f aca="false" t="array" ref="BU687:BU687">IF(BU686=0,0,IF(BU686/'🎚️ Escenario'!$C$11&gt;=36,$AL$23,INDEX($C$23:$AL$23,MAX(1,ROUNDUP(BU686/'🎚️ Escenario'!$C$11,0)))))</f>
        <v>0</v>
      </c>
      <c r="BV687" s="236" t="n">
        <f aca="false" t="array" ref="BV687:BV687">IF(BV686=0,0,IF(BV686/'🎚️ Escenario'!$C$11&gt;=36,$AL$23,INDEX($C$23:$AL$23,MAX(1,ROUNDUP(BV686/'🎚️ Escenario'!$C$11,0)))))</f>
        <v>0</v>
      </c>
      <c r="BW687" s="236" t="n">
        <f aca="false" t="array" ref="BW687:BW687">IF(BW686=0,0,IF(BW686/'🎚️ Escenario'!$C$11&gt;=36,$AL$23,INDEX($C$23:$AL$23,MAX(1,ROUNDUP(BW686/'🎚️ Escenario'!$C$11,0)))))</f>
        <v>0</v>
      </c>
      <c r="BX687" s="236" t="n">
        <f aca="false" t="array" ref="BX687:BX687">IF(BX686=0,0,IF(BX686/'🎚️ Escenario'!$C$11&gt;=36,$AL$23,INDEX($C$23:$AL$23,MAX(1,ROUNDUP(BX686/'🎚️ Escenario'!$C$11,0)))))</f>
        <v>0</v>
      </c>
      <c r="BY687" s="236" t="n">
        <f aca="false" t="array" ref="BY687:BY687">IF(BY686=0,0,IF(BY686/'🎚️ Escenario'!$C$11&gt;=36,$AL$23,INDEX($C$23:$AL$23,MAX(1,ROUNDUP(BY686/'🎚️ Escenario'!$C$11,0)))))</f>
        <v>0</v>
      </c>
      <c r="BZ687" s="236" t="n">
        <f aca="false" t="array" ref="BZ687:BZ687">IF(BZ686=0,0,IF(BZ686/'🎚️ Escenario'!$C$11&gt;=36,$AL$23,INDEX($C$23:$AL$23,MAX(1,ROUNDUP(BZ686/'🎚️ Escenario'!$C$11,0)))))</f>
        <v>0</v>
      </c>
      <c r="CA687" s="236" t="n">
        <f aca="false" t="array" ref="CA687:CA687">IF(CA686=0,0,IF(CA686/'🎚️ Escenario'!$C$11&gt;=36,$AL$23,INDEX($C$23:$AL$23,MAX(1,ROUNDUP(CA686/'🎚️ Escenario'!$C$11,0)))))</f>
        <v>0</v>
      </c>
      <c r="CB687" s="236" t="n">
        <f aca="false" t="array" ref="CB687:CB687">IF(CB686=0,0,IF(CB686/'🎚️ Escenario'!$C$11&gt;=36,$AL$23,INDEX($C$23:$AL$23,MAX(1,ROUNDUP(CB686/'🎚️ Escenario'!$C$11,0)))))</f>
        <v>0</v>
      </c>
      <c r="CC687" s="236" t="n">
        <f aca="false" t="array" ref="CC687:CC687">IF(CC686=0,0,IF(CC686/'🎚️ Escenario'!$C$11&gt;=36,$AL$23,INDEX($C$23:$AL$23,MAX(1,ROUNDUP(CC686/'🎚️ Escenario'!$C$11,0)))))</f>
        <v>0</v>
      </c>
      <c r="CD687" s="236" t="n">
        <f aca="false" t="array" ref="CD687:CD687">IF(CD686=0,0,IF(CD686/'🎚️ Escenario'!$C$11&gt;=36,$AL$23,INDEX($C$23:$AL$23,MAX(1,ROUNDUP(CD686/'🎚️ Escenario'!$C$11,0)))))</f>
        <v>0</v>
      </c>
      <c r="CE687" s="236" t="n">
        <f aca="false" t="array" ref="CE687:CE687">IF(CE686=0,0,IF(CE686/'🎚️ Escenario'!$C$11&gt;=36,$AL$23,INDEX($C$23:$AL$23,MAX(1,ROUNDUP(CE686/'🎚️ Escenario'!$C$11,0)))))</f>
        <v>0</v>
      </c>
      <c r="CF687" s="236" t="n">
        <f aca="false" t="array" ref="CF687:CF687">IF(CF686=0,0,IF(CF686/'🎚️ Escenario'!$C$11&gt;=36,$AL$23,INDEX($C$23:$AL$23,MAX(1,ROUNDUP(CF686/'🎚️ Escenario'!$C$11,0)))))</f>
        <v>0</v>
      </c>
      <c r="CG687" s="236" t="n">
        <f aca="false" t="array" ref="CG687:CG687">IF(CG686=0,0,IF(CG686/'🎚️ Escenario'!$C$11&gt;=36,$AL$23,INDEX($C$23:$AL$23,MAX(1,ROUNDUP(CG686/'🎚️ Escenario'!$C$11,0)))))</f>
        <v>0</v>
      </c>
      <c r="CH687" s="236" t="n">
        <f aca="false" t="array" ref="CH687:CH687">IF(CH686=0,0,IF(CH686/'🎚️ Escenario'!$C$11&gt;=36,$AL$23,INDEX($C$23:$AL$23,MAX(1,ROUNDUP(CH686/'🎚️ Escenario'!$C$11,0)))))</f>
        <v>0</v>
      </c>
      <c r="CI687" s="236" t="n">
        <f aca="false" t="array" ref="CI687:CI687">IF(CI686=0,0,IF(CI686/'🎚️ Escenario'!$C$11&gt;=36,$AL$23,INDEX($C$23:$AL$23,MAX(1,ROUNDUP(CI686/'🎚️ Escenario'!$C$11,0)))))</f>
        <v>0</v>
      </c>
      <c r="CJ687" s="236" t="n">
        <f aca="false" t="array" ref="CJ687:CJ687">IF(CJ686=0,0,IF(CJ686/'🎚️ Escenario'!$C$11&gt;=36,$AL$23,INDEX($C$23:$AL$23,MAX(1,ROUNDUP(CJ686/'🎚️ Escenario'!$C$11,0)))))</f>
        <v>0</v>
      </c>
      <c r="CK687" s="236" t="n">
        <f aca="false" t="array" ref="CK687:CK687">IF(CK686=0,0,IF(CK686/'🎚️ Escenario'!$C$11&gt;=36,$AL$23,INDEX($C$23:$AL$23,MAX(1,ROUNDUP(CK686/'🎚️ Escenario'!$C$11,0)))))</f>
        <v>0</v>
      </c>
      <c r="CL687" s="236" t="n">
        <f aca="false" t="array" ref="CL687:CL687">IF(CL686=0,0,IF(CL686/'🎚️ Escenario'!$C$11&gt;=36,$AL$23,INDEX($C$23:$AL$23,MAX(1,ROUNDUP(CL686/'🎚️ Escenario'!$C$11,0)))))</f>
        <v>0</v>
      </c>
      <c r="CM687" s="236" t="n">
        <f aca="false" t="array" ref="CM687:CM687">IF(CM686=0,0,IF(CM686/'🎚️ Escenario'!$C$11&gt;=36,$AL$23,INDEX($C$23:$AL$23,MAX(1,ROUNDUP(CM686/'🎚️ Escenario'!$C$11,0)))))</f>
        <v>0</v>
      </c>
      <c r="CN687" s="236" t="n">
        <f aca="false" t="array" ref="CN687:CN687">IF(CN686=0,0,IF(CN686/'🎚️ Escenario'!$C$11&gt;=36,$AL$23,INDEX($C$23:$AL$23,MAX(1,ROUNDUP(CN686/'🎚️ Escenario'!$C$11,0)))))</f>
        <v>0</v>
      </c>
      <c r="CO687" s="236" t="n">
        <f aca="false" t="array" ref="CO687:CO687">IF(CO686=0,0,IF(CO686/'🎚️ Escenario'!$C$11&gt;=36,$AL$23,INDEX($C$23:$AL$23,MAX(1,ROUNDUP(CO686/'🎚️ Escenario'!$C$11,0)))))</f>
        <v>0</v>
      </c>
      <c r="CP687" s="236" t="n">
        <f aca="false" t="array" ref="CP687:CP687">IF(CP686=0,0,IF(CP686/'🎚️ Escenario'!$C$11&gt;=36,$AL$23,INDEX($C$23:$AL$23,MAX(1,ROUNDUP(CP686/'🎚️ Escenario'!$C$11,0)))))</f>
        <v>0</v>
      </c>
      <c r="CQ687" s="236" t="n">
        <f aca="false" t="array" ref="CQ687:CQ687">IF(CQ686=0,0,IF(CQ686/'🎚️ Escenario'!$C$11&gt;=36,$AL$23,INDEX($C$23:$AL$23,MAX(1,ROUNDUP(CQ686/'🎚️ Escenario'!$C$11,0)))))</f>
        <v>0</v>
      </c>
      <c r="CR687" s="236" t="n">
        <f aca="false" t="array" ref="CR687:CR687">IF(CR686=0,0,IF(CR686/'🎚️ Escenario'!$C$11&gt;=36,$AL$23,INDEX($C$23:$AL$23,MAX(1,ROUNDUP(CR686/'🎚️ Escenario'!$C$11,0)))))</f>
        <v>0</v>
      </c>
      <c r="CS687" s="236" t="n">
        <f aca="false" t="array" ref="CS687:CS687">IF(CS686=0,0,IF(CS686/'🎚️ Escenario'!$C$11&gt;=36,$AL$23,INDEX($C$23:$AL$23,MAX(1,ROUNDUP(CS686/'🎚️ Escenario'!$C$11,0)))))</f>
        <v>0</v>
      </c>
      <c r="CT687" s="236" t="n">
        <f aca="false" t="array" ref="CT687:CT687">IF(CT686=0,0,IF(CT686/'🎚️ Escenario'!$C$11&gt;=36,$AL$23,INDEX($C$23:$AL$23,MAX(1,ROUNDUP(CT686/'🎚️ Escenario'!$C$11,0)))))</f>
        <v>0</v>
      </c>
      <c r="CU687" s="236" t="n">
        <f aca="false" t="array" ref="CU687:CU687">IF(CU686=0,0,IF(CU686/'🎚️ Escenario'!$C$11&gt;=36,$AL$23,INDEX($C$23:$AL$23,MAX(1,ROUNDUP(CU686/'🎚️ Escenario'!$C$11,0)))))</f>
        <v>0</v>
      </c>
      <c r="CV687" s="236" t="n">
        <f aca="false" t="array" ref="CV687:CV687">IF(CV686=0,0,IF(CV686/'🎚️ Escenario'!$C$11&gt;=36,$AL$23,INDEX($C$23:$AL$23,MAX(1,ROUNDUP(CV686/'🎚️ Escenario'!$C$11,0)))))</f>
        <v>0</v>
      </c>
      <c r="CW687" s="236" t="n">
        <f aca="false" t="array" ref="CW687:CW687">IF(CW686=0,0,IF(CW686/'🎚️ Escenario'!$C$11&gt;=36,$AL$23,INDEX($C$23:$AL$23,MAX(1,ROUNDUP(CW686/'🎚️ Escenario'!$C$11,0)))))</f>
        <v>0.2</v>
      </c>
      <c r="CX687" s="236" t="n">
        <f aca="false" t="array" ref="CX687:CX687">IF(CX686=0,0,IF(CX686/'🎚️ Escenario'!$C$11&gt;=36,$AL$23,INDEX($C$23:$AL$23,MAX(1,ROUNDUP(CX686/'🎚️ Escenario'!$C$11,0)))))</f>
        <v>0.22</v>
      </c>
      <c r="CY687" s="236" t="n">
        <f aca="false" t="array" ref="CY687:CY687">IF(CY686=0,0,IF(CY686/'🎚️ Escenario'!$C$11&gt;=36,$AL$23,INDEX($C$23:$AL$23,MAX(1,ROUNDUP(CY686/'🎚️ Escenario'!$C$11,0)))))</f>
        <v>0.24</v>
      </c>
      <c r="CZ687" s="236" t="n">
        <f aca="false" t="array" ref="CZ687:CZ687">IF(CZ686=0,0,IF(CZ686/'🎚️ Escenario'!$C$11&gt;=36,$AL$23,INDEX($C$23:$AL$23,MAX(1,ROUNDUP(CZ686/'🎚️ Escenario'!$C$11,0)))))</f>
        <v>0.27</v>
      </c>
      <c r="DA687" s="236" t="n">
        <f aca="false" t="array" ref="DA687:DA687">IF(DA686=0,0,IF(DA686/'🎚️ Escenario'!$C$11&gt;=36,$AL$23,INDEX($C$23:$AL$23,MAX(1,ROUNDUP(DA686/'🎚️ Escenario'!$C$11,0)))))</f>
        <v>0.27</v>
      </c>
      <c r="DB687" s="236" t="n">
        <f aca="false" t="array" ref="DB687:DB687">IF(DB686=0,0,IF(DB686/'🎚️ Escenario'!$C$11&gt;=36,$AL$23,INDEX($C$23:$AL$23,MAX(1,ROUNDUP(DB686/'🎚️ Escenario'!$C$11,0)))))</f>
        <v>0.31</v>
      </c>
      <c r="DC687" s="236" t="n">
        <f aca="false" t="array" ref="DC687:DC687">IF(DC686=0,0,IF(DC686/'🎚️ Escenario'!$C$11&gt;=36,$AL$23,INDEX($C$23:$AL$23,MAX(1,ROUNDUP(DC686/'🎚️ Escenario'!$C$11,0)))))</f>
        <v>0.35</v>
      </c>
      <c r="DD687" s="236" t="n">
        <f aca="false" t="array" ref="DD687:DD687">IF(DD686=0,0,IF(DD686/'🎚️ Escenario'!$C$11&gt;=36,$AL$23,INDEX($C$23:$AL$23,MAX(1,ROUNDUP(DD686/'🎚️ Escenario'!$C$11,0)))))</f>
        <v>0.39</v>
      </c>
      <c r="DE687" s="236" t="n">
        <f aca="false" t="array" ref="DE687:DE687">IF(DE686=0,0,IF(DE686/'🎚️ Escenario'!$C$11&gt;=36,$AL$23,INDEX($C$23:$AL$23,MAX(1,ROUNDUP(DE686/'🎚️ Escenario'!$C$11,0)))))</f>
        <v>0.44</v>
      </c>
      <c r="DF687" s="236" t="n">
        <f aca="false" t="array" ref="DF687:DF687">IF(DF686=0,0,IF(DF686/'🎚️ Escenario'!$C$11&gt;=36,$AL$23,INDEX($C$23:$AL$23,MAX(1,ROUNDUP(DF686/'🎚️ Escenario'!$C$11,0)))))</f>
        <v>0.44</v>
      </c>
      <c r="DG687" s="236" t="n">
        <f aca="false" t="array" ref="DG687:DG687">IF(DG686=0,0,IF(DG686/'🎚️ Escenario'!$C$11&gt;=36,$AL$23,INDEX($C$23:$AL$23,MAX(1,ROUNDUP(DG686/'🎚️ Escenario'!$C$11,0)))))</f>
        <v>0.48</v>
      </c>
      <c r="DH687" s="236" t="n">
        <f aca="false" t="array" ref="DH687:DH687">IF(DH686=0,0,IF(DH686/'🎚️ Escenario'!$C$11&gt;=36,$AL$23,INDEX($C$23:$AL$23,MAX(1,ROUNDUP(DH686/'🎚️ Escenario'!$C$11,0)))))</f>
        <v>0.52</v>
      </c>
      <c r="DI687" s="236" t="n">
        <f aca="false" t="array" ref="DI687:DI687">IF(DI686=0,0,IF(DI686/'🎚️ Escenario'!$C$11&gt;=36,$AL$23,INDEX($C$23:$AL$23,MAX(1,ROUNDUP(DI686/'🎚️ Escenario'!$C$11,0)))))</f>
        <v>0.56</v>
      </c>
      <c r="DJ687" s="236" t="n">
        <f aca="false" t="array" ref="DJ687:DJ687">IF(DJ686=0,0,IF(DJ686/'🎚️ Escenario'!$C$11&gt;=36,$AL$23,INDEX($C$23:$AL$23,MAX(1,ROUNDUP(DJ686/'🎚️ Escenario'!$C$11,0)))))</f>
        <v>0.6</v>
      </c>
      <c r="DK687" s="236" t="n">
        <f aca="false" t="array" ref="DK687:DK687">IF(DK686=0,0,IF(DK686/'🎚️ Escenario'!$C$11&gt;=36,$AL$23,INDEX($C$23:$AL$23,MAX(1,ROUNDUP(DK686/'🎚️ Escenario'!$C$11,0)))))</f>
        <v>0.6</v>
      </c>
      <c r="DL687" s="236" t="n">
        <f aca="false" t="array" ref="DL687:DL687">IF(DL686=0,0,IF(DL686/'🎚️ Escenario'!$C$11&gt;=36,$AL$23,INDEX($C$23:$AL$23,MAX(1,ROUNDUP(DL686/'🎚️ Escenario'!$C$11,0)))))</f>
        <v>0.63</v>
      </c>
      <c r="DM687" s="236" t="n">
        <f aca="false" t="array" ref="DM687:DM687">IF(DM686=0,0,IF(DM686/'🎚️ Escenario'!$C$11&gt;=36,$AL$23,INDEX($C$23:$AL$23,MAX(1,ROUNDUP(DM686/'🎚️ Escenario'!$C$11,0)))))</f>
        <v>0.66</v>
      </c>
      <c r="DN687" s="236" t="n">
        <f aca="false" t="array" ref="DN687:DN687">IF(DN686=0,0,IF(DN686/'🎚️ Escenario'!$C$11&gt;=36,$AL$23,INDEX($C$23:$AL$23,MAX(1,ROUNDUP(DN686/'🎚️ Escenario'!$C$11,0)))))</f>
        <v>0.69</v>
      </c>
      <c r="DO687" s="236" t="n">
        <f aca="false" t="array" ref="DO687:DO687">IF(DO686=0,0,IF(DO686/'🎚️ Escenario'!$C$11&gt;=36,$AL$23,INDEX($C$23:$AL$23,MAX(1,ROUNDUP(DO686/'🎚️ Escenario'!$C$11,0)))))</f>
        <v>0.71</v>
      </c>
      <c r="DP687" s="236" t="n">
        <f aca="false" t="array" ref="DP687:DP687">IF(DP686=0,0,IF(DP686/'🎚️ Escenario'!$C$11&gt;=36,$AL$23,INDEX($C$23:$AL$23,MAX(1,ROUNDUP(DP686/'🎚️ Escenario'!$C$11,0)))))</f>
        <v>0.71</v>
      </c>
      <c r="DQ687" s="236" t="n">
        <f aca="false" t="array" ref="DQ687:DQ687">IF(DQ686=0,0,IF(DQ686/'🎚️ Escenario'!$C$11&gt;=36,$AL$23,INDEX($C$23:$AL$23,MAX(1,ROUNDUP(DQ686/'🎚️ Escenario'!$C$11,0)))))</f>
        <v>0.73</v>
      </c>
      <c r="DR687" s="236" t="n">
        <f aca="false" t="array" ref="DR687:DR687">IF(DR686=0,0,IF(DR686/'🎚️ Escenario'!$C$11&gt;=36,$AL$23,INDEX($C$23:$AL$23,MAX(1,ROUNDUP(DR686/'🎚️ Escenario'!$C$11,0)))))</f>
        <v>0.75</v>
      </c>
      <c r="DS687" s="236" t="n">
        <f aca="false" t="array" ref="DS687:DS687">IF(DS686=0,0,IF(DS686/'🎚️ Escenario'!$C$11&gt;=36,$AL$23,INDEX($C$23:$AL$23,MAX(1,ROUNDUP(DS686/'🎚️ Escenario'!$C$11,0)))))</f>
        <v>0.77</v>
      </c>
      <c r="DT687" s="236" t="n">
        <f aca="false" t="array" ref="DT687:DT687">IF(DT686=0,0,IF(DT686/'🎚️ Escenario'!$C$11&gt;=36,$AL$23,INDEX($C$23:$AL$23,MAX(1,ROUNDUP(DT686/'🎚️ Escenario'!$C$11,0)))))</f>
        <v>0.79</v>
      </c>
      <c r="DU687" s="236" t="n">
        <f aca="false" t="array" ref="DU687:DU687">IF(DU686=0,0,IF(DU686/'🎚️ Escenario'!$C$11&gt;=36,$AL$23,INDEX($C$23:$AL$23,MAX(1,ROUNDUP(DU686/'🎚️ Escenario'!$C$11,0)))))</f>
        <v>0.79</v>
      </c>
      <c r="DV687" s="236" t="n">
        <f aca="false" t="array" ref="DV687:DV687">IF(DV686=0,0,IF(DV686/'🎚️ Escenario'!$C$11&gt;=36,$AL$23,INDEX($C$23:$AL$23,MAX(1,ROUNDUP(DV686/'🎚️ Escenario'!$C$11,0)))))</f>
        <v>0.8</v>
      </c>
      <c r="DW687" s="236" t="n">
        <f aca="false" t="array" ref="DW687:DW687">IF(DW686=0,0,IF(DW686/'🎚️ Escenario'!$C$11&gt;=36,$AL$23,INDEX($C$23:$AL$23,MAX(1,ROUNDUP(DW686/'🎚️ Escenario'!$C$11,0)))))</f>
        <v>0.82</v>
      </c>
      <c r="DX687" s="236" t="n">
        <f aca="false" t="array" ref="DX687:DX687">IF(DX686=0,0,IF(DX686/'🎚️ Escenario'!$C$11&gt;=36,$AL$23,INDEX($C$23:$AL$23,MAX(1,ROUNDUP(DX686/'🎚️ Escenario'!$C$11,0)))))</f>
        <v>0.84</v>
      </c>
      <c r="DY687" s="236" t="n">
        <f aca="false" t="array" ref="DY687:DY687">IF(DY686=0,0,IF(DY686/'🎚️ Escenario'!$C$11&gt;=36,$AL$23,INDEX($C$23:$AL$23,MAX(1,ROUNDUP(DY686/'🎚️ Escenario'!$C$11,0)))))</f>
        <v>0.85</v>
      </c>
      <c r="DZ687" s="236" t="n">
        <f aca="false" t="array" ref="DZ687:DZ687">IF(DZ686=0,0,IF(DZ686/'🎚️ Escenario'!$C$11&gt;=36,$AL$23,INDEX($C$23:$AL$23,MAX(1,ROUNDUP(DZ686/'🎚️ Escenario'!$C$11,0)))))</f>
        <v>0.85</v>
      </c>
      <c r="EA687" s="236" t="n">
        <f aca="false" t="array" ref="EA687:EA687">IF(EA686=0,0,IF(EA686/'🎚️ Escenario'!$C$11&gt;=36,$AL$23,INDEX($C$23:$AL$23,MAX(1,ROUNDUP(EA686/'🎚️ Escenario'!$C$11,0)))))</f>
        <v>0.86</v>
      </c>
      <c r="EB687" s="236" t="n">
        <f aca="false" t="array" ref="EB687:EB687">IF(EB686=0,0,IF(EB686/'🎚️ Escenario'!$C$11&gt;=36,$AL$23,INDEX($C$23:$AL$23,MAX(1,ROUNDUP(EB686/'🎚️ Escenario'!$C$11,0)))))</f>
        <v>0.88</v>
      </c>
      <c r="EC687" s="236" t="n">
        <f aca="false" t="array" ref="EC687:EC687">IF(EC686=0,0,IF(EC686/'🎚️ Escenario'!$C$11&gt;=36,$AL$23,INDEX($C$23:$AL$23,MAX(1,ROUNDUP(EC686/'🎚️ Escenario'!$C$11,0)))))</f>
        <v>0.89</v>
      </c>
      <c r="ED687" s="236" t="n">
        <f aca="false" t="array" ref="ED687:ED687">IF(ED686=0,0,IF(ED686/'🎚️ Escenario'!$C$11&gt;=36,$AL$23,INDEX($C$23:$AL$23,MAX(1,ROUNDUP(ED686/'🎚️ Escenario'!$C$11,0)))))</f>
        <v>0.9</v>
      </c>
      <c r="EE687" s="236" t="n">
        <f aca="false" t="array" ref="EE687:EE687">IF(EE686=0,0,IF(EE686/'🎚️ Escenario'!$C$11&gt;=36,$AL$23,INDEX($C$23:$AL$23,MAX(1,ROUNDUP(EE686/'🎚️ Escenario'!$C$11,0)))))</f>
        <v>0.9</v>
      </c>
      <c r="EF687" s="236" t="n">
        <f aca="false" t="array" ref="EF687:EF687">IF(EF686=0,0,IF(EF686/'🎚️ Escenario'!$C$11&gt;=36,$AL$23,INDEX($C$23:$AL$23,MAX(1,ROUNDUP(EF686/'🎚️ Escenario'!$C$11,0)))))</f>
        <v>0.92</v>
      </c>
      <c r="EG687" s="236" t="n">
        <f aca="false" t="array" ref="EG687:EG687">IF(EG686=0,0,IF(EG686/'🎚️ Escenario'!$C$11&gt;=36,$AL$23,INDEX($C$23:$AL$23,MAX(1,ROUNDUP(EG686/'🎚️ Escenario'!$C$11,0)))))</f>
        <v>0.93</v>
      </c>
      <c r="EH687" s="236" t="n">
        <f aca="false" t="array" ref="EH687:EH687">IF(EH686=0,0,IF(EH686/'🎚️ Escenario'!$C$11&gt;=36,$AL$23,INDEX($C$23:$AL$23,MAX(1,ROUNDUP(EH686/'🎚️ Escenario'!$C$11,0)))))</f>
        <v>0.94</v>
      </c>
      <c r="EI687" s="236" t="n">
        <f aca="false" t="array" ref="EI687:EI687">IF(EI686=0,0,IF(EI686/'🎚️ Escenario'!$C$11&gt;=36,$AL$23,INDEX($C$23:$AL$23,MAX(1,ROUNDUP(EI686/'🎚️ Escenario'!$C$11,0)))))</f>
        <v>0.95</v>
      </c>
      <c r="EJ687" s="236" t="n">
        <f aca="false" t="array" ref="EJ687:EJ687">IF(EJ686=0,0,IF(EJ686/'🎚️ Escenario'!$C$11&gt;=36,$AL$23,INDEX($C$23:$AL$23,MAX(1,ROUNDUP(EJ686/'🎚️ Escenario'!$C$11,0)))))</f>
        <v>0.95</v>
      </c>
      <c r="EK687" s="236" t="n">
        <f aca="false" t="array" ref="EK687:EK687">IF(EK686=0,0,IF(EK686/'🎚️ Escenario'!$C$11&gt;=36,$AL$23,INDEX($C$23:$AL$23,MAX(1,ROUNDUP(EK686/'🎚️ Escenario'!$C$11,0)))))</f>
        <v>0.97</v>
      </c>
      <c r="EL687" s="236" t="n">
        <f aca="false" t="array" ref="EL687:EL687">IF(EL686=0,0,IF(EL686/'🎚️ Escenario'!$C$11&gt;=36,$AL$23,INDEX($C$23:$AL$23,MAX(1,ROUNDUP(EL686/'🎚️ Escenario'!$C$11,0)))))</f>
        <v>0.98</v>
      </c>
      <c r="EM687" s="236" t="n">
        <f aca="false" t="array" ref="EM687:EM687">IF(EM686=0,0,IF(EM686/'🎚️ Escenario'!$C$11&gt;=36,$AL$23,INDEX($C$23:$AL$23,MAX(1,ROUNDUP(EM686/'🎚️ Escenario'!$C$11,0)))))</f>
        <v>0.99</v>
      </c>
      <c r="EN687" s="236" t="n">
        <f aca="false" t="array" ref="EN687:EN687">IF(EN686=0,0,IF(EN686/'🎚️ Escenario'!$C$11&gt;=36,$AL$23,INDEX($C$23:$AL$23,MAX(1,ROUNDUP(EN686/'🎚️ Escenario'!$C$11,0)))))</f>
        <v>1</v>
      </c>
      <c r="EO687" s="236" t="n">
        <f aca="false" t="array" ref="EO687:EO687">IF(EO686=0,0,IF(EO686/'🎚️ Escenario'!$C$11&gt;=36,$AL$23,INDEX($C$23:$AL$23,MAX(1,ROUNDUP(EO686/'🎚️ Escenario'!$C$11,0)))))</f>
        <v>1</v>
      </c>
      <c r="EP687" s="236" t="n">
        <f aca="false" t="array" ref="EP687:EP687">IF(EP686=0,0,IF(EP686/'🎚️ Escenario'!$C$11&gt;=36,$AL$23,INDEX($C$23:$AL$23,MAX(1,ROUNDUP(EP686/'🎚️ Escenario'!$C$11,0)))))</f>
        <v>1</v>
      </c>
      <c r="EQ687" s="236" t="n">
        <f aca="false" t="array" ref="EQ687:EQ687">IF(EQ686=0,0,IF(EQ686/'🎚️ Escenario'!$C$11&gt;=36,$AL$23,INDEX($C$23:$AL$23,MAX(1,ROUNDUP(EQ686/'🎚️ Escenario'!$C$11,0)))))</f>
        <v>1</v>
      </c>
      <c r="ER687" s="236" t="n">
        <f aca="false" t="array" ref="ER687:ER687">IF(ER686=0,0,IF(ER686/'🎚️ Escenario'!$C$11&gt;=36,$AL$23,INDEX($C$23:$AL$23,MAX(1,ROUNDUP(ER686/'🎚️ Escenario'!$C$11,0)))))</f>
        <v>1</v>
      </c>
      <c r="ES687" s="9" t="n">
        <f aca="false" t="array" ref="ES687:ES687">IF(ES686=0,0,IF(ES686/'🎚️ Escenario'!$C$11&gt;=36,$AL$23,INDEX($C$23:$AL$23,MAX(1,ROUNDUP(ES686/'🎚️ Escenario'!$C$11,0)))))</f>
        <v>1</v>
      </c>
      <c r="ET687" s="9" t="n">
        <f aca="false" t="array" ref="ET687:ET687">IF(ET686=0,0,IF(ET686/'🎚️ Escenario'!$C$11&gt;=36,$AL$23,INDEX($C$23:$AL$23,MAX(1,ROUNDUP(ET686/'🎚️ Escenario'!$C$11,0)))))</f>
        <v>1</v>
      </c>
      <c r="EU687" s="9" t="n">
        <f aca="false" t="array" ref="EU687:EU687">IF(EU686=0,0,IF(EU686/'🎚️ Escenario'!$C$11&gt;=36,$AL$23,INDEX($C$23:$AL$23,MAX(1,ROUNDUP(EU686/'🎚️ Escenario'!$C$11,0)))))</f>
        <v>1</v>
      </c>
      <c r="EV687" s="9" t="n">
        <f aca="false" t="array" ref="EV687:EV687">IF(EV686=0,0,IF(EV686/'🎚️ Escenario'!$C$11&gt;=36,$AL$23,INDEX($C$23:$AL$23,MAX(1,ROUNDUP(EV686/'🎚️ Escenario'!$C$11,0)))))</f>
        <v>1</v>
      </c>
      <c r="EW687" s="9" t="n">
        <f aca="false" t="array" ref="EW687:EW687">IF(EW686=0,0,IF(EW686/'🎚️ Escenario'!$C$11&gt;=36,$AL$23,INDEX($C$23:$AL$23,MAX(1,ROUNDUP(EW686/'🎚️ Escenario'!$C$11,0)))))</f>
        <v>1</v>
      </c>
      <c r="EX687" s="9" t="n">
        <f aca="false" t="array" ref="EX687:EX687">IF(EX686=0,0,IF(EX686/'🎚️ Escenario'!$C$11&gt;=36,$AL$23,INDEX($C$23:$AL$23,MAX(1,ROUNDUP(EX686/'🎚️ Escenario'!$C$11,0)))))</f>
        <v>1</v>
      </c>
      <c r="EY687" s="9" t="n">
        <f aca="false" t="array" ref="EY687:EY687">IF(EY686=0,0,IF(EY686/'🎚️ Escenario'!$C$11&gt;=36,$AL$23,INDEX($C$23:$AL$23,MAX(1,ROUNDUP(EY686/'🎚️ Escenario'!$C$11,0)))))</f>
        <v>1</v>
      </c>
      <c r="EZ687" s="9" t="n">
        <f aca="false" t="array" ref="EZ687:EZ687">IF(EZ686=0,0,IF(EZ686/'🎚️ Escenario'!$C$11&gt;=36,$AL$23,INDEX($C$23:$AL$23,MAX(1,ROUNDUP(EZ686/'🎚️ Escenario'!$C$11,0)))))</f>
        <v>1</v>
      </c>
      <c r="FA687" s="9" t="n">
        <f aca="false" t="array" ref="FA687:FA687">IF(FA686=0,0,IF(FA686/'🎚️ Escenario'!$C$11&gt;=36,$AL$23,INDEX($C$23:$AL$23,MAX(1,ROUNDUP(FA686/'🎚️ Escenario'!$C$11,0)))))</f>
        <v>1</v>
      </c>
      <c r="FB687" s="9" t="n">
        <f aca="false" t="array" ref="FB687:FB687">IF(FB686=0,0,IF(FB686/'🎚️ Escenario'!$C$11&gt;=36,$AL$23,INDEX($C$23:$AL$23,MAX(1,ROUNDUP(FB686/'🎚️ Escenario'!$C$11,0)))))</f>
        <v>1</v>
      </c>
      <c r="FC687" s="9" t="n">
        <f aca="false" t="array" ref="FC687:FC687">IF(FC686=0,0,IF(FC686/'🎚️ Escenario'!$C$11&gt;=36,$AL$23,INDEX($C$23:$AL$23,MAX(1,ROUNDUP(FC686/'🎚️ Escenario'!$C$11,0)))))</f>
        <v>1</v>
      </c>
      <c r="FD687" s="9" t="n">
        <f aca="false" t="array" ref="FD687:FD687">IF(FD686=0,0,IF(FD686/'🎚️ Escenario'!$C$11&gt;=36,$AL$23,INDEX($C$23:$AL$23,MAX(1,ROUNDUP(FD686/'🎚️ Escenario'!$C$11,0)))))</f>
        <v>1</v>
      </c>
      <c r="FE687" s="9" t="n">
        <f aca="false" t="array" ref="FE687:FE687">IF(FE686=0,0,IF(FE686/'🎚️ Escenario'!$C$11&gt;=36,$AL$23,INDEX($C$23:$AL$23,MAX(1,ROUNDUP(FE686/'🎚️ Escenario'!$C$11,0)))))</f>
        <v>1</v>
      </c>
      <c r="FF687" s="9" t="n">
        <f aca="false" t="array" ref="FF687:FF687">IF(FF686=0,0,IF(FF686/'🎚️ Escenario'!$C$11&gt;=36,$AL$23,INDEX($C$23:$AL$23,MAX(1,ROUNDUP(FF686/'🎚️ Escenario'!$C$11,0)))))</f>
        <v>1</v>
      </c>
      <c r="FG687" s="9" t="n">
        <f aca="false" t="array" ref="FG687:FG687">IF(FG686=0,0,IF(FG686/'🎚️ Escenario'!$C$11&gt;=36,$AL$23,INDEX($C$23:$AL$23,MAX(1,ROUNDUP(FG686/'🎚️ Escenario'!$C$11,0)))))</f>
        <v>1</v>
      </c>
      <c r="FH687" s="9" t="n">
        <f aca="false" t="array" ref="FH687:FH687">IF(FH686=0,0,IF(FH686/'🎚️ Escenario'!$C$11&gt;=36,$AL$23,INDEX($C$23:$AL$23,MAX(1,ROUNDUP(FH686/'🎚️ Escenario'!$C$11,0)))))</f>
        <v>1</v>
      </c>
      <c r="FI687" s="9" t="n">
        <f aca="false" t="array" ref="FI687:FI687">IF(FI686=0,0,IF(FI686/'🎚️ Escenario'!$C$11&gt;=36,$AL$23,INDEX($C$23:$AL$23,MAX(1,ROUNDUP(FI686/'🎚️ Escenario'!$C$11,0)))))</f>
        <v>1</v>
      </c>
      <c r="FJ687" s="9" t="n">
        <f aca="false" t="array" ref="FJ687:FJ687">IF(FJ686=0,0,IF(FJ686/'🎚️ Escenario'!$C$11&gt;=36,$AL$23,INDEX($C$23:$AL$23,MAX(1,ROUNDUP(FJ686/'🎚️ Escenario'!$C$11,0)))))</f>
        <v>1</v>
      </c>
      <c r="FK687" s="9" t="n">
        <f aca="false" t="array" ref="FK687:FK687">IF(FK686=0,0,IF(FK686/'🎚️ Escenario'!$C$11&gt;=36,$AL$23,INDEX($C$23:$AL$23,MAX(1,ROUNDUP(FK686/'🎚️ Escenario'!$C$11,0)))))</f>
        <v>1</v>
      </c>
      <c r="FL687" s="9" t="n">
        <f aca="false" t="array" ref="FL687:FL687">IF(FL686=0,0,IF(FL686/'🎚️ Escenario'!$C$11&gt;=36,$AL$23,INDEX($C$23:$AL$23,MAX(1,ROUNDUP(FL686/'🎚️ Escenario'!$C$11,0)))))</f>
        <v>1</v>
      </c>
      <c r="FM687" s="9" t="n">
        <f aca="false" t="array" ref="FM687:FM687">IF(FM686=0,0,IF(FM686/'🎚️ Escenario'!$C$11&gt;=36,$AL$23,INDEX($C$23:$AL$23,MAX(1,ROUNDUP(FM686/'🎚️ Escenario'!$C$11,0)))))</f>
        <v>1</v>
      </c>
      <c r="FN687" s="9" t="n">
        <f aca="false" t="array" ref="FN687:FN687">IF(FN686=0,0,IF(FN686/'🎚️ Escenario'!$C$11&gt;=36,$AL$23,INDEX($C$23:$AL$23,MAX(1,ROUNDUP(FN686/'🎚️ Escenario'!$C$11,0)))))</f>
        <v>1</v>
      </c>
      <c r="FO687" s="9" t="n">
        <f aca="false" t="array" ref="FO687:FO687">IF(FO686=0,0,IF(FO686/'🎚️ Escenario'!$C$11&gt;=36,$AL$23,INDEX($C$23:$AL$23,MAX(1,ROUNDUP(FO686/'🎚️ Escenario'!$C$11,0)))))</f>
        <v>1</v>
      </c>
      <c r="FP687" s="9" t="n">
        <f aca="false" t="array" ref="FP687:FP687">IF(FP686=0,0,IF(FP686/'🎚️ Escenario'!$C$11&gt;=36,$AL$23,INDEX($C$23:$AL$23,MAX(1,ROUNDUP(FP686/'🎚️ Escenario'!$C$11,0)))))</f>
        <v>1</v>
      </c>
    </row>
    <row r="688" customFormat="false" ht="15" hidden="false" customHeight="false" outlineLevel="2" collapsed="false">
      <c r="B688" s="9" t="s">
        <v>875</v>
      </c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237" t="n">
        <f aca="false">IF(AC686=0,0,IF(AC686&lt;=12*'🎚️ Escenario'!$C$11,1,1+$C$6))</f>
        <v>0</v>
      </c>
      <c r="AD688" s="237" t="n">
        <f aca="false">IF(AD686=0,0,IF(AD686&lt;=12*'🎚️ Escenario'!$C$11,1,1+$C$6))</f>
        <v>0</v>
      </c>
      <c r="AE688" s="237" t="n">
        <f aca="false">IF(AE686=0,0,IF(AE686&lt;=12*'🎚️ Escenario'!$C$11,1,1+$C$6))</f>
        <v>0</v>
      </c>
      <c r="AF688" s="237" t="n">
        <f aca="false">IF(AF686=0,0,IF(AF686&lt;=12*'🎚️ Escenario'!$C$11,1,1+$C$6))</f>
        <v>0</v>
      </c>
      <c r="AG688" s="237" t="n">
        <f aca="false">IF(AG686=0,0,IF(AG686&lt;=12*'🎚️ Escenario'!$C$11,1,1+$C$6))</f>
        <v>0</v>
      </c>
      <c r="AH688" s="237" t="n">
        <f aca="false">IF(AH686=0,0,IF(AH686&lt;=12*'🎚️ Escenario'!$C$11,1,1+$C$6))</f>
        <v>0</v>
      </c>
      <c r="AI688" s="237" t="n">
        <f aca="false">IF(AI686=0,0,IF(AI686&lt;=12*'🎚️ Escenario'!$C$11,1,1+$C$6))</f>
        <v>0</v>
      </c>
      <c r="AJ688" s="237" t="n">
        <f aca="false">IF(AJ686=0,0,IF(AJ686&lt;=12*'🎚️ Escenario'!$C$11,1,1+$C$6))</f>
        <v>0</v>
      </c>
      <c r="AK688" s="237" t="n">
        <f aca="false">IF(AK686=0,0,IF(AK686&lt;=12*'🎚️ Escenario'!$C$11,1,1+$C$6))</f>
        <v>0</v>
      </c>
      <c r="AL688" s="237" t="n">
        <f aca="false">IF(AL686=0,0,IF(AL686&lt;=12*'🎚️ Escenario'!$C$11,1,1+$C$6))</f>
        <v>0</v>
      </c>
      <c r="AM688" s="237" t="n">
        <f aca="false">IF(AM686=0,0,IF(AM686&lt;=12*'🎚️ Escenario'!$C$11,1,1+$C$6))</f>
        <v>0</v>
      </c>
      <c r="AN688" s="237" t="n">
        <f aca="false">IF(AN686=0,0,IF(AN686&lt;=12*'🎚️ Escenario'!$C$11,1,1+$C$6))</f>
        <v>0</v>
      </c>
      <c r="AO688" s="237" t="n">
        <f aca="false">IF(AO686=0,0,IF(AO686&lt;=12*'🎚️ Escenario'!$C$11,1,1+$C$6))</f>
        <v>0</v>
      </c>
      <c r="AP688" s="237" t="n">
        <f aca="false">IF(AP686=0,0,IF(AP686&lt;=12*'🎚️ Escenario'!$C$11,1,1+$C$6))</f>
        <v>0</v>
      </c>
      <c r="AQ688" s="237" t="n">
        <f aca="false">IF(AQ686=0,0,IF(AQ686&lt;=12*'🎚️ Escenario'!$C$11,1,1+$C$6))</f>
        <v>0</v>
      </c>
      <c r="AR688" s="237" t="n">
        <f aca="false">IF(AR686=0,0,IF(AR686&lt;=12*'🎚️ Escenario'!$C$11,1,1+$C$6))</f>
        <v>0</v>
      </c>
      <c r="AS688" s="237" t="n">
        <f aca="false">IF(AS686=0,0,IF(AS686&lt;=12*'🎚️ Escenario'!$C$11,1,1+$C$6))</f>
        <v>0</v>
      </c>
      <c r="AT688" s="237" t="n">
        <f aca="false">IF(AT686=0,0,IF(AT686&lt;=12*'🎚️ Escenario'!$C$11,1,1+$C$6))</f>
        <v>0</v>
      </c>
      <c r="AU688" s="237" t="n">
        <f aca="false">IF(AU686=0,0,IF(AU686&lt;=12*'🎚️ Escenario'!$C$11,1,1+$C$6))</f>
        <v>0</v>
      </c>
      <c r="AV688" s="237" t="n">
        <f aca="false">IF(AV686=0,0,IF(AV686&lt;=12*'🎚️ Escenario'!$C$11,1,1+$C$6))</f>
        <v>0</v>
      </c>
      <c r="AW688" s="237" t="n">
        <f aca="false">IF(AW686=0,0,IF(AW686&lt;=12*'🎚️ Escenario'!$C$11,1,1+$C$6))</f>
        <v>0</v>
      </c>
      <c r="AX688" s="237" t="n">
        <f aca="false">IF(AX686=0,0,IF(AX686&lt;=12*'🎚️ Escenario'!$C$11,1,1+$C$6))</f>
        <v>0</v>
      </c>
      <c r="AY688" s="237" t="n">
        <f aca="false">IF(AY686=0,0,IF(AY686&lt;=12*'🎚️ Escenario'!$C$11,1,1+$C$6))</f>
        <v>0</v>
      </c>
      <c r="AZ688" s="237" t="n">
        <f aca="false">IF(AZ686=0,0,IF(AZ686&lt;=12*'🎚️ Escenario'!$C$11,1,1+$C$6))</f>
        <v>0</v>
      </c>
      <c r="BA688" s="237" t="n">
        <f aca="false">IF(BA686=0,0,IF(BA686&lt;=12*'🎚️ Escenario'!$C$11,1,1+$C$6))</f>
        <v>0</v>
      </c>
      <c r="BB688" s="237" t="n">
        <f aca="false">IF(BB686=0,0,IF(BB686&lt;=12*'🎚️ Escenario'!$C$11,1,1+$C$6))</f>
        <v>0</v>
      </c>
      <c r="BC688" s="237" t="n">
        <f aca="false">IF(BC686=0,0,IF(BC686&lt;=12*'🎚️ Escenario'!$C$11,1,1+$C$6))</f>
        <v>0</v>
      </c>
      <c r="BD688" s="237" t="n">
        <f aca="false">IF(BD686=0,0,IF(BD686&lt;=12*'🎚️ Escenario'!$C$11,1,1+$C$6))</f>
        <v>0</v>
      </c>
      <c r="BE688" s="237" t="n">
        <f aca="false">IF(BE686=0,0,IF(BE686&lt;=12*'🎚️ Escenario'!$C$11,1,1+$C$6))</f>
        <v>0</v>
      </c>
      <c r="BF688" s="237" t="n">
        <f aca="false">IF(BF686=0,0,IF(BF686&lt;=12*'🎚️ Escenario'!$C$11,1,1+$C$6))</f>
        <v>0</v>
      </c>
      <c r="BG688" s="237" t="n">
        <f aca="false">IF(BG686=0,0,IF(BG686&lt;=12*'🎚️ Escenario'!$C$11,1,1+$C$6))</f>
        <v>0</v>
      </c>
      <c r="BH688" s="237" t="n">
        <f aca="false">IF(BH686=0,0,IF(BH686&lt;=12*'🎚️ Escenario'!$C$11,1,1+$C$6))</f>
        <v>0</v>
      </c>
      <c r="BI688" s="237" t="n">
        <f aca="false">IF(BI686=0,0,IF(BI686&lt;=12*'🎚️ Escenario'!$C$11,1,1+$C$6))</f>
        <v>0</v>
      </c>
      <c r="BJ688" s="237" t="n">
        <f aca="false">IF(BJ686=0,0,IF(BJ686&lt;=12*'🎚️ Escenario'!$C$11,1,1+$C$6))</f>
        <v>0</v>
      </c>
      <c r="BK688" s="237" t="n">
        <f aca="false">IF(BK686=0,0,IF(BK686&lt;=12*'🎚️ Escenario'!$C$11,1,1+$C$6))</f>
        <v>0</v>
      </c>
      <c r="BL688" s="237" t="n">
        <f aca="false">IF(BL686=0,0,IF(BL686&lt;=12*'🎚️ Escenario'!$C$11,1,1+$C$6))</f>
        <v>0</v>
      </c>
      <c r="BM688" s="237" t="n">
        <f aca="false">IF(BM686=0,0,IF(BM686&lt;=12*'🎚️ Escenario'!$C$11,1,1+$C$6))</f>
        <v>0</v>
      </c>
      <c r="BN688" s="237" t="n">
        <f aca="false">IF(BN686=0,0,IF(BN686&lt;=12*'🎚️ Escenario'!$C$11,1,1+$C$6))</f>
        <v>0</v>
      </c>
      <c r="BO688" s="237" t="n">
        <f aca="false">IF(BO686=0,0,IF(BO686&lt;=12*'🎚️ Escenario'!$C$11,1,1+$C$6))</f>
        <v>0</v>
      </c>
      <c r="BP688" s="237" t="n">
        <f aca="false">IF(BP686=0,0,IF(BP686&lt;=12*'🎚️ Escenario'!$C$11,1,1+$C$6))</f>
        <v>0</v>
      </c>
      <c r="BQ688" s="237" t="n">
        <f aca="false">IF(BQ686=0,0,IF(BQ686&lt;=12*'🎚️ Escenario'!$C$11,1,1+$C$6))</f>
        <v>0</v>
      </c>
      <c r="BR688" s="237" t="n">
        <f aca="false">IF(BR686=0,0,IF(BR686&lt;=12*'🎚️ Escenario'!$C$11,1,1+$C$6))</f>
        <v>0</v>
      </c>
      <c r="BS688" s="237" t="n">
        <f aca="false">IF(BS686=0,0,IF(BS686&lt;=12*'🎚️ Escenario'!$C$11,1,1+$C$6))</f>
        <v>0</v>
      </c>
      <c r="BT688" s="237" t="n">
        <f aca="false">IF(BT686=0,0,IF(BT686&lt;=12*'🎚️ Escenario'!$C$11,1,1+$C$6))</f>
        <v>0</v>
      </c>
      <c r="BU688" s="237" t="n">
        <f aca="false">IF(BU686=0,0,IF(BU686&lt;=12*'🎚️ Escenario'!$C$11,1,1+$C$6))</f>
        <v>0</v>
      </c>
      <c r="BV688" s="237" t="n">
        <f aca="false">IF(BV686=0,0,IF(BV686&lt;=12*'🎚️ Escenario'!$C$11,1,1+$C$6))</f>
        <v>0</v>
      </c>
      <c r="BW688" s="237" t="n">
        <f aca="false">IF(BW686=0,0,IF(BW686&lt;=12*'🎚️ Escenario'!$C$11,1,1+$C$6))</f>
        <v>0</v>
      </c>
      <c r="BX688" s="237" t="n">
        <f aca="false">IF(BX686=0,0,IF(BX686&lt;=12*'🎚️ Escenario'!$C$11,1,1+$C$6))</f>
        <v>0</v>
      </c>
      <c r="BY688" s="237" t="n">
        <f aca="false">IF(BY686=0,0,IF(BY686&lt;=12*'🎚️ Escenario'!$C$11,1,1+$C$6))</f>
        <v>0</v>
      </c>
      <c r="BZ688" s="237" t="n">
        <f aca="false">IF(BZ686=0,0,IF(BZ686&lt;=12*'🎚️ Escenario'!$C$11,1,1+$C$6))</f>
        <v>0</v>
      </c>
      <c r="CA688" s="237" t="n">
        <f aca="false">IF(CA686=0,0,IF(CA686&lt;=12*'🎚️ Escenario'!$C$11,1,1+$C$6))</f>
        <v>0</v>
      </c>
      <c r="CB688" s="237" t="n">
        <f aca="false">IF(CB686=0,0,IF(CB686&lt;=12*'🎚️ Escenario'!$C$11,1,1+$C$6))</f>
        <v>0</v>
      </c>
      <c r="CC688" s="237" t="n">
        <f aca="false">IF(CC686=0,0,IF(CC686&lt;=12*'🎚️ Escenario'!$C$11,1,1+$C$6))</f>
        <v>0</v>
      </c>
      <c r="CD688" s="237" t="n">
        <f aca="false">IF(CD686=0,0,IF(CD686&lt;=12*'🎚️ Escenario'!$C$11,1,1+$C$6))</f>
        <v>0</v>
      </c>
      <c r="CE688" s="237" t="n">
        <f aca="false">IF(CE686=0,0,IF(CE686&lt;=12*'🎚️ Escenario'!$C$11,1,1+$C$6))</f>
        <v>0</v>
      </c>
      <c r="CF688" s="237" t="n">
        <f aca="false">IF(CF686=0,0,IF(CF686&lt;=12*'🎚️ Escenario'!$C$11,1,1+$C$6))</f>
        <v>0</v>
      </c>
      <c r="CG688" s="237" t="n">
        <f aca="false">IF(CG686=0,0,IF(CG686&lt;=12*'🎚️ Escenario'!$C$11,1,1+$C$6))</f>
        <v>0</v>
      </c>
      <c r="CH688" s="237" t="n">
        <f aca="false">IF(CH686=0,0,IF(CH686&lt;=12*'🎚️ Escenario'!$C$11,1,1+$C$6))</f>
        <v>0</v>
      </c>
      <c r="CI688" s="237" t="n">
        <f aca="false">IF(CI686=0,0,IF(CI686&lt;=12*'🎚️ Escenario'!$C$11,1,1+$C$6))</f>
        <v>0</v>
      </c>
      <c r="CJ688" s="237" t="n">
        <f aca="false">IF(CJ686=0,0,IF(CJ686&lt;=12*'🎚️ Escenario'!$C$11,1,1+$C$6))</f>
        <v>0</v>
      </c>
      <c r="CK688" s="237" t="n">
        <f aca="false">IF(CK686=0,0,IF(CK686&lt;=12*'🎚️ Escenario'!$C$11,1,1+$C$6))</f>
        <v>0</v>
      </c>
      <c r="CL688" s="237" t="n">
        <f aca="false">IF(CL686=0,0,IF(CL686&lt;=12*'🎚️ Escenario'!$C$11,1,1+$C$6))</f>
        <v>0</v>
      </c>
      <c r="CM688" s="237" t="n">
        <f aca="false">IF(CM686=0,0,IF(CM686&lt;=12*'🎚️ Escenario'!$C$11,1,1+$C$6))</f>
        <v>0</v>
      </c>
      <c r="CN688" s="237" t="n">
        <f aca="false">IF(CN686=0,0,IF(CN686&lt;=12*'🎚️ Escenario'!$C$11,1,1+$C$6))</f>
        <v>0</v>
      </c>
      <c r="CO688" s="237" t="n">
        <f aca="false">IF(CO686=0,0,IF(CO686&lt;=12*'🎚️ Escenario'!$C$11,1,1+$C$6))</f>
        <v>0</v>
      </c>
      <c r="CP688" s="237" t="n">
        <f aca="false">IF(CP686=0,0,IF(CP686&lt;=12*'🎚️ Escenario'!$C$11,1,1+$C$6))</f>
        <v>0</v>
      </c>
      <c r="CQ688" s="237" t="n">
        <f aca="false">IF(CQ686=0,0,IF(CQ686&lt;=12*'🎚️ Escenario'!$C$11,1,1+$C$6))</f>
        <v>0</v>
      </c>
      <c r="CR688" s="237" t="n">
        <f aca="false">IF(CR686=0,0,IF(CR686&lt;=12*'🎚️ Escenario'!$C$11,1,1+$C$6))</f>
        <v>0</v>
      </c>
      <c r="CS688" s="237" t="n">
        <f aca="false">IF(CS686=0,0,IF(CS686&lt;=12*'🎚️ Escenario'!$C$11,1,1+$C$6))</f>
        <v>0</v>
      </c>
      <c r="CT688" s="237" t="n">
        <f aca="false">IF(CT686=0,0,IF(CT686&lt;=12*'🎚️ Escenario'!$C$11,1,1+$C$6))</f>
        <v>0</v>
      </c>
      <c r="CU688" s="237" t="n">
        <f aca="false">IF(CU686=0,0,IF(CU686&lt;=12*'🎚️ Escenario'!$C$11,1,1+$C$6))</f>
        <v>0</v>
      </c>
      <c r="CV688" s="237" t="n">
        <f aca="false">IF(CV686=0,0,IF(CV686&lt;=12*'🎚️ Escenario'!$C$11,1,1+$C$6))</f>
        <v>0</v>
      </c>
      <c r="CW688" s="237" t="n">
        <f aca="false">IF(CW686=0,0,IF(CW686&lt;=12*'🎚️ Escenario'!$C$11,1,1+$C$6))</f>
        <v>1</v>
      </c>
      <c r="CX688" s="237" t="n">
        <f aca="false">IF(CX686=0,0,IF(CX686&lt;=12*'🎚️ Escenario'!$C$11,1,1+$C$6))</f>
        <v>1</v>
      </c>
      <c r="CY688" s="237" t="n">
        <f aca="false">IF(CY686=0,0,IF(CY686&lt;=12*'🎚️ Escenario'!$C$11,1,1+$C$6))</f>
        <v>1</v>
      </c>
      <c r="CZ688" s="237" t="n">
        <f aca="false">IF(CZ686=0,0,IF(CZ686&lt;=12*'🎚️ Escenario'!$C$11,1,1+$C$6))</f>
        <v>1</v>
      </c>
      <c r="DA688" s="237" t="n">
        <f aca="false">IF(DA686=0,0,IF(DA686&lt;=12*'🎚️ Escenario'!$C$11,1,1+$C$6))</f>
        <v>1</v>
      </c>
      <c r="DB688" s="237" t="n">
        <f aca="false">IF(DB686=0,0,IF(DB686&lt;=12*'🎚️ Escenario'!$C$11,1,1+$C$6))</f>
        <v>1</v>
      </c>
      <c r="DC688" s="237" t="n">
        <f aca="false">IF(DC686=0,0,IF(DC686&lt;=12*'🎚️ Escenario'!$C$11,1,1+$C$6))</f>
        <v>1</v>
      </c>
      <c r="DD688" s="237" t="n">
        <f aca="false">IF(DD686=0,0,IF(DD686&lt;=12*'🎚️ Escenario'!$C$11,1,1+$C$6))</f>
        <v>1</v>
      </c>
      <c r="DE688" s="237" t="n">
        <f aca="false">IF(DE686=0,0,IF(DE686&lt;=12*'🎚️ Escenario'!$C$11,1,1+$C$6))</f>
        <v>1</v>
      </c>
      <c r="DF688" s="237" t="n">
        <f aca="false">IF(DF686=0,0,IF(DF686&lt;=12*'🎚️ Escenario'!$C$11,1,1+$C$6))</f>
        <v>1</v>
      </c>
      <c r="DG688" s="237" t="n">
        <f aca="false">IF(DG686=0,0,IF(DG686&lt;=12*'🎚️ Escenario'!$C$11,1,1+$C$6))</f>
        <v>1</v>
      </c>
      <c r="DH688" s="237" t="n">
        <f aca="false">IF(DH686=0,0,IF(DH686&lt;=12*'🎚️ Escenario'!$C$11,1,1+$C$6))</f>
        <v>1</v>
      </c>
      <c r="DI688" s="237" t="n">
        <f aca="false">IF(DI686=0,0,IF(DI686&lt;=12*'🎚️ Escenario'!$C$11,1,1+$C$6))</f>
        <v>1</v>
      </c>
      <c r="DJ688" s="237" t="n">
        <f aca="false">IF(DJ686=0,0,IF(DJ686&lt;=12*'🎚️ Escenario'!$C$11,1,1+$C$6))</f>
        <v>1</v>
      </c>
      <c r="DK688" s="237" t="n">
        <f aca="false">IF(DK686=0,0,IF(DK686&lt;=12*'🎚️ Escenario'!$C$11,1,1+$C$6))</f>
        <v>1</v>
      </c>
      <c r="DL688" s="237" t="n">
        <f aca="false">IF(DL686=0,0,IF(DL686&lt;=12*'🎚️ Escenario'!$C$11,1,1+$C$6))</f>
        <v>1.2</v>
      </c>
      <c r="DM688" s="237" t="n">
        <f aca="false">IF(DM686=0,0,IF(DM686&lt;=12*'🎚️ Escenario'!$C$11,1,1+$C$6))</f>
        <v>1.2</v>
      </c>
      <c r="DN688" s="237" t="n">
        <f aca="false">IF(DN686=0,0,IF(DN686&lt;=12*'🎚️ Escenario'!$C$11,1,1+$C$6))</f>
        <v>1.2</v>
      </c>
      <c r="DO688" s="237" t="n">
        <f aca="false">IF(DO686=0,0,IF(DO686&lt;=12*'🎚️ Escenario'!$C$11,1,1+$C$6))</f>
        <v>1.2</v>
      </c>
      <c r="DP688" s="237" t="n">
        <f aca="false">IF(DP686=0,0,IF(DP686&lt;=12*'🎚️ Escenario'!$C$11,1,1+$C$6))</f>
        <v>1.2</v>
      </c>
      <c r="DQ688" s="237" t="n">
        <f aca="false">IF(DQ686=0,0,IF(DQ686&lt;=12*'🎚️ Escenario'!$C$11,1,1+$C$6))</f>
        <v>1.2</v>
      </c>
      <c r="DR688" s="237" t="n">
        <f aca="false">IF(DR686=0,0,IF(DR686&lt;=12*'🎚️ Escenario'!$C$11,1,1+$C$6))</f>
        <v>1.2</v>
      </c>
      <c r="DS688" s="237" t="n">
        <f aca="false">IF(DS686=0,0,IF(DS686&lt;=12*'🎚️ Escenario'!$C$11,1,1+$C$6))</f>
        <v>1.2</v>
      </c>
      <c r="DT688" s="237" t="n">
        <f aca="false">IF(DT686=0,0,IF(DT686&lt;=12*'🎚️ Escenario'!$C$11,1,1+$C$6))</f>
        <v>1.2</v>
      </c>
      <c r="DU688" s="237" t="n">
        <f aca="false">IF(DU686=0,0,IF(DU686&lt;=12*'🎚️ Escenario'!$C$11,1,1+$C$6))</f>
        <v>1.2</v>
      </c>
      <c r="DV688" s="237" t="n">
        <f aca="false">IF(DV686=0,0,IF(DV686&lt;=12*'🎚️ Escenario'!$C$11,1,1+$C$6))</f>
        <v>1.2</v>
      </c>
      <c r="DW688" s="237" t="n">
        <f aca="false">IF(DW686=0,0,IF(DW686&lt;=12*'🎚️ Escenario'!$C$11,1,1+$C$6))</f>
        <v>1.2</v>
      </c>
      <c r="DX688" s="237" t="n">
        <f aca="false">IF(DX686=0,0,IF(DX686&lt;=12*'🎚️ Escenario'!$C$11,1,1+$C$6))</f>
        <v>1.2</v>
      </c>
      <c r="DY688" s="237" t="n">
        <f aca="false">IF(DY686=0,0,IF(DY686&lt;=12*'🎚️ Escenario'!$C$11,1,1+$C$6))</f>
        <v>1.2</v>
      </c>
      <c r="DZ688" s="237" t="n">
        <f aca="false">IF(DZ686=0,0,IF(DZ686&lt;=12*'🎚️ Escenario'!$C$11,1,1+$C$6))</f>
        <v>1.2</v>
      </c>
      <c r="EA688" s="237" t="n">
        <f aca="false">IF(EA686=0,0,IF(EA686&lt;=12*'🎚️ Escenario'!$C$11,1,1+$C$6))</f>
        <v>1.2</v>
      </c>
      <c r="EB688" s="237" t="n">
        <f aca="false">IF(EB686=0,0,IF(EB686&lt;=12*'🎚️ Escenario'!$C$11,1,1+$C$6))</f>
        <v>1.2</v>
      </c>
      <c r="EC688" s="237" t="n">
        <f aca="false">IF(EC686=0,0,IF(EC686&lt;=12*'🎚️ Escenario'!$C$11,1,1+$C$6))</f>
        <v>1.2</v>
      </c>
      <c r="ED688" s="237" t="n">
        <f aca="false">IF(ED686=0,0,IF(ED686&lt;=12*'🎚️ Escenario'!$C$11,1,1+$C$6))</f>
        <v>1.2</v>
      </c>
      <c r="EE688" s="237" t="n">
        <f aca="false">IF(EE686=0,0,IF(EE686&lt;=12*'🎚️ Escenario'!$C$11,1,1+$C$6))</f>
        <v>1.2</v>
      </c>
      <c r="EF688" s="237" t="n">
        <f aca="false">IF(EF686=0,0,IF(EF686&lt;=12*'🎚️ Escenario'!$C$11,1,1+$C$6))</f>
        <v>1.2</v>
      </c>
      <c r="EG688" s="237" t="n">
        <f aca="false">IF(EG686=0,0,IF(EG686&lt;=12*'🎚️ Escenario'!$C$11,1,1+$C$6))</f>
        <v>1.2</v>
      </c>
      <c r="EH688" s="237" t="n">
        <f aca="false">IF(EH686=0,0,IF(EH686&lt;=12*'🎚️ Escenario'!$C$11,1,1+$C$6))</f>
        <v>1.2</v>
      </c>
      <c r="EI688" s="237" t="n">
        <f aca="false">IF(EI686=0,0,IF(EI686&lt;=12*'🎚️ Escenario'!$C$11,1,1+$C$6))</f>
        <v>1.2</v>
      </c>
      <c r="EJ688" s="237" t="n">
        <f aca="false">IF(EJ686=0,0,IF(EJ686&lt;=12*'🎚️ Escenario'!$C$11,1,1+$C$6))</f>
        <v>1.2</v>
      </c>
      <c r="EK688" s="237" t="n">
        <f aca="false">IF(EK686=0,0,IF(EK686&lt;=12*'🎚️ Escenario'!$C$11,1,1+$C$6))</f>
        <v>1.2</v>
      </c>
      <c r="EL688" s="237" t="n">
        <f aca="false">IF(EL686=0,0,IF(EL686&lt;=12*'🎚️ Escenario'!$C$11,1,1+$C$6))</f>
        <v>1.2</v>
      </c>
      <c r="EM688" s="237" t="n">
        <f aca="false">IF(EM686=0,0,IF(EM686&lt;=12*'🎚️ Escenario'!$C$11,1,1+$C$6))</f>
        <v>1.2</v>
      </c>
      <c r="EN688" s="237" t="n">
        <f aca="false">IF(EN686=0,0,IF(EN686&lt;=12*'🎚️ Escenario'!$C$11,1,1+$C$6))</f>
        <v>1.2</v>
      </c>
      <c r="EO688" s="237" t="n">
        <f aca="false">IF(EO686=0,0,IF(EO686&lt;=12*'🎚️ Escenario'!$C$11,1,1+$C$6))</f>
        <v>1.2</v>
      </c>
      <c r="EP688" s="237" t="n">
        <f aca="false">IF(EP686=0,0,IF(EP686&lt;=12*'🎚️ Escenario'!$C$11,1,1+$C$6))</f>
        <v>1.2</v>
      </c>
      <c r="EQ688" s="237" t="n">
        <f aca="false">IF(EQ686=0,0,IF(EQ686&lt;=12*'🎚️ Escenario'!$C$11,1,1+$C$6))</f>
        <v>1.2</v>
      </c>
      <c r="ER688" s="237" t="n">
        <f aca="false">IF(ER686=0,0,IF(ER686&lt;=12*'🎚️ Escenario'!$C$11,1,1+$C$6))</f>
        <v>1.2</v>
      </c>
      <c r="ES688" s="238" t="n">
        <f aca="false">IF(ES686=0,0,IF(ES686&lt;=12*'🎚️ Escenario'!$C$11,1,1+$C$6))</f>
        <v>1.2</v>
      </c>
      <c r="ET688" s="238" t="n">
        <f aca="false">IF(ET686=0,0,IF(ET686&lt;=12*'🎚️ Escenario'!$C$11,1,1+$C$6))</f>
        <v>1.2</v>
      </c>
      <c r="EU688" s="238" t="n">
        <f aca="false">IF(EU686=0,0,IF(EU686&lt;=12*'🎚️ Escenario'!$C$11,1,1+$C$6))</f>
        <v>1.2</v>
      </c>
      <c r="EV688" s="238" t="n">
        <f aca="false">IF(EV686=0,0,IF(EV686&lt;=12*'🎚️ Escenario'!$C$11,1,1+$C$6))</f>
        <v>1.2</v>
      </c>
      <c r="EW688" s="238" t="n">
        <f aca="false">IF(EW686=0,0,IF(EW686&lt;=12*'🎚️ Escenario'!$C$11,1,1+$C$6))</f>
        <v>1.2</v>
      </c>
      <c r="EX688" s="238" t="n">
        <f aca="false">IF(EX686=0,0,IF(EX686&lt;=12*'🎚️ Escenario'!$C$11,1,1+$C$6))</f>
        <v>1.2</v>
      </c>
      <c r="EY688" s="238" t="n">
        <f aca="false">IF(EY686=0,0,IF(EY686&lt;=12*'🎚️ Escenario'!$C$11,1,1+$C$6))</f>
        <v>1.2</v>
      </c>
      <c r="EZ688" s="238" t="n">
        <f aca="false">IF(EZ686=0,0,IF(EZ686&lt;=12*'🎚️ Escenario'!$C$11,1,1+$C$6))</f>
        <v>1.2</v>
      </c>
      <c r="FA688" s="238" t="n">
        <f aca="false">IF(FA686=0,0,IF(FA686&lt;=12*'🎚️ Escenario'!$C$11,1,1+$C$6))</f>
        <v>1.2</v>
      </c>
      <c r="FB688" s="238" t="n">
        <f aca="false">IF(FB686=0,0,IF(FB686&lt;=12*'🎚️ Escenario'!$C$11,1,1+$C$6))</f>
        <v>1.2</v>
      </c>
      <c r="FC688" s="238" t="n">
        <f aca="false">IF(FC686=0,0,IF(FC686&lt;=12*'🎚️ Escenario'!$C$11,1,1+$C$6))</f>
        <v>1.2</v>
      </c>
      <c r="FD688" s="238" t="n">
        <f aca="false">IF(FD686=0,0,IF(FD686&lt;=12*'🎚️ Escenario'!$C$11,1,1+$C$6))</f>
        <v>1.2</v>
      </c>
      <c r="FE688" s="238" t="n">
        <f aca="false">IF(FE686=0,0,IF(FE686&lt;=12*'🎚️ Escenario'!$C$11,1,1+$C$6))</f>
        <v>1.2</v>
      </c>
      <c r="FF688" s="238" t="n">
        <f aca="false">IF(FF686=0,0,IF(FF686&lt;=12*'🎚️ Escenario'!$C$11,1,1+$C$6))</f>
        <v>1.2</v>
      </c>
      <c r="FG688" s="238" t="n">
        <f aca="false">IF(FG686=0,0,IF(FG686&lt;=12*'🎚️ Escenario'!$C$11,1,1+$C$6))</f>
        <v>1.2</v>
      </c>
      <c r="FH688" s="238" t="n">
        <f aca="false">IF(FH686=0,0,IF(FH686&lt;=12*'🎚️ Escenario'!$C$11,1,1+$C$6))</f>
        <v>1.2</v>
      </c>
      <c r="FI688" s="238" t="n">
        <f aca="false">IF(FI686=0,0,IF(FI686&lt;=12*'🎚️ Escenario'!$C$11,1,1+$C$6))</f>
        <v>1.2</v>
      </c>
      <c r="FJ688" s="238" t="n">
        <f aca="false">IF(FJ686=0,0,IF(FJ686&lt;=12*'🎚️ Escenario'!$C$11,1,1+$C$6))</f>
        <v>1.2</v>
      </c>
      <c r="FK688" s="238" t="n">
        <f aca="false">IF(FK686=0,0,IF(FK686&lt;=12*'🎚️ Escenario'!$C$11,1,1+$C$6))</f>
        <v>1.2</v>
      </c>
      <c r="FL688" s="238" t="n">
        <f aca="false">IF(FL686=0,0,IF(FL686&lt;=12*'🎚️ Escenario'!$C$11,1,1+$C$6))</f>
        <v>1.2</v>
      </c>
      <c r="FM688" s="238" t="n">
        <f aca="false">IF(FM686=0,0,IF(FM686&lt;=12*'🎚️ Escenario'!$C$11,1,1+$C$6))</f>
        <v>1.2</v>
      </c>
      <c r="FN688" s="238" t="n">
        <f aca="false">IF(FN686=0,0,IF(FN686&lt;=12*'🎚️ Escenario'!$C$11,1,1+$C$6))</f>
        <v>1.2</v>
      </c>
      <c r="FO688" s="238" t="n">
        <f aca="false">IF(FO686=0,0,IF(FO686&lt;=12*'🎚️ Escenario'!$C$11,1,1+$C$6))</f>
        <v>1.2</v>
      </c>
      <c r="FP688" s="238" t="n">
        <f aca="false">IF(FP686=0,0,IF(FP686&lt;=12*'🎚️ Escenario'!$C$11,1,1+$C$6))</f>
        <v>1.2</v>
      </c>
    </row>
    <row r="689" customFormat="false" ht="15" hidden="false" customHeight="false" outlineLevel="2" collapsed="false">
      <c r="B689" s="9" t="s">
        <v>876</v>
      </c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36" t="n">
        <f aca="false">AC687*$AC$685*AC688*AC$38*'⑫ Roll-out Plan'!$O$73</f>
        <v>0</v>
      </c>
      <c r="AD689" s="36" t="n">
        <f aca="false">AD687*$AC$685*AD688*AD$38*'⑫ Roll-out Plan'!$O$73</f>
        <v>0</v>
      </c>
      <c r="AE689" s="36" t="n">
        <f aca="false">AE687*$AC$685*AE688*AE$38*'⑫ Roll-out Plan'!$O$73</f>
        <v>0</v>
      </c>
      <c r="AF689" s="36" t="n">
        <f aca="false">AF687*$AC$685*AF688*AF$38*'⑫ Roll-out Plan'!$O$73</f>
        <v>0</v>
      </c>
      <c r="AG689" s="36" t="n">
        <f aca="false">AG687*$AC$685*AG688*AG$38*'⑫ Roll-out Plan'!$O$73</f>
        <v>0</v>
      </c>
      <c r="AH689" s="36" t="n">
        <f aca="false">AH687*$AC$685*AH688*AH$38*'⑫ Roll-out Plan'!$O$73</f>
        <v>0</v>
      </c>
      <c r="AI689" s="36" t="n">
        <f aca="false">AI687*$AC$685*AI688*AI$38*'⑫ Roll-out Plan'!$O$73</f>
        <v>0</v>
      </c>
      <c r="AJ689" s="36" t="n">
        <f aca="false">AJ687*$AC$685*AJ688*AJ$38*'⑫ Roll-out Plan'!$O$73</f>
        <v>0</v>
      </c>
      <c r="AK689" s="36" t="n">
        <f aca="false">AK687*$AC$685*AK688*AK$38*'⑫ Roll-out Plan'!$O$73</f>
        <v>0</v>
      </c>
      <c r="AL689" s="36" t="n">
        <f aca="false">AL687*$AC$685*AL688*AL$38*'⑫ Roll-out Plan'!$O$73</f>
        <v>0</v>
      </c>
      <c r="AM689" s="36" t="n">
        <f aca="false">AM687*$AC$685*AM688*AM$38*'⑫ Roll-out Plan'!$O$73</f>
        <v>0</v>
      </c>
      <c r="AN689" s="36" t="n">
        <f aca="false">AN687*$AC$685*AN688*AN$38*'⑫ Roll-out Plan'!$O$73</f>
        <v>0</v>
      </c>
      <c r="AO689" s="36" t="n">
        <f aca="false">AO687*$AC$685*AO688*AO$38*'⑫ Roll-out Plan'!$O$73</f>
        <v>0</v>
      </c>
      <c r="AP689" s="36" t="n">
        <f aca="false">AP687*$AC$685*AP688*AP$38*'⑫ Roll-out Plan'!$O$73</f>
        <v>0</v>
      </c>
      <c r="AQ689" s="36" t="n">
        <f aca="false">AQ687*$AC$685*AQ688*AQ$38*'⑫ Roll-out Plan'!$O$73</f>
        <v>0</v>
      </c>
      <c r="AR689" s="36" t="n">
        <f aca="false">AR687*$AC$685*AR688*AR$38*'⑫ Roll-out Plan'!$O$73</f>
        <v>0</v>
      </c>
      <c r="AS689" s="36" t="n">
        <f aca="false">AS687*$AC$685*AS688*AS$38*'⑫ Roll-out Plan'!$O$73</f>
        <v>0</v>
      </c>
      <c r="AT689" s="36" t="n">
        <f aca="false">AT687*$AC$685*AT688*AT$38*'⑫ Roll-out Plan'!$O$73</f>
        <v>0</v>
      </c>
      <c r="AU689" s="36" t="n">
        <f aca="false">AU687*$AC$685*AU688*AU$38*'⑫ Roll-out Plan'!$O$73</f>
        <v>0</v>
      </c>
      <c r="AV689" s="36" t="n">
        <f aca="false">AV687*$AC$685*AV688*AV$38*'⑫ Roll-out Plan'!$O$73</f>
        <v>0</v>
      </c>
      <c r="AW689" s="36" t="n">
        <f aca="false">AW687*$AC$685*AW688*AW$38*'⑫ Roll-out Plan'!$O$73</f>
        <v>0</v>
      </c>
      <c r="AX689" s="36" t="n">
        <f aca="false">AX687*$AC$685*AX688*AX$38*'⑫ Roll-out Plan'!$O$73</f>
        <v>0</v>
      </c>
      <c r="AY689" s="36" t="n">
        <f aca="false">AY687*$AC$685*AY688*AY$38*'⑫ Roll-out Plan'!$O$73</f>
        <v>0</v>
      </c>
      <c r="AZ689" s="36" t="n">
        <f aca="false">AZ687*$AC$685*AZ688*AZ$38*'⑫ Roll-out Plan'!$O$73</f>
        <v>0</v>
      </c>
      <c r="BA689" s="36" t="n">
        <f aca="false">BA687*$AC$685*BA688*BA$38*'⑫ Roll-out Plan'!$O$73</f>
        <v>0</v>
      </c>
      <c r="BB689" s="36" t="n">
        <f aca="false">BB687*$AC$685*BB688*BB$38*'⑫ Roll-out Plan'!$O$73</f>
        <v>0</v>
      </c>
      <c r="BC689" s="36" t="n">
        <f aca="false">BC687*$AC$685*BC688*BC$38*'⑫ Roll-out Plan'!$O$73</f>
        <v>0</v>
      </c>
      <c r="BD689" s="36" t="n">
        <f aca="false">BD687*$AC$685*BD688*BD$38*'⑫ Roll-out Plan'!$O$73</f>
        <v>0</v>
      </c>
      <c r="BE689" s="36" t="n">
        <f aca="false">BE687*$AC$685*BE688*BE$38*'⑫ Roll-out Plan'!$O$73</f>
        <v>0</v>
      </c>
      <c r="BF689" s="36" t="n">
        <f aca="false">BF687*$AC$685*BF688*BF$38*'⑫ Roll-out Plan'!$O$73</f>
        <v>0</v>
      </c>
      <c r="BG689" s="36" t="n">
        <f aca="false">BG687*$AC$685*BG688*BG$38*'⑫ Roll-out Plan'!$O$73</f>
        <v>0</v>
      </c>
      <c r="BH689" s="36" t="n">
        <f aca="false">BH687*$AC$685*BH688*BH$38*'⑫ Roll-out Plan'!$O$73</f>
        <v>0</v>
      </c>
      <c r="BI689" s="36" t="n">
        <f aca="false">BI687*$AC$685*BI688*BI$38*'⑫ Roll-out Plan'!$O$73</f>
        <v>0</v>
      </c>
      <c r="BJ689" s="36" t="n">
        <f aca="false">BJ687*$AC$685*BJ688*BJ$38*'⑫ Roll-out Plan'!$O$73</f>
        <v>0</v>
      </c>
      <c r="BK689" s="36" t="n">
        <f aca="false">BK687*$AC$685*BK688*BK$38*'⑫ Roll-out Plan'!$O$73</f>
        <v>0</v>
      </c>
      <c r="BL689" s="36" t="n">
        <f aca="false">BL687*$AC$685*BL688*BL$38*'⑫ Roll-out Plan'!$O$73</f>
        <v>0</v>
      </c>
      <c r="BM689" s="36" t="n">
        <f aca="false">BM687*$AC$685*BM688*BM$38*'⑫ Roll-out Plan'!$O$73</f>
        <v>0</v>
      </c>
      <c r="BN689" s="36" t="n">
        <f aca="false">BN687*$AC$685*BN688*BN$38*'⑫ Roll-out Plan'!$O$73</f>
        <v>0</v>
      </c>
      <c r="BO689" s="36" t="n">
        <f aca="false">BO687*$AC$685*BO688*BO$38*'⑫ Roll-out Plan'!$O$73</f>
        <v>0</v>
      </c>
      <c r="BP689" s="36" t="n">
        <f aca="false">BP687*$AC$685*BP688*BP$38*'⑫ Roll-out Plan'!$O$73</f>
        <v>0</v>
      </c>
      <c r="BQ689" s="36" t="n">
        <f aca="false">BQ687*$AC$685*BQ688*BQ$38*'⑫ Roll-out Plan'!$O$73</f>
        <v>0</v>
      </c>
      <c r="BR689" s="36" t="n">
        <f aca="false">BR687*$AC$685*BR688*BR$38*'⑫ Roll-out Plan'!$O$73</f>
        <v>0</v>
      </c>
      <c r="BS689" s="36" t="n">
        <f aca="false">BS687*$AC$685*BS688*BS$38*'⑫ Roll-out Plan'!$O$73</f>
        <v>0</v>
      </c>
      <c r="BT689" s="36" t="n">
        <f aca="false">BT687*$AC$685*BT688*BT$38*'⑫ Roll-out Plan'!$O$73</f>
        <v>0</v>
      </c>
      <c r="BU689" s="36" t="n">
        <f aca="false">BU687*$AC$685*BU688*BU$38*'⑫ Roll-out Plan'!$O$73</f>
        <v>0</v>
      </c>
      <c r="BV689" s="36" t="n">
        <f aca="false">BV687*$AC$685*BV688*BV$38*'⑫ Roll-out Plan'!$O$73</f>
        <v>0</v>
      </c>
      <c r="BW689" s="36" t="n">
        <f aca="false">BW687*$AC$685*BW688*BW$38*'⑫ Roll-out Plan'!$O$73</f>
        <v>0</v>
      </c>
      <c r="BX689" s="36" t="n">
        <f aca="false">BX687*$AC$685*BX688*BX$38*'⑫ Roll-out Plan'!$O$73</f>
        <v>0</v>
      </c>
      <c r="BY689" s="36" t="n">
        <f aca="false">BY687*$AC$685*BY688*BY$38*'⑫ Roll-out Plan'!$O$73</f>
        <v>0</v>
      </c>
      <c r="BZ689" s="36" t="n">
        <f aca="false">BZ687*$AC$685*BZ688*BZ$38*'⑫ Roll-out Plan'!$O$73</f>
        <v>0</v>
      </c>
      <c r="CA689" s="36" t="n">
        <f aca="false">CA687*$AC$685*CA688*CA$38*'⑫ Roll-out Plan'!$O$73</f>
        <v>0</v>
      </c>
      <c r="CB689" s="36" t="n">
        <f aca="false">CB687*$AC$685*CB688*CB$38*'⑫ Roll-out Plan'!$O$73</f>
        <v>0</v>
      </c>
      <c r="CC689" s="36" t="n">
        <f aca="false">CC687*$AC$685*CC688*CC$38*'⑫ Roll-out Plan'!$O$73</f>
        <v>0</v>
      </c>
      <c r="CD689" s="36" t="n">
        <f aca="false">CD687*$AC$685*CD688*CD$38*'⑫ Roll-out Plan'!$O$73</f>
        <v>0</v>
      </c>
      <c r="CE689" s="36" t="n">
        <f aca="false">CE687*$AC$685*CE688*CE$38*'⑫ Roll-out Plan'!$O$73</f>
        <v>0</v>
      </c>
      <c r="CF689" s="36" t="n">
        <f aca="false">CF687*$AC$685*CF688*CF$38*'⑫ Roll-out Plan'!$O$73</f>
        <v>0</v>
      </c>
      <c r="CG689" s="36" t="n">
        <f aca="false">CG687*$AC$685*CG688*CG$38*'⑫ Roll-out Plan'!$O$73</f>
        <v>0</v>
      </c>
      <c r="CH689" s="36" t="n">
        <f aca="false">CH687*$AC$685*CH688*CH$38*'⑫ Roll-out Plan'!$O$73</f>
        <v>0</v>
      </c>
      <c r="CI689" s="36" t="n">
        <f aca="false">CI687*$AC$685*CI688*CI$38*'⑫ Roll-out Plan'!$O$73</f>
        <v>0</v>
      </c>
      <c r="CJ689" s="36" t="n">
        <f aca="false">CJ687*$AC$685*CJ688*CJ$38*'⑫ Roll-out Plan'!$O$73</f>
        <v>0</v>
      </c>
      <c r="CK689" s="36" t="n">
        <f aca="false">CK687*$AC$685*CK688*CK$38*'⑫ Roll-out Plan'!$O$73</f>
        <v>0</v>
      </c>
      <c r="CL689" s="36" t="n">
        <f aca="false">CL687*$AC$685*CL688*CL$38*'⑫ Roll-out Plan'!$O$73</f>
        <v>0</v>
      </c>
      <c r="CM689" s="36" t="n">
        <f aca="false">CM687*$AC$685*CM688*CM$38*'⑫ Roll-out Plan'!$O$73</f>
        <v>0</v>
      </c>
      <c r="CN689" s="36" t="n">
        <f aca="false">CN687*$AC$685*CN688*CN$38*'⑫ Roll-out Plan'!$O$73</f>
        <v>0</v>
      </c>
      <c r="CO689" s="36" t="n">
        <f aca="false">CO687*$AC$685*CO688*CO$38*'⑫ Roll-out Plan'!$O$73</f>
        <v>0</v>
      </c>
      <c r="CP689" s="36" t="n">
        <f aca="false">CP687*$AC$685*CP688*CP$38*'⑫ Roll-out Plan'!$O$73</f>
        <v>0</v>
      </c>
      <c r="CQ689" s="36" t="n">
        <f aca="false">CQ687*$AC$685*CQ688*CQ$38*'⑫ Roll-out Plan'!$O$73</f>
        <v>0</v>
      </c>
      <c r="CR689" s="36" t="n">
        <f aca="false">CR687*$AC$685*CR688*CR$38*'⑫ Roll-out Plan'!$O$73</f>
        <v>0</v>
      </c>
      <c r="CS689" s="36" t="n">
        <f aca="false">CS687*$AC$685*CS688*CS$38*'⑫ Roll-out Plan'!$O$73</f>
        <v>0</v>
      </c>
      <c r="CT689" s="36" t="n">
        <f aca="false">CT687*$AC$685*CT688*CT$38*'⑫ Roll-out Plan'!$O$73</f>
        <v>0</v>
      </c>
      <c r="CU689" s="36" t="n">
        <f aca="false">CU687*$AC$685*CU688*CU$38*'⑫ Roll-out Plan'!$O$73</f>
        <v>0</v>
      </c>
      <c r="CV689" s="36" t="n">
        <f aca="false">CV687*$AC$685*CV688*CV$38*'⑫ Roll-out Plan'!$O$73</f>
        <v>0</v>
      </c>
      <c r="CW689" s="36" t="n">
        <f aca="false">CW687*$AC$685*CW688*CW$38*'⑫ Roll-out Plan'!$O$73</f>
        <v>39.96</v>
      </c>
      <c r="CX689" s="36" t="n">
        <f aca="false">CX687*$AC$685*CX688*CX$38*'⑫ Roll-out Plan'!$O$73</f>
        <v>33.374</v>
      </c>
      <c r="CY689" s="36" t="n">
        <f aca="false">CY687*$AC$685*CY688*CY$38*'⑫ Roll-out Plan'!$O$73</f>
        <v>51.504</v>
      </c>
      <c r="CZ689" s="36" t="n">
        <f aca="false">CZ687*$AC$685*CZ688*CZ$38*'⑫ Roll-out Plan'!$O$73</f>
        <v>54.945</v>
      </c>
      <c r="DA689" s="36" t="n">
        <f aca="false">DA687*$AC$685*DA688*DA$38*'⑫ Roll-out Plan'!$O$73</f>
        <v>45.954</v>
      </c>
      <c r="DB689" s="36" t="n">
        <f aca="false">DB687*$AC$685*DB688*DB$38*'⑫ Roll-out Plan'!$O$73</f>
        <v>45.88</v>
      </c>
      <c r="DC689" s="36" t="n">
        <f aca="false">DC687*$AC$685*DC688*DC$38*'⑫ Roll-out Plan'!$O$73</f>
        <v>54.39</v>
      </c>
      <c r="DD689" s="36" t="n">
        <f aca="false">DD687*$AC$685*DD688*DD$38*'⑫ Roll-out Plan'!$O$73</f>
        <v>102.453</v>
      </c>
      <c r="DE689" s="36" t="n">
        <f aca="false">DE687*$AC$685*DE688*DE$38*'⑫ Roll-out Plan'!$O$73</f>
        <v>94.424</v>
      </c>
      <c r="DF689" s="36" t="n">
        <f aca="false">DF687*$AC$685*DF688*DF$38*'⑫ Roll-out Plan'!$O$73</f>
        <v>78.144</v>
      </c>
      <c r="DG689" s="36" t="n">
        <f aca="false">DG687*$AC$685*DG688*DG$38*'⑫ Roll-out Plan'!$O$73</f>
        <v>63.936</v>
      </c>
      <c r="DH689" s="36" t="n">
        <f aca="false">DH687*$AC$685*DH688*DH$38*'⑫ Roll-out Plan'!$O$73</f>
        <v>98.124</v>
      </c>
      <c r="DI689" s="36" t="n">
        <f aca="false">DI687*$AC$685*DI688*DI$38*'⑫ Roll-out Plan'!$O$73</f>
        <v>111.888</v>
      </c>
      <c r="DJ689" s="36" t="n">
        <f aca="false">DJ687*$AC$685*DJ688*DJ$38*'⑫ Roll-out Plan'!$O$73</f>
        <v>91.02</v>
      </c>
      <c r="DK689" s="36" t="n">
        <f aca="false">DK687*$AC$685*DK688*DK$38*'⑫ Roll-out Plan'!$O$73</f>
        <v>128.76</v>
      </c>
      <c r="DL689" s="36" t="n">
        <f aca="false">DL687*$AC$685*DL688*DL$38*'⑫ Roll-out Plan'!$O$73</f>
        <v>153.846</v>
      </c>
      <c r="DM689" s="36" t="n">
        <f aca="false">DM687*$AC$685*DM688*DM$38*'⑫ Roll-out Plan'!$O$73</f>
        <v>134.7984</v>
      </c>
      <c r="DN689" s="36" t="n">
        <f aca="false">DN687*$AC$685*DN688*DN$38*'⑫ Roll-out Plan'!$O$73</f>
        <v>122.544</v>
      </c>
      <c r="DO689" s="36" t="n">
        <f aca="false">DO687*$AC$685*DO688*DO$38*'⑫ Roll-out Plan'!$O$73</f>
        <v>132.4008</v>
      </c>
      <c r="DP689" s="36" t="n">
        <f aca="false">DP687*$AC$685*DP688*DP$38*'⑫ Roll-out Plan'!$O$73</f>
        <v>223.8204</v>
      </c>
      <c r="DQ689" s="36" t="n">
        <f aca="false">DQ687*$AC$685*DQ688*DQ$38*'⑫ Roll-out Plan'!$O$73</f>
        <v>187.9896</v>
      </c>
      <c r="DR689" s="36" t="n">
        <f aca="false">DR687*$AC$685*DR688*DR$38*'⑫ Roll-out Plan'!$O$73</f>
        <v>159.84</v>
      </c>
      <c r="DS689" s="36" t="n">
        <f aca="false">DS687*$AC$685*DS688*DS$38*'⑫ Roll-out Plan'!$O$73</f>
        <v>123.0768</v>
      </c>
      <c r="DT689" s="36" t="n">
        <f aca="false">DT687*$AC$685*DT688*DT$38*'⑫ Roll-out Plan'!$O$73</f>
        <v>178.8876</v>
      </c>
      <c r="DU689" s="36" t="n">
        <f aca="false">DU687*$AC$685*DU688*DU$38*'⑫ Roll-out Plan'!$O$73</f>
        <v>189.4104</v>
      </c>
      <c r="DV689" s="36" t="n">
        <f aca="false">DV687*$AC$685*DV688*DV$38*'⑫ Roll-out Plan'!$O$73</f>
        <v>145.632</v>
      </c>
      <c r="DW689" s="36" t="n">
        <f aca="false">DW687*$AC$685*DW688*DW$38*'⑫ Roll-out Plan'!$O$73</f>
        <v>211.1664</v>
      </c>
      <c r="DX689" s="36" t="n">
        <f aca="false">DX687*$AC$685*DX688*DX$38*'⑫ Roll-out Plan'!$O$73</f>
        <v>205.128</v>
      </c>
      <c r="DY689" s="36" t="n">
        <f aca="false">DY687*$AC$685*DY688*DY$38*'⑫ Roll-out Plan'!$O$73</f>
        <v>173.604</v>
      </c>
      <c r="DZ689" s="36" t="n">
        <f aca="false">DZ687*$AC$685*DZ688*DZ$38*'⑫ Roll-out Plan'!$O$73</f>
        <v>150.96</v>
      </c>
      <c r="EA689" s="36" t="n">
        <f aca="false">EA687*$AC$685*EA688*EA$38*'⑫ Roll-out Plan'!$O$73</f>
        <v>160.3728</v>
      </c>
      <c r="EB689" s="36" t="n">
        <f aca="false">EB687*$AC$685*EB688*EB$38*'⑫ Roll-out Plan'!$O$73</f>
        <v>277.4112</v>
      </c>
      <c r="EC689" s="36" t="n">
        <f aca="false">EC687*$AC$685*EC688*EC$38*'⑫ Roll-out Plan'!$O$73</f>
        <v>229.1928</v>
      </c>
      <c r="ED689" s="36" t="n">
        <f aca="false">ED687*$AC$685*ED688*ED$38*'⑫ Roll-out Plan'!$O$73</f>
        <v>191.808</v>
      </c>
      <c r="EE689" s="36" t="n">
        <f aca="false">EE687*$AC$685*EE688*EE$38*'⑫ Roll-out Plan'!$O$73</f>
        <v>143.856</v>
      </c>
      <c r="EF689" s="36" t="n">
        <f aca="false">EF687*$AC$685*EF688*EF$38*'⑫ Roll-out Plan'!$O$73</f>
        <v>208.3248</v>
      </c>
      <c r="EG689" s="36" t="n">
        <f aca="false">EG687*$AC$685*EG688*EG$38*'⑫ Roll-out Plan'!$O$73</f>
        <v>222.9768</v>
      </c>
      <c r="EH689" s="36" t="n">
        <f aca="false">EH687*$AC$685*EH688*EH$38*'⑫ Roll-out Plan'!$O$73</f>
        <v>171.1176</v>
      </c>
      <c r="EI689" s="36" t="n">
        <f aca="false">EI687*$AC$685*EI688*EI$38*'⑫ Roll-out Plan'!$O$73</f>
        <v>244.644</v>
      </c>
      <c r="EJ689" s="36" t="n">
        <f aca="false">EJ687*$AC$685*EJ688*EJ$38*'⑫ Roll-out Plan'!$O$73</f>
        <v>231.99</v>
      </c>
      <c r="EK689" s="36" t="n">
        <f aca="false">EK687*$AC$685*EK688*EK$38*'⑫ Roll-out Plan'!$O$73</f>
        <v>198.1128</v>
      </c>
      <c r="EL689" s="36" t="n">
        <f aca="false">EL687*$AC$685*EL688*EL$38*'⑫ Roll-out Plan'!$O$73</f>
        <v>174.048</v>
      </c>
      <c r="EM689" s="36" t="n">
        <f aca="false">EM687*$AC$685*EM688*EM$38*'⑫ Roll-out Plan'!$O$73</f>
        <v>184.6152</v>
      </c>
      <c r="EN689" s="36" t="n">
        <f aca="false">EN687*$AC$685*EN688*EN$38*'⑫ Roll-out Plan'!$O$73</f>
        <v>315.24</v>
      </c>
      <c r="EO689" s="36" t="n">
        <f aca="false">EO687*$AC$685*EO688*EO$38*'⑫ Roll-out Plan'!$O$73</f>
        <v>257.52</v>
      </c>
      <c r="EP689" s="36" t="n">
        <f aca="false">EP687*$AC$685*EP688*EP$38*'⑫ Roll-out Plan'!$O$73</f>
        <v>213.12</v>
      </c>
      <c r="EQ689" s="36" t="n">
        <f aca="false">EQ687*$AC$685*EQ688*EQ$38*'⑫ Roll-out Plan'!$O$73</f>
        <v>159.84</v>
      </c>
      <c r="ER689" s="36" t="n">
        <f aca="false">ER687*$AC$685*ER688*ER$38*'⑫ Roll-out Plan'!$O$73</f>
        <v>226.44</v>
      </c>
      <c r="ES689" s="9" t="n">
        <f aca="false">ES687*$AC$685*ES688*ES$38*'⑫ Roll-out Plan'!$O$73</f>
        <v>239.76</v>
      </c>
      <c r="ET689" s="9" t="n">
        <f aca="false">ET687*$AC$685*ET688*ET$38*'⑫ Roll-out Plan'!$O$73</f>
        <v>182.04</v>
      </c>
      <c r="EU689" s="9" t="n">
        <f aca="false">EU687*$AC$685*EU688*EU$38*'⑫ Roll-out Plan'!$O$73</f>
        <v>257.52</v>
      </c>
      <c r="EV689" s="9" t="n">
        <f aca="false">EV687*$AC$685*EV688*EV$38*'⑫ Roll-out Plan'!$O$73</f>
        <v>244.2</v>
      </c>
      <c r="EW689" s="9" t="n">
        <f aca="false">EW687*$AC$685*EW688*EW$38*'⑫ Roll-out Plan'!$O$73</f>
        <v>204.24</v>
      </c>
      <c r="EX689" s="9" t="n">
        <f aca="false">EX687*$AC$685*EX688*EX$38*'⑫ Roll-out Plan'!$O$73</f>
        <v>177.6</v>
      </c>
      <c r="EY689" s="9" t="n">
        <f aca="false">EY687*$AC$685*EY688*EY$38*'⑫ Roll-out Plan'!$O$73</f>
        <v>186.48</v>
      </c>
      <c r="EZ689" s="9" t="n">
        <f aca="false">EZ687*$AC$685*EZ688*EZ$38*'⑫ Roll-out Plan'!$O$73</f>
        <v>315.24</v>
      </c>
      <c r="FA689" s="9" t="n">
        <f aca="false">FA687*$AC$685*FA688*FA$38*'⑫ Roll-out Plan'!$O$73</f>
        <v>257.52</v>
      </c>
      <c r="FB689" s="9" t="n">
        <f aca="false">FB687*$AC$685*FB688*FB$38*'⑫ Roll-out Plan'!$O$73</f>
        <v>213.12</v>
      </c>
      <c r="FC689" s="9" t="n">
        <f aca="false">FC687*$AC$685*FC688*FC$38*'⑫ Roll-out Plan'!$O$73</f>
        <v>159.84</v>
      </c>
      <c r="FD689" s="9" t="n">
        <f aca="false">FD687*$AC$685*FD688*FD$38*'⑫ Roll-out Plan'!$O$73</f>
        <v>226.44</v>
      </c>
      <c r="FE689" s="9" t="n">
        <f aca="false">FE687*$AC$685*FE688*FE$38*'⑫ Roll-out Plan'!$O$73</f>
        <v>239.76</v>
      </c>
      <c r="FF689" s="9" t="n">
        <f aca="false">FF687*$AC$685*FF688*FF$38*'⑫ Roll-out Plan'!$O$73</f>
        <v>182.04</v>
      </c>
      <c r="FG689" s="9" t="n">
        <f aca="false">FG687*$AC$685*FG688*FG$38*'⑫ Roll-out Plan'!$O$73</f>
        <v>257.52</v>
      </c>
      <c r="FH689" s="9" t="n">
        <f aca="false">FH687*$AC$685*FH688*FH$38*'⑫ Roll-out Plan'!$O$73</f>
        <v>244.2</v>
      </c>
      <c r="FI689" s="9" t="n">
        <f aca="false">FI687*$AC$685*FI688*FI$38*'⑫ Roll-out Plan'!$O$73</f>
        <v>204.24</v>
      </c>
      <c r="FJ689" s="9" t="n">
        <f aca="false">FJ687*$AC$685*FJ688*FJ$38*'⑫ Roll-out Plan'!$O$73</f>
        <v>177.6</v>
      </c>
      <c r="FK689" s="9" t="n">
        <f aca="false">FK687*$AC$685*FK688*FK$38*'⑫ Roll-out Plan'!$O$73</f>
        <v>186.48</v>
      </c>
      <c r="FL689" s="9" t="n">
        <f aca="false">FL687*$AC$685*FL688*FL$38*'⑫ Roll-out Plan'!$O$73</f>
        <v>315.24</v>
      </c>
      <c r="FM689" s="9" t="n">
        <f aca="false">FM687*$AC$685*FM688*FM$38*'⑫ Roll-out Plan'!$O$73</f>
        <v>257.52</v>
      </c>
      <c r="FN689" s="9" t="n">
        <f aca="false">FN687*$AC$685*FN688*FN$38*'⑫ Roll-out Plan'!$O$73</f>
        <v>213.12</v>
      </c>
      <c r="FO689" s="9" t="n">
        <f aca="false">FO687*$AC$685*FO688*FO$38*'⑫ Roll-out Plan'!$O$73</f>
        <v>159.84</v>
      </c>
      <c r="FP689" s="9" t="n">
        <f aca="false">FP687*$AC$685*FP688*FP$38*'⑫ Roll-out Plan'!$O$73</f>
        <v>226.44</v>
      </c>
    </row>
    <row r="690" customFormat="false" ht="15" hidden="false" customHeight="false" outlineLevel="2" collapsed="false">
      <c r="B690" s="9" t="s">
        <v>877</v>
      </c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112" t="n">
        <f aca="true">IFERROR(SUMPRODUCT(OFFSET($BJ$31,0,1-MIN(60,COLUMN()-29),1,MIN(60,COLUMN()-29)),OFFSET(AC689,0,-MIN(60,COLUMN()-29),1,MIN(60,COLUMN()-29))),0)</f>
        <v>0</v>
      </c>
      <c r="AD690" s="112" t="n">
        <f aca="true">IFERROR(SUMPRODUCT(OFFSET($BJ$31,0,1-MIN(60,COLUMN()-29),1,MIN(60,COLUMN()-29)),OFFSET(AD689,0,-MIN(60,COLUMN()-29),1,MIN(60,COLUMN()-29))),0)</f>
        <v>0</v>
      </c>
      <c r="AE690" s="112" t="n">
        <f aca="true">IFERROR(SUMPRODUCT(OFFSET($BJ$31,0,1-MIN(60,COLUMN()-29),1,MIN(60,COLUMN()-29)),OFFSET(AE689,0,-MIN(60,COLUMN()-29),1,MIN(60,COLUMN()-29))),0)</f>
        <v>0</v>
      </c>
      <c r="AF690" s="112" t="n">
        <f aca="true">IFERROR(SUMPRODUCT(OFFSET($BJ$31,0,1-MIN(60,COLUMN()-29),1,MIN(60,COLUMN()-29)),OFFSET(AF689,0,-MIN(60,COLUMN()-29),1,MIN(60,COLUMN()-29))),0)</f>
        <v>0</v>
      </c>
      <c r="AG690" s="112" t="n">
        <f aca="true">IFERROR(SUMPRODUCT(OFFSET($BJ$31,0,1-MIN(60,COLUMN()-29),1,MIN(60,COLUMN()-29)),OFFSET(AG689,0,-MIN(60,COLUMN()-29),1,MIN(60,COLUMN()-29))),0)</f>
        <v>0</v>
      </c>
      <c r="AH690" s="112" t="n">
        <f aca="true">IFERROR(SUMPRODUCT(OFFSET($BJ$31,0,1-MIN(60,COLUMN()-29),1,MIN(60,COLUMN()-29)),OFFSET(AH689,0,-MIN(60,COLUMN()-29),1,MIN(60,COLUMN()-29))),0)</f>
        <v>0</v>
      </c>
      <c r="AI690" s="112" t="n">
        <f aca="true">IFERROR(SUMPRODUCT(OFFSET($BJ$31,0,1-MIN(60,COLUMN()-29),1,MIN(60,COLUMN()-29)),OFFSET(AI689,0,-MIN(60,COLUMN()-29),1,MIN(60,COLUMN()-29))),0)</f>
        <v>0</v>
      </c>
      <c r="AJ690" s="112" t="n">
        <f aca="true">IFERROR(SUMPRODUCT(OFFSET($BJ$31,0,1-MIN(60,COLUMN()-29),1,MIN(60,COLUMN()-29)),OFFSET(AJ689,0,-MIN(60,COLUMN()-29),1,MIN(60,COLUMN()-29))),0)</f>
        <v>0</v>
      </c>
      <c r="AK690" s="112" t="n">
        <f aca="true">IFERROR(SUMPRODUCT(OFFSET($BJ$31,0,1-MIN(60,COLUMN()-29),1,MIN(60,COLUMN()-29)),OFFSET(AK689,0,-MIN(60,COLUMN()-29),1,MIN(60,COLUMN()-29))),0)</f>
        <v>0</v>
      </c>
      <c r="AL690" s="112" t="n">
        <f aca="true">IFERROR(SUMPRODUCT(OFFSET($BJ$31,0,1-MIN(60,COLUMN()-29),1,MIN(60,COLUMN()-29)),OFFSET(AL689,0,-MIN(60,COLUMN()-29),1,MIN(60,COLUMN()-29))),0)</f>
        <v>0</v>
      </c>
      <c r="AM690" s="112" t="n">
        <f aca="true">IFERROR(SUMPRODUCT(OFFSET($BJ$31,0,1-MIN(60,COLUMN()-29),1,MIN(60,COLUMN()-29)),OFFSET(AM689,0,-MIN(60,COLUMN()-29),1,MIN(60,COLUMN()-29))),0)</f>
        <v>0</v>
      </c>
      <c r="AN690" s="239" t="n">
        <f aca="true">IFERROR(SUMPRODUCT(OFFSET($BJ$31,0,1-MIN(60,COLUMN()-29),1,MIN(60,COLUMN()-29)),OFFSET(AN689,0,-MIN(60,COLUMN()-29),1,MIN(60,COLUMN()-29))),0)</f>
        <v>0</v>
      </c>
      <c r="AO690" s="112" t="n">
        <f aca="true">IFERROR(SUMPRODUCT(OFFSET($BJ$31,0,1-MIN(60,COLUMN()-29),1,MIN(60,COLUMN()-29)),OFFSET(AO689,0,-MIN(60,COLUMN()-29),1,MIN(60,COLUMN()-29))),0)</f>
        <v>0</v>
      </c>
      <c r="AP690" s="112" t="n">
        <f aca="true">IFERROR(SUMPRODUCT(OFFSET($BJ$31,0,1-MIN(60,COLUMN()-29),1,MIN(60,COLUMN()-29)),OFFSET(AP689,0,-MIN(60,COLUMN()-29),1,MIN(60,COLUMN()-29))),0)</f>
        <v>0</v>
      </c>
      <c r="AQ690" s="112" t="n">
        <f aca="true">IFERROR(SUMPRODUCT(OFFSET($BJ$31,0,1-MIN(60,COLUMN()-29),1,MIN(60,COLUMN()-29)),OFFSET(AQ689,0,-MIN(60,COLUMN()-29),1,MIN(60,COLUMN()-29))),0)</f>
        <v>0</v>
      </c>
      <c r="AR690" s="112" t="n">
        <f aca="true">IFERROR(SUMPRODUCT(OFFSET($BJ$31,0,1-MIN(60,COLUMN()-29),1,MIN(60,COLUMN()-29)),OFFSET(AR689,0,-MIN(60,COLUMN()-29),1,MIN(60,COLUMN()-29))),0)</f>
        <v>0</v>
      </c>
      <c r="AS690" s="112" t="n">
        <f aca="true">IFERROR(SUMPRODUCT(OFFSET($BJ$31,0,1-MIN(60,COLUMN()-29),1,MIN(60,COLUMN()-29)),OFFSET(AS689,0,-MIN(60,COLUMN()-29),1,MIN(60,COLUMN()-29))),0)</f>
        <v>0</v>
      </c>
      <c r="AT690" s="112" t="n">
        <f aca="true">IFERROR(SUMPRODUCT(OFFSET($BJ$31,0,1-MIN(60,COLUMN()-29),1,MIN(60,COLUMN()-29)),OFFSET(AT689,0,-MIN(60,COLUMN()-29),1,MIN(60,COLUMN()-29))),0)</f>
        <v>0</v>
      </c>
      <c r="AU690" s="112" t="n">
        <f aca="true">IFERROR(SUMPRODUCT(OFFSET($BJ$31,0,1-MIN(60,COLUMN()-29),1,MIN(60,COLUMN()-29)),OFFSET(AU689,0,-MIN(60,COLUMN()-29),1,MIN(60,COLUMN()-29))),0)</f>
        <v>0</v>
      </c>
      <c r="AV690" s="112" t="n">
        <f aca="true">IFERROR(SUMPRODUCT(OFFSET($BJ$31,0,1-MIN(60,COLUMN()-29),1,MIN(60,COLUMN()-29)),OFFSET(AV689,0,-MIN(60,COLUMN()-29),1,MIN(60,COLUMN()-29))),0)</f>
        <v>0</v>
      </c>
      <c r="AW690" s="112" t="n">
        <f aca="true">IFERROR(SUMPRODUCT(OFFSET($BJ$31,0,1-MIN(60,COLUMN()-29),1,MIN(60,COLUMN()-29)),OFFSET(AW689,0,-MIN(60,COLUMN()-29),1,MIN(60,COLUMN()-29))),0)</f>
        <v>0</v>
      </c>
      <c r="AX690" s="112" t="n">
        <f aca="true">IFERROR(SUMPRODUCT(OFFSET($BJ$31,0,1-MIN(60,COLUMN()-29),1,MIN(60,COLUMN()-29)),OFFSET(AX689,0,-MIN(60,COLUMN()-29),1,MIN(60,COLUMN()-29))),0)</f>
        <v>0</v>
      </c>
      <c r="AY690" s="112" t="n">
        <f aca="true">IFERROR(SUMPRODUCT(OFFSET($BJ$31,0,1-MIN(60,COLUMN()-29),1,MIN(60,COLUMN()-29)),OFFSET(AY689,0,-MIN(60,COLUMN()-29),1,MIN(60,COLUMN()-29))),0)</f>
        <v>0</v>
      </c>
      <c r="AZ690" s="112" t="n">
        <f aca="true">IFERROR(SUMPRODUCT(OFFSET($BJ$31,0,1-MIN(60,COLUMN()-29),1,MIN(60,COLUMN()-29)),OFFSET(AZ689,0,-MIN(60,COLUMN()-29),1,MIN(60,COLUMN()-29))),0)</f>
        <v>0</v>
      </c>
      <c r="BA690" s="112" t="n">
        <f aca="true">IFERROR(SUMPRODUCT(OFFSET($BJ$31,0,1-MIN(60,COLUMN()-29),1,MIN(60,COLUMN()-29)),OFFSET(BA689,0,-MIN(60,COLUMN()-29),1,MIN(60,COLUMN()-29))),0)</f>
        <v>0</v>
      </c>
      <c r="BB690" s="112" t="n">
        <f aca="true">IFERROR(SUMPRODUCT(OFFSET($BJ$31,0,1-MIN(60,COLUMN()-29),1,MIN(60,COLUMN()-29)),OFFSET(BB689,0,-MIN(60,COLUMN()-29),1,MIN(60,COLUMN()-29))),0)</f>
        <v>0</v>
      </c>
      <c r="BC690" s="112" t="n">
        <f aca="true">IFERROR(SUMPRODUCT(OFFSET($BJ$31,0,1-MIN(60,COLUMN()-29),1,MIN(60,COLUMN()-29)),OFFSET(BC689,0,-MIN(60,COLUMN()-29),1,MIN(60,COLUMN()-29))),0)</f>
        <v>0</v>
      </c>
      <c r="BD690" s="112" t="n">
        <f aca="true">IFERROR(SUMPRODUCT(OFFSET($BJ$31,0,1-MIN(60,COLUMN()-29),1,MIN(60,COLUMN()-29)),OFFSET(BD689,0,-MIN(60,COLUMN()-29),1,MIN(60,COLUMN()-29))),0)</f>
        <v>0</v>
      </c>
      <c r="BE690" s="112" t="n">
        <f aca="true">IFERROR(SUMPRODUCT(OFFSET($BJ$31,0,1-MIN(60,COLUMN()-29),1,MIN(60,COLUMN()-29)),OFFSET(BE689,0,-MIN(60,COLUMN()-29),1,MIN(60,COLUMN()-29))),0)</f>
        <v>0</v>
      </c>
      <c r="BF690" s="112" t="n">
        <f aca="true">IFERROR(SUMPRODUCT(OFFSET($BJ$31,0,1-MIN(60,COLUMN()-29),1,MIN(60,COLUMN()-29)),OFFSET(BF689,0,-MIN(60,COLUMN()-29),1,MIN(60,COLUMN()-29))),0)</f>
        <v>0</v>
      </c>
      <c r="BG690" s="112" t="n">
        <f aca="true">IFERROR(SUMPRODUCT(OFFSET($BJ$31,0,1-MIN(60,COLUMN()-29),1,MIN(60,COLUMN()-29)),OFFSET(BG689,0,-MIN(60,COLUMN()-29),1,MIN(60,COLUMN()-29))),0)</f>
        <v>0</v>
      </c>
      <c r="BH690" s="112" t="n">
        <f aca="true">IFERROR(SUMPRODUCT(OFFSET($BJ$31,0,1-MIN(60,COLUMN()-29),1,MIN(60,COLUMN()-29)),OFFSET(BH689,0,-MIN(60,COLUMN()-29),1,MIN(60,COLUMN()-29))),0)</f>
        <v>0</v>
      </c>
      <c r="BI690" s="112" t="n">
        <f aca="true">IFERROR(SUMPRODUCT(OFFSET($BJ$31,0,1-MIN(60,COLUMN()-29),1,MIN(60,COLUMN()-29)),OFFSET(BI689,0,-MIN(60,COLUMN()-29),1,MIN(60,COLUMN()-29))),0)</f>
        <v>0</v>
      </c>
      <c r="BJ690" s="112" t="n">
        <f aca="true">IFERROR(SUMPRODUCT(OFFSET($BJ$31,0,1-MIN(60,COLUMN()-29),1,MIN(60,COLUMN()-29)),OFFSET(BJ689,0,-MIN(60,COLUMN()-29),1,MIN(60,COLUMN()-29))),0)</f>
        <v>0</v>
      </c>
      <c r="BK690" s="112" t="n">
        <f aca="true">IFERROR(SUMPRODUCT(OFFSET($BJ$31,0,1-MIN(60,COLUMN()-29),1,MIN(60,COLUMN()-29)),OFFSET(BK689,0,-MIN(60,COLUMN()-29),1,MIN(60,COLUMN()-29))),0)</f>
        <v>0</v>
      </c>
      <c r="BL690" s="112" t="n">
        <f aca="true">IFERROR(SUMPRODUCT(OFFSET($BJ$31,0,1-MIN(60,COLUMN()-29),1,MIN(60,COLUMN()-29)),OFFSET(BL689,0,-MIN(60,COLUMN()-29),1,MIN(60,COLUMN()-29))),0)</f>
        <v>0</v>
      </c>
      <c r="BM690" s="112" t="n">
        <f aca="true">IFERROR(SUMPRODUCT(OFFSET($BJ$31,0,1-MIN(60,COLUMN()-29),1,MIN(60,COLUMN()-29)),OFFSET(BM689,0,-MIN(60,COLUMN()-29),1,MIN(60,COLUMN()-29))),0)</f>
        <v>0</v>
      </c>
      <c r="BN690" s="112" t="n">
        <f aca="true">IFERROR(SUMPRODUCT(OFFSET($BJ$31,0,1-MIN(60,COLUMN()-29),1,MIN(60,COLUMN()-29)),OFFSET(BN689,0,-MIN(60,COLUMN()-29),1,MIN(60,COLUMN()-29))),0)</f>
        <v>0</v>
      </c>
      <c r="BO690" s="112" t="n">
        <f aca="true">IFERROR(SUMPRODUCT(OFFSET($BJ$31,0,1-MIN(60,COLUMN()-29),1,MIN(60,COLUMN()-29)),OFFSET(BO689,0,-MIN(60,COLUMN()-29),1,MIN(60,COLUMN()-29))),0)</f>
        <v>0</v>
      </c>
      <c r="BP690" s="112" t="n">
        <f aca="true">IFERROR(SUMPRODUCT(OFFSET($BJ$31,0,1-MIN(60,COLUMN()-29),1,MIN(60,COLUMN()-29)),OFFSET(BP689,0,-MIN(60,COLUMN()-29),1,MIN(60,COLUMN()-29))),0)</f>
        <v>0</v>
      </c>
      <c r="BQ690" s="112" t="n">
        <f aca="true">IFERROR(SUMPRODUCT(OFFSET($BJ$31,0,1-MIN(60,COLUMN()-29),1,MIN(60,COLUMN()-29)),OFFSET(BQ689,0,-MIN(60,COLUMN()-29),1,MIN(60,COLUMN()-29))),0)</f>
        <v>0</v>
      </c>
      <c r="BR690" s="112" t="n">
        <f aca="true">IFERROR(SUMPRODUCT(OFFSET($BJ$31,0,1-MIN(60,COLUMN()-29),1,MIN(60,COLUMN()-29)),OFFSET(BR689,0,-MIN(60,COLUMN()-29),1,MIN(60,COLUMN()-29))),0)</f>
        <v>0</v>
      </c>
      <c r="BS690" s="112" t="n">
        <f aca="true">IFERROR(SUMPRODUCT(OFFSET($BJ$31,0,1-MIN(60,COLUMN()-29),1,MIN(60,COLUMN()-29)),OFFSET(BS689,0,-MIN(60,COLUMN()-29),1,MIN(60,COLUMN()-29))),0)</f>
        <v>0</v>
      </c>
      <c r="BT690" s="112" t="n">
        <f aca="true">IFERROR(SUMPRODUCT(OFFSET($BJ$31,0,1-MIN(60,COLUMN()-29),1,MIN(60,COLUMN()-29)),OFFSET(BT689,0,-MIN(60,COLUMN()-29),1,MIN(60,COLUMN()-29))),0)</f>
        <v>0</v>
      </c>
      <c r="BU690" s="112" t="n">
        <f aca="true">IFERROR(SUMPRODUCT(OFFSET($BJ$31,0,1-MIN(60,COLUMN()-29),1,MIN(60,COLUMN()-29)),OFFSET(BU689,0,-MIN(60,COLUMN()-29),1,MIN(60,COLUMN()-29))),0)</f>
        <v>0</v>
      </c>
      <c r="BV690" s="112" t="n">
        <f aca="true">IFERROR(SUMPRODUCT(OFFSET($BJ$31,0,1-MIN(60,COLUMN()-29),1,MIN(60,COLUMN()-29)),OFFSET(BV689,0,-MIN(60,COLUMN()-29),1,MIN(60,COLUMN()-29))),0)</f>
        <v>0</v>
      </c>
      <c r="BW690" s="112" t="n">
        <f aca="true">IFERROR(SUMPRODUCT(OFFSET($BJ$31,0,1-MIN(60,COLUMN()-29),1,MIN(60,COLUMN()-29)),OFFSET(BW689,0,-MIN(60,COLUMN()-29),1,MIN(60,COLUMN()-29))),0)</f>
        <v>0</v>
      </c>
      <c r="BX690" s="112" t="n">
        <f aca="true">IFERROR(SUMPRODUCT(OFFSET($BJ$31,0,1-MIN(60,COLUMN()-29),1,MIN(60,COLUMN()-29)),OFFSET(BX689,0,-MIN(60,COLUMN()-29),1,MIN(60,COLUMN()-29))),0)</f>
        <v>0</v>
      </c>
      <c r="BY690" s="112" t="n">
        <f aca="true">IFERROR(SUMPRODUCT(OFFSET($BJ$31,0,1-MIN(60,COLUMN()-29),1,MIN(60,COLUMN()-29)),OFFSET(BY689,0,-MIN(60,COLUMN()-29),1,MIN(60,COLUMN()-29))),0)</f>
        <v>0</v>
      </c>
      <c r="BZ690" s="112" t="n">
        <f aca="true">IFERROR(SUMPRODUCT(OFFSET($BJ$31,0,1-MIN(60,COLUMN()-29),1,MIN(60,COLUMN()-29)),OFFSET(BZ689,0,-MIN(60,COLUMN()-29),1,MIN(60,COLUMN()-29))),0)</f>
        <v>0</v>
      </c>
      <c r="CA690" s="112" t="n">
        <f aca="true">IFERROR(SUMPRODUCT(OFFSET($BJ$31,0,1-MIN(60,COLUMN()-29),1,MIN(60,COLUMN()-29)),OFFSET(CA689,0,-MIN(60,COLUMN()-29),1,MIN(60,COLUMN()-29))),0)</f>
        <v>0</v>
      </c>
      <c r="CB690" s="112" t="n">
        <f aca="true">IFERROR(SUMPRODUCT(OFFSET($BJ$31,0,1-MIN(60,COLUMN()-29),1,MIN(60,COLUMN()-29)),OFFSET(CB689,0,-MIN(60,COLUMN()-29),1,MIN(60,COLUMN()-29))),0)</f>
        <v>0</v>
      </c>
      <c r="CC690" s="112" t="n">
        <f aca="true">IFERROR(SUMPRODUCT(OFFSET($BJ$31,0,1-MIN(60,COLUMN()-29),1,MIN(60,COLUMN()-29)),OFFSET(CC689,0,-MIN(60,COLUMN()-29),1,MIN(60,COLUMN()-29))),0)</f>
        <v>0</v>
      </c>
      <c r="CD690" s="112" t="n">
        <f aca="true">IFERROR(SUMPRODUCT(OFFSET($BJ$31,0,1-MIN(60,COLUMN()-29),1,MIN(60,COLUMN()-29)),OFFSET(CD689,0,-MIN(60,COLUMN()-29),1,MIN(60,COLUMN()-29))),0)</f>
        <v>0</v>
      </c>
      <c r="CE690" s="112" t="n">
        <f aca="true">IFERROR(SUMPRODUCT(OFFSET($BJ$31,0,1-MIN(60,COLUMN()-29),1,MIN(60,COLUMN()-29)),OFFSET(CE689,0,-MIN(60,COLUMN()-29),1,MIN(60,COLUMN()-29))),0)</f>
        <v>0</v>
      </c>
      <c r="CF690" s="112" t="n">
        <f aca="true">IFERROR(SUMPRODUCT(OFFSET($BJ$31,0,1-MIN(60,COLUMN()-29),1,MIN(60,COLUMN()-29)),OFFSET(CF689,0,-MIN(60,COLUMN()-29),1,MIN(60,COLUMN()-29))),0)</f>
        <v>0</v>
      </c>
      <c r="CG690" s="112" t="n">
        <f aca="true">IFERROR(SUMPRODUCT(OFFSET($BJ$31,0,1-MIN(60,COLUMN()-29),1,MIN(60,COLUMN()-29)),OFFSET(CG689,0,-MIN(60,COLUMN()-29),1,MIN(60,COLUMN()-29))),0)</f>
        <v>0</v>
      </c>
      <c r="CH690" s="112" t="n">
        <f aca="true">IFERROR(SUMPRODUCT(OFFSET($BJ$31,0,1-MIN(60,COLUMN()-29),1,MIN(60,COLUMN()-29)),OFFSET(CH689,0,-MIN(60,COLUMN()-29),1,MIN(60,COLUMN()-29))),0)</f>
        <v>0</v>
      </c>
      <c r="CI690" s="112" t="n">
        <f aca="true">IFERROR(SUMPRODUCT(OFFSET($BJ$31,0,1-MIN(60,COLUMN()-29),1,MIN(60,COLUMN()-29)),OFFSET(CI689,0,-MIN(60,COLUMN()-29),1,MIN(60,COLUMN()-29))),0)</f>
        <v>0</v>
      </c>
      <c r="CJ690" s="112" t="n">
        <f aca="true">IFERROR(SUMPRODUCT(OFFSET($BJ$31,0,1-MIN(60,COLUMN()-29),1,MIN(60,COLUMN()-29)),OFFSET(CJ689,0,-MIN(60,COLUMN()-29),1,MIN(60,COLUMN()-29))),0)</f>
        <v>0</v>
      </c>
      <c r="CK690" s="112" t="n">
        <f aca="true">IFERROR(SUMPRODUCT(OFFSET($BJ$31,0,1-MIN(60,COLUMN()-29),1,MIN(60,COLUMN()-29)),OFFSET(CK689,0,-MIN(60,COLUMN()-29),1,MIN(60,COLUMN()-29))),0)</f>
        <v>0</v>
      </c>
      <c r="CL690" s="112" t="n">
        <f aca="true">IFERROR(SUMPRODUCT(OFFSET($BJ$31,0,1-MIN(60,COLUMN()-29),1,MIN(60,COLUMN()-29)),OFFSET(CL689,0,-MIN(60,COLUMN()-29),1,MIN(60,COLUMN()-29))),0)</f>
        <v>0</v>
      </c>
      <c r="CM690" s="112" t="n">
        <f aca="true">IFERROR(SUMPRODUCT(OFFSET($BJ$31,0,1-MIN(60,COLUMN()-29),1,MIN(60,COLUMN()-29)),OFFSET(CM689,0,-MIN(60,COLUMN()-29),1,MIN(60,COLUMN()-29))),0)</f>
        <v>0</v>
      </c>
      <c r="CN690" s="112" t="n">
        <f aca="true">IFERROR(SUMPRODUCT(OFFSET($BJ$31,0,1-MIN(60,COLUMN()-29),1,MIN(60,COLUMN()-29)),OFFSET(CN689,0,-MIN(60,COLUMN()-29),1,MIN(60,COLUMN()-29))),0)</f>
        <v>0</v>
      </c>
      <c r="CO690" s="112" t="n">
        <f aca="true">IFERROR(SUMPRODUCT(OFFSET($BJ$31,0,1-MIN(60,COLUMN()-29),1,MIN(60,COLUMN()-29)),OFFSET(CO689,0,-MIN(60,COLUMN()-29),1,MIN(60,COLUMN()-29))),0)</f>
        <v>0</v>
      </c>
      <c r="CP690" s="112" t="n">
        <f aca="true">IFERROR(SUMPRODUCT(OFFSET($BJ$31,0,1-MIN(60,COLUMN()-29),1,MIN(60,COLUMN()-29)),OFFSET(CP689,0,-MIN(60,COLUMN()-29),1,MIN(60,COLUMN()-29))),0)</f>
        <v>0</v>
      </c>
      <c r="CQ690" s="112" t="n">
        <f aca="true">IFERROR(SUMPRODUCT(OFFSET($BJ$31,0,1-MIN(60,COLUMN()-29),1,MIN(60,COLUMN()-29)),OFFSET(CQ689,0,-MIN(60,COLUMN()-29),1,MIN(60,COLUMN()-29))),0)</f>
        <v>0</v>
      </c>
      <c r="CR690" s="112" t="n">
        <f aca="true">IFERROR(SUMPRODUCT(OFFSET($BJ$31,0,1-MIN(60,COLUMN()-29),1,MIN(60,COLUMN()-29)),OFFSET(CR689,0,-MIN(60,COLUMN()-29),1,MIN(60,COLUMN()-29))),0)</f>
        <v>0</v>
      </c>
      <c r="CS690" s="112" t="n">
        <f aca="true">IFERROR(SUMPRODUCT(OFFSET($BJ$31,0,1-MIN(60,COLUMN()-29),1,MIN(60,COLUMN()-29)),OFFSET(CS689,0,-MIN(60,COLUMN()-29),1,MIN(60,COLUMN()-29))),0)</f>
        <v>0</v>
      </c>
      <c r="CT690" s="112" t="n">
        <f aca="true">IFERROR(SUMPRODUCT(OFFSET($BJ$31,0,1-MIN(60,COLUMN()-29),1,MIN(60,COLUMN()-29)),OFFSET(CT689,0,-MIN(60,COLUMN()-29),1,MIN(60,COLUMN()-29))),0)</f>
        <v>0</v>
      </c>
      <c r="CU690" s="112" t="n">
        <f aca="true">IFERROR(SUMPRODUCT(OFFSET($BJ$31,0,1-MIN(60,COLUMN()-29),1,MIN(60,COLUMN()-29)),OFFSET(CU689,0,-MIN(60,COLUMN()-29),1,MIN(60,COLUMN()-29))),0)</f>
        <v>0</v>
      </c>
      <c r="CV690" s="112" t="n">
        <f aca="true">IFERROR(SUMPRODUCT(OFFSET($BJ$31,0,1-MIN(60,COLUMN()-29),1,MIN(60,COLUMN()-29)),OFFSET(CV689,0,-MIN(60,COLUMN()-29),1,MIN(60,COLUMN()-29))),0)</f>
        <v>0</v>
      </c>
      <c r="CW690" s="112" t="n">
        <f aca="true">IFERROR(SUMPRODUCT(OFFSET($BJ$31,0,1-MIN(60,COLUMN()-29),1,MIN(60,COLUMN()-29)),OFFSET(CW689,0,-MIN(60,COLUMN()-29),1,MIN(60,COLUMN()-29))),0)</f>
        <v>0</v>
      </c>
      <c r="CX690" s="112" t="n">
        <f aca="true">IFERROR(SUMPRODUCT(OFFSET($BJ$31,0,1-MIN(60,COLUMN()-29),1,MIN(60,COLUMN()-29)),OFFSET(CX689,0,-MIN(60,COLUMN()-29),1,MIN(60,COLUMN()-29))),0)</f>
        <v>5.11488</v>
      </c>
      <c r="CY690" s="112" t="n">
        <f aca="true">IFERROR(SUMPRODUCT(OFFSET($BJ$31,0,1-MIN(60,COLUMN()-29),1,MIN(60,COLUMN()-29)),OFFSET(CY689,0,-MIN(60,COLUMN()-29),1,MIN(60,COLUMN()-29))),0)</f>
        <v>4.975168</v>
      </c>
      <c r="CZ690" s="112" t="n">
        <f aca="true">IFERROR(SUMPRODUCT(OFFSET($BJ$31,0,1-MIN(60,COLUMN()-29),1,MIN(60,COLUMN()-29)),OFFSET(CZ689,0,-MIN(60,COLUMN()-29),1,MIN(60,COLUMN()-29))),0)</f>
        <v>8.0749984</v>
      </c>
      <c r="DA690" s="112" t="n">
        <f aca="true">IFERROR(SUMPRODUCT(OFFSET($BJ$31,0,1-MIN(60,COLUMN()-29),1,MIN(60,COLUMN()-29)),OFFSET(DA689,0,-MIN(60,COLUMN()-29),1,MIN(60,COLUMN()-29))),0)</f>
        <v>9.198496</v>
      </c>
      <c r="DB690" s="112" t="n">
        <f aca="true">IFERROR(SUMPRODUCT(OFFSET($BJ$31,0,1-MIN(60,COLUMN()-29),1,MIN(60,COLUMN()-29)),OFFSET(DB689,0,-MIN(60,COLUMN()-29),1,MIN(60,COLUMN()-29))),0)</f>
        <v>8.8136368</v>
      </c>
      <c r="DC690" s="112" t="n">
        <f aca="true">IFERROR(SUMPRODUCT(OFFSET($BJ$31,0,1-MIN(60,COLUMN()-29),1,MIN(60,COLUMN()-29)),OFFSET(DC689,0,-MIN(60,COLUMN()-29),1,MIN(60,COLUMN()-29))),0)</f>
        <v>9.083648</v>
      </c>
      <c r="DD690" s="112" t="n">
        <f aca="true">IFERROR(SUMPRODUCT(OFFSET($BJ$31,0,1-MIN(60,COLUMN()-29),1,MIN(60,COLUMN()-29)),OFFSET(DD689,0,-MIN(60,COLUMN()-29),1,MIN(60,COLUMN()-29))),0)</f>
        <v>10.7960672</v>
      </c>
      <c r="DE690" s="112" t="n">
        <f aca="true">IFERROR(SUMPRODUCT(OFFSET($BJ$31,0,1-MIN(60,COLUMN()-29),1,MIN(60,COLUMN()-29)),OFFSET(DE689,0,-MIN(60,COLUMN()-29),1,MIN(60,COLUMN()-29))),0)</f>
        <v>17.1876544</v>
      </c>
      <c r="DF690" s="112" t="n">
        <f aca="true">IFERROR(SUMPRODUCT(OFFSET($BJ$31,0,1-MIN(60,COLUMN()-29),1,MIN(60,COLUMN()-29)),OFFSET(DF689,0,-MIN(60,COLUMN()-29),1,MIN(60,COLUMN()-29))),0)</f>
        <v>17.7678144</v>
      </c>
      <c r="DG690" s="112" t="n">
        <f aca="true">IFERROR(SUMPRODUCT(OFFSET($BJ$31,0,1-MIN(60,COLUMN()-29),1,MIN(60,COLUMN()-29)),OFFSET(DG689,0,-MIN(60,COLUMN()-29),1,MIN(60,COLUMN()-29))),0)</f>
        <v>17.4664864</v>
      </c>
      <c r="DH690" s="112" t="n">
        <f aca="true">IFERROR(SUMPRODUCT(OFFSET($BJ$31,0,1-MIN(60,COLUMN()-29),1,MIN(60,COLUMN()-29)),OFFSET(DH689,0,-MIN(60,COLUMN()-29),1,MIN(60,COLUMN()-29))),0)</f>
        <v>15.9366992</v>
      </c>
      <c r="DI690" s="112" t="n">
        <f aca="true">IFERROR(SUMPRODUCT(OFFSET($BJ$31,0,1-MIN(60,COLUMN()-29),1,MIN(60,COLUMN()-29)),OFFSET(DI689,0,-MIN(60,COLUMN()-29),1,MIN(60,COLUMN()-29))),0)</f>
        <v>21.4711296</v>
      </c>
      <c r="DJ690" s="112" t="n">
        <f aca="true">IFERROR(SUMPRODUCT(OFFSET($BJ$31,0,1-MIN(60,COLUMN()-29),1,MIN(60,COLUMN()-29)),OFFSET(DJ689,0,-MIN(60,COLUMN()-29),1,MIN(60,COLUMN()-29))),0)</f>
        <v>24.8571328</v>
      </c>
      <c r="DK690" s="112" t="n">
        <f aca="true">IFERROR(SUMPRODUCT(OFFSET($BJ$31,0,1-MIN(60,COLUMN()-29),1,MIN(60,COLUMN()-29)),OFFSET(DK689,0,-MIN(60,COLUMN()-29),1,MIN(60,COLUMN()-29))),0)</f>
        <v>24.1881728</v>
      </c>
      <c r="DL690" s="112" t="n">
        <f aca="true">IFERROR(SUMPRODUCT(OFFSET($BJ$31,0,1-MIN(60,COLUMN()-29),1,MIN(60,COLUMN()-29)),OFFSET(DL689,0,-MIN(60,COLUMN()-29),1,MIN(60,COLUMN()-29))),0)</f>
        <v>30.442416</v>
      </c>
      <c r="DM690" s="112" t="n">
        <f aca="true">IFERROR(SUMPRODUCT(OFFSET($BJ$31,0,1-MIN(60,COLUMN()-29),1,MIN(60,COLUMN()-29)),OFFSET(DM689,0,-MIN(60,COLUMN()-29),1,MIN(60,COLUMN()-29))),0)</f>
        <v>34.923856</v>
      </c>
      <c r="DN690" s="112" t="n">
        <f aca="true">IFERROR(SUMPRODUCT(OFFSET($BJ$31,0,1-MIN(60,COLUMN()-29),1,MIN(60,COLUMN()-29)),OFFSET(DN689,0,-MIN(60,COLUMN()-29),1,MIN(60,COLUMN()-29))),0)</f>
        <v>35.3376048</v>
      </c>
      <c r="DO690" s="112" t="n">
        <f aca="true">IFERROR(SUMPRODUCT(OFFSET($BJ$31,0,1-MIN(60,COLUMN()-29),1,MIN(60,COLUMN()-29)),OFFSET(DO689,0,-MIN(60,COLUMN()-29),1,MIN(60,COLUMN()-29))),0)</f>
        <v>35.97249224</v>
      </c>
      <c r="DP690" s="112" t="n">
        <f aca="true">IFERROR(SUMPRODUCT(OFFSET($BJ$31,0,1-MIN(60,COLUMN()-29),1,MIN(60,COLUMN()-29)),OFFSET(DP689,0,-MIN(60,COLUMN()-29),1,MIN(60,COLUMN()-29))),0)</f>
        <v>40.15784936</v>
      </c>
      <c r="DQ690" s="112" t="n">
        <f aca="true">IFERROR(SUMPRODUCT(OFFSET($BJ$31,0,1-MIN(60,COLUMN()-29),1,MIN(60,COLUMN()-29)),OFFSET(DQ689,0,-MIN(60,COLUMN()-29),1,MIN(60,COLUMN()-29))),0)</f>
        <v>54.8063018</v>
      </c>
      <c r="DR690" s="112" t="n">
        <f aca="true">IFERROR(SUMPRODUCT(OFFSET($BJ$31,0,1-MIN(60,COLUMN()-29),1,MIN(60,COLUMN()-29)),OFFSET(DR689,0,-MIN(60,COLUMN()-29),1,MIN(60,COLUMN()-29))),0)</f>
        <v>54.2811238</v>
      </c>
      <c r="DS690" s="112" t="n">
        <f aca="true">IFERROR(SUMPRODUCT(OFFSET($BJ$31,0,1-MIN(60,COLUMN()-29),1,MIN(60,COLUMN()-29)),OFFSET(DS689,0,-MIN(60,COLUMN()-29),1,MIN(60,COLUMN()-29))),0)</f>
        <v>53.65191068</v>
      </c>
      <c r="DT690" s="112" t="n">
        <f aca="true">IFERROR(SUMPRODUCT(OFFSET($BJ$31,0,1-MIN(60,COLUMN()-29),1,MIN(60,COLUMN()-29)),OFFSET(DT689,0,-MIN(60,COLUMN()-29),1,MIN(60,COLUMN()-29))),0)</f>
        <v>50.84997764</v>
      </c>
      <c r="DU690" s="112" t="n">
        <f aca="true">IFERROR(SUMPRODUCT(OFFSET($BJ$31,0,1-MIN(60,COLUMN()-29),1,MIN(60,COLUMN()-29)),OFFSET(DU689,0,-MIN(60,COLUMN()-29),1,MIN(60,COLUMN()-29))),0)</f>
        <v>61.91747536</v>
      </c>
      <c r="DV690" s="112" t="n">
        <f aca="true">IFERROR(SUMPRODUCT(OFFSET($BJ$31,0,1-MIN(60,COLUMN()-29),1,MIN(60,COLUMN()-29)),OFFSET(DV689,0,-MIN(60,COLUMN()-29),1,MIN(60,COLUMN()-29))),0)</f>
        <v>66.4224888</v>
      </c>
      <c r="DW690" s="112" t="n">
        <f aca="true">IFERROR(SUMPRODUCT(OFFSET($BJ$31,0,1-MIN(60,COLUMN()-29),1,MIN(60,COLUMN()-29)),OFFSET(DW689,0,-MIN(60,COLUMN()-29),1,MIN(60,COLUMN()-29))),0)</f>
        <v>65.49165168</v>
      </c>
      <c r="DX690" s="112" t="n">
        <f aca="true">IFERROR(SUMPRODUCT(OFFSET($BJ$31,0,1-MIN(60,COLUMN()-29),1,MIN(60,COLUMN()-29)),OFFSET(DX689,0,-MIN(60,COLUMN()-29),1,MIN(60,COLUMN()-29))),0)</f>
        <v>77.3395608</v>
      </c>
      <c r="DY690" s="112" t="n">
        <f aca="true">IFERROR(SUMPRODUCT(OFFSET($BJ$31,0,1-MIN(60,COLUMN()-29),1,MIN(60,COLUMN()-29)),OFFSET(DY689,0,-MIN(60,COLUMN()-29),1,MIN(60,COLUMN()-29))),0)</f>
        <v>81.17179584</v>
      </c>
      <c r="DZ690" s="112" t="n">
        <f aca="true">IFERROR(SUMPRODUCT(OFFSET($BJ$31,0,1-MIN(60,COLUMN()-29),1,MIN(60,COLUMN()-29)),OFFSET(DZ689,0,-MIN(60,COLUMN()-29),1,MIN(60,COLUMN()-29))),0)</f>
        <v>81.70260672</v>
      </c>
      <c r="EA690" s="112" t="n">
        <f aca="true">IFERROR(SUMPRODUCT(OFFSET($BJ$31,0,1-MIN(60,COLUMN()-29),1,MIN(60,COLUMN()-29)),OFFSET(EA689,0,-MIN(60,COLUMN()-29),1,MIN(60,COLUMN()-29))),0)</f>
        <v>81.57365136</v>
      </c>
      <c r="EB690" s="112" t="n">
        <f aca="true">IFERROR(SUMPRODUCT(OFFSET($BJ$31,0,1-MIN(60,COLUMN()-29),1,MIN(60,COLUMN()-29)),OFFSET(EB689,0,-MIN(60,COLUMN()-29),1,MIN(60,COLUMN()-29))),0)</f>
        <v>87.95798064</v>
      </c>
      <c r="EC690" s="112" t="n">
        <f aca="true">IFERROR(SUMPRODUCT(OFFSET($BJ$31,0,1-MIN(60,COLUMN()-29),1,MIN(60,COLUMN()-29)),OFFSET(EC689,0,-MIN(60,COLUMN()-29),1,MIN(60,COLUMN()-29))),0)</f>
        <v>108.18636312</v>
      </c>
      <c r="ED690" s="112" t="n">
        <f aca="true">IFERROR(SUMPRODUCT(OFFSET($BJ$31,0,1-MIN(60,COLUMN()-29),1,MIN(60,COLUMN()-29)),OFFSET(ED689,0,-MIN(60,COLUMN()-29),1,MIN(60,COLUMN()-29))),0)</f>
        <v>108.44015352</v>
      </c>
      <c r="EE690" s="112" t="n">
        <f aca="true">IFERROR(SUMPRODUCT(OFFSET($BJ$31,0,1-MIN(60,COLUMN()-29),1,MIN(60,COLUMN()-29)),OFFSET(EE689,0,-MIN(60,COLUMN()-29),1,MIN(60,COLUMN()-29))),0)</f>
        <v>107.6545932</v>
      </c>
      <c r="EF690" s="112" t="n">
        <f aca="true">IFERROR(SUMPRODUCT(OFFSET($BJ$31,0,1-MIN(60,COLUMN()-29),1,MIN(60,COLUMN()-29)),OFFSET(EF689,0,-MIN(60,COLUMN()-29),1,MIN(60,COLUMN()-29))),0)</f>
        <v>104.74871976</v>
      </c>
      <c r="EG690" s="112" t="n">
        <f aca="true">IFERROR(SUMPRODUCT(OFFSET($BJ$31,0,1-MIN(60,COLUMN()-29),1,MIN(60,COLUMN()-29)),OFFSET(EG689,0,-MIN(60,COLUMN()-29),1,MIN(60,COLUMN()-29))),0)</f>
        <v>120.13004304</v>
      </c>
      <c r="EH690" s="112" t="n">
        <f aca="true">IFERROR(SUMPRODUCT(OFFSET($BJ$31,0,1-MIN(60,COLUMN()-29),1,MIN(60,COLUMN()-29)),OFFSET(EH689,0,-MIN(60,COLUMN()-29),1,MIN(60,COLUMN()-29))),0)</f>
        <v>126.22376544</v>
      </c>
      <c r="EI690" s="112" t="n">
        <f aca="true">IFERROR(SUMPRODUCT(OFFSET($BJ$31,0,1-MIN(60,COLUMN()-29),1,MIN(60,COLUMN()-29)),OFFSET(EI689,0,-MIN(60,COLUMN()-29),1,MIN(60,COLUMN()-29))),0)</f>
        <v>126.59956704</v>
      </c>
      <c r="EJ690" s="112" t="n">
        <f aca="true">IFERROR(SUMPRODUCT(OFFSET($BJ$31,0,1-MIN(60,COLUMN()-29),1,MIN(60,COLUMN()-29)),OFFSET(EJ689,0,-MIN(60,COLUMN()-29),1,MIN(60,COLUMN()-29))),0)</f>
        <v>140.82813312</v>
      </c>
      <c r="EK690" s="112" t="n">
        <f aca="true">IFERROR(SUMPRODUCT(OFFSET($BJ$31,0,1-MIN(60,COLUMN()-29),1,MIN(60,COLUMN()-29)),OFFSET(EK689,0,-MIN(60,COLUMN()-29),1,MIN(60,COLUMN()-29))),0)</f>
        <v>144.82142472</v>
      </c>
      <c r="EL690" s="112" t="n">
        <f aca="true">IFERROR(SUMPRODUCT(OFFSET($BJ$31,0,1-MIN(60,COLUMN()-29),1,MIN(60,COLUMN()-29)),OFFSET(EL689,0,-MIN(60,COLUMN()-29),1,MIN(60,COLUMN()-29))),0)</f>
        <v>146.53538904</v>
      </c>
      <c r="EM690" s="112" t="n">
        <f aca="true">IFERROR(SUMPRODUCT(OFFSET($BJ$31,0,1-MIN(60,COLUMN()-29),1,MIN(60,COLUMN()-29)),OFFSET(EM689,0,-MIN(60,COLUMN()-29),1,MIN(60,COLUMN()-29))),0)</f>
        <v>146.90145816</v>
      </c>
      <c r="EN690" s="112" t="n">
        <f aca="true">IFERROR(SUMPRODUCT(OFFSET($BJ$31,0,1-MIN(60,COLUMN()-29),1,MIN(60,COLUMN()-29)),OFFSET(EN689,0,-MIN(60,COLUMN()-29),1,MIN(60,COLUMN()-29))),0)</f>
        <v>155.70597816</v>
      </c>
      <c r="EO690" s="112" t="n">
        <f aca="true">IFERROR(SUMPRODUCT(OFFSET($BJ$31,0,1-MIN(60,COLUMN()-29),1,MIN(60,COLUMN()-29)),OFFSET(EO689,0,-MIN(60,COLUMN()-29),1,MIN(60,COLUMN()-29))),0)</f>
        <v>179.2051932</v>
      </c>
      <c r="EP690" s="112" t="n">
        <f aca="true">IFERROR(SUMPRODUCT(OFFSET($BJ$31,0,1-MIN(60,COLUMN()-29),1,MIN(60,COLUMN()-29)),OFFSET(EP689,0,-MIN(60,COLUMN()-29),1,MIN(60,COLUMN()-29))),0)</f>
        <v>179.33301192</v>
      </c>
      <c r="EQ690" s="112" t="n">
        <f aca="true">IFERROR(SUMPRODUCT(OFFSET($BJ$31,0,1-MIN(60,COLUMN()-29),1,MIN(60,COLUMN()-29)),OFFSET(EQ689,0,-MIN(60,COLUMN()-29),1,MIN(60,COLUMN()-29))),0)</f>
        <v>178.08242376</v>
      </c>
      <c r="ER690" s="112" t="n">
        <f aca="true">IFERROR(SUMPRODUCT(OFFSET($BJ$31,0,1-MIN(60,COLUMN()-29),1,MIN(60,COLUMN()-29)),OFFSET(ER689,0,-MIN(60,COLUMN()-29),1,MIN(60,COLUMN()-29))),0)</f>
        <v>174.84154344</v>
      </c>
      <c r="ES690" s="9" t="n">
        <f aca="true">IFERROR(SUMPRODUCT(OFFSET($BJ$31,0,1-MIN(60,COLUMN()-29),1,MIN(60,COLUMN()-29)),OFFSET(ES689,0,-MIN(60,COLUMN()-29),1,MIN(60,COLUMN()-29))),0)</f>
        <v>191.9411556</v>
      </c>
      <c r="ET690" s="9" t="n">
        <f aca="true">IFERROR(SUMPRODUCT(OFFSET($BJ$31,0,1-MIN(60,COLUMN()-29),1,MIN(60,COLUMN()-29)),OFFSET(ET689,0,-MIN(60,COLUMN()-29),1,MIN(60,COLUMN()-29))),0)</f>
        <v>198.000246</v>
      </c>
      <c r="EU690" s="9" t="n">
        <f aca="true">IFERROR(SUMPRODUCT(OFFSET($BJ$31,0,1-MIN(60,COLUMN()-29),1,MIN(60,COLUMN()-29)),OFFSET(EU689,0,-MIN(60,COLUMN()-29),1,MIN(60,COLUMN()-29))),0)</f>
        <v>198.04160016</v>
      </c>
      <c r="EV690" s="9" t="n">
        <f aca="true">IFERROR(SUMPRODUCT(OFFSET($BJ$31,0,1-MIN(60,COLUMN()-29),1,MIN(60,COLUMN()-29)),OFFSET(EV689,0,-MIN(60,COLUMN()-29),1,MIN(60,COLUMN()-29))),0)</f>
        <v>212.18616144</v>
      </c>
      <c r="EW690" s="9" t="n">
        <f aca="true">IFERROR(SUMPRODUCT(OFFSET($BJ$31,0,1-MIN(60,COLUMN()-29),1,MIN(60,COLUMN()-29)),OFFSET(EW689,0,-MIN(60,COLUMN()-29),1,MIN(60,COLUMN()-29))),0)</f>
        <v>215.739933</v>
      </c>
      <c r="EX690" s="9" t="n">
        <f aca="true">IFERROR(SUMPRODUCT(OFFSET($BJ$31,0,1-MIN(60,COLUMN()-29),1,MIN(60,COLUMN()-29)),OFFSET(EX689,0,-MIN(60,COLUMN()-29),1,MIN(60,COLUMN()-29))),0)</f>
        <v>216.78927372</v>
      </c>
      <c r="EY690" s="9" t="n">
        <f aca="true">IFERROR(SUMPRODUCT(OFFSET($BJ$31,0,1-MIN(60,COLUMN()-29),1,MIN(60,COLUMN()-29)),OFFSET(EY689,0,-MIN(60,COLUMN()-29),1,MIN(60,COLUMN()-29))),0)</f>
        <v>216.48946716</v>
      </c>
      <c r="EZ690" s="9" t="n">
        <f aca="true">IFERROR(SUMPRODUCT(OFFSET($BJ$31,0,1-MIN(60,COLUMN()-29),1,MIN(60,COLUMN()-29)),OFFSET(EZ689,0,-MIN(60,COLUMN()-29),1,MIN(60,COLUMN()-29))),0)</f>
        <v>225.14582436</v>
      </c>
      <c r="FA690" s="9" t="n">
        <f aca="true">IFERROR(SUMPRODUCT(OFFSET($BJ$31,0,1-MIN(60,COLUMN()-29),1,MIN(60,COLUMN()-29)),OFFSET(FA689,0,-MIN(60,COLUMN()-29),1,MIN(60,COLUMN()-29))),0)</f>
        <v>247.4990976</v>
      </c>
      <c r="FB690" s="9" t="n">
        <f aca="true">IFERROR(SUMPRODUCT(OFFSET($BJ$31,0,1-MIN(60,COLUMN()-29),1,MIN(60,COLUMN()-29)),OFFSET(FB689,0,-MIN(60,COLUMN()-29),1,MIN(60,COLUMN()-29))),0)</f>
        <v>246.40520592</v>
      </c>
      <c r="FC690" s="9" t="n">
        <f aca="true">IFERROR(SUMPRODUCT(OFFSET($BJ$31,0,1-MIN(60,COLUMN()-29),1,MIN(60,COLUMN()-29)),OFFSET(FC689,0,-MIN(60,COLUMN()-29),1,MIN(60,COLUMN()-29))),0)</f>
        <v>244.13292048</v>
      </c>
      <c r="FD690" s="9" t="n">
        <f aca="true">IFERROR(SUMPRODUCT(OFFSET($BJ$31,0,1-MIN(60,COLUMN()-29),1,MIN(60,COLUMN()-29)),OFFSET(FD689,0,-MIN(60,COLUMN()-29),1,MIN(60,COLUMN()-29))),0)</f>
        <v>240.19824576</v>
      </c>
      <c r="FE690" s="9" t="n">
        <f aca="true">IFERROR(SUMPRODUCT(OFFSET($BJ$31,0,1-MIN(60,COLUMN()-29),1,MIN(60,COLUMN()-29)),OFFSET(FE689,0,-MIN(60,COLUMN()-29),1,MIN(60,COLUMN()-29))),0)</f>
        <v>256.67552976</v>
      </c>
      <c r="FF690" s="9" t="n">
        <f aca="true">IFERROR(SUMPRODUCT(OFFSET($BJ$31,0,1-MIN(60,COLUMN()-29),1,MIN(60,COLUMN()-29)),OFFSET(FF689,0,-MIN(60,COLUMN()-29),1,MIN(60,COLUMN()-29))),0)</f>
        <v>261.50269776</v>
      </c>
      <c r="FG690" s="9" t="n">
        <f aca="true">IFERROR(SUMPRODUCT(OFFSET($BJ$31,0,1-MIN(60,COLUMN()-29),1,MIN(60,COLUMN()-29)),OFFSET(FG689,0,-MIN(60,COLUMN()-29),1,MIN(60,COLUMN()-29))),0)</f>
        <v>260.46666816</v>
      </c>
      <c r="FH690" s="9" t="n">
        <f aca="true">IFERROR(SUMPRODUCT(OFFSET($BJ$31,0,1-MIN(60,COLUMN()-29),1,MIN(60,COLUMN()-29)),OFFSET(FH689,0,-MIN(60,COLUMN()-29),1,MIN(60,COLUMN()-29))),0)</f>
        <v>273.07786656</v>
      </c>
      <c r="FI690" s="9" t="n">
        <f aca="true">IFERROR(SUMPRODUCT(OFFSET($BJ$31,0,1-MIN(60,COLUMN()-29),1,MIN(60,COLUMN()-29)),OFFSET(FI689,0,-MIN(60,COLUMN()-29),1,MIN(60,COLUMN()-29))),0)</f>
        <v>274.59035256</v>
      </c>
      <c r="FJ690" s="9" t="n">
        <f aca="true">IFERROR(SUMPRODUCT(OFFSET($BJ$31,0,1-MIN(60,COLUMN()-29),1,MIN(60,COLUMN()-29)),OFFSET(FJ689,0,-MIN(60,COLUMN()-29),1,MIN(60,COLUMN()-29))),0)</f>
        <v>273.78387096</v>
      </c>
      <c r="FK690" s="9" t="n">
        <f aca="true">IFERROR(SUMPRODUCT(OFFSET($BJ$31,0,1-MIN(60,COLUMN()-29),1,MIN(60,COLUMN()-29)),OFFSET(FK689,0,-MIN(60,COLUMN()-29),1,MIN(60,COLUMN()-29))),0)</f>
        <v>271.79208696</v>
      </c>
      <c r="FL690" s="9" t="n">
        <f aca="true">IFERROR(SUMPRODUCT(OFFSET($BJ$31,0,1-MIN(60,COLUMN()-29),1,MIN(60,COLUMN()-29)),OFFSET(FL689,0,-MIN(60,COLUMN()-29),1,MIN(60,COLUMN()-29))),0)</f>
        <v>278.66121096</v>
      </c>
      <c r="FM690" s="9" t="n">
        <f aca="true">IFERROR(SUMPRODUCT(OFFSET($BJ$31,0,1-MIN(60,COLUMN()-29),1,MIN(60,COLUMN()-29)),OFFSET(FM689,0,-MIN(60,COLUMN()-29),1,MIN(60,COLUMN()-29))),0)</f>
        <v>297.91558176</v>
      </c>
      <c r="FN690" s="9" t="n">
        <f aca="true">IFERROR(SUMPRODUCT(OFFSET($BJ$31,0,1-MIN(60,COLUMN()-29),1,MIN(60,COLUMN()-29)),OFFSET(FN689,0,-MIN(60,COLUMN()-29),1,MIN(60,COLUMN()-29))),0)</f>
        <v>294.17825616</v>
      </c>
      <c r="FO690" s="9" t="n">
        <f aca="true">IFERROR(SUMPRODUCT(OFFSET($BJ$31,0,1-MIN(60,COLUMN()-29),1,MIN(60,COLUMN()-29)),OFFSET(FO689,0,-MIN(60,COLUMN()-29),1,MIN(60,COLUMN()-29))),0)</f>
        <v>289.62530256</v>
      </c>
      <c r="FP690" s="9" t="n">
        <f aca="true">IFERROR(SUMPRODUCT(OFFSET($BJ$31,0,1-MIN(60,COLUMN()-29),1,MIN(60,COLUMN()-29)),OFFSET(FP689,0,-MIN(60,COLUMN()-29),1,MIN(60,COLUMN()-29))),0)</f>
        <v>283.92274416</v>
      </c>
    </row>
    <row r="691" customFormat="false" ht="15" hidden="false" customHeight="false" outlineLevel="2" collapsed="false">
      <c r="B691" s="90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237"/>
      <c r="AD691" s="237"/>
      <c r="AE691" s="237"/>
      <c r="AF691" s="237"/>
      <c r="AG691" s="237"/>
      <c r="AH691" s="237"/>
      <c r="AI691" s="237"/>
      <c r="AJ691" s="237"/>
      <c r="AK691" s="237"/>
      <c r="AL691" s="237"/>
      <c r="AM691" s="237"/>
      <c r="AN691" s="237"/>
      <c r="AO691" s="237"/>
      <c r="AP691" s="237"/>
      <c r="AQ691" s="237"/>
      <c r="AR691" s="237"/>
      <c r="AS691" s="237"/>
      <c r="AT691" s="237"/>
      <c r="AU691" s="237"/>
      <c r="AV691" s="237"/>
      <c r="AW691" s="237"/>
      <c r="AX691" s="237"/>
      <c r="AY691" s="237"/>
      <c r="AZ691" s="237"/>
      <c r="BA691" s="237"/>
      <c r="BB691" s="237"/>
      <c r="BC691" s="237"/>
      <c r="BD691" s="237"/>
      <c r="BE691" s="237"/>
      <c r="BF691" s="237"/>
      <c r="BG691" s="237"/>
      <c r="BH691" s="237"/>
      <c r="BI691" s="237"/>
      <c r="BJ691" s="237"/>
      <c r="BK691" s="237"/>
      <c r="BL691" s="237"/>
      <c r="BM691" s="237"/>
      <c r="BN691" s="237"/>
      <c r="BO691" s="237"/>
      <c r="BP691" s="237"/>
      <c r="BQ691" s="237"/>
      <c r="BR691" s="237"/>
      <c r="BS691" s="237"/>
      <c r="BT691" s="237"/>
      <c r="BU691" s="237"/>
      <c r="BV691" s="237"/>
      <c r="BW691" s="237"/>
      <c r="BX691" s="237"/>
      <c r="BY691" s="237"/>
      <c r="BZ691" s="237"/>
      <c r="CA691" s="237"/>
      <c r="CB691" s="237"/>
      <c r="CC691" s="237"/>
      <c r="CD691" s="237"/>
      <c r="CE691" s="237"/>
      <c r="CF691" s="237"/>
      <c r="CG691" s="237"/>
      <c r="CH691" s="237"/>
      <c r="CI691" s="237"/>
      <c r="CJ691" s="237"/>
      <c r="CK691" s="237"/>
      <c r="CL691" s="237"/>
      <c r="CM691" s="237"/>
      <c r="CN691" s="237"/>
      <c r="CO691" s="237"/>
      <c r="CP691" s="237"/>
      <c r="CQ691" s="237"/>
      <c r="CR691" s="237"/>
      <c r="CS691" s="237"/>
      <c r="CT691" s="237"/>
      <c r="CU691" s="237"/>
      <c r="CV691" s="237"/>
      <c r="CW691" s="237"/>
      <c r="CX691" s="237"/>
      <c r="CY691" s="237"/>
      <c r="CZ691" s="237"/>
      <c r="DA691" s="237"/>
      <c r="DB691" s="237"/>
      <c r="DC691" s="237"/>
      <c r="DD691" s="237"/>
      <c r="DE691" s="237"/>
      <c r="DF691" s="237"/>
      <c r="DG691" s="237"/>
      <c r="DH691" s="237"/>
      <c r="DI691" s="237"/>
      <c r="DJ691" s="237"/>
      <c r="DK691" s="237"/>
      <c r="DL691" s="237"/>
      <c r="DM691" s="237"/>
      <c r="DN691" s="237"/>
      <c r="DO691" s="237"/>
      <c r="DP691" s="237"/>
      <c r="DQ691" s="237"/>
      <c r="DR691" s="237"/>
      <c r="DS691" s="237"/>
      <c r="DT691" s="237"/>
      <c r="DU691" s="237"/>
      <c r="DV691" s="237"/>
      <c r="DW691" s="237"/>
      <c r="DX691" s="237"/>
      <c r="DY691" s="237"/>
      <c r="DZ691" s="237"/>
      <c r="EA691" s="237"/>
      <c r="EB691" s="237"/>
      <c r="EC691" s="237"/>
      <c r="ED691" s="237"/>
      <c r="EE691" s="237"/>
      <c r="EF691" s="237"/>
      <c r="EG691" s="237"/>
      <c r="EH691" s="237"/>
      <c r="EI691" s="237"/>
      <c r="EJ691" s="237"/>
      <c r="EK691" s="237"/>
      <c r="EL691" s="237"/>
      <c r="EM691" s="237"/>
      <c r="EN691" s="237"/>
      <c r="EO691" s="237"/>
      <c r="EP691" s="237"/>
      <c r="EQ691" s="237"/>
      <c r="ER691" s="237"/>
      <c r="ES691" s="9"/>
      <c r="ET691" s="9"/>
      <c r="EU691" s="9"/>
      <c r="EV691" s="9"/>
      <c r="EW691" s="9"/>
      <c r="EX691" s="9"/>
      <c r="EY691" s="9"/>
      <c r="EZ691" s="9"/>
      <c r="FA691" s="9"/>
      <c r="FB691" s="9"/>
      <c r="FC691" s="9"/>
      <c r="FD691" s="9"/>
      <c r="FE691" s="9"/>
      <c r="FF691" s="9"/>
      <c r="FG691" s="9"/>
      <c r="FH691" s="9"/>
      <c r="FI691" s="9"/>
      <c r="FJ691" s="9"/>
      <c r="FK691" s="9"/>
      <c r="FL691" s="9"/>
      <c r="FM691" s="9"/>
      <c r="FN691" s="9"/>
      <c r="FO691" s="9"/>
      <c r="FP691" s="9"/>
    </row>
    <row r="692" customFormat="false" ht="15" hidden="false" customHeight="false" outlineLevel="2" collapsed="false">
      <c r="B692" s="240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237"/>
      <c r="AD692" s="237"/>
      <c r="AE692" s="237"/>
      <c r="AF692" s="237"/>
      <c r="AG692" s="237"/>
      <c r="AH692" s="237"/>
      <c r="AI692" s="237"/>
      <c r="AJ692" s="237"/>
      <c r="AK692" s="237"/>
      <c r="AL692" s="237"/>
      <c r="AM692" s="237"/>
      <c r="AN692" s="237"/>
      <c r="AO692" s="237"/>
      <c r="AP692" s="237"/>
      <c r="AQ692" s="237"/>
      <c r="AR692" s="237"/>
      <c r="AS692" s="237"/>
      <c r="AT692" s="237"/>
      <c r="AU692" s="237"/>
      <c r="AV692" s="237"/>
      <c r="AW692" s="237"/>
      <c r="AX692" s="237"/>
      <c r="AY692" s="237"/>
      <c r="AZ692" s="237"/>
      <c r="BA692" s="237"/>
      <c r="BB692" s="237"/>
      <c r="BC692" s="237"/>
      <c r="BD692" s="237"/>
      <c r="BE692" s="237"/>
      <c r="BF692" s="237"/>
      <c r="BG692" s="237"/>
      <c r="BH692" s="237"/>
      <c r="BI692" s="237"/>
      <c r="BJ692" s="237"/>
      <c r="BK692" s="237"/>
      <c r="BL692" s="237"/>
      <c r="BM692" s="237"/>
      <c r="BN692" s="237"/>
      <c r="BO692" s="237"/>
      <c r="BP692" s="237"/>
      <c r="BQ692" s="237"/>
      <c r="BR692" s="237"/>
      <c r="BS692" s="237"/>
      <c r="BT692" s="237"/>
      <c r="BU692" s="237"/>
      <c r="BV692" s="237"/>
      <c r="BW692" s="237"/>
      <c r="BX692" s="237"/>
      <c r="BY692" s="237"/>
      <c r="BZ692" s="237"/>
      <c r="CA692" s="237"/>
      <c r="CB692" s="237"/>
      <c r="CC692" s="237"/>
      <c r="CD692" s="237"/>
      <c r="CE692" s="237"/>
      <c r="CF692" s="237"/>
      <c r="CG692" s="237"/>
      <c r="CH692" s="237"/>
      <c r="CI692" s="237"/>
      <c r="CJ692" s="237"/>
      <c r="CK692" s="237"/>
      <c r="CL692" s="237"/>
      <c r="CM692" s="237"/>
      <c r="CN692" s="237"/>
      <c r="CO692" s="237"/>
      <c r="CP692" s="237"/>
      <c r="CQ692" s="237"/>
      <c r="CR692" s="237"/>
      <c r="CS692" s="237"/>
      <c r="CT692" s="237"/>
      <c r="CU692" s="237"/>
      <c r="CV692" s="237"/>
      <c r="CW692" s="237"/>
      <c r="CX692" s="237"/>
      <c r="CY692" s="237"/>
      <c r="CZ692" s="237"/>
      <c r="DA692" s="237"/>
      <c r="DB692" s="237"/>
      <c r="DC692" s="237"/>
      <c r="DD692" s="237"/>
      <c r="DE692" s="237"/>
      <c r="DF692" s="237"/>
      <c r="DG692" s="237"/>
      <c r="DH692" s="237"/>
      <c r="DI692" s="237"/>
      <c r="DJ692" s="237"/>
      <c r="DK692" s="237"/>
      <c r="DL692" s="237"/>
      <c r="DM692" s="237"/>
      <c r="DN692" s="237"/>
      <c r="DO692" s="237"/>
      <c r="DP692" s="237"/>
      <c r="DQ692" s="237"/>
      <c r="DR692" s="237"/>
      <c r="DS692" s="237"/>
      <c r="DT692" s="237"/>
      <c r="DU692" s="237"/>
      <c r="DV692" s="237"/>
      <c r="DW692" s="237"/>
      <c r="DX692" s="237"/>
      <c r="DY692" s="237"/>
      <c r="DZ692" s="237"/>
      <c r="EA692" s="237"/>
      <c r="EB692" s="237"/>
      <c r="EC692" s="237"/>
      <c r="ED692" s="237"/>
      <c r="EE692" s="237"/>
      <c r="EF692" s="237"/>
      <c r="EG692" s="237"/>
      <c r="EH692" s="237"/>
      <c r="EI692" s="237"/>
      <c r="EJ692" s="237"/>
      <c r="EK692" s="237"/>
      <c r="EL692" s="237"/>
      <c r="EM692" s="237"/>
      <c r="EN692" s="237"/>
      <c r="EO692" s="237"/>
      <c r="EP692" s="237"/>
      <c r="EQ692" s="237"/>
      <c r="ER692" s="237"/>
      <c r="ES692" s="9"/>
      <c r="ET692" s="9"/>
      <c r="EU692" s="9"/>
      <c r="EV692" s="9"/>
      <c r="EW692" s="9"/>
      <c r="EX692" s="9"/>
      <c r="EY692" s="9"/>
      <c r="EZ692" s="9"/>
      <c r="FA692" s="9"/>
      <c r="FB692" s="9"/>
      <c r="FC692" s="9"/>
      <c r="FD692" s="9"/>
      <c r="FE692" s="9"/>
      <c r="FF692" s="9"/>
      <c r="FG692" s="9"/>
      <c r="FH692" s="9"/>
      <c r="FI692" s="9"/>
      <c r="FJ692" s="9"/>
      <c r="FK692" s="9"/>
      <c r="FL692" s="9"/>
      <c r="FM692" s="9"/>
      <c r="FN692" s="9"/>
      <c r="FO692" s="9"/>
      <c r="FP692" s="9"/>
    </row>
    <row r="693" customFormat="false" ht="15" hidden="false" customHeight="false" outlineLevel="2" collapsed="false">
      <c r="B693" s="21" t="s">
        <v>942</v>
      </c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1"/>
      <c r="AT693" s="21"/>
      <c r="AU693" s="21"/>
      <c r="AV693" s="21"/>
      <c r="AW693" s="21"/>
      <c r="AX693" s="21"/>
      <c r="AY693" s="21"/>
      <c r="AZ693" s="21"/>
      <c r="BA693" s="21"/>
      <c r="BB693" s="21"/>
      <c r="BC693" s="21"/>
      <c r="BD693" s="21"/>
      <c r="BE693" s="21"/>
      <c r="BF693" s="21"/>
      <c r="BG693" s="21"/>
      <c r="BH693" s="21"/>
      <c r="BI693" s="21"/>
      <c r="BJ693" s="21"/>
      <c r="BK693" s="21"/>
      <c r="BL693" s="21"/>
      <c r="BM693" s="21"/>
      <c r="BN693" s="21"/>
      <c r="BO693" s="21"/>
      <c r="BP693" s="21"/>
      <c r="BQ693" s="21"/>
      <c r="BR693" s="21"/>
      <c r="BS693" s="21"/>
      <c r="BT693" s="21"/>
      <c r="BU693" s="21"/>
      <c r="BV693" s="21"/>
      <c r="BW693" s="21"/>
      <c r="BX693" s="21"/>
      <c r="BY693" s="21"/>
      <c r="BZ693" s="21"/>
      <c r="CA693" s="21"/>
      <c r="CB693" s="21"/>
      <c r="CC693" s="21"/>
      <c r="CD693" s="21"/>
      <c r="CE693" s="21"/>
      <c r="CF693" s="21"/>
      <c r="CG693" s="21"/>
      <c r="CH693" s="21"/>
      <c r="CI693" s="21"/>
      <c r="CJ693" s="21"/>
      <c r="CK693" s="21"/>
      <c r="CL693" s="21"/>
      <c r="CM693" s="21"/>
      <c r="CN693" s="21"/>
      <c r="CO693" s="21"/>
      <c r="CP693" s="21"/>
      <c r="CQ693" s="21"/>
      <c r="CR693" s="21"/>
      <c r="CS693" s="21"/>
      <c r="CT693" s="21"/>
      <c r="CU693" s="21"/>
      <c r="CV693" s="21"/>
      <c r="CW693" s="21"/>
      <c r="CX693" s="21"/>
      <c r="CY693" s="21"/>
      <c r="CZ693" s="21"/>
      <c r="DA693" s="21"/>
      <c r="DB693" s="21"/>
      <c r="DC693" s="21"/>
      <c r="DD693" s="21"/>
      <c r="DE693" s="21"/>
      <c r="DF693" s="21"/>
      <c r="DG693" s="21"/>
      <c r="DH693" s="21"/>
      <c r="DI693" s="21"/>
      <c r="DJ693" s="21"/>
      <c r="DK693" s="21"/>
      <c r="DL693" s="21"/>
      <c r="DM693" s="21"/>
      <c r="DN693" s="21"/>
      <c r="DO693" s="21"/>
      <c r="DP693" s="21"/>
      <c r="DQ693" s="21"/>
      <c r="DR693" s="21"/>
      <c r="DS693" s="21"/>
      <c r="DT693" s="21"/>
      <c r="DU693" s="21"/>
      <c r="DV693" s="21"/>
      <c r="DW693" s="21"/>
      <c r="DX693" s="21"/>
      <c r="DY693" s="21"/>
      <c r="DZ693" s="21"/>
      <c r="EA693" s="21"/>
      <c r="EB693" s="21"/>
      <c r="EC693" s="21"/>
      <c r="ED693" s="21"/>
      <c r="EE693" s="21"/>
      <c r="EF693" s="21"/>
      <c r="EG693" s="21"/>
      <c r="EH693" s="21"/>
      <c r="EI693" s="21"/>
      <c r="EJ693" s="21"/>
      <c r="EK693" s="21"/>
      <c r="EL693" s="21"/>
      <c r="EM693" s="21"/>
      <c r="EN693" s="21"/>
      <c r="EO693" s="21"/>
      <c r="EP693" s="21"/>
      <c r="EQ693" s="21"/>
      <c r="ER693" s="21"/>
      <c r="ES693" s="9"/>
      <c r="ET693" s="9"/>
      <c r="EU693" s="9"/>
      <c r="EV693" s="9"/>
      <c r="EW693" s="9"/>
      <c r="EX693" s="9"/>
      <c r="EY693" s="9"/>
      <c r="EZ693" s="9"/>
      <c r="FA693" s="9"/>
      <c r="FB693" s="9"/>
      <c r="FC693" s="9"/>
      <c r="FD693" s="9"/>
      <c r="FE693" s="9"/>
      <c r="FF693" s="9"/>
      <c r="FG693" s="9"/>
      <c r="FH693" s="9"/>
      <c r="FI693" s="9"/>
      <c r="FJ693" s="9"/>
      <c r="FK693" s="9"/>
      <c r="FL693" s="9"/>
      <c r="FM693" s="9"/>
      <c r="FN693" s="9"/>
      <c r="FO693" s="9"/>
      <c r="FP693" s="9"/>
    </row>
    <row r="694" customFormat="false" ht="15" hidden="false" customHeight="false" outlineLevel="2" collapsed="false">
      <c r="B694" s="9" t="s">
        <v>872</v>
      </c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234" t="n">
        <f aca="false">('⑫ Roll-out Plan'!G74-2025)*12+'⑫ Roll-out Plan'!F74</f>
        <v>74</v>
      </c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9"/>
      <c r="CV694" s="9"/>
      <c r="CW694" s="9"/>
      <c r="CX694" s="9"/>
      <c r="CY694" s="9"/>
      <c r="CZ694" s="9"/>
      <c r="DA694" s="9"/>
      <c r="DB694" s="9"/>
      <c r="DC694" s="9"/>
      <c r="DD694" s="9"/>
      <c r="DE694" s="9"/>
      <c r="DF694" s="9"/>
      <c r="DG694" s="9"/>
      <c r="DH694" s="9"/>
      <c r="DI694" s="9"/>
      <c r="DJ694" s="9"/>
      <c r="DK694" s="9"/>
      <c r="DL694" s="9"/>
      <c r="DM694" s="9"/>
      <c r="DN694" s="9"/>
      <c r="DO694" s="9"/>
      <c r="DP694" s="9"/>
      <c r="DQ694" s="9"/>
      <c r="DR694" s="9"/>
      <c r="DS694" s="9"/>
      <c r="DT694" s="9"/>
      <c r="DU694" s="9"/>
      <c r="DV694" s="9"/>
      <c r="DW694" s="9"/>
      <c r="DX694" s="9"/>
      <c r="DY694" s="9"/>
      <c r="DZ694" s="9"/>
      <c r="EA694" s="9"/>
      <c r="EB694" s="9"/>
      <c r="EC694" s="9"/>
      <c r="ED694" s="9"/>
      <c r="EE694" s="9"/>
      <c r="EF694" s="9"/>
      <c r="EG694" s="9"/>
      <c r="EH694" s="9"/>
      <c r="EI694" s="9"/>
      <c r="EJ694" s="9"/>
      <c r="EK694" s="9"/>
      <c r="EL694" s="9"/>
      <c r="EM694" s="9"/>
      <c r="EN694" s="9"/>
      <c r="EO694" s="9"/>
      <c r="EP694" s="9"/>
      <c r="EQ694" s="9"/>
      <c r="ER694" s="9"/>
      <c r="ES694" s="9"/>
      <c r="ET694" s="9"/>
      <c r="EU694" s="9"/>
      <c r="EV694" s="9"/>
      <c r="EW694" s="9"/>
      <c r="EX694" s="9"/>
      <c r="EY694" s="9"/>
      <c r="EZ694" s="9"/>
      <c r="FA694" s="9"/>
      <c r="FB694" s="9"/>
      <c r="FC694" s="9"/>
      <c r="FD694" s="9"/>
      <c r="FE694" s="9"/>
      <c r="FF694" s="9"/>
      <c r="FG694" s="9"/>
      <c r="FH694" s="9"/>
      <c r="FI694" s="9"/>
      <c r="FJ694" s="9"/>
      <c r="FK694" s="9"/>
      <c r="FL694" s="9"/>
      <c r="FM694" s="9"/>
      <c r="FN694" s="9"/>
      <c r="FO694" s="9"/>
      <c r="FP694" s="9"/>
    </row>
    <row r="695" customFormat="false" ht="15" hidden="false" customHeight="false" outlineLevel="2" collapsed="false">
      <c r="B695" s="9" t="s">
        <v>873</v>
      </c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235" t="n">
        <f aca="false">VLOOKUP("C",$B$14:$C$18,2,FALSE())</f>
        <v>110</v>
      </c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9"/>
      <c r="CV695" s="9"/>
      <c r="CW695" s="9"/>
      <c r="CX695" s="9"/>
      <c r="CY695" s="9"/>
      <c r="CZ695" s="9"/>
      <c r="DA695" s="9"/>
      <c r="DB695" s="9"/>
      <c r="DC695" s="9"/>
      <c r="DD695" s="9"/>
      <c r="DE695" s="9"/>
      <c r="DF695" s="9"/>
      <c r="DG695" s="9"/>
      <c r="DH695" s="9"/>
      <c r="DI695" s="9"/>
      <c r="DJ695" s="9"/>
      <c r="DK695" s="9"/>
      <c r="DL695" s="9"/>
      <c r="DM695" s="9"/>
      <c r="DN695" s="9"/>
      <c r="DO695" s="9"/>
      <c r="DP695" s="9"/>
      <c r="DQ695" s="9"/>
      <c r="DR695" s="9"/>
      <c r="DS695" s="9"/>
      <c r="DT695" s="9"/>
      <c r="DU695" s="9"/>
      <c r="DV695" s="9"/>
      <c r="DW695" s="9"/>
      <c r="DX695" s="9"/>
      <c r="DY695" s="9"/>
      <c r="DZ695" s="9"/>
      <c r="EA695" s="9"/>
      <c r="EB695" s="9"/>
      <c r="EC695" s="9"/>
      <c r="ED695" s="9"/>
      <c r="EE695" s="9"/>
      <c r="EF695" s="9"/>
      <c r="EG695" s="9"/>
      <c r="EH695" s="9"/>
      <c r="EI695" s="9"/>
      <c r="EJ695" s="9"/>
      <c r="EK695" s="9"/>
      <c r="EL695" s="9"/>
      <c r="EM695" s="9"/>
      <c r="EN695" s="9"/>
      <c r="EO695" s="9"/>
      <c r="EP695" s="9"/>
      <c r="EQ695" s="9"/>
      <c r="ER695" s="9"/>
      <c r="ES695" s="9"/>
      <c r="ET695" s="9"/>
      <c r="EU695" s="9"/>
      <c r="EV695" s="9"/>
      <c r="EW695" s="9"/>
      <c r="EX695" s="9"/>
      <c r="EY695" s="9"/>
      <c r="EZ695" s="9"/>
      <c r="FA695" s="9"/>
      <c r="FB695" s="9"/>
      <c r="FC695" s="9"/>
      <c r="FD695" s="9"/>
      <c r="FE695" s="9"/>
      <c r="FF695" s="9"/>
      <c r="FG695" s="9"/>
      <c r="FH695" s="9"/>
      <c r="FI695" s="9"/>
      <c r="FJ695" s="9"/>
      <c r="FK695" s="9"/>
      <c r="FL695" s="9"/>
      <c r="FM695" s="9"/>
      <c r="FN695" s="9"/>
      <c r="FO695" s="9"/>
      <c r="FP695" s="9"/>
    </row>
    <row r="696" customFormat="false" ht="15" hidden="false" customHeight="false" outlineLevel="2" collapsed="false">
      <c r="B696" s="9" t="s">
        <v>799</v>
      </c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63" t="n">
        <f aca="false">IF(AC$35&gt;=$AC$694,AC$35-$AC$694+1,0)</f>
        <v>0</v>
      </c>
      <c r="AD696" s="63" t="n">
        <f aca="false">IF(AD$35&gt;=$AC$694,AD$35-$AC$694+1,0)</f>
        <v>0</v>
      </c>
      <c r="AE696" s="63" t="n">
        <f aca="false">IF(AE$35&gt;=$AC$694,AE$35-$AC$694+1,0)</f>
        <v>0</v>
      </c>
      <c r="AF696" s="63" t="n">
        <f aca="false">IF(AF$35&gt;=$AC$694,AF$35-$AC$694+1,0)</f>
        <v>0</v>
      </c>
      <c r="AG696" s="63" t="n">
        <f aca="false">IF(AG$35&gt;=$AC$694,AG$35-$AC$694+1,0)</f>
        <v>0</v>
      </c>
      <c r="AH696" s="63" t="n">
        <f aca="false">IF(AH$35&gt;=$AC$694,AH$35-$AC$694+1,0)</f>
        <v>0</v>
      </c>
      <c r="AI696" s="63" t="n">
        <f aca="false">IF(AI$35&gt;=$AC$694,AI$35-$AC$694+1,0)</f>
        <v>0</v>
      </c>
      <c r="AJ696" s="63" t="n">
        <f aca="false">IF(AJ$35&gt;=$AC$694,AJ$35-$AC$694+1,0)</f>
        <v>0</v>
      </c>
      <c r="AK696" s="63" t="n">
        <f aca="false">IF(AK$35&gt;=$AC$694,AK$35-$AC$694+1,0)</f>
        <v>0</v>
      </c>
      <c r="AL696" s="63" t="n">
        <f aca="false">IF(AL$35&gt;=$AC$694,AL$35-$AC$694+1,0)</f>
        <v>0</v>
      </c>
      <c r="AM696" s="63" t="n">
        <f aca="false">IF(AM$35&gt;=$AC$694,AM$35-$AC$694+1,0)</f>
        <v>0</v>
      </c>
      <c r="AN696" s="63" t="n">
        <f aca="false">IF(AN$35&gt;=$AC$694,AN$35-$AC$694+1,0)</f>
        <v>0</v>
      </c>
      <c r="AO696" s="63" t="n">
        <f aca="false">IF(AO$35&gt;=$AC$694,AO$35-$AC$694+1,0)</f>
        <v>0</v>
      </c>
      <c r="AP696" s="63" t="n">
        <f aca="false">IF(AP$35&gt;=$AC$694,AP$35-$AC$694+1,0)</f>
        <v>0</v>
      </c>
      <c r="AQ696" s="63" t="n">
        <f aca="false">IF(AQ$35&gt;=$AC$694,AQ$35-$AC$694+1,0)</f>
        <v>0</v>
      </c>
      <c r="AR696" s="63" t="n">
        <f aca="false">IF(AR$35&gt;=$AC$694,AR$35-$AC$694+1,0)</f>
        <v>0</v>
      </c>
      <c r="AS696" s="63" t="n">
        <f aca="false">IF(AS$35&gt;=$AC$694,AS$35-$AC$694+1,0)</f>
        <v>0</v>
      </c>
      <c r="AT696" s="63" t="n">
        <f aca="false">IF(AT$35&gt;=$AC$694,AT$35-$AC$694+1,0)</f>
        <v>0</v>
      </c>
      <c r="AU696" s="63" t="n">
        <f aca="false">IF(AU$35&gt;=$AC$694,AU$35-$AC$694+1,0)</f>
        <v>0</v>
      </c>
      <c r="AV696" s="63" t="n">
        <f aca="false">IF(AV$35&gt;=$AC$694,AV$35-$AC$694+1,0)</f>
        <v>0</v>
      </c>
      <c r="AW696" s="63" t="n">
        <f aca="false">IF(AW$35&gt;=$AC$694,AW$35-$AC$694+1,0)</f>
        <v>0</v>
      </c>
      <c r="AX696" s="63" t="n">
        <f aca="false">IF(AX$35&gt;=$AC$694,AX$35-$AC$694+1,0)</f>
        <v>0</v>
      </c>
      <c r="AY696" s="63" t="n">
        <f aca="false">IF(AY$35&gt;=$AC$694,AY$35-$AC$694+1,0)</f>
        <v>0</v>
      </c>
      <c r="AZ696" s="63" t="n">
        <f aca="false">IF(AZ$35&gt;=$AC$694,AZ$35-$AC$694+1,0)</f>
        <v>0</v>
      </c>
      <c r="BA696" s="63" t="n">
        <f aca="false">IF(BA$35&gt;=$AC$694,BA$35-$AC$694+1,0)</f>
        <v>0</v>
      </c>
      <c r="BB696" s="63" t="n">
        <f aca="false">IF(BB$35&gt;=$AC$694,BB$35-$AC$694+1,0)</f>
        <v>0</v>
      </c>
      <c r="BC696" s="63" t="n">
        <f aca="false">IF(BC$35&gt;=$AC$694,BC$35-$AC$694+1,0)</f>
        <v>0</v>
      </c>
      <c r="BD696" s="63" t="n">
        <f aca="false">IF(BD$35&gt;=$AC$694,BD$35-$AC$694+1,0)</f>
        <v>0</v>
      </c>
      <c r="BE696" s="63" t="n">
        <f aca="false">IF(BE$35&gt;=$AC$694,BE$35-$AC$694+1,0)</f>
        <v>0</v>
      </c>
      <c r="BF696" s="63" t="n">
        <f aca="false">IF(BF$35&gt;=$AC$694,BF$35-$AC$694+1,0)</f>
        <v>0</v>
      </c>
      <c r="BG696" s="63" t="n">
        <f aca="false">IF(BG$35&gt;=$AC$694,BG$35-$AC$694+1,0)</f>
        <v>0</v>
      </c>
      <c r="BH696" s="63" t="n">
        <f aca="false">IF(BH$35&gt;=$AC$694,BH$35-$AC$694+1,0)</f>
        <v>0</v>
      </c>
      <c r="BI696" s="63" t="n">
        <f aca="false">IF(BI$35&gt;=$AC$694,BI$35-$AC$694+1,0)</f>
        <v>0</v>
      </c>
      <c r="BJ696" s="63" t="n">
        <f aca="false">IF(BJ$35&gt;=$AC$694,BJ$35-$AC$694+1,0)</f>
        <v>0</v>
      </c>
      <c r="BK696" s="63" t="n">
        <f aca="false">IF(BK$35&gt;=$AC$694,BK$35-$AC$694+1,0)</f>
        <v>0</v>
      </c>
      <c r="BL696" s="63" t="n">
        <f aca="false">IF(BL$35&gt;=$AC$694,BL$35-$AC$694+1,0)</f>
        <v>0</v>
      </c>
      <c r="BM696" s="63" t="n">
        <f aca="false">IF(BM$35&gt;=$AC$694,BM$35-$AC$694+1,0)</f>
        <v>0</v>
      </c>
      <c r="BN696" s="63" t="n">
        <f aca="false">IF(BN$35&gt;=$AC$694,BN$35-$AC$694+1,0)</f>
        <v>0</v>
      </c>
      <c r="BO696" s="63" t="n">
        <f aca="false">IF(BO$35&gt;=$AC$694,BO$35-$AC$694+1,0)</f>
        <v>0</v>
      </c>
      <c r="BP696" s="63" t="n">
        <f aca="false">IF(BP$35&gt;=$AC$694,BP$35-$AC$694+1,0)</f>
        <v>0</v>
      </c>
      <c r="BQ696" s="63" t="n">
        <f aca="false">IF(BQ$35&gt;=$AC$694,BQ$35-$AC$694+1,0)</f>
        <v>0</v>
      </c>
      <c r="BR696" s="63" t="n">
        <f aca="false">IF(BR$35&gt;=$AC$694,BR$35-$AC$694+1,0)</f>
        <v>0</v>
      </c>
      <c r="BS696" s="63" t="n">
        <f aca="false">IF(BS$35&gt;=$AC$694,BS$35-$AC$694+1,0)</f>
        <v>0</v>
      </c>
      <c r="BT696" s="63" t="n">
        <f aca="false">IF(BT$35&gt;=$AC$694,BT$35-$AC$694+1,0)</f>
        <v>0</v>
      </c>
      <c r="BU696" s="63" t="n">
        <f aca="false">IF(BU$35&gt;=$AC$694,BU$35-$AC$694+1,0)</f>
        <v>0</v>
      </c>
      <c r="BV696" s="63" t="n">
        <f aca="false">IF(BV$35&gt;=$AC$694,BV$35-$AC$694+1,0)</f>
        <v>0</v>
      </c>
      <c r="BW696" s="63" t="n">
        <f aca="false">IF(BW$35&gt;=$AC$694,BW$35-$AC$694+1,0)</f>
        <v>0</v>
      </c>
      <c r="BX696" s="63" t="n">
        <f aca="false">IF(BX$35&gt;=$AC$694,BX$35-$AC$694+1,0)</f>
        <v>0</v>
      </c>
      <c r="BY696" s="63" t="n">
        <f aca="false">IF(BY$35&gt;=$AC$694,BY$35-$AC$694+1,0)</f>
        <v>0</v>
      </c>
      <c r="BZ696" s="63" t="n">
        <f aca="false">IF(BZ$35&gt;=$AC$694,BZ$35-$AC$694+1,0)</f>
        <v>0</v>
      </c>
      <c r="CA696" s="63" t="n">
        <f aca="false">IF(CA$35&gt;=$AC$694,CA$35-$AC$694+1,0)</f>
        <v>0</v>
      </c>
      <c r="CB696" s="63" t="n">
        <f aca="false">IF(CB$35&gt;=$AC$694,CB$35-$AC$694+1,0)</f>
        <v>0</v>
      </c>
      <c r="CC696" s="63" t="n">
        <f aca="false">IF(CC$35&gt;=$AC$694,CC$35-$AC$694+1,0)</f>
        <v>0</v>
      </c>
      <c r="CD696" s="63" t="n">
        <f aca="false">IF(CD$35&gt;=$AC$694,CD$35-$AC$694+1,0)</f>
        <v>0</v>
      </c>
      <c r="CE696" s="63" t="n">
        <f aca="false">IF(CE$35&gt;=$AC$694,CE$35-$AC$694+1,0)</f>
        <v>0</v>
      </c>
      <c r="CF696" s="63" t="n">
        <f aca="false">IF(CF$35&gt;=$AC$694,CF$35-$AC$694+1,0)</f>
        <v>0</v>
      </c>
      <c r="CG696" s="63" t="n">
        <f aca="false">IF(CG$35&gt;=$AC$694,CG$35-$AC$694+1,0)</f>
        <v>0</v>
      </c>
      <c r="CH696" s="63" t="n">
        <f aca="false">IF(CH$35&gt;=$AC$694,CH$35-$AC$694+1,0)</f>
        <v>0</v>
      </c>
      <c r="CI696" s="63" t="n">
        <f aca="false">IF(CI$35&gt;=$AC$694,CI$35-$AC$694+1,0)</f>
        <v>0</v>
      </c>
      <c r="CJ696" s="63" t="n">
        <f aca="false">IF(CJ$35&gt;=$AC$694,CJ$35-$AC$694+1,0)</f>
        <v>0</v>
      </c>
      <c r="CK696" s="63" t="n">
        <f aca="false">IF(CK$35&gt;=$AC$694,CK$35-$AC$694+1,0)</f>
        <v>0</v>
      </c>
      <c r="CL696" s="63" t="n">
        <f aca="false">IF(CL$35&gt;=$AC$694,CL$35-$AC$694+1,0)</f>
        <v>0</v>
      </c>
      <c r="CM696" s="63" t="n">
        <f aca="false">IF(CM$35&gt;=$AC$694,CM$35-$AC$694+1,0)</f>
        <v>0</v>
      </c>
      <c r="CN696" s="63" t="n">
        <f aca="false">IF(CN$35&gt;=$AC$694,CN$35-$AC$694+1,0)</f>
        <v>0</v>
      </c>
      <c r="CO696" s="63" t="n">
        <f aca="false">IF(CO$35&gt;=$AC$694,CO$35-$AC$694+1,0)</f>
        <v>0</v>
      </c>
      <c r="CP696" s="63" t="n">
        <f aca="false">IF(CP$35&gt;=$AC$694,CP$35-$AC$694+1,0)</f>
        <v>0</v>
      </c>
      <c r="CQ696" s="63" t="n">
        <f aca="false">IF(CQ$35&gt;=$AC$694,CQ$35-$AC$694+1,0)</f>
        <v>0</v>
      </c>
      <c r="CR696" s="63" t="n">
        <f aca="false">IF(CR$35&gt;=$AC$694,CR$35-$AC$694+1,0)</f>
        <v>0</v>
      </c>
      <c r="CS696" s="63" t="n">
        <f aca="false">IF(CS$35&gt;=$AC$694,CS$35-$AC$694+1,0)</f>
        <v>0</v>
      </c>
      <c r="CT696" s="63" t="n">
        <f aca="false">IF(CT$35&gt;=$AC$694,CT$35-$AC$694+1,0)</f>
        <v>0</v>
      </c>
      <c r="CU696" s="63" t="n">
        <f aca="false">IF(CU$35&gt;=$AC$694,CU$35-$AC$694+1,0)</f>
        <v>0</v>
      </c>
      <c r="CV696" s="63" t="n">
        <f aca="false">IF(CV$35&gt;=$AC$694,CV$35-$AC$694+1,0)</f>
        <v>0</v>
      </c>
      <c r="CW696" s="63" t="n">
        <f aca="false">IF(CW$35&gt;=$AC$694,CW$35-$AC$694+1,0)</f>
        <v>0</v>
      </c>
      <c r="CX696" s="63" t="n">
        <f aca="false">IF(CX$35&gt;=$AC$694,CX$35-$AC$694+1,0)</f>
        <v>1</v>
      </c>
      <c r="CY696" s="63" t="n">
        <f aca="false">IF(CY$35&gt;=$AC$694,CY$35-$AC$694+1,0)</f>
        <v>2</v>
      </c>
      <c r="CZ696" s="63" t="n">
        <f aca="false">IF(CZ$35&gt;=$AC$694,CZ$35-$AC$694+1,0)</f>
        <v>3</v>
      </c>
      <c r="DA696" s="63" t="n">
        <f aca="false">IF(DA$35&gt;=$AC$694,DA$35-$AC$694+1,0)</f>
        <v>4</v>
      </c>
      <c r="DB696" s="63" t="n">
        <f aca="false">IF(DB$35&gt;=$AC$694,DB$35-$AC$694+1,0)</f>
        <v>5</v>
      </c>
      <c r="DC696" s="63" t="n">
        <f aca="false">IF(DC$35&gt;=$AC$694,DC$35-$AC$694+1,0)</f>
        <v>6</v>
      </c>
      <c r="DD696" s="63" t="n">
        <f aca="false">IF(DD$35&gt;=$AC$694,DD$35-$AC$694+1,0)</f>
        <v>7</v>
      </c>
      <c r="DE696" s="63" t="n">
        <f aca="false">IF(DE$35&gt;=$AC$694,DE$35-$AC$694+1,0)</f>
        <v>8</v>
      </c>
      <c r="DF696" s="63" t="n">
        <f aca="false">IF(DF$35&gt;=$AC$694,DF$35-$AC$694+1,0)</f>
        <v>9</v>
      </c>
      <c r="DG696" s="63" t="n">
        <f aca="false">IF(DG$35&gt;=$AC$694,DG$35-$AC$694+1,0)</f>
        <v>10</v>
      </c>
      <c r="DH696" s="63" t="n">
        <f aca="false">IF(DH$35&gt;=$AC$694,DH$35-$AC$694+1,0)</f>
        <v>11</v>
      </c>
      <c r="DI696" s="63" t="n">
        <f aca="false">IF(DI$35&gt;=$AC$694,DI$35-$AC$694+1,0)</f>
        <v>12</v>
      </c>
      <c r="DJ696" s="63" t="n">
        <f aca="false">IF(DJ$35&gt;=$AC$694,DJ$35-$AC$694+1,0)</f>
        <v>13</v>
      </c>
      <c r="DK696" s="63" t="n">
        <f aca="false">IF(DK$35&gt;=$AC$694,DK$35-$AC$694+1,0)</f>
        <v>14</v>
      </c>
      <c r="DL696" s="63" t="n">
        <f aca="false">IF(DL$35&gt;=$AC$694,DL$35-$AC$694+1,0)</f>
        <v>15</v>
      </c>
      <c r="DM696" s="63" t="n">
        <f aca="false">IF(DM$35&gt;=$AC$694,DM$35-$AC$694+1,0)</f>
        <v>16</v>
      </c>
      <c r="DN696" s="63" t="n">
        <f aca="false">IF(DN$35&gt;=$AC$694,DN$35-$AC$694+1,0)</f>
        <v>17</v>
      </c>
      <c r="DO696" s="63" t="n">
        <f aca="false">IF(DO$35&gt;=$AC$694,DO$35-$AC$694+1,0)</f>
        <v>18</v>
      </c>
      <c r="DP696" s="63" t="n">
        <f aca="false">IF(DP$35&gt;=$AC$694,DP$35-$AC$694+1,0)</f>
        <v>19</v>
      </c>
      <c r="DQ696" s="63" t="n">
        <f aca="false">IF(DQ$35&gt;=$AC$694,DQ$35-$AC$694+1,0)</f>
        <v>20</v>
      </c>
      <c r="DR696" s="63" t="n">
        <f aca="false">IF(DR$35&gt;=$AC$694,DR$35-$AC$694+1,0)</f>
        <v>21</v>
      </c>
      <c r="DS696" s="63" t="n">
        <f aca="false">IF(DS$35&gt;=$AC$694,DS$35-$AC$694+1,0)</f>
        <v>22</v>
      </c>
      <c r="DT696" s="63" t="n">
        <f aca="false">IF(DT$35&gt;=$AC$694,DT$35-$AC$694+1,0)</f>
        <v>23</v>
      </c>
      <c r="DU696" s="63" t="n">
        <f aca="false">IF(DU$35&gt;=$AC$694,DU$35-$AC$694+1,0)</f>
        <v>24</v>
      </c>
      <c r="DV696" s="63" t="n">
        <f aca="false">IF(DV$35&gt;=$AC$694,DV$35-$AC$694+1,0)</f>
        <v>25</v>
      </c>
      <c r="DW696" s="63" t="n">
        <f aca="false">IF(DW$35&gt;=$AC$694,DW$35-$AC$694+1,0)</f>
        <v>26</v>
      </c>
      <c r="DX696" s="63" t="n">
        <f aca="false">IF(DX$35&gt;=$AC$694,DX$35-$AC$694+1,0)</f>
        <v>27</v>
      </c>
      <c r="DY696" s="63" t="n">
        <f aca="false">IF(DY$35&gt;=$AC$694,DY$35-$AC$694+1,0)</f>
        <v>28</v>
      </c>
      <c r="DZ696" s="63" t="n">
        <f aca="false">IF(DZ$35&gt;=$AC$694,DZ$35-$AC$694+1,0)</f>
        <v>29</v>
      </c>
      <c r="EA696" s="63" t="n">
        <f aca="false">IF(EA$35&gt;=$AC$694,EA$35-$AC$694+1,0)</f>
        <v>30</v>
      </c>
      <c r="EB696" s="63" t="n">
        <f aca="false">IF(EB$35&gt;=$AC$694,EB$35-$AC$694+1,0)</f>
        <v>31</v>
      </c>
      <c r="EC696" s="63" t="n">
        <f aca="false">IF(EC$35&gt;=$AC$694,EC$35-$AC$694+1,0)</f>
        <v>32</v>
      </c>
      <c r="ED696" s="63" t="n">
        <f aca="false">IF(ED$35&gt;=$AC$694,ED$35-$AC$694+1,0)</f>
        <v>33</v>
      </c>
      <c r="EE696" s="63" t="n">
        <f aca="false">IF(EE$35&gt;=$AC$694,EE$35-$AC$694+1,0)</f>
        <v>34</v>
      </c>
      <c r="EF696" s="63" t="n">
        <f aca="false">IF(EF$35&gt;=$AC$694,EF$35-$AC$694+1,0)</f>
        <v>35</v>
      </c>
      <c r="EG696" s="63" t="n">
        <f aca="false">IF(EG$35&gt;=$AC$694,EG$35-$AC$694+1,0)</f>
        <v>36</v>
      </c>
      <c r="EH696" s="63" t="n">
        <f aca="false">IF(EH$35&gt;=$AC$694,EH$35-$AC$694+1,0)</f>
        <v>37</v>
      </c>
      <c r="EI696" s="63" t="n">
        <f aca="false">IF(EI$35&gt;=$AC$694,EI$35-$AC$694+1,0)</f>
        <v>38</v>
      </c>
      <c r="EJ696" s="63" t="n">
        <f aca="false">IF(EJ$35&gt;=$AC$694,EJ$35-$AC$694+1,0)</f>
        <v>39</v>
      </c>
      <c r="EK696" s="63" t="n">
        <f aca="false">IF(EK$35&gt;=$AC$694,EK$35-$AC$694+1,0)</f>
        <v>40</v>
      </c>
      <c r="EL696" s="63" t="n">
        <f aca="false">IF(EL$35&gt;=$AC$694,EL$35-$AC$694+1,0)</f>
        <v>41</v>
      </c>
      <c r="EM696" s="63" t="n">
        <f aca="false">IF(EM$35&gt;=$AC$694,EM$35-$AC$694+1,0)</f>
        <v>42</v>
      </c>
      <c r="EN696" s="63" t="n">
        <f aca="false">IF(EN$35&gt;=$AC$694,EN$35-$AC$694+1,0)</f>
        <v>43</v>
      </c>
      <c r="EO696" s="63" t="n">
        <f aca="false">IF(EO$35&gt;=$AC$694,EO$35-$AC$694+1,0)</f>
        <v>44</v>
      </c>
      <c r="EP696" s="63" t="n">
        <f aca="false">IF(EP$35&gt;=$AC$694,EP$35-$AC$694+1,0)</f>
        <v>45</v>
      </c>
      <c r="EQ696" s="63" t="n">
        <f aca="false">IF(EQ$35&gt;=$AC$694,EQ$35-$AC$694+1,0)</f>
        <v>46</v>
      </c>
      <c r="ER696" s="63" t="n">
        <f aca="false">IF(ER$35&gt;=$AC$694,ER$35-$AC$694+1,0)</f>
        <v>47</v>
      </c>
      <c r="ES696" s="9" t="n">
        <f aca="false">IF(ES$35&gt;=$AC$694,ES$35-$AC$694+1,0)</f>
        <v>48</v>
      </c>
      <c r="ET696" s="9" t="n">
        <f aca="false">IF(ET$35&gt;=$AC$694,ET$35-$AC$694+1,0)</f>
        <v>49</v>
      </c>
      <c r="EU696" s="9" t="n">
        <f aca="false">IF(EU$35&gt;=$AC$694,EU$35-$AC$694+1,0)</f>
        <v>50</v>
      </c>
      <c r="EV696" s="9" t="n">
        <f aca="false">IF(EV$35&gt;=$AC$694,EV$35-$AC$694+1,0)</f>
        <v>51</v>
      </c>
      <c r="EW696" s="9" t="n">
        <f aca="false">IF(EW$35&gt;=$AC$694,EW$35-$AC$694+1,0)</f>
        <v>52</v>
      </c>
      <c r="EX696" s="9" t="n">
        <f aca="false">IF(EX$35&gt;=$AC$694,EX$35-$AC$694+1,0)</f>
        <v>53</v>
      </c>
      <c r="EY696" s="9" t="n">
        <f aca="false">IF(EY$35&gt;=$AC$694,EY$35-$AC$694+1,0)</f>
        <v>54</v>
      </c>
      <c r="EZ696" s="9" t="n">
        <f aca="false">IF(EZ$35&gt;=$AC$694,EZ$35-$AC$694+1,0)</f>
        <v>55</v>
      </c>
      <c r="FA696" s="9" t="n">
        <f aca="false">IF(FA$35&gt;=$AC$694,FA$35-$AC$694+1,0)</f>
        <v>56</v>
      </c>
      <c r="FB696" s="9" t="n">
        <f aca="false">IF(FB$35&gt;=$AC$694,FB$35-$AC$694+1,0)</f>
        <v>57</v>
      </c>
      <c r="FC696" s="9" t="n">
        <f aca="false">IF(FC$35&gt;=$AC$694,FC$35-$AC$694+1,0)</f>
        <v>58</v>
      </c>
      <c r="FD696" s="9" t="n">
        <f aca="false">IF(FD$35&gt;=$AC$694,FD$35-$AC$694+1,0)</f>
        <v>59</v>
      </c>
      <c r="FE696" s="9" t="n">
        <f aca="false">IF(FE$35&gt;=$AC$694,FE$35-$AC$694+1,0)</f>
        <v>60</v>
      </c>
      <c r="FF696" s="9" t="n">
        <f aca="false">IF(FF$35&gt;=$AC$694,FF$35-$AC$694+1,0)</f>
        <v>61</v>
      </c>
      <c r="FG696" s="9" t="n">
        <f aca="false">IF(FG$35&gt;=$AC$694,FG$35-$AC$694+1,0)</f>
        <v>62</v>
      </c>
      <c r="FH696" s="9" t="n">
        <f aca="false">IF(FH$35&gt;=$AC$694,FH$35-$AC$694+1,0)</f>
        <v>63</v>
      </c>
      <c r="FI696" s="9" t="n">
        <f aca="false">IF(FI$35&gt;=$AC$694,FI$35-$AC$694+1,0)</f>
        <v>64</v>
      </c>
      <c r="FJ696" s="9" t="n">
        <f aca="false">IF(FJ$35&gt;=$AC$694,FJ$35-$AC$694+1,0)</f>
        <v>65</v>
      </c>
      <c r="FK696" s="9" t="n">
        <f aca="false">IF(FK$35&gt;=$AC$694,FK$35-$AC$694+1,0)</f>
        <v>66</v>
      </c>
      <c r="FL696" s="9" t="n">
        <f aca="false">IF(FL$35&gt;=$AC$694,FL$35-$AC$694+1,0)</f>
        <v>67</v>
      </c>
      <c r="FM696" s="9" t="n">
        <f aca="false">IF(FM$35&gt;=$AC$694,FM$35-$AC$694+1,0)</f>
        <v>68</v>
      </c>
      <c r="FN696" s="9" t="n">
        <f aca="false">IF(FN$35&gt;=$AC$694,FN$35-$AC$694+1,0)</f>
        <v>69</v>
      </c>
      <c r="FO696" s="9" t="n">
        <f aca="false">IF(FO$35&gt;=$AC$694,FO$35-$AC$694+1,0)</f>
        <v>70</v>
      </c>
      <c r="FP696" s="9" t="n">
        <f aca="false">IF(FP$35&gt;=$AC$694,FP$35-$AC$694+1,0)</f>
        <v>71</v>
      </c>
    </row>
    <row r="697" customFormat="false" ht="15" hidden="false" customHeight="false" outlineLevel="2" collapsed="false">
      <c r="B697" s="9" t="s">
        <v>874</v>
      </c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236" t="n">
        <f aca="false" t="array" ref="AC697:AC697">IF(AC696=0,0,IF(AC696/'🎚️ Escenario'!$C$11&gt;=36,$AL$23,INDEX($C$23:$AL$23,MAX(1,ROUNDUP(AC696/'🎚️ Escenario'!$C$11,0)))))</f>
        <v>0</v>
      </c>
      <c r="AD697" s="236" t="n">
        <f aca="false" t="array" ref="AD697:AD697">IF(AD696=0,0,IF(AD696/'🎚️ Escenario'!$C$11&gt;=36,$AL$23,INDEX($C$23:$AL$23,MAX(1,ROUNDUP(AD696/'🎚️ Escenario'!$C$11,0)))))</f>
        <v>0</v>
      </c>
      <c r="AE697" s="236" t="n">
        <f aca="false" t="array" ref="AE697:AE697">IF(AE696=0,0,IF(AE696/'🎚️ Escenario'!$C$11&gt;=36,$AL$23,INDEX($C$23:$AL$23,MAX(1,ROUNDUP(AE696/'🎚️ Escenario'!$C$11,0)))))</f>
        <v>0</v>
      </c>
      <c r="AF697" s="236" t="n">
        <f aca="false" t="array" ref="AF697:AF697">IF(AF696=0,0,IF(AF696/'🎚️ Escenario'!$C$11&gt;=36,$AL$23,INDEX($C$23:$AL$23,MAX(1,ROUNDUP(AF696/'🎚️ Escenario'!$C$11,0)))))</f>
        <v>0</v>
      </c>
      <c r="AG697" s="236" t="n">
        <f aca="false" t="array" ref="AG697:AG697">IF(AG696=0,0,IF(AG696/'🎚️ Escenario'!$C$11&gt;=36,$AL$23,INDEX($C$23:$AL$23,MAX(1,ROUNDUP(AG696/'🎚️ Escenario'!$C$11,0)))))</f>
        <v>0</v>
      </c>
      <c r="AH697" s="236" t="n">
        <f aca="false" t="array" ref="AH697:AH697">IF(AH696=0,0,IF(AH696/'🎚️ Escenario'!$C$11&gt;=36,$AL$23,INDEX($C$23:$AL$23,MAX(1,ROUNDUP(AH696/'🎚️ Escenario'!$C$11,0)))))</f>
        <v>0</v>
      </c>
      <c r="AI697" s="236" t="n">
        <f aca="false" t="array" ref="AI697:AI697">IF(AI696=0,0,IF(AI696/'🎚️ Escenario'!$C$11&gt;=36,$AL$23,INDEX($C$23:$AL$23,MAX(1,ROUNDUP(AI696/'🎚️ Escenario'!$C$11,0)))))</f>
        <v>0</v>
      </c>
      <c r="AJ697" s="236" t="n">
        <f aca="false" t="array" ref="AJ697:AJ697">IF(AJ696=0,0,IF(AJ696/'🎚️ Escenario'!$C$11&gt;=36,$AL$23,INDEX($C$23:$AL$23,MAX(1,ROUNDUP(AJ696/'🎚️ Escenario'!$C$11,0)))))</f>
        <v>0</v>
      </c>
      <c r="AK697" s="236" t="n">
        <f aca="false" t="array" ref="AK697:AK697">IF(AK696=0,0,IF(AK696/'🎚️ Escenario'!$C$11&gt;=36,$AL$23,INDEX($C$23:$AL$23,MAX(1,ROUNDUP(AK696/'🎚️ Escenario'!$C$11,0)))))</f>
        <v>0</v>
      </c>
      <c r="AL697" s="236" t="n">
        <f aca="false" t="array" ref="AL697:AL697">IF(AL696=0,0,IF(AL696/'🎚️ Escenario'!$C$11&gt;=36,$AL$23,INDEX($C$23:$AL$23,MAX(1,ROUNDUP(AL696/'🎚️ Escenario'!$C$11,0)))))</f>
        <v>0</v>
      </c>
      <c r="AM697" s="236" t="n">
        <f aca="false" t="array" ref="AM697:AM697">IF(AM696=0,0,IF(AM696/'🎚️ Escenario'!$C$11&gt;=36,$AL$23,INDEX($C$23:$AL$23,MAX(1,ROUNDUP(AM696/'🎚️ Escenario'!$C$11,0)))))</f>
        <v>0</v>
      </c>
      <c r="AN697" s="236" t="n">
        <f aca="false" t="array" ref="AN697:AN697">IF(AN696=0,0,IF(AN696/'🎚️ Escenario'!$C$11&gt;=36,$AL$23,INDEX($C$23:$AL$23,MAX(1,ROUNDUP(AN696/'🎚️ Escenario'!$C$11,0)))))</f>
        <v>0</v>
      </c>
      <c r="AO697" s="236" t="n">
        <f aca="false" t="array" ref="AO697:AO697">IF(AO696=0,0,IF(AO696/'🎚️ Escenario'!$C$11&gt;=36,$AL$23,INDEX($C$23:$AL$23,MAX(1,ROUNDUP(AO696/'🎚️ Escenario'!$C$11,0)))))</f>
        <v>0</v>
      </c>
      <c r="AP697" s="236" t="n">
        <f aca="false" t="array" ref="AP697:AP697">IF(AP696=0,0,IF(AP696/'🎚️ Escenario'!$C$11&gt;=36,$AL$23,INDEX($C$23:$AL$23,MAX(1,ROUNDUP(AP696/'🎚️ Escenario'!$C$11,0)))))</f>
        <v>0</v>
      </c>
      <c r="AQ697" s="236" t="n">
        <f aca="false" t="array" ref="AQ697:AQ697">IF(AQ696=0,0,IF(AQ696/'🎚️ Escenario'!$C$11&gt;=36,$AL$23,INDEX($C$23:$AL$23,MAX(1,ROUNDUP(AQ696/'🎚️ Escenario'!$C$11,0)))))</f>
        <v>0</v>
      </c>
      <c r="AR697" s="236" t="n">
        <f aca="false" t="array" ref="AR697:AR697">IF(AR696=0,0,IF(AR696/'🎚️ Escenario'!$C$11&gt;=36,$AL$23,INDEX($C$23:$AL$23,MAX(1,ROUNDUP(AR696/'🎚️ Escenario'!$C$11,0)))))</f>
        <v>0</v>
      </c>
      <c r="AS697" s="236" t="n">
        <f aca="false" t="array" ref="AS697:AS697">IF(AS696=0,0,IF(AS696/'🎚️ Escenario'!$C$11&gt;=36,$AL$23,INDEX($C$23:$AL$23,MAX(1,ROUNDUP(AS696/'🎚️ Escenario'!$C$11,0)))))</f>
        <v>0</v>
      </c>
      <c r="AT697" s="236" t="n">
        <f aca="false" t="array" ref="AT697:AT697">IF(AT696=0,0,IF(AT696/'🎚️ Escenario'!$C$11&gt;=36,$AL$23,INDEX($C$23:$AL$23,MAX(1,ROUNDUP(AT696/'🎚️ Escenario'!$C$11,0)))))</f>
        <v>0</v>
      </c>
      <c r="AU697" s="236" t="n">
        <f aca="false" t="array" ref="AU697:AU697">IF(AU696=0,0,IF(AU696/'🎚️ Escenario'!$C$11&gt;=36,$AL$23,INDEX($C$23:$AL$23,MAX(1,ROUNDUP(AU696/'🎚️ Escenario'!$C$11,0)))))</f>
        <v>0</v>
      </c>
      <c r="AV697" s="236" t="n">
        <f aca="false" t="array" ref="AV697:AV697">IF(AV696=0,0,IF(AV696/'🎚️ Escenario'!$C$11&gt;=36,$AL$23,INDEX($C$23:$AL$23,MAX(1,ROUNDUP(AV696/'🎚️ Escenario'!$C$11,0)))))</f>
        <v>0</v>
      </c>
      <c r="AW697" s="236" t="n">
        <f aca="false" t="array" ref="AW697:AW697">IF(AW696=0,0,IF(AW696/'🎚️ Escenario'!$C$11&gt;=36,$AL$23,INDEX($C$23:$AL$23,MAX(1,ROUNDUP(AW696/'🎚️ Escenario'!$C$11,0)))))</f>
        <v>0</v>
      </c>
      <c r="AX697" s="236" t="n">
        <f aca="false" t="array" ref="AX697:AX697">IF(AX696=0,0,IF(AX696/'🎚️ Escenario'!$C$11&gt;=36,$AL$23,INDEX($C$23:$AL$23,MAX(1,ROUNDUP(AX696/'🎚️ Escenario'!$C$11,0)))))</f>
        <v>0</v>
      </c>
      <c r="AY697" s="236" t="n">
        <f aca="false" t="array" ref="AY697:AY697">IF(AY696=0,0,IF(AY696/'🎚️ Escenario'!$C$11&gt;=36,$AL$23,INDEX($C$23:$AL$23,MAX(1,ROUNDUP(AY696/'🎚️ Escenario'!$C$11,0)))))</f>
        <v>0</v>
      </c>
      <c r="AZ697" s="236" t="n">
        <f aca="false" t="array" ref="AZ697:AZ697">IF(AZ696=0,0,IF(AZ696/'🎚️ Escenario'!$C$11&gt;=36,$AL$23,INDEX($C$23:$AL$23,MAX(1,ROUNDUP(AZ696/'🎚️ Escenario'!$C$11,0)))))</f>
        <v>0</v>
      </c>
      <c r="BA697" s="236" t="n">
        <f aca="false" t="array" ref="BA697:BA697">IF(BA696=0,0,IF(BA696/'🎚️ Escenario'!$C$11&gt;=36,$AL$23,INDEX($C$23:$AL$23,MAX(1,ROUNDUP(BA696/'🎚️ Escenario'!$C$11,0)))))</f>
        <v>0</v>
      </c>
      <c r="BB697" s="236" t="n">
        <f aca="false" t="array" ref="BB697:BB697">IF(BB696=0,0,IF(BB696/'🎚️ Escenario'!$C$11&gt;=36,$AL$23,INDEX($C$23:$AL$23,MAX(1,ROUNDUP(BB696/'🎚️ Escenario'!$C$11,0)))))</f>
        <v>0</v>
      </c>
      <c r="BC697" s="236" t="n">
        <f aca="false" t="array" ref="BC697:BC697">IF(BC696=0,0,IF(BC696/'🎚️ Escenario'!$C$11&gt;=36,$AL$23,INDEX($C$23:$AL$23,MAX(1,ROUNDUP(BC696/'🎚️ Escenario'!$C$11,0)))))</f>
        <v>0</v>
      </c>
      <c r="BD697" s="236" t="n">
        <f aca="false" t="array" ref="BD697:BD697">IF(BD696=0,0,IF(BD696/'🎚️ Escenario'!$C$11&gt;=36,$AL$23,INDEX($C$23:$AL$23,MAX(1,ROUNDUP(BD696/'🎚️ Escenario'!$C$11,0)))))</f>
        <v>0</v>
      </c>
      <c r="BE697" s="236" t="n">
        <f aca="false" t="array" ref="BE697:BE697">IF(BE696=0,0,IF(BE696/'🎚️ Escenario'!$C$11&gt;=36,$AL$23,INDEX($C$23:$AL$23,MAX(1,ROUNDUP(BE696/'🎚️ Escenario'!$C$11,0)))))</f>
        <v>0</v>
      </c>
      <c r="BF697" s="236" t="n">
        <f aca="false" t="array" ref="BF697:BF697">IF(BF696=0,0,IF(BF696/'🎚️ Escenario'!$C$11&gt;=36,$AL$23,INDEX($C$23:$AL$23,MAX(1,ROUNDUP(BF696/'🎚️ Escenario'!$C$11,0)))))</f>
        <v>0</v>
      </c>
      <c r="BG697" s="236" t="n">
        <f aca="false" t="array" ref="BG697:BG697">IF(BG696=0,0,IF(BG696/'🎚️ Escenario'!$C$11&gt;=36,$AL$23,INDEX($C$23:$AL$23,MAX(1,ROUNDUP(BG696/'🎚️ Escenario'!$C$11,0)))))</f>
        <v>0</v>
      </c>
      <c r="BH697" s="236" t="n">
        <f aca="false" t="array" ref="BH697:BH697">IF(BH696=0,0,IF(BH696/'🎚️ Escenario'!$C$11&gt;=36,$AL$23,INDEX($C$23:$AL$23,MAX(1,ROUNDUP(BH696/'🎚️ Escenario'!$C$11,0)))))</f>
        <v>0</v>
      </c>
      <c r="BI697" s="236" t="n">
        <f aca="false" t="array" ref="BI697:BI697">IF(BI696=0,0,IF(BI696/'🎚️ Escenario'!$C$11&gt;=36,$AL$23,INDEX($C$23:$AL$23,MAX(1,ROUNDUP(BI696/'🎚️ Escenario'!$C$11,0)))))</f>
        <v>0</v>
      </c>
      <c r="BJ697" s="236" t="n">
        <f aca="false" t="array" ref="BJ697:BJ697">IF(BJ696=0,0,IF(BJ696/'🎚️ Escenario'!$C$11&gt;=36,$AL$23,INDEX($C$23:$AL$23,MAX(1,ROUNDUP(BJ696/'🎚️ Escenario'!$C$11,0)))))</f>
        <v>0</v>
      </c>
      <c r="BK697" s="236" t="n">
        <f aca="false" t="array" ref="BK697:BK697">IF(BK696=0,0,IF(BK696/'🎚️ Escenario'!$C$11&gt;=36,$AL$23,INDEX($C$23:$AL$23,MAX(1,ROUNDUP(BK696/'🎚️ Escenario'!$C$11,0)))))</f>
        <v>0</v>
      </c>
      <c r="BL697" s="236" t="n">
        <f aca="false" t="array" ref="BL697:BL697">IF(BL696=0,0,IF(BL696/'🎚️ Escenario'!$C$11&gt;=36,$AL$23,INDEX($C$23:$AL$23,MAX(1,ROUNDUP(BL696/'🎚️ Escenario'!$C$11,0)))))</f>
        <v>0</v>
      </c>
      <c r="BM697" s="236" t="n">
        <f aca="false" t="array" ref="BM697:BM697">IF(BM696=0,0,IF(BM696/'🎚️ Escenario'!$C$11&gt;=36,$AL$23,INDEX($C$23:$AL$23,MAX(1,ROUNDUP(BM696/'🎚️ Escenario'!$C$11,0)))))</f>
        <v>0</v>
      </c>
      <c r="BN697" s="236" t="n">
        <f aca="false" t="array" ref="BN697:BN697">IF(BN696=0,0,IF(BN696/'🎚️ Escenario'!$C$11&gt;=36,$AL$23,INDEX($C$23:$AL$23,MAX(1,ROUNDUP(BN696/'🎚️ Escenario'!$C$11,0)))))</f>
        <v>0</v>
      </c>
      <c r="BO697" s="236" t="n">
        <f aca="false" t="array" ref="BO697:BO697">IF(BO696=0,0,IF(BO696/'🎚️ Escenario'!$C$11&gt;=36,$AL$23,INDEX($C$23:$AL$23,MAX(1,ROUNDUP(BO696/'🎚️ Escenario'!$C$11,0)))))</f>
        <v>0</v>
      </c>
      <c r="BP697" s="236" t="n">
        <f aca="false" t="array" ref="BP697:BP697">IF(BP696=0,0,IF(BP696/'🎚️ Escenario'!$C$11&gt;=36,$AL$23,INDEX($C$23:$AL$23,MAX(1,ROUNDUP(BP696/'🎚️ Escenario'!$C$11,0)))))</f>
        <v>0</v>
      </c>
      <c r="BQ697" s="236" t="n">
        <f aca="false" t="array" ref="BQ697:BQ697">IF(BQ696=0,0,IF(BQ696/'🎚️ Escenario'!$C$11&gt;=36,$AL$23,INDEX($C$23:$AL$23,MAX(1,ROUNDUP(BQ696/'🎚️ Escenario'!$C$11,0)))))</f>
        <v>0</v>
      </c>
      <c r="BR697" s="236" t="n">
        <f aca="false" t="array" ref="BR697:BR697">IF(BR696=0,0,IF(BR696/'🎚️ Escenario'!$C$11&gt;=36,$AL$23,INDEX($C$23:$AL$23,MAX(1,ROUNDUP(BR696/'🎚️ Escenario'!$C$11,0)))))</f>
        <v>0</v>
      </c>
      <c r="BS697" s="236" t="n">
        <f aca="false" t="array" ref="BS697:BS697">IF(BS696=0,0,IF(BS696/'🎚️ Escenario'!$C$11&gt;=36,$AL$23,INDEX($C$23:$AL$23,MAX(1,ROUNDUP(BS696/'🎚️ Escenario'!$C$11,0)))))</f>
        <v>0</v>
      </c>
      <c r="BT697" s="236" t="n">
        <f aca="false" t="array" ref="BT697:BT697">IF(BT696=0,0,IF(BT696/'🎚️ Escenario'!$C$11&gt;=36,$AL$23,INDEX($C$23:$AL$23,MAX(1,ROUNDUP(BT696/'🎚️ Escenario'!$C$11,0)))))</f>
        <v>0</v>
      </c>
      <c r="BU697" s="236" t="n">
        <f aca="false" t="array" ref="BU697:BU697">IF(BU696=0,0,IF(BU696/'🎚️ Escenario'!$C$11&gt;=36,$AL$23,INDEX($C$23:$AL$23,MAX(1,ROUNDUP(BU696/'🎚️ Escenario'!$C$11,0)))))</f>
        <v>0</v>
      </c>
      <c r="BV697" s="236" t="n">
        <f aca="false" t="array" ref="BV697:BV697">IF(BV696=0,0,IF(BV696/'🎚️ Escenario'!$C$11&gt;=36,$AL$23,INDEX($C$23:$AL$23,MAX(1,ROUNDUP(BV696/'🎚️ Escenario'!$C$11,0)))))</f>
        <v>0</v>
      </c>
      <c r="BW697" s="236" t="n">
        <f aca="false" t="array" ref="BW697:BW697">IF(BW696=0,0,IF(BW696/'🎚️ Escenario'!$C$11&gt;=36,$AL$23,INDEX($C$23:$AL$23,MAX(1,ROUNDUP(BW696/'🎚️ Escenario'!$C$11,0)))))</f>
        <v>0</v>
      </c>
      <c r="BX697" s="236" t="n">
        <f aca="false" t="array" ref="BX697:BX697">IF(BX696=0,0,IF(BX696/'🎚️ Escenario'!$C$11&gt;=36,$AL$23,INDEX($C$23:$AL$23,MAX(1,ROUNDUP(BX696/'🎚️ Escenario'!$C$11,0)))))</f>
        <v>0</v>
      </c>
      <c r="BY697" s="236" t="n">
        <f aca="false" t="array" ref="BY697:BY697">IF(BY696=0,0,IF(BY696/'🎚️ Escenario'!$C$11&gt;=36,$AL$23,INDEX($C$23:$AL$23,MAX(1,ROUNDUP(BY696/'🎚️ Escenario'!$C$11,0)))))</f>
        <v>0</v>
      </c>
      <c r="BZ697" s="236" t="n">
        <f aca="false" t="array" ref="BZ697:BZ697">IF(BZ696=0,0,IF(BZ696/'🎚️ Escenario'!$C$11&gt;=36,$AL$23,INDEX($C$23:$AL$23,MAX(1,ROUNDUP(BZ696/'🎚️ Escenario'!$C$11,0)))))</f>
        <v>0</v>
      </c>
      <c r="CA697" s="236" t="n">
        <f aca="false" t="array" ref="CA697:CA697">IF(CA696=0,0,IF(CA696/'🎚️ Escenario'!$C$11&gt;=36,$AL$23,INDEX($C$23:$AL$23,MAX(1,ROUNDUP(CA696/'🎚️ Escenario'!$C$11,0)))))</f>
        <v>0</v>
      </c>
      <c r="CB697" s="236" t="n">
        <f aca="false" t="array" ref="CB697:CB697">IF(CB696=0,0,IF(CB696/'🎚️ Escenario'!$C$11&gt;=36,$AL$23,INDEX($C$23:$AL$23,MAX(1,ROUNDUP(CB696/'🎚️ Escenario'!$C$11,0)))))</f>
        <v>0</v>
      </c>
      <c r="CC697" s="236" t="n">
        <f aca="false" t="array" ref="CC697:CC697">IF(CC696=0,0,IF(CC696/'🎚️ Escenario'!$C$11&gt;=36,$AL$23,INDEX($C$23:$AL$23,MAX(1,ROUNDUP(CC696/'🎚️ Escenario'!$C$11,0)))))</f>
        <v>0</v>
      </c>
      <c r="CD697" s="236" t="n">
        <f aca="false" t="array" ref="CD697:CD697">IF(CD696=0,0,IF(CD696/'🎚️ Escenario'!$C$11&gt;=36,$AL$23,INDEX($C$23:$AL$23,MAX(1,ROUNDUP(CD696/'🎚️ Escenario'!$C$11,0)))))</f>
        <v>0</v>
      </c>
      <c r="CE697" s="236" t="n">
        <f aca="false" t="array" ref="CE697:CE697">IF(CE696=0,0,IF(CE696/'🎚️ Escenario'!$C$11&gt;=36,$AL$23,INDEX($C$23:$AL$23,MAX(1,ROUNDUP(CE696/'🎚️ Escenario'!$C$11,0)))))</f>
        <v>0</v>
      </c>
      <c r="CF697" s="236" t="n">
        <f aca="false" t="array" ref="CF697:CF697">IF(CF696=0,0,IF(CF696/'🎚️ Escenario'!$C$11&gt;=36,$AL$23,INDEX($C$23:$AL$23,MAX(1,ROUNDUP(CF696/'🎚️ Escenario'!$C$11,0)))))</f>
        <v>0</v>
      </c>
      <c r="CG697" s="236" t="n">
        <f aca="false" t="array" ref="CG697:CG697">IF(CG696=0,0,IF(CG696/'🎚️ Escenario'!$C$11&gt;=36,$AL$23,INDEX($C$23:$AL$23,MAX(1,ROUNDUP(CG696/'🎚️ Escenario'!$C$11,0)))))</f>
        <v>0</v>
      </c>
      <c r="CH697" s="236" t="n">
        <f aca="false" t="array" ref="CH697:CH697">IF(CH696=0,0,IF(CH696/'🎚️ Escenario'!$C$11&gt;=36,$AL$23,INDEX($C$23:$AL$23,MAX(1,ROUNDUP(CH696/'🎚️ Escenario'!$C$11,0)))))</f>
        <v>0</v>
      </c>
      <c r="CI697" s="236" t="n">
        <f aca="false" t="array" ref="CI697:CI697">IF(CI696=0,0,IF(CI696/'🎚️ Escenario'!$C$11&gt;=36,$AL$23,INDEX($C$23:$AL$23,MAX(1,ROUNDUP(CI696/'🎚️ Escenario'!$C$11,0)))))</f>
        <v>0</v>
      </c>
      <c r="CJ697" s="236" t="n">
        <f aca="false" t="array" ref="CJ697:CJ697">IF(CJ696=0,0,IF(CJ696/'🎚️ Escenario'!$C$11&gt;=36,$AL$23,INDEX($C$23:$AL$23,MAX(1,ROUNDUP(CJ696/'🎚️ Escenario'!$C$11,0)))))</f>
        <v>0</v>
      </c>
      <c r="CK697" s="236" t="n">
        <f aca="false" t="array" ref="CK697:CK697">IF(CK696=0,0,IF(CK696/'🎚️ Escenario'!$C$11&gt;=36,$AL$23,INDEX($C$23:$AL$23,MAX(1,ROUNDUP(CK696/'🎚️ Escenario'!$C$11,0)))))</f>
        <v>0</v>
      </c>
      <c r="CL697" s="236" t="n">
        <f aca="false" t="array" ref="CL697:CL697">IF(CL696=0,0,IF(CL696/'🎚️ Escenario'!$C$11&gt;=36,$AL$23,INDEX($C$23:$AL$23,MAX(1,ROUNDUP(CL696/'🎚️ Escenario'!$C$11,0)))))</f>
        <v>0</v>
      </c>
      <c r="CM697" s="236" t="n">
        <f aca="false" t="array" ref="CM697:CM697">IF(CM696=0,0,IF(CM696/'🎚️ Escenario'!$C$11&gt;=36,$AL$23,INDEX($C$23:$AL$23,MAX(1,ROUNDUP(CM696/'🎚️ Escenario'!$C$11,0)))))</f>
        <v>0</v>
      </c>
      <c r="CN697" s="236" t="n">
        <f aca="false" t="array" ref="CN697:CN697">IF(CN696=0,0,IF(CN696/'🎚️ Escenario'!$C$11&gt;=36,$AL$23,INDEX($C$23:$AL$23,MAX(1,ROUNDUP(CN696/'🎚️ Escenario'!$C$11,0)))))</f>
        <v>0</v>
      </c>
      <c r="CO697" s="236" t="n">
        <f aca="false" t="array" ref="CO697:CO697">IF(CO696=0,0,IF(CO696/'🎚️ Escenario'!$C$11&gt;=36,$AL$23,INDEX($C$23:$AL$23,MAX(1,ROUNDUP(CO696/'🎚️ Escenario'!$C$11,0)))))</f>
        <v>0</v>
      </c>
      <c r="CP697" s="236" t="n">
        <f aca="false" t="array" ref="CP697:CP697">IF(CP696=0,0,IF(CP696/'🎚️ Escenario'!$C$11&gt;=36,$AL$23,INDEX($C$23:$AL$23,MAX(1,ROUNDUP(CP696/'🎚️ Escenario'!$C$11,0)))))</f>
        <v>0</v>
      </c>
      <c r="CQ697" s="236" t="n">
        <f aca="false" t="array" ref="CQ697:CQ697">IF(CQ696=0,0,IF(CQ696/'🎚️ Escenario'!$C$11&gt;=36,$AL$23,INDEX($C$23:$AL$23,MAX(1,ROUNDUP(CQ696/'🎚️ Escenario'!$C$11,0)))))</f>
        <v>0</v>
      </c>
      <c r="CR697" s="236" t="n">
        <f aca="false" t="array" ref="CR697:CR697">IF(CR696=0,0,IF(CR696/'🎚️ Escenario'!$C$11&gt;=36,$AL$23,INDEX($C$23:$AL$23,MAX(1,ROUNDUP(CR696/'🎚️ Escenario'!$C$11,0)))))</f>
        <v>0</v>
      </c>
      <c r="CS697" s="236" t="n">
        <f aca="false" t="array" ref="CS697:CS697">IF(CS696=0,0,IF(CS696/'🎚️ Escenario'!$C$11&gt;=36,$AL$23,INDEX($C$23:$AL$23,MAX(1,ROUNDUP(CS696/'🎚️ Escenario'!$C$11,0)))))</f>
        <v>0</v>
      </c>
      <c r="CT697" s="236" t="n">
        <f aca="false" t="array" ref="CT697:CT697">IF(CT696=0,0,IF(CT696/'🎚️ Escenario'!$C$11&gt;=36,$AL$23,INDEX($C$23:$AL$23,MAX(1,ROUNDUP(CT696/'🎚️ Escenario'!$C$11,0)))))</f>
        <v>0</v>
      </c>
      <c r="CU697" s="236" t="n">
        <f aca="false" t="array" ref="CU697:CU697">IF(CU696=0,0,IF(CU696/'🎚️ Escenario'!$C$11&gt;=36,$AL$23,INDEX($C$23:$AL$23,MAX(1,ROUNDUP(CU696/'🎚️ Escenario'!$C$11,0)))))</f>
        <v>0</v>
      </c>
      <c r="CV697" s="236" t="n">
        <f aca="false" t="array" ref="CV697:CV697">IF(CV696=0,0,IF(CV696/'🎚️ Escenario'!$C$11&gt;=36,$AL$23,INDEX($C$23:$AL$23,MAX(1,ROUNDUP(CV696/'🎚️ Escenario'!$C$11,0)))))</f>
        <v>0</v>
      </c>
      <c r="CW697" s="236" t="n">
        <f aca="false" t="array" ref="CW697:CW697">IF(CW696=0,0,IF(CW696/'🎚️ Escenario'!$C$11&gt;=36,$AL$23,INDEX($C$23:$AL$23,MAX(1,ROUNDUP(CW696/'🎚️ Escenario'!$C$11,0)))))</f>
        <v>0</v>
      </c>
      <c r="CX697" s="236" t="n">
        <f aca="false" t="array" ref="CX697:CX697">IF(CX696=0,0,IF(CX696/'🎚️ Escenario'!$C$11&gt;=36,$AL$23,INDEX($C$23:$AL$23,MAX(1,ROUNDUP(CX696/'🎚️ Escenario'!$C$11,0)))))</f>
        <v>0.2</v>
      </c>
      <c r="CY697" s="236" t="n">
        <f aca="false" t="array" ref="CY697:CY697">IF(CY696=0,0,IF(CY696/'🎚️ Escenario'!$C$11&gt;=36,$AL$23,INDEX($C$23:$AL$23,MAX(1,ROUNDUP(CY696/'🎚️ Escenario'!$C$11,0)))))</f>
        <v>0.22</v>
      </c>
      <c r="CZ697" s="236" t="n">
        <f aca="false" t="array" ref="CZ697:CZ697">IF(CZ696=0,0,IF(CZ696/'🎚️ Escenario'!$C$11&gt;=36,$AL$23,INDEX($C$23:$AL$23,MAX(1,ROUNDUP(CZ696/'🎚️ Escenario'!$C$11,0)))))</f>
        <v>0.24</v>
      </c>
      <c r="DA697" s="236" t="n">
        <f aca="false" t="array" ref="DA697:DA697">IF(DA696=0,0,IF(DA696/'🎚️ Escenario'!$C$11&gt;=36,$AL$23,INDEX($C$23:$AL$23,MAX(1,ROUNDUP(DA696/'🎚️ Escenario'!$C$11,0)))))</f>
        <v>0.27</v>
      </c>
      <c r="DB697" s="236" t="n">
        <f aca="false" t="array" ref="DB697:DB697">IF(DB696=0,0,IF(DB696/'🎚️ Escenario'!$C$11&gt;=36,$AL$23,INDEX($C$23:$AL$23,MAX(1,ROUNDUP(DB696/'🎚️ Escenario'!$C$11,0)))))</f>
        <v>0.27</v>
      </c>
      <c r="DC697" s="236" t="n">
        <f aca="false" t="array" ref="DC697:DC697">IF(DC696=0,0,IF(DC696/'🎚️ Escenario'!$C$11&gt;=36,$AL$23,INDEX($C$23:$AL$23,MAX(1,ROUNDUP(DC696/'🎚️ Escenario'!$C$11,0)))))</f>
        <v>0.31</v>
      </c>
      <c r="DD697" s="236" t="n">
        <f aca="false" t="array" ref="DD697:DD697">IF(DD696=0,0,IF(DD696/'🎚️ Escenario'!$C$11&gt;=36,$AL$23,INDEX($C$23:$AL$23,MAX(1,ROUNDUP(DD696/'🎚️ Escenario'!$C$11,0)))))</f>
        <v>0.35</v>
      </c>
      <c r="DE697" s="236" t="n">
        <f aca="false" t="array" ref="DE697:DE697">IF(DE696=0,0,IF(DE696/'🎚️ Escenario'!$C$11&gt;=36,$AL$23,INDEX($C$23:$AL$23,MAX(1,ROUNDUP(DE696/'🎚️ Escenario'!$C$11,0)))))</f>
        <v>0.39</v>
      </c>
      <c r="DF697" s="236" t="n">
        <f aca="false" t="array" ref="DF697:DF697">IF(DF696=0,0,IF(DF696/'🎚️ Escenario'!$C$11&gt;=36,$AL$23,INDEX($C$23:$AL$23,MAX(1,ROUNDUP(DF696/'🎚️ Escenario'!$C$11,0)))))</f>
        <v>0.44</v>
      </c>
      <c r="DG697" s="236" t="n">
        <f aca="false" t="array" ref="DG697:DG697">IF(DG696=0,0,IF(DG696/'🎚️ Escenario'!$C$11&gt;=36,$AL$23,INDEX($C$23:$AL$23,MAX(1,ROUNDUP(DG696/'🎚️ Escenario'!$C$11,0)))))</f>
        <v>0.44</v>
      </c>
      <c r="DH697" s="236" t="n">
        <f aca="false" t="array" ref="DH697:DH697">IF(DH696=0,0,IF(DH696/'🎚️ Escenario'!$C$11&gt;=36,$AL$23,INDEX($C$23:$AL$23,MAX(1,ROUNDUP(DH696/'🎚️ Escenario'!$C$11,0)))))</f>
        <v>0.48</v>
      </c>
      <c r="DI697" s="236" t="n">
        <f aca="false" t="array" ref="DI697:DI697">IF(DI696=0,0,IF(DI696/'🎚️ Escenario'!$C$11&gt;=36,$AL$23,INDEX($C$23:$AL$23,MAX(1,ROUNDUP(DI696/'🎚️ Escenario'!$C$11,0)))))</f>
        <v>0.52</v>
      </c>
      <c r="DJ697" s="236" t="n">
        <f aca="false" t="array" ref="DJ697:DJ697">IF(DJ696=0,0,IF(DJ696/'🎚️ Escenario'!$C$11&gt;=36,$AL$23,INDEX($C$23:$AL$23,MAX(1,ROUNDUP(DJ696/'🎚️ Escenario'!$C$11,0)))))</f>
        <v>0.56</v>
      </c>
      <c r="DK697" s="236" t="n">
        <f aca="false" t="array" ref="DK697:DK697">IF(DK696=0,0,IF(DK696/'🎚️ Escenario'!$C$11&gt;=36,$AL$23,INDEX($C$23:$AL$23,MAX(1,ROUNDUP(DK696/'🎚️ Escenario'!$C$11,0)))))</f>
        <v>0.6</v>
      </c>
      <c r="DL697" s="236" t="n">
        <f aca="false" t="array" ref="DL697:DL697">IF(DL696=0,0,IF(DL696/'🎚️ Escenario'!$C$11&gt;=36,$AL$23,INDEX($C$23:$AL$23,MAX(1,ROUNDUP(DL696/'🎚️ Escenario'!$C$11,0)))))</f>
        <v>0.6</v>
      </c>
      <c r="DM697" s="236" t="n">
        <f aca="false" t="array" ref="DM697:DM697">IF(DM696=0,0,IF(DM696/'🎚️ Escenario'!$C$11&gt;=36,$AL$23,INDEX($C$23:$AL$23,MAX(1,ROUNDUP(DM696/'🎚️ Escenario'!$C$11,0)))))</f>
        <v>0.63</v>
      </c>
      <c r="DN697" s="236" t="n">
        <f aca="false" t="array" ref="DN697:DN697">IF(DN696=0,0,IF(DN696/'🎚️ Escenario'!$C$11&gt;=36,$AL$23,INDEX($C$23:$AL$23,MAX(1,ROUNDUP(DN696/'🎚️ Escenario'!$C$11,0)))))</f>
        <v>0.66</v>
      </c>
      <c r="DO697" s="236" t="n">
        <f aca="false" t="array" ref="DO697:DO697">IF(DO696=0,0,IF(DO696/'🎚️ Escenario'!$C$11&gt;=36,$AL$23,INDEX($C$23:$AL$23,MAX(1,ROUNDUP(DO696/'🎚️ Escenario'!$C$11,0)))))</f>
        <v>0.69</v>
      </c>
      <c r="DP697" s="236" t="n">
        <f aca="false" t="array" ref="DP697:DP697">IF(DP696=0,0,IF(DP696/'🎚️ Escenario'!$C$11&gt;=36,$AL$23,INDEX($C$23:$AL$23,MAX(1,ROUNDUP(DP696/'🎚️ Escenario'!$C$11,0)))))</f>
        <v>0.71</v>
      </c>
      <c r="DQ697" s="236" t="n">
        <f aca="false" t="array" ref="DQ697:DQ697">IF(DQ696=0,0,IF(DQ696/'🎚️ Escenario'!$C$11&gt;=36,$AL$23,INDEX($C$23:$AL$23,MAX(1,ROUNDUP(DQ696/'🎚️ Escenario'!$C$11,0)))))</f>
        <v>0.71</v>
      </c>
      <c r="DR697" s="236" t="n">
        <f aca="false" t="array" ref="DR697:DR697">IF(DR696=0,0,IF(DR696/'🎚️ Escenario'!$C$11&gt;=36,$AL$23,INDEX($C$23:$AL$23,MAX(1,ROUNDUP(DR696/'🎚️ Escenario'!$C$11,0)))))</f>
        <v>0.73</v>
      </c>
      <c r="DS697" s="236" t="n">
        <f aca="false" t="array" ref="DS697:DS697">IF(DS696=0,0,IF(DS696/'🎚️ Escenario'!$C$11&gt;=36,$AL$23,INDEX($C$23:$AL$23,MAX(1,ROUNDUP(DS696/'🎚️ Escenario'!$C$11,0)))))</f>
        <v>0.75</v>
      </c>
      <c r="DT697" s="236" t="n">
        <f aca="false" t="array" ref="DT697:DT697">IF(DT696=0,0,IF(DT696/'🎚️ Escenario'!$C$11&gt;=36,$AL$23,INDEX($C$23:$AL$23,MAX(1,ROUNDUP(DT696/'🎚️ Escenario'!$C$11,0)))))</f>
        <v>0.77</v>
      </c>
      <c r="DU697" s="236" t="n">
        <f aca="false" t="array" ref="DU697:DU697">IF(DU696=0,0,IF(DU696/'🎚️ Escenario'!$C$11&gt;=36,$AL$23,INDEX($C$23:$AL$23,MAX(1,ROUNDUP(DU696/'🎚️ Escenario'!$C$11,0)))))</f>
        <v>0.79</v>
      </c>
      <c r="DV697" s="236" t="n">
        <f aca="false" t="array" ref="DV697:DV697">IF(DV696=0,0,IF(DV696/'🎚️ Escenario'!$C$11&gt;=36,$AL$23,INDEX($C$23:$AL$23,MAX(1,ROUNDUP(DV696/'🎚️ Escenario'!$C$11,0)))))</f>
        <v>0.79</v>
      </c>
      <c r="DW697" s="236" t="n">
        <f aca="false" t="array" ref="DW697:DW697">IF(DW696=0,0,IF(DW696/'🎚️ Escenario'!$C$11&gt;=36,$AL$23,INDEX($C$23:$AL$23,MAX(1,ROUNDUP(DW696/'🎚️ Escenario'!$C$11,0)))))</f>
        <v>0.8</v>
      </c>
      <c r="DX697" s="236" t="n">
        <f aca="false" t="array" ref="DX697:DX697">IF(DX696=0,0,IF(DX696/'🎚️ Escenario'!$C$11&gt;=36,$AL$23,INDEX($C$23:$AL$23,MAX(1,ROUNDUP(DX696/'🎚️ Escenario'!$C$11,0)))))</f>
        <v>0.82</v>
      </c>
      <c r="DY697" s="236" t="n">
        <f aca="false" t="array" ref="DY697:DY697">IF(DY696=0,0,IF(DY696/'🎚️ Escenario'!$C$11&gt;=36,$AL$23,INDEX($C$23:$AL$23,MAX(1,ROUNDUP(DY696/'🎚️ Escenario'!$C$11,0)))))</f>
        <v>0.84</v>
      </c>
      <c r="DZ697" s="236" t="n">
        <f aca="false" t="array" ref="DZ697:DZ697">IF(DZ696=0,0,IF(DZ696/'🎚️ Escenario'!$C$11&gt;=36,$AL$23,INDEX($C$23:$AL$23,MAX(1,ROUNDUP(DZ696/'🎚️ Escenario'!$C$11,0)))))</f>
        <v>0.85</v>
      </c>
      <c r="EA697" s="236" t="n">
        <f aca="false" t="array" ref="EA697:EA697">IF(EA696=0,0,IF(EA696/'🎚️ Escenario'!$C$11&gt;=36,$AL$23,INDEX($C$23:$AL$23,MAX(1,ROUNDUP(EA696/'🎚️ Escenario'!$C$11,0)))))</f>
        <v>0.85</v>
      </c>
      <c r="EB697" s="236" t="n">
        <f aca="false" t="array" ref="EB697:EB697">IF(EB696=0,0,IF(EB696/'🎚️ Escenario'!$C$11&gt;=36,$AL$23,INDEX($C$23:$AL$23,MAX(1,ROUNDUP(EB696/'🎚️ Escenario'!$C$11,0)))))</f>
        <v>0.86</v>
      </c>
      <c r="EC697" s="236" t="n">
        <f aca="false" t="array" ref="EC697:EC697">IF(EC696=0,0,IF(EC696/'🎚️ Escenario'!$C$11&gt;=36,$AL$23,INDEX($C$23:$AL$23,MAX(1,ROUNDUP(EC696/'🎚️ Escenario'!$C$11,0)))))</f>
        <v>0.88</v>
      </c>
      <c r="ED697" s="236" t="n">
        <f aca="false" t="array" ref="ED697:ED697">IF(ED696=0,0,IF(ED696/'🎚️ Escenario'!$C$11&gt;=36,$AL$23,INDEX($C$23:$AL$23,MAX(1,ROUNDUP(ED696/'🎚️ Escenario'!$C$11,0)))))</f>
        <v>0.89</v>
      </c>
      <c r="EE697" s="236" t="n">
        <f aca="false" t="array" ref="EE697:EE697">IF(EE696=0,0,IF(EE696/'🎚️ Escenario'!$C$11&gt;=36,$AL$23,INDEX($C$23:$AL$23,MAX(1,ROUNDUP(EE696/'🎚️ Escenario'!$C$11,0)))))</f>
        <v>0.9</v>
      </c>
      <c r="EF697" s="236" t="n">
        <f aca="false" t="array" ref="EF697:EF697">IF(EF696=0,0,IF(EF696/'🎚️ Escenario'!$C$11&gt;=36,$AL$23,INDEX($C$23:$AL$23,MAX(1,ROUNDUP(EF696/'🎚️ Escenario'!$C$11,0)))))</f>
        <v>0.9</v>
      </c>
      <c r="EG697" s="236" t="n">
        <f aca="false" t="array" ref="EG697:EG697">IF(EG696=0,0,IF(EG696/'🎚️ Escenario'!$C$11&gt;=36,$AL$23,INDEX($C$23:$AL$23,MAX(1,ROUNDUP(EG696/'🎚️ Escenario'!$C$11,0)))))</f>
        <v>0.92</v>
      </c>
      <c r="EH697" s="236" t="n">
        <f aca="false" t="array" ref="EH697:EH697">IF(EH696=0,0,IF(EH696/'🎚️ Escenario'!$C$11&gt;=36,$AL$23,INDEX($C$23:$AL$23,MAX(1,ROUNDUP(EH696/'🎚️ Escenario'!$C$11,0)))))</f>
        <v>0.93</v>
      </c>
      <c r="EI697" s="236" t="n">
        <f aca="false" t="array" ref="EI697:EI697">IF(EI696=0,0,IF(EI696/'🎚️ Escenario'!$C$11&gt;=36,$AL$23,INDEX($C$23:$AL$23,MAX(1,ROUNDUP(EI696/'🎚️ Escenario'!$C$11,0)))))</f>
        <v>0.94</v>
      </c>
      <c r="EJ697" s="236" t="n">
        <f aca="false" t="array" ref="EJ697:EJ697">IF(EJ696=0,0,IF(EJ696/'🎚️ Escenario'!$C$11&gt;=36,$AL$23,INDEX($C$23:$AL$23,MAX(1,ROUNDUP(EJ696/'🎚️ Escenario'!$C$11,0)))))</f>
        <v>0.95</v>
      </c>
      <c r="EK697" s="236" t="n">
        <f aca="false" t="array" ref="EK697:EK697">IF(EK696=0,0,IF(EK696/'🎚️ Escenario'!$C$11&gt;=36,$AL$23,INDEX($C$23:$AL$23,MAX(1,ROUNDUP(EK696/'🎚️ Escenario'!$C$11,0)))))</f>
        <v>0.95</v>
      </c>
      <c r="EL697" s="236" t="n">
        <f aca="false" t="array" ref="EL697:EL697">IF(EL696=0,0,IF(EL696/'🎚️ Escenario'!$C$11&gt;=36,$AL$23,INDEX($C$23:$AL$23,MAX(1,ROUNDUP(EL696/'🎚️ Escenario'!$C$11,0)))))</f>
        <v>0.97</v>
      </c>
      <c r="EM697" s="236" t="n">
        <f aca="false" t="array" ref="EM697:EM697">IF(EM696=0,0,IF(EM696/'🎚️ Escenario'!$C$11&gt;=36,$AL$23,INDEX($C$23:$AL$23,MAX(1,ROUNDUP(EM696/'🎚️ Escenario'!$C$11,0)))))</f>
        <v>0.98</v>
      </c>
      <c r="EN697" s="236" t="n">
        <f aca="false" t="array" ref="EN697:EN697">IF(EN696=0,0,IF(EN696/'🎚️ Escenario'!$C$11&gt;=36,$AL$23,INDEX($C$23:$AL$23,MAX(1,ROUNDUP(EN696/'🎚️ Escenario'!$C$11,0)))))</f>
        <v>0.99</v>
      </c>
      <c r="EO697" s="236" t="n">
        <f aca="false" t="array" ref="EO697:EO697">IF(EO696=0,0,IF(EO696/'🎚️ Escenario'!$C$11&gt;=36,$AL$23,INDEX($C$23:$AL$23,MAX(1,ROUNDUP(EO696/'🎚️ Escenario'!$C$11,0)))))</f>
        <v>1</v>
      </c>
      <c r="EP697" s="236" t="n">
        <f aca="false" t="array" ref="EP697:EP697">IF(EP696=0,0,IF(EP696/'🎚️ Escenario'!$C$11&gt;=36,$AL$23,INDEX($C$23:$AL$23,MAX(1,ROUNDUP(EP696/'🎚️ Escenario'!$C$11,0)))))</f>
        <v>1</v>
      </c>
      <c r="EQ697" s="236" t="n">
        <f aca="false" t="array" ref="EQ697:EQ697">IF(EQ696=0,0,IF(EQ696/'🎚️ Escenario'!$C$11&gt;=36,$AL$23,INDEX($C$23:$AL$23,MAX(1,ROUNDUP(EQ696/'🎚️ Escenario'!$C$11,0)))))</f>
        <v>1</v>
      </c>
      <c r="ER697" s="236" t="n">
        <f aca="false" t="array" ref="ER697:ER697">IF(ER696=0,0,IF(ER696/'🎚️ Escenario'!$C$11&gt;=36,$AL$23,INDEX($C$23:$AL$23,MAX(1,ROUNDUP(ER696/'🎚️ Escenario'!$C$11,0)))))</f>
        <v>1</v>
      </c>
      <c r="ES697" s="9" t="n">
        <f aca="false" t="array" ref="ES697:ES697">IF(ES696=0,0,IF(ES696/'🎚️ Escenario'!$C$11&gt;=36,$AL$23,INDEX($C$23:$AL$23,MAX(1,ROUNDUP(ES696/'🎚️ Escenario'!$C$11,0)))))</f>
        <v>1</v>
      </c>
      <c r="ET697" s="9" t="n">
        <f aca="false" t="array" ref="ET697:ET697">IF(ET696=0,0,IF(ET696/'🎚️ Escenario'!$C$11&gt;=36,$AL$23,INDEX($C$23:$AL$23,MAX(1,ROUNDUP(ET696/'🎚️ Escenario'!$C$11,0)))))</f>
        <v>1</v>
      </c>
      <c r="EU697" s="9" t="n">
        <f aca="false" t="array" ref="EU697:EU697">IF(EU696=0,0,IF(EU696/'🎚️ Escenario'!$C$11&gt;=36,$AL$23,INDEX($C$23:$AL$23,MAX(1,ROUNDUP(EU696/'🎚️ Escenario'!$C$11,0)))))</f>
        <v>1</v>
      </c>
      <c r="EV697" s="9" t="n">
        <f aca="false" t="array" ref="EV697:EV697">IF(EV696=0,0,IF(EV696/'🎚️ Escenario'!$C$11&gt;=36,$AL$23,INDEX($C$23:$AL$23,MAX(1,ROUNDUP(EV696/'🎚️ Escenario'!$C$11,0)))))</f>
        <v>1</v>
      </c>
      <c r="EW697" s="9" t="n">
        <f aca="false" t="array" ref="EW697:EW697">IF(EW696=0,0,IF(EW696/'🎚️ Escenario'!$C$11&gt;=36,$AL$23,INDEX($C$23:$AL$23,MAX(1,ROUNDUP(EW696/'🎚️ Escenario'!$C$11,0)))))</f>
        <v>1</v>
      </c>
      <c r="EX697" s="9" t="n">
        <f aca="false" t="array" ref="EX697:EX697">IF(EX696=0,0,IF(EX696/'🎚️ Escenario'!$C$11&gt;=36,$AL$23,INDEX($C$23:$AL$23,MAX(1,ROUNDUP(EX696/'🎚️ Escenario'!$C$11,0)))))</f>
        <v>1</v>
      </c>
      <c r="EY697" s="9" t="n">
        <f aca="false" t="array" ref="EY697:EY697">IF(EY696=0,0,IF(EY696/'🎚️ Escenario'!$C$11&gt;=36,$AL$23,INDEX($C$23:$AL$23,MAX(1,ROUNDUP(EY696/'🎚️ Escenario'!$C$11,0)))))</f>
        <v>1</v>
      </c>
      <c r="EZ697" s="9" t="n">
        <f aca="false" t="array" ref="EZ697:EZ697">IF(EZ696=0,0,IF(EZ696/'🎚️ Escenario'!$C$11&gt;=36,$AL$23,INDEX($C$23:$AL$23,MAX(1,ROUNDUP(EZ696/'🎚️ Escenario'!$C$11,0)))))</f>
        <v>1</v>
      </c>
      <c r="FA697" s="9" t="n">
        <f aca="false" t="array" ref="FA697:FA697">IF(FA696=0,0,IF(FA696/'🎚️ Escenario'!$C$11&gt;=36,$AL$23,INDEX($C$23:$AL$23,MAX(1,ROUNDUP(FA696/'🎚️ Escenario'!$C$11,0)))))</f>
        <v>1</v>
      </c>
      <c r="FB697" s="9" t="n">
        <f aca="false" t="array" ref="FB697:FB697">IF(FB696=0,0,IF(FB696/'🎚️ Escenario'!$C$11&gt;=36,$AL$23,INDEX($C$23:$AL$23,MAX(1,ROUNDUP(FB696/'🎚️ Escenario'!$C$11,0)))))</f>
        <v>1</v>
      </c>
      <c r="FC697" s="9" t="n">
        <f aca="false" t="array" ref="FC697:FC697">IF(FC696=0,0,IF(FC696/'🎚️ Escenario'!$C$11&gt;=36,$AL$23,INDEX($C$23:$AL$23,MAX(1,ROUNDUP(FC696/'🎚️ Escenario'!$C$11,0)))))</f>
        <v>1</v>
      </c>
      <c r="FD697" s="9" t="n">
        <f aca="false" t="array" ref="FD697:FD697">IF(FD696=0,0,IF(FD696/'🎚️ Escenario'!$C$11&gt;=36,$AL$23,INDEX($C$23:$AL$23,MAX(1,ROUNDUP(FD696/'🎚️ Escenario'!$C$11,0)))))</f>
        <v>1</v>
      </c>
      <c r="FE697" s="9" t="n">
        <f aca="false" t="array" ref="FE697:FE697">IF(FE696=0,0,IF(FE696/'🎚️ Escenario'!$C$11&gt;=36,$AL$23,INDEX($C$23:$AL$23,MAX(1,ROUNDUP(FE696/'🎚️ Escenario'!$C$11,0)))))</f>
        <v>1</v>
      </c>
      <c r="FF697" s="9" t="n">
        <f aca="false" t="array" ref="FF697:FF697">IF(FF696=0,0,IF(FF696/'🎚️ Escenario'!$C$11&gt;=36,$AL$23,INDEX($C$23:$AL$23,MAX(1,ROUNDUP(FF696/'🎚️ Escenario'!$C$11,0)))))</f>
        <v>1</v>
      </c>
      <c r="FG697" s="9" t="n">
        <f aca="false" t="array" ref="FG697:FG697">IF(FG696=0,0,IF(FG696/'🎚️ Escenario'!$C$11&gt;=36,$AL$23,INDEX($C$23:$AL$23,MAX(1,ROUNDUP(FG696/'🎚️ Escenario'!$C$11,0)))))</f>
        <v>1</v>
      </c>
      <c r="FH697" s="9" t="n">
        <f aca="false" t="array" ref="FH697:FH697">IF(FH696=0,0,IF(FH696/'🎚️ Escenario'!$C$11&gt;=36,$AL$23,INDEX($C$23:$AL$23,MAX(1,ROUNDUP(FH696/'🎚️ Escenario'!$C$11,0)))))</f>
        <v>1</v>
      </c>
      <c r="FI697" s="9" t="n">
        <f aca="false" t="array" ref="FI697:FI697">IF(FI696=0,0,IF(FI696/'🎚️ Escenario'!$C$11&gt;=36,$AL$23,INDEX($C$23:$AL$23,MAX(1,ROUNDUP(FI696/'🎚️ Escenario'!$C$11,0)))))</f>
        <v>1</v>
      </c>
      <c r="FJ697" s="9" t="n">
        <f aca="false" t="array" ref="FJ697:FJ697">IF(FJ696=0,0,IF(FJ696/'🎚️ Escenario'!$C$11&gt;=36,$AL$23,INDEX($C$23:$AL$23,MAX(1,ROUNDUP(FJ696/'🎚️ Escenario'!$C$11,0)))))</f>
        <v>1</v>
      </c>
      <c r="FK697" s="9" t="n">
        <f aca="false" t="array" ref="FK697:FK697">IF(FK696=0,0,IF(FK696/'🎚️ Escenario'!$C$11&gt;=36,$AL$23,INDEX($C$23:$AL$23,MAX(1,ROUNDUP(FK696/'🎚️ Escenario'!$C$11,0)))))</f>
        <v>1</v>
      </c>
      <c r="FL697" s="9" t="n">
        <f aca="false" t="array" ref="FL697:FL697">IF(FL696=0,0,IF(FL696/'🎚️ Escenario'!$C$11&gt;=36,$AL$23,INDEX($C$23:$AL$23,MAX(1,ROUNDUP(FL696/'🎚️ Escenario'!$C$11,0)))))</f>
        <v>1</v>
      </c>
      <c r="FM697" s="9" t="n">
        <f aca="false" t="array" ref="FM697:FM697">IF(FM696=0,0,IF(FM696/'🎚️ Escenario'!$C$11&gt;=36,$AL$23,INDEX($C$23:$AL$23,MAX(1,ROUNDUP(FM696/'🎚️ Escenario'!$C$11,0)))))</f>
        <v>1</v>
      </c>
      <c r="FN697" s="9" t="n">
        <f aca="false" t="array" ref="FN697:FN697">IF(FN696=0,0,IF(FN696/'🎚️ Escenario'!$C$11&gt;=36,$AL$23,INDEX($C$23:$AL$23,MAX(1,ROUNDUP(FN696/'🎚️ Escenario'!$C$11,0)))))</f>
        <v>1</v>
      </c>
      <c r="FO697" s="9" t="n">
        <f aca="false" t="array" ref="FO697:FO697">IF(FO696=0,0,IF(FO696/'🎚️ Escenario'!$C$11&gt;=36,$AL$23,INDEX($C$23:$AL$23,MAX(1,ROUNDUP(FO696/'🎚️ Escenario'!$C$11,0)))))</f>
        <v>1</v>
      </c>
      <c r="FP697" s="9" t="n">
        <f aca="false" t="array" ref="FP697:FP697">IF(FP696=0,0,IF(FP696/'🎚️ Escenario'!$C$11&gt;=36,$AL$23,INDEX($C$23:$AL$23,MAX(1,ROUNDUP(FP696/'🎚️ Escenario'!$C$11,0)))))</f>
        <v>1</v>
      </c>
    </row>
    <row r="698" customFormat="false" ht="15" hidden="false" customHeight="false" outlineLevel="2" collapsed="false">
      <c r="B698" s="9" t="s">
        <v>875</v>
      </c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237" t="n">
        <f aca="false">IF(AC696=0,0,IF(AC696&lt;=12*'🎚️ Escenario'!$C$11,1,1+$C$6))</f>
        <v>0</v>
      </c>
      <c r="AD698" s="237" t="n">
        <f aca="false">IF(AD696=0,0,IF(AD696&lt;=12*'🎚️ Escenario'!$C$11,1,1+$C$6))</f>
        <v>0</v>
      </c>
      <c r="AE698" s="237" t="n">
        <f aca="false">IF(AE696=0,0,IF(AE696&lt;=12*'🎚️ Escenario'!$C$11,1,1+$C$6))</f>
        <v>0</v>
      </c>
      <c r="AF698" s="237" t="n">
        <f aca="false">IF(AF696=0,0,IF(AF696&lt;=12*'🎚️ Escenario'!$C$11,1,1+$C$6))</f>
        <v>0</v>
      </c>
      <c r="AG698" s="237" t="n">
        <f aca="false">IF(AG696=0,0,IF(AG696&lt;=12*'🎚️ Escenario'!$C$11,1,1+$C$6))</f>
        <v>0</v>
      </c>
      <c r="AH698" s="237" t="n">
        <f aca="false">IF(AH696=0,0,IF(AH696&lt;=12*'🎚️ Escenario'!$C$11,1,1+$C$6))</f>
        <v>0</v>
      </c>
      <c r="AI698" s="237" t="n">
        <f aca="false">IF(AI696=0,0,IF(AI696&lt;=12*'🎚️ Escenario'!$C$11,1,1+$C$6))</f>
        <v>0</v>
      </c>
      <c r="AJ698" s="237" t="n">
        <f aca="false">IF(AJ696=0,0,IF(AJ696&lt;=12*'🎚️ Escenario'!$C$11,1,1+$C$6))</f>
        <v>0</v>
      </c>
      <c r="AK698" s="237" t="n">
        <f aca="false">IF(AK696=0,0,IF(AK696&lt;=12*'🎚️ Escenario'!$C$11,1,1+$C$6))</f>
        <v>0</v>
      </c>
      <c r="AL698" s="237" t="n">
        <f aca="false">IF(AL696=0,0,IF(AL696&lt;=12*'🎚️ Escenario'!$C$11,1,1+$C$6))</f>
        <v>0</v>
      </c>
      <c r="AM698" s="237" t="n">
        <f aca="false">IF(AM696=0,0,IF(AM696&lt;=12*'🎚️ Escenario'!$C$11,1,1+$C$6))</f>
        <v>0</v>
      </c>
      <c r="AN698" s="237" t="n">
        <f aca="false">IF(AN696=0,0,IF(AN696&lt;=12*'🎚️ Escenario'!$C$11,1,1+$C$6))</f>
        <v>0</v>
      </c>
      <c r="AO698" s="237" t="n">
        <f aca="false">IF(AO696=0,0,IF(AO696&lt;=12*'🎚️ Escenario'!$C$11,1,1+$C$6))</f>
        <v>0</v>
      </c>
      <c r="AP698" s="237" t="n">
        <f aca="false">IF(AP696=0,0,IF(AP696&lt;=12*'🎚️ Escenario'!$C$11,1,1+$C$6))</f>
        <v>0</v>
      </c>
      <c r="AQ698" s="237" t="n">
        <f aca="false">IF(AQ696=0,0,IF(AQ696&lt;=12*'🎚️ Escenario'!$C$11,1,1+$C$6))</f>
        <v>0</v>
      </c>
      <c r="AR698" s="237" t="n">
        <f aca="false">IF(AR696=0,0,IF(AR696&lt;=12*'🎚️ Escenario'!$C$11,1,1+$C$6))</f>
        <v>0</v>
      </c>
      <c r="AS698" s="237" t="n">
        <f aca="false">IF(AS696=0,0,IF(AS696&lt;=12*'🎚️ Escenario'!$C$11,1,1+$C$6))</f>
        <v>0</v>
      </c>
      <c r="AT698" s="237" t="n">
        <f aca="false">IF(AT696=0,0,IF(AT696&lt;=12*'🎚️ Escenario'!$C$11,1,1+$C$6))</f>
        <v>0</v>
      </c>
      <c r="AU698" s="237" t="n">
        <f aca="false">IF(AU696=0,0,IF(AU696&lt;=12*'🎚️ Escenario'!$C$11,1,1+$C$6))</f>
        <v>0</v>
      </c>
      <c r="AV698" s="237" t="n">
        <f aca="false">IF(AV696=0,0,IF(AV696&lt;=12*'🎚️ Escenario'!$C$11,1,1+$C$6))</f>
        <v>0</v>
      </c>
      <c r="AW698" s="237" t="n">
        <f aca="false">IF(AW696=0,0,IF(AW696&lt;=12*'🎚️ Escenario'!$C$11,1,1+$C$6))</f>
        <v>0</v>
      </c>
      <c r="AX698" s="237" t="n">
        <f aca="false">IF(AX696=0,0,IF(AX696&lt;=12*'🎚️ Escenario'!$C$11,1,1+$C$6))</f>
        <v>0</v>
      </c>
      <c r="AY698" s="237" t="n">
        <f aca="false">IF(AY696=0,0,IF(AY696&lt;=12*'🎚️ Escenario'!$C$11,1,1+$C$6))</f>
        <v>0</v>
      </c>
      <c r="AZ698" s="237" t="n">
        <f aca="false">IF(AZ696=0,0,IF(AZ696&lt;=12*'🎚️ Escenario'!$C$11,1,1+$C$6))</f>
        <v>0</v>
      </c>
      <c r="BA698" s="237" t="n">
        <f aca="false">IF(BA696=0,0,IF(BA696&lt;=12*'🎚️ Escenario'!$C$11,1,1+$C$6))</f>
        <v>0</v>
      </c>
      <c r="BB698" s="237" t="n">
        <f aca="false">IF(BB696=0,0,IF(BB696&lt;=12*'🎚️ Escenario'!$C$11,1,1+$C$6))</f>
        <v>0</v>
      </c>
      <c r="BC698" s="237" t="n">
        <f aca="false">IF(BC696=0,0,IF(BC696&lt;=12*'🎚️ Escenario'!$C$11,1,1+$C$6))</f>
        <v>0</v>
      </c>
      <c r="BD698" s="237" t="n">
        <f aca="false">IF(BD696=0,0,IF(BD696&lt;=12*'🎚️ Escenario'!$C$11,1,1+$C$6))</f>
        <v>0</v>
      </c>
      <c r="BE698" s="237" t="n">
        <f aca="false">IF(BE696=0,0,IF(BE696&lt;=12*'🎚️ Escenario'!$C$11,1,1+$C$6))</f>
        <v>0</v>
      </c>
      <c r="BF698" s="237" t="n">
        <f aca="false">IF(BF696=0,0,IF(BF696&lt;=12*'🎚️ Escenario'!$C$11,1,1+$C$6))</f>
        <v>0</v>
      </c>
      <c r="BG698" s="237" t="n">
        <f aca="false">IF(BG696=0,0,IF(BG696&lt;=12*'🎚️ Escenario'!$C$11,1,1+$C$6))</f>
        <v>0</v>
      </c>
      <c r="BH698" s="237" t="n">
        <f aca="false">IF(BH696=0,0,IF(BH696&lt;=12*'🎚️ Escenario'!$C$11,1,1+$C$6))</f>
        <v>0</v>
      </c>
      <c r="BI698" s="237" t="n">
        <f aca="false">IF(BI696=0,0,IF(BI696&lt;=12*'🎚️ Escenario'!$C$11,1,1+$C$6))</f>
        <v>0</v>
      </c>
      <c r="BJ698" s="237" t="n">
        <f aca="false">IF(BJ696=0,0,IF(BJ696&lt;=12*'🎚️ Escenario'!$C$11,1,1+$C$6))</f>
        <v>0</v>
      </c>
      <c r="BK698" s="237" t="n">
        <f aca="false">IF(BK696=0,0,IF(BK696&lt;=12*'🎚️ Escenario'!$C$11,1,1+$C$6))</f>
        <v>0</v>
      </c>
      <c r="BL698" s="237" t="n">
        <f aca="false">IF(BL696=0,0,IF(BL696&lt;=12*'🎚️ Escenario'!$C$11,1,1+$C$6))</f>
        <v>0</v>
      </c>
      <c r="BM698" s="237" t="n">
        <f aca="false">IF(BM696=0,0,IF(BM696&lt;=12*'🎚️ Escenario'!$C$11,1,1+$C$6))</f>
        <v>0</v>
      </c>
      <c r="BN698" s="237" t="n">
        <f aca="false">IF(BN696=0,0,IF(BN696&lt;=12*'🎚️ Escenario'!$C$11,1,1+$C$6))</f>
        <v>0</v>
      </c>
      <c r="BO698" s="237" t="n">
        <f aca="false">IF(BO696=0,0,IF(BO696&lt;=12*'🎚️ Escenario'!$C$11,1,1+$C$6))</f>
        <v>0</v>
      </c>
      <c r="BP698" s="237" t="n">
        <f aca="false">IF(BP696=0,0,IF(BP696&lt;=12*'🎚️ Escenario'!$C$11,1,1+$C$6))</f>
        <v>0</v>
      </c>
      <c r="BQ698" s="237" t="n">
        <f aca="false">IF(BQ696=0,0,IF(BQ696&lt;=12*'🎚️ Escenario'!$C$11,1,1+$C$6))</f>
        <v>0</v>
      </c>
      <c r="BR698" s="237" t="n">
        <f aca="false">IF(BR696=0,0,IF(BR696&lt;=12*'🎚️ Escenario'!$C$11,1,1+$C$6))</f>
        <v>0</v>
      </c>
      <c r="BS698" s="237" t="n">
        <f aca="false">IF(BS696=0,0,IF(BS696&lt;=12*'🎚️ Escenario'!$C$11,1,1+$C$6))</f>
        <v>0</v>
      </c>
      <c r="BT698" s="237" t="n">
        <f aca="false">IF(BT696=0,0,IF(BT696&lt;=12*'🎚️ Escenario'!$C$11,1,1+$C$6))</f>
        <v>0</v>
      </c>
      <c r="BU698" s="237" t="n">
        <f aca="false">IF(BU696=0,0,IF(BU696&lt;=12*'🎚️ Escenario'!$C$11,1,1+$C$6))</f>
        <v>0</v>
      </c>
      <c r="BV698" s="237" t="n">
        <f aca="false">IF(BV696=0,0,IF(BV696&lt;=12*'🎚️ Escenario'!$C$11,1,1+$C$6))</f>
        <v>0</v>
      </c>
      <c r="BW698" s="237" t="n">
        <f aca="false">IF(BW696=0,0,IF(BW696&lt;=12*'🎚️ Escenario'!$C$11,1,1+$C$6))</f>
        <v>0</v>
      </c>
      <c r="BX698" s="237" t="n">
        <f aca="false">IF(BX696=0,0,IF(BX696&lt;=12*'🎚️ Escenario'!$C$11,1,1+$C$6))</f>
        <v>0</v>
      </c>
      <c r="BY698" s="237" t="n">
        <f aca="false">IF(BY696=0,0,IF(BY696&lt;=12*'🎚️ Escenario'!$C$11,1,1+$C$6))</f>
        <v>0</v>
      </c>
      <c r="BZ698" s="237" t="n">
        <f aca="false">IF(BZ696=0,0,IF(BZ696&lt;=12*'🎚️ Escenario'!$C$11,1,1+$C$6))</f>
        <v>0</v>
      </c>
      <c r="CA698" s="237" t="n">
        <f aca="false">IF(CA696=0,0,IF(CA696&lt;=12*'🎚️ Escenario'!$C$11,1,1+$C$6))</f>
        <v>0</v>
      </c>
      <c r="CB698" s="237" t="n">
        <f aca="false">IF(CB696=0,0,IF(CB696&lt;=12*'🎚️ Escenario'!$C$11,1,1+$C$6))</f>
        <v>0</v>
      </c>
      <c r="CC698" s="237" t="n">
        <f aca="false">IF(CC696=0,0,IF(CC696&lt;=12*'🎚️ Escenario'!$C$11,1,1+$C$6))</f>
        <v>0</v>
      </c>
      <c r="CD698" s="237" t="n">
        <f aca="false">IF(CD696=0,0,IF(CD696&lt;=12*'🎚️ Escenario'!$C$11,1,1+$C$6))</f>
        <v>0</v>
      </c>
      <c r="CE698" s="237" t="n">
        <f aca="false">IF(CE696=0,0,IF(CE696&lt;=12*'🎚️ Escenario'!$C$11,1,1+$C$6))</f>
        <v>0</v>
      </c>
      <c r="CF698" s="237" t="n">
        <f aca="false">IF(CF696=0,0,IF(CF696&lt;=12*'🎚️ Escenario'!$C$11,1,1+$C$6))</f>
        <v>0</v>
      </c>
      <c r="CG698" s="237" t="n">
        <f aca="false">IF(CG696=0,0,IF(CG696&lt;=12*'🎚️ Escenario'!$C$11,1,1+$C$6))</f>
        <v>0</v>
      </c>
      <c r="CH698" s="237" t="n">
        <f aca="false">IF(CH696=0,0,IF(CH696&lt;=12*'🎚️ Escenario'!$C$11,1,1+$C$6))</f>
        <v>0</v>
      </c>
      <c r="CI698" s="237" t="n">
        <f aca="false">IF(CI696=0,0,IF(CI696&lt;=12*'🎚️ Escenario'!$C$11,1,1+$C$6))</f>
        <v>0</v>
      </c>
      <c r="CJ698" s="237" t="n">
        <f aca="false">IF(CJ696=0,0,IF(CJ696&lt;=12*'🎚️ Escenario'!$C$11,1,1+$C$6))</f>
        <v>0</v>
      </c>
      <c r="CK698" s="237" t="n">
        <f aca="false">IF(CK696=0,0,IF(CK696&lt;=12*'🎚️ Escenario'!$C$11,1,1+$C$6))</f>
        <v>0</v>
      </c>
      <c r="CL698" s="237" t="n">
        <f aca="false">IF(CL696=0,0,IF(CL696&lt;=12*'🎚️ Escenario'!$C$11,1,1+$C$6))</f>
        <v>0</v>
      </c>
      <c r="CM698" s="237" t="n">
        <f aca="false">IF(CM696=0,0,IF(CM696&lt;=12*'🎚️ Escenario'!$C$11,1,1+$C$6))</f>
        <v>0</v>
      </c>
      <c r="CN698" s="237" t="n">
        <f aca="false">IF(CN696=0,0,IF(CN696&lt;=12*'🎚️ Escenario'!$C$11,1,1+$C$6))</f>
        <v>0</v>
      </c>
      <c r="CO698" s="237" t="n">
        <f aca="false">IF(CO696=0,0,IF(CO696&lt;=12*'🎚️ Escenario'!$C$11,1,1+$C$6))</f>
        <v>0</v>
      </c>
      <c r="CP698" s="237" t="n">
        <f aca="false">IF(CP696=0,0,IF(CP696&lt;=12*'🎚️ Escenario'!$C$11,1,1+$C$6))</f>
        <v>0</v>
      </c>
      <c r="CQ698" s="237" t="n">
        <f aca="false">IF(CQ696=0,0,IF(CQ696&lt;=12*'🎚️ Escenario'!$C$11,1,1+$C$6))</f>
        <v>0</v>
      </c>
      <c r="CR698" s="237" t="n">
        <f aca="false">IF(CR696=0,0,IF(CR696&lt;=12*'🎚️ Escenario'!$C$11,1,1+$C$6))</f>
        <v>0</v>
      </c>
      <c r="CS698" s="237" t="n">
        <f aca="false">IF(CS696=0,0,IF(CS696&lt;=12*'🎚️ Escenario'!$C$11,1,1+$C$6))</f>
        <v>0</v>
      </c>
      <c r="CT698" s="237" t="n">
        <f aca="false">IF(CT696=0,0,IF(CT696&lt;=12*'🎚️ Escenario'!$C$11,1,1+$C$6))</f>
        <v>0</v>
      </c>
      <c r="CU698" s="237" t="n">
        <f aca="false">IF(CU696=0,0,IF(CU696&lt;=12*'🎚️ Escenario'!$C$11,1,1+$C$6))</f>
        <v>0</v>
      </c>
      <c r="CV698" s="237" t="n">
        <f aca="false">IF(CV696=0,0,IF(CV696&lt;=12*'🎚️ Escenario'!$C$11,1,1+$C$6))</f>
        <v>0</v>
      </c>
      <c r="CW698" s="237" t="n">
        <f aca="false">IF(CW696=0,0,IF(CW696&lt;=12*'🎚️ Escenario'!$C$11,1,1+$C$6))</f>
        <v>0</v>
      </c>
      <c r="CX698" s="237" t="n">
        <f aca="false">IF(CX696=0,0,IF(CX696&lt;=12*'🎚️ Escenario'!$C$11,1,1+$C$6))</f>
        <v>1</v>
      </c>
      <c r="CY698" s="237" t="n">
        <f aca="false">IF(CY696=0,0,IF(CY696&lt;=12*'🎚️ Escenario'!$C$11,1,1+$C$6))</f>
        <v>1</v>
      </c>
      <c r="CZ698" s="237" t="n">
        <f aca="false">IF(CZ696=0,0,IF(CZ696&lt;=12*'🎚️ Escenario'!$C$11,1,1+$C$6))</f>
        <v>1</v>
      </c>
      <c r="DA698" s="237" t="n">
        <f aca="false">IF(DA696=0,0,IF(DA696&lt;=12*'🎚️ Escenario'!$C$11,1,1+$C$6))</f>
        <v>1</v>
      </c>
      <c r="DB698" s="237" t="n">
        <f aca="false">IF(DB696=0,0,IF(DB696&lt;=12*'🎚️ Escenario'!$C$11,1,1+$C$6))</f>
        <v>1</v>
      </c>
      <c r="DC698" s="237" t="n">
        <f aca="false">IF(DC696=0,0,IF(DC696&lt;=12*'🎚️ Escenario'!$C$11,1,1+$C$6))</f>
        <v>1</v>
      </c>
      <c r="DD698" s="237" t="n">
        <f aca="false">IF(DD696=0,0,IF(DD696&lt;=12*'🎚️ Escenario'!$C$11,1,1+$C$6))</f>
        <v>1</v>
      </c>
      <c r="DE698" s="237" t="n">
        <f aca="false">IF(DE696=0,0,IF(DE696&lt;=12*'🎚️ Escenario'!$C$11,1,1+$C$6))</f>
        <v>1</v>
      </c>
      <c r="DF698" s="237" t="n">
        <f aca="false">IF(DF696=0,0,IF(DF696&lt;=12*'🎚️ Escenario'!$C$11,1,1+$C$6))</f>
        <v>1</v>
      </c>
      <c r="DG698" s="237" t="n">
        <f aca="false">IF(DG696=0,0,IF(DG696&lt;=12*'🎚️ Escenario'!$C$11,1,1+$C$6))</f>
        <v>1</v>
      </c>
      <c r="DH698" s="237" t="n">
        <f aca="false">IF(DH696=0,0,IF(DH696&lt;=12*'🎚️ Escenario'!$C$11,1,1+$C$6))</f>
        <v>1</v>
      </c>
      <c r="DI698" s="237" t="n">
        <f aca="false">IF(DI696=0,0,IF(DI696&lt;=12*'🎚️ Escenario'!$C$11,1,1+$C$6))</f>
        <v>1</v>
      </c>
      <c r="DJ698" s="237" t="n">
        <f aca="false">IF(DJ696=0,0,IF(DJ696&lt;=12*'🎚️ Escenario'!$C$11,1,1+$C$6))</f>
        <v>1</v>
      </c>
      <c r="DK698" s="237" t="n">
        <f aca="false">IF(DK696=0,0,IF(DK696&lt;=12*'🎚️ Escenario'!$C$11,1,1+$C$6))</f>
        <v>1</v>
      </c>
      <c r="DL698" s="237" t="n">
        <f aca="false">IF(DL696=0,0,IF(DL696&lt;=12*'🎚️ Escenario'!$C$11,1,1+$C$6))</f>
        <v>1</v>
      </c>
      <c r="DM698" s="237" t="n">
        <f aca="false">IF(DM696=0,0,IF(DM696&lt;=12*'🎚️ Escenario'!$C$11,1,1+$C$6))</f>
        <v>1.2</v>
      </c>
      <c r="DN698" s="237" t="n">
        <f aca="false">IF(DN696=0,0,IF(DN696&lt;=12*'🎚️ Escenario'!$C$11,1,1+$C$6))</f>
        <v>1.2</v>
      </c>
      <c r="DO698" s="237" t="n">
        <f aca="false">IF(DO696=0,0,IF(DO696&lt;=12*'🎚️ Escenario'!$C$11,1,1+$C$6))</f>
        <v>1.2</v>
      </c>
      <c r="DP698" s="237" t="n">
        <f aca="false">IF(DP696=0,0,IF(DP696&lt;=12*'🎚️ Escenario'!$C$11,1,1+$C$6))</f>
        <v>1.2</v>
      </c>
      <c r="DQ698" s="237" t="n">
        <f aca="false">IF(DQ696=0,0,IF(DQ696&lt;=12*'🎚️ Escenario'!$C$11,1,1+$C$6))</f>
        <v>1.2</v>
      </c>
      <c r="DR698" s="237" t="n">
        <f aca="false">IF(DR696=0,0,IF(DR696&lt;=12*'🎚️ Escenario'!$C$11,1,1+$C$6))</f>
        <v>1.2</v>
      </c>
      <c r="DS698" s="237" t="n">
        <f aca="false">IF(DS696=0,0,IF(DS696&lt;=12*'🎚️ Escenario'!$C$11,1,1+$C$6))</f>
        <v>1.2</v>
      </c>
      <c r="DT698" s="237" t="n">
        <f aca="false">IF(DT696=0,0,IF(DT696&lt;=12*'🎚️ Escenario'!$C$11,1,1+$C$6))</f>
        <v>1.2</v>
      </c>
      <c r="DU698" s="237" t="n">
        <f aca="false">IF(DU696=0,0,IF(DU696&lt;=12*'🎚️ Escenario'!$C$11,1,1+$C$6))</f>
        <v>1.2</v>
      </c>
      <c r="DV698" s="237" t="n">
        <f aca="false">IF(DV696=0,0,IF(DV696&lt;=12*'🎚️ Escenario'!$C$11,1,1+$C$6))</f>
        <v>1.2</v>
      </c>
      <c r="DW698" s="237" t="n">
        <f aca="false">IF(DW696=0,0,IF(DW696&lt;=12*'🎚️ Escenario'!$C$11,1,1+$C$6))</f>
        <v>1.2</v>
      </c>
      <c r="DX698" s="237" t="n">
        <f aca="false">IF(DX696=0,0,IF(DX696&lt;=12*'🎚️ Escenario'!$C$11,1,1+$C$6))</f>
        <v>1.2</v>
      </c>
      <c r="DY698" s="237" t="n">
        <f aca="false">IF(DY696=0,0,IF(DY696&lt;=12*'🎚️ Escenario'!$C$11,1,1+$C$6))</f>
        <v>1.2</v>
      </c>
      <c r="DZ698" s="237" t="n">
        <f aca="false">IF(DZ696=0,0,IF(DZ696&lt;=12*'🎚️ Escenario'!$C$11,1,1+$C$6))</f>
        <v>1.2</v>
      </c>
      <c r="EA698" s="237" t="n">
        <f aca="false">IF(EA696=0,0,IF(EA696&lt;=12*'🎚️ Escenario'!$C$11,1,1+$C$6))</f>
        <v>1.2</v>
      </c>
      <c r="EB698" s="237" t="n">
        <f aca="false">IF(EB696=0,0,IF(EB696&lt;=12*'🎚️ Escenario'!$C$11,1,1+$C$6))</f>
        <v>1.2</v>
      </c>
      <c r="EC698" s="237" t="n">
        <f aca="false">IF(EC696=0,0,IF(EC696&lt;=12*'🎚️ Escenario'!$C$11,1,1+$C$6))</f>
        <v>1.2</v>
      </c>
      <c r="ED698" s="237" t="n">
        <f aca="false">IF(ED696=0,0,IF(ED696&lt;=12*'🎚️ Escenario'!$C$11,1,1+$C$6))</f>
        <v>1.2</v>
      </c>
      <c r="EE698" s="237" t="n">
        <f aca="false">IF(EE696=0,0,IF(EE696&lt;=12*'🎚️ Escenario'!$C$11,1,1+$C$6))</f>
        <v>1.2</v>
      </c>
      <c r="EF698" s="237" t="n">
        <f aca="false">IF(EF696=0,0,IF(EF696&lt;=12*'🎚️ Escenario'!$C$11,1,1+$C$6))</f>
        <v>1.2</v>
      </c>
      <c r="EG698" s="237" t="n">
        <f aca="false">IF(EG696=0,0,IF(EG696&lt;=12*'🎚️ Escenario'!$C$11,1,1+$C$6))</f>
        <v>1.2</v>
      </c>
      <c r="EH698" s="237" t="n">
        <f aca="false">IF(EH696=0,0,IF(EH696&lt;=12*'🎚️ Escenario'!$C$11,1,1+$C$6))</f>
        <v>1.2</v>
      </c>
      <c r="EI698" s="237" t="n">
        <f aca="false">IF(EI696=0,0,IF(EI696&lt;=12*'🎚️ Escenario'!$C$11,1,1+$C$6))</f>
        <v>1.2</v>
      </c>
      <c r="EJ698" s="237" t="n">
        <f aca="false">IF(EJ696=0,0,IF(EJ696&lt;=12*'🎚️ Escenario'!$C$11,1,1+$C$6))</f>
        <v>1.2</v>
      </c>
      <c r="EK698" s="237" t="n">
        <f aca="false">IF(EK696=0,0,IF(EK696&lt;=12*'🎚️ Escenario'!$C$11,1,1+$C$6))</f>
        <v>1.2</v>
      </c>
      <c r="EL698" s="237" t="n">
        <f aca="false">IF(EL696=0,0,IF(EL696&lt;=12*'🎚️ Escenario'!$C$11,1,1+$C$6))</f>
        <v>1.2</v>
      </c>
      <c r="EM698" s="237" t="n">
        <f aca="false">IF(EM696=0,0,IF(EM696&lt;=12*'🎚️ Escenario'!$C$11,1,1+$C$6))</f>
        <v>1.2</v>
      </c>
      <c r="EN698" s="237" t="n">
        <f aca="false">IF(EN696=0,0,IF(EN696&lt;=12*'🎚️ Escenario'!$C$11,1,1+$C$6))</f>
        <v>1.2</v>
      </c>
      <c r="EO698" s="237" t="n">
        <f aca="false">IF(EO696=0,0,IF(EO696&lt;=12*'🎚️ Escenario'!$C$11,1,1+$C$6))</f>
        <v>1.2</v>
      </c>
      <c r="EP698" s="237" t="n">
        <f aca="false">IF(EP696=0,0,IF(EP696&lt;=12*'🎚️ Escenario'!$C$11,1,1+$C$6))</f>
        <v>1.2</v>
      </c>
      <c r="EQ698" s="237" t="n">
        <f aca="false">IF(EQ696=0,0,IF(EQ696&lt;=12*'🎚️ Escenario'!$C$11,1,1+$C$6))</f>
        <v>1.2</v>
      </c>
      <c r="ER698" s="237" t="n">
        <f aca="false">IF(ER696=0,0,IF(ER696&lt;=12*'🎚️ Escenario'!$C$11,1,1+$C$6))</f>
        <v>1.2</v>
      </c>
      <c r="ES698" s="238" t="n">
        <f aca="false">IF(ES696=0,0,IF(ES696&lt;=12*'🎚️ Escenario'!$C$11,1,1+$C$6))</f>
        <v>1.2</v>
      </c>
      <c r="ET698" s="238" t="n">
        <f aca="false">IF(ET696=0,0,IF(ET696&lt;=12*'🎚️ Escenario'!$C$11,1,1+$C$6))</f>
        <v>1.2</v>
      </c>
      <c r="EU698" s="238" t="n">
        <f aca="false">IF(EU696=0,0,IF(EU696&lt;=12*'🎚️ Escenario'!$C$11,1,1+$C$6))</f>
        <v>1.2</v>
      </c>
      <c r="EV698" s="238" t="n">
        <f aca="false">IF(EV696=0,0,IF(EV696&lt;=12*'🎚️ Escenario'!$C$11,1,1+$C$6))</f>
        <v>1.2</v>
      </c>
      <c r="EW698" s="238" t="n">
        <f aca="false">IF(EW696=0,0,IF(EW696&lt;=12*'🎚️ Escenario'!$C$11,1,1+$C$6))</f>
        <v>1.2</v>
      </c>
      <c r="EX698" s="238" t="n">
        <f aca="false">IF(EX696=0,0,IF(EX696&lt;=12*'🎚️ Escenario'!$C$11,1,1+$C$6))</f>
        <v>1.2</v>
      </c>
      <c r="EY698" s="238" t="n">
        <f aca="false">IF(EY696=0,0,IF(EY696&lt;=12*'🎚️ Escenario'!$C$11,1,1+$C$6))</f>
        <v>1.2</v>
      </c>
      <c r="EZ698" s="238" t="n">
        <f aca="false">IF(EZ696=0,0,IF(EZ696&lt;=12*'🎚️ Escenario'!$C$11,1,1+$C$6))</f>
        <v>1.2</v>
      </c>
      <c r="FA698" s="238" t="n">
        <f aca="false">IF(FA696=0,0,IF(FA696&lt;=12*'🎚️ Escenario'!$C$11,1,1+$C$6))</f>
        <v>1.2</v>
      </c>
      <c r="FB698" s="238" t="n">
        <f aca="false">IF(FB696=0,0,IF(FB696&lt;=12*'🎚️ Escenario'!$C$11,1,1+$C$6))</f>
        <v>1.2</v>
      </c>
      <c r="FC698" s="238" t="n">
        <f aca="false">IF(FC696=0,0,IF(FC696&lt;=12*'🎚️ Escenario'!$C$11,1,1+$C$6))</f>
        <v>1.2</v>
      </c>
      <c r="FD698" s="238" t="n">
        <f aca="false">IF(FD696=0,0,IF(FD696&lt;=12*'🎚️ Escenario'!$C$11,1,1+$C$6))</f>
        <v>1.2</v>
      </c>
      <c r="FE698" s="238" t="n">
        <f aca="false">IF(FE696=0,0,IF(FE696&lt;=12*'🎚️ Escenario'!$C$11,1,1+$C$6))</f>
        <v>1.2</v>
      </c>
      <c r="FF698" s="238" t="n">
        <f aca="false">IF(FF696=0,0,IF(FF696&lt;=12*'🎚️ Escenario'!$C$11,1,1+$C$6))</f>
        <v>1.2</v>
      </c>
      <c r="FG698" s="238" t="n">
        <f aca="false">IF(FG696=0,0,IF(FG696&lt;=12*'🎚️ Escenario'!$C$11,1,1+$C$6))</f>
        <v>1.2</v>
      </c>
      <c r="FH698" s="238" t="n">
        <f aca="false">IF(FH696=0,0,IF(FH696&lt;=12*'🎚️ Escenario'!$C$11,1,1+$C$6))</f>
        <v>1.2</v>
      </c>
      <c r="FI698" s="238" t="n">
        <f aca="false">IF(FI696=0,0,IF(FI696&lt;=12*'🎚️ Escenario'!$C$11,1,1+$C$6))</f>
        <v>1.2</v>
      </c>
      <c r="FJ698" s="238" t="n">
        <f aca="false">IF(FJ696=0,0,IF(FJ696&lt;=12*'🎚️ Escenario'!$C$11,1,1+$C$6))</f>
        <v>1.2</v>
      </c>
      <c r="FK698" s="238" t="n">
        <f aca="false">IF(FK696=0,0,IF(FK696&lt;=12*'🎚️ Escenario'!$C$11,1,1+$C$6))</f>
        <v>1.2</v>
      </c>
      <c r="FL698" s="238" t="n">
        <f aca="false">IF(FL696=0,0,IF(FL696&lt;=12*'🎚️ Escenario'!$C$11,1,1+$C$6))</f>
        <v>1.2</v>
      </c>
      <c r="FM698" s="238" t="n">
        <f aca="false">IF(FM696=0,0,IF(FM696&lt;=12*'🎚️ Escenario'!$C$11,1,1+$C$6))</f>
        <v>1.2</v>
      </c>
      <c r="FN698" s="238" t="n">
        <f aca="false">IF(FN696=0,0,IF(FN696&lt;=12*'🎚️ Escenario'!$C$11,1,1+$C$6))</f>
        <v>1.2</v>
      </c>
      <c r="FO698" s="238" t="n">
        <f aca="false">IF(FO696=0,0,IF(FO696&lt;=12*'🎚️ Escenario'!$C$11,1,1+$C$6))</f>
        <v>1.2</v>
      </c>
      <c r="FP698" s="238" t="n">
        <f aca="false">IF(FP696=0,0,IF(FP696&lt;=12*'🎚️ Escenario'!$C$11,1,1+$C$6))</f>
        <v>1.2</v>
      </c>
    </row>
    <row r="699" customFormat="false" ht="15" hidden="false" customHeight="false" outlineLevel="2" collapsed="false">
      <c r="B699" s="9" t="s">
        <v>876</v>
      </c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36" t="n">
        <f aca="false">AC697*$AC$695*AC698*AC$38*'⑫ Roll-out Plan'!$O$74</f>
        <v>0</v>
      </c>
      <c r="AD699" s="36" t="n">
        <f aca="false">AD697*$AC$695*AD698*AD$38*'⑫ Roll-out Plan'!$O$74</f>
        <v>0</v>
      </c>
      <c r="AE699" s="36" t="n">
        <f aca="false">AE697*$AC$695*AE698*AE$38*'⑫ Roll-out Plan'!$O$74</f>
        <v>0</v>
      </c>
      <c r="AF699" s="36" t="n">
        <f aca="false">AF697*$AC$695*AF698*AF$38*'⑫ Roll-out Plan'!$O$74</f>
        <v>0</v>
      </c>
      <c r="AG699" s="36" t="n">
        <f aca="false">AG697*$AC$695*AG698*AG$38*'⑫ Roll-out Plan'!$O$74</f>
        <v>0</v>
      </c>
      <c r="AH699" s="36" t="n">
        <f aca="false">AH697*$AC$695*AH698*AH$38*'⑫ Roll-out Plan'!$O$74</f>
        <v>0</v>
      </c>
      <c r="AI699" s="36" t="n">
        <f aca="false">AI697*$AC$695*AI698*AI$38*'⑫ Roll-out Plan'!$O$74</f>
        <v>0</v>
      </c>
      <c r="AJ699" s="36" t="n">
        <f aca="false">AJ697*$AC$695*AJ698*AJ$38*'⑫ Roll-out Plan'!$O$74</f>
        <v>0</v>
      </c>
      <c r="AK699" s="36" t="n">
        <f aca="false">AK697*$AC$695*AK698*AK$38*'⑫ Roll-out Plan'!$O$74</f>
        <v>0</v>
      </c>
      <c r="AL699" s="36" t="n">
        <f aca="false">AL697*$AC$695*AL698*AL$38*'⑫ Roll-out Plan'!$O$74</f>
        <v>0</v>
      </c>
      <c r="AM699" s="36" t="n">
        <f aca="false">AM697*$AC$695*AM698*AM$38*'⑫ Roll-out Plan'!$O$74</f>
        <v>0</v>
      </c>
      <c r="AN699" s="36" t="n">
        <f aca="false">AN697*$AC$695*AN698*AN$38*'⑫ Roll-out Plan'!$O$74</f>
        <v>0</v>
      </c>
      <c r="AO699" s="36" t="n">
        <f aca="false">AO697*$AC$695*AO698*AO$38*'⑫ Roll-out Plan'!$O$74</f>
        <v>0</v>
      </c>
      <c r="AP699" s="36" t="n">
        <f aca="false">AP697*$AC$695*AP698*AP$38*'⑫ Roll-out Plan'!$O$74</f>
        <v>0</v>
      </c>
      <c r="AQ699" s="36" t="n">
        <f aca="false">AQ697*$AC$695*AQ698*AQ$38*'⑫ Roll-out Plan'!$O$74</f>
        <v>0</v>
      </c>
      <c r="AR699" s="36" t="n">
        <f aca="false">AR697*$AC$695*AR698*AR$38*'⑫ Roll-out Plan'!$O$74</f>
        <v>0</v>
      </c>
      <c r="AS699" s="36" t="n">
        <f aca="false">AS697*$AC$695*AS698*AS$38*'⑫ Roll-out Plan'!$O$74</f>
        <v>0</v>
      </c>
      <c r="AT699" s="36" t="n">
        <f aca="false">AT697*$AC$695*AT698*AT$38*'⑫ Roll-out Plan'!$O$74</f>
        <v>0</v>
      </c>
      <c r="AU699" s="36" t="n">
        <f aca="false">AU697*$AC$695*AU698*AU$38*'⑫ Roll-out Plan'!$O$74</f>
        <v>0</v>
      </c>
      <c r="AV699" s="36" t="n">
        <f aca="false">AV697*$AC$695*AV698*AV$38*'⑫ Roll-out Plan'!$O$74</f>
        <v>0</v>
      </c>
      <c r="AW699" s="36" t="n">
        <f aca="false">AW697*$AC$695*AW698*AW$38*'⑫ Roll-out Plan'!$O$74</f>
        <v>0</v>
      </c>
      <c r="AX699" s="36" t="n">
        <f aca="false">AX697*$AC$695*AX698*AX$38*'⑫ Roll-out Plan'!$O$74</f>
        <v>0</v>
      </c>
      <c r="AY699" s="36" t="n">
        <f aca="false">AY697*$AC$695*AY698*AY$38*'⑫ Roll-out Plan'!$O$74</f>
        <v>0</v>
      </c>
      <c r="AZ699" s="36" t="n">
        <f aca="false">AZ697*$AC$695*AZ698*AZ$38*'⑫ Roll-out Plan'!$O$74</f>
        <v>0</v>
      </c>
      <c r="BA699" s="36" t="n">
        <f aca="false">BA697*$AC$695*BA698*BA$38*'⑫ Roll-out Plan'!$O$74</f>
        <v>0</v>
      </c>
      <c r="BB699" s="36" t="n">
        <f aca="false">BB697*$AC$695*BB698*BB$38*'⑫ Roll-out Plan'!$O$74</f>
        <v>0</v>
      </c>
      <c r="BC699" s="36" t="n">
        <f aca="false">BC697*$AC$695*BC698*BC$38*'⑫ Roll-out Plan'!$O$74</f>
        <v>0</v>
      </c>
      <c r="BD699" s="36" t="n">
        <f aca="false">BD697*$AC$695*BD698*BD$38*'⑫ Roll-out Plan'!$O$74</f>
        <v>0</v>
      </c>
      <c r="BE699" s="36" t="n">
        <f aca="false">BE697*$AC$695*BE698*BE$38*'⑫ Roll-out Plan'!$O$74</f>
        <v>0</v>
      </c>
      <c r="BF699" s="36" t="n">
        <f aca="false">BF697*$AC$695*BF698*BF$38*'⑫ Roll-out Plan'!$O$74</f>
        <v>0</v>
      </c>
      <c r="BG699" s="36" t="n">
        <f aca="false">BG697*$AC$695*BG698*BG$38*'⑫ Roll-out Plan'!$O$74</f>
        <v>0</v>
      </c>
      <c r="BH699" s="36" t="n">
        <f aca="false">BH697*$AC$695*BH698*BH$38*'⑫ Roll-out Plan'!$O$74</f>
        <v>0</v>
      </c>
      <c r="BI699" s="36" t="n">
        <f aca="false">BI697*$AC$695*BI698*BI$38*'⑫ Roll-out Plan'!$O$74</f>
        <v>0</v>
      </c>
      <c r="BJ699" s="36" t="n">
        <f aca="false">BJ697*$AC$695*BJ698*BJ$38*'⑫ Roll-out Plan'!$O$74</f>
        <v>0</v>
      </c>
      <c r="BK699" s="36" t="n">
        <f aca="false">BK697*$AC$695*BK698*BK$38*'⑫ Roll-out Plan'!$O$74</f>
        <v>0</v>
      </c>
      <c r="BL699" s="36" t="n">
        <f aca="false">BL697*$AC$695*BL698*BL$38*'⑫ Roll-out Plan'!$O$74</f>
        <v>0</v>
      </c>
      <c r="BM699" s="36" t="n">
        <f aca="false">BM697*$AC$695*BM698*BM$38*'⑫ Roll-out Plan'!$O$74</f>
        <v>0</v>
      </c>
      <c r="BN699" s="36" t="n">
        <f aca="false">BN697*$AC$695*BN698*BN$38*'⑫ Roll-out Plan'!$O$74</f>
        <v>0</v>
      </c>
      <c r="BO699" s="36" t="n">
        <f aca="false">BO697*$AC$695*BO698*BO$38*'⑫ Roll-out Plan'!$O$74</f>
        <v>0</v>
      </c>
      <c r="BP699" s="36" t="n">
        <f aca="false">BP697*$AC$695*BP698*BP$38*'⑫ Roll-out Plan'!$O$74</f>
        <v>0</v>
      </c>
      <c r="BQ699" s="36" t="n">
        <f aca="false">BQ697*$AC$695*BQ698*BQ$38*'⑫ Roll-out Plan'!$O$74</f>
        <v>0</v>
      </c>
      <c r="BR699" s="36" t="n">
        <f aca="false">BR697*$AC$695*BR698*BR$38*'⑫ Roll-out Plan'!$O$74</f>
        <v>0</v>
      </c>
      <c r="BS699" s="36" t="n">
        <f aca="false">BS697*$AC$695*BS698*BS$38*'⑫ Roll-out Plan'!$O$74</f>
        <v>0</v>
      </c>
      <c r="BT699" s="36" t="n">
        <f aca="false">BT697*$AC$695*BT698*BT$38*'⑫ Roll-out Plan'!$O$74</f>
        <v>0</v>
      </c>
      <c r="BU699" s="36" t="n">
        <f aca="false">BU697*$AC$695*BU698*BU$38*'⑫ Roll-out Plan'!$O$74</f>
        <v>0</v>
      </c>
      <c r="BV699" s="36" t="n">
        <f aca="false">BV697*$AC$695*BV698*BV$38*'⑫ Roll-out Plan'!$O$74</f>
        <v>0</v>
      </c>
      <c r="BW699" s="36" t="n">
        <f aca="false">BW697*$AC$695*BW698*BW$38*'⑫ Roll-out Plan'!$O$74</f>
        <v>0</v>
      </c>
      <c r="BX699" s="36" t="n">
        <f aca="false">BX697*$AC$695*BX698*BX$38*'⑫ Roll-out Plan'!$O$74</f>
        <v>0</v>
      </c>
      <c r="BY699" s="36" t="n">
        <f aca="false">BY697*$AC$695*BY698*BY$38*'⑫ Roll-out Plan'!$O$74</f>
        <v>0</v>
      </c>
      <c r="BZ699" s="36" t="n">
        <f aca="false">BZ697*$AC$695*BZ698*BZ$38*'⑫ Roll-out Plan'!$O$74</f>
        <v>0</v>
      </c>
      <c r="CA699" s="36" t="n">
        <f aca="false">CA697*$AC$695*CA698*CA$38*'⑫ Roll-out Plan'!$O$74</f>
        <v>0</v>
      </c>
      <c r="CB699" s="36" t="n">
        <f aca="false">CB697*$AC$695*CB698*CB$38*'⑫ Roll-out Plan'!$O$74</f>
        <v>0</v>
      </c>
      <c r="CC699" s="36" t="n">
        <f aca="false">CC697*$AC$695*CC698*CC$38*'⑫ Roll-out Plan'!$O$74</f>
        <v>0</v>
      </c>
      <c r="CD699" s="36" t="n">
        <f aca="false">CD697*$AC$695*CD698*CD$38*'⑫ Roll-out Plan'!$O$74</f>
        <v>0</v>
      </c>
      <c r="CE699" s="36" t="n">
        <f aca="false">CE697*$AC$695*CE698*CE$38*'⑫ Roll-out Plan'!$O$74</f>
        <v>0</v>
      </c>
      <c r="CF699" s="36" t="n">
        <f aca="false">CF697*$AC$695*CF698*CF$38*'⑫ Roll-out Plan'!$O$74</f>
        <v>0</v>
      </c>
      <c r="CG699" s="36" t="n">
        <f aca="false">CG697*$AC$695*CG698*CG$38*'⑫ Roll-out Plan'!$O$74</f>
        <v>0</v>
      </c>
      <c r="CH699" s="36" t="n">
        <f aca="false">CH697*$AC$695*CH698*CH$38*'⑫ Roll-out Plan'!$O$74</f>
        <v>0</v>
      </c>
      <c r="CI699" s="36" t="n">
        <f aca="false">CI697*$AC$695*CI698*CI$38*'⑫ Roll-out Plan'!$O$74</f>
        <v>0</v>
      </c>
      <c r="CJ699" s="36" t="n">
        <f aca="false">CJ697*$AC$695*CJ698*CJ$38*'⑫ Roll-out Plan'!$O$74</f>
        <v>0</v>
      </c>
      <c r="CK699" s="36" t="n">
        <f aca="false">CK697*$AC$695*CK698*CK$38*'⑫ Roll-out Plan'!$O$74</f>
        <v>0</v>
      </c>
      <c r="CL699" s="36" t="n">
        <f aca="false">CL697*$AC$695*CL698*CL$38*'⑫ Roll-out Plan'!$O$74</f>
        <v>0</v>
      </c>
      <c r="CM699" s="36" t="n">
        <f aca="false">CM697*$AC$695*CM698*CM$38*'⑫ Roll-out Plan'!$O$74</f>
        <v>0</v>
      </c>
      <c r="CN699" s="36" t="n">
        <f aca="false">CN697*$AC$695*CN698*CN$38*'⑫ Roll-out Plan'!$O$74</f>
        <v>0</v>
      </c>
      <c r="CO699" s="36" t="n">
        <f aca="false">CO697*$AC$695*CO698*CO$38*'⑫ Roll-out Plan'!$O$74</f>
        <v>0</v>
      </c>
      <c r="CP699" s="36" t="n">
        <f aca="false">CP697*$AC$695*CP698*CP$38*'⑫ Roll-out Plan'!$O$74</f>
        <v>0</v>
      </c>
      <c r="CQ699" s="36" t="n">
        <f aca="false">CQ697*$AC$695*CQ698*CQ$38*'⑫ Roll-out Plan'!$O$74</f>
        <v>0</v>
      </c>
      <c r="CR699" s="36" t="n">
        <f aca="false">CR697*$AC$695*CR698*CR$38*'⑫ Roll-out Plan'!$O$74</f>
        <v>0</v>
      </c>
      <c r="CS699" s="36" t="n">
        <f aca="false">CS697*$AC$695*CS698*CS$38*'⑫ Roll-out Plan'!$O$74</f>
        <v>0</v>
      </c>
      <c r="CT699" s="36" t="n">
        <f aca="false">CT697*$AC$695*CT698*CT$38*'⑫ Roll-out Plan'!$O$74</f>
        <v>0</v>
      </c>
      <c r="CU699" s="36" t="n">
        <f aca="false">CU697*$AC$695*CU698*CU$38*'⑫ Roll-out Plan'!$O$74</f>
        <v>0</v>
      </c>
      <c r="CV699" s="36" t="n">
        <f aca="false">CV697*$AC$695*CV698*CV$38*'⑫ Roll-out Plan'!$O$74</f>
        <v>0</v>
      </c>
      <c r="CW699" s="36" t="n">
        <f aca="false">CW697*$AC$695*CW698*CW$38*'⑫ Roll-out Plan'!$O$74</f>
        <v>0</v>
      </c>
      <c r="CX699" s="36" t="n">
        <f aca="false">CX697*$AC$695*CX698*CX$38*'⑫ Roll-out Plan'!$O$74</f>
        <v>18.04</v>
      </c>
      <c r="CY699" s="36" t="n">
        <f aca="false">CY697*$AC$695*CY698*CY$38*'⑫ Roll-out Plan'!$O$74</f>
        <v>28.072</v>
      </c>
      <c r="CZ699" s="36" t="n">
        <f aca="false">CZ697*$AC$695*CZ698*CZ$38*'⑫ Roll-out Plan'!$O$74</f>
        <v>29.04</v>
      </c>
      <c r="DA699" s="36" t="n">
        <f aca="false">DA697*$AC$695*DA698*DA$38*'⑫ Roll-out Plan'!$O$74</f>
        <v>27.324</v>
      </c>
      <c r="DB699" s="36" t="n">
        <f aca="false">DB697*$AC$695*DB698*DB$38*'⑫ Roll-out Plan'!$O$74</f>
        <v>23.76</v>
      </c>
      <c r="DC699" s="36" t="n">
        <f aca="false">DC697*$AC$695*DC698*DC$38*'⑫ Roll-out Plan'!$O$74</f>
        <v>28.644</v>
      </c>
      <c r="DD699" s="36" t="n">
        <f aca="false">DD697*$AC$695*DD698*DD$38*'⑫ Roll-out Plan'!$O$74</f>
        <v>54.67</v>
      </c>
      <c r="DE699" s="36" t="n">
        <f aca="false">DE697*$AC$695*DE698*DE$38*'⑫ Roll-out Plan'!$O$74</f>
        <v>49.764</v>
      </c>
      <c r="DF699" s="36" t="n">
        <f aca="false">DF697*$AC$695*DF698*DF$38*'⑫ Roll-out Plan'!$O$74</f>
        <v>46.464</v>
      </c>
      <c r="DG699" s="36" t="n">
        <f aca="false">DG697*$AC$695*DG698*DG$38*'⑫ Roll-out Plan'!$O$74</f>
        <v>34.848</v>
      </c>
      <c r="DH699" s="36" t="n">
        <f aca="false">DH697*$AC$695*DH698*DH$38*'⑫ Roll-out Plan'!$O$74</f>
        <v>53.856</v>
      </c>
      <c r="DI699" s="36" t="n">
        <f aca="false">DI697*$AC$695*DI698*DI$38*'⑫ Roll-out Plan'!$O$74</f>
        <v>61.776</v>
      </c>
      <c r="DJ699" s="36" t="n">
        <f aca="false">DJ697*$AC$695*DJ698*DJ$38*'⑫ Roll-out Plan'!$O$74</f>
        <v>50.512</v>
      </c>
      <c r="DK699" s="36" t="n">
        <f aca="false">DK697*$AC$695*DK698*DK$38*'⑫ Roll-out Plan'!$O$74</f>
        <v>76.56</v>
      </c>
      <c r="DL699" s="36" t="n">
        <f aca="false">DL697*$AC$695*DL698*DL$38*'⑫ Roll-out Plan'!$O$74</f>
        <v>72.6</v>
      </c>
      <c r="DM699" s="36" t="n">
        <f aca="false">DM697*$AC$695*DM698*DM$38*'⑫ Roll-out Plan'!$O$74</f>
        <v>76.5072</v>
      </c>
      <c r="DN699" s="36" t="n">
        <f aca="false">DN697*$AC$695*DN698*DN$38*'⑫ Roll-out Plan'!$O$74</f>
        <v>69.696</v>
      </c>
      <c r="DO699" s="36" t="n">
        <f aca="false">DO697*$AC$695*DO698*DO$38*'⑫ Roll-out Plan'!$O$74</f>
        <v>76.5072</v>
      </c>
      <c r="DP699" s="36" t="n">
        <f aca="false">DP697*$AC$695*DP698*DP$38*'⑫ Roll-out Plan'!$O$74</f>
        <v>133.0824</v>
      </c>
      <c r="DQ699" s="36" t="n">
        <f aca="false">DQ697*$AC$695*DQ698*DQ$38*'⑫ Roll-out Plan'!$O$74</f>
        <v>108.7152</v>
      </c>
      <c r="DR699" s="36" t="n">
        <f aca="false">DR697*$AC$695*DR698*DR$38*'⑫ Roll-out Plan'!$O$74</f>
        <v>92.5056</v>
      </c>
      <c r="DS699" s="36" t="n">
        <f aca="false">DS697*$AC$695*DS698*DS$38*'⑫ Roll-out Plan'!$O$74</f>
        <v>71.28</v>
      </c>
      <c r="DT699" s="36" t="n">
        <f aca="false">DT697*$AC$695*DT698*DT$38*'⑫ Roll-out Plan'!$O$74</f>
        <v>103.6728</v>
      </c>
      <c r="DU699" s="36" t="n">
        <f aca="false">DU697*$AC$695*DU698*DU$38*'⑫ Roll-out Plan'!$O$74</f>
        <v>112.6224</v>
      </c>
      <c r="DV699" s="36" t="n">
        <f aca="false">DV697*$AC$695*DV698*DV$38*'⑫ Roll-out Plan'!$O$74</f>
        <v>85.5096</v>
      </c>
      <c r="DW699" s="36" t="n">
        <f aca="false">DW697*$AC$695*DW698*DW$38*'⑫ Roll-out Plan'!$O$74</f>
        <v>122.496</v>
      </c>
      <c r="DX699" s="36" t="n">
        <f aca="false">DX697*$AC$695*DX698*DX$38*'⑫ Roll-out Plan'!$O$74</f>
        <v>119.064</v>
      </c>
      <c r="DY699" s="36" t="n">
        <f aca="false">DY697*$AC$695*DY698*DY$38*'⑫ Roll-out Plan'!$O$74</f>
        <v>102.0096</v>
      </c>
      <c r="DZ699" s="36" t="n">
        <f aca="false">DZ697*$AC$695*DZ698*DZ$38*'⑫ Roll-out Plan'!$O$74</f>
        <v>89.76</v>
      </c>
      <c r="EA699" s="36" t="n">
        <f aca="false">EA697*$AC$695*EA698*EA$38*'⑫ Roll-out Plan'!$O$74</f>
        <v>94.248</v>
      </c>
      <c r="EB699" s="36" t="n">
        <f aca="false">EB697*$AC$695*EB698*EB$38*'⑫ Roll-out Plan'!$O$74</f>
        <v>161.1984</v>
      </c>
      <c r="EC699" s="36" t="n">
        <f aca="false">EC697*$AC$695*EC698*EC$38*'⑫ Roll-out Plan'!$O$74</f>
        <v>134.7456</v>
      </c>
      <c r="ED699" s="36" t="n">
        <f aca="false">ED697*$AC$695*ED698*ED$38*'⑫ Roll-out Plan'!$O$74</f>
        <v>112.7808</v>
      </c>
      <c r="EE699" s="36" t="n">
        <f aca="false">EE697*$AC$695*EE698*EE$38*'⑫ Roll-out Plan'!$O$74</f>
        <v>85.536</v>
      </c>
      <c r="EF699" s="36" t="n">
        <f aca="false">EF697*$AC$695*EF698*EF$38*'⑫ Roll-out Plan'!$O$74</f>
        <v>121.176</v>
      </c>
      <c r="EG699" s="36" t="n">
        <f aca="false">EG697*$AC$695*EG698*EG$38*'⑫ Roll-out Plan'!$O$74</f>
        <v>131.1552</v>
      </c>
      <c r="EH699" s="36" t="n">
        <f aca="false">EH697*$AC$695*EH698*EH$38*'⑫ Roll-out Plan'!$O$74</f>
        <v>100.6632</v>
      </c>
      <c r="EI699" s="36" t="n">
        <f aca="false">EI697*$AC$695*EI698*EI$38*'⑫ Roll-out Plan'!$O$74</f>
        <v>143.9328</v>
      </c>
      <c r="EJ699" s="36" t="n">
        <f aca="false">EJ697*$AC$695*EJ698*EJ$38*'⑫ Roll-out Plan'!$O$74</f>
        <v>137.94</v>
      </c>
      <c r="EK699" s="36" t="n">
        <f aca="false">EK697*$AC$695*EK698*EK$38*'⑫ Roll-out Plan'!$O$74</f>
        <v>115.368</v>
      </c>
      <c r="EL699" s="36" t="n">
        <f aca="false">EL697*$AC$695*EL698*EL$38*'⑫ Roll-out Plan'!$O$74</f>
        <v>102.432</v>
      </c>
      <c r="EM699" s="36" t="n">
        <f aca="false">EM697*$AC$695*EM698*EM$38*'⑫ Roll-out Plan'!$O$74</f>
        <v>108.6624</v>
      </c>
      <c r="EN699" s="36" t="n">
        <f aca="false">EN697*$AC$695*EN698*EN$38*'⑫ Roll-out Plan'!$O$74</f>
        <v>185.5656</v>
      </c>
      <c r="EO699" s="36" t="n">
        <f aca="false">EO697*$AC$695*EO698*EO$38*'⑫ Roll-out Plan'!$O$74</f>
        <v>153.12</v>
      </c>
      <c r="EP699" s="36" t="n">
        <f aca="false">EP697*$AC$695*EP698*EP$38*'⑫ Roll-out Plan'!$O$74</f>
        <v>126.72</v>
      </c>
      <c r="EQ699" s="36" t="n">
        <f aca="false">EQ697*$AC$695*EQ698*EQ$38*'⑫ Roll-out Plan'!$O$74</f>
        <v>95.04</v>
      </c>
      <c r="ER699" s="36" t="n">
        <f aca="false">ER697*$AC$695*ER698*ER$38*'⑫ Roll-out Plan'!$O$74</f>
        <v>134.64</v>
      </c>
      <c r="ES699" s="9" t="n">
        <f aca="false">ES697*$AC$695*ES698*ES$38*'⑫ Roll-out Plan'!$O$74</f>
        <v>142.56</v>
      </c>
      <c r="ET699" s="9" t="n">
        <f aca="false">ET697*$AC$695*ET698*ET$38*'⑫ Roll-out Plan'!$O$74</f>
        <v>108.24</v>
      </c>
      <c r="EU699" s="9" t="n">
        <f aca="false">EU697*$AC$695*EU698*EU$38*'⑫ Roll-out Plan'!$O$74</f>
        <v>153.12</v>
      </c>
      <c r="EV699" s="9" t="n">
        <f aca="false">EV697*$AC$695*EV698*EV$38*'⑫ Roll-out Plan'!$O$74</f>
        <v>145.2</v>
      </c>
      <c r="EW699" s="9" t="n">
        <f aca="false">EW697*$AC$695*EW698*EW$38*'⑫ Roll-out Plan'!$O$74</f>
        <v>121.44</v>
      </c>
      <c r="EX699" s="9" t="n">
        <f aca="false">EX697*$AC$695*EX698*EX$38*'⑫ Roll-out Plan'!$O$74</f>
        <v>105.6</v>
      </c>
      <c r="EY699" s="9" t="n">
        <f aca="false">EY697*$AC$695*EY698*EY$38*'⑫ Roll-out Plan'!$O$74</f>
        <v>110.88</v>
      </c>
      <c r="EZ699" s="9" t="n">
        <f aca="false">EZ697*$AC$695*EZ698*EZ$38*'⑫ Roll-out Plan'!$O$74</f>
        <v>187.44</v>
      </c>
      <c r="FA699" s="9" t="n">
        <f aca="false">FA697*$AC$695*FA698*FA$38*'⑫ Roll-out Plan'!$O$74</f>
        <v>153.12</v>
      </c>
      <c r="FB699" s="9" t="n">
        <f aca="false">FB697*$AC$695*FB698*FB$38*'⑫ Roll-out Plan'!$O$74</f>
        <v>126.72</v>
      </c>
      <c r="FC699" s="9" t="n">
        <f aca="false">FC697*$AC$695*FC698*FC$38*'⑫ Roll-out Plan'!$O$74</f>
        <v>95.04</v>
      </c>
      <c r="FD699" s="9" t="n">
        <f aca="false">FD697*$AC$695*FD698*FD$38*'⑫ Roll-out Plan'!$O$74</f>
        <v>134.64</v>
      </c>
      <c r="FE699" s="9" t="n">
        <f aca="false">FE697*$AC$695*FE698*FE$38*'⑫ Roll-out Plan'!$O$74</f>
        <v>142.56</v>
      </c>
      <c r="FF699" s="9" t="n">
        <f aca="false">FF697*$AC$695*FF698*FF$38*'⑫ Roll-out Plan'!$O$74</f>
        <v>108.24</v>
      </c>
      <c r="FG699" s="9" t="n">
        <f aca="false">FG697*$AC$695*FG698*FG$38*'⑫ Roll-out Plan'!$O$74</f>
        <v>153.12</v>
      </c>
      <c r="FH699" s="9" t="n">
        <f aca="false">FH697*$AC$695*FH698*FH$38*'⑫ Roll-out Plan'!$O$74</f>
        <v>145.2</v>
      </c>
      <c r="FI699" s="9" t="n">
        <f aca="false">FI697*$AC$695*FI698*FI$38*'⑫ Roll-out Plan'!$O$74</f>
        <v>121.44</v>
      </c>
      <c r="FJ699" s="9" t="n">
        <f aca="false">FJ697*$AC$695*FJ698*FJ$38*'⑫ Roll-out Plan'!$O$74</f>
        <v>105.6</v>
      </c>
      <c r="FK699" s="9" t="n">
        <f aca="false">FK697*$AC$695*FK698*FK$38*'⑫ Roll-out Plan'!$O$74</f>
        <v>110.88</v>
      </c>
      <c r="FL699" s="9" t="n">
        <f aca="false">FL697*$AC$695*FL698*FL$38*'⑫ Roll-out Plan'!$O$74</f>
        <v>187.44</v>
      </c>
      <c r="FM699" s="9" t="n">
        <f aca="false">FM697*$AC$695*FM698*FM$38*'⑫ Roll-out Plan'!$O$74</f>
        <v>153.12</v>
      </c>
      <c r="FN699" s="9" t="n">
        <f aca="false">FN697*$AC$695*FN698*FN$38*'⑫ Roll-out Plan'!$O$74</f>
        <v>126.72</v>
      </c>
      <c r="FO699" s="9" t="n">
        <f aca="false">FO697*$AC$695*FO698*FO$38*'⑫ Roll-out Plan'!$O$74</f>
        <v>95.04</v>
      </c>
      <c r="FP699" s="9" t="n">
        <f aca="false">FP697*$AC$695*FP698*FP$38*'⑫ Roll-out Plan'!$O$74</f>
        <v>134.64</v>
      </c>
    </row>
    <row r="700" customFormat="false" ht="15" hidden="false" customHeight="false" outlineLevel="2" collapsed="false">
      <c r="B700" s="9" t="s">
        <v>877</v>
      </c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112" t="n">
        <f aca="true">IFERROR(SUMPRODUCT(OFFSET($BJ$31,0,1-MIN(60,COLUMN()-29),1,MIN(60,COLUMN()-29)),OFFSET(AC699,0,-MIN(60,COLUMN()-29),1,MIN(60,COLUMN()-29))),0)</f>
        <v>0</v>
      </c>
      <c r="AD700" s="112" t="n">
        <f aca="true">IFERROR(SUMPRODUCT(OFFSET($BJ$31,0,1-MIN(60,COLUMN()-29),1,MIN(60,COLUMN()-29)),OFFSET(AD699,0,-MIN(60,COLUMN()-29),1,MIN(60,COLUMN()-29))),0)</f>
        <v>0</v>
      </c>
      <c r="AE700" s="112" t="n">
        <f aca="true">IFERROR(SUMPRODUCT(OFFSET($BJ$31,0,1-MIN(60,COLUMN()-29),1,MIN(60,COLUMN()-29)),OFFSET(AE699,0,-MIN(60,COLUMN()-29),1,MIN(60,COLUMN()-29))),0)</f>
        <v>0</v>
      </c>
      <c r="AF700" s="112" t="n">
        <f aca="true">IFERROR(SUMPRODUCT(OFFSET($BJ$31,0,1-MIN(60,COLUMN()-29),1,MIN(60,COLUMN()-29)),OFFSET(AF699,0,-MIN(60,COLUMN()-29),1,MIN(60,COLUMN()-29))),0)</f>
        <v>0</v>
      </c>
      <c r="AG700" s="112" t="n">
        <f aca="true">IFERROR(SUMPRODUCT(OFFSET($BJ$31,0,1-MIN(60,COLUMN()-29),1,MIN(60,COLUMN()-29)),OFFSET(AG699,0,-MIN(60,COLUMN()-29),1,MIN(60,COLUMN()-29))),0)</f>
        <v>0</v>
      </c>
      <c r="AH700" s="112" t="n">
        <f aca="true">IFERROR(SUMPRODUCT(OFFSET($BJ$31,0,1-MIN(60,COLUMN()-29),1,MIN(60,COLUMN()-29)),OFFSET(AH699,0,-MIN(60,COLUMN()-29),1,MIN(60,COLUMN()-29))),0)</f>
        <v>0</v>
      </c>
      <c r="AI700" s="112" t="n">
        <f aca="true">IFERROR(SUMPRODUCT(OFFSET($BJ$31,0,1-MIN(60,COLUMN()-29),1,MIN(60,COLUMN()-29)),OFFSET(AI699,0,-MIN(60,COLUMN()-29),1,MIN(60,COLUMN()-29))),0)</f>
        <v>0</v>
      </c>
      <c r="AJ700" s="112" t="n">
        <f aca="true">IFERROR(SUMPRODUCT(OFFSET($BJ$31,0,1-MIN(60,COLUMN()-29),1,MIN(60,COLUMN()-29)),OFFSET(AJ699,0,-MIN(60,COLUMN()-29),1,MIN(60,COLUMN()-29))),0)</f>
        <v>0</v>
      </c>
      <c r="AK700" s="112" t="n">
        <f aca="true">IFERROR(SUMPRODUCT(OFFSET($BJ$31,0,1-MIN(60,COLUMN()-29),1,MIN(60,COLUMN()-29)),OFFSET(AK699,0,-MIN(60,COLUMN()-29),1,MIN(60,COLUMN()-29))),0)</f>
        <v>0</v>
      </c>
      <c r="AL700" s="112" t="n">
        <f aca="true">IFERROR(SUMPRODUCT(OFFSET($BJ$31,0,1-MIN(60,COLUMN()-29),1,MIN(60,COLUMN()-29)),OFFSET(AL699,0,-MIN(60,COLUMN()-29),1,MIN(60,COLUMN()-29))),0)</f>
        <v>0</v>
      </c>
      <c r="AM700" s="112" t="n">
        <f aca="true">IFERROR(SUMPRODUCT(OFFSET($BJ$31,0,1-MIN(60,COLUMN()-29),1,MIN(60,COLUMN()-29)),OFFSET(AM699,0,-MIN(60,COLUMN()-29),1,MIN(60,COLUMN()-29))),0)</f>
        <v>0</v>
      </c>
      <c r="AN700" s="239" t="n">
        <f aca="true">IFERROR(SUMPRODUCT(OFFSET($BJ$31,0,1-MIN(60,COLUMN()-29),1,MIN(60,COLUMN()-29)),OFFSET(AN699,0,-MIN(60,COLUMN()-29),1,MIN(60,COLUMN()-29))),0)</f>
        <v>0</v>
      </c>
      <c r="AO700" s="112" t="n">
        <f aca="true">IFERROR(SUMPRODUCT(OFFSET($BJ$31,0,1-MIN(60,COLUMN()-29),1,MIN(60,COLUMN()-29)),OFFSET(AO699,0,-MIN(60,COLUMN()-29),1,MIN(60,COLUMN()-29))),0)</f>
        <v>0</v>
      </c>
      <c r="AP700" s="112" t="n">
        <f aca="true">IFERROR(SUMPRODUCT(OFFSET($BJ$31,0,1-MIN(60,COLUMN()-29),1,MIN(60,COLUMN()-29)),OFFSET(AP699,0,-MIN(60,COLUMN()-29),1,MIN(60,COLUMN()-29))),0)</f>
        <v>0</v>
      </c>
      <c r="AQ700" s="112" t="n">
        <f aca="true">IFERROR(SUMPRODUCT(OFFSET($BJ$31,0,1-MIN(60,COLUMN()-29),1,MIN(60,COLUMN()-29)),OFFSET(AQ699,0,-MIN(60,COLUMN()-29),1,MIN(60,COLUMN()-29))),0)</f>
        <v>0</v>
      </c>
      <c r="AR700" s="112" t="n">
        <f aca="true">IFERROR(SUMPRODUCT(OFFSET($BJ$31,0,1-MIN(60,COLUMN()-29),1,MIN(60,COLUMN()-29)),OFFSET(AR699,0,-MIN(60,COLUMN()-29),1,MIN(60,COLUMN()-29))),0)</f>
        <v>0</v>
      </c>
      <c r="AS700" s="112" t="n">
        <f aca="true">IFERROR(SUMPRODUCT(OFFSET($BJ$31,0,1-MIN(60,COLUMN()-29),1,MIN(60,COLUMN()-29)),OFFSET(AS699,0,-MIN(60,COLUMN()-29),1,MIN(60,COLUMN()-29))),0)</f>
        <v>0</v>
      </c>
      <c r="AT700" s="112" t="n">
        <f aca="true">IFERROR(SUMPRODUCT(OFFSET($BJ$31,0,1-MIN(60,COLUMN()-29),1,MIN(60,COLUMN()-29)),OFFSET(AT699,0,-MIN(60,COLUMN()-29),1,MIN(60,COLUMN()-29))),0)</f>
        <v>0</v>
      </c>
      <c r="AU700" s="112" t="n">
        <f aca="true">IFERROR(SUMPRODUCT(OFFSET($BJ$31,0,1-MIN(60,COLUMN()-29),1,MIN(60,COLUMN()-29)),OFFSET(AU699,0,-MIN(60,COLUMN()-29),1,MIN(60,COLUMN()-29))),0)</f>
        <v>0</v>
      </c>
      <c r="AV700" s="112" t="n">
        <f aca="true">IFERROR(SUMPRODUCT(OFFSET($BJ$31,0,1-MIN(60,COLUMN()-29),1,MIN(60,COLUMN()-29)),OFFSET(AV699,0,-MIN(60,COLUMN()-29),1,MIN(60,COLUMN()-29))),0)</f>
        <v>0</v>
      </c>
      <c r="AW700" s="112" t="n">
        <f aca="true">IFERROR(SUMPRODUCT(OFFSET($BJ$31,0,1-MIN(60,COLUMN()-29),1,MIN(60,COLUMN()-29)),OFFSET(AW699,0,-MIN(60,COLUMN()-29),1,MIN(60,COLUMN()-29))),0)</f>
        <v>0</v>
      </c>
      <c r="AX700" s="112" t="n">
        <f aca="true">IFERROR(SUMPRODUCT(OFFSET($BJ$31,0,1-MIN(60,COLUMN()-29),1,MIN(60,COLUMN()-29)),OFFSET(AX699,0,-MIN(60,COLUMN()-29),1,MIN(60,COLUMN()-29))),0)</f>
        <v>0</v>
      </c>
      <c r="AY700" s="112" t="n">
        <f aca="true">IFERROR(SUMPRODUCT(OFFSET($BJ$31,0,1-MIN(60,COLUMN()-29),1,MIN(60,COLUMN()-29)),OFFSET(AY699,0,-MIN(60,COLUMN()-29),1,MIN(60,COLUMN()-29))),0)</f>
        <v>0</v>
      </c>
      <c r="AZ700" s="112" t="n">
        <f aca="true">IFERROR(SUMPRODUCT(OFFSET($BJ$31,0,1-MIN(60,COLUMN()-29),1,MIN(60,COLUMN()-29)),OFFSET(AZ699,0,-MIN(60,COLUMN()-29),1,MIN(60,COLUMN()-29))),0)</f>
        <v>0</v>
      </c>
      <c r="BA700" s="112" t="n">
        <f aca="true">IFERROR(SUMPRODUCT(OFFSET($BJ$31,0,1-MIN(60,COLUMN()-29),1,MIN(60,COLUMN()-29)),OFFSET(BA699,0,-MIN(60,COLUMN()-29),1,MIN(60,COLUMN()-29))),0)</f>
        <v>0</v>
      </c>
      <c r="BB700" s="112" t="n">
        <f aca="true">IFERROR(SUMPRODUCT(OFFSET($BJ$31,0,1-MIN(60,COLUMN()-29),1,MIN(60,COLUMN()-29)),OFFSET(BB699,0,-MIN(60,COLUMN()-29),1,MIN(60,COLUMN()-29))),0)</f>
        <v>0</v>
      </c>
      <c r="BC700" s="112" t="n">
        <f aca="true">IFERROR(SUMPRODUCT(OFFSET($BJ$31,0,1-MIN(60,COLUMN()-29),1,MIN(60,COLUMN()-29)),OFFSET(BC699,0,-MIN(60,COLUMN()-29),1,MIN(60,COLUMN()-29))),0)</f>
        <v>0</v>
      </c>
      <c r="BD700" s="112" t="n">
        <f aca="true">IFERROR(SUMPRODUCT(OFFSET($BJ$31,0,1-MIN(60,COLUMN()-29),1,MIN(60,COLUMN()-29)),OFFSET(BD699,0,-MIN(60,COLUMN()-29),1,MIN(60,COLUMN()-29))),0)</f>
        <v>0</v>
      </c>
      <c r="BE700" s="112" t="n">
        <f aca="true">IFERROR(SUMPRODUCT(OFFSET($BJ$31,0,1-MIN(60,COLUMN()-29),1,MIN(60,COLUMN()-29)),OFFSET(BE699,0,-MIN(60,COLUMN()-29),1,MIN(60,COLUMN()-29))),0)</f>
        <v>0</v>
      </c>
      <c r="BF700" s="112" t="n">
        <f aca="true">IFERROR(SUMPRODUCT(OFFSET($BJ$31,0,1-MIN(60,COLUMN()-29),1,MIN(60,COLUMN()-29)),OFFSET(BF699,0,-MIN(60,COLUMN()-29),1,MIN(60,COLUMN()-29))),0)</f>
        <v>0</v>
      </c>
      <c r="BG700" s="112" t="n">
        <f aca="true">IFERROR(SUMPRODUCT(OFFSET($BJ$31,0,1-MIN(60,COLUMN()-29),1,MIN(60,COLUMN()-29)),OFFSET(BG699,0,-MIN(60,COLUMN()-29),1,MIN(60,COLUMN()-29))),0)</f>
        <v>0</v>
      </c>
      <c r="BH700" s="112" t="n">
        <f aca="true">IFERROR(SUMPRODUCT(OFFSET($BJ$31,0,1-MIN(60,COLUMN()-29),1,MIN(60,COLUMN()-29)),OFFSET(BH699,0,-MIN(60,COLUMN()-29),1,MIN(60,COLUMN()-29))),0)</f>
        <v>0</v>
      </c>
      <c r="BI700" s="112" t="n">
        <f aca="true">IFERROR(SUMPRODUCT(OFFSET($BJ$31,0,1-MIN(60,COLUMN()-29),1,MIN(60,COLUMN()-29)),OFFSET(BI699,0,-MIN(60,COLUMN()-29),1,MIN(60,COLUMN()-29))),0)</f>
        <v>0</v>
      </c>
      <c r="BJ700" s="112" t="n">
        <f aca="true">IFERROR(SUMPRODUCT(OFFSET($BJ$31,0,1-MIN(60,COLUMN()-29),1,MIN(60,COLUMN()-29)),OFFSET(BJ699,0,-MIN(60,COLUMN()-29),1,MIN(60,COLUMN()-29))),0)</f>
        <v>0</v>
      </c>
      <c r="BK700" s="112" t="n">
        <f aca="true">IFERROR(SUMPRODUCT(OFFSET($BJ$31,0,1-MIN(60,COLUMN()-29),1,MIN(60,COLUMN()-29)),OFFSET(BK699,0,-MIN(60,COLUMN()-29),1,MIN(60,COLUMN()-29))),0)</f>
        <v>0</v>
      </c>
      <c r="BL700" s="112" t="n">
        <f aca="true">IFERROR(SUMPRODUCT(OFFSET($BJ$31,0,1-MIN(60,COLUMN()-29),1,MIN(60,COLUMN()-29)),OFFSET(BL699,0,-MIN(60,COLUMN()-29),1,MIN(60,COLUMN()-29))),0)</f>
        <v>0</v>
      </c>
      <c r="BM700" s="112" t="n">
        <f aca="true">IFERROR(SUMPRODUCT(OFFSET($BJ$31,0,1-MIN(60,COLUMN()-29),1,MIN(60,COLUMN()-29)),OFFSET(BM699,0,-MIN(60,COLUMN()-29),1,MIN(60,COLUMN()-29))),0)</f>
        <v>0</v>
      </c>
      <c r="BN700" s="112" t="n">
        <f aca="true">IFERROR(SUMPRODUCT(OFFSET($BJ$31,0,1-MIN(60,COLUMN()-29),1,MIN(60,COLUMN()-29)),OFFSET(BN699,0,-MIN(60,COLUMN()-29),1,MIN(60,COLUMN()-29))),0)</f>
        <v>0</v>
      </c>
      <c r="BO700" s="112" t="n">
        <f aca="true">IFERROR(SUMPRODUCT(OFFSET($BJ$31,0,1-MIN(60,COLUMN()-29),1,MIN(60,COLUMN()-29)),OFFSET(BO699,0,-MIN(60,COLUMN()-29),1,MIN(60,COLUMN()-29))),0)</f>
        <v>0</v>
      </c>
      <c r="BP700" s="112" t="n">
        <f aca="true">IFERROR(SUMPRODUCT(OFFSET($BJ$31,0,1-MIN(60,COLUMN()-29),1,MIN(60,COLUMN()-29)),OFFSET(BP699,0,-MIN(60,COLUMN()-29),1,MIN(60,COLUMN()-29))),0)</f>
        <v>0</v>
      </c>
      <c r="BQ700" s="112" t="n">
        <f aca="true">IFERROR(SUMPRODUCT(OFFSET($BJ$31,0,1-MIN(60,COLUMN()-29),1,MIN(60,COLUMN()-29)),OFFSET(BQ699,0,-MIN(60,COLUMN()-29),1,MIN(60,COLUMN()-29))),0)</f>
        <v>0</v>
      </c>
      <c r="BR700" s="112" t="n">
        <f aca="true">IFERROR(SUMPRODUCT(OFFSET($BJ$31,0,1-MIN(60,COLUMN()-29),1,MIN(60,COLUMN()-29)),OFFSET(BR699,0,-MIN(60,COLUMN()-29),1,MIN(60,COLUMN()-29))),0)</f>
        <v>0</v>
      </c>
      <c r="BS700" s="112" t="n">
        <f aca="true">IFERROR(SUMPRODUCT(OFFSET($BJ$31,0,1-MIN(60,COLUMN()-29),1,MIN(60,COLUMN()-29)),OFFSET(BS699,0,-MIN(60,COLUMN()-29),1,MIN(60,COLUMN()-29))),0)</f>
        <v>0</v>
      </c>
      <c r="BT700" s="112" t="n">
        <f aca="true">IFERROR(SUMPRODUCT(OFFSET($BJ$31,0,1-MIN(60,COLUMN()-29),1,MIN(60,COLUMN()-29)),OFFSET(BT699,0,-MIN(60,COLUMN()-29),1,MIN(60,COLUMN()-29))),0)</f>
        <v>0</v>
      </c>
      <c r="BU700" s="112" t="n">
        <f aca="true">IFERROR(SUMPRODUCT(OFFSET($BJ$31,0,1-MIN(60,COLUMN()-29),1,MIN(60,COLUMN()-29)),OFFSET(BU699,0,-MIN(60,COLUMN()-29),1,MIN(60,COLUMN()-29))),0)</f>
        <v>0</v>
      </c>
      <c r="BV700" s="112" t="n">
        <f aca="true">IFERROR(SUMPRODUCT(OFFSET($BJ$31,0,1-MIN(60,COLUMN()-29),1,MIN(60,COLUMN()-29)),OFFSET(BV699,0,-MIN(60,COLUMN()-29),1,MIN(60,COLUMN()-29))),0)</f>
        <v>0</v>
      </c>
      <c r="BW700" s="112" t="n">
        <f aca="true">IFERROR(SUMPRODUCT(OFFSET($BJ$31,0,1-MIN(60,COLUMN()-29),1,MIN(60,COLUMN()-29)),OFFSET(BW699,0,-MIN(60,COLUMN()-29),1,MIN(60,COLUMN()-29))),0)</f>
        <v>0</v>
      </c>
      <c r="BX700" s="112" t="n">
        <f aca="true">IFERROR(SUMPRODUCT(OFFSET($BJ$31,0,1-MIN(60,COLUMN()-29),1,MIN(60,COLUMN()-29)),OFFSET(BX699,0,-MIN(60,COLUMN()-29),1,MIN(60,COLUMN()-29))),0)</f>
        <v>0</v>
      </c>
      <c r="BY700" s="112" t="n">
        <f aca="true">IFERROR(SUMPRODUCT(OFFSET($BJ$31,0,1-MIN(60,COLUMN()-29),1,MIN(60,COLUMN()-29)),OFFSET(BY699,0,-MIN(60,COLUMN()-29),1,MIN(60,COLUMN()-29))),0)</f>
        <v>0</v>
      </c>
      <c r="BZ700" s="112" t="n">
        <f aca="true">IFERROR(SUMPRODUCT(OFFSET($BJ$31,0,1-MIN(60,COLUMN()-29),1,MIN(60,COLUMN()-29)),OFFSET(BZ699,0,-MIN(60,COLUMN()-29),1,MIN(60,COLUMN()-29))),0)</f>
        <v>0</v>
      </c>
      <c r="CA700" s="112" t="n">
        <f aca="true">IFERROR(SUMPRODUCT(OFFSET($BJ$31,0,1-MIN(60,COLUMN()-29),1,MIN(60,COLUMN()-29)),OFFSET(CA699,0,-MIN(60,COLUMN()-29),1,MIN(60,COLUMN()-29))),0)</f>
        <v>0</v>
      </c>
      <c r="CB700" s="112" t="n">
        <f aca="true">IFERROR(SUMPRODUCT(OFFSET($BJ$31,0,1-MIN(60,COLUMN()-29),1,MIN(60,COLUMN()-29)),OFFSET(CB699,0,-MIN(60,COLUMN()-29),1,MIN(60,COLUMN()-29))),0)</f>
        <v>0</v>
      </c>
      <c r="CC700" s="112" t="n">
        <f aca="true">IFERROR(SUMPRODUCT(OFFSET($BJ$31,0,1-MIN(60,COLUMN()-29),1,MIN(60,COLUMN()-29)),OFFSET(CC699,0,-MIN(60,COLUMN()-29),1,MIN(60,COLUMN()-29))),0)</f>
        <v>0</v>
      </c>
      <c r="CD700" s="112" t="n">
        <f aca="true">IFERROR(SUMPRODUCT(OFFSET($BJ$31,0,1-MIN(60,COLUMN()-29),1,MIN(60,COLUMN()-29)),OFFSET(CD699,0,-MIN(60,COLUMN()-29),1,MIN(60,COLUMN()-29))),0)</f>
        <v>0</v>
      </c>
      <c r="CE700" s="112" t="n">
        <f aca="true">IFERROR(SUMPRODUCT(OFFSET($BJ$31,0,1-MIN(60,COLUMN()-29),1,MIN(60,COLUMN()-29)),OFFSET(CE699,0,-MIN(60,COLUMN()-29),1,MIN(60,COLUMN()-29))),0)</f>
        <v>0</v>
      </c>
      <c r="CF700" s="112" t="n">
        <f aca="true">IFERROR(SUMPRODUCT(OFFSET($BJ$31,0,1-MIN(60,COLUMN()-29),1,MIN(60,COLUMN()-29)),OFFSET(CF699,0,-MIN(60,COLUMN()-29),1,MIN(60,COLUMN()-29))),0)</f>
        <v>0</v>
      </c>
      <c r="CG700" s="112" t="n">
        <f aca="true">IFERROR(SUMPRODUCT(OFFSET($BJ$31,0,1-MIN(60,COLUMN()-29),1,MIN(60,COLUMN()-29)),OFFSET(CG699,0,-MIN(60,COLUMN()-29),1,MIN(60,COLUMN()-29))),0)</f>
        <v>0</v>
      </c>
      <c r="CH700" s="112" t="n">
        <f aca="true">IFERROR(SUMPRODUCT(OFFSET($BJ$31,0,1-MIN(60,COLUMN()-29),1,MIN(60,COLUMN()-29)),OFFSET(CH699,0,-MIN(60,COLUMN()-29),1,MIN(60,COLUMN()-29))),0)</f>
        <v>0</v>
      </c>
      <c r="CI700" s="112" t="n">
        <f aca="true">IFERROR(SUMPRODUCT(OFFSET($BJ$31,0,1-MIN(60,COLUMN()-29),1,MIN(60,COLUMN()-29)),OFFSET(CI699,0,-MIN(60,COLUMN()-29),1,MIN(60,COLUMN()-29))),0)</f>
        <v>0</v>
      </c>
      <c r="CJ700" s="112" t="n">
        <f aca="true">IFERROR(SUMPRODUCT(OFFSET($BJ$31,0,1-MIN(60,COLUMN()-29),1,MIN(60,COLUMN()-29)),OFFSET(CJ699,0,-MIN(60,COLUMN()-29),1,MIN(60,COLUMN()-29))),0)</f>
        <v>0</v>
      </c>
      <c r="CK700" s="112" t="n">
        <f aca="true">IFERROR(SUMPRODUCT(OFFSET($BJ$31,0,1-MIN(60,COLUMN()-29),1,MIN(60,COLUMN()-29)),OFFSET(CK699,0,-MIN(60,COLUMN()-29),1,MIN(60,COLUMN()-29))),0)</f>
        <v>0</v>
      </c>
      <c r="CL700" s="112" t="n">
        <f aca="true">IFERROR(SUMPRODUCT(OFFSET($BJ$31,0,1-MIN(60,COLUMN()-29),1,MIN(60,COLUMN()-29)),OFFSET(CL699,0,-MIN(60,COLUMN()-29),1,MIN(60,COLUMN()-29))),0)</f>
        <v>0</v>
      </c>
      <c r="CM700" s="112" t="n">
        <f aca="true">IFERROR(SUMPRODUCT(OFFSET($BJ$31,0,1-MIN(60,COLUMN()-29),1,MIN(60,COLUMN()-29)),OFFSET(CM699,0,-MIN(60,COLUMN()-29),1,MIN(60,COLUMN()-29))),0)</f>
        <v>0</v>
      </c>
      <c r="CN700" s="112" t="n">
        <f aca="true">IFERROR(SUMPRODUCT(OFFSET($BJ$31,0,1-MIN(60,COLUMN()-29),1,MIN(60,COLUMN()-29)),OFFSET(CN699,0,-MIN(60,COLUMN()-29),1,MIN(60,COLUMN()-29))),0)</f>
        <v>0</v>
      </c>
      <c r="CO700" s="112" t="n">
        <f aca="true">IFERROR(SUMPRODUCT(OFFSET($BJ$31,0,1-MIN(60,COLUMN()-29),1,MIN(60,COLUMN()-29)),OFFSET(CO699,0,-MIN(60,COLUMN()-29),1,MIN(60,COLUMN()-29))),0)</f>
        <v>0</v>
      </c>
      <c r="CP700" s="112" t="n">
        <f aca="true">IFERROR(SUMPRODUCT(OFFSET($BJ$31,0,1-MIN(60,COLUMN()-29),1,MIN(60,COLUMN()-29)),OFFSET(CP699,0,-MIN(60,COLUMN()-29),1,MIN(60,COLUMN()-29))),0)</f>
        <v>0</v>
      </c>
      <c r="CQ700" s="112" t="n">
        <f aca="true">IFERROR(SUMPRODUCT(OFFSET($BJ$31,0,1-MIN(60,COLUMN()-29),1,MIN(60,COLUMN()-29)),OFFSET(CQ699,0,-MIN(60,COLUMN()-29),1,MIN(60,COLUMN()-29))),0)</f>
        <v>0</v>
      </c>
      <c r="CR700" s="112" t="n">
        <f aca="true">IFERROR(SUMPRODUCT(OFFSET($BJ$31,0,1-MIN(60,COLUMN()-29),1,MIN(60,COLUMN()-29)),OFFSET(CR699,0,-MIN(60,COLUMN()-29),1,MIN(60,COLUMN()-29))),0)</f>
        <v>0</v>
      </c>
      <c r="CS700" s="112" t="n">
        <f aca="true">IFERROR(SUMPRODUCT(OFFSET($BJ$31,0,1-MIN(60,COLUMN()-29),1,MIN(60,COLUMN()-29)),OFFSET(CS699,0,-MIN(60,COLUMN()-29),1,MIN(60,COLUMN()-29))),0)</f>
        <v>0</v>
      </c>
      <c r="CT700" s="112" t="n">
        <f aca="true">IFERROR(SUMPRODUCT(OFFSET($BJ$31,0,1-MIN(60,COLUMN()-29),1,MIN(60,COLUMN()-29)),OFFSET(CT699,0,-MIN(60,COLUMN()-29),1,MIN(60,COLUMN()-29))),0)</f>
        <v>0</v>
      </c>
      <c r="CU700" s="112" t="n">
        <f aca="true">IFERROR(SUMPRODUCT(OFFSET($BJ$31,0,1-MIN(60,COLUMN()-29),1,MIN(60,COLUMN()-29)),OFFSET(CU699,0,-MIN(60,COLUMN()-29),1,MIN(60,COLUMN()-29))),0)</f>
        <v>0</v>
      </c>
      <c r="CV700" s="112" t="n">
        <f aca="true">IFERROR(SUMPRODUCT(OFFSET($BJ$31,0,1-MIN(60,COLUMN()-29),1,MIN(60,COLUMN()-29)),OFFSET(CV699,0,-MIN(60,COLUMN()-29),1,MIN(60,COLUMN()-29))),0)</f>
        <v>0</v>
      </c>
      <c r="CW700" s="112" t="n">
        <f aca="true">IFERROR(SUMPRODUCT(OFFSET($BJ$31,0,1-MIN(60,COLUMN()-29),1,MIN(60,COLUMN()-29)),OFFSET(CW699,0,-MIN(60,COLUMN()-29),1,MIN(60,COLUMN()-29))),0)</f>
        <v>0</v>
      </c>
      <c r="CX700" s="112" t="n">
        <f aca="true">IFERROR(SUMPRODUCT(OFFSET($BJ$31,0,1-MIN(60,COLUMN()-29),1,MIN(60,COLUMN()-29)),OFFSET(CX699,0,-MIN(60,COLUMN()-29),1,MIN(60,COLUMN()-29))),0)</f>
        <v>0</v>
      </c>
      <c r="CY700" s="112" t="n">
        <f aca="true">IFERROR(SUMPRODUCT(OFFSET($BJ$31,0,1-MIN(60,COLUMN()-29),1,MIN(60,COLUMN()-29)),OFFSET(CY699,0,-MIN(60,COLUMN()-29),1,MIN(60,COLUMN()-29))),0)</f>
        <v>2.30912</v>
      </c>
      <c r="CZ700" s="112" t="n">
        <f aca="true">IFERROR(SUMPRODUCT(OFFSET($BJ$31,0,1-MIN(60,COLUMN()-29),1,MIN(60,COLUMN()-29)),OFFSET(CZ699,0,-MIN(60,COLUMN()-29),1,MIN(60,COLUMN()-29))),0)</f>
        <v>3.91072</v>
      </c>
      <c r="DA700" s="112" t="n">
        <f aca="true">IFERROR(SUMPRODUCT(OFFSET($BJ$31,0,1-MIN(60,COLUMN()-29),1,MIN(60,COLUMN()-29)),OFFSET(DA699,0,-MIN(60,COLUMN()-29),1,MIN(60,COLUMN()-29))),0)</f>
        <v>4.6152832</v>
      </c>
      <c r="DB700" s="112" t="n">
        <f aca="true">IFERROR(SUMPRODUCT(OFFSET($BJ$31,0,1-MIN(60,COLUMN()-29),1,MIN(60,COLUMN()-29)),OFFSET(DB699,0,-MIN(60,COLUMN()-29),1,MIN(60,COLUMN()-29))),0)</f>
        <v>4.8683008</v>
      </c>
      <c r="DC700" s="112" t="n">
        <f aca="true">IFERROR(SUMPRODUCT(OFFSET($BJ$31,0,1-MIN(60,COLUMN()-29),1,MIN(60,COLUMN()-29)),OFFSET(DC699,0,-MIN(60,COLUMN()-29),1,MIN(60,COLUMN()-29))),0)</f>
        <v>4.705184</v>
      </c>
      <c r="DD700" s="112" t="n">
        <f aca="true">IFERROR(SUMPRODUCT(OFFSET($BJ$31,0,1-MIN(60,COLUMN()-29),1,MIN(60,COLUMN()-29)),OFFSET(DD699,0,-MIN(60,COLUMN()-29),1,MIN(60,COLUMN()-29))),0)</f>
        <v>5.4244608</v>
      </c>
      <c r="DE700" s="112" t="n">
        <f aca="true">IFERROR(SUMPRODUCT(OFFSET($BJ$31,0,1-MIN(60,COLUMN()-29),1,MIN(60,COLUMN()-29)),OFFSET(DE699,0,-MIN(60,COLUMN()-29),1,MIN(60,COLUMN()-29))),0)</f>
        <v>9.0860352</v>
      </c>
      <c r="DF700" s="112" t="n">
        <f aca="true">IFERROR(SUMPRODUCT(OFFSET($BJ$31,0,1-MIN(60,COLUMN()-29),1,MIN(60,COLUMN()-29)),OFFSET(DF699,0,-MIN(60,COLUMN()-29),1,MIN(60,COLUMN()-29))),0)</f>
        <v>9.215184</v>
      </c>
      <c r="DG700" s="112" t="n">
        <f aca="true">IFERROR(SUMPRODUCT(OFFSET($BJ$31,0,1-MIN(60,COLUMN()-29),1,MIN(60,COLUMN()-29)),OFFSET(DG699,0,-MIN(60,COLUMN()-29),1,MIN(60,COLUMN()-29))),0)</f>
        <v>9.5463104</v>
      </c>
      <c r="DH700" s="112" t="n">
        <f aca="true">IFERROR(SUMPRODUCT(OFFSET($BJ$31,0,1-MIN(60,COLUMN()-29),1,MIN(60,COLUMN()-29)),OFFSET(DH699,0,-MIN(60,COLUMN()-29),1,MIN(60,COLUMN()-29))),0)</f>
        <v>8.6454016</v>
      </c>
      <c r="DI700" s="112" t="n">
        <f aca="true">IFERROR(SUMPRODUCT(OFFSET($BJ$31,0,1-MIN(60,COLUMN()-29),1,MIN(60,COLUMN()-29)),OFFSET(DI699,0,-MIN(60,COLUMN()-29),1,MIN(60,COLUMN()-29))),0)</f>
        <v>11.1888832</v>
      </c>
      <c r="DJ700" s="112" t="n">
        <f aca="true">IFERROR(SUMPRODUCT(OFFSET($BJ$31,0,1-MIN(60,COLUMN()-29),1,MIN(60,COLUMN()-29)),OFFSET(DJ699,0,-MIN(60,COLUMN()-29),1,MIN(60,COLUMN()-29))),0)</f>
        <v>12.8969632</v>
      </c>
      <c r="DK700" s="112" t="n">
        <f aca="true">IFERROR(SUMPRODUCT(OFFSET($BJ$31,0,1-MIN(60,COLUMN()-29),1,MIN(60,COLUMN()-29)),OFFSET(DK699,0,-MIN(60,COLUMN()-29),1,MIN(60,COLUMN()-29))),0)</f>
        <v>13.102848</v>
      </c>
      <c r="DL700" s="112" t="n">
        <f aca="true">IFERROR(SUMPRODUCT(OFFSET($BJ$31,0,1-MIN(60,COLUMN()-29),1,MIN(60,COLUMN()-29)),OFFSET(DL699,0,-MIN(60,COLUMN()-29),1,MIN(60,COLUMN()-29))),0)</f>
        <v>17.138704</v>
      </c>
      <c r="DM700" s="112" t="n">
        <f aca="true">IFERROR(SUMPRODUCT(OFFSET($BJ$31,0,1-MIN(60,COLUMN()-29),1,MIN(60,COLUMN()-29)),OFFSET(DM699,0,-MIN(60,COLUMN()-29),1,MIN(60,COLUMN()-29))),0)</f>
        <v>17.6159104</v>
      </c>
      <c r="DN700" s="112" t="n">
        <f aca="true">IFERROR(SUMPRODUCT(OFFSET($BJ$31,0,1-MIN(60,COLUMN()-29),1,MIN(60,COLUMN()-29)),OFFSET(DN699,0,-MIN(60,COLUMN()-29),1,MIN(60,COLUMN()-29))),0)</f>
        <v>18.9879712</v>
      </c>
      <c r="DO700" s="112" t="n">
        <f aca="true">IFERROR(SUMPRODUCT(OFFSET($BJ$31,0,1-MIN(60,COLUMN()-29),1,MIN(60,COLUMN()-29)),OFFSET(DO699,0,-MIN(60,COLUMN()-29),1,MIN(60,COLUMN()-29))),0)</f>
        <v>19.18277152</v>
      </c>
      <c r="DP700" s="112" t="n">
        <f aca="true">IFERROR(SUMPRODUCT(OFFSET($BJ$31,0,1-MIN(60,COLUMN()-29),1,MIN(60,COLUMN()-29)),OFFSET(DP699,0,-MIN(60,COLUMN()-29),1,MIN(60,COLUMN()-29))),0)</f>
        <v>21.85396928</v>
      </c>
      <c r="DQ700" s="112" t="n">
        <f aca="true">IFERROR(SUMPRODUCT(OFFSET($BJ$31,0,1-MIN(60,COLUMN()-29),1,MIN(60,COLUMN()-29)),OFFSET(DQ699,0,-MIN(60,COLUMN()-29),1,MIN(60,COLUMN()-29))),0)</f>
        <v>30.66269888</v>
      </c>
      <c r="DR700" s="112" t="n">
        <f aca="true">IFERROR(SUMPRODUCT(OFFSET($BJ$31,0,1-MIN(60,COLUMN()-29),1,MIN(60,COLUMN()-29)),OFFSET(DR699,0,-MIN(60,COLUMN()-29),1,MIN(60,COLUMN()-29))),0)</f>
        <v>30.21796624</v>
      </c>
      <c r="DS700" s="112" t="n">
        <f aca="true">IFERROR(SUMPRODUCT(OFFSET($BJ$31,0,1-MIN(60,COLUMN()-29),1,MIN(60,COLUMN()-29)),OFFSET(DS699,0,-MIN(60,COLUMN()-29),1,MIN(60,COLUMN()-29))),0)</f>
        <v>29.717908</v>
      </c>
      <c r="DT700" s="112" t="n">
        <f aca="true">IFERROR(SUMPRODUCT(OFFSET($BJ$31,0,1-MIN(60,COLUMN()-29),1,MIN(60,COLUMN()-29)),OFFSET(DT699,0,-MIN(60,COLUMN()-29),1,MIN(60,COLUMN()-29))),0)</f>
        <v>28.11400768</v>
      </c>
      <c r="DU700" s="112" t="n">
        <f aca="true">IFERROR(SUMPRODUCT(OFFSET($BJ$31,0,1-MIN(60,COLUMN()-29),1,MIN(60,COLUMN()-29)),OFFSET(DU699,0,-MIN(60,COLUMN()-29),1,MIN(60,COLUMN()-29))),0)</f>
        <v>34.36719176</v>
      </c>
      <c r="DV700" s="112" t="n">
        <f aca="true">IFERROR(SUMPRODUCT(OFFSET($BJ$31,0,1-MIN(60,COLUMN()-29),1,MIN(60,COLUMN()-29)),OFFSET(DV699,0,-MIN(60,COLUMN()-29),1,MIN(60,COLUMN()-29))),0)</f>
        <v>37.05686072</v>
      </c>
      <c r="DW700" s="112" t="n">
        <f aca="true">IFERROR(SUMPRODUCT(OFFSET($BJ$31,0,1-MIN(60,COLUMN()-29),1,MIN(60,COLUMN()-29)),OFFSET(DW699,0,-MIN(60,COLUMN()-29),1,MIN(60,COLUMN()-29))),0)</f>
        <v>36.74059576</v>
      </c>
      <c r="DX700" s="112" t="n">
        <f aca="true">IFERROR(SUMPRODUCT(OFFSET($BJ$31,0,1-MIN(60,COLUMN()-29),1,MIN(60,COLUMN()-29)),OFFSET(DX699,0,-MIN(60,COLUMN()-29),1,MIN(60,COLUMN()-29))),0)</f>
        <v>43.11921592</v>
      </c>
      <c r="DY700" s="112" t="n">
        <f aca="true">IFERROR(SUMPRODUCT(OFFSET($BJ$31,0,1-MIN(60,COLUMN()-29),1,MIN(60,COLUMN()-29)),OFFSET(DY699,0,-MIN(60,COLUMN()-29),1,MIN(60,COLUMN()-29))),0)</f>
        <v>45.0912748</v>
      </c>
      <c r="DZ700" s="112" t="n">
        <f aca="true">IFERROR(SUMPRODUCT(OFFSET($BJ$31,0,1-MIN(60,COLUMN()-29),1,MIN(60,COLUMN()-29)),OFFSET(DZ699,0,-MIN(60,COLUMN()-29),1,MIN(60,COLUMN()-29))),0)</f>
        <v>45.86269688</v>
      </c>
      <c r="EA700" s="112" t="n">
        <f aca="true">IFERROR(SUMPRODUCT(OFFSET($BJ$31,0,1-MIN(60,COLUMN()-29),1,MIN(60,COLUMN()-29)),OFFSET(EA699,0,-MIN(60,COLUMN()-29),1,MIN(60,COLUMN()-29))),0)</f>
        <v>45.82513848</v>
      </c>
      <c r="EB700" s="112" t="n">
        <f aca="true">IFERROR(SUMPRODUCT(OFFSET($BJ$31,0,1-MIN(60,COLUMN()-29),1,MIN(60,COLUMN()-29)),OFFSET(EB699,0,-MIN(60,COLUMN()-29),1,MIN(60,COLUMN()-29))),0)</f>
        <v>49.67989752</v>
      </c>
      <c r="EC700" s="112" t="n">
        <f aca="true">IFERROR(SUMPRODUCT(OFFSET($BJ$31,0,1-MIN(60,COLUMN()-29),1,MIN(60,COLUMN()-29)),OFFSET(EC699,0,-MIN(60,COLUMN()-29),1,MIN(60,COLUMN()-29))),0)</f>
        <v>60.96947736</v>
      </c>
      <c r="ED700" s="112" t="n">
        <f aca="true">IFERROR(SUMPRODUCT(OFFSET($BJ$31,0,1-MIN(60,COLUMN()-29),1,MIN(60,COLUMN()-29)),OFFSET(ED699,0,-MIN(60,COLUMN()-29),1,MIN(60,COLUMN()-29))),0)</f>
        <v>61.18125816</v>
      </c>
      <c r="EE700" s="112" t="n">
        <f aca="true">IFERROR(SUMPRODUCT(OFFSET($BJ$31,0,1-MIN(60,COLUMN()-29),1,MIN(60,COLUMN()-29)),OFFSET(EE699,0,-MIN(60,COLUMN()-29),1,MIN(60,COLUMN()-29))),0)</f>
        <v>60.70174968</v>
      </c>
      <c r="EF700" s="112" t="n">
        <f aca="true">IFERROR(SUMPRODUCT(OFFSET($BJ$31,0,1-MIN(60,COLUMN()-29),1,MIN(60,COLUMN()-29)),OFFSET(EF699,0,-MIN(60,COLUMN()-29),1,MIN(60,COLUMN()-29))),0)</f>
        <v>59.07511896</v>
      </c>
      <c r="EG700" s="112" t="n">
        <f aca="true">IFERROR(SUMPRODUCT(OFFSET($BJ$31,0,1-MIN(60,COLUMN()-29),1,MIN(60,COLUMN()-29)),OFFSET(EG699,0,-MIN(60,COLUMN()-29),1,MIN(60,COLUMN()-29))),0)</f>
        <v>67.92665352</v>
      </c>
      <c r="EH700" s="112" t="n">
        <f aca="true">IFERROR(SUMPRODUCT(OFFSET($BJ$31,0,1-MIN(60,COLUMN()-29),1,MIN(60,COLUMN()-29)),OFFSET(EH699,0,-MIN(60,COLUMN()-29),1,MIN(60,COLUMN()-29))),0)</f>
        <v>71.68365864</v>
      </c>
      <c r="EI700" s="112" t="n">
        <f aca="true">IFERROR(SUMPRODUCT(OFFSET($BJ$31,0,1-MIN(60,COLUMN()-29),1,MIN(60,COLUMN()-29)),OFFSET(EI699,0,-MIN(60,COLUMN()-29),1,MIN(60,COLUMN()-29))),0)</f>
        <v>71.79665064</v>
      </c>
      <c r="EJ700" s="112" t="n">
        <f aca="true">IFERROR(SUMPRODUCT(OFFSET($BJ$31,0,1-MIN(60,COLUMN()-29),1,MIN(60,COLUMN()-29)),OFFSET(EJ699,0,-MIN(60,COLUMN()-29),1,MIN(60,COLUMN()-29))),0)</f>
        <v>80.14219752</v>
      </c>
      <c r="EK700" s="112" t="n">
        <f aca="true">IFERROR(SUMPRODUCT(OFFSET($BJ$31,0,1-MIN(60,COLUMN()-29),1,MIN(60,COLUMN()-29)),OFFSET(EK699,0,-MIN(60,COLUMN()-29),1,MIN(60,COLUMN()-29))),0)</f>
        <v>82.64232504</v>
      </c>
      <c r="EL700" s="112" t="n">
        <f aca="true">IFERROR(SUMPRODUCT(OFFSET($BJ$31,0,1-MIN(60,COLUMN()-29),1,MIN(60,COLUMN()-29)),OFFSET(EL699,0,-MIN(60,COLUMN()-29),1,MIN(60,COLUMN()-29))),0)</f>
        <v>83.42734488</v>
      </c>
      <c r="EM700" s="112" t="n">
        <f aca="true">IFERROR(SUMPRODUCT(OFFSET($BJ$31,0,1-MIN(60,COLUMN()-29),1,MIN(60,COLUMN()-29)),OFFSET(EM699,0,-MIN(60,COLUMN()-29),1,MIN(60,COLUMN()-29))),0)</f>
        <v>83.79764712</v>
      </c>
      <c r="EN700" s="112" t="n">
        <f aca="true">IFERROR(SUMPRODUCT(OFFSET($BJ$31,0,1-MIN(60,COLUMN()-29),1,MIN(60,COLUMN()-29)),OFFSET(EN699,0,-MIN(60,COLUMN()-29),1,MIN(60,COLUMN()-29))),0)</f>
        <v>88.8768804</v>
      </c>
      <c r="EO700" s="112" t="n">
        <f aca="true">IFERROR(SUMPRODUCT(OFFSET($BJ$31,0,1-MIN(60,COLUMN()-29),1,MIN(60,COLUMN()-29)),OFFSET(EO699,0,-MIN(60,COLUMN()-29),1,MIN(60,COLUMN()-29))),0)</f>
        <v>102.66825096</v>
      </c>
      <c r="EP700" s="112" t="n">
        <f aca="true">IFERROR(SUMPRODUCT(OFFSET($BJ$31,0,1-MIN(60,COLUMN()-29),1,MIN(60,COLUMN()-29)),OFFSET(EP699,0,-MIN(60,COLUMN()-29),1,MIN(60,COLUMN()-29))),0)</f>
        <v>102.95168136</v>
      </c>
      <c r="EQ700" s="112" t="n">
        <f aca="true">IFERROR(SUMPRODUCT(OFFSET($BJ$31,0,1-MIN(60,COLUMN()-29),1,MIN(60,COLUMN()-29)),OFFSET(EQ699,0,-MIN(60,COLUMN()-29),1,MIN(60,COLUMN()-29))),0)</f>
        <v>102.294258</v>
      </c>
      <c r="ER700" s="112" t="n">
        <f aca="true">IFERROR(SUMPRODUCT(OFFSET($BJ$31,0,1-MIN(60,COLUMN()-29),1,MIN(60,COLUMN()-29)),OFFSET(ER699,0,-MIN(60,COLUMN()-29),1,MIN(60,COLUMN()-29))),0)</f>
        <v>100.32522984</v>
      </c>
      <c r="ES700" s="9" t="n">
        <f aca="true">IFERROR(SUMPRODUCT(OFFSET($BJ$31,0,1-MIN(60,COLUMN()-29),1,MIN(60,COLUMN()-29)),OFFSET(ES699,0,-MIN(60,COLUMN()-29),1,MIN(60,COLUMN()-29))),0)</f>
        <v>110.39151816</v>
      </c>
      <c r="ET700" s="9" t="n">
        <f aca="true">IFERROR(SUMPRODUCT(OFFSET($BJ$31,0,1-MIN(60,COLUMN()-29),1,MIN(60,COLUMN()-29)),OFFSET(ET699,0,-MIN(60,COLUMN()-29),1,MIN(60,COLUMN()-29))),0)</f>
        <v>114.36794952</v>
      </c>
      <c r="EU700" s="9" t="n">
        <f aca="true">IFERROR(SUMPRODUCT(OFFSET($BJ$31,0,1-MIN(60,COLUMN()-29),1,MIN(60,COLUMN()-29)),OFFSET(EU699,0,-MIN(60,COLUMN()-29),1,MIN(60,COLUMN()-29))),0)</f>
        <v>114.34821288</v>
      </c>
      <c r="EV700" s="9" t="n">
        <f aca="true">IFERROR(SUMPRODUCT(OFFSET($BJ$31,0,1-MIN(60,COLUMN()-29),1,MIN(60,COLUMN()-29)),OFFSET(EV699,0,-MIN(60,COLUMN()-29),1,MIN(60,COLUMN()-29))),0)</f>
        <v>122.86131528</v>
      </c>
      <c r="EW700" s="9" t="n">
        <f aca="true">IFERROR(SUMPRODUCT(OFFSET($BJ$31,0,1-MIN(60,COLUMN()-29),1,MIN(60,COLUMN()-29)),OFFSET(EW699,0,-MIN(60,COLUMN()-29),1,MIN(60,COLUMN()-29))),0)</f>
        <v>124.95155112</v>
      </c>
      <c r="EX700" s="9" t="n">
        <f aca="true">IFERROR(SUMPRODUCT(OFFSET($BJ$31,0,1-MIN(60,COLUMN()-29),1,MIN(60,COLUMN()-29)),OFFSET(EX699,0,-MIN(60,COLUMN()-29),1,MIN(60,COLUMN()-29))),0)</f>
        <v>125.5046364</v>
      </c>
      <c r="EY700" s="9" t="n">
        <f aca="true">IFERROR(SUMPRODUCT(OFFSET($BJ$31,0,1-MIN(60,COLUMN()-29),1,MIN(60,COLUMN()-29)),OFFSET(EY699,0,-MIN(60,COLUMN()-29),1,MIN(60,COLUMN()-29))),0)</f>
        <v>125.41113288</v>
      </c>
      <c r="EZ700" s="9" t="n">
        <f aca="true">IFERROR(SUMPRODUCT(OFFSET($BJ$31,0,1-MIN(60,COLUMN()-29),1,MIN(60,COLUMN()-29)),OFFSET(EZ699,0,-MIN(60,COLUMN()-29),1,MIN(60,COLUMN()-29))),0)</f>
        <v>130.5523164</v>
      </c>
      <c r="FA700" s="9" t="n">
        <f aca="true">IFERROR(SUMPRODUCT(OFFSET($BJ$31,0,1-MIN(60,COLUMN()-29),1,MIN(60,COLUMN()-29)),OFFSET(FA699,0,-MIN(60,COLUMN()-29),1,MIN(60,COLUMN()-29))),0)</f>
        <v>143.95656</v>
      </c>
      <c r="FB700" s="9" t="n">
        <f aca="true">IFERROR(SUMPRODUCT(OFFSET($BJ$31,0,1-MIN(60,COLUMN()-29),1,MIN(60,COLUMN()-29)),OFFSET(FB699,0,-MIN(60,COLUMN()-29),1,MIN(60,COLUMN()-29))),0)</f>
        <v>143.3982264</v>
      </c>
      <c r="FC700" s="9" t="n">
        <f aca="true">IFERROR(SUMPRODUCT(OFFSET($BJ$31,0,1-MIN(60,COLUMN()-29),1,MIN(60,COLUMN()-29)),OFFSET(FC699,0,-MIN(60,COLUMN()-29),1,MIN(60,COLUMN()-29))),0)</f>
        <v>142.02808752</v>
      </c>
      <c r="FD700" s="9" t="n">
        <f aca="true">IFERROR(SUMPRODUCT(OFFSET($BJ$31,0,1-MIN(60,COLUMN()-29),1,MIN(60,COLUMN()-29)),OFFSET(FD699,0,-MIN(60,COLUMN()-29),1,MIN(60,COLUMN()-29))),0)</f>
        <v>139.71834096</v>
      </c>
      <c r="FE700" s="9" t="n">
        <f aca="true">IFERROR(SUMPRODUCT(OFFSET($BJ$31,0,1-MIN(60,COLUMN()-29),1,MIN(60,COLUMN()-29)),OFFSET(FE699,0,-MIN(60,COLUMN()-29),1,MIN(60,COLUMN()-29))),0)</f>
        <v>149.5428528</v>
      </c>
      <c r="FF700" s="9" t="n">
        <f aca="true">IFERROR(SUMPRODUCT(OFFSET($BJ$31,0,1-MIN(60,COLUMN()-29),1,MIN(60,COLUMN()-29)),OFFSET(FF699,0,-MIN(60,COLUMN()-29),1,MIN(60,COLUMN()-29))),0)</f>
        <v>152.8264848</v>
      </c>
      <c r="FG700" s="9" t="n">
        <f aca="true">IFERROR(SUMPRODUCT(OFFSET($BJ$31,0,1-MIN(60,COLUMN()-29),1,MIN(60,COLUMN()-29)),OFFSET(FG699,0,-MIN(60,COLUMN()-29),1,MIN(60,COLUMN()-29))),0)</f>
        <v>152.2905648</v>
      </c>
      <c r="FH700" s="9" t="n">
        <f aca="true">IFERROR(SUMPRODUCT(OFFSET($BJ$31,0,1-MIN(60,COLUMN()-29),1,MIN(60,COLUMN()-29)),OFFSET(FH699,0,-MIN(60,COLUMN()-29),1,MIN(60,COLUMN()-29))),0)</f>
        <v>159.825864</v>
      </c>
      <c r="FI700" s="9" t="n">
        <f aca="true">IFERROR(SUMPRODUCT(OFFSET($BJ$31,0,1-MIN(60,COLUMN()-29),1,MIN(60,COLUMN()-29)),OFFSET(FI699,0,-MIN(60,COLUMN()-29),1,MIN(60,COLUMN()-29))),0)</f>
        <v>161.060592</v>
      </c>
      <c r="FJ700" s="9" t="n">
        <f aca="true">IFERROR(SUMPRODUCT(OFFSET($BJ$31,0,1-MIN(60,COLUMN()-29),1,MIN(60,COLUMN()-29)),OFFSET(FJ699,0,-MIN(60,COLUMN()-29),1,MIN(60,COLUMN()-29))),0)</f>
        <v>160.6357104</v>
      </c>
      <c r="FK700" s="9" t="n">
        <f aca="true">IFERROR(SUMPRODUCT(OFFSET($BJ$31,0,1-MIN(60,COLUMN()-29),1,MIN(60,COLUMN()-29)),OFFSET(FK699,0,-MIN(60,COLUMN()-29),1,MIN(60,COLUMN()-29))),0)</f>
        <v>159.5496144</v>
      </c>
      <c r="FL700" s="9" t="n">
        <f aca="true">IFERROR(SUMPRODUCT(OFFSET($BJ$31,0,1-MIN(60,COLUMN()-29),1,MIN(60,COLUMN()-29)),OFFSET(FL699,0,-MIN(60,COLUMN()-29),1,MIN(60,COLUMN()-29))),0)</f>
        <v>163.7204448</v>
      </c>
      <c r="FM700" s="9" t="n">
        <f aca="true">IFERROR(SUMPRODUCT(OFFSET($BJ$31,0,1-MIN(60,COLUMN()-29),1,MIN(60,COLUMN()-29)),OFFSET(FM699,0,-MIN(60,COLUMN()-29),1,MIN(60,COLUMN()-29))),0)</f>
        <v>175.2589608</v>
      </c>
      <c r="FN700" s="9" t="n">
        <f aca="true">IFERROR(SUMPRODUCT(OFFSET($BJ$31,0,1-MIN(60,COLUMN()-29),1,MIN(60,COLUMN()-29)),OFFSET(FN699,0,-MIN(60,COLUMN()-29),1,MIN(60,COLUMN()-29))),0)</f>
        <v>173.1745752</v>
      </c>
      <c r="FO700" s="9" t="n">
        <f aca="true">IFERROR(SUMPRODUCT(OFFSET($BJ$31,0,1-MIN(60,COLUMN()-29),1,MIN(60,COLUMN()-29)),OFFSET(FO699,0,-MIN(60,COLUMN()-29),1,MIN(60,COLUMN()-29))),0)</f>
        <v>170.5054296</v>
      </c>
      <c r="FP700" s="9" t="n">
        <f aca="true">IFERROR(SUMPRODUCT(OFFSET($BJ$31,0,1-MIN(60,COLUMN()-29),1,MIN(60,COLUMN()-29)),OFFSET(FP699,0,-MIN(60,COLUMN()-29),1,MIN(60,COLUMN()-29))),0)</f>
        <v>167.1888504</v>
      </c>
    </row>
    <row r="701" customFormat="false" ht="15" hidden="false" customHeight="false" outlineLevel="2" collapsed="false">
      <c r="B701" s="90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237"/>
      <c r="AD701" s="237"/>
      <c r="AE701" s="237"/>
      <c r="AF701" s="237"/>
      <c r="AG701" s="237"/>
      <c r="AH701" s="237"/>
      <c r="AI701" s="237"/>
      <c r="AJ701" s="237"/>
      <c r="AK701" s="237"/>
      <c r="AL701" s="237"/>
      <c r="AM701" s="237"/>
      <c r="AN701" s="237"/>
      <c r="AO701" s="237"/>
      <c r="AP701" s="237"/>
      <c r="AQ701" s="237"/>
      <c r="AR701" s="237"/>
      <c r="AS701" s="237"/>
      <c r="AT701" s="237"/>
      <c r="AU701" s="237"/>
      <c r="AV701" s="237"/>
      <c r="AW701" s="237"/>
      <c r="AX701" s="237"/>
      <c r="AY701" s="237"/>
      <c r="AZ701" s="237"/>
      <c r="BA701" s="237"/>
      <c r="BB701" s="237"/>
      <c r="BC701" s="237"/>
      <c r="BD701" s="237"/>
      <c r="BE701" s="237"/>
      <c r="BF701" s="237"/>
      <c r="BG701" s="237"/>
      <c r="BH701" s="237"/>
      <c r="BI701" s="237"/>
      <c r="BJ701" s="237"/>
      <c r="BK701" s="237"/>
      <c r="BL701" s="237"/>
      <c r="BM701" s="237"/>
      <c r="BN701" s="237"/>
      <c r="BO701" s="237"/>
      <c r="BP701" s="237"/>
      <c r="BQ701" s="237"/>
      <c r="BR701" s="237"/>
      <c r="BS701" s="237"/>
      <c r="BT701" s="237"/>
      <c r="BU701" s="237"/>
      <c r="BV701" s="237"/>
      <c r="BW701" s="237"/>
      <c r="BX701" s="237"/>
      <c r="BY701" s="237"/>
      <c r="BZ701" s="237"/>
      <c r="CA701" s="237"/>
      <c r="CB701" s="237"/>
      <c r="CC701" s="237"/>
      <c r="CD701" s="237"/>
      <c r="CE701" s="237"/>
      <c r="CF701" s="237"/>
      <c r="CG701" s="237"/>
      <c r="CH701" s="237"/>
      <c r="CI701" s="237"/>
      <c r="CJ701" s="237"/>
      <c r="CK701" s="237"/>
      <c r="CL701" s="237"/>
      <c r="CM701" s="237"/>
      <c r="CN701" s="237"/>
      <c r="CO701" s="237"/>
      <c r="CP701" s="237"/>
      <c r="CQ701" s="237"/>
      <c r="CR701" s="237"/>
      <c r="CS701" s="237"/>
      <c r="CT701" s="237"/>
      <c r="CU701" s="237"/>
      <c r="CV701" s="237"/>
      <c r="CW701" s="237"/>
      <c r="CX701" s="237"/>
      <c r="CY701" s="237"/>
      <c r="CZ701" s="237"/>
      <c r="DA701" s="237"/>
      <c r="DB701" s="237"/>
      <c r="DC701" s="237"/>
      <c r="DD701" s="237"/>
      <c r="DE701" s="237"/>
      <c r="DF701" s="237"/>
      <c r="DG701" s="237"/>
      <c r="DH701" s="237"/>
      <c r="DI701" s="237"/>
      <c r="DJ701" s="237"/>
      <c r="DK701" s="237"/>
      <c r="DL701" s="237"/>
      <c r="DM701" s="237"/>
      <c r="DN701" s="237"/>
      <c r="DO701" s="237"/>
      <c r="DP701" s="237"/>
      <c r="DQ701" s="237"/>
      <c r="DR701" s="237"/>
      <c r="DS701" s="237"/>
      <c r="DT701" s="237"/>
      <c r="DU701" s="237"/>
      <c r="DV701" s="237"/>
      <c r="DW701" s="237"/>
      <c r="DX701" s="237"/>
      <c r="DY701" s="237"/>
      <c r="DZ701" s="237"/>
      <c r="EA701" s="237"/>
      <c r="EB701" s="237"/>
      <c r="EC701" s="237"/>
      <c r="ED701" s="237"/>
      <c r="EE701" s="237"/>
      <c r="EF701" s="237"/>
      <c r="EG701" s="237"/>
      <c r="EH701" s="237"/>
      <c r="EI701" s="237"/>
      <c r="EJ701" s="237"/>
      <c r="EK701" s="237"/>
      <c r="EL701" s="237"/>
      <c r="EM701" s="237"/>
      <c r="EN701" s="237"/>
      <c r="EO701" s="237"/>
      <c r="EP701" s="237"/>
      <c r="EQ701" s="237"/>
      <c r="ER701" s="237"/>
      <c r="ES701" s="9"/>
      <c r="ET701" s="9"/>
      <c r="EU701" s="9"/>
      <c r="EV701" s="9"/>
      <c r="EW701" s="9"/>
      <c r="EX701" s="9"/>
      <c r="EY701" s="9"/>
      <c r="EZ701" s="9"/>
      <c r="FA701" s="9"/>
      <c r="FB701" s="9"/>
      <c r="FC701" s="9"/>
      <c r="FD701" s="9"/>
      <c r="FE701" s="9"/>
      <c r="FF701" s="9"/>
      <c r="FG701" s="9"/>
      <c r="FH701" s="9"/>
      <c r="FI701" s="9"/>
      <c r="FJ701" s="9"/>
      <c r="FK701" s="9"/>
      <c r="FL701" s="9"/>
      <c r="FM701" s="9"/>
      <c r="FN701" s="9"/>
      <c r="FO701" s="9"/>
      <c r="FP701" s="9"/>
    </row>
    <row r="702" customFormat="false" ht="15" hidden="false" customHeight="false" outlineLevel="2" collapsed="false">
      <c r="B702" s="240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237"/>
      <c r="AD702" s="237"/>
      <c r="AE702" s="237"/>
      <c r="AF702" s="237"/>
      <c r="AG702" s="237"/>
      <c r="AH702" s="237"/>
      <c r="AI702" s="237"/>
      <c r="AJ702" s="237"/>
      <c r="AK702" s="237"/>
      <c r="AL702" s="237"/>
      <c r="AM702" s="237"/>
      <c r="AN702" s="237"/>
      <c r="AO702" s="237"/>
      <c r="AP702" s="237"/>
      <c r="AQ702" s="237"/>
      <c r="AR702" s="237"/>
      <c r="AS702" s="237"/>
      <c r="AT702" s="237"/>
      <c r="AU702" s="237"/>
      <c r="AV702" s="237"/>
      <c r="AW702" s="237"/>
      <c r="AX702" s="237"/>
      <c r="AY702" s="237"/>
      <c r="AZ702" s="237"/>
      <c r="BA702" s="237"/>
      <c r="BB702" s="237"/>
      <c r="BC702" s="237"/>
      <c r="BD702" s="237"/>
      <c r="BE702" s="237"/>
      <c r="BF702" s="237"/>
      <c r="BG702" s="237"/>
      <c r="BH702" s="237"/>
      <c r="BI702" s="237"/>
      <c r="BJ702" s="237"/>
      <c r="BK702" s="237"/>
      <c r="BL702" s="237"/>
      <c r="BM702" s="237"/>
      <c r="BN702" s="237"/>
      <c r="BO702" s="237"/>
      <c r="BP702" s="237"/>
      <c r="BQ702" s="237"/>
      <c r="BR702" s="237"/>
      <c r="BS702" s="237"/>
      <c r="BT702" s="237"/>
      <c r="BU702" s="237"/>
      <c r="BV702" s="237"/>
      <c r="BW702" s="237"/>
      <c r="BX702" s="237"/>
      <c r="BY702" s="237"/>
      <c r="BZ702" s="237"/>
      <c r="CA702" s="237"/>
      <c r="CB702" s="237"/>
      <c r="CC702" s="237"/>
      <c r="CD702" s="237"/>
      <c r="CE702" s="237"/>
      <c r="CF702" s="237"/>
      <c r="CG702" s="237"/>
      <c r="CH702" s="237"/>
      <c r="CI702" s="237"/>
      <c r="CJ702" s="237"/>
      <c r="CK702" s="237"/>
      <c r="CL702" s="237"/>
      <c r="CM702" s="237"/>
      <c r="CN702" s="237"/>
      <c r="CO702" s="237"/>
      <c r="CP702" s="237"/>
      <c r="CQ702" s="237"/>
      <c r="CR702" s="237"/>
      <c r="CS702" s="237"/>
      <c r="CT702" s="237"/>
      <c r="CU702" s="237"/>
      <c r="CV702" s="237"/>
      <c r="CW702" s="237"/>
      <c r="CX702" s="237"/>
      <c r="CY702" s="237"/>
      <c r="CZ702" s="237"/>
      <c r="DA702" s="237"/>
      <c r="DB702" s="237"/>
      <c r="DC702" s="237"/>
      <c r="DD702" s="237"/>
      <c r="DE702" s="237"/>
      <c r="DF702" s="237"/>
      <c r="DG702" s="237"/>
      <c r="DH702" s="237"/>
      <c r="DI702" s="237"/>
      <c r="DJ702" s="237"/>
      <c r="DK702" s="237"/>
      <c r="DL702" s="237"/>
      <c r="DM702" s="237"/>
      <c r="DN702" s="237"/>
      <c r="DO702" s="237"/>
      <c r="DP702" s="237"/>
      <c r="DQ702" s="237"/>
      <c r="DR702" s="237"/>
      <c r="DS702" s="237"/>
      <c r="DT702" s="237"/>
      <c r="DU702" s="237"/>
      <c r="DV702" s="237"/>
      <c r="DW702" s="237"/>
      <c r="DX702" s="237"/>
      <c r="DY702" s="237"/>
      <c r="DZ702" s="237"/>
      <c r="EA702" s="237"/>
      <c r="EB702" s="237"/>
      <c r="EC702" s="237"/>
      <c r="ED702" s="237"/>
      <c r="EE702" s="237"/>
      <c r="EF702" s="237"/>
      <c r="EG702" s="237"/>
      <c r="EH702" s="237"/>
      <c r="EI702" s="237"/>
      <c r="EJ702" s="237"/>
      <c r="EK702" s="237"/>
      <c r="EL702" s="237"/>
      <c r="EM702" s="237"/>
      <c r="EN702" s="237"/>
      <c r="EO702" s="237"/>
      <c r="EP702" s="237"/>
      <c r="EQ702" s="237"/>
      <c r="ER702" s="237"/>
      <c r="ES702" s="9"/>
      <c r="ET702" s="9"/>
      <c r="EU702" s="9"/>
      <c r="EV702" s="9"/>
      <c r="EW702" s="9"/>
      <c r="EX702" s="9"/>
      <c r="EY702" s="9"/>
      <c r="EZ702" s="9"/>
      <c r="FA702" s="9"/>
      <c r="FB702" s="9"/>
      <c r="FC702" s="9"/>
      <c r="FD702" s="9"/>
      <c r="FE702" s="9"/>
      <c r="FF702" s="9"/>
      <c r="FG702" s="9"/>
      <c r="FH702" s="9"/>
      <c r="FI702" s="9"/>
      <c r="FJ702" s="9"/>
      <c r="FK702" s="9"/>
      <c r="FL702" s="9"/>
      <c r="FM702" s="9"/>
      <c r="FN702" s="9"/>
      <c r="FO702" s="9"/>
      <c r="FP702" s="9"/>
    </row>
    <row r="703" customFormat="false" ht="15" hidden="false" customHeight="false" outlineLevel="2" collapsed="false">
      <c r="B703" s="21" t="s">
        <v>943</v>
      </c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  <c r="AP703" s="21"/>
      <c r="AQ703" s="21"/>
      <c r="AR703" s="21"/>
      <c r="AS703" s="21"/>
      <c r="AT703" s="21"/>
      <c r="AU703" s="21"/>
      <c r="AV703" s="21"/>
      <c r="AW703" s="21"/>
      <c r="AX703" s="21"/>
      <c r="AY703" s="21"/>
      <c r="AZ703" s="21"/>
      <c r="BA703" s="21"/>
      <c r="BB703" s="21"/>
      <c r="BC703" s="21"/>
      <c r="BD703" s="21"/>
      <c r="BE703" s="21"/>
      <c r="BF703" s="21"/>
      <c r="BG703" s="21"/>
      <c r="BH703" s="21"/>
      <c r="BI703" s="21"/>
      <c r="BJ703" s="21"/>
      <c r="BK703" s="21"/>
      <c r="BL703" s="21"/>
      <c r="BM703" s="21"/>
      <c r="BN703" s="21"/>
      <c r="BO703" s="21"/>
      <c r="BP703" s="21"/>
      <c r="BQ703" s="21"/>
      <c r="BR703" s="21"/>
      <c r="BS703" s="21"/>
      <c r="BT703" s="21"/>
      <c r="BU703" s="21"/>
      <c r="BV703" s="21"/>
      <c r="BW703" s="21"/>
      <c r="BX703" s="21"/>
      <c r="BY703" s="21"/>
      <c r="BZ703" s="21"/>
      <c r="CA703" s="21"/>
      <c r="CB703" s="21"/>
      <c r="CC703" s="21"/>
      <c r="CD703" s="21"/>
      <c r="CE703" s="21"/>
      <c r="CF703" s="21"/>
      <c r="CG703" s="21"/>
      <c r="CH703" s="21"/>
      <c r="CI703" s="21"/>
      <c r="CJ703" s="21"/>
      <c r="CK703" s="21"/>
      <c r="CL703" s="21"/>
      <c r="CM703" s="21"/>
      <c r="CN703" s="21"/>
      <c r="CO703" s="21"/>
      <c r="CP703" s="21"/>
      <c r="CQ703" s="21"/>
      <c r="CR703" s="21"/>
      <c r="CS703" s="21"/>
      <c r="CT703" s="21"/>
      <c r="CU703" s="21"/>
      <c r="CV703" s="21"/>
      <c r="CW703" s="21"/>
      <c r="CX703" s="21"/>
      <c r="CY703" s="21"/>
      <c r="CZ703" s="21"/>
      <c r="DA703" s="21"/>
      <c r="DB703" s="21"/>
      <c r="DC703" s="21"/>
      <c r="DD703" s="21"/>
      <c r="DE703" s="21"/>
      <c r="DF703" s="21"/>
      <c r="DG703" s="21"/>
      <c r="DH703" s="21"/>
      <c r="DI703" s="21"/>
      <c r="DJ703" s="21"/>
      <c r="DK703" s="21"/>
      <c r="DL703" s="21"/>
      <c r="DM703" s="21"/>
      <c r="DN703" s="21"/>
      <c r="DO703" s="21"/>
      <c r="DP703" s="21"/>
      <c r="DQ703" s="21"/>
      <c r="DR703" s="21"/>
      <c r="DS703" s="21"/>
      <c r="DT703" s="21"/>
      <c r="DU703" s="21"/>
      <c r="DV703" s="21"/>
      <c r="DW703" s="21"/>
      <c r="DX703" s="21"/>
      <c r="DY703" s="21"/>
      <c r="DZ703" s="21"/>
      <c r="EA703" s="21"/>
      <c r="EB703" s="21"/>
      <c r="EC703" s="21"/>
      <c r="ED703" s="21"/>
      <c r="EE703" s="21"/>
      <c r="EF703" s="21"/>
      <c r="EG703" s="21"/>
      <c r="EH703" s="21"/>
      <c r="EI703" s="21"/>
      <c r="EJ703" s="21"/>
      <c r="EK703" s="21"/>
      <c r="EL703" s="21"/>
      <c r="EM703" s="21"/>
      <c r="EN703" s="21"/>
      <c r="EO703" s="21"/>
      <c r="EP703" s="21"/>
      <c r="EQ703" s="21"/>
      <c r="ER703" s="21"/>
      <c r="ES703" s="9"/>
      <c r="ET703" s="9"/>
      <c r="EU703" s="9"/>
      <c r="EV703" s="9"/>
      <c r="EW703" s="9"/>
      <c r="EX703" s="9"/>
      <c r="EY703" s="9"/>
      <c r="EZ703" s="9"/>
      <c r="FA703" s="9"/>
      <c r="FB703" s="9"/>
      <c r="FC703" s="9"/>
      <c r="FD703" s="9"/>
      <c r="FE703" s="9"/>
      <c r="FF703" s="9"/>
      <c r="FG703" s="9"/>
      <c r="FH703" s="9"/>
      <c r="FI703" s="9"/>
      <c r="FJ703" s="9"/>
      <c r="FK703" s="9"/>
      <c r="FL703" s="9"/>
      <c r="FM703" s="9"/>
      <c r="FN703" s="9"/>
      <c r="FO703" s="9"/>
      <c r="FP703" s="9"/>
    </row>
    <row r="704" customFormat="false" ht="15" hidden="false" customHeight="false" outlineLevel="2" collapsed="false">
      <c r="B704" s="9" t="s">
        <v>872</v>
      </c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234" t="n">
        <f aca="false">('⑫ Roll-out Plan'!G75-2025)*12+'⑫ Roll-out Plan'!F75</f>
        <v>75</v>
      </c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  <c r="CU704" s="9"/>
      <c r="CV704" s="9"/>
      <c r="CW704" s="9"/>
      <c r="CX704" s="9"/>
      <c r="CY704" s="9"/>
      <c r="CZ704" s="9"/>
      <c r="DA704" s="9"/>
      <c r="DB704" s="9"/>
      <c r="DC704" s="9"/>
      <c r="DD704" s="9"/>
      <c r="DE704" s="9"/>
      <c r="DF704" s="9"/>
      <c r="DG704" s="9"/>
      <c r="DH704" s="9"/>
      <c r="DI704" s="9"/>
      <c r="DJ704" s="9"/>
      <c r="DK704" s="9"/>
      <c r="DL704" s="9"/>
      <c r="DM704" s="9"/>
      <c r="DN704" s="9"/>
      <c r="DO704" s="9"/>
      <c r="DP704" s="9"/>
      <c r="DQ704" s="9"/>
      <c r="DR704" s="9"/>
      <c r="DS704" s="9"/>
      <c r="DT704" s="9"/>
      <c r="DU704" s="9"/>
      <c r="DV704" s="9"/>
      <c r="DW704" s="9"/>
      <c r="DX704" s="9"/>
      <c r="DY704" s="9"/>
      <c r="DZ704" s="9"/>
      <c r="EA704" s="9"/>
      <c r="EB704" s="9"/>
      <c r="EC704" s="9"/>
      <c r="ED704" s="9"/>
      <c r="EE704" s="9"/>
      <c r="EF704" s="9"/>
      <c r="EG704" s="9"/>
      <c r="EH704" s="9"/>
      <c r="EI704" s="9"/>
      <c r="EJ704" s="9"/>
      <c r="EK704" s="9"/>
      <c r="EL704" s="9"/>
      <c r="EM704" s="9"/>
      <c r="EN704" s="9"/>
      <c r="EO704" s="9"/>
      <c r="EP704" s="9"/>
      <c r="EQ704" s="9"/>
      <c r="ER704" s="9"/>
      <c r="ES704" s="9"/>
      <c r="ET704" s="9"/>
      <c r="EU704" s="9"/>
      <c r="EV704" s="9"/>
      <c r="EW704" s="9"/>
      <c r="EX704" s="9"/>
      <c r="EY704" s="9"/>
      <c r="EZ704" s="9"/>
      <c r="FA704" s="9"/>
      <c r="FB704" s="9"/>
      <c r="FC704" s="9"/>
      <c r="FD704" s="9"/>
      <c r="FE704" s="9"/>
      <c r="FF704" s="9"/>
      <c r="FG704" s="9"/>
      <c r="FH704" s="9"/>
      <c r="FI704" s="9"/>
      <c r="FJ704" s="9"/>
      <c r="FK704" s="9"/>
      <c r="FL704" s="9"/>
      <c r="FM704" s="9"/>
      <c r="FN704" s="9"/>
      <c r="FO704" s="9"/>
      <c r="FP704" s="9"/>
    </row>
    <row r="705" customFormat="false" ht="15" hidden="false" customHeight="false" outlineLevel="2" collapsed="false">
      <c r="B705" s="9" t="s">
        <v>873</v>
      </c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235" t="n">
        <f aca="false">VLOOKUP("B",$B$14:$C$18,2,FALSE())</f>
        <v>185</v>
      </c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9"/>
      <c r="CN705" s="9"/>
      <c r="CO705" s="9"/>
      <c r="CP705" s="9"/>
      <c r="CQ705" s="9"/>
      <c r="CR705" s="9"/>
      <c r="CS705" s="9"/>
      <c r="CT705" s="9"/>
      <c r="CU705" s="9"/>
      <c r="CV705" s="9"/>
      <c r="CW705" s="9"/>
      <c r="CX705" s="9"/>
      <c r="CY705" s="9"/>
      <c r="CZ705" s="9"/>
      <c r="DA705" s="9"/>
      <c r="DB705" s="9"/>
      <c r="DC705" s="9"/>
      <c r="DD705" s="9"/>
      <c r="DE705" s="9"/>
      <c r="DF705" s="9"/>
      <c r="DG705" s="9"/>
      <c r="DH705" s="9"/>
      <c r="DI705" s="9"/>
      <c r="DJ705" s="9"/>
      <c r="DK705" s="9"/>
      <c r="DL705" s="9"/>
      <c r="DM705" s="9"/>
      <c r="DN705" s="9"/>
      <c r="DO705" s="9"/>
      <c r="DP705" s="9"/>
      <c r="DQ705" s="9"/>
      <c r="DR705" s="9"/>
      <c r="DS705" s="9"/>
      <c r="DT705" s="9"/>
      <c r="DU705" s="9"/>
      <c r="DV705" s="9"/>
      <c r="DW705" s="9"/>
      <c r="DX705" s="9"/>
      <c r="DY705" s="9"/>
      <c r="DZ705" s="9"/>
      <c r="EA705" s="9"/>
      <c r="EB705" s="9"/>
      <c r="EC705" s="9"/>
      <c r="ED705" s="9"/>
      <c r="EE705" s="9"/>
      <c r="EF705" s="9"/>
      <c r="EG705" s="9"/>
      <c r="EH705" s="9"/>
      <c r="EI705" s="9"/>
      <c r="EJ705" s="9"/>
      <c r="EK705" s="9"/>
      <c r="EL705" s="9"/>
      <c r="EM705" s="9"/>
      <c r="EN705" s="9"/>
      <c r="EO705" s="9"/>
      <c r="EP705" s="9"/>
      <c r="EQ705" s="9"/>
      <c r="ER705" s="9"/>
      <c r="ES705" s="9"/>
      <c r="ET705" s="9"/>
      <c r="EU705" s="9"/>
      <c r="EV705" s="9"/>
      <c r="EW705" s="9"/>
      <c r="EX705" s="9"/>
      <c r="EY705" s="9"/>
      <c r="EZ705" s="9"/>
      <c r="FA705" s="9"/>
      <c r="FB705" s="9"/>
      <c r="FC705" s="9"/>
      <c r="FD705" s="9"/>
      <c r="FE705" s="9"/>
      <c r="FF705" s="9"/>
      <c r="FG705" s="9"/>
      <c r="FH705" s="9"/>
      <c r="FI705" s="9"/>
      <c r="FJ705" s="9"/>
      <c r="FK705" s="9"/>
      <c r="FL705" s="9"/>
      <c r="FM705" s="9"/>
      <c r="FN705" s="9"/>
      <c r="FO705" s="9"/>
      <c r="FP705" s="9"/>
    </row>
    <row r="706" customFormat="false" ht="15" hidden="false" customHeight="false" outlineLevel="2" collapsed="false">
      <c r="B706" s="9" t="s">
        <v>799</v>
      </c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63" t="n">
        <f aca="false">IF(AC$35&gt;=$AC$704,AC$35-$AC$704+1,0)</f>
        <v>0</v>
      </c>
      <c r="AD706" s="63" t="n">
        <f aca="false">IF(AD$35&gt;=$AC$704,AD$35-$AC$704+1,0)</f>
        <v>0</v>
      </c>
      <c r="AE706" s="63" t="n">
        <f aca="false">IF(AE$35&gt;=$AC$704,AE$35-$AC$704+1,0)</f>
        <v>0</v>
      </c>
      <c r="AF706" s="63" t="n">
        <f aca="false">IF(AF$35&gt;=$AC$704,AF$35-$AC$704+1,0)</f>
        <v>0</v>
      </c>
      <c r="AG706" s="63" t="n">
        <f aca="false">IF(AG$35&gt;=$AC$704,AG$35-$AC$704+1,0)</f>
        <v>0</v>
      </c>
      <c r="AH706" s="63" t="n">
        <f aca="false">IF(AH$35&gt;=$AC$704,AH$35-$AC$704+1,0)</f>
        <v>0</v>
      </c>
      <c r="AI706" s="63" t="n">
        <f aca="false">IF(AI$35&gt;=$AC$704,AI$35-$AC$704+1,0)</f>
        <v>0</v>
      </c>
      <c r="AJ706" s="63" t="n">
        <f aca="false">IF(AJ$35&gt;=$AC$704,AJ$35-$AC$704+1,0)</f>
        <v>0</v>
      </c>
      <c r="AK706" s="63" t="n">
        <f aca="false">IF(AK$35&gt;=$AC$704,AK$35-$AC$704+1,0)</f>
        <v>0</v>
      </c>
      <c r="AL706" s="63" t="n">
        <f aca="false">IF(AL$35&gt;=$AC$704,AL$35-$AC$704+1,0)</f>
        <v>0</v>
      </c>
      <c r="AM706" s="63" t="n">
        <f aca="false">IF(AM$35&gt;=$AC$704,AM$35-$AC$704+1,0)</f>
        <v>0</v>
      </c>
      <c r="AN706" s="63" t="n">
        <f aca="false">IF(AN$35&gt;=$AC$704,AN$35-$AC$704+1,0)</f>
        <v>0</v>
      </c>
      <c r="AO706" s="63" t="n">
        <f aca="false">IF(AO$35&gt;=$AC$704,AO$35-$AC$704+1,0)</f>
        <v>0</v>
      </c>
      <c r="AP706" s="63" t="n">
        <f aca="false">IF(AP$35&gt;=$AC$704,AP$35-$AC$704+1,0)</f>
        <v>0</v>
      </c>
      <c r="AQ706" s="63" t="n">
        <f aca="false">IF(AQ$35&gt;=$AC$704,AQ$35-$AC$704+1,0)</f>
        <v>0</v>
      </c>
      <c r="AR706" s="63" t="n">
        <f aca="false">IF(AR$35&gt;=$AC$704,AR$35-$AC$704+1,0)</f>
        <v>0</v>
      </c>
      <c r="AS706" s="63" t="n">
        <f aca="false">IF(AS$35&gt;=$AC$704,AS$35-$AC$704+1,0)</f>
        <v>0</v>
      </c>
      <c r="AT706" s="63" t="n">
        <f aca="false">IF(AT$35&gt;=$AC$704,AT$35-$AC$704+1,0)</f>
        <v>0</v>
      </c>
      <c r="AU706" s="63" t="n">
        <f aca="false">IF(AU$35&gt;=$AC$704,AU$35-$AC$704+1,0)</f>
        <v>0</v>
      </c>
      <c r="AV706" s="63" t="n">
        <f aca="false">IF(AV$35&gt;=$AC$704,AV$35-$AC$704+1,0)</f>
        <v>0</v>
      </c>
      <c r="AW706" s="63" t="n">
        <f aca="false">IF(AW$35&gt;=$AC$704,AW$35-$AC$704+1,0)</f>
        <v>0</v>
      </c>
      <c r="AX706" s="63" t="n">
        <f aca="false">IF(AX$35&gt;=$AC$704,AX$35-$AC$704+1,0)</f>
        <v>0</v>
      </c>
      <c r="AY706" s="63" t="n">
        <f aca="false">IF(AY$35&gt;=$AC$704,AY$35-$AC$704+1,0)</f>
        <v>0</v>
      </c>
      <c r="AZ706" s="63" t="n">
        <f aca="false">IF(AZ$35&gt;=$AC$704,AZ$35-$AC$704+1,0)</f>
        <v>0</v>
      </c>
      <c r="BA706" s="63" t="n">
        <f aca="false">IF(BA$35&gt;=$AC$704,BA$35-$AC$704+1,0)</f>
        <v>0</v>
      </c>
      <c r="BB706" s="63" t="n">
        <f aca="false">IF(BB$35&gt;=$AC$704,BB$35-$AC$704+1,0)</f>
        <v>0</v>
      </c>
      <c r="BC706" s="63" t="n">
        <f aca="false">IF(BC$35&gt;=$AC$704,BC$35-$AC$704+1,0)</f>
        <v>0</v>
      </c>
      <c r="BD706" s="63" t="n">
        <f aca="false">IF(BD$35&gt;=$AC$704,BD$35-$AC$704+1,0)</f>
        <v>0</v>
      </c>
      <c r="BE706" s="63" t="n">
        <f aca="false">IF(BE$35&gt;=$AC$704,BE$35-$AC$704+1,0)</f>
        <v>0</v>
      </c>
      <c r="BF706" s="63" t="n">
        <f aca="false">IF(BF$35&gt;=$AC$704,BF$35-$AC$704+1,0)</f>
        <v>0</v>
      </c>
      <c r="BG706" s="63" t="n">
        <f aca="false">IF(BG$35&gt;=$AC$704,BG$35-$AC$704+1,0)</f>
        <v>0</v>
      </c>
      <c r="BH706" s="63" t="n">
        <f aca="false">IF(BH$35&gt;=$AC$704,BH$35-$AC$704+1,0)</f>
        <v>0</v>
      </c>
      <c r="BI706" s="63" t="n">
        <f aca="false">IF(BI$35&gt;=$AC$704,BI$35-$AC$704+1,0)</f>
        <v>0</v>
      </c>
      <c r="BJ706" s="63" t="n">
        <f aca="false">IF(BJ$35&gt;=$AC$704,BJ$35-$AC$704+1,0)</f>
        <v>0</v>
      </c>
      <c r="BK706" s="63" t="n">
        <f aca="false">IF(BK$35&gt;=$AC$704,BK$35-$AC$704+1,0)</f>
        <v>0</v>
      </c>
      <c r="BL706" s="63" t="n">
        <f aca="false">IF(BL$35&gt;=$AC$704,BL$35-$AC$704+1,0)</f>
        <v>0</v>
      </c>
      <c r="BM706" s="63" t="n">
        <f aca="false">IF(BM$35&gt;=$AC$704,BM$35-$AC$704+1,0)</f>
        <v>0</v>
      </c>
      <c r="BN706" s="63" t="n">
        <f aca="false">IF(BN$35&gt;=$AC$704,BN$35-$AC$704+1,0)</f>
        <v>0</v>
      </c>
      <c r="BO706" s="63" t="n">
        <f aca="false">IF(BO$35&gt;=$AC$704,BO$35-$AC$704+1,0)</f>
        <v>0</v>
      </c>
      <c r="BP706" s="63" t="n">
        <f aca="false">IF(BP$35&gt;=$AC$704,BP$35-$AC$704+1,0)</f>
        <v>0</v>
      </c>
      <c r="BQ706" s="63" t="n">
        <f aca="false">IF(BQ$35&gt;=$AC$704,BQ$35-$AC$704+1,0)</f>
        <v>0</v>
      </c>
      <c r="BR706" s="63" t="n">
        <f aca="false">IF(BR$35&gt;=$AC$704,BR$35-$AC$704+1,0)</f>
        <v>0</v>
      </c>
      <c r="BS706" s="63" t="n">
        <f aca="false">IF(BS$35&gt;=$AC$704,BS$35-$AC$704+1,0)</f>
        <v>0</v>
      </c>
      <c r="BT706" s="63" t="n">
        <f aca="false">IF(BT$35&gt;=$AC$704,BT$35-$AC$704+1,0)</f>
        <v>0</v>
      </c>
      <c r="BU706" s="63" t="n">
        <f aca="false">IF(BU$35&gt;=$AC$704,BU$35-$AC$704+1,0)</f>
        <v>0</v>
      </c>
      <c r="BV706" s="63" t="n">
        <f aca="false">IF(BV$35&gt;=$AC$704,BV$35-$AC$704+1,0)</f>
        <v>0</v>
      </c>
      <c r="BW706" s="63" t="n">
        <f aca="false">IF(BW$35&gt;=$AC$704,BW$35-$AC$704+1,0)</f>
        <v>0</v>
      </c>
      <c r="BX706" s="63" t="n">
        <f aca="false">IF(BX$35&gt;=$AC$704,BX$35-$AC$704+1,0)</f>
        <v>0</v>
      </c>
      <c r="BY706" s="63" t="n">
        <f aca="false">IF(BY$35&gt;=$AC$704,BY$35-$AC$704+1,0)</f>
        <v>0</v>
      </c>
      <c r="BZ706" s="63" t="n">
        <f aca="false">IF(BZ$35&gt;=$AC$704,BZ$35-$AC$704+1,0)</f>
        <v>0</v>
      </c>
      <c r="CA706" s="63" t="n">
        <f aca="false">IF(CA$35&gt;=$AC$704,CA$35-$AC$704+1,0)</f>
        <v>0</v>
      </c>
      <c r="CB706" s="63" t="n">
        <f aca="false">IF(CB$35&gt;=$AC$704,CB$35-$AC$704+1,0)</f>
        <v>0</v>
      </c>
      <c r="CC706" s="63" t="n">
        <f aca="false">IF(CC$35&gt;=$AC$704,CC$35-$AC$704+1,0)</f>
        <v>0</v>
      </c>
      <c r="CD706" s="63" t="n">
        <f aca="false">IF(CD$35&gt;=$AC$704,CD$35-$AC$704+1,0)</f>
        <v>0</v>
      </c>
      <c r="CE706" s="63" t="n">
        <f aca="false">IF(CE$35&gt;=$AC$704,CE$35-$AC$704+1,0)</f>
        <v>0</v>
      </c>
      <c r="CF706" s="63" t="n">
        <f aca="false">IF(CF$35&gt;=$AC$704,CF$35-$AC$704+1,0)</f>
        <v>0</v>
      </c>
      <c r="CG706" s="63" t="n">
        <f aca="false">IF(CG$35&gt;=$AC$704,CG$35-$AC$704+1,0)</f>
        <v>0</v>
      </c>
      <c r="CH706" s="63" t="n">
        <f aca="false">IF(CH$35&gt;=$AC$704,CH$35-$AC$704+1,0)</f>
        <v>0</v>
      </c>
      <c r="CI706" s="63" t="n">
        <f aca="false">IF(CI$35&gt;=$AC$704,CI$35-$AC$704+1,0)</f>
        <v>0</v>
      </c>
      <c r="CJ706" s="63" t="n">
        <f aca="false">IF(CJ$35&gt;=$AC$704,CJ$35-$AC$704+1,0)</f>
        <v>0</v>
      </c>
      <c r="CK706" s="63" t="n">
        <f aca="false">IF(CK$35&gt;=$AC$704,CK$35-$AC$704+1,0)</f>
        <v>0</v>
      </c>
      <c r="CL706" s="63" t="n">
        <f aca="false">IF(CL$35&gt;=$AC$704,CL$35-$AC$704+1,0)</f>
        <v>0</v>
      </c>
      <c r="CM706" s="63" t="n">
        <f aca="false">IF(CM$35&gt;=$AC$704,CM$35-$AC$704+1,0)</f>
        <v>0</v>
      </c>
      <c r="CN706" s="63" t="n">
        <f aca="false">IF(CN$35&gt;=$AC$704,CN$35-$AC$704+1,0)</f>
        <v>0</v>
      </c>
      <c r="CO706" s="63" t="n">
        <f aca="false">IF(CO$35&gt;=$AC$704,CO$35-$AC$704+1,0)</f>
        <v>0</v>
      </c>
      <c r="CP706" s="63" t="n">
        <f aca="false">IF(CP$35&gt;=$AC$704,CP$35-$AC$704+1,0)</f>
        <v>0</v>
      </c>
      <c r="CQ706" s="63" t="n">
        <f aca="false">IF(CQ$35&gt;=$AC$704,CQ$35-$AC$704+1,0)</f>
        <v>0</v>
      </c>
      <c r="CR706" s="63" t="n">
        <f aca="false">IF(CR$35&gt;=$AC$704,CR$35-$AC$704+1,0)</f>
        <v>0</v>
      </c>
      <c r="CS706" s="63" t="n">
        <f aca="false">IF(CS$35&gt;=$AC$704,CS$35-$AC$704+1,0)</f>
        <v>0</v>
      </c>
      <c r="CT706" s="63" t="n">
        <f aca="false">IF(CT$35&gt;=$AC$704,CT$35-$AC$704+1,0)</f>
        <v>0</v>
      </c>
      <c r="CU706" s="63" t="n">
        <f aca="false">IF(CU$35&gt;=$AC$704,CU$35-$AC$704+1,0)</f>
        <v>0</v>
      </c>
      <c r="CV706" s="63" t="n">
        <f aca="false">IF(CV$35&gt;=$AC$704,CV$35-$AC$704+1,0)</f>
        <v>0</v>
      </c>
      <c r="CW706" s="63" t="n">
        <f aca="false">IF(CW$35&gt;=$AC$704,CW$35-$AC$704+1,0)</f>
        <v>0</v>
      </c>
      <c r="CX706" s="63" t="n">
        <f aca="false">IF(CX$35&gt;=$AC$704,CX$35-$AC$704+1,0)</f>
        <v>0</v>
      </c>
      <c r="CY706" s="63" t="n">
        <f aca="false">IF(CY$35&gt;=$AC$704,CY$35-$AC$704+1,0)</f>
        <v>1</v>
      </c>
      <c r="CZ706" s="63" t="n">
        <f aca="false">IF(CZ$35&gt;=$AC$704,CZ$35-$AC$704+1,0)</f>
        <v>2</v>
      </c>
      <c r="DA706" s="63" t="n">
        <f aca="false">IF(DA$35&gt;=$AC$704,DA$35-$AC$704+1,0)</f>
        <v>3</v>
      </c>
      <c r="DB706" s="63" t="n">
        <f aca="false">IF(DB$35&gt;=$AC$704,DB$35-$AC$704+1,0)</f>
        <v>4</v>
      </c>
      <c r="DC706" s="63" t="n">
        <f aca="false">IF(DC$35&gt;=$AC$704,DC$35-$AC$704+1,0)</f>
        <v>5</v>
      </c>
      <c r="DD706" s="63" t="n">
        <f aca="false">IF(DD$35&gt;=$AC$704,DD$35-$AC$704+1,0)</f>
        <v>6</v>
      </c>
      <c r="DE706" s="63" t="n">
        <f aca="false">IF(DE$35&gt;=$AC$704,DE$35-$AC$704+1,0)</f>
        <v>7</v>
      </c>
      <c r="DF706" s="63" t="n">
        <f aca="false">IF(DF$35&gt;=$AC$704,DF$35-$AC$704+1,0)</f>
        <v>8</v>
      </c>
      <c r="DG706" s="63" t="n">
        <f aca="false">IF(DG$35&gt;=$AC$704,DG$35-$AC$704+1,0)</f>
        <v>9</v>
      </c>
      <c r="DH706" s="63" t="n">
        <f aca="false">IF(DH$35&gt;=$AC$704,DH$35-$AC$704+1,0)</f>
        <v>10</v>
      </c>
      <c r="DI706" s="63" t="n">
        <f aca="false">IF(DI$35&gt;=$AC$704,DI$35-$AC$704+1,0)</f>
        <v>11</v>
      </c>
      <c r="DJ706" s="63" t="n">
        <f aca="false">IF(DJ$35&gt;=$AC$704,DJ$35-$AC$704+1,0)</f>
        <v>12</v>
      </c>
      <c r="DK706" s="63" t="n">
        <f aca="false">IF(DK$35&gt;=$AC$704,DK$35-$AC$704+1,0)</f>
        <v>13</v>
      </c>
      <c r="DL706" s="63" t="n">
        <f aca="false">IF(DL$35&gt;=$AC$704,DL$35-$AC$704+1,0)</f>
        <v>14</v>
      </c>
      <c r="DM706" s="63" t="n">
        <f aca="false">IF(DM$35&gt;=$AC$704,DM$35-$AC$704+1,0)</f>
        <v>15</v>
      </c>
      <c r="DN706" s="63" t="n">
        <f aca="false">IF(DN$35&gt;=$AC$704,DN$35-$AC$704+1,0)</f>
        <v>16</v>
      </c>
      <c r="DO706" s="63" t="n">
        <f aca="false">IF(DO$35&gt;=$AC$704,DO$35-$AC$704+1,0)</f>
        <v>17</v>
      </c>
      <c r="DP706" s="63" t="n">
        <f aca="false">IF(DP$35&gt;=$AC$704,DP$35-$AC$704+1,0)</f>
        <v>18</v>
      </c>
      <c r="DQ706" s="63" t="n">
        <f aca="false">IF(DQ$35&gt;=$AC$704,DQ$35-$AC$704+1,0)</f>
        <v>19</v>
      </c>
      <c r="DR706" s="63" t="n">
        <f aca="false">IF(DR$35&gt;=$AC$704,DR$35-$AC$704+1,0)</f>
        <v>20</v>
      </c>
      <c r="DS706" s="63" t="n">
        <f aca="false">IF(DS$35&gt;=$AC$704,DS$35-$AC$704+1,0)</f>
        <v>21</v>
      </c>
      <c r="DT706" s="63" t="n">
        <f aca="false">IF(DT$35&gt;=$AC$704,DT$35-$AC$704+1,0)</f>
        <v>22</v>
      </c>
      <c r="DU706" s="63" t="n">
        <f aca="false">IF(DU$35&gt;=$AC$704,DU$35-$AC$704+1,0)</f>
        <v>23</v>
      </c>
      <c r="DV706" s="63" t="n">
        <f aca="false">IF(DV$35&gt;=$AC$704,DV$35-$AC$704+1,0)</f>
        <v>24</v>
      </c>
      <c r="DW706" s="63" t="n">
        <f aca="false">IF(DW$35&gt;=$AC$704,DW$35-$AC$704+1,0)</f>
        <v>25</v>
      </c>
      <c r="DX706" s="63" t="n">
        <f aca="false">IF(DX$35&gt;=$AC$704,DX$35-$AC$704+1,0)</f>
        <v>26</v>
      </c>
      <c r="DY706" s="63" t="n">
        <f aca="false">IF(DY$35&gt;=$AC$704,DY$35-$AC$704+1,0)</f>
        <v>27</v>
      </c>
      <c r="DZ706" s="63" t="n">
        <f aca="false">IF(DZ$35&gt;=$AC$704,DZ$35-$AC$704+1,0)</f>
        <v>28</v>
      </c>
      <c r="EA706" s="63" t="n">
        <f aca="false">IF(EA$35&gt;=$AC$704,EA$35-$AC$704+1,0)</f>
        <v>29</v>
      </c>
      <c r="EB706" s="63" t="n">
        <f aca="false">IF(EB$35&gt;=$AC$704,EB$35-$AC$704+1,0)</f>
        <v>30</v>
      </c>
      <c r="EC706" s="63" t="n">
        <f aca="false">IF(EC$35&gt;=$AC$704,EC$35-$AC$704+1,0)</f>
        <v>31</v>
      </c>
      <c r="ED706" s="63" t="n">
        <f aca="false">IF(ED$35&gt;=$AC$704,ED$35-$AC$704+1,0)</f>
        <v>32</v>
      </c>
      <c r="EE706" s="63" t="n">
        <f aca="false">IF(EE$35&gt;=$AC$704,EE$35-$AC$704+1,0)</f>
        <v>33</v>
      </c>
      <c r="EF706" s="63" t="n">
        <f aca="false">IF(EF$35&gt;=$AC$704,EF$35-$AC$704+1,0)</f>
        <v>34</v>
      </c>
      <c r="EG706" s="63" t="n">
        <f aca="false">IF(EG$35&gt;=$AC$704,EG$35-$AC$704+1,0)</f>
        <v>35</v>
      </c>
      <c r="EH706" s="63" t="n">
        <f aca="false">IF(EH$35&gt;=$AC$704,EH$35-$AC$704+1,0)</f>
        <v>36</v>
      </c>
      <c r="EI706" s="63" t="n">
        <f aca="false">IF(EI$35&gt;=$AC$704,EI$35-$AC$704+1,0)</f>
        <v>37</v>
      </c>
      <c r="EJ706" s="63" t="n">
        <f aca="false">IF(EJ$35&gt;=$AC$704,EJ$35-$AC$704+1,0)</f>
        <v>38</v>
      </c>
      <c r="EK706" s="63" t="n">
        <f aca="false">IF(EK$35&gt;=$AC$704,EK$35-$AC$704+1,0)</f>
        <v>39</v>
      </c>
      <c r="EL706" s="63" t="n">
        <f aca="false">IF(EL$35&gt;=$AC$704,EL$35-$AC$704+1,0)</f>
        <v>40</v>
      </c>
      <c r="EM706" s="63" t="n">
        <f aca="false">IF(EM$35&gt;=$AC$704,EM$35-$AC$704+1,0)</f>
        <v>41</v>
      </c>
      <c r="EN706" s="63" t="n">
        <f aca="false">IF(EN$35&gt;=$AC$704,EN$35-$AC$704+1,0)</f>
        <v>42</v>
      </c>
      <c r="EO706" s="63" t="n">
        <f aca="false">IF(EO$35&gt;=$AC$704,EO$35-$AC$704+1,0)</f>
        <v>43</v>
      </c>
      <c r="EP706" s="63" t="n">
        <f aca="false">IF(EP$35&gt;=$AC$704,EP$35-$AC$704+1,0)</f>
        <v>44</v>
      </c>
      <c r="EQ706" s="63" t="n">
        <f aca="false">IF(EQ$35&gt;=$AC$704,EQ$35-$AC$704+1,0)</f>
        <v>45</v>
      </c>
      <c r="ER706" s="63" t="n">
        <f aca="false">IF(ER$35&gt;=$AC$704,ER$35-$AC$704+1,0)</f>
        <v>46</v>
      </c>
      <c r="ES706" s="9" t="n">
        <f aca="false">IF(ES$35&gt;=$AC$704,ES$35-$AC$704+1,0)</f>
        <v>47</v>
      </c>
      <c r="ET706" s="9" t="n">
        <f aca="false">IF(ET$35&gt;=$AC$704,ET$35-$AC$704+1,0)</f>
        <v>48</v>
      </c>
      <c r="EU706" s="9" t="n">
        <f aca="false">IF(EU$35&gt;=$AC$704,EU$35-$AC$704+1,0)</f>
        <v>49</v>
      </c>
      <c r="EV706" s="9" t="n">
        <f aca="false">IF(EV$35&gt;=$AC$704,EV$35-$AC$704+1,0)</f>
        <v>50</v>
      </c>
      <c r="EW706" s="9" t="n">
        <f aca="false">IF(EW$35&gt;=$AC$704,EW$35-$AC$704+1,0)</f>
        <v>51</v>
      </c>
      <c r="EX706" s="9" t="n">
        <f aca="false">IF(EX$35&gt;=$AC$704,EX$35-$AC$704+1,0)</f>
        <v>52</v>
      </c>
      <c r="EY706" s="9" t="n">
        <f aca="false">IF(EY$35&gt;=$AC$704,EY$35-$AC$704+1,0)</f>
        <v>53</v>
      </c>
      <c r="EZ706" s="9" t="n">
        <f aca="false">IF(EZ$35&gt;=$AC$704,EZ$35-$AC$704+1,0)</f>
        <v>54</v>
      </c>
      <c r="FA706" s="9" t="n">
        <f aca="false">IF(FA$35&gt;=$AC$704,FA$35-$AC$704+1,0)</f>
        <v>55</v>
      </c>
      <c r="FB706" s="9" t="n">
        <f aca="false">IF(FB$35&gt;=$AC$704,FB$35-$AC$704+1,0)</f>
        <v>56</v>
      </c>
      <c r="FC706" s="9" t="n">
        <f aca="false">IF(FC$35&gt;=$AC$704,FC$35-$AC$704+1,0)</f>
        <v>57</v>
      </c>
      <c r="FD706" s="9" t="n">
        <f aca="false">IF(FD$35&gt;=$AC$704,FD$35-$AC$704+1,0)</f>
        <v>58</v>
      </c>
      <c r="FE706" s="9" t="n">
        <f aca="false">IF(FE$35&gt;=$AC$704,FE$35-$AC$704+1,0)</f>
        <v>59</v>
      </c>
      <c r="FF706" s="9" t="n">
        <f aca="false">IF(FF$35&gt;=$AC$704,FF$35-$AC$704+1,0)</f>
        <v>60</v>
      </c>
      <c r="FG706" s="9" t="n">
        <f aca="false">IF(FG$35&gt;=$AC$704,FG$35-$AC$704+1,0)</f>
        <v>61</v>
      </c>
      <c r="FH706" s="9" t="n">
        <f aca="false">IF(FH$35&gt;=$AC$704,FH$35-$AC$704+1,0)</f>
        <v>62</v>
      </c>
      <c r="FI706" s="9" t="n">
        <f aca="false">IF(FI$35&gt;=$AC$704,FI$35-$AC$704+1,0)</f>
        <v>63</v>
      </c>
      <c r="FJ706" s="9" t="n">
        <f aca="false">IF(FJ$35&gt;=$AC$704,FJ$35-$AC$704+1,0)</f>
        <v>64</v>
      </c>
      <c r="FK706" s="9" t="n">
        <f aca="false">IF(FK$35&gt;=$AC$704,FK$35-$AC$704+1,0)</f>
        <v>65</v>
      </c>
      <c r="FL706" s="9" t="n">
        <f aca="false">IF(FL$35&gt;=$AC$704,FL$35-$AC$704+1,0)</f>
        <v>66</v>
      </c>
      <c r="FM706" s="9" t="n">
        <f aca="false">IF(FM$35&gt;=$AC$704,FM$35-$AC$704+1,0)</f>
        <v>67</v>
      </c>
      <c r="FN706" s="9" t="n">
        <f aca="false">IF(FN$35&gt;=$AC$704,FN$35-$AC$704+1,0)</f>
        <v>68</v>
      </c>
      <c r="FO706" s="9" t="n">
        <f aca="false">IF(FO$35&gt;=$AC$704,FO$35-$AC$704+1,0)</f>
        <v>69</v>
      </c>
      <c r="FP706" s="9" t="n">
        <f aca="false">IF(FP$35&gt;=$AC$704,FP$35-$AC$704+1,0)</f>
        <v>70</v>
      </c>
    </row>
    <row r="707" customFormat="false" ht="15" hidden="false" customHeight="false" outlineLevel="2" collapsed="false">
      <c r="B707" s="9" t="s">
        <v>874</v>
      </c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236" t="n">
        <f aca="false" t="array" ref="AC707:AC707">IF(AC706=0,0,IF(AC706/'🎚️ Escenario'!$C$11&gt;=36,$AL$23,INDEX($C$23:$AL$23,MAX(1,ROUNDUP(AC706/'🎚️ Escenario'!$C$11,0)))))</f>
        <v>0</v>
      </c>
      <c r="AD707" s="236" t="n">
        <f aca="false" t="array" ref="AD707:AD707">IF(AD706=0,0,IF(AD706/'🎚️ Escenario'!$C$11&gt;=36,$AL$23,INDEX($C$23:$AL$23,MAX(1,ROUNDUP(AD706/'🎚️ Escenario'!$C$11,0)))))</f>
        <v>0</v>
      </c>
      <c r="AE707" s="236" t="n">
        <f aca="false" t="array" ref="AE707:AE707">IF(AE706=0,0,IF(AE706/'🎚️ Escenario'!$C$11&gt;=36,$AL$23,INDEX($C$23:$AL$23,MAX(1,ROUNDUP(AE706/'🎚️ Escenario'!$C$11,0)))))</f>
        <v>0</v>
      </c>
      <c r="AF707" s="236" t="n">
        <f aca="false" t="array" ref="AF707:AF707">IF(AF706=0,0,IF(AF706/'🎚️ Escenario'!$C$11&gt;=36,$AL$23,INDEX($C$23:$AL$23,MAX(1,ROUNDUP(AF706/'🎚️ Escenario'!$C$11,0)))))</f>
        <v>0</v>
      </c>
      <c r="AG707" s="236" t="n">
        <f aca="false" t="array" ref="AG707:AG707">IF(AG706=0,0,IF(AG706/'🎚️ Escenario'!$C$11&gt;=36,$AL$23,INDEX($C$23:$AL$23,MAX(1,ROUNDUP(AG706/'🎚️ Escenario'!$C$11,0)))))</f>
        <v>0</v>
      </c>
      <c r="AH707" s="236" t="n">
        <f aca="false" t="array" ref="AH707:AH707">IF(AH706=0,0,IF(AH706/'🎚️ Escenario'!$C$11&gt;=36,$AL$23,INDEX($C$23:$AL$23,MAX(1,ROUNDUP(AH706/'🎚️ Escenario'!$C$11,0)))))</f>
        <v>0</v>
      </c>
      <c r="AI707" s="236" t="n">
        <f aca="false" t="array" ref="AI707:AI707">IF(AI706=0,0,IF(AI706/'🎚️ Escenario'!$C$11&gt;=36,$AL$23,INDEX($C$23:$AL$23,MAX(1,ROUNDUP(AI706/'🎚️ Escenario'!$C$11,0)))))</f>
        <v>0</v>
      </c>
      <c r="AJ707" s="236" t="n">
        <f aca="false" t="array" ref="AJ707:AJ707">IF(AJ706=0,0,IF(AJ706/'🎚️ Escenario'!$C$11&gt;=36,$AL$23,INDEX($C$23:$AL$23,MAX(1,ROUNDUP(AJ706/'🎚️ Escenario'!$C$11,0)))))</f>
        <v>0</v>
      </c>
      <c r="AK707" s="236" t="n">
        <f aca="false" t="array" ref="AK707:AK707">IF(AK706=0,0,IF(AK706/'🎚️ Escenario'!$C$11&gt;=36,$AL$23,INDEX($C$23:$AL$23,MAX(1,ROUNDUP(AK706/'🎚️ Escenario'!$C$11,0)))))</f>
        <v>0</v>
      </c>
      <c r="AL707" s="236" t="n">
        <f aca="false" t="array" ref="AL707:AL707">IF(AL706=0,0,IF(AL706/'🎚️ Escenario'!$C$11&gt;=36,$AL$23,INDEX($C$23:$AL$23,MAX(1,ROUNDUP(AL706/'🎚️ Escenario'!$C$11,0)))))</f>
        <v>0</v>
      </c>
      <c r="AM707" s="236" t="n">
        <f aca="false" t="array" ref="AM707:AM707">IF(AM706=0,0,IF(AM706/'🎚️ Escenario'!$C$11&gt;=36,$AL$23,INDEX($C$23:$AL$23,MAX(1,ROUNDUP(AM706/'🎚️ Escenario'!$C$11,0)))))</f>
        <v>0</v>
      </c>
      <c r="AN707" s="236" t="n">
        <f aca="false" t="array" ref="AN707:AN707">IF(AN706=0,0,IF(AN706/'🎚️ Escenario'!$C$11&gt;=36,$AL$23,INDEX($C$23:$AL$23,MAX(1,ROUNDUP(AN706/'🎚️ Escenario'!$C$11,0)))))</f>
        <v>0</v>
      </c>
      <c r="AO707" s="236" t="n">
        <f aca="false" t="array" ref="AO707:AO707">IF(AO706=0,0,IF(AO706/'🎚️ Escenario'!$C$11&gt;=36,$AL$23,INDEX($C$23:$AL$23,MAX(1,ROUNDUP(AO706/'🎚️ Escenario'!$C$11,0)))))</f>
        <v>0</v>
      </c>
      <c r="AP707" s="236" t="n">
        <f aca="false" t="array" ref="AP707:AP707">IF(AP706=0,0,IF(AP706/'🎚️ Escenario'!$C$11&gt;=36,$AL$23,INDEX($C$23:$AL$23,MAX(1,ROUNDUP(AP706/'🎚️ Escenario'!$C$11,0)))))</f>
        <v>0</v>
      </c>
      <c r="AQ707" s="236" t="n">
        <f aca="false" t="array" ref="AQ707:AQ707">IF(AQ706=0,0,IF(AQ706/'🎚️ Escenario'!$C$11&gt;=36,$AL$23,INDEX($C$23:$AL$23,MAX(1,ROUNDUP(AQ706/'🎚️ Escenario'!$C$11,0)))))</f>
        <v>0</v>
      </c>
      <c r="AR707" s="236" t="n">
        <f aca="false" t="array" ref="AR707:AR707">IF(AR706=0,0,IF(AR706/'🎚️ Escenario'!$C$11&gt;=36,$AL$23,INDEX($C$23:$AL$23,MAX(1,ROUNDUP(AR706/'🎚️ Escenario'!$C$11,0)))))</f>
        <v>0</v>
      </c>
      <c r="AS707" s="236" t="n">
        <f aca="false" t="array" ref="AS707:AS707">IF(AS706=0,0,IF(AS706/'🎚️ Escenario'!$C$11&gt;=36,$AL$23,INDEX($C$23:$AL$23,MAX(1,ROUNDUP(AS706/'🎚️ Escenario'!$C$11,0)))))</f>
        <v>0</v>
      </c>
      <c r="AT707" s="236" t="n">
        <f aca="false" t="array" ref="AT707:AT707">IF(AT706=0,0,IF(AT706/'🎚️ Escenario'!$C$11&gt;=36,$AL$23,INDEX($C$23:$AL$23,MAX(1,ROUNDUP(AT706/'🎚️ Escenario'!$C$11,0)))))</f>
        <v>0</v>
      </c>
      <c r="AU707" s="236" t="n">
        <f aca="false" t="array" ref="AU707:AU707">IF(AU706=0,0,IF(AU706/'🎚️ Escenario'!$C$11&gt;=36,$AL$23,INDEX($C$23:$AL$23,MAX(1,ROUNDUP(AU706/'🎚️ Escenario'!$C$11,0)))))</f>
        <v>0</v>
      </c>
      <c r="AV707" s="236" t="n">
        <f aca="false" t="array" ref="AV707:AV707">IF(AV706=0,0,IF(AV706/'🎚️ Escenario'!$C$11&gt;=36,$AL$23,INDEX($C$23:$AL$23,MAX(1,ROUNDUP(AV706/'🎚️ Escenario'!$C$11,0)))))</f>
        <v>0</v>
      </c>
      <c r="AW707" s="236" t="n">
        <f aca="false" t="array" ref="AW707:AW707">IF(AW706=0,0,IF(AW706/'🎚️ Escenario'!$C$11&gt;=36,$AL$23,INDEX($C$23:$AL$23,MAX(1,ROUNDUP(AW706/'🎚️ Escenario'!$C$11,0)))))</f>
        <v>0</v>
      </c>
      <c r="AX707" s="236" t="n">
        <f aca="false" t="array" ref="AX707:AX707">IF(AX706=0,0,IF(AX706/'🎚️ Escenario'!$C$11&gt;=36,$AL$23,INDEX($C$23:$AL$23,MAX(1,ROUNDUP(AX706/'🎚️ Escenario'!$C$11,0)))))</f>
        <v>0</v>
      </c>
      <c r="AY707" s="236" t="n">
        <f aca="false" t="array" ref="AY707:AY707">IF(AY706=0,0,IF(AY706/'🎚️ Escenario'!$C$11&gt;=36,$AL$23,INDEX($C$23:$AL$23,MAX(1,ROUNDUP(AY706/'🎚️ Escenario'!$C$11,0)))))</f>
        <v>0</v>
      </c>
      <c r="AZ707" s="236" t="n">
        <f aca="false" t="array" ref="AZ707:AZ707">IF(AZ706=0,0,IF(AZ706/'🎚️ Escenario'!$C$11&gt;=36,$AL$23,INDEX($C$23:$AL$23,MAX(1,ROUNDUP(AZ706/'🎚️ Escenario'!$C$11,0)))))</f>
        <v>0</v>
      </c>
      <c r="BA707" s="236" t="n">
        <f aca="false" t="array" ref="BA707:BA707">IF(BA706=0,0,IF(BA706/'🎚️ Escenario'!$C$11&gt;=36,$AL$23,INDEX($C$23:$AL$23,MAX(1,ROUNDUP(BA706/'🎚️ Escenario'!$C$11,0)))))</f>
        <v>0</v>
      </c>
      <c r="BB707" s="236" t="n">
        <f aca="false" t="array" ref="BB707:BB707">IF(BB706=0,0,IF(BB706/'🎚️ Escenario'!$C$11&gt;=36,$AL$23,INDEX($C$23:$AL$23,MAX(1,ROUNDUP(BB706/'🎚️ Escenario'!$C$11,0)))))</f>
        <v>0</v>
      </c>
      <c r="BC707" s="236" t="n">
        <f aca="false" t="array" ref="BC707:BC707">IF(BC706=0,0,IF(BC706/'🎚️ Escenario'!$C$11&gt;=36,$AL$23,INDEX($C$23:$AL$23,MAX(1,ROUNDUP(BC706/'🎚️ Escenario'!$C$11,0)))))</f>
        <v>0</v>
      </c>
      <c r="BD707" s="236" t="n">
        <f aca="false" t="array" ref="BD707:BD707">IF(BD706=0,0,IF(BD706/'🎚️ Escenario'!$C$11&gt;=36,$AL$23,INDEX($C$23:$AL$23,MAX(1,ROUNDUP(BD706/'🎚️ Escenario'!$C$11,0)))))</f>
        <v>0</v>
      </c>
      <c r="BE707" s="236" t="n">
        <f aca="false" t="array" ref="BE707:BE707">IF(BE706=0,0,IF(BE706/'🎚️ Escenario'!$C$11&gt;=36,$AL$23,INDEX($C$23:$AL$23,MAX(1,ROUNDUP(BE706/'🎚️ Escenario'!$C$11,0)))))</f>
        <v>0</v>
      </c>
      <c r="BF707" s="236" t="n">
        <f aca="false" t="array" ref="BF707:BF707">IF(BF706=0,0,IF(BF706/'🎚️ Escenario'!$C$11&gt;=36,$AL$23,INDEX($C$23:$AL$23,MAX(1,ROUNDUP(BF706/'🎚️ Escenario'!$C$11,0)))))</f>
        <v>0</v>
      </c>
      <c r="BG707" s="236" t="n">
        <f aca="false" t="array" ref="BG707:BG707">IF(BG706=0,0,IF(BG706/'🎚️ Escenario'!$C$11&gt;=36,$AL$23,INDEX($C$23:$AL$23,MAX(1,ROUNDUP(BG706/'🎚️ Escenario'!$C$11,0)))))</f>
        <v>0</v>
      </c>
      <c r="BH707" s="236" t="n">
        <f aca="false" t="array" ref="BH707:BH707">IF(BH706=0,0,IF(BH706/'🎚️ Escenario'!$C$11&gt;=36,$AL$23,INDEX($C$23:$AL$23,MAX(1,ROUNDUP(BH706/'🎚️ Escenario'!$C$11,0)))))</f>
        <v>0</v>
      </c>
      <c r="BI707" s="236" t="n">
        <f aca="false" t="array" ref="BI707:BI707">IF(BI706=0,0,IF(BI706/'🎚️ Escenario'!$C$11&gt;=36,$AL$23,INDEX($C$23:$AL$23,MAX(1,ROUNDUP(BI706/'🎚️ Escenario'!$C$11,0)))))</f>
        <v>0</v>
      </c>
      <c r="BJ707" s="236" t="n">
        <f aca="false" t="array" ref="BJ707:BJ707">IF(BJ706=0,0,IF(BJ706/'🎚️ Escenario'!$C$11&gt;=36,$AL$23,INDEX($C$23:$AL$23,MAX(1,ROUNDUP(BJ706/'🎚️ Escenario'!$C$11,0)))))</f>
        <v>0</v>
      </c>
      <c r="BK707" s="236" t="n">
        <f aca="false" t="array" ref="BK707:BK707">IF(BK706=0,0,IF(BK706/'🎚️ Escenario'!$C$11&gt;=36,$AL$23,INDEX($C$23:$AL$23,MAX(1,ROUNDUP(BK706/'🎚️ Escenario'!$C$11,0)))))</f>
        <v>0</v>
      </c>
      <c r="BL707" s="236" t="n">
        <f aca="false" t="array" ref="BL707:BL707">IF(BL706=0,0,IF(BL706/'🎚️ Escenario'!$C$11&gt;=36,$AL$23,INDEX($C$23:$AL$23,MAX(1,ROUNDUP(BL706/'🎚️ Escenario'!$C$11,0)))))</f>
        <v>0</v>
      </c>
      <c r="BM707" s="236" t="n">
        <f aca="false" t="array" ref="BM707:BM707">IF(BM706=0,0,IF(BM706/'🎚️ Escenario'!$C$11&gt;=36,$AL$23,INDEX($C$23:$AL$23,MAX(1,ROUNDUP(BM706/'🎚️ Escenario'!$C$11,0)))))</f>
        <v>0</v>
      </c>
      <c r="BN707" s="236" t="n">
        <f aca="false" t="array" ref="BN707:BN707">IF(BN706=0,0,IF(BN706/'🎚️ Escenario'!$C$11&gt;=36,$AL$23,INDEX($C$23:$AL$23,MAX(1,ROUNDUP(BN706/'🎚️ Escenario'!$C$11,0)))))</f>
        <v>0</v>
      </c>
      <c r="BO707" s="236" t="n">
        <f aca="false" t="array" ref="BO707:BO707">IF(BO706=0,0,IF(BO706/'🎚️ Escenario'!$C$11&gt;=36,$AL$23,INDEX($C$23:$AL$23,MAX(1,ROUNDUP(BO706/'🎚️ Escenario'!$C$11,0)))))</f>
        <v>0</v>
      </c>
      <c r="BP707" s="236" t="n">
        <f aca="false" t="array" ref="BP707:BP707">IF(BP706=0,0,IF(BP706/'🎚️ Escenario'!$C$11&gt;=36,$AL$23,INDEX($C$23:$AL$23,MAX(1,ROUNDUP(BP706/'🎚️ Escenario'!$C$11,0)))))</f>
        <v>0</v>
      </c>
      <c r="BQ707" s="236" t="n">
        <f aca="false" t="array" ref="BQ707:BQ707">IF(BQ706=0,0,IF(BQ706/'🎚️ Escenario'!$C$11&gt;=36,$AL$23,INDEX($C$23:$AL$23,MAX(1,ROUNDUP(BQ706/'🎚️ Escenario'!$C$11,0)))))</f>
        <v>0</v>
      </c>
      <c r="BR707" s="236" t="n">
        <f aca="false" t="array" ref="BR707:BR707">IF(BR706=0,0,IF(BR706/'🎚️ Escenario'!$C$11&gt;=36,$AL$23,INDEX($C$23:$AL$23,MAX(1,ROUNDUP(BR706/'🎚️ Escenario'!$C$11,0)))))</f>
        <v>0</v>
      </c>
      <c r="BS707" s="236" t="n">
        <f aca="false" t="array" ref="BS707:BS707">IF(BS706=0,0,IF(BS706/'🎚️ Escenario'!$C$11&gt;=36,$AL$23,INDEX($C$23:$AL$23,MAX(1,ROUNDUP(BS706/'🎚️ Escenario'!$C$11,0)))))</f>
        <v>0</v>
      </c>
      <c r="BT707" s="236" t="n">
        <f aca="false" t="array" ref="BT707:BT707">IF(BT706=0,0,IF(BT706/'🎚️ Escenario'!$C$11&gt;=36,$AL$23,INDEX($C$23:$AL$23,MAX(1,ROUNDUP(BT706/'🎚️ Escenario'!$C$11,0)))))</f>
        <v>0</v>
      </c>
      <c r="BU707" s="236" t="n">
        <f aca="false" t="array" ref="BU707:BU707">IF(BU706=0,0,IF(BU706/'🎚️ Escenario'!$C$11&gt;=36,$AL$23,INDEX($C$23:$AL$23,MAX(1,ROUNDUP(BU706/'🎚️ Escenario'!$C$11,0)))))</f>
        <v>0</v>
      </c>
      <c r="BV707" s="236" t="n">
        <f aca="false" t="array" ref="BV707:BV707">IF(BV706=0,0,IF(BV706/'🎚️ Escenario'!$C$11&gt;=36,$AL$23,INDEX($C$23:$AL$23,MAX(1,ROUNDUP(BV706/'🎚️ Escenario'!$C$11,0)))))</f>
        <v>0</v>
      </c>
      <c r="BW707" s="236" t="n">
        <f aca="false" t="array" ref="BW707:BW707">IF(BW706=0,0,IF(BW706/'🎚️ Escenario'!$C$11&gt;=36,$AL$23,INDEX($C$23:$AL$23,MAX(1,ROUNDUP(BW706/'🎚️ Escenario'!$C$11,0)))))</f>
        <v>0</v>
      </c>
      <c r="BX707" s="236" t="n">
        <f aca="false" t="array" ref="BX707:BX707">IF(BX706=0,0,IF(BX706/'🎚️ Escenario'!$C$11&gt;=36,$AL$23,INDEX($C$23:$AL$23,MAX(1,ROUNDUP(BX706/'🎚️ Escenario'!$C$11,0)))))</f>
        <v>0</v>
      </c>
      <c r="BY707" s="236" t="n">
        <f aca="false" t="array" ref="BY707:BY707">IF(BY706=0,0,IF(BY706/'🎚️ Escenario'!$C$11&gt;=36,$AL$23,INDEX($C$23:$AL$23,MAX(1,ROUNDUP(BY706/'🎚️ Escenario'!$C$11,0)))))</f>
        <v>0</v>
      </c>
      <c r="BZ707" s="236" t="n">
        <f aca="false" t="array" ref="BZ707:BZ707">IF(BZ706=0,0,IF(BZ706/'🎚️ Escenario'!$C$11&gt;=36,$AL$23,INDEX($C$23:$AL$23,MAX(1,ROUNDUP(BZ706/'🎚️ Escenario'!$C$11,0)))))</f>
        <v>0</v>
      </c>
      <c r="CA707" s="236" t="n">
        <f aca="false" t="array" ref="CA707:CA707">IF(CA706=0,0,IF(CA706/'🎚️ Escenario'!$C$11&gt;=36,$AL$23,INDEX($C$23:$AL$23,MAX(1,ROUNDUP(CA706/'🎚️ Escenario'!$C$11,0)))))</f>
        <v>0</v>
      </c>
      <c r="CB707" s="236" t="n">
        <f aca="false" t="array" ref="CB707:CB707">IF(CB706=0,0,IF(CB706/'🎚️ Escenario'!$C$11&gt;=36,$AL$23,INDEX($C$23:$AL$23,MAX(1,ROUNDUP(CB706/'🎚️ Escenario'!$C$11,0)))))</f>
        <v>0</v>
      </c>
      <c r="CC707" s="236" t="n">
        <f aca="false" t="array" ref="CC707:CC707">IF(CC706=0,0,IF(CC706/'🎚️ Escenario'!$C$11&gt;=36,$AL$23,INDEX($C$23:$AL$23,MAX(1,ROUNDUP(CC706/'🎚️ Escenario'!$C$11,0)))))</f>
        <v>0</v>
      </c>
      <c r="CD707" s="236" t="n">
        <f aca="false" t="array" ref="CD707:CD707">IF(CD706=0,0,IF(CD706/'🎚️ Escenario'!$C$11&gt;=36,$AL$23,INDEX($C$23:$AL$23,MAX(1,ROUNDUP(CD706/'🎚️ Escenario'!$C$11,0)))))</f>
        <v>0</v>
      </c>
      <c r="CE707" s="236" t="n">
        <f aca="false" t="array" ref="CE707:CE707">IF(CE706=0,0,IF(CE706/'🎚️ Escenario'!$C$11&gt;=36,$AL$23,INDEX($C$23:$AL$23,MAX(1,ROUNDUP(CE706/'🎚️ Escenario'!$C$11,0)))))</f>
        <v>0</v>
      </c>
      <c r="CF707" s="236" t="n">
        <f aca="false" t="array" ref="CF707:CF707">IF(CF706=0,0,IF(CF706/'🎚️ Escenario'!$C$11&gt;=36,$AL$23,INDEX($C$23:$AL$23,MAX(1,ROUNDUP(CF706/'🎚️ Escenario'!$C$11,0)))))</f>
        <v>0</v>
      </c>
      <c r="CG707" s="236" t="n">
        <f aca="false" t="array" ref="CG707:CG707">IF(CG706=0,0,IF(CG706/'🎚️ Escenario'!$C$11&gt;=36,$AL$23,INDEX($C$23:$AL$23,MAX(1,ROUNDUP(CG706/'🎚️ Escenario'!$C$11,0)))))</f>
        <v>0</v>
      </c>
      <c r="CH707" s="236" t="n">
        <f aca="false" t="array" ref="CH707:CH707">IF(CH706=0,0,IF(CH706/'🎚️ Escenario'!$C$11&gt;=36,$AL$23,INDEX($C$23:$AL$23,MAX(1,ROUNDUP(CH706/'🎚️ Escenario'!$C$11,0)))))</f>
        <v>0</v>
      </c>
      <c r="CI707" s="236" t="n">
        <f aca="false" t="array" ref="CI707:CI707">IF(CI706=0,0,IF(CI706/'🎚️ Escenario'!$C$11&gt;=36,$AL$23,INDEX($C$23:$AL$23,MAX(1,ROUNDUP(CI706/'🎚️ Escenario'!$C$11,0)))))</f>
        <v>0</v>
      </c>
      <c r="CJ707" s="236" t="n">
        <f aca="false" t="array" ref="CJ707:CJ707">IF(CJ706=0,0,IF(CJ706/'🎚️ Escenario'!$C$11&gt;=36,$AL$23,INDEX($C$23:$AL$23,MAX(1,ROUNDUP(CJ706/'🎚️ Escenario'!$C$11,0)))))</f>
        <v>0</v>
      </c>
      <c r="CK707" s="236" t="n">
        <f aca="false" t="array" ref="CK707:CK707">IF(CK706=0,0,IF(CK706/'🎚️ Escenario'!$C$11&gt;=36,$AL$23,INDEX($C$23:$AL$23,MAX(1,ROUNDUP(CK706/'🎚️ Escenario'!$C$11,0)))))</f>
        <v>0</v>
      </c>
      <c r="CL707" s="236" t="n">
        <f aca="false" t="array" ref="CL707:CL707">IF(CL706=0,0,IF(CL706/'🎚️ Escenario'!$C$11&gt;=36,$AL$23,INDEX($C$23:$AL$23,MAX(1,ROUNDUP(CL706/'🎚️ Escenario'!$C$11,0)))))</f>
        <v>0</v>
      </c>
      <c r="CM707" s="236" t="n">
        <f aca="false" t="array" ref="CM707:CM707">IF(CM706=0,0,IF(CM706/'🎚️ Escenario'!$C$11&gt;=36,$AL$23,INDEX($C$23:$AL$23,MAX(1,ROUNDUP(CM706/'🎚️ Escenario'!$C$11,0)))))</f>
        <v>0</v>
      </c>
      <c r="CN707" s="236" t="n">
        <f aca="false" t="array" ref="CN707:CN707">IF(CN706=0,0,IF(CN706/'🎚️ Escenario'!$C$11&gt;=36,$AL$23,INDEX($C$23:$AL$23,MAX(1,ROUNDUP(CN706/'🎚️ Escenario'!$C$11,0)))))</f>
        <v>0</v>
      </c>
      <c r="CO707" s="236" t="n">
        <f aca="false" t="array" ref="CO707:CO707">IF(CO706=0,0,IF(CO706/'🎚️ Escenario'!$C$11&gt;=36,$AL$23,INDEX($C$23:$AL$23,MAX(1,ROUNDUP(CO706/'🎚️ Escenario'!$C$11,0)))))</f>
        <v>0</v>
      </c>
      <c r="CP707" s="236" t="n">
        <f aca="false" t="array" ref="CP707:CP707">IF(CP706=0,0,IF(CP706/'🎚️ Escenario'!$C$11&gt;=36,$AL$23,INDEX($C$23:$AL$23,MAX(1,ROUNDUP(CP706/'🎚️ Escenario'!$C$11,0)))))</f>
        <v>0</v>
      </c>
      <c r="CQ707" s="236" t="n">
        <f aca="false" t="array" ref="CQ707:CQ707">IF(CQ706=0,0,IF(CQ706/'🎚️ Escenario'!$C$11&gt;=36,$AL$23,INDEX($C$23:$AL$23,MAX(1,ROUNDUP(CQ706/'🎚️ Escenario'!$C$11,0)))))</f>
        <v>0</v>
      </c>
      <c r="CR707" s="236" t="n">
        <f aca="false" t="array" ref="CR707:CR707">IF(CR706=0,0,IF(CR706/'🎚️ Escenario'!$C$11&gt;=36,$AL$23,INDEX($C$23:$AL$23,MAX(1,ROUNDUP(CR706/'🎚️ Escenario'!$C$11,0)))))</f>
        <v>0</v>
      </c>
      <c r="CS707" s="236" t="n">
        <f aca="false" t="array" ref="CS707:CS707">IF(CS706=0,0,IF(CS706/'🎚️ Escenario'!$C$11&gt;=36,$AL$23,INDEX($C$23:$AL$23,MAX(1,ROUNDUP(CS706/'🎚️ Escenario'!$C$11,0)))))</f>
        <v>0</v>
      </c>
      <c r="CT707" s="236" t="n">
        <f aca="false" t="array" ref="CT707:CT707">IF(CT706=0,0,IF(CT706/'🎚️ Escenario'!$C$11&gt;=36,$AL$23,INDEX($C$23:$AL$23,MAX(1,ROUNDUP(CT706/'🎚️ Escenario'!$C$11,0)))))</f>
        <v>0</v>
      </c>
      <c r="CU707" s="236" t="n">
        <f aca="false" t="array" ref="CU707:CU707">IF(CU706=0,0,IF(CU706/'🎚️ Escenario'!$C$11&gt;=36,$AL$23,INDEX($C$23:$AL$23,MAX(1,ROUNDUP(CU706/'🎚️ Escenario'!$C$11,0)))))</f>
        <v>0</v>
      </c>
      <c r="CV707" s="236" t="n">
        <f aca="false" t="array" ref="CV707:CV707">IF(CV706=0,0,IF(CV706/'🎚️ Escenario'!$C$11&gt;=36,$AL$23,INDEX($C$23:$AL$23,MAX(1,ROUNDUP(CV706/'🎚️ Escenario'!$C$11,0)))))</f>
        <v>0</v>
      </c>
      <c r="CW707" s="236" t="n">
        <f aca="false" t="array" ref="CW707:CW707">IF(CW706=0,0,IF(CW706/'🎚️ Escenario'!$C$11&gt;=36,$AL$23,INDEX($C$23:$AL$23,MAX(1,ROUNDUP(CW706/'🎚️ Escenario'!$C$11,0)))))</f>
        <v>0</v>
      </c>
      <c r="CX707" s="236" t="n">
        <f aca="false" t="array" ref="CX707:CX707">IF(CX706=0,0,IF(CX706/'🎚️ Escenario'!$C$11&gt;=36,$AL$23,INDEX($C$23:$AL$23,MAX(1,ROUNDUP(CX706/'🎚️ Escenario'!$C$11,0)))))</f>
        <v>0</v>
      </c>
      <c r="CY707" s="236" t="n">
        <f aca="false" t="array" ref="CY707:CY707">IF(CY706=0,0,IF(CY706/'🎚️ Escenario'!$C$11&gt;=36,$AL$23,INDEX($C$23:$AL$23,MAX(1,ROUNDUP(CY706/'🎚️ Escenario'!$C$11,0)))))</f>
        <v>0.2</v>
      </c>
      <c r="CZ707" s="236" t="n">
        <f aca="false" t="array" ref="CZ707:CZ707">IF(CZ706=0,0,IF(CZ706/'🎚️ Escenario'!$C$11&gt;=36,$AL$23,INDEX($C$23:$AL$23,MAX(1,ROUNDUP(CZ706/'🎚️ Escenario'!$C$11,0)))))</f>
        <v>0.22</v>
      </c>
      <c r="DA707" s="236" t="n">
        <f aca="false" t="array" ref="DA707:DA707">IF(DA706=0,0,IF(DA706/'🎚️ Escenario'!$C$11&gt;=36,$AL$23,INDEX($C$23:$AL$23,MAX(1,ROUNDUP(DA706/'🎚️ Escenario'!$C$11,0)))))</f>
        <v>0.24</v>
      </c>
      <c r="DB707" s="236" t="n">
        <f aca="false" t="array" ref="DB707:DB707">IF(DB706=0,0,IF(DB706/'🎚️ Escenario'!$C$11&gt;=36,$AL$23,INDEX($C$23:$AL$23,MAX(1,ROUNDUP(DB706/'🎚️ Escenario'!$C$11,0)))))</f>
        <v>0.27</v>
      </c>
      <c r="DC707" s="236" t="n">
        <f aca="false" t="array" ref="DC707:DC707">IF(DC706=0,0,IF(DC706/'🎚️ Escenario'!$C$11&gt;=36,$AL$23,INDEX($C$23:$AL$23,MAX(1,ROUNDUP(DC706/'🎚️ Escenario'!$C$11,0)))))</f>
        <v>0.27</v>
      </c>
      <c r="DD707" s="236" t="n">
        <f aca="false" t="array" ref="DD707:DD707">IF(DD706=0,0,IF(DD706/'🎚️ Escenario'!$C$11&gt;=36,$AL$23,INDEX($C$23:$AL$23,MAX(1,ROUNDUP(DD706/'🎚️ Escenario'!$C$11,0)))))</f>
        <v>0.31</v>
      </c>
      <c r="DE707" s="236" t="n">
        <f aca="false" t="array" ref="DE707:DE707">IF(DE706=0,0,IF(DE706/'🎚️ Escenario'!$C$11&gt;=36,$AL$23,INDEX($C$23:$AL$23,MAX(1,ROUNDUP(DE706/'🎚️ Escenario'!$C$11,0)))))</f>
        <v>0.35</v>
      </c>
      <c r="DF707" s="236" t="n">
        <f aca="false" t="array" ref="DF707:DF707">IF(DF706=0,0,IF(DF706/'🎚️ Escenario'!$C$11&gt;=36,$AL$23,INDEX($C$23:$AL$23,MAX(1,ROUNDUP(DF706/'🎚️ Escenario'!$C$11,0)))))</f>
        <v>0.39</v>
      </c>
      <c r="DG707" s="236" t="n">
        <f aca="false" t="array" ref="DG707:DG707">IF(DG706=0,0,IF(DG706/'🎚️ Escenario'!$C$11&gt;=36,$AL$23,INDEX($C$23:$AL$23,MAX(1,ROUNDUP(DG706/'🎚️ Escenario'!$C$11,0)))))</f>
        <v>0.44</v>
      </c>
      <c r="DH707" s="236" t="n">
        <f aca="false" t="array" ref="DH707:DH707">IF(DH706=0,0,IF(DH706/'🎚️ Escenario'!$C$11&gt;=36,$AL$23,INDEX($C$23:$AL$23,MAX(1,ROUNDUP(DH706/'🎚️ Escenario'!$C$11,0)))))</f>
        <v>0.44</v>
      </c>
      <c r="DI707" s="236" t="n">
        <f aca="false" t="array" ref="DI707:DI707">IF(DI706=0,0,IF(DI706/'🎚️ Escenario'!$C$11&gt;=36,$AL$23,INDEX($C$23:$AL$23,MAX(1,ROUNDUP(DI706/'🎚️ Escenario'!$C$11,0)))))</f>
        <v>0.48</v>
      </c>
      <c r="DJ707" s="236" t="n">
        <f aca="false" t="array" ref="DJ707:DJ707">IF(DJ706=0,0,IF(DJ706/'🎚️ Escenario'!$C$11&gt;=36,$AL$23,INDEX($C$23:$AL$23,MAX(1,ROUNDUP(DJ706/'🎚️ Escenario'!$C$11,0)))))</f>
        <v>0.52</v>
      </c>
      <c r="DK707" s="236" t="n">
        <f aca="false" t="array" ref="DK707:DK707">IF(DK706=0,0,IF(DK706/'🎚️ Escenario'!$C$11&gt;=36,$AL$23,INDEX($C$23:$AL$23,MAX(1,ROUNDUP(DK706/'🎚️ Escenario'!$C$11,0)))))</f>
        <v>0.56</v>
      </c>
      <c r="DL707" s="236" t="n">
        <f aca="false" t="array" ref="DL707:DL707">IF(DL706=0,0,IF(DL706/'🎚️ Escenario'!$C$11&gt;=36,$AL$23,INDEX($C$23:$AL$23,MAX(1,ROUNDUP(DL706/'🎚️ Escenario'!$C$11,0)))))</f>
        <v>0.6</v>
      </c>
      <c r="DM707" s="236" t="n">
        <f aca="false" t="array" ref="DM707:DM707">IF(DM706=0,0,IF(DM706/'🎚️ Escenario'!$C$11&gt;=36,$AL$23,INDEX($C$23:$AL$23,MAX(1,ROUNDUP(DM706/'🎚️ Escenario'!$C$11,0)))))</f>
        <v>0.6</v>
      </c>
      <c r="DN707" s="236" t="n">
        <f aca="false" t="array" ref="DN707:DN707">IF(DN706=0,0,IF(DN706/'🎚️ Escenario'!$C$11&gt;=36,$AL$23,INDEX($C$23:$AL$23,MAX(1,ROUNDUP(DN706/'🎚️ Escenario'!$C$11,0)))))</f>
        <v>0.63</v>
      </c>
      <c r="DO707" s="236" t="n">
        <f aca="false" t="array" ref="DO707:DO707">IF(DO706=0,0,IF(DO706/'🎚️ Escenario'!$C$11&gt;=36,$AL$23,INDEX($C$23:$AL$23,MAX(1,ROUNDUP(DO706/'🎚️ Escenario'!$C$11,0)))))</f>
        <v>0.66</v>
      </c>
      <c r="DP707" s="236" t="n">
        <f aca="false" t="array" ref="DP707:DP707">IF(DP706=0,0,IF(DP706/'🎚️ Escenario'!$C$11&gt;=36,$AL$23,INDEX($C$23:$AL$23,MAX(1,ROUNDUP(DP706/'🎚️ Escenario'!$C$11,0)))))</f>
        <v>0.69</v>
      </c>
      <c r="DQ707" s="236" t="n">
        <f aca="false" t="array" ref="DQ707:DQ707">IF(DQ706=0,0,IF(DQ706/'🎚️ Escenario'!$C$11&gt;=36,$AL$23,INDEX($C$23:$AL$23,MAX(1,ROUNDUP(DQ706/'🎚️ Escenario'!$C$11,0)))))</f>
        <v>0.71</v>
      </c>
      <c r="DR707" s="236" t="n">
        <f aca="false" t="array" ref="DR707:DR707">IF(DR706=0,0,IF(DR706/'🎚️ Escenario'!$C$11&gt;=36,$AL$23,INDEX($C$23:$AL$23,MAX(1,ROUNDUP(DR706/'🎚️ Escenario'!$C$11,0)))))</f>
        <v>0.71</v>
      </c>
      <c r="DS707" s="236" t="n">
        <f aca="false" t="array" ref="DS707:DS707">IF(DS706=0,0,IF(DS706/'🎚️ Escenario'!$C$11&gt;=36,$AL$23,INDEX($C$23:$AL$23,MAX(1,ROUNDUP(DS706/'🎚️ Escenario'!$C$11,0)))))</f>
        <v>0.73</v>
      </c>
      <c r="DT707" s="236" t="n">
        <f aca="false" t="array" ref="DT707:DT707">IF(DT706=0,0,IF(DT706/'🎚️ Escenario'!$C$11&gt;=36,$AL$23,INDEX($C$23:$AL$23,MAX(1,ROUNDUP(DT706/'🎚️ Escenario'!$C$11,0)))))</f>
        <v>0.75</v>
      </c>
      <c r="DU707" s="236" t="n">
        <f aca="false" t="array" ref="DU707:DU707">IF(DU706=0,0,IF(DU706/'🎚️ Escenario'!$C$11&gt;=36,$AL$23,INDEX($C$23:$AL$23,MAX(1,ROUNDUP(DU706/'🎚️ Escenario'!$C$11,0)))))</f>
        <v>0.77</v>
      </c>
      <c r="DV707" s="236" t="n">
        <f aca="false" t="array" ref="DV707:DV707">IF(DV706=0,0,IF(DV706/'🎚️ Escenario'!$C$11&gt;=36,$AL$23,INDEX($C$23:$AL$23,MAX(1,ROUNDUP(DV706/'🎚️ Escenario'!$C$11,0)))))</f>
        <v>0.79</v>
      </c>
      <c r="DW707" s="236" t="n">
        <f aca="false" t="array" ref="DW707:DW707">IF(DW706=0,0,IF(DW706/'🎚️ Escenario'!$C$11&gt;=36,$AL$23,INDEX($C$23:$AL$23,MAX(1,ROUNDUP(DW706/'🎚️ Escenario'!$C$11,0)))))</f>
        <v>0.79</v>
      </c>
      <c r="DX707" s="236" t="n">
        <f aca="false" t="array" ref="DX707:DX707">IF(DX706=0,0,IF(DX706/'🎚️ Escenario'!$C$11&gt;=36,$AL$23,INDEX($C$23:$AL$23,MAX(1,ROUNDUP(DX706/'🎚️ Escenario'!$C$11,0)))))</f>
        <v>0.8</v>
      </c>
      <c r="DY707" s="236" t="n">
        <f aca="false" t="array" ref="DY707:DY707">IF(DY706=0,0,IF(DY706/'🎚️ Escenario'!$C$11&gt;=36,$AL$23,INDEX($C$23:$AL$23,MAX(1,ROUNDUP(DY706/'🎚️ Escenario'!$C$11,0)))))</f>
        <v>0.82</v>
      </c>
      <c r="DZ707" s="236" t="n">
        <f aca="false" t="array" ref="DZ707:DZ707">IF(DZ706=0,0,IF(DZ706/'🎚️ Escenario'!$C$11&gt;=36,$AL$23,INDEX($C$23:$AL$23,MAX(1,ROUNDUP(DZ706/'🎚️ Escenario'!$C$11,0)))))</f>
        <v>0.84</v>
      </c>
      <c r="EA707" s="236" t="n">
        <f aca="false" t="array" ref="EA707:EA707">IF(EA706=0,0,IF(EA706/'🎚️ Escenario'!$C$11&gt;=36,$AL$23,INDEX($C$23:$AL$23,MAX(1,ROUNDUP(EA706/'🎚️ Escenario'!$C$11,0)))))</f>
        <v>0.85</v>
      </c>
      <c r="EB707" s="236" t="n">
        <f aca="false" t="array" ref="EB707:EB707">IF(EB706=0,0,IF(EB706/'🎚️ Escenario'!$C$11&gt;=36,$AL$23,INDEX($C$23:$AL$23,MAX(1,ROUNDUP(EB706/'🎚️ Escenario'!$C$11,0)))))</f>
        <v>0.85</v>
      </c>
      <c r="EC707" s="236" t="n">
        <f aca="false" t="array" ref="EC707:EC707">IF(EC706=0,0,IF(EC706/'🎚️ Escenario'!$C$11&gt;=36,$AL$23,INDEX($C$23:$AL$23,MAX(1,ROUNDUP(EC706/'🎚️ Escenario'!$C$11,0)))))</f>
        <v>0.86</v>
      </c>
      <c r="ED707" s="236" t="n">
        <f aca="false" t="array" ref="ED707:ED707">IF(ED706=0,0,IF(ED706/'🎚️ Escenario'!$C$11&gt;=36,$AL$23,INDEX($C$23:$AL$23,MAX(1,ROUNDUP(ED706/'🎚️ Escenario'!$C$11,0)))))</f>
        <v>0.88</v>
      </c>
      <c r="EE707" s="236" t="n">
        <f aca="false" t="array" ref="EE707:EE707">IF(EE706=0,0,IF(EE706/'🎚️ Escenario'!$C$11&gt;=36,$AL$23,INDEX($C$23:$AL$23,MAX(1,ROUNDUP(EE706/'🎚️ Escenario'!$C$11,0)))))</f>
        <v>0.89</v>
      </c>
      <c r="EF707" s="236" t="n">
        <f aca="false" t="array" ref="EF707:EF707">IF(EF706=0,0,IF(EF706/'🎚️ Escenario'!$C$11&gt;=36,$AL$23,INDEX($C$23:$AL$23,MAX(1,ROUNDUP(EF706/'🎚️ Escenario'!$C$11,0)))))</f>
        <v>0.9</v>
      </c>
      <c r="EG707" s="236" t="n">
        <f aca="false" t="array" ref="EG707:EG707">IF(EG706=0,0,IF(EG706/'🎚️ Escenario'!$C$11&gt;=36,$AL$23,INDEX($C$23:$AL$23,MAX(1,ROUNDUP(EG706/'🎚️ Escenario'!$C$11,0)))))</f>
        <v>0.9</v>
      </c>
      <c r="EH707" s="236" t="n">
        <f aca="false" t="array" ref="EH707:EH707">IF(EH706=0,0,IF(EH706/'🎚️ Escenario'!$C$11&gt;=36,$AL$23,INDEX($C$23:$AL$23,MAX(1,ROUNDUP(EH706/'🎚️ Escenario'!$C$11,0)))))</f>
        <v>0.92</v>
      </c>
      <c r="EI707" s="236" t="n">
        <f aca="false" t="array" ref="EI707:EI707">IF(EI706=0,0,IF(EI706/'🎚️ Escenario'!$C$11&gt;=36,$AL$23,INDEX($C$23:$AL$23,MAX(1,ROUNDUP(EI706/'🎚️ Escenario'!$C$11,0)))))</f>
        <v>0.93</v>
      </c>
      <c r="EJ707" s="236" t="n">
        <f aca="false" t="array" ref="EJ707:EJ707">IF(EJ706=0,0,IF(EJ706/'🎚️ Escenario'!$C$11&gt;=36,$AL$23,INDEX($C$23:$AL$23,MAX(1,ROUNDUP(EJ706/'🎚️ Escenario'!$C$11,0)))))</f>
        <v>0.94</v>
      </c>
      <c r="EK707" s="236" t="n">
        <f aca="false" t="array" ref="EK707:EK707">IF(EK706=0,0,IF(EK706/'🎚️ Escenario'!$C$11&gt;=36,$AL$23,INDEX($C$23:$AL$23,MAX(1,ROUNDUP(EK706/'🎚️ Escenario'!$C$11,0)))))</f>
        <v>0.95</v>
      </c>
      <c r="EL707" s="236" t="n">
        <f aca="false" t="array" ref="EL707:EL707">IF(EL706=0,0,IF(EL706/'🎚️ Escenario'!$C$11&gt;=36,$AL$23,INDEX($C$23:$AL$23,MAX(1,ROUNDUP(EL706/'🎚️ Escenario'!$C$11,0)))))</f>
        <v>0.95</v>
      </c>
      <c r="EM707" s="236" t="n">
        <f aca="false" t="array" ref="EM707:EM707">IF(EM706=0,0,IF(EM706/'🎚️ Escenario'!$C$11&gt;=36,$AL$23,INDEX($C$23:$AL$23,MAX(1,ROUNDUP(EM706/'🎚️ Escenario'!$C$11,0)))))</f>
        <v>0.97</v>
      </c>
      <c r="EN707" s="236" t="n">
        <f aca="false" t="array" ref="EN707:EN707">IF(EN706=0,0,IF(EN706/'🎚️ Escenario'!$C$11&gt;=36,$AL$23,INDEX($C$23:$AL$23,MAX(1,ROUNDUP(EN706/'🎚️ Escenario'!$C$11,0)))))</f>
        <v>0.98</v>
      </c>
      <c r="EO707" s="236" t="n">
        <f aca="false" t="array" ref="EO707:EO707">IF(EO706=0,0,IF(EO706/'🎚️ Escenario'!$C$11&gt;=36,$AL$23,INDEX($C$23:$AL$23,MAX(1,ROUNDUP(EO706/'🎚️ Escenario'!$C$11,0)))))</f>
        <v>0.99</v>
      </c>
      <c r="EP707" s="236" t="n">
        <f aca="false" t="array" ref="EP707:EP707">IF(EP706=0,0,IF(EP706/'🎚️ Escenario'!$C$11&gt;=36,$AL$23,INDEX($C$23:$AL$23,MAX(1,ROUNDUP(EP706/'🎚️ Escenario'!$C$11,0)))))</f>
        <v>1</v>
      </c>
      <c r="EQ707" s="236" t="n">
        <f aca="false" t="array" ref="EQ707:EQ707">IF(EQ706=0,0,IF(EQ706/'🎚️ Escenario'!$C$11&gt;=36,$AL$23,INDEX($C$23:$AL$23,MAX(1,ROUNDUP(EQ706/'🎚️ Escenario'!$C$11,0)))))</f>
        <v>1</v>
      </c>
      <c r="ER707" s="236" t="n">
        <f aca="false" t="array" ref="ER707:ER707">IF(ER706=0,0,IF(ER706/'🎚️ Escenario'!$C$11&gt;=36,$AL$23,INDEX($C$23:$AL$23,MAX(1,ROUNDUP(ER706/'🎚️ Escenario'!$C$11,0)))))</f>
        <v>1</v>
      </c>
      <c r="ES707" s="9" t="n">
        <f aca="false" t="array" ref="ES707:ES707">IF(ES706=0,0,IF(ES706/'🎚️ Escenario'!$C$11&gt;=36,$AL$23,INDEX($C$23:$AL$23,MAX(1,ROUNDUP(ES706/'🎚️ Escenario'!$C$11,0)))))</f>
        <v>1</v>
      </c>
      <c r="ET707" s="9" t="n">
        <f aca="false" t="array" ref="ET707:ET707">IF(ET706=0,0,IF(ET706/'🎚️ Escenario'!$C$11&gt;=36,$AL$23,INDEX($C$23:$AL$23,MAX(1,ROUNDUP(ET706/'🎚️ Escenario'!$C$11,0)))))</f>
        <v>1</v>
      </c>
      <c r="EU707" s="9" t="n">
        <f aca="false" t="array" ref="EU707:EU707">IF(EU706=0,0,IF(EU706/'🎚️ Escenario'!$C$11&gt;=36,$AL$23,INDEX($C$23:$AL$23,MAX(1,ROUNDUP(EU706/'🎚️ Escenario'!$C$11,0)))))</f>
        <v>1</v>
      </c>
      <c r="EV707" s="9" t="n">
        <f aca="false" t="array" ref="EV707:EV707">IF(EV706=0,0,IF(EV706/'🎚️ Escenario'!$C$11&gt;=36,$AL$23,INDEX($C$23:$AL$23,MAX(1,ROUNDUP(EV706/'🎚️ Escenario'!$C$11,0)))))</f>
        <v>1</v>
      </c>
      <c r="EW707" s="9" t="n">
        <f aca="false" t="array" ref="EW707:EW707">IF(EW706=0,0,IF(EW706/'🎚️ Escenario'!$C$11&gt;=36,$AL$23,INDEX($C$23:$AL$23,MAX(1,ROUNDUP(EW706/'🎚️ Escenario'!$C$11,0)))))</f>
        <v>1</v>
      </c>
      <c r="EX707" s="9" t="n">
        <f aca="false" t="array" ref="EX707:EX707">IF(EX706=0,0,IF(EX706/'🎚️ Escenario'!$C$11&gt;=36,$AL$23,INDEX($C$23:$AL$23,MAX(1,ROUNDUP(EX706/'🎚️ Escenario'!$C$11,0)))))</f>
        <v>1</v>
      </c>
      <c r="EY707" s="9" t="n">
        <f aca="false" t="array" ref="EY707:EY707">IF(EY706=0,0,IF(EY706/'🎚️ Escenario'!$C$11&gt;=36,$AL$23,INDEX($C$23:$AL$23,MAX(1,ROUNDUP(EY706/'🎚️ Escenario'!$C$11,0)))))</f>
        <v>1</v>
      </c>
      <c r="EZ707" s="9" t="n">
        <f aca="false" t="array" ref="EZ707:EZ707">IF(EZ706=0,0,IF(EZ706/'🎚️ Escenario'!$C$11&gt;=36,$AL$23,INDEX($C$23:$AL$23,MAX(1,ROUNDUP(EZ706/'🎚️ Escenario'!$C$11,0)))))</f>
        <v>1</v>
      </c>
      <c r="FA707" s="9" t="n">
        <f aca="false" t="array" ref="FA707:FA707">IF(FA706=0,0,IF(FA706/'🎚️ Escenario'!$C$11&gt;=36,$AL$23,INDEX($C$23:$AL$23,MAX(1,ROUNDUP(FA706/'🎚️ Escenario'!$C$11,0)))))</f>
        <v>1</v>
      </c>
      <c r="FB707" s="9" t="n">
        <f aca="false" t="array" ref="FB707:FB707">IF(FB706=0,0,IF(FB706/'🎚️ Escenario'!$C$11&gt;=36,$AL$23,INDEX($C$23:$AL$23,MAX(1,ROUNDUP(FB706/'🎚️ Escenario'!$C$11,0)))))</f>
        <v>1</v>
      </c>
      <c r="FC707" s="9" t="n">
        <f aca="false" t="array" ref="FC707:FC707">IF(FC706=0,0,IF(FC706/'🎚️ Escenario'!$C$11&gt;=36,$AL$23,INDEX($C$23:$AL$23,MAX(1,ROUNDUP(FC706/'🎚️ Escenario'!$C$11,0)))))</f>
        <v>1</v>
      </c>
      <c r="FD707" s="9" t="n">
        <f aca="false" t="array" ref="FD707:FD707">IF(FD706=0,0,IF(FD706/'🎚️ Escenario'!$C$11&gt;=36,$AL$23,INDEX($C$23:$AL$23,MAX(1,ROUNDUP(FD706/'🎚️ Escenario'!$C$11,0)))))</f>
        <v>1</v>
      </c>
      <c r="FE707" s="9" t="n">
        <f aca="false" t="array" ref="FE707:FE707">IF(FE706=0,0,IF(FE706/'🎚️ Escenario'!$C$11&gt;=36,$AL$23,INDEX($C$23:$AL$23,MAX(1,ROUNDUP(FE706/'🎚️ Escenario'!$C$11,0)))))</f>
        <v>1</v>
      </c>
      <c r="FF707" s="9" t="n">
        <f aca="false" t="array" ref="FF707:FF707">IF(FF706=0,0,IF(FF706/'🎚️ Escenario'!$C$11&gt;=36,$AL$23,INDEX($C$23:$AL$23,MAX(1,ROUNDUP(FF706/'🎚️ Escenario'!$C$11,0)))))</f>
        <v>1</v>
      </c>
      <c r="FG707" s="9" t="n">
        <f aca="false" t="array" ref="FG707:FG707">IF(FG706=0,0,IF(FG706/'🎚️ Escenario'!$C$11&gt;=36,$AL$23,INDEX($C$23:$AL$23,MAX(1,ROUNDUP(FG706/'🎚️ Escenario'!$C$11,0)))))</f>
        <v>1</v>
      </c>
      <c r="FH707" s="9" t="n">
        <f aca="false" t="array" ref="FH707:FH707">IF(FH706=0,0,IF(FH706/'🎚️ Escenario'!$C$11&gt;=36,$AL$23,INDEX($C$23:$AL$23,MAX(1,ROUNDUP(FH706/'🎚️ Escenario'!$C$11,0)))))</f>
        <v>1</v>
      </c>
      <c r="FI707" s="9" t="n">
        <f aca="false" t="array" ref="FI707:FI707">IF(FI706=0,0,IF(FI706/'🎚️ Escenario'!$C$11&gt;=36,$AL$23,INDEX($C$23:$AL$23,MAX(1,ROUNDUP(FI706/'🎚️ Escenario'!$C$11,0)))))</f>
        <v>1</v>
      </c>
      <c r="FJ707" s="9" t="n">
        <f aca="false" t="array" ref="FJ707:FJ707">IF(FJ706=0,0,IF(FJ706/'🎚️ Escenario'!$C$11&gt;=36,$AL$23,INDEX($C$23:$AL$23,MAX(1,ROUNDUP(FJ706/'🎚️ Escenario'!$C$11,0)))))</f>
        <v>1</v>
      </c>
      <c r="FK707" s="9" t="n">
        <f aca="false" t="array" ref="FK707:FK707">IF(FK706=0,0,IF(FK706/'🎚️ Escenario'!$C$11&gt;=36,$AL$23,INDEX($C$23:$AL$23,MAX(1,ROUNDUP(FK706/'🎚️ Escenario'!$C$11,0)))))</f>
        <v>1</v>
      </c>
      <c r="FL707" s="9" t="n">
        <f aca="false" t="array" ref="FL707:FL707">IF(FL706=0,0,IF(FL706/'🎚️ Escenario'!$C$11&gt;=36,$AL$23,INDEX($C$23:$AL$23,MAX(1,ROUNDUP(FL706/'🎚️ Escenario'!$C$11,0)))))</f>
        <v>1</v>
      </c>
      <c r="FM707" s="9" t="n">
        <f aca="false" t="array" ref="FM707:FM707">IF(FM706=0,0,IF(FM706/'🎚️ Escenario'!$C$11&gt;=36,$AL$23,INDEX($C$23:$AL$23,MAX(1,ROUNDUP(FM706/'🎚️ Escenario'!$C$11,0)))))</f>
        <v>1</v>
      </c>
      <c r="FN707" s="9" t="n">
        <f aca="false" t="array" ref="FN707:FN707">IF(FN706=0,0,IF(FN706/'🎚️ Escenario'!$C$11&gt;=36,$AL$23,INDEX($C$23:$AL$23,MAX(1,ROUNDUP(FN706/'🎚️ Escenario'!$C$11,0)))))</f>
        <v>1</v>
      </c>
      <c r="FO707" s="9" t="n">
        <f aca="false" t="array" ref="FO707:FO707">IF(FO706=0,0,IF(FO706/'🎚️ Escenario'!$C$11&gt;=36,$AL$23,INDEX($C$23:$AL$23,MAX(1,ROUNDUP(FO706/'🎚️ Escenario'!$C$11,0)))))</f>
        <v>1</v>
      </c>
      <c r="FP707" s="9" t="n">
        <f aca="false" t="array" ref="FP707:FP707">IF(FP706=0,0,IF(FP706/'🎚️ Escenario'!$C$11&gt;=36,$AL$23,INDEX($C$23:$AL$23,MAX(1,ROUNDUP(FP706/'🎚️ Escenario'!$C$11,0)))))</f>
        <v>1</v>
      </c>
    </row>
    <row r="708" customFormat="false" ht="15" hidden="false" customHeight="false" outlineLevel="2" collapsed="false">
      <c r="B708" s="9" t="s">
        <v>875</v>
      </c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237" t="n">
        <f aca="false">IF(AC706=0,0,IF(AC706&lt;=12*'🎚️ Escenario'!$C$11,1,1+$C$6))</f>
        <v>0</v>
      </c>
      <c r="AD708" s="237" t="n">
        <f aca="false">IF(AD706=0,0,IF(AD706&lt;=12*'🎚️ Escenario'!$C$11,1,1+$C$6))</f>
        <v>0</v>
      </c>
      <c r="AE708" s="237" t="n">
        <f aca="false">IF(AE706=0,0,IF(AE706&lt;=12*'🎚️ Escenario'!$C$11,1,1+$C$6))</f>
        <v>0</v>
      </c>
      <c r="AF708" s="237" t="n">
        <f aca="false">IF(AF706=0,0,IF(AF706&lt;=12*'🎚️ Escenario'!$C$11,1,1+$C$6))</f>
        <v>0</v>
      </c>
      <c r="AG708" s="237" t="n">
        <f aca="false">IF(AG706=0,0,IF(AG706&lt;=12*'🎚️ Escenario'!$C$11,1,1+$C$6))</f>
        <v>0</v>
      </c>
      <c r="AH708" s="237" t="n">
        <f aca="false">IF(AH706=0,0,IF(AH706&lt;=12*'🎚️ Escenario'!$C$11,1,1+$C$6))</f>
        <v>0</v>
      </c>
      <c r="AI708" s="237" t="n">
        <f aca="false">IF(AI706=0,0,IF(AI706&lt;=12*'🎚️ Escenario'!$C$11,1,1+$C$6))</f>
        <v>0</v>
      </c>
      <c r="AJ708" s="237" t="n">
        <f aca="false">IF(AJ706=0,0,IF(AJ706&lt;=12*'🎚️ Escenario'!$C$11,1,1+$C$6))</f>
        <v>0</v>
      </c>
      <c r="AK708" s="237" t="n">
        <f aca="false">IF(AK706=0,0,IF(AK706&lt;=12*'🎚️ Escenario'!$C$11,1,1+$C$6))</f>
        <v>0</v>
      </c>
      <c r="AL708" s="237" t="n">
        <f aca="false">IF(AL706=0,0,IF(AL706&lt;=12*'🎚️ Escenario'!$C$11,1,1+$C$6))</f>
        <v>0</v>
      </c>
      <c r="AM708" s="237" t="n">
        <f aca="false">IF(AM706=0,0,IF(AM706&lt;=12*'🎚️ Escenario'!$C$11,1,1+$C$6))</f>
        <v>0</v>
      </c>
      <c r="AN708" s="237" t="n">
        <f aca="false">IF(AN706=0,0,IF(AN706&lt;=12*'🎚️ Escenario'!$C$11,1,1+$C$6))</f>
        <v>0</v>
      </c>
      <c r="AO708" s="237" t="n">
        <f aca="false">IF(AO706=0,0,IF(AO706&lt;=12*'🎚️ Escenario'!$C$11,1,1+$C$6))</f>
        <v>0</v>
      </c>
      <c r="AP708" s="237" t="n">
        <f aca="false">IF(AP706=0,0,IF(AP706&lt;=12*'🎚️ Escenario'!$C$11,1,1+$C$6))</f>
        <v>0</v>
      </c>
      <c r="AQ708" s="237" t="n">
        <f aca="false">IF(AQ706=0,0,IF(AQ706&lt;=12*'🎚️ Escenario'!$C$11,1,1+$C$6))</f>
        <v>0</v>
      </c>
      <c r="AR708" s="237" t="n">
        <f aca="false">IF(AR706=0,0,IF(AR706&lt;=12*'🎚️ Escenario'!$C$11,1,1+$C$6))</f>
        <v>0</v>
      </c>
      <c r="AS708" s="237" t="n">
        <f aca="false">IF(AS706=0,0,IF(AS706&lt;=12*'🎚️ Escenario'!$C$11,1,1+$C$6))</f>
        <v>0</v>
      </c>
      <c r="AT708" s="237" t="n">
        <f aca="false">IF(AT706=0,0,IF(AT706&lt;=12*'🎚️ Escenario'!$C$11,1,1+$C$6))</f>
        <v>0</v>
      </c>
      <c r="AU708" s="237" t="n">
        <f aca="false">IF(AU706=0,0,IF(AU706&lt;=12*'🎚️ Escenario'!$C$11,1,1+$C$6))</f>
        <v>0</v>
      </c>
      <c r="AV708" s="237" t="n">
        <f aca="false">IF(AV706=0,0,IF(AV706&lt;=12*'🎚️ Escenario'!$C$11,1,1+$C$6))</f>
        <v>0</v>
      </c>
      <c r="AW708" s="237" t="n">
        <f aca="false">IF(AW706=0,0,IF(AW706&lt;=12*'🎚️ Escenario'!$C$11,1,1+$C$6))</f>
        <v>0</v>
      </c>
      <c r="AX708" s="237" t="n">
        <f aca="false">IF(AX706=0,0,IF(AX706&lt;=12*'🎚️ Escenario'!$C$11,1,1+$C$6))</f>
        <v>0</v>
      </c>
      <c r="AY708" s="237" t="n">
        <f aca="false">IF(AY706=0,0,IF(AY706&lt;=12*'🎚️ Escenario'!$C$11,1,1+$C$6))</f>
        <v>0</v>
      </c>
      <c r="AZ708" s="237" t="n">
        <f aca="false">IF(AZ706=0,0,IF(AZ706&lt;=12*'🎚️ Escenario'!$C$11,1,1+$C$6))</f>
        <v>0</v>
      </c>
      <c r="BA708" s="237" t="n">
        <f aca="false">IF(BA706=0,0,IF(BA706&lt;=12*'🎚️ Escenario'!$C$11,1,1+$C$6))</f>
        <v>0</v>
      </c>
      <c r="BB708" s="237" t="n">
        <f aca="false">IF(BB706=0,0,IF(BB706&lt;=12*'🎚️ Escenario'!$C$11,1,1+$C$6))</f>
        <v>0</v>
      </c>
      <c r="BC708" s="237" t="n">
        <f aca="false">IF(BC706=0,0,IF(BC706&lt;=12*'🎚️ Escenario'!$C$11,1,1+$C$6))</f>
        <v>0</v>
      </c>
      <c r="BD708" s="237" t="n">
        <f aca="false">IF(BD706=0,0,IF(BD706&lt;=12*'🎚️ Escenario'!$C$11,1,1+$C$6))</f>
        <v>0</v>
      </c>
      <c r="BE708" s="237" t="n">
        <f aca="false">IF(BE706=0,0,IF(BE706&lt;=12*'🎚️ Escenario'!$C$11,1,1+$C$6))</f>
        <v>0</v>
      </c>
      <c r="BF708" s="237" t="n">
        <f aca="false">IF(BF706=0,0,IF(BF706&lt;=12*'🎚️ Escenario'!$C$11,1,1+$C$6))</f>
        <v>0</v>
      </c>
      <c r="BG708" s="237" t="n">
        <f aca="false">IF(BG706=0,0,IF(BG706&lt;=12*'🎚️ Escenario'!$C$11,1,1+$C$6))</f>
        <v>0</v>
      </c>
      <c r="BH708" s="237" t="n">
        <f aca="false">IF(BH706=0,0,IF(BH706&lt;=12*'🎚️ Escenario'!$C$11,1,1+$C$6))</f>
        <v>0</v>
      </c>
      <c r="BI708" s="237" t="n">
        <f aca="false">IF(BI706=0,0,IF(BI706&lt;=12*'🎚️ Escenario'!$C$11,1,1+$C$6))</f>
        <v>0</v>
      </c>
      <c r="BJ708" s="237" t="n">
        <f aca="false">IF(BJ706=0,0,IF(BJ706&lt;=12*'🎚️ Escenario'!$C$11,1,1+$C$6))</f>
        <v>0</v>
      </c>
      <c r="BK708" s="237" t="n">
        <f aca="false">IF(BK706=0,0,IF(BK706&lt;=12*'🎚️ Escenario'!$C$11,1,1+$C$6))</f>
        <v>0</v>
      </c>
      <c r="BL708" s="237" t="n">
        <f aca="false">IF(BL706=0,0,IF(BL706&lt;=12*'🎚️ Escenario'!$C$11,1,1+$C$6))</f>
        <v>0</v>
      </c>
      <c r="BM708" s="237" t="n">
        <f aca="false">IF(BM706=0,0,IF(BM706&lt;=12*'🎚️ Escenario'!$C$11,1,1+$C$6))</f>
        <v>0</v>
      </c>
      <c r="BN708" s="237" t="n">
        <f aca="false">IF(BN706=0,0,IF(BN706&lt;=12*'🎚️ Escenario'!$C$11,1,1+$C$6))</f>
        <v>0</v>
      </c>
      <c r="BO708" s="237" t="n">
        <f aca="false">IF(BO706=0,0,IF(BO706&lt;=12*'🎚️ Escenario'!$C$11,1,1+$C$6))</f>
        <v>0</v>
      </c>
      <c r="BP708" s="237" t="n">
        <f aca="false">IF(BP706=0,0,IF(BP706&lt;=12*'🎚️ Escenario'!$C$11,1,1+$C$6))</f>
        <v>0</v>
      </c>
      <c r="BQ708" s="237" t="n">
        <f aca="false">IF(BQ706=0,0,IF(BQ706&lt;=12*'🎚️ Escenario'!$C$11,1,1+$C$6))</f>
        <v>0</v>
      </c>
      <c r="BR708" s="237" t="n">
        <f aca="false">IF(BR706=0,0,IF(BR706&lt;=12*'🎚️ Escenario'!$C$11,1,1+$C$6))</f>
        <v>0</v>
      </c>
      <c r="BS708" s="237" t="n">
        <f aca="false">IF(BS706=0,0,IF(BS706&lt;=12*'🎚️ Escenario'!$C$11,1,1+$C$6))</f>
        <v>0</v>
      </c>
      <c r="BT708" s="237" t="n">
        <f aca="false">IF(BT706=0,0,IF(BT706&lt;=12*'🎚️ Escenario'!$C$11,1,1+$C$6))</f>
        <v>0</v>
      </c>
      <c r="BU708" s="237" t="n">
        <f aca="false">IF(BU706=0,0,IF(BU706&lt;=12*'🎚️ Escenario'!$C$11,1,1+$C$6))</f>
        <v>0</v>
      </c>
      <c r="BV708" s="237" t="n">
        <f aca="false">IF(BV706=0,0,IF(BV706&lt;=12*'🎚️ Escenario'!$C$11,1,1+$C$6))</f>
        <v>0</v>
      </c>
      <c r="BW708" s="237" t="n">
        <f aca="false">IF(BW706=0,0,IF(BW706&lt;=12*'🎚️ Escenario'!$C$11,1,1+$C$6))</f>
        <v>0</v>
      </c>
      <c r="BX708" s="237" t="n">
        <f aca="false">IF(BX706=0,0,IF(BX706&lt;=12*'🎚️ Escenario'!$C$11,1,1+$C$6))</f>
        <v>0</v>
      </c>
      <c r="BY708" s="237" t="n">
        <f aca="false">IF(BY706=0,0,IF(BY706&lt;=12*'🎚️ Escenario'!$C$11,1,1+$C$6))</f>
        <v>0</v>
      </c>
      <c r="BZ708" s="237" t="n">
        <f aca="false">IF(BZ706=0,0,IF(BZ706&lt;=12*'🎚️ Escenario'!$C$11,1,1+$C$6))</f>
        <v>0</v>
      </c>
      <c r="CA708" s="237" t="n">
        <f aca="false">IF(CA706=0,0,IF(CA706&lt;=12*'🎚️ Escenario'!$C$11,1,1+$C$6))</f>
        <v>0</v>
      </c>
      <c r="CB708" s="237" t="n">
        <f aca="false">IF(CB706=0,0,IF(CB706&lt;=12*'🎚️ Escenario'!$C$11,1,1+$C$6))</f>
        <v>0</v>
      </c>
      <c r="CC708" s="237" t="n">
        <f aca="false">IF(CC706=0,0,IF(CC706&lt;=12*'🎚️ Escenario'!$C$11,1,1+$C$6))</f>
        <v>0</v>
      </c>
      <c r="CD708" s="237" t="n">
        <f aca="false">IF(CD706=0,0,IF(CD706&lt;=12*'🎚️ Escenario'!$C$11,1,1+$C$6))</f>
        <v>0</v>
      </c>
      <c r="CE708" s="237" t="n">
        <f aca="false">IF(CE706=0,0,IF(CE706&lt;=12*'🎚️ Escenario'!$C$11,1,1+$C$6))</f>
        <v>0</v>
      </c>
      <c r="CF708" s="237" t="n">
        <f aca="false">IF(CF706=0,0,IF(CF706&lt;=12*'🎚️ Escenario'!$C$11,1,1+$C$6))</f>
        <v>0</v>
      </c>
      <c r="CG708" s="237" t="n">
        <f aca="false">IF(CG706=0,0,IF(CG706&lt;=12*'🎚️ Escenario'!$C$11,1,1+$C$6))</f>
        <v>0</v>
      </c>
      <c r="CH708" s="237" t="n">
        <f aca="false">IF(CH706=0,0,IF(CH706&lt;=12*'🎚️ Escenario'!$C$11,1,1+$C$6))</f>
        <v>0</v>
      </c>
      <c r="CI708" s="237" t="n">
        <f aca="false">IF(CI706=0,0,IF(CI706&lt;=12*'🎚️ Escenario'!$C$11,1,1+$C$6))</f>
        <v>0</v>
      </c>
      <c r="CJ708" s="237" t="n">
        <f aca="false">IF(CJ706=0,0,IF(CJ706&lt;=12*'🎚️ Escenario'!$C$11,1,1+$C$6))</f>
        <v>0</v>
      </c>
      <c r="CK708" s="237" t="n">
        <f aca="false">IF(CK706=0,0,IF(CK706&lt;=12*'🎚️ Escenario'!$C$11,1,1+$C$6))</f>
        <v>0</v>
      </c>
      <c r="CL708" s="237" t="n">
        <f aca="false">IF(CL706=0,0,IF(CL706&lt;=12*'🎚️ Escenario'!$C$11,1,1+$C$6))</f>
        <v>0</v>
      </c>
      <c r="CM708" s="237" t="n">
        <f aca="false">IF(CM706=0,0,IF(CM706&lt;=12*'🎚️ Escenario'!$C$11,1,1+$C$6))</f>
        <v>0</v>
      </c>
      <c r="CN708" s="237" t="n">
        <f aca="false">IF(CN706=0,0,IF(CN706&lt;=12*'🎚️ Escenario'!$C$11,1,1+$C$6))</f>
        <v>0</v>
      </c>
      <c r="CO708" s="237" t="n">
        <f aca="false">IF(CO706=0,0,IF(CO706&lt;=12*'🎚️ Escenario'!$C$11,1,1+$C$6))</f>
        <v>0</v>
      </c>
      <c r="CP708" s="237" t="n">
        <f aca="false">IF(CP706=0,0,IF(CP706&lt;=12*'🎚️ Escenario'!$C$11,1,1+$C$6))</f>
        <v>0</v>
      </c>
      <c r="CQ708" s="237" t="n">
        <f aca="false">IF(CQ706=0,0,IF(CQ706&lt;=12*'🎚️ Escenario'!$C$11,1,1+$C$6))</f>
        <v>0</v>
      </c>
      <c r="CR708" s="237" t="n">
        <f aca="false">IF(CR706=0,0,IF(CR706&lt;=12*'🎚️ Escenario'!$C$11,1,1+$C$6))</f>
        <v>0</v>
      </c>
      <c r="CS708" s="237" t="n">
        <f aca="false">IF(CS706=0,0,IF(CS706&lt;=12*'🎚️ Escenario'!$C$11,1,1+$C$6))</f>
        <v>0</v>
      </c>
      <c r="CT708" s="237" t="n">
        <f aca="false">IF(CT706=0,0,IF(CT706&lt;=12*'🎚️ Escenario'!$C$11,1,1+$C$6))</f>
        <v>0</v>
      </c>
      <c r="CU708" s="237" t="n">
        <f aca="false">IF(CU706=0,0,IF(CU706&lt;=12*'🎚️ Escenario'!$C$11,1,1+$C$6))</f>
        <v>0</v>
      </c>
      <c r="CV708" s="237" t="n">
        <f aca="false">IF(CV706=0,0,IF(CV706&lt;=12*'🎚️ Escenario'!$C$11,1,1+$C$6))</f>
        <v>0</v>
      </c>
      <c r="CW708" s="237" t="n">
        <f aca="false">IF(CW706=0,0,IF(CW706&lt;=12*'🎚️ Escenario'!$C$11,1,1+$C$6))</f>
        <v>0</v>
      </c>
      <c r="CX708" s="237" t="n">
        <f aca="false">IF(CX706=0,0,IF(CX706&lt;=12*'🎚️ Escenario'!$C$11,1,1+$C$6))</f>
        <v>0</v>
      </c>
      <c r="CY708" s="237" t="n">
        <f aca="false">IF(CY706=0,0,IF(CY706&lt;=12*'🎚️ Escenario'!$C$11,1,1+$C$6))</f>
        <v>1</v>
      </c>
      <c r="CZ708" s="237" t="n">
        <f aca="false">IF(CZ706=0,0,IF(CZ706&lt;=12*'🎚️ Escenario'!$C$11,1,1+$C$6))</f>
        <v>1</v>
      </c>
      <c r="DA708" s="237" t="n">
        <f aca="false">IF(DA706=0,0,IF(DA706&lt;=12*'🎚️ Escenario'!$C$11,1,1+$C$6))</f>
        <v>1</v>
      </c>
      <c r="DB708" s="237" t="n">
        <f aca="false">IF(DB706=0,0,IF(DB706&lt;=12*'🎚️ Escenario'!$C$11,1,1+$C$6))</f>
        <v>1</v>
      </c>
      <c r="DC708" s="237" t="n">
        <f aca="false">IF(DC706=0,0,IF(DC706&lt;=12*'🎚️ Escenario'!$C$11,1,1+$C$6))</f>
        <v>1</v>
      </c>
      <c r="DD708" s="237" t="n">
        <f aca="false">IF(DD706=0,0,IF(DD706&lt;=12*'🎚️ Escenario'!$C$11,1,1+$C$6))</f>
        <v>1</v>
      </c>
      <c r="DE708" s="237" t="n">
        <f aca="false">IF(DE706=0,0,IF(DE706&lt;=12*'🎚️ Escenario'!$C$11,1,1+$C$6))</f>
        <v>1</v>
      </c>
      <c r="DF708" s="237" t="n">
        <f aca="false">IF(DF706=0,0,IF(DF706&lt;=12*'🎚️ Escenario'!$C$11,1,1+$C$6))</f>
        <v>1</v>
      </c>
      <c r="DG708" s="237" t="n">
        <f aca="false">IF(DG706=0,0,IF(DG706&lt;=12*'🎚️ Escenario'!$C$11,1,1+$C$6))</f>
        <v>1</v>
      </c>
      <c r="DH708" s="237" t="n">
        <f aca="false">IF(DH706=0,0,IF(DH706&lt;=12*'🎚️ Escenario'!$C$11,1,1+$C$6))</f>
        <v>1</v>
      </c>
      <c r="DI708" s="237" t="n">
        <f aca="false">IF(DI706=0,0,IF(DI706&lt;=12*'🎚️ Escenario'!$C$11,1,1+$C$6))</f>
        <v>1</v>
      </c>
      <c r="DJ708" s="237" t="n">
        <f aca="false">IF(DJ706=0,0,IF(DJ706&lt;=12*'🎚️ Escenario'!$C$11,1,1+$C$6))</f>
        <v>1</v>
      </c>
      <c r="DK708" s="237" t="n">
        <f aca="false">IF(DK706=0,0,IF(DK706&lt;=12*'🎚️ Escenario'!$C$11,1,1+$C$6))</f>
        <v>1</v>
      </c>
      <c r="DL708" s="237" t="n">
        <f aca="false">IF(DL706=0,0,IF(DL706&lt;=12*'🎚️ Escenario'!$C$11,1,1+$C$6))</f>
        <v>1</v>
      </c>
      <c r="DM708" s="237" t="n">
        <f aca="false">IF(DM706=0,0,IF(DM706&lt;=12*'🎚️ Escenario'!$C$11,1,1+$C$6))</f>
        <v>1</v>
      </c>
      <c r="DN708" s="237" t="n">
        <f aca="false">IF(DN706=0,0,IF(DN706&lt;=12*'🎚️ Escenario'!$C$11,1,1+$C$6))</f>
        <v>1.2</v>
      </c>
      <c r="DO708" s="237" t="n">
        <f aca="false">IF(DO706=0,0,IF(DO706&lt;=12*'🎚️ Escenario'!$C$11,1,1+$C$6))</f>
        <v>1.2</v>
      </c>
      <c r="DP708" s="237" t="n">
        <f aca="false">IF(DP706=0,0,IF(DP706&lt;=12*'🎚️ Escenario'!$C$11,1,1+$C$6))</f>
        <v>1.2</v>
      </c>
      <c r="DQ708" s="237" t="n">
        <f aca="false">IF(DQ706=0,0,IF(DQ706&lt;=12*'🎚️ Escenario'!$C$11,1,1+$C$6))</f>
        <v>1.2</v>
      </c>
      <c r="DR708" s="237" t="n">
        <f aca="false">IF(DR706=0,0,IF(DR706&lt;=12*'🎚️ Escenario'!$C$11,1,1+$C$6))</f>
        <v>1.2</v>
      </c>
      <c r="DS708" s="237" t="n">
        <f aca="false">IF(DS706=0,0,IF(DS706&lt;=12*'🎚️ Escenario'!$C$11,1,1+$C$6))</f>
        <v>1.2</v>
      </c>
      <c r="DT708" s="237" t="n">
        <f aca="false">IF(DT706=0,0,IF(DT706&lt;=12*'🎚️ Escenario'!$C$11,1,1+$C$6))</f>
        <v>1.2</v>
      </c>
      <c r="DU708" s="237" t="n">
        <f aca="false">IF(DU706=0,0,IF(DU706&lt;=12*'🎚️ Escenario'!$C$11,1,1+$C$6))</f>
        <v>1.2</v>
      </c>
      <c r="DV708" s="237" t="n">
        <f aca="false">IF(DV706=0,0,IF(DV706&lt;=12*'🎚️ Escenario'!$C$11,1,1+$C$6))</f>
        <v>1.2</v>
      </c>
      <c r="DW708" s="237" t="n">
        <f aca="false">IF(DW706=0,0,IF(DW706&lt;=12*'🎚️ Escenario'!$C$11,1,1+$C$6))</f>
        <v>1.2</v>
      </c>
      <c r="DX708" s="237" t="n">
        <f aca="false">IF(DX706=0,0,IF(DX706&lt;=12*'🎚️ Escenario'!$C$11,1,1+$C$6))</f>
        <v>1.2</v>
      </c>
      <c r="DY708" s="237" t="n">
        <f aca="false">IF(DY706=0,0,IF(DY706&lt;=12*'🎚️ Escenario'!$C$11,1,1+$C$6))</f>
        <v>1.2</v>
      </c>
      <c r="DZ708" s="237" t="n">
        <f aca="false">IF(DZ706=0,0,IF(DZ706&lt;=12*'🎚️ Escenario'!$C$11,1,1+$C$6))</f>
        <v>1.2</v>
      </c>
      <c r="EA708" s="237" t="n">
        <f aca="false">IF(EA706=0,0,IF(EA706&lt;=12*'🎚️ Escenario'!$C$11,1,1+$C$6))</f>
        <v>1.2</v>
      </c>
      <c r="EB708" s="237" t="n">
        <f aca="false">IF(EB706=0,0,IF(EB706&lt;=12*'🎚️ Escenario'!$C$11,1,1+$C$6))</f>
        <v>1.2</v>
      </c>
      <c r="EC708" s="237" t="n">
        <f aca="false">IF(EC706=0,0,IF(EC706&lt;=12*'🎚️ Escenario'!$C$11,1,1+$C$6))</f>
        <v>1.2</v>
      </c>
      <c r="ED708" s="237" t="n">
        <f aca="false">IF(ED706=0,0,IF(ED706&lt;=12*'🎚️ Escenario'!$C$11,1,1+$C$6))</f>
        <v>1.2</v>
      </c>
      <c r="EE708" s="237" t="n">
        <f aca="false">IF(EE706=0,0,IF(EE706&lt;=12*'🎚️ Escenario'!$C$11,1,1+$C$6))</f>
        <v>1.2</v>
      </c>
      <c r="EF708" s="237" t="n">
        <f aca="false">IF(EF706=0,0,IF(EF706&lt;=12*'🎚️ Escenario'!$C$11,1,1+$C$6))</f>
        <v>1.2</v>
      </c>
      <c r="EG708" s="237" t="n">
        <f aca="false">IF(EG706=0,0,IF(EG706&lt;=12*'🎚️ Escenario'!$C$11,1,1+$C$6))</f>
        <v>1.2</v>
      </c>
      <c r="EH708" s="237" t="n">
        <f aca="false">IF(EH706=0,0,IF(EH706&lt;=12*'🎚️ Escenario'!$C$11,1,1+$C$6))</f>
        <v>1.2</v>
      </c>
      <c r="EI708" s="237" t="n">
        <f aca="false">IF(EI706=0,0,IF(EI706&lt;=12*'🎚️ Escenario'!$C$11,1,1+$C$6))</f>
        <v>1.2</v>
      </c>
      <c r="EJ708" s="237" t="n">
        <f aca="false">IF(EJ706=0,0,IF(EJ706&lt;=12*'🎚️ Escenario'!$C$11,1,1+$C$6))</f>
        <v>1.2</v>
      </c>
      <c r="EK708" s="237" t="n">
        <f aca="false">IF(EK706=0,0,IF(EK706&lt;=12*'🎚️ Escenario'!$C$11,1,1+$C$6))</f>
        <v>1.2</v>
      </c>
      <c r="EL708" s="237" t="n">
        <f aca="false">IF(EL706=0,0,IF(EL706&lt;=12*'🎚️ Escenario'!$C$11,1,1+$C$6))</f>
        <v>1.2</v>
      </c>
      <c r="EM708" s="237" t="n">
        <f aca="false">IF(EM706=0,0,IF(EM706&lt;=12*'🎚️ Escenario'!$C$11,1,1+$C$6))</f>
        <v>1.2</v>
      </c>
      <c r="EN708" s="237" t="n">
        <f aca="false">IF(EN706=0,0,IF(EN706&lt;=12*'🎚️ Escenario'!$C$11,1,1+$C$6))</f>
        <v>1.2</v>
      </c>
      <c r="EO708" s="237" t="n">
        <f aca="false">IF(EO706=0,0,IF(EO706&lt;=12*'🎚️ Escenario'!$C$11,1,1+$C$6))</f>
        <v>1.2</v>
      </c>
      <c r="EP708" s="237" t="n">
        <f aca="false">IF(EP706=0,0,IF(EP706&lt;=12*'🎚️ Escenario'!$C$11,1,1+$C$6))</f>
        <v>1.2</v>
      </c>
      <c r="EQ708" s="237" t="n">
        <f aca="false">IF(EQ706=0,0,IF(EQ706&lt;=12*'🎚️ Escenario'!$C$11,1,1+$C$6))</f>
        <v>1.2</v>
      </c>
      <c r="ER708" s="237" t="n">
        <f aca="false">IF(ER706=0,0,IF(ER706&lt;=12*'🎚️ Escenario'!$C$11,1,1+$C$6))</f>
        <v>1.2</v>
      </c>
      <c r="ES708" s="238" t="n">
        <f aca="false">IF(ES706=0,0,IF(ES706&lt;=12*'🎚️ Escenario'!$C$11,1,1+$C$6))</f>
        <v>1.2</v>
      </c>
      <c r="ET708" s="238" t="n">
        <f aca="false">IF(ET706=0,0,IF(ET706&lt;=12*'🎚️ Escenario'!$C$11,1,1+$C$6))</f>
        <v>1.2</v>
      </c>
      <c r="EU708" s="238" t="n">
        <f aca="false">IF(EU706=0,0,IF(EU706&lt;=12*'🎚️ Escenario'!$C$11,1,1+$C$6))</f>
        <v>1.2</v>
      </c>
      <c r="EV708" s="238" t="n">
        <f aca="false">IF(EV706=0,0,IF(EV706&lt;=12*'🎚️ Escenario'!$C$11,1,1+$C$6))</f>
        <v>1.2</v>
      </c>
      <c r="EW708" s="238" t="n">
        <f aca="false">IF(EW706=0,0,IF(EW706&lt;=12*'🎚️ Escenario'!$C$11,1,1+$C$6))</f>
        <v>1.2</v>
      </c>
      <c r="EX708" s="238" t="n">
        <f aca="false">IF(EX706=0,0,IF(EX706&lt;=12*'🎚️ Escenario'!$C$11,1,1+$C$6))</f>
        <v>1.2</v>
      </c>
      <c r="EY708" s="238" t="n">
        <f aca="false">IF(EY706=0,0,IF(EY706&lt;=12*'🎚️ Escenario'!$C$11,1,1+$C$6))</f>
        <v>1.2</v>
      </c>
      <c r="EZ708" s="238" t="n">
        <f aca="false">IF(EZ706=0,0,IF(EZ706&lt;=12*'🎚️ Escenario'!$C$11,1,1+$C$6))</f>
        <v>1.2</v>
      </c>
      <c r="FA708" s="238" t="n">
        <f aca="false">IF(FA706=0,0,IF(FA706&lt;=12*'🎚️ Escenario'!$C$11,1,1+$C$6))</f>
        <v>1.2</v>
      </c>
      <c r="FB708" s="238" t="n">
        <f aca="false">IF(FB706=0,0,IF(FB706&lt;=12*'🎚️ Escenario'!$C$11,1,1+$C$6))</f>
        <v>1.2</v>
      </c>
      <c r="FC708" s="238" t="n">
        <f aca="false">IF(FC706=0,0,IF(FC706&lt;=12*'🎚️ Escenario'!$C$11,1,1+$C$6))</f>
        <v>1.2</v>
      </c>
      <c r="FD708" s="238" t="n">
        <f aca="false">IF(FD706=0,0,IF(FD706&lt;=12*'🎚️ Escenario'!$C$11,1,1+$C$6))</f>
        <v>1.2</v>
      </c>
      <c r="FE708" s="238" t="n">
        <f aca="false">IF(FE706=0,0,IF(FE706&lt;=12*'🎚️ Escenario'!$C$11,1,1+$C$6))</f>
        <v>1.2</v>
      </c>
      <c r="FF708" s="238" t="n">
        <f aca="false">IF(FF706=0,0,IF(FF706&lt;=12*'🎚️ Escenario'!$C$11,1,1+$C$6))</f>
        <v>1.2</v>
      </c>
      <c r="FG708" s="238" t="n">
        <f aca="false">IF(FG706=0,0,IF(FG706&lt;=12*'🎚️ Escenario'!$C$11,1,1+$C$6))</f>
        <v>1.2</v>
      </c>
      <c r="FH708" s="238" t="n">
        <f aca="false">IF(FH706=0,0,IF(FH706&lt;=12*'🎚️ Escenario'!$C$11,1,1+$C$6))</f>
        <v>1.2</v>
      </c>
      <c r="FI708" s="238" t="n">
        <f aca="false">IF(FI706=0,0,IF(FI706&lt;=12*'🎚️ Escenario'!$C$11,1,1+$C$6))</f>
        <v>1.2</v>
      </c>
      <c r="FJ708" s="238" t="n">
        <f aca="false">IF(FJ706=0,0,IF(FJ706&lt;=12*'🎚️ Escenario'!$C$11,1,1+$C$6))</f>
        <v>1.2</v>
      </c>
      <c r="FK708" s="238" t="n">
        <f aca="false">IF(FK706=0,0,IF(FK706&lt;=12*'🎚️ Escenario'!$C$11,1,1+$C$6))</f>
        <v>1.2</v>
      </c>
      <c r="FL708" s="238" t="n">
        <f aca="false">IF(FL706=0,0,IF(FL706&lt;=12*'🎚️ Escenario'!$C$11,1,1+$C$6))</f>
        <v>1.2</v>
      </c>
      <c r="FM708" s="238" t="n">
        <f aca="false">IF(FM706=0,0,IF(FM706&lt;=12*'🎚️ Escenario'!$C$11,1,1+$C$6))</f>
        <v>1.2</v>
      </c>
      <c r="FN708" s="238" t="n">
        <f aca="false">IF(FN706=0,0,IF(FN706&lt;=12*'🎚️ Escenario'!$C$11,1,1+$C$6))</f>
        <v>1.2</v>
      </c>
      <c r="FO708" s="238" t="n">
        <f aca="false">IF(FO706=0,0,IF(FO706&lt;=12*'🎚️ Escenario'!$C$11,1,1+$C$6))</f>
        <v>1.2</v>
      </c>
      <c r="FP708" s="238" t="n">
        <f aca="false">IF(FP706=0,0,IF(FP706&lt;=12*'🎚️ Escenario'!$C$11,1,1+$C$6))</f>
        <v>1.2</v>
      </c>
    </row>
    <row r="709" customFormat="false" ht="15" hidden="false" customHeight="false" outlineLevel="2" collapsed="false">
      <c r="B709" s="9" t="s">
        <v>876</v>
      </c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36" t="n">
        <f aca="false">AC707*$AC$705*AC708*AC$38*'⑫ Roll-out Plan'!$O$75</f>
        <v>0</v>
      </c>
      <c r="AD709" s="36" t="n">
        <f aca="false">AD707*$AC$705*AD708*AD$38*'⑫ Roll-out Plan'!$O$75</f>
        <v>0</v>
      </c>
      <c r="AE709" s="36" t="n">
        <f aca="false">AE707*$AC$705*AE708*AE$38*'⑫ Roll-out Plan'!$O$75</f>
        <v>0</v>
      </c>
      <c r="AF709" s="36" t="n">
        <f aca="false">AF707*$AC$705*AF708*AF$38*'⑫ Roll-out Plan'!$O$75</f>
        <v>0</v>
      </c>
      <c r="AG709" s="36" t="n">
        <f aca="false">AG707*$AC$705*AG708*AG$38*'⑫ Roll-out Plan'!$O$75</f>
        <v>0</v>
      </c>
      <c r="AH709" s="36" t="n">
        <f aca="false">AH707*$AC$705*AH708*AH$38*'⑫ Roll-out Plan'!$O$75</f>
        <v>0</v>
      </c>
      <c r="AI709" s="36" t="n">
        <f aca="false">AI707*$AC$705*AI708*AI$38*'⑫ Roll-out Plan'!$O$75</f>
        <v>0</v>
      </c>
      <c r="AJ709" s="36" t="n">
        <f aca="false">AJ707*$AC$705*AJ708*AJ$38*'⑫ Roll-out Plan'!$O$75</f>
        <v>0</v>
      </c>
      <c r="AK709" s="36" t="n">
        <f aca="false">AK707*$AC$705*AK708*AK$38*'⑫ Roll-out Plan'!$O$75</f>
        <v>0</v>
      </c>
      <c r="AL709" s="36" t="n">
        <f aca="false">AL707*$AC$705*AL708*AL$38*'⑫ Roll-out Plan'!$O$75</f>
        <v>0</v>
      </c>
      <c r="AM709" s="36" t="n">
        <f aca="false">AM707*$AC$705*AM708*AM$38*'⑫ Roll-out Plan'!$O$75</f>
        <v>0</v>
      </c>
      <c r="AN709" s="36" t="n">
        <f aca="false">AN707*$AC$705*AN708*AN$38*'⑫ Roll-out Plan'!$O$75</f>
        <v>0</v>
      </c>
      <c r="AO709" s="36" t="n">
        <f aca="false">AO707*$AC$705*AO708*AO$38*'⑫ Roll-out Plan'!$O$75</f>
        <v>0</v>
      </c>
      <c r="AP709" s="36" t="n">
        <f aca="false">AP707*$AC$705*AP708*AP$38*'⑫ Roll-out Plan'!$O$75</f>
        <v>0</v>
      </c>
      <c r="AQ709" s="36" t="n">
        <f aca="false">AQ707*$AC$705*AQ708*AQ$38*'⑫ Roll-out Plan'!$O$75</f>
        <v>0</v>
      </c>
      <c r="AR709" s="36" t="n">
        <f aca="false">AR707*$AC$705*AR708*AR$38*'⑫ Roll-out Plan'!$O$75</f>
        <v>0</v>
      </c>
      <c r="AS709" s="36" t="n">
        <f aca="false">AS707*$AC$705*AS708*AS$38*'⑫ Roll-out Plan'!$O$75</f>
        <v>0</v>
      </c>
      <c r="AT709" s="36" t="n">
        <f aca="false">AT707*$AC$705*AT708*AT$38*'⑫ Roll-out Plan'!$O$75</f>
        <v>0</v>
      </c>
      <c r="AU709" s="36" t="n">
        <f aca="false">AU707*$AC$705*AU708*AU$38*'⑫ Roll-out Plan'!$O$75</f>
        <v>0</v>
      </c>
      <c r="AV709" s="36" t="n">
        <f aca="false">AV707*$AC$705*AV708*AV$38*'⑫ Roll-out Plan'!$O$75</f>
        <v>0</v>
      </c>
      <c r="AW709" s="36" t="n">
        <f aca="false">AW707*$AC$705*AW708*AW$38*'⑫ Roll-out Plan'!$O$75</f>
        <v>0</v>
      </c>
      <c r="AX709" s="36" t="n">
        <f aca="false">AX707*$AC$705*AX708*AX$38*'⑫ Roll-out Plan'!$O$75</f>
        <v>0</v>
      </c>
      <c r="AY709" s="36" t="n">
        <f aca="false">AY707*$AC$705*AY708*AY$38*'⑫ Roll-out Plan'!$O$75</f>
        <v>0</v>
      </c>
      <c r="AZ709" s="36" t="n">
        <f aca="false">AZ707*$AC$705*AZ708*AZ$38*'⑫ Roll-out Plan'!$O$75</f>
        <v>0</v>
      </c>
      <c r="BA709" s="36" t="n">
        <f aca="false">BA707*$AC$705*BA708*BA$38*'⑫ Roll-out Plan'!$O$75</f>
        <v>0</v>
      </c>
      <c r="BB709" s="36" t="n">
        <f aca="false">BB707*$AC$705*BB708*BB$38*'⑫ Roll-out Plan'!$O$75</f>
        <v>0</v>
      </c>
      <c r="BC709" s="36" t="n">
        <f aca="false">BC707*$AC$705*BC708*BC$38*'⑫ Roll-out Plan'!$O$75</f>
        <v>0</v>
      </c>
      <c r="BD709" s="36" t="n">
        <f aca="false">BD707*$AC$705*BD708*BD$38*'⑫ Roll-out Plan'!$O$75</f>
        <v>0</v>
      </c>
      <c r="BE709" s="36" t="n">
        <f aca="false">BE707*$AC$705*BE708*BE$38*'⑫ Roll-out Plan'!$O$75</f>
        <v>0</v>
      </c>
      <c r="BF709" s="36" t="n">
        <f aca="false">BF707*$AC$705*BF708*BF$38*'⑫ Roll-out Plan'!$O$75</f>
        <v>0</v>
      </c>
      <c r="BG709" s="36" t="n">
        <f aca="false">BG707*$AC$705*BG708*BG$38*'⑫ Roll-out Plan'!$O$75</f>
        <v>0</v>
      </c>
      <c r="BH709" s="36" t="n">
        <f aca="false">BH707*$AC$705*BH708*BH$38*'⑫ Roll-out Plan'!$O$75</f>
        <v>0</v>
      </c>
      <c r="BI709" s="36" t="n">
        <f aca="false">BI707*$AC$705*BI708*BI$38*'⑫ Roll-out Plan'!$O$75</f>
        <v>0</v>
      </c>
      <c r="BJ709" s="36" t="n">
        <f aca="false">BJ707*$AC$705*BJ708*BJ$38*'⑫ Roll-out Plan'!$O$75</f>
        <v>0</v>
      </c>
      <c r="BK709" s="36" t="n">
        <f aca="false">BK707*$AC$705*BK708*BK$38*'⑫ Roll-out Plan'!$O$75</f>
        <v>0</v>
      </c>
      <c r="BL709" s="36" t="n">
        <f aca="false">BL707*$AC$705*BL708*BL$38*'⑫ Roll-out Plan'!$O$75</f>
        <v>0</v>
      </c>
      <c r="BM709" s="36" t="n">
        <f aca="false">BM707*$AC$705*BM708*BM$38*'⑫ Roll-out Plan'!$O$75</f>
        <v>0</v>
      </c>
      <c r="BN709" s="36" t="n">
        <f aca="false">BN707*$AC$705*BN708*BN$38*'⑫ Roll-out Plan'!$O$75</f>
        <v>0</v>
      </c>
      <c r="BO709" s="36" t="n">
        <f aca="false">BO707*$AC$705*BO708*BO$38*'⑫ Roll-out Plan'!$O$75</f>
        <v>0</v>
      </c>
      <c r="BP709" s="36" t="n">
        <f aca="false">BP707*$AC$705*BP708*BP$38*'⑫ Roll-out Plan'!$O$75</f>
        <v>0</v>
      </c>
      <c r="BQ709" s="36" t="n">
        <f aca="false">BQ707*$AC$705*BQ708*BQ$38*'⑫ Roll-out Plan'!$O$75</f>
        <v>0</v>
      </c>
      <c r="BR709" s="36" t="n">
        <f aca="false">BR707*$AC$705*BR708*BR$38*'⑫ Roll-out Plan'!$O$75</f>
        <v>0</v>
      </c>
      <c r="BS709" s="36" t="n">
        <f aca="false">BS707*$AC$705*BS708*BS$38*'⑫ Roll-out Plan'!$O$75</f>
        <v>0</v>
      </c>
      <c r="BT709" s="36" t="n">
        <f aca="false">BT707*$AC$705*BT708*BT$38*'⑫ Roll-out Plan'!$O$75</f>
        <v>0</v>
      </c>
      <c r="BU709" s="36" t="n">
        <f aca="false">BU707*$AC$705*BU708*BU$38*'⑫ Roll-out Plan'!$O$75</f>
        <v>0</v>
      </c>
      <c r="BV709" s="36" t="n">
        <f aca="false">BV707*$AC$705*BV708*BV$38*'⑫ Roll-out Plan'!$O$75</f>
        <v>0</v>
      </c>
      <c r="BW709" s="36" t="n">
        <f aca="false">BW707*$AC$705*BW708*BW$38*'⑫ Roll-out Plan'!$O$75</f>
        <v>0</v>
      </c>
      <c r="BX709" s="36" t="n">
        <f aca="false">BX707*$AC$705*BX708*BX$38*'⑫ Roll-out Plan'!$O$75</f>
        <v>0</v>
      </c>
      <c r="BY709" s="36" t="n">
        <f aca="false">BY707*$AC$705*BY708*BY$38*'⑫ Roll-out Plan'!$O$75</f>
        <v>0</v>
      </c>
      <c r="BZ709" s="36" t="n">
        <f aca="false">BZ707*$AC$705*BZ708*BZ$38*'⑫ Roll-out Plan'!$O$75</f>
        <v>0</v>
      </c>
      <c r="CA709" s="36" t="n">
        <f aca="false">CA707*$AC$705*CA708*CA$38*'⑫ Roll-out Plan'!$O$75</f>
        <v>0</v>
      </c>
      <c r="CB709" s="36" t="n">
        <f aca="false">CB707*$AC$705*CB708*CB$38*'⑫ Roll-out Plan'!$O$75</f>
        <v>0</v>
      </c>
      <c r="CC709" s="36" t="n">
        <f aca="false">CC707*$AC$705*CC708*CC$38*'⑫ Roll-out Plan'!$O$75</f>
        <v>0</v>
      </c>
      <c r="CD709" s="36" t="n">
        <f aca="false">CD707*$AC$705*CD708*CD$38*'⑫ Roll-out Plan'!$O$75</f>
        <v>0</v>
      </c>
      <c r="CE709" s="36" t="n">
        <f aca="false">CE707*$AC$705*CE708*CE$38*'⑫ Roll-out Plan'!$O$75</f>
        <v>0</v>
      </c>
      <c r="CF709" s="36" t="n">
        <f aca="false">CF707*$AC$705*CF708*CF$38*'⑫ Roll-out Plan'!$O$75</f>
        <v>0</v>
      </c>
      <c r="CG709" s="36" t="n">
        <f aca="false">CG707*$AC$705*CG708*CG$38*'⑫ Roll-out Plan'!$O$75</f>
        <v>0</v>
      </c>
      <c r="CH709" s="36" t="n">
        <f aca="false">CH707*$AC$705*CH708*CH$38*'⑫ Roll-out Plan'!$O$75</f>
        <v>0</v>
      </c>
      <c r="CI709" s="36" t="n">
        <f aca="false">CI707*$AC$705*CI708*CI$38*'⑫ Roll-out Plan'!$O$75</f>
        <v>0</v>
      </c>
      <c r="CJ709" s="36" t="n">
        <f aca="false">CJ707*$AC$705*CJ708*CJ$38*'⑫ Roll-out Plan'!$O$75</f>
        <v>0</v>
      </c>
      <c r="CK709" s="36" t="n">
        <f aca="false">CK707*$AC$705*CK708*CK$38*'⑫ Roll-out Plan'!$O$75</f>
        <v>0</v>
      </c>
      <c r="CL709" s="36" t="n">
        <f aca="false">CL707*$AC$705*CL708*CL$38*'⑫ Roll-out Plan'!$O$75</f>
        <v>0</v>
      </c>
      <c r="CM709" s="36" t="n">
        <f aca="false">CM707*$AC$705*CM708*CM$38*'⑫ Roll-out Plan'!$O$75</f>
        <v>0</v>
      </c>
      <c r="CN709" s="36" t="n">
        <f aca="false">CN707*$AC$705*CN708*CN$38*'⑫ Roll-out Plan'!$O$75</f>
        <v>0</v>
      </c>
      <c r="CO709" s="36" t="n">
        <f aca="false">CO707*$AC$705*CO708*CO$38*'⑫ Roll-out Plan'!$O$75</f>
        <v>0</v>
      </c>
      <c r="CP709" s="36" t="n">
        <f aca="false">CP707*$AC$705*CP708*CP$38*'⑫ Roll-out Plan'!$O$75</f>
        <v>0</v>
      </c>
      <c r="CQ709" s="36" t="n">
        <f aca="false">CQ707*$AC$705*CQ708*CQ$38*'⑫ Roll-out Plan'!$O$75</f>
        <v>0</v>
      </c>
      <c r="CR709" s="36" t="n">
        <f aca="false">CR707*$AC$705*CR708*CR$38*'⑫ Roll-out Plan'!$O$75</f>
        <v>0</v>
      </c>
      <c r="CS709" s="36" t="n">
        <f aca="false">CS707*$AC$705*CS708*CS$38*'⑫ Roll-out Plan'!$O$75</f>
        <v>0</v>
      </c>
      <c r="CT709" s="36" t="n">
        <f aca="false">CT707*$AC$705*CT708*CT$38*'⑫ Roll-out Plan'!$O$75</f>
        <v>0</v>
      </c>
      <c r="CU709" s="36" t="n">
        <f aca="false">CU707*$AC$705*CU708*CU$38*'⑫ Roll-out Plan'!$O$75</f>
        <v>0</v>
      </c>
      <c r="CV709" s="36" t="n">
        <f aca="false">CV707*$AC$705*CV708*CV$38*'⑫ Roll-out Plan'!$O$75</f>
        <v>0</v>
      </c>
      <c r="CW709" s="36" t="n">
        <f aca="false">CW707*$AC$705*CW708*CW$38*'⑫ Roll-out Plan'!$O$75</f>
        <v>0</v>
      </c>
      <c r="CX709" s="36" t="n">
        <f aca="false">CX707*$AC$705*CX708*CX$38*'⑫ Roll-out Plan'!$O$75</f>
        <v>0</v>
      </c>
      <c r="CY709" s="36" t="n">
        <f aca="false">CY707*$AC$705*CY708*CY$38*'⑫ Roll-out Plan'!$O$75</f>
        <v>42.92</v>
      </c>
      <c r="CZ709" s="36" t="n">
        <f aca="false">CZ707*$AC$705*CZ708*CZ$38*'⑫ Roll-out Plan'!$O$75</f>
        <v>44.77</v>
      </c>
      <c r="DA709" s="36" t="n">
        <f aca="false">DA707*$AC$705*DA708*DA$38*'⑫ Roll-out Plan'!$O$75</f>
        <v>40.848</v>
      </c>
      <c r="DB709" s="36" t="n">
        <f aca="false">DB707*$AC$705*DB708*DB$38*'⑫ Roll-out Plan'!$O$75</f>
        <v>39.96</v>
      </c>
      <c r="DC709" s="36" t="n">
        <f aca="false">DC707*$AC$705*DC708*DC$38*'⑫ Roll-out Plan'!$O$75</f>
        <v>41.958</v>
      </c>
      <c r="DD709" s="36" t="n">
        <f aca="false">DD707*$AC$705*DD708*DD$38*'⑫ Roll-out Plan'!$O$75</f>
        <v>81.437</v>
      </c>
      <c r="DE709" s="36" t="n">
        <f aca="false">DE707*$AC$705*DE708*DE$38*'⑫ Roll-out Plan'!$O$75</f>
        <v>75.11</v>
      </c>
      <c r="DF709" s="36" t="n">
        <f aca="false">DF707*$AC$705*DF708*DF$38*'⑫ Roll-out Plan'!$O$75</f>
        <v>69.264</v>
      </c>
      <c r="DG709" s="36" t="n">
        <f aca="false">DG707*$AC$705*DG708*DG$38*'⑫ Roll-out Plan'!$O$75</f>
        <v>58.608</v>
      </c>
      <c r="DH709" s="36" t="n">
        <f aca="false">DH707*$AC$705*DH708*DH$38*'⑫ Roll-out Plan'!$O$75</f>
        <v>83.028</v>
      </c>
      <c r="DI709" s="36" t="n">
        <f aca="false">DI707*$AC$705*DI708*DI$38*'⑫ Roll-out Plan'!$O$75</f>
        <v>95.904</v>
      </c>
      <c r="DJ709" s="36" t="n">
        <f aca="false">DJ707*$AC$705*DJ708*DJ$38*'⑫ Roll-out Plan'!$O$75</f>
        <v>78.884</v>
      </c>
      <c r="DK709" s="36" t="n">
        <f aca="false">DK707*$AC$705*DK708*DK$38*'⑫ Roll-out Plan'!$O$75</f>
        <v>120.176</v>
      </c>
      <c r="DL709" s="36" t="n">
        <f aca="false">DL707*$AC$705*DL708*DL$38*'⑫ Roll-out Plan'!$O$75</f>
        <v>122.1</v>
      </c>
      <c r="DM709" s="36" t="n">
        <f aca="false">DM707*$AC$705*DM708*DM$38*'⑫ Roll-out Plan'!$O$75</f>
        <v>102.12</v>
      </c>
      <c r="DN709" s="36" t="n">
        <f aca="false">DN707*$AC$705*DN708*DN$38*'⑫ Roll-out Plan'!$O$75</f>
        <v>111.888</v>
      </c>
      <c r="DO709" s="36" t="n">
        <f aca="false">DO707*$AC$705*DO708*DO$38*'⑫ Roll-out Plan'!$O$75</f>
        <v>123.0768</v>
      </c>
      <c r="DP709" s="36" t="n">
        <f aca="false">DP707*$AC$705*DP708*DP$38*'⑫ Roll-out Plan'!$O$75</f>
        <v>217.5156</v>
      </c>
      <c r="DQ709" s="36" t="n">
        <f aca="false">DQ707*$AC$705*DQ708*DQ$38*'⑫ Roll-out Plan'!$O$75</f>
        <v>182.8392</v>
      </c>
      <c r="DR709" s="36" t="n">
        <f aca="false">DR707*$AC$705*DR708*DR$38*'⑫ Roll-out Plan'!$O$75</f>
        <v>151.3152</v>
      </c>
      <c r="DS709" s="36" t="n">
        <f aca="false">DS707*$AC$705*DS708*DS$38*'⑫ Roll-out Plan'!$O$75</f>
        <v>116.6832</v>
      </c>
      <c r="DT709" s="36" t="n">
        <f aca="false">DT707*$AC$705*DT708*DT$38*'⑫ Roll-out Plan'!$O$75</f>
        <v>169.83</v>
      </c>
      <c r="DU709" s="36" t="n">
        <f aca="false">DU707*$AC$705*DU708*DU$38*'⑫ Roll-out Plan'!$O$75</f>
        <v>184.6152</v>
      </c>
      <c r="DV709" s="36" t="n">
        <f aca="false">DV707*$AC$705*DV708*DV$38*'⑫ Roll-out Plan'!$O$75</f>
        <v>143.8116</v>
      </c>
      <c r="DW709" s="36" t="n">
        <f aca="false">DW707*$AC$705*DW708*DW$38*'⑫ Roll-out Plan'!$O$75</f>
        <v>203.4408</v>
      </c>
      <c r="DX709" s="36" t="n">
        <f aca="false">DX707*$AC$705*DX708*DX$38*'⑫ Roll-out Plan'!$O$75</f>
        <v>195.36</v>
      </c>
      <c r="DY709" s="36" t="n">
        <f aca="false">DY707*$AC$705*DY708*DY$38*'⑫ Roll-out Plan'!$O$75</f>
        <v>167.4768</v>
      </c>
      <c r="DZ709" s="36" t="n">
        <f aca="false">DZ707*$AC$705*DZ708*DZ$38*'⑫ Roll-out Plan'!$O$75</f>
        <v>149.184</v>
      </c>
      <c r="EA709" s="36" t="n">
        <f aca="false">EA707*$AC$705*EA708*EA$38*'⑫ Roll-out Plan'!$O$75</f>
        <v>158.508</v>
      </c>
      <c r="EB709" s="36" t="n">
        <f aca="false">EB707*$AC$705*EB708*EB$38*'⑫ Roll-out Plan'!$O$75</f>
        <v>267.954</v>
      </c>
      <c r="EC709" s="36" t="n">
        <f aca="false">EC707*$AC$705*EC708*EC$38*'⑫ Roll-out Plan'!$O$75</f>
        <v>221.4672</v>
      </c>
      <c r="ED709" s="36" t="n">
        <f aca="false">ED707*$AC$705*ED708*ED$38*'⑫ Roll-out Plan'!$O$75</f>
        <v>187.5456</v>
      </c>
      <c r="EE709" s="36" t="n">
        <f aca="false">EE707*$AC$705*EE708*EE$38*'⑫ Roll-out Plan'!$O$75</f>
        <v>142.2576</v>
      </c>
      <c r="EF709" s="36" t="n">
        <f aca="false">EF707*$AC$705*EF708*EF$38*'⑫ Roll-out Plan'!$O$75</f>
        <v>203.796</v>
      </c>
      <c r="EG709" s="36" t="n">
        <f aca="false">EG707*$AC$705*EG708*EG$38*'⑫ Roll-out Plan'!$O$75</f>
        <v>215.784</v>
      </c>
      <c r="EH709" s="36" t="n">
        <f aca="false">EH707*$AC$705*EH708*EH$38*'⑫ Roll-out Plan'!$O$75</f>
        <v>167.4768</v>
      </c>
      <c r="EI709" s="36" t="n">
        <f aca="false">EI707*$AC$705*EI708*EI$38*'⑫ Roll-out Plan'!$O$75</f>
        <v>239.4936</v>
      </c>
      <c r="EJ709" s="36" t="n">
        <f aca="false">EJ707*$AC$705*EJ708*EJ$38*'⑫ Roll-out Plan'!$O$75</f>
        <v>229.548</v>
      </c>
      <c r="EK709" s="36" t="n">
        <f aca="false">EK707*$AC$705*EK708*EK$38*'⑫ Roll-out Plan'!$O$75</f>
        <v>194.028</v>
      </c>
      <c r="EL709" s="36" t="n">
        <f aca="false">EL707*$AC$705*EL708*EL$38*'⑫ Roll-out Plan'!$O$75</f>
        <v>168.72</v>
      </c>
      <c r="EM709" s="36" t="n">
        <f aca="false">EM707*$AC$705*EM708*EM$38*'⑫ Roll-out Plan'!$O$75</f>
        <v>180.8856</v>
      </c>
      <c r="EN709" s="36" t="n">
        <f aca="false">EN707*$AC$705*EN708*EN$38*'⑫ Roll-out Plan'!$O$75</f>
        <v>308.9352</v>
      </c>
      <c r="EO709" s="36" t="n">
        <f aca="false">EO707*$AC$705*EO708*EO$38*'⑫ Roll-out Plan'!$O$75</f>
        <v>254.9448</v>
      </c>
      <c r="EP709" s="36" t="n">
        <f aca="false">EP707*$AC$705*EP708*EP$38*'⑫ Roll-out Plan'!$O$75</f>
        <v>213.12</v>
      </c>
      <c r="EQ709" s="36" t="n">
        <f aca="false">EQ707*$AC$705*EQ708*EQ$38*'⑫ Roll-out Plan'!$O$75</f>
        <v>159.84</v>
      </c>
      <c r="ER709" s="36" t="n">
        <f aca="false">ER707*$AC$705*ER708*ER$38*'⑫ Roll-out Plan'!$O$75</f>
        <v>226.44</v>
      </c>
      <c r="ES709" s="9" t="n">
        <f aca="false">ES707*$AC$705*ES708*ES$38*'⑫ Roll-out Plan'!$O$75</f>
        <v>239.76</v>
      </c>
      <c r="ET709" s="9" t="n">
        <f aca="false">ET707*$AC$705*ET708*ET$38*'⑫ Roll-out Plan'!$O$75</f>
        <v>182.04</v>
      </c>
      <c r="EU709" s="9" t="n">
        <f aca="false">EU707*$AC$705*EU708*EU$38*'⑫ Roll-out Plan'!$O$75</f>
        <v>257.52</v>
      </c>
      <c r="EV709" s="9" t="n">
        <f aca="false">EV707*$AC$705*EV708*EV$38*'⑫ Roll-out Plan'!$O$75</f>
        <v>244.2</v>
      </c>
      <c r="EW709" s="9" t="n">
        <f aca="false">EW707*$AC$705*EW708*EW$38*'⑫ Roll-out Plan'!$O$75</f>
        <v>204.24</v>
      </c>
      <c r="EX709" s="9" t="n">
        <f aca="false">EX707*$AC$705*EX708*EX$38*'⑫ Roll-out Plan'!$O$75</f>
        <v>177.6</v>
      </c>
      <c r="EY709" s="9" t="n">
        <f aca="false">EY707*$AC$705*EY708*EY$38*'⑫ Roll-out Plan'!$O$75</f>
        <v>186.48</v>
      </c>
      <c r="EZ709" s="9" t="n">
        <f aca="false">EZ707*$AC$705*EZ708*EZ$38*'⑫ Roll-out Plan'!$O$75</f>
        <v>315.24</v>
      </c>
      <c r="FA709" s="9" t="n">
        <f aca="false">FA707*$AC$705*FA708*FA$38*'⑫ Roll-out Plan'!$O$75</f>
        <v>257.52</v>
      </c>
      <c r="FB709" s="9" t="n">
        <f aca="false">FB707*$AC$705*FB708*FB$38*'⑫ Roll-out Plan'!$O$75</f>
        <v>213.12</v>
      </c>
      <c r="FC709" s="9" t="n">
        <f aca="false">FC707*$AC$705*FC708*FC$38*'⑫ Roll-out Plan'!$O$75</f>
        <v>159.84</v>
      </c>
      <c r="FD709" s="9" t="n">
        <f aca="false">FD707*$AC$705*FD708*FD$38*'⑫ Roll-out Plan'!$O$75</f>
        <v>226.44</v>
      </c>
      <c r="FE709" s="9" t="n">
        <f aca="false">FE707*$AC$705*FE708*FE$38*'⑫ Roll-out Plan'!$O$75</f>
        <v>239.76</v>
      </c>
      <c r="FF709" s="9" t="n">
        <f aca="false">FF707*$AC$705*FF708*FF$38*'⑫ Roll-out Plan'!$O$75</f>
        <v>182.04</v>
      </c>
      <c r="FG709" s="9" t="n">
        <f aca="false">FG707*$AC$705*FG708*FG$38*'⑫ Roll-out Plan'!$O$75</f>
        <v>257.52</v>
      </c>
      <c r="FH709" s="9" t="n">
        <f aca="false">FH707*$AC$705*FH708*FH$38*'⑫ Roll-out Plan'!$O$75</f>
        <v>244.2</v>
      </c>
      <c r="FI709" s="9" t="n">
        <f aca="false">FI707*$AC$705*FI708*FI$38*'⑫ Roll-out Plan'!$O$75</f>
        <v>204.24</v>
      </c>
      <c r="FJ709" s="9" t="n">
        <f aca="false">FJ707*$AC$705*FJ708*FJ$38*'⑫ Roll-out Plan'!$O$75</f>
        <v>177.6</v>
      </c>
      <c r="FK709" s="9" t="n">
        <f aca="false">FK707*$AC$705*FK708*FK$38*'⑫ Roll-out Plan'!$O$75</f>
        <v>186.48</v>
      </c>
      <c r="FL709" s="9" t="n">
        <f aca="false">FL707*$AC$705*FL708*FL$38*'⑫ Roll-out Plan'!$O$75</f>
        <v>315.24</v>
      </c>
      <c r="FM709" s="9" t="n">
        <f aca="false">FM707*$AC$705*FM708*FM$38*'⑫ Roll-out Plan'!$O$75</f>
        <v>257.52</v>
      </c>
      <c r="FN709" s="9" t="n">
        <f aca="false">FN707*$AC$705*FN708*FN$38*'⑫ Roll-out Plan'!$O$75</f>
        <v>213.12</v>
      </c>
      <c r="FO709" s="9" t="n">
        <f aca="false">FO707*$AC$705*FO708*FO$38*'⑫ Roll-out Plan'!$O$75</f>
        <v>159.84</v>
      </c>
      <c r="FP709" s="9" t="n">
        <f aca="false">FP707*$AC$705*FP708*FP$38*'⑫ Roll-out Plan'!$O$75</f>
        <v>226.44</v>
      </c>
    </row>
    <row r="710" customFormat="false" ht="15" hidden="false" customHeight="false" outlineLevel="2" collapsed="false">
      <c r="B710" s="9" t="s">
        <v>877</v>
      </c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112" t="n">
        <f aca="true">IFERROR(SUMPRODUCT(OFFSET($BJ$31,0,1-MIN(60,COLUMN()-29),1,MIN(60,COLUMN()-29)),OFFSET(AC709,0,-MIN(60,COLUMN()-29),1,MIN(60,COLUMN()-29))),0)</f>
        <v>0</v>
      </c>
      <c r="AD710" s="112" t="n">
        <f aca="true">IFERROR(SUMPRODUCT(OFFSET($BJ$31,0,1-MIN(60,COLUMN()-29),1,MIN(60,COLUMN()-29)),OFFSET(AD709,0,-MIN(60,COLUMN()-29),1,MIN(60,COLUMN()-29))),0)</f>
        <v>0</v>
      </c>
      <c r="AE710" s="112" t="n">
        <f aca="true">IFERROR(SUMPRODUCT(OFFSET($BJ$31,0,1-MIN(60,COLUMN()-29),1,MIN(60,COLUMN()-29)),OFFSET(AE709,0,-MIN(60,COLUMN()-29),1,MIN(60,COLUMN()-29))),0)</f>
        <v>0</v>
      </c>
      <c r="AF710" s="112" t="n">
        <f aca="true">IFERROR(SUMPRODUCT(OFFSET($BJ$31,0,1-MIN(60,COLUMN()-29),1,MIN(60,COLUMN()-29)),OFFSET(AF709,0,-MIN(60,COLUMN()-29),1,MIN(60,COLUMN()-29))),0)</f>
        <v>0</v>
      </c>
      <c r="AG710" s="112" t="n">
        <f aca="true">IFERROR(SUMPRODUCT(OFFSET($BJ$31,0,1-MIN(60,COLUMN()-29),1,MIN(60,COLUMN()-29)),OFFSET(AG709,0,-MIN(60,COLUMN()-29),1,MIN(60,COLUMN()-29))),0)</f>
        <v>0</v>
      </c>
      <c r="AH710" s="112" t="n">
        <f aca="true">IFERROR(SUMPRODUCT(OFFSET($BJ$31,0,1-MIN(60,COLUMN()-29),1,MIN(60,COLUMN()-29)),OFFSET(AH709,0,-MIN(60,COLUMN()-29),1,MIN(60,COLUMN()-29))),0)</f>
        <v>0</v>
      </c>
      <c r="AI710" s="112" t="n">
        <f aca="true">IFERROR(SUMPRODUCT(OFFSET($BJ$31,0,1-MIN(60,COLUMN()-29),1,MIN(60,COLUMN()-29)),OFFSET(AI709,0,-MIN(60,COLUMN()-29),1,MIN(60,COLUMN()-29))),0)</f>
        <v>0</v>
      </c>
      <c r="AJ710" s="112" t="n">
        <f aca="true">IFERROR(SUMPRODUCT(OFFSET($BJ$31,0,1-MIN(60,COLUMN()-29),1,MIN(60,COLUMN()-29)),OFFSET(AJ709,0,-MIN(60,COLUMN()-29),1,MIN(60,COLUMN()-29))),0)</f>
        <v>0</v>
      </c>
      <c r="AK710" s="112" t="n">
        <f aca="true">IFERROR(SUMPRODUCT(OFFSET($BJ$31,0,1-MIN(60,COLUMN()-29),1,MIN(60,COLUMN()-29)),OFFSET(AK709,0,-MIN(60,COLUMN()-29),1,MIN(60,COLUMN()-29))),0)</f>
        <v>0</v>
      </c>
      <c r="AL710" s="112" t="n">
        <f aca="true">IFERROR(SUMPRODUCT(OFFSET($BJ$31,0,1-MIN(60,COLUMN()-29),1,MIN(60,COLUMN()-29)),OFFSET(AL709,0,-MIN(60,COLUMN()-29),1,MIN(60,COLUMN()-29))),0)</f>
        <v>0</v>
      </c>
      <c r="AM710" s="112" t="n">
        <f aca="true">IFERROR(SUMPRODUCT(OFFSET($BJ$31,0,1-MIN(60,COLUMN()-29),1,MIN(60,COLUMN()-29)),OFFSET(AM709,0,-MIN(60,COLUMN()-29),1,MIN(60,COLUMN()-29))),0)</f>
        <v>0</v>
      </c>
      <c r="AN710" s="239" t="n">
        <f aca="true">IFERROR(SUMPRODUCT(OFFSET($BJ$31,0,1-MIN(60,COLUMN()-29),1,MIN(60,COLUMN()-29)),OFFSET(AN709,0,-MIN(60,COLUMN()-29),1,MIN(60,COLUMN()-29))),0)</f>
        <v>0</v>
      </c>
      <c r="AO710" s="112" t="n">
        <f aca="true">IFERROR(SUMPRODUCT(OFFSET($BJ$31,0,1-MIN(60,COLUMN()-29),1,MIN(60,COLUMN()-29)),OFFSET(AO709,0,-MIN(60,COLUMN()-29),1,MIN(60,COLUMN()-29))),0)</f>
        <v>0</v>
      </c>
      <c r="AP710" s="112" t="n">
        <f aca="true">IFERROR(SUMPRODUCT(OFFSET($BJ$31,0,1-MIN(60,COLUMN()-29),1,MIN(60,COLUMN()-29)),OFFSET(AP709,0,-MIN(60,COLUMN()-29),1,MIN(60,COLUMN()-29))),0)</f>
        <v>0</v>
      </c>
      <c r="AQ710" s="112" t="n">
        <f aca="true">IFERROR(SUMPRODUCT(OFFSET($BJ$31,0,1-MIN(60,COLUMN()-29),1,MIN(60,COLUMN()-29)),OFFSET(AQ709,0,-MIN(60,COLUMN()-29),1,MIN(60,COLUMN()-29))),0)</f>
        <v>0</v>
      </c>
      <c r="AR710" s="112" t="n">
        <f aca="true">IFERROR(SUMPRODUCT(OFFSET($BJ$31,0,1-MIN(60,COLUMN()-29),1,MIN(60,COLUMN()-29)),OFFSET(AR709,0,-MIN(60,COLUMN()-29),1,MIN(60,COLUMN()-29))),0)</f>
        <v>0</v>
      </c>
      <c r="AS710" s="112" t="n">
        <f aca="true">IFERROR(SUMPRODUCT(OFFSET($BJ$31,0,1-MIN(60,COLUMN()-29),1,MIN(60,COLUMN()-29)),OFFSET(AS709,0,-MIN(60,COLUMN()-29),1,MIN(60,COLUMN()-29))),0)</f>
        <v>0</v>
      </c>
      <c r="AT710" s="112" t="n">
        <f aca="true">IFERROR(SUMPRODUCT(OFFSET($BJ$31,0,1-MIN(60,COLUMN()-29),1,MIN(60,COLUMN()-29)),OFFSET(AT709,0,-MIN(60,COLUMN()-29),1,MIN(60,COLUMN()-29))),0)</f>
        <v>0</v>
      </c>
      <c r="AU710" s="112" t="n">
        <f aca="true">IFERROR(SUMPRODUCT(OFFSET($BJ$31,0,1-MIN(60,COLUMN()-29),1,MIN(60,COLUMN()-29)),OFFSET(AU709,0,-MIN(60,COLUMN()-29),1,MIN(60,COLUMN()-29))),0)</f>
        <v>0</v>
      </c>
      <c r="AV710" s="112" t="n">
        <f aca="true">IFERROR(SUMPRODUCT(OFFSET($BJ$31,0,1-MIN(60,COLUMN()-29),1,MIN(60,COLUMN()-29)),OFFSET(AV709,0,-MIN(60,COLUMN()-29),1,MIN(60,COLUMN()-29))),0)</f>
        <v>0</v>
      </c>
      <c r="AW710" s="112" t="n">
        <f aca="true">IFERROR(SUMPRODUCT(OFFSET($BJ$31,0,1-MIN(60,COLUMN()-29),1,MIN(60,COLUMN()-29)),OFFSET(AW709,0,-MIN(60,COLUMN()-29),1,MIN(60,COLUMN()-29))),0)</f>
        <v>0</v>
      </c>
      <c r="AX710" s="112" t="n">
        <f aca="true">IFERROR(SUMPRODUCT(OFFSET($BJ$31,0,1-MIN(60,COLUMN()-29),1,MIN(60,COLUMN()-29)),OFFSET(AX709,0,-MIN(60,COLUMN()-29),1,MIN(60,COLUMN()-29))),0)</f>
        <v>0</v>
      </c>
      <c r="AY710" s="112" t="n">
        <f aca="true">IFERROR(SUMPRODUCT(OFFSET($BJ$31,0,1-MIN(60,COLUMN()-29),1,MIN(60,COLUMN()-29)),OFFSET(AY709,0,-MIN(60,COLUMN()-29),1,MIN(60,COLUMN()-29))),0)</f>
        <v>0</v>
      </c>
      <c r="AZ710" s="112" t="n">
        <f aca="true">IFERROR(SUMPRODUCT(OFFSET($BJ$31,0,1-MIN(60,COLUMN()-29),1,MIN(60,COLUMN()-29)),OFFSET(AZ709,0,-MIN(60,COLUMN()-29),1,MIN(60,COLUMN()-29))),0)</f>
        <v>0</v>
      </c>
      <c r="BA710" s="112" t="n">
        <f aca="true">IFERROR(SUMPRODUCT(OFFSET($BJ$31,0,1-MIN(60,COLUMN()-29),1,MIN(60,COLUMN()-29)),OFFSET(BA709,0,-MIN(60,COLUMN()-29),1,MIN(60,COLUMN()-29))),0)</f>
        <v>0</v>
      </c>
      <c r="BB710" s="112" t="n">
        <f aca="true">IFERROR(SUMPRODUCT(OFFSET($BJ$31,0,1-MIN(60,COLUMN()-29),1,MIN(60,COLUMN()-29)),OFFSET(BB709,0,-MIN(60,COLUMN()-29),1,MIN(60,COLUMN()-29))),0)</f>
        <v>0</v>
      </c>
      <c r="BC710" s="112" t="n">
        <f aca="true">IFERROR(SUMPRODUCT(OFFSET($BJ$31,0,1-MIN(60,COLUMN()-29),1,MIN(60,COLUMN()-29)),OFFSET(BC709,0,-MIN(60,COLUMN()-29),1,MIN(60,COLUMN()-29))),0)</f>
        <v>0</v>
      </c>
      <c r="BD710" s="112" t="n">
        <f aca="true">IFERROR(SUMPRODUCT(OFFSET($BJ$31,0,1-MIN(60,COLUMN()-29),1,MIN(60,COLUMN()-29)),OFFSET(BD709,0,-MIN(60,COLUMN()-29),1,MIN(60,COLUMN()-29))),0)</f>
        <v>0</v>
      </c>
      <c r="BE710" s="112" t="n">
        <f aca="true">IFERROR(SUMPRODUCT(OFFSET($BJ$31,0,1-MIN(60,COLUMN()-29),1,MIN(60,COLUMN()-29)),OFFSET(BE709,0,-MIN(60,COLUMN()-29),1,MIN(60,COLUMN()-29))),0)</f>
        <v>0</v>
      </c>
      <c r="BF710" s="112" t="n">
        <f aca="true">IFERROR(SUMPRODUCT(OFFSET($BJ$31,0,1-MIN(60,COLUMN()-29),1,MIN(60,COLUMN()-29)),OFFSET(BF709,0,-MIN(60,COLUMN()-29),1,MIN(60,COLUMN()-29))),0)</f>
        <v>0</v>
      </c>
      <c r="BG710" s="112" t="n">
        <f aca="true">IFERROR(SUMPRODUCT(OFFSET($BJ$31,0,1-MIN(60,COLUMN()-29),1,MIN(60,COLUMN()-29)),OFFSET(BG709,0,-MIN(60,COLUMN()-29),1,MIN(60,COLUMN()-29))),0)</f>
        <v>0</v>
      </c>
      <c r="BH710" s="112" t="n">
        <f aca="true">IFERROR(SUMPRODUCT(OFFSET($BJ$31,0,1-MIN(60,COLUMN()-29),1,MIN(60,COLUMN()-29)),OFFSET(BH709,0,-MIN(60,COLUMN()-29),1,MIN(60,COLUMN()-29))),0)</f>
        <v>0</v>
      </c>
      <c r="BI710" s="112" t="n">
        <f aca="true">IFERROR(SUMPRODUCT(OFFSET($BJ$31,0,1-MIN(60,COLUMN()-29),1,MIN(60,COLUMN()-29)),OFFSET(BI709,0,-MIN(60,COLUMN()-29),1,MIN(60,COLUMN()-29))),0)</f>
        <v>0</v>
      </c>
      <c r="BJ710" s="112" t="n">
        <f aca="true">IFERROR(SUMPRODUCT(OFFSET($BJ$31,0,1-MIN(60,COLUMN()-29),1,MIN(60,COLUMN()-29)),OFFSET(BJ709,0,-MIN(60,COLUMN()-29),1,MIN(60,COLUMN()-29))),0)</f>
        <v>0</v>
      </c>
      <c r="BK710" s="112" t="n">
        <f aca="true">IFERROR(SUMPRODUCT(OFFSET($BJ$31,0,1-MIN(60,COLUMN()-29),1,MIN(60,COLUMN()-29)),OFFSET(BK709,0,-MIN(60,COLUMN()-29),1,MIN(60,COLUMN()-29))),0)</f>
        <v>0</v>
      </c>
      <c r="BL710" s="112" t="n">
        <f aca="true">IFERROR(SUMPRODUCT(OFFSET($BJ$31,0,1-MIN(60,COLUMN()-29),1,MIN(60,COLUMN()-29)),OFFSET(BL709,0,-MIN(60,COLUMN()-29),1,MIN(60,COLUMN()-29))),0)</f>
        <v>0</v>
      </c>
      <c r="BM710" s="112" t="n">
        <f aca="true">IFERROR(SUMPRODUCT(OFFSET($BJ$31,0,1-MIN(60,COLUMN()-29),1,MIN(60,COLUMN()-29)),OFFSET(BM709,0,-MIN(60,COLUMN()-29),1,MIN(60,COLUMN()-29))),0)</f>
        <v>0</v>
      </c>
      <c r="BN710" s="112" t="n">
        <f aca="true">IFERROR(SUMPRODUCT(OFFSET($BJ$31,0,1-MIN(60,COLUMN()-29),1,MIN(60,COLUMN()-29)),OFFSET(BN709,0,-MIN(60,COLUMN()-29),1,MIN(60,COLUMN()-29))),0)</f>
        <v>0</v>
      </c>
      <c r="BO710" s="112" t="n">
        <f aca="true">IFERROR(SUMPRODUCT(OFFSET($BJ$31,0,1-MIN(60,COLUMN()-29),1,MIN(60,COLUMN()-29)),OFFSET(BO709,0,-MIN(60,COLUMN()-29),1,MIN(60,COLUMN()-29))),0)</f>
        <v>0</v>
      </c>
      <c r="BP710" s="112" t="n">
        <f aca="true">IFERROR(SUMPRODUCT(OFFSET($BJ$31,0,1-MIN(60,COLUMN()-29),1,MIN(60,COLUMN()-29)),OFFSET(BP709,0,-MIN(60,COLUMN()-29),1,MIN(60,COLUMN()-29))),0)</f>
        <v>0</v>
      </c>
      <c r="BQ710" s="112" t="n">
        <f aca="true">IFERROR(SUMPRODUCT(OFFSET($BJ$31,0,1-MIN(60,COLUMN()-29),1,MIN(60,COLUMN()-29)),OFFSET(BQ709,0,-MIN(60,COLUMN()-29),1,MIN(60,COLUMN()-29))),0)</f>
        <v>0</v>
      </c>
      <c r="BR710" s="112" t="n">
        <f aca="true">IFERROR(SUMPRODUCT(OFFSET($BJ$31,0,1-MIN(60,COLUMN()-29),1,MIN(60,COLUMN()-29)),OFFSET(BR709,0,-MIN(60,COLUMN()-29),1,MIN(60,COLUMN()-29))),0)</f>
        <v>0</v>
      </c>
      <c r="BS710" s="112" t="n">
        <f aca="true">IFERROR(SUMPRODUCT(OFFSET($BJ$31,0,1-MIN(60,COLUMN()-29),1,MIN(60,COLUMN()-29)),OFFSET(BS709,0,-MIN(60,COLUMN()-29),1,MIN(60,COLUMN()-29))),0)</f>
        <v>0</v>
      </c>
      <c r="BT710" s="112" t="n">
        <f aca="true">IFERROR(SUMPRODUCT(OFFSET($BJ$31,0,1-MIN(60,COLUMN()-29),1,MIN(60,COLUMN()-29)),OFFSET(BT709,0,-MIN(60,COLUMN()-29),1,MIN(60,COLUMN()-29))),0)</f>
        <v>0</v>
      </c>
      <c r="BU710" s="112" t="n">
        <f aca="true">IFERROR(SUMPRODUCT(OFFSET($BJ$31,0,1-MIN(60,COLUMN()-29),1,MIN(60,COLUMN()-29)),OFFSET(BU709,0,-MIN(60,COLUMN()-29),1,MIN(60,COLUMN()-29))),0)</f>
        <v>0</v>
      </c>
      <c r="BV710" s="112" t="n">
        <f aca="true">IFERROR(SUMPRODUCT(OFFSET($BJ$31,0,1-MIN(60,COLUMN()-29),1,MIN(60,COLUMN()-29)),OFFSET(BV709,0,-MIN(60,COLUMN()-29),1,MIN(60,COLUMN()-29))),0)</f>
        <v>0</v>
      </c>
      <c r="BW710" s="112" t="n">
        <f aca="true">IFERROR(SUMPRODUCT(OFFSET($BJ$31,0,1-MIN(60,COLUMN()-29),1,MIN(60,COLUMN()-29)),OFFSET(BW709,0,-MIN(60,COLUMN()-29),1,MIN(60,COLUMN()-29))),0)</f>
        <v>0</v>
      </c>
      <c r="BX710" s="112" t="n">
        <f aca="true">IFERROR(SUMPRODUCT(OFFSET($BJ$31,0,1-MIN(60,COLUMN()-29),1,MIN(60,COLUMN()-29)),OFFSET(BX709,0,-MIN(60,COLUMN()-29),1,MIN(60,COLUMN()-29))),0)</f>
        <v>0</v>
      </c>
      <c r="BY710" s="112" t="n">
        <f aca="true">IFERROR(SUMPRODUCT(OFFSET($BJ$31,0,1-MIN(60,COLUMN()-29),1,MIN(60,COLUMN()-29)),OFFSET(BY709,0,-MIN(60,COLUMN()-29),1,MIN(60,COLUMN()-29))),0)</f>
        <v>0</v>
      </c>
      <c r="BZ710" s="112" t="n">
        <f aca="true">IFERROR(SUMPRODUCT(OFFSET($BJ$31,0,1-MIN(60,COLUMN()-29),1,MIN(60,COLUMN()-29)),OFFSET(BZ709,0,-MIN(60,COLUMN()-29),1,MIN(60,COLUMN()-29))),0)</f>
        <v>0</v>
      </c>
      <c r="CA710" s="112" t="n">
        <f aca="true">IFERROR(SUMPRODUCT(OFFSET($BJ$31,0,1-MIN(60,COLUMN()-29),1,MIN(60,COLUMN()-29)),OFFSET(CA709,0,-MIN(60,COLUMN()-29),1,MIN(60,COLUMN()-29))),0)</f>
        <v>0</v>
      </c>
      <c r="CB710" s="112" t="n">
        <f aca="true">IFERROR(SUMPRODUCT(OFFSET($BJ$31,0,1-MIN(60,COLUMN()-29),1,MIN(60,COLUMN()-29)),OFFSET(CB709,0,-MIN(60,COLUMN()-29),1,MIN(60,COLUMN()-29))),0)</f>
        <v>0</v>
      </c>
      <c r="CC710" s="112" t="n">
        <f aca="true">IFERROR(SUMPRODUCT(OFFSET($BJ$31,0,1-MIN(60,COLUMN()-29),1,MIN(60,COLUMN()-29)),OFFSET(CC709,0,-MIN(60,COLUMN()-29),1,MIN(60,COLUMN()-29))),0)</f>
        <v>0</v>
      </c>
      <c r="CD710" s="112" t="n">
        <f aca="true">IFERROR(SUMPRODUCT(OFFSET($BJ$31,0,1-MIN(60,COLUMN()-29),1,MIN(60,COLUMN()-29)),OFFSET(CD709,0,-MIN(60,COLUMN()-29),1,MIN(60,COLUMN()-29))),0)</f>
        <v>0</v>
      </c>
      <c r="CE710" s="112" t="n">
        <f aca="true">IFERROR(SUMPRODUCT(OFFSET($BJ$31,0,1-MIN(60,COLUMN()-29),1,MIN(60,COLUMN()-29)),OFFSET(CE709,0,-MIN(60,COLUMN()-29),1,MIN(60,COLUMN()-29))),0)</f>
        <v>0</v>
      </c>
      <c r="CF710" s="112" t="n">
        <f aca="true">IFERROR(SUMPRODUCT(OFFSET($BJ$31,0,1-MIN(60,COLUMN()-29),1,MIN(60,COLUMN()-29)),OFFSET(CF709,0,-MIN(60,COLUMN()-29),1,MIN(60,COLUMN()-29))),0)</f>
        <v>0</v>
      </c>
      <c r="CG710" s="112" t="n">
        <f aca="true">IFERROR(SUMPRODUCT(OFFSET($BJ$31,0,1-MIN(60,COLUMN()-29),1,MIN(60,COLUMN()-29)),OFFSET(CG709,0,-MIN(60,COLUMN()-29),1,MIN(60,COLUMN()-29))),0)</f>
        <v>0</v>
      </c>
      <c r="CH710" s="112" t="n">
        <f aca="true">IFERROR(SUMPRODUCT(OFFSET($BJ$31,0,1-MIN(60,COLUMN()-29),1,MIN(60,COLUMN()-29)),OFFSET(CH709,0,-MIN(60,COLUMN()-29),1,MIN(60,COLUMN()-29))),0)</f>
        <v>0</v>
      </c>
      <c r="CI710" s="112" t="n">
        <f aca="true">IFERROR(SUMPRODUCT(OFFSET($BJ$31,0,1-MIN(60,COLUMN()-29),1,MIN(60,COLUMN()-29)),OFFSET(CI709,0,-MIN(60,COLUMN()-29),1,MIN(60,COLUMN()-29))),0)</f>
        <v>0</v>
      </c>
      <c r="CJ710" s="112" t="n">
        <f aca="true">IFERROR(SUMPRODUCT(OFFSET($BJ$31,0,1-MIN(60,COLUMN()-29),1,MIN(60,COLUMN()-29)),OFFSET(CJ709,0,-MIN(60,COLUMN()-29),1,MIN(60,COLUMN()-29))),0)</f>
        <v>0</v>
      </c>
      <c r="CK710" s="112" t="n">
        <f aca="true">IFERROR(SUMPRODUCT(OFFSET($BJ$31,0,1-MIN(60,COLUMN()-29),1,MIN(60,COLUMN()-29)),OFFSET(CK709,0,-MIN(60,COLUMN()-29),1,MIN(60,COLUMN()-29))),0)</f>
        <v>0</v>
      </c>
      <c r="CL710" s="112" t="n">
        <f aca="true">IFERROR(SUMPRODUCT(OFFSET($BJ$31,0,1-MIN(60,COLUMN()-29),1,MIN(60,COLUMN()-29)),OFFSET(CL709,0,-MIN(60,COLUMN()-29),1,MIN(60,COLUMN()-29))),0)</f>
        <v>0</v>
      </c>
      <c r="CM710" s="112" t="n">
        <f aca="true">IFERROR(SUMPRODUCT(OFFSET($BJ$31,0,1-MIN(60,COLUMN()-29),1,MIN(60,COLUMN()-29)),OFFSET(CM709,0,-MIN(60,COLUMN()-29),1,MIN(60,COLUMN()-29))),0)</f>
        <v>0</v>
      </c>
      <c r="CN710" s="112" t="n">
        <f aca="true">IFERROR(SUMPRODUCT(OFFSET($BJ$31,0,1-MIN(60,COLUMN()-29),1,MIN(60,COLUMN()-29)),OFFSET(CN709,0,-MIN(60,COLUMN()-29),1,MIN(60,COLUMN()-29))),0)</f>
        <v>0</v>
      </c>
      <c r="CO710" s="112" t="n">
        <f aca="true">IFERROR(SUMPRODUCT(OFFSET($BJ$31,0,1-MIN(60,COLUMN()-29),1,MIN(60,COLUMN()-29)),OFFSET(CO709,0,-MIN(60,COLUMN()-29),1,MIN(60,COLUMN()-29))),0)</f>
        <v>0</v>
      </c>
      <c r="CP710" s="112" t="n">
        <f aca="true">IFERROR(SUMPRODUCT(OFFSET($BJ$31,0,1-MIN(60,COLUMN()-29),1,MIN(60,COLUMN()-29)),OFFSET(CP709,0,-MIN(60,COLUMN()-29),1,MIN(60,COLUMN()-29))),0)</f>
        <v>0</v>
      </c>
      <c r="CQ710" s="112" t="n">
        <f aca="true">IFERROR(SUMPRODUCT(OFFSET($BJ$31,0,1-MIN(60,COLUMN()-29),1,MIN(60,COLUMN()-29)),OFFSET(CQ709,0,-MIN(60,COLUMN()-29),1,MIN(60,COLUMN()-29))),0)</f>
        <v>0</v>
      </c>
      <c r="CR710" s="112" t="n">
        <f aca="true">IFERROR(SUMPRODUCT(OFFSET($BJ$31,0,1-MIN(60,COLUMN()-29),1,MIN(60,COLUMN()-29)),OFFSET(CR709,0,-MIN(60,COLUMN()-29),1,MIN(60,COLUMN()-29))),0)</f>
        <v>0</v>
      </c>
      <c r="CS710" s="112" t="n">
        <f aca="true">IFERROR(SUMPRODUCT(OFFSET($BJ$31,0,1-MIN(60,COLUMN()-29),1,MIN(60,COLUMN()-29)),OFFSET(CS709,0,-MIN(60,COLUMN()-29),1,MIN(60,COLUMN()-29))),0)</f>
        <v>0</v>
      </c>
      <c r="CT710" s="112" t="n">
        <f aca="true">IFERROR(SUMPRODUCT(OFFSET($BJ$31,0,1-MIN(60,COLUMN()-29),1,MIN(60,COLUMN()-29)),OFFSET(CT709,0,-MIN(60,COLUMN()-29),1,MIN(60,COLUMN()-29))),0)</f>
        <v>0</v>
      </c>
      <c r="CU710" s="112" t="n">
        <f aca="true">IFERROR(SUMPRODUCT(OFFSET($BJ$31,0,1-MIN(60,COLUMN()-29),1,MIN(60,COLUMN()-29)),OFFSET(CU709,0,-MIN(60,COLUMN()-29),1,MIN(60,COLUMN()-29))),0)</f>
        <v>0</v>
      </c>
      <c r="CV710" s="112" t="n">
        <f aca="true">IFERROR(SUMPRODUCT(OFFSET($BJ$31,0,1-MIN(60,COLUMN()-29),1,MIN(60,COLUMN()-29)),OFFSET(CV709,0,-MIN(60,COLUMN()-29),1,MIN(60,COLUMN()-29))),0)</f>
        <v>0</v>
      </c>
      <c r="CW710" s="112" t="n">
        <f aca="true">IFERROR(SUMPRODUCT(OFFSET($BJ$31,0,1-MIN(60,COLUMN()-29),1,MIN(60,COLUMN()-29)),OFFSET(CW709,0,-MIN(60,COLUMN()-29),1,MIN(60,COLUMN()-29))),0)</f>
        <v>0</v>
      </c>
      <c r="CX710" s="112" t="n">
        <f aca="true">IFERROR(SUMPRODUCT(OFFSET($BJ$31,0,1-MIN(60,COLUMN()-29),1,MIN(60,COLUMN()-29)),OFFSET(CX709,0,-MIN(60,COLUMN()-29),1,MIN(60,COLUMN()-29))),0)</f>
        <v>0</v>
      </c>
      <c r="CY710" s="112" t="n">
        <f aca="true">IFERROR(SUMPRODUCT(OFFSET($BJ$31,0,1-MIN(60,COLUMN()-29),1,MIN(60,COLUMN()-29)),OFFSET(CY709,0,-MIN(60,COLUMN()-29),1,MIN(60,COLUMN()-29))),0)</f>
        <v>0</v>
      </c>
      <c r="CZ710" s="112" t="n">
        <f aca="true">IFERROR(SUMPRODUCT(OFFSET($BJ$31,0,1-MIN(60,COLUMN()-29),1,MIN(60,COLUMN()-29)),OFFSET(CZ709,0,-MIN(60,COLUMN()-29),1,MIN(60,COLUMN()-29))),0)</f>
        <v>5.49376</v>
      </c>
      <c r="DA710" s="112" t="n">
        <f aca="true">IFERROR(SUMPRODUCT(OFFSET($BJ$31,0,1-MIN(60,COLUMN()-29),1,MIN(60,COLUMN()-29)),OFFSET(DA709,0,-MIN(60,COLUMN()-29),1,MIN(60,COLUMN()-29))),0)</f>
        <v>6.485952</v>
      </c>
      <c r="DB710" s="112" t="n">
        <f aca="true">IFERROR(SUMPRODUCT(OFFSET($BJ$31,0,1-MIN(60,COLUMN()-29),1,MIN(60,COLUMN()-29)),OFFSET(DB709,0,-MIN(60,COLUMN()-29),1,MIN(60,COLUMN()-29))),0)</f>
        <v>6.977904</v>
      </c>
      <c r="DC710" s="112" t="n">
        <f aca="true">IFERROR(SUMPRODUCT(OFFSET($BJ$31,0,1-MIN(60,COLUMN()-29),1,MIN(60,COLUMN()-29)),OFFSET(DC709,0,-MIN(60,COLUMN()-29),1,MIN(60,COLUMN()-29))),0)</f>
        <v>7.3860288</v>
      </c>
      <c r="DD710" s="112" t="n">
        <f aca="true">IFERROR(SUMPRODUCT(OFFSET($BJ$31,0,1-MIN(60,COLUMN()-29),1,MIN(60,COLUMN()-29)),OFFSET(DD709,0,-MIN(60,COLUMN()-29),1,MIN(60,COLUMN()-29))),0)</f>
        <v>7.9740032</v>
      </c>
      <c r="DE710" s="112" t="n">
        <f aca="true">IFERROR(SUMPRODUCT(OFFSET($BJ$31,0,1-MIN(60,COLUMN()-29),1,MIN(60,COLUMN()-29)),OFFSET(DE709,0,-MIN(60,COLUMN()-29),1,MIN(60,COLUMN()-29))),0)</f>
        <v>13.2161632</v>
      </c>
      <c r="DF710" s="112" t="n">
        <f aca="true">IFERROR(SUMPRODUCT(OFFSET($BJ$31,0,1-MIN(60,COLUMN()-29),1,MIN(60,COLUMN()-29)),OFFSET(DF709,0,-MIN(60,COLUMN()-29),1,MIN(60,COLUMN()-29))),0)</f>
        <v>13.7924752</v>
      </c>
      <c r="DG710" s="112" t="n">
        <f aca="true">IFERROR(SUMPRODUCT(OFFSET($BJ$31,0,1-MIN(60,COLUMN()-29),1,MIN(60,COLUMN()-29)),OFFSET(DG709,0,-MIN(60,COLUMN()-29),1,MIN(60,COLUMN()-29))),0)</f>
        <v>14.0510016</v>
      </c>
      <c r="DH710" s="112" t="n">
        <f aca="true">IFERROR(SUMPRODUCT(OFFSET($BJ$31,0,1-MIN(60,COLUMN()-29),1,MIN(60,COLUMN()-29)),OFFSET(DH709,0,-MIN(60,COLUMN()-29),1,MIN(60,COLUMN()-29))),0)</f>
        <v>13.3208288</v>
      </c>
      <c r="DI710" s="112" t="n">
        <f aca="true">IFERROR(SUMPRODUCT(OFFSET($BJ$31,0,1-MIN(60,COLUMN()-29),1,MIN(60,COLUMN()-29)),OFFSET(DI709,0,-MIN(60,COLUMN()-29),1,MIN(60,COLUMN()-29))),0)</f>
        <v>17.1758144</v>
      </c>
      <c r="DJ710" s="112" t="n">
        <f aca="true">IFERROR(SUMPRODUCT(OFFSET($BJ$31,0,1-MIN(60,COLUMN()-29),1,MIN(60,COLUMN()-29)),OFFSET(DJ709,0,-MIN(60,COLUMN()-29),1,MIN(60,COLUMN()-29))),0)</f>
        <v>19.2289296</v>
      </c>
      <c r="DK710" s="112" t="n">
        <f aca="true">IFERROR(SUMPRODUCT(OFFSET($BJ$31,0,1-MIN(60,COLUMN()-29),1,MIN(60,COLUMN()-29)),OFFSET(DK709,0,-MIN(60,COLUMN()-29),1,MIN(60,COLUMN()-29))),0)</f>
        <v>19.3381536</v>
      </c>
      <c r="DL710" s="112" t="n">
        <f aca="true">IFERROR(SUMPRODUCT(OFFSET($BJ$31,0,1-MIN(60,COLUMN()-29),1,MIN(60,COLUMN()-29)),OFFSET(DL709,0,-MIN(60,COLUMN()-29),1,MIN(60,COLUMN()-29))),0)</f>
        <v>26.4349904</v>
      </c>
      <c r="DM710" s="112" t="n">
        <f aca="true">IFERROR(SUMPRODUCT(OFFSET($BJ$31,0,1-MIN(60,COLUMN()-29),1,MIN(60,COLUMN()-29)),OFFSET(DM709,0,-MIN(60,COLUMN()-29),1,MIN(60,COLUMN()-29))),0)</f>
        <v>28.1014112</v>
      </c>
      <c r="DN710" s="112" t="n">
        <f aca="true">IFERROR(SUMPRODUCT(OFFSET($BJ$31,0,1-MIN(60,COLUMN()-29),1,MIN(60,COLUMN()-29)),OFFSET(DN709,0,-MIN(60,COLUMN()-29),1,MIN(60,COLUMN()-29))),0)</f>
        <v>27.306888</v>
      </c>
      <c r="DO710" s="112" t="n">
        <f aca="true">IFERROR(SUMPRODUCT(OFFSET($BJ$31,0,1-MIN(60,COLUMN()-29),1,MIN(60,COLUMN()-29)),OFFSET(DO709,0,-MIN(60,COLUMN()-29),1,MIN(60,COLUMN()-29))),0)</f>
        <v>29.3172608</v>
      </c>
      <c r="DP710" s="112" t="n">
        <f aca="true">IFERROR(SUMPRODUCT(OFFSET($BJ$31,0,1-MIN(60,COLUMN()-29),1,MIN(60,COLUMN()-29)),OFFSET(DP709,0,-MIN(60,COLUMN()-29),1,MIN(60,COLUMN()-29))),0)</f>
        <v>33.2778592</v>
      </c>
      <c r="DQ710" s="112" t="n">
        <f aca="true">IFERROR(SUMPRODUCT(OFFSET($BJ$31,0,1-MIN(60,COLUMN()-29),1,MIN(60,COLUMN()-29)),OFFSET(DQ709,0,-MIN(60,COLUMN()-29),1,MIN(60,COLUMN()-29))),0)</f>
        <v>48.07520408</v>
      </c>
      <c r="DR710" s="112" t="n">
        <f aca="true">IFERROR(SUMPRODUCT(OFFSET($BJ$31,0,1-MIN(60,COLUMN()-29),1,MIN(60,COLUMN()-29)),OFFSET(DR709,0,-MIN(60,COLUMN()-29),1,MIN(60,COLUMN()-29))),0)</f>
        <v>47.86676088</v>
      </c>
      <c r="DS710" s="112" t="n">
        <f aca="true">IFERROR(SUMPRODUCT(OFFSET($BJ$31,0,1-MIN(60,COLUMN()-29),1,MIN(60,COLUMN()-29)),OFFSET(DS709,0,-MIN(60,COLUMN()-29),1,MIN(60,COLUMN()-29))),0)</f>
        <v>46.914742</v>
      </c>
      <c r="DT710" s="112" t="n">
        <f aca="true">IFERROR(SUMPRODUCT(OFFSET($BJ$31,0,1-MIN(60,COLUMN()-29),1,MIN(60,COLUMN()-29)),OFFSET(DT709,0,-MIN(60,COLUMN()-29),1,MIN(60,COLUMN()-29))),0)</f>
        <v>44.04318976</v>
      </c>
      <c r="DU710" s="112" t="n">
        <f aca="true">IFERROR(SUMPRODUCT(OFFSET($BJ$31,0,1-MIN(60,COLUMN()-29),1,MIN(60,COLUMN()-29)),OFFSET(DU709,0,-MIN(60,COLUMN()-29),1,MIN(60,COLUMN()-29))),0)</f>
        <v>54.16653036</v>
      </c>
      <c r="DV710" s="112" t="n">
        <f aca="true">IFERROR(SUMPRODUCT(OFFSET($BJ$31,0,1-MIN(60,COLUMN()-29),1,MIN(60,COLUMN()-29)),OFFSET(DV709,0,-MIN(60,COLUMN()-29),1,MIN(60,COLUMN()-29))),0)</f>
        <v>58.44157844</v>
      </c>
      <c r="DW710" s="112" t="n">
        <f aca="true">IFERROR(SUMPRODUCT(OFFSET($BJ$31,0,1-MIN(60,COLUMN()-29),1,MIN(60,COLUMN()-29)),OFFSET(DW709,0,-MIN(60,COLUMN()-29),1,MIN(60,COLUMN()-29))),0)</f>
        <v>57.9629346</v>
      </c>
      <c r="DX710" s="112" t="n">
        <f aca="true">IFERROR(SUMPRODUCT(OFFSET($BJ$31,0,1-MIN(60,COLUMN()-29),1,MIN(60,COLUMN()-29)),OFFSET(DX709,0,-MIN(60,COLUMN()-29),1,MIN(60,COLUMN()-29))),0)</f>
        <v>68.89672468</v>
      </c>
      <c r="DY710" s="112" t="n">
        <f aca="true">IFERROR(SUMPRODUCT(OFFSET($BJ$31,0,1-MIN(60,COLUMN()-29),1,MIN(60,COLUMN()-29)),OFFSET(DY709,0,-MIN(60,COLUMN()-29),1,MIN(60,COLUMN()-29))),0)</f>
        <v>71.33519044</v>
      </c>
      <c r="DZ710" s="112" t="n">
        <f aca="true">IFERROR(SUMPRODUCT(OFFSET($BJ$31,0,1-MIN(60,COLUMN()-29),1,MIN(60,COLUMN()-29)),OFFSET(DZ709,0,-MIN(60,COLUMN()-29),1,MIN(60,COLUMN()-29))),0)</f>
        <v>72.22380612</v>
      </c>
      <c r="EA710" s="112" t="n">
        <f aca="true">IFERROR(SUMPRODUCT(OFFSET($BJ$31,0,1-MIN(60,COLUMN()-29),1,MIN(60,COLUMN()-29)),OFFSET(EA709,0,-MIN(60,COLUMN()-29),1,MIN(60,COLUMN()-29))),0)</f>
        <v>72.82193332</v>
      </c>
      <c r="EB710" s="112" t="n">
        <f aca="true">IFERROR(SUMPRODUCT(OFFSET($BJ$31,0,1-MIN(60,COLUMN()-29),1,MIN(60,COLUMN()-29)),OFFSET(EB709,0,-MIN(60,COLUMN()-29),1,MIN(60,COLUMN()-29))),0)</f>
        <v>79.23220404</v>
      </c>
      <c r="EC710" s="112" t="n">
        <f aca="true">IFERROR(SUMPRODUCT(OFFSET($BJ$31,0,1-MIN(60,COLUMN()-29),1,MIN(60,COLUMN()-29)),OFFSET(EC709,0,-MIN(60,COLUMN()-29),1,MIN(60,COLUMN()-29))),0)</f>
        <v>98.11095972</v>
      </c>
      <c r="ED710" s="112" t="n">
        <f aca="true">IFERROR(SUMPRODUCT(OFFSET($BJ$31,0,1-MIN(60,COLUMN()-29),1,MIN(60,COLUMN()-29)),OFFSET(ED709,0,-MIN(60,COLUMN()-29),1,MIN(60,COLUMN()-29))),0)</f>
        <v>97.66529028</v>
      </c>
      <c r="EE710" s="112" t="n">
        <f aca="true">IFERROR(SUMPRODUCT(OFFSET($BJ$31,0,1-MIN(60,COLUMN()-29),1,MIN(60,COLUMN()-29)),OFFSET(EE709,0,-MIN(60,COLUMN()-29),1,MIN(60,COLUMN()-29))),0)</f>
        <v>96.95886852</v>
      </c>
      <c r="EF710" s="112" t="n">
        <f aca="true">IFERROR(SUMPRODUCT(OFFSET($BJ$31,0,1-MIN(60,COLUMN()-29),1,MIN(60,COLUMN()-29)),OFFSET(EF709,0,-MIN(60,COLUMN()-29),1,MIN(60,COLUMN()-29))),0)</f>
        <v>94.20205476</v>
      </c>
      <c r="EG710" s="112" t="n">
        <f aca="true">IFERROR(SUMPRODUCT(OFFSET($BJ$31,0,1-MIN(60,COLUMN()-29),1,MIN(60,COLUMN()-29)),OFFSET(EG709,0,-MIN(60,COLUMN()-29),1,MIN(60,COLUMN()-29))),0)</f>
        <v>109.08679068</v>
      </c>
      <c r="EH710" s="112" t="n">
        <f aca="true">IFERROR(SUMPRODUCT(OFFSET($BJ$31,0,1-MIN(60,COLUMN()-29),1,MIN(60,COLUMN()-29)),OFFSET(EH709,0,-MIN(60,COLUMN()-29),1,MIN(60,COLUMN()-29))),0)</f>
        <v>114.91826892</v>
      </c>
      <c r="EI710" s="112" t="n">
        <f aca="true">IFERROR(SUMPRODUCT(OFFSET($BJ$31,0,1-MIN(60,COLUMN()-29),1,MIN(60,COLUMN()-29)),OFFSET(EI709,0,-MIN(60,COLUMN()-29),1,MIN(60,COLUMN()-29))),0)</f>
        <v>115.41768012</v>
      </c>
      <c r="EJ710" s="112" t="n">
        <f aca="true">IFERROR(SUMPRODUCT(OFFSET($BJ$31,0,1-MIN(60,COLUMN()-29),1,MIN(60,COLUMN()-29)),OFFSET(EJ709,0,-MIN(60,COLUMN()-29),1,MIN(60,COLUMN()-29))),0)</f>
        <v>129.1475454</v>
      </c>
      <c r="EK710" s="112" t="n">
        <f aca="true">IFERROR(SUMPRODUCT(OFFSET($BJ$31,0,1-MIN(60,COLUMN()-29),1,MIN(60,COLUMN()-29)),OFFSET(EK709,0,-MIN(60,COLUMN()-29),1,MIN(60,COLUMN()-29))),0)</f>
        <v>133.25638356</v>
      </c>
      <c r="EL710" s="112" t="n">
        <f aca="true">IFERROR(SUMPRODUCT(OFFSET($BJ$31,0,1-MIN(60,COLUMN()-29),1,MIN(60,COLUMN()-29)),OFFSET(EL709,0,-MIN(60,COLUMN()-29),1,MIN(60,COLUMN()-29))),0)</f>
        <v>134.76202308</v>
      </c>
      <c r="EM710" s="112" t="n">
        <f aca="true">IFERROR(SUMPRODUCT(OFFSET($BJ$31,0,1-MIN(60,COLUMN()-29),1,MIN(60,COLUMN()-29)),OFFSET(EM709,0,-MIN(60,COLUMN()-29),1,MIN(60,COLUMN()-29))),0)</f>
        <v>135.0759222</v>
      </c>
      <c r="EN710" s="112" t="n">
        <f aca="true">IFERROR(SUMPRODUCT(OFFSET($BJ$31,0,1-MIN(60,COLUMN()-29),1,MIN(60,COLUMN()-29)),OFFSET(EN709,0,-MIN(60,COLUMN()-29),1,MIN(60,COLUMN()-29))),0)</f>
        <v>143.73536076</v>
      </c>
      <c r="EO710" s="112" t="n">
        <f aca="true">IFERROR(SUMPRODUCT(OFFSET($BJ$31,0,1-MIN(60,COLUMN()-29),1,MIN(60,COLUMN()-29)),OFFSET(EO709,0,-MIN(60,COLUMN()-29),1,MIN(60,COLUMN()-29))),0)</f>
        <v>166.5463758</v>
      </c>
      <c r="EP710" s="112" t="n">
        <f aca="true">IFERROR(SUMPRODUCT(OFFSET($BJ$31,0,1-MIN(60,COLUMN()-29),1,MIN(60,COLUMN()-29)),OFFSET(EP709,0,-MIN(60,COLUMN()-29),1,MIN(60,COLUMN()-29))),0)</f>
        <v>166.97144364</v>
      </c>
      <c r="EQ710" s="112" t="n">
        <f aca="true">IFERROR(SUMPRODUCT(OFFSET($BJ$31,0,1-MIN(60,COLUMN()-29),1,MIN(60,COLUMN()-29)),OFFSET(EQ709,0,-MIN(60,COLUMN()-29),1,MIN(60,COLUMN()-29))),0)</f>
        <v>166.14880044</v>
      </c>
      <c r="ER710" s="112" t="n">
        <f aca="true">IFERROR(SUMPRODUCT(OFFSET($BJ$31,0,1-MIN(60,COLUMN()-29),1,MIN(60,COLUMN()-29)),OFFSET(ER709,0,-MIN(60,COLUMN()-29),1,MIN(60,COLUMN()-29))),0)</f>
        <v>162.99609852</v>
      </c>
      <c r="ES710" s="9" t="n">
        <f aca="true">IFERROR(SUMPRODUCT(OFFSET($BJ$31,0,1-MIN(60,COLUMN()-29),1,MIN(60,COLUMN()-29)),OFFSET(ES709,0,-MIN(60,COLUMN()-29),1,MIN(60,COLUMN()-29))),0)</f>
        <v>179.79593076</v>
      </c>
      <c r="ET710" s="9" t="n">
        <f aca="true">IFERROR(SUMPRODUCT(OFFSET($BJ$31,0,1-MIN(60,COLUMN()-29),1,MIN(60,COLUMN()-29)),OFFSET(ET709,0,-MIN(60,COLUMN()-29),1,MIN(60,COLUMN()-29))),0)</f>
        <v>186.35793108</v>
      </c>
      <c r="EU710" s="9" t="n">
        <f aca="true">IFERROR(SUMPRODUCT(OFFSET($BJ$31,0,1-MIN(60,COLUMN()-29),1,MIN(60,COLUMN()-29)),OFFSET(EU709,0,-MIN(60,COLUMN()-29),1,MIN(60,COLUMN()-29))),0)</f>
        <v>186.79411668</v>
      </c>
      <c r="EV710" s="9" t="n">
        <f aca="true">IFERROR(SUMPRODUCT(OFFSET($BJ$31,0,1-MIN(60,COLUMN()-29),1,MIN(60,COLUMN()-29)),OFFSET(EV709,0,-MIN(60,COLUMN()-29),1,MIN(60,COLUMN()-29))),0)</f>
        <v>201.07535892</v>
      </c>
      <c r="EW710" s="9" t="n">
        <f aca="true">IFERROR(SUMPRODUCT(OFFSET($BJ$31,0,1-MIN(60,COLUMN()-29),1,MIN(60,COLUMN()-29)),OFFSET(EW709,0,-MIN(60,COLUMN()-29),1,MIN(60,COLUMN()-29))),0)</f>
        <v>204.75936012</v>
      </c>
      <c r="EX710" s="9" t="n">
        <f aca="true">IFERROR(SUMPRODUCT(OFFSET($BJ$31,0,1-MIN(60,COLUMN()-29),1,MIN(60,COLUMN()-29)),OFFSET(EX709,0,-MIN(60,COLUMN()-29),1,MIN(60,COLUMN()-29))),0)</f>
        <v>205.63197996</v>
      </c>
      <c r="EY710" s="9" t="n">
        <f aca="true">IFERROR(SUMPRODUCT(OFFSET($BJ$31,0,1-MIN(60,COLUMN()-29),1,MIN(60,COLUMN()-29)),OFFSET(EY709,0,-MIN(60,COLUMN()-29),1,MIN(60,COLUMN()-29))),0)</f>
        <v>205.39562988</v>
      </c>
      <c r="EZ710" s="9" t="n">
        <f aca="true">IFERROR(SUMPRODUCT(OFFSET($BJ$31,0,1-MIN(60,COLUMN()-29),1,MIN(60,COLUMN()-29)),OFFSET(EZ709,0,-MIN(60,COLUMN()-29),1,MIN(60,COLUMN()-29))),0)</f>
        <v>214.1198658</v>
      </c>
      <c r="FA710" s="9" t="n">
        <f aca="true">IFERROR(SUMPRODUCT(OFFSET($BJ$31,0,1-MIN(60,COLUMN()-29),1,MIN(60,COLUMN()-29)),OFFSET(FA709,0,-MIN(60,COLUMN()-29),1,MIN(60,COLUMN()-29))),0)</f>
        <v>236.7264588</v>
      </c>
      <c r="FB710" s="9" t="n">
        <f aca="true">IFERROR(SUMPRODUCT(OFFSET($BJ$31,0,1-MIN(60,COLUMN()-29),1,MIN(60,COLUMN()-29)),OFFSET(FB709,0,-MIN(60,COLUMN()-29),1,MIN(60,COLUMN()-29))),0)</f>
        <v>235.9826256</v>
      </c>
      <c r="FC710" s="9" t="n">
        <f aca="true">IFERROR(SUMPRODUCT(OFFSET($BJ$31,0,1-MIN(60,COLUMN()-29),1,MIN(60,COLUMN()-29)),OFFSET(FC709,0,-MIN(60,COLUMN()-29),1,MIN(60,COLUMN()-29))),0)</f>
        <v>233.80326048</v>
      </c>
      <c r="FD710" s="9" t="n">
        <f aca="true">IFERROR(SUMPRODUCT(OFFSET($BJ$31,0,1-MIN(60,COLUMN()-29),1,MIN(60,COLUMN()-29)),OFFSET(FD709,0,-MIN(60,COLUMN()-29),1,MIN(60,COLUMN()-29))),0)</f>
        <v>229.88886768</v>
      </c>
      <c r="FE710" s="9" t="n">
        <f aca="true">IFERROR(SUMPRODUCT(OFFSET($BJ$31,0,1-MIN(60,COLUMN()-29),1,MIN(60,COLUMN()-29)),OFFSET(FE709,0,-MIN(60,COLUMN()-29),1,MIN(60,COLUMN()-29))),0)</f>
        <v>246.4659096</v>
      </c>
      <c r="FF710" s="9" t="n">
        <f aca="true">IFERROR(SUMPRODUCT(OFFSET($BJ$31,0,1-MIN(60,COLUMN()-29),1,MIN(60,COLUMN()-29)),OFFSET(FF709,0,-MIN(60,COLUMN()-29),1,MIN(60,COLUMN()-29))),0)</f>
        <v>252.05315232</v>
      </c>
      <c r="FG710" s="9" t="n">
        <f aca="true">IFERROR(SUMPRODUCT(OFFSET($BJ$31,0,1-MIN(60,COLUMN()-29),1,MIN(60,COLUMN()-29)),OFFSET(FG709,0,-MIN(60,COLUMN()-29),1,MIN(60,COLUMN()-29))),0)</f>
        <v>251.67974832</v>
      </c>
      <c r="FH710" s="9" t="n">
        <f aca="true">IFERROR(SUMPRODUCT(OFFSET($BJ$31,0,1-MIN(60,COLUMN()-29),1,MIN(60,COLUMN()-29)),OFFSET(FH709,0,-MIN(60,COLUMN()-29),1,MIN(60,COLUMN()-29))),0)</f>
        <v>264.54331632</v>
      </c>
      <c r="FI710" s="9" t="n">
        <f aca="true">IFERROR(SUMPRODUCT(OFFSET($BJ$31,0,1-MIN(60,COLUMN()-29),1,MIN(60,COLUMN()-29)),OFFSET(FI709,0,-MIN(60,COLUMN()-29),1,MIN(60,COLUMN()-29))),0)</f>
        <v>266.67851232</v>
      </c>
      <c r="FJ710" s="9" t="n">
        <f aca="true">IFERROR(SUMPRODUCT(OFFSET($BJ$31,0,1-MIN(60,COLUMN()-29),1,MIN(60,COLUMN()-29)),OFFSET(FJ709,0,-MIN(60,COLUMN()-29),1,MIN(60,COLUMN()-29))),0)</f>
        <v>266.43573312</v>
      </c>
      <c r="FK710" s="9" t="n">
        <f aca="true">IFERROR(SUMPRODUCT(OFFSET($BJ$31,0,1-MIN(60,COLUMN()-29),1,MIN(60,COLUMN()-29)),OFFSET(FK709,0,-MIN(60,COLUMN()-29),1,MIN(60,COLUMN()-29))),0)</f>
        <v>264.68903712</v>
      </c>
      <c r="FL710" s="9" t="n">
        <f aca="true">IFERROR(SUMPRODUCT(OFFSET($BJ$31,0,1-MIN(60,COLUMN()-29),1,MIN(60,COLUMN()-29)),OFFSET(FL709,0,-MIN(60,COLUMN()-29),1,MIN(60,COLUMN()-29))),0)</f>
        <v>271.87704192</v>
      </c>
      <c r="FM710" s="9" t="n">
        <f aca="true">IFERROR(SUMPRODUCT(OFFSET($BJ$31,0,1-MIN(60,COLUMN()-29),1,MIN(60,COLUMN()-29)),OFFSET(FM709,0,-MIN(60,COLUMN()-29),1,MIN(60,COLUMN()-29))),0)</f>
        <v>291.52861512</v>
      </c>
      <c r="FN710" s="9" t="n">
        <f aca="true">IFERROR(SUMPRODUCT(OFFSET($BJ$31,0,1-MIN(60,COLUMN()-29),1,MIN(60,COLUMN()-29)),OFFSET(FN709,0,-MIN(60,COLUMN()-29),1,MIN(60,COLUMN()-29))),0)</f>
        <v>288.14666712</v>
      </c>
      <c r="FO710" s="9" t="n">
        <f aca="true">IFERROR(SUMPRODUCT(OFFSET($BJ$31,0,1-MIN(60,COLUMN()-29),1,MIN(60,COLUMN()-29)),OFFSET(FO709,0,-MIN(60,COLUMN()-29),1,MIN(60,COLUMN()-29))),0)</f>
        <v>283.84945752</v>
      </c>
      <c r="FP710" s="9" t="n">
        <f aca="true">IFERROR(SUMPRODUCT(OFFSET($BJ$31,0,1-MIN(60,COLUMN()-29),1,MIN(60,COLUMN()-29)),OFFSET(FP709,0,-MIN(60,COLUMN()-29),1,MIN(60,COLUMN()-29))),0)</f>
        <v>278.31952632</v>
      </c>
    </row>
    <row r="711" customFormat="false" ht="15" hidden="false" customHeight="false" outlineLevel="2" collapsed="false">
      <c r="B711" s="90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237"/>
      <c r="AD711" s="237"/>
      <c r="AE711" s="237"/>
      <c r="AF711" s="237"/>
      <c r="AG711" s="237"/>
      <c r="AH711" s="237"/>
      <c r="AI711" s="237"/>
      <c r="AJ711" s="237"/>
      <c r="AK711" s="237"/>
      <c r="AL711" s="237"/>
      <c r="AM711" s="237"/>
      <c r="AN711" s="237"/>
      <c r="AO711" s="237"/>
      <c r="AP711" s="237"/>
      <c r="AQ711" s="237"/>
      <c r="AR711" s="237"/>
      <c r="AS711" s="237"/>
      <c r="AT711" s="237"/>
      <c r="AU711" s="237"/>
      <c r="AV711" s="237"/>
      <c r="AW711" s="237"/>
      <c r="AX711" s="237"/>
      <c r="AY711" s="237"/>
      <c r="AZ711" s="237"/>
      <c r="BA711" s="237"/>
      <c r="BB711" s="237"/>
      <c r="BC711" s="237"/>
      <c r="BD711" s="237"/>
      <c r="BE711" s="237"/>
      <c r="BF711" s="237"/>
      <c r="BG711" s="237"/>
      <c r="BH711" s="237"/>
      <c r="BI711" s="237"/>
      <c r="BJ711" s="237"/>
      <c r="BK711" s="237"/>
      <c r="BL711" s="237"/>
      <c r="BM711" s="237"/>
      <c r="BN711" s="237"/>
      <c r="BO711" s="237"/>
      <c r="BP711" s="237"/>
      <c r="BQ711" s="237"/>
      <c r="BR711" s="237"/>
      <c r="BS711" s="237"/>
      <c r="BT711" s="237"/>
      <c r="BU711" s="237"/>
      <c r="BV711" s="237"/>
      <c r="BW711" s="237"/>
      <c r="BX711" s="237"/>
      <c r="BY711" s="237"/>
      <c r="BZ711" s="237"/>
      <c r="CA711" s="237"/>
      <c r="CB711" s="237"/>
      <c r="CC711" s="237"/>
      <c r="CD711" s="237"/>
      <c r="CE711" s="237"/>
      <c r="CF711" s="237"/>
      <c r="CG711" s="237"/>
      <c r="CH711" s="237"/>
      <c r="CI711" s="237"/>
      <c r="CJ711" s="237"/>
      <c r="CK711" s="237"/>
      <c r="CL711" s="237"/>
      <c r="CM711" s="237"/>
      <c r="CN711" s="237"/>
      <c r="CO711" s="237"/>
      <c r="CP711" s="237"/>
      <c r="CQ711" s="237"/>
      <c r="CR711" s="237"/>
      <c r="CS711" s="237"/>
      <c r="CT711" s="237"/>
      <c r="CU711" s="237"/>
      <c r="CV711" s="237"/>
      <c r="CW711" s="237"/>
      <c r="CX711" s="237"/>
      <c r="CY711" s="237"/>
      <c r="CZ711" s="237"/>
      <c r="DA711" s="237"/>
      <c r="DB711" s="237"/>
      <c r="DC711" s="237"/>
      <c r="DD711" s="237"/>
      <c r="DE711" s="237"/>
      <c r="DF711" s="237"/>
      <c r="DG711" s="237"/>
      <c r="DH711" s="237"/>
      <c r="DI711" s="237"/>
      <c r="DJ711" s="237"/>
      <c r="DK711" s="237"/>
      <c r="DL711" s="237"/>
      <c r="DM711" s="237"/>
      <c r="DN711" s="237"/>
      <c r="DO711" s="237"/>
      <c r="DP711" s="237"/>
      <c r="DQ711" s="237"/>
      <c r="DR711" s="237"/>
      <c r="DS711" s="237"/>
      <c r="DT711" s="237"/>
      <c r="DU711" s="237"/>
      <c r="DV711" s="237"/>
      <c r="DW711" s="237"/>
      <c r="DX711" s="237"/>
      <c r="DY711" s="237"/>
      <c r="DZ711" s="237"/>
      <c r="EA711" s="237"/>
      <c r="EB711" s="237"/>
      <c r="EC711" s="237"/>
      <c r="ED711" s="237"/>
      <c r="EE711" s="237"/>
      <c r="EF711" s="237"/>
      <c r="EG711" s="237"/>
      <c r="EH711" s="237"/>
      <c r="EI711" s="237"/>
      <c r="EJ711" s="237"/>
      <c r="EK711" s="237"/>
      <c r="EL711" s="237"/>
      <c r="EM711" s="237"/>
      <c r="EN711" s="237"/>
      <c r="EO711" s="237"/>
      <c r="EP711" s="237"/>
      <c r="EQ711" s="237"/>
      <c r="ER711" s="237"/>
      <c r="ES711" s="9"/>
      <c r="ET711" s="9"/>
      <c r="EU711" s="9"/>
      <c r="EV711" s="9"/>
      <c r="EW711" s="9"/>
      <c r="EX711" s="9"/>
      <c r="EY711" s="9"/>
      <c r="EZ711" s="9"/>
      <c r="FA711" s="9"/>
      <c r="FB711" s="9"/>
      <c r="FC711" s="9"/>
      <c r="FD711" s="9"/>
      <c r="FE711" s="9"/>
      <c r="FF711" s="9"/>
      <c r="FG711" s="9"/>
      <c r="FH711" s="9"/>
      <c r="FI711" s="9"/>
      <c r="FJ711" s="9"/>
      <c r="FK711" s="9"/>
      <c r="FL711" s="9"/>
      <c r="FM711" s="9"/>
      <c r="FN711" s="9"/>
      <c r="FO711" s="9"/>
      <c r="FP711" s="9"/>
    </row>
    <row r="712" customFormat="false" ht="15" hidden="false" customHeight="false" outlineLevel="2" collapsed="false">
      <c r="B712" s="240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237"/>
      <c r="AD712" s="237"/>
      <c r="AE712" s="237"/>
      <c r="AF712" s="237"/>
      <c r="AG712" s="237"/>
      <c r="AH712" s="237"/>
      <c r="AI712" s="237"/>
      <c r="AJ712" s="237"/>
      <c r="AK712" s="237"/>
      <c r="AL712" s="237"/>
      <c r="AM712" s="237"/>
      <c r="AN712" s="237"/>
      <c r="AO712" s="237"/>
      <c r="AP712" s="237"/>
      <c r="AQ712" s="237"/>
      <c r="AR712" s="237"/>
      <c r="AS712" s="237"/>
      <c r="AT712" s="237"/>
      <c r="AU712" s="237"/>
      <c r="AV712" s="237"/>
      <c r="AW712" s="237"/>
      <c r="AX712" s="237"/>
      <c r="AY712" s="237"/>
      <c r="AZ712" s="237"/>
      <c r="BA712" s="237"/>
      <c r="BB712" s="237"/>
      <c r="BC712" s="237"/>
      <c r="BD712" s="237"/>
      <c r="BE712" s="237"/>
      <c r="BF712" s="237"/>
      <c r="BG712" s="237"/>
      <c r="BH712" s="237"/>
      <c r="BI712" s="237"/>
      <c r="BJ712" s="237"/>
      <c r="BK712" s="237"/>
      <c r="BL712" s="237"/>
      <c r="BM712" s="237"/>
      <c r="BN712" s="237"/>
      <c r="BO712" s="237"/>
      <c r="BP712" s="237"/>
      <c r="BQ712" s="237"/>
      <c r="BR712" s="237"/>
      <c r="BS712" s="237"/>
      <c r="BT712" s="237"/>
      <c r="BU712" s="237"/>
      <c r="BV712" s="237"/>
      <c r="BW712" s="237"/>
      <c r="BX712" s="237"/>
      <c r="BY712" s="237"/>
      <c r="BZ712" s="237"/>
      <c r="CA712" s="237"/>
      <c r="CB712" s="237"/>
      <c r="CC712" s="237"/>
      <c r="CD712" s="237"/>
      <c r="CE712" s="237"/>
      <c r="CF712" s="237"/>
      <c r="CG712" s="237"/>
      <c r="CH712" s="237"/>
      <c r="CI712" s="237"/>
      <c r="CJ712" s="237"/>
      <c r="CK712" s="237"/>
      <c r="CL712" s="237"/>
      <c r="CM712" s="237"/>
      <c r="CN712" s="237"/>
      <c r="CO712" s="237"/>
      <c r="CP712" s="237"/>
      <c r="CQ712" s="237"/>
      <c r="CR712" s="237"/>
      <c r="CS712" s="237"/>
      <c r="CT712" s="237"/>
      <c r="CU712" s="237"/>
      <c r="CV712" s="237"/>
      <c r="CW712" s="237"/>
      <c r="CX712" s="237"/>
      <c r="CY712" s="237"/>
      <c r="CZ712" s="237"/>
      <c r="DA712" s="237"/>
      <c r="DB712" s="237"/>
      <c r="DC712" s="237"/>
      <c r="DD712" s="237"/>
      <c r="DE712" s="237"/>
      <c r="DF712" s="237"/>
      <c r="DG712" s="237"/>
      <c r="DH712" s="237"/>
      <c r="DI712" s="237"/>
      <c r="DJ712" s="237"/>
      <c r="DK712" s="237"/>
      <c r="DL712" s="237"/>
      <c r="DM712" s="237"/>
      <c r="DN712" s="237"/>
      <c r="DO712" s="237"/>
      <c r="DP712" s="237"/>
      <c r="DQ712" s="237"/>
      <c r="DR712" s="237"/>
      <c r="DS712" s="237"/>
      <c r="DT712" s="237"/>
      <c r="DU712" s="237"/>
      <c r="DV712" s="237"/>
      <c r="DW712" s="237"/>
      <c r="DX712" s="237"/>
      <c r="DY712" s="237"/>
      <c r="DZ712" s="237"/>
      <c r="EA712" s="237"/>
      <c r="EB712" s="237"/>
      <c r="EC712" s="237"/>
      <c r="ED712" s="237"/>
      <c r="EE712" s="237"/>
      <c r="EF712" s="237"/>
      <c r="EG712" s="237"/>
      <c r="EH712" s="237"/>
      <c r="EI712" s="237"/>
      <c r="EJ712" s="237"/>
      <c r="EK712" s="237"/>
      <c r="EL712" s="237"/>
      <c r="EM712" s="237"/>
      <c r="EN712" s="237"/>
      <c r="EO712" s="237"/>
      <c r="EP712" s="237"/>
      <c r="EQ712" s="237"/>
      <c r="ER712" s="237"/>
      <c r="ES712" s="9"/>
      <c r="ET712" s="9"/>
      <c r="EU712" s="9"/>
      <c r="EV712" s="9"/>
      <c r="EW712" s="9"/>
      <c r="EX712" s="9"/>
      <c r="EY712" s="9"/>
      <c r="EZ712" s="9"/>
      <c r="FA712" s="9"/>
      <c r="FB712" s="9"/>
      <c r="FC712" s="9"/>
      <c r="FD712" s="9"/>
      <c r="FE712" s="9"/>
      <c r="FF712" s="9"/>
      <c r="FG712" s="9"/>
      <c r="FH712" s="9"/>
      <c r="FI712" s="9"/>
      <c r="FJ712" s="9"/>
      <c r="FK712" s="9"/>
      <c r="FL712" s="9"/>
      <c r="FM712" s="9"/>
      <c r="FN712" s="9"/>
      <c r="FO712" s="9"/>
      <c r="FP712" s="9"/>
    </row>
    <row r="713" customFormat="false" ht="15" hidden="false" customHeight="false" outlineLevel="2" collapsed="false">
      <c r="B713" s="21" t="s">
        <v>944</v>
      </c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  <c r="AP713" s="21"/>
      <c r="AQ713" s="21"/>
      <c r="AR713" s="21"/>
      <c r="AS713" s="21"/>
      <c r="AT713" s="21"/>
      <c r="AU713" s="21"/>
      <c r="AV713" s="21"/>
      <c r="AW713" s="21"/>
      <c r="AX713" s="21"/>
      <c r="AY713" s="21"/>
      <c r="AZ713" s="21"/>
      <c r="BA713" s="21"/>
      <c r="BB713" s="21"/>
      <c r="BC713" s="21"/>
      <c r="BD713" s="21"/>
      <c r="BE713" s="21"/>
      <c r="BF713" s="21"/>
      <c r="BG713" s="21"/>
      <c r="BH713" s="21"/>
      <c r="BI713" s="21"/>
      <c r="BJ713" s="21"/>
      <c r="BK713" s="21"/>
      <c r="BL713" s="21"/>
      <c r="BM713" s="21"/>
      <c r="BN713" s="21"/>
      <c r="BO713" s="21"/>
      <c r="BP713" s="21"/>
      <c r="BQ713" s="21"/>
      <c r="BR713" s="21"/>
      <c r="BS713" s="21"/>
      <c r="BT713" s="21"/>
      <c r="BU713" s="21"/>
      <c r="BV713" s="21"/>
      <c r="BW713" s="21"/>
      <c r="BX713" s="21"/>
      <c r="BY713" s="21"/>
      <c r="BZ713" s="21"/>
      <c r="CA713" s="21"/>
      <c r="CB713" s="21"/>
      <c r="CC713" s="21"/>
      <c r="CD713" s="21"/>
      <c r="CE713" s="21"/>
      <c r="CF713" s="21"/>
      <c r="CG713" s="21"/>
      <c r="CH713" s="21"/>
      <c r="CI713" s="21"/>
      <c r="CJ713" s="21"/>
      <c r="CK713" s="21"/>
      <c r="CL713" s="21"/>
      <c r="CM713" s="21"/>
      <c r="CN713" s="21"/>
      <c r="CO713" s="21"/>
      <c r="CP713" s="21"/>
      <c r="CQ713" s="21"/>
      <c r="CR713" s="21"/>
      <c r="CS713" s="21"/>
      <c r="CT713" s="21"/>
      <c r="CU713" s="21"/>
      <c r="CV713" s="21"/>
      <c r="CW713" s="21"/>
      <c r="CX713" s="21"/>
      <c r="CY713" s="21"/>
      <c r="CZ713" s="21"/>
      <c r="DA713" s="21"/>
      <c r="DB713" s="21"/>
      <c r="DC713" s="21"/>
      <c r="DD713" s="21"/>
      <c r="DE713" s="21"/>
      <c r="DF713" s="21"/>
      <c r="DG713" s="21"/>
      <c r="DH713" s="21"/>
      <c r="DI713" s="21"/>
      <c r="DJ713" s="21"/>
      <c r="DK713" s="21"/>
      <c r="DL713" s="21"/>
      <c r="DM713" s="21"/>
      <c r="DN713" s="21"/>
      <c r="DO713" s="21"/>
      <c r="DP713" s="21"/>
      <c r="DQ713" s="21"/>
      <c r="DR713" s="21"/>
      <c r="DS713" s="21"/>
      <c r="DT713" s="21"/>
      <c r="DU713" s="21"/>
      <c r="DV713" s="21"/>
      <c r="DW713" s="21"/>
      <c r="DX713" s="21"/>
      <c r="DY713" s="21"/>
      <c r="DZ713" s="21"/>
      <c r="EA713" s="21"/>
      <c r="EB713" s="21"/>
      <c r="EC713" s="21"/>
      <c r="ED713" s="21"/>
      <c r="EE713" s="21"/>
      <c r="EF713" s="21"/>
      <c r="EG713" s="21"/>
      <c r="EH713" s="21"/>
      <c r="EI713" s="21"/>
      <c r="EJ713" s="21"/>
      <c r="EK713" s="21"/>
      <c r="EL713" s="21"/>
      <c r="EM713" s="21"/>
      <c r="EN713" s="21"/>
      <c r="EO713" s="21"/>
      <c r="EP713" s="21"/>
      <c r="EQ713" s="21"/>
      <c r="ER713" s="21"/>
      <c r="ES713" s="9"/>
      <c r="ET713" s="9"/>
      <c r="EU713" s="9"/>
      <c r="EV713" s="9"/>
      <c r="EW713" s="9"/>
      <c r="EX713" s="9"/>
      <c r="EY713" s="9"/>
      <c r="EZ713" s="9"/>
      <c r="FA713" s="9"/>
      <c r="FB713" s="9"/>
      <c r="FC713" s="9"/>
      <c r="FD713" s="9"/>
      <c r="FE713" s="9"/>
      <c r="FF713" s="9"/>
      <c r="FG713" s="9"/>
      <c r="FH713" s="9"/>
      <c r="FI713" s="9"/>
      <c r="FJ713" s="9"/>
      <c r="FK713" s="9"/>
      <c r="FL713" s="9"/>
      <c r="FM713" s="9"/>
      <c r="FN713" s="9"/>
      <c r="FO713" s="9"/>
      <c r="FP713" s="9"/>
    </row>
    <row r="714" customFormat="false" ht="15" hidden="false" customHeight="false" outlineLevel="2" collapsed="false">
      <c r="B714" s="9" t="s">
        <v>872</v>
      </c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234" t="n">
        <f aca="false">('⑫ Roll-out Plan'!G76-2025)*12+'⑫ Roll-out Plan'!F76</f>
        <v>76</v>
      </c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  <c r="CU714" s="9"/>
      <c r="CV714" s="9"/>
      <c r="CW714" s="9"/>
      <c r="CX714" s="9"/>
      <c r="CY714" s="9"/>
      <c r="CZ714" s="9"/>
      <c r="DA714" s="9"/>
      <c r="DB714" s="9"/>
      <c r="DC714" s="9"/>
      <c r="DD714" s="9"/>
      <c r="DE714" s="9"/>
      <c r="DF714" s="9"/>
      <c r="DG714" s="9"/>
      <c r="DH714" s="9"/>
      <c r="DI714" s="9"/>
      <c r="DJ714" s="9"/>
      <c r="DK714" s="9"/>
      <c r="DL714" s="9"/>
      <c r="DM714" s="9"/>
      <c r="DN714" s="9"/>
      <c r="DO714" s="9"/>
      <c r="DP714" s="9"/>
      <c r="DQ714" s="9"/>
      <c r="DR714" s="9"/>
      <c r="DS714" s="9"/>
      <c r="DT714" s="9"/>
      <c r="DU714" s="9"/>
      <c r="DV714" s="9"/>
      <c r="DW714" s="9"/>
      <c r="DX714" s="9"/>
      <c r="DY714" s="9"/>
      <c r="DZ714" s="9"/>
      <c r="EA714" s="9"/>
      <c r="EB714" s="9"/>
      <c r="EC714" s="9"/>
      <c r="ED714" s="9"/>
      <c r="EE714" s="9"/>
      <c r="EF714" s="9"/>
      <c r="EG714" s="9"/>
      <c r="EH714" s="9"/>
      <c r="EI714" s="9"/>
      <c r="EJ714" s="9"/>
      <c r="EK714" s="9"/>
      <c r="EL714" s="9"/>
      <c r="EM714" s="9"/>
      <c r="EN714" s="9"/>
      <c r="EO714" s="9"/>
      <c r="EP714" s="9"/>
      <c r="EQ714" s="9"/>
      <c r="ER714" s="9"/>
      <c r="ES714" s="9"/>
      <c r="ET714" s="9"/>
      <c r="EU714" s="9"/>
      <c r="EV714" s="9"/>
      <c r="EW714" s="9"/>
      <c r="EX714" s="9"/>
      <c r="EY714" s="9"/>
      <c r="EZ714" s="9"/>
      <c r="FA714" s="9"/>
      <c r="FB714" s="9"/>
      <c r="FC714" s="9"/>
      <c r="FD714" s="9"/>
      <c r="FE714" s="9"/>
      <c r="FF714" s="9"/>
      <c r="FG714" s="9"/>
      <c r="FH714" s="9"/>
      <c r="FI714" s="9"/>
      <c r="FJ714" s="9"/>
      <c r="FK714" s="9"/>
      <c r="FL714" s="9"/>
      <c r="FM714" s="9"/>
      <c r="FN714" s="9"/>
      <c r="FO714" s="9"/>
      <c r="FP714" s="9"/>
    </row>
    <row r="715" customFormat="false" ht="15" hidden="false" customHeight="false" outlineLevel="2" collapsed="false">
      <c r="B715" s="9" t="s">
        <v>873</v>
      </c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235" t="n">
        <f aca="false">VLOOKUP("A",$B$14:$C$18,2,FALSE())</f>
        <v>210</v>
      </c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  <c r="CU715" s="9"/>
      <c r="CV715" s="9"/>
      <c r="CW715" s="9"/>
      <c r="CX715" s="9"/>
      <c r="CY715" s="9"/>
      <c r="CZ715" s="9"/>
      <c r="DA715" s="9"/>
      <c r="DB715" s="9"/>
      <c r="DC715" s="9"/>
      <c r="DD715" s="9"/>
      <c r="DE715" s="9"/>
      <c r="DF715" s="9"/>
      <c r="DG715" s="9"/>
      <c r="DH715" s="9"/>
      <c r="DI715" s="9"/>
      <c r="DJ715" s="9"/>
      <c r="DK715" s="9"/>
      <c r="DL715" s="9"/>
      <c r="DM715" s="9"/>
      <c r="DN715" s="9"/>
      <c r="DO715" s="9"/>
      <c r="DP715" s="9"/>
      <c r="DQ715" s="9"/>
      <c r="DR715" s="9"/>
      <c r="DS715" s="9"/>
      <c r="DT715" s="9"/>
      <c r="DU715" s="9"/>
      <c r="DV715" s="9"/>
      <c r="DW715" s="9"/>
      <c r="DX715" s="9"/>
      <c r="DY715" s="9"/>
      <c r="DZ715" s="9"/>
      <c r="EA715" s="9"/>
      <c r="EB715" s="9"/>
      <c r="EC715" s="9"/>
      <c r="ED715" s="9"/>
      <c r="EE715" s="9"/>
      <c r="EF715" s="9"/>
      <c r="EG715" s="9"/>
      <c r="EH715" s="9"/>
      <c r="EI715" s="9"/>
      <c r="EJ715" s="9"/>
      <c r="EK715" s="9"/>
      <c r="EL715" s="9"/>
      <c r="EM715" s="9"/>
      <c r="EN715" s="9"/>
      <c r="EO715" s="9"/>
      <c r="EP715" s="9"/>
      <c r="EQ715" s="9"/>
      <c r="ER715" s="9"/>
      <c r="ES715" s="9"/>
      <c r="ET715" s="9"/>
      <c r="EU715" s="9"/>
      <c r="EV715" s="9"/>
      <c r="EW715" s="9"/>
      <c r="EX715" s="9"/>
      <c r="EY715" s="9"/>
      <c r="EZ715" s="9"/>
      <c r="FA715" s="9"/>
      <c r="FB715" s="9"/>
      <c r="FC715" s="9"/>
      <c r="FD715" s="9"/>
      <c r="FE715" s="9"/>
      <c r="FF715" s="9"/>
      <c r="FG715" s="9"/>
      <c r="FH715" s="9"/>
      <c r="FI715" s="9"/>
      <c r="FJ715" s="9"/>
      <c r="FK715" s="9"/>
      <c r="FL715" s="9"/>
      <c r="FM715" s="9"/>
      <c r="FN715" s="9"/>
      <c r="FO715" s="9"/>
      <c r="FP715" s="9"/>
    </row>
    <row r="716" customFormat="false" ht="15" hidden="false" customHeight="false" outlineLevel="2" collapsed="false">
      <c r="B716" s="9" t="s">
        <v>799</v>
      </c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63" t="n">
        <f aca="false">IF(AC$35&gt;=$AC$714,AC$35-$AC$714+1,0)</f>
        <v>0</v>
      </c>
      <c r="AD716" s="63" t="n">
        <f aca="false">IF(AD$35&gt;=$AC$714,AD$35-$AC$714+1,0)</f>
        <v>0</v>
      </c>
      <c r="AE716" s="63" t="n">
        <f aca="false">IF(AE$35&gt;=$AC$714,AE$35-$AC$714+1,0)</f>
        <v>0</v>
      </c>
      <c r="AF716" s="63" t="n">
        <f aca="false">IF(AF$35&gt;=$AC$714,AF$35-$AC$714+1,0)</f>
        <v>0</v>
      </c>
      <c r="AG716" s="63" t="n">
        <f aca="false">IF(AG$35&gt;=$AC$714,AG$35-$AC$714+1,0)</f>
        <v>0</v>
      </c>
      <c r="AH716" s="63" t="n">
        <f aca="false">IF(AH$35&gt;=$AC$714,AH$35-$AC$714+1,0)</f>
        <v>0</v>
      </c>
      <c r="AI716" s="63" t="n">
        <f aca="false">IF(AI$35&gt;=$AC$714,AI$35-$AC$714+1,0)</f>
        <v>0</v>
      </c>
      <c r="AJ716" s="63" t="n">
        <f aca="false">IF(AJ$35&gt;=$AC$714,AJ$35-$AC$714+1,0)</f>
        <v>0</v>
      </c>
      <c r="AK716" s="63" t="n">
        <f aca="false">IF(AK$35&gt;=$AC$714,AK$35-$AC$714+1,0)</f>
        <v>0</v>
      </c>
      <c r="AL716" s="63" t="n">
        <f aca="false">IF(AL$35&gt;=$AC$714,AL$35-$AC$714+1,0)</f>
        <v>0</v>
      </c>
      <c r="AM716" s="63" t="n">
        <f aca="false">IF(AM$35&gt;=$AC$714,AM$35-$AC$714+1,0)</f>
        <v>0</v>
      </c>
      <c r="AN716" s="63" t="n">
        <f aca="false">IF(AN$35&gt;=$AC$714,AN$35-$AC$714+1,0)</f>
        <v>0</v>
      </c>
      <c r="AO716" s="63" t="n">
        <f aca="false">IF(AO$35&gt;=$AC$714,AO$35-$AC$714+1,0)</f>
        <v>0</v>
      </c>
      <c r="AP716" s="63" t="n">
        <f aca="false">IF(AP$35&gt;=$AC$714,AP$35-$AC$714+1,0)</f>
        <v>0</v>
      </c>
      <c r="AQ716" s="63" t="n">
        <f aca="false">IF(AQ$35&gt;=$AC$714,AQ$35-$AC$714+1,0)</f>
        <v>0</v>
      </c>
      <c r="AR716" s="63" t="n">
        <f aca="false">IF(AR$35&gt;=$AC$714,AR$35-$AC$714+1,0)</f>
        <v>0</v>
      </c>
      <c r="AS716" s="63" t="n">
        <f aca="false">IF(AS$35&gt;=$AC$714,AS$35-$AC$714+1,0)</f>
        <v>0</v>
      </c>
      <c r="AT716" s="63" t="n">
        <f aca="false">IF(AT$35&gt;=$AC$714,AT$35-$AC$714+1,0)</f>
        <v>0</v>
      </c>
      <c r="AU716" s="63" t="n">
        <f aca="false">IF(AU$35&gt;=$AC$714,AU$35-$AC$714+1,0)</f>
        <v>0</v>
      </c>
      <c r="AV716" s="63" t="n">
        <f aca="false">IF(AV$35&gt;=$AC$714,AV$35-$AC$714+1,0)</f>
        <v>0</v>
      </c>
      <c r="AW716" s="63" t="n">
        <f aca="false">IF(AW$35&gt;=$AC$714,AW$35-$AC$714+1,0)</f>
        <v>0</v>
      </c>
      <c r="AX716" s="63" t="n">
        <f aca="false">IF(AX$35&gt;=$AC$714,AX$35-$AC$714+1,0)</f>
        <v>0</v>
      </c>
      <c r="AY716" s="63" t="n">
        <f aca="false">IF(AY$35&gt;=$AC$714,AY$35-$AC$714+1,0)</f>
        <v>0</v>
      </c>
      <c r="AZ716" s="63" t="n">
        <f aca="false">IF(AZ$35&gt;=$AC$714,AZ$35-$AC$714+1,0)</f>
        <v>0</v>
      </c>
      <c r="BA716" s="63" t="n">
        <f aca="false">IF(BA$35&gt;=$AC$714,BA$35-$AC$714+1,0)</f>
        <v>0</v>
      </c>
      <c r="BB716" s="63" t="n">
        <f aca="false">IF(BB$35&gt;=$AC$714,BB$35-$AC$714+1,0)</f>
        <v>0</v>
      </c>
      <c r="BC716" s="63" t="n">
        <f aca="false">IF(BC$35&gt;=$AC$714,BC$35-$AC$714+1,0)</f>
        <v>0</v>
      </c>
      <c r="BD716" s="63" t="n">
        <f aca="false">IF(BD$35&gt;=$AC$714,BD$35-$AC$714+1,0)</f>
        <v>0</v>
      </c>
      <c r="BE716" s="63" t="n">
        <f aca="false">IF(BE$35&gt;=$AC$714,BE$35-$AC$714+1,0)</f>
        <v>0</v>
      </c>
      <c r="BF716" s="63" t="n">
        <f aca="false">IF(BF$35&gt;=$AC$714,BF$35-$AC$714+1,0)</f>
        <v>0</v>
      </c>
      <c r="BG716" s="63" t="n">
        <f aca="false">IF(BG$35&gt;=$AC$714,BG$35-$AC$714+1,0)</f>
        <v>0</v>
      </c>
      <c r="BH716" s="63" t="n">
        <f aca="false">IF(BH$35&gt;=$AC$714,BH$35-$AC$714+1,0)</f>
        <v>0</v>
      </c>
      <c r="BI716" s="63" t="n">
        <f aca="false">IF(BI$35&gt;=$AC$714,BI$35-$AC$714+1,0)</f>
        <v>0</v>
      </c>
      <c r="BJ716" s="63" t="n">
        <f aca="false">IF(BJ$35&gt;=$AC$714,BJ$35-$AC$714+1,0)</f>
        <v>0</v>
      </c>
      <c r="BK716" s="63" t="n">
        <f aca="false">IF(BK$35&gt;=$AC$714,BK$35-$AC$714+1,0)</f>
        <v>0</v>
      </c>
      <c r="BL716" s="63" t="n">
        <f aca="false">IF(BL$35&gt;=$AC$714,BL$35-$AC$714+1,0)</f>
        <v>0</v>
      </c>
      <c r="BM716" s="63" t="n">
        <f aca="false">IF(BM$35&gt;=$AC$714,BM$35-$AC$714+1,0)</f>
        <v>0</v>
      </c>
      <c r="BN716" s="63" t="n">
        <f aca="false">IF(BN$35&gt;=$AC$714,BN$35-$AC$714+1,0)</f>
        <v>0</v>
      </c>
      <c r="BO716" s="63" t="n">
        <f aca="false">IF(BO$35&gt;=$AC$714,BO$35-$AC$714+1,0)</f>
        <v>0</v>
      </c>
      <c r="BP716" s="63" t="n">
        <f aca="false">IF(BP$35&gt;=$AC$714,BP$35-$AC$714+1,0)</f>
        <v>0</v>
      </c>
      <c r="BQ716" s="63" t="n">
        <f aca="false">IF(BQ$35&gt;=$AC$714,BQ$35-$AC$714+1,0)</f>
        <v>0</v>
      </c>
      <c r="BR716" s="63" t="n">
        <f aca="false">IF(BR$35&gt;=$AC$714,BR$35-$AC$714+1,0)</f>
        <v>0</v>
      </c>
      <c r="BS716" s="63" t="n">
        <f aca="false">IF(BS$35&gt;=$AC$714,BS$35-$AC$714+1,0)</f>
        <v>0</v>
      </c>
      <c r="BT716" s="63" t="n">
        <f aca="false">IF(BT$35&gt;=$AC$714,BT$35-$AC$714+1,0)</f>
        <v>0</v>
      </c>
      <c r="BU716" s="63" t="n">
        <f aca="false">IF(BU$35&gt;=$AC$714,BU$35-$AC$714+1,0)</f>
        <v>0</v>
      </c>
      <c r="BV716" s="63" t="n">
        <f aca="false">IF(BV$35&gt;=$AC$714,BV$35-$AC$714+1,0)</f>
        <v>0</v>
      </c>
      <c r="BW716" s="63" t="n">
        <f aca="false">IF(BW$35&gt;=$AC$714,BW$35-$AC$714+1,0)</f>
        <v>0</v>
      </c>
      <c r="BX716" s="63" t="n">
        <f aca="false">IF(BX$35&gt;=$AC$714,BX$35-$AC$714+1,0)</f>
        <v>0</v>
      </c>
      <c r="BY716" s="63" t="n">
        <f aca="false">IF(BY$35&gt;=$AC$714,BY$35-$AC$714+1,0)</f>
        <v>0</v>
      </c>
      <c r="BZ716" s="63" t="n">
        <f aca="false">IF(BZ$35&gt;=$AC$714,BZ$35-$AC$714+1,0)</f>
        <v>0</v>
      </c>
      <c r="CA716" s="63" t="n">
        <f aca="false">IF(CA$35&gt;=$AC$714,CA$35-$AC$714+1,0)</f>
        <v>0</v>
      </c>
      <c r="CB716" s="63" t="n">
        <f aca="false">IF(CB$35&gt;=$AC$714,CB$35-$AC$714+1,0)</f>
        <v>0</v>
      </c>
      <c r="CC716" s="63" t="n">
        <f aca="false">IF(CC$35&gt;=$AC$714,CC$35-$AC$714+1,0)</f>
        <v>0</v>
      </c>
      <c r="CD716" s="63" t="n">
        <f aca="false">IF(CD$35&gt;=$AC$714,CD$35-$AC$714+1,0)</f>
        <v>0</v>
      </c>
      <c r="CE716" s="63" t="n">
        <f aca="false">IF(CE$35&gt;=$AC$714,CE$35-$AC$714+1,0)</f>
        <v>0</v>
      </c>
      <c r="CF716" s="63" t="n">
        <f aca="false">IF(CF$35&gt;=$AC$714,CF$35-$AC$714+1,0)</f>
        <v>0</v>
      </c>
      <c r="CG716" s="63" t="n">
        <f aca="false">IF(CG$35&gt;=$AC$714,CG$35-$AC$714+1,0)</f>
        <v>0</v>
      </c>
      <c r="CH716" s="63" t="n">
        <f aca="false">IF(CH$35&gt;=$AC$714,CH$35-$AC$714+1,0)</f>
        <v>0</v>
      </c>
      <c r="CI716" s="63" t="n">
        <f aca="false">IF(CI$35&gt;=$AC$714,CI$35-$AC$714+1,0)</f>
        <v>0</v>
      </c>
      <c r="CJ716" s="63" t="n">
        <f aca="false">IF(CJ$35&gt;=$AC$714,CJ$35-$AC$714+1,0)</f>
        <v>0</v>
      </c>
      <c r="CK716" s="63" t="n">
        <f aca="false">IF(CK$35&gt;=$AC$714,CK$35-$AC$714+1,0)</f>
        <v>0</v>
      </c>
      <c r="CL716" s="63" t="n">
        <f aca="false">IF(CL$35&gt;=$AC$714,CL$35-$AC$714+1,0)</f>
        <v>0</v>
      </c>
      <c r="CM716" s="63" t="n">
        <f aca="false">IF(CM$35&gt;=$AC$714,CM$35-$AC$714+1,0)</f>
        <v>0</v>
      </c>
      <c r="CN716" s="63" t="n">
        <f aca="false">IF(CN$35&gt;=$AC$714,CN$35-$AC$714+1,0)</f>
        <v>0</v>
      </c>
      <c r="CO716" s="63" t="n">
        <f aca="false">IF(CO$35&gt;=$AC$714,CO$35-$AC$714+1,0)</f>
        <v>0</v>
      </c>
      <c r="CP716" s="63" t="n">
        <f aca="false">IF(CP$35&gt;=$AC$714,CP$35-$AC$714+1,0)</f>
        <v>0</v>
      </c>
      <c r="CQ716" s="63" t="n">
        <f aca="false">IF(CQ$35&gt;=$AC$714,CQ$35-$AC$714+1,0)</f>
        <v>0</v>
      </c>
      <c r="CR716" s="63" t="n">
        <f aca="false">IF(CR$35&gt;=$AC$714,CR$35-$AC$714+1,0)</f>
        <v>0</v>
      </c>
      <c r="CS716" s="63" t="n">
        <f aca="false">IF(CS$35&gt;=$AC$714,CS$35-$AC$714+1,0)</f>
        <v>0</v>
      </c>
      <c r="CT716" s="63" t="n">
        <f aca="false">IF(CT$35&gt;=$AC$714,CT$35-$AC$714+1,0)</f>
        <v>0</v>
      </c>
      <c r="CU716" s="63" t="n">
        <f aca="false">IF(CU$35&gt;=$AC$714,CU$35-$AC$714+1,0)</f>
        <v>0</v>
      </c>
      <c r="CV716" s="63" t="n">
        <f aca="false">IF(CV$35&gt;=$AC$714,CV$35-$AC$714+1,0)</f>
        <v>0</v>
      </c>
      <c r="CW716" s="63" t="n">
        <f aca="false">IF(CW$35&gt;=$AC$714,CW$35-$AC$714+1,0)</f>
        <v>0</v>
      </c>
      <c r="CX716" s="63" t="n">
        <f aca="false">IF(CX$35&gt;=$AC$714,CX$35-$AC$714+1,0)</f>
        <v>0</v>
      </c>
      <c r="CY716" s="63" t="n">
        <f aca="false">IF(CY$35&gt;=$AC$714,CY$35-$AC$714+1,0)</f>
        <v>0</v>
      </c>
      <c r="CZ716" s="63" t="n">
        <f aca="false">IF(CZ$35&gt;=$AC$714,CZ$35-$AC$714+1,0)</f>
        <v>1</v>
      </c>
      <c r="DA716" s="63" t="n">
        <f aca="false">IF(DA$35&gt;=$AC$714,DA$35-$AC$714+1,0)</f>
        <v>2</v>
      </c>
      <c r="DB716" s="63" t="n">
        <f aca="false">IF(DB$35&gt;=$AC$714,DB$35-$AC$714+1,0)</f>
        <v>3</v>
      </c>
      <c r="DC716" s="63" t="n">
        <f aca="false">IF(DC$35&gt;=$AC$714,DC$35-$AC$714+1,0)</f>
        <v>4</v>
      </c>
      <c r="DD716" s="63" t="n">
        <f aca="false">IF(DD$35&gt;=$AC$714,DD$35-$AC$714+1,0)</f>
        <v>5</v>
      </c>
      <c r="DE716" s="63" t="n">
        <f aca="false">IF(DE$35&gt;=$AC$714,DE$35-$AC$714+1,0)</f>
        <v>6</v>
      </c>
      <c r="DF716" s="63" t="n">
        <f aca="false">IF(DF$35&gt;=$AC$714,DF$35-$AC$714+1,0)</f>
        <v>7</v>
      </c>
      <c r="DG716" s="63" t="n">
        <f aca="false">IF(DG$35&gt;=$AC$714,DG$35-$AC$714+1,0)</f>
        <v>8</v>
      </c>
      <c r="DH716" s="63" t="n">
        <f aca="false">IF(DH$35&gt;=$AC$714,DH$35-$AC$714+1,0)</f>
        <v>9</v>
      </c>
      <c r="DI716" s="63" t="n">
        <f aca="false">IF(DI$35&gt;=$AC$714,DI$35-$AC$714+1,0)</f>
        <v>10</v>
      </c>
      <c r="DJ716" s="63" t="n">
        <f aca="false">IF(DJ$35&gt;=$AC$714,DJ$35-$AC$714+1,0)</f>
        <v>11</v>
      </c>
      <c r="DK716" s="63" t="n">
        <f aca="false">IF(DK$35&gt;=$AC$714,DK$35-$AC$714+1,0)</f>
        <v>12</v>
      </c>
      <c r="DL716" s="63" t="n">
        <f aca="false">IF(DL$35&gt;=$AC$714,DL$35-$AC$714+1,0)</f>
        <v>13</v>
      </c>
      <c r="DM716" s="63" t="n">
        <f aca="false">IF(DM$35&gt;=$AC$714,DM$35-$AC$714+1,0)</f>
        <v>14</v>
      </c>
      <c r="DN716" s="63" t="n">
        <f aca="false">IF(DN$35&gt;=$AC$714,DN$35-$AC$714+1,0)</f>
        <v>15</v>
      </c>
      <c r="DO716" s="63" t="n">
        <f aca="false">IF(DO$35&gt;=$AC$714,DO$35-$AC$714+1,0)</f>
        <v>16</v>
      </c>
      <c r="DP716" s="63" t="n">
        <f aca="false">IF(DP$35&gt;=$AC$714,DP$35-$AC$714+1,0)</f>
        <v>17</v>
      </c>
      <c r="DQ716" s="63" t="n">
        <f aca="false">IF(DQ$35&gt;=$AC$714,DQ$35-$AC$714+1,0)</f>
        <v>18</v>
      </c>
      <c r="DR716" s="63" t="n">
        <f aca="false">IF(DR$35&gt;=$AC$714,DR$35-$AC$714+1,0)</f>
        <v>19</v>
      </c>
      <c r="DS716" s="63" t="n">
        <f aca="false">IF(DS$35&gt;=$AC$714,DS$35-$AC$714+1,0)</f>
        <v>20</v>
      </c>
      <c r="DT716" s="63" t="n">
        <f aca="false">IF(DT$35&gt;=$AC$714,DT$35-$AC$714+1,0)</f>
        <v>21</v>
      </c>
      <c r="DU716" s="63" t="n">
        <f aca="false">IF(DU$35&gt;=$AC$714,DU$35-$AC$714+1,0)</f>
        <v>22</v>
      </c>
      <c r="DV716" s="63" t="n">
        <f aca="false">IF(DV$35&gt;=$AC$714,DV$35-$AC$714+1,0)</f>
        <v>23</v>
      </c>
      <c r="DW716" s="63" t="n">
        <f aca="false">IF(DW$35&gt;=$AC$714,DW$35-$AC$714+1,0)</f>
        <v>24</v>
      </c>
      <c r="DX716" s="63" t="n">
        <f aca="false">IF(DX$35&gt;=$AC$714,DX$35-$AC$714+1,0)</f>
        <v>25</v>
      </c>
      <c r="DY716" s="63" t="n">
        <f aca="false">IF(DY$35&gt;=$AC$714,DY$35-$AC$714+1,0)</f>
        <v>26</v>
      </c>
      <c r="DZ716" s="63" t="n">
        <f aca="false">IF(DZ$35&gt;=$AC$714,DZ$35-$AC$714+1,0)</f>
        <v>27</v>
      </c>
      <c r="EA716" s="63" t="n">
        <f aca="false">IF(EA$35&gt;=$AC$714,EA$35-$AC$714+1,0)</f>
        <v>28</v>
      </c>
      <c r="EB716" s="63" t="n">
        <f aca="false">IF(EB$35&gt;=$AC$714,EB$35-$AC$714+1,0)</f>
        <v>29</v>
      </c>
      <c r="EC716" s="63" t="n">
        <f aca="false">IF(EC$35&gt;=$AC$714,EC$35-$AC$714+1,0)</f>
        <v>30</v>
      </c>
      <c r="ED716" s="63" t="n">
        <f aca="false">IF(ED$35&gt;=$AC$714,ED$35-$AC$714+1,0)</f>
        <v>31</v>
      </c>
      <c r="EE716" s="63" t="n">
        <f aca="false">IF(EE$35&gt;=$AC$714,EE$35-$AC$714+1,0)</f>
        <v>32</v>
      </c>
      <c r="EF716" s="63" t="n">
        <f aca="false">IF(EF$35&gt;=$AC$714,EF$35-$AC$714+1,0)</f>
        <v>33</v>
      </c>
      <c r="EG716" s="63" t="n">
        <f aca="false">IF(EG$35&gt;=$AC$714,EG$35-$AC$714+1,0)</f>
        <v>34</v>
      </c>
      <c r="EH716" s="63" t="n">
        <f aca="false">IF(EH$35&gt;=$AC$714,EH$35-$AC$714+1,0)</f>
        <v>35</v>
      </c>
      <c r="EI716" s="63" t="n">
        <f aca="false">IF(EI$35&gt;=$AC$714,EI$35-$AC$714+1,0)</f>
        <v>36</v>
      </c>
      <c r="EJ716" s="63" t="n">
        <f aca="false">IF(EJ$35&gt;=$AC$714,EJ$35-$AC$714+1,0)</f>
        <v>37</v>
      </c>
      <c r="EK716" s="63" t="n">
        <f aca="false">IF(EK$35&gt;=$AC$714,EK$35-$AC$714+1,0)</f>
        <v>38</v>
      </c>
      <c r="EL716" s="63" t="n">
        <f aca="false">IF(EL$35&gt;=$AC$714,EL$35-$AC$714+1,0)</f>
        <v>39</v>
      </c>
      <c r="EM716" s="63" t="n">
        <f aca="false">IF(EM$35&gt;=$AC$714,EM$35-$AC$714+1,0)</f>
        <v>40</v>
      </c>
      <c r="EN716" s="63" t="n">
        <f aca="false">IF(EN$35&gt;=$AC$714,EN$35-$AC$714+1,0)</f>
        <v>41</v>
      </c>
      <c r="EO716" s="63" t="n">
        <f aca="false">IF(EO$35&gt;=$AC$714,EO$35-$AC$714+1,0)</f>
        <v>42</v>
      </c>
      <c r="EP716" s="63" t="n">
        <f aca="false">IF(EP$35&gt;=$AC$714,EP$35-$AC$714+1,0)</f>
        <v>43</v>
      </c>
      <c r="EQ716" s="63" t="n">
        <f aca="false">IF(EQ$35&gt;=$AC$714,EQ$35-$AC$714+1,0)</f>
        <v>44</v>
      </c>
      <c r="ER716" s="63" t="n">
        <f aca="false">IF(ER$35&gt;=$AC$714,ER$35-$AC$714+1,0)</f>
        <v>45</v>
      </c>
      <c r="ES716" s="9" t="n">
        <f aca="false">IF(ES$35&gt;=$AC$714,ES$35-$AC$714+1,0)</f>
        <v>46</v>
      </c>
      <c r="ET716" s="9" t="n">
        <f aca="false">IF(ET$35&gt;=$AC$714,ET$35-$AC$714+1,0)</f>
        <v>47</v>
      </c>
      <c r="EU716" s="9" t="n">
        <f aca="false">IF(EU$35&gt;=$AC$714,EU$35-$AC$714+1,0)</f>
        <v>48</v>
      </c>
      <c r="EV716" s="9" t="n">
        <f aca="false">IF(EV$35&gt;=$AC$714,EV$35-$AC$714+1,0)</f>
        <v>49</v>
      </c>
      <c r="EW716" s="9" t="n">
        <f aca="false">IF(EW$35&gt;=$AC$714,EW$35-$AC$714+1,0)</f>
        <v>50</v>
      </c>
      <c r="EX716" s="9" t="n">
        <f aca="false">IF(EX$35&gt;=$AC$714,EX$35-$AC$714+1,0)</f>
        <v>51</v>
      </c>
      <c r="EY716" s="9" t="n">
        <f aca="false">IF(EY$35&gt;=$AC$714,EY$35-$AC$714+1,0)</f>
        <v>52</v>
      </c>
      <c r="EZ716" s="9" t="n">
        <f aca="false">IF(EZ$35&gt;=$AC$714,EZ$35-$AC$714+1,0)</f>
        <v>53</v>
      </c>
      <c r="FA716" s="9" t="n">
        <f aca="false">IF(FA$35&gt;=$AC$714,FA$35-$AC$714+1,0)</f>
        <v>54</v>
      </c>
      <c r="FB716" s="9" t="n">
        <f aca="false">IF(FB$35&gt;=$AC$714,FB$35-$AC$714+1,0)</f>
        <v>55</v>
      </c>
      <c r="FC716" s="9" t="n">
        <f aca="false">IF(FC$35&gt;=$AC$714,FC$35-$AC$714+1,0)</f>
        <v>56</v>
      </c>
      <c r="FD716" s="9" t="n">
        <f aca="false">IF(FD$35&gt;=$AC$714,FD$35-$AC$714+1,0)</f>
        <v>57</v>
      </c>
      <c r="FE716" s="9" t="n">
        <f aca="false">IF(FE$35&gt;=$AC$714,FE$35-$AC$714+1,0)</f>
        <v>58</v>
      </c>
      <c r="FF716" s="9" t="n">
        <f aca="false">IF(FF$35&gt;=$AC$714,FF$35-$AC$714+1,0)</f>
        <v>59</v>
      </c>
      <c r="FG716" s="9" t="n">
        <f aca="false">IF(FG$35&gt;=$AC$714,FG$35-$AC$714+1,0)</f>
        <v>60</v>
      </c>
      <c r="FH716" s="9" t="n">
        <f aca="false">IF(FH$35&gt;=$AC$714,FH$35-$AC$714+1,0)</f>
        <v>61</v>
      </c>
      <c r="FI716" s="9" t="n">
        <f aca="false">IF(FI$35&gt;=$AC$714,FI$35-$AC$714+1,0)</f>
        <v>62</v>
      </c>
      <c r="FJ716" s="9" t="n">
        <f aca="false">IF(FJ$35&gt;=$AC$714,FJ$35-$AC$714+1,0)</f>
        <v>63</v>
      </c>
      <c r="FK716" s="9" t="n">
        <f aca="false">IF(FK$35&gt;=$AC$714,FK$35-$AC$714+1,0)</f>
        <v>64</v>
      </c>
      <c r="FL716" s="9" t="n">
        <f aca="false">IF(FL$35&gt;=$AC$714,FL$35-$AC$714+1,0)</f>
        <v>65</v>
      </c>
      <c r="FM716" s="9" t="n">
        <f aca="false">IF(FM$35&gt;=$AC$714,FM$35-$AC$714+1,0)</f>
        <v>66</v>
      </c>
      <c r="FN716" s="9" t="n">
        <f aca="false">IF(FN$35&gt;=$AC$714,FN$35-$AC$714+1,0)</f>
        <v>67</v>
      </c>
      <c r="FO716" s="9" t="n">
        <f aca="false">IF(FO$35&gt;=$AC$714,FO$35-$AC$714+1,0)</f>
        <v>68</v>
      </c>
      <c r="FP716" s="9" t="n">
        <f aca="false">IF(FP$35&gt;=$AC$714,FP$35-$AC$714+1,0)</f>
        <v>69</v>
      </c>
    </row>
    <row r="717" customFormat="false" ht="15" hidden="false" customHeight="false" outlineLevel="2" collapsed="false">
      <c r="B717" s="9" t="s">
        <v>874</v>
      </c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236" t="n">
        <f aca="false" t="array" ref="AC717:AC717">IF(AC716=0,0,IF(AC716/'🎚️ Escenario'!$C$11&gt;=36,$AL$23,INDEX($C$23:$AL$23,MAX(1,ROUNDUP(AC716/'🎚️ Escenario'!$C$11,0)))))</f>
        <v>0</v>
      </c>
      <c r="AD717" s="236" t="n">
        <f aca="false" t="array" ref="AD717:AD717">IF(AD716=0,0,IF(AD716/'🎚️ Escenario'!$C$11&gt;=36,$AL$23,INDEX($C$23:$AL$23,MAX(1,ROUNDUP(AD716/'🎚️ Escenario'!$C$11,0)))))</f>
        <v>0</v>
      </c>
      <c r="AE717" s="236" t="n">
        <f aca="false" t="array" ref="AE717:AE717">IF(AE716=0,0,IF(AE716/'🎚️ Escenario'!$C$11&gt;=36,$AL$23,INDEX($C$23:$AL$23,MAX(1,ROUNDUP(AE716/'🎚️ Escenario'!$C$11,0)))))</f>
        <v>0</v>
      </c>
      <c r="AF717" s="236" t="n">
        <f aca="false" t="array" ref="AF717:AF717">IF(AF716=0,0,IF(AF716/'🎚️ Escenario'!$C$11&gt;=36,$AL$23,INDEX($C$23:$AL$23,MAX(1,ROUNDUP(AF716/'🎚️ Escenario'!$C$11,0)))))</f>
        <v>0</v>
      </c>
      <c r="AG717" s="236" t="n">
        <f aca="false" t="array" ref="AG717:AG717">IF(AG716=0,0,IF(AG716/'🎚️ Escenario'!$C$11&gt;=36,$AL$23,INDEX($C$23:$AL$23,MAX(1,ROUNDUP(AG716/'🎚️ Escenario'!$C$11,0)))))</f>
        <v>0</v>
      </c>
      <c r="AH717" s="236" t="n">
        <f aca="false" t="array" ref="AH717:AH717">IF(AH716=0,0,IF(AH716/'🎚️ Escenario'!$C$11&gt;=36,$AL$23,INDEX($C$23:$AL$23,MAX(1,ROUNDUP(AH716/'🎚️ Escenario'!$C$11,0)))))</f>
        <v>0</v>
      </c>
      <c r="AI717" s="236" t="n">
        <f aca="false" t="array" ref="AI717:AI717">IF(AI716=0,0,IF(AI716/'🎚️ Escenario'!$C$11&gt;=36,$AL$23,INDEX($C$23:$AL$23,MAX(1,ROUNDUP(AI716/'🎚️ Escenario'!$C$11,0)))))</f>
        <v>0</v>
      </c>
      <c r="AJ717" s="236" t="n">
        <f aca="false" t="array" ref="AJ717:AJ717">IF(AJ716=0,0,IF(AJ716/'🎚️ Escenario'!$C$11&gt;=36,$AL$23,INDEX($C$23:$AL$23,MAX(1,ROUNDUP(AJ716/'🎚️ Escenario'!$C$11,0)))))</f>
        <v>0</v>
      </c>
      <c r="AK717" s="236" t="n">
        <f aca="false" t="array" ref="AK717:AK717">IF(AK716=0,0,IF(AK716/'🎚️ Escenario'!$C$11&gt;=36,$AL$23,INDEX($C$23:$AL$23,MAX(1,ROUNDUP(AK716/'🎚️ Escenario'!$C$11,0)))))</f>
        <v>0</v>
      </c>
      <c r="AL717" s="236" t="n">
        <f aca="false" t="array" ref="AL717:AL717">IF(AL716=0,0,IF(AL716/'🎚️ Escenario'!$C$11&gt;=36,$AL$23,INDEX($C$23:$AL$23,MAX(1,ROUNDUP(AL716/'🎚️ Escenario'!$C$11,0)))))</f>
        <v>0</v>
      </c>
      <c r="AM717" s="236" t="n">
        <f aca="false" t="array" ref="AM717:AM717">IF(AM716=0,0,IF(AM716/'🎚️ Escenario'!$C$11&gt;=36,$AL$23,INDEX($C$23:$AL$23,MAX(1,ROUNDUP(AM716/'🎚️ Escenario'!$C$11,0)))))</f>
        <v>0</v>
      </c>
      <c r="AN717" s="236" t="n">
        <f aca="false" t="array" ref="AN717:AN717">IF(AN716=0,0,IF(AN716/'🎚️ Escenario'!$C$11&gt;=36,$AL$23,INDEX($C$23:$AL$23,MAX(1,ROUNDUP(AN716/'🎚️ Escenario'!$C$11,0)))))</f>
        <v>0</v>
      </c>
      <c r="AO717" s="236" t="n">
        <f aca="false" t="array" ref="AO717:AO717">IF(AO716=0,0,IF(AO716/'🎚️ Escenario'!$C$11&gt;=36,$AL$23,INDEX($C$23:$AL$23,MAX(1,ROUNDUP(AO716/'🎚️ Escenario'!$C$11,0)))))</f>
        <v>0</v>
      </c>
      <c r="AP717" s="236" t="n">
        <f aca="false" t="array" ref="AP717:AP717">IF(AP716=0,0,IF(AP716/'🎚️ Escenario'!$C$11&gt;=36,$AL$23,INDEX($C$23:$AL$23,MAX(1,ROUNDUP(AP716/'🎚️ Escenario'!$C$11,0)))))</f>
        <v>0</v>
      </c>
      <c r="AQ717" s="236" t="n">
        <f aca="false" t="array" ref="AQ717:AQ717">IF(AQ716=0,0,IF(AQ716/'🎚️ Escenario'!$C$11&gt;=36,$AL$23,INDEX($C$23:$AL$23,MAX(1,ROUNDUP(AQ716/'🎚️ Escenario'!$C$11,0)))))</f>
        <v>0</v>
      </c>
      <c r="AR717" s="236" t="n">
        <f aca="false" t="array" ref="AR717:AR717">IF(AR716=0,0,IF(AR716/'🎚️ Escenario'!$C$11&gt;=36,$AL$23,INDEX($C$23:$AL$23,MAX(1,ROUNDUP(AR716/'🎚️ Escenario'!$C$11,0)))))</f>
        <v>0</v>
      </c>
      <c r="AS717" s="236" t="n">
        <f aca="false" t="array" ref="AS717:AS717">IF(AS716=0,0,IF(AS716/'🎚️ Escenario'!$C$11&gt;=36,$AL$23,INDEX($C$23:$AL$23,MAX(1,ROUNDUP(AS716/'🎚️ Escenario'!$C$11,0)))))</f>
        <v>0</v>
      </c>
      <c r="AT717" s="236" t="n">
        <f aca="false" t="array" ref="AT717:AT717">IF(AT716=0,0,IF(AT716/'🎚️ Escenario'!$C$11&gt;=36,$AL$23,INDEX($C$23:$AL$23,MAX(1,ROUNDUP(AT716/'🎚️ Escenario'!$C$11,0)))))</f>
        <v>0</v>
      </c>
      <c r="AU717" s="236" t="n">
        <f aca="false" t="array" ref="AU717:AU717">IF(AU716=0,0,IF(AU716/'🎚️ Escenario'!$C$11&gt;=36,$AL$23,INDEX($C$23:$AL$23,MAX(1,ROUNDUP(AU716/'🎚️ Escenario'!$C$11,0)))))</f>
        <v>0</v>
      </c>
      <c r="AV717" s="236" t="n">
        <f aca="false" t="array" ref="AV717:AV717">IF(AV716=0,0,IF(AV716/'🎚️ Escenario'!$C$11&gt;=36,$AL$23,INDEX($C$23:$AL$23,MAX(1,ROUNDUP(AV716/'🎚️ Escenario'!$C$11,0)))))</f>
        <v>0</v>
      </c>
      <c r="AW717" s="236" t="n">
        <f aca="false" t="array" ref="AW717:AW717">IF(AW716=0,0,IF(AW716/'🎚️ Escenario'!$C$11&gt;=36,$AL$23,INDEX($C$23:$AL$23,MAX(1,ROUNDUP(AW716/'🎚️ Escenario'!$C$11,0)))))</f>
        <v>0</v>
      </c>
      <c r="AX717" s="236" t="n">
        <f aca="false" t="array" ref="AX717:AX717">IF(AX716=0,0,IF(AX716/'🎚️ Escenario'!$C$11&gt;=36,$AL$23,INDEX($C$23:$AL$23,MAX(1,ROUNDUP(AX716/'🎚️ Escenario'!$C$11,0)))))</f>
        <v>0</v>
      </c>
      <c r="AY717" s="236" t="n">
        <f aca="false" t="array" ref="AY717:AY717">IF(AY716=0,0,IF(AY716/'🎚️ Escenario'!$C$11&gt;=36,$AL$23,INDEX($C$23:$AL$23,MAX(1,ROUNDUP(AY716/'🎚️ Escenario'!$C$11,0)))))</f>
        <v>0</v>
      </c>
      <c r="AZ717" s="236" t="n">
        <f aca="false" t="array" ref="AZ717:AZ717">IF(AZ716=0,0,IF(AZ716/'🎚️ Escenario'!$C$11&gt;=36,$AL$23,INDEX($C$23:$AL$23,MAX(1,ROUNDUP(AZ716/'🎚️ Escenario'!$C$11,0)))))</f>
        <v>0</v>
      </c>
      <c r="BA717" s="236" t="n">
        <f aca="false" t="array" ref="BA717:BA717">IF(BA716=0,0,IF(BA716/'🎚️ Escenario'!$C$11&gt;=36,$AL$23,INDEX($C$23:$AL$23,MAX(1,ROUNDUP(BA716/'🎚️ Escenario'!$C$11,0)))))</f>
        <v>0</v>
      </c>
      <c r="BB717" s="236" t="n">
        <f aca="false" t="array" ref="BB717:BB717">IF(BB716=0,0,IF(BB716/'🎚️ Escenario'!$C$11&gt;=36,$AL$23,INDEX($C$23:$AL$23,MAX(1,ROUNDUP(BB716/'🎚️ Escenario'!$C$11,0)))))</f>
        <v>0</v>
      </c>
      <c r="BC717" s="236" t="n">
        <f aca="false" t="array" ref="BC717:BC717">IF(BC716=0,0,IF(BC716/'🎚️ Escenario'!$C$11&gt;=36,$AL$23,INDEX($C$23:$AL$23,MAX(1,ROUNDUP(BC716/'🎚️ Escenario'!$C$11,0)))))</f>
        <v>0</v>
      </c>
      <c r="BD717" s="236" t="n">
        <f aca="false" t="array" ref="BD717:BD717">IF(BD716=0,0,IF(BD716/'🎚️ Escenario'!$C$11&gt;=36,$AL$23,INDEX($C$23:$AL$23,MAX(1,ROUNDUP(BD716/'🎚️ Escenario'!$C$11,0)))))</f>
        <v>0</v>
      </c>
      <c r="BE717" s="236" t="n">
        <f aca="false" t="array" ref="BE717:BE717">IF(BE716=0,0,IF(BE716/'🎚️ Escenario'!$C$11&gt;=36,$AL$23,INDEX($C$23:$AL$23,MAX(1,ROUNDUP(BE716/'🎚️ Escenario'!$C$11,0)))))</f>
        <v>0</v>
      </c>
      <c r="BF717" s="236" t="n">
        <f aca="false" t="array" ref="BF717:BF717">IF(BF716=0,0,IF(BF716/'🎚️ Escenario'!$C$11&gt;=36,$AL$23,INDEX($C$23:$AL$23,MAX(1,ROUNDUP(BF716/'🎚️ Escenario'!$C$11,0)))))</f>
        <v>0</v>
      </c>
      <c r="BG717" s="236" t="n">
        <f aca="false" t="array" ref="BG717:BG717">IF(BG716=0,0,IF(BG716/'🎚️ Escenario'!$C$11&gt;=36,$AL$23,INDEX($C$23:$AL$23,MAX(1,ROUNDUP(BG716/'🎚️ Escenario'!$C$11,0)))))</f>
        <v>0</v>
      </c>
      <c r="BH717" s="236" t="n">
        <f aca="false" t="array" ref="BH717:BH717">IF(BH716=0,0,IF(BH716/'🎚️ Escenario'!$C$11&gt;=36,$AL$23,INDEX($C$23:$AL$23,MAX(1,ROUNDUP(BH716/'🎚️ Escenario'!$C$11,0)))))</f>
        <v>0</v>
      </c>
      <c r="BI717" s="236" t="n">
        <f aca="false" t="array" ref="BI717:BI717">IF(BI716=0,0,IF(BI716/'🎚️ Escenario'!$C$11&gt;=36,$AL$23,INDEX($C$23:$AL$23,MAX(1,ROUNDUP(BI716/'🎚️ Escenario'!$C$11,0)))))</f>
        <v>0</v>
      </c>
      <c r="BJ717" s="236" t="n">
        <f aca="false" t="array" ref="BJ717:BJ717">IF(BJ716=0,0,IF(BJ716/'🎚️ Escenario'!$C$11&gt;=36,$AL$23,INDEX($C$23:$AL$23,MAX(1,ROUNDUP(BJ716/'🎚️ Escenario'!$C$11,0)))))</f>
        <v>0</v>
      </c>
      <c r="BK717" s="236" t="n">
        <f aca="false" t="array" ref="BK717:BK717">IF(BK716=0,0,IF(BK716/'🎚️ Escenario'!$C$11&gt;=36,$AL$23,INDEX($C$23:$AL$23,MAX(1,ROUNDUP(BK716/'🎚️ Escenario'!$C$11,0)))))</f>
        <v>0</v>
      </c>
      <c r="BL717" s="236" t="n">
        <f aca="false" t="array" ref="BL717:BL717">IF(BL716=0,0,IF(BL716/'🎚️ Escenario'!$C$11&gt;=36,$AL$23,INDEX($C$23:$AL$23,MAX(1,ROUNDUP(BL716/'🎚️ Escenario'!$C$11,0)))))</f>
        <v>0</v>
      </c>
      <c r="BM717" s="236" t="n">
        <f aca="false" t="array" ref="BM717:BM717">IF(BM716=0,0,IF(BM716/'🎚️ Escenario'!$C$11&gt;=36,$AL$23,INDEX($C$23:$AL$23,MAX(1,ROUNDUP(BM716/'🎚️ Escenario'!$C$11,0)))))</f>
        <v>0</v>
      </c>
      <c r="BN717" s="236" t="n">
        <f aca="false" t="array" ref="BN717:BN717">IF(BN716=0,0,IF(BN716/'🎚️ Escenario'!$C$11&gt;=36,$AL$23,INDEX($C$23:$AL$23,MAX(1,ROUNDUP(BN716/'🎚️ Escenario'!$C$11,0)))))</f>
        <v>0</v>
      </c>
      <c r="BO717" s="236" t="n">
        <f aca="false" t="array" ref="BO717:BO717">IF(BO716=0,0,IF(BO716/'🎚️ Escenario'!$C$11&gt;=36,$AL$23,INDEX($C$23:$AL$23,MAX(1,ROUNDUP(BO716/'🎚️ Escenario'!$C$11,0)))))</f>
        <v>0</v>
      </c>
      <c r="BP717" s="236" t="n">
        <f aca="false" t="array" ref="BP717:BP717">IF(BP716=0,0,IF(BP716/'🎚️ Escenario'!$C$11&gt;=36,$AL$23,INDEX($C$23:$AL$23,MAX(1,ROUNDUP(BP716/'🎚️ Escenario'!$C$11,0)))))</f>
        <v>0</v>
      </c>
      <c r="BQ717" s="236" t="n">
        <f aca="false" t="array" ref="BQ717:BQ717">IF(BQ716=0,0,IF(BQ716/'🎚️ Escenario'!$C$11&gt;=36,$AL$23,INDEX($C$23:$AL$23,MAX(1,ROUNDUP(BQ716/'🎚️ Escenario'!$C$11,0)))))</f>
        <v>0</v>
      </c>
      <c r="BR717" s="236" t="n">
        <f aca="false" t="array" ref="BR717:BR717">IF(BR716=0,0,IF(BR716/'🎚️ Escenario'!$C$11&gt;=36,$AL$23,INDEX($C$23:$AL$23,MAX(1,ROUNDUP(BR716/'🎚️ Escenario'!$C$11,0)))))</f>
        <v>0</v>
      </c>
      <c r="BS717" s="236" t="n">
        <f aca="false" t="array" ref="BS717:BS717">IF(BS716=0,0,IF(BS716/'🎚️ Escenario'!$C$11&gt;=36,$AL$23,INDEX($C$23:$AL$23,MAX(1,ROUNDUP(BS716/'🎚️ Escenario'!$C$11,0)))))</f>
        <v>0</v>
      </c>
      <c r="BT717" s="236" t="n">
        <f aca="false" t="array" ref="BT717:BT717">IF(BT716=0,0,IF(BT716/'🎚️ Escenario'!$C$11&gt;=36,$AL$23,INDEX($C$23:$AL$23,MAX(1,ROUNDUP(BT716/'🎚️ Escenario'!$C$11,0)))))</f>
        <v>0</v>
      </c>
      <c r="BU717" s="236" t="n">
        <f aca="false" t="array" ref="BU717:BU717">IF(BU716=0,0,IF(BU716/'🎚️ Escenario'!$C$11&gt;=36,$AL$23,INDEX($C$23:$AL$23,MAX(1,ROUNDUP(BU716/'🎚️ Escenario'!$C$11,0)))))</f>
        <v>0</v>
      </c>
      <c r="BV717" s="236" t="n">
        <f aca="false" t="array" ref="BV717:BV717">IF(BV716=0,0,IF(BV716/'🎚️ Escenario'!$C$11&gt;=36,$AL$23,INDEX($C$23:$AL$23,MAX(1,ROUNDUP(BV716/'🎚️ Escenario'!$C$11,0)))))</f>
        <v>0</v>
      </c>
      <c r="BW717" s="236" t="n">
        <f aca="false" t="array" ref="BW717:BW717">IF(BW716=0,0,IF(BW716/'🎚️ Escenario'!$C$11&gt;=36,$AL$23,INDEX($C$23:$AL$23,MAX(1,ROUNDUP(BW716/'🎚️ Escenario'!$C$11,0)))))</f>
        <v>0</v>
      </c>
      <c r="BX717" s="236" t="n">
        <f aca="false" t="array" ref="BX717:BX717">IF(BX716=0,0,IF(BX716/'🎚️ Escenario'!$C$11&gt;=36,$AL$23,INDEX($C$23:$AL$23,MAX(1,ROUNDUP(BX716/'🎚️ Escenario'!$C$11,0)))))</f>
        <v>0</v>
      </c>
      <c r="BY717" s="236" t="n">
        <f aca="false" t="array" ref="BY717:BY717">IF(BY716=0,0,IF(BY716/'🎚️ Escenario'!$C$11&gt;=36,$AL$23,INDEX($C$23:$AL$23,MAX(1,ROUNDUP(BY716/'🎚️ Escenario'!$C$11,0)))))</f>
        <v>0</v>
      </c>
      <c r="BZ717" s="236" t="n">
        <f aca="false" t="array" ref="BZ717:BZ717">IF(BZ716=0,0,IF(BZ716/'🎚️ Escenario'!$C$11&gt;=36,$AL$23,INDEX($C$23:$AL$23,MAX(1,ROUNDUP(BZ716/'🎚️ Escenario'!$C$11,0)))))</f>
        <v>0</v>
      </c>
      <c r="CA717" s="236" t="n">
        <f aca="false" t="array" ref="CA717:CA717">IF(CA716=0,0,IF(CA716/'🎚️ Escenario'!$C$11&gt;=36,$AL$23,INDEX($C$23:$AL$23,MAX(1,ROUNDUP(CA716/'🎚️ Escenario'!$C$11,0)))))</f>
        <v>0</v>
      </c>
      <c r="CB717" s="236" t="n">
        <f aca="false" t="array" ref="CB717:CB717">IF(CB716=0,0,IF(CB716/'🎚️ Escenario'!$C$11&gt;=36,$AL$23,INDEX($C$23:$AL$23,MAX(1,ROUNDUP(CB716/'🎚️ Escenario'!$C$11,0)))))</f>
        <v>0</v>
      </c>
      <c r="CC717" s="236" t="n">
        <f aca="false" t="array" ref="CC717:CC717">IF(CC716=0,0,IF(CC716/'🎚️ Escenario'!$C$11&gt;=36,$AL$23,INDEX($C$23:$AL$23,MAX(1,ROUNDUP(CC716/'🎚️ Escenario'!$C$11,0)))))</f>
        <v>0</v>
      </c>
      <c r="CD717" s="236" t="n">
        <f aca="false" t="array" ref="CD717:CD717">IF(CD716=0,0,IF(CD716/'🎚️ Escenario'!$C$11&gt;=36,$AL$23,INDEX($C$23:$AL$23,MAX(1,ROUNDUP(CD716/'🎚️ Escenario'!$C$11,0)))))</f>
        <v>0</v>
      </c>
      <c r="CE717" s="236" t="n">
        <f aca="false" t="array" ref="CE717:CE717">IF(CE716=0,0,IF(CE716/'🎚️ Escenario'!$C$11&gt;=36,$AL$23,INDEX($C$23:$AL$23,MAX(1,ROUNDUP(CE716/'🎚️ Escenario'!$C$11,0)))))</f>
        <v>0</v>
      </c>
      <c r="CF717" s="236" t="n">
        <f aca="false" t="array" ref="CF717:CF717">IF(CF716=0,0,IF(CF716/'🎚️ Escenario'!$C$11&gt;=36,$AL$23,INDEX($C$23:$AL$23,MAX(1,ROUNDUP(CF716/'🎚️ Escenario'!$C$11,0)))))</f>
        <v>0</v>
      </c>
      <c r="CG717" s="236" t="n">
        <f aca="false" t="array" ref="CG717:CG717">IF(CG716=0,0,IF(CG716/'🎚️ Escenario'!$C$11&gt;=36,$AL$23,INDEX($C$23:$AL$23,MAX(1,ROUNDUP(CG716/'🎚️ Escenario'!$C$11,0)))))</f>
        <v>0</v>
      </c>
      <c r="CH717" s="236" t="n">
        <f aca="false" t="array" ref="CH717:CH717">IF(CH716=0,0,IF(CH716/'🎚️ Escenario'!$C$11&gt;=36,$AL$23,INDEX($C$23:$AL$23,MAX(1,ROUNDUP(CH716/'🎚️ Escenario'!$C$11,0)))))</f>
        <v>0</v>
      </c>
      <c r="CI717" s="236" t="n">
        <f aca="false" t="array" ref="CI717:CI717">IF(CI716=0,0,IF(CI716/'🎚️ Escenario'!$C$11&gt;=36,$AL$23,INDEX($C$23:$AL$23,MAX(1,ROUNDUP(CI716/'🎚️ Escenario'!$C$11,0)))))</f>
        <v>0</v>
      </c>
      <c r="CJ717" s="236" t="n">
        <f aca="false" t="array" ref="CJ717:CJ717">IF(CJ716=0,0,IF(CJ716/'🎚️ Escenario'!$C$11&gt;=36,$AL$23,INDEX($C$23:$AL$23,MAX(1,ROUNDUP(CJ716/'🎚️ Escenario'!$C$11,0)))))</f>
        <v>0</v>
      </c>
      <c r="CK717" s="236" t="n">
        <f aca="false" t="array" ref="CK717:CK717">IF(CK716=0,0,IF(CK716/'🎚️ Escenario'!$C$11&gt;=36,$AL$23,INDEX($C$23:$AL$23,MAX(1,ROUNDUP(CK716/'🎚️ Escenario'!$C$11,0)))))</f>
        <v>0</v>
      </c>
      <c r="CL717" s="236" t="n">
        <f aca="false" t="array" ref="CL717:CL717">IF(CL716=0,0,IF(CL716/'🎚️ Escenario'!$C$11&gt;=36,$AL$23,INDEX($C$23:$AL$23,MAX(1,ROUNDUP(CL716/'🎚️ Escenario'!$C$11,0)))))</f>
        <v>0</v>
      </c>
      <c r="CM717" s="236" t="n">
        <f aca="false" t="array" ref="CM717:CM717">IF(CM716=0,0,IF(CM716/'🎚️ Escenario'!$C$11&gt;=36,$AL$23,INDEX($C$23:$AL$23,MAX(1,ROUNDUP(CM716/'🎚️ Escenario'!$C$11,0)))))</f>
        <v>0</v>
      </c>
      <c r="CN717" s="236" t="n">
        <f aca="false" t="array" ref="CN717:CN717">IF(CN716=0,0,IF(CN716/'🎚️ Escenario'!$C$11&gt;=36,$AL$23,INDEX($C$23:$AL$23,MAX(1,ROUNDUP(CN716/'🎚️ Escenario'!$C$11,0)))))</f>
        <v>0</v>
      </c>
      <c r="CO717" s="236" t="n">
        <f aca="false" t="array" ref="CO717:CO717">IF(CO716=0,0,IF(CO716/'🎚️ Escenario'!$C$11&gt;=36,$AL$23,INDEX($C$23:$AL$23,MAX(1,ROUNDUP(CO716/'🎚️ Escenario'!$C$11,0)))))</f>
        <v>0</v>
      </c>
      <c r="CP717" s="236" t="n">
        <f aca="false" t="array" ref="CP717:CP717">IF(CP716=0,0,IF(CP716/'🎚️ Escenario'!$C$11&gt;=36,$AL$23,INDEX($C$23:$AL$23,MAX(1,ROUNDUP(CP716/'🎚️ Escenario'!$C$11,0)))))</f>
        <v>0</v>
      </c>
      <c r="CQ717" s="236" t="n">
        <f aca="false" t="array" ref="CQ717:CQ717">IF(CQ716=0,0,IF(CQ716/'🎚️ Escenario'!$C$11&gt;=36,$AL$23,INDEX($C$23:$AL$23,MAX(1,ROUNDUP(CQ716/'🎚️ Escenario'!$C$11,0)))))</f>
        <v>0</v>
      </c>
      <c r="CR717" s="236" t="n">
        <f aca="false" t="array" ref="CR717:CR717">IF(CR716=0,0,IF(CR716/'🎚️ Escenario'!$C$11&gt;=36,$AL$23,INDEX($C$23:$AL$23,MAX(1,ROUNDUP(CR716/'🎚️ Escenario'!$C$11,0)))))</f>
        <v>0</v>
      </c>
      <c r="CS717" s="236" t="n">
        <f aca="false" t="array" ref="CS717:CS717">IF(CS716=0,0,IF(CS716/'🎚️ Escenario'!$C$11&gt;=36,$AL$23,INDEX($C$23:$AL$23,MAX(1,ROUNDUP(CS716/'🎚️ Escenario'!$C$11,0)))))</f>
        <v>0</v>
      </c>
      <c r="CT717" s="236" t="n">
        <f aca="false" t="array" ref="CT717:CT717">IF(CT716=0,0,IF(CT716/'🎚️ Escenario'!$C$11&gt;=36,$AL$23,INDEX($C$23:$AL$23,MAX(1,ROUNDUP(CT716/'🎚️ Escenario'!$C$11,0)))))</f>
        <v>0</v>
      </c>
      <c r="CU717" s="236" t="n">
        <f aca="false" t="array" ref="CU717:CU717">IF(CU716=0,0,IF(CU716/'🎚️ Escenario'!$C$11&gt;=36,$AL$23,INDEX($C$23:$AL$23,MAX(1,ROUNDUP(CU716/'🎚️ Escenario'!$C$11,0)))))</f>
        <v>0</v>
      </c>
      <c r="CV717" s="236" t="n">
        <f aca="false" t="array" ref="CV717:CV717">IF(CV716=0,0,IF(CV716/'🎚️ Escenario'!$C$11&gt;=36,$AL$23,INDEX($C$23:$AL$23,MAX(1,ROUNDUP(CV716/'🎚️ Escenario'!$C$11,0)))))</f>
        <v>0</v>
      </c>
      <c r="CW717" s="236" t="n">
        <f aca="false" t="array" ref="CW717:CW717">IF(CW716=0,0,IF(CW716/'🎚️ Escenario'!$C$11&gt;=36,$AL$23,INDEX($C$23:$AL$23,MAX(1,ROUNDUP(CW716/'🎚️ Escenario'!$C$11,0)))))</f>
        <v>0</v>
      </c>
      <c r="CX717" s="236" t="n">
        <f aca="false" t="array" ref="CX717:CX717">IF(CX716=0,0,IF(CX716/'🎚️ Escenario'!$C$11&gt;=36,$AL$23,INDEX($C$23:$AL$23,MAX(1,ROUNDUP(CX716/'🎚️ Escenario'!$C$11,0)))))</f>
        <v>0</v>
      </c>
      <c r="CY717" s="236" t="n">
        <f aca="false" t="array" ref="CY717:CY717">IF(CY716=0,0,IF(CY716/'🎚️ Escenario'!$C$11&gt;=36,$AL$23,INDEX($C$23:$AL$23,MAX(1,ROUNDUP(CY716/'🎚️ Escenario'!$C$11,0)))))</f>
        <v>0</v>
      </c>
      <c r="CZ717" s="236" t="n">
        <f aca="false" t="array" ref="CZ717:CZ717">IF(CZ716=0,0,IF(CZ716/'🎚️ Escenario'!$C$11&gt;=36,$AL$23,INDEX($C$23:$AL$23,MAX(1,ROUNDUP(CZ716/'🎚️ Escenario'!$C$11,0)))))</f>
        <v>0.2</v>
      </c>
      <c r="DA717" s="236" t="n">
        <f aca="false" t="array" ref="DA717:DA717">IF(DA716=0,0,IF(DA716/'🎚️ Escenario'!$C$11&gt;=36,$AL$23,INDEX($C$23:$AL$23,MAX(1,ROUNDUP(DA716/'🎚️ Escenario'!$C$11,0)))))</f>
        <v>0.22</v>
      </c>
      <c r="DB717" s="236" t="n">
        <f aca="false" t="array" ref="DB717:DB717">IF(DB716=0,0,IF(DB716/'🎚️ Escenario'!$C$11&gt;=36,$AL$23,INDEX($C$23:$AL$23,MAX(1,ROUNDUP(DB716/'🎚️ Escenario'!$C$11,0)))))</f>
        <v>0.24</v>
      </c>
      <c r="DC717" s="236" t="n">
        <f aca="false" t="array" ref="DC717:DC717">IF(DC716=0,0,IF(DC716/'🎚️ Escenario'!$C$11&gt;=36,$AL$23,INDEX($C$23:$AL$23,MAX(1,ROUNDUP(DC716/'🎚️ Escenario'!$C$11,0)))))</f>
        <v>0.27</v>
      </c>
      <c r="DD717" s="236" t="n">
        <f aca="false" t="array" ref="DD717:DD717">IF(DD716=0,0,IF(DD716/'🎚️ Escenario'!$C$11&gt;=36,$AL$23,INDEX($C$23:$AL$23,MAX(1,ROUNDUP(DD716/'🎚️ Escenario'!$C$11,0)))))</f>
        <v>0.27</v>
      </c>
      <c r="DE717" s="236" t="n">
        <f aca="false" t="array" ref="DE717:DE717">IF(DE716=0,0,IF(DE716/'🎚️ Escenario'!$C$11&gt;=36,$AL$23,INDEX($C$23:$AL$23,MAX(1,ROUNDUP(DE716/'🎚️ Escenario'!$C$11,0)))))</f>
        <v>0.31</v>
      </c>
      <c r="DF717" s="236" t="n">
        <f aca="false" t="array" ref="DF717:DF717">IF(DF716=0,0,IF(DF716/'🎚️ Escenario'!$C$11&gt;=36,$AL$23,INDEX($C$23:$AL$23,MAX(1,ROUNDUP(DF716/'🎚️ Escenario'!$C$11,0)))))</f>
        <v>0.35</v>
      </c>
      <c r="DG717" s="236" t="n">
        <f aca="false" t="array" ref="DG717:DG717">IF(DG716=0,0,IF(DG716/'🎚️ Escenario'!$C$11&gt;=36,$AL$23,INDEX($C$23:$AL$23,MAX(1,ROUNDUP(DG716/'🎚️ Escenario'!$C$11,0)))))</f>
        <v>0.39</v>
      </c>
      <c r="DH717" s="236" t="n">
        <f aca="false" t="array" ref="DH717:DH717">IF(DH716=0,0,IF(DH716/'🎚️ Escenario'!$C$11&gt;=36,$AL$23,INDEX($C$23:$AL$23,MAX(1,ROUNDUP(DH716/'🎚️ Escenario'!$C$11,0)))))</f>
        <v>0.44</v>
      </c>
      <c r="DI717" s="236" t="n">
        <f aca="false" t="array" ref="DI717:DI717">IF(DI716=0,0,IF(DI716/'🎚️ Escenario'!$C$11&gt;=36,$AL$23,INDEX($C$23:$AL$23,MAX(1,ROUNDUP(DI716/'🎚️ Escenario'!$C$11,0)))))</f>
        <v>0.44</v>
      </c>
      <c r="DJ717" s="236" t="n">
        <f aca="false" t="array" ref="DJ717:DJ717">IF(DJ716=0,0,IF(DJ716/'🎚️ Escenario'!$C$11&gt;=36,$AL$23,INDEX($C$23:$AL$23,MAX(1,ROUNDUP(DJ716/'🎚️ Escenario'!$C$11,0)))))</f>
        <v>0.48</v>
      </c>
      <c r="DK717" s="236" t="n">
        <f aca="false" t="array" ref="DK717:DK717">IF(DK716=0,0,IF(DK716/'🎚️ Escenario'!$C$11&gt;=36,$AL$23,INDEX($C$23:$AL$23,MAX(1,ROUNDUP(DK716/'🎚️ Escenario'!$C$11,0)))))</f>
        <v>0.52</v>
      </c>
      <c r="DL717" s="236" t="n">
        <f aca="false" t="array" ref="DL717:DL717">IF(DL716=0,0,IF(DL716/'🎚️ Escenario'!$C$11&gt;=36,$AL$23,INDEX($C$23:$AL$23,MAX(1,ROUNDUP(DL716/'🎚️ Escenario'!$C$11,0)))))</f>
        <v>0.56</v>
      </c>
      <c r="DM717" s="236" t="n">
        <f aca="false" t="array" ref="DM717:DM717">IF(DM716=0,0,IF(DM716/'🎚️ Escenario'!$C$11&gt;=36,$AL$23,INDEX($C$23:$AL$23,MAX(1,ROUNDUP(DM716/'🎚️ Escenario'!$C$11,0)))))</f>
        <v>0.6</v>
      </c>
      <c r="DN717" s="236" t="n">
        <f aca="false" t="array" ref="DN717:DN717">IF(DN716=0,0,IF(DN716/'🎚️ Escenario'!$C$11&gt;=36,$AL$23,INDEX($C$23:$AL$23,MAX(1,ROUNDUP(DN716/'🎚️ Escenario'!$C$11,0)))))</f>
        <v>0.6</v>
      </c>
      <c r="DO717" s="236" t="n">
        <f aca="false" t="array" ref="DO717:DO717">IF(DO716=0,0,IF(DO716/'🎚️ Escenario'!$C$11&gt;=36,$AL$23,INDEX($C$23:$AL$23,MAX(1,ROUNDUP(DO716/'🎚️ Escenario'!$C$11,0)))))</f>
        <v>0.63</v>
      </c>
      <c r="DP717" s="236" t="n">
        <f aca="false" t="array" ref="DP717:DP717">IF(DP716=0,0,IF(DP716/'🎚️ Escenario'!$C$11&gt;=36,$AL$23,INDEX($C$23:$AL$23,MAX(1,ROUNDUP(DP716/'🎚️ Escenario'!$C$11,0)))))</f>
        <v>0.66</v>
      </c>
      <c r="DQ717" s="236" t="n">
        <f aca="false" t="array" ref="DQ717:DQ717">IF(DQ716=0,0,IF(DQ716/'🎚️ Escenario'!$C$11&gt;=36,$AL$23,INDEX($C$23:$AL$23,MAX(1,ROUNDUP(DQ716/'🎚️ Escenario'!$C$11,0)))))</f>
        <v>0.69</v>
      </c>
      <c r="DR717" s="236" t="n">
        <f aca="false" t="array" ref="DR717:DR717">IF(DR716=0,0,IF(DR716/'🎚️ Escenario'!$C$11&gt;=36,$AL$23,INDEX($C$23:$AL$23,MAX(1,ROUNDUP(DR716/'🎚️ Escenario'!$C$11,0)))))</f>
        <v>0.71</v>
      </c>
      <c r="DS717" s="236" t="n">
        <f aca="false" t="array" ref="DS717:DS717">IF(DS716=0,0,IF(DS716/'🎚️ Escenario'!$C$11&gt;=36,$AL$23,INDEX($C$23:$AL$23,MAX(1,ROUNDUP(DS716/'🎚️ Escenario'!$C$11,0)))))</f>
        <v>0.71</v>
      </c>
      <c r="DT717" s="236" t="n">
        <f aca="false" t="array" ref="DT717:DT717">IF(DT716=0,0,IF(DT716/'🎚️ Escenario'!$C$11&gt;=36,$AL$23,INDEX($C$23:$AL$23,MAX(1,ROUNDUP(DT716/'🎚️ Escenario'!$C$11,0)))))</f>
        <v>0.73</v>
      </c>
      <c r="DU717" s="236" t="n">
        <f aca="false" t="array" ref="DU717:DU717">IF(DU716=0,0,IF(DU716/'🎚️ Escenario'!$C$11&gt;=36,$AL$23,INDEX($C$23:$AL$23,MAX(1,ROUNDUP(DU716/'🎚️ Escenario'!$C$11,0)))))</f>
        <v>0.75</v>
      </c>
      <c r="DV717" s="236" t="n">
        <f aca="false" t="array" ref="DV717:DV717">IF(DV716=0,0,IF(DV716/'🎚️ Escenario'!$C$11&gt;=36,$AL$23,INDEX($C$23:$AL$23,MAX(1,ROUNDUP(DV716/'🎚️ Escenario'!$C$11,0)))))</f>
        <v>0.77</v>
      </c>
      <c r="DW717" s="236" t="n">
        <f aca="false" t="array" ref="DW717:DW717">IF(DW716=0,0,IF(DW716/'🎚️ Escenario'!$C$11&gt;=36,$AL$23,INDEX($C$23:$AL$23,MAX(1,ROUNDUP(DW716/'🎚️ Escenario'!$C$11,0)))))</f>
        <v>0.79</v>
      </c>
      <c r="DX717" s="236" t="n">
        <f aca="false" t="array" ref="DX717:DX717">IF(DX716=0,0,IF(DX716/'🎚️ Escenario'!$C$11&gt;=36,$AL$23,INDEX($C$23:$AL$23,MAX(1,ROUNDUP(DX716/'🎚️ Escenario'!$C$11,0)))))</f>
        <v>0.79</v>
      </c>
      <c r="DY717" s="236" t="n">
        <f aca="false" t="array" ref="DY717:DY717">IF(DY716=0,0,IF(DY716/'🎚️ Escenario'!$C$11&gt;=36,$AL$23,INDEX($C$23:$AL$23,MAX(1,ROUNDUP(DY716/'🎚️ Escenario'!$C$11,0)))))</f>
        <v>0.8</v>
      </c>
      <c r="DZ717" s="236" t="n">
        <f aca="false" t="array" ref="DZ717:DZ717">IF(DZ716=0,0,IF(DZ716/'🎚️ Escenario'!$C$11&gt;=36,$AL$23,INDEX($C$23:$AL$23,MAX(1,ROUNDUP(DZ716/'🎚️ Escenario'!$C$11,0)))))</f>
        <v>0.82</v>
      </c>
      <c r="EA717" s="236" t="n">
        <f aca="false" t="array" ref="EA717:EA717">IF(EA716=0,0,IF(EA716/'🎚️ Escenario'!$C$11&gt;=36,$AL$23,INDEX($C$23:$AL$23,MAX(1,ROUNDUP(EA716/'🎚️ Escenario'!$C$11,0)))))</f>
        <v>0.84</v>
      </c>
      <c r="EB717" s="236" t="n">
        <f aca="false" t="array" ref="EB717:EB717">IF(EB716=0,0,IF(EB716/'🎚️ Escenario'!$C$11&gt;=36,$AL$23,INDEX($C$23:$AL$23,MAX(1,ROUNDUP(EB716/'🎚️ Escenario'!$C$11,0)))))</f>
        <v>0.85</v>
      </c>
      <c r="EC717" s="236" t="n">
        <f aca="false" t="array" ref="EC717:EC717">IF(EC716=0,0,IF(EC716/'🎚️ Escenario'!$C$11&gt;=36,$AL$23,INDEX($C$23:$AL$23,MAX(1,ROUNDUP(EC716/'🎚️ Escenario'!$C$11,0)))))</f>
        <v>0.85</v>
      </c>
      <c r="ED717" s="236" t="n">
        <f aca="false" t="array" ref="ED717:ED717">IF(ED716=0,0,IF(ED716/'🎚️ Escenario'!$C$11&gt;=36,$AL$23,INDEX($C$23:$AL$23,MAX(1,ROUNDUP(ED716/'🎚️ Escenario'!$C$11,0)))))</f>
        <v>0.86</v>
      </c>
      <c r="EE717" s="236" t="n">
        <f aca="false" t="array" ref="EE717:EE717">IF(EE716=0,0,IF(EE716/'🎚️ Escenario'!$C$11&gt;=36,$AL$23,INDEX($C$23:$AL$23,MAX(1,ROUNDUP(EE716/'🎚️ Escenario'!$C$11,0)))))</f>
        <v>0.88</v>
      </c>
      <c r="EF717" s="236" t="n">
        <f aca="false" t="array" ref="EF717:EF717">IF(EF716=0,0,IF(EF716/'🎚️ Escenario'!$C$11&gt;=36,$AL$23,INDEX($C$23:$AL$23,MAX(1,ROUNDUP(EF716/'🎚️ Escenario'!$C$11,0)))))</f>
        <v>0.89</v>
      </c>
      <c r="EG717" s="236" t="n">
        <f aca="false" t="array" ref="EG717:EG717">IF(EG716=0,0,IF(EG716/'🎚️ Escenario'!$C$11&gt;=36,$AL$23,INDEX($C$23:$AL$23,MAX(1,ROUNDUP(EG716/'🎚️ Escenario'!$C$11,0)))))</f>
        <v>0.9</v>
      </c>
      <c r="EH717" s="236" t="n">
        <f aca="false" t="array" ref="EH717:EH717">IF(EH716=0,0,IF(EH716/'🎚️ Escenario'!$C$11&gt;=36,$AL$23,INDEX($C$23:$AL$23,MAX(1,ROUNDUP(EH716/'🎚️ Escenario'!$C$11,0)))))</f>
        <v>0.9</v>
      </c>
      <c r="EI717" s="236" t="n">
        <f aca="false" t="array" ref="EI717:EI717">IF(EI716=0,0,IF(EI716/'🎚️ Escenario'!$C$11&gt;=36,$AL$23,INDEX($C$23:$AL$23,MAX(1,ROUNDUP(EI716/'🎚️ Escenario'!$C$11,0)))))</f>
        <v>0.92</v>
      </c>
      <c r="EJ717" s="236" t="n">
        <f aca="false" t="array" ref="EJ717:EJ717">IF(EJ716=0,0,IF(EJ716/'🎚️ Escenario'!$C$11&gt;=36,$AL$23,INDEX($C$23:$AL$23,MAX(1,ROUNDUP(EJ716/'🎚️ Escenario'!$C$11,0)))))</f>
        <v>0.93</v>
      </c>
      <c r="EK717" s="236" t="n">
        <f aca="false" t="array" ref="EK717:EK717">IF(EK716=0,0,IF(EK716/'🎚️ Escenario'!$C$11&gt;=36,$AL$23,INDEX($C$23:$AL$23,MAX(1,ROUNDUP(EK716/'🎚️ Escenario'!$C$11,0)))))</f>
        <v>0.94</v>
      </c>
      <c r="EL717" s="236" t="n">
        <f aca="false" t="array" ref="EL717:EL717">IF(EL716=0,0,IF(EL716/'🎚️ Escenario'!$C$11&gt;=36,$AL$23,INDEX($C$23:$AL$23,MAX(1,ROUNDUP(EL716/'🎚️ Escenario'!$C$11,0)))))</f>
        <v>0.95</v>
      </c>
      <c r="EM717" s="236" t="n">
        <f aca="false" t="array" ref="EM717:EM717">IF(EM716=0,0,IF(EM716/'🎚️ Escenario'!$C$11&gt;=36,$AL$23,INDEX($C$23:$AL$23,MAX(1,ROUNDUP(EM716/'🎚️ Escenario'!$C$11,0)))))</f>
        <v>0.95</v>
      </c>
      <c r="EN717" s="236" t="n">
        <f aca="false" t="array" ref="EN717:EN717">IF(EN716=0,0,IF(EN716/'🎚️ Escenario'!$C$11&gt;=36,$AL$23,INDEX($C$23:$AL$23,MAX(1,ROUNDUP(EN716/'🎚️ Escenario'!$C$11,0)))))</f>
        <v>0.97</v>
      </c>
      <c r="EO717" s="236" t="n">
        <f aca="false" t="array" ref="EO717:EO717">IF(EO716=0,0,IF(EO716/'🎚️ Escenario'!$C$11&gt;=36,$AL$23,INDEX($C$23:$AL$23,MAX(1,ROUNDUP(EO716/'🎚️ Escenario'!$C$11,0)))))</f>
        <v>0.98</v>
      </c>
      <c r="EP717" s="236" t="n">
        <f aca="false" t="array" ref="EP717:EP717">IF(EP716=0,0,IF(EP716/'🎚️ Escenario'!$C$11&gt;=36,$AL$23,INDEX($C$23:$AL$23,MAX(1,ROUNDUP(EP716/'🎚️ Escenario'!$C$11,0)))))</f>
        <v>0.99</v>
      </c>
      <c r="EQ717" s="236" t="n">
        <f aca="false" t="array" ref="EQ717:EQ717">IF(EQ716=0,0,IF(EQ716/'🎚️ Escenario'!$C$11&gt;=36,$AL$23,INDEX($C$23:$AL$23,MAX(1,ROUNDUP(EQ716/'🎚️ Escenario'!$C$11,0)))))</f>
        <v>1</v>
      </c>
      <c r="ER717" s="236" t="n">
        <f aca="false" t="array" ref="ER717:ER717">IF(ER716=0,0,IF(ER716/'🎚️ Escenario'!$C$11&gt;=36,$AL$23,INDEX($C$23:$AL$23,MAX(1,ROUNDUP(ER716/'🎚️ Escenario'!$C$11,0)))))</f>
        <v>1</v>
      </c>
      <c r="ES717" s="9" t="n">
        <f aca="false" t="array" ref="ES717:ES717">IF(ES716=0,0,IF(ES716/'🎚️ Escenario'!$C$11&gt;=36,$AL$23,INDEX($C$23:$AL$23,MAX(1,ROUNDUP(ES716/'🎚️ Escenario'!$C$11,0)))))</f>
        <v>1</v>
      </c>
      <c r="ET717" s="9" t="n">
        <f aca="false" t="array" ref="ET717:ET717">IF(ET716=0,0,IF(ET716/'🎚️ Escenario'!$C$11&gt;=36,$AL$23,INDEX($C$23:$AL$23,MAX(1,ROUNDUP(ET716/'🎚️ Escenario'!$C$11,0)))))</f>
        <v>1</v>
      </c>
      <c r="EU717" s="9" t="n">
        <f aca="false" t="array" ref="EU717:EU717">IF(EU716=0,0,IF(EU716/'🎚️ Escenario'!$C$11&gt;=36,$AL$23,INDEX($C$23:$AL$23,MAX(1,ROUNDUP(EU716/'🎚️ Escenario'!$C$11,0)))))</f>
        <v>1</v>
      </c>
      <c r="EV717" s="9" t="n">
        <f aca="false" t="array" ref="EV717:EV717">IF(EV716=0,0,IF(EV716/'🎚️ Escenario'!$C$11&gt;=36,$AL$23,INDEX($C$23:$AL$23,MAX(1,ROUNDUP(EV716/'🎚️ Escenario'!$C$11,0)))))</f>
        <v>1</v>
      </c>
      <c r="EW717" s="9" t="n">
        <f aca="false" t="array" ref="EW717:EW717">IF(EW716=0,0,IF(EW716/'🎚️ Escenario'!$C$11&gt;=36,$AL$23,INDEX($C$23:$AL$23,MAX(1,ROUNDUP(EW716/'🎚️ Escenario'!$C$11,0)))))</f>
        <v>1</v>
      </c>
      <c r="EX717" s="9" t="n">
        <f aca="false" t="array" ref="EX717:EX717">IF(EX716=0,0,IF(EX716/'🎚️ Escenario'!$C$11&gt;=36,$AL$23,INDEX($C$23:$AL$23,MAX(1,ROUNDUP(EX716/'🎚️ Escenario'!$C$11,0)))))</f>
        <v>1</v>
      </c>
      <c r="EY717" s="9" t="n">
        <f aca="false" t="array" ref="EY717:EY717">IF(EY716=0,0,IF(EY716/'🎚️ Escenario'!$C$11&gt;=36,$AL$23,INDEX($C$23:$AL$23,MAX(1,ROUNDUP(EY716/'🎚️ Escenario'!$C$11,0)))))</f>
        <v>1</v>
      </c>
      <c r="EZ717" s="9" t="n">
        <f aca="false" t="array" ref="EZ717:EZ717">IF(EZ716=0,0,IF(EZ716/'🎚️ Escenario'!$C$11&gt;=36,$AL$23,INDEX($C$23:$AL$23,MAX(1,ROUNDUP(EZ716/'🎚️ Escenario'!$C$11,0)))))</f>
        <v>1</v>
      </c>
      <c r="FA717" s="9" t="n">
        <f aca="false" t="array" ref="FA717:FA717">IF(FA716=0,0,IF(FA716/'🎚️ Escenario'!$C$11&gt;=36,$AL$23,INDEX($C$23:$AL$23,MAX(1,ROUNDUP(FA716/'🎚️ Escenario'!$C$11,0)))))</f>
        <v>1</v>
      </c>
      <c r="FB717" s="9" t="n">
        <f aca="false" t="array" ref="FB717:FB717">IF(FB716=0,0,IF(FB716/'🎚️ Escenario'!$C$11&gt;=36,$AL$23,INDEX($C$23:$AL$23,MAX(1,ROUNDUP(FB716/'🎚️ Escenario'!$C$11,0)))))</f>
        <v>1</v>
      </c>
      <c r="FC717" s="9" t="n">
        <f aca="false" t="array" ref="FC717:FC717">IF(FC716=0,0,IF(FC716/'🎚️ Escenario'!$C$11&gt;=36,$AL$23,INDEX($C$23:$AL$23,MAX(1,ROUNDUP(FC716/'🎚️ Escenario'!$C$11,0)))))</f>
        <v>1</v>
      </c>
      <c r="FD717" s="9" t="n">
        <f aca="false" t="array" ref="FD717:FD717">IF(FD716=0,0,IF(FD716/'🎚️ Escenario'!$C$11&gt;=36,$AL$23,INDEX($C$23:$AL$23,MAX(1,ROUNDUP(FD716/'🎚️ Escenario'!$C$11,0)))))</f>
        <v>1</v>
      </c>
      <c r="FE717" s="9" t="n">
        <f aca="false" t="array" ref="FE717:FE717">IF(FE716=0,0,IF(FE716/'🎚️ Escenario'!$C$11&gt;=36,$AL$23,INDEX($C$23:$AL$23,MAX(1,ROUNDUP(FE716/'🎚️ Escenario'!$C$11,0)))))</f>
        <v>1</v>
      </c>
      <c r="FF717" s="9" t="n">
        <f aca="false" t="array" ref="FF717:FF717">IF(FF716=0,0,IF(FF716/'🎚️ Escenario'!$C$11&gt;=36,$AL$23,INDEX($C$23:$AL$23,MAX(1,ROUNDUP(FF716/'🎚️ Escenario'!$C$11,0)))))</f>
        <v>1</v>
      </c>
      <c r="FG717" s="9" t="n">
        <f aca="false" t="array" ref="FG717:FG717">IF(FG716=0,0,IF(FG716/'🎚️ Escenario'!$C$11&gt;=36,$AL$23,INDEX($C$23:$AL$23,MAX(1,ROUNDUP(FG716/'🎚️ Escenario'!$C$11,0)))))</f>
        <v>1</v>
      </c>
      <c r="FH717" s="9" t="n">
        <f aca="false" t="array" ref="FH717:FH717">IF(FH716=0,0,IF(FH716/'🎚️ Escenario'!$C$11&gt;=36,$AL$23,INDEX($C$23:$AL$23,MAX(1,ROUNDUP(FH716/'🎚️ Escenario'!$C$11,0)))))</f>
        <v>1</v>
      </c>
      <c r="FI717" s="9" t="n">
        <f aca="false" t="array" ref="FI717:FI717">IF(FI716=0,0,IF(FI716/'🎚️ Escenario'!$C$11&gt;=36,$AL$23,INDEX($C$23:$AL$23,MAX(1,ROUNDUP(FI716/'🎚️ Escenario'!$C$11,0)))))</f>
        <v>1</v>
      </c>
      <c r="FJ717" s="9" t="n">
        <f aca="false" t="array" ref="FJ717:FJ717">IF(FJ716=0,0,IF(FJ716/'🎚️ Escenario'!$C$11&gt;=36,$AL$23,INDEX($C$23:$AL$23,MAX(1,ROUNDUP(FJ716/'🎚️ Escenario'!$C$11,0)))))</f>
        <v>1</v>
      </c>
      <c r="FK717" s="9" t="n">
        <f aca="false" t="array" ref="FK717:FK717">IF(FK716=0,0,IF(FK716/'🎚️ Escenario'!$C$11&gt;=36,$AL$23,INDEX($C$23:$AL$23,MAX(1,ROUNDUP(FK716/'🎚️ Escenario'!$C$11,0)))))</f>
        <v>1</v>
      </c>
      <c r="FL717" s="9" t="n">
        <f aca="false" t="array" ref="FL717:FL717">IF(FL716=0,0,IF(FL716/'🎚️ Escenario'!$C$11&gt;=36,$AL$23,INDEX($C$23:$AL$23,MAX(1,ROUNDUP(FL716/'🎚️ Escenario'!$C$11,0)))))</f>
        <v>1</v>
      </c>
      <c r="FM717" s="9" t="n">
        <f aca="false" t="array" ref="FM717:FM717">IF(FM716=0,0,IF(FM716/'🎚️ Escenario'!$C$11&gt;=36,$AL$23,INDEX($C$23:$AL$23,MAX(1,ROUNDUP(FM716/'🎚️ Escenario'!$C$11,0)))))</f>
        <v>1</v>
      </c>
      <c r="FN717" s="9" t="n">
        <f aca="false" t="array" ref="FN717:FN717">IF(FN716=0,0,IF(FN716/'🎚️ Escenario'!$C$11&gt;=36,$AL$23,INDEX($C$23:$AL$23,MAX(1,ROUNDUP(FN716/'🎚️ Escenario'!$C$11,0)))))</f>
        <v>1</v>
      </c>
      <c r="FO717" s="9" t="n">
        <f aca="false" t="array" ref="FO717:FO717">IF(FO716=0,0,IF(FO716/'🎚️ Escenario'!$C$11&gt;=36,$AL$23,INDEX($C$23:$AL$23,MAX(1,ROUNDUP(FO716/'🎚️ Escenario'!$C$11,0)))))</f>
        <v>1</v>
      </c>
      <c r="FP717" s="9" t="n">
        <f aca="false" t="array" ref="FP717:FP717">IF(FP716=0,0,IF(FP716/'🎚️ Escenario'!$C$11&gt;=36,$AL$23,INDEX($C$23:$AL$23,MAX(1,ROUNDUP(FP716/'🎚️ Escenario'!$C$11,0)))))</f>
        <v>1</v>
      </c>
    </row>
    <row r="718" customFormat="false" ht="15" hidden="false" customHeight="false" outlineLevel="2" collapsed="false">
      <c r="B718" s="9" t="s">
        <v>875</v>
      </c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237" t="n">
        <f aca="false">IF(AC716=0,0,IF(AC716&lt;=12*'🎚️ Escenario'!$C$11,1,1+$C$6))</f>
        <v>0</v>
      </c>
      <c r="AD718" s="237" t="n">
        <f aca="false">IF(AD716=0,0,IF(AD716&lt;=12*'🎚️ Escenario'!$C$11,1,1+$C$6))</f>
        <v>0</v>
      </c>
      <c r="AE718" s="237" t="n">
        <f aca="false">IF(AE716=0,0,IF(AE716&lt;=12*'🎚️ Escenario'!$C$11,1,1+$C$6))</f>
        <v>0</v>
      </c>
      <c r="AF718" s="237" t="n">
        <f aca="false">IF(AF716=0,0,IF(AF716&lt;=12*'🎚️ Escenario'!$C$11,1,1+$C$6))</f>
        <v>0</v>
      </c>
      <c r="AG718" s="237" t="n">
        <f aca="false">IF(AG716=0,0,IF(AG716&lt;=12*'🎚️ Escenario'!$C$11,1,1+$C$6))</f>
        <v>0</v>
      </c>
      <c r="AH718" s="237" t="n">
        <f aca="false">IF(AH716=0,0,IF(AH716&lt;=12*'🎚️ Escenario'!$C$11,1,1+$C$6))</f>
        <v>0</v>
      </c>
      <c r="AI718" s="237" t="n">
        <f aca="false">IF(AI716=0,0,IF(AI716&lt;=12*'🎚️ Escenario'!$C$11,1,1+$C$6))</f>
        <v>0</v>
      </c>
      <c r="AJ718" s="237" t="n">
        <f aca="false">IF(AJ716=0,0,IF(AJ716&lt;=12*'🎚️ Escenario'!$C$11,1,1+$C$6))</f>
        <v>0</v>
      </c>
      <c r="AK718" s="237" t="n">
        <f aca="false">IF(AK716=0,0,IF(AK716&lt;=12*'🎚️ Escenario'!$C$11,1,1+$C$6))</f>
        <v>0</v>
      </c>
      <c r="AL718" s="237" t="n">
        <f aca="false">IF(AL716=0,0,IF(AL716&lt;=12*'🎚️ Escenario'!$C$11,1,1+$C$6))</f>
        <v>0</v>
      </c>
      <c r="AM718" s="237" t="n">
        <f aca="false">IF(AM716=0,0,IF(AM716&lt;=12*'🎚️ Escenario'!$C$11,1,1+$C$6))</f>
        <v>0</v>
      </c>
      <c r="AN718" s="237" t="n">
        <f aca="false">IF(AN716=0,0,IF(AN716&lt;=12*'🎚️ Escenario'!$C$11,1,1+$C$6))</f>
        <v>0</v>
      </c>
      <c r="AO718" s="237" t="n">
        <f aca="false">IF(AO716=0,0,IF(AO716&lt;=12*'🎚️ Escenario'!$C$11,1,1+$C$6))</f>
        <v>0</v>
      </c>
      <c r="AP718" s="237" t="n">
        <f aca="false">IF(AP716=0,0,IF(AP716&lt;=12*'🎚️ Escenario'!$C$11,1,1+$C$6))</f>
        <v>0</v>
      </c>
      <c r="AQ718" s="237" t="n">
        <f aca="false">IF(AQ716=0,0,IF(AQ716&lt;=12*'🎚️ Escenario'!$C$11,1,1+$C$6))</f>
        <v>0</v>
      </c>
      <c r="AR718" s="237" t="n">
        <f aca="false">IF(AR716=0,0,IF(AR716&lt;=12*'🎚️ Escenario'!$C$11,1,1+$C$6))</f>
        <v>0</v>
      </c>
      <c r="AS718" s="237" t="n">
        <f aca="false">IF(AS716=0,0,IF(AS716&lt;=12*'🎚️ Escenario'!$C$11,1,1+$C$6))</f>
        <v>0</v>
      </c>
      <c r="AT718" s="237" t="n">
        <f aca="false">IF(AT716=0,0,IF(AT716&lt;=12*'🎚️ Escenario'!$C$11,1,1+$C$6))</f>
        <v>0</v>
      </c>
      <c r="AU718" s="237" t="n">
        <f aca="false">IF(AU716=0,0,IF(AU716&lt;=12*'🎚️ Escenario'!$C$11,1,1+$C$6))</f>
        <v>0</v>
      </c>
      <c r="AV718" s="237" t="n">
        <f aca="false">IF(AV716=0,0,IF(AV716&lt;=12*'🎚️ Escenario'!$C$11,1,1+$C$6))</f>
        <v>0</v>
      </c>
      <c r="AW718" s="237" t="n">
        <f aca="false">IF(AW716=0,0,IF(AW716&lt;=12*'🎚️ Escenario'!$C$11,1,1+$C$6))</f>
        <v>0</v>
      </c>
      <c r="AX718" s="237" t="n">
        <f aca="false">IF(AX716=0,0,IF(AX716&lt;=12*'🎚️ Escenario'!$C$11,1,1+$C$6))</f>
        <v>0</v>
      </c>
      <c r="AY718" s="237" t="n">
        <f aca="false">IF(AY716=0,0,IF(AY716&lt;=12*'🎚️ Escenario'!$C$11,1,1+$C$6))</f>
        <v>0</v>
      </c>
      <c r="AZ718" s="237" t="n">
        <f aca="false">IF(AZ716=0,0,IF(AZ716&lt;=12*'🎚️ Escenario'!$C$11,1,1+$C$6))</f>
        <v>0</v>
      </c>
      <c r="BA718" s="237" t="n">
        <f aca="false">IF(BA716=0,0,IF(BA716&lt;=12*'🎚️ Escenario'!$C$11,1,1+$C$6))</f>
        <v>0</v>
      </c>
      <c r="BB718" s="237" t="n">
        <f aca="false">IF(BB716=0,0,IF(BB716&lt;=12*'🎚️ Escenario'!$C$11,1,1+$C$6))</f>
        <v>0</v>
      </c>
      <c r="BC718" s="237" t="n">
        <f aca="false">IF(BC716=0,0,IF(BC716&lt;=12*'🎚️ Escenario'!$C$11,1,1+$C$6))</f>
        <v>0</v>
      </c>
      <c r="BD718" s="237" t="n">
        <f aca="false">IF(BD716=0,0,IF(BD716&lt;=12*'🎚️ Escenario'!$C$11,1,1+$C$6))</f>
        <v>0</v>
      </c>
      <c r="BE718" s="237" t="n">
        <f aca="false">IF(BE716=0,0,IF(BE716&lt;=12*'🎚️ Escenario'!$C$11,1,1+$C$6))</f>
        <v>0</v>
      </c>
      <c r="BF718" s="237" t="n">
        <f aca="false">IF(BF716=0,0,IF(BF716&lt;=12*'🎚️ Escenario'!$C$11,1,1+$C$6))</f>
        <v>0</v>
      </c>
      <c r="BG718" s="237" t="n">
        <f aca="false">IF(BG716=0,0,IF(BG716&lt;=12*'🎚️ Escenario'!$C$11,1,1+$C$6))</f>
        <v>0</v>
      </c>
      <c r="BH718" s="237" t="n">
        <f aca="false">IF(BH716=0,0,IF(BH716&lt;=12*'🎚️ Escenario'!$C$11,1,1+$C$6))</f>
        <v>0</v>
      </c>
      <c r="BI718" s="237" t="n">
        <f aca="false">IF(BI716=0,0,IF(BI716&lt;=12*'🎚️ Escenario'!$C$11,1,1+$C$6))</f>
        <v>0</v>
      </c>
      <c r="BJ718" s="237" t="n">
        <f aca="false">IF(BJ716=0,0,IF(BJ716&lt;=12*'🎚️ Escenario'!$C$11,1,1+$C$6))</f>
        <v>0</v>
      </c>
      <c r="BK718" s="237" t="n">
        <f aca="false">IF(BK716=0,0,IF(BK716&lt;=12*'🎚️ Escenario'!$C$11,1,1+$C$6))</f>
        <v>0</v>
      </c>
      <c r="BL718" s="237" t="n">
        <f aca="false">IF(BL716=0,0,IF(BL716&lt;=12*'🎚️ Escenario'!$C$11,1,1+$C$6))</f>
        <v>0</v>
      </c>
      <c r="BM718" s="237" t="n">
        <f aca="false">IF(BM716=0,0,IF(BM716&lt;=12*'🎚️ Escenario'!$C$11,1,1+$C$6))</f>
        <v>0</v>
      </c>
      <c r="BN718" s="237" t="n">
        <f aca="false">IF(BN716=0,0,IF(BN716&lt;=12*'🎚️ Escenario'!$C$11,1,1+$C$6))</f>
        <v>0</v>
      </c>
      <c r="BO718" s="237" t="n">
        <f aca="false">IF(BO716=0,0,IF(BO716&lt;=12*'🎚️ Escenario'!$C$11,1,1+$C$6))</f>
        <v>0</v>
      </c>
      <c r="BP718" s="237" t="n">
        <f aca="false">IF(BP716=0,0,IF(BP716&lt;=12*'🎚️ Escenario'!$C$11,1,1+$C$6))</f>
        <v>0</v>
      </c>
      <c r="BQ718" s="237" t="n">
        <f aca="false">IF(BQ716=0,0,IF(BQ716&lt;=12*'🎚️ Escenario'!$C$11,1,1+$C$6))</f>
        <v>0</v>
      </c>
      <c r="BR718" s="237" t="n">
        <f aca="false">IF(BR716=0,0,IF(BR716&lt;=12*'🎚️ Escenario'!$C$11,1,1+$C$6))</f>
        <v>0</v>
      </c>
      <c r="BS718" s="237" t="n">
        <f aca="false">IF(BS716=0,0,IF(BS716&lt;=12*'🎚️ Escenario'!$C$11,1,1+$C$6))</f>
        <v>0</v>
      </c>
      <c r="BT718" s="237" t="n">
        <f aca="false">IF(BT716=0,0,IF(BT716&lt;=12*'🎚️ Escenario'!$C$11,1,1+$C$6))</f>
        <v>0</v>
      </c>
      <c r="BU718" s="237" t="n">
        <f aca="false">IF(BU716=0,0,IF(BU716&lt;=12*'🎚️ Escenario'!$C$11,1,1+$C$6))</f>
        <v>0</v>
      </c>
      <c r="BV718" s="237" t="n">
        <f aca="false">IF(BV716=0,0,IF(BV716&lt;=12*'🎚️ Escenario'!$C$11,1,1+$C$6))</f>
        <v>0</v>
      </c>
      <c r="BW718" s="237" t="n">
        <f aca="false">IF(BW716=0,0,IF(BW716&lt;=12*'🎚️ Escenario'!$C$11,1,1+$C$6))</f>
        <v>0</v>
      </c>
      <c r="BX718" s="237" t="n">
        <f aca="false">IF(BX716=0,0,IF(BX716&lt;=12*'🎚️ Escenario'!$C$11,1,1+$C$6))</f>
        <v>0</v>
      </c>
      <c r="BY718" s="237" t="n">
        <f aca="false">IF(BY716=0,0,IF(BY716&lt;=12*'🎚️ Escenario'!$C$11,1,1+$C$6))</f>
        <v>0</v>
      </c>
      <c r="BZ718" s="237" t="n">
        <f aca="false">IF(BZ716=0,0,IF(BZ716&lt;=12*'🎚️ Escenario'!$C$11,1,1+$C$6))</f>
        <v>0</v>
      </c>
      <c r="CA718" s="237" t="n">
        <f aca="false">IF(CA716=0,0,IF(CA716&lt;=12*'🎚️ Escenario'!$C$11,1,1+$C$6))</f>
        <v>0</v>
      </c>
      <c r="CB718" s="237" t="n">
        <f aca="false">IF(CB716=0,0,IF(CB716&lt;=12*'🎚️ Escenario'!$C$11,1,1+$C$6))</f>
        <v>0</v>
      </c>
      <c r="CC718" s="237" t="n">
        <f aca="false">IF(CC716=0,0,IF(CC716&lt;=12*'🎚️ Escenario'!$C$11,1,1+$C$6))</f>
        <v>0</v>
      </c>
      <c r="CD718" s="237" t="n">
        <f aca="false">IF(CD716=0,0,IF(CD716&lt;=12*'🎚️ Escenario'!$C$11,1,1+$C$6))</f>
        <v>0</v>
      </c>
      <c r="CE718" s="237" t="n">
        <f aca="false">IF(CE716=0,0,IF(CE716&lt;=12*'🎚️ Escenario'!$C$11,1,1+$C$6))</f>
        <v>0</v>
      </c>
      <c r="CF718" s="237" t="n">
        <f aca="false">IF(CF716=0,0,IF(CF716&lt;=12*'🎚️ Escenario'!$C$11,1,1+$C$6))</f>
        <v>0</v>
      </c>
      <c r="CG718" s="237" t="n">
        <f aca="false">IF(CG716=0,0,IF(CG716&lt;=12*'🎚️ Escenario'!$C$11,1,1+$C$6))</f>
        <v>0</v>
      </c>
      <c r="CH718" s="237" t="n">
        <f aca="false">IF(CH716=0,0,IF(CH716&lt;=12*'🎚️ Escenario'!$C$11,1,1+$C$6))</f>
        <v>0</v>
      </c>
      <c r="CI718" s="237" t="n">
        <f aca="false">IF(CI716=0,0,IF(CI716&lt;=12*'🎚️ Escenario'!$C$11,1,1+$C$6))</f>
        <v>0</v>
      </c>
      <c r="CJ718" s="237" t="n">
        <f aca="false">IF(CJ716=0,0,IF(CJ716&lt;=12*'🎚️ Escenario'!$C$11,1,1+$C$6))</f>
        <v>0</v>
      </c>
      <c r="CK718" s="237" t="n">
        <f aca="false">IF(CK716=0,0,IF(CK716&lt;=12*'🎚️ Escenario'!$C$11,1,1+$C$6))</f>
        <v>0</v>
      </c>
      <c r="CL718" s="237" t="n">
        <f aca="false">IF(CL716=0,0,IF(CL716&lt;=12*'🎚️ Escenario'!$C$11,1,1+$C$6))</f>
        <v>0</v>
      </c>
      <c r="CM718" s="237" t="n">
        <f aca="false">IF(CM716=0,0,IF(CM716&lt;=12*'🎚️ Escenario'!$C$11,1,1+$C$6))</f>
        <v>0</v>
      </c>
      <c r="CN718" s="237" t="n">
        <f aca="false">IF(CN716=0,0,IF(CN716&lt;=12*'🎚️ Escenario'!$C$11,1,1+$C$6))</f>
        <v>0</v>
      </c>
      <c r="CO718" s="237" t="n">
        <f aca="false">IF(CO716=0,0,IF(CO716&lt;=12*'🎚️ Escenario'!$C$11,1,1+$C$6))</f>
        <v>0</v>
      </c>
      <c r="CP718" s="237" t="n">
        <f aca="false">IF(CP716=0,0,IF(CP716&lt;=12*'🎚️ Escenario'!$C$11,1,1+$C$6))</f>
        <v>0</v>
      </c>
      <c r="CQ718" s="237" t="n">
        <f aca="false">IF(CQ716=0,0,IF(CQ716&lt;=12*'🎚️ Escenario'!$C$11,1,1+$C$6))</f>
        <v>0</v>
      </c>
      <c r="CR718" s="237" t="n">
        <f aca="false">IF(CR716=0,0,IF(CR716&lt;=12*'🎚️ Escenario'!$C$11,1,1+$C$6))</f>
        <v>0</v>
      </c>
      <c r="CS718" s="237" t="n">
        <f aca="false">IF(CS716=0,0,IF(CS716&lt;=12*'🎚️ Escenario'!$C$11,1,1+$C$6))</f>
        <v>0</v>
      </c>
      <c r="CT718" s="237" t="n">
        <f aca="false">IF(CT716=0,0,IF(CT716&lt;=12*'🎚️ Escenario'!$C$11,1,1+$C$6))</f>
        <v>0</v>
      </c>
      <c r="CU718" s="237" t="n">
        <f aca="false">IF(CU716=0,0,IF(CU716&lt;=12*'🎚️ Escenario'!$C$11,1,1+$C$6))</f>
        <v>0</v>
      </c>
      <c r="CV718" s="237" t="n">
        <f aca="false">IF(CV716=0,0,IF(CV716&lt;=12*'🎚️ Escenario'!$C$11,1,1+$C$6))</f>
        <v>0</v>
      </c>
      <c r="CW718" s="237" t="n">
        <f aca="false">IF(CW716=0,0,IF(CW716&lt;=12*'🎚️ Escenario'!$C$11,1,1+$C$6))</f>
        <v>0</v>
      </c>
      <c r="CX718" s="237" t="n">
        <f aca="false">IF(CX716=0,0,IF(CX716&lt;=12*'🎚️ Escenario'!$C$11,1,1+$C$6))</f>
        <v>0</v>
      </c>
      <c r="CY718" s="237" t="n">
        <f aca="false">IF(CY716=0,0,IF(CY716&lt;=12*'🎚️ Escenario'!$C$11,1,1+$C$6))</f>
        <v>0</v>
      </c>
      <c r="CZ718" s="237" t="n">
        <f aca="false">IF(CZ716=0,0,IF(CZ716&lt;=12*'🎚️ Escenario'!$C$11,1,1+$C$6))</f>
        <v>1</v>
      </c>
      <c r="DA718" s="237" t="n">
        <f aca="false">IF(DA716=0,0,IF(DA716&lt;=12*'🎚️ Escenario'!$C$11,1,1+$C$6))</f>
        <v>1</v>
      </c>
      <c r="DB718" s="237" t="n">
        <f aca="false">IF(DB716=0,0,IF(DB716&lt;=12*'🎚️ Escenario'!$C$11,1,1+$C$6))</f>
        <v>1</v>
      </c>
      <c r="DC718" s="237" t="n">
        <f aca="false">IF(DC716=0,0,IF(DC716&lt;=12*'🎚️ Escenario'!$C$11,1,1+$C$6))</f>
        <v>1</v>
      </c>
      <c r="DD718" s="237" t="n">
        <f aca="false">IF(DD716=0,0,IF(DD716&lt;=12*'🎚️ Escenario'!$C$11,1,1+$C$6))</f>
        <v>1</v>
      </c>
      <c r="DE718" s="237" t="n">
        <f aca="false">IF(DE716=0,0,IF(DE716&lt;=12*'🎚️ Escenario'!$C$11,1,1+$C$6))</f>
        <v>1</v>
      </c>
      <c r="DF718" s="237" t="n">
        <f aca="false">IF(DF716=0,0,IF(DF716&lt;=12*'🎚️ Escenario'!$C$11,1,1+$C$6))</f>
        <v>1</v>
      </c>
      <c r="DG718" s="237" t="n">
        <f aca="false">IF(DG716=0,0,IF(DG716&lt;=12*'🎚️ Escenario'!$C$11,1,1+$C$6))</f>
        <v>1</v>
      </c>
      <c r="DH718" s="237" t="n">
        <f aca="false">IF(DH716=0,0,IF(DH716&lt;=12*'🎚️ Escenario'!$C$11,1,1+$C$6))</f>
        <v>1</v>
      </c>
      <c r="DI718" s="237" t="n">
        <f aca="false">IF(DI716=0,0,IF(DI716&lt;=12*'🎚️ Escenario'!$C$11,1,1+$C$6))</f>
        <v>1</v>
      </c>
      <c r="DJ718" s="237" t="n">
        <f aca="false">IF(DJ716=0,0,IF(DJ716&lt;=12*'🎚️ Escenario'!$C$11,1,1+$C$6))</f>
        <v>1</v>
      </c>
      <c r="DK718" s="237" t="n">
        <f aca="false">IF(DK716=0,0,IF(DK716&lt;=12*'🎚️ Escenario'!$C$11,1,1+$C$6))</f>
        <v>1</v>
      </c>
      <c r="DL718" s="237" t="n">
        <f aca="false">IF(DL716=0,0,IF(DL716&lt;=12*'🎚️ Escenario'!$C$11,1,1+$C$6))</f>
        <v>1</v>
      </c>
      <c r="DM718" s="237" t="n">
        <f aca="false">IF(DM716=0,0,IF(DM716&lt;=12*'🎚️ Escenario'!$C$11,1,1+$C$6))</f>
        <v>1</v>
      </c>
      <c r="DN718" s="237" t="n">
        <f aca="false">IF(DN716=0,0,IF(DN716&lt;=12*'🎚️ Escenario'!$C$11,1,1+$C$6))</f>
        <v>1</v>
      </c>
      <c r="DO718" s="237" t="n">
        <f aca="false">IF(DO716=0,0,IF(DO716&lt;=12*'🎚️ Escenario'!$C$11,1,1+$C$6))</f>
        <v>1.2</v>
      </c>
      <c r="DP718" s="237" t="n">
        <f aca="false">IF(DP716=0,0,IF(DP716&lt;=12*'🎚️ Escenario'!$C$11,1,1+$C$6))</f>
        <v>1.2</v>
      </c>
      <c r="DQ718" s="237" t="n">
        <f aca="false">IF(DQ716=0,0,IF(DQ716&lt;=12*'🎚️ Escenario'!$C$11,1,1+$C$6))</f>
        <v>1.2</v>
      </c>
      <c r="DR718" s="237" t="n">
        <f aca="false">IF(DR716=0,0,IF(DR716&lt;=12*'🎚️ Escenario'!$C$11,1,1+$C$6))</f>
        <v>1.2</v>
      </c>
      <c r="DS718" s="237" t="n">
        <f aca="false">IF(DS716=0,0,IF(DS716&lt;=12*'🎚️ Escenario'!$C$11,1,1+$C$6))</f>
        <v>1.2</v>
      </c>
      <c r="DT718" s="237" t="n">
        <f aca="false">IF(DT716=0,0,IF(DT716&lt;=12*'🎚️ Escenario'!$C$11,1,1+$C$6))</f>
        <v>1.2</v>
      </c>
      <c r="DU718" s="237" t="n">
        <f aca="false">IF(DU716=0,0,IF(DU716&lt;=12*'🎚️ Escenario'!$C$11,1,1+$C$6))</f>
        <v>1.2</v>
      </c>
      <c r="DV718" s="237" t="n">
        <f aca="false">IF(DV716=0,0,IF(DV716&lt;=12*'🎚️ Escenario'!$C$11,1,1+$C$6))</f>
        <v>1.2</v>
      </c>
      <c r="DW718" s="237" t="n">
        <f aca="false">IF(DW716=0,0,IF(DW716&lt;=12*'🎚️ Escenario'!$C$11,1,1+$C$6))</f>
        <v>1.2</v>
      </c>
      <c r="DX718" s="237" t="n">
        <f aca="false">IF(DX716=0,0,IF(DX716&lt;=12*'🎚️ Escenario'!$C$11,1,1+$C$6))</f>
        <v>1.2</v>
      </c>
      <c r="DY718" s="237" t="n">
        <f aca="false">IF(DY716=0,0,IF(DY716&lt;=12*'🎚️ Escenario'!$C$11,1,1+$C$6))</f>
        <v>1.2</v>
      </c>
      <c r="DZ718" s="237" t="n">
        <f aca="false">IF(DZ716=0,0,IF(DZ716&lt;=12*'🎚️ Escenario'!$C$11,1,1+$C$6))</f>
        <v>1.2</v>
      </c>
      <c r="EA718" s="237" t="n">
        <f aca="false">IF(EA716=0,0,IF(EA716&lt;=12*'🎚️ Escenario'!$C$11,1,1+$C$6))</f>
        <v>1.2</v>
      </c>
      <c r="EB718" s="237" t="n">
        <f aca="false">IF(EB716=0,0,IF(EB716&lt;=12*'🎚️ Escenario'!$C$11,1,1+$C$6))</f>
        <v>1.2</v>
      </c>
      <c r="EC718" s="237" t="n">
        <f aca="false">IF(EC716=0,0,IF(EC716&lt;=12*'🎚️ Escenario'!$C$11,1,1+$C$6))</f>
        <v>1.2</v>
      </c>
      <c r="ED718" s="237" t="n">
        <f aca="false">IF(ED716=0,0,IF(ED716&lt;=12*'🎚️ Escenario'!$C$11,1,1+$C$6))</f>
        <v>1.2</v>
      </c>
      <c r="EE718" s="237" t="n">
        <f aca="false">IF(EE716=0,0,IF(EE716&lt;=12*'🎚️ Escenario'!$C$11,1,1+$C$6))</f>
        <v>1.2</v>
      </c>
      <c r="EF718" s="237" t="n">
        <f aca="false">IF(EF716=0,0,IF(EF716&lt;=12*'🎚️ Escenario'!$C$11,1,1+$C$6))</f>
        <v>1.2</v>
      </c>
      <c r="EG718" s="237" t="n">
        <f aca="false">IF(EG716=0,0,IF(EG716&lt;=12*'🎚️ Escenario'!$C$11,1,1+$C$6))</f>
        <v>1.2</v>
      </c>
      <c r="EH718" s="237" t="n">
        <f aca="false">IF(EH716=0,0,IF(EH716&lt;=12*'🎚️ Escenario'!$C$11,1,1+$C$6))</f>
        <v>1.2</v>
      </c>
      <c r="EI718" s="237" t="n">
        <f aca="false">IF(EI716=0,0,IF(EI716&lt;=12*'🎚️ Escenario'!$C$11,1,1+$C$6))</f>
        <v>1.2</v>
      </c>
      <c r="EJ718" s="237" t="n">
        <f aca="false">IF(EJ716=0,0,IF(EJ716&lt;=12*'🎚️ Escenario'!$C$11,1,1+$C$6))</f>
        <v>1.2</v>
      </c>
      <c r="EK718" s="237" t="n">
        <f aca="false">IF(EK716=0,0,IF(EK716&lt;=12*'🎚️ Escenario'!$C$11,1,1+$C$6))</f>
        <v>1.2</v>
      </c>
      <c r="EL718" s="237" t="n">
        <f aca="false">IF(EL716=0,0,IF(EL716&lt;=12*'🎚️ Escenario'!$C$11,1,1+$C$6))</f>
        <v>1.2</v>
      </c>
      <c r="EM718" s="237" t="n">
        <f aca="false">IF(EM716=0,0,IF(EM716&lt;=12*'🎚️ Escenario'!$C$11,1,1+$C$6))</f>
        <v>1.2</v>
      </c>
      <c r="EN718" s="237" t="n">
        <f aca="false">IF(EN716=0,0,IF(EN716&lt;=12*'🎚️ Escenario'!$C$11,1,1+$C$6))</f>
        <v>1.2</v>
      </c>
      <c r="EO718" s="237" t="n">
        <f aca="false">IF(EO716=0,0,IF(EO716&lt;=12*'🎚️ Escenario'!$C$11,1,1+$C$6))</f>
        <v>1.2</v>
      </c>
      <c r="EP718" s="237" t="n">
        <f aca="false">IF(EP716=0,0,IF(EP716&lt;=12*'🎚️ Escenario'!$C$11,1,1+$C$6))</f>
        <v>1.2</v>
      </c>
      <c r="EQ718" s="237" t="n">
        <f aca="false">IF(EQ716=0,0,IF(EQ716&lt;=12*'🎚️ Escenario'!$C$11,1,1+$C$6))</f>
        <v>1.2</v>
      </c>
      <c r="ER718" s="237" t="n">
        <f aca="false">IF(ER716=0,0,IF(ER716&lt;=12*'🎚️ Escenario'!$C$11,1,1+$C$6))</f>
        <v>1.2</v>
      </c>
      <c r="ES718" s="238" t="n">
        <f aca="false">IF(ES716=0,0,IF(ES716&lt;=12*'🎚️ Escenario'!$C$11,1,1+$C$6))</f>
        <v>1.2</v>
      </c>
      <c r="ET718" s="238" t="n">
        <f aca="false">IF(ET716=0,0,IF(ET716&lt;=12*'🎚️ Escenario'!$C$11,1,1+$C$6))</f>
        <v>1.2</v>
      </c>
      <c r="EU718" s="238" t="n">
        <f aca="false">IF(EU716=0,0,IF(EU716&lt;=12*'🎚️ Escenario'!$C$11,1,1+$C$6))</f>
        <v>1.2</v>
      </c>
      <c r="EV718" s="238" t="n">
        <f aca="false">IF(EV716=0,0,IF(EV716&lt;=12*'🎚️ Escenario'!$C$11,1,1+$C$6))</f>
        <v>1.2</v>
      </c>
      <c r="EW718" s="238" t="n">
        <f aca="false">IF(EW716=0,0,IF(EW716&lt;=12*'🎚️ Escenario'!$C$11,1,1+$C$6))</f>
        <v>1.2</v>
      </c>
      <c r="EX718" s="238" t="n">
        <f aca="false">IF(EX716=0,0,IF(EX716&lt;=12*'🎚️ Escenario'!$C$11,1,1+$C$6))</f>
        <v>1.2</v>
      </c>
      <c r="EY718" s="238" t="n">
        <f aca="false">IF(EY716=0,0,IF(EY716&lt;=12*'🎚️ Escenario'!$C$11,1,1+$C$6))</f>
        <v>1.2</v>
      </c>
      <c r="EZ718" s="238" t="n">
        <f aca="false">IF(EZ716=0,0,IF(EZ716&lt;=12*'🎚️ Escenario'!$C$11,1,1+$C$6))</f>
        <v>1.2</v>
      </c>
      <c r="FA718" s="238" t="n">
        <f aca="false">IF(FA716=0,0,IF(FA716&lt;=12*'🎚️ Escenario'!$C$11,1,1+$C$6))</f>
        <v>1.2</v>
      </c>
      <c r="FB718" s="238" t="n">
        <f aca="false">IF(FB716=0,0,IF(FB716&lt;=12*'🎚️ Escenario'!$C$11,1,1+$C$6))</f>
        <v>1.2</v>
      </c>
      <c r="FC718" s="238" t="n">
        <f aca="false">IF(FC716=0,0,IF(FC716&lt;=12*'🎚️ Escenario'!$C$11,1,1+$C$6))</f>
        <v>1.2</v>
      </c>
      <c r="FD718" s="238" t="n">
        <f aca="false">IF(FD716=0,0,IF(FD716&lt;=12*'🎚️ Escenario'!$C$11,1,1+$C$6))</f>
        <v>1.2</v>
      </c>
      <c r="FE718" s="238" t="n">
        <f aca="false">IF(FE716=0,0,IF(FE716&lt;=12*'🎚️ Escenario'!$C$11,1,1+$C$6))</f>
        <v>1.2</v>
      </c>
      <c r="FF718" s="238" t="n">
        <f aca="false">IF(FF716=0,0,IF(FF716&lt;=12*'🎚️ Escenario'!$C$11,1,1+$C$6))</f>
        <v>1.2</v>
      </c>
      <c r="FG718" s="238" t="n">
        <f aca="false">IF(FG716=0,0,IF(FG716&lt;=12*'🎚️ Escenario'!$C$11,1,1+$C$6))</f>
        <v>1.2</v>
      </c>
      <c r="FH718" s="238" t="n">
        <f aca="false">IF(FH716=0,0,IF(FH716&lt;=12*'🎚️ Escenario'!$C$11,1,1+$C$6))</f>
        <v>1.2</v>
      </c>
      <c r="FI718" s="238" t="n">
        <f aca="false">IF(FI716=0,0,IF(FI716&lt;=12*'🎚️ Escenario'!$C$11,1,1+$C$6))</f>
        <v>1.2</v>
      </c>
      <c r="FJ718" s="238" t="n">
        <f aca="false">IF(FJ716=0,0,IF(FJ716&lt;=12*'🎚️ Escenario'!$C$11,1,1+$C$6))</f>
        <v>1.2</v>
      </c>
      <c r="FK718" s="238" t="n">
        <f aca="false">IF(FK716=0,0,IF(FK716&lt;=12*'🎚️ Escenario'!$C$11,1,1+$C$6))</f>
        <v>1.2</v>
      </c>
      <c r="FL718" s="238" t="n">
        <f aca="false">IF(FL716=0,0,IF(FL716&lt;=12*'🎚️ Escenario'!$C$11,1,1+$C$6))</f>
        <v>1.2</v>
      </c>
      <c r="FM718" s="238" t="n">
        <f aca="false">IF(FM716=0,0,IF(FM716&lt;=12*'🎚️ Escenario'!$C$11,1,1+$C$6))</f>
        <v>1.2</v>
      </c>
      <c r="FN718" s="238" t="n">
        <f aca="false">IF(FN716=0,0,IF(FN716&lt;=12*'🎚️ Escenario'!$C$11,1,1+$C$6))</f>
        <v>1.2</v>
      </c>
      <c r="FO718" s="238" t="n">
        <f aca="false">IF(FO716=0,0,IF(FO716&lt;=12*'🎚️ Escenario'!$C$11,1,1+$C$6))</f>
        <v>1.2</v>
      </c>
      <c r="FP718" s="238" t="n">
        <f aca="false">IF(FP716=0,0,IF(FP716&lt;=12*'🎚️ Escenario'!$C$11,1,1+$C$6))</f>
        <v>1.2</v>
      </c>
    </row>
    <row r="719" customFormat="false" ht="15" hidden="false" customHeight="false" outlineLevel="2" collapsed="false">
      <c r="B719" s="9" t="s">
        <v>876</v>
      </c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36" t="n">
        <f aca="false">AC717*$AC$715*AC718*AC$38*'⑫ Roll-out Plan'!$O$76</f>
        <v>0</v>
      </c>
      <c r="AD719" s="36" t="n">
        <f aca="false">AD717*$AC$715*AD718*AD$38*'⑫ Roll-out Plan'!$O$76</f>
        <v>0</v>
      </c>
      <c r="AE719" s="36" t="n">
        <f aca="false">AE717*$AC$715*AE718*AE$38*'⑫ Roll-out Plan'!$O$76</f>
        <v>0</v>
      </c>
      <c r="AF719" s="36" t="n">
        <f aca="false">AF717*$AC$715*AF718*AF$38*'⑫ Roll-out Plan'!$O$76</f>
        <v>0</v>
      </c>
      <c r="AG719" s="36" t="n">
        <f aca="false">AG717*$AC$715*AG718*AG$38*'⑫ Roll-out Plan'!$O$76</f>
        <v>0</v>
      </c>
      <c r="AH719" s="36" t="n">
        <f aca="false">AH717*$AC$715*AH718*AH$38*'⑫ Roll-out Plan'!$O$76</f>
        <v>0</v>
      </c>
      <c r="AI719" s="36" t="n">
        <f aca="false">AI717*$AC$715*AI718*AI$38*'⑫ Roll-out Plan'!$O$76</f>
        <v>0</v>
      </c>
      <c r="AJ719" s="36" t="n">
        <f aca="false">AJ717*$AC$715*AJ718*AJ$38*'⑫ Roll-out Plan'!$O$76</f>
        <v>0</v>
      </c>
      <c r="AK719" s="36" t="n">
        <f aca="false">AK717*$AC$715*AK718*AK$38*'⑫ Roll-out Plan'!$O$76</f>
        <v>0</v>
      </c>
      <c r="AL719" s="36" t="n">
        <f aca="false">AL717*$AC$715*AL718*AL$38*'⑫ Roll-out Plan'!$O$76</f>
        <v>0</v>
      </c>
      <c r="AM719" s="36" t="n">
        <f aca="false">AM717*$AC$715*AM718*AM$38*'⑫ Roll-out Plan'!$O$76</f>
        <v>0</v>
      </c>
      <c r="AN719" s="36" t="n">
        <f aca="false">AN717*$AC$715*AN718*AN$38*'⑫ Roll-out Plan'!$O$76</f>
        <v>0</v>
      </c>
      <c r="AO719" s="36" t="n">
        <f aca="false">AO717*$AC$715*AO718*AO$38*'⑫ Roll-out Plan'!$O$76</f>
        <v>0</v>
      </c>
      <c r="AP719" s="36" t="n">
        <f aca="false">AP717*$AC$715*AP718*AP$38*'⑫ Roll-out Plan'!$O$76</f>
        <v>0</v>
      </c>
      <c r="AQ719" s="36" t="n">
        <f aca="false">AQ717*$AC$715*AQ718*AQ$38*'⑫ Roll-out Plan'!$O$76</f>
        <v>0</v>
      </c>
      <c r="AR719" s="36" t="n">
        <f aca="false">AR717*$AC$715*AR718*AR$38*'⑫ Roll-out Plan'!$O$76</f>
        <v>0</v>
      </c>
      <c r="AS719" s="36" t="n">
        <f aca="false">AS717*$AC$715*AS718*AS$38*'⑫ Roll-out Plan'!$O$76</f>
        <v>0</v>
      </c>
      <c r="AT719" s="36" t="n">
        <f aca="false">AT717*$AC$715*AT718*AT$38*'⑫ Roll-out Plan'!$O$76</f>
        <v>0</v>
      </c>
      <c r="AU719" s="36" t="n">
        <f aca="false">AU717*$AC$715*AU718*AU$38*'⑫ Roll-out Plan'!$O$76</f>
        <v>0</v>
      </c>
      <c r="AV719" s="36" t="n">
        <f aca="false">AV717*$AC$715*AV718*AV$38*'⑫ Roll-out Plan'!$O$76</f>
        <v>0</v>
      </c>
      <c r="AW719" s="36" t="n">
        <f aca="false">AW717*$AC$715*AW718*AW$38*'⑫ Roll-out Plan'!$O$76</f>
        <v>0</v>
      </c>
      <c r="AX719" s="36" t="n">
        <f aca="false">AX717*$AC$715*AX718*AX$38*'⑫ Roll-out Plan'!$O$76</f>
        <v>0</v>
      </c>
      <c r="AY719" s="36" t="n">
        <f aca="false">AY717*$AC$715*AY718*AY$38*'⑫ Roll-out Plan'!$O$76</f>
        <v>0</v>
      </c>
      <c r="AZ719" s="36" t="n">
        <f aca="false">AZ717*$AC$715*AZ718*AZ$38*'⑫ Roll-out Plan'!$O$76</f>
        <v>0</v>
      </c>
      <c r="BA719" s="36" t="n">
        <f aca="false">BA717*$AC$715*BA718*BA$38*'⑫ Roll-out Plan'!$O$76</f>
        <v>0</v>
      </c>
      <c r="BB719" s="36" t="n">
        <f aca="false">BB717*$AC$715*BB718*BB$38*'⑫ Roll-out Plan'!$O$76</f>
        <v>0</v>
      </c>
      <c r="BC719" s="36" t="n">
        <f aca="false">BC717*$AC$715*BC718*BC$38*'⑫ Roll-out Plan'!$O$76</f>
        <v>0</v>
      </c>
      <c r="BD719" s="36" t="n">
        <f aca="false">BD717*$AC$715*BD718*BD$38*'⑫ Roll-out Plan'!$O$76</f>
        <v>0</v>
      </c>
      <c r="BE719" s="36" t="n">
        <f aca="false">BE717*$AC$715*BE718*BE$38*'⑫ Roll-out Plan'!$O$76</f>
        <v>0</v>
      </c>
      <c r="BF719" s="36" t="n">
        <f aca="false">BF717*$AC$715*BF718*BF$38*'⑫ Roll-out Plan'!$O$76</f>
        <v>0</v>
      </c>
      <c r="BG719" s="36" t="n">
        <f aca="false">BG717*$AC$715*BG718*BG$38*'⑫ Roll-out Plan'!$O$76</f>
        <v>0</v>
      </c>
      <c r="BH719" s="36" t="n">
        <f aca="false">BH717*$AC$715*BH718*BH$38*'⑫ Roll-out Plan'!$O$76</f>
        <v>0</v>
      </c>
      <c r="BI719" s="36" t="n">
        <f aca="false">BI717*$AC$715*BI718*BI$38*'⑫ Roll-out Plan'!$O$76</f>
        <v>0</v>
      </c>
      <c r="BJ719" s="36" t="n">
        <f aca="false">BJ717*$AC$715*BJ718*BJ$38*'⑫ Roll-out Plan'!$O$76</f>
        <v>0</v>
      </c>
      <c r="BK719" s="36" t="n">
        <f aca="false">BK717*$AC$715*BK718*BK$38*'⑫ Roll-out Plan'!$O$76</f>
        <v>0</v>
      </c>
      <c r="BL719" s="36" t="n">
        <f aca="false">BL717*$AC$715*BL718*BL$38*'⑫ Roll-out Plan'!$O$76</f>
        <v>0</v>
      </c>
      <c r="BM719" s="36" t="n">
        <f aca="false">BM717*$AC$715*BM718*BM$38*'⑫ Roll-out Plan'!$O$76</f>
        <v>0</v>
      </c>
      <c r="BN719" s="36" t="n">
        <f aca="false">BN717*$AC$715*BN718*BN$38*'⑫ Roll-out Plan'!$O$76</f>
        <v>0</v>
      </c>
      <c r="BO719" s="36" t="n">
        <f aca="false">BO717*$AC$715*BO718*BO$38*'⑫ Roll-out Plan'!$O$76</f>
        <v>0</v>
      </c>
      <c r="BP719" s="36" t="n">
        <f aca="false">BP717*$AC$715*BP718*BP$38*'⑫ Roll-out Plan'!$O$76</f>
        <v>0</v>
      </c>
      <c r="BQ719" s="36" t="n">
        <f aca="false">BQ717*$AC$715*BQ718*BQ$38*'⑫ Roll-out Plan'!$O$76</f>
        <v>0</v>
      </c>
      <c r="BR719" s="36" t="n">
        <f aca="false">BR717*$AC$715*BR718*BR$38*'⑫ Roll-out Plan'!$O$76</f>
        <v>0</v>
      </c>
      <c r="BS719" s="36" t="n">
        <f aca="false">BS717*$AC$715*BS718*BS$38*'⑫ Roll-out Plan'!$O$76</f>
        <v>0</v>
      </c>
      <c r="BT719" s="36" t="n">
        <f aca="false">BT717*$AC$715*BT718*BT$38*'⑫ Roll-out Plan'!$O$76</f>
        <v>0</v>
      </c>
      <c r="BU719" s="36" t="n">
        <f aca="false">BU717*$AC$715*BU718*BU$38*'⑫ Roll-out Plan'!$O$76</f>
        <v>0</v>
      </c>
      <c r="BV719" s="36" t="n">
        <f aca="false">BV717*$AC$715*BV718*BV$38*'⑫ Roll-out Plan'!$O$76</f>
        <v>0</v>
      </c>
      <c r="BW719" s="36" t="n">
        <f aca="false">BW717*$AC$715*BW718*BW$38*'⑫ Roll-out Plan'!$O$76</f>
        <v>0</v>
      </c>
      <c r="BX719" s="36" t="n">
        <f aca="false">BX717*$AC$715*BX718*BX$38*'⑫ Roll-out Plan'!$O$76</f>
        <v>0</v>
      </c>
      <c r="BY719" s="36" t="n">
        <f aca="false">BY717*$AC$715*BY718*BY$38*'⑫ Roll-out Plan'!$O$76</f>
        <v>0</v>
      </c>
      <c r="BZ719" s="36" t="n">
        <f aca="false">BZ717*$AC$715*BZ718*BZ$38*'⑫ Roll-out Plan'!$O$76</f>
        <v>0</v>
      </c>
      <c r="CA719" s="36" t="n">
        <f aca="false">CA717*$AC$715*CA718*CA$38*'⑫ Roll-out Plan'!$O$76</f>
        <v>0</v>
      </c>
      <c r="CB719" s="36" t="n">
        <f aca="false">CB717*$AC$715*CB718*CB$38*'⑫ Roll-out Plan'!$O$76</f>
        <v>0</v>
      </c>
      <c r="CC719" s="36" t="n">
        <f aca="false">CC717*$AC$715*CC718*CC$38*'⑫ Roll-out Plan'!$O$76</f>
        <v>0</v>
      </c>
      <c r="CD719" s="36" t="n">
        <f aca="false">CD717*$AC$715*CD718*CD$38*'⑫ Roll-out Plan'!$O$76</f>
        <v>0</v>
      </c>
      <c r="CE719" s="36" t="n">
        <f aca="false">CE717*$AC$715*CE718*CE$38*'⑫ Roll-out Plan'!$O$76</f>
        <v>0</v>
      </c>
      <c r="CF719" s="36" t="n">
        <f aca="false">CF717*$AC$715*CF718*CF$38*'⑫ Roll-out Plan'!$O$76</f>
        <v>0</v>
      </c>
      <c r="CG719" s="36" t="n">
        <f aca="false">CG717*$AC$715*CG718*CG$38*'⑫ Roll-out Plan'!$O$76</f>
        <v>0</v>
      </c>
      <c r="CH719" s="36" t="n">
        <f aca="false">CH717*$AC$715*CH718*CH$38*'⑫ Roll-out Plan'!$O$76</f>
        <v>0</v>
      </c>
      <c r="CI719" s="36" t="n">
        <f aca="false">CI717*$AC$715*CI718*CI$38*'⑫ Roll-out Plan'!$O$76</f>
        <v>0</v>
      </c>
      <c r="CJ719" s="36" t="n">
        <f aca="false">CJ717*$AC$715*CJ718*CJ$38*'⑫ Roll-out Plan'!$O$76</f>
        <v>0</v>
      </c>
      <c r="CK719" s="36" t="n">
        <f aca="false">CK717*$AC$715*CK718*CK$38*'⑫ Roll-out Plan'!$O$76</f>
        <v>0</v>
      </c>
      <c r="CL719" s="36" t="n">
        <f aca="false">CL717*$AC$715*CL718*CL$38*'⑫ Roll-out Plan'!$O$76</f>
        <v>0</v>
      </c>
      <c r="CM719" s="36" t="n">
        <f aca="false">CM717*$AC$715*CM718*CM$38*'⑫ Roll-out Plan'!$O$76</f>
        <v>0</v>
      </c>
      <c r="CN719" s="36" t="n">
        <f aca="false">CN717*$AC$715*CN718*CN$38*'⑫ Roll-out Plan'!$O$76</f>
        <v>0</v>
      </c>
      <c r="CO719" s="36" t="n">
        <f aca="false">CO717*$AC$715*CO718*CO$38*'⑫ Roll-out Plan'!$O$76</f>
        <v>0</v>
      </c>
      <c r="CP719" s="36" t="n">
        <f aca="false">CP717*$AC$715*CP718*CP$38*'⑫ Roll-out Plan'!$O$76</f>
        <v>0</v>
      </c>
      <c r="CQ719" s="36" t="n">
        <f aca="false">CQ717*$AC$715*CQ718*CQ$38*'⑫ Roll-out Plan'!$O$76</f>
        <v>0</v>
      </c>
      <c r="CR719" s="36" t="n">
        <f aca="false">CR717*$AC$715*CR718*CR$38*'⑫ Roll-out Plan'!$O$76</f>
        <v>0</v>
      </c>
      <c r="CS719" s="36" t="n">
        <f aca="false">CS717*$AC$715*CS718*CS$38*'⑫ Roll-out Plan'!$O$76</f>
        <v>0</v>
      </c>
      <c r="CT719" s="36" t="n">
        <f aca="false">CT717*$AC$715*CT718*CT$38*'⑫ Roll-out Plan'!$O$76</f>
        <v>0</v>
      </c>
      <c r="CU719" s="36" t="n">
        <f aca="false">CU717*$AC$715*CU718*CU$38*'⑫ Roll-out Plan'!$O$76</f>
        <v>0</v>
      </c>
      <c r="CV719" s="36" t="n">
        <f aca="false">CV717*$AC$715*CV718*CV$38*'⑫ Roll-out Plan'!$O$76</f>
        <v>0</v>
      </c>
      <c r="CW719" s="36" t="n">
        <f aca="false">CW717*$AC$715*CW718*CW$38*'⑫ Roll-out Plan'!$O$76</f>
        <v>0</v>
      </c>
      <c r="CX719" s="36" t="n">
        <f aca="false">CX717*$AC$715*CX718*CX$38*'⑫ Roll-out Plan'!$O$76</f>
        <v>0</v>
      </c>
      <c r="CY719" s="36" t="n">
        <f aca="false">CY717*$AC$715*CY718*CY$38*'⑫ Roll-out Plan'!$O$76</f>
        <v>0</v>
      </c>
      <c r="CZ719" s="36" t="n">
        <f aca="false">CZ717*$AC$715*CZ718*CZ$38*'⑫ Roll-out Plan'!$O$76</f>
        <v>46.2</v>
      </c>
      <c r="DA719" s="36" t="n">
        <f aca="false">DA717*$AC$715*DA718*DA$38*'⑫ Roll-out Plan'!$O$76</f>
        <v>42.504</v>
      </c>
      <c r="DB719" s="36" t="n">
        <f aca="false">DB717*$AC$715*DB718*DB$38*'⑫ Roll-out Plan'!$O$76</f>
        <v>40.32</v>
      </c>
      <c r="DC719" s="36" t="n">
        <f aca="false">DC717*$AC$715*DC718*DC$38*'⑫ Roll-out Plan'!$O$76</f>
        <v>47.628</v>
      </c>
      <c r="DD719" s="36" t="n">
        <f aca="false">DD717*$AC$715*DD718*DD$38*'⑫ Roll-out Plan'!$O$76</f>
        <v>80.514</v>
      </c>
      <c r="DE719" s="36" t="n">
        <f aca="false">DE717*$AC$715*DE718*DE$38*'⑫ Roll-out Plan'!$O$76</f>
        <v>75.516</v>
      </c>
      <c r="DF719" s="36" t="n">
        <f aca="false">DF717*$AC$715*DF718*DF$38*'⑫ Roll-out Plan'!$O$76</f>
        <v>70.56</v>
      </c>
      <c r="DG719" s="36" t="n">
        <f aca="false">DG717*$AC$715*DG718*DG$38*'⑫ Roll-out Plan'!$O$76</f>
        <v>58.968</v>
      </c>
      <c r="DH719" s="36" t="n">
        <f aca="false">DH717*$AC$715*DH718*DH$38*'⑫ Roll-out Plan'!$O$76</f>
        <v>94.248</v>
      </c>
      <c r="DI719" s="36" t="n">
        <f aca="false">DI717*$AC$715*DI718*DI$38*'⑫ Roll-out Plan'!$O$76</f>
        <v>99.792</v>
      </c>
      <c r="DJ719" s="36" t="n">
        <f aca="false">DJ717*$AC$715*DJ718*DJ$38*'⑫ Roll-out Plan'!$O$76</f>
        <v>82.656</v>
      </c>
      <c r="DK719" s="36" t="n">
        <f aca="false">DK717*$AC$715*DK718*DK$38*'⑫ Roll-out Plan'!$O$76</f>
        <v>126.672</v>
      </c>
      <c r="DL719" s="36" t="n">
        <f aca="false">DL717*$AC$715*DL718*DL$38*'⑫ Roll-out Plan'!$O$76</f>
        <v>129.36</v>
      </c>
      <c r="DM719" s="36" t="n">
        <f aca="false">DM717*$AC$715*DM718*DM$38*'⑫ Roll-out Plan'!$O$76</f>
        <v>115.92</v>
      </c>
      <c r="DN719" s="36" t="n">
        <f aca="false">DN717*$AC$715*DN718*DN$38*'⑫ Roll-out Plan'!$O$76</f>
        <v>100.8</v>
      </c>
      <c r="DO719" s="36" t="n">
        <f aca="false">DO717*$AC$715*DO718*DO$38*'⑫ Roll-out Plan'!$O$76</f>
        <v>133.3584</v>
      </c>
      <c r="DP719" s="36" t="n">
        <f aca="false">DP717*$AC$715*DP718*DP$38*'⑫ Roll-out Plan'!$O$76</f>
        <v>236.1744</v>
      </c>
      <c r="DQ719" s="36" t="n">
        <f aca="false">DQ717*$AC$715*DQ718*DQ$38*'⑫ Roll-out Plan'!$O$76</f>
        <v>201.7008</v>
      </c>
      <c r="DR719" s="36" t="n">
        <f aca="false">DR717*$AC$715*DR718*DR$38*'⑫ Roll-out Plan'!$O$76</f>
        <v>171.7632</v>
      </c>
      <c r="DS719" s="36" t="n">
        <f aca="false">DS717*$AC$715*DS718*DS$38*'⑫ Roll-out Plan'!$O$76</f>
        <v>128.8224</v>
      </c>
      <c r="DT719" s="36" t="n">
        <f aca="false">DT717*$AC$715*DT718*DT$38*'⑫ Roll-out Plan'!$O$76</f>
        <v>187.6392</v>
      </c>
      <c r="DU719" s="36" t="n">
        <f aca="false">DU717*$AC$715*DU718*DU$38*'⑫ Roll-out Plan'!$O$76</f>
        <v>204.12</v>
      </c>
      <c r="DV719" s="36" t="n">
        <f aca="false">DV717*$AC$715*DV718*DV$38*'⑫ Roll-out Plan'!$O$76</f>
        <v>159.1128</v>
      </c>
      <c r="DW719" s="36" t="n">
        <f aca="false">DW717*$AC$715*DW718*DW$38*'⑫ Roll-out Plan'!$O$76</f>
        <v>230.9328</v>
      </c>
      <c r="DX719" s="36" t="n">
        <f aca="false">DX717*$AC$715*DX718*DX$38*'⑫ Roll-out Plan'!$O$76</f>
        <v>218.988</v>
      </c>
      <c r="DY719" s="36" t="n">
        <f aca="false">DY717*$AC$715*DY718*DY$38*'⑫ Roll-out Plan'!$O$76</f>
        <v>185.472</v>
      </c>
      <c r="DZ719" s="36" t="n">
        <f aca="false">DZ717*$AC$715*DZ718*DZ$38*'⑫ Roll-out Plan'!$O$76</f>
        <v>165.312</v>
      </c>
      <c r="EA719" s="36" t="n">
        <f aca="false">EA717*$AC$715*EA718*EA$38*'⑫ Roll-out Plan'!$O$76</f>
        <v>177.8112</v>
      </c>
      <c r="EB719" s="36" t="n">
        <f aca="false">EB717*$AC$715*EB718*EB$38*'⑫ Roll-out Plan'!$O$76</f>
        <v>304.164</v>
      </c>
      <c r="EC719" s="36" t="n">
        <f aca="false">EC717*$AC$715*EC718*EC$38*'⑫ Roll-out Plan'!$O$76</f>
        <v>248.472</v>
      </c>
      <c r="ED719" s="36" t="n">
        <f aca="false">ED717*$AC$715*ED718*ED$38*'⑫ Roll-out Plan'!$O$76</f>
        <v>208.0512</v>
      </c>
      <c r="EE719" s="36" t="n">
        <f aca="false">EE717*$AC$715*EE718*EE$38*'⑫ Roll-out Plan'!$O$76</f>
        <v>159.6672</v>
      </c>
      <c r="EF719" s="36" t="n">
        <f aca="false">EF717*$AC$715*EF718*EF$38*'⑫ Roll-out Plan'!$O$76</f>
        <v>228.7656</v>
      </c>
      <c r="EG719" s="36" t="n">
        <f aca="false">EG717*$AC$715*EG718*EG$38*'⑫ Roll-out Plan'!$O$76</f>
        <v>244.944</v>
      </c>
      <c r="EH719" s="36" t="n">
        <f aca="false">EH717*$AC$715*EH718*EH$38*'⑫ Roll-out Plan'!$O$76</f>
        <v>185.976</v>
      </c>
      <c r="EI719" s="36" t="n">
        <f aca="false">EI717*$AC$715*EI718*EI$38*'⑫ Roll-out Plan'!$O$76</f>
        <v>268.9344</v>
      </c>
      <c r="EJ719" s="36" t="n">
        <f aca="false">EJ717*$AC$715*EJ718*EJ$38*'⑫ Roll-out Plan'!$O$76</f>
        <v>257.796</v>
      </c>
      <c r="EK719" s="36" t="n">
        <f aca="false">EK717*$AC$715*EK718*EK$38*'⑫ Roll-out Plan'!$O$76</f>
        <v>217.9296</v>
      </c>
      <c r="EL719" s="36" t="n">
        <f aca="false">EL717*$AC$715*EL718*EL$38*'⑫ Roll-out Plan'!$O$76</f>
        <v>191.52</v>
      </c>
      <c r="EM719" s="36" t="n">
        <f aca="false">EM717*$AC$715*EM718*EM$38*'⑫ Roll-out Plan'!$O$76</f>
        <v>201.096</v>
      </c>
      <c r="EN719" s="36" t="n">
        <f aca="false">EN717*$AC$715*EN718*EN$38*'⑫ Roll-out Plan'!$O$76</f>
        <v>347.1048</v>
      </c>
      <c r="EO719" s="36" t="n">
        <f aca="false">EO717*$AC$715*EO718*EO$38*'⑫ Roll-out Plan'!$O$76</f>
        <v>286.4736</v>
      </c>
      <c r="EP719" s="36" t="n">
        <f aca="false">EP717*$AC$715*EP718*EP$38*'⑫ Roll-out Plan'!$O$76</f>
        <v>239.5008</v>
      </c>
      <c r="EQ719" s="36" t="n">
        <f aca="false">EQ717*$AC$715*EQ718*EQ$38*'⑫ Roll-out Plan'!$O$76</f>
        <v>181.44</v>
      </c>
      <c r="ER719" s="36" t="n">
        <f aca="false">ER717*$AC$715*ER718*ER$38*'⑫ Roll-out Plan'!$O$76</f>
        <v>257.04</v>
      </c>
      <c r="ES719" s="9" t="n">
        <f aca="false">ES717*$AC$715*ES718*ES$38*'⑫ Roll-out Plan'!$O$76</f>
        <v>272.16</v>
      </c>
      <c r="ET719" s="9" t="n">
        <f aca="false">ET717*$AC$715*ET718*ET$38*'⑫ Roll-out Plan'!$O$76</f>
        <v>206.64</v>
      </c>
      <c r="EU719" s="9" t="n">
        <f aca="false">EU717*$AC$715*EU718*EU$38*'⑫ Roll-out Plan'!$O$76</f>
        <v>292.32</v>
      </c>
      <c r="EV719" s="9" t="n">
        <f aca="false">EV717*$AC$715*EV718*EV$38*'⑫ Roll-out Plan'!$O$76</f>
        <v>277.2</v>
      </c>
      <c r="EW719" s="9" t="n">
        <f aca="false">EW717*$AC$715*EW718*EW$38*'⑫ Roll-out Plan'!$O$76</f>
        <v>231.84</v>
      </c>
      <c r="EX719" s="9" t="n">
        <f aca="false">EX717*$AC$715*EX718*EX$38*'⑫ Roll-out Plan'!$O$76</f>
        <v>201.6</v>
      </c>
      <c r="EY719" s="9" t="n">
        <f aca="false">EY717*$AC$715*EY718*EY$38*'⑫ Roll-out Plan'!$O$76</f>
        <v>211.68</v>
      </c>
      <c r="EZ719" s="9" t="n">
        <f aca="false">EZ717*$AC$715*EZ718*EZ$38*'⑫ Roll-out Plan'!$O$76</f>
        <v>357.84</v>
      </c>
      <c r="FA719" s="9" t="n">
        <f aca="false">FA717*$AC$715*FA718*FA$38*'⑫ Roll-out Plan'!$O$76</f>
        <v>292.32</v>
      </c>
      <c r="FB719" s="9" t="n">
        <f aca="false">FB717*$AC$715*FB718*FB$38*'⑫ Roll-out Plan'!$O$76</f>
        <v>241.92</v>
      </c>
      <c r="FC719" s="9" t="n">
        <f aca="false">FC717*$AC$715*FC718*FC$38*'⑫ Roll-out Plan'!$O$76</f>
        <v>181.44</v>
      </c>
      <c r="FD719" s="9" t="n">
        <f aca="false">FD717*$AC$715*FD718*FD$38*'⑫ Roll-out Plan'!$O$76</f>
        <v>257.04</v>
      </c>
      <c r="FE719" s="9" t="n">
        <f aca="false">FE717*$AC$715*FE718*FE$38*'⑫ Roll-out Plan'!$O$76</f>
        <v>272.16</v>
      </c>
      <c r="FF719" s="9" t="n">
        <f aca="false">FF717*$AC$715*FF718*FF$38*'⑫ Roll-out Plan'!$O$76</f>
        <v>206.64</v>
      </c>
      <c r="FG719" s="9" t="n">
        <f aca="false">FG717*$AC$715*FG718*FG$38*'⑫ Roll-out Plan'!$O$76</f>
        <v>292.32</v>
      </c>
      <c r="FH719" s="9" t="n">
        <f aca="false">FH717*$AC$715*FH718*FH$38*'⑫ Roll-out Plan'!$O$76</f>
        <v>277.2</v>
      </c>
      <c r="FI719" s="9" t="n">
        <f aca="false">FI717*$AC$715*FI718*FI$38*'⑫ Roll-out Plan'!$O$76</f>
        <v>231.84</v>
      </c>
      <c r="FJ719" s="9" t="n">
        <f aca="false">FJ717*$AC$715*FJ718*FJ$38*'⑫ Roll-out Plan'!$O$76</f>
        <v>201.6</v>
      </c>
      <c r="FK719" s="9" t="n">
        <f aca="false">FK717*$AC$715*FK718*FK$38*'⑫ Roll-out Plan'!$O$76</f>
        <v>211.68</v>
      </c>
      <c r="FL719" s="9" t="n">
        <f aca="false">FL717*$AC$715*FL718*FL$38*'⑫ Roll-out Plan'!$O$76</f>
        <v>357.84</v>
      </c>
      <c r="FM719" s="9" t="n">
        <f aca="false">FM717*$AC$715*FM718*FM$38*'⑫ Roll-out Plan'!$O$76</f>
        <v>292.32</v>
      </c>
      <c r="FN719" s="9" t="n">
        <f aca="false">FN717*$AC$715*FN718*FN$38*'⑫ Roll-out Plan'!$O$76</f>
        <v>241.92</v>
      </c>
      <c r="FO719" s="9" t="n">
        <f aca="false">FO717*$AC$715*FO718*FO$38*'⑫ Roll-out Plan'!$O$76</f>
        <v>181.44</v>
      </c>
      <c r="FP719" s="9" t="n">
        <f aca="false">FP717*$AC$715*FP718*FP$38*'⑫ Roll-out Plan'!$O$76</f>
        <v>257.04</v>
      </c>
    </row>
    <row r="720" customFormat="false" ht="15" hidden="false" customHeight="false" outlineLevel="2" collapsed="false">
      <c r="B720" s="9" t="s">
        <v>877</v>
      </c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112" t="n">
        <f aca="true">IFERROR(SUMPRODUCT(OFFSET($BJ$31,0,1-MIN(60,COLUMN()-29),1,MIN(60,COLUMN()-29)),OFFSET(AC719,0,-MIN(60,COLUMN()-29),1,MIN(60,COLUMN()-29))),0)</f>
        <v>0</v>
      </c>
      <c r="AD720" s="112" t="n">
        <f aca="true">IFERROR(SUMPRODUCT(OFFSET($BJ$31,0,1-MIN(60,COLUMN()-29),1,MIN(60,COLUMN()-29)),OFFSET(AD719,0,-MIN(60,COLUMN()-29),1,MIN(60,COLUMN()-29))),0)</f>
        <v>0</v>
      </c>
      <c r="AE720" s="112" t="n">
        <f aca="true">IFERROR(SUMPRODUCT(OFFSET($BJ$31,0,1-MIN(60,COLUMN()-29),1,MIN(60,COLUMN()-29)),OFFSET(AE719,0,-MIN(60,COLUMN()-29),1,MIN(60,COLUMN()-29))),0)</f>
        <v>0</v>
      </c>
      <c r="AF720" s="112" t="n">
        <f aca="true">IFERROR(SUMPRODUCT(OFFSET($BJ$31,0,1-MIN(60,COLUMN()-29),1,MIN(60,COLUMN()-29)),OFFSET(AF719,0,-MIN(60,COLUMN()-29),1,MIN(60,COLUMN()-29))),0)</f>
        <v>0</v>
      </c>
      <c r="AG720" s="112" t="n">
        <f aca="true">IFERROR(SUMPRODUCT(OFFSET($BJ$31,0,1-MIN(60,COLUMN()-29),1,MIN(60,COLUMN()-29)),OFFSET(AG719,0,-MIN(60,COLUMN()-29),1,MIN(60,COLUMN()-29))),0)</f>
        <v>0</v>
      </c>
      <c r="AH720" s="112" t="n">
        <f aca="true">IFERROR(SUMPRODUCT(OFFSET($BJ$31,0,1-MIN(60,COLUMN()-29),1,MIN(60,COLUMN()-29)),OFFSET(AH719,0,-MIN(60,COLUMN()-29),1,MIN(60,COLUMN()-29))),0)</f>
        <v>0</v>
      </c>
      <c r="AI720" s="112" t="n">
        <f aca="true">IFERROR(SUMPRODUCT(OFFSET($BJ$31,0,1-MIN(60,COLUMN()-29),1,MIN(60,COLUMN()-29)),OFFSET(AI719,0,-MIN(60,COLUMN()-29),1,MIN(60,COLUMN()-29))),0)</f>
        <v>0</v>
      </c>
      <c r="AJ720" s="112" t="n">
        <f aca="true">IFERROR(SUMPRODUCT(OFFSET($BJ$31,0,1-MIN(60,COLUMN()-29),1,MIN(60,COLUMN()-29)),OFFSET(AJ719,0,-MIN(60,COLUMN()-29),1,MIN(60,COLUMN()-29))),0)</f>
        <v>0</v>
      </c>
      <c r="AK720" s="112" t="n">
        <f aca="true">IFERROR(SUMPRODUCT(OFFSET($BJ$31,0,1-MIN(60,COLUMN()-29),1,MIN(60,COLUMN()-29)),OFFSET(AK719,0,-MIN(60,COLUMN()-29),1,MIN(60,COLUMN()-29))),0)</f>
        <v>0</v>
      </c>
      <c r="AL720" s="112" t="n">
        <f aca="true">IFERROR(SUMPRODUCT(OFFSET($BJ$31,0,1-MIN(60,COLUMN()-29),1,MIN(60,COLUMN()-29)),OFFSET(AL719,0,-MIN(60,COLUMN()-29),1,MIN(60,COLUMN()-29))),0)</f>
        <v>0</v>
      </c>
      <c r="AM720" s="112" t="n">
        <f aca="true">IFERROR(SUMPRODUCT(OFFSET($BJ$31,0,1-MIN(60,COLUMN()-29),1,MIN(60,COLUMN()-29)),OFFSET(AM719,0,-MIN(60,COLUMN()-29),1,MIN(60,COLUMN()-29))),0)</f>
        <v>0</v>
      </c>
      <c r="AN720" s="239" t="n">
        <f aca="true">IFERROR(SUMPRODUCT(OFFSET($BJ$31,0,1-MIN(60,COLUMN()-29),1,MIN(60,COLUMN()-29)),OFFSET(AN719,0,-MIN(60,COLUMN()-29),1,MIN(60,COLUMN()-29))),0)</f>
        <v>0</v>
      </c>
      <c r="AO720" s="112" t="n">
        <f aca="true">IFERROR(SUMPRODUCT(OFFSET($BJ$31,0,1-MIN(60,COLUMN()-29),1,MIN(60,COLUMN()-29)),OFFSET(AO719,0,-MIN(60,COLUMN()-29),1,MIN(60,COLUMN()-29))),0)</f>
        <v>0</v>
      </c>
      <c r="AP720" s="112" t="n">
        <f aca="true">IFERROR(SUMPRODUCT(OFFSET($BJ$31,0,1-MIN(60,COLUMN()-29),1,MIN(60,COLUMN()-29)),OFFSET(AP719,0,-MIN(60,COLUMN()-29),1,MIN(60,COLUMN()-29))),0)</f>
        <v>0</v>
      </c>
      <c r="AQ720" s="112" t="n">
        <f aca="true">IFERROR(SUMPRODUCT(OFFSET($BJ$31,0,1-MIN(60,COLUMN()-29),1,MIN(60,COLUMN()-29)),OFFSET(AQ719,0,-MIN(60,COLUMN()-29),1,MIN(60,COLUMN()-29))),0)</f>
        <v>0</v>
      </c>
      <c r="AR720" s="112" t="n">
        <f aca="true">IFERROR(SUMPRODUCT(OFFSET($BJ$31,0,1-MIN(60,COLUMN()-29),1,MIN(60,COLUMN()-29)),OFFSET(AR719,0,-MIN(60,COLUMN()-29),1,MIN(60,COLUMN()-29))),0)</f>
        <v>0</v>
      </c>
      <c r="AS720" s="112" t="n">
        <f aca="true">IFERROR(SUMPRODUCT(OFFSET($BJ$31,0,1-MIN(60,COLUMN()-29),1,MIN(60,COLUMN()-29)),OFFSET(AS719,0,-MIN(60,COLUMN()-29),1,MIN(60,COLUMN()-29))),0)</f>
        <v>0</v>
      </c>
      <c r="AT720" s="112" t="n">
        <f aca="true">IFERROR(SUMPRODUCT(OFFSET($BJ$31,0,1-MIN(60,COLUMN()-29),1,MIN(60,COLUMN()-29)),OFFSET(AT719,0,-MIN(60,COLUMN()-29),1,MIN(60,COLUMN()-29))),0)</f>
        <v>0</v>
      </c>
      <c r="AU720" s="112" t="n">
        <f aca="true">IFERROR(SUMPRODUCT(OFFSET($BJ$31,0,1-MIN(60,COLUMN()-29),1,MIN(60,COLUMN()-29)),OFFSET(AU719,0,-MIN(60,COLUMN()-29),1,MIN(60,COLUMN()-29))),0)</f>
        <v>0</v>
      </c>
      <c r="AV720" s="112" t="n">
        <f aca="true">IFERROR(SUMPRODUCT(OFFSET($BJ$31,0,1-MIN(60,COLUMN()-29),1,MIN(60,COLUMN()-29)),OFFSET(AV719,0,-MIN(60,COLUMN()-29),1,MIN(60,COLUMN()-29))),0)</f>
        <v>0</v>
      </c>
      <c r="AW720" s="112" t="n">
        <f aca="true">IFERROR(SUMPRODUCT(OFFSET($BJ$31,0,1-MIN(60,COLUMN()-29),1,MIN(60,COLUMN()-29)),OFFSET(AW719,0,-MIN(60,COLUMN()-29),1,MIN(60,COLUMN()-29))),0)</f>
        <v>0</v>
      </c>
      <c r="AX720" s="112" t="n">
        <f aca="true">IFERROR(SUMPRODUCT(OFFSET($BJ$31,0,1-MIN(60,COLUMN()-29),1,MIN(60,COLUMN()-29)),OFFSET(AX719,0,-MIN(60,COLUMN()-29),1,MIN(60,COLUMN()-29))),0)</f>
        <v>0</v>
      </c>
      <c r="AY720" s="112" t="n">
        <f aca="true">IFERROR(SUMPRODUCT(OFFSET($BJ$31,0,1-MIN(60,COLUMN()-29),1,MIN(60,COLUMN()-29)),OFFSET(AY719,0,-MIN(60,COLUMN()-29),1,MIN(60,COLUMN()-29))),0)</f>
        <v>0</v>
      </c>
      <c r="AZ720" s="112" t="n">
        <f aca="true">IFERROR(SUMPRODUCT(OFFSET($BJ$31,0,1-MIN(60,COLUMN()-29),1,MIN(60,COLUMN()-29)),OFFSET(AZ719,0,-MIN(60,COLUMN()-29),1,MIN(60,COLUMN()-29))),0)</f>
        <v>0</v>
      </c>
      <c r="BA720" s="112" t="n">
        <f aca="true">IFERROR(SUMPRODUCT(OFFSET($BJ$31,0,1-MIN(60,COLUMN()-29),1,MIN(60,COLUMN()-29)),OFFSET(BA719,0,-MIN(60,COLUMN()-29),1,MIN(60,COLUMN()-29))),0)</f>
        <v>0</v>
      </c>
      <c r="BB720" s="112" t="n">
        <f aca="true">IFERROR(SUMPRODUCT(OFFSET($BJ$31,0,1-MIN(60,COLUMN()-29),1,MIN(60,COLUMN()-29)),OFFSET(BB719,0,-MIN(60,COLUMN()-29),1,MIN(60,COLUMN()-29))),0)</f>
        <v>0</v>
      </c>
      <c r="BC720" s="112" t="n">
        <f aca="true">IFERROR(SUMPRODUCT(OFFSET($BJ$31,0,1-MIN(60,COLUMN()-29),1,MIN(60,COLUMN()-29)),OFFSET(BC719,0,-MIN(60,COLUMN()-29),1,MIN(60,COLUMN()-29))),0)</f>
        <v>0</v>
      </c>
      <c r="BD720" s="112" t="n">
        <f aca="true">IFERROR(SUMPRODUCT(OFFSET($BJ$31,0,1-MIN(60,COLUMN()-29),1,MIN(60,COLUMN()-29)),OFFSET(BD719,0,-MIN(60,COLUMN()-29),1,MIN(60,COLUMN()-29))),0)</f>
        <v>0</v>
      </c>
      <c r="BE720" s="112" t="n">
        <f aca="true">IFERROR(SUMPRODUCT(OFFSET($BJ$31,0,1-MIN(60,COLUMN()-29),1,MIN(60,COLUMN()-29)),OFFSET(BE719,0,-MIN(60,COLUMN()-29),1,MIN(60,COLUMN()-29))),0)</f>
        <v>0</v>
      </c>
      <c r="BF720" s="112" t="n">
        <f aca="true">IFERROR(SUMPRODUCT(OFFSET($BJ$31,0,1-MIN(60,COLUMN()-29),1,MIN(60,COLUMN()-29)),OFFSET(BF719,0,-MIN(60,COLUMN()-29),1,MIN(60,COLUMN()-29))),0)</f>
        <v>0</v>
      </c>
      <c r="BG720" s="112" t="n">
        <f aca="true">IFERROR(SUMPRODUCT(OFFSET($BJ$31,0,1-MIN(60,COLUMN()-29),1,MIN(60,COLUMN()-29)),OFFSET(BG719,0,-MIN(60,COLUMN()-29),1,MIN(60,COLUMN()-29))),0)</f>
        <v>0</v>
      </c>
      <c r="BH720" s="112" t="n">
        <f aca="true">IFERROR(SUMPRODUCT(OFFSET($BJ$31,0,1-MIN(60,COLUMN()-29),1,MIN(60,COLUMN()-29)),OFFSET(BH719,0,-MIN(60,COLUMN()-29),1,MIN(60,COLUMN()-29))),0)</f>
        <v>0</v>
      </c>
      <c r="BI720" s="112" t="n">
        <f aca="true">IFERROR(SUMPRODUCT(OFFSET($BJ$31,0,1-MIN(60,COLUMN()-29),1,MIN(60,COLUMN()-29)),OFFSET(BI719,0,-MIN(60,COLUMN()-29),1,MIN(60,COLUMN()-29))),0)</f>
        <v>0</v>
      </c>
      <c r="BJ720" s="112" t="n">
        <f aca="true">IFERROR(SUMPRODUCT(OFFSET($BJ$31,0,1-MIN(60,COLUMN()-29),1,MIN(60,COLUMN()-29)),OFFSET(BJ719,0,-MIN(60,COLUMN()-29),1,MIN(60,COLUMN()-29))),0)</f>
        <v>0</v>
      </c>
      <c r="BK720" s="112" t="n">
        <f aca="true">IFERROR(SUMPRODUCT(OFFSET($BJ$31,0,1-MIN(60,COLUMN()-29),1,MIN(60,COLUMN()-29)),OFFSET(BK719,0,-MIN(60,COLUMN()-29),1,MIN(60,COLUMN()-29))),0)</f>
        <v>0</v>
      </c>
      <c r="BL720" s="112" t="n">
        <f aca="true">IFERROR(SUMPRODUCT(OFFSET($BJ$31,0,1-MIN(60,COLUMN()-29),1,MIN(60,COLUMN()-29)),OFFSET(BL719,0,-MIN(60,COLUMN()-29),1,MIN(60,COLUMN()-29))),0)</f>
        <v>0</v>
      </c>
      <c r="BM720" s="112" t="n">
        <f aca="true">IFERROR(SUMPRODUCT(OFFSET($BJ$31,0,1-MIN(60,COLUMN()-29),1,MIN(60,COLUMN()-29)),OFFSET(BM719,0,-MIN(60,COLUMN()-29),1,MIN(60,COLUMN()-29))),0)</f>
        <v>0</v>
      </c>
      <c r="BN720" s="112" t="n">
        <f aca="true">IFERROR(SUMPRODUCT(OFFSET($BJ$31,0,1-MIN(60,COLUMN()-29),1,MIN(60,COLUMN()-29)),OFFSET(BN719,0,-MIN(60,COLUMN()-29),1,MIN(60,COLUMN()-29))),0)</f>
        <v>0</v>
      </c>
      <c r="BO720" s="112" t="n">
        <f aca="true">IFERROR(SUMPRODUCT(OFFSET($BJ$31,0,1-MIN(60,COLUMN()-29),1,MIN(60,COLUMN()-29)),OFFSET(BO719,0,-MIN(60,COLUMN()-29),1,MIN(60,COLUMN()-29))),0)</f>
        <v>0</v>
      </c>
      <c r="BP720" s="112" t="n">
        <f aca="true">IFERROR(SUMPRODUCT(OFFSET($BJ$31,0,1-MIN(60,COLUMN()-29),1,MIN(60,COLUMN()-29)),OFFSET(BP719,0,-MIN(60,COLUMN()-29),1,MIN(60,COLUMN()-29))),0)</f>
        <v>0</v>
      </c>
      <c r="BQ720" s="112" t="n">
        <f aca="true">IFERROR(SUMPRODUCT(OFFSET($BJ$31,0,1-MIN(60,COLUMN()-29),1,MIN(60,COLUMN()-29)),OFFSET(BQ719,0,-MIN(60,COLUMN()-29),1,MIN(60,COLUMN()-29))),0)</f>
        <v>0</v>
      </c>
      <c r="BR720" s="112" t="n">
        <f aca="true">IFERROR(SUMPRODUCT(OFFSET($BJ$31,0,1-MIN(60,COLUMN()-29),1,MIN(60,COLUMN()-29)),OFFSET(BR719,0,-MIN(60,COLUMN()-29),1,MIN(60,COLUMN()-29))),0)</f>
        <v>0</v>
      </c>
      <c r="BS720" s="112" t="n">
        <f aca="true">IFERROR(SUMPRODUCT(OFFSET($BJ$31,0,1-MIN(60,COLUMN()-29),1,MIN(60,COLUMN()-29)),OFFSET(BS719,0,-MIN(60,COLUMN()-29),1,MIN(60,COLUMN()-29))),0)</f>
        <v>0</v>
      </c>
      <c r="BT720" s="112" t="n">
        <f aca="true">IFERROR(SUMPRODUCT(OFFSET($BJ$31,0,1-MIN(60,COLUMN()-29),1,MIN(60,COLUMN()-29)),OFFSET(BT719,0,-MIN(60,COLUMN()-29),1,MIN(60,COLUMN()-29))),0)</f>
        <v>0</v>
      </c>
      <c r="BU720" s="112" t="n">
        <f aca="true">IFERROR(SUMPRODUCT(OFFSET($BJ$31,0,1-MIN(60,COLUMN()-29),1,MIN(60,COLUMN()-29)),OFFSET(BU719,0,-MIN(60,COLUMN()-29),1,MIN(60,COLUMN()-29))),0)</f>
        <v>0</v>
      </c>
      <c r="BV720" s="112" t="n">
        <f aca="true">IFERROR(SUMPRODUCT(OFFSET($BJ$31,0,1-MIN(60,COLUMN()-29),1,MIN(60,COLUMN()-29)),OFFSET(BV719,0,-MIN(60,COLUMN()-29),1,MIN(60,COLUMN()-29))),0)</f>
        <v>0</v>
      </c>
      <c r="BW720" s="112" t="n">
        <f aca="true">IFERROR(SUMPRODUCT(OFFSET($BJ$31,0,1-MIN(60,COLUMN()-29),1,MIN(60,COLUMN()-29)),OFFSET(BW719,0,-MIN(60,COLUMN()-29),1,MIN(60,COLUMN()-29))),0)</f>
        <v>0</v>
      </c>
      <c r="BX720" s="112" t="n">
        <f aca="true">IFERROR(SUMPRODUCT(OFFSET($BJ$31,0,1-MIN(60,COLUMN()-29),1,MIN(60,COLUMN()-29)),OFFSET(BX719,0,-MIN(60,COLUMN()-29),1,MIN(60,COLUMN()-29))),0)</f>
        <v>0</v>
      </c>
      <c r="BY720" s="112" t="n">
        <f aca="true">IFERROR(SUMPRODUCT(OFFSET($BJ$31,0,1-MIN(60,COLUMN()-29),1,MIN(60,COLUMN()-29)),OFFSET(BY719,0,-MIN(60,COLUMN()-29),1,MIN(60,COLUMN()-29))),0)</f>
        <v>0</v>
      </c>
      <c r="BZ720" s="112" t="n">
        <f aca="true">IFERROR(SUMPRODUCT(OFFSET($BJ$31,0,1-MIN(60,COLUMN()-29),1,MIN(60,COLUMN()-29)),OFFSET(BZ719,0,-MIN(60,COLUMN()-29),1,MIN(60,COLUMN()-29))),0)</f>
        <v>0</v>
      </c>
      <c r="CA720" s="112" t="n">
        <f aca="true">IFERROR(SUMPRODUCT(OFFSET($BJ$31,0,1-MIN(60,COLUMN()-29),1,MIN(60,COLUMN()-29)),OFFSET(CA719,0,-MIN(60,COLUMN()-29),1,MIN(60,COLUMN()-29))),0)</f>
        <v>0</v>
      </c>
      <c r="CB720" s="112" t="n">
        <f aca="true">IFERROR(SUMPRODUCT(OFFSET($BJ$31,0,1-MIN(60,COLUMN()-29),1,MIN(60,COLUMN()-29)),OFFSET(CB719,0,-MIN(60,COLUMN()-29),1,MIN(60,COLUMN()-29))),0)</f>
        <v>0</v>
      </c>
      <c r="CC720" s="112" t="n">
        <f aca="true">IFERROR(SUMPRODUCT(OFFSET($BJ$31,0,1-MIN(60,COLUMN()-29),1,MIN(60,COLUMN()-29)),OFFSET(CC719,0,-MIN(60,COLUMN()-29),1,MIN(60,COLUMN()-29))),0)</f>
        <v>0</v>
      </c>
      <c r="CD720" s="112" t="n">
        <f aca="true">IFERROR(SUMPRODUCT(OFFSET($BJ$31,0,1-MIN(60,COLUMN()-29),1,MIN(60,COLUMN()-29)),OFFSET(CD719,0,-MIN(60,COLUMN()-29),1,MIN(60,COLUMN()-29))),0)</f>
        <v>0</v>
      </c>
      <c r="CE720" s="112" t="n">
        <f aca="true">IFERROR(SUMPRODUCT(OFFSET($BJ$31,0,1-MIN(60,COLUMN()-29),1,MIN(60,COLUMN()-29)),OFFSET(CE719,0,-MIN(60,COLUMN()-29),1,MIN(60,COLUMN()-29))),0)</f>
        <v>0</v>
      </c>
      <c r="CF720" s="112" t="n">
        <f aca="true">IFERROR(SUMPRODUCT(OFFSET($BJ$31,0,1-MIN(60,COLUMN()-29),1,MIN(60,COLUMN()-29)),OFFSET(CF719,0,-MIN(60,COLUMN()-29),1,MIN(60,COLUMN()-29))),0)</f>
        <v>0</v>
      </c>
      <c r="CG720" s="112" t="n">
        <f aca="true">IFERROR(SUMPRODUCT(OFFSET($BJ$31,0,1-MIN(60,COLUMN()-29),1,MIN(60,COLUMN()-29)),OFFSET(CG719,0,-MIN(60,COLUMN()-29),1,MIN(60,COLUMN()-29))),0)</f>
        <v>0</v>
      </c>
      <c r="CH720" s="112" t="n">
        <f aca="true">IFERROR(SUMPRODUCT(OFFSET($BJ$31,0,1-MIN(60,COLUMN()-29),1,MIN(60,COLUMN()-29)),OFFSET(CH719,0,-MIN(60,COLUMN()-29),1,MIN(60,COLUMN()-29))),0)</f>
        <v>0</v>
      </c>
      <c r="CI720" s="112" t="n">
        <f aca="true">IFERROR(SUMPRODUCT(OFFSET($BJ$31,0,1-MIN(60,COLUMN()-29),1,MIN(60,COLUMN()-29)),OFFSET(CI719,0,-MIN(60,COLUMN()-29),1,MIN(60,COLUMN()-29))),0)</f>
        <v>0</v>
      </c>
      <c r="CJ720" s="112" t="n">
        <f aca="true">IFERROR(SUMPRODUCT(OFFSET($BJ$31,0,1-MIN(60,COLUMN()-29),1,MIN(60,COLUMN()-29)),OFFSET(CJ719,0,-MIN(60,COLUMN()-29),1,MIN(60,COLUMN()-29))),0)</f>
        <v>0</v>
      </c>
      <c r="CK720" s="112" t="n">
        <f aca="true">IFERROR(SUMPRODUCT(OFFSET($BJ$31,0,1-MIN(60,COLUMN()-29),1,MIN(60,COLUMN()-29)),OFFSET(CK719,0,-MIN(60,COLUMN()-29),1,MIN(60,COLUMN()-29))),0)</f>
        <v>0</v>
      </c>
      <c r="CL720" s="112" t="n">
        <f aca="true">IFERROR(SUMPRODUCT(OFFSET($BJ$31,0,1-MIN(60,COLUMN()-29),1,MIN(60,COLUMN()-29)),OFFSET(CL719,0,-MIN(60,COLUMN()-29),1,MIN(60,COLUMN()-29))),0)</f>
        <v>0</v>
      </c>
      <c r="CM720" s="112" t="n">
        <f aca="true">IFERROR(SUMPRODUCT(OFFSET($BJ$31,0,1-MIN(60,COLUMN()-29),1,MIN(60,COLUMN()-29)),OFFSET(CM719,0,-MIN(60,COLUMN()-29),1,MIN(60,COLUMN()-29))),0)</f>
        <v>0</v>
      </c>
      <c r="CN720" s="112" t="n">
        <f aca="true">IFERROR(SUMPRODUCT(OFFSET($BJ$31,0,1-MIN(60,COLUMN()-29),1,MIN(60,COLUMN()-29)),OFFSET(CN719,0,-MIN(60,COLUMN()-29),1,MIN(60,COLUMN()-29))),0)</f>
        <v>0</v>
      </c>
      <c r="CO720" s="112" t="n">
        <f aca="true">IFERROR(SUMPRODUCT(OFFSET($BJ$31,0,1-MIN(60,COLUMN()-29),1,MIN(60,COLUMN()-29)),OFFSET(CO719,0,-MIN(60,COLUMN()-29),1,MIN(60,COLUMN()-29))),0)</f>
        <v>0</v>
      </c>
      <c r="CP720" s="112" t="n">
        <f aca="true">IFERROR(SUMPRODUCT(OFFSET($BJ$31,0,1-MIN(60,COLUMN()-29),1,MIN(60,COLUMN()-29)),OFFSET(CP719,0,-MIN(60,COLUMN()-29),1,MIN(60,COLUMN()-29))),0)</f>
        <v>0</v>
      </c>
      <c r="CQ720" s="112" t="n">
        <f aca="true">IFERROR(SUMPRODUCT(OFFSET($BJ$31,0,1-MIN(60,COLUMN()-29),1,MIN(60,COLUMN()-29)),OFFSET(CQ719,0,-MIN(60,COLUMN()-29),1,MIN(60,COLUMN()-29))),0)</f>
        <v>0</v>
      </c>
      <c r="CR720" s="112" t="n">
        <f aca="true">IFERROR(SUMPRODUCT(OFFSET($BJ$31,0,1-MIN(60,COLUMN()-29),1,MIN(60,COLUMN()-29)),OFFSET(CR719,0,-MIN(60,COLUMN()-29),1,MIN(60,COLUMN()-29))),0)</f>
        <v>0</v>
      </c>
      <c r="CS720" s="112" t="n">
        <f aca="true">IFERROR(SUMPRODUCT(OFFSET($BJ$31,0,1-MIN(60,COLUMN()-29),1,MIN(60,COLUMN()-29)),OFFSET(CS719,0,-MIN(60,COLUMN()-29),1,MIN(60,COLUMN()-29))),0)</f>
        <v>0</v>
      </c>
      <c r="CT720" s="112" t="n">
        <f aca="true">IFERROR(SUMPRODUCT(OFFSET($BJ$31,0,1-MIN(60,COLUMN()-29),1,MIN(60,COLUMN()-29)),OFFSET(CT719,0,-MIN(60,COLUMN()-29),1,MIN(60,COLUMN()-29))),0)</f>
        <v>0</v>
      </c>
      <c r="CU720" s="112" t="n">
        <f aca="true">IFERROR(SUMPRODUCT(OFFSET($BJ$31,0,1-MIN(60,COLUMN()-29),1,MIN(60,COLUMN()-29)),OFFSET(CU719,0,-MIN(60,COLUMN()-29),1,MIN(60,COLUMN()-29))),0)</f>
        <v>0</v>
      </c>
      <c r="CV720" s="112" t="n">
        <f aca="true">IFERROR(SUMPRODUCT(OFFSET($BJ$31,0,1-MIN(60,COLUMN()-29),1,MIN(60,COLUMN()-29)),OFFSET(CV719,0,-MIN(60,COLUMN()-29),1,MIN(60,COLUMN()-29))),0)</f>
        <v>0</v>
      </c>
      <c r="CW720" s="112" t="n">
        <f aca="true">IFERROR(SUMPRODUCT(OFFSET($BJ$31,0,1-MIN(60,COLUMN()-29),1,MIN(60,COLUMN()-29)),OFFSET(CW719,0,-MIN(60,COLUMN()-29),1,MIN(60,COLUMN()-29))),0)</f>
        <v>0</v>
      </c>
      <c r="CX720" s="112" t="n">
        <f aca="true">IFERROR(SUMPRODUCT(OFFSET($BJ$31,0,1-MIN(60,COLUMN()-29),1,MIN(60,COLUMN()-29)),OFFSET(CX719,0,-MIN(60,COLUMN()-29),1,MIN(60,COLUMN()-29))),0)</f>
        <v>0</v>
      </c>
      <c r="CY720" s="112" t="n">
        <f aca="true">IFERROR(SUMPRODUCT(OFFSET($BJ$31,0,1-MIN(60,COLUMN()-29),1,MIN(60,COLUMN()-29)),OFFSET(CY719,0,-MIN(60,COLUMN()-29),1,MIN(60,COLUMN()-29))),0)</f>
        <v>0</v>
      </c>
      <c r="CZ720" s="112" t="n">
        <f aca="true">IFERROR(SUMPRODUCT(OFFSET($BJ$31,0,1-MIN(60,COLUMN()-29),1,MIN(60,COLUMN()-29)),OFFSET(CZ719,0,-MIN(60,COLUMN()-29),1,MIN(60,COLUMN()-29))),0)</f>
        <v>0</v>
      </c>
      <c r="DA720" s="112" t="n">
        <f aca="true">IFERROR(SUMPRODUCT(OFFSET($BJ$31,0,1-MIN(60,COLUMN()-29),1,MIN(60,COLUMN()-29)),OFFSET(DA719,0,-MIN(60,COLUMN()-29),1,MIN(60,COLUMN()-29))),0)</f>
        <v>5.9136</v>
      </c>
      <c r="DB720" s="112" t="n">
        <f aca="true">IFERROR(SUMPRODUCT(OFFSET($BJ$31,0,1-MIN(60,COLUMN()-29),1,MIN(60,COLUMN()-29)),OFFSET(DB719,0,-MIN(60,COLUMN()-29),1,MIN(60,COLUMN()-29))),0)</f>
        <v>6.253632</v>
      </c>
      <c r="DC720" s="112" t="n">
        <f aca="true">IFERROR(SUMPRODUCT(OFFSET($BJ$31,0,1-MIN(60,COLUMN()-29),1,MIN(60,COLUMN()-29)),OFFSET(DC719,0,-MIN(60,COLUMN()-29),1,MIN(60,COLUMN()-29))),0)</f>
        <v>6.9439104</v>
      </c>
      <c r="DD720" s="112" t="n">
        <f aca="true">IFERROR(SUMPRODUCT(OFFSET($BJ$31,0,1-MIN(60,COLUMN()-29),1,MIN(60,COLUMN()-29)),OFFSET(DD719,0,-MIN(60,COLUMN()-29),1,MIN(60,COLUMN()-29))),0)</f>
        <v>8.3494656</v>
      </c>
      <c r="DE720" s="112" t="n">
        <f aca="true">IFERROR(SUMPRODUCT(OFFSET($BJ$31,0,1-MIN(60,COLUMN()-29),1,MIN(60,COLUMN()-29)),OFFSET(DE719,0,-MIN(60,COLUMN()-29),1,MIN(60,COLUMN()-29))),0)</f>
        <v>13.034784</v>
      </c>
      <c r="DF720" s="112" t="n">
        <f aca="true">IFERROR(SUMPRODUCT(OFFSET($BJ$31,0,1-MIN(60,COLUMN()-29),1,MIN(60,COLUMN()-29)),OFFSET(DF719,0,-MIN(60,COLUMN()-29),1,MIN(60,COLUMN()-29))),0)</f>
        <v>13.295856</v>
      </c>
      <c r="DG720" s="112" t="n">
        <f aca="true">IFERROR(SUMPRODUCT(OFFSET($BJ$31,0,1-MIN(60,COLUMN()-29),1,MIN(60,COLUMN()-29)),OFFSET(DG719,0,-MIN(60,COLUMN()-29),1,MIN(60,COLUMN()-29))),0)</f>
        <v>14.1042048</v>
      </c>
      <c r="DH720" s="112" t="n">
        <f aca="true">IFERROR(SUMPRODUCT(OFFSET($BJ$31,0,1-MIN(60,COLUMN()-29),1,MIN(60,COLUMN()-29)),OFFSET(DH719,0,-MIN(60,COLUMN()-29),1,MIN(60,COLUMN()-29))),0)</f>
        <v>13.0644864</v>
      </c>
      <c r="DI720" s="112" t="n">
        <f aca="true">IFERROR(SUMPRODUCT(OFFSET($BJ$31,0,1-MIN(60,COLUMN()-29),1,MIN(60,COLUMN()-29)),OFFSET(DI719,0,-MIN(60,COLUMN()-29),1,MIN(60,COLUMN()-29))),0)</f>
        <v>17.9429376</v>
      </c>
      <c r="DJ720" s="112" t="n">
        <f aca="true">IFERROR(SUMPRODUCT(OFFSET($BJ$31,0,1-MIN(60,COLUMN()-29),1,MIN(60,COLUMN()-29)),OFFSET(DJ719,0,-MIN(60,COLUMN()-29),1,MIN(60,COLUMN()-29))),0)</f>
        <v>19.9443552</v>
      </c>
      <c r="DK720" s="112" t="n">
        <f aca="true">IFERROR(SUMPRODUCT(OFFSET($BJ$31,0,1-MIN(60,COLUMN()-29),1,MIN(60,COLUMN()-29)),OFFSET(DK719,0,-MIN(60,COLUMN()-29),1,MIN(60,COLUMN()-29))),0)</f>
        <v>19.0419264</v>
      </c>
      <c r="DL720" s="112" t="n">
        <f aca="true">IFERROR(SUMPRODUCT(OFFSET($BJ$31,0,1-MIN(60,COLUMN()-29),1,MIN(60,COLUMN()-29)),OFFSET(DL719,0,-MIN(60,COLUMN()-29),1,MIN(60,COLUMN()-29))),0)</f>
        <v>26.1694944</v>
      </c>
      <c r="DM720" s="112" t="n">
        <f aca="true">IFERROR(SUMPRODUCT(OFFSET($BJ$31,0,1-MIN(60,COLUMN()-29),1,MIN(60,COLUMN()-29)),OFFSET(DM719,0,-MIN(60,COLUMN()-29),1,MIN(60,COLUMN()-29))),0)</f>
        <v>29.1181632</v>
      </c>
      <c r="DN720" s="112" t="n">
        <f aca="true">IFERROR(SUMPRODUCT(OFFSET($BJ$31,0,1-MIN(60,COLUMN()-29),1,MIN(60,COLUMN()-29)),OFFSET(DN719,0,-MIN(60,COLUMN()-29),1,MIN(60,COLUMN()-29))),0)</f>
        <v>29.1072096</v>
      </c>
      <c r="DO720" s="112" t="n">
        <f aca="true">IFERROR(SUMPRODUCT(OFFSET($BJ$31,0,1-MIN(60,COLUMN()-29),1,MIN(60,COLUMN()-29)),OFFSET(DO719,0,-MIN(60,COLUMN()-29),1,MIN(60,COLUMN()-29))),0)</f>
        <v>28.497504</v>
      </c>
      <c r="DP720" s="112" t="n">
        <f aca="true">IFERROR(SUMPRODUCT(OFFSET($BJ$31,0,1-MIN(60,COLUMN()-29),1,MIN(60,COLUMN()-29)),OFFSET(DP719,0,-MIN(60,COLUMN()-29),1,MIN(60,COLUMN()-29))),0)</f>
        <v>33.9715488</v>
      </c>
      <c r="DQ720" s="112" t="n">
        <f aca="true">IFERROR(SUMPRODUCT(OFFSET($BJ$31,0,1-MIN(60,COLUMN()-29),1,MIN(60,COLUMN()-29)),OFFSET(DQ719,0,-MIN(60,COLUMN()-29),1,MIN(60,COLUMN()-29))),0)</f>
        <v>49.71037344</v>
      </c>
      <c r="DR720" s="112" t="n">
        <f aca="true">IFERROR(SUMPRODUCT(OFFSET($BJ$31,0,1-MIN(60,COLUMN()-29),1,MIN(60,COLUMN()-29)),OFFSET(DR719,0,-MIN(60,COLUMN()-29),1,MIN(60,COLUMN()-29))),0)</f>
        <v>50.1576096</v>
      </c>
      <c r="DS720" s="112" t="n">
        <f aca="true">IFERROR(SUMPRODUCT(OFFSET($BJ$31,0,1-MIN(60,COLUMN()-29),1,MIN(60,COLUMN()-29)),OFFSET(DS719,0,-MIN(60,COLUMN()-29),1,MIN(60,COLUMN()-29))),0)</f>
        <v>49.59573696</v>
      </c>
      <c r="DT720" s="112" t="n">
        <f aca="true">IFERROR(SUMPRODUCT(OFFSET($BJ$31,0,1-MIN(60,COLUMN()-29),1,MIN(60,COLUMN()-29)),OFFSET(DT719,0,-MIN(60,COLUMN()-29),1,MIN(60,COLUMN()-29))),0)</f>
        <v>46.3962408</v>
      </c>
      <c r="DU720" s="112" t="n">
        <f aca="true">IFERROR(SUMPRODUCT(OFFSET($BJ$31,0,1-MIN(60,COLUMN()-29),1,MIN(60,COLUMN()-29)),OFFSET(DU719,0,-MIN(60,COLUMN()-29),1,MIN(60,COLUMN()-29))),0)</f>
        <v>57.17414472</v>
      </c>
      <c r="DV720" s="112" t="n">
        <f aca="true">IFERROR(SUMPRODUCT(OFFSET($BJ$31,0,1-MIN(60,COLUMN()-29),1,MIN(60,COLUMN()-29)),OFFSET(DV719,0,-MIN(60,COLUMN()-29),1,MIN(60,COLUMN()-29))),0)</f>
        <v>61.81872984</v>
      </c>
      <c r="DW720" s="112" t="n">
        <f aca="true">IFERROR(SUMPRODUCT(OFFSET($BJ$31,0,1-MIN(60,COLUMN()-29),1,MIN(60,COLUMN()-29)),OFFSET(DW719,0,-MIN(60,COLUMN()-29),1,MIN(60,COLUMN()-29))),0)</f>
        <v>61.12409688</v>
      </c>
      <c r="DX720" s="112" t="n">
        <f aca="true">IFERROR(SUMPRODUCT(OFFSET($BJ$31,0,1-MIN(60,COLUMN()-29),1,MIN(60,COLUMN()-29)),OFFSET(DX719,0,-MIN(60,COLUMN()-29),1,MIN(60,COLUMN()-29))),0)</f>
        <v>73.5449484</v>
      </c>
      <c r="DY720" s="112" t="n">
        <f aca="true">IFERROR(SUMPRODUCT(OFFSET($BJ$31,0,1-MIN(60,COLUMN()-29),1,MIN(60,COLUMN()-29)),OFFSET(DY719,0,-MIN(60,COLUMN()-29),1,MIN(60,COLUMN()-29))),0)</f>
        <v>76.55391576</v>
      </c>
      <c r="DZ720" s="112" t="n">
        <f aca="true">IFERROR(SUMPRODUCT(OFFSET($BJ$31,0,1-MIN(60,COLUMN()-29),1,MIN(60,COLUMN()-29)),OFFSET(DZ719,0,-MIN(60,COLUMN()-29),1,MIN(60,COLUMN()-29))),0)</f>
        <v>76.71442968</v>
      </c>
      <c r="EA720" s="112" t="n">
        <f aca="true">IFERROR(SUMPRODUCT(OFFSET($BJ$31,0,1-MIN(60,COLUMN()-29),1,MIN(60,COLUMN()-29)),OFFSET(EA719,0,-MIN(60,COLUMN()-29),1,MIN(60,COLUMN()-29))),0)</f>
        <v>77.0278236</v>
      </c>
      <c r="EB720" s="112" t="n">
        <f aca="true">IFERROR(SUMPRODUCT(OFFSET($BJ$31,0,1-MIN(60,COLUMN()-29),1,MIN(60,COLUMN()-29)),OFFSET(EB719,0,-MIN(60,COLUMN()-29),1,MIN(60,COLUMN()-29))),0)</f>
        <v>84.70769496</v>
      </c>
      <c r="EC720" s="112" t="n">
        <f aca="true">IFERROR(SUMPRODUCT(OFFSET($BJ$31,0,1-MIN(60,COLUMN()-29),1,MIN(60,COLUMN()-29)),OFFSET(EC719,0,-MIN(60,COLUMN()-29),1,MIN(60,COLUMN()-29))),0)</f>
        <v>106.09480728</v>
      </c>
      <c r="ED720" s="112" t="n">
        <f aca="true">IFERROR(SUMPRODUCT(OFFSET($BJ$31,0,1-MIN(60,COLUMN()-29),1,MIN(60,COLUMN()-29)),OFFSET(ED719,0,-MIN(60,COLUMN()-29),1,MIN(60,COLUMN()-29))),0)</f>
        <v>105.59746008</v>
      </c>
      <c r="EE720" s="112" t="n">
        <f aca="true">IFERROR(SUMPRODUCT(OFFSET($BJ$31,0,1-MIN(60,COLUMN()-29),1,MIN(60,COLUMN()-29)),OFFSET(EE719,0,-MIN(60,COLUMN()-29),1,MIN(60,COLUMN()-29))),0)</f>
        <v>104.04675288</v>
      </c>
      <c r="EF720" s="112" t="n">
        <f aca="true">IFERROR(SUMPRODUCT(OFFSET($BJ$31,0,1-MIN(60,COLUMN()-29),1,MIN(60,COLUMN()-29)),OFFSET(EF719,0,-MIN(60,COLUMN()-29),1,MIN(60,COLUMN()-29))),0)</f>
        <v>101.00188728</v>
      </c>
      <c r="EG720" s="112" t="n">
        <f aca="true">IFERROR(SUMPRODUCT(OFFSET($BJ$31,0,1-MIN(60,COLUMN()-29),1,MIN(60,COLUMN()-29)),OFFSET(EG719,0,-MIN(60,COLUMN()-29),1,MIN(60,COLUMN()-29))),0)</f>
        <v>117.54165528</v>
      </c>
      <c r="EH720" s="112" t="n">
        <f aca="true">IFERROR(SUMPRODUCT(OFFSET($BJ$31,0,1-MIN(60,COLUMN()-29),1,MIN(60,COLUMN()-29)),OFFSET(EH719,0,-MIN(60,COLUMN()-29),1,MIN(60,COLUMN()-29))),0)</f>
        <v>124.32458808</v>
      </c>
      <c r="EI720" s="112" t="n">
        <f aca="true">IFERROR(SUMPRODUCT(OFFSET($BJ$31,0,1-MIN(60,COLUMN()-29),1,MIN(60,COLUMN()-29)),OFFSET(EI719,0,-MIN(60,COLUMN()-29),1,MIN(60,COLUMN()-29))),0)</f>
        <v>124.51344696</v>
      </c>
      <c r="EJ720" s="112" t="n">
        <f aca="true">IFERROR(SUMPRODUCT(OFFSET($BJ$31,0,1-MIN(60,COLUMN()-29),1,MIN(60,COLUMN()-29)),OFFSET(EJ719,0,-MIN(60,COLUMN()-29),1,MIN(60,COLUMN()-29))),0)</f>
        <v>140.19756408</v>
      </c>
      <c r="EK720" s="112" t="n">
        <f aca="true">IFERROR(SUMPRODUCT(OFFSET($BJ$31,0,1-MIN(60,COLUMN()-29),1,MIN(60,COLUMN()-29)),OFFSET(EK719,0,-MIN(60,COLUMN()-29),1,MIN(60,COLUMN()-29))),0)</f>
        <v>144.62027496</v>
      </c>
      <c r="EL720" s="112" t="n">
        <f aca="true">IFERROR(SUMPRODUCT(OFFSET($BJ$31,0,1-MIN(60,COLUMN()-29),1,MIN(60,COLUMN()-29)),OFFSET(EL719,0,-MIN(60,COLUMN()-29),1,MIN(60,COLUMN()-29))),0)</f>
        <v>146.25635976</v>
      </c>
      <c r="EM720" s="112" t="n">
        <f aca="true">IFERROR(SUMPRODUCT(OFFSET($BJ$31,0,1-MIN(60,COLUMN()-29),1,MIN(60,COLUMN()-29)),OFFSET(EM719,0,-MIN(60,COLUMN()-29),1,MIN(60,COLUMN()-29))),0)</f>
        <v>146.78131608</v>
      </c>
      <c r="EN720" s="112" t="n">
        <f aca="true">IFERROR(SUMPRODUCT(OFFSET($BJ$31,0,1-MIN(60,COLUMN()-29),1,MIN(60,COLUMN()-29)),OFFSET(EN719,0,-MIN(60,COLUMN()-29),1,MIN(60,COLUMN()-29))),0)</f>
        <v>156.22589304</v>
      </c>
      <c r="EO720" s="112" t="n">
        <f aca="true">IFERROR(SUMPRODUCT(OFFSET($BJ$31,0,1-MIN(60,COLUMN()-29),1,MIN(60,COLUMN()-29)),OFFSET(EO719,0,-MIN(60,COLUMN()-29),1,MIN(60,COLUMN()-29))),0)</f>
        <v>182.10668616</v>
      </c>
      <c r="EP720" s="112" t="n">
        <f aca="true">IFERROR(SUMPRODUCT(OFFSET($BJ$31,0,1-MIN(60,COLUMN()-29),1,MIN(60,COLUMN()-29)),OFFSET(EP719,0,-MIN(60,COLUMN()-29),1,MIN(60,COLUMN()-29))),0)</f>
        <v>182.40376392</v>
      </c>
      <c r="EQ720" s="112" t="n">
        <f aca="true">IFERROR(SUMPRODUCT(OFFSET($BJ$31,0,1-MIN(60,COLUMN()-29),1,MIN(60,COLUMN()-29)),OFFSET(EQ719,0,-MIN(60,COLUMN()-29),1,MIN(60,COLUMN()-29))),0)</f>
        <v>181.44487368</v>
      </c>
      <c r="ER720" s="112" t="n">
        <f aca="true">IFERROR(SUMPRODUCT(OFFSET($BJ$31,0,1-MIN(60,COLUMN()-29),1,MIN(60,COLUMN()-29)),OFFSET(ER719,0,-MIN(60,COLUMN()-29),1,MIN(60,COLUMN()-29))),0)</f>
        <v>178.11968328</v>
      </c>
      <c r="ES720" s="9" t="n">
        <f aca="true">IFERROR(SUMPRODUCT(OFFSET($BJ$31,0,1-MIN(60,COLUMN()-29),1,MIN(60,COLUMN()-29)),OFFSET(ES719,0,-MIN(60,COLUMN()-29),1,MIN(60,COLUMN()-29))),0)</f>
        <v>197.31910968</v>
      </c>
      <c r="ET720" s="9" t="n">
        <f aca="true">IFERROR(SUMPRODUCT(OFFSET($BJ$31,0,1-MIN(60,COLUMN()-29),1,MIN(60,COLUMN()-29)),OFFSET(ET719,0,-MIN(60,COLUMN()-29),1,MIN(60,COLUMN()-29))),0)</f>
        <v>204.69442392</v>
      </c>
      <c r="EU720" s="9" t="n">
        <f aca="true">IFERROR(SUMPRODUCT(OFFSET($BJ$31,0,1-MIN(60,COLUMN()-29),1,MIN(60,COLUMN()-29)),OFFSET(EU719,0,-MIN(60,COLUMN()-29),1,MIN(60,COLUMN()-29))),0)</f>
        <v>205.03907928</v>
      </c>
      <c r="EV720" s="9" t="n">
        <f aca="true">IFERROR(SUMPRODUCT(OFFSET($BJ$31,0,1-MIN(60,COLUMN()-29),1,MIN(60,COLUMN()-29)),OFFSET(EV719,0,-MIN(60,COLUMN()-29),1,MIN(60,COLUMN()-29))),0)</f>
        <v>221.99170392</v>
      </c>
      <c r="EW720" s="9" t="n">
        <f aca="true">IFERROR(SUMPRODUCT(OFFSET($BJ$31,0,1-MIN(60,COLUMN()-29),1,MIN(60,COLUMN()-29)),OFFSET(EW719,0,-MIN(60,COLUMN()-29),1,MIN(60,COLUMN()-29))),0)</f>
        <v>226.13477544</v>
      </c>
      <c r="EX720" s="9" t="n">
        <f aca="true">IFERROR(SUMPRODUCT(OFFSET($BJ$31,0,1-MIN(60,COLUMN()-29),1,MIN(60,COLUMN()-29)),OFFSET(EX719,0,-MIN(60,COLUMN()-29),1,MIN(60,COLUMN()-29))),0)</f>
        <v>227.28988296</v>
      </c>
      <c r="EY720" s="9" t="n">
        <f aca="true">IFERROR(SUMPRODUCT(OFFSET($BJ$31,0,1-MIN(60,COLUMN()-29),1,MIN(60,COLUMN()-29)),OFFSET(EY719,0,-MIN(60,COLUMN()-29),1,MIN(60,COLUMN()-29))),0)</f>
        <v>226.9886724</v>
      </c>
      <c r="EZ720" s="9" t="n">
        <f aca="true">IFERROR(SUMPRODUCT(OFFSET($BJ$31,0,1-MIN(60,COLUMN()-29),1,MIN(60,COLUMN()-29)),OFFSET(EZ719,0,-MIN(60,COLUMN()-29),1,MIN(60,COLUMN()-29))),0)</f>
        <v>236.74116312</v>
      </c>
      <c r="FA720" s="9" t="n">
        <f aca="true">IFERROR(SUMPRODUCT(OFFSET($BJ$31,0,1-MIN(60,COLUMN()-29),1,MIN(60,COLUMN()-29)),OFFSET(FA719,0,-MIN(60,COLUMN()-29),1,MIN(60,COLUMN()-29))),0)</f>
        <v>262.56737808</v>
      </c>
      <c r="FB720" s="9" t="n">
        <f aca="true">IFERROR(SUMPRODUCT(OFFSET($BJ$31,0,1-MIN(60,COLUMN()-29),1,MIN(60,COLUMN()-29)),OFFSET(FB719,0,-MIN(60,COLUMN()-29),1,MIN(60,COLUMN()-29))),0)</f>
        <v>261.82400832</v>
      </c>
      <c r="FC720" s="9" t="n">
        <f aca="true">IFERROR(SUMPRODUCT(OFFSET($BJ$31,0,1-MIN(60,COLUMN()-29),1,MIN(60,COLUMN()-29)),OFFSET(FC719,0,-MIN(60,COLUMN()-29),1,MIN(60,COLUMN()-29))),0)</f>
        <v>259.53544512</v>
      </c>
      <c r="FD720" s="9" t="n">
        <f aca="true">IFERROR(SUMPRODUCT(OFFSET($BJ$31,0,1-MIN(60,COLUMN()-29),1,MIN(60,COLUMN()-29)),OFFSET(FD719,0,-MIN(60,COLUMN()-29),1,MIN(60,COLUMN()-29))),0)</f>
        <v>255.18439296</v>
      </c>
      <c r="FE720" s="9" t="n">
        <f aca="true">IFERROR(SUMPRODUCT(OFFSET($BJ$31,0,1-MIN(60,COLUMN()-29),1,MIN(60,COLUMN()-29)),OFFSET(FE719,0,-MIN(60,COLUMN()-29),1,MIN(60,COLUMN()-29))),0)</f>
        <v>273.93435216</v>
      </c>
      <c r="FF720" s="9" t="n">
        <f aca="true">IFERROR(SUMPRODUCT(OFFSET($BJ$31,0,1-MIN(60,COLUMN()-29),1,MIN(60,COLUMN()-29)),OFFSET(FF719,0,-MIN(60,COLUMN()-29),1,MIN(60,COLUMN()-29))),0)</f>
        <v>280.35789264</v>
      </c>
      <c r="FG720" s="9" t="n">
        <f aca="true">IFERROR(SUMPRODUCT(OFFSET($BJ$31,0,1-MIN(60,COLUMN()-29),1,MIN(60,COLUMN()-29)),OFFSET(FG719,0,-MIN(60,COLUMN()-29),1,MIN(60,COLUMN()-29))),0)</f>
        <v>279.98557776</v>
      </c>
      <c r="FH720" s="9" t="n">
        <f aca="true">IFERROR(SUMPRODUCT(OFFSET($BJ$31,0,1-MIN(60,COLUMN()-29),1,MIN(60,COLUMN()-29)),OFFSET(FH719,0,-MIN(60,COLUMN()-29),1,MIN(60,COLUMN()-29))),0)</f>
        <v>295.43519376</v>
      </c>
      <c r="FI720" s="9" t="n">
        <f aca="true">IFERROR(SUMPRODUCT(OFFSET($BJ$31,0,1-MIN(60,COLUMN()-29),1,MIN(60,COLUMN()-29)),OFFSET(FI719,0,-MIN(60,COLUMN()-29),1,MIN(60,COLUMN()-29))),0)</f>
        <v>298.06405776</v>
      </c>
      <c r="FJ720" s="9" t="n">
        <f aca="true">IFERROR(SUMPRODUCT(OFFSET($BJ$31,0,1-MIN(60,COLUMN()-29),1,MIN(60,COLUMN()-29)),OFFSET(FJ719,0,-MIN(60,COLUMN()-29),1,MIN(60,COLUMN()-29))),0)</f>
        <v>297.84411216</v>
      </c>
      <c r="FK720" s="9" t="n">
        <f aca="true">IFERROR(SUMPRODUCT(OFFSET($BJ$31,0,1-MIN(60,COLUMN()-29),1,MIN(60,COLUMN()-29)),OFFSET(FK719,0,-MIN(60,COLUMN()-29),1,MIN(60,COLUMN()-29))),0)</f>
        <v>296.32707216</v>
      </c>
      <c r="FL720" s="9" t="n">
        <f aca="true">IFERROR(SUMPRODUCT(OFFSET($BJ$31,0,1-MIN(60,COLUMN()-29),1,MIN(60,COLUMN()-29)),OFFSET(FL719,0,-MIN(60,COLUMN()-29),1,MIN(60,COLUMN()-29))),0)</f>
        <v>304.58168496</v>
      </c>
      <c r="FM720" s="9" t="n">
        <f aca="true">IFERROR(SUMPRODUCT(OFFSET($BJ$31,0,1-MIN(60,COLUMN()-29),1,MIN(60,COLUMN()-29)),OFFSET(FM719,0,-MIN(60,COLUMN()-29),1,MIN(60,COLUMN()-29))),0)</f>
        <v>327.22166736</v>
      </c>
      <c r="FN720" s="9" t="n">
        <f aca="true">IFERROR(SUMPRODUCT(OFFSET($BJ$31,0,1-MIN(60,COLUMN()-29),1,MIN(60,COLUMN()-29)),OFFSET(FN719,0,-MIN(60,COLUMN()-29),1,MIN(60,COLUMN()-29))),0)</f>
        <v>323.61070896</v>
      </c>
      <c r="FO720" s="9" t="n">
        <f aca="true">IFERROR(SUMPRODUCT(OFFSET($BJ$31,0,1-MIN(60,COLUMN()-29),1,MIN(60,COLUMN()-29)),OFFSET(FO719,0,-MIN(60,COLUMN()-29),1,MIN(60,COLUMN()-29))),0)</f>
        <v>318.84891696</v>
      </c>
      <c r="FP720" s="9" t="n">
        <f aca="true">IFERROR(SUMPRODUCT(OFFSET($BJ$31,0,1-MIN(60,COLUMN()-29),1,MIN(60,COLUMN()-29)),OFFSET(FP719,0,-MIN(60,COLUMN()-29),1,MIN(60,COLUMN()-29))),0)</f>
        <v>312.73499376</v>
      </c>
    </row>
    <row r="721" customFormat="false" ht="15" hidden="false" customHeight="false" outlineLevel="2" collapsed="false">
      <c r="B721" s="90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237"/>
      <c r="AD721" s="237"/>
      <c r="AE721" s="237"/>
      <c r="AF721" s="237"/>
      <c r="AG721" s="237"/>
      <c r="AH721" s="237"/>
      <c r="AI721" s="237"/>
      <c r="AJ721" s="237"/>
      <c r="AK721" s="237"/>
      <c r="AL721" s="237"/>
      <c r="AM721" s="237"/>
      <c r="AN721" s="237"/>
      <c r="AO721" s="237"/>
      <c r="AP721" s="237"/>
      <c r="AQ721" s="237"/>
      <c r="AR721" s="237"/>
      <c r="AS721" s="237"/>
      <c r="AT721" s="237"/>
      <c r="AU721" s="237"/>
      <c r="AV721" s="237"/>
      <c r="AW721" s="237"/>
      <c r="AX721" s="237"/>
      <c r="AY721" s="237"/>
      <c r="AZ721" s="237"/>
      <c r="BA721" s="237"/>
      <c r="BB721" s="237"/>
      <c r="BC721" s="237"/>
      <c r="BD721" s="237"/>
      <c r="BE721" s="237"/>
      <c r="BF721" s="237"/>
      <c r="BG721" s="237"/>
      <c r="BH721" s="237"/>
      <c r="BI721" s="237"/>
      <c r="BJ721" s="237"/>
      <c r="BK721" s="237"/>
      <c r="BL721" s="237"/>
      <c r="BM721" s="237"/>
      <c r="BN721" s="237"/>
      <c r="BO721" s="237"/>
      <c r="BP721" s="237"/>
      <c r="BQ721" s="237"/>
      <c r="BR721" s="237"/>
      <c r="BS721" s="237"/>
      <c r="BT721" s="237"/>
      <c r="BU721" s="237"/>
      <c r="BV721" s="237"/>
      <c r="BW721" s="237"/>
      <c r="BX721" s="237"/>
      <c r="BY721" s="237"/>
      <c r="BZ721" s="237"/>
      <c r="CA721" s="237"/>
      <c r="CB721" s="237"/>
      <c r="CC721" s="237"/>
      <c r="CD721" s="237"/>
      <c r="CE721" s="237"/>
      <c r="CF721" s="237"/>
      <c r="CG721" s="237"/>
      <c r="CH721" s="237"/>
      <c r="CI721" s="237"/>
      <c r="CJ721" s="237"/>
      <c r="CK721" s="237"/>
      <c r="CL721" s="237"/>
      <c r="CM721" s="237"/>
      <c r="CN721" s="237"/>
      <c r="CO721" s="237"/>
      <c r="CP721" s="237"/>
      <c r="CQ721" s="237"/>
      <c r="CR721" s="237"/>
      <c r="CS721" s="237"/>
      <c r="CT721" s="237"/>
      <c r="CU721" s="237"/>
      <c r="CV721" s="237"/>
      <c r="CW721" s="237"/>
      <c r="CX721" s="237"/>
      <c r="CY721" s="237"/>
      <c r="CZ721" s="237"/>
      <c r="DA721" s="237"/>
      <c r="DB721" s="237"/>
      <c r="DC721" s="237"/>
      <c r="DD721" s="237"/>
      <c r="DE721" s="237"/>
      <c r="DF721" s="237"/>
      <c r="DG721" s="237"/>
      <c r="DH721" s="237"/>
      <c r="DI721" s="237"/>
      <c r="DJ721" s="237"/>
      <c r="DK721" s="237"/>
      <c r="DL721" s="237"/>
      <c r="DM721" s="237"/>
      <c r="DN721" s="237"/>
      <c r="DO721" s="237"/>
      <c r="DP721" s="237"/>
      <c r="DQ721" s="237"/>
      <c r="DR721" s="237"/>
      <c r="DS721" s="237"/>
      <c r="DT721" s="237"/>
      <c r="DU721" s="237"/>
      <c r="DV721" s="237"/>
      <c r="DW721" s="237"/>
      <c r="DX721" s="237"/>
      <c r="DY721" s="237"/>
      <c r="DZ721" s="237"/>
      <c r="EA721" s="237"/>
      <c r="EB721" s="237"/>
      <c r="EC721" s="237"/>
      <c r="ED721" s="237"/>
      <c r="EE721" s="237"/>
      <c r="EF721" s="237"/>
      <c r="EG721" s="237"/>
      <c r="EH721" s="237"/>
      <c r="EI721" s="237"/>
      <c r="EJ721" s="237"/>
      <c r="EK721" s="237"/>
      <c r="EL721" s="237"/>
      <c r="EM721" s="237"/>
      <c r="EN721" s="237"/>
      <c r="EO721" s="237"/>
      <c r="EP721" s="237"/>
      <c r="EQ721" s="237"/>
      <c r="ER721" s="237"/>
      <c r="ES721" s="9"/>
      <c r="ET721" s="9"/>
      <c r="EU721" s="9"/>
      <c r="EV721" s="9"/>
      <c r="EW721" s="9"/>
      <c r="EX721" s="9"/>
      <c r="EY721" s="9"/>
      <c r="EZ721" s="9"/>
      <c r="FA721" s="9"/>
      <c r="FB721" s="9"/>
      <c r="FC721" s="9"/>
      <c r="FD721" s="9"/>
      <c r="FE721" s="9"/>
      <c r="FF721" s="9"/>
      <c r="FG721" s="9"/>
      <c r="FH721" s="9"/>
      <c r="FI721" s="9"/>
      <c r="FJ721" s="9"/>
      <c r="FK721" s="9"/>
      <c r="FL721" s="9"/>
      <c r="FM721" s="9"/>
      <c r="FN721" s="9"/>
      <c r="FO721" s="9"/>
      <c r="FP721" s="9"/>
    </row>
    <row r="722" customFormat="false" ht="15" hidden="false" customHeight="false" outlineLevel="2" collapsed="false">
      <c r="B722" s="240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237"/>
      <c r="AD722" s="237"/>
      <c r="AE722" s="237"/>
      <c r="AF722" s="237"/>
      <c r="AG722" s="237"/>
      <c r="AH722" s="237"/>
      <c r="AI722" s="237"/>
      <c r="AJ722" s="237"/>
      <c r="AK722" s="237"/>
      <c r="AL722" s="237"/>
      <c r="AM722" s="237"/>
      <c r="AN722" s="237"/>
      <c r="AO722" s="237"/>
      <c r="AP722" s="237"/>
      <c r="AQ722" s="237"/>
      <c r="AR722" s="237"/>
      <c r="AS722" s="237"/>
      <c r="AT722" s="237"/>
      <c r="AU722" s="237"/>
      <c r="AV722" s="237"/>
      <c r="AW722" s="237"/>
      <c r="AX722" s="237"/>
      <c r="AY722" s="237"/>
      <c r="AZ722" s="237"/>
      <c r="BA722" s="237"/>
      <c r="BB722" s="237"/>
      <c r="BC722" s="237"/>
      <c r="BD722" s="237"/>
      <c r="BE722" s="237"/>
      <c r="BF722" s="237"/>
      <c r="BG722" s="237"/>
      <c r="BH722" s="237"/>
      <c r="BI722" s="237"/>
      <c r="BJ722" s="237"/>
      <c r="BK722" s="237"/>
      <c r="BL722" s="237"/>
      <c r="BM722" s="237"/>
      <c r="BN722" s="237"/>
      <c r="BO722" s="237"/>
      <c r="BP722" s="237"/>
      <c r="BQ722" s="237"/>
      <c r="BR722" s="237"/>
      <c r="BS722" s="237"/>
      <c r="BT722" s="237"/>
      <c r="BU722" s="237"/>
      <c r="BV722" s="237"/>
      <c r="BW722" s="237"/>
      <c r="BX722" s="237"/>
      <c r="BY722" s="237"/>
      <c r="BZ722" s="237"/>
      <c r="CA722" s="237"/>
      <c r="CB722" s="237"/>
      <c r="CC722" s="237"/>
      <c r="CD722" s="237"/>
      <c r="CE722" s="237"/>
      <c r="CF722" s="237"/>
      <c r="CG722" s="237"/>
      <c r="CH722" s="237"/>
      <c r="CI722" s="237"/>
      <c r="CJ722" s="237"/>
      <c r="CK722" s="237"/>
      <c r="CL722" s="237"/>
      <c r="CM722" s="237"/>
      <c r="CN722" s="237"/>
      <c r="CO722" s="237"/>
      <c r="CP722" s="237"/>
      <c r="CQ722" s="237"/>
      <c r="CR722" s="237"/>
      <c r="CS722" s="237"/>
      <c r="CT722" s="237"/>
      <c r="CU722" s="237"/>
      <c r="CV722" s="237"/>
      <c r="CW722" s="237"/>
      <c r="CX722" s="237"/>
      <c r="CY722" s="237"/>
      <c r="CZ722" s="237"/>
      <c r="DA722" s="237"/>
      <c r="DB722" s="237"/>
      <c r="DC722" s="237"/>
      <c r="DD722" s="237"/>
      <c r="DE722" s="237"/>
      <c r="DF722" s="237"/>
      <c r="DG722" s="237"/>
      <c r="DH722" s="237"/>
      <c r="DI722" s="237"/>
      <c r="DJ722" s="237"/>
      <c r="DK722" s="237"/>
      <c r="DL722" s="237"/>
      <c r="DM722" s="237"/>
      <c r="DN722" s="237"/>
      <c r="DO722" s="237"/>
      <c r="DP722" s="237"/>
      <c r="DQ722" s="237"/>
      <c r="DR722" s="237"/>
      <c r="DS722" s="237"/>
      <c r="DT722" s="237"/>
      <c r="DU722" s="237"/>
      <c r="DV722" s="237"/>
      <c r="DW722" s="237"/>
      <c r="DX722" s="237"/>
      <c r="DY722" s="237"/>
      <c r="DZ722" s="237"/>
      <c r="EA722" s="237"/>
      <c r="EB722" s="237"/>
      <c r="EC722" s="237"/>
      <c r="ED722" s="237"/>
      <c r="EE722" s="237"/>
      <c r="EF722" s="237"/>
      <c r="EG722" s="237"/>
      <c r="EH722" s="237"/>
      <c r="EI722" s="237"/>
      <c r="EJ722" s="237"/>
      <c r="EK722" s="237"/>
      <c r="EL722" s="237"/>
      <c r="EM722" s="237"/>
      <c r="EN722" s="237"/>
      <c r="EO722" s="237"/>
      <c r="EP722" s="237"/>
      <c r="EQ722" s="237"/>
      <c r="ER722" s="237"/>
      <c r="ES722" s="9"/>
      <c r="ET722" s="9"/>
      <c r="EU722" s="9"/>
      <c r="EV722" s="9"/>
      <c r="EW722" s="9"/>
      <c r="EX722" s="9"/>
      <c r="EY722" s="9"/>
      <c r="EZ722" s="9"/>
      <c r="FA722" s="9"/>
      <c r="FB722" s="9"/>
      <c r="FC722" s="9"/>
      <c r="FD722" s="9"/>
      <c r="FE722" s="9"/>
      <c r="FF722" s="9"/>
      <c r="FG722" s="9"/>
      <c r="FH722" s="9"/>
      <c r="FI722" s="9"/>
      <c r="FJ722" s="9"/>
      <c r="FK722" s="9"/>
      <c r="FL722" s="9"/>
      <c r="FM722" s="9"/>
      <c r="FN722" s="9"/>
      <c r="FO722" s="9"/>
      <c r="FP722" s="9"/>
    </row>
    <row r="723" customFormat="false" ht="15" hidden="false" customHeight="false" outlineLevel="2" collapsed="false">
      <c r="B723" s="21" t="s">
        <v>945</v>
      </c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  <c r="AP723" s="21"/>
      <c r="AQ723" s="21"/>
      <c r="AR723" s="21"/>
      <c r="AS723" s="21"/>
      <c r="AT723" s="21"/>
      <c r="AU723" s="21"/>
      <c r="AV723" s="21"/>
      <c r="AW723" s="21"/>
      <c r="AX723" s="21"/>
      <c r="AY723" s="21"/>
      <c r="AZ723" s="21"/>
      <c r="BA723" s="21"/>
      <c r="BB723" s="21"/>
      <c r="BC723" s="21"/>
      <c r="BD723" s="21"/>
      <c r="BE723" s="21"/>
      <c r="BF723" s="21"/>
      <c r="BG723" s="21"/>
      <c r="BH723" s="21"/>
      <c r="BI723" s="21"/>
      <c r="BJ723" s="21"/>
      <c r="BK723" s="21"/>
      <c r="BL723" s="21"/>
      <c r="BM723" s="21"/>
      <c r="BN723" s="21"/>
      <c r="BO723" s="21"/>
      <c r="BP723" s="21"/>
      <c r="BQ723" s="21"/>
      <c r="BR723" s="21"/>
      <c r="BS723" s="21"/>
      <c r="BT723" s="21"/>
      <c r="BU723" s="21"/>
      <c r="BV723" s="21"/>
      <c r="BW723" s="21"/>
      <c r="BX723" s="21"/>
      <c r="BY723" s="21"/>
      <c r="BZ723" s="21"/>
      <c r="CA723" s="21"/>
      <c r="CB723" s="21"/>
      <c r="CC723" s="21"/>
      <c r="CD723" s="21"/>
      <c r="CE723" s="21"/>
      <c r="CF723" s="21"/>
      <c r="CG723" s="21"/>
      <c r="CH723" s="21"/>
      <c r="CI723" s="21"/>
      <c r="CJ723" s="21"/>
      <c r="CK723" s="21"/>
      <c r="CL723" s="21"/>
      <c r="CM723" s="21"/>
      <c r="CN723" s="21"/>
      <c r="CO723" s="21"/>
      <c r="CP723" s="21"/>
      <c r="CQ723" s="21"/>
      <c r="CR723" s="21"/>
      <c r="CS723" s="21"/>
      <c r="CT723" s="21"/>
      <c r="CU723" s="21"/>
      <c r="CV723" s="21"/>
      <c r="CW723" s="21"/>
      <c r="CX723" s="21"/>
      <c r="CY723" s="21"/>
      <c r="CZ723" s="21"/>
      <c r="DA723" s="21"/>
      <c r="DB723" s="21"/>
      <c r="DC723" s="21"/>
      <c r="DD723" s="21"/>
      <c r="DE723" s="21"/>
      <c r="DF723" s="21"/>
      <c r="DG723" s="21"/>
      <c r="DH723" s="21"/>
      <c r="DI723" s="21"/>
      <c r="DJ723" s="21"/>
      <c r="DK723" s="21"/>
      <c r="DL723" s="21"/>
      <c r="DM723" s="21"/>
      <c r="DN723" s="21"/>
      <c r="DO723" s="21"/>
      <c r="DP723" s="21"/>
      <c r="DQ723" s="21"/>
      <c r="DR723" s="21"/>
      <c r="DS723" s="21"/>
      <c r="DT723" s="21"/>
      <c r="DU723" s="21"/>
      <c r="DV723" s="21"/>
      <c r="DW723" s="21"/>
      <c r="DX723" s="21"/>
      <c r="DY723" s="21"/>
      <c r="DZ723" s="21"/>
      <c r="EA723" s="21"/>
      <c r="EB723" s="21"/>
      <c r="EC723" s="21"/>
      <c r="ED723" s="21"/>
      <c r="EE723" s="21"/>
      <c r="EF723" s="21"/>
      <c r="EG723" s="21"/>
      <c r="EH723" s="21"/>
      <c r="EI723" s="21"/>
      <c r="EJ723" s="21"/>
      <c r="EK723" s="21"/>
      <c r="EL723" s="21"/>
      <c r="EM723" s="21"/>
      <c r="EN723" s="21"/>
      <c r="EO723" s="21"/>
      <c r="EP723" s="21"/>
      <c r="EQ723" s="21"/>
      <c r="ER723" s="21"/>
      <c r="ES723" s="9"/>
      <c r="ET723" s="9"/>
      <c r="EU723" s="9"/>
      <c r="EV723" s="9"/>
      <c r="EW723" s="9"/>
      <c r="EX723" s="9"/>
      <c r="EY723" s="9"/>
      <c r="EZ723" s="9"/>
      <c r="FA723" s="9"/>
      <c r="FB723" s="9"/>
      <c r="FC723" s="9"/>
      <c r="FD723" s="9"/>
      <c r="FE723" s="9"/>
      <c r="FF723" s="9"/>
      <c r="FG723" s="9"/>
      <c r="FH723" s="9"/>
      <c r="FI723" s="9"/>
      <c r="FJ723" s="9"/>
      <c r="FK723" s="9"/>
      <c r="FL723" s="9"/>
      <c r="FM723" s="9"/>
      <c r="FN723" s="9"/>
      <c r="FO723" s="9"/>
      <c r="FP723" s="9"/>
    </row>
    <row r="724" customFormat="false" ht="15" hidden="false" customHeight="false" outlineLevel="2" collapsed="false">
      <c r="B724" s="9" t="s">
        <v>872</v>
      </c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234" t="n">
        <f aca="false">('⑫ Roll-out Plan'!G77-2025)*12+'⑫ Roll-out Plan'!F77</f>
        <v>77</v>
      </c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9"/>
      <c r="CN724" s="9"/>
      <c r="CO724" s="9"/>
      <c r="CP724" s="9"/>
      <c r="CQ724" s="9"/>
      <c r="CR724" s="9"/>
      <c r="CS724" s="9"/>
      <c r="CT724" s="9"/>
      <c r="CU724" s="9"/>
      <c r="CV724" s="9"/>
      <c r="CW724" s="9"/>
      <c r="CX724" s="9"/>
      <c r="CY724" s="9"/>
      <c r="CZ724" s="9"/>
      <c r="DA724" s="9"/>
      <c r="DB724" s="9"/>
      <c r="DC724" s="9"/>
      <c r="DD724" s="9"/>
      <c r="DE724" s="9"/>
      <c r="DF724" s="9"/>
      <c r="DG724" s="9"/>
      <c r="DH724" s="9"/>
      <c r="DI724" s="9"/>
      <c r="DJ724" s="9"/>
      <c r="DK724" s="9"/>
      <c r="DL724" s="9"/>
      <c r="DM724" s="9"/>
      <c r="DN724" s="9"/>
      <c r="DO724" s="9"/>
      <c r="DP724" s="9"/>
      <c r="DQ724" s="9"/>
      <c r="DR724" s="9"/>
      <c r="DS724" s="9"/>
      <c r="DT724" s="9"/>
      <c r="DU724" s="9"/>
      <c r="DV724" s="9"/>
      <c r="DW724" s="9"/>
      <c r="DX724" s="9"/>
      <c r="DY724" s="9"/>
      <c r="DZ724" s="9"/>
      <c r="EA724" s="9"/>
      <c r="EB724" s="9"/>
      <c r="EC724" s="9"/>
      <c r="ED724" s="9"/>
      <c r="EE724" s="9"/>
      <c r="EF724" s="9"/>
      <c r="EG724" s="9"/>
      <c r="EH724" s="9"/>
      <c r="EI724" s="9"/>
      <c r="EJ724" s="9"/>
      <c r="EK724" s="9"/>
      <c r="EL724" s="9"/>
      <c r="EM724" s="9"/>
      <c r="EN724" s="9"/>
      <c r="EO724" s="9"/>
      <c r="EP724" s="9"/>
      <c r="EQ724" s="9"/>
      <c r="ER724" s="9"/>
      <c r="ES724" s="9"/>
      <c r="ET724" s="9"/>
      <c r="EU724" s="9"/>
      <c r="EV724" s="9"/>
      <c r="EW724" s="9"/>
      <c r="EX724" s="9"/>
      <c r="EY724" s="9"/>
      <c r="EZ724" s="9"/>
      <c r="FA724" s="9"/>
      <c r="FB724" s="9"/>
      <c r="FC724" s="9"/>
      <c r="FD724" s="9"/>
      <c r="FE724" s="9"/>
      <c r="FF724" s="9"/>
      <c r="FG724" s="9"/>
      <c r="FH724" s="9"/>
      <c r="FI724" s="9"/>
      <c r="FJ724" s="9"/>
      <c r="FK724" s="9"/>
      <c r="FL724" s="9"/>
      <c r="FM724" s="9"/>
      <c r="FN724" s="9"/>
      <c r="FO724" s="9"/>
      <c r="FP724" s="9"/>
    </row>
    <row r="725" customFormat="false" ht="15" hidden="false" customHeight="false" outlineLevel="2" collapsed="false">
      <c r="B725" s="9" t="s">
        <v>873</v>
      </c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235" t="n">
        <f aca="false">VLOOKUP("B",$B$14:$C$18,2,FALSE())</f>
        <v>185</v>
      </c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  <c r="CA725" s="9"/>
      <c r="CB725" s="9"/>
      <c r="CC725" s="9"/>
      <c r="CD725" s="9"/>
      <c r="CE725" s="9"/>
      <c r="CF725" s="9"/>
      <c r="CG725" s="9"/>
      <c r="CH725" s="9"/>
      <c r="CI725" s="9"/>
      <c r="CJ725" s="9"/>
      <c r="CK725" s="9"/>
      <c r="CL725" s="9"/>
      <c r="CM725" s="9"/>
      <c r="CN725" s="9"/>
      <c r="CO725" s="9"/>
      <c r="CP725" s="9"/>
      <c r="CQ725" s="9"/>
      <c r="CR725" s="9"/>
      <c r="CS725" s="9"/>
      <c r="CT725" s="9"/>
      <c r="CU725" s="9"/>
      <c r="CV725" s="9"/>
      <c r="CW725" s="9"/>
      <c r="CX725" s="9"/>
      <c r="CY725" s="9"/>
      <c r="CZ725" s="9"/>
      <c r="DA725" s="9"/>
      <c r="DB725" s="9"/>
      <c r="DC725" s="9"/>
      <c r="DD725" s="9"/>
      <c r="DE725" s="9"/>
      <c r="DF725" s="9"/>
      <c r="DG725" s="9"/>
      <c r="DH725" s="9"/>
      <c r="DI725" s="9"/>
      <c r="DJ725" s="9"/>
      <c r="DK725" s="9"/>
      <c r="DL725" s="9"/>
      <c r="DM725" s="9"/>
      <c r="DN725" s="9"/>
      <c r="DO725" s="9"/>
      <c r="DP725" s="9"/>
      <c r="DQ725" s="9"/>
      <c r="DR725" s="9"/>
      <c r="DS725" s="9"/>
      <c r="DT725" s="9"/>
      <c r="DU725" s="9"/>
      <c r="DV725" s="9"/>
      <c r="DW725" s="9"/>
      <c r="DX725" s="9"/>
      <c r="DY725" s="9"/>
      <c r="DZ725" s="9"/>
      <c r="EA725" s="9"/>
      <c r="EB725" s="9"/>
      <c r="EC725" s="9"/>
      <c r="ED725" s="9"/>
      <c r="EE725" s="9"/>
      <c r="EF725" s="9"/>
      <c r="EG725" s="9"/>
      <c r="EH725" s="9"/>
      <c r="EI725" s="9"/>
      <c r="EJ725" s="9"/>
      <c r="EK725" s="9"/>
      <c r="EL725" s="9"/>
      <c r="EM725" s="9"/>
      <c r="EN725" s="9"/>
      <c r="EO725" s="9"/>
      <c r="EP725" s="9"/>
      <c r="EQ725" s="9"/>
      <c r="ER725" s="9"/>
      <c r="ES725" s="9"/>
      <c r="ET725" s="9"/>
      <c r="EU725" s="9"/>
      <c r="EV725" s="9"/>
      <c r="EW725" s="9"/>
      <c r="EX725" s="9"/>
      <c r="EY725" s="9"/>
      <c r="EZ725" s="9"/>
      <c r="FA725" s="9"/>
      <c r="FB725" s="9"/>
      <c r="FC725" s="9"/>
      <c r="FD725" s="9"/>
      <c r="FE725" s="9"/>
      <c r="FF725" s="9"/>
      <c r="FG725" s="9"/>
      <c r="FH725" s="9"/>
      <c r="FI725" s="9"/>
      <c r="FJ725" s="9"/>
      <c r="FK725" s="9"/>
      <c r="FL725" s="9"/>
      <c r="FM725" s="9"/>
      <c r="FN725" s="9"/>
      <c r="FO725" s="9"/>
      <c r="FP725" s="9"/>
    </row>
    <row r="726" customFormat="false" ht="15" hidden="false" customHeight="false" outlineLevel="2" collapsed="false">
      <c r="B726" s="9" t="s">
        <v>799</v>
      </c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63" t="n">
        <f aca="false">IF(AC$35&gt;=$AC$724,AC$35-$AC$724+1,0)</f>
        <v>0</v>
      </c>
      <c r="AD726" s="63" t="n">
        <f aca="false">IF(AD$35&gt;=$AC$724,AD$35-$AC$724+1,0)</f>
        <v>0</v>
      </c>
      <c r="AE726" s="63" t="n">
        <f aca="false">IF(AE$35&gt;=$AC$724,AE$35-$AC$724+1,0)</f>
        <v>0</v>
      </c>
      <c r="AF726" s="63" t="n">
        <f aca="false">IF(AF$35&gt;=$AC$724,AF$35-$AC$724+1,0)</f>
        <v>0</v>
      </c>
      <c r="AG726" s="63" t="n">
        <f aca="false">IF(AG$35&gt;=$AC$724,AG$35-$AC$724+1,0)</f>
        <v>0</v>
      </c>
      <c r="AH726" s="63" t="n">
        <f aca="false">IF(AH$35&gt;=$AC$724,AH$35-$AC$724+1,0)</f>
        <v>0</v>
      </c>
      <c r="AI726" s="63" t="n">
        <f aca="false">IF(AI$35&gt;=$AC$724,AI$35-$AC$724+1,0)</f>
        <v>0</v>
      </c>
      <c r="AJ726" s="63" t="n">
        <f aca="false">IF(AJ$35&gt;=$AC$724,AJ$35-$AC$724+1,0)</f>
        <v>0</v>
      </c>
      <c r="AK726" s="63" t="n">
        <f aca="false">IF(AK$35&gt;=$AC$724,AK$35-$AC$724+1,0)</f>
        <v>0</v>
      </c>
      <c r="AL726" s="63" t="n">
        <f aca="false">IF(AL$35&gt;=$AC$724,AL$35-$AC$724+1,0)</f>
        <v>0</v>
      </c>
      <c r="AM726" s="63" t="n">
        <f aca="false">IF(AM$35&gt;=$AC$724,AM$35-$AC$724+1,0)</f>
        <v>0</v>
      </c>
      <c r="AN726" s="63" t="n">
        <f aca="false">IF(AN$35&gt;=$AC$724,AN$35-$AC$724+1,0)</f>
        <v>0</v>
      </c>
      <c r="AO726" s="63" t="n">
        <f aca="false">IF(AO$35&gt;=$AC$724,AO$35-$AC$724+1,0)</f>
        <v>0</v>
      </c>
      <c r="AP726" s="63" t="n">
        <f aca="false">IF(AP$35&gt;=$AC$724,AP$35-$AC$724+1,0)</f>
        <v>0</v>
      </c>
      <c r="AQ726" s="63" t="n">
        <f aca="false">IF(AQ$35&gt;=$AC$724,AQ$35-$AC$724+1,0)</f>
        <v>0</v>
      </c>
      <c r="AR726" s="63" t="n">
        <f aca="false">IF(AR$35&gt;=$AC$724,AR$35-$AC$724+1,0)</f>
        <v>0</v>
      </c>
      <c r="AS726" s="63" t="n">
        <f aca="false">IF(AS$35&gt;=$AC$724,AS$35-$AC$724+1,0)</f>
        <v>0</v>
      </c>
      <c r="AT726" s="63" t="n">
        <f aca="false">IF(AT$35&gt;=$AC$724,AT$35-$AC$724+1,0)</f>
        <v>0</v>
      </c>
      <c r="AU726" s="63" t="n">
        <f aca="false">IF(AU$35&gt;=$AC$724,AU$35-$AC$724+1,0)</f>
        <v>0</v>
      </c>
      <c r="AV726" s="63" t="n">
        <f aca="false">IF(AV$35&gt;=$AC$724,AV$35-$AC$724+1,0)</f>
        <v>0</v>
      </c>
      <c r="AW726" s="63" t="n">
        <f aca="false">IF(AW$35&gt;=$AC$724,AW$35-$AC$724+1,0)</f>
        <v>0</v>
      </c>
      <c r="AX726" s="63" t="n">
        <f aca="false">IF(AX$35&gt;=$AC$724,AX$35-$AC$724+1,0)</f>
        <v>0</v>
      </c>
      <c r="AY726" s="63" t="n">
        <f aca="false">IF(AY$35&gt;=$AC$724,AY$35-$AC$724+1,0)</f>
        <v>0</v>
      </c>
      <c r="AZ726" s="63" t="n">
        <f aca="false">IF(AZ$35&gt;=$AC$724,AZ$35-$AC$724+1,0)</f>
        <v>0</v>
      </c>
      <c r="BA726" s="63" t="n">
        <f aca="false">IF(BA$35&gt;=$AC$724,BA$35-$AC$724+1,0)</f>
        <v>0</v>
      </c>
      <c r="BB726" s="63" t="n">
        <f aca="false">IF(BB$35&gt;=$AC$724,BB$35-$AC$724+1,0)</f>
        <v>0</v>
      </c>
      <c r="BC726" s="63" t="n">
        <f aca="false">IF(BC$35&gt;=$AC$724,BC$35-$AC$724+1,0)</f>
        <v>0</v>
      </c>
      <c r="BD726" s="63" t="n">
        <f aca="false">IF(BD$35&gt;=$AC$724,BD$35-$AC$724+1,0)</f>
        <v>0</v>
      </c>
      <c r="BE726" s="63" t="n">
        <f aca="false">IF(BE$35&gt;=$AC$724,BE$35-$AC$724+1,0)</f>
        <v>0</v>
      </c>
      <c r="BF726" s="63" t="n">
        <f aca="false">IF(BF$35&gt;=$AC$724,BF$35-$AC$724+1,0)</f>
        <v>0</v>
      </c>
      <c r="BG726" s="63" t="n">
        <f aca="false">IF(BG$35&gt;=$AC$724,BG$35-$AC$724+1,0)</f>
        <v>0</v>
      </c>
      <c r="BH726" s="63" t="n">
        <f aca="false">IF(BH$35&gt;=$AC$724,BH$35-$AC$724+1,0)</f>
        <v>0</v>
      </c>
      <c r="BI726" s="63" t="n">
        <f aca="false">IF(BI$35&gt;=$AC$724,BI$35-$AC$724+1,0)</f>
        <v>0</v>
      </c>
      <c r="BJ726" s="63" t="n">
        <f aca="false">IF(BJ$35&gt;=$AC$724,BJ$35-$AC$724+1,0)</f>
        <v>0</v>
      </c>
      <c r="BK726" s="63" t="n">
        <f aca="false">IF(BK$35&gt;=$AC$724,BK$35-$AC$724+1,0)</f>
        <v>0</v>
      </c>
      <c r="BL726" s="63" t="n">
        <f aca="false">IF(BL$35&gt;=$AC$724,BL$35-$AC$724+1,0)</f>
        <v>0</v>
      </c>
      <c r="BM726" s="63" t="n">
        <f aca="false">IF(BM$35&gt;=$AC$724,BM$35-$AC$724+1,0)</f>
        <v>0</v>
      </c>
      <c r="BN726" s="63" t="n">
        <f aca="false">IF(BN$35&gt;=$AC$724,BN$35-$AC$724+1,0)</f>
        <v>0</v>
      </c>
      <c r="BO726" s="63" t="n">
        <f aca="false">IF(BO$35&gt;=$AC$724,BO$35-$AC$724+1,0)</f>
        <v>0</v>
      </c>
      <c r="BP726" s="63" t="n">
        <f aca="false">IF(BP$35&gt;=$AC$724,BP$35-$AC$724+1,0)</f>
        <v>0</v>
      </c>
      <c r="BQ726" s="63" t="n">
        <f aca="false">IF(BQ$35&gt;=$AC$724,BQ$35-$AC$724+1,0)</f>
        <v>0</v>
      </c>
      <c r="BR726" s="63" t="n">
        <f aca="false">IF(BR$35&gt;=$AC$724,BR$35-$AC$724+1,0)</f>
        <v>0</v>
      </c>
      <c r="BS726" s="63" t="n">
        <f aca="false">IF(BS$35&gt;=$AC$724,BS$35-$AC$724+1,0)</f>
        <v>0</v>
      </c>
      <c r="BT726" s="63" t="n">
        <f aca="false">IF(BT$35&gt;=$AC$724,BT$35-$AC$724+1,0)</f>
        <v>0</v>
      </c>
      <c r="BU726" s="63" t="n">
        <f aca="false">IF(BU$35&gt;=$AC$724,BU$35-$AC$724+1,0)</f>
        <v>0</v>
      </c>
      <c r="BV726" s="63" t="n">
        <f aca="false">IF(BV$35&gt;=$AC$724,BV$35-$AC$724+1,0)</f>
        <v>0</v>
      </c>
      <c r="BW726" s="63" t="n">
        <f aca="false">IF(BW$35&gt;=$AC$724,BW$35-$AC$724+1,0)</f>
        <v>0</v>
      </c>
      <c r="BX726" s="63" t="n">
        <f aca="false">IF(BX$35&gt;=$AC$724,BX$35-$AC$724+1,0)</f>
        <v>0</v>
      </c>
      <c r="BY726" s="63" t="n">
        <f aca="false">IF(BY$35&gt;=$AC$724,BY$35-$AC$724+1,0)</f>
        <v>0</v>
      </c>
      <c r="BZ726" s="63" t="n">
        <f aca="false">IF(BZ$35&gt;=$AC$724,BZ$35-$AC$724+1,0)</f>
        <v>0</v>
      </c>
      <c r="CA726" s="63" t="n">
        <f aca="false">IF(CA$35&gt;=$AC$724,CA$35-$AC$724+1,0)</f>
        <v>0</v>
      </c>
      <c r="CB726" s="63" t="n">
        <f aca="false">IF(CB$35&gt;=$AC$724,CB$35-$AC$724+1,0)</f>
        <v>0</v>
      </c>
      <c r="CC726" s="63" t="n">
        <f aca="false">IF(CC$35&gt;=$AC$724,CC$35-$AC$724+1,0)</f>
        <v>0</v>
      </c>
      <c r="CD726" s="63" t="n">
        <f aca="false">IF(CD$35&gt;=$AC$724,CD$35-$AC$724+1,0)</f>
        <v>0</v>
      </c>
      <c r="CE726" s="63" t="n">
        <f aca="false">IF(CE$35&gt;=$AC$724,CE$35-$AC$724+1,0)</f>
        <v>0</v>
      </c>
      <c r="CF726" s="63" t="n">
        <f aca="false">IF(CF$35&gt;=$AC$724,CF$35-$AC$724+1,0)</f>
        <v>0</v>
      </c>
      <c r="CG726" s="63" t="n">
        <f aca="false">IF(CG$35&gt;=$AC$724,CG$35-$AC$724+1,0)</f>
        <v>0</v>
      </c>
      <c r="CH726" s="63" t="n">
        <f aca="false">IF(CH$35&gt;=$AC$724,CH$35-$AC$724+1,0)</f>
        <v>0</v>
      </c>
      <c r="CI726" s="63" t="n">
        <f aca="false">IF(CI$35&gt;=$AC$724,CI$35-$AC$724+1,0)</f>
        <v>0</v>
      </c>
      <c r="CJ726" s="63" t="n">
        <f aca="false">IF(CJ$35&gt;=$AC$724,CJ$35-$AC$724+1,0)</f>
        <v>0</v>
      </c>
      <c r="CK726" s="63" t="n">
        <f aca="false">IF(CK$35&gt;=$AC$724,CK$35-$AC$724+1,0)</f>
        <v>0</v>
      </c>
      <c r="CL726" s="63" t="n">
        <f aca="false">IF(CL$35&gt;=$AC$724,CL$35-$AC$724+1,0)</f>
        <v>0</v>
      </c>
      <c r="CM726" s="63" t="n">
        <f aca="false">IF(CM$35&gt;=$AC$724,CM$35-$AC$724+1,0)</f>
        <v>0</v>
      </c>
      <c r="CN726" s="63" t="n">
        <f aca="false">IF(CN$35&gt;=$AC$724,CN$35-$AC$724+1,0)</f>
        <v>0</v>
      </c>
      <c r="CO726" s="63" t="n">
        <f aca="false">IF(CO$35&gt;=$AC$724,CO$35-$AC$724+1,0)</f>
        <v>0</v>
      </c>
      <c r="CP726" s="63" t="n">
        <f aca="false">IF(CP$35&gt;=$AC$724,CP$35-$AC$724+1,0)</f>
        <v>0</v>
      </c>
      <c r="CQ726" s="63" t="n">
        <f aca="false">IF(CQ$35&gt;=$AC$724,CQ$35-$AC$724+1,0)</f>
        <v>0</v>
      </c>
      <c r="CR726" s="63" t="n">
        <f aca="false">IF(CR$35&gt;=$AC$724,CR$35-$AC$724+1,0)</f>
        <v>0</v>
      </c>
      <c r="CS726" s="63" t="n">
        <f aca="false">IF(CS$35&gt;=$AC$724,CS$35-$AC$724+1,0)</f>
        <v>0</v>
      </c>
      <c r="CT726" s="63" t="n">
        <f aca="false">IF(CT$35&gt;=$AC$724,CT$35-$AC$724+1,0)</f>
        <v>0</v>
      </c>
      <c r="CU726" s="63" t="n">
        <f aca="false">IF(CU$35&gt;=$AC$724,CU$35-$AC$724+1,0)</f>
        <v>0</v>
      </c>
      <c r="CV726" s="63" t="n">
        <f aca="false">IF(CV$35&gt;=$AC$724,CV$35-$AC$724+1,0)</f>
        <v>0</v>
      </c>
      <c r="CW726" s="63" t="n">
        <f aca="false">IF(CW$35&gt;=$AC$724,CW$35-$AC$724+1,0)</f>
        <v>0</v>
      </c>
      <c r="CX726" s="63" t="n">
        <f aca="false">IF(CX$35&gt;=$AC$724,CX$35-$AC$724+1,0)</f>
        <v>0</v>
      </c>
      <c r="CY726" s="63" t="n">
        <f aca="false">IF(CY$35&gt;=$AC$724,CY$35-$AC$724+1,0)</f>
        <v>0</v>
      </c>
      <c r="CZ726" s="63" t="n">
        <f aca="false">IF(CZ$35&gt;=$AC$724,CZ$35-$AC$724+1,0)</f>
        <v>0</v>
      </c>
      <c r="DA726" s="63" t="n">
        <f aca="false">IF(DA$35&gt;=$AC$724,DA$35-$AC$724+1,0)</f>
        <v>1</v>
      </c>
      <c r="DB726" s="63" t="n">
        <f aca="false">IF(DB$35&gt;=$AC$724,DB$35-$AC$724+1,0)</f>
        <v>2</v>
      </c>
      <c r="DC726" s="63" t="n">
        <f aca="false">IF(DC$35&gt;=$AC$724,DC$35-$AC$724+1,0)</f>
        <v>3</v>
      </c>
      <c r="DD726" s="63" t="n">
        <f aca="false">IF(DD$35&gt;=$AC$724,DD$35-$AC$724+1,0)</f>
        <v>4</v>
      </c>
      <c r="DE726" s="63" t="n">
        <f aca="false">IF(DE$35&gt;=$AC$724,DE$35-$AC$724+1,0)</f>
        <v>5</v>
      </c>
      <c r="DF726" s="63" t="n">
        <f aca="false">IF(DF$35&gt;=$AC$724,DF$35-$AC$724+1,0)</f>
        <v>6</v>
      </c>
      <c r="DG726" s="63" t="n">
        <f aca="false">IF(DG$35&gt;=$AC$724,DG$35-$AC$724+1,0)</f>
        <v>7</v>
      </c>
      <c r="DH726" s="63" t="n">
        <f aca="false">IF(DH$35&gt;=$AC$724,DH$35-$AC$724+1,0)</f>
        <v>8</v>
      </c>
      <c r="DI726" s="63" t="n">
        <f aca="false">IF(DI$35&gt;=$AC$724,DI$35-$AC$724+1,0)</f>
        <v>9</v>
      </c>
      <c r="DJ726" s="63" t="n">
        <f aca="false">IF(DJ$35&gt;=$AC$724,DJ$35-$AC$724+1,0)</f>
        <v>10</v>
      </c>
      <c r="DK726" s="63" t="n">
        <f aca="false">IF(DK$35&gt;=$AC$724,DK$35-$AC$724+1,0)</f>
        <v>11</v>
      </c>
      <c r="DL726" s="63" t="n">
        <f aca="false">IF(DL$35&gt;=$AC$724,DL$35-$AC$724+1,0)</f>
        <v>12</v>
      </c>
      <c r="DM726" s="63" t="n">
        <f aca="false">IF(DM$35&gt;=$AC$724,DM$35-$AC$724+1,0)</f>
        <v>13</v>
      </c>
      <c r="DN726" s="63" t="n">
        <f aca="false">IF(DN$35&gt;=$AC$724,DN$35-$AC$724+1,0)</f>
        <v>14</v>
      </c>
      <c r="DO726" s="63" t="n">
        <f aca="false">IF(DO$35&gt;=$AC$724,DO$35-$AC$724+1,0)</f>
        <v>15</v>
      </c>
      <c r="DP726" s="63" t="n">
        <f aca="false">IF(DP$35&gt;=$AC$724,DP$35-$AC$724+1,0)</f>
        <v>16</v>
      </c>
      <c r="DQ726" s="63" t="n">
        <f aca="false">IF(DQ$35&gt;=$AC$724,DQ$35-$AC$724+1,0)</f>
        <v>17</v>
      </c>
      <c r="DR726" s="63" t="n">
        <f aca="false">IF(DR$35&gt;=$AC$724,DR$35-$AC$724+1,0)</f>
        <v>18</v>
      </c>
      <c r="DS726" s="63" t="n">
        <f aca="false">IF(DS$35&gt;=$AC$724,DS$35-$AC$724+1,0)</f>
        <v>19</v>
      </c>
      <c r="DT726" s="63" t="n">
        <f aca="false">IF(DT$35&gt;=$AC$724,DT$35-$AC$724+1,0)</f>
        <v>20</v>
      </c>
      <c r="DU726" s="63" t="n">
        <f aca="false">IF(DU$35&gt;=$AC$724,DU$35-$AC$724+1,0)</f>
        <v>21</v>
      </c>
      <c r="DV726" s="63" t="n">
        <f aca="false">IF(DV$35&gt;=$AC$724,DV$35-$AC$724+1,0)</f>
        <v>22</v>
      </c>
      <c r="DW726" s="63" t="n">
        <f aca="false">IF(DW$35&gt;=$AC$724,DW$35-$AC$724+1,0)</f>
        <v>23</v>
      </c>
      <c r="DX726" s="63" t="n">
        <f aca="false">IF(DX$35&gt;=$AC$724,DX$35-$AC$724+1,0)</f>
        <v>24</v>
      </c>
      <c r="DY726" s="63" t="n">
        <f aca="false">IF(DY$35&gt;=$AC$724,DY$35-$AC$724+1,0)</f>
        <v>25</v>
      </c>
      <c r="DZ726" s="63" t="n">
        <f aca="false">IF(DZ$35&gt;=$AC$724,DZ$35-$AC$724+1,0)</f>
        <v>26</v>
      </c>
      <c r="EA726" s="63" t="n">
        <f aca="false">IF(EA$35&gt;=$AC$724,EA$35-$AC$724+1,0)</f>
        <v>27</v>
      </c>
      <c r="EB726" s="63" t="n">
        <f aca="false">IF(EB$35&gt;=$AC$724,EB$35-$AC$724+1,0)</f>
        <v>28</v>
      </c>
      <c r="EC726" s="63" t="n">
        <f aca="false">IF(EC$35&gt;=$AC$724,EC$35-$AC$724+1,0)</f>
        <v>29</v>
      </c>
      <c r="ED726" s="63" t="n">
        <f aca="false">IF(ED$35&gt;=$AC$724,ED$35-$AC$724+1,0)</f>
        <v>30</v>
      </c>
      <c r="EE726" s="63" t="n">
        <f aca="false">IF(EE$35&gt;=$AC$724,EE$35-$AC$724+1,0)</f>
        <v>31</v>
      </c>
      <c r="EF726" s="63" t="n">
        <f aca="false">IF(EF$35&gt;=$AC$724,EF$35-$AC$724+1,0)</f>
        <v>32</v>
      </c>
      <c r="EG726" s="63" t="n">
        <f aca="false">IF(EG$35&gt;=$AC$724,EG$35-$AC$724+1,0)</f>
        <v>33</v>
      </c>
      <c r="EH726" s="63" t="n">
        <f aca="false">IF(EH$35&gt;=$AC$724,EH$35-$AC$724+1,0)</f>
        <v>34</v>
      </c>
      <c r="EI726" s="63" t="n">
        <f aca="false">IF(EI$35&gt;=$AC$724,EI$35-$AC$724+1,0)</f>
        <v>35</v>
      </c>
      <c r="EJ726" s="63" t="n">
        <f aca="false">IF(EJ$35&gt;=$AC$724,EJ$35-$AC$724+1,0)</f>
        <v>36</v>
      </c>
      <c r="EK726" s="63" t="n">
        <f aca="false">IF(EK$35&gt;=$AC$724,EK$35-$AC$724+1,0)</f>
        <v>37</v>
      </c>
      <c r="EL726" s="63" t="n">
        <f aca="false">IF(EL$35&gt;=$AC$724,EL$35-$AC$724+1,0)</f>
        <v>38</v>
      </c>
      <c r="EM726" s="63" t="n">
        <f aca="false">IF(EM$35&gt;=$AC$724,EM$35-$AC$724+1,0)</f>
        <v>39</v>
      </c>
      <c r="EN726" s="63" t="n">
        <f aca="false">IF(EN$35&gt;=$AC$724,EN$35-$AC$724+1,0)</f>
        <v>40</v>
      </c>
      <c r="EO726" s="63" t="n">
        <f aca="false">IF(EO$35&gt;=$AC$724,EO$35-$AC$724+1,0)</f>
        <v>41</v>
      </c>
      <c r="EP726" s="63" t="n">
        <f aca="false">IF(EP$35&gt;=$AC$724,EP$35-$AC$724+1,0)</f>
        <v>42</v>
      </c>
      <c r="EQ726" s="63" t="n">
        <f aca="false">IF(EQ$35&gt;=$AC$724,EQ$35-$AC$724+1,0)</f>
        <v>43</v>
      </c>
      <c r="ER726" s="63" t="n">
        <f aca="false">IF(ER$35&gt;=$AC$724,ER$35-$AC$724+1,0)</f>
        <v>44</v>
      </c>
      <c r="ES726" s="9" t="n">
        <f aca="false">IF(ES$35&gt;=$AC$724,ES$35-$AC$724+1,0)</f>
        <v>45</v>
      </c>
      <c r="ET726" s="9" t="n">
        <f aca="false">IF(ET$35&gt;=$AC$724,ET$35-$AC$724+1,0)</f>
        <v>46</v>
      </c>
      <c r="EU726" s="9" t="n">
        <f aca="false">IF(EU$35&gt;=$AC$724,EU$35-$AC$724+1,0)</f>
        <v>47</v>
      </c>
      <c r="EV726" s="9" t="n">
        <f aca="false">IF(EV$35&gt;=$AC$724,EV$35-$AC$724+1,0)</f>
        <v>48</v>
      </c>
      <c r="EW726" s="9" t="n">
        <f aca="false">IF(EW$35&gt;=$AC$724,EW$35-$AC$724+1,0)</f>
        <v>49</v>
      </c>
      <c r="EX726" s="9" t="n">
        <f aca="false">IF(EX$35&gt;=$AC$724,EX$35-$AC$724+1,0)</f>
        <v>50</v>
      </c>
      <c r="EY726" s="9" t="n">
        <f aca="false">IF(EY$35&gt;=$AC$724,EY$35-$AC$724+1,0)</f>
        <v>51</v>
      </c>
      <c r="EZ726" s="9" t="n">
        <f aca="false">IF(EZ$35&gt;=$AC$724,EZ$35-$AC$724+1,0)</f>
        <v>52</v>
      </c>
      <c r="FA726" s="9" t="n">
        <f aca="false">IF(FA$35&gt;=$AC$724,FA$35-$AC$724+1,0)</f>
        <v>53</v>
      </c>
      <c r="FB726" s="9" t="n">
        <f aca="false">IF(FB$35&gt;=$AC$724,FB$35-$AC$724+1,0)</f>
        <v>54</v>
      </c>
      <c r="FC726" s="9" t="n">
        <f aca="false">IF(FC$35&gt;=$AC$724,FC$35-$AC$724+1,0)</f>
        <v>55</v>
      </c>
      <c r="FD726" s="9" t="n">
        <f aca="false">IF(FD$35&gt;=$AC$724,FD$35-$AC$724+1,0)</f>
        <v>56</v>
      </c>
      <c r="FE726" s="9" t="n">
        <f aca="false">IF(FE$35&gt;=$AC$724,FE$35-$AC$724+1,0)</f>
        <v>57</v>
      </c>
      <c r="FF726" s="9" t="n">
        <f aca="false">IF(FF$35&gt;=$AC$724,FF$35-$AC$724+1,0)</f>
        <v>58</v>
      </c>
      <c r="FG726" s="9" t="n">
        <f aca="false">IF(FG$35&gt;=$AC$724,FG$35-$AC$724+1,0)</f>
        <v>59</v>
      </c>
      <c r="FH726" s="9" t="n">
        <f aca="false">IF(FH$35&gt;=$AC$724,FH$35-$AC$724+1,0)</f>
        <v>60</v>
      </c>
      <c r="FI726" s="9" t="n">
        <f aca="false">IF(FI$35&gt;=$AC$724,FI$35-$AC$724+1,0)</f>
        <v>61</v>
      </c>
      <c r="FJ726" s="9" t="n">
        <f aca="false">IF(FJ$35&gt;=$AC$724,FJ$35-$AC$724+1,0)</f>
        <v>62</v>
      </c>
      <c r="FK726" s="9" t="n">
        <f aca="false">IF(FK$35&gt;=$AC$724,FK$35-$AC$724+1,0)</f>
        <v>63</v>
      </c>
      <c r="FL726" s="9" t="n">
        <f aca="false">IF(FL$35&gt;=$AC$724,FL$35-$AC$724+1,0)</f>
        <v>64</v>
      </c>
      <c r="FM726" s="9" t="n">
        <f aca="false">IF(FM$35&gt;=$AC$724,FM$35-$AC$724+1,0)</f>
        <v>65</v>
      </c>
      <c r="FN726" s="9" t="n">
        <f aca="false">IF(FN$35&gt;=$AC$724,FN$35-$AC$724+1,0)</f>
        <v>66</v>
      </c>
      <c r="FO726" s="9" t="n">
        <f aca="false">IF(FO$35&gt;=$AC$724,FO$35-$AC$724+1,0)</f>
        <v>67</v>
      </c>
      <c r="FP726" s="9" t="n">
        <f aca="false">IF(FP$35&gt;=$AC$724,FP$35-$AC$724+1,0)</f>
        <v>68</v>
      </c>
    </row>
    <row r="727" customFormat="false" ht="15" hidden="false" customHeight="false" outlineLevel="2" collapsed="false">
      <c r="B727" s="9" t="s">
        <v>874</v>
      </c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236" t="n">
        <f aca="false" t="array" ref="AC727:AC727">IF(AC726=0,0,IF(AC726/'🎚️ Escenario'!$C$11&gt;=36,$AL$23,INDEX($C$23:$AL$23,MAX(1,ROUNDUP(AC726/'🎚️ Escenario'!$C$11,0)))))</f>
        <v>0</v>
      </c>
      <c r="AD727" s="236" t="n">
        <f aca="false" t="array" ref="AD727:AD727">IF(AD726=0,0,IF(AD726/'🎚️ Escenario'!$C$11&gt;=36,$AL$23,INDEX($C$23:$AL$23,MAX(1,ROUNDUP(AD726/'🎚️ Escenario'!$C$11,0)))))</f>
        <v>0</v>
      </c>
      <c r="AE727" s="236" t="n">
        <f aca="false" t="array" ref="AE727:AE727">IF(AE726=0,0,IF(AE726/'🎚️ Escenario'!$C$11&gt;=36,$AL$23,INDEX($C$23:$AL$23,MAX(1,ROUNDUP(AE726/'🎚️ Escenario'!$C$11,0)))))</f>
        <v>0</v>
      </c>
      <c r="AF727" s="236" t="n">
        <f aca="false" t="array" ref="AF727:AF727">IF(AF726=0,0,IF(AF726/'🎚️ Escenario'!$C$11&gt;=36,$AL$23,INDEX($C$23:$AL$23,MAX(1,ROUNDUP(AF726/'🎚️ Escenario'!$C$11,0)))))</f>
        <v>0</v>
      </c>
      <c r="AG727" s="236" t="n">
        <f aca="false" t="array" ref="AG727:AG727">IF(AG726=0,0,IF(AG726/'🎚️ Escenario'!$C$11&gt;=36,$AL$23,INDEX($C$23:$AL$23,MAX(1,ROUNDUP(AG726/'🎚️ Escenario'!$C$11,0)))))</f>
        <v>0</v>
      </c>
      <c r="AH727" s="236" t="n">
        <f aca="false" t="array" ref="AH727:AH727">IF(AH726=0,0,IF(AH726/'🎚️ Escenario'!$C$11&gt;=36,$AL$23,INDEX($C$23:$AL$23,MAX(1,ROUNDUP(AH726/'🎚️ Escenario'!$C$11,0)))))</f>
        <v>0</v>
      </c>
      <c r="AI727" s="236" t="n">
        <f aca="false" t="array" ref="AI727:AI727">IF(AI726=0,0,IF(AI726/'🎚️ Escenario'!$C$11&gt;=36,$AL$23,INDEX($C$23:$AL$23,MAX(1,ROUNDUP(AI726/'🎚️ Escenario'!$C$11,0)))))</f>
        <v>0</v>
      </c>
      <c r="AJ727" s="236" t="n">
        <f aca="false" t="array" ref="AJ727:AJ727">IF(AJ726=0,0,IF(AJ726/'🎚️ Escenario'!$C$11&gt;=36,$AL$23,INDEX($C$23:$AL$23,MAX(1,ROUNDUP(AJ726/'🎚️ Escenario'!$C$11,0)))))</f>
        <v>0</v>
      </c>
      <c r="AK727" s="236" t="n">
        <f aca="false" t="array" ref="AK727:AK727">IF(AK726=0,0,IF(AK726/'🎚️ Escenario'!$C$11&gt;=36,$AL$23,INDEX($C$23:$AL$23,MAX(1,ROUNDUP(AK726/'🎚️ Escenario'!$C$11,0)))))</f>
        <v>0</v>
      </c>
      <c r="AL727" s="236" t="n">
        <f aca="false" t="array" ref="AL727:AL727">IF(AL726=0,0,IF(AL726/'🎚️ Escenario'!$C$11&gt;=36,$AL$23,INDEX($C$23:$AL$23,MAX(1,ROUNDUP(AL726/'🎚️ Escenario'!$C$11,0)))))</f>
        <v>0</v>
      </c>
      <c r="AM727" s="236" t="n">
        <f aca="false" t="array" ref="AM727:AM727">IF(AM726=0,0,IF(AM726/'🎚️ Escenario'!$C$11&gt;=36,$AL$23,INDEX($C$23:$AL$23,MAX(1,ROUNDUP(AM726/'🎚️ Escenario'!$C$11,0)))))</f>
        <v>0</v>
      </c>
      <c r="AN727" s="236" t="n">
        <f aca="false" t="array" ref="AN727:AN727">IF(AN726=0,0,IF(AN726/'🎚️ Escenario'!$C$11&gt;=36,$AL$23,INDEX($C$23:$AL$23,MAX(1,ROUNDUP(AN726/'🎚️ Escenario'!$C$11,0)))))</f>
        <v>0</v>
      </c>
      <c r="AO727" s="236" t="n">
        <f aca="false" t="array" ref="AO727:AO727">IF(AO726=0,0,IF(AO726/'🎚️ Escenario'!$C$11&gt;=36,$AL$23,INDEX($C$23:$AL$23,MAX(1,ROUNDUP(AO726/'🎚️ Escenario'!$C$11,0)))))</f>
        <v>0</v>
      </c>
      <c r="AP727" s="236" t="n">
        <f aca="false" t="array" ref="AP727:AP727">IF(AP726=0,0,IF(AP726/'🎚️ Escenario'!$C$11&gt;=36,$AL$23,INDEX($C$23:$AL$23,MAX(1,ROUNDUP(AP726/'🎚️ Escenario'!$C$11,0)))))</f>
        <v>0</v>
      </c>
      <c r="AQ727" s="236" t="n">
        <f aca="false" t="array" ref="AQ727:AQ727">IF(AQ726=0,0,IF(AQ726/'🎚️ Escenario'!$C$11&gt;=36,$AL$23,INDEX($C$23:$AL$23,MAX(1,ROUNDUP(AQ726/'🎚️ Escenario'!$C$11,0)))))</f>
        <v>0</v>
      </c>
      <c r="AR727" s="236" t="n">
        <f aca="false" t="array" ref="AR727:AR727">IF(AR726=0,0,IF(AR726/'🎚️ Escenario'!$C$11&gt;=36,$AL$23,INDEX($C$23:$AL$23,MAX(1,ROUNDUP(AR726/'🎚️ Escenario'!$C$11,0)))))</f>
        <v>0</v>
      </c>
      <c r="AS727" s="236" t="n">
        <f aca="false" t="array" ref="AS727:AS727">IF(AS726=0,0,IF(AS726/'🎚️ Escenario'!$C$11&gt;=36,$AL$23,INDEX($C$23:$AL$23,MAX(1,ROUNDUP(AS726/'🎚️ Escenario'!$C$11,0)))))</f>
        <v>0</v>
      </c>
      <c r="AT727" s="236" t="n">
        <f aca="false" t="array" ref="AT727:AT727">IF(AT726=0,0,IF(AT726/'🎚️ Escenario'!$C$11&gt;=36,$AL$23,INDEX($C$23:$AL$23,MAX(1,ROUNDUP(AT726/'🎚️ Escenario'!$C$11,0)))))</f>
        <v>0</v>
      </c>
      <c r="AU727" s="236" t="n">
        <f aca="false" t="array" ref="AU727:AU727">IF(AU726=0,0,IF(AU726/'🎚️ Escenario'!$C$11&gt;=36,$AL$23,INDEX($C$23:$AL$23,MAX(1,ROUNDUP(AU726/'🎚️ Escenario'!$C$11,0)))))</f>
        <v>0</v>
      </c>
      <c r="AV727" s="236" t="n">
        <f aca="false" t="array" ref="AV727:AV727">IF(AV726=0,0,IF(AV726/'🎚️ Escenario'!$C$11&gt;=36,$AL$23,INDEX($C$23:$AL$23,MAX(1,ROUNDUP(AV726/'🎚️ Escenario'!$C$11,0)))))</f>
        <v>0</v>
      </c>
      <c r="AW727" s="236" t="n">
        <f aca="false" t="array" ref="AW727:AW727">IF(AW726=0,0,IF(AW726/'🎚️ Escenario'!$C$11&gt;=36,$AL$23,INDEX($C$23:$AL$23,MAX(1,ROUNDUP(AW726/'🎚️ Escenario'!$C$11,0)))))</f>
        <v>0</v>
      </c>
      <c r="AX727" s="236" t="n">
        <f aca="false" t="array" ref="AX727:AX727">IF(AX726=0,0,IF(AX726/'🎚️ Escenario'!$C$11&gt;=36,$AL$23,INDEX($C$23:$AL$23,MAX(1,ROUNDUP(AX726/'🎚️ Escenario'!$C$11,0)))))</f>
        <v>0</v>
      </c>
      <c r="AY727" s="236" t="n">
        <f aca="false" t="array" ref="AY727:AY727">IF(AY726=0,0,IF(AY726/'🎚️ Escenario'!$C$11&gt;=36,$AL$23,INDEX($C$23:$AL$23,MAX(1,ROUNDUP(AY726/'🎚️ Escenario'!$C$11,0)))))</f>
        <v>0</v>
      </c>
      <c r="AZ727" s="236" t="n">
        <f aca="false" t="array" ref="AZ727:AZ727">IF(AZ726=0,0,IF(AZ726/'🎚️ Escenario'!$C$11&gt;=36,$AL$23,INDEX($C$23:$AL$23,MAX(1,ROUNDUP(AZ726/'🎚️ Escenario'!$C$11,0)))))</f>
        <v>0</v>
      </c>
      <c r="BA727" s="236" t="n">
        <f aca="false" t="array" ref="BA727:BA727">IF(BA726=0,0,IF(BA726/'🎚️ Escenario'!$C$11&gt;=36,$AL$23,INDEX($C$23:$AL$23,MAX(1,ROUNDUP(BA726/'🎚️ Escenario'!$C$11,0)))))</f>
        <v>0</v>
      </c>
      <c r="BB727" s="236" t="n">
        <f aca="false" t="array" ref="BB727:BB727">IF(BB726=0,0,IF(BB726/'🎚️ Escenario'!$C$11&gt;=36,$AL$23,INDEX($C$23:$AL$23,MAX(1,ROUNDUP(BB726/'🎚️ Escenario'!$C$11,0)))))</f>
        <v>0</v>
      </c>
      <c r="BC727" s="236" t="n">
        <f aca="false" t="array" ref="BC727:BC727">IF(BC726=0,0,IF(BC726/'🎚️ Escenario'!$C$11&gt;=36,$AL$23,INDEX($C$23:$AL$23,MAX(1,ROUNDUP(BC726/'🎚️ Escenario'!$C$11,0)))))</f>
        <v>0</v>
      </c>
      <c r="BD727" s="236" t="n">
        <f aca="false" t="array" ref="BD727:BD727">IF(BD726=0,0,IF(BD726/'🎚️ Escenario'!$C$11&gt;=36,$AL$23,INDEX($C$23:$AL$23,MAX(1,ROUNDUP(BD726/'🎚️ Escenario'!$C$11,0)))))</f>
        <v>0</v>
      </c>
      <c r="BE727" s="236" t="n">
        <f aca="false" t="array" ref="BE727:BE727">IF(BE726=0,0,IF(BE726/'🎚️ Escenario'!$C$11&gt;=36,$AL$23,INDEX($C$23:$AL$23,MAX(1,ROUNDUP(BE726/'🎚️ Escenario'!$C$11,0)))))</f>
        <v>0</v>
      </c>
      <c r="BF727" s="236" t="n">
        <f aca="false" t="array" ref="BF727:BF727">IF(BF726=0,0,IF(BF726/'🎚️ Escenario'!$C$11&gt;=36,$AL$23,INDEX($C$23:$AL$23,MAX(1,ROUNDUP(BF726/'🎚️ Escenario'!$C$11,0)))))</f>
        <v>0</v>
      </c>
      <c r="BG727" s="236" t="n">
        <f aca="false" t="array" ref="BG727:BG727">IF(BG726=0,0,IF(BG726/'🎚️ Escenario'!$C$11&gt;=36,$AL$23,INDEX($C$23:$AL$23,MAX(1,ROUNDUP(BG726/'🎚️ Escenario'!$C$11,0)))))</f>
        <v>0</v>
      </c>
      <c r="BH727" s="236" t="n">
        <f aca="false" t="array" ref="BH727:BH727">IF(BH726=0,0,IF(BH726/'🎚️ Escenario'!$C$11&gt;=36,$AL$23,INDEX($C$23:$AL$23,MAX(1,ROUNDUP(BH726/'🎚️ Escenario'!$C$11,0)))))</f>
        <v>0</v>
      </c>
      <c r="BI727" s="236" t="n">
        <f aca="false" t="array" ref="BI727:BI727">IF(BI726=0,0,IF(BI726/'🎚️ Escenario'!$C$11&gt;=36,$AL$23,INDEX($C$23:$AL$23,MAX(1,ROUNDUP(BI726/'🎚️ Escenario'!$C$11,0)))))</f>
        <v>0</v>
      </c>
      <c r="BJ727" s="236" t="n">
        <f aca="false" t="array" ref="BJ727:BJ727">IF(BJ726=0,0,IF(BJ726/'🎚️ Escenario'!$C$11&gt;=36,$AL$23,INDEX($C$23:$AL$23,MAX(1,ROUNDUP(BJ726/'🎚️ Escenario'!$C$11,0)))))</f>
        <v>0</v>
      </c>
      <c r="BK727" s="236" t="n">
        <f aca="false" t="array" ref="BK727:BK727">IF(BK726=0,0,IF(BK726/'🎚️ Escenario'!$C$11&gt;=36,$AL$23,INDEX($C$23:$AL$23,MAX(1,ROUNDUP(BK726/'🎚️ Escenario'!$C$11,0)))))</f>
        <v>0</v>
      </c>
      <c r="BL727" s="236" t="n">
        <f aca="false" t="array" ref="BL727:BL727">IF(BL726=0,0,IF(BL726/'🎚️ Escenario'!$C$11&gt;=36,$AL$23,INDEX($C$23:$AL$23,MAX(1,ROUNDUP(BL726/'🎚️ Escenario'!$C$11,0)))))</f>
        <v>0</v>
      </c>
      <c r="BM727" s="236" t="n">
        <f aca="false" t="array" ref="BM727:BM727">IF(BM726=0,0,IF(BM726/'🎚️ Escenario'!$C$11&gt;=36,$AL$23,INDEX($C$23:$AL$23,MAX(1,ROUNDUP(BM726/'🎚️ Escenario'!$C$11,0)))))</f>
        <v>0</v>
      </c>
      <c r="BN727" s="236" t="n">
        <f aca="false" t="array" ref="BN727:BN727">IF(BN726=0,0,IF(BN726/'🎚️ Escenario'!$C$11&gt;=36,$AL$23,INDEX($C$23:$AL$23,MAX(1,ROUNDUP(BN726/'🎚️ Escenario'!$C$11,0)))))</f>
        <v>0</v>
      </c>
      <c r="BO727" s="236" t="n">
        <f aca="false" t="array" ref="BO727:BO727">IF(BO726=0,0,IF(BO726/'🎚️ Escenario'!$C$11&gt;=36,$AL$23,INDEX($C$23:$AL$23,MAX(1,ROUNDUP(BO726/'🎚️ Escenario'!$C$11,0)))))</f>
        <v>0</v>
      </c>
      <c r="BP727" s="236" t="n">
        <f aca="false" t="array" ref="BP727:BP727">IF(BP726=0,0,IF(BP726/'🎚️ Escenario'!$C$11&gt;=36,$AL$23,INDEX($C$23:$AL$23,MAX(1,ROUNDUP(BP726/'🎚️ Escenario'!$C$11,0)))))</f>
        <v>0</v>
      </c>
      <c r="BQ727" s="236" t="n">
        <f aca="false" t="array" ref="BQ727:BQ727">IF(BQ726=0,0,IF(BQ726/'🎚️ Escenario'!$C$11&gt;=36,$AL$23,INDEX($C$23:$AL$23,MAX(1,ROUNDUP(BQ726/'🎚️ Escenario'!$C$11,0)))))</f>
        <v>0</v>
      </c>
      <c r="BR727" s="236" t="n">
        <f aca="false" t="array" ref="BR727:BR727">IF(BR726=0,0,IF(BR726/'🎚️ Escenario'!$C$11&gt;=36,$AL$23,INDEX($C$23:$AL$23,MAX(1,ROUNDUP(BR726/'🎚️ Escenario'!$C$11,0)))))</f>
        <v>0</v>
      </c>
      <c r="BS727" s="236" t="n">
        <f aca="false" t="array" ref="BS727:BS727">IF(BS726=0,0,IF(BS726/'🎚️ Escenario'!$C$11&gt;=36,$AL$23,INDEX($C$23:$AL$23,MAX(1,ROUNDUP(BS726/'🎚️ Escenario'!$C$11,0)))))</f>
        <v>0</v>
      </c>
      <c r="BT727" s="236" t="n">
        <f aca="false" t="array" ref="BT727:BT727">IF(BT726=0,0,IF(BT726/'🎚️ Escenario'!$C$11&gt;=36,$AL$23,INDEX($C$23:$AL$23,MAX(1,ROUNDUP(BT726/'🎚️ Escenario'!$C$11,0)))))</f>
        <v>0</v>
      </c>
      <c r="BU727" s="236" t="n">
        <f aca="false" t="array" ref="BU727:BU727">IF(BU726=0,0,IF(BU726/'🎚️ Escenario'!$C$11&gt;=36,$AL$23,INDEX($C$23:$AL$23,MAX(1,ROUNDUP(BU726/'🎚️ Escenario'!$C$11,0)))))</f>
        <v>0</v>
      </c>
      <c r="BV727" s="236" t="n">
        <f aca="false" t="array" ref="BV727:BV727">IF(BV726=0,0,IF(BV726/'🎚️ Escenario'!$C$11&gt;=36,$AL$23,INDEX($C$23:$AL$23,MAX(1,ROUNDUP(BV726/'🎚️ Escenario'!$C$11,0)))))</f>
        <v>0</v>
      </c>
      <c r="BW727" s="236" t="n">
        <f aca="false" t="array" ref="BW727:BW727">IF(BW726=0,0,IF(BW726/'🎚️ Escenario'!$C$11&gt;=36,$AL$23,INDEX($C$23:$AL$23,MAX(1,ROUNDUP(BW726/'🎚️ Escenario'!$C$11,0)))))</f>
        <v>0</v>
      </c>
      <c r="BX727" s="236" t="n">
        <f aca="false" t="array" ref="BX727:BX727">IF(BX726=0,0,IF(BX726/'🎚️ Escenario'!$C$11&gt;=36,$AL$23,INDEX($C$23:$AL$23,MAX(1,ROUNDUP(BX726/'🎚️ Escenario'!$C$11,0)))))</f>
        <v>0</v>
      </c>
      <c r="BY727" s="236" t="n">
        <f aca="false" t="array" ref="BY727:BY727">IF(BY726=0,0,IF(BY726/'🎚️ Escenario'!$C$11&gt;=36,$AL$23,INDEX($C$23:$AL$23,MAX(1,ROUNDUP(BY726/'🎚️ Escenario'!$C$11,0)))))</f>
        <v>0</v>
      </c>
      <c r="BZ727" s="236" t="n">
        <f aca="false" t="array" ref="BZ727:BZ727">IF(BZ726=0,0,IF(BZ726/'🎚️ Escenario'!$C$11&gt;=36,$AL$23,INDEX($C$23:$AL$23,MAX(1,ROUNDUP(BZ726/'🎚️ Escenario'!$C$11,0)))))</f>
        <v>0</v>
      </c>
      <c r="CA727" s="236" t="n">
        <f aca="false" t="array" ref="CA727:CA727">IF(CA726=0,0,IF(CA726/'🎚️ Escenario'!$C$11&gt;=36,$AL$23,INDEX($C$23:$AL$23,MAX(1,ROUNDUP(CA726/'🎚️ Escenario'!$C$11,0)))))</f>
        <v>0</v>
      </c>
      <c r="CB727" s="236" t="n">
        <f aca="false" t="array" ref="CB727:CB727">IF(CB726=0,0,IF(CB726/'🎚️ Escenario'!$C$11&gt;=36,$AL$23,INDEX($C$23:$AL$23,MAX(1,ROUNDUP(CB726/'🎚️ Escenario'!$C$11,0)))))</f>
        <v>0</v>
      </c>
      <c r="CC727" s="236" t="n">
        <f aca="false" t="array" ref="CC727:CC727">IF(CC726=0,0,IF(CC726/'🎚️ Escenario'!$C$11&gt;=36,$AL$23,INDEX($C$23:$AL$23,MAX(1,ROUNDUP(CC726/'🎚️ Escenario'!$C$11,0)))))</f>
        <v>0</v>
      </c>
      <c r="CD727" s="236" t="n">
        <f aca="false" t="array" ref="CD727:CD727">IF(CD726=0,0,IF(CD726/'🎚️ Escenario'!$C$11&gt;=36,$AL$23,INDEX($C$23:$AL$23,MAX(1,ROUNDUP(CD726/'🎚️ Escenario'!$C$11,0)))))</f>
        <v>0</v>
      </c>
      <c r="CE727" s="236" t="n">
        <f aca="false" t="array" ref="CE727:CE727">IF(CE726=0,0,IF(CE726/'🎚️ Escenario'!$C$11&gt;=36,$AL$23,INDEX($C$23:$AL$23,MAX(1,ROUNDUP(CE726/'🎚️ Escenario'!$C$11,0)))))</f>
        <v>0</v>
      </c>
      <c r="CF727" s="236" t="n">
        <f aca="false" t="array" ref="CF727:CF727">IF(CF726=0,0,IF(CF726/'🎚️ Escenario'!$C$11&gt;=36,$AL$23,INDEX($C$23:$AL$23,MAX(1,ROUNDUP(CF726/'🎚️ Escenario'!$C$11,0)))))</f>
        <v>0</v>
      </c>
      <c r="CG727" s="236" t="n">
        <f aca="false" t="array" ref="CG727:CG727">IF(CG726=0,0,IF(CG726/'🎚️ Escenario'!$C$11&gt;=36,$AL$23,INDEX($C$23:$AL$23,MAX(1,ROUNDUP(CG726/'🎚️ Escenario'!$C$11,0)))))</f>
        <v>0</v>
      </c>
      <c r="CH727" s="236" t="n">
        <f aca="false" t="array" ref="CH727:CH727">IF(CH726=0,0,IF(CH726/'🎚️ Escenario'!$C$11&gt;=36,$AL$23,INDEX($C$23:$AL$23,MAX(1,ROUNDUP(CH726/'🎚️ Escenario'!$C$11,0)))))</f>
        <v>0</v>
      </c>
      <c r="CI727" s="236" t="n">
        <f aca="false" t="array" ref="CI727:CI727">IF(CI726=0,0,IF(CI726/'🎚️ Escenario'!$C$11&gt;=36,$AL$23,INDEX($C$23:$AL$23,MAX(1,ROUNDUP(CI726/'🎚️ Escenario'!$C$11,0)))))</f>
        <v>0</v>
      </c>
      <c r="CJ727" s="236" t="n">
        <f aca="false" t="array" ref="CJ727:CJ727">IF(CJ726=0,0,IF(CJ726/'🎚️ Escenario'!$C$11&gt;=36,$AL$23,INDEX($C$23:$AL$23,MAX(1,ROUNDUP(CJ726/'🎚️ Escenario'!$C$11,0)))))</f>
        <v>0</v>
      </c>
      <c r="CK727" s="236" t="n">
        <f aca="false" t="array" ref="CK727:CK727">IF(CK726=0,0,IF(CK726/'🎚️ Escenario'!$C$11&gt;=36,$AL$23,INDEX($C$23:$AL$23,MAX(1,ROUNDUP(CK726/'🎚️ Escenario'!$C$11,0)))))</f>
        <v>0</v>
      </c>
      <c r="CL727" s="236" t="n">
        <f aca="false" t="array" ref="CL727:CL727">IF(CL726=0,0,IF(CL726/'🎚️ Escenario'!$C$11&gt;=36,$AL$23,INDEX($C$23:$AL$23,MAX(1,ROUNDUP(CL726/'🎚️ Escenario'!$C$11,0)))))</f>
        <v>0</v>
      </c>
      <c r="CM727" s="236" t="n">
        <f aca="false" t="array" ref="CM727:CM727">IF(CM726=0,0,IF(CM726/'🎚️ Escenario'!$C$11&gt;=36,$AL$23,INDEX($C$23:$AL$23,MAX(1,ROUNDUP(CM726/'🎚️ Escenario'!$C$11,0)))))</f>
        <v>0</v>
      </c>
      <c r="CN727" s="236" t="n">
        <f aca="false" t="array" ref="CN727:CN727">IF(CN726=0,0,IF(CN726/'🎚️ Escenario'!$C$11&gt;=36,$AL$23,INDEX($C$23:$AL$23,MAX(1,ROUNDUP(CN726/'🎚️ Escenario'!$C$11,0)))))</f>
        <v>0</v>
      </c>
      <c r="CO727" s="236" t="n">
        <f aca="false" t="array" ref="CO727:CO727">IF(CO726=0,0,IF(CO726/'🎚️ Escenario'!$C$11&gt;=36,$AL$23,INDEX($C$23:$AL$23,MAX(1,ROUNDUP(CO726/'🎚️ Escenario'!$C$11,0)))))</f>
        <v>0</v>
      </c>
      <c r="CP727" s="236" t="n">
        <f aca="false" t="array" ref="CP727:CP727">IF(CP726=0,0,IF(CP726/'🎚️ Escenario'!$C$11&gt;=36,$AL$23,INDEX($C$23:$AL$23,MAX(1,ROUNDUP(CP726/'🎚️ Escenario'!$C$11,0)))))</f>
        <v>0</v>
      </c>
      <c r="CQ727" s="236" t="n">
        <f aca="false" t="array" ref="CQ727:CQ727">IF(CQ726=0,0,IF(CQ726/'🎚️ Escenario'!$C$11&gt;=36,$AL$23,INDEX($C$23:$AL$23,MAX(1,ROUNDUP(CQ726/'🎚️ Escenario'!$C$11,0)))))</f>
        <v>0</v>
      </c>
      <c r="CR727" s="236" t="n">
        <f aca="false" t="array" ref="CR727:CR727">IF(CR726=0,0,IF(CR726/'🎚️ Escenario'!$C$11&gt;=36,$AL$23,INDEX($C$23:$AL$23,MAX(1,ROUNDUP(CR726/'🎚️ Escenario'!$C$11,0)))))</f>
        <v>0</v>
      </c>
      <c r="CS727" s="236" t="n">
        <f aca="false" t="array" ref="CS727:CS727">IF(CS726=0,0,IF(CS726/'🎚️ Escenario'!$C$11&gt;=36,$AL$23,INDEX($C$23:$AL$23,MAX(1,ROUNDUP(CS726/'🎚️ Escenario'!$C$11,0)))))</f>
        <v>0</v>
      </c>
      <c r="CT727" s="236" t="n">
        <f aca="false" t="array" ref="CT727:CT727">IF(CT726=0,0,IF(CT726/'🎚️ Escenario'!$C$11&gt;=36,$AL$23,INDEX($C$23:$AL$23,MAX(1,ROUNDUP(CT726/'🎚️ Escenario'!$C$11,0)))))</f>
        <v>0</v>
      </c>
      <c r="CU727" s="236" t="n">
        <f aca="false" t="array" ref="CU727:CU727">IF(CU726=0,0,IF(CU726/'🎚️ Escenario'!$C$11&gt;=36,$AL$23,INDEX($C$23:$AL$23,MAX(1,ROUNDUP(CU726/'🎚️ Escenario'!$C$11,0)))))</f>
        <v>0</v>
      </c>
      <c r="CV727" s="236" t="n">
        <f aca="false" t="array" ref="CV727:CV727">IF(CV726=0,0,IF(CV726/'🎚️ Escenario'!$C$11&gt;=36,$AL$23,INDEX($C$23:$AL$23,MAX(1,ROUNDUP(CV726/'🎚️ Escenario'!$C$11,0)))))</f>
        <v>0</v>
      </c>
      <c r="CW727" s="236" t="n">
        <f aca="false" t="array" ref="CW727:CW727">IF(CW726=0,0,IF(CW726/'🎚️ Escenario'!$C$11&gt;=36,$AL$23,INDEX($C$23:$AL$23,MAX(1,ROUNDUP(CW726/'🎚️ Escenario'!$C$11,0)))))</f>
        <v>0</v>
      </c>
      <c r="CX727" s="236" t="n">
        <f aca="false" t="array" ref="CX727:CX727">IF(CX726=0,0,IF(CX726/'🎚️ Escenario'!$C$11&gt;=36,$AL$23,INDEX($C$23:$AL$23,MAX(1,ROUNDUP(CX726/'🎚️ Escenario'!$C$11,0)))))</f>
        <v>0</v>
      </c>
      <c r="CY727" s="236" t="n">
        <f aca="false" t="array" ref="CY727:CY727">IF(CY726=0,0,IF(CY726/'🎚️ Escenario'!$C$11&gt;=36,$AL$23,INDEX($C$23:$AL$23,MAX(1,ROUNDUP(CY726/'🎚️ Escenario'!$C$11,0)))))</f>
        <v>0</v>
      </c>
      <c r="CZ727" s="236" t="n">
        <f aca="false" t="array" ref="CZ727:CZ727">IF(CZ726=0,0,IF(CZ726/'🎚️ Escenario'!$C$11&gt;=36,$AL$23,INDEX($C$23:$AL$23,MAX(1,ROUNDUP(CZ726/'🎚️ Escenario'!$C$11,0)))))</f>
        <v>0</v>
      </c>
      <c r="DA727" s="236" t="n">
        <f aca="false" t="array" ref="DA727:DA727">IF(DA726=0,0,IF(DA726/'🎚️ Escenario'!$C$11&gt;=36,$AL$23,INDEX($C$23:$AL$23,MAX(1,ROUNDUP(DA726/'🎚️ Escenario'!$C$11,0)))))</f>
        <v>0.2</v>
      </c>
      <c r="DB727" s="236" t="n">
        <f aca="false" t="array" ref="DB727:DB727">IF(DB726=0,0,IF(DB726/'🎚️ Escenario'!$C$11&gt;=36,$AL$23,INDEX($C$23:$AL$23,MAX(1,ROUNDUP(DB726/'🎚️ Escenario'!$C$11,0)))))</f>
        <v>0.22</v>
      </c>
      <c r="DC727" s="236" t="n">
        <f aca="false" t="array" ref="DC727:DC727">IF(DC726=0,0,IF(DC726/'🎚️ Escenario'!$C$11&gt;=36,$AL$23,INDEX($C$23:$AL$23,MAX(1,ROUNDUP(DC726/'🎚️ Escenario'!$C$11,0)))))</f>
        <v>0.24</v>
      </c>
      <c r="DD727" s="236" t="n">
        <f aca="false" t="array" ref="DD727:DD727">IF(DD726=0,0,IF(DD726/'🎚️ Escenario'!$C$11&gt;=36,$AL$23,INDEX($C$23:$AL$23,MAX(1,ROUNDUP(DD726/'🎚️ Escenario'!$C$11,0)))))</f>
        <v>0.27</v>
      </c>
      <c r="DE727" s="236" t="n">
        <f aca="false" t="array" ref="DE727:DE727">IF(DE726=0,0,IF(DE726/'🎚️ Escenario'!$C$11&gt;=36,$AL$23,INDEX($C$23:$AL$23,MAX(1,ROUNDUP(DE726/'🎚️ Escenario'!$C$11,0)))))</f>
        <v>0.27</v>
      </c>
      <c r="DF727" s="236" t="n">
        <f aca="false" t="array" ref="DF727:DF727">IF(DF726=0,0,IF(DF726/'🎚️ Escenario'!$C$11&gt;=36,$AL$23,INDEX($C$23:$AL$23,MAX(1,ROUNDUP(DF726/'🎚️ Escenario'!$C$11,0)))))</f>
        <v>0.31</v>
      </c>
      <c r="DG727" s="236" t="n">
        <f aca="false" t="array" ref="DG727:DG727">IF(DG726=0,0,IF(DG726/'🎚️ Escenario'!$C$11&gt;=36,$AL$23,INDEX($C$23:$AL$23,MAX(1,ROUNDUP(DG726/'🎚️ Escenario'!$C$11,0)))))</f>
        <v>0.35</v>
      </c>
      <c r="DH727" s="236" t="n">
        <f aca="false" t="array" ref="DH727:DH727">IF(DH726=0,0,IF(DH726/'🎚️ Escenario'!$C$11&gt;=36,$AL$23,INDEX($C$23:$AL$23,MAX(1,ROUNDUP(DH726/'🎚️ Escenario'!$C$11,0)))))</f>
        <v>0.39</v>
      </c>
      <c r="DI727" s="236" t="n">
        <f aca="false" t="array" ref="DI727:DI727">IF(DI726=0,0,IF(DI726/'🎚️ Escenario'!$C$11&gt;=36,$AL$23,INDEX($C$23:$AL$23,MAX(1,ROUNDUP(DI726/'🎚️ Escenario'!$C$11,0)))))</f>
        <v>0.44</v>
      </c>
      <c r="DJ727" s="236" t="n">
        <f aca="false" t="array" ref="DJ727:DJ727">IF(DJ726=0,0,IF(DJ726/'🎚️ Escenario'!$C$11&gt;=36,$AL$23,INDEX($C$23:$AL$23,MAX(1,ROUNDUP(DJ726/'🎚️ Escenario'!$C$11,0)))))</f>
        <v>0.44</v>
      </c>
      <c r="DK727" s="236" t="n">
        <f aca="false" t="array" ref="DK727:DK727">IF(DK726=0,0,IF(DK726/'🎚️ Escenario'!$C$11&gt;=36,$AL$23,INDEX($C$23:$AL$23,MAX(1,ROUNDUP(DK726/'🎚️ Escenario'!$C$11,0)))))</f>
        <v>0.48</v>
      </c>
      <c r="DL727" s="236" t="n">
        <f aca="false" t="array" ref="DL727:DL727">IF(DL726=0,0,IF(DL726/'🎚️ Escenario'!$C$11&gt;=36,$AL$23,INDEX($C$23:$AL$23,MAX(1,ROUNDUP(DL726/'🎚️ Escenario'!$C$11,0)))))</f>
        <v>0.52</v>
      </c>
      <c r="DM727" s="236" t="n">
        <f aca="false" t="array" ref="DM727:DM727">IF(DM726=0,0,IF(DM726/'🎚️ Escenario'!$C$11&gt;=36,$AL$23,INDEX($C$23:$AL$23,MAX(1,ROUNDUP(DM726/'🎚️ Escenario'!$C$11,0)))))</f>
        <v>0.56</v>
      </c>
      <c r="DN727" s="236" t="n">
        <f aca="false" t="array" ref="DN727:DN727">IF(DN726=0,0,IF(DN726/'🎚️ Escenario'!$C$11&gt;=36,$AL$23,INDEX($C$23:$AL$23,MAX(1,ROUNDUP(DN726/'🎚️ Escenario'!$C$11,0)))))</f>
        <v>0.6</v>
      </c>
      <c r="DO727" s="236" t="n">
        <f aca="false" t="array" ref="DO727:DO727">IF(DO726=0,0,IF(DO726/'🎚️ Escenario'!$C$11&gt;=36,$AL$23,INDEX($C$23:$AL$23,MAX(1,ROUNDUP(DO726/'🎚️ Escenario'!$C$11,0)))))</f>
        <v>0.6</v>
      </c>
      <c r="DP727" s="236" t="n">
        <f aca="false" t="array" ref="DP727:DP727">IF(DP726=0,0,IF(DP726/'🎚️ Escenario'!$C$11&gt;=36,$AL$23,INDEX($C$23:$AL$23,MAX(1,ROUNDUP(DP726/'🎚️ Escenario'!$C$11,0)))))</f>
        <v>0.63</v>
      </c>
      <c r="DQ727" s="236" t="n">
        <f aca="false" t="array" ref="DQ727:DQ727">IF(DQ726=0,0,IF(DQ726/'🎚️ Escenario'!$C$11&gt;=36,$AL$23,INDEX($C$23:$AL$23,MAX(1,ROUNDUP(DQ726/'🎚️ Escenario'!$C$11,0)))))</f>
        <v>0.66</v>
      </c>
      <c r="DR727" s="236" t="n">
        <f aca="false" t="array" ref="DR727:DR727">IF(DR726=0,0,IF(DR726/'🎚️ Escenario'!$C$11&gt;=36,$AL$23,INDEX($C$23:$AL$23,MAX(1,ROUNDUP(DR726/'🎚️ Escenario'!$C$11,0)))))</f>
        <v>0.69</v>
      </c>
      <c r="DS727" s="236" t="n">
        <f aca="false" t="array" ref="DS727:DS727">IF(DS726=0,0,IF(DS726/'🎚️ Escenario'!$C$11&gt;=36,$AL$23,INDEX($C$23:$AL$23,MAX(1,ROUNDUP(DS726/'🎚️ Escenario'!$C$11,0)))))</f>
        <v>0.71</v>
      </c>
      <c r="DT727" s="236" t="n">
        <f aca="false" t="array" ref="DT727:DT727">IF(DT726=0,0,IF(DT726/'🎚️ Escenario'!$C$11&gt;=36,$AL$23,INDEX($C$23:$AL$23,MAX(1,ROUNDUP(DT726/'🎚️ Escenario'!$C$11,0)))))</f>
        <v>0.71</v>
      </c>
      <c r="DU727" s="236" t="n">
        <f aca="false" t="array" ref="DU727:DU727">IF(DU726=0,0,IF(DU726/'🎚️ Escenario'!$C$11&gt;=36,$AL$23,INDEX($C$23:$AL$23,MAX(1,ROUNDUP(DU726/'🎚️ Escenario'!$C$11,0)))))</f>
        <v>0.73</v>
      </c>
      <c r="DV727" s="236" t="n">
        <f aca="false" t="array" ref="DV727:DV727">IF(DV726=0,0,IF(DV726/'🎚️ Escenario'!$C$11&gt;=36,$AL$23,INDEX($C$23:$AL$23,MAX(1,ROUNDUP(DV726/'🎚️ Escenario'!$C$11,0)))))</f>
        <v>0.75</v>
      </c>
      <c r="DW727" s="236" t="n">
        <f aca="false" t="array" ref="DW727:DW727">IF(DW726=0,0,IF(DW726/'🎚️ Escenario'!$C$11&gt;=36,$AL$23,INDEX($C$23:$AL$23,MAX(1,ROUNDUP(DW726/'🎚️ Escenario'!$C$11,0)))))</f>
        <v>0.77</v>
      </c>
      <c r="DX727" s="236" t="n">
        <f aca="false" t="array" ref="DX727:DX727">IF(DX726=0,0,IF(DX726/'🎚️ Escenario'!$C$11&gt;=36,$AL$23,INDEX($C$23:$AL$23,MAX(1,ROUNDUP(DX726/'🎚️ Escenario'!$C$11,0)))))</f>
        <v>0.79</v>
      </c>
      <c r="DY727" s="236" t="n">
        <f aca="false" t="array" ref="DY727:DY727">IF(DY726=0,0,IF(DY726/'🎚️ Escenario'!$C$11&gt;=36,$AL$23,INDEX($C$23:$AL$23,MAX(1,ROUNDUP(DY726/'🎚️ Escenario'!$C$11,0)))))</f>
        <v>0.79</v>
      </c>
      <c r="DZ727" s="236" t="n">
        <f aca="false" t="array" ref="DZ727:DZ727">IF(DZ726=0,0,IF(DZ726/'🎚️ Escenario'!$C$11&gt;=36,$AL$23,INDEX($C$23:$AL$23,MAX(1,ROUNDUP(DZ726/'🎚️ Escenario'!$C$11,0)))))</f>
        <v>0.8</v>
      </c>
      <c r="EA727" s="236" t="n">
        <f aca="false" t="array" ref="EA727:EA727">IF(EA726=0,0,IF(EA726/'🎚️ Escenario'!$C$11&gt;=36,$AL$23,INDEX($C$23:$AL$23,MAX(1,ROUNDUP(EA726/'🎚️ Escenario'!$C$11,0)))))</f>
        <v>0.82</v>
      </c>
      <c r="EB727" s="236" t="n">
        <f aca="false" t="array" ref="EB727:EB727">IF(EB726=0,0,IF(EB726/'🎚️ Escenario'!$C$11&gt;=36,$AL$23,INDEX($C$23:$AL$23,MAX(1,ROUNDUP(EB726/'🎚️ Escenario'!$C$11,0)))))</f>
        <v>0.84</v>
      </c>
      <c r="EC727" s="236" t="n">
        <f aca="false" t="array" ref="EC727:EC727">IF(EC726=0,0,IF(EC726/'🎚️ Escenario'!$C$11&gt;=36,$AL$23,INDEX($C$23:$AL$23,MAX(1,ROUNDUP(EC726/'🎚️ Escenario'!$C$11,0)))))</f>
        <v>0.85</v>
      </c>
      <c r="ED727" s="236" t="n">
        <f aca="false" t="array" ref="ED727:ED727">IF(ED726=0,0,IF(ED726/'🎚️ Escenario'!$C$11&gt;=36,$AL$23,INDEX($C$23:$AL$23,MAX(1,ROUNDUP(ED726/'🎚️ Escenario'!$C$11,0)))))</f>
        <v>0.85</v>
      </c>
      <c r="EE727" s="236" t="n">
        <f aca="false" t="array" ref="EE727:EE727">IF(EE726=0,0,IF(EE726/'🎚️ Escenario'!$C$11&gt;=36,$AL$23,INDEX($C$23:$AL$23,MAX(1,ROUNDUP(EE726/'🎚️ Escenario'!$C$11,0)))))</f>
        <v>0.86</v>
      </c>
      <c r="EF727" s="236" t="n">
        <f aca="false" t="array" ref="EF727:EF727">IF(EF726=0,0,IF(EF726/'🎚️ Escenario'!$C$11&gt;=36,$AL$23,INDEX($C$23:$AL$23,MAX(1,ROUNDUP(EF726/'🎚️ Escenario'!$C$11,0)))))</f>
        <v>0.88</v>
      </c>
      <c r="EG727" s="236" t="n">
        <f aca="false" t="array" ref="EG727:EG727">IF(EG726=0,0,IF(EG726/'🎚️ Escenario'!$C$11&gt;=36,$AL$23,INDEX($C$23:$AL$23,MAX(1,ROUNDUP(EG726/'🎚️ Escenario'!$C$11,0)))))</f>
        <v>0.89</v>
      </c>
      <c r="EH727" s="236" t="n">
        <f aca="false" t="array" ref="EH727:EH727">IF(EH726=0,0,IF(EH726/'🎚️ Escenario'!$C$11&gt;=36,$AL$23,INDEX($C$23:$AL$23,MAX(1,ROUNDUP(EH726/'🎚️ Escenario'!$C$11,0)))))</f>
        <v>0.9</v>
      </c>
      <c r="EI727" s="236" t="n">
        <f aca="false" t="array" ref="EI727:EI727">IF(EI726=0,0,IF(EI726/'🎚️ Escenario'!$C$11&gt;=36,$AL$23,INDEX($C$23:$AL$23,MAX(1,ROUNDUP(EI726/'🎚️ Escenario'!$C$11,0)))))</f>
        <v>0.9</v>
      </c>
      <c r="EJ727" s="236" t="n">
        <f aca="false" t="array" ref="EJ727:EJ727">IF(EJ726=0,0,IF(EJ726/'🎚️ Escenario'!$C$11&gt;=36,$AL$23,INDEX($C$23:$AL$23,MAX(1,ROUNDUP(EJ726/'🎚️ Escenario'!$C$11,0)))))</f>
        <v>0.92</v>
      </c>
      <c r="EK727" s="236" t="n">
        <f aca="false" t="array" ref="EK727:EK727">IF(EK726=0,0,IF(EK726/'🎚️ Escenario'!$C$11&gt;=36,$AL$23,INDEX($C$23:$AL$23,MAX(1,ROUNDUP(EK726/'🎚️ Escenario'!$C$11,0)))))</f>
        <v>0.93</v>
      </c>
      <c r="EL727" s="236" t="n">
        <f aca="false" t="array" ref="EL727:EL727">IF(EL726=0,0,IF(EL726/'🎚️ Escenario'!$C$11&gt;=36,$AL$23,INDEX($C$23:$AL$23,MAX(1,ROUNDUP(EL726/'🎚️ Escenario'!$C$11,0)))))</f>
        <v>0.94</v>
      </c>
      <c r="EM727" s="236" t="n">
        <f aca="false" t="array" ref="EM727:EM727">IF(EM726=0,0,IF(EM726/'🎚️ Escenario'!$C$11&gt;=36,$AL$23,INDEX($C$23:$AL$23,MAX(1,ROUNDUP(EM726/'🎚️ Escenario'!$C$11,0)))))</f>
        <v>0.95</v>
      </c>
      <c r="EN727" s="236" t="n">
        <f aca="false" t="array" ref="EN727:EN727">IF(EN726=0,0,IF(EN726/'🎚️ Escenario'!$C$11&gt;=36,$AL$23,INDEX($C$23:$AL$23,MAX(1,ROUNDUP(EN726/'🎚️ Escenario'!$C$11,0)))))</f>
        <v>0.95</v>
      </c>
      <c r="EO727" s="236" t="n">
        <f aca="false" t="array" ref="EO727:EO727">IF(EO726=0,0,IF(EO726/'🎚️ Escenario'!$C$11&gt;=36,$AL$23,INDEX($C$23:$AL$23,MAX(1,ROUNDUP(EO726/'🎚️ Escenario'!$C$11,0)))))</f>
        <v>0.97</v>
      </c>
      <c r="EP727" s="236" t="n">
        <f aca="false" t="array" ref="EP727:EP727">IF(EP726=0,0,IF(EP726/'🎚️ Escenario'!$C$11&gt;=36,$AL$23,INDEX($C$23:$AL$23,MAX(1,ROUNDUP(EP726/'🎚️ Escenario'!$C$11,0)))))</f>
        <v>0.98</v>
      </c>
      <c r="EQ727" s="236" t="n">
        <f aca="false" t="array" ref="EQ727:EQ727">IF(EQ726=0,0,IF(EQ726/'🎚️ Escenario'!$C$11&gt;=36,$AL$23,INDEX($C$23:$AL$23,MAX(1,ROUNDUP(EQ726/'🎚️ Escenario'!$C$11,0)))))</f>
        <v>0.99</v>
      </c>
      <c r="ER727" s="236" t="n">
        <f aca="false" t="array" ref="ER727:ER727">IF(ER726=0,0,IF(ER726/'🎚️ Escenario'!$C$11&gt;=36,$AL$23,INDEX($C$23:$AL$23,MAX(1,ROUNDUP(ER726/'🎚️ Escenario'!$C$11,0)))))</f>
        <v>1</v>
      </c>
      <c r="ES727" s="9" t="n">
        <f aca="false" t="array" ref="ES727:ES727">IF(ES726=0,0,IF(ES726/'🎚️ Escenario'!$C$11&gt;=36,$AL$23,INDEX($C$23:$AL$23,MAX(1,ROUNDUP(ES726/'🎚️ Escenario'!$C$11,0)))))</f>
        <v>1</v>
      </c>
      <c r="ET727" s="9" t="n">
        <f aca="false" t="array" ref="ET727:ET727">IF(ET726=0,0,IF(ET726/'🎚️ Escenario'!$C$11&gt;=36,$AL$23,INDEX($C$23:$AL$23,MAX(1,ROUNDUP(ET726/'🎚️ Escenario'!$C$11,0)))))</f>
        <v>1</v>
      </c>
      <c r="EU727" s="9" t="n">
        <f aca="false" t="array" ref="EU727:EU727">IF(EU726=0,0,IF(EU726/'🎚️ Escenario'!$C$11&gt;=36,$AL$23,INDEX($C$23:$AL$23,MAX(1,ROUNDUP(EU726/'🎚️ Escenario'!$C$11,0)))))</f>
        <v>1</v>
      </c>
      <c r="EV727" s="9" t="n">
        <f aca="false" t="array" ref="EV727:EV727">IF(EV726=0,0,IF(EV726/'🎚️ Escenario'!$C$11&gt;=36,$AL$23,INDEX($C$23:$AL$23,MAX(1,ROUNDUP(EV726/'🎚️ Escenario'!$C$11,0)))))</f>
        <v>1</v>
      </c>
      <c r="EW727" s="9" t="n">
        <f aca="false" t="array" ref="EW727:EW727">IF(EW726=0,0,IF(EW726/'🎚️ Escenario'!$C$11&gt;=36,$AL$23,INDEX($C$23:$AL$23,MAX(1,ROUNDUP(EW726/'🎚️ Escenario'!$C$11,0)))))</f>
        <v>1</v>
      </c>
      <c r="EX727" s="9" t="n">
        <f aca="false" t="array" ref="EX727:EX727">IF(EX726=0,0,IF(EX726/'🎚️ Escenario'!$C$11&gt;=36,$AL$23,INDEX($C$23:$AL$23,MAX(1,ROUNDUP(EX726/'🎚️ Escenario'!$C$11,0)))))</f>
        <v>1</v>
      </c>
      <c r="EY727" s="9" t="n">
        <f aca="false" t="array" ref="EY727:EY727">IF(EY726=0,0,IF(EY726/'🎚️ Escenario'!$C$11&gt;=36,$AL$23,INDEX($C$23:$AL$23,MAX(1,ROUNDUP(EY726/'🎚️ Escenario'!$C$11,0)))))</f>
        <v>1</v>
      </c>
      <c r="EZ727" s="9" t="n">
        <f aca="false" t="array" ref="EZ727:EZ727">IF(EZ726=0,0,IF(EZ726/'🎚️ Escenario'!$C$11&gt;=36,$AL$23,INDEX($C$23:$AL$23,MAX(1,ROUNDUP(EZ726/'🎚️ Escenario'!$C$11,0)))))</f>
        <v>1</v>
      </c>
      <c r="FA727" s="9" t="n">
        <f aca="false" t="array" ref="FA727:FA727">IF(FA726=0,0,IF(FA726/'🎚️ Escenario'!$C$11&gt;=36,$AL$23,INDEX($C$23:$AL$23,MAX(1,ROUNDUP(FA726/'🎚️ Escenario'!$C$11,0)))))</f>
        <v>1</v>
      </c>
      <c r="FB727" s="9" t="n">
        <f aca="false" t="array" ref="FB727:FB727">IF(FB726=0,0,IF(FB726/'🎚️ Escenario'!$C$11&gt;=36,$AL$23,INDEX($C$23:$AL$23,MAX(1,ROUNDUP(FB726/'🎚️ Escenario'!$C$11,0)))))</f>
        <v>1</v>
      </c>
      <c r="FC727" s="9" t="n">
        <f aca="false" t="array" ref="FC727:FC727">IF(FC726=0,0,IF(FC726/'🎚️ Escenario'!$C$11&gt;=36,$AL$23,INDEX($C$23:$AL$23,MAX(1,ROUNDUP(FC726/'🎚️ Escenario'!$C$11,0)))))</f>
        <v>1</v>
      </c>
      <c r="FD727" s="9" t="n">
        <f aca="false" t="array" ref="FD727:FD727">IF(FD726=0,0,IF(FD726/'🎚️ Escenario'!$C$11&gt;=36,$AL$23,INDEX($C$23:$AL$23,MAX(1,ROUNDUP(FD726/'🎚️ Escenario'!$C$11,0)))))</f>
        <v>1</v>
      </c>
      <c r="FE727" s="9" t="n">
        <f aca="false" t="array" ref="FE727:FE727">IF(FE726=0,0,IF(FE726/'🎚️ Escenario'!$C$11&gt;=36,$AL$23,INDEX($C$23:$AL$23,MAX(1,ROUNDUP(FE726/'🎚️ Escenario'!$C$11,0)))))</f>
        <v>1</v>
      </c>
      <c r="FF727" s="9" t="n">
        <f aca="false" t="array" ref="FF727:FF727">IF(FF726=0,0,IF(FF726/'🎚️ Escenario'!$C$11&gt;=36,$AL$23,INDEX($C$23:$AL$23,MAX(1,ROUNDUP(FF726/'🎚️ Escenario'!$C$11,0)))))</f>
        <v>1</v>
      </c>
      <c r="FG727" s="9" t="n">
        <f aca="false" t="array" ref="FG727:FG727">IF(FG726=0,0,IF(FG726/'🎚️ Escenario'!$C$11&gt;=36,$AL$23,INDEX($C$23:$AL$23,MAX(1,ROUNDUP(FG726/'🎚️ Escenario'!$C$11,0)))))</f>
        <v>1</v>
      </c>
      <c r="FH727" s="9" t="n">
        <f aca="false" t="array" ref="FH727:FH727">IF(FH726=0,0,IF(FH726/'🎚️ Escenario'!$C$11&gt;=36,$AL$23,INDEX($C$23:$AL$23,MAX(1,ROUNDUP(FH726/'🎚️ Escenario'!$C$11,0)))))</f>
        <v>1</v>
      </c>
      <c r="FI727" s="9" t="n">
        <f aca="false" t="array" ref="FI727:FI727">IF(FI726=0,0,IF(FI726/'🎚️ Escenario'!$C$11&gt;=36,$AL$23,INDEX($C$23:$AL$23,MAX(1,ROUNDUP(FI726/'🎚️ Escenario'!$C$11,0)))))</f>
        <v>1</v>
      </c>
      <c r="FJ727" s="9" t="n">
        <f aca="false" t="array" ref="FJ727:FJ727">IF(FJ726=0,0,IF(FJ726/'🎚️ Escenario'!$C$11&gt;=36,$AL$23,INDEX($C$23:$AL$23,MAX(1,ROUNDUP(FJ726/'🎚️ Escenario'!$C$11,0)))))</f>
        <v>1</v>
      </c>
      <c r="FK727" s="9" t="n">
        <f aca="false" t="array" ref="FK727:FK727">IF(FK726=0,0,IF(FK726/'🎚️ Escenario'!$C$11&gt;=36,$AL$23,INDEX($C$23:$AL$23,MAX(1,ROUNDUP(FK726/'🎚️ Escenario'!$C$11,0)))))</f>
        <v>1</v>
      </c>
      <c r="FL727" s="9" t="n">
        <f aca="false" t="array" ref="FL727:FL727">IF(FL726=0,0,IF(FL726/'🎚️ Escenario'!$C$11&gt;=36,$AL$23,INDEX($C$23:$AL$23,MAX(1,ROUNDUP(FL726/'🎚️ Escenario'!$C$11,0)))))</f>
        <v>1</v>
      </c>
      <c r="FM727" s="9" t="n">
        <f aca="false" t="array" ref="FM727:FM727">IF(FM726=0,0,IF(FM726/'🎚️ Escenario'!$C$11&gt;=36,$AL$23,INDEX($C$23:$AL$23,MAX(1,ROUNDUP(FM726/'🎚️ Escenario'!$C$11,0)))))</f>
        <v>1</v>
      </c>
      <c r="FN727" s="9" t="n">
        <f aca="false" t="array" ref="FN727:FN727">IF(FN726=0,0,IF(FN726/'🎚️ Escenario'!$C$11&gt;=36,$AL$23,INDEX($C$23:$AL$23,MAX(1,ROUNDUP(FN726/'🎚️ Escenario'!$C$11,0)))))</f>
        <v>1</v>
      </c>
      <c r="FO727" s="9" t="n">
        <f aca="false" t="array" ref="FO727:FO727">IF(FO726=0,0,IF(FO726/'🎚️ Escenario'!$C$11&gt;=36,$AL$23,INDEX($C$23:$AL$23,MAX(1,ROUNDUP(FO726/'🎚️ Escenario'!$C$11,0)))))</f>
        <v>1</v>
      </c>
      <c r="FP727" s="9" t="n">
        <f aca="false" t="array" ref="FP727:FP727">IF(FP726=0,0,IF(FP726/'🎚️ Escenario'!$C$11&gt;=36,$AL$23,INDEX($C$23:$AL$23,MAX(1,ROUNDUP(FP726/'🎚️ Escenario'!$C$11,0)))))</f>
        <v>1</v>
      </c>
    </row>
    <row r="728" customFormat="false" ht="15" hidden="false" customHeight="false" outlineLevel="2" collapsed="false">
      <c r="B728" s="9" t="s">
        <v>875</v>
      </c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237" t="n">
        <f aca="false">IF(AC726=0,0,IF(AC726&lt;=12*'🎚️ Escenario'!$C$11,1,1+$C$6))</f>
        <v>0</v>
      </c>
      <c r="AD728" s="237" t="n">
        <f aca="false">IF(AD726=0,0,IF(AD726&lt;=12*'🎚️ Escenario'!$C$11,1,1+$C$6))</f>
        <v>0</v>
      </c>
      <c r="AE728" s="237" t="n">
        <f aca="false">IF(AE726=0,0,IF(AE726&lt;=12*'🎚️ Escenario'!$C$11,1,1+$C$6))</f>
        <v>0</v>
      </c>
      <c r="AF728" s="237" t="n">
        <f aca="false">IF(AF726=0,0,IF(AF726&lt;=12*'🎚️ Escenario'!$C$11,1,1+$C$6))</f>
        <v>0</v>
      </c>
      <c r="AG728" s="237" t="n">
        <f aca="false">IF(AG726=0,0,IF(AG726&lt;=12*'🎚️ Escenario'!$C$11,1,1+$C$6))</f>
        <v>0</v>
      </c>
      <c r="AH728" s="237" t="n">
        <f aca="false">IF(AH726=0,0,IF(AH726&lt;=12*'🎚️ Escenario'!$C$11,1,1+$C$6))</f>
        <v>0</v>
      </c>
      <c r="AI728" s="237" t="n">
        <f aca="false">IF(AI726=0,0,IF(AI726&lt;=12*'🎚️ Escenario'!$C$11,1,1+$C$6))</f>
        <v>0</v>
      </c>
      <c r="AJ728" s="237" t="n">
        <f aca="false">IF(AJ726=0,0,IF(AJ726&lt;=12*'🎚️ Escenario'!$C$11,1,1+$C$6))</f>
        <v>0</v>
      </c>
      <c r="AK728" s="237" t="n">
        <f aca="false">IF(AK726=0,0,IF(AK726&lt;=12*'🎚️ Escenario'!$C$11,1,1+$C$6))</f>
        <v>0</v>
      </c>
      <c r="AL728" s="237" t="n">
        <f aca="false">IF(AL726=0,0,IF(AL726&lt;=12*'🎚️ Escenario'!$C$11,1,1+$C$6))</f>
        <v>0</v>
      </c>
      <c r="AM728" s="237" t="n">
        <f aca="false">IF(AM726=0,0,IF(AM726&lt;=12*'🎚️ Escenario'!$C$11,1,1+$C$6))</f>
        <v>0</v>
      </c>
      <c r="AN728" s="237" t="n">
        <f aca="false">IF(AN726=0,0,IF(AN726&lt;=12*'🎚️ Escenario'!$C$11,1,1+$C$6))</f>
        <v>0</v>
      </c>
      <c r="AO728" s="237" t="n">
        <f aca="false">IF(AO726=0,0,IF(AO726&lt;=12*'🎚️ Escenario'!$C$11,1,1+$C$6))</f>
        <v>0</v>
      </c>
      <c r="AP728" s="237" t="n">
        <f aca="false">IF(AP726=0,0,IF(AP726&lt;=12*'🎚️ Escenario'!$C$11,1,1+$C$6))</f>
        <v>0</v>
      </c>
      <c r="AQ728" s="237" t="n">
        <f aca="false">IF(AQ726=0,0,IF(AQ726&lt;=12*'🎚️ Escenario'!$C$11,1,1+$C$6))</f>
        <v>0</v>
      </c>
      <c r="AR728" s="237" t="n">
        <f aca="false">IF(AR726=0,0,IF(AR726&lt;=12*'🎚️ Escenario'!$C$11,1,1+$C$6))</f>
        <v>0</v>
      </c>
      <c r="AS728" s="237" t="n">
        <f aca="false">IF(AS726=0,0,IF(AS726&lt;=12*'🎚️ Escenario'!$C$11,1,1+$C$6))</f>
        <v>0</v>
      </c>
      <c r="AT728" s="237" t="n">
        <f aca="false">IF(AT726=0,0,IF(AT726&lt;=12*'🎚️ Escenario'!$C$11,1,1+$C$6))</f>
        <v>0</v>
      </c>
      <c r="AU728" s="237" t="n">
        <f aca="false">IF(AU726=0,0,IF(AU726&lt;=12*'🎚️ Escenario'!$C$11,1,1+$C$6))</f>
        <v>0</v>
      </c>
      <c r="AV728" s="237" t="n">
        <f aca="false">IF(AV726=0,0,IF(AV726&lt;=12*'🎚️ Escenario'!$C$11,1,1+$C$6))</f>
        <v>0</v>
      </c>
      <c r="AW728" s="237" t="n">
        <f aca="false">IF(AW726=0,0,IF(AW726&lt;=12*'🎚️ Escenario'!$C$11,1,1+$C$6))</f>
        <v>0</v>
      </c>
      <c r="AX728" s="237" t="n">
        <f aca="false">IF(AX726=0,0,IF(AX726&lt;=12*'🎚️ Escenario'!$C$11,1,1+$C$6))</f>
        <v>0</v>
      </c>
      <c r="AY728" s="237" t="n">
        <f aca="false">IF(AY726=0,0,IF(AY726&lt;=12*'🎚️ Escenario'!$C$11,1,1+$C$6))</f>
        <v>0</v>
      </c>
      <c r="AZ728" s="237" t="n">
        <f aca="false">IF(AZ726=0,0,IF(AZ726&lt;=12*'🎚️ Escenario'!$C$11,1,1+$C$6))</f>
        <v>0</v>
      </c>
      <c r="BA728" s="237" t="n">
        <f aca="false">IF(BA726=0,0,IF(BA726&lt;=12*'🎚️ Escenario'!$C$11,1,1+$C$6))</f>
        <v>0</v>
      </c>
      <c r="BB728" s="237" t="n">
        <f aca="false">IF(BB726=0,0,IF(BB726&lt;=12*'🎚️ Escenario'!$C$11,1,1+$C$6))</f>
        <v>0</v>
      </c>
      <c r="BC728" s="237" t="n">
        <f aca="false">IF(BC726=0,0,IF(BC726&lt;=12*'🎚️ Escenario'!$C$11,1,1+$C$6))</f>
        <v>0</v>
      </c>
      <c r="BD728" s="237" t="n">
        <f aca="false">IF(BD726=0,0,IF(BD726&lt;=12*'🎚️ Escenario'!$C$11,1,1+$C$6))</f>
        <v>0</v>
      </c>
      <c r="BE728" s="237" t="n">
        <f aca="false">IF(BE726=0,0,IF(BE726&lt;=12*'🎚️ Escenario'!$C$11,1,1+$C$6))</f>
        <v>0</v>
      </c>
      <c r="BF728" s="237" t="n">
        <f aca="false">IF(BF726=0,0,IF(BF726&lt;=12*'🎚️ Escenario'!$C$11,1,1+$C$6))</f>
        <v>0</v>
      </c>
      <c r="BG728" s="237" t="n">
        <f aca="false">IF(BG726=0,0,IF(BG726&lt;=12*'🎚️ Escenario'!$C$11,1,1+$C$6))</f>
        <v>0</v>
      </c>
      <c r="BH728" s="237" t="n">
        <f aca="false">IF(BH726=0,0,IF(BH726&lt;=12*'🎚️ Escenario'!$C$11,1,1+$C$6))</f>
        <v>0</v>
      </c>
      <c r="BI728" s="237" t="n">
        <f aca="false">IF(BI726=0,0,IF(BI726&lt;=12*'🎚️ Escenario'!$C$11,1,1+$C$6))</f>
        <v>0</v>
      </c>
      <c r="BJ728" s="237" t="n">
        <f aca="false">IF(BJ726=0,0,IF(BJ726&lt;=12*'🎚️ Escenario'!$C$11,1,1+$C$6))</f>
        <v>0</v>
      </c>
      <c r="BK728" s="237" t="n">
        <f aca="false">IF(BK726=0,0,IF(BK726&lt;=12*'🎚️ Escenario'!$C$11,1,1+$C$6))</f>
        <v>0</v>
      </c>
      <c r="BL728" s="237" t="n">
        <f aca="false">IF(BL726=0,0,IF(BL726&lt;=12*'🎚️ Escenario'!$C$11,1,1+$C$6))</f>
        <v>0</v>
      </c>
      <c r="BM728" s="237" t="n">
        <f aca="false">IF(BM726=0,0,IF(BM726&lt;=12*'🎚️ Escenario'!$C$11,1,1+$C$6))</f>
        <v>0</v>
      </c>
      <c r="BN728" s="237" t="n">
        <f aca="false">IF(BN726=0,0,IF(BN726&lt;=12*'🎚️ Escenario'!$C$11,1,1+$C$6))</f>
        <v>0</v>
      </c>
      <c r="BO728" s="237" t="n">
        <f aca="false">IF(BO726=0,0,IF(BO726&lt;=12*'🎚️ Escenario'!$C$11,1,1+$C$6))</f>
        <v>0</v>
      </c>
      <c r="BP728" s="237" t="n">
        <f aca="false">IF(BP726=0,0,IF(BP726&lt;=12*'🎚️ Escenario'!$C$11,1,1+$C$6))</f>
        <v>0</v>
      </c>
      <c r="BQ728" s="237" t="n">
        <f aca="false">IF(BQ726=0,0,IF(BQ726&lt;=12*'🎚️ Escenario'!$C$11,1,1+$C$6))</f>
        <v>0</v>
      </c>
      <c r="BR728" s="237" t="n">
        <f aca="false">IF(BR726=0,0,IF(BR726&lt;=12*'🎚️ Escenario'!$C$11,1,1+$C$6))</f>
        <v>0</v>
      </c>
      <c r="BS728" s="237" t="n">
        <f aca="false">IF(BS726=0,0,IF(BS726&lt;=12*'🎚️ Escenario'!$C$11,1,1+$C$6))</f>
        <v>0</v>
      </c>
      <c r="BT728" s="237" t="n">
        <f aca="false">IF(BT726=0,0,IF(BT726&lt;=12*'🎚️ Escenario'!$C$11,1,1+$C$6))</f>
        <v>0</v>
      </c>
      <c r="BU728" s="237" t="n">
        <f aca="false">IF(BU726=0,0,IF(BU726&lt;=12*'🎚️ Escenario'!$C$11,1,1+$C$6))</f>
        <v>0</v>
      </c>
      <c r="BV728" s="237" t="n">
        <f aca="false">IF(BV726=0,0,IF(BV726&lt;=12*'🎚️ Escenario'!$C$11,1,1+$C$6))</f>
        <v>0</v>
      </c>
      <c r="BW728" s="237" t="n">
        <f aca="false">IF(BW726=0,0,IF(BW726&lt;=12*'🎚️ Escenario'!$C$11,1,1+$C$6))</f>
        <v>0</v>
      </c>
      <c r="BX728" s="237" t="n">
        <f aca="false">IF(BX726=0,0,IF(BX726&lt;=12*'🎚️ Escenario'!$C$11,1,1+$C$6))</f>
        <v>0</v>
      </c>
      <c r="BY728" s="237" t="n">
        <f aca="false">IF(BY726=0,0,IF(BY726&lt;=12*'🎚️ Escenario'!$C$11,1,1+$C$6))</f>
        <v>0</v>
      </c>
      <c r="BZ728" s="237" t="n">
        <f aca="false">IF(BZ726=0,0,IF(BZ726&lt;=12*'🎚️ Escenario'!$C$11,1,1+$C$6))</f>
        <v>0</v>
      </c>
      <c r="CA728" s="237" t="n">
        <f aca="false">IF(CA726=0,0,IF(CA726&lt;=12*'🎚️ Escenario'!$C$11,1,1+$C$6))</f>
        <v>0</v>
      </c>
      <c r="CB728" s="237" t="n">
        <f aca="false">IF(CB726=0,0,IF(CB726&lt;=12*'🎚️ Escenario'!$C$11,1,1+$C$6))</f>
        <v>0</v>
      </c>
      <c r="CC728" s="237" t="n">
        <f aca="false">IF(CC726=0,0,IF(CC726&lt;=12*'🎚️ Escenario'!$C$11,1,1+$C$6))</f>
        <v>0</v>
      </c>
      <c r="CD728" s="237" t="n">
        <f aca="false">IF(CD726=0,0,IF(CD726&lt;=12*'🎚️ Escenario'!$C$11,1,1+$C$6))</f>
        <v>0</v>
      </c>
      <c r="CE728" s="237" t="n">
        <f aca="false">IF(CE726=0,0,IF(CE726&lt;=12*'🎚️ Escenario'!$C$11,1,1+$C$6))</f>
        <v>0</v>
      </c>
      <c r="CF728" s="237" t="n">
        <f aca="false">IF(CF726=0,0,IF(CF726&lt;=12*'🎚️ Escenario'!$C$11,1,1+$C$6))</f>
        <v>0</v>
      </c>
      <c r="CG728" s="237" t="n">
        <f aca="false">IF(CG726=0,0,IF(CG726&lt;=12*'🎚️ Escenario'!$C$11,1,1+$C$6))</f>
        <v>0</v>
      </c>
      <c r="CH728" s="237" t="n">
        <f aca="false">IF(CH726=0,0,IF(CH726&lt;=12*'🎚️ Escenario'!$C$11,1,1+$C$6))</f>
        <v>0</v>
      </c>
      <c r="CI728" s="237" t="n">
        <f aca="false">IF(CI726=0,0,IF(CI726&lt;=12*'🎚️ Escenario'!$C$11,1,1+$C$6))</f>
        <v>0</v>
      </c>
      <c r="CJ728" s="237" t="n">
        <f aca="false">IF(CJ726=0,0,IF(CJ726&lt;=12*'🎚️ Escenario'!$C$11,1,1+$C$6))</f>
        <v>0</v>
      </c>
      <c r="CK728" s="237" t="n">
        <f aca="false">IF(CK726=0,0,IF(CK726&lt;=12*'🎚️ Escenario'!$C$11,1,1+$C$6))</f>
        <v>0</v>
      </c>
      <c r="CL728" s="237" t="n">
        <f aca="false">IF(CL726=0,0,IF(CL726&lt;=12*'🎚️ Escenario'!$C$11,1,1+$C$6))</f>
        <v>0</v>
      </c>
      <c r="CM728" s="237" t="n">
        <f aca="false">IF(CM726=0,0,IF(CM726&lt;=12*'🎚️ Escenario'!$C$11,1,1+$C$6))</f>
        <v>0</v>
      </c>
      <c r="CN728" s="237" t="n">
        <f aca="false">IF(CN726=0,0,IF(CN726&lt;=12*'🎚️ Escenario'!$C$11,1,1+$C$6))</f>
        <v>0</v>
      </c>
      <c r="CO728" s="237" t="n">
        <f aca="false">IF(CO726=0,0,IF(CO726&lt;=12*'🎚️ Escenario'!$C$11,1,1+$C$6))</f>
        <v>0</v>
      </c>
      <c r="CP728" s="237" t="n">
        <f aca="false">IF(CP726=0,0,IF(CP726&lt;=12*'🎚️ Escenario'!$C$11,1,1+$C$6))</f>
        <v>0</v>
      </c>
      <c r="CQ728" s="237" t="n">
        <f aca="false">IF(CQ726=0,0,IF(CQ726&lt;=12*'🎚️ Escenario'!$C$11,1,1+$C$6))</f>
        <v>0</v>
      </c>
      <c r="CR728" s="237" t="n">
        <f aca="false">IF(CR726=0,0,IF(CR726&lt;=12*'🎚️ Escenario'!$C$11,1,1+$C$6))</f>
        <v>0</v>
      </c>
      <c r="CS728" s="237" t="n">
        <f aca="false">IF(CS726=0,0,IF(CS726&lt;=12*'🎚️ Escenario'!$C$11,1,1+$C$6))</f>
        <v>0</v>
      </c>
      <c r="CT728" s="237" t="n">
        <f aca="false">IF(CT726=0,0,IF(CT726&lt;=12*'🎚️ Escenario'!$C$11,1,1+$C$6))</f>
        <v>0</v>
      </c>
      <c r="CU728" s="237" t="n">
        <f aca="false">IF(CU726=0,0,IF(CU726&lt;=12*'🎚️ Escenario'!$C$11,1,1+$C$6))</f>
        <v>0</v>
      </c>
      <c r="CV728" s="237" t="n">
        <f aca="false">IF(CV726=0,0,IF(CV726&lt;=12*'🎚️ Escenario'!$C$11,1,1+$C$6))</f>
        <v>0</v>
      </c>
      <c r="CW728" s="237" t="n">
        <f aca="false">IF(CW726=0,0,IF(CW726&lt;=12*'🎚️ Escenario'!$C$11,1,1+$C$6))</f>
        <v>0</v>
      </c>
      <c r="CX728" s="237" t="n">
        <f aca="false">IF(CX726=0,0,IF(CX726&lt;=12*'🎚️ Escenario'!$C$11,1,1+$C$6))</f>
        <v>0</v>
      </c>
      <c r="CY728" s="237" t="n">
        <f aca="false">IF(CY726=0,0,IF(CY726&lt;=12*'🎚️ Escenario'!$C$11,1,1+$C$6))</f>
        <v>0</v>
      </c>
      <c r="CZ728" s="237" t="n">
        <f aca="false">IF(CZ726=0,0,IF(CZ726&lt;=12*'🎚️ Escenario'!$C$11,1,1+$C$6))</f>
        <v>0</v>
      </c>
      <c r="DA728" s="237" t="n">
        <f aca="false">IF(DA726=0,0,IF(DA726&lt;=12*'🎚️ Escenario'!$C$11,1,1+$C$6))</f>
        <v>1</v>
      </c>
      <c r="DB728" s="237" t="n">
        <f aca="false">IF(DB726=0,0,IF(DB726&lt;=12*'🎚️ Escenario'!$C$11,1,1+$C$6))</f>
        <v>1</v>
      </c>
      <c r="DC728" s="237" t="n">
        <f aca="false">IF(DC726=0,0,IF(DC726&lt;=12*'🎚️ Escenario'!$C$11,1,1+$C$6))</f>
        <v>1</v>
      </c>
      <c r="DD728" s="237" t="n">
        <f aca="false">IF(DD726=0,0,IF(DD726&lt;=12*'🎚️ Escenario'!$C$11,1,1+$C$6))</f>
        <v>1</v>
      </c>
      <c r="DE728" s="237" t="n">
        <f aca="false">IF(DE726=0,0,IF(DE726&lt;=12*'🎚️ Escenario'!$C$11,1,1+$C$6))</f>
        <v>1</v>
      </c>
      <c r="DF728" s="237" t="n">
        <f aca="false">IF(DF726=0,0,IF(DF726&lt;=12*'🎚️ Escenario'!$C$11,1,1+$C$6))</f>
        <v>1</v>
      </c>
      <c r="DG728" s="237" t="n">
        <f aca="false">IF(DG726=0,0,IF(DG726&lt;=12*'🎚️ Escenario'!$C$11,1,1+$C$6))</f>
        <v>1</v>
      </c>
      <c r="DH728" s="237" t="n">
        <f aca="false">IF(DH726=0,0,IF(DH726&lt;=12*'🎚️ Escenario'!$C$11,1,1+$C$6))</f>
        <v>1</v>
      </c>
      <c r="DI728" s="237" t="n">
        <f aca="false">IF(DI726=0,0,IF(DI726&lt;=12*'🎚️ Escenario'!$C$11,1,1+$C$6))</f>
        <v>1</v>
      </c>
      <c r="DJ728" s="237" t="n">
        <f aca="false">IF(DJ726=0,0,IF(DJ726&lt;=12*'🎚️ Escenario'!$C$11,1,1+$C$6))</f>
        <v>1</v>
      </c>
      <c r="DK728" s="237" t="n">
        <f aca="false">IF(DK726=0,0,IF(DK726&lt;=12*'🎚️ Escenario'!$C$11,1,1+$C$6))</f>
        <v>1</v>
      </c>
      <c r="DL728" s="237" t="n">
        <f aca="false">IF(DL726=0,0,IF(DL726&lt;=12*'🎚️ Escenario'!$C$11,1,1+$C$6))</f>
        <v>1</v>
      </c>
      <c r="DM728" s="237" t="n">
        <f aca="false">IF(DM726=0,0,IF(DM726&lt;=12*'🎚️ Escenario'!$C$11,1,1+$C$6))</f>
        <v>1</v>
      </c>
      <c r="DN728" s="237" t="n">
        <f aca="false">IF(DN726=0,0,IF(DN726&lt;=12*'🎚️ Escenario'!$C$11,1,1+$C$6))</f>
        <v>1</v>
      </c>
      <c r="DO728" s="237" t="n">
        <f aca="false">IF(DO726=0,0,IF(DO726&lt;=12*'🎚️ Escenario'!$C$11,1,1+$C$6))</f>
        <v>1</v>
      </c>
      <c r="DP728" s="237" t="n">
        <f aca="false">IF(DP726=0,0,IF(DP726&lt;=12*'🎚️ Escenario'!$C$11,1,1+$C$6))</f>
        <v>1.2</v>
      </c>
      <c r="DQ728" s="237" t="n">
        <f aca="false">IF(DQ726=0,0,IF(DQ726&lt;=12*'🎚️ Escenario'!$C$11,1,1+$C$6))</f>
        <v>1.2</v>
      </c>
      <c r="DR728" s="237" t="n">
        <f aca="false">IF(DR726=0,0,IF(DR726&lt;=12*'🎚️ Escenario'!$C$11,1,1+$C$6))</f>
        <v>1.2</v>
      </c>
      <c r="DS728" s="237" t="n">
        <f aca="false">IF(DS726=0,0,IF(DS726&lt;=12*'🎚️ Escenario'!$C$11,1,1+$C$6))</f>
        <v>1.2</v>
      </c>
      <c r="DT728" s="237" t="n">
        <f aca="false">IF(DT726=0,0,IF(DT726&lt;=12*'🎚️ Escenario'!$C$11,1,1+$C$6))</f>
        <v>1.2</v>
      </c>
      <c r="DU728" s="237" t="n">
        <f aca="false">IF(DU726=0,0,IF(DU726&lt;=12*'🎚️ Escenario'!$C$11,1,1+$C$6))</f>
        <v>1.2</v>
      </c>
      <c r="DV728" s="237" t="n">
        <f aca="false">IF(DV726=0,0,IF(DV726&lt;=12*'🎚️ Escenario'!$C$11,1,1+$C$6))</f>
        <v>1.2</v>
      </c>
      <c r="DW728" s="237" t="n">
        <f aca="false">IF(DW726=0,0,IF(DW726&lt;=12*'🎚️ Escenario'!$C$11,1,1+$C$6))</f>
        <v>1.2</v>
      </c>
      <c r="DX728" s="237" t="n">
        <f aca="false">IF(DX726=0,0,IF(DX726&lt;=12*'🎚️ Escenario'!$C$11,1,1+$C$6))</f>
        <v>1.2</v>
      </c>
      <c r="DY728" s="237" t="n">
        <f aca="false">IF(DY726=0,0,IF(DY726&lt;=12*'🎚️ Escenario'!$C$11,1,1+$C$6))</f>
        <v>1.2</v>
      </c>
      <c r="DZ728" s="237" t="n">
        <f aca="false">IF(DZ726=0,0,IF(DZ726&lt;=12*'🎚️ Escenario'!$C$11,1,1+$C$6))</f>
        <v>1.2</v>
      </c>
      <c r="EA728" s="237" t="n">
        <f aca="false">IF(EA726=0,0,IF(EA726&lt;=12*'🎚️ Escenario'!$C$11,1,1+$C$6))</f>
        <v>1.2</v>
      </c>
      <c r="EB728" s="237" t="n">
        <f aca="false">IF(EB726=0,0,IF(EB726&lt;=12*'🎚️ Escenario'!$C$11,1,1+$C$6))</f>
        <v>1.2</v>
      </c>
      <c r="EC728" s="237" t="n">
        <f aca="false">IF(EC726=0,0,IF(EC726&lt;=12*'🎚️ Escenario'!$C$11,1,1+$C$6))</f>
        <v>1.2</v>
      </c>
      <c r="ED728" s="237" t="n">
        <f aca="false">IF(ED726=0,0,IF(ED726&lt;=12*'🎚️ Escenario'!$C$11,1,1+$C$6))</f>
        <v>1.2</v>
      </c>
      <c r="EE728" s="237" t="n">
        <f aca="false">IF(EE726=0,0,IF(EE726&lt;=12*'🎚️ Escenario'!$C$11,1,1+$C$6))</f>
        <v>1.2</v>
      </c>
      <c r="EF728" s="237" t="n">
        <f aca="false">IF(EF726=0,0,IF(EF726&lt;=12*'🎚️ Escenario'!$C$11,1,1+$C$6))</f>
        <v>1.2</v>
      </c>
      <c r="EG728" s="237" t="n">
        <f aca="false">IF(EG726=0,0,IF(EG726&lt;=12*'🎚️ Escenario'!$C$11,1,1+$C$6))</f>
        <v>1.2</v>
      </c>
      <c r="EH728" s="237" t="n">
        <f aca="false">IF(EH726=0,0,IF(EH726&lt;=12*'🎚️ Escenario'!$C$11,1,1+$C$6))</f>
        <v>1.2</v>
      </c>
      <c r="EI728" s="237" t="n">
        <f aca="false">IF(EI726=0,0,IF(EI726&lt;=12*'🎚️ Escenario'!$C$11,1,1+$C$6))</f>
        <v>1.2</v>
      </c>
      <c r="EJ728" s="237" t="n">
        <f aca="false">IF(EJ726=0,0,IF(EJ726&lt;=12*'🎚️ Escenario'!$C$11,1,1+$C$6))</f>
        <v>1.2</v>
      </c>
      <c r="EK728" s="237" t="n">
        <f aca="false">IF(EK726=0,0,IF(EK726&lt;=12*'🎚️ Escenario'!$C$11,1,1+$C$6))</f>
        <v>1.2</v>
      </c>
      <c r="EL728" s="237" t="n">
        <f aca="false">IF(EL726=0,0,IF(EL726&lt;=12*'🎚️ Escenario'!$C$11,1,1+$C$6))</f>
        <v>1.2</v>
      </c>
      <c r="EM728" s="237" t="n">
        <f aca="false">IF(EM726=0,0,IF(EM726&lt;=12*'🎚️ Escenario'!$C$11,1,1+$C$6))</f>
        <v>1.2</v>
      </c>
      <c r="EN728" s="237" t="n">
        <f aca="false">IF(EN726=0,0,IF(EN726&lt;=12*'🎚️ Escenario'!$C$11,1,1+$C$6))</f>
        <v>1.2</v>
      </c>
      <c r="EO728" s="237" t="n">
        <f aca="false">IF(EO726=0,0,IF(EO726&lt;=12*'🎚️ Escenario'!$C$11,1,1+$C$6))</f>
        <v>1.2</v>
      </c>
      <c r="EP728" s="237" t="n">
        <f aca="false">IF(EP726=0,0,IF(EP726&lt;=12*'🎚️ Escenario'!$C$11,1,1+$C$6))</f>
        <v>1.2</v>
      </c>
      <c r="EQ728" s="237" t="n">
        <f aca="false">IF(EQ726=0,0,IF(EQ726&lt;=12*'🎚️ Escenario'!$C$11,1,1+$C$6))</f>
        <v>1.2</v>
      </c>
      <c r="ER728" s="237" t="n">
        <f aca="false">IF(ER726=0,0,IF(ER726&lt;=12*'🎚️ Escenario'!$C$11,1,1+$C$6))</f>
        <v>1.2</v>
      </c>
      <c r="ES728" s="238" t="n">
        <f aca="false">IF(ES726=0,0,IF(ES726&lt;=12*'🎚️ Escenario'!$C$11,1,1+$C$6))</f>
        <v>1.2</v>
      </c>
      <c r="ET728" s="238" t="n">
        <f aca="false">IF(ET726=0,0,IF(ET726&lt;=12*'🎚️ Escenario'!$C$11,1,1+$C$6))</f>
        <v>1.2</v>
      </c>
      <c r="EU728" s="238" t="n">
        <f aca="false">IF(EU726=0,0,IF(EU726&lt;=12*'🎚️ Escenario'!$C$11,1,1+$C$6))</f>
        <v>1.2</v>
      </c>
      <c r="EV728" s="238" t="n">
        <f aca="false">IF(EV726=0,0,IF(EV726&lt;=12*'🎚️ Escenario'!$C$11,1,1+$C$6))</f>
        <v>1.2</v>
      </c>
      <c r="EW728" s="238" t="n">
        <f aca="false">IF(EW726=0,0,IF(EW726&lt;=12*'🎚️ Escenario'!$C$11,1,1+$C$6))</f>
        <v>1.2</v>
      </c>
      <c r="EX728" s="238" t="n">
        <f aca="false">IF(EX726=0,0,IF(EX726&lt;=12*'🎚️ Escenario'!$C$11,1,1+$C$6))</f>
        <v>1.2</v>
      </c>
      <c r="EY728" s="238" t="n">
        <f aca="false">IF(EY726=0,0,IF(EY726&lt;=12*'🎚️ Escenario'!$C$11,1,1+$C$6))</f>
        <v>1.2</v>
      </c>
      <c r="EZ728" s="238" t="n">
        <f aca="false">IF(EZ726=0,0,IF(EZ726&lt;=12*'🎚️ Escenario'!$C$11,1,1+$C$6))</f>
        <v>1.2</v>
      </c>
      <c r="FA728" s="238" t="n">
        <f aca="false">IF(FA726=0,0,IF(FA726&lt;=12*'🎚️ Escenario'!$C$11,1,1+$C$6))</f>
        <v>1.2</v>
      </c>
      <c r="FB728" s="238" t="n">
        <f aca="false">IF(FB726=0,0,IF(FB726&lt;=12*'🎚️ Escenario'!$C$11,1,1+$C$6))</f>
        <v>1.2</v>
      </c>
      <c r="FC728" s="238" t="n">
        <f aca="false">IF(FC726=0,0,IF(FC726&lt;=12*'🎚️ Escenario'!$C$11,1,1+$C$6))</f>
        <v>1.2</v>
      </c>
      <c r="FD728" s="238" t="n">
        <f aca="false">IF(FD726=0,0,IF(FD726&lt;=12*'🎚️ Escenario'!$C$11,1,1+$C$6))</f>
        <v>1.2</v>
      </c>
      <c r="FE728" s="238" t="n">
        <f aca="false">IF(FE726=0,0,IF(FE726&lt;=12*'🎚️ Escenario'!$C$11,1,1+$C$6))</f>
        <v>1.2</v>
      </c>
      <c r="FF728" s="238" t="n">
        <f aca="false">IF(FF726=0,0,IF(FF726&lt;=12*'🎚️ Escenario'!$C$11,1,1+$C$6))</f>
        <v>1.2</v>
      </c>
      <c r="FG728" s="238" t="n">
        <f aca="false">IF(FG726=0,0,IF(FG726&lt;=12*'🎚️ Escenario'!$C$11,1,1+$C$6))</f>
        <v>1.2</v>
      </c>
      <c r="FH728" s="238" t="n">
        <f aca="false">IF(FH726=0,0,IF(FH726&lt;=12*'🎚️ Escenario'!$C$11,1,1+$C$6))</f>
        <v>1.2</v>
      </c>
      <c r="FI728" s="238" t="n">
        <f aca="false">IF(FI726=0,0,IF(FI726&lt;=12*'🎚️ Escenario'!$C$11,1,1+$C$6))</f>
        <v>1.2</v>
      </c>
      <c r="FJ728" s="238" t="n">
        <f aca="false">IF(FJ726=0,0,IF(FJ726&lt;=12*'🎚️ Escenario'!$C$11,1,1+$C$6))</f>
        <v>1.2</v>
      </c>
      <c r="FK728" s="238" t="n">
        <f aca="false">IF(FK726=0,0,IF(FK726&lt;=12*'🎚️ Escenario'!$C$11,1,1+$C$6))</f>
        <v>1.2</v>
      </c>
      <c r="FL728" s="238" t="n">
        <f aca="false">IF(FL726=0,0,IF(FL726&lt;=12*'🎚️ Escenario'!$C$11,1,1+$C$6))</f>
        <v>1.2</v>
      </c>
      <c r="FM728" s="238" t="n">
        <f aca="false">IF(FM726=0,0,IF(FM726&lt;=12*'🎚️ Escenario'!$C$11,1,1+$C$6))</f>
        <v>1.2</v>
      </c>
      <c r="FN728" s="238" t="n">
        <f aca="false">IF(FN726=0,0,IF(FN726&lt;=12*'🎚️ Escenario'!$C$11,1,1+$C$6))</f>
        <v>1.2</v>
      </c>
      <c r="FO728" s="238" t="n">
        <f aca="false">IF(FO726=0,0,IF(FO726&lt;=12*'🎚️ Escenario'!$C$11,1,1+$C$6))</f>
        <v>1.2</v>
      </c>
      <c r="FP728" s="238" t="n">
        <f aca="false">IF(FP726=0,0,IF(FP726&lt;=12*'🎚️ Escenario'!$C$11,1,1+$C$6))</f>
        <v>1.2</v>
      </c>
    </row>
    <row r="729" customFormat="false" ht="15" hidden="false" customHeight="false" outlineLevel="2" collapsed="false">
      <c r="B729" s="9" t="s">
        <v>876</v>
      </c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36" t="n">
        <f aca="false">AC727*$AC$725*AC728*AC$38*'⑫ Roll-out Plan'!$O$77</f>
        <v>0</v>
      </c>
      <c r="AD729" s="36" t="n">
        <f aca="false">AD727*$AC$725*AD728*AD$38*'⑫ Roll-out Plan'!$O$77</f>
        <v>0</v>
      </c>
      <c r="AE729" s="36" t="n">
        <f aca="false">AE727*$AC$725*AE728*AE$38*'⑫ Roll-out Plan'!$O$77</f>
        <v>0</v>
      </c>
      <c r="AF729" s="36" t="n">
        <f aca="false">AF727*$AC$725*AF728*AF$38*'⑫ Roll-out Plan'!$O$77</f>
        <v>0</v>
      </c>
      <c r="AG729" s="36" t="n">
        <f aca="false">AG727*$AC$725*AG728*AG$38*'⑫ Roll-out Plan'!$O$77</f>
        <v>0</v>
      </c>
      <c r="AH729" s="36" t="n">
        <f aca="false">AH727*$AC$725*AH728*AH$38*'⑫ Roll-out Plan'!$O$77</f>
        <v>0</v>
      </c>
      <c r="AI729" s="36" t="n">
        <f aca="false">AI727*$AC$725*AI728*AI$38*'⑫ Roll-out Plan'!$O$77</f>
        <v>0</v>
      </c>
      <c r="AJ729" s="36" t="n">
        <f aca="false">AJ727*$AC$725*AJ728*AJ$38*'⑫ Roll-out Plan'!$O$77</f>
        <v>0</v>
      </c>
      <c r="AK729" s="36" t="n">
        <f aca="false">AK727*$AC$725*AK728*AK$38*'⑫ Roll-out Plan'!$O$77</f>
        <v>0</v>
      </c>
      <c r="AL729" s="36" t="n">
        <f aca="false">AL727*$AC$725*AL728*AL$38*'⑫ Roll-out Plan'!$O$77</f>
        <v>0</v>
      </c>
      <c r="AM729" s="36" t="n">
        <f aca="false">AM727*$AC$725*AM728*AM$38*'⑫ Roll-out Plan'!$O$77</f>
        <v>0</v>
      </c>
      <c r="AN729" s="36" t="n">
        <f aca="false">AN727*$AC$725*AN728*AN$38*'⑫ Roll-out Plan'!$O$77</f>
        <v>0</v>
      </c>
      <c r="AO729" s="36" t="n">
        <f aca="false">AO727*$AC$725*AO728*AO$38*'⑫ Roll-out Plan'!$O$77</f>
        <v>0</v>
      </c>
      <c r="AP729" s="36" t="n">
        <f aca="false">AP727*$AC$725*AP728*AP$38*'⑫ Roll-out Plan'!$O$77</f>
        <v>0</v>
      </c>
      <c r="AQ729" s="36" t="n">
        <f aca="false">AQ727*$AC$725*AQ728*AQ$38*'⑫ Roll-out Plan'!$O$77</f>
        <v>0</v>
      </c>
      <c r="AR729" s="36" t="n">
        <f aca="false">AR727*$AC$725*AR728*AR$38*'⑫ Roll-out Plan'!$O$77</f>
        <v>0</v>
      </c>
      <c r="AS729" s="36" t="n">
        <f aca="false">AS727*$AC$725*AS728*AS$38*'⑫ Roll-out Plan'!$O$77</f>
        <v>0</v>
      </c>
      <c r="AT729" s="36" t="n">
        <f aca="false">AT727*$AC$725*AT728*AT$38*'⑫ Roll-out Plan'!$O$77</f>
        <v>0</v>
      </c>
      <c r="AU729" s="36" t="n">
        <f aca="false">AU727*$AC$725*AU728*AU$38*'⑫ Roll-out Plan'!$O$77</f>
        <v>0</v>
      </c>
      <c r="AV729" s="36" t="n">
        <f aca="false">AV727*$AC$725*AV728*AV$38*'⑫ Roll-out Plan'!$O$77</f>
        <v>0</v>
      </c>
      <c r="AW729" s="36" t="n">
        <f aca="false">AW727*$AC$725*AW728*AW$38*'⑫ Roll-out Plan'!$O$77</f>
        <v>0</v>
      </c>
      <c r="AX729" s="36" t="n">
        <f aca="false">AX727*$AC$725*AX728*AX$38*'⑫ Roll-out Plan'!$O$77</f>
        <v>0</v>
      </c>
      <c r="AY729" s="36" t="n">
        <f aca="false">AY727*$AC$725*AY728*AY$38*'⑫ Roll-out Plan'!$O$77</f>
        <v>0</v>
      </c>
      <c r="AZ729" s="36" t="n">
        <f aca="false">AZ727*$AC$725*AZ728*AZ$38*'⑫ Roll-out Plan'!$O$77</f>
        <v>0</v>
      </c>
      <c r="BA729" s="36" t="n">
        <f aca="false">BA727*$AC$725*BA728*BA$38*'⑫ Roll-out Plan'!$O$77</f>
        <v>0</v>
      </c>
      <c r="BB729" s="36" t="n">
        <f aca="false">BB727*$AC$725*BB728*BB$38*'⑫ Roll-out Plan'!$O$77</f>
        <v>0</v>
      </c>
      <c r="BC729" s="36" t="n">
        <f aca="false">BC727*$AC$725*BC728*BC$38*'⑫ Roll-out Plan'!$O$77</f>
        <v>0</v>
      </c>
      <c r="BD729" s="36" t="n">
        <f aca="false">BD727*$AC$725*BD728*BD$38*'⑫ Roll-out Plan'!$O$77</f>
        <v>0</v>
      </c>
      <c r="BE729" s="36" t="n">
        <f aca="false">BE727*$AC$725*BE728*BE$38*'⑫ Roll-out Plan'!$O$77</f>
        <v>0</v>
      </c>
      <c r="BF729" s="36" t="n">
        <f aca="false">BF727*$AC$725*BF728*BF$38*'⑫ Roll-out Plan'!$O$77</f>
        <v>0</v>
      </c>
      <c r="BG729" s="36" t="n">
        <f aca="false">BG727*$AC$725*BG728*BG$38*'⑫ Roll-out Plan'!$O$77</f>
        <v>0</v>
      </c>
      <c r="BH729" s="36" t="n">
        <f aca="false">BH727*$AC$725*BH728*BH$38*'⑫ Roll-out Plan'!$O$77</f>
        <v>0</v>
      </c>
      <c r="BI729" s="36" t="n">
        <f aca="false">BI727*$AC$725*BI728*BI$38*'⑫ Roll-out Plan'!$O$77</f>
        <v>0</v>
      </c>
      <c r="BJ729" s="36" t="n">
        <f aca="false">BJ727*$AC$725*BJ728*BJ$38*'⑫ Roll-out Plan'!$O$77</f>
        <v>0</v>
      </c>
      <c r="BK729" s="36" t="n">
        <f aca="false">BK727*$AC$725*BK728*BK$38*'⑫ Roll-out Plan'!$O$77</f>
        <v>0</v>
      </c>
      <c r="BL729" s="36" t="n">
        <f aca="false">BL727*$AC$725*BL728*BL$38*'⑫ Roll-out Plan'!$O$77</f>
        <v>0</v>
      </c>
      <c r="BM729" s="36" t="n">
        <f aca="false">BM727*$AC$725*BM728*BM$38*'⑫ Roll-out Plan'!$O$77</f>
        <v>0</v>
      </c>
      <c r="BN729" s="36" t="n">
        <f aca="false">BN727*$AC$725*BN728*BN$38*'⑫ Roll-out Plan'!$O$77</f>
        <v>0</v>
      </c>
      <c r="BO729" s="36" t="n">
        <f aca="false">BO727*$AC$725*BO728*BO$38*'⑫ Roll-out Plan'!$O$77</f>
        <v>0</v>
      </c>
      <c r="BP729" s="36" t="n">
        <f aca="false">BP727*$AC$725*BP728*BP$38*'⑫ Roll-out Plan'!$O$77</f>
        <v>0</v>
      </c>
      <c r="BQ729" s="36" t="n">
        <f aca="false">BQ727*$AC$725*BQ728*BQ$38*'⑫ Roll-out Plan'!$O$77</f>
        <v>0</v>
      </c>
      <c r="BR729" s="36" t="n">
        <f aca="false">BR727*$AC$725*BR728*BR$38*'⑫ Roll-out Plan'!$O$77</f>
        <v>0</v>
      </c>
      <c r="BS729" s="36" t="n">
        <f aca="false">BS727*$AC$725*BS728*BS$38*'⑫ Roll-out Plan'!$O$77</f>
        <v>0</v>
      </c>
      <c r="BT729" s="36" t="n">
        <f aca="false">BT727*$AC$725*BT728*BT$38*'⑫ Roll-out Plan'!$O$77</f>
        <v>0</v>
      </c>
      <c r="BU729" s="36" t="n">
        <f aca="false">BU727*$AC$725*BU728*BU$38*'⑫ Roll-out Plan'!$O$77</f>
        <v>0</v>
      </c>
      <c r="BV729" s="36" t="n">
        <f aca="false">BV727*$AC$725*BV728*BV$38*'⑫ Roll-out Plan'!$O$77</f>
        <v>0</v>
      </c>
      <c r="BW729" s="36" t="n">
        <f aca="false">BW727*$AC$725*BW728*BW$38*'⑫ Roll-out Plan'!$O$77</f>
        <v>0</v>
      </c>
      <c r="BX729" s="36" t="n">
        <f aca="false">BX727*$AC$725*BX728*BX$38*'⑫ Roll-out Plan'!$O$77</f>
        <v>0</v>
      </c>
      <c r="BY729" s="36" t="n">
        <f aca="false">BY727*$AC$725*BY728*BY$38*'⑫ Roll-out Plan'!$O$77</f>
        <v>0</v>
      </c>
      <c r="BZ729" s="36" t="n">
        <f aca="false">BZ727*$AC$725*BZ728*BZ$38*'⑫ Roll-out Plan'!$O$77</f>
        <v>0</v>
      </c>
      <c r="CA729" s="36" t="n">
        <f aca="false">CA727*$AC$725*CA728*CA$38*'⑫ Roll-out Plan'!$O$77</f>
        <v>0</v>
      </c>
      <c r="CB729" s="36" t="n">
        <f aca="false">CB727*$AC$725*CB728*CB$38*'⑫ Roll-out Plan'!$O$77</f>
        <v>0</v>
      </c>
      <c r="CC729" s="36" t="n">
        <f aca="false">CC727*$AC$725*CC728*CC$38*'⑫ Roll-out Plan'!$O$77</f>
        <v>0</v>
      </c>
      <c r="CD729" s="36" t="n">
        <f aca="false">CD727*$AC$725*CD728*CD$38*'⑫ Roll-out Plan'!$O$77</f>
        <v>0</v>
      </c>
      <c r="CE729" s="36" t="n">
        <f aca="false">CE727*$AC$725*CE728*CE$38*'⑫ Roll-out Plan'!$O$77</f>
        <v>0</v>
      </c>
      <c r="CF729" s="36" t="n">
        <f aca="false">CF727*$AC$725*CF728*CF$38*'⑫ Roll-out Plan'!$O$77</f>
        <v>0</v>
      </c>
      <c r="CG729" s="36" t="n">
        <f aca="false">CG727*$AC$725*CG728*CG$38*'⑫ Roll-out Plan'!$O$77</f>
        <v>0</v>
      </c>
      <c r="CH729" s="36" t="n">
        <f aca="false">CH727*$AC$725*CH728*CH$38*'⑫ Roll-out Plan'!$O$77</f>
        <v>0</v>
      </c>
      <c r="CI729" s="36" t="n">
        <f aca="false">CI727*$AC$725*CI728*CI$38*'⑫ Roll-out Plan'!$O$77</f>
        <v>0</v>
      </c>
      <c r="CJ729" s="36" t="n">
        <f aca="false">CJ727*$AC$725*CJ728*CJ$38*'⑫ Roll-out Plan'!$O$77</f>
        <v>0</v>
      </c>
      <c r="CK729" s="36" t="n">
        <f aca="false">CK727*$AC$725*CK728*CK$38*'⑫ Roll-out Plan'!$O$77</f>
        <v>0</v>
      </c>
      <c r="CL729" s="36" t="n">
        <f aca="false">CL727*$AC$725*CL728*CL$38*'⑫ Roll-out Plan'!$O$77</f>
        <v>0</v>
      </c>
      <c r="CM729" s="36" t="n">
        <f aca="false">CM727*$AC$725*CM728*CM$38*'⑫ Roll-out Plan'!$O$77</f>
        <v>0</v>
      </c>
      <c r="CN729" s="36" t="n">
        <f aca="false">CN727*$AC$725*CN728*CN$38*'⑫ Roll-out Plan'!$O$77</f>
        <v>0</v>
      </c>
      <c r="CO729" s="36" t="n">
        <f aca="false">CO727*$AC$725*CO728*CO$38*'⑫ Roll-out Plan'!$O$77</f>
        <v>0</v>
      </c>
      <c r="CP729" s="36" t="n">
        <f aca="false">CP727*$AC$725*CP728*CP$38*'⑫ Roll-out Plan'!$O$77</f>
        <v>0</v>
      </c>
      <c r="CQ729" s="36" t="n">
        <f aca="false">CQ727*$AC$725*CQ728*CQ$38*'⑫ Roll-out Plan'!$O$77</f>
        <v>0</v>
      </c>
      <c r="CR729" s="36" t="n">
        <f aca="false">CR727*$AC$725*CR728*CR$38*'⑫ Roll-out Plan'!$O$77</f>
        <v>0</v>
      </c>
      <c r="CS729" s="36" t="n">
        <f aca="false">CS727*$AC$725*CS728*CS$38*'⑫ Roll-out Plan'!$O$77</f>
        <v>0</v>
      </c>
      <c r="CT729" s="36" t="n">
        <f aca="false">CT727*$AC$725*CT728*CT$38*'⑫ Roll-out Plan'!$O$77</f>
        <v>0</v>
      </c>
      <c r="CU729" s="36" t="n">
        <f aca="false">CU727*$AC$725*CU728*CU$38*'⑫ Roll-out Plan'!$O$77</f>
        <v>0</v>
      </c>
      <c r="CV729" s="36" t="n">
        <f aca="false">CV727*$AC$725*CV728*CV$38*'⑫ Roll-out Plan'!$O$77</f>
        <v>0</v>
      </c>
      <c r="CW729" s="36" t="n">
        <f aca="false">CW727*$AC$725*CW728*CW$38*'⑫ Roll-out Plan'!$O$77</f>
        <v>0</v>
      </c>
      <c r="CX729" s="36" t="n">
        <f aca="false">CX727*$AC$725*CX728*CX$38*'⑫ Roll-out Plan'!$O$77</f>
        <v>0</v>
      </c>
      <c r="CY729" s="36" t="n">
        <f aca="false">CY727*$AC$725*CY728*CY$38*'⑫ Roll-out Plan'!$O$77</f>
        <v>0</v>
      </c>
      <c r="CZ729" s="36" t="n">
        <f aca="false">CZ727*$AC$725*CZ728*CZ$38*'⑫ Roll-out Plan'!$O$77</f>
        <v>0</v>
      </c>
      <c r="DA729" s="36" t="n">
        <f aca="false">DA727*$AC$725*DA728*DA$38*'⑫ Roll-out Plan'!$O$77</f>
        <v>34.04</v>
      </c>
      <c r="DB729" s="36" t="n">
        <f aca="false">DB727*$AC$725*DB728*DB$38*'⑫ Roll-out Plan'!$O$77</f>
        <v>32.56</v>
      </c>
      <c r="DC729" s="36" t="n">
        <f aca="false">DC727*$AC$725*DC728*DC$38*'⑫ Roll-out Plan'!$O$77</f>
        <v>37.296</v>
      </c>
      <c r="DD729" s="36" t="n">
        <f aca="false">DD727*$AC$725*DD728*DD$38*'⑫ Roll-out Plan'!$O$77</f>
        <v>70.929</v>
      </c>
      <c r="DE729" s="36" t="n">
        <f aca="false">DE727*$AC$725*DE728*DE$38*'⑫ Roll-out Plan'!$O$77</f>
        <v>57.942</v>
      </c>
      <c r="DF729" s="36" t="n">
        <f aca="false">DF727*$AC$725*DF728*DF$38*'⑫ Roll-out Plan'!$O$77</f>
        <v>55.056</v>
      </c>
      <c r="DG729" s="36" t="n">
        <f aca="false">DG727*$AC$725*DG728*DG$38*'⑫ Roll-out Plan'!$O$77</f>
        <v>46.62</v>
      </c>
      <c r="DH729" s="36" t="n">
        <f aca="false">DH727*$AC$725*DH728*DH$38*'⑫ Roll-out Plan'!$O$77</f>
        <v>73.593</v>
      </c>
      <c r="DI729" s="36" t="n">
        <f aca="false">DI727*$AC$725*DI728*DI$38*'⑫ Roll-out Plan'!$O$77</f>
        <v>87.912</v>
      </c>
      <c r="DJ729" s="36" t="n">
        <f aca="false">DJ727*$AC$725*DJ728*DJ$38*'⑫ Roll-out Plan'!$O$77</f>
        <v>66.748</v>
      </c>
      <c r="DK729" s="36" t="n">
        <f aca="false">DK727*$AC$725*DK728*DK$38*'⑫ Roll-out Plan'!$O$77</f>
        <v>103.008</v>
      </c>
      <c r="DL729" s="36" t="n">
        <f aca="false">DL727*$AC$725*DL728*DL$38*'⑫ Roll-out Plan'!$O$77</f>
        <v>105.82</v>
      </c>
      <c r="DM729" s="36" t="n">
        <f aca="false">DM727*$AC$725*DM728*DM$38*'⑫ Roll-out Plan'!$O$77</f>
        <v>95.312</v>
      </c>
      <c r="DN729" s="36" t="n">
        <f aca="false">DN727*$AC$725*DN728*DN$38*'⑫ Roll-out Plan'!$O$77</f>
        <v>88.8</v>
      </c>
      <c r="DO729" s="36" t="n">
        <f aca="false">DO727*$AC$725*DO728*DO$38*'⑫ Roll-out Plan'!$O$77</f>
        <v>93.24</v>
      </c>
      <c r="DP729" s="36" t="n">
        <f aca="false">DP727*$AC$725*DP728*DP$38*'⑫ Roll-out Plan'!$O$77</f>
        <v>198.6012</v>
      </c>
      <c r="DQ729" s="36" t="n">
        <f aca="false">DQ727*$AC$725*DQ728*DQ$38*'⑫ Roll-out Plan'!$O$77</f>
        <v>169.9632</v>
      </c>
      <c r="DR729" s="36" t="n">
        <f aca="false">DR727*$AC$725*DR728*DR$38*'⑫ Roll-out Plan'!$O$77</f>
        <v>147.0528</v>
      </c>
      <c r="DS729" s="36" t="n">
        <f aca="false">DS727*$AC$725*DS728*DS$38*'⑫ Roll-out Plan'!$O$77</f>
        <v>113.4864</v>
      </c>
      <c r="DT729" s="36" t="n">
        <f aca="false">DT727*$AC$725*DT728*DT$38*'⑫ Roll-out Plan'!$O$77</f>
        <v>160.7724</v>
      </c>
      <c r="DU729" s="36" t="n">
        <f aca="false">DU727*$AC$725*DU728*DU$38*'⑫ Roll-out Plan'!$O$77</f>
        <v>175.0248</v>
      </c>
      <c r="DV729" s="36" t="n">
        <f aca="false">DV727*$AC$725*DV728*DV$38*'⑫ Roll-out Plan'!$O$77</f>
        <v>136.53</v>
      </c>
      <c r="DW729" s="36" t="n">
        <f aca="false">DW727*$AC$725*DW728*DW$38*'⑫ Roll-out Plan'!$O$77</f>
        <v>198.2904</v>
      </c>
      <c r="DX729" s="36" t="n">
        <f aca="false">DX727*$AC$725*DX728*DX$38*'⑫ Roll-out Plan'!$O$77</f>
        <v>192.918</v>
      </c>
      <c r="DY729" s="36" t="n">
        <f aca="false">DY727*$AC$725*DY728*DY$38*'⑫ Roll-out Plan'!$O$77</f>
        <v>161.3496</v>
      </c>
      <c r="DZ729" s="36" t="n">
        <f aca="false">DZ727*$AC$725*DZ728*DZ$38*'⑫ Roll-out Plan'!$O$77</f>
        <v>142.08</v>
      </c>
      <c r="EA729" s="36" t="n">
        <f aca="false">EA727*$AC$725*EA728*EA$38*'⑫ Roll-out Plan'!$O$77</f>
        <v>152.9136</v>
      </c>
      <c r="EB729" s="36" t="n">
        <f aca="false">EB727*$AC$725*EB728*EB$38*'⑫ Roll-out Plan'!$O$77</f>
        <v>264.8016</v>
      </c>
      <c r="EC729" s="36" t="n">
        <f aca="false">EC727*$AC$725*EC728*EC$38*'⑫ Roll-out Plan'!$O$77</f>
        <v>218.892</v>
      </c>
      <c r="ED729" s="36" t="n">
        <f aca="false">ED727*$AC$725*ED728*ED$38*'⑫ Roll-out Plan'!$O$77</f>
        <v>181.152</v>
      </c>
      <c r="EE729" s="36" t="n">
        <f aca="false">EE727*$AC$725*EE728*EE$38*'⑫ Roll-out Plan'!$O$77</f>
        <v>137.4624</v>
      </c>
      <c r="EF729" s="36" t="n">
        <f aca="false">EF727*$AC$725*EF728*EF$38*'⑫ Roll-out Plan'!$O$77</f>
        <v>199.2672</v>
      </c>
      <c r="EG729" s="36" t="n">
        <f aca="false">EG727*$AC$725*EG728*EG$38*'⑫ Roll-out Plan'!$O$77</f>
        <v>213.3864</v>
      </c>
      <c r="EH729" s="36" t="n">
        <f aca="false">EH727*$AC$725*EH728*EH$38*'⑫ Roll-out Plan'!$O$77</f>
        <v>163.836</v>
      </c>
      <c r="EI729" s="36" t="n">
        <f aca="false">EI727*$AC$725*EI728*EI$38*'⑫ Roll-out Plan'!$O$77</f>
        <v>231.768</v>
      </c>
      <c r="EJ729" s="36" t="n">
        <f aca="false">EJ727*$AC$725*EJ728*EJ$38*'⑫ Roll-out Plan'!$O$77</f>
        <v>224.664</v>
      </c>
      <c r="EK729" s="36" t="n">
        <f aca="false">EK727*$AC$725*EK728*EK$38*'⑫ Roll-out Plan'!$O$77</f>
        <v>189.9432</v>
      </c>
      <c r="EL729" s="36" t="n">
        <f aca="false">EL727*$AC$725*EL728*EL$38*'⑫ Roll-out Plan'!$O$77</f>
        <v>166.944</v>
      </c>
      <c r="EM729" s="36" t="n">
        <f aca="false">EM727*$AC$725*EM728*EM$38*'⑫ Roll-out Plan'!$O$77</f>
        <v>177.156</v>
      </c>
      <c r="EN729" s="36" t="n">
        <f aca="false">EN727*$AC$725*EN728*EN$38*'⑫ Roll-out Plan'!$O$77</f>
        <v>299.478</v>
      </c>
      <c r="EO729" s="36" t="n">
        <f aca="false">EO727*$AC$725*EO728*EO$38*'⑫ Roll-out Plan'!$O$77</f>
        <v>249.7944</v>
      </c>
      <c r="EP729" s="36" t="n">
        <f aca="false">EP727*$AC$725*EP728*EP$38*'⑫ Roll-out Plan'!$O$77</f>
        <v>208.8576</v>
      </c>
      <c r="EQ729" s="36" t="n">
        <f aca="false">EQ727*$AC$725*EQ728*EQ$38*'⑫ Roll-out Plan'!$O$77</f>
        <v>158.2416</v>
      </c>
      <c r="ER729" s="36" t="n">
        <f aca="false">ER727*$AC$725*ER728*ER$38*'⑫ Roll-out Plan'!$O$77</f>
        <v>226.44</v>
      </c>
      <c r="ES729" s="9" t="n">
        <f aca="false">ES727*$AC$725*ES728*ES$38*'⑫ Roll-out Plan'!$O$77</f>
        <v>239.76</v>
      </c>
      <c r="ET729" s="9" t="n">
        <f aca="false">ET727*$AC$725*ET728*ET$38*'⑫ Roll-out Plan'!$O$77</f>
        <v>182.04</v>
      </c>
      <c r="EU729" s="9" t="n">
        <f aca="false">EU727*$AC$725*EU728*EU$38*'⑫ Roll-out Plan'!$O$77</f>
        <v>257.52</v>
      </c>
      <c r="EV729" s="9" t="n">
        <f aca="false">EV727*$AC$725*EV728*EV$38*'⑫ Roll-out Plan'!$O$77</f>
        <v>244.2</v>
      </c>
      <c r="EW729" s="9" t="n">
        <f aca="false">EW727*$AC$725*EW728*EW$38*'⑫ Roll-out Plan'!$O$77</f>
        <v>204.24</v>
      </c>
      <c r="EX729" s="9" t="n">
        <f aca="false">EX727*$AC$725*EX728*EX$38*'⑫ Roll-out Plan'!$O$77</f>
        <v>177.6</v>
      </c>
      <c r="EY729" s="9" t="n">
        <f aca="false">EY727*$AC$725*EY728*EY$38*'⑫ Roll-out Plan'!$O$77</f>
        <v>186.48</v>
      </c>
      <c r="EZ729" s="9" t="n">
        <f aca="false">EZ727*$AC$725*EZ728*EZ$38*'⑫ Roll-out Plan'!$O$77</f>
        <v>315.24</v>
      </c>
      <c r="FA729" s="9" t="n">
        <f aca="false">FA727*$AC$725*FA728*FA$38*'⑫ Roll-out Plan'!$O$77</f>
        <v>257.52</v>
      </c>
      <c r="FB729" s="9" t="n">
        <f aca="false">FB727*$AC$725*FB728*FB$38*'⑫ Roll-out Plan'!$O$77</f>
        <v>213.12</v>
      </c>
      <c r="FC729" s="9" t="n">
        <f aca="false">FC727*$AC$725*FC728*FC$38*'⑫ Roll-out Plan'!$O$77</f>
        <v>159.84</v>
      </c>
      <c r="FD729" s="9" t="n">
        <f aca="false">FD727*$AC$725*FD728*FD$38*'⑫ Roll-out Plan'!$O$77</f>
        <v>226.44</v>
      </c>
      <c r="FE729" s="9" t="n">
        <f aca="false">FE727*$AC$725*FE728*FE$38*'⑫ Roll-out Plan'!$O$77</f>
        <v>239.76</v>
      </c>
      <c r="FF729" s="9" t="n">
        <f aca="false">FF727*$AC$725*FF728*FF$38*'⑫ Roll-out Plan'!$O$77</f>
        <v>182.04</v>
      </c>
      <c r="FG729" s="9" t="n">
        <f aca="false">FG727*$AC$725*FG728*FG$38*'⑫ Roll-out Plan'!$O$77</f>
        <v>257.52</v>
      </c>
      <c r="FH729" s="9" t="n">
        <f aca="false">FH727*$AC$725*FH728*FH$38*'⑫ Roll-out Plan'!$O$77</f>
        <v>244.2</v>
      </c>
      <c r="FI729" s="9" t="n">
        <f aca="false">FI727*$AC$725*FI728*FI$38*'⑫ Roll-out Plan'!$O$77</f>
        <v>204.24</v>
      </c>
      <c r="FJ729" s="9" t="n">
        <f aca="false">FJ727*$AC$725*FJ728*FJ$38*'⑫ Roll-out Plan'!$O$77</f>
        <v>177.6</v>
      </c>
      <c r="FK729" s="9" t="n">
        <f aca="false">FK727*$AC$725*FK728*FK$38*'⑫ Roll-out Plan'!$O$77</f>
        <v>186.48</v>
      </c>
      <c r="FL729" s="9" t="n">
        <f aca="false">FL727*$AC$725*FL728*FL$38*'⑫ Roll-out Plan'!$O$77</f>
        <v>315.24</v>
      </c>
      <c r="FM729" s="9" t="n">
        <f aca="false">FM727*$AC$725*FM728*FM$38*'⑫ Roll-out Plan'!$O$77</f>
        <v>257.52</v>
      </c>
      <c r="FN729" s="9" t="n">
        <f aca="false">FN727*$AC$725*FN728*FN$38*'⑫ Roll-out Plan'!$O$77</f>
        <v>213.12</v>
      </c>
      <c r="FO729" s="9" t="n">
        <f aca="false">FO727*$AC$725*FO728*FO$38*'⑫ Roll-out Plan'!$O$77</f>
        <v>159.84</v>
      </c>
      <c r="FP729" s="9" t="n">
        <f aca="false">FP727*$AC$725*FP728*FP$38*'⑫ Roll-out Plan'!$O$77</f>
        <v>226.44</v>
      </c>
    </row>
    <row r="730" customFormat="false" ht="15" hidden="false" customHeight="false" outlineLevel="2" collapsed="false">
      <c r="B730" s="9" t="s">
        <v>877</v>
      </c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112" t="n">
        <f aca="true">IFERROR(SUMPRODUCT(OFFSET($BJ$31,0,1-MIN(60,COLUMN()-29),1,MIN(60,COLUMN()-29)),OFFSET(AC729,0,-MIN(60,COLUMN()-29),1,MIN(60,COLUMN()-29))),0)</f>
        <v>0</v>
      </c>
      <c r="AD730" s="112" t="n">
        <f aca="true">IFERROR(SUMPRODUCT(OFFSET($BJ$31,0,1-MIN(60,COLUMN()-29),1,MIN(60,COLUMN()-29)),OFFSET(AD729,0,-MIN(60,COLUMN()-29),1,MIN(60,COLUMN()-29))),0)</f>
        <v>0</v>
      </c>
      <c r="AE730" s="112" t="n">
        <f aca="true">IFERROR(SUMPRODUCT(OFFSET($BJ$31,0,1-MIN(60,COLUMN()-29),1,MIN(60,COLUMN()-29)),OFFSET(AE729,0,-MIN(60,COLUMN()-29),1,MIN(60,COLUMN()-29))),0)</f>
        <v>0</v>
      </c>
      <c r="AF730" s="112" t="n">
        <f aca="true">IFERROR(SUMPRODUCT(OFFSET($BJ$31,0,1-MIN(60,COLUMN()-29),1,MIN(60,COLUMN()-29)),OFFSET(AF729,0,-MIN(60,COLUMN()-29),1,MIN(60,COLUMN()-29))),0)</f>
        <v>0</v>
      </c>
      <c r="AG730" s="112" t="n">
        <f aca="true">IFERROR(SUMPRODUCT(OFFSET($BJ$31,0,1-MIN(60,COLUMN()-29),1,MIN(60,COLUMN()-29)),OFFSET(AG729,0,-MIN(60,COLUMN()-29),1,MIN(60,COLUMN()-29))),0)</f>
        <v>0</v>
      </c>
      <c r="AH730" s="112" t="n">
        <f aca="true">IFERROR(SUMPRODUCT(OFFSET($BJ$31,0,1-MIN(60,COLUMN()-29),1,MIN(60,COLUMN()-29)),OFFSET(AH729,0,-MIN(60,COLUMN()-29),1,MIN(60,COLUMN()-29))),0)</f>
        <v>0</v>
      </c>
      <c r="AI730" s="112" t="n">
        <f aca="true">IFERROR(SUMPRODUCT(OFFSET($BJ$31,0,1-MIN(60,COLUMN()-29),1,MIN(60,COLUMN()-29)),OFFSET(AI729,0,-MIN(60,COLUMN()-29),1,MIN(60,COLUMN()-29))),0)</f>
        <v>0</v>
      </c>
      <c r="AJ730" s="112" t="n">
        <f aca="true">IFERROR(SUMPRODUCT(OFFSET($BJ$31,0,1-MIN(60,COLUMN()-29),1,MIN(60,COLUMN()-29)),OFFSET(AJ729,0,-MIN(60,COLUMN()-29),1,MIN(60,COLUMN()-29))),0)</f>
        <v>0</v>
      </c>
      <c r="AK730" s="112" t="n">
        <f aca="true">IFERROR(SUMPRODUCT(OFFSET($BJ$31,0,1-MIN(60,COLUMN()-29),1,MIN(60,COLUMN()-29)),OFFSET(AK729,0,-MIN(60,COLUMN()-29),1,MIN(60,COLUMN()-29))),0)</f>
        <v>0</v>
      </c>
      <c r="AL730" s="112" t="n">
        <f aca="true">IFERROR(SUMPRODUCT(OFFSET($BJ$31,0,1-MIN(60,COLUMN()-29),1,MIN(60,COLUMN()-29)),OFFSET(AL729,0,-MIN(60,COLUMN()-29),1,MIN(60,COLUMN()-29))),0)</f>
        <v>0</v>
      </c>
      <c r="AM730" s="112" t="n">
        <f aca="true">IFERROR(SUMPRODUCT(OFFSET($BJ$31,0,1-MIN(60,COLUMN()-29),1,MIN(60,COLUMN()-29)),OFFSET(AM729,0,-MIN(60,COLUMN()-29),1,MIN(60,COLUMN()-29))),0)</f>
        <v>0</v>
      </c>
      <c r="AN730" s="239" t="n">
        <f aca="true">IFERROR(SUMPRODUCT(OFFSET($BJ$31,0,1-MIN(60,COLUMN()-29),1,MIN(60,COLUMN()-29)),OFFSET(AN729,0,-MIN(60,COLUMN()-29),1,MIN(60,COLUMN()-29))),0)</f>
        <v>0</v>
      </c>
      <c r="AO730" s="112" t="n">
        <f aca="true">IFERROR(SUMPRODUCT(OFFSET($BJ$31,0,1-MIN(60,COLUMN()-29),1,MIN(60,COLUMN()-29)),OFFSET(AO729,0,-MIN(60,COLUMN()-29),1,MIN(60,COLUMN()-29))),0)</f>
        <v>0</v>
      </c>
      <c r="AP730" s="112" t="n">
        <f aca="true">IFERROR(SUMPRODUCT(OFFSET($BJ$31,0,1-MIN(60,COLUMN()-29),1,MIN(60,COLUMN()-29)),OFFSET(AP729,0,-MIN(60,COLUMN()-29),1,MIN(60,COLUMN()-29))),0)</f>
        <v>0</v>
      </c>
      <c r="AQ730" s="112" t="n">
        <f aca="true">IFERROR(SUMPRODUCT(OFFSET($BJ$31,0,1-MIN(60,COLUMN()-29),1,MIN(60,COLUMN()-29)),OFFSET(AQ729,0,-MIN(60,COLUMN()-29),1,MIN(60,COLUMN()-29))),0)</f>
        <v>0</v>
      </c>
      <c r="AR730" s="112" t="n">
        <f aca="true">IFERROR(SUMPRODUCT(OFFSET($BJ$31,0,1-MIN(60,COLUMN()-29),1,MIN(60,COLUMN()-29)),OFFSET(AR729,0,-MIN(60,COLUMN()-29),1,MIN(60,COLUMN()-29))),0)</f>
        <v>0</v>
      </c>
      <c r="AS730" s="112" t="n">
        <f aca="true">IFERROR(SUMPRODUCT(OFFSET($BJ$31,0,1-MIN(60,COLUMN()-29),1,MIN(60,COLUMN()-29)),OFFSET(AS729,0,-MIN(60,COLUMN()-29),1,MIN(60,COLUMN()-29))),0)</f>
        <v>0</v>
      </c>
      <c r="AT730" s="112" t="n">
        <f aca="true">IFERROR(SUMPRODUCT(OFFSET($BJ$31,0,1-MIN(60,COLUMN()-29),1,MIN(60,COLUMN()-29)),OFFSET(AT729,0,-MIN(60,COLUMN()-29),1,MIN(60,COLUMN()-29))),0)</f>
        <v>0</v>
      </c>
      <c r="AU730" s="112" t="n">
        <f aca="true">IFERROR(SUMPRODUCT(OFFSET($BJ$31,0,1-MIN(60,COLUMN()-29),1,MIN(60,COLUMN()-29)),OFFSET(AU729,0,-MIN(60,COLUMN()-29),1,MIN(60,COLUMN()-29))),0)</f>
        <v>0</v>
      </c>
      <c r="AV730" s="112" t="n">
        <f aca="true">IFERROR(SUMPRODUCT(OFFSET($BJ$31,0,1-MIN(60,COLUMN()-29),1,MIN(60,COLUMN()-29)),OFFSET(AV729,0,-MIN(60,COLUMN()-29),1,MIN(60,COLUMN()-29))),0)</f>
        <v>0</v>
      </c>
      <c r="AW730" s="112" t="n">
        <f aca="true">IFERROR(SUMPRODUCT(OFFSET($BJ$31,0,1-MIN(60,COLUMN()-29),1,MIN(60,COLUMN()-29)),OFFSET(AW729,0,-MIN(60,COLUMN()-29),1,MIN(60,COLUMN()-29))),0)</f>
        <v>0</v>
      </c>
      <c r="AX730" s="112" t="n">
        <f aca="true">IFERROR(SUMPRODUCT(OFFSET($BJ$31,0,1-MIN(60,COLUMN()-29),1,MIN(60,COLUMN()-29)),OFFSET(AX729,0,-MIN(60,COLUMN()-29),1,MIN(60,COLUMN()-29))),0)</f>
        <v>0</v>
      </c>
      <c r="AY730" s="112" t="n">
        <f aca="true">IFERROR(SUMPRODUCT(OFFSET($BJ$31,0,1-MIN(60,COLUMN()-29),1,MIN(60,COLUMN()-29)),OFFSET(AY729,0,-MIN(60,COLUMN()-29),1,MIN(60,COLUMN()-29))),0)</f>
        <v>0</v>
      </c>
      <c r="AZ730" s="112" t="n">
        <f aca="true">IFERROR(SUMPRODUCT(OFFSET($BJ$31,0,1-MIN(60,COLUMN()-29),1,MIN(60,COLUMN()-29)),OFFSET(AZ729,0,-MIN(60,COLUMN()-29),1,MIN(60,COLUMN()-29))),0)</f>
        <v>0</v>
      </c>
      <c r="BA730" s="112" t="n">
        <f aca="true">IFERROR(SUMPRODUCT(OFFSET($BJ$31,0,1-MIN(60,COLUMN()-29),1,MIN(60,COLUMN()-29)),OFFSET(BA729,0,-MIN(60,COLUMN()-29),1,MIN(60,COLUMN()-29))),0)</f>
        <v>0</v>
      </c>
      <c r="BB730" s="112" t="n">
        <f aca="true">IFERROR(SUMPRODUCT(OFFSET($BJ$31,0,1-MIN(60,COLUMN()-29),1,MIN(60,COLUMN()-29)),OFFSET(BB729,0,-MIN(60,COLUMN()-29),1,MIN(60,COLUMN()-29))),0)</f>
        <v>0</v>
      </c>
      <c r="BC730" s="112" t="n">
        <f aca="true">IFERROR(SUMPRODUCT(OFFSET($BJ$31,0,1-MIN(60,COLUMN()-29),1,MIN(60,COLUMN()-29)),OFFSET(BC729,0,-MIN(60,COLUMN()-29),1,MIN(60,COLUMN()-29))),0)</f>
        <v>0</v>
      </c>
      <c r="BD730" s="112" t="n">
        <f aca="true">IFERROR(SUMPRODUCT(OFFSET($BJ$31,0,1-MIN(60,COLUMN()-29),1,MIN(60,COLUMN()-29)),OFFSET(BD729,0,-MIN(60,COLUMN()-29),1,MIN(60,COLUMN()-29))),0)</f>
        <v>0</v>
      </c>
      <c r="BE730" s="112" t="n">
        <f aca="true">IFERROR(SUMPRODUCT(OFFSET($BJ$31,0,1-MIN(60,COLUMN()-29),1,MIN(60,COLUMN()-29)),OFFSET(BE729,0,-MIN(60,COLUMN()-29),1,MIN(60,COLUMN()-29))),0)</f>
        <v>0</v>
      </c>
      <c r="BF730" s="112" t="n">
        <f aca="true">IFERROR(SUMPRODUCT(OFFSET($BJ$31,0,1-MIN(60,COLUMN()-29),1,MIN(60,COLUMN()-29)),OFFSET(BF729,0,-MIN(60,COLUMN()-29),1,MIN(60,COLUMN()-29))),0)</f>
        <v>0</v>
      </c>
      <c r="BG730" s="112" t="n">
        <f aca="true">IFERROR(SUMPRODUCT(OFFSET($BJ$31,0,1-MIN(60,COLUMN()-29),1,MIN(60,COLUMN()-29)),OFFSET(BG729,0,-MIN(60,COLUMN()-29),1,MIN(60,COLUMN()-29))),0)</f>
        <v>0</v>
      </c>
      <c r="BH730" s="112" t="n">
        <f aca="true">IFERROR(SUMPRODUCT(OFFSET($BJ$31,0,1-MIN(60,COLUMN()-29),1,MIN(60,COLUMN()-29)),OFFSET(BH729,0,-MIN(60,COLUMN()-29),1,MIN(60,COLUMN()-29))),0)</f>
        <v>0</v>
      </c>
      <c r="BI730" s="112" t="n">
        <f aca="true">IFERROR(SUMPRODUCT(OFFSET($BJ$31,0,1-MIN(60,COLUMN()-29),1,MIN(60,COLUMN()-29)),OFFSET(BI729,0,-MIN(60,COLUMN()-29),1,MIN(60,COLUMN()-29))),0)</f>
        <v>0</v>
      </c>
      <c r="BJ730" s="112" t="n">
        <f aca="true">IFERROR(SUMPRODUCT(OFFSET($BJ$31,0,1-MIN(60,COLUMN()-29),1,MIN(60,COLUMN()-29)),OFFSET(BJ729,0,-MIN(60,COLUMN()-29),1,MIN(60,COLUMN()-29))),0)</f>
        <v>0</v>
      </c>
      <c r="BK730" s="112" t="n">
        <f aca="true">IFERROR(SUMPRODUCT(OFFSET($BJ$31,0,1-MIN(60,COLUMN()-29),1,MIN(60,COLUMN()-29)),OFFSET(BK729,0,-MIN(60,COLUMN()-29),1,MIN(60,COLUMN()-29))),0)</f>
        <v>0</v>
      </c>
      <c r="BL730" s="112" t="n">
        <f aca="true">IFERROR(SUMPRODUCT(OFFSET($BJ$31,0,1-MIN(60,COLUMN()-29),1,MIN(60,COLUMN()-29)),OFFSET(BL729,0,-MIN(60,COLUMN()-29),1,MIN(60,COLUMN()-29))),0)</f>
        <v>0</v>
      </c>
      <c r="BM730" s="112" t="n">
        <f aca="true">IFERROR(SUMPRODUCT(OFFSET($BJ$31,0,1-MIN(60,COLUMN()-29),1,MIN(60,COLUMN()-29)),OFFSET(BM729,0,-MIN(60,COLUMN()-29),1,MIN(60,COLUMN()-29))),0)</f>
        <v>0</v>
      </c>
      <c r="BN730" s="112" t="n">
        <f aca="true">IFERROR(SUMPRODUCT(OFFSET($BJ$31,0,1-MIN(60,COLUMN()-29),1,MIN(60,COLUMN()-29)),OFFSET(BN729,0,-MIN(60,COLUMN()-29),1,MIN(60,COLUMN()-29))),0)</f>
        <v>0</v>
      </c>
      <c r="BO730" s="112" t="n">
        <f aca="true">IFERROR(SUMPRODUCT(OFFSET($BJ$31,0,1-MIN(60,COLUMN()-29),1,MIN(60,COLUMN()-29)),OFFSET(BO729,0,-MIN(60,COLUMN()-29),1,MIN(60,COLUMN()-29))),0)</f>
        <v>0</v>
      </c>
      <c r="BP730" s="112" t="n">
        <f aca="true">IFERROR(SUMPRODUCT(OFFSET($BJ$31,0,1-MIN(60,COLUMN()-29),1,MIN(60,COLUMN()-29)),OFFSET(BP729,0,-MIN(60,COLUMN()-29),1,MIN(60,COLUMN()-29))),0)</f>
        <v>0</v>
      </c>
      <c r="BQ730" s="112" t="n">
        <f aca="true">IFERROR(SUMPRODUCT(OFFSET($BJ$31,0,1-MIN(60,COLUMN()-29),1,MIN(60,COLUMN()-29)),OFFSET(BQ729,0,-MIN(60,COLUMN()-29),1,MIN(60,COLUMN()-29))),0)</f>
        <v>0</v>
      </c>
      <c r="BR730" s="112" t="n">
        <f aca="true">IFERROR(SUMPRODUCT(OFFSET($BJ$31,0,1-MIN(60,COLUMN()-29),1,MIN(60,COLUMN()-29)),OFFSET(BR729,0,-MIN(60,COLUMN()-29),1,MIN(60,COLUMN()-29))),0)</f>
        <v>0</v>
      </c>
      <c r="BS730" s="112" t="n">
        <f aca="true">IFERROR(SUMPRODUCT(OFFSET($BJ$31,0,1-MIN(60,COLUMN()-29),1,MIN(60,COLUMN()-29)),OFFSET(BS729,0,-MIN(60,COLUMN()-29),1,MIN(60,COLUMN()-29))),0)</f>
        <v>0</v>
      </c>
      <c r="BT730" s="112" t="n">
        <f aca="true">IFERROR(SUMPRODUCT(OFFSET($BJ$31,0,1-MIN(60,COLUMN()-29),1,MIN(60,COLUMN()-29)),OFFSET(BT729,0,-MIN(60,COLUMN()-29),1,MIN(60,COLUMN()-29))),0)</f>
        <v>0</v>
      </c>
      <c r="BU730" s="112" t="n">
        <f aca="true">IFERROR(SUMPRODUCT(OFFSET($BJ$31,0,1-MIN(60,COLUMN()-29),1,MIN(60,COLUMN()-29)),OFFSET(BU729,0,-MIN(60,COLUMN()-29),1,MIN(60,COLUMN()-29))),0)</f>
        <v>0</v>
      </c>
      <c r="BV730" s="112" t="n">
        <f aca="true">IFERROR(SUMPRODUCT(OFFSET($BJ$31,0,1-MIN(60,COLUMN()-29),1,MIN(60,COLUMN()-29)),OFFSET(BV729,0,-MIN(60,COLUMN()-29),1,MIN(60,COLUMN()-29))),0)</f>
        <v>0</v>
      </c>
      <c r="BW730" s="112" t="n">
        <f aca="true">IFERROR(SUMPRODUCT(OFFSET($BJ$31,0,1-MIN(60,COLUMN()-29),1,MIN(60,COLUMN()-29)),OFFSET(BW729,0,-MIN(60,COLUMN()-29),1,MIN(60,COLUMN()-29))),0)</f>
        <v>0</v>
      </c>
      <c r="BX730" s="112" t="n">
        <f aca="true">IFERROR(SUMPRODUCT(OFFSET($BJ$31,0,1-MIN(60,COLUMN()-29),1,MIN(60,COLUMN()-29)),OFFSET(BX729,0,-MIN(60,COLUMN()-29),1,MIN(60,COLUMN()-29))),0)</f>
        <v>0</v>
      </c>
      <c r="BY730" s="112" t="n">
        <f aca="true">IFERROR(SUMPRODUCT(OFFSET($BJ$31,0,1-MIN(60,COLUMN()-29),1,MIN(60,COLUMN()-29)),OFFSET(BY729,0,-MIN(60,COLUMN()-29),1,MIN(60,COLUMN()-29))),0)</f>
        <v>0</v>
      </c>
      <c r="BZ730" s="112" t="n">
        <f aca="true">IFERROR(SUMPRODUCT(OFFSET($BJ$31,0,1-MIN(60,COLUMN()-29),1,MIN(60,COLUMN()-29)),OFFSET(BZ729,0,-MIN(60,COLUMN()-29),1,MIN(60,COLUMN()-29))),0)</f>
        <v>0</v>
      </c>
      <c r="CA730" s="112" t="n">
        <f aca="true">IFERROR(SUMPRODUCT(OFFSET($BJ$31,0,1-MIN(60,COLUMN()-29),1,MIN(60,COLUMN()-29)),OFFSET(CA729,0,-MIN(60,COLUMN()-29),1,MIN(60,COLUMN()-29))),0)</f>
        <v>0</v>
      </c>
      <c r="CB730" s="112" t="n">
        <f aca="true">IFERROR(SUMPRODUCT(OFFSET($BJ$31,0,1-MIN(60,COLUMN()-29),1,MIN(60,COLUMN()-29)),OFFSET(CB729,0,-MIN(60,COLUMN()-29),1,MIN(60,COLUMN()-29))),0)</f>
        <v>0</v>
      </c>
      <c r="CC730" s="112" t="n">
        <f aca="true">IFERROR(SUMPRODUCT(OFFSET($BJ$31,0,1-MIN(60,COLUMN()-29),1,MIN(60,COLUMN()-29)),OFFSET(CC729,0,-MIN(60,COLUMN()-29),1,MIN(60,COLUMN()-29))),0)</f>
        <v>0</v>
      </c>
      <c r="CD730" s="112" t="n">
        <f aca="true">IFERROR(SUMPRODUCT(OFFSET($BJ$31,0,1-MIN(60,COLUMN()-29),1,MIN(60,COLUMN()-29)),OFFSET(CD729,0,-MIN(60,COLUMN()-29),1,MIN(60,COLUMN()-29))),0)</f>
        <v>0</v>
      </c>
      <c r="CE730" s="112" t="n">
        <f aca="true">IFERROR(SUMPRODUCT(OFFSET($BJ$31,0,1-MIN(60,COLUMN()-29),1,MIN(60,COLUMN()-29)),OFFSET(CE729,0,-MIN(60,COLUMN()-29),1,MIN(60,COLUMN()-29))),0)</f>
        <v>0</v>
      </c>
      <c r="CF730" s="112" t="n">
        <f aca="true">IFERROR(SUMPRODUCT(OFFSET($BJ$31,0,1-MIN(60,COLUMN()-29),1,MIN(60,COLUMN()-29)),OFFSET(CF729,0,-MIN(60,COLUMN()-29),1,MIN(60,COLUMN()-29))),0)</f>
        <v>0</v>
      </c>
      <c r="CG730" s="112" t="n">
        <f aca="true">IFERROR(SUMPRODUCT(OFFSET($BJ$31,0,1-MIN(60,COLUMN()-29),1,MIN(60,COLUMN()-29)),OFFSET(CG729,0,-MIN(60,COLUMN()-29),1,MIN(60,COLUMN()-29))),0)</f>
        <v>0</v>
      </c>
      <c r="CH730" s="112" t="n">
        <f aca="true">IFERROR(SUMPRODUCT(OFFSET($BJ$31,0,1-MIN(60,COLUMN()-29),1,MIN(60,COLUMN()-29)),OFFSET(CH729,0,-MIN(60,COLUMN()-29),1,MIN(60,COLUMN()-29))),0)</f>
        <v>0</v>
      </c>
      <c r="CI730" s="112" t="n">
        <f aca="true">IFERROR(SUMPRODUCT(OFFSET($BJ$31,0,1-MIN(60,COLUMN()-29),1,MIN(60,COLUMN()-29)),OFFSET(CI729,0,-MIN(60,COLUMN()-29),1,MIN(60,COLUMN()-29))),0)</f>
        <v>0</v>
      </c>
      <c r="CJ730" s="112" t="n">
        <f aca="true">IFERROR(SUMPRODUCT(OFFSET($BJ$31,0,1-MIN(60,COLUMN()-29),1,MIN(60,COLUMN()-29)),OFFSET(CJ729,0,-MIN(60,COLUMN()-29),1,MIN(60,COLUMN()-29))),0)</f>
        <v>0</v>
      </c>
      <c r="CK730" s="112" t="n">
        <f aca="true">IFERROR(SUMPRODUCT(OFFSET($BJ$31,0,1-MIN(60,COLUMN()-29),1,MIN(60,COLUMN()-29)),OFFSET(CK729,0,-MIN(60,COLUMN()-29),1,MIN(60,COLUMN()-29))),0)</f>
        <v>0</v>
      </c>
      <c r="CL730" s="112" t="n">
        <f aca="true">IFERROR(SUMPRODUCT(OFFSET($BJ$31,0,1-MIN(60,COLUMN()-29),1,MIN(60,COLUMN()-29)),OFFSET(CL729,0,-MIN(60,COLUMN()-29),1,MIN(60,COLUMN()-29))),0)</f>
        <v>0</v>
      </c>
      <c r="CM730" s="112" t="n">
        <f aca="true">IFERROR(SUMPRODUCT(OFFSET($BJ$31,0,1-MIN(60,COLUMN()-29),1,MIN(60,COLUMN()-29)),OFFSET(CM729,0,-MIN(60,COLUMN()-29),1,MIN(60,COLUMN()-29))),0)</f>
        <v>0</v>
      </c>
      <c r="CN730" s="112" t="n">
        <f aca="true">IFERROR(SUMPRODUCT(OFFSET($BJ$31,0,1-MIN(60,COLUMN()-29),1,MIN(60,COLUMN()-29)),OFFSET(CN729,0,-MIN(60,COLUMN()-29),1,MIN(60,COLUMN()-29))),0)</f>
        <v>0</v>
      </c>
      <c r="CO730" s="112" t="n">
        <f aca="true">IFERROR(SUMPRODUCT(OFFSET($BJ$31,0,1-MIN(60,COLUMN()-29),1,MIN(60,COLUMN()-29)),OFFSET(CO729,0,-MIN(60,COLUMN()-29),1,MIN(60,COLUMN()-29))),0)</f>
        <v>0</v>
      </c>
      <c r="CP730" s="112" t="n">
        <f aca="true">IFERROR(SUMPRODUCT(OFFSET($BJ$31,0,1-MIN(60,COLUMN()-29),1,MIN(60,COLUMN()-29)),OFFSET(CP729,0,-MIN(60,COLUMN()-29),1,MIN(60,COLUMN()-29))),0)</f>
        <v>0</v>
      </c>
      <c r="CQ730" s="112" t="n">
        <f aca="true">IFERROR(SUMPRODUCT(OFFSET($BJ$31,0,1-MIN(60,COLUMN()-29),1,MIN(60,COLUMN()-29)),OFFSET(CQ729,0,-MIN(60,COLUMN()-29),1,MIN(60,COLUMN()-29))),0)</f>
        <v>0</v>
      </c>
      <c r="CR730" s="112" t="n">
        <f aca="true">IFERROR(SUMPRODUCT(OFFSET($BJ$31,0,1-MIN(60,COLUMN()-29),1,MIN(60,COLUMN()-29)),OFFSET(CR729,0,-MIN(60,COLUMN()-29),1,MIN(60,COLUMN()-29))),0)</f>
        <v>0</v>
      </c>
      <c r="CS730" s="112" t="n">
        <f aca="true">IFERROR(SUMPRODUCT(OFFSET($BJ$31,0,1-MIN(60,COLUMN()-29),1,MIN(60,COLUMN()-29)),OFFSET(CS729,0,-MIN(60,COLUMN()-29),1,MIN(60,COLUMN()-29))),0)</f>
        <v>0</v>
      </c>
      <c r="CT730" s="112" t="n">
        <f aca="true">IFERROR(SUMPRODUCT(OFFSET($BJ$31,0,1-MIN(60,COLUMN()-29),1,MIN(60,COLUMN()-29)),OFFSET(CT729,0,-MIN(60,COLUMN()-29),1,MIN(60,COLUMN()-29))),0)</f>
        <v>0</v>
      </c>
      <c r="CU730" s="112" t="n">
        <f aca="true">IFERROR(SUMPRODUCT(OFFSET($BJ$31,0,1-MIN(60,COLUMN()-29),1,MIN(60,COLUMN()-29)),OFFSET(CU729,0,-MIN(60,COLUMN()-29),1,MIN(60,COLUMN()-29))),0)</f>
        <v>0</v>
      </c>
      <c r="CV730" s="112" t="n">
        <f aca="true">IFERROR(SUMPRODUCT(OFFSET($BJ$31,0,1-MIN(60,COLUMN()-29),1,MIN(60,COLUMN()-29)),OFFSET(CV729,0,-MIN(60,COLUMN()-29),1,MIN(60,COLUMN()-29))),0)</f>
        <v>0</v>
      </c>
      <c r="CW730" s="112" t="n">
        <f aca="true">IFERROR(SUMPRODUCT(OFFSET($BJ$31,0,1-MIN(60,COLUMN()-29),1,MIN(60,COLUMN()-29)),OFFSET(CW729,0,-MIN(60,COLUMN()-29),1,MIN(60,COLUMN()-29))),0)</f>
        <v>0</v>
      </c>
      <c r="CX730" s="112" t="n">
        <f aca="true">IFERROR(SUMPRODUCT(OFFSET($BJ$31,0,1-MIN(60,COLUMN()-29),1,MIN(60,COLUMN()-29)),OFFSET(CX729,0,-MIN(60,COLUMN()-29),1,MIN(60,COLUMN()-29))),0)</f>
        <v>0</v>
      </c>
      <c r="CY730" s="112" t="n">
        <f aca="true">IFERROR(SUMPRODUCT(OFFSET($BJ$31,0,1-MIN(60,COLUMN()-29),1,MIN(60,COLUMN()-29)),OFFSET(CY729,0,-MIN(60,COLUMN()-29),1,MIN(60,COLUMN()-29))),0)</f>
        <v>0</v>
      </c>
      <c r="CZ730" s="112" t="n">
        <f aca="true">IFERROR(SUMPRODUCT(OFFSET($BJ$31,0,1-MIN(60,COLUMN()-29),1,MIN(60,COLUMN()-29)),OFFSET(CZ729,0,-MIN(60,COLUMN()-29),1,MIN(60,COLUMN()-29))),0)</f>
        <v>0</v>
      </c>
      <c r="DA730" s="112" t="n">
        <f aca="true">IFERROR(SUMPRODUCT(OFFSET($BJ$31,0,1-MIN(60,COLUMN()-29),1,MIN(60,COLUMN()-29)),OFFSET(DA729,0,-MIN(60,COLUMN()-29),1,MIN(60,COLUMN()-29))),0)</f>
        <v>0</v>
      </c>
      <c r="DB730" s="112" t="n">
        <f aca="true">IFERROR(SUMPRODUCT(OFFSET($BJ$31,0,1-MIN(60,COLUMN()-29),1,MIN(60,COLUMN()-29)),OFFSET(DB729,0,-MIN(60,COLUMN()-29),1,MIN(60,COLUMN()-29))),0)</f>
        <v>4.35712</v>
      </c>
      <c r="DC730" s="112" t="n">
        <f aca="true">IFERROR(SUMPRODUCT(OFFSET($BJ$31,0,1-MIN(60,COLUMN()-29),1,MIN(60,COLUMN()-29)),OFFSET(DC729,0,-MIN(60,COLUMN()-29),1,MIN(60,COLUMN()-29))),0)</f>
        <v>4.766784</v>
      </c>
      <c r="DD730" s="112" t="n">
        <f aca="true">IFERROR(SUMPRODUCT(OFFSET($BJ$31,0,1-MIN(60,COLUMN()-29),1,MIN(60,COLUMN()-29)),OFFSET(DD729,0,-MIN(60,COLUMN()-29),1,MIN(60,COLUMN()-29))),0)</f>
        <v>6.10944</v>
      </c>
      <c r="DE730" s="112" t="n">
        <f aca="true">IFERROR(SUMPRODUCT(OFFSET($BJ$31,0,1-MIN(60,COLUMN()-29),1,MIN(60,COLUMN()-29)),OFFSET(DE729,0,-MIN(60,COLUMN()-29),1,MIN(60,COLUMN()-29))),0)</f>
        <v>10.9003776</v>
      </c>
      <c r="DF730" s="112" t="n">
        <f aca="true">IFERROR(SUMPRODUCT(OFFSET($BJ$31,0,1-MIN(60,COLUMN()-29),1,MIN(60,COLUMN()-29)),OFFSET(DF729,0,-MIN(60,COLUMN()-29),1,MIN(60,COLUMN()-29))),0)</f>
        <v>10.2439088</v>
      </c>
      <c r="DG730" s="112" t="n">
        <f aca="true">IFERROR(SUMPRODUCT(OFFSET($BJ$31,0,1-MIN(60,COLUMN()-29),1,MIN(60,COLUMN()-29)),OFFSET(DG729,0,-MIN(60,COLUMN()-29),1,MIN(60,COLUMN()-29))),0)</f>
        <v>10.6091136</v>
      </c>
      <c r="DH730" s="112" t="n">
        <f aca="true">IFERROR(SUMPRODUCT(OFFSET($BJ$31,0,1-MIN(60,COLUMN()-29),1,MIN(60,COLUMN()-29)),OFFSET(DH729,0,-MIN(60,COLUMN()-29),1,MIN(60,COLUMN()-29))),0)</f>
        <v>10.2011072</v>
      </c>
      <c r="DI730" s="112" t="n">
        <f aca="true">IFERROR(SUMPRODUCT(OFFSET($BJ$31,0,1-MIN(60,COLUMN()-29),1,MIN(60,COLUMN()-29)),OFFSET(DI729,0,-MIN(60,COLUMN()-29),1,MIN(60,COLUMN()-29))),0)</f>
        <v>13.7596192</v>
      </c>
      <c r="DJ730" s="112" t="n">
        <f aca="true">IFERROR(SUMPRODUCT(OFFSET($BJ$31,0,1-MIN(60,COLUMN()-29),1,MIN(60,COLUMN()-29)),OFFSET(DJ729,0,-MIN(60,COLUMN()-29),1,MIN(60,COLUMN()-29))),0)</f>
        <v>16.273488</v>
      </c>
      <c r="DK730" s="112" t="n">
        <f aca="true">IFERROR(SUMPRODUCT(OFFSET($BJ$31,0,1-MIN(60,COLUMN()-29),1,MIN(60,COLUMN()-29)),OFFSET(DK729,0,-MIN(60,COLUMN()-29),1,MIN(60,COLUMN()-29))),0)</f>
        <v>15.3684384</v>
      </c>
      <c r="DL730" s="112" t="n">
        <f aca="true">IFERROR(SUMPRODUCT(OFFSET($BJ$31,0,1-MIN(60,COLUMN()-29),1,MIN(60,COLUMN()-29)),OFFSET(DL729,0,-MIN(60,COLUMN()-29),1,MIN(60,COLUMN()-29))),0)</f>
        <v>20.2903856</v>
      </c>
      <c r="DM730" s="112" t="n">
        <f aca="true">IFERROR(SUMPRODUCT(OFFSET($BJ$31,0,1-MIN(60,COLUMN()-29),1,MIN(60,COLUMN()-29)),OFFSET(DM729,0,-MIN(60,COLUMN()-29),1,MIN(60,COLUMN()-29))),0)</f>
        <v>22.435024</v>
      </c>
      <c r="DN730" s="112" t="n">
        <f aca="true">IFERROR(SUMPRODUCT(OFFSET($BJ$31,0,1-MIN(60,COLUMN()-29),1,MIN(60,COLUMN()-29)),OFFSET(DN729,0,-MIN(60,COLUMN()-29),1,MIN(60,COLUMN()-29))),0)</f>
        <v>23.4392928</v>
      </c>
      <c r="DO730" s="112" t="n">
        <f aca="true">IFERROR(SUMPRODUCT(OFFSET($BJ$31,0,1-MIN(60,COLUMN()-29),1,MIN(60,COLUMN()-29)),OFFSET(DO729,0,-MIN(60,COLUMN()-29),1,MIN(60,COLUMN()-29))),0)</f>
        <v>23.5138848</v>
      </c>
      <c r="DP730" s="112" t="n">
        <f aca="true">IFERROR(SUMPRODUCT(OFFSET($BJ$31,0,1-MIN(60,COLUMN()-29),1,MIN(60,COLUMN()-29)),OFFSET(DP729,0,-MIN(60,COLUMN()-29),1,MIN(60,COLUMN()-29))),0)</f>
        <v>25.6461504</v>
      </c>
      <c r="DQ730" s="112" t="n">
        <f aca="true">IFERROR(SUMPRODUCT(OFFSET($BJ$31,0,1-MIN(60,COLUMN()-29),1,MIN(60,COLUMN()-29)),OFFSET(DQ729,0,-MIN(60,COLUMN()-29),1,MIN(60,COLUMN()-29))),0)</f>
        <v>40.1019616</v>
      </c>
      <c r="DR730" s="112" t="n">
        <f aca="true">IFERROR(SUMPRODUCT(OFFSET($BJ$31,0,1-MIN(60,COLUMN()-29),1,MIN(60,COLUMN()-29)),OFFSET(DR729,0,-MIN(60,COLUMN()-29),1,MIN(60,COLUMN()-29))),0)</f>
        <v>40.16616992</v>
      </c>
      <c r="DS730" s="112" t="n">
        <f aca="true">IFERROR(SUMPRODUCT(OFFSET($BJ$31,0,1-MIN(60,COLUMN()-29),1,MIN(60,COLUMN()-29)),OFFSET(DS729,0,-MIN(60,COLUMN()-29),1,MIN(60,COLUMN()-29))),0)</f>
        <v>40.2831136</v>
      </c>
      <c r="DT730" s="112" t="n">
        <f aca="true">IFERROR(SUMPRODUCT(OFFSET($BJ$31,0,1-MIN(60,COLUMN()-29),1,MIN(60,COLUMN()-29)),OFFSET(DT729,0,-MIN(60,COLUMN()-29),1,MIN(60,COLUMN()-29))),0)</f>
        <v>37.79319712</v>
      </c>
      <c r="DU730" s="112" t="n">
        <f aca="true">IFERROR(SUMPRODUCT(OFFSET($BJ$31,0,1-MIN(60,COLUMN()-29),1,MIN(60,COLUMN()-29)),OFFSET(DU729,0,-MIN(60,COLUMN()-29),1,MIN(60,COLUMN()-29))),0)</f>
        <v>47.04440924</v>
      </c>
      <c r="DV730" s="112" t="n">
        <f aca="true">IFERROR(SUMPRODUCT(OFFSET($BJ$31,0,1-MIN(60,COLUMN()-29),1,MIN(60,COLUMN()-29)),OFFSET(DV729,0,-MIN(60,COLUMN()-29),1,MIN(60,COLUMN()-29))),0)</f>
        <v>50.80743652</v>
      </c>
      <c r="DW730" s="112" t="n">
        <f aca="true">IFERROR(SUMPRODUCT(OFFSET($BJ$31,0,1-MIN(60,COLUMN()-29),1,MIN(60,COLUMN()-29)),OFFSET(DW729,0,-MIN(60,COLUMN()-29),1,MIN(60,COLUMN()-29))),0)</f>
        <v>50.1266602</v>
      </c>
      <c r="DX730" s="112" t="n">
        <f aca="true">IFERROR(SUMPRODUCT(OFFSET($BJ$31,0,1-MIN(60,COLUMN()-29),1,MIN(60,COLUMN()-29)),OFFSET(DX729,0,-MIN(60,COLUMN()-29),1,MIN(60,COLUMN()-29))),0)</f>
        <v>60.65128948</v>
      </c>
      <c r="DY730" s="112" t="n">
        <f aca="true">IFERROR(SUMPRODUCT(OFFSET($BJ$31,0,1-MIN(60,COLUMN()-29),1,MIN(60,COLUMN()-29)),OFFSET(DY729,0,-MIN(60,COLUMN()-29),1,MIN(60,COLUMN()-29))),0)</f>
        <v>63.48874992</v>
      </c>
      <c r="DZ730" s="112" t="n">
        <f aca="true">IFERROR(SUMPRODUCT(OFFSET($BJ$31,0,1-MIN(60,COLUMN()-29),1,MIN(60,COLUMN()-29)),OFFSET(DZ729,0,-MIN(60,COLUMN()-29),1,MIN(60,COLUMN()-29))),0)</f>
        <v>63.86044304</v>
      </c>
      <c r="EA730" s="112" t="n">
        <f aca="true">IFERROR(SUMPRODUCT(OFFSET($BJ$31,0,1-MIN(60,COLUMN()-29),1,MIN(60,COLUMN()-29)),OFFSET(EA729,0,-MIN(60,COLUMN()-29),1,MIN(60,COLUMN()-29))),0)</f>
        <v>63.47384928</v>
      </c>
      <c r="EB730" s="112" t="n">
        <f aca="true">IFERROR(SUMPRODUCT(OFFSET($BJ$31,0,1-MIN(60,COLUMN()-29),1,MIN(60,COLUMN()-29)),OFFSET(EB729,0,-MIN(60,COLUMN()-29),1,MIN(60,COLUMN()-29))),0)</f>
        <v>69.67396</v>
      </c>
      <c r="EC730" s="112" t="n">
        <f aca="true">IFERROR(SUMPRODUCT(OFFSET($BJ$31,0,1-MIN(60,COLUMN()-29),1,MIN(60,COLUMN()-29)),OFFSET(EC729,0,-MIN(60,COLUMN()-29),1,MIN(60,COLUMN()-29))),0)</f>
        <v>88.77141232</v>
      </c>
      <c r="ED730" s="112" t="n">
        <f aca="true">IFERROR(SUMPRODUCT(OFFSET($BJ$31,0,1-MIN(60,COLUMN()-29),1,MIN(60,COLUMN()-29)),OFFSET(ED729,0,-MIN(60,COLUMN()-29),1,MIN(60,COLUMN()-29))),0)</f>
        <v>88.5450552</v>
      </c>
      <c r="EE730" s="112" t="n">
        <f aca="true">IFERROR(SUMPRODUCT(OFFSET($BJ$31,0,1-MIN(60,COLUMN()-29),1,MIN(60,COLUMN()-29)),OFFSET(EE729,0,-MIN(60,COLUMN()-29),1,MIN(60,COLUMN()-29))),0)</f>
        <v>87.2439576</v>
      </c>
      <c r="EF730" s="112" t="n">
        <f aca="true">IFERROR(SUMPRODUCT(OFFSET($BJ$31,0,1-MIN(60,COLUMN()-29),1,MIN(60,COLUMN()-29)),OFFSET(EF729,0,-MIN(60,COLUMN()-29),1,MIN(60,COLUMN()-29))),0)</f>
        <v>83.9443272</v>
      </c>
      <c r="EG730" s="112" t="n">
        <f aca="true">IFERROR(SUMPRODUCT(OFFSET($BJ$31,0,1-MIN(60,COLUMN()-29),1,MIN(60,COLUMN()-29)),OFFSET(EG729,0,-MIN(60,COLUMN()-29),1,MIN(60,COLUMN()-29))),0)</f>
        <v>98.26125816</v>
      </c>
      <c r="EH730" s="112" t="n">
        <f aca="true">IFERROR(SUMPRODUCT(OFFSET($BJ$31,0,1-MIN(60,COLUMN()-29),1,MIN(60,COLUMN()-29)),OFFSET(EH729,0,-MIN(60,COLUMN()-29),1,MIN(60,COLUMN()-29))),0)</f>
        <v>104.09367768</v>
      </c>
      <c r="EI730" s="112" t="n">
        <f aca="true">IFERROR(SUMPRODUCT(OFFSET($BJ$31,0,1-MIN(60,COLUMN()-29),1,MIN(60,COLUMN()-29)),OFFSET(EI729,0,-MIN(60,COLUMN()-29),1,MIN(60,COLUMN()-29))),0)</f>
        <v>104.39559768</v>
      </c>
      <c r="EJ730" s="112" t="n">
        <f aca="true">IFERROR(SUMPRODUCT(OFFSET($BJ$31,0,1-MIN(60,COLUMN()-29),1,MIN(60,COLUMN()-29)),OFFSET(EJ729,0,-MIN(60,COLUMN()-29),1,MIN(60,COLUMN()-29))),0)</f>
        <v>117.6630636</v>
      </c>
      <c r="EK730" s="112" t="n">
        <f aca="true">IFERROR(SUMPRODUCT(OFFSET($BJ$31,0,1-MIN(60,COLUMN()-29),1,MIN(60,COLUMN()-29)),OFFSET(EK729,0,-MIN(60,COLUMN()-29),1,MIN(60,COLUMN()-29))),0)</f>
        <v>121.83622848</v>
      </c>
      <c r="EL730" s="112" t="n">
        <f aca="true">IFERROR(SUMPRODUCT(OFFSET($BJ$31,0,1-MIN(60,COLUMN()-29),1,MIN(60,COLUMN()-29)),OFFSET(EL729,0,-MIN(60,COLUMN()-29),1,MIN(60,COLUMN()-29))),0)</f>
        <v>123.1035288</v>
      </c>
      <c r="EM730" s="112" t="n">
        <f aca="true">IFERROR(SUMPRODUCT(OFFSET($BJ$31,0,1-MIN(60,COLUMN()-29),1,MIN(60,COLUMN()-29)),OFFSET(EM729,0,-MIN(60,COLUMN()-29),1,MIN(60,COLUMN()-29))),0)</f>
        <v>123.52864104</v>
      </c>
      <c r="EN730" s="112" t="n">
        <f aca="true">IFERROR(SUMPRODUCT(OFFSET($BJ$31,0,1-MIN(60,COLUMN()-29),1,MIN(60,COLUMN()-29)),OFFSET(EN729,0,-MIN(60,COLUMN()-29),1,MIN(60,COLUMN()-29))),0)</f>
        <v>131.91070392</v>
      </c>
      <c r="EO730" s="112" t="n">
        <f aca="true">IFERROR(SUMPRODUCT(OFFSET($BJ$31,0,1-MIN(60,COLUMN()-29),1,MIN(60,COLUMN()-29)),OFFSET(EO729,0,-MIN(60,COLUMN()-29),1,MIN(60,COLUMN()-29))),0)</f>
        <v>154.03898016</v>
      </c>
      <c r="EP730" s="112" t="n">
        <f aca="true">IFERROR(SUMPRODUCT(OFFSET($BJ$31,0,1-MIN(60,COLUMN()-29),1,MIN(60,COLUMN()-29)),OFFSET(EP729,0,-MIN(60,COLUMN()-29),1,MIN(60,COLUMN()-29))),0)</f>
        <v>154.65331632</v>
      </c>
      <c r="EQ730" s="112" t="n">
        <f aca="true">IFERROR(SUMPRODUCT(OFFSET($BJ$31,0,1-MIN(60,COLUMN()-29),1,MIN(60,COLUMN()-29)),OFFSET(EQ729,0,-MIN(60,COLUMN()-29),1,MIN(60,COLUMN()-29))),0)</f>
        <v>153.6912216</v>
      </c>
      <c r="ER730" s="112" t="n">
        <f aca="true">IFERROR(SUMPRODUCT(OFFSET($BJ$31,0,1-MIN(60,COLUMN()-29),1,MIN(60,COLUMN()-29)),OFFSET(ER729,0,-MIN(60,COLUMN()-29),1,MIN(60,COLUMN()-29))),0)</f>
        <v>150.76504848</v>
      </c>
      <c r="ES730" s="9" t="n">
        <f aca="true">IFERROR(SUMPRODUCT(OFFSET($BJ$31,0,1-MIN(60,COLUMN()-29),1,MIN(60,COLUMN()-29)),OFFSET(ES729,0,-MIN(60,COLUMN()-29),1,MIN(60,COLUMN()-29))),0)</f>
        <v>167.77362288</v>
      </c>
      <c r="ET730" s="9" t="n">
        <f aca="true">IFERROR(SUMPRODUCT(OFFSET($BJ$31,0,1-MIN(60,COLUMN()-29),1,MIN(60,COLUMN()-29)),OFFSET(ET729,0,-MIN(60,COLUMN()-29),1,MIN(60,COLUMN()-29))),0)</f>
        <v>174.42891648</v>
      </c>
      <c r="EU730" s="9" t="n">
        <f aca="true">IFERROR(SUMPRODUCT(OFFSET($BJ$31,0,1-MIN(60,COLUMN()-29),1,MIN(60,COLUMN()-29)),OFFSET(EU729,0,-MIN(60,COLUMN()-29),1,MIN(60,COLUMN()-29))),0)</f>
        <v>174.6053088</v>
      </c>
      <c r="EV730" s="9" t="n">
        <f aca="true">IFERROR(SUMPRODUCT(OFFSET($BJ$31,0,1-MIN(60,COLUMN()-29),1,MIN(60,COLUMN()-29)),OFFSET(EV729,0,-MIN(60,COLUMN()-29),1,MIN(60,COLUMN()-29))),0)</f>
        <v>189.45110592</v>
      </c>
      <c r="EW730" s="9" t="n">
        <f aca="true">IFERROR(SUMPRODUCT(OFFSET($BJ$31,0,1-MIN(60,COLUMN()-29),1,MIN(60,COLUMN()-29)),OFFSET(EW729,0,-MIN(60,COLUMN()-29),1,MIN(60,COLUMN()-29))),0)</f>
        <v>193.73368128</v>
      </c>
      <c r="EX730" s="9" t="n">
        <f aca="true">IFERROR(SUMPRODUCT(OFFSET($BJ$31,0,1-MIN(60,COLUMN()-29),1,MIN(60,COLUMN()-29)),OFFSET(EX729,0,-MIN(60,COLUMN()-29),1,MIN(60,COLUMN()-29))),0)</f>
        <v>194.69384016</v>
      </c>
      <c r="EY730" s="9" t="n">
        <f aca="true">IFERROR(SUMPRODUCT(OFFSET($BJ$31,0,1-MIN(60,COLUMN()-29),1,MIN(60,COLUMN()-29)),OFFSET(EY729,0,-MIN(60,COLUMN()-29),1,MIN(60,COLUMN()-29))),0)</f>
        <v>194.60203872</v>
      </c>
      <c r="EZ730" s="9" t="n">
        <f aca="true">IFERROR(SUMPRODUCT(OFFSET($BJ$31,0,1-MIN(60,COLUMN()-29),1,MIN(60,COLUMN()-29)),OFFSET(EZ729,0,-MIN(60,COLUMN()-29),1,MIN(60,COLUMN()-29))),0)</f>
        <v>203.06471424</v>
      </c>
      <c r="FA730" s="9" t="n">
        <f aca="true">IFERROR(SUMPRODUCT(OFFSET($BJ$31,0,1-MIN(60,COLUMN()-29),1,MIN(60,COLUMN()-29)),OFFSET(FA729,0,-MIN(60,COLUMN()-29),1,MIN(60,COLUMN()-29))),0)</f>
        <v>225.67631556</v>
      </c>
      <c r="FB730" s="9" t="n">
        <f aca="true">IFERROR(SUMPRODUCT(OFFSET($BJ$31,0,1-MIN(60,COLUMN()-29),1,MIN(60,COLUMN()-29)),OFFSET(FB729,0,-MIN(60,COLUMN()-29),1,MIN(60,COLUMN()-29))),0)</f>
        <v>225.2147598</v>
      </c>
      <c r="FC730" s="9" t="n">
        <f aca="true">IFERROR(SUMPRODUCT(OFFSET($BJ$31,0,1-MIN(60,COLUMN()-29),1,MIN(60,COLUMN()-29)),OFFSET(FC729,0,-MIN(60,COLUMN()-29),1,MIN(60,COLUMN()-29))),0)</f>
        <v>223.2735918</v>
      </c>
      <c r="FD730" s="9" t="n">
        <f aca="true">IFERROR(SUMPRODUCT(OFFSET($BJ$31,0,1-MIN(60,COLUMN()-29),1,MIN(60,COLUMN()-29)),OFFSET(FD729,0,-MIN(60,COLUMN()-29),1,MIN(60,COLUMN()-29))),0)</f>
        <v>219.578979</v>
      </c>
      <c r="FE730" s="9" t="n">
        <f aca="true">IFERROR(SUMPRODUCT(OFFSET($BJ$31,0,1-MIN(60,COLUMN()-29),1,MIN(60,COLUMN()-29)),OFFSET(FE729,0,-MIN(60,COLUMN()-29),1,MIN(60,COLUMN()-29))),0)</f>
        <v>236.15000472</v>
      </c>
      <c r="FF730" s="9" t="n">
        <f aca="true">IFERROR(SUMPRODUCT(OFFSET($BJ$31,0,1-MIN(60,COLUMN()-29),1,MIN(60,COLUMN()-29)),OFFSET(FF729,0,-MIN(60,COLUMN()-29),1,MIN(60,COLUMN()-29))),0)</f>
        <v>241.76054856</v>
      </c>
      <c r="FG730" s="9" t="n">
        <f aca="true">IFERROR(SUMPRODUCT(OFFSET($BJ$31,0,1-MIN(60,COLUMN()-29),1,MIN(60,COLUMN()-29)),OFFSET(FG729,0,-MIN(60,COLUMN()-29),1,MIN(60,COLUMN()-29))),0)</f>
        <v>241.48308408</v>
      </c>
      <c r="FH730" s="9" t="n">
        <f aca="true">IFERROR(SUMPRODUCT(OFFSET($BJ$31,0,1-MIN(60,COLUMN()-29),1,MIN(60,COLUMN()-29)),OFFSET(FH729,0,-MIN(60,COLUMN()-29),1,MIN(60,COLUMN()-29))),0)</f>
        <v>255.18801432</v>
      </c>
      <c r="FI730" s="9" t="n">
        <f aca="true">IFERROR(SUMPRODUCT(OFFSET($BJ$31,0,1-MIN(60,COLUMN()-29),1,MIN(60,COLUMN()-29)),OFFSET(FI729,0,-MIN(60,COLUMN()-29),1,MIN(60,COLUMN()-29))),0)</f>
        <v>258.21209832</v>
      </c>
      <c r="FJ730" s="9" t="n">
        <f aca="true">IFERROR(SUMPRODUCT(OFFSET($BJ$31,0,1-MIN(60,COLUMN()-29),1,MIN(60,COLUMN()-29)),OFFSET(FJ729,0,-MIN(60,COLUMN()-29),1,MIN(60,COLUMN()-29))),0)</f>
        <v>258.16947432</v>
      </c>
      <c r="FK730" s="9" t="n">
        <f aca="true">IFERROR(SUMPRODUCT(OFFSET($BJ$31,0,1-MIN(60,COLUMN()-29),1,MIN(60,COLUMN()-29)),OFFSET(FK729,0,-MIN(60,COLUMN()-29),1,MIN(60,COLUMN()-29))),0)</f>
        <v>256.87565832</v>
      </c>
      <c r="FL730" s="9" t="n">
        <f aca="true">IFERROR(SUMPRODUCT(OFFSET($BJ$31,0,1-MIN(60,COLUMN()-29),1,MIN(60,COLUMN()-29)),OFFSET(FL729,0,-MIN(60,COLUMN()-29),1,MIN(60,COLUMN()-29))),0)</f>
        <v>264.57834792</v>
      </c>
      <c r="FM730" s="9" t="n">
        <f aca="true">IFERROR(SUMPRODUCT(OFFSET($BJ$31,0,1-MIN(60,COLUMN()-29),1,MIN(60,COLUMN()-29)),OFFSET(FM729,0,-MIN(60,COLUMN()-29),1,MIN(60,COLUMN()-29))),0)</f>
        <v>284.66495232</v>
      </c>
      <c r="FN730" s="9" t="n">
        <f aca="true">IFERROR(SUMPRODUCT(OFFSET($BJ$31,0,1-MIN(60,COLUMN()-29),1,MIN(60,COLUMN()-29)),OFFSET(FN729,0,-MIN(60,COLUMN()-29),1,MIN(60,COLUMN()-29))),0)</f>
        <v>281.72336352</v>
      </c>
      <c r="FO730" s="9" t="n">
        <f aca="true">IFERROR(SUMPRODUCT(OFFSET($BJ$31,0,1-MIN(60,COLUMN()-29),1,MIN(60,COLUMN()-29)),OFFSET(FO729,0,-MIN(60,COLUMN()-29),1,MIN(60,COLUMN()-29))),0)</f>
        <v>277.69468512</v>
      </c>
      <c r="FP730" s="9" t="n">
        <f aca="true">IFERROR(SUMPRODUCT(OFFSET($BJ$31,0,1-MIN(60,COLUMN()-29),1,MIN(60,COLUMN()-29)),OFFSET(FP729,0,-MIN(60,COLUMN()-29),1,MIN(60,COLUMN()-29))),0)</f>
        <v>272.38533312</v>
      </c>
    </row>
    <row r="731" customFormat="false" ht="15" hidden="false" customHeight="false" outlineLevel="2" collapsed="false">
      <c r="B731" s="90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237"/>
      <c r="AD731" s="237"/>
      <c r="AE731" s="237"/>
      <c r="AF731" s="237"/>
      <c r="AG731" s="237"/>
      <c r="AH731" s="237"/>
      <c r="AI731" s="237"/>
      <c r="AJ731" s="237"/>
      <c r="AK731" s="237"/>
      <c r="AL731" s="237"/>
      <c r="AM731" s="237"/>
      <c r="AN731" s="237"/>
      <c r="AO731" s="237"/>
      <c r="AP731" s="237"/>
      <c r="AQ731" s="237"/>
      <c r="AR731" s="237"/>
      <c r="AS731" s="237"/>
      <c r="AT731" s="237"/>
      <c r="AU731" s="237"/>
      <c r="AV731" s="237"/>
      <c r="AW731" s="237"/>
      <c r="AX731" s="237"/>
      <c r="AY731" s="237"/>
      <c r="AZ731" s="237"/>
      <c r="BA731" s="237"/>
      <c r="BB731" s="237"/>
      <c r="BC731" s="237"/>
      <c r="BD731" s="237"/>
      <c r="BE731" s="237"/>
      <c r="BF731" s="237"/>
      <c r="BG731" s="237"/>
      <c r="BH731" s="237"/>
      <c r="BI731" s="237"/>
      <c r="BJ731" s="237"/>
      <c r="BK731" s="237"/>
      <c r="BL731" s="237"/>
      <c r="BM731" s="237"/>
      <c r="BN731" s="237"/>
      <c r="BO731" s="237"/>
      <c r="BP731" s="237"/>
      <c r="BQ731" s="237"/>
      <c r="BR731" s="237"/>
      <c r="BS731" s="237"/>
      <c r="BT731" s="237"/>
      <c r="BU731" s="237"/>
      <c r="BV731" s="237"/>
      <c r="BW731" s="237"/>
      <c r="BX731" s="237"/>
      <c r="BY731" s="237"/>
      <c r="BZ731" s="237"/>
      <c r="CA731" s="237"/>
      <c r="CB731" s="237"/>
      <c r="CC731" s="237"/>
      <c r="CD731" s="237"/>
      <c r="CE731" s="237"/>
      <c r="CF731" s="237"/>
      <c r="CG731" s="237"/>
      <c r="CH731" s="237"/>
      <c r="CI731" s="237"/>
      <c r="CJ731" s="237"/>
      <c r="CK731" s="237"/>
      <c r="CL731" s="237"/>
      <c r="CM731" s="237"/>
      <c r="CN731" s="237"/>
      <c r="CO731" s="237"/>
      <c r="CP731" s="237"/>
      <c r="CQ731" s="237"/>
      <c r="CR731" s="237"/>
      <c r="CS731" s="237"/>
      <c r="CT731" s="237"/>
      <c r="CU731" s="237"/>
      <c r="CV731" s="237"/>
      <c r="CW731" s="237"/>
      <c r="CX731" s="237"/>
      <c r="CY731" s="237"/>
      <c r="CZ731" s="237"/>
      <c r="DA731" s="237"/>
      <c r="DB731" s="237"/>
      <c r="DC731" s="237"/>
      <c r="DD731" s="237"/>
      <c r="DE731" s="237"/>
      <c r="DF731" s="237"/>
      <c r="DG731" s="237"/>
      <c r="DH731" s="237"/>
      <c r="DI731" s="237"/>
      <c r="DJ731" s="237"/>
      <c r="DK731" s="237"/>
      <c r="DL731" s="237"/>
      <c r="DM731" s="237"/>
      <c r="DN731" s="237"/>
      <c r="DO731" s="237"/>
      <c r="DP731" s="237"/>
      <c r="DQ731" s="237"/>
      <c r="DR731" s="237"/>
      <c r="DS731" s="237"/>
      <c r="DT731" s="237"/>
      <c r="DU731" s="237"/>
      <c r="DV731" s="237"/>
      <c r="DW731" s="237"/>
      <c r="DX731" s="237"/>
      <c r="DY731" s="237"/>
      <c r="DZ731" s="237"/>
      <c r="EA731" s="237"/>
      <c r="EB731" s="237"/>
      <c r="EC731" s="237"/>
      <c r="ED731" s="237"/>
      <c r="EE731" s="237"/>
      <c r="EF731" s="237"/>
      <c r="EG731" s="237"/>
      <c r="EH731" s="237"/>
      <c r="EI731" s="237"/>
      <c r="EJ731" s="237"/>
      <c r="EK731" s="237"/>
      <c r="EL731" s="237"/>
      <c r="EM731" s="237"/>
      <c r="EN731" s="237"/>
      <c r="EO731" s="237"/>
      <c r="EP731" s="237"/>
      <c r="EQ731" s="237"/>
      <c r="ER731" s="237"/>
      <c r="ES731" s="9"/>
      <c r="ET731" s="9"/>
      <c r="EU731" s="9"/>
      <c r="EV731" s="9"/>
      <c r="EW731" s="9"/>
      <c r="EX731" s="9"/>
      <c r="EY731" s="9"/>
      <c r="EZ731" s="9"/>
      <c r="FA731" s="9"/>
      <c r="FB731" s="9"/>
      <c r="FC731" s="9"/>
      <c r="FD731" s="9"/>
      <c r="FE731" s="9"/>
      <c r="FF731" s="9"/>
      <c r="FG731" s="9"/>
      <c r="FH731" s="9"/>
      <c r="FI731" s="9"/>
      <c r="FJ731" s="9"/>
      <c r="FK731" s="9"/>
      <c r="FL731" s="9"/>
      <c r="FM731" s="9"/>
      <c r="FN731" s="9"/>
      <c r="FO731" s="9"/>
      <c r="FP731" s="9"/>
    </row>
    <row r="732" customFormat="false" ht="15" hidden="false" customHeight="false" outlineLevel="2" collapsed="false">
      <c r="B732" s="240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237"/>
      <c r="AD732" s="237"/>
      <c r="AE732" s="237"/>
      <c r="AF732" s="237"/>
      <c r="AG732" s="237"/>
      <c r="AH732" s="237"/>
      <c r="AI732" s="237"/>
      <c r="AJ732" s="237"/>
      <c r="AK732" s="237"/>
      <c r="AL732" s="237"/>
      <c r="AM732" s="237"/>
      <c r="AN732" s="237"/>
      <c r="AO732" s="237"/>
      <c r="AP732" s="237"/>
      <c r="AQ732" s="237"/>
      <c r="AR732" s="237"/>
      <c r="AS732" s="237"/>
      <c r="AT732" s="237"/>
      <c r="AU732" s="237"/>
      <c r="AV732" s="237"/>
      <c r="AW732" s="237"/>
      <c r="AX732" s="237"/>
      <c r="AY732" s="237"/>
      <c r="AZ732" s="237"/>
      <c r="BA732" s="237"/>
      <c r="BB732" s="237"/>
      <c r="BC732" s="237"/>
      <c r="BD732" s="237"/>
      <c r="BE732" s="237"/>
      <c r="BF732" s="237"/>
      <c r="BG732" s="237"/>
      <c r="BH732" s="237"/>
      <c r="BI732" s="237"/>
      <c r="BJ732" s="237"/>
      <c r="BK732" s="237"/>
      <c r="BL732" s="237"/>
      <c r="BM732" s="237"/>
      <c r="BN732" s="237"/>
      <c r="BO732" s="237"/>
      <c r="BP732" s="237"/>
      <c r="BQ732" s="237"/>
      <c r="BR732" s="237"/>
      <c r="BS732" s="237"/>
      <c r="BT732" s="237"/>
      <c r="BU732" s="237"/>
      <c r="BV732" s="237"/>
      <c r="BW732" s="237"/>
      <c r="BX732" s="237"/>
      <c r="BY732" s="237"/>
      <c r="BZ732" s="237"/>
      <c r="CA732" s="237"/>
      <c r="CB732" s="237"/>
      <c r="CC732" s="237"/>
      <c r="CD732" s="237"/>
      <c r="CE732" s="237"/>
      <c r="CF732" s="237"/>
      <c r="CG732" s="237"/>
      <c r="CH732" s="237"/>
      <c r="CI732" s="237"/>
      <c r="CJ732" s="237"/>
      <c r="CK732" s="237"/>
      <c r="CL732" s="237"/>
      <c r="CM732" s="237"/>
      <c r="CN732" s="237"/>
      <c r="CO732" s="237"/>
      <c r="CP732" s="237"/>
      <c r="CQ732" s="237"/>
      <c r="CR732" s="237"/>
      <c r="CS732" s="237"/>
      <c r="CT732" s="237"/>
      <c r="CU732" s="237"/>
      <c r="CV732" s="237"/>
      <c r="CW732" s="237"/>
      <c r="CX732" s="237"/>
      <c r="CY732" s="237"/>
      <c r="CZ732" s="237"/>
      <c r="DA732" s="237"/>
      <c r="DB732" s="237"/>
      <c r="DC732" s="237"/>
      <c r="DD732" s="237"/>
      <c r="DE732" s="237"/>
      <c r="DF732" s="237"/>
      <c r="DG732" s="237"/>
      <c r="DH732" s="237"/>
      <c r="DI732" s="237"/>
      <c r="DJ732" s="237"/>
      <c r="DK732" s="237"/>
      <c r="DL732" s="237"/>
      <c r="DM732" s="237"/>
      <c r="DN732" s="237"/>
      <c r="DO732" s="237"/>
      <c r="DP732" s="237"/>
      <c r="DQ732" s="237"/>
      <c r="DR732" s="237"/>
      <c r="DS732" s="237"/>
      <c r="DT732" s="237"/>
      <c r="DU732" s="237"/>
      <c r="DV732" s="237"/>
      <c r="DW732" s="237"/>
      <c r="DX732" s="237"/>
      <c r="DY732" s="237"/>
      <c r="DZ732" s="237"/>
      <c r="EA732" s="237"/>
      <c r="EB732" s="237"/>
      <c r="EC732" s="237"/>
      <c r="ED732" s="237"/>
      <c r="EE732" s="237"/>
      <c r="EF732" s="237"/>
      <c r="EG732" s="237"/>
      <c r="EH732" s="237"/>
      <c r="EI732" s="237"/>
      <c r="EJ732" s="237"/>
      <c r="EK732" s="237"/>
      <c r="EL732" s="237"/>
      <c r="EM732" s="237"/>
      <c r="EN732" s="237"/>
      <c r="EO732" s="237"/>
      <c r="EP732" s="237"/>
      <c r="EQ732" s="237"/>
      <c r="ER732" s="237"/>
      <c r="ES732" s="9"/>
      <c r="ET732" s="9"/>
      <c r="EU732" s="9"/>
      <c r="EV732" s="9"/>
      <c r="EW732" s="9"/>
      <c r="EX732" s="9"/>
      <c r="EY732" s="9"/>
      <c r="EZ732" s="9"/>
      <c r="FA732" s="9"/>
      <c r="FB732" s="9"/>
      <c r="FC732" s="9"/>
      <c r="FD732" s="9"/>
      <c r="FE732" s="9"/>
      <c r="FF732" s="9"/>
      <c r="FG732" s="9"/>
      <c r="FH732" s="9"/>
      <c r="FI732" s="9"/>
      <c r="FJ732" s="9"/>
      <c r="FK732" s="9"/>
      <c r="FL732" s="9"/>
      <c r="FM732" s="9"/>
      <c r="FN732" s="9"/>
      <c r="FO732" s="9"/>
      <c r="FP732" s="9"/>
    </row>
    <row r="733" customFormat="false" ht="15" hidden="false" customHeight="false" outlineLevel="2" collapsed="false">
      <c r="B733" s="21" t="s">
        <v>946</v>
      </c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  <c r="AP733" s="21"/>
      <c r="AQ733" s="21"/>
      <c r="AR733" s="21"/>
      <c r="AS733" s="21"/>
      <c r="AT733" s="21"/>
      <c r="AU733" s="21"/>
      <c r="AV733" s="21"/>
      <c r="AW733" s="21"/>
      <c r="AX733" s="21"/>
      <c r="AY733" s="21"/>
      <c r="AZ733" s="21"/>
      <c r="BA733" s="21"/>
      <c r="BB733" s="21"/>
      <c r="BC733" s="21"/>
      <c r="BD733" s="21"/>
      <c r="BE733" s="21"/>
      <c r="BF733" s="21"/>
      <c r="BG733" s="21"/>
      <c r="BH733" s="21"/>
      <c r="BI733" s="21"/>
      <c r="BJ733" s="21"/>
      <c r="BK733" s="21"/>
      <c r="BL733" s="21"/>
      <c r="BM733" s="21"/>
      <c r="BN733" s="21"/>
      <c r="BO733" s="21"/>
      <c r="BP733" s="21"/>
      <c r="BQ733" s="21"/>
      <c r="BR733" s="21"/>
      <c r="BS733" s="21"/>
      <c r="BT733" s="21"/>
      <c r="BU733" s="21"/>
      <c r="BV733" s="21"/>
      <c r="BW733" s="21"/>
      <c r="BX733" s="21"/>
      <c r="BY733" s="21"/>
      <c r="BZ733" s="21"/>
      <c r="CA733" s="21"/>
      <c r="CB733" s="21"/>
      <c r="CC733" s="21"/>
      <c r="CD733" s="21"/>
      <c r="CE733" s="21"/>
      <c r="CF733" s="21"/>
      <c r="CG733" s="21"/>
      <c r="CH733" s="21"/>
      <c r="CI733" s="21"/>
      <c r="CJ733" s="21"/>
      <c r="CK733" s="21"/>
      <c r="CL733" s="21"/>
      <c r="CM733" s="21"/>
      <c r="CN733" s="21"/>
      <c r="CO733" s="21"/>
      <c r="CP733" s="21"/>
      <c r="CQ733" s="21"/>
      <c r="CR733" s="21"/>
      <c r="CS733" s="21"/>
      <c r="CT733" s="21"/>
      <c r="CU733" s="21"/>
      <c r="CV733" s="21"/>
      <c r="CW733" s="21"/>
      <c r="CX733" s="21"/>
      <c r="CY733" s="21"/>
      <c r="CZ733" s="21"/>
      <c r="DA733" s="21"/>
      <c r="DB733" s="21"/>
      <c r="DC733" s="21"/>
      <c r="DD733" s="21"/>
      <c r="DE733" s="21"/>
      <c r="DF733" s="21"/>
      <c r="DG733" s="21"/>
      <c r="DH733" s="21"/>
      <c r="DI733" s="21"/>
      <c r="DJ733" s="21"/>
      <c r="DK733" s="21"/>
      <c r="DL733" s="21"/>
      <c r="DM733" s="21"/>
      <c r="DN733" s="21"/>
      <c r="DO733" s="21"/>
      <c r="DP733" s="21"/>
      <c r="DQ733" s="21"/>
      <c r="DR733" s="21"/>
      <c r="DS733" s="21"/>
      <c r="DT733" s="21"/>
      <c r="DU733" s="21"/>
      <c r="DV733" s="21"/>
      <c r="DW733" s="21"/>
      <c r="DX733" s="21"/>
      <c r="DY733" s="21"/>
      <c r="DZ733" s="21"/>
      <c r="EA733" s="21"/>
      <c r="EB733" s="21"/>
      <c r="EC733" s="21"/>
      <c r="ED733" s="21"/>
      <c r="EE733" s="21"/>
      <c r="EF733" s="21"/>
      <c r="EG733" s="21"/>
      <c r="EH733" s="21"/>
      <c r="EI733" s="21"/>
      <c r="EJ733" s="21"/>
      <c r="EK733" s="21"/>
      <c r="EL733" s="21"/>
      <c r="EM733" s="21"/>
      <c r="EN733" s="21"/>
      <c r="EO733" s="21"/>
      <c r="EP733" s="21"/>
      <c r="EQ733" s="21"/>
      <c r="ER733" s="21"/>
      <c r="ES733" s="9"/>
      <c r="ET733" s="9"/>
      <c r="EU733" s="9"/>
      <c r="EV733" s="9"/>
      <c r="EW733" s="9"/>
      <c r="EX733" s="9"/>
      <c r="EY733" s="9"/>
      <c r="EZ733" s="9"/>
      <c r="FA733" s="9"/>
      <c r="FB733" s="9"/>
      <c r="FC733" s="9"/>
      <c r="FD733" s="9"/>
      <c r="FE733" s="9"/>
      <c r="FF733" s="9"/>
      <c r="FG733" s="9"/>
      <c r="FH733" s="9"/>
      <c r="FI733" s="9"/>
      <c r="FJ733" s="9"/>
      <c r="FK733" s="9"/>
      <c r="FL733" s="9"/>
      <c r="FM733" s="9"/>
      <c r="FN733" s="9"/>
      <c r="FO733" s="9"/>
      <c r="FP733" s="9"/>
    </row>
    <row r="734" customFormat="false" ht="15" hidden="false" customHeight="false" outlineLevel="2" collapsed="false">
      <c r="B734" s="9" t="s">
        <v>872</v>
      </c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234" t="n">
        <f aca="false">('⑫ Roll-out Plan'!G78-2025)*12+'⑫ Roll-out Plan'!F78</f>
        <v>126</v>
      </c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  <c r="CU734" s="9"/>
      <c r="CV734" s="9"/>
      <c r="CW734" s="9"/>
      <c r="CX734" s="9"/>
      <c r="CY734" s="9"/>
      <c r="CZ734" s="9"/>
      <c r="DA734" s="9"/>
      <c r="DB734" s="9"/>
      <c r="DC734" s="9"/>
      <c r="DD734" s="9"/>
      <c r="DE734" s="9"/>
      <c r="DF734" s="9"/>
      <c r="DG734" s="9"/>
      <c r="DH734" s="9"/>
      <c r="DI734" s="9"/>
      <c r="DJ734" s="9"/>
      <c r="DK734" s="9"/>
      <c r="DL734" s="9"/>
      <c r="DM734" s="9"/>
      <c r="DN734" s="9"/>
      <c r="DO734" s="9"/>
      <c r="DP734" s="9"/>
      <c r="DQ734" s="9"/>
      <c r="DR734" s="9"/>
      <c r="DS734" s="9"/>
      <c r="DT734" s="9"/>
      <c r="DU734" s="9"/>
      <c r="DV734" s="9"/>
      <c r="DW734" s="9"/>
      <c r="DX734" s="9"/>
      <c r="DY734" s="9"/>
      <c r="DZ734" s="9"/>
      <c r="EA734" s="9"/>
      <c r="EB734" s="9"/>
      <c r="EC734" s="9"/>
      <c r="ED734" s="9"/>
      <c r="EE734" s="9"/>
      <c r="EF734" s="9"/>
      <c r="EG734" s="9"/>
      <c r="EH734" s="9"/>
      <c r="EI734" s="9"/>
      <c r="EJ734" s="9"/>
      <c r="EK734" s="9"/>
      <c r="EL734" s="9"/>
      <c r="EM734" s="9"/>
      <c r="EN734" s="9"/>
      <c r="EO734" s="9"/>
      <c r="EP734" s="9"/>
      <c r="EQ734" s="9"/>
      <c r="ER734" s="9"/>
      <c r="ES734" s="9"/>
      <c r="ET734" s="9"/>
      <c r="EU734" s="9"/>
      <c r="EV734" s="9"/>
      <c r="EW734" s="9"/>
      <c r="EX734" s="9"/>
      <c r="EY734" s="9"/>
      <c r="EZ734" s="9"/>
      <c r="FA734" s="9"/>
      <c r="FB734" s="9"/>
      <c r="FC734" s="9"/>
      <c r="FD734" s="9"/>
      <c r="FE734" s="9"/>
      <c r="FF734" s="9"/>
      <c r="FG734" s="9"/>
      <c r="FH734" s="9"/>
      <c r="FI734" s="9"/>
      <c r="FJ734" s="9"/>
      <c r="FK734" s="9"/>
      <c r="FL734" s="9"/>
      <c r="FM734" s="9"/>
      <c r="FN734" s="9"/>
      <c r="FO734" s="9"/>
      <c r="FP734" s="9"/>
    </row>
    <row r="735" customFormat="false" ht="15" hidden="false" customHeight="false" outlineLevel="2" collapsed="false">
      <c r="B735" s="9" t="s">
        <v>873</v>
      </c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235" t="n">
        <f aca="false">VLOOKUP("C",$B$14:$C$18,2,FALSE())</f>
        <v>110</v>
      </c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9"/>
      <c r="BW735" s="9"/>
      <c r="BX735" s="9"/>
      <c r="BY735" s="9"/>
      <c r="BZ735" s="9"/>
      <c r="CA735" s="9"/>
      <c r="CB735" s="9"/>
      <c r="CC735" s="9"/>
      <c r="CD735" s="9"/>
      <c r="CE735" s="9"/>
      <c r="CF735" s="9"/>
      <c r="CG735" s="9"/>
      <c r="CH735" s="9"/>
      <c r="CI735" s="9"/>
      <c r="CJ735" s="9"/>
      <c r="CK735" s="9"/>
      <c r="CL735" s="9"/>
      <c r="CM735" s="9"/>
      <c r="CN735" s="9"/>
      <c r="CO735" s="9"/>
      <c r="CP735" s="9"/>
      <c r="CQ735" s="9"/>
      <c r="CR735" s="9"/>
      <c r="CS735" s="9"/>
      <c r="CT735" s="9"/>
      <c r="CU735" s="9"/>
      <c r="CV735" s="9"/>
      <c r="CW735" s="9"/>
      <c r="CX735" s="9"/>
      <c r="CY735" s="9"/>
      <c r="CZ735" s="9"/>
      <c r="DA735" s="9"/>
      <c r="DB735" s="9"/>
      <c r="DC735" s="9"/>
      <c r="DD735" s="9"/>
      <c r="DE735" s="9"/>
      <c r="DF735" s="9"/>
      <c r="DG735" s="9"/>
      <c r="DH735" s="9"/>
      <c r="DI735" s="9"/>
      <c r="DJ735" s="9"/>
      <c r="DK735" s="9"/>
      <c r="DL735" s="9"/>
      <c r="DM735" s="9"/>
      <c r="DN735" s="9"/>
      <c r="DO735" s="9"/>
      <c r="DP735" s="9"/>
      <c r="DQ735" s="9"/>
      <c r="DR735" s="9"/>
      <c r="DS735" s="9"/>
      <c r="DT735" s="9"/>
      <c r="DU735" s="9"/>
      <c r="DV735" s="9"/>
      <c r="DW735" s="9"/>
      <c r="DX735" s="9"/>
      <c r="DY735" s="9"/>
      <c r="DZ735" s="9"/>
      <c r="EA735" s="9"/>
      <c r="EB735" s="9"/>
      <c r="EC735" s="9"/>
      <c r="ED735" s="9"/>
      <c r="EE735" s="9"/>
      <c r="EF735" s="9"/>
      <c r="EG735" s="9"/>
      <c r="EH735" s="9"/>
      <c r="EI735" s="9"/>
      <c r="EJ735" s="9"/>
      <c r="EK735" s="9"/>
      <c r="EL735" s="9"/>
      <c r="EM735" s="9"/>
      <c r="EN735" s="9"/>
      <c r="EO735" s="9"/>
      <c r="EP735" s="9"/>
      <c r="EQ735" s="9"/>
      <c r="ER735" s="9"/>
      <c r="ES735" s="9"/>
      <c r="ET735" s="9"/>
      <c r="EU735" s="9"/>
      <c r="EV735" s="9"/>
      <c r="EW735" s="9"/>
      <c r="EX735" s="9"/>
      <c r="EY735" s="9"/>
      <c r="EZ735" s="9"/>
      <c r="FA735" s="9"/>
      <c r="FB735" s="9"/>
      <c r="FC735" s="9"/>
      <c r="FD735" s="9"/>
      <c r="FE735" s="9"/>
      <c r="FF735" s="9"/>
      <c r="FG735" s="9"/>
      <c r="FH735" s="9"/>
      <c r="FI735" s="9"/>
      <c r="FJ735" s="9"/>
      <c r="FK735" s="9"/>
      <c r="FL735" s="9"/>
      <c r="FM735" s="9"/>
      <c r="FN735" s="9"/>
      <c r="FO735" s="9"/>
      <c r="FP735" s="9"/>
    </row>
    <row r="736" customFormat="false" ht="15" hidden="false" customHeight="false" outlineLevel="2" collapsed="false">
      <c r="B736" s="9" t="s">
        <v>799</v>
      </c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63" t="n">
        <f aca="false">IF(AC$35&gt;=$AC$734,AC$35-$AC$734+1,0)</f>
        <v>0</v>
      </c>
      <c r="AD736" s="63" t="n">
        <f aca="false">IF(AD$35&gt;=$AC$734,AD$35-$AC$734+1,0)</f>
        <v>0</v>
      </c>
      <c r="AE736" s="63" t="n">
        <f aca="false">IF(AE$35&gt;=$AC$734,AE$35-$AC$734+1,0)</f>
        <v>0</v>
      </c>
      <c r="AF736" s="63" t="n">
        <f aca="false">IF(AF$35&gt;=$AC$734,AF$35-$AC$734+1,0)</f>
        <v>0</v>
      </c>
      <c r="AG736" s="63" t="n">
        <f aca="false">IF(AG$35&gt;=$AC$734,AG$35-$AC$734+1,0)</f>
        <v>0</v>
      </c>
      <c r="AH736" s="63" t="n">
        <f aca="false">IF(AH$35&gt;=$AC$734,AH$35-$AC$734+1,0)</f>
        <v>0</v>
      </c>
      <c r="AI736" s="63" t="n">
        <f aca="false">IF(AI$35&gt;=$AC$734,AI$35-$AC$734+1,0)</f>
        <v>0</v>
      </c>
      <c r="AJ736" s="63" t="n">
        <f aca="false">IF(AJ$35&gt;=$AC$734,AJ$35-$AC$734+1,0)</f>
        <v>0</v>
      </c>
      <c r="AK736" s="63" t="n">
        <f aca="false">IF(AK$35&gt;=$AC$734,AK$35-$AC$734+1,0)</f>
        <v>0</v>
      </c>
      <c r="AL736" s="63" t="n">
        <f aca="false">IF(AL$35&gt;=$AC$734,AL$35-$AC$734+1,0)</f>
        <v>0</v>
      </c>
      <c r="AM736" s="63" t="n">
        <f aca="false">IF(AM$35&gt;=$AC$734,AM$35-$AC$734+1,0)</f>
        <v>0</v>
      </c>
      <c r="AN736" s="63" t="n">
        <f aca="false">IF(AN$35&gt;=$AC$734,AN$35-$AC$734+1,0)</f>
        <v>0</v>
      </c>
      <c r="AO736" s="63" t="n">
        <f aca="false">IF(AO$35&gt;=$AC$734,AO$35-$AC$734+1,0)</f>
        <v>0</v>
      </c>
      <c r="AP736" s="63" t="n">
        <f aca="false">IF(AP$35&gt;=$AC$734,AP$35-$AC$734+1,0)</f>
        <v>0</v>
      </c>
      <c r="AQ736" s="63" t="n">
        <f aca="false">IF(AQ$35&gt;=$AC$734,AQ$35-$AC$734+1,0)</f>
        <v>0</v>
      </c>
      <c r="AR736" s="63" t="n">
        <f aca="false">IF(AR$35&gt;=$AC$734,AR$35-$AC$734+1,0)</f>
        <v>0</v>
      </c>
      <c r="AS736" s="63" t="n">
        <f aca="false">IF(AS$35&gt;=$AC$734,AS$35-$AC$734+1,0)</f>
        <v>0</v>
      </c>
      <c r="AT736" s="63" t="n">
        <f aca="false">IF(AT$35&gt;=$AC$734,AT$35-$AC$734+1,0)</f>
        <v>0</v>
      </c>
      <c r="AU736" s="63" t="n">
        <f aca="false">IF(AU$35&gt;=$AC$734,AU$35-$AC$734+1,0)</f>
        <v>0</v>
      </c>
      <c r="AV736" s="63" t="n">
        <f aca="false">IF(AV$35&gt;=$AC$734,AV$35-$AC$734+1,0)</f>
        <v>0</v>
      </c>
      <c r="AW736" s="63" t="n">
        <f aca="false">IF(AW$35&gt;=$AC$734,AW$35-$AC$734+1,0)</f>
        <v>0</v>
      </c>
      <c r="AX736" s="63" t="n">
        <f aca="false">IF(AX$35&gt;=$AC$734,AX$35-$AC$734+1,0)</f>
        <v>0</v>
      </c>
      <c r="AY736" s="63" t="n">
        <f aca="false">IF(AY$35&gt;=$AC$734,AY$35-$AC$734+1,0)</f>
        <v>0</v>
      </c>
      <c r="AZ736" s="63" t="n">
        <f aca="false">IF(AZ$35&gt;=$AC$734,AZ$35-$AC$734+1,0)</f>
        <v>0</v>
      </c>
      <c r="BA736" s="63" t="n">
        <f aca="false">IF(BA$35&gt;=$AC$734,BA$35-$AC$734+1,0)</f>
        <v>0</v>
      </c>
      <c r="BB736" s="63" t="n">
        <f aca="false">IF(BB$35&gt;=$AC$734,BB$35-$AC$734+1,0)</f>
        <v>0</v>
      </c>
      <c r="BC736" s="63" t="n">
        <f aca="false">IF(BC$35&gt;=$AC$734,BC$35-$AC$734+1,0)</f>
        <v>0</v>
      </c>
      <c r="BD736" s="63" t="n">
        <f aca="false">IF(BD$35&gt;=$AC$734,BD$35-$AC$734+1,0)</f>
        <v>0</v>
      </c>
      <c r="BE736" s="63" t="n">
        <f aca="false">IF(BE$35&gt;=$AC$734,BE$35-$AC$734+1,0)</f>
        <v>0</v>
      </c>
      <c r="BF736" s="63" t="n">
        <f aca="false">IF(BF$35&gt;=$AC$734,BF$35-$AC$734+1,0)</f>
        <v>0</v>
      </c>
      <c r="BG736" s="63" t="n">
        <f aca="false">IF(BG$35&gt;=$AC$734,BG$35-$AC$734+1,0)</f>
        <v>0</v>
      </c>
      <c r="BH736" s="63" t="n">
        <f aca="false">IF(BH$35&gt;=$AC$734,BH$35-$AC$734+1,0)</f>
        <v>0</v>
      </c>
      <c r="BI736" s="63" t="n">
        <f aca="false">IF(BI$35&gt;=$AC$734,BI$35-$AC$734+1,0)</f>
        <v>0</v>
      </c>
      <c r="BJ736" s="63" t="n">
        <f aca="false">IF(BJ$35&gt;=$AC$734,BJ$35-$AC$734+1,0)</f>
        <v>0</v>
      </c>
      <c r="BK736" s="63" t="n">
        <f aca="false">IF(BK$35&gt;=$AC$734,BK$35-$AC$734+1,0)</f>
        <v>0</v>
      </c>
      <c r="BL736" s="63" t="n">
        <f aca="false">IF(BL$35&gt;=$AC$734,BL$35-$AC$734+1,0)</f>
        <v>0</v>
      </c>
      <c r="BM736" s="63" t="n">
        <f aca="false">IF(BM$35&gt;=$AC$734,BM$35-$AC$734+1,0)</f>
        <v>0</v>
      </c>
      <c r="BN736" s="63" t="n">
        <f aca="false">IF(BN$35&gt;=$AC$734,BN$35-$AC$734+1,0)</f>
        <v>0</v>
      </c>
      <c r="BO736" s="63" t="n">
        <f aca="false">IF(BO$35&gt;=$AC$734,BO$35-$AC$734+1,0)</f>
        <v>0</v>
      </c>
      <c r="BP736" s="63" t="n">
        <f aca="false">IF(BP$35&gt;=$AC$734,BP$35-$AC$734+1,0)</f>
        <v>0</v>
      </c>
      <c r="BQ736" s="63" t="n">
        <f aca="false">IF(BQ$35&gt;=$AC$734,BQ$35-$AC$734+1,0)</f>
        <v>0</v>
      </c>
      <c r="BR736" s="63" t="n">
        <f aca="false">IF(BR$35&gt;=$AC$734,BR$35-$AC$734+1,0)</f>
        <v>0</v>
      </c>
      <c r="BS736" s="63" t="n">
        <f aca="false">IF(BS$35&gt;=$AC$734,BS$35-$AC$734+1,0)</f>
        <v>0</v>
      </c>
      <c r="BT736" s="63" t="n">
        <f aca="false">IF(BT$35&gt;=$AC$734,BT$35-$AC$734+1,0)</f>
        <v>0</v>
      </c>
      <c r="BU736" s="63" t="n">
        <f aca="false">IF(BU$35&gt;=$AC$734,BU$35-$AC$734+1,0)</f>
        <v>0</v>
      </c>
      <c r="BV736" s="63" t="n">
        <f aca="false">IF(BV$35&gt;=$AC$734,BV$35-$AC$734+1,0)</f>
        <v>0</v>
      </c>
      <c r="BW736" s="63" t="n">
        <f aca="false">IF(BW$35&gt;=$AC$734,BW$35-$AC$734+1,0)</f>
        <v>0</v>
      </c>
      <c r="BX736" s="63" t="n">
        <f aca="false">IF(BX$35&gt;=$AC$734,BX$35-$AC$734+1,0)</f>
        <v>0</v>
      </c>
      <c r="BY736" s="63" t="n">
        <f aca="false">IF(BY$35&gt;=$AC$734,BY$35-$AC$734+1,0)</f>
        <v>0</v>
      </c>
      <c r="BZ736" s="63" t="n">
        <f aca="false">IF(BZ$35&gt;=$AC$734,BZ$35-$AC$734+1,0)</f>
        <v>0</v>
      </c>
      <c r="CA736" s="63" t="n">
        <f aca="false">IF(CA$35&gt;=$AC$734,CA$35-$AC$734+1,0)</f>
        <v>0</v>
      </c>
      <c r="CB736" s="63" t="n">
        <f aca="false">IF(CB$35&gt;=$AC$734,CB$35-$AC$734+1,0)</f>
        <v>0</v>
      </c>
      <c r="CC736" s="63" t="n">
        <f aca="false">IF(CC$35&gt;=$AC$734,CC$35-$AC$734+1,0)</f>
        <v>0</v>
      </c>
      <c r="CD736" s="63" t="n">
        <f aca="false">IF(CD$35&gt;=$AC$734,CD$35-$AC$734+1,0)</f>
        <v>0</v>
      </c>
      <c r="CE736" s="63" t="n">
        <f aca="false">IF(CE$35&gt;=$AC$734,CE$35-$AC$734+1,0)</f>
        <v>0</v>
      </c>
      <c r="CF736" s="63" t="n">
        <f aca="false">IF(CF$35&gt;=$AC$734,CF$35-$AC$734+1,0)</f>
        <v>0</v>
      </c>
      <c r="CG736" s="63" t="n">
        <f aca="false">IF(CG$35&gt;=$AC$734,CG$35-$AC$734+1,0)</f>
        <v>0</v>
      </c>
      <c r="CH736" s="63" t="n">
        <f aca="false">IF(CH$35&gt;=$AC$734,CH$35-$AC$734+1,0)</f>
        <v>0</v>
      </c>
      <c r="CI736" s="63" t="n">
        <f aca="false">IF(CI$35&gt;=$AC$734,CI$35-$AC$734+1,0)</f>
        <v>0</v>
      </c>
      <c r="CJ736" s="63" t="n">
        <f aca="false">IF(CJ$35&gt;=$AC$734,CJ$35-$AC$734+1,0)</f>
        <v>0</v>
      </c>
      <c r="CK736" s="63" t="n">
        <f aca="false">IF(CK$35&gt;=$AC$734,CK$35-$AC$734+1,0)</f>
        <v>0</v>
      </c>
      <c r="CL736" s="63" t="n">
        <f aca="false">IF(CL$35&gt;=$AC$734,CL$35-$AC$734+1,0)</f>
        <v>0</v>
      </c>
      <c r="CM736" s="63" t="n">
        <f aca="false">IF(CM$35&gt;=$AC$734,CM$35-$AC$734+1,0)</f>
        <v>0</v>
      </c>
      <c r="CN736" s="63" t="n">
        <f aca="false">IF(CN$35&gt;=$AC$734,CN$35-$AC$734+1,0)</f>
        <v>0</v>
      </c>
      <c r="CO736" s="63" t="n">
        <f aca="false">IF(CO$35&gt;=$AC$734,CO$35-$AC$734+1,0)</f>
        <v>0</v>
      </c>
      <c r="CP736" s="63" t="n">
        <f aca="false">IF(CP$35&gt;=$AC$734,CP$35-$AC$734+1,0)</f>
        <v>0</v>
      </c>
      <c r="CQ736" s="63" t="n">
        <f aca="false">IF(CQ$35&gt;=$AC$734,CQ$35-$AC$734+1,0)</f>
        <v>0</v>
      </c>
      <c r="CR736" s="63" t="n">
        <f aca="false">IF(CR$35&gt;=$AC$734,CR$35-$AC$734+1,0)</f>
        <v>0</v>
      </c>
      <c r="CS736" s="63" t="n">
        <f aca="false">IF(CS$35&gt;=$AC$734,CS$35-$AC$734+1,0)</f>
        <v>0</v>
      </c>
      <c r="CT736" s="63" t="n">
        <f aca="false">IF(CT$35&gt;=$AC$734,CT$35-$AC$734+1,0)</f>
        <v>0</v>
      </c>
      <c r="CU736" s="63" t="n">
        <f aca="false">IF(CU$35&gt;=$AC$734,CU$35-$AC$734+1,0)</f>
        <v>0</v>
      </c>
      <c r="CV736" s="63" t="n">
        <f aca="false">IF(CV$35&gt;=$AC$734,CV$35-$AC$734+1,0)</f>
        <v>0</v>
      </c>
      <c r="CW736" s="63" t="n">
        <f aca="false">IF(CW$35&gt;=$AC$734,CW$35-$AC$734+1,0)</f>
        <v>0</v>
      </c>
      <c r="CX736" s="63" t="n">
        <f aca="false">IF(CX$35&gt;=$AC$734,CX$35-$AC$734+1,0)</f>
        <v>0</v>
      </c>
      <c r="CY736" s="63" t="n">
        <f aca="false">IF(CY$35&gt;=$AC$734,CY$35-$AC$734+1,0)</f>
        <v>0</v>
      </c>
      <c r="CZ736" s="63" t="n">
        <f aca="false">IF(CZ$35&gt;=$AC$734,CZ$35-$AC$734+1,0)</f>
        <v>0</v>
      </c>
      <c r="DA736" s="63" t="n">
        <f aca="false">IF(DA$35&gt;=$AC$734,DA$35-$AC$734+1,0)</f>
        <v>0</v>
      </c>
      <c r="DB736" s="63" t="n">
        <f aca="false">IF(DB$35&gt;=$AC$734,DB$35-$AC$734+1,0)</f>
        <v>0</v>
      </c>
      <c r="DC736" s="63" t="n">
        <f aca="false">IF(DC$35&gt;=$AC$734,DC$35-$AC$734+1,0)</f>
        <v>0</v>
      </c>
      <c r="DD736" s="63" t="n">
        <f aca="false">IF(DD$35&gt;=$AC$734,DD$35-$AC$734+1,0)</f>
        <v>0</v>
      </c>
      <c r="DE736" s="63" t="n">
        <f aca="false">IF(DE$35&gt;=$AC$734,DE$35-$AC$734+1,0)</f>
        <v>0</v>
      </c>
      <c r="DF736" s="63" t="n">
        <f aca="false">IF(DF$35&gt;=$AC$734,DF$35-$AC$734+1,0)</f>
        <v>0</v>
      </c>
      <c r="DG736" s="63" t="n">
        <f aca="false">IF(DG$35&gt;=$AC$734,DG$35-$AC$734+1,0)</f>
        <v>0</v>
      </c>
      <c r="DH736" s="63" t="n">
        <f aca="false">IF(DH$35&gt;=$AC$734,DH$35-$AC$734+1,0)</f>
        <v>0</v>
      </c>
      <c r="DI736" s="63" t="n">
        <f aca="false">IF(DI$35&gt;=$AC$734,DI$35-$AC$734+1,0)</f>
        <v>0</v>
      </c>
      <c r="DJ736" s="63" t="n">
        <f aca="false">IF(DJ$35&gt;=$AC$734,DJ$35-$AC$734+1,0)</f>
        <v>0</v>
      </c>
      <c r="DK736" s="63" t="n">
        <f aca="false">IF(DK$35&gt;=$AC$734,DK$35-$AC$734+1,0)</f>
        <v>0</v>
      </c>
      <c r="DL736" s="63" t="n">
        <f aca="false">IF(DL$35&gt;=$AC$734,DL$35-$AC$734+1,0)</f>
        <v>0</v>
      </c>
      <c r="DM736" s="63" t="n">
        <f aca="false">IF(DM$35&gt;=$AC$734,DM$35-$AC$734+1,0)</f>
        <v>0</v>
      </c>
      <c r="DN736" s="63" t="n">
        <f aca="false">IF(DN$35&gt;=$AC$734,DN$35-$AC$734+1,0)</f>
        <v>0</v>
      </c>
      <c r="DO736" s="63" t="n">
        <f aca="false">IF(DO$35&gt;=$AC$734,DO$35-$AC$734+1,0)</f>
        <v>0</v>
      </c>
      <c r="DP736" s="63" t="n">
        <f aca="false">IF(DP$35&gt;=$AC$734,DP$35-$AC$734+1,0)</f>
        <v>0</v>
      </c>
      <c r="DQ736" s="63" t="n">
        <f aca="false">IF(DQ$35&gt;=$AC$734,DQ$35-$AC$734+1,0)</f>
        <v>0</v>
      </c>
      <c r="DR736" s="63" t="n">
        <f aca="false">IF(DR$35&gt;=$AC$734,DR$35-$AC$734+1,0)</f>
        <v>0</v>
      </c>
      <c r="DS736" s="63" t="n">
        <f aca="false">IF(DS$35&gt;=$AC$734,DS$35-$AC$734+1,0)</f>
        <v>0</v>
      </c>
      <c r="DT736" s="63" t="n">
        <f aca="false">IF(DT$35&gt;=$AC$734,DT$35-$AC$734+1,0)</f>
        <v>0</v>
      </c>
      <c r="DU736" s="63" t="n">
        <f aca="false">IF(DU$35&gt;=$AC$734,DU$35-$AC$734+1,0)</f>
        <v>0</v>
      </c>
      <c r="DV736" s="63" t="n">
        <f aca="false">IF(DV$35&gt;=$AC$734,DV$35-$AC$734+1,0)</f>
        <v>0</v>
      </c>
      <c r="DW736" s="63" t="n">
        <f aca="false">IF(DW$35&gt;=$AC$734,DW$35-$AC$734+1,0)</f>
        <v>0</v>
      </c>
      <c r="DX736" s="63" t="n">
        <f aca="false">IF(DX$35&gt;=$AC$734,DX$35-$AC$734+1,0)</f>
        <v>0</v>
      </c>
      <c r="DY736" s="63" t="n">
        <f aca="false">IF(DY$35&gt;=$AC$734,DY$35-$AC$734+1,0)</f>
        <v>0</v>
      </c>
      <c r="DZ736" s="63" t="n">
        <f aca="false">IF(DZ$35&gt;=$AC$734,DZ$35-$AC$734+1,0)</f>
        <v>0</v>
      </c>
      <c r="EA736" s="63" t="n">
        <f aca="false">IF(EA$35&gt;=$AC$734,EA$35-$AC$734+1,0)</f>
        <v>0</v>
      </c>
      <c r="EB736" s="63" t="n">
        <f aca="false">IF(EB$35&gt;=$AC$734,EB$35-$AC$734+1,0)</f>
        <v>0</v>
      </c>
      <c r="EC736" s="63" t="n">
        <f aca="false">IF(EC$35&gt;=$AC$734,EC$35-$AC$734+1,0)</f>
        <v>0</v>
      </c>
      <c r="ED736" s="63" t="n">
        <f aca="false">IF(ED$35&gt;=$AC$734,ED$35-$AC$734+1,0)</f>
        <v>0</v>
      </c>
      <c r="EE736" s="63" t="n">
        <f aca="false">IF(EE$35&gt;=$AC$734,EE$35-$AC$734+1,0)</f>
        <v>0</v>
      </c>
      <c r="EF736" s="63" t="n">
        <f aca="false">IF(EF$35&gt;=$AC$734,EF$35-$AC$734+1,0)</f>
        <v>0</v>
      </c>
      <c r="EG736" s="63" t="n">
        <f aca="false">IF(EG$35&gt;=$AC$734,EG$35-$AC$734+1,0)</f>
        <v>0</v>
      </c>
      <c r="EH736" s="63" t="n">
        <f aca="false">IF(EH$35&gt;=$AC$734,EH$35-$AC$734+1,0)</f>
        <v>0</v>
      </c>
      <c r="EI736" s="63" t="n">
        <f aca="false">IF(EI$35&gt;=$AC$734,EI$35-$AC$734+1,0)</f>
        <v>0</v>
      </c>
      <c r="EJ736" s="63" t="n">
        <f aca="false">IF(EJ$35&gt;=$AC$734,EJ$35-$AC$734+1,0)</f>
        <v>0</v>
      </c>
      <c r="EK736" s="63" t="n">
        <f aca="false">IF(EK$35&gt;=$AC$734,EK$35-$AC$734+1,0)</f>
        <v>0</v>
      </c>
      <c r="EL736" s="63" t="n">
        <f aca="false">IF(EL$35&gt;=$AC$734,EL$35-$AC$734+1,0)</f>
        <v>0</v>
      </c>
      <c r="EM736" s="63" t="n">
        <f aca="false">IF(EM$35&gt;=$AC$734,EM$35-$AC$734+1,0)</f>
        <v>0</v>
      </c>
      <c r="EN736" s="63" t="n">
        <f aca="false">IF(EN$35&gt;=$AC$734,EN$35-$AC$734+1,0)</f>
        <v>0</v>
      </c>
      <c r="EO736" s="63" t="n">
        <f aca="false">IF(EO$35&gt;=$AC$734,EO$35-$AC$734+1,0)</f>
        <v>0</v>
      </c>
      <c r="EP736" s="63" t="n">
        <f aca="false">IF(EP$35&gt;=$AC$734,EP$35-$AC$734+1,0)</f>
        <v>0</v>
      </c>
      <c r="EQ736" s="63" t="n">
        <f aca="false">IF(EQ$35&gt;=$AC$734,EQ$35-$AC$734+1,0)</f>
        <v>0</v>
      </c>
      <c r="ER736" s="63" t="n">
        <f aca="false">IF(ER$35&gt;=$AC$734,ER$35-$AC$734+1,0)</f>
        <v>0</v>
      </c>
      <c r="ES736" s="9" t="n">
        <f aca="false">IF(ES$35&gt;=$AC$734,ES$35-$AC$734+1,0)</f>
        <v>0</v>
      </c>
      <c r="ET736" s="9" t="n">
        <f aca="false">IF(ET$35&gt;=$AC$734,ET$35-$AC$734+1,0)</f>
        <v>0</v>
      </c>
      <c r="EU736" s="9" t="n">
        <f aca="false">IF(EU$35&gt;=$AC$734,EU$35-$AC$734+1,0)</f>
        <v>0</v>
      </c>
      <c r="EV736" s="9" t="n">
        <f aca="false">IF(EV$35&gt;=$AC$734,EV$35-$AC$734+1,0)</f>
        <v>0</v>
      </c>
      <c r="EW736" s="9" t="n">
        <f aca="false">IF(EW$35&gt;=$AC$734,EW$35-$AC$734+1,0)</f>
        <v>0</v>
      </c>
      <c r="EX736" s="9" t="n">
        <f aca="false">IF(EX$35&gt;=$AC$734,EX$35-$AC$734+1,0)</f>
        <v>1</v>
      </c>
      <c r="EY736" s="9" t="n">
        <f aca="false">IF(EY$35&gt;=$AC$734,EY$35-$AC$734+1,0)</f>
        <v>2</v>
      </c>
      <c r="EZ736" s="9" t="n">
        <f aca="false">IF(EZ$35&gt;=$AC$734,EZ$35-$AC$734+1,0)</f>
        <v>3</v>
      </c>
      <c r="FA736" s="9" t="n">
        <f aca="false">IF(FA$35&gt;=$AC$734,FA$35-$AC$734+1,0)</f>
        <v>4</v>
      </c>
      <c r="FB736" s="9" t="n">
        <f aca="false">IF(FB$35&gt;=$AC$734,FB$35-$AC$734+1,0)</f>
        <v>5</v>
      </c>
      <c r="FC736" s="9" t="n">
        <f aca="false">IF(FC$35&gt;=$AC$734,FC$35-$AC$734+1,0)</f>
        <v>6</v>
      </c>
      <c r="FD736" s="9" t="n">
        <f aca="false">IF(FD$35&gt;=$AC$734,FD$35-$AC$734+1,0)</f>
        <v>7</v>
      </c>
      <c r="FE736" s="9" t="n">
        <f aca="false">IF(FE$35&gt;=$AC$734,FE$35-$AC$734+1,0)</f>
        <v>8</v>
      </c>
      <c r="FF736" s="9" t="n">
        <f aca="false">IF(FF$35&gt;=$AC$734,FF$35-$AC$734+1,0)</f>
        <v>9</v>
      </c>
      <c r="FG736" s="9" t="n">
        <f aca="false">IF(FG$35&gt;=$AC$734,FG$35-$AC$734+1,0)</f>
        <v>10</v>
      </c>
      <c r="FH736" s="9" t="n">
        <f aca="false">IF(FH$35&gt;=$AC$734,FH$35-$AC$734+1,0)</f>
        <v>11</v>
      </c>
      <c r="FI736" s="9" t="n">
        <f aca="false">IF(FI$35&gt;=$AC$734,FI$35-$AC$734+1,0)</f>
        <v>12</v>
      </c>
      <c r="FJ736" s="9" t="n">
        <f aca="false">IF(FJ$35&gt;=$AC$734,FJ$35-$AC$734+1,0)</f>
        <v>13</v>
      </c>
      <c r="FK736" s="9" t="n">
        <f aca="false">IF(FK$35&gt;=$AC$734,FK$35-$AC$734+1,0)</f>
        <v>14</v>
      </c>
      <c r="FL736" s="9" t="n">
        <f aca="false">IF(FL$35&gt;=$AC$734,FL$35-$AC$734+1,0)</f>
        <v>15</v>
      </c>
      <c r="FM736" s="9" t="n">
        <f aca="false">IF(FM$35&gt;=$AC$734,FM$35-$AC$734+1,0)</f>
        <v>16</v>
      </c>
      <c r="FN736" s="9" t="n">
        <f aca="false">IF(FN$35&gt;=$AC$734,FN$35-$AC$734+1,0)</f>
        <v>17</v>
      </c>
      <c r="FO736" s="9" t="n">
        <f aca="false">IF(FO$35&gt;=$AC$734,FO$35-$AC$734+1,0)</f>
        <v>18</v>
      </c>
      <c r="FP736" s="9" t="n">
        <f aca="false">IF(FP$35&gt;=$AC$734,FP$35-$AC$734+1,0)</f>
        <v>19</v>
      </c>
    </row>
    <row r="737" customFormat="false" ht="15" hidden="false" customHeight="false" outlineLevel="2" collapsed="false">
      <c r="B737" s="9" t="s">
        <v>874</v>
      </c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236" t="n">
        <f aca="false" t="array" ref="AC737:AC737">IF(AC736=0,0,IF(AC736/'🎚️ Escenario'!$C$11&gt;=36,$AL$23,INDEX($C$23:$AL$23,MAX(1,ROUNDUP(AC736/'🎚️ Escenario'!$C$11,0)))))</f>
        <v>0</v>
      </c>
      <c r="AD737" s="236" t="n">
        <f aca="false" t="array" ref="AD737:AD737">IF(AD736=0,0,IF(AD736/'🎚️ Escenario'!$C$11&gt;=36,$AL$23,INDEX($C$23:$AL$23,MAX(1,ROUNDUP(AD736/'🎚️ Escenario'!$C$11,0)))))</f>
        <v>0</v>
      </c>
      <c r="AE737" s="236" t="n">
        <f aca="false" t="array" ref="AE737:AE737">IF(AE736=0,0,IF(AE736/'🎚️ Escenario'!$C$11&gt;=36,$AL$23,INDEX($C$23:$AL$23,MAX(1,ROUNDUP(AE736/'🎚️ Escenario'!$C$11,0)))))</f>
        <v>0</v>
      </c>
      <c r="AF737" s="236" t="n">
        <f aca="false" t="array" ref="AF737:AF737">IF(AF736=0,0,IF(AF736/'🎚️ Escenario'!$C$11&gt;=36,$AL$23,INDEX($C$23:$AL$23,MAX(1,ROUNDUP(AF736/'🎚️ Escenario'!$C$11,0)))))</f>
        <v>0</v>
      </c>
      <c r="AG737" s="236" t="n">
        <f aca="false" t="array" ref="AG737:AG737">IF(AG736=0,0,IF(AG736/'🎚️ Escenario'!$C$11&gt;=36,$AL$23,INDEX($C$23:$AL$23,MAX(1,ROUNDUP(AG736/'🎚️ Escenario'!$C$11,0)))))</f>
        <v>0</v>
      </c>
      <c r="AH737" s="236" t="n">
        <f aca="false" t="array" ref="AH737:AH737">IF(AH736=0,0,IF(AH736/'🎚️ Escenario'!$C$11&gt;=36,$AL$23,INDEX($C$23:$AL$23,MAX(1,ROUNDUP(AH736/'🎚️ Escenario'!$C$11,0)))))</f>
        <v>0</v>
      </c>
      <c r="AI737" s="236" t="n">
        <f aca="false" t="array" ref="AI737:AI737">IF(AI736=0,0,IF(AI736/'🎚️ Escenario'!$C$11&gt;=36,$AL$23,INDEX($C$23:$AL$23,MAX(1,ROUNDUP(AI736/'🎚️ Escenario'!$C$11,0)))))</f>
        <v>0</v>
      </c>
      <c r="AJ737" s="236" t="n">
        <f aca="false" t="array" ref="AJ737:AJ737">IF(AJ736=0,0,IF(AJ736/'🎚️ Escenario'!$C$11&gt;=36,$AL$23,INDEX($C$23:$AL$23,MAX(1,ROUNDUP(AJ736/'🎚️ Escenario'!$C$11,0)))))</f>
        <v>0</v>
      </c>
      <c r="AK737" s="236" t="n">
        <f aca="false" t="array" ref="AK737:AK737">IF(AK736=0,0,IF(AK736/'🎚️ Escenario'!$C$11&gt;=36,$AL$23,INDEX($C$23:$AL$23,MAX(1,ROUNDUP(AK736/'🎚️ Escenario'!$C$11,0)))))</f>
        <v>0</v>
      </c>
      <c r="AL737" s="236" t="n">
        <f aca="false" t="array" ref="AL737:AL737">IF(AL736=0,0,IF(AL736/'🎚️ Escenario'!$C$11&gt;=36,$AL$23,INDEX($C$23:$AL$23,MAX(1,ROUNDUP(AL736/'🎚️ Escenario'!$C$11,0)))))</f>
        <v>0</v>
      </c>
      <c r="AM737" s="236" t="n">
        <f aca="false" t="array" ref="AM737:AM737">IF(AM736=0,0,IF(AM736/'🎚️ Escenario'!$C$11&gt;=36,$AL$23,INDEX($C$23:$AL$23,MAX(1,ROUNDUP(AM736/'🎚️ Escenario'!$C$11,0)))))</f>
        <v>0</v>
      </c>
      <c r="AN737" s="236" t="n">
        <f aca="false" t="array" ref="AN737:AN737">IF(AN736=0,0,IF(AN736/'🎚️ Escenario'!$C$11&gt;=36,$AL$23,INDEX($C$23:$AL$23,MAX(1,ROUNDUP(AN736/'🎚️ Escenario'!$C$11,0)))))</f>
        <v>0</v>
      </c>
      <c r="AO737" s="236" t="n">
        <f aca="false" t="array" ref="AO737:AO737">IF(AO736=0,0,IF(AO736/'🎚️ Escenario'!$C$11&gt;=36,$AL$23,INDEX($C$23:$AL$23,MAX(1,ROUNDUP(AO736/'🎚️ Escenario'!$C$11,0)))))</f>
        <v>0</v>
      </c>
      <c r="AP737" s="236" t="n">
        <f aca="false" t="array" ref="AP737:AP737">IF(AP736=0,0,IF(AP736/'🎚️ Escenario'!$C$11&gt;=36,$AL$23,INDEX($C$23:$AL$23,MAX(1,ROUNDUP(AP736/'🎚️ Escenario'!$C$11,0)))))</f>
        <v>0</v>
      </c>
      <c r="AQ737" s="236" t="n">
        <f aca="false" t="array" ref="AQ737:AQ737">IF(AQ736=0,0,IF(AQ736/'🎚️ Escenario'!$C$11&gt;=36,$AL$23,INDEX($C$23:$AL$23,MAX(1,ROUNDUP(AQ736/'🎚️ Escenario'!$C$11,0)))))</f>
        <v>0</v>
      </c>
      <c r="AR737" s="236" t="n">
        <f aca="false" t="array" ref="AR737:AR737">IF(AR736=0,0,IF(AR736/'🎚️ Escenario'!$C$11&gt;=36,$AL$23,INDEX($C$23:$AL$23,MAX(1,ROUNDUP(AR736/'🎚️ Escenario'!$C$11,0)))))</f>
        <v>0</v>
      </c>
      <c r="AS737" s="236" t="n">
        <f aca="false" t="array" ref="AS737:AS737">IF(AS736=0,0,IF(AS736/'🎚️ Escenario'!$C$11&gt;=36,$AL$23,INDEX($C$23:$AL$23,MAX(1,ROUNDUP(AS736/'🎚️ Escenario'!$C$11,0)))))</f>
        <v>0</v>
      </c>
      <c r="AT737" s="236" t="n">
        <f aca="false" t="array" ref="AT737:AT737">IF(AT736=0,0,IF(AT736/'🎚️ Escenario'!$C$11&gt;=36,$AL$23,INDEX($C$23:$AL$23,MAX(1,ROUNDUP(AT736/'🎚️ Escenario'!$C$11,0)))))</f>
        <v>0</v>
      </c>
      <c r="AU737" s="236" t="n">
        <f aca="false" t="array" ref="AU737:AU737">IF(AU736=0,0,IF(AU736/'🎚️ Escenario'!$C$11&gt;=36,$AL$23,INDEX($C$23:$AL$23,MAX(1,ROUNDUP(AU736/'🎚️ Escenario'!$C$11,0)))))</f>
        <v>0</v>
      </c>
      <c r="AV737" s="236" t="n">
        <f aca="false" t="array" ref="AV737:AV737">IF(AV736=0,0,IF(AV736/'🎚️ Escenario'!$C$11&gt;=36,$AL$23,INDEX($C$23:$AL$23,MAX(1,ROUNDUP(AV736/'🎚️ Escenario'!$C$11,0)))))</f>
        <v>0</v>
      </c>
      <c r="AW737" s="236" t="n">
        <f aca="false" t="array" ref="AW737:AW737">IF(AW736=0,0,IF(AW736/'🎚️ Escenario'!$C$11&gt;=36,$AL$23,INDEX($C$23:$AL$23,MAX(1,ROUNDUP(AW736/'🎚️ Escenario'!$C$11,0)))))</f>
        <v>0</v>
      </c>
      <c r="AX737" s="236" t="n">
        <f aca="false" t="array" ref="AX737:AX737">IF(AX736=0,0,IF(AX736/'🎚️ Escenario'!$C$11&gt;=36,$AL$23,INDEX($C$23:$AL$23,MAX(1,ROUNDUP(AX736/'🎚️ Escenario'!$C$11,0)))))</f>
        <v>0</v>
      </c>
      <c r="AY737" s="236" t="n">
        <f aca="false" t="array" ref="AY737:AY737">IF(AY736=0,0,IF(AY736/'🎚️ Escenario'!$C$11&gt;=36,$AL$23,INDEX($C$23:$AL$23,MAX(1,ROUNDUP(AY736/'🎚️ Escenario'!$C$11,0)))))</f>
        <v>0</v>
      </c>
      <c r="AZ737" s="236" t="n">
        <f aca="false" t="array" ref="AZ737:AZ737">IF(AZ736=0,0,IF(AZ736/'🎚️ Escenario'!$C$11&gt;=36,$AL$23,INDEX($C$23:$AL$23,MAX(1,ROUNDUP(AZ736/'🎚️ Escenario'!$C$11,0)))))</f>
        <v>0</v>
      </c>
      <c r="BA737" s="236" t="n">
        <f aca="false" t="array" ref="BA737:BA737">IF(BA736=0,0,IF(BA736/'🎚️ Escenario'!$C$11&gt;=36,$AL$23,INDEX($C$23:$AL$23,MAX(1,ROUNDUP(BA736/'🎚️ Escenario'!$C$11,0)))))</f>
        <v>0</v>
      </c>
      <c r="BB737" s="236" t="n">
        <f aca="false" t="array" ref="BB737:BB737">IF(BB736=0,0,IF(BB736/'🎚️ Escenario'!$C$11&gt;=36,$AL$23,INDEX($C$23:$AL$23,MAX(1,ROUNDUP(BB736/'🎚️ Escenario'!$C$11,0)))))</f>
        <v>0</v>
      </c>
      <c r="BC737" s="236" t="n">
        <f aca="false" t="array" ref="BC737:BC737">IF(BC736=0,0,IF(BC736/'🎚️ Escenario'!$C$11&gt;=36,$AL$23,INDEX($C$23:$AL$23,MAX(1,ROUNDUP(BC736/'🎚️ Escenario'!$C$11,0)))))</f>
        <v>0</v>
      </c>
      <c r="BD737" s="236" t="n">
        <f aca="false" t="array" ref="BD737:BD737">IF(BD736=0,0,IF(BD736/'🎚️ Escenario'!$C$11&gt;=36,$AL$23,INDEX($C$23:$AL$23,MAX(1,ROUNDUP(BD736/'🎚️ Escenario'!$C$11,0)))))</f>
        <v>0</v>
      </c>
      <c r="BE737" s="236" t="n">
        <f aca="false" t="array" ref="BE737:BE737">IF(BE736=0,0,IF(BE736/'🎚️ Escenario'!$C$11&gt;=36,$AL$23,INDEX($C$23:$AL$23,MAX(1,ROUNDUP(BE736/'🎚️ Escenario'!$C$11,0)))))</f>
        <v>0</v>
      </c>
      <c r="BF737" s="236" t="n">
        <f aca="false" t="array" ref="BF737:BF737">IF(BF736=0,0,IF(BF736/'🎚️ Escenario'!$C$11&gt;=36,$AL$23,INDEX($C$23:$AL$23,MAX(1,ROUNDUP(BF736/'🎚️ Escenario'!$C$11,0)))))</f>
        <v>0</v>
      </c>
      <c r="BG737" s="236" t="n">
        <f aca="false" t="array" ref="BG737:BG737">IF(BG736=0,0,IF(BG736/'🎚️ Escenario'!$C$11&gt;=36,$AL$23,INDEX($C$23:$AL$23,MAX(1,ROUNDUP(BG736/'🎚️ Escenario'!$C$11,0)))))</f>
        <v>0</v>
      </c>
      <c r="BH737" s="236" t="n">
        <f aca="false" t="array" ref="BH737:BH737">IF(BH736=0,0,IF(BH736/'🎚️ Escenario'!$C$11&gt;=36,$AL$23,INDEX($C$23:$AL$23,MAX(1,ROUNDUP(BH736/'🎚️ Escenario'!$C$11,0)))))</f>
        <v>0</v>
      </c>
      <c r="BI737" s="236" t="n">
        <f aca="false" t="array" ref="BI737:BI737">IF(BI736=0,0,IF(BI736/'🎚️ Escenario'!$C$11&gt;=36,$AL$23,INDEX($C$23:$AL$23,MAX(1,ROUNDUP(BI736/'🎚️ Escenario'!$C$11,0)))))</f>
        <v>0</v>
      </c>
      <c r="BJ737" s="236" t="n">
        <f aca="false" t="array" ref="BJ737:BJ737">IF(BJ736=0,0,IF(BJ736/'🎚️ Escenario'!$C$11&gt;=36,$AL$23,INDEX($C$23:$AL$23,MAX(1,ROUNDUP(BJ736/'🎚️ Escenario'!$C$11,0)))))</f>
        <v>0</v>
      </c>
      <c r="BK737" s="236" t="n">
        <f aca="false" t="array" ref="BK737:BK737">IF(BK736=0,0,IF(BK736/'🎚️ Escenario'!$C$11&gt;=36,$AL$23,INDEX($C$23:$AL$23,MAX(1,ROUNDUP(BK736/'🎚️ Escenario'!$C$11,0)))))</f>
        <v>0</v>
      </c>
      <c r="BL737" s="236" t="n">
        <f aca="false" t="array" ref="BL737:BL737">IF(BL736=0,0,IF(BL736/'🎚️ Escenario'!$C$11&gt;=36,$AL$23,INDEX($C$23:$AL$23,MAX(1,ROUNDUP(BL736/'🎚️ Escenario'!$C$11,0)))))</f>
        <v>0</v>
      </c>
      <c r="BM737" s="236" t="n">
        <f aca="false" t="array" ref="BM737:BM737">IF(BM736=0,0,IF(BM736/'🎚️ Escenario'!$C$11&gt;=36,$AL$23,INDEX($C$23:$AL$23,MAX(1,ROUNDUP(BM736/'🎚️ Escenario'!$C$11,0)))))</f>
        <v>0</v>
      </c>
      <c r="BN737" s="236" t="n">
        <f aca="false" t="array" ref="BN737:BN737">IF(BN736=0,0,IF(BN736/'🎚️ Escenario'!$C$11&gt;=36,$AL$23,INDEX($C$23:$AL$23,MAX(1,ROUNDUP(BN736/'🎚️ Escenario'!$C$11,0)))))</f>
        <v>0</v>
      </c>
      <c r="BO737" s="236" t="n">
        <f aca="false" t="array" ref="BO737:BO737">IF(BO736=0,0,IF(BO736/'🎚️ Escenario'!$C$11&gt;=36,$AL$23,INDEX($C$23:$AL$23,MAX(1,ROUNDUP(BO736/'🎚️ Escenario'!$C$11,0)))))</f>
        <v>0</v>
      </c>
      <c r="BP737" s="236" t="n">
        <f aca="false" t="array" ref="BP737:BP737">IF(BP736=0,0,IF(BP736/'🎚️ Escenario'!$C$11&gt;=36,$AL$23,INDEX($C$23:$AL$23,MAX(1,ROUNDUP(BP736/'🎚️ Escenario'!$C$11,0)))))</f>
        <v>0</v>
      </c>
      <c r="BQ737" s="236" t="n">
        <f aca="false" t="array" ref="BQ737:BQ737">IF(BQ736=0,0,IF(BQ736/'🎚️ Escenario'!$C$11&gt;=36,$AL$23,INDEX($C$23:$AL$23,MAX(1,ROUNDUP(BQ736/'🎚️ Escenario'!$C$11,0)))))</f>
        <v>0</v>
      </c>
      <c r="BR737" s="236" t="n">
        <f aca="false" t="array" ref="BR737:BR737">IF(BR736=0,0,IF(BR736/'🎚️ Escenario'!$C$11&gt;=36,$AL$23,INDEX($C$23:$AL$23,MAX(1,ROUNDUP(BR736/'🎚️ Escenario'!$C$11,0)))))</f>
        <v>0</v>
      </c>
      <c r="BS737" s="236" t="n">
        <f aca="false" t="array" ref="BS737:BS737">IF(BS736=0,0,IF(BS736/'🎚️ Escenario'!$C$11&gt;=36,$AL$23,INDEX($C$23:$AL$23,MAX(1,ROUNDUP(BS736/'🎚️ Escenario'!$C$11,0)))))</f>
        <v>0</v>
      </c>
      <c r="BT737" s="236" t="n">
        <f aca="false" t="array" ref="BT737:BT737">IF(BT736=0,0,IF(BT736/'🎚️ Escenario'!$C$11&gt;=36,$AL$23,INDEX($C$23:$AL$23,MAX(1,ROUNDUP(BT736/'🎚️ Escenario'!$C$11,0)))))</f>
        <v>0</v>
      </c>
      <c r="BU737" s="236" t="n">
        <f aca="false" t="array" ref="BU737:BU737">IF(BU736=0,0,IF(BU736/'🎚️ Escenario'!$C$11&gt;=36,$AL$23,INDEX($C$23:$AL$23,MAX(1,ROUNDUP(BU736/'🎚️ Escenario'!$C$11,0)))))</f>
        <v>0</v>
      </c>
      <c r="BV737" s="236" t="n">
        <f aca="false" t="array" ref="BV737:BV737">IF(BV736=0,0,IF(BV736/'🎚️ Escenario'!$C$11&gt;=36,$AL$23,INDEX($C$23:$AL$23,MAX(1,ROUNDUP(BV736/'🎚️ Escenario'!$C$11,0)))))</f>
        <v>0</v>
      </c>
      <c r="BW737" s="236" t="n">
        <f aca="false" t="array" ref="BW737:BW737">IF(BW736=0,0,IF(BW736/'🎚️ Escenario'!$C$11&gt;=36,$AL$23,INDEX($C$23:$AL$23,MAX(1,ROUNDUP(BW736/'🎚️ Escenario'!$C$11,0)))))</f>
        <v>0</v>
      </c>
      <c r="BX737" s="236" t="n">
        <f aca="false" t="array" ref="BX737:BX737">IF(BX736=0,0,IF(BX736/'🎚️ Escenario'!$C$11&gt;=36,$AL$23,INDEX($C$23:$AL$23,MAX(1,ROUNDUP(BX736/'🎚️ Escenario'!$C$11,0)))))</f>
        <v>0</v>
      </c>
      <c r="BY737" s="236" t="n">
        <f aca="false" t="array" ref="BY737:BY737">IF(BY736=0,0,IF(BY736/'🎚️ Escenario'!$C$11&gt;=36,$AL$23,INDEX($C$23:$AL$23,MAX(1,ROUNDUP(BY736/'🎚️ Escenario'!$C$11,0)))))</f>
        <v>0</v>
      </c>
      <c r="BZ737" s="236" t="n">
        <f aca="false" t="array" ref="BZ737:BZ737">IF(BZ736=0,0,IF(BZ736/'🎚️ Escenario'!$C$11&gt;=36,$AL$23,INDEX($C$23:$AL$23,MAX(1,ROUNDUP(BZ736/'🎚️ Escenario'!$C$11,0)))))</f>
        <v>0</v>
      </c>
      <c r="CA737" s="236" t="n">
        <f aca="false" t="array" ref="CA737:CA737">IF(CA736=0,0,IF(CA736/'🎚️ Escenario'!$C$11&gt;=36,$AL$23,INDEX($C$23:$AL$23,MAX(1,ROUNDUP(CA736/'🎚️ Escenario'!$C$11,0)))))</f>
        <v>0</v>
      </c>
      <c r="CB737" s="236" t="n">
        <f aca="false" t="array" ref="CB737:CB737">IF(CB736=0,0,IF(CB736/'🎚️ Escenario'!$C$11&gt;=36,$AL$23,INDEX($C$23:$AL$23,MAX(1,ROUNDUP(CB736/'🎚️ Escenario'!$C$11,0)))))</f>
        <v>0</v>
      </c>
      <c r="CC737" s="236" t="n">
        <f aca="false" t="array" ref="CC737:CC737">IF(CC736=0,0,IF(CC736/'🎚️ Escenario'!$C$11&gt;=36,$AL$23,INDEX($C$23:$AL$23,MAX(1,ROUNDUP(CC736/'🎚️ Escenario'!$C$11,0)))))</f>
        <v>0</v>
      </c>
      <c r="CD737" s="236" t="n">
        <f aca="false" t="array" ref="CD737:CD737">IF(CD736=0,0,IF(CD736/'🎚️ Escenario'!$C$11&gt;=36,$AL$23,INDEX($C$23:$AL$23,MAX(1,ROUNDUP(CD736/'🎚️ Escenario'!$C$11,0)))))</f>
        <v>0</v>
      </c>
      <c r="CE737" s="236" t="n">
        <f aca="false" t="array" ref="CE737:CE737">IF(CE736=0,0,IF(CE736/'🎚️ Escenario'!$C$11&gt;=36,$AL$23,INDEX($C$23:$AL$23,MAX(1,ROUNDUP(CE736/'🎚️ Escenario'!$C$11,0)))))</f>
        <v>0</v>
      </c>
      <c r="CF737" s="236" t="n">
        <f aca="false" t="array" ref="CF737:CF737">IF(CF736=0,0,IF(CF736/'🎚️ Escenario'!$C$11&gt;=36,$AL$23,INDEX($C$23:$AL$23,MAX(1,ROUNDUP(CF736/'🎚️ Escenario'!$C$11,0)))))</f>
        <v>0</v>
      </c>
      <c r="CG737" s="236" t="n">
        <f aca="false" t="array" ref="CG737:CG737">IF(CG736=0,0,IF(CG736/'🎚️ Escenario'!$C$11&gt;=36,$AL$23,INDEX($C$23:$AL$23,MAX(1,ROUNDUP(CG736/'🎚️ Escenario'!$C$11,0)))))</f>
        <v>0</v>
      </c>
      <c r="CH737" s="236" t="n">
        <f aca="false" t="array" ref="CH737:CH737">IF(CH736=0,0,IF(CH736/'🎚️ Escenario'!$C$11&gt;=36,$AL$23,INDEX($C$23:$AL$23,MAX(1,ROUNDUP(CH736/'🎚️ Escenario'!$C$11,0)))))</f>
        <v>0</v>
      </c>
      <c r="CI737" s="236" t="n">
        <f aca="false" t="array" ref="CI737:CI737">IF(CI736=0,0,IF(CI736/'🎚️ Escenario'!$C$11&gt;=36,$AL$23,INDEX($C$23:$AL$23,MAX(1,ROUNDUP(CI736/'🎚️ Escenario'!$C$11,0)))))</f>
        <v>0</v>
      </c>
      <c r="CJ737" s="236" t="n">
        <f aca="false" t="array" ref="CJ737:CJ737">IF(CJ736=0,0,IF(CJ736/'🎚️ Escenario'!$C$11&gt;=36,$AL$23,INDEX($C$23:$AL$23,MAX(1,ROUNDUP(CJ736/'🎚️ Escenario'!$C$11,0)))))</f>
        <v>0</v>
      </c>
      <c r="CK737" s="236" t="n">
        <f aca="false" t="array" ref="CK737:CK737">IF(CK736=0,0,IF(CK736/'🎚️ Escenario'!$C$11&gt;=36,$AL$23,INDEX($C$23:$AL$23,MAX(1,ROUNDUP(CK736/'🎚️ Escenario'!$C$11,0)))))</f>
        <v>0</v>
      </c>
      <c r="CL737" s="236" t="n">
        <f aca="false" t="array" ref="CL737:CL737">IF(CL736=0,0,IF(CL736/'🎚️ Escenario'!$C$11&gt;=36,$AL$23,INDEX($C$23:$AL$23,MAX(1,ROUNDUP(CL736/'🎚️ Escenario'!$C$11,0)))))</f>
        <v>0</v>
      </c>
      <c r="CM737" s="236" t="n">
        <f aca="false" t="array" ref="CM737:CM737">IF(CM736=0,0,IF(CM736/'🎚️ Escenario'!$C$11&gt;=36,$AL$23,INDEX($C$23:$AL$23,MAX(1,ROUNDUP(CM736/'🎚️ Escenario'!$C$11,0)))))</f>
        <v>0</v>
      </c>
      <c r="CN737" s="236" t="n">
        <f aca="false" t="array" ref="CN737:CN737">IF(CN736=0,0,IF(CN736/'🎚️ Escenario'!$C$11&gt;=36,$AL$23,INDEX($C$23:$AL$23,MAX(1,ROUNDUP(CN736/'🎚️ Escenario'!$C$11,0)))))</f>
        <v>0</v>
      </c>
      <c r="CO737" s="236" t="n">
        <f aca="false" t="array" ref="CO737:CO737">IF(CO736=0,0,IF(CO736/'🎚️ Escenario'!$C$11&gt;=36,$AL$23,INDEX($C$23:$AL$23,MAX(1,ROUNDUP(CO736/'🎚️ Escenario'!$C$11,0)))))</f>
        <v>0</v>
      </c>
      <c r="CP737" s="236" t="n">
        <f aca="false" t="array" ref="CP737:CP737">IF(CP736=0,0,IF(CP736/'🎚️ Escenario'!$C$11&gt;=36,$AL$23,INDEX($C$23:$AL$23,MAX(1,ROUNDUP(CP736/'🎚️ Escenario'!$C$11,0)))))</f>
        <v>0</v>
      </c>
      <c r="CQ737" s="236" t="n">
        <f aca="false" t="array" ref="CQ737:CQ737">IF(CQ736=0,0,IF(CQ736/'🎚️ Escenario'!$C$11&gt;=36,$AL$23,INDEX($C$23:$AL$23,MAX(1,ROUNDUP(CQ736/'🎚️ Escenario'!$C$11,0)))))</f>
        <v>0</v>
      </c>
      <c r="CR737" s="236" t="n">
        <f aca="false" t="array" ref="CR737:CR737">IF(CR736=0,0,IF(CR736/'🎚️ Escenario'!$C$11&gt;=36,$AL$23,INDEX($C$23:$AL$23,MAX(1,ROUNDUP(CR736/'🎚️ Escenario'!$C$11,0)))))</f>
        <v>0</v>
      </c>
      <c r="CS737" s="236" t="n">
        <f aca="false" t="array" ref="CS737:CS737">IF(CS736=0,0,IF(CS736/'🎚️ Escenario'!$C$11&gt;=36,$AL$23,INDEX($C$23:$AL$23,MAX(1,ROUNDUP(CS736/'🎚️ Escenario'!$C$11,0)))))</f>
        <v>0</v>
      </c>
      <c r="CT737" s="236" t="n">
        <f aca="false" t="array" ref="CT737:CT737">IF(CT736=0,0,IF(CT736/'🎚️ Escenario'!$C$11&gt;=36,$AL$23,INDEX($C$23:$AL$23,MAX(1,ROUNDUP(CT736/'🎚️ Escenario'!$C$11,0)))))</f>
        <v>0</v>
      </c>
      <c r="CU737" s="236" t="n">
        <f aca="false" t="array" ref="CU737:CU737">IF(CU736=0,0,IF(CU736/'🎚️ Escenario'!$C$11&gt;=36,$AL$23,INDEX($C$23:$AL$23,MAX(1,ROUNDUP(CU736/'🎚️ Escenario'!$C$11,0)))))</f>
        <v>0</v>
      </c>
      <c r="CV737" s="236" t="n">
        <f aca="false" t="array" ref="CV737:CV737">IF(CV736=0,0,IF(CV736/'🎚️ Escenario'!$C$11&gt;=36,$AL$23,INDEX($C$23:$AL$23,MAX(1,ROUNDUP(CV736/'🎚️ Escenario'!$C$11,0)))))</f>
        <v>0</v>
      </c>
      <c r="CW737" s="236" t="n">
        <f aca="false" t="array" ref="CW737:CW737">IF(CW736=0,0,IF(CW736/'🎚️ Escenario'!$C$11&gt;=36,$AL$23,INDEX($C$23:$AL$23,MAX(1,ROUNDUP(CW736/'🎚️ Escenario'!$C$11,0)))))</f>
        <v>0</v>
      </c>
      <c r="CX737" s="236" t="n">
        <f aca="false" t="array" ref="CX737:CX737">IF(CX736=0,0,IF(CX736/'🎚️ Escenario'!$C$11&gt;=36,$AL$23,INDEX($C$23:$AL$23,MAX(1,ROUNDUP(CX736/'🎚️ Escenario'!$C$11,0)))))</f>
        <v>0</v>
      </c>
      <c r="CY737" s="236" t="n">
        <f aca="false" t="array" ref="CY737:CY737">IF(CY736=0,0,IF(CY736/'🎚️ Escenario'!$C$11&gt;=36,$AL$23,INDEX($C$23:$AL$23,MAX(1,ROUNDUP(CY736/'🎚️ Escenario'!$C$11,0)))))</f>
        <v>0</v>
      </c>
      <c r="CZ737" s="236" t="n">
        <f aca="false" t="array" ref="CZ737:CZ737">IF(CZ736=0,0,IF(CZ736/'🎚️ Escenario'!$C$11&gt;=36,$AL$23,INDEX($C$23:$AL$23,MAX(1,ROUNDUP(CZ736/'🎚️ Escenario'!$C$11,0)))))</f>
        <v>0</v>
      </c>
      <c r="DA737" s="236" t="n">
        <f aca="false" t="array" ref="DA737:DA737">IF(DA736=0,0,IF(DA736/'🎚️ Escenario'!$C$11&gt;=36,$AL$23,INDEX($C$23:$AL$23,MAX(1,ROUNDUP(DA736/'🎚️ Escenario'!$C$11,0)))))</f>
        <v>0</v>
      </c>
      <c r="DB737" s="236" t="n">
        <f aca="false" t="array" ref="DB737:DB737">IF(DB736=0,0,IF(DB736/'🎚️ Escenario'!$C$11&gt;=36,$AL$23,INDEX($C$23:$AL$23,MAX(1,ROUNDUP(DB736/'🎚️ Escenario'!$C$11,0)))))</f>
        <v>0</v>
      </c>
      <c r="DC737" s="236" t="n">
        <f aca="false" t="array" ref="DC737:DC737">IF(DC736=0,0,IF(DC736/'🎚️ Escenario'!$C$11&gt;=36,$AL$23,INDEX($C$23:$AL$23,MAX(1,ROUNDUP(DC736/'🎚️ Escenario'!$C$11,0)))))</f>
        <v>0</v>
      </c>
      <c r="DD737" s="236" t="n">
        <f aca="false" t="array" ref="DD737:DD737">IF(DD736=0,0,IF(DD736/'🎚️ Escenario'!$C$11&gt;=36,$AL$23,INDEX($C$23:$AL$23,MAX(1,ROUNDUP(DD736/'🎚️ Escenario'!$C$11,0)))))</f>
        <v>0</v>
      </c>
      <c r="DE737" s="236" t="n">
        <f aca="false" t="array" ref="DE737:DE737">IF(DE736=0,0,IF(DE736/'🎚️ Escenario'!$C$11&gt;=36,$AL$23,INDEX($C$23:$AL$23,MAX(1,ROUNDUP(DE736/'🎚️ Escenario'!$C$11,0)))))</f>
        <v>0</v>
      </c>
      <c r="DF737" s="236" t="n">
        <f aca="false" t="array" ref="DF737:DF737">IF(DF736=0,0,IF(DF736/'🎚️ Escenario'!$C$11&gt;=36,$AL$23,INDEX($C$23:$AL$23,MAX(1,ROUNDUP(DF736/'🎚️ Escenario'!$C$11,0)))))</f>
        <v>0</v>
      </c>
      <c r="DG737" s="236" t="n">
        <f aca="false" t="array" ref="DG737:DG737">IF(DG736=0,0,IF(DG736/'🎚️ Escenario'!$C$11&gt;=36,$AL$23,INDEX($C$23:$AL$23,MAX(1,ROUNDUP(DG736/'🎚️ Escenario'!$C$11,0)))))</f>
        <v>0</v>
      </c>
      <c r="DH737" s="236" t="n">
        <f aca="false" t="array" ref="DH737:DH737">IF(DH736=0,0,IF(DH736/'🎚️ Escenario'!$C$11&gt;=36,$AL$23,INDEX($C$23:$AL$23,MAX(1,ROUNDUP(DH736/'🎚️ Escenario'!$C$11,0)))))</f>
        <v>0</v>
      </c>
      <c r="DI737" s="236" t="n">
        <f aca="false" t="array" ref="DI737:DI737">IF(DI736=0,0,IF(DI736/'🎚️ Escenario'!$C$11&gt;=36,$AL$23,INDEX($C$23:$AL$23,MAX(1,ROUNDUP(DI736/'🎚️ Escenario'!$C$11,0)))))</f>
        <v>0</v>
      </c>
      <c r="DJ737" s="236" t="n">
        <f aca="false" t="array" ref="DJ737:DJ737">IF(DJ736=0,0,IF(DJ736/'🎚️ Escenario'!$C$11&gt;=36,$AL$23,INDEX($C$23:$AL$23,MAX(1,ROUNDUP(DJ736/'🎚️ Escenario'!$C$11,0)))))</f>
        <v>0</v>
      </c>
      <c r="DK737" s="236" t="n">
        <f aca="false" t="array" ref="DK737:DK737">IF(DK736=0,0,IF(DK736/'🎚️ Escenario'!$C$11&gt;=36,$AL$23,INDEX($C$23:$AL$23,MAX(1,ROUNDUP(DK736/'🎚️ Escenario'!$C$11,0)))))</f>
        <v>0</v>
      </c>
      <c r="DL737" s="236" t="n">
        <f aca="false" t="array" ref="DL737:DL737">IF(DL736=0,0,IF(DL736/'🎚️ Escenario'!$C$11&gt;=36,$AL$23,INDEX($C$23:$AL$23,MAX(1,ROUNDUP(DL736/'🎚️ Escenario'!$C$11,0)))))</f>
        <v>0</v>
      </c>
      <c r="DM737" s="236" t="n">
        <f aca="false" t="array" ref="DM737:DM737">IF(DM736=0,0,IF(DM736/'🎚️ Escenario'!$C$11&gt;=36,$AL$23,INDEX($C$23:$AL$23,MAX(1,ROUNDUP(DM736/'🎚️ Escenario'!$C$11,0)))))</f>
        <v>0</v>
      </c>
      <c r="DN737" s="236" t="n">
        <f aca="false" t="array" ref="DN737:DN737">IF(DN736=0,0,IF(DN736/'🎚️ Escenario'!$C$11&gt;=36,$AL$23,INDEX($C$23:$AL$23,MAX(1,ROUNDUP(DN736/'🎚️ Escenario'!$C$11,0)))))</f>
        <v>0</v>
      </c>
      <c r="DO737" s="236" t="n">
        <f aca="false" t="array" ref="DO737:DO737">IF(DO736=0,0,IF(DO736/'🎚️ Escenario'!$C$11&gt;=36,$AL$23,INDEX($C$23:$AL$23,MAX(1,ROUNDUP(DO736/'🎚️ Escenario'!$C$11,0)))))</f>
        <v>0</v>
      </c>
      <c r="DP737" s="236" t="n">
        <f aca="false" t="array" ref="DP737:DP737">IF(DP736=0,0,IF(DP736/'🎚️ Escenario'!$C$11&gt;=36,$AL$23,INDEX($C$23:$AL$23,MAX(1,ROUNDUP(DP736/'🎚️ Escenario'!$C$11,0)))))</f>
        <v>0</v>
      </c>
      <c r="DQ737" s="236" t="n">
        <f aca="false" t="array" ref="DQ737:DQ737">IF(DQ736=0,0,IF(DQ736/'🎚️ Escenario'!$C$11&gt;=36,$AL$23,INDEX($C$23:$AL$23,MAX(1,ROUNDUP(DQ736/'🎚️ Escenario'!$C$11,0)))))</f>
        <v>0</v>
      </c>
      <c r="DR737" s="236" t="n">
        <f aca="false" t="array" ref="DR737:DR737">IF(DR736=0,0,IF(DR736/'🎚️ Escenario'!$C$11&gt;=36,$AL$23,INDEX($C$23:$AL$23,MAX(1,ROUNDUP(DR736/'🎚️ Escenario'!$C$11,0)))))</f>
        <v>0</v>
      </c>
      <c r="DS737" s="236" t="n">
        <f aca="false" t="array" ref="DS737:DS737">IF(DS736=0,0,IF(DS736/'🎚️ Escenario'!$C$11&gt;=36,$AL$23,INDEX($C$23:$AL$23,MAX(1,ROUNDUP(DS736/'🎚️ Escenario'!$C$11,0)))))</f>
        <v>0</v>
      </c>
      <c r="DT737" s="236" t="n">
        <f aca="false" t="array" ref="DT737:DT737">IF(DT736=0,0,IF(DT736/'🎚️ Escenario'!$C$11&gt;=36,$AL$23,INDEX($C$23:$AL$23,MAX(1,ROUNDUP(DT736/'🎚️ Escenario'!$C$11,0)))))</f>
        <v>0</v>
      </c>
      <c r="DU737" s="236" t="n">
        <f aca="false" t="array" ref="DU737:DU737">IF(DU736=0,0,IF(DU736/'🎚️ Escenario'!$C$11&gt;=36,$AL$23,INDEX($C$23:$AL$23,MAX(1,ROUNDUP(DU736/'🎚️ Escenario'!$C$11,0)))))</f>
        <v>0</v>
      </c>
      <c r="DV737" s="236" t="n">
        <f aca="false" t="array" ref="DV737:DV737">IF(DV736=0,0,IF(DV736/'🎚️ Escenario'!$C$11&gt;=36,$AL$23,INDEX($C$23:$AL$23,MAX(1,ROUNDUP(DV736/'🎚️ Escenario'!$C$11,0)))))</f>
        <v>0</v>
      </c>
      <c r="DW737" s="236" t="n">
        <f aca="false" t="array" ref="DW737:DW737">IF(DW736=0,0,IF(DW736/'🎚️ Escenario'!$C$11&gt;=36,$AL$23,INDEX($C$23:$AL$23,MAX(1,ROUNDUP(DW736/'🎚️ Escenario'!$C$11,0)))))</f>
        <v>0</v>
      </c>
      <c r="DX737" s="236" t="n">
        <f aca="false" t="array" ref="DX737:DX737">IF(DX736=0,0,IF(DX736/'🎚️ Escenario'!$C$11&gt;=36,$AL$23,INDEX($C$23:$AL$23,MAX(1,ROUNDUP(DX736/'🎚️ Escenario'!$C$11,0)))))</f>
        <v>0</v>
      </c>
      <c r="DY737" s="236" t="n">
        <f aca="false" t="array" ref="DY737:DY737">IF(DY736=0,0,IF(DY736/'🎚️ Escenario'!$C$11&gt;=36,$AL$23,INDEX($C$23:$AL$23,MAX(1,ROUNDUP(DY736/'🎚️ Escenario'!$C$11,0)))))</f>
        <v>0</v>
      </c>
      <c r="DZ737" s="236" t="n">
        <f aca="false" t="array" ref="DZ737:DZ737">IF(DZ736=0,0,IF(DZ736/'🎚️ Escenario'!$C$11&gt;=36,$AL$23,INDEX($C$23:$AL$23,MAX(1,ROUNDUP(DZ736/'🎚️ Escenario'!$C$11,0)))))</f>
        <v>0</v>
      </c>
      <c r="EA737" s="236" t="n">
        <f aca="false" t="array" ref="EA737:EA737">IF(EA736=0,0,IF(EA736/'🎚️ Escenario'!$C$11&gt;=36,$AL$23,INDEX($C$23:$AL$23,MAX(1,ROUNDUP(EA736/'🎚️ Escenario'!$C$11,0)))))</f>
        <v>0</v>
      </c>
      <c r="EB737" s="236" t="n">
        <f aca="false" t="array" ref="EB737:EB737">IF(EB736=0,0,IF(EB736/'🎚️ Escenario'!$C$11&gt;=36,$AL$23,INDEX($C$23:$AL$23,MAX(1,ROUNDUP(EB736/'🎚️ Escenario'!$C$11,0)))))</f>
        <v>0</v>
      </c>
      <c r="EC737" s="236" t="n">
        <f aca="false" t="array" ref="EC737:EC737">IF(EC736=0,0,IF(EC736/'🎚️ Escenario'!$C$11&gt;=36,$AL$23,INDEX($C$23:$AL$23,MAX(1,ROUNDUP(EC736/'🎚️ Escenario'!$C$11,0)))))</f>
        <v>0</v>
      </c>
      <c r="ED737" s="236" t="n">
        <f aca="false" t="array" ref="ED737:ED737">IF(ED736=0,0,IF(ED736/'🎚️ Escenario'!$C$11&gt;=36,$AL$23,INDEX($C$23:$AL$23,MAX(1,ROUNDUP(ED736/'🎚️ Escenario'!$C$11,0)))))</f>
        <v>0</v>
      </c>
      <c r="EE737" s="236" t="n">
        <f aca="false" t="array" ref="EE737:EE737">IF(EE736=0,0,IF(EE736/'🎚️ Escenario'!$C$11&gt;=36,$AL$23,INDEX($C$23:$AL$23,MAX(1,ROUNDUP(EE736/'🎚️ Escenario'!$C$11,0)))))</f>
        <v>0</v>
      </c>
      <c r="EF737" s="236" t="n">
        <f aca="false" t="array" ref="EF737:EF737">IF(EF736=0,0,IF(EF736/'🎚️ Escenario'!$C$11&gt;=36,$AL$23,INDEX($C$23:$AL$23,MAX(1,ROUNDUP(EF736/'🎚️ Escenario'!$C$11,0)))))</f>
        <v>0</v>
      </c>
      <c r="EG737" s="236" t="n">
        <f aca="false" t="array" ref="EG737:EG737">IF(EG736=0,0,IF(EG736/'🎚️ Escenario'!$C$11&gt;=36,$AL$23,INDEX($C$23:$AL$23,MAX(1,ROUNDUP(EG736/'🎚️ Escenario'!$C$11,0)))))</f>
        <v>0</v>
      </c>
      <c r="EH737" s="236" t="n">
        <f aca="false" t="array" ref="EH737:EH737">IF(EH736=0,0,IF(EH736/'🎚️ Escenario'!$C$11&gt;=36,$AL$23,INDEX($C$23:$AL$23,MAX(1,ROUNDUP(EH736/'🎚️ Escenario'!$C$11,0)))))</f>
        <v>0</v>
      </c>
      <c r="EI737" s="236" t="n">
        <f aca="false" t="array" ref="EI737:EI737">IF(EI736=0,0,IF(EI736/'🎚️ Escenario'!$C$11&gt;=36,$AL$23,INDEX($C$23:$AL$23,MAX(1,ROUNDUP(EI736/'🎚️ Escenario'!$C$11,0)))))</f>
        <v>0</v>
      </c>
      <c r="EJ737" s="236" t="n">
        <f aca="false" t="array" ref="EJ737:EJ737">IF(EJ736=0,0,IF(EJ736/'🎚️ Escenario'!$C$11&gt;=36,$AL$23,INDEX($C$23:$AL$23,MAX(1,ROUNDUP(EJ736/'🎚️ Escenario'!$C$11,0)))))</f>
        <v>0</v>
      </c>
      <c r="EK737" s="236" t="n">
        <f aca="false" t="array" ref="EK737:EK737">IF(EK736=0,0,IF(EK736/'🎚️ Escenario'!$C$11&gt;=36,$AL$23,INDEX($C$23:$AL$23,MAX(1,ROUNDUP(EK736/'🎚️ Escenario'!$C$11,0)))))</f>
        <v>0</v>
      </c>
      <c r="EL737" s="236" t="n">
        <f aca="false" t="array" ref="EL737:EL737">IF(EL736=0,0,IF(EL736/'🎚️ Escenario'!$C$11&gt;=36,$AL$23,INDEX($C$23:$AL$23,MAX(1,ROUNDUP(EL736/'🎚️ Escenario'!$C$11,0)))))</f>
        <v>0</v>
      </c>
      <c r="EM737" s="236" t="n">
        <f aca="false" t="array" ref="EM737:EM737">IF(EM736=0,0,IF(EM736/'🎚️ Escenario'!$C$11&gt;=36,$AL$23,INDEX($C$23:$AL$23,MAX(1,ROUNDUP(EM736/'🎚️ Escenario'!$C$11,0)))))</f>
        <v>0</v>
      </c>
      <c r="EN737" s="236" t="n">
        <f aca="false" t="array" ref="EN737:EN737">IF(EN736=0,0,IF(EN736/'🎚️ Escenario'!$C$11&gt;=36,$AL$23,INDEX($C$23:$AL$23,MAX(1,ROUNDUP(EN736/'🎚️ Escenario'!$C$11,0)))))</f>
        <v>0</v>
      </c>
      <c r="EO737" s="236" t="n">
        <f aca="false" t="array" ref="EO737:EO737">IF(EO736=0,0,IF(EO736/'🎚️ Escenario'!$C$11&gt;=36,$AL$23,INDEX($C$23:$AL$23,MAX(1,ROUNDUP(EO736/'🎚️ Escenario'!$C$11,0)))))</f>
        <v>0</v>
      </c>
      <c r="EP737" s="236" t="n">
        <f aca="false" t="array" ref="EP737:EP737">IF(EP736=0,0,IF(EP736/'🎚️ Escenario'!$C$11&gt;=36,$AL$23,INDEX($C$23:$AL$23,MAX(1,ROUNDUP(EP736/'🎚️ Escenario'!$C$11,0)))))</f>
        <v>0</v>
      </c>
      <c r="EQ737" s="236" t="n">
        <f aca="false" t="array" ref="EQ737:EQ737">IF(EQ736=0,0,IF(EQ736/'🎚️ Escenario'!$C$11&gt;=36,$AL$23,INDEX($C$23:$AL$23,MAX(1,ROUNDUP(EQ736/'🎚️ Escenario'!$C$11,0)))))</f>
        <v>0</v>
      </c>
      <c r="ER737" s="236" t="n">
        <f aca="false" t="array" ref="ER737:ER737">IF(ER736=0,0,IF(ER736/'🎚️ Escenario'!$C$11&gt;=36,$AL$23,INDEX($C$23:$AL$23,MAX(1,ROUNDUP(ER736/'🎚️ Escenario'!$C$11,0)))))</f>
        <v>0</v>
      </c>
      <c r="ES737" s="9" t="n">
        <f aca="false" t="array" ref="ES737:ES737">IF(ES736=0,0,IF(ES736/'🎚️ Escenario'!$C$11&gt;=36,$AL$23,INDEX($C$23:$AL$23,MAX(1,ROUNDUP(ES736/'🎚️ Escenario'!$C$11,0)))))</f>
        <v>0</v>
      </c>
      <c r="ET737" s="9" t="n">
        <f aca="false" t="array" ref="ET737:ET737">IF(ET736=0,0,IF(ET736/'🎚️ Escenario'!$C$11&gt;=36,$AL$23,INDEX($C$23:$AL$23,MAX(1,ROUNDUP(ET736/'🎚️ Escenario'!$C$11,0)))))</f>
        <v>0</v>
      </c>
      <c r="EU737" s="9" t="n">
        <f aca="false" t="array" ref="EU737:EU737">IF(EU736=0,0,IF(EU736/'🎚️ Escenario'!$C$11&gt;=36,$AL$23,INDEX($C$23:$AL$23,MAX(1,ROUNDUP(EU736/'🎚️ Escenario'!$C$11,0)))))</f>
        <v>0</v>
      </c>
      <c r="EV737" s="9" t="n">
        <f aca="false" t="array" ref="EV737:EV737">IF(EV736=0,0,IF(EV736/'🎚️ Escenario'!$C$11&gt;=36,$AL$23,INDEX($C$23:$AL$23,MAX(1,ROUNDUP(EV736/'🎚️ Escenario'!$C$11,0)))))</f>
        <v>0</v>
      </c>
      <c r="EW737" s="9" t="n">
        <f aca="false" t="array" ref="EW737:EW737">IF(EW736=0,0,IF(EW736/'🎚️ Escenario'!$C$11&gt;=36,$AL$23,INDEX($C$23:$AL$23,MAX(1,ROUNDUP(EW736/'🎚️ Escenario'!$C$11,0)))))</f>
        <v>0</v>
      </c>
      <c r="EX737" s="9" t="n">
        <f aca="false" t="array" ref="EX737:EX737">IF(EX736=0,0,IF(EX736/'🎚️ Escenario'!$C$11&gt;=36,$AL$23,INDEX($C$23:$AL$23,MAX(1,ROUNDUP(EX736/'🎚️ Escenario'!$C$11,0)))))</f>
        <v>0.2</v>
      </c>
      <c r="EY737" s="9" t="n">
        <f aca="false" t="array" ref="EY737:EY737">IF(EY736=0,0,IF(EY736/'🎚️ Escenario'!$C$11&gt;=36,$AL$23,INDEX($C$23:$AL$23,MAX(1,ROUNDUP(EY736/'🎚️ Escenario'!$C$11,0)))))</f>
        <v>0.22</v>
      </c>
      <c r="EZ737" s="9" t="n">
        <f aca="false" t="array" ref="EZ737:EZ737">IF(EZ736=0,0,IF(EZ736/'🎚️ Escenario'!$C$11&gt;=36,$AL$23,INDEX($C$23:$AL$23,MAX(1,ROUNDUP(EZ736/'🎚️ Escenario'!$C$11,0)))))</f>
        <v>0.24</v>
      </c>
      <c r="FA737" s="9" t="n">
        <f aca="false" t="array" ref="FA737:FA737">IF(FA736=0,0,IF(FA736/'🎚️ Escenario'!$C$11&gt;=36,$AL$23,INDEX($C$23:$AL$23,MAX(1,ROUNDUP(FA736/'🎚️ Escenario'!$C$11,0)))))</f>
        <v>0.27</v>
      </c>
      <c r="FB737" s="9" t="n">
        <f aca="false" t="array" ref="FB737:FB737">IF(FB736=0,0,IF(FB736/'🎚️ Escenario'!$C$11&gt;=36,$AL$23,INDEX($C$23:$AL$23,MAX(1,ROUNDUP(FB736/'🎚️ Escenario'!$C$11,0)))))</f>
        <v>0.27</v>
      </c>
      <c r="FC737" s="9" t="n">
        <f aca="false" t="array" ref="FC737:FC737">IF(FC736=0,0,IF(FC736/'🎚️ Escenario'!$C$11&gt;=36,$AL$23,INDEX($C$23:$AL$23,MAX(1,ROUNDUP(FC736/'🎚️ Escenario'!$C$11,0)))))</f>
        <v>0.31</v>
      </c>
      <c r="FD737" s="9" t="n">
        <f aca="false" t="array" ref="FD737:FD737">IF(FD736=0,0,IF(FD736/'🎚️ Escenario'!$C$11&gt;=36,$AL$23,INDEX($C$23:$AL$23,MAX(1,ROUNDUP(FD736/'🎚️ Escenario'!$C$11,0)))))</f>
        <v>0.35</v>
      </c>
      <c r="FE737" s="9" t="n">
        <f aca="false" t="array" ref="FE737:FE737">IF(FE736=0,0,IF(FE736/'🎚️ Escenario'!$C$11&gt;=36,$AL$23,INDEX($C$23:$AL$23,MAX(1,ROUNDUP(FE736/'🎚️ Escenario'!$C$11,0)))))</f>
        <v>0.39</v>
      </c>
      <c r="FF737" s="9" t="n">
        <f aca="false" t="array" ref="FF737:FF737">IF(FF736=0,0,IF(FF736/'🎚️ Escenario'!$C$11&gt;=36,$AL$23,INDEX($C$23:$AL$23,MAX(1,ROUNDUP(FF736/'🎚️ Escenario'!$C$11,0)))))</f>
        <v>0.44</v>
      </c>
      <c r="FG737" s="9" t="n">
        <f aca="false" t="array" ref="FG737:FG737">IF(FG736=0,0,IF(FG736/'🎚️ Escenario'!$C$11&gt;=36,$AL$23,INDEX($C$23:$AL$23,MAX(1,ROUNDUP(FG736/'🎚️ Escenario'!$C$11,0)))))</f>
        <v>0.44</v>
      </c>
      <c r="FH737" s="9" t="n">
        <f aca="false" t="array" ref="FH737:FH737">IF(FH736=0,0,IF(FH736/'🎚️ Escenario'!$C$11&gt;=36,$AL$23,INDEX($C$23:$AL$23,MAX(1,ROUNDUP(FH736/'🎚️ Escenario'!$C$11,0)))))</f>
        <v>0.48</v>
      </c>
      <c r="FI737" s="9" t="n">
        <f aca="false" t="array" ref="FI737:FI737">IF(FI736=0,0,IF(FI736/'🎚️ Escenario'!$C$11&gt;=36,$AL$23,INDEX($C$23:$AL$23,MAX(1,ROUNDUP(FI736/'🎚️ Escenario'!$C$11,0)))))</f>
        <v>0.52</v>
      </c>
      <c r="FJ737" s="9" t="n">
        <f aca="false" t="array" ref="FJ737:FJ737">IF(FJ736=0,0,IF(FJ736/'🎚️ Escenario'!$C$11&gt;=36,$AL$23,INDEX($C$23:$AL$23,MAX(1,ROUNDUP(FJ736/'🎚️ Escenario'!$C$11,0)))))</f>
        <v>0.56</v>
      </c>
      <c r="FK737" s="9" t="n">
        <f aca="false" t="array" ref="FK737:FK737">IF(FK736=0,0,IF(FK736/'🎚️ Escenario'!$C$11&gt;=36,$AL$23,INDEX($C$23:$AL$23,MAX(1,ROUNDUP(FK736/'🎚️ Escenario'!$C$11,0)))))</f>
        <v>0.6</v>
      </c>
      <c r="FL737" s="9" t="n">
        <f aca="false" t="array" ref="FL737:FL737">IF(FL736=0,0,IF(FL736/'🎚️ Escenario'!$C$11&gt;=36,$AL$23,INDEX($C$23:$AL$23,MAX(1,ROUNDUP(FL736/'🎚️ Escenario'!$C$11,0)))))</f>
        <v>0.6</v>
      </c>
      <c r="FM737" s="9" t="n">
        <f aca="false" t="array" ref="FM737:FM737">IF(FM736=0,0,IF(FM736/'🎚️ Escenario'!$C$11&gt;=36,$AL$23,INDEX($C$23:$AL$23,MAX(1,ROUNDUP(FM736/'🎚️ Escenario'!$C$11,0)))))</f>
        <v>0.63</v>
      </c>
      <c r="FN737" s="9" t="n">
        <f aca="false" t="array" ref="FN737:FN737">IF(FN736=0,0,IF(FN736/'🎚️ Escenario'!$C$11&gt;=36,$AL$23,INDEX($C$23:$AL$23,MAX(1,ROUNDUP(FN736/'🎚️ Escenario'!$C$11,0)))))</f>
        <v>0.66</v>
      </c>
      <c r="FO737" s="9" t="n">
        <f aca="false" t="array" ref="FO737:FO737">IF(FO736=0,0,IF(FO736/'🎚️ Escenario'!$C$11&gt;=36,$AL$23,INDEX($C$23:$AL$23,MAX(1,ROUNDUP(FO736/'🎚️ Escenario'!$C$11,0)))))</f>
        <v>0.69</v>
      </c>
      <c r="FP737" s="9" t="n">
        <f aca="false" t="array" ref="FP737:FP737">IF(FP736=0,0,IF(FP736/'🎚️ Escenario'!$C$11&gt;=36,$AL$23,INDEX($C$23:$AL$23,MAX(1,ROUNDUP(FP736/'🎚️ Escenario'!$C$11,0)))))</f>
        <v>0.71</v>
      </c>
    </row>
    <row r="738" customFormat="false" ht="15" hidden="false" customHeight="false" outlineLevel="2" collapsed="false">
      <c r="B738" s="9" t="s">
        <v>875</v>
      </c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237" t="n">
        <f aca="false">IF(AC736=0,0,IF(AC736&lt;=12*'🎚️ Escenario'!$C$11,1,1+$C$6))</f>
        <v>0</v>
      </c>
      <c r="AD738" s="237" t="n">
        <f aca="false">IF(AD736=0,0,IF(AD736&lt;=12*'🎚️ Escenario'!$C$11,1,1+$C$6))</f>
        <v>0</v>
      </c>
      <c r="AE738" s="237" t="n">
        <f aca="false">IF(AE736=0,0,IF(AE736&lt;=12*'🎚️ Escenario'!$C$11,1,1+$C$6))</f>
        <v>0</v>
      </c>
      <c r="AF738" s="237" t="n">
        <f aca="false">IF(AF736=0,0,IF(AF736&lt;=12*'🎚️ Escenario'!$C$11,1,1+$C$6))</f>
        <v>0</v>
      </c>
      <c r="AG738" s="237" t="n">
        <f aca="false">IF(AG736=0,0,IF(AG736&lt;=12*'🎚️ Escenario'!$C$11,1,1+$C$6))</f>
        <v>0</v>
      </c>
      <c r="AH738" s="237" t="n">
        <f aca="false">IF(AH736=0,0,IF(AH736&lt;=12*'🎚️ Escenario'!$C$11,1,1+$C$6))</f>
        <v>0</v>
      </c>
      <c r="AI738" s="237" t="n">
        <f aca="false">IF(AI736=0,0,IF(AI736&lt;=12*'🎚️ Escenario'!$C$11,1,1+$C$6))</f>
        <v>0</v>
      </c>
      <c r="AJ738" s="237" t="n">
        <f aca="false">IF(AJ736=0,0,IF(AJ736&lt;=12*'🎚️ Escenario'!$C$11,1,1+$C$6))</f>
        <v>0</v>
      </c>
      <c r="AK738" s="237" t="n">
        <f aca="false">IF(AK736=0,0,IF(AK736&lt;=12*'🎚️ Escenario'!$C$11,1,1+$C$6))</f>
        <v>0</v>
      </c>
      <c r="AL738" s="237" t="n">
        <f aca="false">IF(AL736=0,0,IF(AL736&lt;=12*'🎚️ Escenario'!$C$11,1,1+$C$6))</f>
        <v>0</v>
      </c>
      <c r="AM738" s="237" t="n">
        <f aca="false">IF(AM736=0,0,IF(AM736&lt;=12*'🎚️ Escenario'!$C$11,1,1+$C$6))</f>
        <v>0</v>
      </c>
      <c r="AN738" s="237" t="n">
        <f aca="false">IF(AN736=0,0,IF(AN736&lt;=12*'🎚️ Escenario'!$C$11,1,1+$C$6))</f>
        <v>0</v>
      </c>
      <c r="AO738" s="237" t="n">
        <f aca="false">IF(AO736=0,0,IF(AO736&lt;=12*'🎚️ Escenario'!$C$11,1,1+$C$6))</f>
        <v>0</v>
      </c>
      <c r="AP738" s="237" t="n">
        <f aca="false">IF(AP736=0,0,IF(AP736&lt;=12*'🎚️ Escenario'!$C$11,1,1+$C$6))</f>
        <v>0</v>
      </c>
      <c r="AQ738" s="237" t="n">
        <f aca="false">IF(AQ736=0,0,IF(AQ736&lt;=12*'🎚️ Escenario'!$C$11,1,1+$C$6))</f>
        <v>0</v>
      </c>
      <c r="AR738" s="237" t="n">
        <f aca="false">IF(AR736=0,0,IF(AR736&lt;=12*'🎚️ Escenario'!$C$11,1,1+$C$6))</f>
        <v>0</v>
      </c>
      <c r="AS738" s="237" t="n">
        <f aca="false">IF(AS736=0,0,IF(AS736&lt;=12*'🎚️ Escenario'!$C$11,1,1+$C$6))</f>
        <v>0</v>
      </c>
      <c r="AT738" s="237" t="n">
        <f aca="false">IF(AT736=0,0,IF(AT736&lt;=12*'🎚️ Escenario'!$C$11,1,1+$C$6))</f>
        <v>0</v>
      </c>
      <c r="AU738" s="237" t="n">
        <f aca="false">IF(AU736=0,0,IF(AU736&lt;=12*'🎚️ Escenario'!$C$11,1,1+$C$6))</f>
        <v>0</v>
      </c>
      <c r="AV738" s="237" t="n">
        <f aca="false">IF(AV736=0,0,IF(AV736&lt;=12*'🎚️ Escenario'!$C$11,1,1+$C$6))</f>
        <v>0</v>
      </c>
      <c r="AW738" s="237" t="n">
        <f aca="false">IF(AW736=0,0,IF(AW736&lt;=12*'🎚️ Escenario'!$C$11,1,1+$C$6))</f>
        <v>0</v>
      </c>
      <c r="AX738" s="237" t="n">
        <f aca="false">IF(AX736=0,0,IF(AX736&lt;=12*'🎚️ Escenario'!$C$11,1,1+$C$6))</f>
        <v>0</v>
      </c>
      <c r="AY738" s="237" t="n">
        <f aca="false">IF(AY736=0,0,IF(AY736&lt;=12*'🎚️ Escenario'!$C$11,1,1+$C$6))</f>
        <v>0</v>
      </c>
      <c r="AZ738" s="237" t="n">
        <f aca="false">IF(AZ736=0,0,IF(AZ736&lt;=12*'🎚️ Escenario'!$C$11,1,1+$C$6))</f>
        <v>0</v>
      </c>
      <c r="BA738" s="237" t="n">
        <f aca="false">IF(BA736=0,0,IF(BA736&lt;=12*'🎚️ Escenario'!$C$11,1,1+$C$6))</f>
        <v>0</v>
      </c>
      <c r="BB738" s="237" t="n">
        <f aca="false">IF(BB736=0,0,IF(BB736&lt;=12*'🎚️ Escenario'!$C$11,1,1+$C$6))</f>
        <v>0</v>
      </c>
      <c r="BC738" s="237" t="n">
        <f aca="false">IF(BC736=0,0,IF(BC736&lt;=12*'🎚️ Escenario'!$C$11,1,1+$C$6))</f>
        <v>0</v>
      </c>
      <c r="BD738" s="237" t="n">
        <f aca="false">IF(BD736=0,0,IF(BD736&lt;=12*'🎚️ Escenario'!$C$11,1,1+$C$6))</f>
        <v>0</v>
      </c>
      <c r="BE738" s="237" t="n">
        <f aca="false">IF(BE736=0,0,IF(BE736&lt;=12*'🎚️ Escenario'!$C$11,1,1+$C$6))</f>
        <v>0</v>
      </c>
      <c r="BF738" s="237" t="n">
        <f aca="false">IF(BF736=0,0,IF(BF736&lt;=12*'🎚️ Escenario'!$C$11,1,1+$C$6))</f>
        <v>0</v>
      </c>
      <c r="BG738" s="237" t="n">
        <f aca="false">IF(BG736=0,0,IF(BG736&lt;=12*'🎚️ Escenario'!$C$11,1,1+$C$6))</f>
        <v>0</v>
      </c>
      <c r="BH738" s="237" t="n">
        <f aca="false">IF(BH736=0,0,IF(BH736&lt;=12*'🎚️ Escenario'!$C$11,1,1+$C$6))</f>
        <v>0</v>
      </c>
      <c r="BI738" s="237" t="n">
        <f aca="false">IF(BI736=0,0,IF(BI736&lt;=12*'🎚️ Escenario'!$C$11,1,1+$C$6))</f>
        <v>0</v>
      </c>
      <c r="BJ738" s="237" t="n">
        <f aca="false">IF(BJ736=0,0,IF(BJ736&lt;=12*'🎚️ Escenario'!$C$11,1,1+$C$6))</f>
        <v>0</v>
      </c>
      <c r="BK738" s="237" t="n">
        <f aca="false">IF(BK736=0,0,IF(BK736&lt;=12*'🎚️ Escenario'!$C$11,1,1+$C$6))</f>
        <v>0</v>
      </c>
      <c r="BL738" s="237" t="n">
        <f aca="false">IF(BL736=0,0,IF(BL736&lt;=12*'🎚️ Escenario'!$C$11,1,1+$C$6))</f>
        <v>0</v>
      </c>
      <c r="BM738" s="237" t="n">
        <f aca="false">IF(BM736=0,0,IF(BM736&lt;=12*'🎚️ Escenario'!$C$11,1,1+$C$6))</f>
        <v>0</v>
      </c>
      <c r="BN738" s="237" t="n">
        <f aca="false">IF(BN736=0,0,IF(BN736&lt;=12*'🎚️ Escenario'!$C$11,1,1+$C$6))</f>
        <v>0</v>
      </c>
      <c r="BO738" s="237" t="n">
        <f aca="false">IF(BO736=0,0,IF(BO736&lt;=12*'🎚️ Escenario'!$C$11,1,1+$C$6))</f>
        <v>0</v>
      </c>
      <c r="BP738" s="237" t="n">
        <f aca="false">IF(BP736=0,0,IF(BP736&lt;=12*'🎚️ Escenario'!$C$11,1,1+$C$6))</f>
        <v>0</v>
      </c>
      <c r="BQ738" s="237" t="n">
        <f aca="false">IF(BQ736=0,0,IF(BQ736&lt;=12*'🎚️ Escenario'!$C$11,1,1+$C$6))</f>
        <v>0</v>
      </c>
      <c r="BR738" s="237" t="n">
        <f aca="false">IF(BR736=0,0,IF(BR736&lt;=12*'🎚️ Escenario'!$C$11,1,1+$C$6))</f>
        <v>0</v>
      </c>
      <c r="BS738" s="237" t="n">
        <f aca="false">IF(BS736=0,0,IF(BS736&lt;=12*'🎚️ Escenario'!$C$11,1,1+$C$6))</f>
        <v>0</v>
      </c>
      <c r="BT738" s="237" t="n">
        <f aca="false">IF(BT736=0,0,IF(BT736&lt;=12*'🎚️ Escenario'!$C$11,1,1+$C$6))</f>
        <v>0</v>
      </c>
      <c r="BU738" s="237" t="n">
        <f aca="false">IF(BU736=0,0,IF(BU736&lt;=12*'🎚️ Escenario'!$C$11,1,1+$C$6))</f>
        <v>0</v>
      </c>
      <c r="BV738" s="237" t="n">
        <f aca="false">IF(BV736=0,0,IF(BV736&lt;=12*'🎚️ Escenario'!$C$11,1,1+$C$6))</f>
        <v>0</v>
      </c>
      <c r="BW738" s="237" t="n">
        <f aca="false">IF(BW736=0,0,IF(BW736&lt;=12*'🎚️ Escenario'!$C$11,1,1+$C$6))</f>
        <v>0</v>
      </c>
      <c r="BX738" s="237" t="n">
        <f aca="false">IF(BX736=0,0,IF(BX736&lt;=12*'🎚️ Escenario'!$C$11,1,1+$C$6))</f>
        <v>0</v>
      </c>
      <c r="BY738" s="237" t="n">
        <f aca="false">IF(BY736=0,0,IF(BY736&lt;=12*'🎚️ Escenario'!$C$11,1,1+$C$6))</f>
        <v>0</v>
      </c>
      <c r="BZ738" s="237" t="n">
        <f aca="false">IF(BZ736=0,0,IF(BZ736&lt;=12*'🎚️ Escenario'!$C$11,1,1+$C$6))</f>
        <v>0</v>
      </c>
      <c r="CA738" s="237" t="n">
        <f aca="false">IF(CA736=0,0,IF(CA736&lt;=12*'🎚️ Escenario'!$C$11,1,1+$C$6))</f>
        <v>0</v>
      </c>
      <c r="CB738" s="237" t="n">
        <f aca="false">IF(CB736=0,0,IF(CB736&lt;=12*'🎚️ Escenario'!$C$11,1,1+$C$6))</f>
        <v>0</v>
      </c>
      <c r="CC738" s="237" t="n">
        <f aca="false">IF(CC736=0,0,IF(CC736&lt;=12*'🎚️ Escenario'!$C$11,1,1+$C$6))</f>
        <v>0</v>
      </c>
      <c r="CD738" s="237" t="n">
        <f aca="false">IF(CD736=0,0,IF(CD736&lt;=12*'🎚️ Escenario'!$C$11,1,1+$C$6))</f>
        <v>0</v>
      </c>
      <c r="CE738" s="237" t="n">
        <f aca="false">IF(CE736=0,0,IF(CE736&lt;=12*'🎚️ Escenario'!$C$11,1,1+$C$6))</f>
        <v>0</v>
      </c>
      <c r="CF738" s="237" t="n">
        <f aca="false">IF(CF736=0,0,IF(CF736&lt;=12*'🎚️ Escenario'!$C$11,1,1+$C$6))</f>
        <v>0</v>
      </c>
      <c r="CG738" s="237" t="n">
        <f aca="false">IF(CG736=0,0,IF(CG736&lt;=12*'🎚️ Escenario'!$C$11,1,1+$C$6))</f>
        <v>0</v>
      </c>
      <c r="CH738" s="237" t="n">
        <f aca="false">IF(CH736=0,0,IF(CH736&lt;=12*'🎚️ Escenario'!$C$11,1,1+$C$6))</f>
        <v>0</v>
      </c>
      <c r="CI738" s="237" t="n">
        <f aca="false">IF(CI736=0,0,IF(CI736&lt;=12*'🎚️ Escenario'!$C$11,1,1+$C$6))</f>
        <v>0</v>
      </c>
      <c r="CJ738" s="237" t="n">
        <f aca="false">IF(CJ736=0,0,IF(CJ736&lt;=12*'🎚️ Escenario'!$C$11,1,1+$C$6))</f>
        <v>0</v>
      </c>
      <c r="CK738" s="237" t="n">
        <f aca="false">IF(CK736=0,0,IF(CK736&lt;=12*'🎚️ Escenario'!$C$11,1,1+$C$6))</f>
        <v>0</v>
      </c>
      <c r="CL738" s="237" t="n">
        <f aca="false">IF(CL736=0,0,IF(CL736&lt;=12*'🎚️ Escenario'!$C$11,1,1+$C$6))</f>
        <v>0</v>
      </c>
      <c r="CM738" s="237" t="n">
        <f aca="false">IF(CM736=0,0,IF(CM736&lt;=12*'🎚️ Escenario'!$C$11,1,1+$C$6))</f>
        <v>0</v>
      </c>
      <c r="CN738" s="237" t="n">
        <f aca="false">IF(CN736=0,0,IF(CN736&lt;=12*'🎚️ Escenario'!$C$11,1,1+$C$6))</f>
        <v>0</v>
      </c>
      <c r="CO738" s="237" t="n">
        <f aca="false">IF(CO736=0,0,IF(CO736&lt;=12*'🎚️ Escenario'!$C$11,1,1+$C$6))</f>
        <v>0</v>
      </c>
      <c r="CP738" s="237" t="n">
        <f aca="false">IF(CP736=0,0,IF(CP736&lt;=12*'🎚️ Escenario'!$C$11,1,1+$C$6))</f>
        <v>0</v>
      </c>
      <c r="CQ738" s="237" t="n">
        <f aca="false">IF(CQ736=0,0,IF(CQ736&lt;=12*'🎚️ Escenario'!$C$11,1,1+$C$6))</f>
        <v>0</v>
      </c>
      <c r="CR738" s="237" t="n">
        <f aca="false">IF(CR736=0,0,IF(CR736&lt;=12*'🎚️ Escenario'!$C$11,1,1+$C$6))</f>
        <v>0</v>
      </c>
      <c r="CS738" s="237" t="n">
        <f aca="false">IF(CS736=0,0,IF(CS736&lt;=12*'🎚️ Escenario'!$C$11,1,1+$C$6))</f>
        <v>0</v>
      </c>
      <c r="CT738" s="237" t="n">
        <f aca="false">IF(CT736=0,0,IF(CT736&lt;=12*'🎚️ Escenario'!$C$11,1,1+$C$6))</f>
        <v>0</v>
      </c>
      <c r="CU738" s="237" t="n">
        <f aca="false">IF(CU736=0,0,IF(CU736&lt;=12*'🎚️ Escenario'!$C$11,1,1+$C$6))</f>
        <v>0</v>
      </c>
      <c r="CV738" s="237" t="n">
        <f aca="false">IF(CV736=0,0,IF(CV736&lt;=12*'🎚️ Escenario'!$C$11,1,1+$C$6))</f>
        <v>0</v>
      </c>
      <c r="CW738" s="237" t="n">
        <f aca="false">IF(CW736=0,0,IF(CW736&lt;=12*'🎚️ Escenario'!$C$11,1,1+$C$6))</f>
        <v>0</v>
      </c>
      <c r="CX738" s="237" t="n">
        <f aca="false">IF(CX736=0,0,IF(CX736&lt;=12*'🎚️ Escenario'!$C$11,1,1+$C$6))</f>
        <v>0</v>
      </c>
      <c r="CY738" s="237" t="n">
        <f aca="false">IF(CY736=0,0,IF(CY736&lt;=12*'🎚️ Escenario'!$C$11,1,1+$C$6))</f>
        <v>0</v>
      </c>
      <c r="CZ738" s="237" t="n">
        <f aca="false">IF(CZ736=0,0,IF(CZ736&lt;=12*'🎚️ Escenario'!$C$11,1,1+$C$6))</f>
        <v>0</v>
      </c>
      <c r="DA738" s="237" t="n">
        <f aca="false">IF(DA736=0,0,IF(DA736&lt;=12*'🎚️ Escenario'!$C$11,1,1+$C$6))</f>
        <v>0</v>
      </c>
      <c r="DB738" s="237" t="n">
        <f aca="false">IF(DB736=0,0,IF(DB736&lt;=12*'🎚️ Escenario'!$C$11,1,1+$C$6))</f>
        <v>0</v>
      </c>
      <c r="DC738" s="237" t="n">
        <f aca="false">IF(DC736=0,0,IF(DC736&lt;=12*'🎚️ Escenario'!$C$11,1,1+$C$6))</f>
        <v>0</v>
      </c>
      <c r="DD738" s="237" t="n">
        <f aca="false">IF(DD736=0,0,IF(DD736&lt;=12*'🎚️ Escenario'!$C$11,1,1+$C$6))</f>
        <v>0</v>
      </c>
      <c r="DE738" s="237" t="n">
        <f aca="false">IF(DE736=0,0,IF(DE736&lt;=12*'🎚️ Escenario'!$C$11,1,1+$C$6))</f>
        <v>0</v>
      </c>
      <c r="DF738" s="237" t="n">
        <f aca="false">IF(DF736=0,0,IF(DF736&lt;=12*'🎚️ Escenario'!$C$11,1,1+$C$6))</f>
        <v>0</v>
      </c>
      <c r="DG738" s="237" t="n">
        <f aca="false">IF(DG736=0,0,IF(DG736&lt;=12*'🎚️ Escenario'!$C$11,1,1+$C$6))</f>
        <v>0</v>
      </c>
      <c r="DH738" s="237" t="n">
        <f aca="false">IF(DH736=0,0,IF(DH736&lt;=12*'🎚️ Escenario'!$C$11,1,1+$C$6))</f>
        <v>0</v>
      </c>
      <c r="DI738" s="237" t="n">
        <f aca="false">IF(DI736=0,0,IF(DI736&lt;=12*'🎚️ Escenario'!$C$11,1,1+$C$6))</f>
        <v>0</v>
      </c>
      <c r="DJ738" s="237" t="n">
        <f aca="false">IF(DJ736=0,0,IF(DJ736&lt;=12*'🎚️ Escenario'!$C$11,1,1+$C$6))</f>
        <v>0</v>
      </c>
      <c r="DK738" s="237" t="n">
        <f aca="false">IF(DK736=0,0,IF(DK736&lt;=12*'🎚️ Escenario'!$C$11,1,1+$C$6))</f>
        <v>0</v>
      </c>
      <c r="DL738" s="237" t="n">
        <f aca="false">IF(DL736=0,0,IF(DL736&lt;=12*'🎚️ Escenario'!$C$11,1,1+$C$6))</f>
        <v>0</v>
      </c>
      <c r="DM738" s="237" t="n">
        <f aca="false">IF(DM736=0,0,IF(DM736&lt;=12*'🎚️ Escenario'!$C$11,1,1+$C$6))</f>
        <v>0</v>
      </c>
      <c r="DN738" s="237" t="n">
        <f aca="false">IF(DN736=0,0,IF(DN736&lt;=12*'🎚️ Escenario'!$C$11,1,1+$C$6))</f>
        <v>0</v>
      </c>
      <c r="DO738" s="237" t="n">
        <f aca="false">IF(DO736=0,0,IF(DO736&lt;=12*'🎚️ Escenario'!$C$11,1,1+$C$6))</f>
        <v>0</v>
      </c>
      <c r="DP738" s="237" t="n">
        <f aca="false">IF(DP736=0,0,IF(DP736&lt;=12*'🎚️ Escenario'!$C$11,1,1+$C$6))</f>
        <v>0</v>
      </c>
      <c r="DQ738" s="237" t="n">
        <f aca="false">IF(DQ736=0,0,IF(DQ736&lt;=12*'🎚️ Escenario'!$C$11,1,1+$C$6))</f>
        <v>0</v>
      </c>
      <c r="DR738" s="237" t="n">
        <f aca="false">IF(DR736=0,0,IF(DR736&lt;=12*'🎚️ Escenario'!$C$11,1,1+$C$6))</f>
        <v>0</v>
      </c>
      <c r="DS738" s="237" t="n">
        <f aca="false">IF(DS736=0,0,IF(DS736&lt;=12*'🎚️ Escenario'!$C$11,1,1+$C$6))</f>
        <v>0</v>
      </c>
      <c r="DT738" s="237" t="n">
        <f aca="false">IF(DT736=0,0,IF(DT736&lt;=12*'🎚️ Escenario'!$C$11,1,1+$C$6))</f>
        <v>0</v>
      </c>
      <c r="DU738" s="237" t="n">
        <f aca="false">IF(DU736=0,0,IF(DU736&lt;=12*'🎚️ Escenario'!$C$11,1,1+$C$6))</f>
        <v>0</v>
      </c>
      <c r="DV738" s="237" t="n">
        <f aca="false">IF(DV736=0,0,IF(DV736&lt;=12*'🎚️ Escenario'!$C$11,1,1+$C$6))</f>
        <v>0</v>
      </c>
      <c r="DW738" s="237" t="n">
        <f aca="false">IF(DW736=0,0,IF(DW736&lt;=12*'🎚️ Escenario'!$C$11,1,1+$C$6))</f>
        <v>0</v>
      </c>
      <c r="DX738" s="237" t="n">
        <f aca="false">IF(DX736=0,0,IF(DX736&lt;=12*'🎚️ Escenario'!$C$11,1,1+$C$6))</f>
        <v>0</v>
      </c>
      <c r="DY738" s="237" t="n">
        <f aca="false">IF(DY736=0,0,IF(DY736&lt;=12*'🎚️ Escenario'!$C$11,1,1+$C$6))</f>
        <v>0</v>
      </c>
      <c r="DZ738" s="237" t="n">
        <f aca="false">IF(DZ736=0,0,IF(DZ736&lt;=12*'🎚️ Escenario'!$C$11,1,1+$C$6))</f>
        <v>0</v>
      </c>
      <c r="EA738" s="237" t="n">
        <f aca="false">IF(EA736=0,0,IF(EA736&lt;=12*'🎚️ Escenario'!$C$11,1,1+$C$6))</f>
        <v>0</v>
      </c>
      <c r="EB738" s="237" t="n">
        <f aca="false">IF(EB736=0,0,IF(EB736&lt;=12*'🎚️ Escenario'!$C$11,1,1+$C$6))</f>
        <v>0</v>
      </c>
      <c r="EC738" s="237" t="n">
        <f aca="false">IF(EC736=0,0,IF(EC736&lt;=12*'🎚️ Escenario'!$C$11,1,1+$C$6))</f>
        <v>0</v>
      </c>
      <c r="ED738" s="237" t="n">
        <f aca="false">IF(ED736=0,0,IF(ED736&lt;=12*'🎚️ Escenario'!$C$11,1,1+$C$6))</f>
        <v>0</v>
      </c>
      <c r="EE738" s="237" t="n">
        <f aca="false">IF(EE736=0,0,IF(EE736&lt;=12*'🎚️ Escenario'!$C$11,1,1+$C$6))</f>
        <v>0</v>
      </c>
      <c r="EF738" s="237" t="n">
        <f aca="false">IF(EF736=0,0,IF(EF736&lt;=12*'🎚️ Escenario'!$C$11,1,1+$C$6))</f>
        <v>0</v>
      </c>
      <c r="EG738" s="237" t="n">
        <f aca="false">IF(EG736=0,0,IF(EG736&lt;=12*'🎚️ Escenario'!$C$11,1,1+$C$6))</f>
        <v>0</v>
      </c>
      <c r="EH738" s="237" t="n">
        <f aca="false">IF(EH736=0,0,IF(EH736&lt;=12*'🎚️ Escenario'!$C$11,1,1+$C$6))</f>
        <v>0</v>
      </c>
      <c r="EI738" s="237" t="n">
        <f aca="false">IF(EI736=0,0,IF(EI736&lt;=12*'🎚️ Escenario'!$C$11,1,1+$C$6))</f>
        <v>0</v>
      </c>
      <c r="EJ738" s="237" t="n">
        <f aca="false">IF(EJ736=0,0,IF(EJ736&lt;=12*'🎚️ Escenario'!$C$11,1,1+$C$6))</f>
        <v>0</v>
      </c>
      <c r="EK738" s="237" t="n">
        <f aca="false">IF(EK736=0,0,IF(EK736&lt;=12*'🎚️ Escenario'!$C$11,1,1+$C$6))</f>
        <v>0</v>
      </c>
      <c r="EL738" s="237" t="n">
        <f aca="false">IF(EL736=0,0,IF(EL736&lt;=12*'🎚️ Escenario'!$C$11,1,1+$C$6))</f>
        <v>0</v>
      </c>
      <c r="EM738" s="237" t="n">
        <f aca="false">IF(EM736=0,0,IF(EM736&lt;=12*'🎚️ Escenario'!$C$11,1,1+$C$6))</f>
        <v>0</v>
      </c>
      <c r="EN738" s="237" t="n">
        <f aca="false">IF(EN736=0,0,IF(EN736&lt;=12*'🎚️ Escenario'!$C$11,1,1+$C$6))</f>
        <v>0</v>
      </c>
      <c r="EO738" s="237" t="n">
        <f aca="false">IF(EO736=0,0,IF(EO736&lt;=12*'🎚️ Escenario'!$C$11,1,1+$C$6))</f>
        <v>0</v>
      </c>
      <c r="EP738" s="237" t="n">
        <f aca="false">IF(EP736=0,0,IF(EP736&lt;=12*'🎚️ Escenario'!$C$11,1,1+$C$6))</f>
        <v>0</v>
      </c>
      <c r="EQ738" s="237" t="n">
        <f aca="false">IF(EQ736=0,0,IF(EQ736&lt;=12*'🎚️ Escenario'!$C$11,1,1+$C$6))</f>
        <v>0</v>
      </c>
      <c r="ER738" s="237" t="n">
        <f aca="false">IF(ER736=0,0,IF(ER736&lt;=12*'🎚️ Escenario'!$C$11,1,1+$C$6))</f>
        <v>0</v>
      </c>
      <c r="ES738" s="9" t="n">
        <f aca="false">IF(ES736=0,0,IF(ES736&lt;=12*'🎚️ Escenario'!$C$11,1,1+$C$6))</f>
        <v>0</v>
      </c>
      <c r="ET738" s="9" t="n">
        <f aca="false">IF(ET736=0,0,IF(ET736&lt;=12*'🎚️ Escenario'!$C$11,1,1+$C$6))</f>
        <v>0</v>
      </c>
      <c r="EU738" s="9" t="n">
        <f aca="false">IF(EU736=0,0,IF(EU736&lt;=12*'🎚️ Escenario'!$C$11,1,1+$C$6))</f>
        <v>0</v>
      </c>
      <c r="EV738" s="9" t="n">
        <f aca="false">IF(EV736=0,0,IF(EV736&lt;=12*'🎚️ Escenario'!$C$11,1,1+$C$6))</f>
        <v>0</v>
      </c>
      <c r="EW738" s="9" t="n">
        <f aca="false">IF(EW736=0,0,IF(EW736&lt;=12*'🎚️ Escenario'!$C$11,1,1+$C$6))</f>
        <v>0</v>
      </c>
      <c r="EX738" s="9" t="n">
        <f aca="false">IF(EX736=0,0,IF(EX736&lt;=12*'🎚️ Escenario'!$C$11,1,1+$C$6))</f>
        <v>1</v>
      </c>
      <c r="EY738" s="9" t="n">
        <f aca="false">IF(EY736=0,0,IF(EY736&lt;=12*'🎚️ Escenario'!$C$11,1,1+$C$6))</f>
        <v>1</v>
      </c>
      <c r="EZ738" s="9" t="n">
        <f aca="false">IF(EZ736=0,0,IF(EZ736&lt;=12*'🎚️ Escenario'!$C$11,1,1+$C$6))</f>
        <v>1</v>
      </c>
      <c r="FA738" s="9" t="n">
        <f aca="false">IF(FA736=0,0,IF(FA736&lt;=12*'🎚️ Escenario'!$C$11,1,1+$C$6))</f>
        <v>1</v>
      </c>
      <c r="FB738" s="9" t="n">
        <f aca="false">IF(FB736=0,0,IF(FB736&lt;=12*'🎚️ Escenario'!$C$11,1,1+$C$6))</f>
        <v>1</v>
      </c>
      <c r="FC738" s="9" t="n">
        <f aca="false">IF(FC736=0,0,IF(FC736&lt;=12*'🎚️ Escenario'!$C$11,1,1+$C$6))</f>
        <v>1</v>
      </c>
      <c r="FD738" s="9" t="n">
        <f aca="false">IF(FD736=0,0,IF(FD736&lt;=12*'🎚️ Escenario'!$C$11,1,1+$C$6))</f>
        <v>1</v>
      </c>
      <c r="FE738" s="9" t="n">
        <f aca="false">IF(FE736=0,0,IF(FE736&lt;=12*'🎚️ Escenario'!$C$11,1,1+$C$6))</f>
        <v>1</v>
      </c>
      <c r="FF738" s="9" t="n">
        <f aca="false">IF(FF736=0,0,IF(FF736&lt;=12*'🎚️ Escenario'!$C$11,1,1+$C$6))</f>
        <v>1</v>
      </c>
      <c r="FG738" s="9" t="n">
        <f aca="false">IF(FG736=0,0,IF(FG736&lt;=12*'🎚️ Escenario'!$C$11,1,1+$C$6))</f>
        <v>1</v>
      </c>
      <c r="FH738" s="9" t="n">
        <f aca="false">IF(FH736=0,0,IF(FH736&lt;=12*'🎚️ Escenario'!$C$11,1,1+$C$6))</f>
        <v>1</v>
      </c>
      <c r="FI738" s="9" t="n">
        <f aca="false">IF(FI736=0,0,IF(FI736&lt;=12*'🎚️ Escenario'!$C$11,1,1+$C$6))</f>
        <v>1</v>
      </c>
      <c r="FJ738" s="9" t="n">
        <f aca="false">IF(FJ736=0,0,IF(FJ736&lt;=12*'🎚️ Escenario'!$C$11,1,1+$C$6))</f>
        <v>1</v>
      </c>
      <c r="FK738" s="9" t="n">
        <f aca="false">IF(FK736=0,0,IF(FK736&lt;=12*'🎚️ Escenario'!$C$11,1,1+$C$6))</f>
        <v>1</v>
      </c>
      <c r="FL738" s="9" t="n">
        <f aca="false">IF(FL736=0,0,IF(FL736&lt;=12*'🎚️ Escenario'!$C$11,1,1+$C$6))</f>
        <v>1</v>
      </c>
      <c r="FM738" s="238" t="n">
        <f aca="false">IF(FM736=0,0,IF(FM736&lt;=12*'🎚️ Escenario'!$C$11,1,1+$C$6))</f>
        <v>1.2</v>
      </c>
      <c r="FN738" s="238" t="n">
        <f aca="false">IF(FN736=0,0,IF(FN736&lt;=12*'🎚️ Escenario'!$C$11,1,1+$C$6))</f>
        <v>1.2</v>
      </c>
      <c r="FO738" s="238" t="n">
        <f aca="false">IF(FO736=0,0,IF(FO736&lt;=12*'🎚️ Escenario'!$C$11,1,1+$C$6))</f>
        <v>1.2</v>
      </c>
      <c r="FP738" s="238" t="n">
        <f aca="false">IF(FP736=0,0,IF(FP736&lt;=12*'🎚️ Escenario'!$C$11,1,1+$C$6))</f>
        <v>1.2</v>
      </c>
    </row>
    <row r="739" customFormat="false" ht="15" hidden="false" customHeight="false" outlineLevel="2" collapsed="false">
      <c r="B739" s="9" t="s">
        <v>876</v>
      </c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36" t="n">
        <f aca="false">AC737*$AC$735*AC738*AC$38*'⑫ Roll-out Plan'!$O$78</f>
        <v>0</v>
      </c>
      <c r="AD739" s="36" t="n">
        <f aca="false">AD737*$AC$735*AD738*AD$38*'⑫ Roll-out Plan'!$O$78</f>
        <v>0</v>
      </c>
      <c r="AE739" s="36" t="n">
        <f aca="false">AE737*$AC$735*AE738*AE$38*'⑫ Roll-out Plan'!$O$78</f>
        <v>0</v>
      </c>
      <c r="AF739" s="36" t="n">
        <f aca="false">AF737*$AC$735*AF738*AF$38*'⑫ Roll-out Plan'!$O$78</f>
        <v>0</v>
      </c>
      <c r="AG739" s="36" t="n">
        <f aca="false">AG737*$AC$735*AG738*AG$38*'⑫ Roll-out Plan'!$O$78</f>
        <v>0</v>
      </c>
      <c r="AH739" s="36" t="n">
        <f aca="false">AH737*$AC$735*AH738*AH$38*'⑫ Roll-out Plan'!$O$78</f>
        <v>0</v>
      </c>
      <c r="AI739" s="36" t="n">
        <f aca="false">AI737*$AC$735*AI738*AI$38*'⑫ Roll-out Plan'!$O$78</f>
        <v>0</v>
      </c>
      <c r="AJ739" s="36" t="n">
        <f aca="false">AJ737*$AC$735*AJ738*AJ$38*'⑫ Roll-out Plan'!$O$78</f>
        <v>0</v>
      </c>
      <c r="AK739" s="36" t="n">
        <f aca="false">AK737*$AC$735*AK738*AK$38*'⑫ Roll-out Plan'!$O$78</f>
        <v>0</v>
      </c>
      <c r="AL739" s="36" t="n">
        <f aca="false">AL737*$AC$735*AL738*AL$38*'⑫ Roll-out Plan'!$O$78</f>
        <v>0</v>
      </c>
      <c r="AM739" s="36" t="n">
        <f aca="false">AM737*$AC$735*AM738*AM$38*'⑫ Roll-out Plan'!$O$78</f>
        <v>0</v>
      </c>
      <c r="AN739" s="36" t="n">
        <f aca="false">AN737*$AC$735*AN738*AN$38*'⑫ Roll-out Plan'!$O$78</f>
        <v>0</v>
      </c>
      <c r="AO739" s="36" t="n">
        <f aca="false">AO737*$AC$735*AO738*AO$38*'⑫ Roll-out Plan'!$O$78</f>
        <v>0</v>
      </c>
      <c r="AP739" s="36" t="n">
        <f aca="false">AP737*$AC$735*AP738*AP$38*'⑫ Roll-out Plan'!$O$78</f>
        <v>0</v>
      </c>
      <c r="AQ739" s="36" t="n">
        <f aca="false">AQ737*$AC$735*AQ738*AQ$38*'⑫ Roll-out Plan'!$O$78</f>
        <v>0</v>
      </c>
      <c r="AR739" s="36" t="n">
        <f aca="false">AR737*$AC$735*AR738*AR$38*'⑫ Roll-out Plan'!$O$78</f>
        <v>0</v>
      </c>
      <c r="AS739" s="36" t="n">
        <f aca="false">AS737*$AC$735*AS738*AS$38*'⑫ Roll-out Plan'!$O$78</f>
        <v>0</v>
      </c>
      <c r="AT739" s="36" t="n">
        <f aca="false">AT737*$AC$735*AT738*AT$38*'⑫ Roll-out Plan'!$O$78</f>
        <v>0</v>
      </c>
      <c r="AU739" s="36" t="n">
        <f aca="false">AU737*$AC$735*AU738*AU$38*'⑫ Roll-out Plan'!$O$78</f>
        <v>0</v>
      </c>
      <c r="AV739" s="36" t="n">
        <f aca="false">AV737*$AC$735*AV738*AV$38*'⑫ Roll-out Plan'!$O$78</f>
        <v>0</v>
      </c>
      <c r="AW739" s="36" t="n">
        <f aca="false">AW737*$AC$735*AW738*AW$38*'⑫ Roll-out Plan'!$O$78</f>
        <v>0</v>
      </c>
      <c r="AX739" s="36" t="n">
        <f aca="false">AX737*$AC$735*AX738*AX$38*'⑫ Roll-out Plan'!$O$78</f>
        <v>0</v>
      </c>
      <c r="AY739" s="36" t="n">
        <f aca="false">AY737*$AC$735*AY738*AY$38*'⑫ Roll-out Plan'!$O$78</f>
        <v>0</v>
      </c>
      <c r="AZ739" s="36" t="n">
        <f aca="false">AZ737*$AC$735*AZ738*AZ$38*'⑫ Roll-out Plan'!$O$78</f>
        <v>0</v>
      </c>
      <c r="BA739" s="36" t="n">
        <f aca="false">BA737*$AC$735*BA738*BA$38*'⑫ Roll-out Plan'!$O$78</f>
        <v>0</v>
      </c>
      <c r="BB739" s="36" t="n">
        <f aca="false">BB737*$AC$735*BB738*BB$38*'⑫ Roll-out Plan'!$O$78</f>
        <v>0</v>
      </c>
      <c r="BC739" s="36" t="n">
        <f aca="false">BC737*$AC$735*BC738*BC$38*'⑫ Roll-out Plan'!$O$78</f>
        <v>0</v>
      </c>
      <c r="BD739" s="36" t="n">
        <f aca="false">BD737*$AC$735*BD738*BD$38*'⑫ Roll-out Plan'!$O$78</f>
        <v>0</v>
      </c>
      <c r="BE739" s="36" t="n">
        <f aca="false">BE737*$AC$735*BE738*BE$38*'⑫ Roll-out Plan'!$O$78</f>
        <v>0</v>
      </c>
      <c r="BF739" s="36" t="n">
        <f aca="false">BF737*$AC$735*BF738*BF$38*'⑫ Roll-out Plan'!$O$78</f>
        <v>0</v>
      </c>
      <c r="BG739" s="36" t="n">
        <f aca="false">BG737*$AC$735*BG738*BG$38*'⑫ Roll-out Plan'!$O$78</f>
        <v>0</v>
      </c>
      <c r="BH739" s="36" t="n">
        <f aca="false">BH737*$AC$735*BH738*BH$38*'⑫ Roll-out Plan'!$O$78</f>
        <v>0</v>
      </c>
      <c r="BI739" s="36" t="n">
        <f aca="false">BI737*$AC$735*BI738*BI$38*'⑫ Roll-out Plan'!$O$78</f>
        <v>0</v>
      </c>
      <c r="BJ739" s="36" t="n">
        <f aca="false">BJ737*$AC$735*BJ738*BJ$38*'⑫ Roll-out Plan'!$O$78</f>
        <v>0</v>
      </c>
      <c r="BK739" s="36" t="n">
        <f aca="false">BK737*$AC$735*BK738*BK$38*'⑫ Roll-out Plan'!$O$78</f>
        <v>0</v>
      </c>
      <c r="BL739" s="36" t="n">
        <f aca="false">BL737*$AC$735*BL738*BL$38*'⑫ Roll-out Plan'!$O$78</f>
        <v>0</v>
      </c>
      <c r="BM739" s="36" t="n">
        <f aca="false">BM737*$AC$735*BM738*BM$38*'⑫ Roll-out Plan'!$O$78</f>
        <v>0</v>
      </c>
      <c r="BN739" s="36" t="n">
        <f aca="false">BN737*$AC$735*BN738*BN$38*'⑫ Roll-out Plan'!$O$78</f>
        <v>0</v>
      </c>
      <c r="BO739" s="36" t="n">
        <f aca="false">BO737*$AC$735*BO738*BO$38*'⑫ Roll-out Plan'!$O$78</f>
        <v>0</v>
      </c>
      <c r="BP739" s="36" t="n">
        <f aca="false">BP737*$AC$735*BP738*BP$38*'⑫ Roll-out Plan'!$O$78</f>
        <v>0</v>
      </c>
      <c r="BQ739" s="36" t="n">
        <f aca="false">BQ737*$AC$735*BQ738*BQ$38*'⑫ Roll-out Plan'!$O$78</f>
        <v>0</v>
      </c>
      <c r="BR739" s="36" t="n">
        <f aca="false">BR737*$AC$735*BR738*BR$38*'⑫ Roll-out Plan'!$O$78</f>
        <v>0</v>
      </c>
      <c r="BS739" s="36" t="n">
        <f aca="false">BS737*$AC$735*BS738*BS$38*'⑫ Roll-out Plan'!$O$78</f>
        <v>0</v>
      </c>
      <c r="BT739" s="36" t="n">
        <f aca="false">BT737*$AC$735*BT738*BT$38*'⑫ Roll-out Plan'!$O$78</f>
        <v>0</v>
      </c>
      <c r="BU739" s="36" t="n">
        <f aca="false">BU737*$AC$735*BU738*BU$38*'⑫ Roll-out Plan'!$O$78</f>
        <v>0</v>
      </c>
      <c r="BV739" s="36" t="n">
        <f aca="false">BV737*$AC$735*BV738*BV$38*'⑫ Roll-out Plan'!$O$78</f>
        <v>0</v>
      </c>
      <c r="BW739" s="36" t="n">
        <f aca="false">BW737*$AC$735*BW738*BW$38*'⑫ Roll-out Plan'!$O$78</f>
        <v>0</v>
      </c>
      <c r="BX739" s="36" t="n">
        <f aca="false">BX737*$AC$735*BX738*BX$38*'⑫ Roll-out Plan'!$O$78</f>
        <v>0</v>
      </c>
      <c r="BY739" s="36" t="n">
        <f aca="false">BY737*$AC$735*BY738*BY$38*'⑫ Roll-out Plan'!$O$78</f>
        <v>0</v>
      </c>
      <c r="BZ739" s="36" t="n">
        <f aca="false">BZ737*$AC$735*BZ738*BZ$38*'⑫ Roll-out Plan'!$O$78</f>
        <v>0</v>
      </c>
      <c r="CA739" s="36" t="n">
        <f aca="false">CA737*$AC$735*CA738*CA$38*'⑫ Roll-out Plan'!$O$78</f>
        <v>0</v>
      </c>
      <c r="CB739" s="36" t="n">
        <f aca="false">CB737*$AC$735*CB738*CB$38*'⑫ Roll-out Plan'!$O$78</f>
        <v>0</v>
      </c>
      <c r="CC739" s="36" t="n">
        <f aca="false">CC737*$AC$735*CC738*CC$38*'⑫ Roll-out Plan'!$O$78</f>
        <v>0</v>
      </c>
      <c r="CD739" s="36" t="n">
        <f aca="false">CD737*$AC$735*CD738*CD$38*'⑫ Roll-out Plan'!$O$78</f>
        <v>0</v>
      </c>
      <c r="CE739" s="36" t="n">
        <f aca="false">CE737*$AC$735*CE738*CE$38*'⑫ Roll-out Plan'!$O$78</f>
        <v>0</v>
      </c>
      <c r="CF739" s="36" t="n">
        <f aca="false">CF737*$AC$735*CF738*CF$38*'⑫ Roll-out Plan'!$O$78</f>
        <v>0</v>
      </c>
      <c r="CG739" s="36" t="n">
        <f aca="false">CG737*$AC$735*CG738*CG$38*'⑫ Roll-out Plan'!$O$78</f>
        <v>0</v>
      </c>
      <c r="CH739" s="36" t="n">
        <f aca="false">CH737*$AC$735*CH738*CH$38*'⑫ Roll-out Plan'!$O$78</f>
        <v>0</v>
      </c>
      <c r="CI739" s="36" t="n">
        <f aca="false">CI737*$AC$735*CI738*CI$38*'⑫ Roll-out Plan'!$O$78</f>
        <v>0</v>
      </c>
      <c r="CJ739" s="36" t="n">
        <f aca="false">CJ737*$AC$735*CJ738*CJ$38*'⑫ Roll-out Plan'!$O$78</f>
        <v>0</v>
      </c>
      <c r="CK739" s="36" t="n">
        <f aca="false">CK737*$AC$735*CK738*CK$38*'⑫ Roll-out Plan'!$O$78</f>
        <v>0</v>
      </c>
      <c r="CL739" s="36" t="n">
        <f aca="false">CL737*$AC$735*CL738*CL$38*'⑫ Roll-out Plan'!$O$78</f>
        <v>0</v>
      </c>
      <c r="CM739" s="36" t="n">
        <f aca="false">CM737*$AC$735*CM738*CM$38*'⑫ Roll-out Plan'!$O$78</f>
        <v>0</v>
      </c>
      <c r="CN739" s="36" t="n">
        <f aca="false">CN737*$AC$735*CN738*CN$38*'⑫ Roll-out Plan'!$O$78</f>
        <v>0</v>
      </c>
      <c r="CO739" s="36" t="n">
        <f aca="false">CO737*$AC$735*CO738*CO$38*'⑫ Roll-out Plan'!$O$78</f>
        <v>0</v>
      </c>
      <c r="CP739" s="36" t="n">
        <f aca="false">CP737*$AC$735*CP738*CP$38*'⑫ Roll-out Plan'!$O$78</f>
        <v>0</v>
      </c>
      <c r="CQ739" s="36" t="n">
        <f aca="false">CQ737*$AC$735*CQ738*CQ$38*'⑫ Roll-out Plan'!$O$78</f>
        <v>0</v>
      </c>
      <c r="CR739" s="36" t="n">
        <f aca="false">CR737*$AC$735*CR738*CR$38*'⑫ Roll-out Plan'!$O$78</f>
        <v>0</v>
      </c>
      <c r="CS739" s="36" t="n">
        <f aca="false">CS737*$AC$735*CS738*CS$38*'⑫ Roll-out Plan'!$O$78</f>
        <v>0</v>
      </c>
      <c r="CT739" s="36" t="n">
        <f aca="false">CT737*$AC$735*CT738*CT$38*'⑫ Roll-out Plan'!$O$78</f>
        <v>0</v>
      </c>
      <c r="CU739" s="36" t="n">
        <f aca="false">CU737*$AC$735*CU738*CU$38*'⑫ Roll-out Plan'!$O$78</f>
        <v>0</v>
      </c>
      <c r="CV739" s="36" t="n">
        <f aca="false">CV737*$AC$735*CV738*CV$38*'⑫ Roll-out Plan'!$O$78</f>
        <v>0</v>
      </c>
      <c r="CW739" s="36" t="n">
        <f aca="false">CW737*$AC$735*CW738*CW$38*'⑫ Roll-out Plan'!$O$78</f>
        <v>0</v>
      </c>
      <c r="CX739" s="36" t="n">
        <f aca="false">CX737*$AC$735*CX738*CX$38*'⑫ Roll-out Plan'!$O$78</f>
        <v>0</v>
      </c>
      <c r="CY739" s="36" t="n">
        <f aca="false">CY737*$AC$735*CY738*CY$38*'⑫ Roll-out Plan'!$O$78</f>
        <v>0</v>
      </c>
      <c r="CZ739" s="36" t="n">
        <f aca="false">CZ737*$AC$735*CZ738*CZ$38*'⑫ Roll-out Plan'!$O$78</f>
        <v>0</v>
      </c>
      <c r="DA739" s="36" t="n">
        <f aca="false">DA737*$AC$735*DA738*DA$38*'⑫ Roll-out Plan'!$O$78</f>
        <v>0</v>
      </c>
      <c r="DB739" s="36" t="n">
        <f aca="false">DB737*$AC$735*DB738*DB$38*'⑫ Roll-out Plan'!$O$78</f>
        <v>0</v>
      </c>
      <c r="DC739" s="36" t="n">
        <f aca="false">DC737*$AC$735*DC738*DC$38*'⑫ Roll-out Plan'!$O$78</f>
        <v>0</v>
      </c>
      <c r="DD739" s="36" t="n">
        <f aca="false">DD737*$AC$735*DD738*DD$38*'⑫ Roll-out Plan'!$O$78</f>
        <v>0</v>
      </c>
      <c r="DE739" s="36" t="n">
        <f aca="false">DE737*$AC$735*DE738*DE$38*'⑫ Roll-out Plan'!$O$78</f>
        <v>0</v>
      </c>
      <c r="DF739" s="36" t="n">
        <f aca="false">DF737*$AC$735*DF738*DF$38*'⑫ Roll-out Plan'!$O$78</f>
        <v>0</v>
      </c>
      <c r="DG739" s="36" t="n">
        <f aca="false">DG737*$AC$735*DG738*DG$38*'⑫ Roll-out Plan'!$O$78</f>
        <v>0</v>
      </c>
      <c r="DH739" s="36" t="n">
        <f aca="false">DH737*$AC$735*DH738*DH$38*'⑫ Roll-out Plan'!$O$78</f>
        <v>0</v>
      </c>
      <c r="DI739" s="36" t="n">
        <f aca="false">DI737*$AC$735*DI738*DI$38*'⑫ Roll-out Plan'!$O$78</f>
        <v>0</v>
      </c>
      <c r="DJ739" s="36" t="n">
        <f aca="false">DJ737*$AC$735*DJ738*DJ$38*'⑫ Roll-out Plan'!$O$78</f>
        <v>0</v>
      </c>
      <c r="DK739" s="36" t="n">
        <f aca="false">DK737*$AC$735*DK738*DK$38*'⑫ Roll-out Plan'!$O$78</f>
        <v>0</v>
      </c>
      <c r="DL739" s="36" t="n">
        <f aca="false">DL737*$AC$735*DL738*DL$38*'⑫ Roll-out Plan'!$O$78</f>
        <v>0</v>
      </c>
      <c r="DM739" s="36" t="n">
        <f aca="false">DM737*$AC$735*DM738*DM$38*'⑫ Roll-out Plan'!$O$78</f>
        <v>0</v>
      </c>
      <c r="DN739" s="36" t="n">
        <f aca="false">DN737*$AC$735*DN738*DN$38*'⑫ Roll-out Plan'!$O$78</f>
        <v>0</v>
      </c>
      <c r="DO739" s="36" t="n">
        <f aca="false">DO737*$AC$735*DO738*DO$38*'⑫ Roll-out Plan'!$O$78</f>
        <v>0</v>
      </c>
      <c r="DP739" s="36" t="n">
        <f aca="false">DP737*$AC$735*DP738*DP$38*'⑫ Roll-out Plan'!$O$78</f>
        <v>0</v>
      </c>
      <c r="DQ739" s="36" t="n">
        <f aca="false">DQ737*$AC$735*DQ738*DQ$38*'⑫ Roll-out Plan'!$O$78</f>
        <v>0</v>
      </c>
      <c r="DR739" s="36" t="n">
        <f aca="false">DR737*$AC$735*DR738*DR$38*'⑫ Roll-out Plan'!$O$78</f>
        <v>0</v>
      </c>
      <c r="DS739" s="36" t="n">
        <f aca="false">DS737*$AC$735*DS738*DS$38*'⑫ Roll-out Plan'!$O$78</f>
        <v>0</v>
      </c>
      <c r="DT739" s="36" t="n">
        <f aca="false">DT737*$AC$735*DT738*DT$38*'⑫ Roll-out Plan'!$O$78</f>
        <v>0</v>
      </c>
      <c r="DU739" s="36" t="n">
        <f aca="false">DU737*$AC$735*DU738*DU$38*'⑫ Roll-out Plan'!$O$78</f>
        <v>0</v>
      </c>
      <c r="DV739" s="36" t="n">
        <f aca="false">DV737*$AC$735*DV738*DV$38*'⑫ Roll-out Plan'!$O$78</f>
        <v>0</v>
      </c>
      <c r="DW739" s="36" t="n">
        <f aca="false">DW737*$AC$735*DW738*DW$38*'⑫ Roll-out Plan'!$O$78</f>
        <v>0</v>
      </c>
      <c r="DX739" s="36" t="n">
        <f aca="false">DX737*$AC$735*DX738*DX$38*'⑫ Roll-out Plan'!$O$78</f>
        <v>0</v>
      </c>
      <c r="DY739" s="36" t="n">
        <f aca="false">DY737*$AC$735*DY738*DY$38*'⑫ Roll-out Plan'!$O$78</f>
        <v>0</v>
      </c>
      <c r="DZ739" s="36" t="n">
        <f aca="false">DZ737*$AC$735*DZ738*DZ$38*'⑫ Roll-out Plan'!$O$78</f>
        <v>0</v>
      </c>
      <c r="EA739" s="36" t="n">
        <f aca="false">EA737*$AC$735*EA738*EA$38*'⑫ Roll-out Plan'!$O$78</f>
        <v>0</v>
      </c>
      <c r="EB739" s="36" t="n">
        <f aca="false">EB737*$AC$735*EB738*EB$38*'⑫ Roll-out Plan'!$O$78</f>
        <v>0</v>
      </c>
      <c r="EC739" s="36" t="n">
        <f aca="false">EC737*$AC$735*EC738*EC$38*'⑫ Roll-out Plan'!$O$78</f>
        <v>0</v>
      </c>
      <c r="ED739" s="36" t="n">
        <f aca="false">ED737*$AC$735*ED738*ED$38*'⑫ Roll-out Plan'!$O$78</f>
        <v>0</v>
      </c>
      <c r="EE739" s="36" t="n">
        <f aca="false">EE737*$AC$735*EE738*EE$38*'⑫ Roll-out Plan'!$O$78</f>
        <v>0</v>
      </c>
      <c r="EF739" s="36" t="n">
        <f aca="false">EF737*$AC$735*EF738*EF$38*'⑫ Roll-out Plan'!$O$78</f>
        <v>0</v>
      </c>
      <c r="EG739" s="36" t="n">
        <f aca="false">EG737*$AC$735*EG738*EG$38*'⑫ Roll-out Plan'!$O$78</f>
        <v>0</v>
      </c>
      <c r="EH739" s="36" t="n">
        <f aca="false">EH737*$AC$735*EH738*EH$38*'⑫ Roll-out Plan'!$O$78</f>
        <v>0</v>
      </c>
      <c r="EI739" s="36" t="n">
        <f aca="false">EI737*$AC$735*EI738*EI$38*'⑫ Roll-out Plan'!$O$78</f>
        <v>0</v>
      </c>
      <c r="EJ739" s="36" t="n">
        <f aca="false">EJ737*$AC$735*EJ738*EJ$38*'⑫ Roll-out Plan'!$O$78</f>
        <v>0</v>
      </c>
      <c r="EK739" s="36" t="n">
        <f aca="false">EK737*$AC$735*EK738*EK$38*'⑫ Roll-out Plan'!$O$78</f>
        <v>0</v>
      </c>
      <c r="EL739" s="36" t="n">
        <f aca="false">EL737*$AC$735*EL738*EL$38*'⑫ Roll-out Plan'!$O$78</f>
        <v>0</v>
      </c>
      <c r="EM739" s="36" t="n">
        <f aca="false">EM737*$AC$735*EM738*EM$38*'⑫ Roll-out Plan'!$O$78</f>
        <v>0</v>
      </c>
      <c r="EN739" s="36" t="n">
        <f aca="false">EN737*$AC$735*EN738*EN$38*'⑫ Roll-out Plan'!$O$78</f>
        <v>0</v>
      </c>
      <c r="EO739" s="36" t="n">
        <f aca="false">EO737*$AC$735*EO738*EO$38*'⑫ Roll-out Plan'!$O$78</f>
        <v>0</v>
      </c>
      <c r="EP739" s="36" t="n">
        <f aca="false">EP737*$AC$735*EP738*EP$38*'⑫ Roll-out Plan'!$O$78</f>
        <v>0</v>
      </c>
      <c r="EQ739" s="36" t="n">
        <f aca="false">EQ737*$AC$735*EQ738*EQ$38*'⑫ Roll-out Plan'!$O$78</f>
        <v>0</v>
      </c>
      <c r="ER739" s="36" t="n">
        <f aca="false">ER737*$AC$735*ER738*ER$38*'⑫ Roll-out Plan'!$O$78</f>
        <v>0</v>
      </c>
      <c r="ES739" s="9" t="n">
        <f aca="false">ES737*$AC$735*ES738*ES$38*'⑫ Roll-out Plan'!$O$78</f>
        <v>0</v>
      </c>
      <c r="ET739" s="9" t="n">
        <f aca="false">ET737*$AC$735*ET738*ET$38*'⑫ Roll-out Plan'!$O$78</f>
        <v>0</v>
      </c>
      <c r="EU739" s="9" t="n">
        <f aca="false">EU737*$AC$735*EU738*EU$38*'⑫ Roll-out Plan'!$O$78</f>
        <v>0</v>
      </c>
      <c r="EV739" s="9" t="n">
        <f aca="false">EV737*$AC$735*EV738*EV$38*'⑫ Roll-out Plan'!$O$78</f>
        <v>0</v>
      </c>
      <c r="EW739" s="9" t="n">
        <f aca="false">EW737*$AC$735*EW738*EW$38*'⑫ Roll-out Plan'!$O$78</f>
        <v>0</v>
      </c>
      <c r="EX739" s="9" t="n">
        <f aca="false">EX737*$AC$735*EX738*EX$38*'⑫ Roll-out Plan'!$O$78</f>
        <v>17.6</v>
      </c>
      <c r="EY739" s="9" t="n">
        <f aca="false">EY737*$AC$735*EY738*EY$38*'⑫ Roll-out Plan'!$O$78</f>
        <v>20.328</v>
      </c>
      <c r="EZ739" s="9" t="n">
        <f aca="false">EZ737*$AC$735*EZ738*EZ$38*'⑫ Roll-out Plan'!$O$78</f>
        <v>37.488</v>
      </c>
      <c r="FA739" s="9" t="n">
        <f aca="false">FA737*$AC$735*FA738*FA$38*'⑫ Roll-out Plan'!$O$78</f>
        <v>34.452</v>
      </c>
      <c r="FB739" s="9" t="n">
        <f aca="false">FB737*$AC$735*FB738*FB$38*'⑫ Roll-out Plan'!$O$78</f>
        <v>28.512</v>
      </c>
      <c r="FC739" s="9" t="n">
        <f aca="false">FC737*$AC$735*FC738*FC$38*'⑫ Roll-out Plan'!$O$78</f>
        <v>24.552</v>
      </c>
      <c r="FD739" s="9" t="n">
        <f aca="false">FD737*$AC$735*FD738*FD$38*'⑫ Roll-out Plan'!$O$78</f>
        <v>39.27</v>
      </c>
      <c r="FE739" s="9" t="n">
        <f aca="false">FE737*$AC$735*FE738*FE$38*'⑫ Roll-out Plan'!$O$78</f>
        <v>46.332</v>
      </c>
      <c r="FF739" s="9" t="n">
        <f aca="false">FF737*$AC$735*FF738*FF$38*'⑫ Roll-out Plan'!$O$78</f>
        <v>39.688</v>
      </c>
      <c r="FG739" s="9" t="n">
        <f aca="false">FG737*$AC$735*FG738*FG$38*'⑫ Roll-out Plan'!$O$78</f>
        <v>56.144</v>
      </c>
      <c r="FH739" s="9" t="n">
        <f aca="false">FH737*$AC$735*FH738*FH$38*'⑫ Roll-out Plan'!$O$78</f>
        <v>58.08</v>
      </c>
      <c r="FI739" s="9" t="n">
        <f aca="false">FI737*$AC$735*FI738*FI$38*'⑫ Roll-out Plan'!$O$78</f>
        <v>52.624</v>
      </c>
      <c r="FJ739" s="9" t="n">
        <f aca="false">FJ737*$AC$735*FJ738*FJ$38*'⑫ Roll-out Plan'!$O$78</f>
        <v>49.28</v>
      </c>
      <c r="FK739" s="9" t="n">
        <f aca="false">FK737*$AC$735*FK738*FK$38*'⑫ Roll-out Plan'!$O$78</f>
        <v>55.44</v>
      </c>
      <c r="FL739" s="9" t="n">
        <f aca="false">FL737*$AC$735*FL738*FL$38*'⑫ Roll-out Plan'!$O$78</f>
        <v>93.72</v>
      </c>
      <c r="FM739" s="9" t="n">
        <f aca="false">FM737*$AC$735*FM738*FM$38*'⑫ Roll-out Plan'!$O$78</f>
        <v>96.4656</v>
      </c>
      <c r="FN739" s="9" t="n">
        <f aca="false">FN737*$AC$735*FN738*FN$38*'⑫ Roll-out Plan'!$O$78</f>
        <v>83.6352</v>
      </c>
      <c r="FO739" s="9" t="n">
        <f aca="false">FO737*$AC$735*FO738*FO$38*'⑫ Roll-out Plan'!$O$78</f>
        <v>65.5776</v>
      </c>
      <c r="FP739" s="9" t="n">
        <f aca="false">FP737*$AC$735*FP738*FP$38*'⑫ Roll-out Plan'!$O$78</f>
        <v>95.5944</v>
      </c>
    </row>
    <row r="740" customFormat="false" ht="15" hidden="false" customHeight="false" outlineLevel="2" collapsed="false">
      <c r="B740" s="9" t="s">
        <v>877</v>
      </c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112" t="n">
        <f aca="true">IFERROR(SUMPRODUCT(OFFSET($BJ$31,0,1-MIN(60,COLUMN()-29),1,MIN(60,COLUMN()-29)),OFFSET(AC739,0,-MIN(60,COLUMN()-29),1,MIN(60,COLUMN()-29))),0)</f>
        <v>0</v>
      </c>
      <c r="AD740" s="112" t="n">
        <f aca="true">IFERROR(SUMPRODUCT(OFFSET($BJ$31,0,1-MIN(60,COLUMN()-29),1,MIN(60,COLUMN()-29)),OFFSET(AD739,0,-MIN(60,COLUMN()-29),1,MIN(60,COLUMN()-29))),0)</f>
        <v>0</v>
      </c>
      <c r="AE740" s="112" t="n">
        <f aca="true">IFERROR(SUMPRODUCT(OFFSET($BJ$31,0,1-MIN(60,COLUMN()-29),1,MIN(60,COLUMN()-29)),OFFSET(AE739,0,-MIN(60,COLUMN()-29),1,MIN(60,COLUMN()-29))),0)</f>
        <v>0</v>
      </c>
      <c r="AF740" s="112" t="n">
        <f aca="true">IFERROR(SUMPRODUCT(OFFSET($BJ$31,0,1-MIN(60,COLUMN()-29),1,MIN(60,COLUMN()-29)),OFFSET(AF739,0,-MIN(60,COLUMN()-29),1,MIN(60,COLUMN()-29))),0)</f>
        <v>0</v>
      </c>
      <c r="AG740" s="112" t="n">
        <f aca="true">IFERROR(SUMPRODUCT(OFFSET($BJ$31,0,1-MIN(60,COLUMN()-29),1,MIN(60,COLUMN()-29)),OFFSET(AG739,0,-MIN(60,COLUMN()-29),1,MIN(60,COLUMN()-29))),0)</f>
        <v>0</v>
      </c>
      <c r="AH740" s="112" t="n">
        <f aca="true">IFERROR(SUMPRODUCT(OFFSET($BJ$31,0,1-MIN(60,COLUMN()-29),1,MIN(60,COLUMN()-29)),OFFSET(AH739,0,-MIN(60,COLUMN()-29),1,MIN(60,COLUMN()-29))),0)</f>
        <v>0</v>
      </c>
      <c r="AI740" s="112" t="n">
        <f aca="true">IFERROR(SUMPRODUCT(OFFSET($BJ$31,0,1-MIN(60,COLUMN()-29),1,MIN(60,COLUMN()-29)),OFFSET(AI739,0,-MIN(60,COLUMN()-29),1,MIN(60,COLUMN()-29))),0)</f>
        <v>0</v>
      </c>
      <c r="AJ740" s="112" t="n">
        <f aca="true">IFERROR(SUMPRODUCT(OFFSET($BJ$31,0,1-MIN(60,COLUMN()-29),1,MIN(60,COLUMN()-29)),OFFSET(AJ739,0,-MIN(60,COLUMN()-29),1,MIN(60,COLUMN()-29))),0)</f>
        <v>0</v>
      </c>
      <c r="AK740" s="112" t="n">
        <f aca="true">IFERROR(SUMPRODUCT(OFFSET($BJ$31,0,1-MIN(60,COLUMN()-29),1,MIN(60,COLUMN()-29)),OFFSET(AK739,0,-MIN(60,COLUMN()-29),1,MIN(60,COLUMN()-29))),0)</f>
        <v>0</v>
      </c>
      <c r="AL740" s="112" t="n">
        <f aca="true">IFERROR(SUMPRODUCT(OFFSET($BJ$31,0,1-MIN(60,COLUMN()-29),1,MIN(60,COLUMN()-29)),OFFSET(AL739,0,-MIN(60,COLUMN()-29),1,MIN(60,COLUMN()-29))),0)</f>
        <v>0</v>
      </c>
      <c r="AM740" s="112" t="n">
        <f aca="true">IFERROR(SUMPRODUCT(OFFSET($BJ$31,0,1-MIN(60,COLUMN()-29),1,MIN(60,COLUMN()-29)),OFFSET(AM739,0,-MIN(60,COLUMN()-29),1,MIN(60,COLUMN()-29))),0)</f>
        <v>0</v>
      </c>
      <c r="AN740" s="239" t="n">
        <f aca="true">IFERROR(SUMPRODUCT(OFFSET($BJ$31,0,1-MIN(60,COLUMN()-29),1,MIN(60,COLUMN()-29)),OFFSET(AN739,0,-MIN(60,COLUMN()-29),1,MIN(60,COLUMN()-29))),0)</f>
        <v>0</v>
      </c>
      <c r="AO740" s="112" t="n">
        <f aca="true">IFERROR(SUMPRODUCT(OFFSET($BJ$31,0,1-MIN(60,COLUMN()-29),1,MIN(60,COLUMN()-29)),OFFSET(AO739,0,-MIN(60,COLUMN()-29),1,MIN(60,COLUMN()-29))),0)</f>
        <v>0</v>
      </c>
      <c r="AP740" s="112" t="n">
        <f aca="true">IFERROR(SUMPRODUCT(OFFSET($BJ$31,0,1-MIN(60,COLUMN()-29),1,MIN(60,COLUMN()-29)),OFFSET(AP739,0,-MIN(60,COLUMN()-29),1,MIN(60,COLUMN()-29))),0)</f>
        <v>0</v>
      </c>
      <c r="AQ740" s="112" t="n">
        <f aca="true">IFERROR(SUMPRODUCT(OFFSET($BJ$31,0,1-MIN(60,COLUMN()-29),1,MIN(60,COLUMN()-29)),OFFSET(AQ739,0,-MIN(60,COLUMN()-29),1,MIN(60,COLUMN()-29))),0)</f>
        <v>0</v>
      </c>
      <c r="AR740" s="112" t="n">
        <f aca="true">IFERROR(SUMPRODUCT(OFFSET($BJ$31,0,1-MIN(60,COLUMN()-29),1,MIN(60,COLUMN()-29)),OFFSET(AR739,0,-MIN(60,COLUMN()-29),1,MIN(60,COLUMN()-29))),0)</f>
        <v>0</v>
      </c>
      <c r="AS740" s="112" t="n">
        <f aca="true">IFERROR(SUMPRODUCT(OFFSET($BJ$31,0,1-MIN(60,COLUMN()-29),1,MIN(60,COLUMN()-29)),OFFSET(AS739,0,-MIN(60,COLUMN()-29),1,MIN(60,COLUMN()-29))),0)</f>
        <v>0</v>
      </c>
      <c r="AT740" s="112" t="n">
        <f aca="true">IFERROR(SUMPRODUCT(OFFSET($BJ$31,0,1-MIN(60,COLUMN()-29),1,MIN(60,COLUMN()-29)),OFFSET(AT739,0,-MIN(60,COLUMN()-29),1,MIN(60,COLUMN()-29))),0)</f>
        <v>0</v>
      </c>
      <c r="AU740" s="112" t="n">
        <f aca="true">IFERROR(SUMPRODUCT(OFFSET($BJ$31,0,1-MIN(60,COLUMN()-29),1,MIN(60,COLUMN()-29)),OFFSET(AU739,0,-MIN(60,COLUMN()-29),1,MIN(60,COLUMN()-29))),0)</f>
        <v>0</v>
      </c>
      <c r="AV740" s="112" t="n">
        <f aca="true">IFERROR(SUMPRODUCT(OFFSET($BJ$31,0,1-MIN(60,COLUMN()-29),1,MIN(60,COLUMN()-29)),OFFSET(AV739,0,-MIN(60,COLUMN()-29),1,MIN(60,COLUMN()-29))),0)</f>
        <v>0</v>
      </c>
      <c r="AW740" s="112" t="n">
        <f aca="true">IFERROR(SUMPRODUCT(OFFSET($BJ$31,0,1-MIN(60,COLUMN()-29),1,MIN(60,COLUMN()-29)),OFFSET(AW739,0,-MIN(60,COLUMN()-29),1,MIN(60,COLUMN()-29))),0)</f>
        <v>0</v>
      </c>
      <c r="AX740" s="112" t="n">
        <f aca="true">IFERROR(SUMPRODUCT(OFFSET($BJ$31,0,1-MIN(60,COLUMN()-29),1,MIN(60,COLUMN()-29)),OFFSET(AX739,0,-MIN(60,COLUMN()-29),1,MIN(60,COLUMN()-29))),0)</f>
        <v>0</v>
      </c>
      <c r="AY740" s="112" t="n">
        <f aca="true">IFERROR(SUMPRODUCT(OFFSET($BJ$31,0,1-MIN(60,COLUMN()-29),1,MIN(60,COLUMN()-29)),OFFSET(AY739,0,-MIN(60,COLUMN()-29),1,MIN(60,COLUMN()-29))),0)</f>
        <v>0</v>
      </c>
      <c r="AZ740" s="112" t="n">
        <f aca="true">IFERROR(SUMPRODUCT(OFFSET($BJ$31,0,1-MIN(60,COLUMN()-29),1,MIN(60,COLUMN()-29)),OFFSET(AZ739,0,-MIN(60,COLUMN()-29),1,MIN(60,COLUMN()-29))),0)</f>
        <v>0</v>
      </c>
      <c r="BA740" s="112" t="n">
        <f aca="true">IFERROR(SUMPRODUCT(OFFSET($BJ$31,0,1-MIN(60,COLUMN()-29),1,MIN(60,COLUMN()-29)),OFFSET(BA739,0,-MIN(60,COLUMN()-29),1,MIN(60,COLUMN()-29))),0)</f>
        <v>0</v>
      </c>
      <c r="BB740" s="112" t="n">
        <f aca="true">IFERROR(SUMPRODUCT(OFFSET($BJ$31,0,1-MIN(60,COLUMN()-29),1,MIN(60,COLUMN()-29)),OFFSET(BB739,0,-MIN(60,COLUMN()-29),1,MIN(60,COLUMN()-29))),0)</f>
        <v>0</v>
      </c>
      <c r="BC740" s="112" t="n">
        <f aca="true">IFERROR(SUMPRODUCT(OFFSET($BJ$31,0,1-MIN(60,COLUMN()-29),1,MIN(60,COLUMN()-29)),OFFSET(BC739,0,-MIN(60,COLUMN()-29),1,MIN(60,COLUMN()-29))),0)</f>
        <v>0</v>
      </c>
      <c r="BD740" s="112" t="n">
        <f aca="true">IFERROR(SUMPRODUCT(OFFSET($BJ$31,0,1-MIN(60,COLUMN()-29),1,MIN(60,COLUMN()-29)),OFFSET(BD739,0,-MIN(60,COLUMN()-29),1,MIN(60,COLUMN()-29))),0)</f>
        <v>0</v>
      </c>
      <c r="BE740" s="112" t="n">
        <f aca="true">IFERROR(SUMPRODUCT(OFFSET($BJ$31,0,1-MIN(60,COLUMN()-29),1,MIN(60,COLUMN()-29)),OFFSET(BE739,0,-MIN(60,COLUMN()-29),1,MIN(60,COLUMN()-29))),0)</f>
        <v>0</v>
      </c>
      <c r="BF740" s="112" t="n">
        <f aca="true">IFERROR(SUMPRODUCT(OFFSET($BJ$31,0,1-MIN(60,COLUMN()-29),1,MIN(60,COLUMN()-29)),OFFSET(BF739,0,-MIN(60,COLUMN()-29),1,MIN(60,COLUMN()-29))),0)</f>
        <v>0</v>
      </c>
      <c r="BG740" s="112" t="n">
        <f aca="true">IFERROR(SUMPRODUCT(OFFSET($BJ$31,0,1-MIN(60,COLUMN()-29),1,MIN(60,COLUMN()-29)),OFFSET(BG739,0,-MIN(60,COLUMN()-29),1,MIN(60,COLUMN()-29))),0)</f>
        <v>0</v>
      </c>
      <c r="BH740" s="112" t="n">
        <f aca="true">IFERROR(SUMPRODUCT(OFFSET($BJ$31,0,1-MIN(60,COLUMN()-29),1,MIN(60,COLUMN()-29)),OFFSET(BH739,0,-MIN(60,COLUMN()-29),1,MIN(60,COLUMN()-29))),0)</f>
        <v>0</v>
      </c>
      <c r="BI740" s="112" t="n">
        <f aca="true">IFERROR(SUMPRODUCT(OFFSET($BJ$31,0,1-MIN(60,COLUMN()-29),1,MIN(60,COLUMN()-29)),OFFSET(BI739,0,-MIN(60,COLUMN()-29),1,MIN(60,COLUMN()-29))),0)</f>
        <v>0</v>
      </c>
      <c r="BJ740" s="112" t="n">
        <f aca="true">IFERROR(SUMPRODUCT(OFFSET($BJ$31,0,1-MIN(60,COLUMN()-29),1,MIN(60,COLUMN()-29)),OFFSET(BJ739,0,-MIN(60,COLUMN()-29),1,MIN(60,COLUMN()-29))),0)</f>
        <v>0</v>
      </c>
      <c r="BK740" s="112" t="n">
        <f aca="true">IFERROR(SUMPRODUCT(OFFSET($BJ$31,0,1-MIN(60,COLUMN()-29),1,MIN(60,COLUMN()-29)),OFFSET(BK739,0,-MIN(60,COLUMN()-29),1,MIN(60,COLUMN()-29))),0)</f>
        <v>0</v>
      </c>
      <c r="BL740" s="112" t="n">
        <f aca="true">IFERROR(SUMPRODUCT(OFFSET($BJ$31,0,1-MIN(60,COLUMN()-29),1,MIN(60,COLUMN()-29)),OFFSET(BL739,0,-MIN(60,COLUMN()-29),1,MIN(60,COLUMN()-29))),0)</f>
        <v>0</v>
      </c>
      <c r="BM740" s="112" t="n">
        <f aca="true">IFERROR(SUMPRODUCT(OFFSET($BJ$31,0,1-MIN(60,COLUMN()-29),1,MIN(60,COLUMN()-29)),OFFSET(BM739,0,-MIN(60,COLUMN()-29),1,MIN(60,COLUMN()-29))),0)</f>
        <v>0</v>
      </c>
      <c r="BN740" s="112" t="n">
        <f aca="true">IFERROR(SUMPRODUCT(OFFSET($BJ$31,0,1-MIN(60,COLUMN()-29),1,MIN(60,COLUMN()-29)),OFFSET(BN739,0,-MIN(60,COLUMN()-29),1,MIN(60,COLUMN()-29))),0)</f>
        <v>0</v>
      </c>
      <c r="BO740" s="112" t="n">
        <f aca="true">IFERROR(SUMPRODUCT(OFFSET($BJ$31,0,1-MIN(60,COLUMN()-29),1,MIN(60,COLUMN()-29)),OFFSET(BO739,0,-MIN(60,COLUMN()-29),1,MIN(60,COLUMN()-29))),0)</f>
        <v>0</v>
      </c>
      <c r="BP740" s="112" t="n">
        <f aca="true">IFERROR(SUMPRODUCT(OFFSET($BJ$31,0,1-MIN(60,COLUMN()-29),1,MIN(60,COLUMN()-29)),OFFSET(BP739,0,-MIN(60,COLUMN()-29),1,MIN(60,COLUMN()-29))),0)</f>
        <v>0</v>
      </c>
      <c r="BQ740" s="112" t="n">
        <f aca="true">IFERROR(SUMPRODUCT(OFFSET($BJ$31,0,1-MIN(60,COLUMN()-29),1,MIN(60,COLUMN()-29)),OFFSET(BQ739,0,-MIN(60,COLUMN()-29),1,MIN(60,COLUMN()-29))),0)</f>
        <v>0</v>
      </c>
      <c r="BR740" s="112" t="n">
        <f aca="true">IFERROR(SUMPRODUCT(OFFSET($BJ$31,0,1-MIN(60,COLUMN()-29),1,MIN(60,COLUMN()-29)),OFFSET(BR739,0,-MIN(60,COLUMN()-29),1,MIN(60,COLUMN()-29))),0)</f>
        <v>0</v>
      </c>
      <c r="BS740" s="112" t="n">
        <f aca="true">IFERROR(SUMPRODUCT(OFFSET($BJ$31,0,1-MIN(60,COLUMN()-29),1,MIN(60,COLUMN()-29)),OFFSET(BS739,0,-MIN(60,COLUMN()-29),1,MIN(60,COLUMN()-29))),0)</f>
        <v>0</v>
      </c>
      <c r="BT740" s="112" t="n">
        <f aca="true">IFERROR(SUMPRODUCT(OFFSET($BJ$31,0,1-MIN(60,COLUMN()-29),1,MIN(60,COLUMN()-29)),OFFSET(BT739,0,-MIN(60,COLUMN()-29),1,MIN(60,COLUMN()-29))),0)</f>
        <v>0</v>
      </c>
      <c r="BU740" s="112" t="n">
        <f aca="true">IFERROR(SUMPRODUCT(OFFSET($BJ$31,0,1-MIN(60,COLUMN()-29),1,MIN(60,COLUMN()-29)),OFFSET(BU739,0,-MIN(60,COLUMN()-29),1,MIN(60,COLUMN()-29))),0)</f>
        <v>0</v>
      </c>
      <c r="BV740" s="112" t="n">
        <f aca="true">IFERROR(SUMPRODUCT(OFFSET($BJ$31,0,1-MIN(60,COLUMN()-29),1,MIN(60,COLUMN()-29)),OFFSET(BV739,0,-MIN(60,COLUMN()-29),1,MIN(60,COLUMN()-29))),0)</f>
        <v>0</v>
      </c>
      <c r="BW740" s="112" t="n">
        <f aca="true">IFERROR(SUMPRODUCT(OFFSET($BJ$31,0,1-MIN(60,COLUMN()-29),1,MIN(60,COLUMN()-29)),OFFSET(BW739,0,-MIN(60,COLUMN()-29),1,MIN(60,COLUMN()-29))),0)</f>
        <v>0</v>
      </c>
      <c r="BX740" s="112" t="n">
        <f aca="true">IFERROR(SUMPRODUCT(OFFSET($BJ$31,0,1-MIN(60,COLUMN()-29),1,MIN(60,COLUMN()-29)),OFFSET(BX739,0,-MIN(60,COLUMN()-29),1,MIN(60,COLUMN()-29))),0)</f>
        <v>0</v>
      </c>
      <c r="BY740" s="112" t="n">
        <f aca="true">IFERROR(SUMPRODUCT(OFFSET($BJ$31,0,1-MIN(60,COLUMN()-29),1,MIN(60,COLUMN()-29)),OFFSET(BY739,0,-MIN(60,COLUMN()-29),1,MIN(60,COLUMN()-29))),0)</f>
        <v>0</v>
      </c>
      <c r="BZ740" s="112" t="n">
        <f aca="true">IFERROR(SUMPRODUCT(OFFSET($BJ$31,0,1-MIN(60,COLUMN()-29),1,MIN(60,COLUMN()-29)),OFFSET(BZ739,0,-MIN(60,COLUMN()-29),1,MIN(60,COLUMN()-29))),0)</f>
        <v>0</v>
      </c>
      <c r="CA740" s="112" t="n">
        <f aca="true">IFERROR(SUMPRODUCT(OFFSET($BJ$31,0,1-MIN(60,COLUMN()-29),1,MIN(60,COLUMN()-29)),OFFSET(CA739,0,-MIN(60,COLUMN()-29),1,MIN(60,COLUMN()-29))),0)</f>
        <v>0</v>
      </c>
      <c r="CB740" s="112" t="n">
        <f aca="true">IFERROR(SUMPRODUCT(OFFSET($BJ$31,0,1-MIN(60,COLUMN()-29),1,MIN(60,COLUMN()-29)),OFFSET(CB739,0,-MIN(60,COLUMN()-29),1,MIN(60,COLUMN()-29))),0)</f>
        <v>0</v>
      </c>
      <c r="CC740" s="112" t="n">
        <f aca="true">IFERROR(SUMPRODUCT(OFFSET($BJ$31,0,1-MIN(60,COLUMN()-29),1,MIN(60,COLUMN()-29)),OFFSET(CC739,0,-MIN(60,COLUMN()-29),1,MIN(60,COLUMN()-29))),0)</f>
        <v>0</v>
      </c>
      <c r="CD740" s="112" t="n">
        <f aca="true">IFERROR(SUMPRODUCT(OFFSET($BJ$31,0,1-MIN(60,COLUMN()-29),1,MIN(60,COLUMN()-29)),OFFSET(CD739,0,-MIN(60,COLUMN()-29),1,MIN(60,COLUMN()-29))),0)</f>
        <v>0</v>
      </c>
      <c r="CE740" s="112" t="n">
        <f aca="true">IFERROR(SUMPRODUCT(OFFSET($BJ$31,0,1-MIN(60,COLUMN()-29),1,MIN(60,COLUMN()-29)),OFFSET(CE739,0,-MIN(60,COLUMN()-29),1,MIN(60,COLUMN()-29))),0)</f>
        <v>0</v>
      </c>
      <c r="CF740" s="112" t="n">
        <f aca="true">IFERROR(SUMPRODUCT(OFFSET($BJ$31,0,1-MIN(60,COLUMN()-29),1,MIN(60,COLUMN()-29)),OFFSET(CF739,0,-MIN(60,COLUMN()-29),1,MIN(60,COLUMN()-29))),0)</f>
        <v>0</v>
      </c>
      <c r="CG740" s="112" t="n">
        <f aca="true">IFERROR(SUMPRODUCT(OFFSET($BJ$31,0,1-MIN(60,COLUMN()-29),1,MIN(60,COLUMN()-29)),OFFSET(CG739,0,-MIN(60,COLUMN()-29),1,MIN(60,COLUMN()-29))),0)</f>
        <v>0</v>
      </c>
      <c r="CH740" s="112" t="n">
        <f aca="true">IFERROR(SUMPRODUCT(OFFSET($BJ$31,0,1-MIN(60,COLUMN()-29),1,MIN(60,COLUMN()-29)),OFFSET(CH739,0,-MIN(60,COLUMN()-29),1,MIN(60,COLUMN()-29))),0)</f>
        <v>0</v>
      </c>
      <c r="CI740" s="112" t="n">
        <f aca="true">IFERROR(SUMPRODUCT(OFFSET($BJ$31,0,1-MIN(60,COLUMN()-29),1,MIN(60,COLUMN()-29)),OFFSET(CI739,0,-MIN(60,COLUMN()-29),1,MIN(60,COLUMN()-29))),0)</f>
        <v>0</v>
      </c>
      <c r="CJ740" s="112" t="n">
        <f aca="true">IFERROR(SUMPRODUCT(OFFSET($BJ$31,0,1-MIN(60,COLUMN()-29),1,MIN(60,COLUMN()-29)),OFFSET(CJ739,0,-MIN(60,COLUMN()-29),1,MIN(60,COLUMN()-29))),0)</f>
        <v>0</v>
      </c>
      <c r="CK740" s="112" t="n">
        <f aca="true">IFERROR(SUMPRODUCT(OFFSET($BJ$31,0,1-MIN(60,COLUMN()-29),1,MIN(60,COLUMN()-29)),OFFSET(CK739,0,-MIN(60,COLUMN()-29),1,MIN(60,COLUMN()-29))),0)</f>
        <v>0</v>
      </c>
      <c r="CL740" s="112" t="n">
        <f aca="true">IFERROR(SUMPRODUCT(OFFSET($BJ$31,0,1-MIN(60,COLUMN()-29),1,MIN(60,COLUMN()-29)),OFFSET(CL739,0,-MIN(60,COLUMN()-29),1,MIN(60,COLUMN()-29))),0)</f>
        <v>0</v>
      </c>
      <c r="CM740" s="112" t="n">
        <f aca="true">IFERROR(SUMPRODUCT(OFFSET($BJ$31,0,1-MIN(60,COLUMN()-29),1,MIN(60,COLUMN()-29)),OFFSET(CM739,0,-MIN(60,COLUMN()-29),1,MIN(60,COLUMN()-29))),0)</f>
        <v>0</v>
      </c>
      <c r="CN740" s="112" t="n">
        <f aca="true">IFERROR(SUMPRODUCT(OFFSET($BJ$31,0,1-MIN(60,COLUMN()-29),1,MIN(60,COLUMN()-29)),OFFSET(CN739,0,-MIN(60,COLUMN()-29),1,MIN(60,COLUMN()-29))),0)</f>
        <v>0</v>
      </c>
      <c r="CO740" s="112" t="n">
        <f aca="true">IFERROR(SUMPRODUCT(OFFSET($BJ$31,0,1-MIN(60,COLUMN()-29),1,MIN(60,COLUMN()-29)),OFFSET(CO739,0,-MIN(60,COLUMN()-29),1,MIN(60,COLUMN()-29))),0)</f>
        <v>0</v>
      </c>
      <c r="CP740" s="112" t="n">
        <f aca="true">IFERROR(SUMPRODUCT(OFFSET($BJ$31,0,1-MIN(60,COLUMN()-29),1,MIN(60,COLUMN()-29)),OFFSET(CP739,0,-MIN(60,COLUMN()-29),1,MIN(60,COLUMN()-29))),0)</f>
        <v>0</v>
      </c>
      <c r="CQ740" s="112" t="n">
        <f aca="true">IFERROR(SUMPRODUCT(OFFSET($BJ$31,0,1-MIN(60,COLUMN()-29),1,MIN(60,COLUMN()-29)),OFFSET(CQ739,0,-MIN(60,COLUMN()-29),1,MIN(60,COLUMN()-29))),0)</f>
        <v>0</v>
      </c>
      <c r="CR740" s="112" t="n">
        <f aca="true">IFERROR(SUMPRODUCT(OFFSET($BJ$31,0,1-MIN(60,COLUMN()-29),1,MIN(60,COLUMN()-29)),OFFSET(CR739,0,-MIN(60,COLUMN()-29),1,MIN(60,COLUMN()-29))),0)</f>
        <v>0</v>
      </c>
      <c r="CS740" s="112" t="n">
        <f aca="true">IFERROR(SUMPRODUCT(OFFSET($BJ$31,0,1-MIN(60,COLUMN()-29),1,MIN(60,COLUMN()-29)),OFFSET(CS739,0,-MIN(60,COLUMN()-29),1,MIN(60,COLUMN()-29))),0)</f>
        <v>0</v>
      </c>
      <c r="CT740" s="112" t="n">
        <f aca="true">IFERROR(SUMPRODUCT(OFFSET($BJ$31,0,1-MIN(60,COLUMN()-29),1,MIN(60,COLUMN()-29)),OFFSET(CT739,0,-MIN(60,COLUMN()-29),1,MIN(60,COLUMN()-29))),0)</f>
        <v>0</v>
      </c>
      <c r="CU740" s="112" t="n">
        <f aca="true">IFERROR(SUMPRODUCT(OFFSET($BJ$31,0,1-MIN(60,COLUMN()-29),1,MIN(60,COLUMN()-29)),OFFSET(CU739,0,-MIN(60,COLUMN()-29),1,MIN(60,COLUMN()-29))),0)</f>
        <v>0</v>
      </c>
      <c r="CV740" s="112" t="n">
        <f aca="true">IFERROR(SUMPRODUCT(OFFSET($BJ$31,0,1-MIN(60,COLUMN()-29),1,MIN(60,COLUMN()-29)),OFFSET(CV739,0,-MIN(60,COLUMN()-29),1,MIN(60,COLUMN()-29))),0)</f>
        <v>0</v>
      </c>
      <c r="CW740" s="112" t="n">
        <f aca="true">IFERROR(SUMPRODUCT(OFFSET($BJ$31,0,1-MIN(60,COLUMN()-29),1,MIN(60,COLUMN()-29)),OFFSET(CW739,0,-MIN(60,COLUMN()-29),1,MIN(60,COLUMN()-29))),0)</f>
        <v>0</v>
      </c>
      <c r="CX740" s="112" t="n">
        <f aca="true">IFERROR(SUMPRODUCT(OFFSET($BJ$31,0,1-MIN(60,COLUMN()-29),1,MIN(60,COLUMN()-29)),OFFSET(CX739,0,-MIN(60,COLUMN()-29),1,MIN(60,COLUMN()-29))),0)</f>
        <v>0</v>
      </c>
      <c r="CY740" s="112" t="n">
        <f aca="true">IFERROR(SUMPRODUCT(OFFSET($BJ$31,0,1-MIN(60,COLUMN()-29),1,MIN(60,COLUMN()-29)),OFFSET(CY739,0,-MIN(60,COLUMN()-29),1,MIN(60,COLUMN()-29))),0)</f>
        <v>0</v>
      </c>
      <c r="CZ740" s="112" t="n">
        <f aca="true">IFERROR(SUMPRODUCT(OFFSET($BJ$31,0,1-MIN(60,COLUMN()-29),1,MIN(60,COLUMN()-29)),OFFSET(CZ739,0,-MIN(60,COLUMN()-29),1,MIN(60,COLUMN()-29))),0)</f>
        <v>0</v>
      </c>
      <c r="DA740" s="112" t="n">
        <f aca="true">IFERROR(SUMPRODUCT(OFFSET($BJ$31,0,1-MIN(60,COLUMN()-29),1,MIN(60,COLUMN()-29)),OFFSET(DA739,0,-MIN(60,COLUMN()-29),1,MIN(60,COLUMN()-29))),0)</f>
        <v>0</v>
      </c>
      <c r="DB740" s="112" t="n">
        <f aca="true">IFERROR(SUMPRODUCT(OFFSET($BJ$31,0,1-MIN(60,COLUMN()-29),1,MIN(60,COLUMN()-29)),OFFSET(DB739,0,-MIN(60,COLUMN()-29),1,MIN(60,COLUMN()-29))),0)</f>
        <v>0</v>
      </c>
      <c r="DC740" s="112" t="n">
        <f aca="true">IFERROR(SUMPRODUCT(OFFSET($BJ$31,0,1-MIN(60,COLUMN()-29),1,MIN(60,COLUMN()-29)),OFFSET(DC739,0,-MIN(60,COLUMN()-29),1,MIN(60,COLUMN()-29))),0)</f>
        <v>0</v>
      </c>
      <c r="DD740" s="112" t="n">
        <f aca="true">IFERROR(SUMPRODUCT(OFFSET($BJ$31,0,1-MIN(60,COLUMN()-29),1,MIN(60,COLUMN()-29)),OFFSET(DD739,0,-MIN(60,COLUMN()-29),1,MIN(60,COLUMN()-29))),0)</f>
        <v>0</v>
      </c>
      <c r="DE740" s="112" t="n">
        <f aca="true">IFERROR(SUMPRODUCT(OFFSET($BJ$31,0,1-MIN(60,COLUMN()-29),1,MIN(60,COLUMN()-29)),OFFSET(DE739,0,-MIN(60,COLUMN()-29),1,MIN(60,COLUMN()-29))),0)</f>
        <v>0</v>
      </c>
      <c r="DF740" s="112" t="n">
        <f aca="true">IFERROR(SUMPRODUCT(OFFSET($BJ$31,0,1-MIN(60,COLUMN()-29),1,MIN(60,COLUMN()-29)),OFFSET(DF739,0,-MIN(60,COLUMN()-29),1,MIN(60,COLUMN()-29))),0)</f>
        <v>0</v>
      </c>
      <c r="DG740" s="112" t="n">
        <f aca="true">IFERROR(SUMPRODUCT(OFFSET($BJ$31,0,1-MIN(60,COLUMN()-29),1,MIN(60,COLUMN()-29)),OFFSET(DG739,0,-MIN(60,COLUMN()-29),1,MIN(60,COLUMN()-29))),0)</f>
        <v>0</v>
      </c>
      <c r="DH740" s="112" t="n">
        <f aca="true">IFERROR(SUMPRODUCT(OFFSET($BJ$31,0,1-MIN(60,COLUMN()-29),1,MIN(60,COLUMN()-29)),OFFSET(DH739,0,-MIN(60,COLUMN()-29),1,MIN(60,COLUMN()-29))),0)</f>
        <v>0</v>
      </c>
      <c r="DI740" s="112" t="n">
        <f aca="true">IFERROR(SUMPRODUCT(OFFSET($BJ$31,0,1-MIN(60,COLUMN()-29),1,MIN(60,COLUMN()-29)),OFFSET(DI739,0,-MIN(60,COLUMN()-29),1,MIN(60,COLUMN()-29))),0)</f>
        <v>0</v>
      </c>
      <c r="DJ740" s="112" t="n">
        <f aca="true">IFERROR(SUMPRODUCT(OFFSET($BJ$31,0,1-MIN(60,COLUMN()-29),1,MIN(60,COLUMN()-29)),OFFSET(DJ739,0,-MIN(60,COLUMN()-29),1,MIN(60,COLUMN()-29))),0)</f>
        <v>0</v>
      </c>
      <c r="DK740" s="112" t="n">
        <f aca="true">IFERROR(SUMPRODUCT(OFFSET($BJ$31,0,1-MIN(60,COLUMN()-29),1,MIN(60,COLUMN()-29)),OFFSET(DK739,0,-MIN(60,COLUMN()-29),1,MIN(60,COLUMN()-29))),0)</f>
        <v>0</v>
      </c>
      <c r="DL740" s="112" t="n">
        <f aca="true">IFERROR(SUMPRODUCT(OFFSET($BJ$31,0,1-MIN(60,COLUMN()-29),1,MIN(60,COLUMN()-29)),OFFSET(DL739,0,-MIN(60,COLUMN()-29),1,MIN(60,COLUMN()-29))),0)</f>
        <v>0</v>
      </c>
      <c r="DM740" s="112" t="n">
        <f aca="true">IFERROR(SUMPRODUCT(OFFSET($BJ$31,0,1-MIN(60,COLUMN()-29),1,MIN(60,COLUMN()-29)),OFFSET(DM739,0,-MIN(60,COLUMN()-29),1,MIN(60,COLUMN()-29))),0)</f>
        <v>0</v>
      </c>
      <c r="DN740" s="112" t="n">
        <f aca="true">IFERROR(SUMPRODUCT(OFFSET($BJ$31,0,1-MIN(60,COLUMN()-29),1,MIN(60,COLUMN()-29)),OFFSET(DN739,0,-MIN(60,COLUMN()-29),1,MIN(60,COLUMN()-29))),0)</f>
        <v>0</v>
      </c>
      <c r="DO740" s="112" t="n">
        <f aca="true">IFERROR(SUMPRODUCT(OFFSET($BJ$31,0,1-MIN(60,COLUMN()-29),1,MIN(60,COLUMN()-29)),OFFSET(DO739,0,-MIN(60,COLUMN()-29),1,MIN(60,COLUMN()-29))),0)</f>
        <v>0</v>
      </c>
      <c r="DP740" s="112" t="n">
        <f aca="true">IFERROR(SUMPRODUCT(OFFSET($BJ$31,0,1-MIN(60,COLUMN()-29),1,MIN(60,COLUMN()-29)),OFFSET(DP739,0,-MIN(60,COLUMN()-29),1,MIN(60,COLUMN()-29))),0)</f>
        <v>0</v>
      </c>
      <c r="DQ740" s="112" t="n">
        <f aca="true">IFERROR(SUMPRODUCT(OFFSET($BJ$31,0,1-MIN(60,COLUMN()-29),1,MIN(60,COLUMN()-29)),OFFSET(DQ739,0,-MIN(60,COLUMN()-29),1,MIN(60,COLUMN()-29))),0)</f>
        <v>0</v>
      </c>
      <c r="DR740" s="112" t="n">
        <f aca="true">IFERROR(SUMPRODUCT(OFFSET($BJ$31,0,1-MIN(60,COLUMN()-29),1,MIN(60,COLUMN()-29)),OFFSET(DR739,0,-MIN(60,COLUMN()-29),1,MIN(60,COLUMN()-29))),0)</f>
        <v>0</v>
      </c>
      <c r="DS740" s="112" t="n">
        <f aca="true">IFERROR(SUMPRODUCT(OFFSET($BJ$31,0,1-MIN(60,COLUMN()-29),1,MIN(60,COLUMN()-29)),OFFSET(DS739,0,-MIN(60,COLUMN()-29),1,MIN(60,COLUMN()-29))),0)</f>
        <v>0</v>
      </c>
      <c r="DT740" s="112" t="n">
        <f aca="true">IFERROR(SUMPRODUCT(OFFSET($BJ$31,0,1-MIN(60,COLUMN()-29),1,MIN(60,COLUMN()-29)),OFFSET(DT739,0,-MIN(60,COLUMN()-29),1,MIN(60,COLUMN()-29))),0)</f>
        <v>0</v>
      </c>
      <c r="DU740" s="112" t="n">
        <f aca="true">IFERROR(SUMPRODUCT(OFFSET($BJ$31,0,1-MIN(60,COLUMN()-29),1,MIN(60,COLUMN()-29)),OFFSET(DU739,0,-MIN(60,COLUMN()-29),1,MIN(60,COLUMN()-29))),0)</f>
        <v>0</v>
      </c>
      <c r="DV740" s="112" t="n">
        <f aca="true">IFERROR(SUMPRODUCT(OFFSET($BJ$31,0,1-MIN(60,COLUMN()-29),1,MIN(60,COLUMN()-29)),OFFSET(DV739,0,-MIN(60,COLUMN()-29),1,MIN(60,COLUMN()-29))),0)</f>
        <v>0</v>
      </c>
      <c r="DW740" s="112" t="n">
        <f aca="true">IFERROR(SUMPRODUCT(OFFSET($BJ$31,0,1-MIN(60,COLUMN()-29),1,MIN(60,COLUMN()-29)),OFFSET(DW739,0,-MIN(60,COLUMN()-29),1,MIN(60,COLUMN()-29))),0)</f>
        <v>0</v>
      </c>
      <c r="DX740" s="112" t="n">
        <f aca="true">IFERROR(SUMPRODUCT(OFFSET($BJ$31,0,1-MIN(60,COLUMN()-29),1,MIN(60,COLUMN()-29)),OFFSET(DX739,0,-MIN(60,COLUMN()-29),1,MIN(60,COLUMN()-29))),0)</f>
        <v>0</v>
      </c>
      <c r="DY740" s="112" t="n">
        <f aca="true">IFERROR(SUMPRODUCT(OFFSET($BJ$31,0,1-MIN(60,COLUMN()-29),1,MIN(60,COLUMN()-29)),OFFSET(DY739,0,-MIN(60,COLUMN()-29),1,MIN(60,COLUMN()-29))),0)</f>
        <v>0</v>
      </c>
      <c r="DZ740" s="112" t="n">
        <f aca="true">IFERROR(SUMPRODUCT(OFFSET($BJ$31,0,1-MIN(60,COLUMN()-29),1,MIN(60,COLUMN()-29)),OFFSET(DZ739,0,-MIN(60,COLUMN()-29),1,MIN(60,COLUMN()-29))),0)</f>
        <v>0</v>
      </c>
      <c r="EA740" s="112" t="n">
        <f aca="true">IFERROR(SUMPRODUCT(OFFSET($BJ$31,0,1-MIN(60,COLUMN()-29),1,MIN(60,COLUMN()-29)),OFFSET(EA739,0,-MIN(60,COLUMN()-29),1,MIN(60,COLUMN()-29))),0)</f>
        <v>0</v>
      </c>
      <c r="EB740" s="112" t="n">
        <f aca="true">IFERROR(SUMPRODUCT(OFFSET($BJ$31,0,1-MIN(60,COLUMN()-29),1,MIN(60,COLUMN()-29)),OFFSET(EB739,0,-MIN(60,COLUMN()-29),1,MIN(60,COLUMN()-29))),0)</f>
        <v>0</v>
      </c>
      <c r="EC740" s="112" t="n">
        <f aca="true">IFERROR(SUMPRODUCT(OFFSET($BJ$31,0,1-MIN(60,COLUMN()-29),1,MIN(60,COLUMN()-29)),OFFSET(EC739,0,-MIN(60,COLUMN()-29),1,MIN(60,COLUMN()-29))),0)</f>
        <v>0</v>
      </c>
      <c r="ED740" s="112" t="n">
        <f aca="true">IFERROR(SUMPRODUCT(OFFSET($BJ$31,0,1-MIN(60,COLUMN()-29),1,MIN(60,COLUMN()-29)),OFFSET(ED739,0,-MIN(60,COLUMN()-29),1,MIN(60,COLUMN()-29))),0)</f>
        <v>0</v>
      </c>
      <c r="EE740" s="112" t="n">
        <f aca="true">IFERROR(SUMPRODUCT(OFFSET($BJ$31,0,1-MIN(60,COLUMN()-29),1,MIN(60,COLUMN()-29)),OFFSET(EE739,0,-MIN(60,COLUMN()-29),1,MIN(60,COLUMN()-29))),0)</f>
        <v>0</v>
      </c>
      <c r="EF740" s="112" t="n">
        <f aca="true">IFERROR(SUMPRODUCT(OFFSET($BJ$31,0,1-MIN(60,COLUMN()-29),1,MIN(60,COLUMN()-29)),OFFSET(EF739,0,-MIN(60,COLUMN()-29),1,MIN(60,COLUMN()-29))),0)</f>
        <v>0</v>
      </c>
      <c r="EG740" s="112" t="n">
        <f aca="true">IFERROR(SUMPRODUCT(OFFSET($BJ$31,0,1-MIN(60,COLUMN()-29),1,MIN(60,COLUMN()-29)),OFFSET(EG739,0,-MIN(60,COLUMN()-29),1,MIN(60,COLUMN()-29))),0)</f>
        <v>0</v>
      </c>
      <c r="EH740" s="112" t="n">
        <f aca="true">IFERROR(SUMPRODUCT(OFFSET($BJ$31,0,1-MIN(60,COLUMN()-29),1,MIN(60,COLUMN()-29)),OFFSET(EH739,0,-MIN(60,COLUMN()-29),1,MIN(60,COLUMN()-29))),0)</f>
        <v>0</v>
      </c>
      <c r="EI740" s="112" t="n">
        <f aca="true">IFERROR(SUMPRODUCT(OFFSET($BJ$31,0,1-MIN(60,COLUMN()-29),1,MIN(60,COLUMN()-29)),OFFSET(EI739,0,-MIN(60,COLUMN()-29),1,MIN(60,COLUMN()-29))),0)</f>
        <v>0</v>
      </c>
      <c r="EJ740" s="112" t="n">
        <f aca="true">IFERROR(SUMPRODUCT(OFFSET($BJ$31,0,1-MIN(60,COLUMN()-29),1,MIN(60,COLUMN()-29)),OFFSET(EJ739,0,-MIN(60,COLUMN()-29),1,MIN(60,COLUMN()-29))),0)</f>
        <v>0</v>
      </c>
      <c r="EK740" s="112" t="n">
        <f aca="true">IFERROR(SUMPRODUCT(OFFSET($BJ$31,0,1-MIN(60,COLUMN()-29),1,MIN(60,COLUMN()-29)),OFFSET(EK739,0,-MIN(60,COLUMN()-29),1,MIN(60,COLUMN()-29))),0)</f>
        <v>0</v>
      </c>
      <c r="EL740" s="112" t="n">
        <f aca="true">IFERROR(SUMPRODUCT(OFFSET($BJ$31,0,1-MIN(60,COLUMN()-29),1,MIN(60,COLUMN()-29)),OFFSET(EL739,0,-MIN(60,COLUMN()-29),1,MIN(60,COLUMN()-29))),0)</f>
        <v>0</v>
      </c>
      <c r="EM740" s="112" t="n">
        <f aca="true">IFERROR(SUMPRODUCT(OFFSET($BJ$31,0,1-MIN(60,COLUMN()-29),1,MIN(60,COLUMN()-29)),OFFSET(EM739,0,-MIN(60,COLUMN()-29),1,MIN(60,COLUMN()-29))),0)</f>
        <v>0</v>
      </c>
      <c r="EN740" s="112" t="n">
        <f aca="true">IFERROR(SUMPRODUCT(OFFSET($BJ$31,0,1-MIN(60,COLUMN()-29),1,MIN(60,COLUMN()-29)),OFFSET(EN739,0,-MIN(60,COLUMN()-29),1,MIN(60,COLUMN()-29))),0)</f>
        <v>0</v>
      </c>
      <c r="EO740" s="112" t="n">
        <f aca="true">IFERROR(SUMPRODUCT(OFFSET($BJ$31,0,1-MIN(60,COLUMN()-29),1,MIN(60,COLUMN()-29)),OFFSET(EO739,0,-MIN(60,COLUMN()-29),1,MIN(60,COLUMN()-29))),0)</f>
        <v>0</v>
      </c>
      <c r="EP740" s="112" t="n">
        <f aca="true">IFERROR(SUMPRODUCT(OFFSET($BJ$31,0,1-MIN(60,COLUMN()-29),1,MIN(60,COLUMN()-29)),OFFSET(EP739,0,-MIN(60,COLUMN()-29),1,MIN(60,COLUMN()-29))),0)</f>
        <v>0</v>
      </c>
      <c r="EQ740" s="112" t="n">
        <f aca="true">IFERROR(SUMPRODUCT(OFFSET($BJ$31,0,1-MIN(60,COLUMN()-29),1,MIN(60,COLUMN()-29)),OFFSET(EQ739,0,-MIN(60,COLUMN()-29),1,MIN(60,COLUMN()-29))),0)</f>
        <v>0</v>
      </c>
      <c r="ER740" s="112" t="n">
        <f aca="true">IFERROR(SUMPRODUCT(OFFSET($BJ$31,0,1-MIN(60,COLUMN()-29),1,MIN(60,COLUMN()-29)),OFFSET(ER739,0,-MIN(60,COLUMN()-29),1,MIN(60,COLUMN()-29))),0)</f>
        <v>0</v>
      </c>
      <c r="ES740" s="9" t="n">
        <f aca="true">IFERROR(SUMPRODUCT(OFFSET($BJ$31,0,1-MIN(60,COLUMN()-29),1,MIN(60,COLUMN()-29)),OFFSET(ES739,0,-MIN(60,COLUMN()-29),1,MIN(60,COLUMN()-29))),0)</f>
        <v>0</v>
      </c>
      <c r="ET740" s="9" t="n">
        <f aca="true">IFERROR(SUMPRODUCT(OFFSET($BJ$31,0,1-MIN(60,COLUMN()-29),1,MIN(60,COLUMN()-29)),OFFSET(ET739,0,-MIN(60,COLUMN()-29),1,MIN(60,COLUMN()-29))),0)</f>
        <v>0</v>
      </c>
      <c r="EU740" s="9" t="n">
        <f aca="true">IFERROR(SUMPRODUCT(OFFSET($BJ$31,0,1-MIN(60,COLUMN()-29),1,MIN(60,COLUMN()-29)),OFFSET(EU739,0,-MIN(60,COLUMN()-29),1,MIN(60,COLUMN()-29))),0)</f>
        <v>0</v>
      </c>
      <c r="EV740" s="9" t="n">
        <f aca="true">IFERROR(SUMPRODUCT(OFFSET($BJ$31,0,1-MIN(60,COLUMN()-29),1,MIN(60,COLUMN()-29)),OFFSET(EV739,0,-MIN(60,COLUMN()-29),1,MIN(60,COLUMN()-29))),0)</f>
        <v>0</v>
      </c>
      <c r="EW740" s="9" t="n">
        <f aca="true">IFERROR(SUMPRODUCT(OFFSET($BJ$31,0,1-MIN(60,COLUMN()-29),1,MIN(60,COLUMN()-29)),OFFSET(EW739,0,-MIN(60,COLUMN()-29),1,MIN(60,COLUMN()-29))),0)</f>
        <v>0</v>
      </c>
      <c r="EX740" s="9" t="n">
        <f aca="true">IFERROR(SUMPRODUCT(OFFSET($BJ$31,0,1-MIN(60,COLUMN()-29),1,MIN(60,COLUMN()-29)),OFFSET(EX739,0,-MIN(60,COLUMN()-29),1,MIN(60,COLUMN()-29))),0)</f>
        <v>0</v>
      </c>
      <c r="EY740" s="9" t="n">
        <f aca="true">IFERROR(SUMPRODUCT(OFFSET($BJ$31,0,1-MIN(60,COLUMN()-29),1,MIN(60,COLUMN()-29)),OFFSET(EY739,0,-MIN(60,COLUMN()-29),1,MIN(60,COLUMN()-29))),0)</f>
        <v>2.2528</v>
      </c>
      <c r="EZ740" s="9" t="n">
        <f aca="true">IFERROR(SUMPRODUCT(OFFSET($BJ$31,0,1-MIN(60,COLUMN()-29),1,MIN(60,COLUMN()-29)),OFFSET(EZ739,0,-MIN(60,COLUMN()-29),1,MIN(60,COLUMN()-29))),0)</f>
        <v>2.911744</v>
      </c>
      <c r="FA740" s="9" t="n">
        <f aca="true">IFERROR(SUMPRODUCT(OFFSET($BJ$31,0,1-MIN(60,COLUMN()-29),1,MIN(60,COLUMN()-29)),OFFSET(FA739,0,-MIN(60,COLUMN()-29),1,MIN(60,COLUMN()-29))),0)</f>
        <v>5.5504768</v>
      </c>
      <c r="FB740" s="9" t="n">
        <f aca="true">IFERROR(SUMPRODUCT(OFFSET($BJ$31,0,1-MIN(60,COLUMN()-29),1,MIN(60,COLUMN()-29)),OFFSET(FB739,0,-MIN(60,COLUMN()-29),1,MIN(60,COLUMN()-29))),0)</f>
        <v>5.750272</v>
      </c>
      <c r="FC740" s="9" t="n">
        <f aca="true">IFERROR(SUMPRODUCT(OFFSET($BJ$31,0,1-MIN(60,COLUMN()-29),1,MIN(60,COLUMN()-29)),OFFSET(FC739,0,-MIN(60,COLUMN()-29),1,MIN(60,COLUMN()-29))),0)</f>
        <v>5.5247808</v>
      </c>
      <c r="FD740" s="9" t="n">
        <f aca="true">IFERROR(SUMPRODUCT(OFFSET($BJ$31,0,1-MIN(60,COLUMN()-29),1,MIN(60,COLUMN()-29)),OFFSET(FD739,0,-MIN(60,COLUMN()-29),1,MIN(60,COLUMN()-29))),0)</f>
        <v>5.1756672</v>
      </c>
      <c r="FE740" s="9" t="n">
        <f aca="true">IFERROR(SUMPRODUCT(OFFSET($BJ$31,0,1-MIN(60,COLUMN()-29),1,MIN(60,COLUMN()-29)),OFFSET(FE739,0,-MIN(60,COLUMN()-29),1,MIN(60,COLUMN()-29))),0)</f>
        <v>7.2773888</v>
      </c>
      <c r="FF740" s="9" t="n">
        <f aca="true">IFERROR(SUMPRODUCT(OFFSET($BJ$31,0,1-MIN(60,COLUMN()-29),1,MIN(60,COLUMN()-29)),OFFSET(FF739,0,-MIN(60,COLUMN()-29),1,MIN(60,COLUMN()-29))),0)</f>
        <v>8.456976</v>
      </c>
      <c r="FG740" s="9" t="n">
        <f aca="true">IFERROR(SUMPRODUCT(OFFSET($BJ$31,0,1-MIN(60,COLUMN()-29),1,MIN(60,COLUMN()-29)),OFFSET(FG739,0,-MIN(60,COLUMN()-29),1,MIN(60,COLUMN()-29))),0)</f>
        <v>8.394848</v>
      </c>
      <c r="FH740" s="9" t="n">
        <f aca="true">IFERROR(SUMPRODUCT(OFFSET($BJ$31,0,1-MIN(60,COLUMN()-29),1,MIN(60,COLUMN()-29)),OFFSET(FH739,0,-MIN(60,COLUMN()-29),1,MIN(60,COLUMN()-29))),0)</f>
        <v>11.0340736</v>
      </c>
      <c r="FI740" s="9" t="n">
        <f aca="true">IFERROR(SUMPRODUCT(OFFSET($BJ$31,0,1-MIN(60,COLUMN()-29),1,MIN(60,COLUMN()-29)),OFFSET(FI739,0,-MIN(60,COLUMN()-29),1,MIN(60,COLUMN()-29))),0)</f>
        <v>11.794816</v>
      </c>
      <c r="FJ740" s="9" t="n">
        <f aca="true">IFERROR(SUMPRODUCT(OFFSET($BJ$31,0,1-MIN(60,COLUMN()-29),1,MIN(60,COLUMN()-29)),OFFSET(FJ739,0,-MIN(60,COLUMN()-29),1,MIN(60,COLUMN()-29))),0)</f>
        <v>12.2209824</v>
      </c>
      <c r="FK740" s="9" t="n">
        <f aca="true">IFERROR(SUMPRODUCT(OFFSET($BJ$31,0,1-MIN(60,COLUMN()-29),1,MIN(60,COLUMN()-29)),OFFSET(FK739,0,-MIN(60,COLUMN()-29),1,MIN(60,COLUMN()-29))),0)</f>
        <v>12.7756992</v>
      </c>
      <c r="FL740" s="9" t="n">
        <f aca="true">IFERROR(SUMPRODUCT(OFFSET($BJ$31,0,1-MIN(60,COLUMN()-29),1,MIN(60,COLUMN()-29)),OFFSET(FL739,0,-MIN(60,COLUMN()-29),1,MIN(60,COLUMN()-29))),0)</f>
        <v>14.3252384</v>
      </c>
      <c r="FM740" s="9" t="n">
        <f aca="true">IFERROR(SUMPRODUCT(OFFSET($BJ$31,0,1-MIN(60,COLUMN()-29),1,MIN(60,COLUMN()-29)),OFFSET(FM739,0,-MIN(60,COLUMN()-29),1,MIN(60,COLUMN()-29))),0)</f>
        <v>20.0156352</v>
      </c>
      <c r="FN740" s="9" t="n">
        <f aca="true">IFERROR(SUMPRODUCT(OFFSET($BJ$31,0,1-MIN(60,COLUMN()-29),1,MIN(60,COLUMN()-29)),OFFSET(FN739,0,-MIN(60,COLUMN()-29),1,MIN(60,COLUMN()-29))),0)</f>
        <v>21.7335712</v>
      </c>
      <c r="FO740" s="9" t="n">
        <f aca="true">IFERROR(SUMPRODUCT(OFFSET($BJ$31,0,1-MIN(60,COLUMN()-29),1,MIN(60,COLUMN()-29)),OFFSET(FO739,0,-MIN(60,COLUMN()-29),1,MIN(60,COLUMN()-29))),0)</f>
        <v>21.61585536</v>
      </c>
      <c r="FP740" s="9" t="n">
        <f aca="true">IFERROR(SUMPRODUCT(OFFSET($BJ$31,0,1-MIN(60,COLUMN()-29),1,MIN(60,COLUMN()-29)),OFFSET(FP739,0,-MIN(60,COLUMN()-29),1,MIN(60,COLUMN()-29))),0)</f>
        <v>20.55420576</v>
      </c>
    </row>
    <row r="741" customFormat="false" ht="15" hidden="false" customHeight="false" outlineLevel="2" collapsed="false">
      <c r="B741" s="90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237"/>
      <c r="AD741" s="237"/>
      <c r="AE741" s="237"/>
      <c r="AF741" s="237"/>
      <c r="AG741" s="237"/>
      <c r="AH741" s="237"/>
      <c r="AI741" s="237"/>
      <c r="AJ741" s="237"/>
      <c r="AK741" s="237"/>
      <c r="AL741" s="237"/>
      <c r="AM741" s="237"/>
      <c r="AN741" s="237"/>
      <c r="AO741" s="237"/>
      <c r="AP741" s="237"/>
      <c r="AQ741" s="237"/>
      <c r="AR741" s="237"/>
      <c r="AS741" s="237"/>
      <c r="AT741" s="237"/>
      <c r="AU741" s="237"/>
      <c r="AV741" s="237"/>
      <c r="AW741" s="237"/>
      <c r="AX741" s="237"/>
      <c r="AY741" s="237"/>
      <c r="AZ741" s="237"/>
      <c r="BA741" s="237"/>
      <c r="BB741" s="237"/>
      <c r="BC741" s="237"/>
      <c r="BD741" s="237"/>
      <c r="BE741" s="237"/>
      <c r="BF741" s="237"/>
      <c r="BG741" s="237"/>
      <c r="BH741" s="237"/>
      <c r="BI741" s="237"/>
      <c r="BJ741" s="237"/>
      <c r="BK741" s="237"/>
      <c r="BL741" s="237"/>
      <c r="BM741" s="237"/>
      <c r="BN741" s="237"/>
      <c r="BO741" s="237"/>
      <c r="BP741" s="237"/>
      <c r="BQ741" s="237"/>
      <c r="BR741" s="237"/>
      <c r="BS741" s="237"/>
      <c r="BT741" s="237"/>
      <c r="BU741" s="237"/>
      <c r="BV741" s="237"/>
      <c r="BW741" s="237"/>
      <c r="BX741" s="237"/>
      <c r="BY741" s="237"/>
      <c r="BZ741" s="237"/>
      <c r="CA741" s="237"/>
      <c r="CB741" s="237"/>
      <c r="CC741" s="237"/>
      <c r="CD741" s="237"/>
      <c r="CE741" s="237"/>
      <c r="CF741" s="237"/>
      <c r="CG741" s="237"/>
      <c r="CH741" s="237"/>
      <c r="CI741" s="237"/>
      <c r="CJ741" s="237"/>
      <c r="CK741" s="237"/>
      <c r="CL741" s="237"/>
      <c r="CM741" s="237"/>
      <c r="CN741" s="237"/>
      <c r="CO741" s="237"/>
      <c r="CP741" s="237"/>
      <c r="CQ741" s="237"/>
      <c r="CR741" s="237"/>
      <c r="CS741" s="237"/>
      <c r="CT741" s="237"/>
      <c r="CU741" s="237"/>
      <c r="CV741" s="237"/>
      <c r="CW741" s="237"/>
      <c r="CX741" s="237"/>
      <c r="CY741" s="237"/>
      <c r="CZ741" s="237"/>
      <c r="DA741" s="237"/>
      <c r="DB741" s="237"/>
      <c r="DC741" s="237"/>
      <c r="DD741" s="237"/>
      <c r="DE741" s="237"/>
      <c r="DF741" s="237"/>
      <c r="DG741" s="237"/>
      <c r="DH741" s="237"/>
      <c r="DI741" s="237"/>
      <c r="DJ741" s="237"/>
      <c r="DK741" s="237"/>
      <c r="DL741" s="237"/>
      <c r="DM741" s="237"/>
      <c r="DN741" s="237"/>
      <c r="DO741" s="237"/>
      <c r="DP741" s="237"/>
      <c r="DQ741" s="237"/>
      <c r="DR741" s="237"/>
      <c r="DS741" s="237"/>
      <c r="DT741" s="237"/>
      <c r="DU741" s="237"/>
      <c r="DV741" s="237"/>
      <c r="DW741" s="237"/>
      <c r="DX741" s="237"/>
      <c r="DY741" s="237"/>
      <c r="DZ741" s="237"/>
      <c r="EA741" s="237"/>
      <c r="EB741" s="237"/>
      <c r="EC741" s="237"/>
      <c r="ED741" s="237"/>
      <c r="EE741" s="237"/>
      <c r="EF741" s="237"/>
      <c r="EG741" s="237"/>
      <c r="EH741" s="237"/>
      <c r="EI741" s="237"/>
      <c r="EJ741" s="237"/>
      <c r="EK741" s="237"/>
      <c r="EL741" s="237"/>
      <c r="EM741" s="237"/>
      <c r="EN741" s="237"/>
      <c r="EO741" s="237"/>
      <c r="EP741" s="237"/>
      <c r="EQ741" s="237"/>
      <c r="ER741" s="237"/>
      <c r="ES741" s="9"/>
      <c r="ET741" s="9"/>
      <c r="EU741" s="9"/>
      <c r="EV741" s="9"/>
      <c r="EW741" s="9"/>
      <c r="EX741" s="9"/>
      <c r="EY741" s="9"/>
      <c r="EZ741" s="9"/>
      <c r="FA741" s="9"/>
      <c r="FB741" s="9"/>
      <c r="FC741" s="9"/>
      <c r="FD741" s="9"/>
      <c r="FE741" s="9"/>
      <c r="FF741" s="9"/>
      <c r="FG741" s="9"/>
      <c r="FH741" s="9"/>
      <c r="FI741" s="9"/>
      <c r="FJ741" s="9"/>
      <c r="FK741" s="9"/>
      <c r="FL741" s="9"/>
      <c r="FM741" s="9"/>
      <c r="FN741" s="9"/>
      <c r="FO741" s="9"/>
      <c r="FP741" s="9"/>
    </row>
    <row r="742" customFormat="false" ht="15" hidden="false" customHeight="false" outlineLevel="2" collapsed="false">
      <c r="B742" s="240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237"/>
      <c r="AD742" s="237"/>
      <c r="AE742" s="237"/>
      <c r="AF742" s="237"/>
      <c r="AG742" s="237"/>
      <c r="AH742" s="237"/>
      <c r="AI742" s="237"/>
      <c r="AJ742" s="237"/>
      <c r="AK742" s="237"/>
      <c r="AL742" s="237"/>
      <c r="AM742" s="237"/>
      <c r="AN742" s="237"/>
      <c r="AO742" s="237"/>
      <c r="AP742" s="237"/>
      <c r="AQ742" s="237"/>
      <c r="AR742" s="237"/>
      <c r="AS742" s="237"/>
      <c r="AT742" s="237"/>
      <c r="AU742" s="237"/>
      <c r="AV742" s="237"/>
      <c r="AW742" s="237"/>
      <c r="AX742" s="237"/>
      <c r="AY742" s="237"/>
      <c r="AZ742" s="237"/>
      <c r="BA742" s="237"/>
      <c r="BB742" s="237"/>
      <c r="BC742" s="237"/>
      <c r="BD742" s="237"/>
      <c r="BE742" s="237"/>
      <c r="BF742" s="237"/>
      <c r="BG742" s="237"/>
      <c r="BH742" s="237"/>
      <c r="BI742" s="237"/>
      <c r="BJ742" s="237"/>
      <c r="BK742" s="237"/>
      <c r="BL742" s="237"/>
      <c r="BM742" s="237"/>
      <c r="BN742" s="237"/>
      <c r="BO742" s="237"/>
      <c r="BP742" s="237"/>
      <c r="BQ742" s="237"/>
      <c r="BR742" s="237"/>
      <c r="BS742" s="237"/>
      <c r="BT742" s="237"/>
      <c r="BU742" s="237"/>
      <c r="BV742" s="237"/>
      <c r="BW742" s="237"/>
      <c r="BX742" s="237"/>
      <c r="BY742" s="237"/>
      <c r="BZ742" s="237"/>
      <c r="CA742" s="237"/>
      <c r="CB742" s="237"/>
      <c r="CC742" s="237"/>
      <c r="CD742" s="237"/>
      <c r="CE742" s="237"/>
      <c r="CF742" s="237"/>
      <c r="CG742" s="237"/>
      <c r="CH742" s="237"/>
      <c r="CI742" s="237"/>
      <c r="CJ742" s="237"/>
      <c r="CK742" s="237"/>
      <c r="CL742" s="237"/>
      <c r="CM742" s="237"/>
      <c r="CN742" s="237"/>
      <c r="CO742" s="237"/>
      <c r="CP742" s="237"/>
      <c r="CQ742" s="237"/>
      <c r="CR742" s="237"/>
      <c r="CS742" s="237"/>
      <c r="CT742" s="237"/>
      <c r="CU742" s="237"/>
      <c r="CV742" s="237"/>
      <c r="CW742" s="237"/>
      <c r="CX742" s="237"/>
      <c r="CY742" s="237"/>
      <c r="CZ742" s="237"/>
      <c r="DA742" s="237"/>
      <c r="DB742" s="237"/>
      <c r="DC742" s="237"/>
      <c r="DD742" s="237"/>
      <c r="DE742" s="237"/>
      <c r="DF742" s="237"/>
      <c r="DG742" s="237"/>
      <c r="DH742" s="237"/>
      <c r="DI742" s="237"/>
      <c r="DJ742" s="237"/>
      <c r="DK742" s="237"/>
      <c r="DL742" s="237"/>
      <c r="DM742" s="237"/>
      <c r="DN742" s="237"/>
      <c r="DO742" s="237"/>
      <c r="DP742" s="237"/>
      <c r="DQ742" s="237"/>
      <c r="DR742" s="237"/>
      <c r="DS742" s="237"/>
      <c r="DT742" s="237"/>
      <c r="DU742" s="237"/>
      <c r="DV742" s="237"/>
      <c r="DW742" s="237"/>
      <c r="DX742" s="237"/>
      <c r="DY742" s="237"/>
      <c r="DZ742" s="237"/>
      <c r="EA742" s="237"/>
      <c r="EB742" s="237"/>
      <c r="EC742" s="237"/>
      <c r="ED742" s="237"/>
      <c r="EE742" s="237"/>
      <c r="EF742" s="237"/>
      <c r="EG742" s="237"/>
      <c r="EH742" s="237"/>
      <c r="EI742" s="237"/>
      <c r="EJ742" s="237"/>
      <c r="EK742" s="237"/>
      <c r="EL742" s="237"/>
      <c r="EM742" s="237"/>
      <c r="EN742" s="237"/>
      <c r="EO742" s="237"/>
      <c r="EP742" s="237"/>
      <c r="EQ742" s="237"/>
      <c r="ER742" s="237"/>
      <c r="ES742" s="9"/>
      <c r="ET742" s="9"/>
      <c r="EU742" s="9"/>
      <c r="EV742" s="9"/>
      <c r="EW742" s="9"/>
      <c r="EX742" s="9"/>
      <c r="EY742" s="9"/>
      <c r="EZ742" s="9"/>
      <c r="FA742" s="9"/>
      <c r="FB742" s="9"/>
      <c r="FC742" s="9"/>
      <c r="FD742" s="9"/>
      <c r="FE742" s="9"/>
      <c r="FF742" s="9"/>
      <c r="FG742" s="9"/>
      <c r="FH742" s="9"/>
      <c r="FI742" s="9"/>
      <c r="FJ742" s="9"/>
      <c r="FK742" s="9"/>
      <c r="FL742" s="9"/>
      <c r="FM742" s="9"/>
      <c r="FN742" s="9"/>
      <c r="FO742" s="9"/>
      <c r="FP742" s="9"/>
    </row>
    <row r="743" customFormat="false" ht="15" hidden="false" customHeight="false" outlineLevel="2" collapsed="false">
      <c r="B743" s="21" t="s">
        <v>947</v>
      </c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  <c r="AP743" s="21"/>
      <c r="AQ743" s="21"/>
      <c r="AR743" s="21"/>
      <c r="AS743" s="21"/>
      <c r="AT743" s="21"/>
      <c r="AU743" s="21"/>
      <c r="AV743" s="21"/>
      <c r="AW743" s="21"/>
      <c r="AX743" s="21"/>
      <c r="AY743" s="21"/>
      <c r="AZ743" s="21"/>
      <c r="BA743" s="21"/>
      <c r="BB743" s="21"/>
      <c r="BC743" s="21"/>
      <c r="BD743" s="21"/>
      <c r="BE743" s="21"/>
      <c r="BF743" s="21"/>
      <c r="BG743" s="21"/>
      <c r="BH743" s="21"/>
      <c r="BI743" s="21"/>
      <c r="BJ743" s="21"/>
      <c r="BK743" s="21"/>
      <c r="BL743" s="21"/>
      <c r="BM743" s="21"/>
      <c r="BN743" s="21"/>
      <c r="BO743" s="21"/>
      <c r="BP743" s="21"/>
      <c r="BQ743" s="21"/>
      <c r="BR743" s="21"/>
      <c r="BS743" s="21"/>
      <c r="BT743" s="21"/>
      <c r="BU743" s="21"/>
      <c r="BV743" s="21"/>
      <c r="BW743" s="21"/>
      <c r="BX743" s="21"/>
      <c r="BY743" s="21"/>
      <c r="BZ743" s="21"/>
      <c r="CA743" s="21"/>
      <c r="CB743" s="21"/>
      <c r="CC743" s="21"/>
      <c r="CD743" s="21"/>
      <c r="CE743" s="21"/>
      <c r="CF743" s="21"/>
      <c r="CG743" s="21"/>
      <c r="CH743" s="21"/>
      <c r="CI743" s="21"/>
      <c r="CJ743" s="21"/>
      <c r="CK743" s="21"/>
      <c r="CL743" s="21"/>
      <c r="CM743" s="21"/>
      <c r="CN743" s="21"/>
      <c r="CO743" s="21"/>
      <c r="CP743" s="21"/>
      <c r="CQ743" s="21"/>
      <c r="CR743" s="21"/>
      <c r="CS743" s="21"/>
      <c r="CT743" s="21"/>
      <c r="CU743" s="21"/>
      <c r="CV743" s="21"/>
      <c r="CW743" s="21"/>
      <c r="CX743" s="21"/>
      <c r="CY743" s="21"/>
      <c r="CZ743" s="21"/>
      <c r="DA743" s="21"/>
      <c r="DB743" s="21"/>
      <c r="DC743" s="21"/>
      <c r="DD743" s="21"/>
      <c r="DE743" s="21"/>
      <c r="DF743" s="21"/>
      <c r="DG743" s="21"/>
      <c r="DH743" s="21"/>
      <c r="DI743" s="21"/>
      <c r="DJ743" s="21"/>
      <c r="DK743" s="21"/>
      <c r="DL743" s="21"/>
      <c r="DM743" s="21"/>
      <c r="DN743" s="21"/>
      <c r="DO743" s="21"/>
      <c r="DP743" s="21"/>
      <c r="DQ743" s="21"/>
      <c r="DR743" s="21"/>
      <c r="DS743" s="21"/>
      <c r="DT743" s="21"/>
      <c r="DU743" s="21"/>
      <c r="DV743" s="21"/>
      <c r="DW743" s="21"/>
      <c r="DX743" s="21"/>
      <c r="DY743" s="21"/>
      <c r="DZ743" s="21"/>
      <c r="EA743" s="21"/>
      <c r="EB743" s="21"/>
      <c r="EC743" s="21"/>
      <c r="ED743" s="21"/>
      <c r="EE743" s="21"/>
      <c r="EF743" s="21"/>
      <c r="EG743" s="21"/>
      <c r="EH743" s="21"/>
      <c r="EI743" s="21"/>
      <c r="EJ743" s="21"/>
      <c r="EK743" s="21"/>
      <c r="EL743" s="21"/>
      <c r="EM743" s="21"/>
      <c r="EN743" s="21"/>
      <c r="EO743" s="21"/>
      <c r="EP743" s="21"/>
      <c r="EQ743" s="21"/>
      <c r="ER743" s="21"/>
      <c r="ES743" s="9"/>
      <c r="ET743" s="9"/>
      <c r="EU743" s="9"/>
      <c r="EV743" s="9"/>
      <c r="EW743" s="9"/>
      <c r="EX743" s="9"/>
      <c r="EY743" s="9"/>
      <c r="EZ743" s="9"/>
      <c r="FA743" s="9"/>
      <c r="FB743" s="9"/>
      <c r="FC743" s="9"/>
      <c r="FD743" s="9"/>
      <c r="FE743" s="9"/>
      <c r="FF743" s="9"/>
      <c r="FG743" s="9"/>
      <c r="FH743" s="9"/>
      <c r="FI743" s="9"/>
      <c r="FJ743" s="9"/>
      <c r="FK743" s="9"/>
      <c r="FL743" s="9"/>
      <c r="FM743" s="9"/>
      <c r="FN743" s="9"/>
      <c r="FO743" s="9"/>
      <c r="FP743" s="9"/>
    </row>
    <row r="744" customFormat="false" ht="15" hidden="false" customHeight="false" outlineLevel="2" collapsed="false">
      <c r="B744" s="9" t="s">
        <v>872</v>
      </c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234" t="n">
        <f aca="false">('⑫ Roll-out Plan'!G79-2025)*12+'⑫ Roll-out Plan'!F79</f>
        <v>127</v>
      </c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  <c r="CA744" s="9"/>
      <c r="CB744" s="9"/>
      <c r="CC744" s="9"/>
      <c r="CD744" s="9"/>
      <c r="CE744" s="9"/>
      <c r="CF744" s="9"/>
      <c r="CG744" s="9"/>
      <c r="CH744" s="9"/>
      <c r="CI744" s="9"/>
      <c r="CJ744" s="9"/>
      <c r="CK744" s="9"/>
      <c r="CL744" s="9"/>
      <c r="CM744" s="9"/>
      <c r="CN744" s="9"/>
      <c r="CO744" s="9"/>
      <c r="CP744" s="9"/>
      <c r="CQ744" s="9"/>
      <c r="CR744" s="9"/>
      <c r="CS744" s="9"/>
      <c r="CT744" s="9"/>
      <c r="CU744" s="9"/>
      <c r="CV744" s="9"/>
      <c r="CW744" s="9"/>
      <c r="CX744" s="9"/>
      <c r="CY744" s="9"/>
      <c r="CZ744" s="9"/>
      <c r="DA744" s="9"/>
      <c r="DB744" s="9"/>
      <c r="DC744" s="9"/>
      <c r="DD744" s="9"/>
      <c r="DE744" s="9"/>
      <c r="DF744" s="9"/>
      <c r="DG744" s="9"/>
      <c r="DH744" s="9"/>
      <c r="DI744" s="9"/>
      <c r="DJ744" s="9"/>
      <c r="DK744" s="9"/>
      <c r="DL744" s="9"/>
      <c r="DM744" s="9"/>
      <c r="DN744" s="9"/>
      <c r="DO744" s="9"/>
      <c r="DP744" s="9"/>
      <c r="DQ744" s="9"/>
      <c r="DR744" s="9"/>
      <c r="DS744" s="9"/>
      <c r="DT744" s="9"/>
      <c r="DU744" s="9"/>
      <c r="DV744" s="9"/>
      <c r="DW744" s="9"/>
      <c r="DX744" s="9"/>
      <c r="DY744" s="9"/>
      <c r="DZ744" s="9"/>
      <c r="EA744" s="9"/>
      <c r="EB744" s="9"/>
      <c r="EC744" s="9"/>
      <c r="ED744" s="9"/>
      <c r="EE744" s="9"/>
      <c r="EF744" s="9"/>
      <c r="EG744" s="9"/>
      <c r="EH744" s="9"/>
      <c r="EI744" s="9"/>
      <c r="EJ744" s="9"/>
      <c r="EK744" s="9"/>
      <c r="EL744" s="9"/>
      <c r="EM744" s="9"/>
      <c r="EN744" s="9"/>
      <c r="EO744" s="9"/>
      <c r="EP744" s="9"/>
      <c r="EQ744" s="9"/>
      <c r="ER744" s="9"/>
      <c r="ES744" s="9"/>
      <c r="ET744" s="9"/>
      <c r="EU744" s="9"/>
      <c r="EV744" s="9"/>
      <c r="EW744" s="9"/>
      <c r="EX744" s="9"/>
      <c r="EY744" s="9"/>
      <c r="EZ744" s="9"/>
      <c r="FA744" s="9"/>
      <c r="FB744" s="9"/>
      <c r="FC744" s="9"/>
      <c r="FD744" s="9"/>
      <c r="FE744" s="9"/>
      <c r="FF744" s="9"/>
      <c r="FG744" s="9"/>
      <c r="FH744" s="9"/>
      <c r="FI744" s="9"/>
      <c r="FJ744" s="9"/>
      <c r="FK744" s="9"/>
      <c r="FL744" s="9"/>
      <c r="FM744" s="9"/>
      <c r="FN744" s="9"/>
      <c r="FO744" s="9"/>
      <c r="FP744" s="9"/>
    </row>
    <row r="745" customFormat="false" ht="15" hidden="false" customHeight="false" outlineLevel="2" collapsed="false">
      <c r="B745" s="9" t="s">
        <v>873</v>
      </c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235" t="n">
        <f aca="false">VLOOKUP("B",$B$14:$C$18,2,FALSE())</f>
        <v>185</v>
      </c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9"/>
      <c r="BS745" s="9"/>
      <c r="BT745" s="9"/>
      <c r="BU745" s="9"/>
      <c r="BV745" s="9"/>
      <c r="BW745" s="9"/>
      <c r="BX745" s="9"/>
      <c r="BY745" s="9"/>
      <c r="BZ745" s="9"/>
      <c r="CA745" s="9"/>
      <c r="CB745" s="9"/>
      <c r="CC745" s="9"/>
      <c r="CD745" s="9"/>
      <c r="CE745" s="9"/>
      <c r="CF745" s="9"/>
      <c r="CG745" s="9"/>
      <c r="CH745" s="9"/>
      <c r="CI745" s="9"/>
      <c r="CJ745" s="9"/>
      <c r="CK745" s="9"/>
      <c r="CL745" s="9"/>
      <c r="CM745" s="9"/>
      <c r="CN745" s="9"/>
      <c r="CO745" s="9"/>
      <c r="CP745" s="9"/>
      <c r="CQ745" s="9"/>
      <c r="CR745" s="9"/>
      <c r="CS745" s="9"/>
      <c r="CT745" s="9"/>
      <c r="CU745" s="9"/>
      <c r="CV745" s="9"/>
      <c r="CW745" s="9"/>
      <c r="CX745" s="9"/>
      <c r="CY745" s="9"/>
      <c r="CZ745" s="9"/>
      <c r="DA745" s="9"/>
      <c r="DB745" s="9"/>
      <c r="DC745" s="9"/>
      <c r="DD745" s="9"/>
      <c r="DE745" s="9"/>
      <c r="DF745" s="9"/>
      <c r="DG745" s="9"/>
      <c r="DH745" s="9"/>
      <c r="DI745" s="9"/>
      <c r="DJ745" s="9"/>
      <c r="DK745" s="9"/>
      <c r="DL745" s="9"/>
      <c r="DM745" s="9"/>
      <c r="DN745" s="9"/>
      <c r="DO745" s="9"/>
      <c r="DP745" s="9"/>
      <c r="DQ745" s="9"/>
      <c r="DR745" s="9"/>
      <c r="DS745" s="9"/>
      <c r="DT745" s="9"/>
      <c r="DU745" s="9"/>
      <c r="DV745" s="9"/>
      <c r="DW745" s="9"/>
      <c r="DX745" s="9"/>
      <c r="DY745" s="9"/>
      <c r="DZ745" s="9"/>
      <c r="EA745" s="9"/>
      <c r="EB745" s="9"/>
      <c r="EC745" s="9"/>
      <c r="ED745" s="9"/>
      <c r="EE745" s="9"/>
      <c r="EF745" s="9"/>
      <c r="EG745" s="9"/>
      <c r="EH745" s="9"/>
      <c r="EI745" s="9"/>
      <c r="EJ745" s="9"/>
      <c r="EK745" s="9"/>
      <c r="EL745" s="9"/>
      <c r="EM745" s="9"/>
      <c r="EN745" s="9"/>
      <c r="EO745" s="9"/>
      <c r="EP745" s="9"/>
      <c r="EQ745" s="9"/>
      <c r="ER745" s="9"/>
      <c r="ES745" s="9"/>
      <c r="ET745" s="9"/>
      <c r="EU745" s="9"/>
      <c r="EV745" s="9"/>
      <c r="EW745" s="9"/>
      <c r="EX745" s="9"/>
      <c r="EY745" s="9"/>
      <c r="EZ745" s="9"/>
      <c r="FA745" s="9"/>
      <c r="FB745" s="9"/>
      <c r="FC745" s="9"/>
      <c r="FD745" s="9"/>
      <c r="FE745" s="9"/>
      <c r="FF745" s="9"/>
      <c r="FG745" s="9"/>
      <c r="FH745" s="9"/>
      <c r="FI745" s="9"/>
      <c r="FJ745" s="9"/>
      <c r="FK745" s="9"/>
      <c r="FL745" s="9"/>
      <c r="FM745" s="9"/>
      <c r="FN745" s="9"/>
      <c r="FO745" s="9"/>
      <c r="FP745" s="9"/>
    </row>
    <row r="746" customFormat="false" ht="15" hidden="false" customHeight="false" outlineLevel="2" collapsed="false">
      <c r="B746" s="9" t="s">
        <v>799</v>
      </c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63" t="n">
        <f aca="false">IF(AC$35&gt;=$AC$744,AC$35-$AC$744+1,0)</f>
        <v>0</v>
      </c>
      <c r="AD746" s="63" t="n">
        <f aca="false">IF(AD$35&gt;=$AC$744,AD$35-$AC$744+1,0)</f>
        <v>0</v>
      </c>
      <c r="AE746" s="63" t="n">
        <f aca="false">IF(AE$35&gt;=$AC$744,AE$35-$AC$744+1,0)</f>
        <v>0</v>
      </c>
      <c r="AF746" s="63" t="n">
        <f aca="false">IF(AF$35&gt;=$AC$744,AF$35-$AC$744+1,0)</f>
        <v>0</v>
      </c>
      <c r="AG746" s="63" t="n">
        <f aca="false">IF(AG$35&gt;=$AC$744,AG$35-$AC$744+1,0)</f>
        <v>0</v>
      </c>
      <c r="AH746" s="63" t="n">
        <f aca="false">IF(AH$35&gt;=$AC$744,AH$35-$AC$744+1,0)</f>
        <v>0</v>
      </c>
      <c r="AI746" s="63" t="n">
        <f aca="false">IF(AI$35&gt;=$AC$744,AI$35-$AC$744+1,0)</f>
        <v>0</v>
      </c>
      <c r="AJ746" s="63" t="n">
        <f aca="false">IF(AJ$35&gt;=$AC$744,AJ$35-$AC$744+1,0)</f>
        <v>0</v>
      </c>
      <c r="AK746" s="63" t="n">
        <f aca="false">IF(AK$35&gt;=$AC$744,AK$35-$AC$744+1,0)</f>
        <v>0</v>
      </c>
      <c r="AL746" s="63" t="n">
        <f aca="false">IF(AL$35&gt;=$AC$744,AL$35-$AC$744+1,0)</f>
        <v>0</v>
      </c>
      <c r="AM746" s="63" t="n">
        <f aca="false">IF(AM$35&gt;=$AC$744,AM$35-$AC$744+1,0)</f>
        <v>0</v>
      </c>
      <c r="AN746" s="63" t="n">
        <f aca="false">IF(AN$35&gt;=$AC$744,AN$35-$AC$744+1,0)</f>
        <v>0</v>
      </c>
      <c r="AO746" s="63" t="n">
        <f aca="false">IF(AO$35&gt;=$AC$744,AO$35-$AC$744+1,0)</f>
        <v>0</v>
      </c>
      <c r="AP746" s="63" t="n">
        <f aca="false">IF(AP$35&gt;=$AC$744,AP$35-$AC$744+1,0)</f>
        <v>0</v>
      </c>
      <c r="AQ746" s="63" t="n">
        <f aca="false">IF(AQ$35&gt;=$AC$744,AQ$35-$AC$744+1,0)</f>
        <v>0</v>
      </c>
      <c r="AR746" s="63" t="n">
        <f aca="false">IF(AR$35&gt;=$AC$744,AR$35-$AC$744+1,0)</f>
        <v>0</v>
      </c>
      <c r="AS746" s="63" t="n">
        <f aca="false">IF(AS$35&gt;=$AC$744,AS$35-$AC$744+1,0)</f>
        <v>0</v>
      </c>
      <c r="AT746" s="63" t="n">
        <f aca="false">IF(AT$35&gt;=$AC$744,AT$35-$AC$744+1,0)</f>
        <v>0</v>
      </c>
      <c r="AU746" s="63" t="n">
        <f aca="false">IF(AU$35&gt;=$AC$744,AU$35-$AC$744+1,0)</f>
        <v>0</v>
      </c>
      <c r="AV746" s="63" t="n">
        <f aca="false">IF(AV$35&gt;=$AC$744,AV$35-$AC$744+1,0)</f>
        <v>0</v>
      </c>
      <c r="AW746" s="63" t="n">
        <f aca="false">IF(AW$35&gt;=$AC$744,AW$35-$AC$744+1,0)</f>
        <v>0</v>
      </c>
      <c r="AX746" s="63" t="n">
        <f aca="false">IF(AX$35&gt;=$AC$744,AX$35-$AC$744+1,0)</f>
        <v>0</v>
      </c>
      <c r="AY746" s="63" t="n">
        <f aca="false">IF(AY$35&gt;=$AC$744,AY$35-$AC$744+1,0)</f>
        <v>0</v>
      </c>
      <c r="AZ746" s="63" t="n">
        <f aca="false">IF(AZ$35&gt;=$AC$744,AZ$35-$AC$744+1,0)</f>
        <v>0</v>
      </c>
      <c r="BA746" s="63" t="n">
        <f aca="false">IF(BA$35&gt;=$AC$744,BA$35-$AC$744+1,0)</f>
        <v>0</v>
      </c>
      <c r="BB746" s="63" t="n">
        <f aca="false">IF(BB$35&gt;=$AC$744,BB$35-$AC$744+1,0)</f>
        <v>0</v>
      </c>
      <c r="BC746" s="63" t="n">
        <f aca="false">IF(BC$35&gt;=$AC$744,BC$35-$AC$744+1,0)</f>
        <v>0</v>
      </c>
      <c r="BD746" s="63" t="n">
        <f aca="false">IF(BD$35&gt;=$AC$744,BD$35-$AC$744+1,0)</f>
        <v>0</v>
      </c>
      <c r="BE746" s="63" t="n">
        <f aca="false">IF(BE$35&gt;=$AC$744,BE$35-$AC$744+1,0)</f>
        <v>0</v>
      </c>
      <c r="BF746" s="63" t="n">
        <f aca="false">IF(BF$35&gt;=$AC$744,BF$35-$AC$744+1,0)</f>
        <v>0</v>
      </c>
      <c r="BG746" s="63" t="n">
        <f aca="false">IF(BG$35&gt;=$AC$744,BG$35-$AC$744+1,0)</f>
        <v>0</v>
      </c>
      <c r="BH746" s="63" t="n">
        <f aca="false">IF(BH$35&gt;=$AC$744,BH$35-$AC$744+1,0)</f>
        <v>0</v>
      </c>
      <c r="BI746" s="63" t="n">
        <f aca="false">IF(BI$35&gt;=$AC$744,BI$35-$AC$744+1,0)</f>
        <v>0</v>
      </c>
      <c r="BJ746" s="63" t="n">
        <f aca="false">IF(BJ$35&gt;=$AC$744,BJ$35-$AC$744+1,0)</f>
        <v>0</v>
      </c>
      <c r="BK746" s="63" t="n">
        <f aca="false">IF(BK$35&gt;=$AC$744,BK$35-$AC$744+1,0)</f>
        <v>0</v>
      </c>
      <c r="BL746" s="63" t="n">
        <f aca="false">IF(BL$35&gt;=$AC$744,BL$35-$AC$744+1,0)</f>
        <v>0</v>
      </c>
      <c r="BM746" s="63" t="n">
        <f aca="false">IF(BM$35&gt;=$AC$744,BM$35-$AC$744+1,0)</f>
        <v>0</v>
      </c>
      <c r="BN746" s="63" t="n">
        <f aca="false">IF(BN$35&gt;=$AC$744,BN$35-$AC$744+1,0)</f>
        <v>0</v>
      </c>
      <c r="BO746" s="63" t="n">
        <f aca="false">IF(BO$35&gt;=$AC$744,BO$35-$AC$744+1,0)</f>
        <v>0</v>
      </c>
      <c r="BP746" s="63" t="n">
        <f aca="false">IF(BP$35&gt;=$AC$744,BP$35-$AC$744+1,0)</f>
        <v>0</v>
      </c>
      <c r="BQ746" s="63" t="n">
        <f aca="false">IF(BQ$35&gt;=$AC$744,BQ$35-$AC$744+1,0)</f>
        <v>0</v>
      </c>
      <c r="BR746" s="63" t="n">
        <f aca="false">IF(BR$35&gt;=$AC$744,BR$35-$AC$744+1,0)</f>
        <v>0</v>
      </c>
      <c r="BS746" s="63" t="n">
        <f aca="false">IF(BS$35&gt;=$AC$744,BS$35-$AC$744+1,0)</f>
        <v>0</v>
      </c>
      <c r="BT746" s="63" t="n">
        <f aca="false">IF(BT$35&gt;=$AC$744,BT$35-$AC$744+1,0)</f>
        <v>0</v>
      </c>
      <c r="BU746" s="63" t="n">
        <f aca="false">IF(BU$35&gt;=$AC$744,BU$35-$AC$744+1,0)</f>
        <v>0</v>
      </c>
      <c r="BV746" s="63" t="n">
        <f aca="false">IF(BV$35&gt;=$AC$744,BV$35-$AC$744+1,0)</f>
        <v>0</v>
      </c>
      <c r="BW746" s="63" t="n">
        <f aca="false">IF(BW$35&gt;=$AC$744,BW$35-$AC$744+1,0)</f>
        <v>0</v>
      </c>
      <c r="BX746" s="63" t="n">
        <f aca="false">IF(BX$35&gt;=$AC$744,BX$35-$AC$744+1,0)</f>
        <v>0</v>
      </c>
      <c r="BY746" s="63" t="n">
        <f aca="false">IF(BY$35&gt;=$AC$744,BY$35-$AC$744+1,0)</f>
        <v>0</v>
      </c>
      <c r="BZ746" s="63" t="n">
        <f aca="false">IF(BZ$35&gt;=$AC$744,BZ$35-$AC$744+1,0)</f>
        <v>0</v>
      </c>
      <c r="CA746" s="63" t="n">
        <f aca="false">IF(CA$35&gt;=$AC$744,CA$35-$AC$744+1,0)</f>
        <v>0</v>
      </c>
      <c r="CB746" s="63" t="n">
        <f aca="false">IF(CB$35&gt;=$AC$744,CB$35-$AC$744+1,0)</f>
        <v>0</v>
      </c>
      <c r="CC746" s="63" t="n">
        <f aca="false">IF(CC$35&gt;=$AC$744,CC$35-$AC$744+1,0)</f>
        <v>0</v>
      </c>
      <c r="CD746" s="63" t="n">
        <f aca="false">IF(CD$35&gt;=$AC$744,CD$35-$AC$744+1,0)</f>
        <v>0</v>
      </c>
      <c r="CE746" s="63" t="n">
        <f aca="false">IF(CE$35&gt;=$AC$744,CE$35-$AC$744+1,0)</f>
        <v>0</v>
      </c>
      <c r="CF746" s="63" t="n">
        <f aca="false">IF(CF$35&gt;=$AC$744,CF$35-$AC$744+1,0)</f>
        <v>0</v>
      </c>
      <c r="CG746" s="63" t="n">
        <f aca="false">IF(CG$35&gt;=$AC$744,CG$35-$AC$744+1,0)</f>
        <v>0</v>
      </c>
      <c r="CH746" s="63" t="n">
        <f aca="false">IF(CH$35&gt;=$AC$744,CH$35-$AC$744+1,0)</f>
        <v>0</v>
      </c>
      <c r="CI746" s="63" t="n">
        <f aca="false">IF(CI$35&gt;=$AC$744,CI$35-$AC$744+1,0)</f>
        <v>0</v>
      </c>
      <c r="CJ746" s="63" t="n">
        <f aca="false">IF(CJ$35&gt;=$AC$744,CJ$35-$AC$744+1,0)</f>
        <v>0</v>
      </c>
      <c r="CK746" s="63" t="n">
        <f aca="false">IF(CK$35&gt;=$AC$744,CK$35-$AC$744+1,0)</f>
        <v>0</v>
      </c>
      <c r="CL746" s="63" t="n">
        <f aca="false">IF(CL$35&gt;=$AC$744,CL$35-$AC$744+1,0)</f>
        <v>0</v>
      </c>
      <c r="CM746" s="63" t="n">
        <f aca="false">IF(CM$35&gt;=$AC$744,CM$35-$AC$744+1,0)</f>
        <v>0</v>
      </c>
      <c r="CN746" s="63" t="n">
        <f aca="false">IF(CN$35&gt;=$AC$744,CN$35-$AC$744+1,0)</f>
        <v>0</v>
      </c>
      <c r="CO746" s="63" t="n">
        <f aca="false">IF(CO$35&gt;=$AC$744,CO$35-$AC$744+1,0)</f>
        <v>0</v>
      </c>
      <c r="CP746" s="63" t="n">
        <f aca="false">IF(CP$35&gt;=$AC$744,CP$35-$AC$744+1,0)</f>
        <v>0</v>
      </c>
      <c r="CQ746" s="63" t="n">
        <f aca="false">IF(CQ$35&gt;=$AC$744,CQ$35-$AC$744+1,0)</f>
        <v>0</v>
      </c>
      <c r="CR746" s="63" t="n">
        <f aca="false">IF(CR$35&gt;=$AC$744,CR$35-$AC$744+1,0)</f>
        <v>0</v>
      </c>
      <c r="CS746" s="63" t="n">
        <f aca="false">IF(CS$35&gt;=$AC$744,CS$35-$AC$744+1,0)</f>
        <v>0</v>
      </c>
      <c r="CT746" s="63" t="n">
        <f aca="false">IF(CT$35&gt;=$AC$744,CT$35-$AC$744+1,0)</f>
        <v>0</v>
      </c>
      <c r="CU746" s="63" t="n">
        <f aca="false">IF(CU$35&gt;=$AC$744,CU$35-$AC$744+1,0)</f>
        <v>0</v>
      </c>
      <c r="CV746" s="63" t="n">
        <f aca="false">IF(CV$35&gt;=$AC$744,CV$35-$AC$744+1,0)</f>
        <v>0</v>
      </c>
      <c r="CW746" s="63" t="n">
        <f aca="false">IF(CW$35&gt;=$AC$744,CW$35-$AC$744+1,0)</f>
        <v>0</v>
      </c>
      <c r="CX746" s="63" t="n">
        <f aca="false">IF(CX$35&gt;=$AC$744,CX$35-$AC$744+1,0)</f>
        <v>0</v>
      </c>
      <c r="CY746" s="63" t="n">
        <f aca="false">IF(CY$35&gt;=$AC$744,CY$35-$AC$744+1,0)</f>
        <v>0</v>
      </c>
      <c r="CZ746" s="63" t="n">
        <f aca="false">IF(CZ$35&gt;=$AC$744,CZ$35-$AC$744+1,0)</f>
        <v>0</v>
      </c>
      <c r="DA746" s="63" t="n">
        <f aca="false">IF(DA$35&gt;=$AC$744,DA$35-$AC$744+1,0)</f>
        <v>0</v>
      </c>
      <c r="DB746" s="63" t="n">
        <f aca="false">IF(DB$35&gt;=$AC$744,DB$35-$AC$744+1,0)</f>
        <v>0</v>
      </c>
      <c r="DC746" s="63" t="n">
        <f aca="false">IF(DC$35&gt;=$AC$744,DC$35-$AC$744+1,0)</f>
        <v>0</v>
      </c>
      <c r="DD746" s="63" t="n">
        <f aca="false">IF(DD$35&gt;=$AC$744,DD$35-$AC$744+1,0)</f>
        <v>0</v>
      </c>
      <c r="DE746" s="63" t="n">
        <f aca="false">IF(DE$35&gt;=$AC$744,DE$35-$AC$744+1,0)</f>
        <v>0</v>
      </c>
      <c r="DF746" s="63" t="n">
        <f aca="false">IF(DF$35&gt;=$AC$744,DF$35-$AC$744+1,0)</f>
        <v>0</v>
      </c>
      <c r="DG746" s="63" t="n">
        <f aca="false">IF(DG$35&gt;=$AC$744,DG$35-$AC$744+1,0)</f>
        <v>0</v>
      </c>
      <c r="DH746" s="63" t="n">
        <f aca="false">IF(DH$35&gt;=$AC$744,DH$35-$AC$744+1,0)</f>
        <v>0</v>
      </c>
      <c r="DI746" s="63" t="n">
        <f aca="false">IF(DI$35&gt;=$AC$744,DI$35-$AC$744+1,0)</f>
        <v>0</v>
      </c>
      <c r="DJ746" s="63" t="n">
        <f aca="false">IF(DJ$35&gt;=$AC$744,DJ$35-$AC$744+1,0)</f>
        <v>0</v>
      </c>
      <c r="DK746" s="63" t="n">
        <f aca="false">IF(DK$35&gt;=$AC$744,DK$35-$AC$744+1,0)</f>
        <v>0</v>
      </c>
      <c r="DL746" s="63" t="n">
        <f aca="false">IF(DL$35&gt;=$AC$744,DL$35-$AC$744+1,0)</f>
        <v>0</v>
      </c>
      <c r="DM746" s="63" t="n">
        <f aca="false">IF(DM$35&gt;=$AC$744,DM$35-$AC$744+1,0)</f>
        <v>0</v>
      </c>
      <c r="DN746" s="63" t="n">
        <f aca="false">IF(DN$35&gt;=$AC$744,DN$35-$AC$744+1,0)</f>
        <v>0</v>
      </c>
      <c r="DO746" s="63" t="n">
        <f aca="false">IF(DO$35&gt;=$AC$744,DO$35-$AC$744+1,0)</f>
        <v>0</v>
      </c>
      <c r="DP746" s="63" t="n">
        <f aca="false">IF(DP$35&gt;=$AC$744,DP$35-$AC$744+1,0)</f>
        <v>0</v>
      </c>
      <c r="DQ746" s="63" t="n">
        <f aca="false">IF(DQ$35&gt;=$AC$744,DQ$35-$AC$744+1,0)</f>
        <v>0</v>
      </c>
      <c r="DR746" s="63" t="n">
        <f aca="false">IF(DR$35&gt;=$AC$744,DR$35-$AC$744+1,0)</f>
        <v>0</v>
      </c>
      <c r="DS746" s="63" t="n">
        <f aca="false">IF(DS$35&gt;=$AC$744,DS$35-$AC$744+1,0)</f>
        <v>0</v>
      </c>
      <c r="DT746" s="63" t="n">
        <f aca="false">IF(DT$35&gt;=$AC$744,DT$35-$AC$744+1,0)</f>
        <v>0</v>
      </c>
      <c r="DU746" s="63" t="n">
        <f aca="false">IF(DU$35&gt;=$AC$744,DU$35-$AC$744+1,0)</f>
        <v>0</v>
      </c>
      <c r="DV746" s="63" t="n">
        <f aca="false">IF(DV$35&gt;=$AC$744,DV$35-$AC$744+1,0)</f>
        <v>0</v>
      </c>
      <c r="DW746" s="63" t="n">
        <f aca="false">IF(DW$35&gt;=$AC$744,DW$35-$AC$744+1,0)</f>
        <v>0</v>
      </c>
      <c r="DX746" s="63" t="n">
        <f aca="false">IF(DX$35&gt;=$AC$744,DX$35-$AC$744+1,0)</f>
        <v>0</v>
      </c>
      <c r="DY746" s="63" t="n">
        <f aca="false">IF(DY$35&gt;=$AC$744,DY$35-$AC$744+1,0)</f>
        <v>0</v>
      </c>
      <c r="DZ746" s="63" t="n">
        <f aca="false">IF(DZ$35&gt;=$AC$744,DZ$35-$AC$744+1,0)</f>
        <v>0</v>
      </c>
      <c r="EA746" s="63" t="n">
        <f aca="false">IF(EA$35&gt;=$AC$744,EA$35-$AC$744+1,0)</f>
        <v>0</v>
      </c>
      <c r="EB746" s="63" t="n">
        <f aca="false">IF(EB$35&gt;=$AC$744,EB$35-$AC$744+1,0)</f>
        <v>0</v>
      </c>
      <c r="EC746" s="63" t="n">
        <f aca="false">IF(EC$35&gt;=$AC$744,EC$35-$AC$744+1,0)</f>
        <v>0</v>
      </c>
      <c r="ED746" s="63" t="n">
        <f aca="false">IF(ED$35&gt;=$AC$744,ED$35-$AC$744+1,0)</f>
        <v>0</v>
      </c>
      <c r="EE746" s="63" t="n">
        <f aca="false">IF(EE$35&gt;=$AC$744,EE$35-$AC$744+1,0)</f>
        <v>0</v>
      </c>
      <c r="EF746" s="63" t="n">
        <f aca="false">IF(EF$35&gt;=$AC$744,EF$35-$AC$744+1,0)</f>
        <v>0</v>
      </c>
      <c r="EG746" s="63" t="n">
        <f aca="false">IF(EG$35&gt;=$AC$744,EG$35-$AC$744+1,0)</f>
        <v>0</v>
      </c>
      <c r="EH746" s="63" t="n">
        <f aca="false">IF(EH$35&gt;=$AC$744,EH$35-$AC$744+1,0)</f>
        <v>0</v>
      </c>
      <c r="EI746" s="63" t="n">
        <f aca="false">IF(EI$35&gt;=$AC$744,EI$35-$AC$744+1,0)</f>
        <v>0</v>
      </c>
      <c r="EJ746" s="63" t="n">
        <f aca="false">IF(EJ$35&gt;=$AC$744,EJ$35-$AC$744+1,0)</f>
        <v>0</v>
      </c>
      <c r="EK746" s="63" t="n">
        <f aca="false">IF(EK$35&gt;=$AC$744,EK$35-$AC$744+1,0)</f>
        <v>0</v>
      </c>
      <c r="EL746" s="63" t="n">
        <f aca="false">IF(EL$35&gt;=$AC$744,EL$35-$AC$744+1,0)</f>
        <v>0</v>
      </c>
      <c r="EM746" s="63" t="n">
        <f aca="false">IF(EM$35&gt;=$AC$744,EM$35-$AC$744+1,0)</f>
        <v>0</v>
      </c>
      <c r="EN746" s="63" t="n">
        <f aca="false">IF(EN$35&gt;=$AC$744,EN$35-$AC$744+1,0)</f>
        <v>0</v>
      </c>
      <c r="EO746" s="63" t="n">
        <f aca="false">IF(EO$35&gt;=$AC$744,EO$35-$AC$744+1,0)</f>
        <v>0</v>
      </c>
      <c r="EP746" s="63" t="n">
        <f aca="false">IF(EP$35&gt;=$AC$744,EP$35-$AC$744+1,0)</f>
        <v>0</v>
      </c>
      <c r="EQ746" s="63" t="n">
        <f aca="false">IF(EQ$35&gt;=$AC$744,EQ$35-$AC$744+1,0)</f>
        <v>0</v>
      </c>
      <c r="ER746" s="63" t="n">
        <f aca="false">IF(ER$35&gt;=$AC$744,ER$35-$AC$744+1,0)</f>
        <v>0</v>
      </c>
      <c r="ES746" s="9" t="n">
        <f aca="false">IF(ES$35&gt;=$AC$744,ES$35-$AC$744+1,0)</f>
        <v>0</v>
      </c>
      <c r="ET746" s="9" t="n">
        <f aca="false">IF(ET$35&gt;=$AC$744,ET$35-$AC$744+1,0)</f>
        <v>0</v>
      </c>
      <c r="EU746" s="9" t="n">
        <f aca="false">IF(EU$35&gt;=$AC$744,EU$35-$AC$744+1,0)</f>
        <v>0</v>
      </c>
      <c r="EV746" s="9" t="n">
        <f aca="false">IF(EV$35&gt;=$AC$744,EV$35-$AC$744+1,0)</f>
        <v>0</v>
      </c>
      <c r="EW746" s="9" t="n">
        <f aca="false">IF(EW$35&gt;=$AC$744,EW$35-$AC$744+1,0)</f>
        <v>0</v>
      </c>
      <c r="EX746" s="9" t="n">
        <f aca="false">IF(EX$35&gt;=$AC$744,EX$35-$AC$744+1,0)</f>
        <v>0</v>
      </c>
      <c r="EY746" s="9" t="n">
        <f aca="false">IF(EY$35&gt;=$AC$744,EY$35-$AC$744+1,0)</f>
        <v>1</v>
      </c>
      <c r="EZ746" s="9" t="n">
        <f aca="false">IF(EZ$35&gt;=$AC$744,EZ$35-$AC$744+1,0)</f>
        <v>2</v>
      </c>
      <c r="FA746" s="9" t="n">
        <f aca="false">IF(FA$35&gt;=$AC$744,FA$35-$AC$744+1,0)</f>
        <v>3</v>
      </c>
      <c r="FB746" s="9" t="n">
        <f aca="false">IF(FB$35&gt;=$AC$744,FB$35-$AC$744+1,0)</f>
        <v>4</v>
      </c>
      <c r="FC746" s="9" t="n">
        <f aca="false">IF(FC$35&gt;=$AC$744,FC$35-$AC$744+1,0)</f>
        <v>5</v>
      </c>
      <c r="FD746" s="9" t="n">
        <f aca="false">IF(FD$35&gt;=$AC$744,FD$35-$AC$744+1,0)</f>
        <v>6</v>
      </c>
      <c r="FE746" s="9" t="n">
        <f aca="false">IF(FE$35&gt;=$AC$744,FE$35-$AC$744+1,0)</f>
        <v>7</v>
      </c>
      <c r="FF746" s="9" t="n">
        <f aca="false">IF(FF$35&gt;=$AC$744,FF$35-$AC$744+1,0)</f>
        <v>8</v>
      </c>
      <c r="FG746" s="9" t="n">
        <f aca="false">IF(FG$35&gt;=$AC$744,FG$35-$AC$744+1,0)</f>
        <v>9</v>
      </c>
      <c r="FH746" s="9" t="n">
        <f aca="false">IF(FH$35&gt;=$AC$744,FH$35-$AC$744+1,0)</f>
        <v>10</v>
      </c>
      <c r="FI746" s="9" t="n">
        <f aca="false">IF(FI$35&gt;=$AC$744,FI$35-$AC$744+1,0)</f>
        <v>11</v>
      </c>
      <c r="FJ746" s="9" t="n">
        <f aca="false">IF(FJ$35&gt;=$AC$744,FJ$35-$AC$744+1,0)</f>
        <v>12</v>
      </c>
      <c r="FK746" s="9" t="n">
        <f aca="false">IF(FK$35&gt;=$AC$744,FK$35-$AC$744+1,0)</f>
        <v>13</v>
      </c>
      <c r="FL746" s="9" t="n">
        <f aca="false">IF(FL$35&gt;=$AC$744,FL$35-$AC$744+1,0)</f>
        <v>14</v>
      </c>
      <c r="FM746" s="9" t="n">
        <f aca="false">IF(FM$35&gt;=$AC$744,FM$35-$AC$744+1,0)</f>
        <v>15</v>
      </c>
      <c r="FN746" s="9" t="n">
        <f aca="false">IF(FN$35&gt;=$AC$744,FN$35-$AC$744+1,0)</f>
        <v>16</v>
      </c>
      <c r="FO746" s="9" t="n">
        <f aca="false">IF(FO$35&gt;=$AC$744,FO$35-$AC$744+1,0)</f>
        <v>17</v>
      </c>
      <c r="FP746" s="9" t="n">
        <f aca="false">IF(FP$35&gt;=$AC$744,FP$35-$AC$744+1,0)</f>
        <v>18</v>
      </c>
    </row>
    <row r="747" customFormat="false" ht="15" hidden="false" customHeight="false" outlineLevel="2" collapsed="false">
      <c r="B747" s="9" t="s">
        <v>874</v>
      </c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236" t="n">
        <f aca="false" t="array" ref="AC747:AC747">IF(AC746=0,0,IF(AC746/'🎚️ Escenario'!$C$11&gt;=36,$AL$23,INDEX($C$23:$AL$23,MAX(1,ROUNDUP(AC746/'🎚️ Escenario'!$C$11,0)))))</f>
        <v>0</v>
      </c>
      <c r="AD747" s="236" t="n">
        <f aca="false" t="array" ref="AD747:AD747">IF(AD746=0,0,IF(AD746/'🎚️ Escenario'!$C$11&gt;=36,$AL$23,INDEX($C$23:$AL$23,MAX(1,ROUNDUP(AD746/'🎚️ Escenario'!$C$11,0)))))</f>
        <v>0</v>
      </c>
      <c r="AE747" s="236" t="n">
        <f aca="false" t="array" ref="AE747:AE747">IF(AE746=0,0,IF(AE746/'🎚️ Escenario'!$C$11&gt;=36,$AL$23,INDEX($C$23:$AL$23,MAX(1,ROUNDUP(AE746/'🎚️ Escenario'!$C$11,0)))))</f>
        <v>0</v>
      </c>
      <c r="AF747" s="236" t="n">
        <f aca="false" t="array" ref="AF747:AF747">IF(AF746=0,0,IF(AF746/'🎚️ Escenario'!$C$11&gt;=36,$AL$23,INDEX($C$23:$AL$23,MAX(1,ROUNDUP(AF746/'🎚️ Escenario'!$C$11,0)))))</f>
        <v>0</v>
      </c>
      <c r="AG747" s="236" t="n">
        <f aca="false" t="array" ref="AG747:AG747">IF(AG746=0,0,IF(AG746/'🎚️ Escenario'!$C$11&gt;=36,$AL$23,INDEX($C$23:$AL$23,MAX(1,ROUNDUP(AG746/'🎚️ Escenario'!$C$11,0)))))</f>
        <v>0</v>
      </c>
      <c r="AH747" s="236" t="n">
        <f aca="false" t="array" ref="AH747:AH747">IF(AH746=0,0,IF(AH746/'🎚️ Escenario'!$C$11&gt;=36,$AL$23,INDEX($C$23:$AL$23,MAX(1,ROUNDUP(AH746/'🎚️ Escenario'!$C$11,0)))))</f>
        <v>0</v>
      </c>
      <c r="AI747" s="236" t="n">
        <f aca="false" t="array" ref="AI747:AI747">IF(AI746=0,0,IF(AI746/'🎚️ Escenario'!$C$11&gt;=36,$AL$23,INDEX($C$23:$AL$23,MAX(1,ROUNDUP(AI746/'🎚️ Escenario'!$C$11,0)))))</f>
        <v>0</v>
      </c>
      <c r="AJ747" s="236" t="n">
        <f aca="false" t="array" ref="AJ747:AJ747">IF(AJ746=0,0,IF(AJ746/'🎚️ Escenario'!$C$11&gt;=36,$AL$23,INDEX($C$23:$AL$23,MAX(1,ROUNDUP(AJ746/'🎚️ Escenario'!$C$11,0)))))</f>
        <v>0</v>
      </c>
      <c r="AK747" s="236" t="n">
        <f aca="false" t="array" ref="AK747:AK747">IF(AK746=0,0,IF(AK746/'🎚️ Escenario'!$C$11&gt;=36,$AL$23,INDEX($C$23:$AL$23,MAX(1,ROUNDUP(AK746/'🎚️ Escenario'!$C$11,0)))))</f>
        <v>0</v>
      </c>
      <c r="AL747" s="236" t="n">
        <f aca="false" t="array" ref="AL747:AL747">IF(AL746=0,0,IF(AL746/'🎚️ Escenario'!$C$11&gt;=36,$AL$23,INDEX($C$23:$AL$23,MAX(1,ROUNDUP(AL746/'🎚️ Escenario'!$C$11,0)))))</f>
        <v>0</v>
      </c>
      <c r="AM747" s="236" t="n">
        <f aca="false" t="array" ref="AM747:AM747">IF(AM746=0,0,IF(AM746/'🎚️ Escenario'!$C$11&gt;=36,$AL$23,INDEX($C$23:$AL$23,MAX(1,ROUNDUP(AM746/'🎚️ Escenario'!$C$11,0)))))</f>
        <v>0</v>
      </c>
      <c r="AN747" s="236" t="n">
        <f aca="false" t="array" ref="AN747:AN747">IF(AN746=0,0,IF(AN746/'🎚️ Escenario'!$C$11&gt;=36,$AL$23,INDEX($C$23:$AL$23,MAX(1,ROUNDUP(AN746/'🎚️ Escenario'!$C$11,0)))))</f>
        <v>0</v>
      </c>
      <c r="AO747" s="236" t="n">
        <f aca="false" t="array" ref="AO747:AO747">IF(AO746=0,0,IF(AO746/'🎚️ Escenario'!$C$11&gt;=36,$AL$23,INDEX($C$23:$AL$23,MAX(1,ROUNDUP(AO746/'🎚️ Escenario'!$C$11,0)))))</f>
        <v>0</v>
      </c>
      <c r="AP747" s="236" t="n">
        <f aca="false" t="array" ref="AP747:AP747">IF(AP746=0,0,IF(AP746/'🎚️ Escenario'!$C$11&gt;=36,$AL$23,INDEX($C$23:$AL$23,MAX(1,ROUNDUP(AP746/'🎚️ Escenario'!$C$11,0)))))</f>
        <v>0</v>
      </c>
      <c r="AQ747" s="236" t="n">
        <f aca="false" t="array" ref="AQ747:AQ747">IF(AQ746=0,0,IF(AQ746/'🎚️ Escenario'!$C$11&gt;=36,$AL$23,INDEX($C$23:$AL$23,MAX(1,ROUNDUP(AQ746/'🎚️ Escenario'!$C$11,0)))))</f>
        <v>0</v>
      </c>
      <c r="AR747" s="236" t="n">
        <f aca="false" t="array" ref="AR747:AR747">IF(AR746=0,0,IF(AR746/'🎚️ Escenario'!$C$11&gt;=36,$AL$23,INDEX($C$23:$AL$23,MAX(1,ROUNDUP(AR746/'🎚️ Escenario'!$C$11,0)))))</f>
        <v>0</v>
      </c>
      <c r="AS747" s="236" t="n">
        <f aca="false" t="array" ref="AS747:AS747">IF(AS746=0,0,IF(AS746/'🎚️ Escenario'!$C$11&gt;=36,$AL$23,INDEX($C$23:$AL$23,MAX(1,ROUNDUP(AS746/'🎚️ Escenario'!$C$11,0)))))</f>
        <v>0</v>
      </c>
      <c r="AT747" s="236" t="n">
        <f aca="false" t="array" ref="AT747:AT747">IF(AT746=0,0,IF(AT746/'🎚️ Escenario'!$C$11&gt;=36,$AL$23,INDEX($C$23:$AL$23,MAX(1,ROUNDUP(AT746/'🎚️ Escenario'!$C$11,0)))))</f>
        <v>0</v>
      </c>
      <c r="AU747" s="236" t="n">
        <f aca="false" t="array" ref="AU747:AU747">IF(AU746=0,0,IF(AU746/'🎚️ Escenario'!$C$11&gt;=36,$AL$23,INDEX($C$23:$AL$23,MAX(1,ROUNDUP(AU746/'🎚️ Escenario'!$C$11,0)))))</f>
        <v>0</v>
      </c>
      <c r="AV747" s="236" t="n">
        <f aca="false" t="array" ref="AV747:AV747">IF(AV746=0,0,IF(AV746/'🎚️ Escenario'!$C$11&gt;=36,$AL$23,INDEX($C$23:$AL$23,MAX(1,ROUNDUP(AV746/'🎚️ Escenario'!$C$11,0)))))</f>
        <v>0</v>
      </c>
      <c r="AW747" s="236" t="n">
        <f aca="false" t="array" ref="AW747:AW747">IF(AW746=0,0,IF(AW746/'🎚️ Escenario'!$C$11&gt;=36,$AL$23,INDEX($C$23:$AL$23,MAX(1,ROUNDUP(AW746/'🎚️ Escenario'!$C$11,0)))))</f>
        <v>0</v>
      </c>
      <c r="AX747" s="236" t="n">
        <f aca="false" t="array" ref="AX747:AX747">IF(AX746=0,0,IF(AX746/'🎚️ Escenario'!$C$11&gt;=36,$AL$23,INDEX($C$23:$AL$23,MAX(1,ROUNDUP(AX746/'🎚️ Escenario'!$C$11,0)))))</f>
        <v>0</v>
      </c>
      <c r="AY747" s="236" t="n">
        <f aca="false" t="array" ref="AY747:AY747">IF(AY746=0,0,IF(AY746/'🎚️ Escenario'!$C$11&gt;=36,$AL$23,INDEX($C$23:$AL$23,MAX(1,ROUNDUP(AY746/'🎚️ Escenario'!$C$11,0)))))</f>
        <v>0</v>
      </c>
      <c r="AZ747" s="236" t="n">
        <f aca="false" t="array" ref="AZ747:AZ747">IF(AZ746=0,0,IF(AZ746/'🎚️ Escenario'!$C$11&gt;=36,$AL$23,INDEX($C$23:$AL$23,MAX(1,ROUNDUP(AZ746/'🎚️ Escenario'!$C$11,0)))))</f>
        <v>0</v>
      </c>
      <c r="BA747" s="236" t="n">
        <f aca="false" t="array" ref="BA747:BA747">IF(BA746=0,0,IF(BA746/'🎚️ Escenario'!$C$11&gt;=36,$AL$23,INDEX($C$23:$AL$23,MAX(1,ROUNDUP(BA746/'🎚️ Escenario'!$C$11,0)))))</f>
        <v>0</v>
      </c>
      <c r="BB747" s="236" t="n">
        <f aca="false" t="array" ref="BB747:BB747">IF(BB746=0,0,IF(BB746/'🎚️ Escenario'!$C$11&gt;=36,$AL$23,INDEX($C$23:$AL$23,MAX(1,ROUNDUP(BB746/'🎚️ Escenario'!$C$11,0)))))</f>
        <v>0</v>
      </c>
      <c r="BC747" s="236" t="n">
        <f aca="false" t="array" ref="BC747:BC747">IF(BC746=0,0,IF(BC746/'🎚️ Escenario'!$C$11&gt;=36,$AL$23,INDEX($C$23:$AL$23,MAX(1,ROUNDUP(BC746/'🎚️ Escenario'!$C$11,0)))))</f>
        <v>0</v>
      </c>
      <c r="BD747" s="236" t="n">
        <f aca="false" t="array" ref="BD747:BD747">IF(BD746=0,0,IF(BD746/'🎚️ Escenario'!$C$11&gt;=36,$AL$23,INDEX($C$23:$AL$23,MAX(1,ROUNDUP(BD746/'🎚️ Escenario'!$C$11,0)))))</f>
        <v>0</v>
      </c>
      <c r="BE747" s="236" t="n">
        <f aca="false" t="array" ref="BE747:BE747">IF(BE746=0,0,IF(BE746/'🎚️ Escenario'!$C$11&gt;=36,$AL$23,INDEX($C$23:$AL$23,MAX(1,ROUNDUP(BE746/'🎚️ Escenario'!$C$11,0)))))</f>
        <v>0</v>
      </c>
      <c r="BF747" s="236" t="n">
        <f aca="false" t="array" ref="BF747:BF747">IF(BF746=0,0,IF(BF746/'🎚️ Escenario'!$C$11&gt;=36,$AL$23,INDEX($C$23:$AL$23,MAX(1,ROUNDUP(BF746/'🎚️ Escenario'!$C$11,0)))))</f>
        <v>0</v>
      </c>
      <c r="BG747" s="236" t="n">
        <f aca="false" t="array" ref="BG747:BG747">IF(BG746=0,0,IF(BG746/'🎚️ Escenario'!$C$11&gt;=36,$AL$23,INDEX($C$23:$AL$23,MAX(1,ROUNDUP(BG746/'🎚️ Escenario'!$C$11,0)))))</f>
        <v>0</v>
      </c>
      <c r="BH747" s="236" t="n">
        <f aca="false" t="array" ref="BH747:BH747">IF(BH746=0,0,IF(BH746/'🎚️ Escenario'!$C$11&gt;=36,$AL$23,INDEX($C$23:$AL$23,MAX(1,ROUNDUP(BH746/'🎚️ Escenario'!$C$11,0)))))</f>
        <v>0</v>
      </c>
      <c r="BI747" s="236" t="n">
        <f aca="false" t="array" ref="BI747:BI747">IF(BI746=0,0,IF(BI746/'🎚️ Escenario'!$C$11&gt;=36,$AL$23,INDEX($C$23:$AL$23,MAX(1,ROUNDUP(BI746/'🎚️ Escenario'!$C$11,0)))))</f>
        <v>0</v>
      </c>
      <c r="BJ747" s="236" t="n">
        <f aca="false" t="array" ref="BJ747:BJ747">IF(BJ746=0,0,IF(BJ746/'🎚️ Escenario'!$C$11&gt;=36,$AL$23,INDEX($C$23:$AL$23,MAX(1,ROUNDUP(BJ746/'🎚️ Escenario'!$C$11,0)))))</f>
        <v>0</v>
      </c>
      <c r="BK747" s="236" t="n">
        <f aca="false" t="array" ref="BK747:BK747">IF(BK746=0,0,IF(BK746/'🎚️ Escenario'!$C$11&gt;=36,$AL$23,INDEX($C$23:$AL$23,MAX(1,ROUNDUP(BK746/'🎚️ Escenario'!$C$11,0)))))</f>
        <v>0</v>
      </c>
      <c r="BL747" s="236" t="n">
        <f aca="false" t="array" ref="BL747:BL747">IF(BL746=0,0,IF(BL746/'🎚️ Escenario'!$C$11&gt;=36,$AL$23,INDEX($C$23:$AL$23,MAX(1,ROUNDUP(BL746/'🎚️ Escenario'!$C$11,0)))))</f>
        <v>0</v>
      </c>
      <c r="BM747" s="236" t="n">
        <f aca="false" t="array" ref="BM747:BM747">IF(BM746=0,0,IF(BM746/'🎚️ Escenario'!$C$11&gt;=36,$AL$23,INDEX($C$23:$AL$23,MAX(1,ROUNDUP(BM746/'🎚️ Escenario'!$C$11,0)))))</f>
        <v>0</v>
      </c>
      <c r="BN747" s="236" t="n">
        <f aca="false" t="array" ref="BN747:BN747">IF(BN746=0,0,IF(BN746/'🎚️ Escenario'!$C$11&gt;=36,$AL$23,INDEX($C$23:$AL$23,MAX(1,ROUNDUP(BN746/'🎚️ Escenario'!$C$11,0)))))</f>
        <v>0</v>
      </c>
      <c r="BO747" s="236" t="n">
        <f aca="false" t="array" ref="BO747:BO747">IF(BO746=0,0,IF(BO746/'🎚️ Escenario'!$C$11&gt;=36,$AL$23,INDEX($C$23:$AL$23,MAX(1,ROUNDUP(BO746/'🎚️ Escenario'!$C$11,0)))))</f>
        <v>0</v>
      </c>
      <c r="BP747" s="236" t="n">
        <f aca="false" t="array" ref="BP747:BP747">IF(BP746=0,0,IF(BP746/'🎚️ Escenario'!$C$11&gt;=36,$AL$23,INDEX($C$23:$AL$23,MAX(1,ROUNDUP(BP746/'🎚️ Escenario'!$C$11,0)))))</f>
        <v>0</v>
      </c>
      <c r="BQ747" s="236" t="n">
        <f aca="false" t="array" ref="BQ747:BQ747">IF(BQ746=0,0,IF(BQ746/'🎚️ Escenario'!$C$11&gt;=36,$AL$23,INDEX($C$23:$AL$23,MAX(1,ROUNDUP(BQ746/'🎚️ Escenario'!$C$11,0)))))</f>
        <v>0</v>
      </c>
      <c r="BR747" s="236" t="n">
        <f aca="false" t="array" ref="BR747:BR747">IF(BR746=0,0,IF(BR746/'🎚️ Escenario'!$C$11&gt;=36,$AL$23,INDEX($C$23:$AL$23,MAX(1,ROUNDUP(BR746/'🎚️ Escenario'!$C$11,0)))))</f>
        <v>0</v>
      </c>
      <c r="BS747" s="236" t="n">
        <f aca="false" t="array" ref="BS747:BS747">IF(BS746=0,0,IF(BS746/'🎚️ Escenario'!$C$11&gt;=36,$AL$23,INDEX($C$23:$AL$23,MAX(1,ROUNDUP(BS746/'🎚️ Escenario'!$C$11,0)))))</f>
        <v>0</v>
      </c>
      <c r="BT747" s="236" t="n">
        <f aca="false" t="array" ref="BT747:BT747">IF(BT746=0,0,IF(BT746/'🎚️ Escenario'!$C$11&gt;=36,$AL$23,INDEX($C$23:$AL$23,MAX(1,ROUNDUP(BT746/'🎚️ Escenario'!$C$11,0)))))</f>
        <v>0</v>
      </c>
      <c r="BU747" s="236" t="n">
        <f aca="false" t="array" ref="BU747:BU747">IF(BU746=0,0,IF(BU746/'🎚️ Escenario'!$C$11&gt;=36,$AL$23,INDEX($C$23:$AL$23,MAX(1,ROUNDUP(BU746/'🎚️ Escenario'!$C$11,0)))))</f>
        <v>0</v>
      </c>
      <c r="BV747" s="236" t="n">
        <f aca="false" t="array" ref="BV747:BV747">IF(BV746=0,0,IF(BV746/'🎚️ Escenario'!$C$11&gt;=36,$AL$23,INDEX($C$23:$AL$23,MAX(1,ROUNDUP(BV746/'🎚️ Escenario'!$C$11,0)))))</f>
        <v>0</v>
      </c>
      <c r="BW747" s="236" t="n">
        <f aca="false" t="array" ref="BW747:BW747">IF(BW746=0,0,IF(BW746/'🎚️ Escenario'!$C$11&gt;=36,$AL$23,INDEX($C$23:$AL$23,MAX(1,ROUNDUP(BW746/'🎚️ Escenario'!$C$11,0)))))</f>
        <v>0</v>
      </c>
      <c r="BX747" s="236" t="n">
        <f aca="false" t="array" ref="BX747:BX747">IF(BX746=0,0,IF(BX746/'🎚️ Escenario'!$C$11&gt;=36,$AL$23,INDEX($C$23:$AL$23,MAX(1,ROUNDUP(BX746/'🎚️ Escenario'!$C$11,0)))))</f>
        <v>0</v>
      </c>
      <c r="BY747" s="236" t="n">
        <f aca="false" t="array" ref="BY747:BY747">IF(BY746=0,0,IF(BY746/'🎚️ Escenario'!$C$11&gt;=36,$AL$23,INDEX($C$23:$AL$23,MAX(1,ROUNDUP(BY746/'🎚️ Escenario'!$C$11,0)))))</f>
        <v>0</v>
      </c>
      <c r="BZ747" s="236" t="n">
        <f aca="false" t="array" ref="BZ747:BZ747">IF(BZ746=0,0,IF(BZ746/'🎚️ Escenario'!$C$11&gt;=36,$AL$23,INDEX($C$23:$AL$23,MAX(1,ROUNDUP(BZ746/'🎚️ Escenario'!$C$11,0)))))</f>
        <v>0</v>
      </c>
      <c r="CA747" s="236" t="n">
        <f aca="false" t="array" ref="CA747:CA747">IF(CA746=0,0,IF(CA746/'🎚️ Escenario'!$C$11&gt;=36,$AL$23,INDEX($C$23:$AL$23,MAX(1,ROUNDUP(CA746/'🎚️ Escenario'!$C$11,0)))))</f>
        <v>0</v>
      </c>
      <c r="CB747" s="236" t="n">
        <f aca="false" t="array" ref="CB747:CB747">IF(CB746=0,0,IF(CB746/'🎚️ Escenario'!$C$11&gt;=36,$AL$23,INDEX($C$23:$AL$23,MAX(1,ROUNDUP(CB746/'🎚️ Escenario'!$C$11,0)))))</f>
        <v>0</v>
      </c>
      <c r="CC747" s="236" t="n">
        <f aca="false" t="array" ref="CC747:CC747">IF(CC746=0,0,IF(CC746/'🎚️ Escenario'!$C$11&gt;=36,$AL$23,INDEX($C$23:$AL$23,MAX(1,ROUNDUP(CC746/'🎚️ Escenario'!$C$11,0)))))</f>
        <v>0</v>
      </c>
      <c r="CD747" s="236" t="n">
        <f aca="false" t="array" ref="CD747:CD747">IF(CD746=0,0,IF(CD746/'🎚️ Escenario'!$C$11&gt;=36,$AL$23,INDEX($C$23:$AL$23,MAX(1,ROUNDUP(CD746/'🎚️ Escenario'!$C$11,0)))))</f>
        <v>0</v>
      </c>
      <c r="CE747" s="236" t="n">
        <f aca="false" t="array" ref="CE747:CE747">IF(CE746=0,0,IF(CE746/'🎚️ Escenario'!$C$11&gt;=36,$AL$23,INDEX($C$23:$AL$23,MAX(1,ROUNDUP(CE746/'🎚️ Escenario'!$C$11,0)))))</f>
        <v>0</v>
      </c>
      <c r="CF747" s="236" t="n">
        <f aca="false" t="array" ref="CF747:CF747">IF(CF746=0,0,IF(CF746/'🎚️ Escenario'!$C$11&gt;=36,$AL$23,INDEX($C$23:$AL$23,MAX(1,ROUNDUP(CF746/'🎚️ Escenario'!$C$11,0)))))</f>
        <v>0</v>
      </c>
      <c r="CG747" s="236" t="n">
        <f aca="false" t="array" ref="CG747:CG747">IF(CG746=0,0,IF(CG746/'🎚️ Escenario'!$C$11&gt;=36,$AL$23,INDEX($C$23:$AL$23,MAX(1,ROUNDUP(CG746/'🎚️ Escenario'!$C$11,0)))))</f>
        <v>0</v>
      </c>
      <c r="CH747" s="236" t="n">
        <f aca="false" t="array" ref="CH747:CH747">IF(CH746=0,0,IF(CH746/'🎚️ Escenario'!$C$11&gt;=36,$AL$23,INDEX($C$23:$AL$23,MAX(1,ROUNDUP(CH746/'🎚️ Escenario'!$C$11,0)))))</f>
        <v>0</v>
      </c>
      <c r="CI747" s="236" t="n">
        <f aca="false" t="array" ref="CI747:CI747">IF(CI746=0,0,IF(CI746/'🎚️ Escenario'!$C$11&gt;=36,$AL$23,INDEX($C$23:$AL$23,MAX(1,ROUNDUP(CI746/'🎚️ Escenario'!$C$11,0)))))</f>
        <v>0</v>
      </c>
      <c r="CJ747" s="236" t="n">
        <f aca="false" t="array" ref="CJ747:CJ747">IF(CJ746=0,0,IF(CJ746/'🎚️ Escenario'!$C$11&gt;=36,$AL$23,INDEX($C$23:$AL$23,MAX(1,ROUNDUP(CJ746/'🎚️ Escenario'!$C$11,0)))))</f>
        <v>0</v>
      </c>
      <c r="CK747" s="236" t="n">
        <f aca="false" t="array" ref="CK747:CK747">IF(CK746=0,0,IF(CK746/'🎚️ Escenario'!$C$11&gt;=36,$AL$23,INDEX($C$23:$AL$23,MAX(1,ROUNDUP(CK746/'🎚️ Escenario'!$C$11,0)))))</f>
        <v>0</v>
      </c>
      <c r="CL747" s="236" t="n">
        <f aca="false" t="array" ref="CL747:CL747">IF(CL746=0,0,IF(CL746/'🎚️ Escenario'!$C$11&gt;=36,$AL$23,INDEX($C$23:$AL$23,MAX(1,ROUNDUP(CL746/'🎚️ Escenario'!$C$11,0)))))</f>
        <v>0</v>
      </c>
      <c r="CM747" s="236" t="n">
        <f aca="false" t="array" ref="CM747:CM747">IF(CM746=0,0,IF(CM746/'🎚️ Escenario'!$C$11&gt;=36,$AL$23,INDEX($C$23:$AL$23,MAX(1,ROUNDUP(CM746/'🎚️ Escenario'!$C$11,0)))))</f>
        <v>0</v>
      </c>
      <c r="CN747" s="236" t="n">
        <f aca="false" t="array" ref="CN747:CN747">IF(CN746=0,0,IF(CN746/'🎚️ Escenario'!$C$11&gt;=36,$AL$23,INDEX($C$23:$AL$23,MAX(1,ROUNDUP(CN746/'🎚️ Escenario'!$C$11,0)))))</f>
        <v>0</v>
      </c>
      <c r="CO747" s="236" t="n">
        <f aca="false" t="array" ref="CO747:CO747">IF(CO746=0,0,IF(CO746/'🎚️ Escenario'!$C$11&gt;=36,$AL$23,INDEX($C$23:$AL$23,MAX(1,ROUNDUP(CO746/'🎚️ Escenario'!$C$11,0)))))</f>
        <v>0</v>
      </c>
      <c r="CP747" s="236" t="n">
        <f aca="false" t="array" ref="CP747:CP747">IF(CP746=0,0,IF(CP746/'🎚️ Escenario'!$C$11&gt;=36,$AL$23,INDEX($C$23:$AL$23,MAX(1,ROUNDUP(CP746/'🎚️ Escenario'!$C$11,0)))))</f>
        <v>0</v>
      </c>
      <c r="CQ747" s="236" t="n">
        <f aca="false" t="array" ref="CQ747:CQ747">IF(CQ746=0,0,IF(CQ746/'🎚️ Escenario'!$C$11&gt;=36,$AL$23,INDEX($C$23:$AL$23,MAX(1,ROUNDUP(CQ746/'🎚️ Escenario'!$C$11,0)))))</f>
        <v>0</v>
      </c>
      <c r="CR747" s="236" t="n">
        <f aca="false" t="array" ref="CR747:CR747">IF(CR746=0,0,IF(CR746/'🎚️ Escenario'!$C$11&gt;=36,$AL$23,INDEX($C$23:$AL$23,MAX(1,ROUNDUP(CR746/'🎚️ Escenario'!$C$11,0)))))</f>
        <v>0</v>
      </c>
      <c r="CS747" s="236" t="n">
        <f aca="false" t="array" ref="CS747:CS747">IF(CS746=0,0,IF(CS746/'🎚️ Escenario'!$C$11&gt;=36,$AL$23,INDEX($C$23:$AL$23,MAX(1,ROUNDUP(CS746/'🎚️ Escenario'!$C$11,0)))))</f>
        <v>0</v>
      </c>
      <c r="CT747" s="236" t="n">
        <f aca="false" t="array" ref="CT747:CT747">IF(CT746=0,0,IF(CT746/'🎚️ Escenario'!$C$11&gt;=36,$AL$23,INDEX($C$23:$AL$23,MAX(1,ROUNDUP(CT746/'🎚️ Escenario'!$C$11,0)))))</f>
        <v>0</v>
      </c>
      <c r="CU747" s="236" t="n">
        <f aca="false" t="array" ref="CU747:CU747">IF(CU746=0,0,IF(CU746/'🎚️ Escenario'!$C$11&gt;=36,$AL$23,INDEX($C$23:$AL$23,MAX(1,ROUNDUP(CU746/'🎚️ Escenario'!$C$11,0)))))</f>
        <v>0</v>
      </c>
      <c r="CV747" s="236" t="n">
        <f aca="false" t="array" ref="CV747:CV747">IF(CV746=0,0,IF(CV746/'🎚️ Escenario'!$C$11&gt;=36,$AL$23,INDEX($C$23:$AL$23,MAX(1,ROUNDUP(CV746/'🎚️ Escenario'!$C$11,0)))))</f>
        <v>0</v>
      </c>
      <c r="CW747" s="236" t="n">
        <f aca="false" t="array" ref="CW747:CW747">IF(CW746=0,0,IF(CW746/'🎚️ Escenario'!$C$11&gt;=36,$AL$23,INDEX($C$23:$AL$23,MAX(1,ROUNDUP(CW746/'🎚️ Escenario'!$C$11,0)))))</f>
        <v>0</v>
      </c>
      <c r="CX747" s="236" t="n">
        <f aca="false" t="array" ref="CX747:CX747">IF(CX746=0,0,IF(CX746/'🎚️ Escenario'!$C$11&gt;=36,$AL$23,INDEX($C$23:$AL$23,MAX(1,ROUNDUP(CX746/'🎚️ Escenario'!$C$11,0)))))</f>
        <v>0</v>
      </c>
      <c r="CY747" s="236" t="n">
        <f aca="false" t="array" ref="CY747:CY747">IF(CY746=0,0,IF(CY746/'🎚️ Escenario'!$C$11&gt;=36,$AL$23,INDEX($C$23:$AL$23,MAX(1,ROUNDUP(CY746/'🎚️ Escenario'!$C$11,0)))))</f>
        <v>0</v>
      </c>
      <c r="CZ747" s="236" t="n">
        <f aca="false" t="array" ref="CZ747:CZ747">IF(CZ746=0,0,IF(CZ746/'🎚️ Escenario'!$C$11&gt;=36,$AL$23,INDEX($C$23:$AL$23,MAX(1,ROUNDUP(CZ746/'🎚️ Escenario'!$C$11,0)))))</f>
        <v>0</v>
      </c>
      <c r="DA747" s="236" t="n">
        <f aca="false" t="array" ref="DA747:DA747">IF(DA746=0,0,IF(DA746/'🎚️ Escenario'!$C$11&gt;=36,$AL$23,INDEX($C$23:$AL$23,MAX(1,ROUNDUP(DA746/'🎚️ Escenario'!$C$11,0)))))</f>
        <v>0</v>
      </c>
      <c r="DB747" s="236" t="n">
        <f aca="false" t="array" ref="DB747:DB747">IF(DB746=0,0,IF(DB746/'🎚️ Escenario'!$C$11&gt;=36,$AL$23,INDEX($C$23:$AL$23,MAX(1,ROUNDUP(DB746/'🎚️ Escenario'!$C$11,0)))))</f>
        <v>0</v>
      </c>
      <c r="DC747" s="236" t="n">
        <f aca="false" t="array" ref="DC747:DC747">IF(DC746=0,0,IF(DC746/'🎚️ Escenario'!$C$11&gt;=36,$AL$23,INDEX($C$23:$AL$23,MAX(1,ROUNDUP(DC746/'🎚️ Escenario'!$C$11,0)))))</f>
        <v>0</v>
      </c>
      <c r="DD747" s="236" t="n">
        <f aca="false" t="array" ref="DD747:DD747">IF(DD746=0,0,IF(DD746/'🎚️ Escenario'!$C$11&gt;=36,$AL$23,INDEX($C$23:$AL$23,MAX(1,ROUNDUP(DD746/'🎚️ Escenario'!$C$11,0)))))</f>
        <v>0</v>
      </c>
      <c r="DE747" s="236" t="n">
        <f aca="false" t="array" ref="DE747:DE747">IF(DE746=0,0,IF(DE746/'🎚️ Escenario'!$C$11&gt;=36,$AL$23,INDEX($C$23:$AL$23,MAX(1,ROUNDUP(DE746/'🎚️ Escenario'!$C$11,0)))))</f>
        <v>0</v>
      </c>
      <c r="DF747" s="236" t="n">
        <f aca="false" t="array" ref="DF747:DF747">IF(DF746=0,0,IF(DF746/'🎚️ Escenario'!$C$11&gt;=36,$AL$23,INDEX($C$23:$AL$23,MAX(1,ROUNDUP(DF746/'🎚️ Escenario'!$C$11,0)))))</f>
        <v>0</v>
      </c>
      <c r="DG747" s="236" t="n">
        <f aca="false" t="array" ref="DG747:DG747">IF(DG746=0,0,IF(DG746/'🎚️ Escenario'!$C$11&gt;=36,$AL$23,INDEX($C$23:$AL$23,MAX(1,ROUNDUP(DG746/'🎚️ Escenario'!$C$11,0)))))</f>
        <v>0</v>
      </c>
      <c r="DH747" s="236" t="n">
        <f aca="false" t="array" ref="DH747:DH747">IF(DH746=0,0,IF(DH746/'🎚️ Escenario'!$C$11&gt;=36,$AL$23,INDEX($C$23:$AL$23,MAX(1,ROUNDUP(DH746/'🎚️ Escenario'!$C$11,0)))))</f>
        <v>0</v>
      </c>
      <c r="DI747" s="236" t="n">
        <f aca="false" t="array" ref="DI747:DI747">IF(DI746=0,0,IF(DI746/'🎚️ Escenario'!$C$11&gt;=36,$AL$23,INDEX($C$23:$AL$23,MAX(1,ROUNDUP(DI746/'🎚️ Escenario'!$C$11,0)))))</f>
        <v>0</v>
      </c>
      <c r="DJ747" s="236" t="n">
        <f aca="false" t="array" ref="DJ747:DJ747">IF(DJ746=0,0,IF(DJ746/'🎚️ Escenario'!$C$11&gt;=36,$AL$23,INDEX($C$23:$AL$23,MAX(1,ROUNDUP(DJ746/'🎚️ Escenario'!$C$11,0)))))</f>
        <v>0</v>
      </c>
      <c r="DK747" s="236" t="n">
        <f aca="false" t="array" ref="DK747:DK747">IF(DK746=0,0,IF(DK746/'🎚️ Escenario'!$C$11&gt;=36,$AL$23,INDEX($C$23:$AL$23,MAX(1,ROUNDUP(DK746/'🎚️ Escenario'!$C$11,0)))))</f>
        <v>0</v>
      </c>
      <c r="DL747" s="236" t="n">
        <f aca="false" t="array" ref="DL747:DL747">IF(DL746=0,0,IF(DL746/'🎚️ Escenario'!$C$11&gt;=36,$AL$23,INDEX($C$23:$AL$23,MAX(1,ROUNDUP(DL746/'🎚️ Escenario'!$C$11,0)))))</f>
        <v>0</v>
      </c>
      <c r="DM747" s="236" t="n">
        <f aca="false" t="array" ref="DM747:DM747">IF(DM746=0,0,IF(DM746/'🎚️ Escenario'!$C$11&gt;=36,$AL$23,INDEX($C$23:$AL$23,MAX(1,ROUNDUP(DM746/'🎚️ Escenario'!$C$11,0)))))</f>
        <v>0</v>
      </c>
      <c r="DN747" s="236" t="n">
        <f aca="false" t="array" ref="DN747:DN747">IF(DN746=0,0,IF(DN746/'🎚️ Escenario'!$C$11&gt;=36,$AL$23,INDEX($C$23:$AL$23,MAX(1,ROUNDUP(DN746/'🎚️ Escenario'!$C$11,0)))))</f>
        <v>0</v>
      </c>
      <c r="DO747" s="236" t="n">
        <f aca="false" t="array" ref="DO747:DO747">IF(DO746=0,0,IF(DO746/'🎚️ Escenario'!$C$11&gt;=36,$AL$23,INDEX($C$23:$AL$23,MAX(1,ROUNDUP(DO746/'🎚️ Escenario'!$C$11,0)))))</f>
        <v>0</v>
      </c>
      <c r="DP747" s="236" t="n">
        <f aca="false" t="array" ref="DP747:DP747">IF(DP746=0,0,IF(DP746/'🎚️ Escenario'!$C$11&gt;=36,$AL$23,INDEX($C$23:$AL$23,MAX(1,ROUNDUP(DP746/'🎚️ Escenario'!$C$11,0)))))</f>
        <v>0</v>
      </c>
      <c r="DQ747" s="236" t="n">
        <f aca="false" t="array" ref="DQ747:DQ747">IF(DQ746=0,0,IF(DQ746/'🎚️ Escenario'!$C$11&gt;=36,$AL$23,INDEX($C$23:$AL$23,MAX(1,ROUNDUP(DQ746/'🎚️ Escenario'!$C$11,0)))))</f>
        <v>0</v>
      </c>
      <c r="DR747" s="236" t="n">
        <f aca="false" t="array" ref="DR747:DR747">IF(DR746=0,0,IF(DR746/'🎚️ Escenario'!$C$11&gt;=36,$AL$23,INDEX($C$23:$AL$23,MAX(1,ROUNDUP(DR746/'🎚️ Escenario'!$C$11,0)))))</f>
        <v>0</v>
      </c>
      <c r="DS747" s="236" t="n">
        <f aca="false" t="array" ref="DS747:DS747">IF(DS746=0,0,IF(DS746/'🎚️ Escenario'!$C$11&gt;=36,$AL$23,INDEX($C$23:$AL$23,MAX(1,ROUNDUP(DS746/'🎚️ Escenario'!$C$11,0)))))</f>
        <v>0</v>
      </c>
      <c r="DT747" s="236" t="n">
        <f aca="false" t="array" ref="DT747:DT747">IF(DT746=0,0,IF(DT746/'🎚️ Escenario'!$C$11&gt;=36,$AL$23,INDEX($C$23:$AL$23,MAX(1,ROUNDUP(DT746/'🎚️ Escenario'!$C$11,0)))))</f>
        <v>0</v>
      </c>
      <c r="DU747" s="236" t="n">
        <f aca="false" t="array" ref="DU747:DU747">IF(DU746=0,0,IF(DU746/'🎚️ Escenario'!$C$11&gt;=36,$AL$23,INDEX($C$23:$AL$23,MAX(1,ROUNDUP(DU746/'🎚️ Escenario'!$C$11,0)))))</f>
        <v>0</v>
      </c>
      <c r="DV747" s="236" t="n">
        <f aca="false" t="array" ref="DV747:DV747">IF(DV746=0,0,IF(DV746/'🎚️ Escenario'!$C$11&gt;=36,$AL$23,INDEX($C$23:$AL$23,MAX(1,ROUNDUP(DV746/'🎚️ Escenario'!$C$11,0)))))</f>
        <v>0</v>
      </c>
      <c r="DW747" s="236" t="n">
        <f aca="false" t="array" ref="DW747:DW747">IF(DW746=0,0,IF(DW746/'🎚️ Escenario'!$C$11&gt;=36,$AL$23,INDEX($C$23:$AL$23,MAX(1,ROUNDUP(DW746/'🎚️ Escenario'!$C$11,0)))))</f>
        <v>0</v>
      </c>
      <c r="DX747" s="236" t="n">
        <f aca="false" t="array" ref="DX747:DX747">IF(DX746=0,0,IF(DX746/'🎚️ Escenario'!$C$11&gt;=36,$AL$23,INDEX($C$23:$AL$23,MAX(1,ROUNDUP(DX746/'🎚️ Escenario'!$C$11,0)))))</f>
        <v>0</v>
      </c>
      <c r="DY747" s="236" t="n">
        <f aca="false" t="array" ref="DY747:DY747">IF(DY746=0,0,IF(DY746/'🎚️ Escenario'!$C$11&gt;=36,$AL$23,INDEX($C$23:$AL$23,MAX(1,ROUNDUP(DY746/'🎚️ Escenario'!$C$11,0)))))</f>
        <v>0</v>
      </c>
      <c r="DZ747" s="236" t="n">
        <f aca="false" t="array" ref="DZ747:DZ747">IF(DZ746=0,0,IF(DZ746/'🎚️ Escenario'!$C$11&gt;=36,$AL$23,INDEX($C$23:$AL$23,MAX(1,ROUNDUP(DZ746/'🎚️ Escenario'!$C$11,0)))))</f>
        <v>0</v>
      </c>
      <c r="EA747" s="236" t="n">
        <f aca="false" t="array" ref="EA747:EA747">IF(EA746=0,0,IF(EA746/'🎚️ Escenario'!$C$11&gt;=36,$AL$23,INDEX($C$23:$AL$23,MAX(1,ROUNDUP(EA746/'🎚️ Escenario'!$C$11,0)))))</f>
        <v>0</v>
      </c>
      <c r="EB747" s="236" t="n">
        <f aca="false" t="array" ref="EB747:EB747">IF(EB746=0,0,IF(EB746/'🎚️ Escenario'!$C$11&gt;=36,$AL$23,INDEX($C$23:$AL$23,MAX(1,ROUNDUP(EB746/'🎚️ Escenario'!$C$11,0)))))</f>
        <v>0</v>
      </c>
      <c r="EC747" s="236" t="n">
        <f aca="false" t="array" ref="EC747:EC747">IF(EC746=0,0,IF(EC746/'🎚️ Escenario'!$C$11&gt;=36,$AL$23,INDEX($C$23:$AL$23,MAX(1,ROUNDUP(EC746/'🎚️ Escenario'!$C$11,0)))))</f>
        <v>0</v>
      </c>
      <c r="ED747" s="236" t="n">
        <f aca="false" t="array" ref="ED747:ED747">IF(ED746=0,0,IF(ED746/'🎚️ Escenario'!$C$11&gt;=36,$AL$23,INDEX($C$23:$AL$23,MAX(1,ROUNDUP(ED746/'🎚️ Escenario'!$C$11,0)))))</f>
        <v>0</v>
      </c>
      <c r="EE747" s="236" t="n">
        <f aca="false" t="array" ref="EE747:EE747">IF(EE746=0,0,IF(EE746/'🎚️ Escenario'!$C$11&gt;=36,$AL$23,INDEX($C$23:$AL$23,MAX(1,ROUNDUP(EE746/'🎚️ Escenario'!$C$11,0)))))</f>
        <v>0</v>
      </c>
      <c r="EF747" s="236" t="n">
        <f aca="false" t="array" ref="EF747:EF747">IF(EF746=0,0,IF(EF746/'🎚️ Escenario'!$C$11&gt;=36,$AL$23,INDEX($C$23:$AL$23,MAX(1,ROUNDUP(EF746/'🎚️ Escenario'!$C$11,0)))))</f>
        <v>0</v>
      </c>
      <c r="EG747" s="236" t="n">
        <f aca="false" t="array" ref="EG747:EG747">IF(EG746=0,0,IF(EG746/'🎚️ Escenario'!$C$11&gt;=36,$AL$23,INDEX($C$23:$AL$23,MAX(1,ROUNDUP(EG746/'🎚️ Escenario'!$C$11,0)))))</f>
        <v>0</v>
      </c>
      <c r="EH747" s="236" t="n">
        <f aca="false" t="array" ref="EH747:EH747">IF(EH746=0,0,IF(EH746/'🎚️ Escenario'!$C$11&gt;=36,$AL$23,INDEX($C$23:$AL$23,MAX(1,ROUNDUP(EH746/'🎚️ Escenario'!$C$11,0)))))</f>
        <v>0</v>
      </c>
      <c r="EI747" s="236" t="n">
        <f aca="false" t="array" ref="EI747:EI747">IF(EI746=0,0,IF(EI746/'🎚️ Escenario'!$C$11&gt;=36,$AL$23,INDEX($C$23:$AL$23,MAX(1,ROUNDUP(EI746/'🎚️ Escenario'!$C$11,0)))))</f>
        <v>0</v>
      </c>
      <c r="EJ747" s="236" t="n">
        <f aca="false" t="array" ref="EJ747:EJ747">IF(EJ746=0,0,IF(EJ746/'🎚️ Escenario'!$C$11&gt;=36,$AL$23,INDEX($C$23:$AL$23,MAX(1,ROUNDUP(EJ746/'🎚️ Escenario'!$C$11,0)))))</f>
        <v>0</v>
      </c>
      <c r="EK747" s="236" t="n">
        <f aca="false" t="array" ref="EK747:EK747">IF(EK746=0,0,IF(EK746/'🎚️ Escenario'!$C$11&gt;=36,$AL$23,INDEX($C$23:$AL$23,MAX(1,ROUNDUP(EK746/'🎚️ Escenario'!$C$11,0)))))</f>
        <v>0</v>
      </c>
      <c r="EL747" s="236" t="n">
        <f aca="false" t="array" ref="EL747:EL747">IF(EL746=0,0,IF(EL746/'🎚️ Escenario'!$C$11&gt;=36,$AL$23,INDEX($C$23:$AL$23,MAX(1,ROUNDUP(EL746/'🎚️ Escenario'!$C$11,0)))))</f>
        <v>0</v>
      </c>
      <c r="EM747" s="236" t="n">
        <f aca="false" t="array" ref="EM747:EM747">IF(EM746=0,0,IF(EM746/'🎚️ Escenario'!$C$11&gt;=36,$AL$23,INDEX($C$23:$AL$23,MAX(1,ROUNDUP(EM746/'🎚️ Escenario'!$C$11,0)))))</f>
        <v>0</v>
      </c>
      <c r="EN747" s="236" t="n">
        <f aca="false" t="array" ref="EN747:EN747">IF(EN746=0,0,IF(EN746/'🎚️ Escenario'!$C$11&gt;=36,$AL$23,INDEX($C$23:$AL$23,MAX(1,ROUNDUP(EN746/'🎚️ Escenario'!$C$11,0)))))</f>
        <v>0</v>
      </c>
      <c r="EO747" s="236" t="n">
        <f aca="false" t="array" ref="EO747:EO747">IF(EO746=0,0,IF(EO746/'🎚️ Escenario'!$C$11&gt;=36,$AL$23,INDEX($C$23:$AL$23,MAX(1,ROUNDUP(EO746/'🎚️ Escenario'!$C$11,0)))))</f>
        <v>0</v>
      </c>
      <c r="EP747" s="236" t="n">
        <f aca="false" t="array" ref="EP747:EP747">IF(EP746=0,0,IF(EP746/'🎚️ Escenario'!$C$11&gt;=36,$AL$23,INDEX($C$23:$AL$23,MAX(1,ROUNDUP(EP746/'🎚️ Escenario'!$C$11,0)))))</f>
        <v>0</v>
      </c>
      <c r="EQ747" s="236" t="n">
        <f aca="false" t="array" ref="EQ747:EQ747">IF(EQ746=0,0,IF(EQ746/'🎚️ Escenario'!$C$11&gt;=36,$AL$23,INDEX($C$23:$AL$23,MAX(1,ROUNDUP(EQ746/'🎚️ Escenario'!$C$11,0)))))</f>
        <v>0</v>
      </c>
      <c r="ER747" s="236" t="n">
        <f aca="false" t="array" ref="ER747:ER747">IF(ER746=0,0,IF(ER746/'🎚️ Escenario'!$C$11&gt;=36,$AL$23,INDEX($C$23:$AL$23,MAX(1,ROUNDUP(ER746/'🎚️ Escenario'!$C$11,0)))))</f>
        <v>0</v>
      </c>
      <c r="ES747" s="9" t="n">
        <f aca="false" t="array" ref="ES747:ES747">IF(ES746=0,0,IF(ES746/'🎚️ Escenario'!$C$11&gt;=36,$AL$23,INDEX($C$23:$AL$23,MAX(1,ROUNDUP(ES746/'🎚️ Escenario'!$C$11,0)))))</f>
        <v>0</v>
      </c>
      <c r="ET747" s="9" t="n">
        <f aca="false" t="array" ref="ET747:ET747">IF(ET746=0,0,IF(ET746/'🎚️ Escenario'!$C$11&gt;=36,$AL$23,INDEX($C$23:$AL$23,MAX(1,ROUNDUP(ET746/'🎚️ Escenario'!$C$11,0)))))</f>
        <v>0</v>
      </c>
      <c r="EU747" s="9" t="n">
        <f aca="false" t="array" ref="EU747:EU747">IF(EU746=0,0,IF(EU746/'🎚️ Escenario'!$C$11&gt;=36,$AL$23,INDEX($C$23:$AL$23,MAX(1,ROUNDUP(EU746/'🎚️ Escenario'!$C$11,0)))))</f>
        <v>0</v>
      </c>
      <c r="EV747" s="9" t="n">
        <f aca="false" t="array" ref="EV747:EV747">IF(EV746=0,0,IF(EV746/'🎚️ Escenario'!$C$11&gt;=36,$AL$23,INDEX($C$23:$AL$23,MAX(1,ROUNDUP(EV746/'🎚️ Escenario'!$C$11,0)))))</f>
        <v>0</v>
      </c>
      <c r="EW747" s="9" t="n">
        <f aca="false" t="array" ref="EW747:EW747">IF(EW746=0,0,IF(EW746/'🎚️ Escenario'!$C$11&gt;=36,$AL$23,INDEX($C$23:$AL$23,MAX(1,ROUNDUP(EW746/'🎚️ Escenario'!$C$11,0)))))</f>
        <v>0</v>
      </c>
      <c r="EX747" s="9" t="n">
        <f aca="false" t="array" ref="EX747:EX747">IF(EX746=0,0,IF(EX746/'🎚️ Escenario'!$C$11&gt;=36,$AL$23,INDEX($C$23:$AL$23,MAX(1,ROUNDUP(EX746/'🎚️ Escenario'!$C$11,0)))))</f>
        <v>0</v>
      </c>
      <c r="EY747" s="9" t="n">
        <f aca="false" t="array" ref="EY747:EY747">IF(EY746=0,0,IF(EY746/'🎚️ Escenario'!$C$11&gt;=36,$AL$23,INDEX($C$23:$AL$23,MAX(1,ROUNDUP(EY746/'🎚️ Escenario'!$C$11,0)))))</f>
        <v>0.2</v>
      </c>
      <c r="EZ747" s="9" t="n">
        <f aca="false" t="array" ref="EZ747:EZ747">IF(EZ746=0,0,IF(EZ746/'🎚️ Escenario'!$C$11&gt;=36,$AL$23,INDEX($C$23:$AL$23,MAX(1,ROUNDUP(EZ746/'🎚️ Escenario'!$C$11,0)))))</f>
        <v>0.22</v>
      </c>
      <c r="FA747" s="9" t="n">
        <f aca="false" t="array" ref="FA747:FA747">IF(FA746=0,0,IF(FA746/'🎚️ Escenario'!$C$11&gt;=36,$AL$23,INDEX($C$23:$AL$23,MAX(1,ROUNDUP(FA746/'🎚️ Escenario'!$C$11,0)))))</f>
        <v>0.24</v>
      </c>
      <c r="FB747" s="9" t="n">
        <f aca="false" t="array" ref="FB747:FB747">IF(FB746=0,0,IF(FB746/'🎚️ Escenario'!$C$11&gt;=36,$AL$23,INDEX($C$23:$AL$23,MAX(1,ROUNDUP(FB746/'🎚️ Escenario'!$C$11,0)))))</f>
        <v>0.27</v>
      </c>
      <c r="FC747" s="9" t="n">
        <f aca="false" t="array" ref="FC747:FC747">IF(FC746=0,0,IF(FC746/'🎚️ Escenario'!$C$11&gt;=36,$AL$23,INDEX($C$23:$AL$23,MAX(1,ROUNDUP(FC746/'🎚️ Escenario'!$C$11,0)))))</f>
        <v>0.27</v>
      </c>
      <c r="FD747" s="9" t="n">
        <f aca="false" t="array" ref="FD747:FD747">IF(FD746=0,0,IF(FD746/'🎚️ Escenario'!$C$11&gt;=36,$AL$23,INDEX($C$23:$AL$23,MAX(1,ROUNDUP(FD746/'🎚️ Escenario'!$C$11,0)))))</f>
        <v>0.31</v>
      </c>
      <c r="FE747" s="9" t="n">
        <f aca="false" t="array" ref="FE747:FE747">IF(FE746=0,0,IF(FE746/'🎚️ Escenario'!$C$11&gt;=36,$AL$23,INDEX($C$23:$AL$23,MAX(1,ROUNDUP(FE746/'🎚️ Escenario'!$C$11,0)))))</f>
        <v>0.35</v>
      </c>
      <c r="FF747" s="9" t="n">
        <f aca="false" t="array" ref="FF747:FF747">IF(FF746=0,0,IF(FF746/'🎚️ Escenario'!$C$11&gt;=36,$AL$23,INDEX($C$23:$AL$23,MAX(1,ROUNDUP(FF746/'🎚️ Escenario'!$C$11,0)))))</f>
        <v>0.39</v>
      </c>
      <c r="FG747" s="9" t="n">
        <f aca="false" t="array" ref="FG747:FG747">IF(FG746=0,0,IF(FG746/'🎚️ Escenario'!$C$11&gt;=36,$AL$23,INDEX($C$23:$AL$23,MAX(1,ROUNDUP(FG746/'🎚️ Escenario'!$C$11,0)))))</f>
        <v>0.44</v>
      </c>
      <c r="FH747" s="9" t="n">
        <f aca="false" t="array" ref="FH747:FH747">IF(FH746=0,0,IF(FH746/'🎚️ Escenario'!$C$11&gt;=36,$AL$23,INDEX($C$23:$AL$23,MAX(1,ROUNDUP(FH746/'🎚️ Escenario'!$C$11,0)))))</f>
        <v>0.44</v>
      </c>
      <c r="FI747" s="9" t="n">
        <f aca="false" t="array" ref="FI747:FI747">IF(FI746=0,0,IF(FI746/'🎚️ Escenario'!$C$11&gt;=36,$AL$23,INDEX($C$23:$AL$23,MAX(1,ROUNDUP(FI746/'🎚️ Escenario'!$C$11,0)))))</f>
        <v>0.48</v>
      </c>
      <c r="FJ747" s="9" t="n">
        <f aca="false" t="array" ref="FJ747:FJ747">IF(FJ746=0,0,IF(FJ746/'🎚️ Escenario'!$C$11&gt;=36,$AL$23,INDEX($C$23:$AL$23,MAX(1,ROUNDUP(FJ746/'🎚️ Escenario'!$C$11,0)))))</f>
        <v>0.52</v>
      </c>
      <c r="FK747" s="9" t="n">
        <f aca="false" t="array" ref="FK747:FK747">IF(FK746=0,0,IF(FK746/'🎚️ Escenario'!$C$11&gt;=36,$AL$23,INDEX($C$23:$AL$23,MAX(1,ROUNDUP(FK746/'🎚️ Escenario'!$C$11,0)))))</f>
        <v>0.56</v>
      </c>
      <c r="FL747" s="9" t="n">
        <f aca="false" t="array" ref="FL747:FL747">IF(FL746=0,0,IF(FL746/'🎚️ Escenario'!$C$11&gt;=36,$AL$23,INDEX($C$23:$AL$23,MAX(1,ROUNDUP(FL746/'🎚️ Escenario'!$C$11,0)))))</f>
        <v>0.6</v>
      </c>
      <c r="FM747" s="9" t="n">
        <f aca="false" t="array" ref="FM747:FM747">IF(FM746=0,0,IF(FM746/'🎚️ Escenario'!$C$11&gt;=36,$AL$23,INDEX($C$23:$AL$23,MAX(1,ROUNDUP(FM746/'🎚️ Escenario'!$C$11,0)))))</f>
        <v>0.6</v>
      </c>
      <c r="FN747" s="9" t="n">
        <f aca="false" t="array" ref="FN747:FN747">IF(FN746=0,0,IF(FN746/'🎚️ Escenario'!$C$11&gt;=36,$AL$23,INDEX($C$23:$AL$23,MAX(1,ROUNDUP(FN746/'🎚️ Escenario'!$C$11,0)))))</f>
        <v>0.63</v>
      </c>
      <c r="FO747" s="9" t="n">
        <f aca="false" t="array" ref="FO747:FO747">IF(FO746=0,0,IF(FO746/'🎚️ Escenario'!$C$11&gt;=36,$AL$23,INDEX($C$23:$AL$23,MAX(1,ROUNDUP(FO746/'🎚️ Escenario'!$C$11,0)))))</f>
        <v>0.66</v>
      </c>
      <c r="FP747" s="9" t="n">
        <f aca="false" t="array" ref="FP747:FP747">IF(FP746=0,0,IF(FP746/'🎚️ Escenario'!$C$11&gt;=36,$AL$23,INDEX($C$23:$AL$23,MAX(1,ROUNDUP(FP746/'🎚️ Escenario'!$C$11,0)))))</f>
        <v>0.69</v>
      </c>
    </row>
    <row r="748" customFormat="false" ht="15" hidden="false" customHeight="false" outlineLevel="2" collapsed="false">
      <c r="B748" s="9" t="s">
        <v>875</v>
      </c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237" t="n">
        <f aca="false">IF(AC746=0,0,IF(AC746&lt;=12*'🎚️ Escenario'!$C$11,1,1+$C$6))</f>
        <v>0</v>
      </c>
      <c r="AD748" s="237" t="n">
        <f aca="false">IF(AD746=0,0,IF(AD746&lt;=12*'🎚️ Escenario'!$C$11,1,1+$C$6))</f>
        <v>0</v>
      </c>
      <c r="AE748" s="237" t="n">
        <f aca="false">IF(AE746=0,0,IF(AE746&lt;=12*'🎚️ Escenario'!$C$11,1,1+$C$6))</f>
        <v>0</v>
      </c>
      <c r="AF748" s="237" t="n">
        <f aca="false">IF(AF746=0,0,IF(AF746&lt;=12*'🎚️ Escenario'!$C$11,1,1+$C$6))</f>
        <v>0</v>
      </c>
      <c r="AG748" s="237" t="n">
        <f aca="false">IF(AG746=0,0,IF(AG746&lt;=12*'🎚️ Escenario'!$C$11,1,1+$C$6))</f>
        <v>0</v>
      </c>
      <c r="AH748" s="237" t="n">
        <f aca="false">IF(AH746=0,0,IF(AH746&lt;=12*'🎚️ Escenario'!$C$11,1,1+$C$6))</f>
        <v>0</v>
      </c>
      <c r="AI748" s="237" t="n">
        <f aca="false">IF(AI746=0,0,IF(AI746&lt;=12*'🎚️ Escenario'!$C$11,1,1+$C$6))</f>
        <v>0</v>
      </c>
      <c r="AJ748" s="237" t="n">
        <f aca="false">IF(AJ746=0,0,IF(AJ746&lt;=12*'🎚️ Escenario'!$C$11,1,1+$C$6))</f>
        <v>0</v>
      </c>
      <c r="AK748" s="237" t="n">
        <f aca="false">IF(AK746=0,0,IF(AK746&lt;=12*'🎚️ Escenario'!$C$11,1,1+$C$6))</f>
        <v>0</v>
      </c>
      <c r="AL748" s="237" t="n">
        <f aca="false">IF(AL746=0,0,IF(AL746&lt;=12*'🎚️ Escenario'!$C$11,1,1+$C$6))</f>
        <v>0</v>
      </c>
      <c r="AM748" s="237" t="n">
        <f aca="false">IF(AM746=0,0,IF(AM746&lt;=12*'🎚️ Escenario'!$C$11,1,1+$C$6))</f>
        <v>0</v>
      </c>
      <c r="AN748" s="237" t="n">
        <f aca="false">IF(AN746=0,0,IF(AN746&lt;=12*'🎚️ Escenario'!$C$11,1,1+$C$6))</f>
        <v>0</v>
      </c>
      <c r="AO748" s="237" t="n">
        <f aca="false">IF(AO746=0,0,IF(AO746&lt;=12*'🎚️ Escenario'!$C$11,1,1+$C$6))</f>
        <v>0</v>
      </c>
      <c r="AP748" s="237" t="n">
        <f aca="false">IF(AP746=0,0,IF(AP746&lt;=12*'🎚️ Escenario'!$C$11,1,1+$C$6))</f>
        <v>0</v>
      </c>
      <c r="AQ748" s="237" t="n">
        <f aca="false">IF(AQ746=0,0,IF(AQ746&lt;=12*'🎚️ Escenario'!$C$11,1,1+$C$6))</f>
        <v>0</v>
      </c>
      <c r="AR748" s="237" t="n">
        <f aca="false">IF(AR746=0,0,IF(AR746&lt;=12*'🎚️ Escenario'!$C$11,1,1+$C$6))</f>
        <v>0</v>
      </c>
      <c r="AS748" s="237" t="n">
        <f aca="false">IF(AS746=0,0,IF(AS746&lt;=12*'🎚️ Escenario'!$C$11,1,1+$C$6))</f>
        <v>0</v>
      </c>
      <c r="AT748" s="237" t="n">
        <f aca="false">IF(AT746=0,0,IF(AT746&lt;=12*'🎚️ Escenario'!$C$11,1,1+$C$6))</f>
        <v>0</v>
      </c>
      <c r="AU748" s="237" t="n">
        <f aca="false">IF(AU746=0,0,IF(AU746&lt;=12*'🎚️ Escenario'!$C$11,1,1+$C$6))</f>
        <v>0</v>
      </c>
      <c r="AV748" s="237" t="n">
        <f aca="false">IF(AV746=0,0,IF(AV746&lt;=12*'🎚️ Escenario'!$C$11,1,1+$C$6))</f>
        <v>0</v>
      </c>
      <c r="AW748" s="237" t="n">
        <f aca="false">IF(AW746=0,0,IF(AW746&lt;=12*'🎚️ Escenario'!$C$11,1,1+$C$6))</f>
        <v>0</v>
      </c>
      <c r="AX748" s="237" t="n">
        <f aca="false">IF(AX746=0,0,IF(AX746&lt;=12*'🎚️ Escenario'!$C$11,1,1+$C$6))</f>
        <v>0</v>
      </c>
      <c r="AY748" s="237" t="n">
        <f aca="false">IF(AY746=0,0,IF(AY746&lt;=12*'🎚️ Escenario'!$C$11,1,1+$C$6))</f>
        <v>0</v>
      </c>
      <c r="AZ748" s="237" t="n">
        <f aca="false">IF(AZ746=0,0,IF(AZ746&lt;=12*'🎚️ Escenario'!$C$11,1,1+$C$6))</f>
        <v>0</v>
      </c>
      <c r="BA748" s="237" t="n">
        <f aca="false">IF(BA746=0,0,IF(BA746&lt;=12*'🎚️ Escenario'!$C$11,1,1+$C$6))</f>
        <v>0</v>
      </c>
      <c r="BB748" s="237" t="n">
        <f aca="false">IF(BB746=0,0,IF(BB746&lt;=12*'🎚️ Escenario'!$C$11,1,1+$C$6))</f>
        <v>0</v>
      </c>
      <c r="BC748" s="237" t="n">
        <f aca="false">IF(BC746=0,0,IF(BC746&lt;=12*'🎚️ Escenario'!$C$11,1,1+$C$6))</f>
        <v>0</v>
      </c>
      <c r="BD748" s="237" t="n">
        <f aca="false">IF(BD746=0,0,IF(BD746&lt;=12*'🎚️ Escenario'!$C$11,1,1+$C$6))</f>
        <v>0</v>
      </c>
      <c r="BE748" s="237" t="n">
        <f aca="false">IF(BE746=0,0,IF(BE746&lt;=12*'🎚️ Escenario'!$C$11,1,1+$C$6))</f>
        <v>0</v>
      </c>
      <c r="BF748" s="237" t="n">
        <f aca="false">IF(BF746=0,0,IF(BF746&lt;=12*'🎚️ Escenario'!$C$11,1,1+$C$6))</f>
        <v>0</v>
      </c>
      <c r="BG748" s="237" t="n">
        <f aca="false">IF(BG746=0,0,IF(BG746&lt;=12*'🎚️ Escenario'!$C$11,1,1+$C$6))</f>
        <v>0</v>
      </c>
      <c r="BH748" s="237" t="n">
        <f aca="false">IF(BH746=0,0,IF(BH746&lt;=12*'🎚️ Escenario'!$C$11,1,1+$C$6))</f>
        <v>0</v>
      </c>
      <c r="BI748" s="237" t="n">
        <f aca="false">IF(BI746=0,0,IF(BI746&lt;=12*'🎚️ Escenario'!$C$11,1,1+$C$6))</f>
        <v>0</v>
      </c>
      <c r="BJ748" s="237" t="n">
        <f aca="false">IF(BJ746=0,0,IF(BJ746&lt;=12*'🎚️ Escenario'!$C$11,1,1+$C$6))</f>
        <v>0</v>
      </c>
      <c r="BK748" s="237" t="n">
        <f aca="false">IF(BK746=0,0,IF(BK746&lt;=12*'🎚️ Escenario'!$C$11,1,1+$C$6))</f>
        <v>0</v>
      </c>
      <c r="BL748" s="237" t="n">
        <f aca="false">IF(BL746=0,0,IF(BL746&lt;=12*'🎚️ Escenario'!$C$11,1,1+$C$6))</f>
        <v>0</v>
      </c>
      <c r="BM748" s="237" t="n">
        <f aca="false">IF(BM746=0,0,IF(BM746&lt;=12*'🎚️ Escenario'!$C$11,1,1+$C$6))</f>
        <v>0</v>
      </c>
      <c r="BN748" s="237" t="n">
        <f aca="false">IF(BN746=0,0,IF(BN746&lt;=12*'🎚️ Escenario'!$C$11,1,1+$C$6))</f>
        <v>0</v>
      </c>
      <c r="BO748" s="237" t="n">
        <f aca="false">IF(BO746=0,0,IF(BO746&lt;=12*'🎚️ Escenario'!$C$11,1,1+$C$6))</f>
        <v>0</v>
      </c>
      <c r="BP748" s="237" t="n">
        <f aca="false">IF(BP746=0,0,IF(BP746&lt;=12*'🎚️ Escenario'!$C$11,1,1+$C$6))</f>
        <v>0</v>
      </c>
      <c r="BQ748" s="237" t="n">
        <f aca="false">IF(BQ746=0,0,IF(BQ746&lt;=12*'🎚️ Escenario'!$C$11,1,1+$C$6))</f>
        <v>0</v>
      </c>
      <c r="BR748" s="237" t="n">
        <f aca="false">IF(BR746=0,0,IF(BR746&lt;=12*'🎚️ Escenario'!$C$11,1,1+$C$6))</f>
        <v>0</v>
      </c>
      <c r="BS748" s="237" t="n">
        <f aca="false">IF(BS746=0,0,IF(BS746&lt;=12*'🎚️ Escenario'!$C$11,1,1+$C$6))</f>
        <v>0</v>
      </c>
      <c r="BT748" s="237" t="n">
        <f aca="false">IF(BT746=0,0,IF(BT746&lt;=12*'🎚️ Escenario'!$C$11,1,1+$C$6))</f>
        <v>0</v>
      </c>
      <c r="BU748" s="237" t="n">
        <f aca="false">IF(BU746=0,0,IF(BU746&lt;=12*'🎚️ Escenario'!$C$11,1,1+$C$6))</f>
        <v>0</v>
      </c>
      <c r="BV748" s="237" t="n">
        <f aca="false">IF(BV746=0,0,IF(BV746&lt;=12*'🎚️ Escenario'!$C$11,1,1+$C$6))</f>
        <v>0</v>
      </c>
      <c r="BW748" s="237" t="n">
        <f aca="false">IF(BW746=0,0,IF(BW746&lt;=12*'🎚️ Escenario'!$C$11,1,1+$C$6))</f>
        <v>0</v>
      </c>
      <c r="BX748" s="237" t="n">
        <f aca="false">IF(BX746=0,0,IF(BX746&lt;=12*'🎚️ Escenario'!$C$11,1,1+$C$6))</f>
        <v>0</v>
      </c>
      <c r="BY748" s="237" t="n">
        <f aca="false">IF(BY746=0,0,IF(BY746&lt;=12*'🎚️ Escenario'!$C$11,1,1+$C$6))</f>
        <v>0</v>
      </c>
      <c r="BZ748" s="237" t="n">
        <f aca="false">IF(BZ746=0,0,IF(BZ746&lt;=12*'🎚️ Escenario'!$C$11,1,1+$C$6))</f>
        <v>0</v>
      </c>
      <c r="CA748" s="237" t="n">
        <f aca="false">IF(CA746=0,0,IF(CA746&lt;=12*'🎚️ Escenario'!$C$11,1,1+$C$6))</f>
        <v>0</v>
      </c>
      <c r="CB748" s="237" t="n">
        <f aca="false">IF(CB746=0,0,IF(CB746&lt;=12*'🎚️ Escenario'!$C$11,1,1+$C$6))</f>
        <v>0</v>
      </c>
      <c r="CC748" s="237" t="n">
        <f aca="false">IF(CC746=0,0,IF(CC746&lt;=12*'🎚️ Escenario'!$C$11,1,1+$C$6))</f>
        <v>0</v>
      </c>
      <c r="CD748" s="237" t="n">
        <f aca="false">IF(CD746=0,0,IF(CD746&lt;=12*'🎚️ Escenario'!$C$11,1,1+$C$6))</f>
        <v>0</v>
      </c>
      <c r="CE748" s="237" t="n">
        <f aca="false">IF(CE746=0,0,IF(CE746&lt;=12*'🎚️ Escenario'!$C$11,1,1+$C$6))</f>
        <v>0</v>
      </c>
      <c r="CF748" s="237" t="n">
        <f aca="false">IF(CF746=0,0,IF(CF746&lt;=12*'🎚️ Escenario'!$C$11,1,1+$C$6))</f>
        <v>0</v>
      </c>
      <c r="CG748" s="237" t="n">
        <f aca="false">IF(CG746=0,0,IF(CG746&lt;=12*'🎚️ Escenario'!$C$11,1,1+$C$6))</f>
        <v>0</v>
      </c>
      <c r="CH748" s="237" t="n">
        <f aca="false">IF(CH746=0,0,IF(CH746&lt;=12*'🎚️ Escenario'!$C$11,1,1+$C$6))</f>
        <v>0</v>
      </c>
      <c r="CI748" s="237" t="n">
        <f aca="false">IF(CI746=0,0,IF(CI746&lt;=12*'🎚️ Escenario'!$C$11,1,1+$C$6))</f>
        <v>0</v>
      </c>
      <c r="CJ748" s="237" t="n">
        <f aca="false">IF(CJ746=0,0,IF(CJ746&lt;=12*'🎚️ Escenario'!$C$11,1,1+$C$6))</f>
        <v>0</v>
      </c>
      <c r="CK748" s="237" t="n">
        <f aca="false">IF(CK746=0,0,IF(CK746&lt;=12*'🎚️ Escenario'!$C$11,1,1+$C$6))</f>
        <v>0</v>
      </c>
      <c r="CL748" s="237" t="n">
        <f aca="false">IF(CL746=0,0,IF(CL746&lt;=12*'🎚️ Escenario'!$C$11,1,1+$C$6))</f>
        <v>0</v>
      </c>
      <c r="CM748" s="237" t="n">
        <f aca="false">IF(CM746=0,0,IF(CM746&lt;=12*'🎚️ Escenario'!$C$11,1,1+$C$6))</f>
        <v>0</v>
      </c>
      <c r="CN748" s="237" t="n">
        <f aca="false">IF(CN746=0,0,IF(CN746&lt;=12*'🎚️ Escenario'!$C$11,1,1+$C$6))</f>
        <v>0</v>
      </c>
      <c r="CO748" s="237" t="n">
        <f aca="false">IF(CO746=0,0,IF(CO746&lt;=12*'🎚️ Escenario'!$C$11,1,1+$C$6))</f>
        <v>0</v>
      </c>
      <c r="CP748" s="237" t="n">
        <f aca="false">IF(CP746=0,0,IF(CP746&lt;=12*'🎚️ Escenario'!$C$11,1,1+$C$6))</f>
        <v>0</v>
      </c>
      <c r="CQ748" s="237" t="n">
        <f aca="false">IF(CQ746=0,0,IF(CQ746&lt;=12*'🎚️ Escenario'!$C$11,1,1+$C$6))</f>
        <v>0</v>
      </c>
      <c r="CR748" s="237" t="n">
        <f aca="false">IF(CR746=0,0,IF(CR746&lt;=12*'🎚️ Escenario'!$C$11,1,1+$C$6))</f>
        <v>0</v>
      </c>
      <c r="CS748" s="237" t="n">
        <f aca="false">IF(CS746=0,0,IF(CS746&lt;=12*'🎚️ Escenario'!$C$11,1,1+$C$6))</f>
        <v>0</v>
      </c>
      <c r="CT748" s="237" t="n">
        <f aca="false">IF(CT746=0,0,IF(CT746&lt;=12*'🎚️ Escenario'!$C$11,1,1+$C$6))</f>
        <v>0</v>
      </c>
      <c r="CU748" s="237" t="n">
        <f aca="false">IF(CU746=0,0,IF(CU746&lt;=12*'🎚️ Escenario'!$C$11,1,1+$C$6))</f>
        <v>0</v>
      </c>
      <c r="CV748" s="237" t="n">
        <f aca="false">IF(CV746=0,0,IF(CV746&lt;=12*'🎚️ Escenario'!$C$11,1,1+$C$6))</f>
        <v>0</v>
      </c>
      <c r="CW748" s="237" t="n">
        <f aca="false">IF(CW746=0,0,IF(CW746&lt;=12*'🎚️ Escenario'!$C$11,1,1+$C$6))</f>
        <v>0</v>
      </c>
      <c r="CX748" s="237" t="n">
        <f aca="false">IF(CX746=0,0,IF(CX746&lt;=12*'🎚️ Escenario'!$C$11,1,1+$C$6))</f>
        <v>0</v>
      </c>
      <c r="CY748" s="237" t="n">
        <f aca="false">IF(CY746=0,0,IF(CY746&lt;=12*'🎚️ Escenario'!$C$11,1,1+$C$6))</f>
        <v>0</v>
      </c>
      <c r="CZ748" s="237" t="n">
        <f aca="false">IF(CZ746=0,0,IF(CZ746&lt;=12*'🎚️ Escenario'!$C$11,1,1+$C$6))</f>
        <v>0</v>
      </c>
      <c r="DA748" s="237" t="n">
        <f aca="false">IF(DA746=0,0,IF(DA746&lt;=12*'🎚️ Escenario'!$C$11,1,1+$C$6))</f>
        <v>0</v>
      </c>
      <c r="DB748" s="237" t="n">
        <f aca="false">IF(DB746=0,0,IF(DB746&lt;=12*'🎚️ Escenario'!$C$11,1,1+$C$6))</f>
        <v>0</v>
      </c>
      <c r="DC748" s="237" t="n">
        <f aca="false">IF(DC746=0,0,IF(DC746&lt;=12*'🎚️ Escenario'!$C$11,1,1+$C$6))</f>
        <v>0</v>
      </c>
      <c r="DD748" s="237" t="n">
        <f aca="false">IF(DD746=0,0,IF(DD746&lt;=12*'🎚️ Escenario'!$C$11,1,1+$C$6))</f>
        <v>0</v>
      </c>
      <c r="DE748" s="237" t="n">
        <f aca="false">IF(DE746=0,0,IF(DE746&lt;=12*'🎚️ Escenario'!$C$11,1,1+$C$6))</f>
        <v>0</v>
      </c>
      <c r="DF748" s="237" t="n">
        <f aca="false">IF(DF746=0,0,IF(DF746&lt;=12*'🎚️ Escenario'!$C$11,1,1+$C$6))</f>
        <v>0</v>
      </c>
      <c r="DG748" s="237" t="n">
        <f aca="false">IF(DG746=0,0,IF(DG746&lt;=12*'🎚️ Escenario'!$C$11,1,1+$C$6))</f>
        <v>0</v>
      </c>
      <c r="DH748" s="237" t="n">
        <f aca="false">IF(DH746=0,0,IF(DH746&lt;=12*'🎚️ Escenario'!$C$11,1,1+$C$6))</f>
        <v>0</v>
      </c>
      <c r="DI748" s="237" t="n">
        <f aca="false">IF(DI746=0,0,IF(DI746&lt;=12*'🎚️ Escenario'!$C$11,1,1+$C$6))</f>
        <v>0</v>
      </c>
      <c r="DJ748" s="237" t="n">
        <f aca="false">IF(DJ746=0,0,IF(DJ746&lt;=12*'🎚️ Escenario'!$C$11,1,1+$C$6))</f>
        <v>0</v>
      </c>
      <c r="DK748" s="237" t="n">
        <f aca="false">IF(DK746=0,0,IF(DK746&lt;=12*'🎚️ Escenario'!$C$11,1,1+$C$6))</f>
        <v>0</v>
      </c>
      <c r="DL748" s="237" t="n">
        <f aca="false">IF(DL746=0,0,IF(DL746&lt;=12*'🎚️ Escenario'!$C$11,1,1+$C$6))</f>
        <v>0</v>
      </c>
      <c r="DM748" s="237" t="n">
        <f aca="false">IF(DM746=0,0,IF(DM746&lt;=12*'🎚️ Escenario'!$C$11,1,1+$C$6))</f>
        <v>0</v>
      </c>
      <c r="DN748" s="237" t="n">
        <f aca="false">IF(DN746=0,0,IF(DN746&lt;=12*'🎚️ Escenario'!$C$11,1,1+$C$6))</f>
        <v>0</v>
      </c>
      <c r="DO748" s="237" t="n">
        <f aca="false">IF(DO746=0,0,IF(DO746&lt;=12*'🎚️ Escenario'!$C$11,1,1+$C$6))</f>
        <v>0</v>
      </c>
      <c r="DP748" s="237" t="n">
        <f aca="false">IF(DP746=0,0,IF(DP746&lt;=12*'🎚️ Escenario'!$C$11,1,1+$C$6))</f>
        <v>0</v>
      </c>
      <c r="DQ748" s="237" t="n">
        <f aca="false">IF(DQ746=0,0,IF(DQ746&lt;=12*'🎚️ Escenario'!$C$11,1,1+$C$6))</f>
        <v>0</v>
      </c>
      <c r="DR748" s="237" t="n">
        <f aca="false">IF(DR746=0,0,IF(DR746&lt;=12*'🎚️ Escenario'!$C$11,1,1+$C$6))</f>
        <v>0</v>
      </c>
      <c r="DS748" s="237" t="n">
        <f aca="false">IF(DS746=0,0,IF(DS746&lt;=12*'🎚️ Escenario'!$C$11,1,1+$C$6))</f>
        <v>0</v>
      </c>
      <c r="DT748" s="237" t="n">
        <f aca="false">IF(DT746=0,0,IF(DT746&lt;=12*'🎚️ Escenario'!$C$11,1,1+$C$6))</f>
        <v>0</v>
      </c>
      <c r="DU748" s="237" t="n">
        <f aca="false">IF(DU746=0,0,IF(DU746&lt;=12*'🎚️ Escenario'!$C$11,1,1+$C$6))</f>
        <v>0</v>
      </c>
      <c r="DV748" s="237" t="n">
        <f aca="false">IF(DV746=0,0,IF(DV746&lt;=12*'🎚️ Escenario'!$C$11,1,1+$C$6))</f>
        <v>0</v>
      </c>
      <c r="DW748" s="237" t="n">
        <f aca="false">IF(DW746=0,0,IF(DW746&lt;=12*'🎚️ Escenario'!$C$11,1,1+$C$6))</f>
        <v>0</v>
      </c>
      <c r="DX748" s="237" t="n">
        <f aca="false">IF(DX746=0,0,IF(DX746&lt;=12*'🎚️ Escenario'!$C$11,1,1+$C$6))</f>
        <v>0</v>
      </c>
      <c r="DY748" s="237" t="n">
        <f aca="false">IF(DY746=0,0,IF(DY746&lt;=12*'🎚️ Escenario'!$C$11,1,1+$C$6))</f>
        <v>0</v>
      </c>
      <c r="DZ748" s="237" t="n">
        <f aca="false">IF(DZ746=0,0,IF(DZ746&lt;=12*'🎚️ Escenario'!$C$11,1,1+$C$6))</f>
        <v>0</v>
      </c>
      <c r="EA748" s="237" t="n">
        <f aca="false">IF(EA746=0,0,IF(EA746&lt;=12*'🎚️ Escenario'!$C$11,1,1+$C$6))</f>
        <v>0</v>
      </c>
      <c r="EB748" s="237" t="n">
        <f aca="false">IF(EB746=0,0,IF(EB746&lt;=12*'🎚️ Escenario'!$C$11,1,1+$C$6))</f>
        <v>0</v>
      </c>
      <c r="EC748" s="237" t="n">
        <f aca="false">IF(EC746=0,0,IF(EC746&lt;=12*'🎚️ Escenario'!$C$11,1,1+$C$6))</f>
        <v>0</v>
      </c>
      <c r="ED748" s="237" t="n">
        <f aca="false">IF(ED746=0,0,IF(ED746&lt;=12*'🎚️ Escenario'!$C$11,1,1+$C$6))</f>
        <v>0</v>
      </c>
      <c r="EE748" s="237" t="n">
        <f aca="false">IF(EE746=0,0,IF(EE746&lt;=12*'🎚️ Escenario'!$C$11,1,1+$C$6))</f>
        <v>0</v>
      </c>
      <c r="EF748" s="237" t="n">
        <f aca="false">IF(EF746=0,0,IF(EF746&lt;=12*'🎚️ Escenario'!$C$11,1,1+$C$6))</f>
        <v>0</v>
      </c>
      <c r="EG748" s="237" t="n">
        <f aca="false">IF(EG746=0,0,IF(EG746&lt;=12*'🎚️ Escenario'!$C$11,1,1+$C$6))</f>
        <v>0</v>
      </c>
      <c r="EH748" s="237" t="n">
        <f aca="false">IF(EH746=0,0,IF(EH746&lt;=12*'🎚️ Escenario'!$C$11,1,1+$C$6))</f>
        <v>0</v>
      </c>
      <c r="EI748" s="237" t="n">
        <f aca="false">IF(EI746=0,0,IF(EI746&lt;=12*'🎚️ Escenario'!$C$11,1,1+$C$6))</f>
        <v>0</v>
      </c>
      <c r="EJ748" s="237" t="n">
        <f aca="false">IF(EJ746=0,0,IF(EJ746&lt;=12*'🎚️ Escenario'!$C$11,1,1+$C$6))</f>
        <v>0</v>
      </c>
      <c r="EK748" s="237" t="n">
        <f aca="false">IF(EK746=0,0,IF(EK746&lt;=12*'🎚️ Escenario'!$C$11,1,1+$C$6))</f>
        <v>0</v>
      </c>
      <c r="EL748" s="237" t="n">
        <f aca="false">IF(EL746=0,0,IF(EL746&lt;=12*'🎚️ Escenario'!$C$11,1,1+$C$6))</f>
        <v>0</v>
      </c>
      <c r="EM748" s="237" t="n">
        <f aca="false">IF(EM746=0,0,IF(EM746&lt;=12*'🎚️ Escenario'!$C$11,1,1+$C$6))</f>
        <v>0</v>
      </c>
      <c r="EN748" s="237" t="n">
        <f aca="false">IF(EN746=0,0,IF(EN746&lt;=12*'🎚️ Escenario'!$C$11,1,1+$C$6))</f>
        <v>0</v>
      </c>
      <c r="EO748" s="237" t="n">
        <f aca="false">IF(EO746=0,0,IF(EO746&lt;=12*'🎚️ Escenario'!$C$11,1,1+$C$6))</f>
        <v>0</v>
      </c>
      <c r="EP748" s="237" t="n">
        <f aca="false">IF(EP746=0,0,IF(EP746&lt;=12*'🎚️ Escenario'!$C$11,1,1+$C$6))</f>
        <v>0</v>
      </c>
      <c r="EQ748" s="237" t="n">
        <f aca="false">IF(EQ746=0,0,IF(EQ746&lt;=12*'🎚️ Escenario'!$C$11,1,1+$C$6))</f>
        <v>0</v>
      </c>
      <c r="ER748" s="237" t="n">
        <f aca="false">IF(ER746=0,0,IF(ER746&lt;=12*'🎚️ Escenario'!$C$11,1,1+$C$6))</f>
        <v>0</v>
      </c>
      <c r="ES748" s="9" t="n">
        <f aca="false">IF(ES746=0,0,IF(ES746&lt;=12*'🎚️ Escenario'!$C$11,1,1+$C$6))</f>
        <v>0</v>
      </c>
      <c r="ET748" s="9" t="n">
        <f aca="false">IF(ET746=0,0,IF(ET746&lt;=12*'🎚️ Escenario'!$C$11,1,1+$C$6))</f>
        <v>0</v>
      </c>
      <c r="EU748" s="9" t="n">
        <f aca="false">IF(EU746=0,0,IF(EU746&lt;=12*'🎚️ Escenario'!$C$11,1,1+$C$6))</f>
        <v>0</v>
      </c>
      <c r="EV748" s="9" t="n">
        <f aca="false">IF(EV746=0,0,IF(EV746&lt;=12*'🎚️ Escenario'!$C$11,1,1+$C$6))</f>
        <v>0</v>
      </c>
      <c r="EW748" s="9" t="n">
        <f aca="false">IF(EW746=0,0,IF(EW746&lt;=12*'🎚️ Escenario'!$C$11,1,1+$C$6))</f>
        <v>0</v>
      </c>
      <c r="EX748" s="9" t="n">
        <f aca="false">IF(EX746=0,0,IF(EX746&lt;=12*'🎚️ Escenario'!$C$11,1,1+$C$6))</f>
        <v>0</v>
      </c>
      <c r="EY748" s="9" t="n">
        <f aca="false">IF(EY746=0,0,IF(EY746&lt;=12*'🎚️ Escenario'!$C$11,1,1+$C$6))</f>
        <v>1</v>
      </c>
      <c r="EZ748" s="9" t="n">
        <f aca="false">IF(EZ746=0,0,IF(EZ746&lt;=12*'🎚️ Escenario'!$C$11,1,1+$C$6))</f>
        <v>1</v>
      </c>
      <c r="FA748" s="9" t="n">
        <f aca="false">IF(FA746=0,0,IF(FA746&lt;=12*'🎚️ Escenario'!$C$11,1,1+$C$6))</f>
        <v>1</v>
      </c>
      <c r="FB748" s="9" t="n">
        <f aca="false">IF(FB746=0,0,IF(FB746&lt;=12*'🎚️ Escenario'!$C$11,1,1+$C$6))</f>
        <v>1</v>
      </c>
      <c r="FC748" s="9" t="n">
        <f aca="false">IF(FC746=0,0,IF(FC746&lt;=12*'🎚️ Escenario'!$C$11,1,1+$C$6))</f>
        <v>1</v>
      </c>
      <c r="FD748" s="9" t="n">
        <f aca="false">IF(FD746=0,0,IF(FD746&lt;=12*'🎚️ Escenario'!$C$11,1,1+$C$6))</f>
        <v>1</v>
      </c>
      <c r="FE748" s="9" t="n">
        <f aca="false">IF(FE746=0,0,IF(FE746&lt;=12*'🎚️ Escenario'!$C$11,1,1+$C$6))</f>
        <v>1</v>
      </c>
      <c r="FF748" s="9" t="n">
        <f aca="false">IF(FF746=0,0,IF(FF746&lt;=12*'🎚️ Escenario'!$C$11,1,1+$C$6))</f>
        <v>1</v>
      </c>
      <c r="FG748" s="9" t="n">
        <f aca="false">IF(FG746=0,0,IF(FG746&lt;=12*'🎚️ Escenario'!$C$11,1,1+$C$6))</f>
        <v>1</v>
      </c>
      <c r="FH748" s="9" t="n">
        <f aca="false">IF(FH746=0,0,IF(FH746&lt;=12*'🎚️ Escenario'!$C$11,1,1+$C$6))</f>
        <v>1</v>
      </c>
      <c r="FI748" s="9" t="n">
        <f aca="false">IF(FI746=0,0,IF(FI746&lt;=12*'🎚️ Escenario'!$C$11,1,1+$C$6))</f>
        <v>1</v>
      </c>
      <c r="FJ748" s="9" t="n">
        <f aca="false">IF(FJ746=0,0,IF(FJ746&lt;=12*'🎚️ Escenario'!$C$11,1,1+$C$6))</f>
        <v>1</v>
      </c>
      <c r="FK748" s="9" t="n">
        <f aca="false">IF(FK746=0,0,IF(FK746&lt;=12*'🎚️ Escenario'!$C$11,1,1+$C$6))</f>
        <v>1</v>
      </c>
      <c r="FL748" s="9" t="n">
        <f aca="false">IF(FL746=0,0,IF(FL746&lt;=12*'🎚️ Escenario'!$C$11,1,1+$C$6))</f>
        <v>1</v>
      </c>
      <c r="FM748" s="9" t="n">
        <f aca="false">IF(FM746=0,0,IF(FM746&lt;=12*'🎚️ Escenario'!$C$11,1,1+$C$6))</f>
        <v>1</v>
      </c>
      <c r="FN748" s="238" t="n">
        <f aca="false">IF(FN746=0,0,IF(FN746&lt;=12*'🎚️ Escenario'!$C$11,1,1+$C$6))</f>
        <v>1.2</v>
      </c>
      <c r="FO748" s="238" t="n">
        <f aca="false">IF(FO746=0,0,IF(FO746&lt;=12*'🎚️ Escenario'!$C$11,1,1+$C$6))</f>
        <v>1.2</v>
      </c>
      <c r="FP748" s="238" t="n">
        <f aca="false">IF(FP746=0,0,IF(FP746&lt;=12*'🎚️ Escenario'!$C$11,1,1+$C$6))</f>
        <v>1.2</v>
      </c>
    </row>
    <row r="749" customFormat="false" ht="15" hidden="false" customHeight="false" outlineLevel="2" collapsed="false">
      <c r="B749" s="9" t="s">
        <v>876</v>
      </c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36" t="n">
        <f aca="false">AC747*$AC$745*AC748*AC$38*'⑫ Roll-out Plan'!$O$79</f>
        <v>0</v>
      </c>
      <c r="AD749" s="36" t="n">
        <f aca="false">AD747*$AC$745*AD748*AD$38*'⑫ Roll-out Plan'!$O$79</f>
        <v>0</v>
      </c>
      <c r="AE749" s="36" t="n">
        <f aca="false">AE747*$AC$745*AE748*AE$38*'⑫ Roll-out Plan'!$O$79</f>
        <v>0</v>
      </c>
      <c r="AF749" s="36" t="n">
        <f aca="false">AF747*$AC$745*AF748*AF$38*'⑫ Roll-out Plan'!$O$79</f>
        <v>0</v>
      </c>
      <c r="AG749" s="36" t="n">
        <f aca="false">AG747*$AC$745*AG748*AG$38*'⑫ Roll-out Plan'!$O$79</f>
        <v>0</v>
      </c>
      <c r="AH749" s="36" t="n">
        <f aca="false">AH747*$AC$745*AH748*AH$38*'⑫ Roll-out Plan'!$O$79</f>
        <v>0</v>
      </c>
      <c r="AI749" s="36" t="n">
        <f aca="false">AI747*$AC$745*AI748*AI$38*'⑫ Roll-out Plan'!$O$79</f>
        <v>0</v>
      </c>
      <c r="AJ749" s="36" t="n">
        <f aca="false">AJ747*$AC$745*AJ748*AJ$38*'⑫ Roll-out Plan'!$O$79</f>
        <v>0</v>
      </c>
      <c r="AK749" s="36" t="n">
        <f aca="false">AK747*$AC$745*AK748*AK$38*'⑫ Roll-out Plan'!$O$79</f>
        <v>0</v>
      </c>
      <c r="AL749" s="36" t="n">
        <f aca="false">AL747*$AC$745*AL748*AL$38*'⑫ Roll-out Plan'!$O$79</f>
        <v>0</v>
      </c>
      <c r="AM749" s="36" t="n">
        <f aca="false">AM747*$AC$745*AM748*AM$38*'⑫ Roll-out Plan'!$O$79</f>
        <v>0</v>
      </c>
      <c r="AN749" s="36" t="n">
        <f aca="false">AN747*$AC$745*AN748*AN$38*'⑫ Roll-out Plan'!$O$79</f>
        <v>0</v>
      </c>
      <c r="AO749" s="36" t="n">
        <f aca="false">AO747*$AC$745*AO748*AO$38*'⑫ Roll-out Plan'!$O$79</f>
        <v>0</v>
      </c>
      <c r="AP749" s="36" t="n">
        <f aca="false">AP747*$AC$745*AP748*AP$38*'⑫ Roll-out Plan'!$O$79</f>
        <v>0</v>
      </c>
      <c r="AQ749" s="36" t="n">
        <f aca="false">AQ747*$AC$745*AQ748*AQ$38*'⑫ Roll-out Plan'!$O$79</f>
        <v>0</v>
      </c>
      <c r="AR749" s="36" t="n">
        <f aca="false">AR747*$AC$745*AR748*AR$38*'⑫ Roll-out Plan'!$O$79</f>
        <v>0</v>
      </c>
      <c r="AS749" s="36" t="n">
        <f aca="false">AS747*$AC$745*AS748*AS$38*'⑫ Roll-out Plan'!$O$79</f>
        <v>0</v>
      </c>
      <c r="AT749" s="36" t="n">
        <f aca="false">AT747*$AC$745*AT748*AT$38*'⑫ Roll-out Plan'!$O$79</f>
        <v>0</v>
      </c>
      <c r="AU749" s="36" t="n">
        <f aca="false">AU747*$AC$745*AU748*AU$38*'⑫ Roll-out Plan'!$O$79</f>
        <v>0</v>
      </c>
      <c r="AV749" s="36" t="n">
        <f aca="false">AV747*$AC$745*AV748*AV$38*'⑫ Roll-out Plan'!$O$79</f>
        <v>0</v>
      </c>
      <c r="AW749" s="36" t="n">
        <f aca="false">AW747*$AC$745*AW748*AW$38*'⑫ Roll-out Plan'!$O$79</f>
        <v>0</v>
      </c>
      <c r="AX749" s="36" t="n">
        <f aca="false">AX747*$AC$745*AX748*AX$38*'⑫ Roll-out Plan'!$O$79</f>
        <v>0</v>
      </c>
      <c r="AY749" s="36" t="n">
        <f aca="false">AY747*$AC$745*AY748*AY$38*'⑫ Roll-out Plan'!$O$79</f>
        <v>0</v>
      </c>
      <c r="AZ749" s="36" t="n">
        <f aca="false">AZ747*$AC$745*AZ748*AZ$38*'⑫ Roll-out Plan'!$O$79</f>
        <v>0</v>
      </c>
      <c r="BA749" s="36" t="n">
        <f aca="false">BA747*$AC$745*BA748*BA$38*'⑫ Roll-out Plan'!$O$79</f>
        <v>0</v>
      </c>
      <c r="BB749" s="36" t="n">
        <f aca="false">BB747*$AC$745*BB748*BB$38*'⑫ Roll-out Plan'!$O$79</f>
        <v>0</v>
      </c>
      <c r="BC749" s="36" t="n">
        <f aca="false">BC747*$AC$745*BC748*BC$38*'⑫ Roll-out Plan'!$O$79</f>
        <v>0</v>
      </c>
      <c r="BD749" s="36" t="n">
        <f aca="false">BD747*$AC$745*BD748*BD$38*'⑫ Roll-out Plan'!$O$79</f>
        <v>0</v>
      </c>
      <c r="BE749" s="36" t="n">
        <f aca="false">BE747*$AC$745*BE748*BE$38*'⑫ Roll-out Plan'!$O$79</f>
        <v>0</v>
      </c>
      <c r="BF749" s="36" t="n">
        <f aca="false">BF747*$AC$745*BF748*BF$38*'⑫ Roll-out Plan'!$O$79</f>
        <v>0</v>
      </c>
      <c r="BG749" s="36" t="n">
        <f aca="false">BG747*$AC$745*BG748*BG$38*'⑫ Roll-out Plan'!$O$79</f>
        <v>0</v>
      </c>
      <c r="BH749" s="36" t="n">
        <f aca="false">BH747*$AC$745*BH748*BH$38*'⑫ Roll-out Plan'!$O$79</f>
        <v>0</v>
      </c>
      <c r="BI749" s="36" t="n">
        <f aca="false">BI747*$AC$745*BI748*BI$38*'⑫ Roll-out Plan'!$O$79</f>
        <v>0</v>
      </c>
      <c r="BJ749" s="36" t="n">
        <f aca="false">BJ747*$AC$745*BJ748*BJ$38*'⑫ Roll-out Plan'!$O$79</f>
        <v>0</v>
      </c>
      <c r="BK749" s="36" t="n">
        <f aca="false">BK747*$AC$745*BK748*BK$38*'⑫ Roll-out Plan'!$O$79</f>
        <v>0</v>
      </c>
      <c r="BL749" s="36" t="n">
        <f aca="false">BL747*$AC$745*BL748*BL$38*'⑫ Roll-out Plan'!$O$79</f>
        <v>0</v>
      </c>
      <c r="BM749" s="36" t="n">
        <f aca="false">BM747*$AC$745*BM748*BM$38*'⑫ Roll-out Plan'!$O$79</f>
        <v>0</v>
      </c>
      <c r="BN749" s="36" t="n">
        <f aca="false">BN747*$AC$745*BN748*BN$38*'⑫ Roll-out Plan'!$O$79</f>
        <v>0</v>
      </c>
      <c r="BO749" s="36" t="n">
        <f aca="false">BO747*$AC$745*BO748*BO$38*'⑫ Roll-out Plan'!$O$79</f>
        <v>0</v>
      </c>
      <c r="BP749" s="36" t="n">
        <f aca="false">BP747*$AC$745*BP748*BP$38*'⑫ Roll-out Plan'!$O$79</f>
        <v>0</v>
      </c>
      <c r="BQ749" s="36" t="n">
        <f aca="false">BQ747*$AC$745*BQ748*BQ$38*'⑫ Roll-out Plan'!$O$79</f>
        <v>0</v>
      </c>
      <c r="BR749" s="36" t="n">
        <f aca="false">BR747*$AC$745*BR748*BR$38*'⑫ Roll-out Plan'!$O$79</f>
        <v>0</v>
      </c>
      <c r="BS749" s="36" t="n">
        <f aca="false">BS747*$AC$745*BS748*BS$38*'⑫ Roll-out Plan'!$O$79</f>
        <v>0</v>
      </c>
      <c r="BT749" s="36" t="n">
        <f aca="false">BT747*$AC$745*BT748*BT$38*'⑫ Roll-out Plan'!$O$79</f>
        <v>0</v>
      </c>
      <c r="BU749" s="36" t="n">
        <f aca="false">BU747*$AC$745*BU748*BU$38*'⑫ Roll-out Plan'!$O$79</f>
        <v>0</v>
      </c>
      <c r="BV749" s="36" t="n">
        <f aca="false">BV747*$AC$745*BV748*BV$38*'⑫ Roll-out Plan'!$O$79</f>
        <v>0</v>
      </c>
      <c r="BW749" s="36" t="n">
        <f aca="false">BW747*$AC$745*BW748*BW$38*'⑫ Roll-out Plan'!$O$79</f>
        <v>0</v>
      </c>
      <c r="BX749" s="36" t="n">
        <f aca="false">BX747*$AC$745*BX748*BX$38*'⑫ Roll-out Plan'!$O$79</f>
        <v>0</v>
      </c>
      <c r="BY749" s="36" t="n">
        <f aca="false">BY747*$AC$745*BY748*BY$38*'⑫ Roll-out Plan'!$O$79</f>
        <v>0</v>
      </c>
      <c r="BZ749" s="36" t="n">
        <f aca="false">BZ747*$AC$745*BZ748*BZ$38*'⑫ Roll-out Plan'!$O$79</f>
        <v>0</v>
      </c>
      <c r="CA749" s="36" t="n">
        <f aca="false">CA747*$AC$745*CA748*CA$38*'⑫ Roll-out Plan'!$O$79</f>
        <v>0</v>
      </c>
      <c r="CB749" s="36" t="n">
        <f aca="false">CB747*$AC$745*CB748*CB$38*'⑫ Roll-out Plan'!$O$79</f>
        <v>0</v>
      </c>
      <c r="CC749" s="36" t="n">
        <f aca="false">CC747*$AC$745*CC748*CC$38*'⑫ Roll-out Plan'!$O$79</f>
        <v>0</v>
      </c>
      <c r="CD749" s="36" t="n">
        <f aca="false">CD747*$AC$745*CD748*CD$38*'⑫ Roll-out Plan'!$O$79</f>
        <v>0</v>
      </c>
      <c r="CE749" s="36" t="n">
        <f aca="false">CE747*$AC$745*CE748*CE$38*'⑫ Roll-out Plan'!$O$79</f>
        <v>0</v>
      </c>
      <c r="CF749" s="36" t="n">
        <f aca="false">CF747*$AC$745*CF748*CF$38*'⑫ Roll-out Plan'!$O$79</f>
        <v>0</v>
      </c>
      <c r="CG749" s="36" t="n">
        <f aca="false">CG747*$AC$745*CG748*CG$38*'⑫ Roll-out Plan'!$O$79</f>
        <v>0</v>
      </c>
      <c r="CH749" s="36" t="n">
        <f aca="false">CH747*$AC$745*CH748*CH$38*'⑫ Roll-out Plan'!$O$79</f>
        <v>0</v>
      </c>
      <c r="CI749" s="36" t="n">
        <f aca="false">CI747*$AC$745*CI748*CI$38*'⑫ Roll-out Plan'!$O$79</f>
        <v>0</v>
      </c>
      <c r="CJ749" s="36" t="n">
        <f aca="false">CJ747*$AC$745*CJ748*CJ$38*'⑫ Roll-out Plan'!$O$79</f>
        <v>0</v>
      </c>
      <c r="CK749" s="36" t="n">
        <f aca="false">CK747*$AC$745*CK748*CK$38*'⑫ Roll-out Plan'!$O$79</f>
        <v>0</v>
      </c>
      <c r="CL749" s="36" t="n">
        <f aca="false">CL747*$AC$745*CL748*CL$38*'⑫ Roll-out Plan'!$O$79</f>
        <v>0</v>
      </c>
      <c r="CM749" s="36" t="n">
        <f aca="false">CM747*$AC$745*CM748*CM$38*'⑫ Roll-out Plan'!$O$79</f>
        <v>0</v>
      </c>
      <c r="CN749" s="36" t="n">
        <f aca="false">CN747*$AC$745*CN748*CN$38*'⑫ Roll-out Plan'!$O$79</f>
        <v>0</v>
      </c>
      <c r="CO749" s="36" t="n">
        <f aca="false">CO747*$AC$745*CO748*CO$38*'⑫ Roll-out Plan'!$O$79</f>
        <v>0</v>
      </c>
      <c r="CP749" s="36" t="n">
        <f aca="false">CP747*$AC$745*CP748*CP$38*'⑫ Roll-out Plan'!$O$79</f>
        <v>0</v>
      </c>
      <c r="CQ749" s="36" t="n">
        <f aca="false">CQ747*$AC$745*CQ748*CQ$38*'⑫ Roll-out Plan'!$O$79</f>
        <v>0</v>
      </c>
      <c r="CR749" s="36" t="n">
        <f aca="false">CR747*$AC$745*CR748*CR$38*'⑫ Roll-out Plan'!$O$79</f>
        <v>0</v>
      </c>
      <c r="CS749" s="36" t="n">
        <f aca="false">CS747*$AC$745*CS748*CS$38*'⑫ Roll-out Plan'!$O$79</f>
        <v>0</v>
      </c>
      <c r="CT749" s="36" t="n">
        <f aca="false">CT747*$AC$745*CT748*CT$38*'⑫ Roll-out Plan'!$O$79</f>
        <v>0</v>
      </c>
      <c r="CU749" s="36" t="n">
        <f aca="false">CU747*$AC$745*CU748*CU$38*'⑫ Roll-out Plan'!$O$79</f>
        <v>0</v>
      </c>
      <c r="CV749" s="36" t="n">
        <f aca="false">CV747*$AC$745*CV748*CV$38*'⑫ Roll-out Plan'!$O$79</f>
        <v>0</v>
      </c>
      <c r="CW749" s="36" t="n">
        <f aca="false">CW747*$AC$745*CW748*CW$38*'⑫ Roll-out Plan'!$O$79</f>
        <v>0</v>
      </c>
      <c r="CX749" s="36" t="n">
        <f aca="false">CX747*$AC$745*CX748*CX$38*'⑫ Roll-out Plan'!$O$79</f>
        <v>0</v>
      </c>
      <c r="CY749" s="36" t="n">
        <f aca="false">CY747*$AC$745*CY748*CY$38*'⑫ Roll-out Plan'!$O$79</f>
        <v>0</v>
      </c>
      <c r="CZ749" s="36" t="n">
        <f aca="false">CZ747*$AC$745*CZ748*CZ$38*'⑫ Roll-out Plan'!$O$79</f>
        <v>0</v>
      </c>
      <c r="DA749" s="36" t="n">
        <f aca="false">DA747*$AC$745*DA748*DA$38*'⑫ Roll-out Plan'!$O$79</f>
        <v>0</v>
      </c>
      <c r="DB749" s="36" t="n">
        <f aca="false">DB747*$AC$745*DB748*DB$38*'⑫ Roll-out Plan'!$O$79</f>
        <v>0</v>
      </c>
      <c r="DC749" s="36" t="n">
        <f aca="false">DC747*$AC$745*DC748*DC$38*'⑫ Roll-out Plan'!$O$79</f>
        <v>0</v>
      </c>
      <c r="DD749" s="36" t="n">
        <f aca="false">DD747*$AC$745*DD748*DD$38*'⑫ Roll-out Plan'!$O$79</f>
        <v>0</v>
      </c>
      <c r="DE749" s="36" t="n">
        <f aca="false">DE747*$AC$745*DE748*DE$38*'⑫ Roll-out Plan'!$O$79</f>
        <v>0</v>
      </c>
      <c r="DF749" s="36" t="n">
        <f aca="false">DF747*$AC$745*DF748*DF$38*'⑫ Roll-out Plan'!$O$79</f>
        <v>0</v>
      </c>
      <c r="DG749" s="36" t="n">
        <f aca="false">DG747*$AC$745*DG748*DG$38*'⑫ Roll-out Plan'!$O$79</f>
        <v>0</v>
      </c>
      <c r="DH749" s="36" t="n">
        <f aca="false">DH747*$AC$745*DH748*DH$38*'⑫ Roll-out Plan'!$O$79</f>
        <v>0</v>
      </c>
      <c r="DI749" s="36" t="n">
        <f aca="false">DI747*$AC$745*DI748*DI$38*'⑫ Roll-out Plan'!$O$79</f>
        <v>0</v>
      </c>
      <c r="DJ749" s="36" t="n">
        <f aca="false">DJ747*$AC$745*DJ748*DJ$38*'⑫ Roll-out Plan'!$O$79</f>
        <v>0</v>
      </c>
      <c r="DK749" s="36" t="n">
        <f aca="false">DK747*$AC$745*DK748*DK$38*'⑫ Roll-out Plan'!$O$79</f>
        <v>0</v>
      </c>
      <c r="DL749" s="36" t="n">
        <f aca="false">DL747*$AC$745*DL748*DL$38*'⑫ Roll-out Plan'!$O$79</f>
        <v>0</v>
      </c>
      <c r="DM749" s="36" t="n">
        <f aca="false">DM747*$AC$745*DM748*DM$38*'⑫ Roll-out Plan'!$O$79</f>
        <v>0</v>
      </c>
      <c r="DN749" s="36" t="n">
        <f aca="false">DN747*$AC$745*DN748*DN$38*'⑫ Roll-out Plan'!$O$79</f>
        <v>0</v>
      </c>
      <c r="DO749" s="36" t="n">
        <f aca="false">DO747*$AC$745*DO748*DO$38*'⑫ Roll-out Plan'!$O$79</f>
        <v>0</v>
      </c>
      <c r="DP749" s="36" t="n">
        <f aca="false">DP747*$AC$745*DP748*DP$38*'⑫ Roll-out Plan'!$O$79</f>
        <v>0</v>
      </c>
      <c r="DQ749" s="36" t="n">
        <f aca="false">DQ747*$AC$745*DQ748*DQ$38*'⑫ Roll-out Plan'!$O$79</f>
        <v>0</v>
      </c>
      <c r="DR749" s="36" t="n">
        <f aca="false">DR747*$AC$745*DR748*DR$38*'⑫ Roll-out Plan'!$O$79</f>
        <v>0</v>
      </c>
      <c r="DS749" s="36" t="n">
        <f aca="false">DS747*$AC$745*DS748*DS$38*'⑫ Roll-out Plan'!$O$79</f>
        <v>0</v>
      </c>
      <c r="DT749" s="36" t="n">
        <f aca="false">DT747*$AC$745*DT748*DT$38*'⑫ Roll-out Plan'!$O$79</f>
        <v>0</v>
      </c>
      <c r="DU749" s="36" t="n">
        <f aca="false">DU747*$AC$745*DU748*DU$38*'⑫ Roll-out Plan'!$O$79</f>
        <v>0</v>
      </c>
      <c r="DV749" s="36" t="n">
        <f aca="false">DV747*$AC$745*DV748*DV$38*'⑫ Roll-out Plan'!$O$79</f>
        <v>0</v>
      </c>
      <c r="DW749" s="36" t="n">
        <f aca="false">DW747*$AC$745*DW748*DW$38*'⑫ Roll-out Plan'!$O$79</f>
        <v>0</v>
      </c>
      <c r="DX749" s="36" t="n">
        <f aca="false">DX747*$AC$745*DX748*DX$38*'⑫ Roll-out Plan'!$O$79</f>
        <v>0</v>
      </c>
      <c r="DY749" s="36" t="n">
        <f aca="false">DY747*$AC$745*DY748*DY$38*'⑫ Roll-out Plan'!$O$79</f>
        <v>0</v>
      </c>
      <c r="DZ749" s="36" t="n">
        <f aca="false">DZ747*$AC$745*DZ748*DZ$38*'⑫ Roll-out Plan'!$O$79</f>
        <v>0</v>
      </c>
      <c r="EA749" s="36" t="n">
        <f aca="false">EA747*$AC$745*EA748*EA$38*'⑫ Roll-out Plan'!$O$79</f>
        <v>0</v>
      </c>
      <c r="EB749" s="36" t="n">
        <f aca="false">EB747*$AC$745*EB748*EB$38*'⑫ Roll-out Plan'!$O$79</f>
        <v>0</v>
      </c>
      <c r="EC749" s="36" t="n">
        <f aca="false">EC747*$AC$745*EC748*EC$38*'⑫ Roll-out Plan'!$O$79</f>
        <v>0</v>
      </c>
      <c r="ED749" s="36" t="n">
        <f aca="false">ED747*$AC$745*ED748*ED$38*'⑫ Roll-out Plan'!$O$79</f>
        <v>0</v>
      </c>
      <c r="EE749" s="36" t="n">
        <f aca="false">EE747*$AC$745*EE748*EE$38*'⑫ Roll-out Plan'!$O$79</f>
        <v>0</v>
      </c>
      <c r="EF749" s="36" t="n">
        <f aca="false">EF747*$AC$745*EF748*EF$38*'⑫ Roll-out Plan'!$O$79</f>
        <v>0</v>
      </c>
      <c r="EG749" s="36" t="n">
        <f aca="false">EG747*$AC$745*EG748*EG$38*'⑫ Roll-out Plan'!$O$79</f>
        <v>0</v>
      </c>
      <c r="EH749" s="36" t="n">
        <f aca="false">EH747*$AC$745*EH748*EH$38*'⑫ Roll-out Plan'!$O$79</f>
        <v>0</v>
      </c>
      <c r="EI749" s="36" t="n">
        <f aca="false">EI747*$AC$745*EI748*EI$38*'⑫ Roll-out Plan'!$O$79</f>
        <v>0</v>
      </c>
      <c r="EJ749" s="36" t="n">
        <f aca="false">EJ747*$AC$745*EJ748*EJ$38*'⑫ Roll-out Plan'!$O$79</f>
        <v>0</v>
      </c>
      <c r="EK749" s="36" t="n">
        <f aca="false">EK747*$AC$745*EK748*EK$38*'⑫ Roll-out Plan'!$O$79</f>
        <v>0</v>
      </c>
      <c r="EL749" s="36" t="n">
        <f aca="false">EL747*$AC$745*EL748*EL$38*'⑫ Roll-out Plan'!$O$79</f>
        <v>0</v>
      </c>
      <c r="EM749" s="36" t="n">
        <f aca="false">EM747*$AC$745*EM748*EM$38*'⑫ Roll-out Plan'!$O$79</f>
        <v>0</v>
      </c>
      <c r="EN749" s="36" t="n">
        <f aca="false">EN747*$AC$745*EN748*EN$38*'⑫ Roll-out Plan'!$O$79</f>
        <v>0</v>
      </c>
      <c r="EO749" s="36" t="n">
        <f aca="false">EO747*$AC$745*EO748*EO$38*'⑫ Roll-out Plan'!$O$79</f>
        <v>0</v>
      </c>
      <c r="EP749" s="36" t="n">
        <f aca="false">EP747*$AC$745*EP748*EP$38*'⑫ Roll-out Plan'!$O$79</f>
        <v>0</v>
      </c>
      <c r="EQ749" s="36" t="n">
        <f aca="false">EQ747*$AC$745*EQ748*EQ$38*'⑫ Roll-out Plan'!$O$79</f>
        <v>0</v>
      </c>
      <c r="ER749" s="36" t="n">
        <f aca="false">ER747*$AC$745*ER748*ER$38*'⑫ Roll-out Plan'!$O$79</f>
        <v>0</v>
      </c>
      <c r="ES749" s="9" t="n">
        <f aca="false">ES747*$AC$745*ES748*ES$38*'⑫ Roll-out Plan'!$O$79</f>
        <v>0</v>
      </c>
      <c r="ET749" s="9" t="n">
        <f aca="false">ET747*$AC$745*ET748*ET$38*'⑫ Roll-out Plan'!$O$79</f>
        <v>0</v>
      </c>
      <c r="EU749" s="9" t="n">
        <f aca="false">EU747*$AC$745*EU748*EU$38*'⑫ Roll-out Plan'!$O$79</f>
        <v>0</v>
      </c>
      <c r="EV749" s="9" t="n">
        <f aca="false">EV747*$AC$745*EV748*EV$38*'⑫ Roll-out Plan'!$O$79</f>
        <v>0</v>
      </c>
      <c r="EW749" s="9" t="n">
        <f aca="false">EW747*$AC$745*EW748*EW$38*'⑫ Roll-out Plan'!$O$79</f>
        <v>0</v>
      </c>
      <c r="EX749" s="9" t="n">
        <f aca="false">EX747*$AC$745*EX748*EX$38*'⑫ Roll-out Plan'!$O$79</f>
        <v>0</v>
      </c>
      <c r="EY749" s="9" t="n">
        <f aca="false">EY747*$AC$745*EY748*EY$38*'⑫ Roll-out Plan'!$O$79</f>
        <v>31.08</v>
      </c>
      <c r="EZ749" s="9" t="n">
        <f aca="false">EZ747*$AC$745*EZ748*EZ$38*'⑫ Roll-out Plan'!$O$79</f>
        <v>57.794</v>
      </c>
      <c r="FA749" s="9" t="n">
        <f aca="false">FA747*$AC$745*FA748*FA$38*'⑫ Roll-out Plan'!$O$79</f>
        <v>51.504</v>
      </c>
      <c r="FB749" s="9" t="n">
        <f aca="false">FB747*$AC$745*FB748*FB$38*'⑫ Roll-out Plan'!$O$79</f>
        <v>47.952</v>
      </c>
      <c r="FC749" s="9" t="n">
        <f aca="false">FC747*$AC$745*FC748*FC$38*'⑫ Roll-out Plan'!$O$79</f>
        <v>35.964</v>
      </c>
      <c r="FD749" s="9" t="n">
        <f aca="false">FD747*$AC$745*FD748*FD$38*'⑫ Roll-out Plan'!$O$79</f>
        <v>58.497</v>
      </c>
      <c r="FE749" s="9" t="n">
        <f aca="false">FE747*$AC$745*FE748*FE$38*'⑫ Roll-out Plan'!$O$79</f>
        <v>69.93</v>
      </c>
      <c r="FF749" s="9" t="n">
        <f aca="false">FF747*$AC$745*FF748*FF$38*'⑫ Roll-out Plan'!$O$79</f>
        <v>59.163</v>
      </c>
      <c r="FG749" s="9" t="n">
        <f aca="false">FG747*$AC$745*FG748*FG$38*'⑫ Roll-out Plan'!$O$79</f>
        <v>94.424</v>
      </c>
      <c r="FH749" s="9" t="n">
        <f aca="false">FH747*$AC$745*FH748*FH$38*'⑫ Roll-out Plan'!$O$79</f>
        <v>89.54</v>
      </c>
      <c r="FI749" s="9" t="n">
        <f aca="false">FI747*$AC$745*FI748*FI$38*'⑫ Roll-out Plan'!$O$79</f>
        <v>81.696</v>
      </c>
      <c r="FJ749" s="9" t="n">
        <f aca="false">FJ747*$AC$745*FJ748*FJ$38*'⑫ Roll-out Plan'!$O$79</f>
        <v>76.96</v>
      </c>
      <c r="FK749" s="9" t="n">
        <f aca="false">FK747*$AC$745*FK748*FK$38*'⑫ Roll-out Plan'!$O$79</f>
        <v>87.024</v>
      </c>
      <c r="FL749" s="9" t="n">
        <f aca="false">FL747*$AC$745*FL748*FL$38*'⑫ Roll-out Plan'!$O$79</f>
        <v>157.62</v>
      </c>
      <c r="FM749" s="9" t="n">
        <f aca="false">FM747*$AC$745*FM748*FM$38*'⑫ Roll-out Plan'!$O$79</f>
        <v>128.76</v>
      </c>
      <c r="FN749" s="9" t="n">
        <f aca="false">FN747*$AC$745*FN748*FN$38*'⑫ Roll-out Plan'!$O$79</f>
        <v>134.2656</v>
      </c>
      <c r="FO749" s="9" t="n">
        <f aca="false">FO747*$AC$745*FO748*FO$38*'⑫ Roll-out Plan'!$O$79</f>
        <v>105.4944</v>
      </c>
      <c r="FP749" s="9" t="n">
        <f aca="false">FP747*$AC$745*FP748*FP$38*'⑫ Roll-out Plan'!$O$79</f>
        <v>156.2436</v>
      </c>
    </row>
    <row r="750" customFormat="false" ht="15" hidden="false" customHeight="false" outlineLevel="2" collapsed="false">
      <c r="B750" s="9" t="s">
        <v>877</v>
      </c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112" t="n">
        <f aca="true">IFERROR(SUMPRODUCT(OFFSET($BJ$31,0,1-MIN(60,COLUMN()-29),1,MIN(60,COLUMN()-29)),OFFSET(AC749,0,-MIN(60,COLUMN()-29),1,MIN(60,COLUMN()-29))),0)</f>
        <v>0</v>
      </c>
      <c r="AD750" s="112" t="n">
        <f aca="true">IFERROR(SUMPRODUCT(OFFSET($BJ$31,0,1-MIN(60,COLUMN()-29),1,MIN(60,COLUMN()-29)),OFFSET(AD749,0,-MIN(60,COLUMN()-29),1,MIN(60,COLUMN()-29))),0)</f>
        <v>0</v>
      </c>
      <c r="AE750" s="112" t="n">
        <f aca="true">IFERROR(SUMPRODUCT(OFFSET($BJ$31,0,1-MIN(60,COLUMN()-29),1,MIN(60,COLUMN()-29)),OFFSET(AE749,0,-MIN(60,COLUMN()-29),1,MIN(60,COLUMN()-29))),0)</f>
        <v>0</v>
      </c>
      <c r="AF750" s="112" t="n">
        <f aca="true">IFERROR(SUMPRODUCT(OFFSET($BJ$31,0,1-MIN(60,COLUMN()-29),1,MIN(60,COLUMN()-29)),OFFSET(AF749,0,-MIN(60,COLUMN()-29),1,MIN(60,COLUMN()-29))),0)</f>
        <v>0</v>
      </c>
      <c r="AG750" s="112" t="n">
        <f aca="true">IFERROR(SUMPRODUCT(OFFSET($BJ$31,0,1-MIN(60,COLUMN()-29),1,MIN(60,COLUMN()-29)),OFFSET(AG749,0,-MIN(60,COLUMN()-29),1,MIN(60,COLUMN()-29))),0)</f>
        <v>0</v>
      </c>
      <c r="AH750" s="112" t="n">
        <f aca="true">IFERROR(SUMPRODUCT(OFFSET($BJ$31,0,1-MIN(60,COLUMN()-29),1,MIN(60,COLUMN()-29)),OFFSET(AH749,0,-MIN(60,COLUMN()-29),1,MIN(60,COLUMN()-29))),0)</f>
        <v>0</v>
      </c>
      <c r="AI750" s="112" t="n">
        <f aca="true">IFERROR(SUMPRODUCT(OFFSET($BJ$31,0,1-MIN(60,COLUMN()-29),1,MIN(60,COLUMN()-29)),OFFSET(AI749,0,-MIN(60,COLUMN()-29),1,MIN(60,COLUMN()-29))),0)</f>
        <v>0</v>
      </c>
      <c r="AJ750" s="112" t="n">
        <f aca="true">IFERROR(SUMPRODUCT(OFFSET($BJ$31,0,1-MIN(60,COLUMN()-29),1,MIN(60,COLUMN()-29)),OFFSET(AJ749,0,-MIN(60,COLUMN()-29),1,MIN(60,COLUMN()-29))),0)</f>
        <v>0</v>
      </c>
      <c r="AK750" s="112" t="n">
        <f aca="true">IFERROR(SUMPRODUCT(OFFSET($BJ$31,0,1-MIN(60,COLUMN()-29),1,MIN(60,COLUMN()-29)),OFFSET(AK749,0,-MIN(60,COLUMN()-29),1,MIN(60,COLUMN()-29))),0)</f>
        <v>0</v>
      </c>
      <c r="AL750" s="112" t="n">
        <f aca="true">IFERROR(SUMPRODUCT(OFFSET($BJ$31,0,1-MIN(60,COLUMN()-29),1,MIN(60,COLUMN()-29)),OFFSET(AL749,0,-MIN(60,COLUMN()-29),1,MIN(60,COLUMN()-29))),0)</f>
        <v>0</v>
      </c>
      <c r="AM750" s="112" t="n">
        <f aca="true">IFERROR(SUMPRODUCT(OFFSET($BJ$31,0,1-MIN(60,COLUMN()-29),1,MIN(60,COLUMN()-29)),OFFSET(AM749,0,-MIN(60,COLUMN()-29),1,MIN(60,COLUMN()-29))),0)</f>
        <v>0</v>
      </c>
      <c r="AN750" s="239" t="n">
        <f aca="true">IFERROR(SUMPRODUCT(OFFSET($BJ$31,0,1-MIN(60,COLUMN()-29),1,MIN(60,COLUMN()-29)),OFFSET(AN749,0,-MIN(60,COLUMN()-29),1,MIN(60,COLUMN()-29))),0)</f>
        <v>0</v>
      </c>
      <c r="AO750" s="112" t="n">
        <f aca="true">IFERROR(SUMPRODUCT(OFFSET($BJ$31,0,1-MIN(60,COLUMN()-29),1,MIN(60,COLUMN()-29)),OFFSET(AO749,0,-MIN(60,COLUMN()-29),1,MIN(60,COLUMN()-29))),0)</f>
        <v>0</v>
      </c>
      <c r="AP750" s="112" t="n">
        <f aca="true">IFERROR(SUMPRODUCT(OFFSET($BJ$31,0,1-MIN(60,COLUMN()-29),1,MIN(60,COLUMN()-29)),OFFSET(AP749,0,-MIN(60,COLUMN()-29),1,MIN(60,COLUMN()-29))),0)</f>
        <v>0</v>
      </c>
      <c r="AQ750" s="112" t="n">
        <f aca="true">IFERROR(SUMPRODUCT(OFFSET($BJ$31,0,1-MIN(60,COLUMN()-29),1,MIN(60,COLUMN()-29)),OFFSET(AQ749,0,-MIN(60,COLUMN()-29),1,MIN(60,COLUMN()-29))),0)</f>
        <v>0</v>
      </c>
      <c r="AR750" s="112" t="n">
        <f aca="true">IFERROR(SUMPRODUCT(OFFSET($BJ$31,0,1-MIN(60,COLUMN()-29),1,MIN(60,COLUMN()-29)),OFFSET(AR749,0,-MIN(60,COLUMN()-29),1,MIN(60,COLUMN()-29))),0)</f>
        <v>0</v>
      </c>
      <c r="AS750" s="112" t="n">
        <f aca="true">IFERROR(SUMPRODUCT(OFFSET($BJ$31,0,1-MIN(60,COLUMN()-29),1,MIN(60,COLUMN()-29)),OFFSET(AS749,0,-MIN(60,COLUMN()-29),1,MIN(60,COLUMN()-29))),0)</f>
        <v>0</v>
      </c>
      <c r="AT750" s="112" t="n">
        <f aca="true">IFERROR(SUMPRODUCT(OFFSET($BJ$31,0,1-MIN(60,COLUMN()-29),1,MIN(60,COLUMN()-29)),OFFSET(AT749,0,-MIN(60,COLUMN()-29),1,MIN(60,COLUMN()-29))),0)</f>
        <v>0</v>
      </c>
      <c r="AU750" s="112" t="n">
        <f aca="true">IFERROR(SUMPRODUCT(OFFSET($BJ$31,0,1-MIN(60,COLUMN()-29),1,MIN(60,COLUMN()-29)),OFFSET(AU749,0,-MIN(60,COLUMN()-29),1,MIN(60,COLUMN()-29))),0)</f>
        <v>0</v>
      </c>
      <c r="AV750" s="112" t="n">
        <f aca="true">IFERROR(SUMPRODUCT(OFFSET($BJ$31,0,1-MIN(60,COLUMN()-29),1,MIN(60,COLUMN()-29)),OFFSET(AV749,0,-MIN(60,COLUMN()-29),1,MIN(60,COLUMN()-29))),0)</f>
        <v>0</v>
      </c>
      <c r="AW750" s="112" t="n">
        <f aca="true">IFERROR(SUMPRODUCT(OFFSET($BJ$31,0,1-MIN(60,COLUMN()-29),1,MIN(60,COLUMN()-29)),OFFSET(AW749,0,-MIN(60,COLUMN()-29),1,MIN(60,COLUMN()-29))),0)</f>
        <v>0</v>
      </c>
      <c r="AX750" s="112" t="n">
        <f aca="true">IFERROR(SUMPRODUCT(OFFSET($BJ$31,0,1-MIN(60,COLUMN()-29),1,MIN(60,COLUMN()-29)),OFFSET(AX749,0,-MIN(60,COLUMN()-29),1,MIN(60,COLUMN()-29))),0)</f>
        <v>0</v>
      </c>
      <c r="AY750" s="112" t="n">
        <f aca="true">IFERROR(SUMPRODUCT(OFFSET($BJ$31,0,1-MIN(60,COLUMN()-29),1,MIN(60,COLUMN()-29)),OFFSET(AY749,0,-MIN(60,COLUMN()-29),1,MIN(60,COLUMN()-29))),0)</f>
        <v>0</v>
      </c>
      <c r="AZ750" s="112" t="n">
        <f aca="true">IFERROR(SUMPRODUCT(OFFSET($BJ$31,0,1-MIN(60,COLUMN()-29),1,MIN(60,COLUMN()-29)),OFFSET(AZ749,0,-MIN(60,COLUMN()-29),1,MIN(60,COLUMN()-29))),0)</f>
        <v>0</v>
      </c>
      <c r="BA750" s="112" t="n">
        <f aca="true">IFERROR(SUMPRODUCT(OFFSET($BJ$31,0,1-MIN(60,COLUMN()-29),1,MIN(60,COLUMN()-29)),OFFSET(BA749,0,-MIN(60,COLUMN()-29),1,MIN(60,COLUMN()-29))),0)</f>
        <v>0</v>
      </c>
      <c r="BB750" s="112" t="n">
        <f aca="true">IFERROR(SUMPRODUCT(OFFSET($BJ$31,0,1-MIN(60,COLUMN()-29),1,MIN(60,COLUMN()-29)),OFFSET(BB749,0,-MIN(60,COLUMN()-29),1,MIN(60,COLUMN()-29))),0)</f>
        <v>0</v>
      </c>
      <c r="BC750" s="112" t="n">
        <f aca="true">IFERROR(SUMPRODUCT(OFFSET($BJ$31,0,1-MIN(60,COLUMN()-29),1,MIN(60,COLUMN()-29)),OFFSET(BC749,0,-MIN(60,COLUMN()-29),1,MIN(60,COLUMN()-29))),0)</f>
        <v>0</v>
      </c>
      <c r="BD750" s="112" t="n">
        <f aca="true">IFERROR(SUMPRODUCT(OFFSET($BJ$31,0,1-MIN(60,COLUMN()-29),1,MIN(60,COLUMN()-29)),OFFSET(BD749,0,-MIN(60,COLUMN()-29),1,MIN(60,COLUMN()-29))),0)</f>
        <v>0</v>
      </c>
      <c r="BE750" s="112" t="n">
        <f aca="true">IFERROR(SUMPRODUCT(OFFSET($BJ$31,0,1-MIN(60,COLUMN()-29),1,MIN(60,COLUMN()-29)),OFFSET(BE749,0,-MIN(60,COLUMN()-29),1,MIN(60,COLUMN()-29))),0)</f>
        <v>0</v>
      </c>
      <c r="BF750" s="112" t="n">
        <f aca="true">IFERROR(SUMPRODUCT(OFFSET($BJ$31,0,1-MIN(60,COLUMN()-29),1,MIN(60,COLUMN()-29)),OFFSET(BF749,0,-MIN(60,COLUMN()-29),1,MIN(60,COLUMN()-29))),0)</f>
        <v>0</v>
      </c>
      <c r="BG750" s="112" t="n">
        <f aca="true">IFERROR(SUMPRODUCT(OFFSET($BJ$31,0,1-MIN(60,COLUMN()-29),1,MIN(60,COLUMN()-29)),OFFSET(BG749,0,-MIN(60,COLUMN()-29),1,MIN(60,COLUMN()-29))),0)</f>
        <v>0</v>
      </c>
      <c r="BH750" s="112" t="n">
        <f aca="true">IFERROR(SUMPRODUCT(OFFSET($BJ$31,0,1-MIN(60,COLUMN()-29),1,MIN(60,COLUMN()-29)),OFFSET(BH749,0,-MIN(60,COLUMN()-29),1,MIN(60,COLUMN()-29))),0)</f>
        <v>0</v>
      </c>
      <c r="BI750" s="112" t="n">
        <f aca="true">IFERROR(SUMPRODUCT(OFFSET($BJ$31,0,1-MIN(60,COLUMN()-29),1,MIN(60,COLUMN()-29)),OFFSET(BI749,0,-MIN(60,COLUMN()-29),1,MIN(60,COLUMN()-29))),0)</f>
        <v>0</v>
      </c>
      <c r="BJ750" s="112" t="n">
        <f aca="true">IFERROR(SUMPRODUCT(OFFSET($BJ$31,0,1-MIN(60,COLUMN()-29),1,MIN(60,COLUMN()-29)),OFFSET(BJ749,0,-MIN(60,COLUMN()-29),1,MIN(60,COLUMN()-29))),0)</f>
        <v>0</v>
      </c>
      <c r="BK750" s="112" t="n">
        <f aca="true">IFERROR(SUMPRODUCT(OFFSET($BJ$31,0,1-MIN(60,COLUMN()-29),1,MIN(60,COLUMN()-29)),OFFSET(BK749,0,-MIN(60,COLUMN()-29),1,MIN(60,COLUMN()-29))),0)</f>
        <v>0</v>
      </c>
      <c r="BL750" s="112" t="n">
        <f aca="true">IFERROR(SUMPRODUCT(OFFSET($BJ$31,0,1-MIN(60,COLUMN()-29),1,MIN(60,COLUMN()-29)),OFFSET(BL749,0,-MIN(60,COLUMN()-29),1,MIN(60,COLUMN()-29))),0)</f>
        <v>0</v>
      </c>
      <c r="BM750" s="112" t="n">
        <f aca="true">IFERROR(SUMPRODUCT(OFFSET($BJ$31,0,1-MIN(60,COLUMN()-29),1,MIN(60,COLUMN()-29)),OFFSET(BM749,0,-MIN(60,COLUMN()-29),1,MIN(60,COLUMN()-29))),0)</f>
        <v>0</v>
      </c>
      <c r="BN750" s="112" t="n">
        <f aca="true">IFERROR(SUMPRODUCT(OFFSET($BJ$31,0,1-MIN(60,COLUMN()-29),1,MIN(60,COLUMN()-29)),OFFSET(BN749,0,-MIN(60,COLUMN()-29),1,MIN(60,COLUMN()-29))),0)</f>
        <v>0</v>
      </c>
      <c r="BO750" s="112" t="n">
        <f aca="true">IFERROR(SUMPRODUCT(OFFSET($BJ$31,0,1-MIN(60,COLUMN()-29),1,MIN(60,COLUMN()-29)),OFFSET(BO749,0,-MIN(60,COLUMN()-29),1,MIN(60,COLUMN()-29))),0)</f>
        <v>0</v>
      </c>
      <c r="BP750" s="112" t="n">
        <f aca="true">IFERROR(SUMPRODUCT(OFFSET($BJ$31,0,1-MIN(60,COLUMN()-29),1,MIN(60,COLUMN()-29)),OFFSET(BP749,0,-MIN(60,COLUMN()-29),1,MIN(60,COLUMN()-29))),0)</f>
        <v>0</v>
      </c>
      <c r="BQ750" s="112" t="n">
        <f aca="true">IFERROR(SUMPRODUCT(OFFSET($BJ$31,0,1-MIN(60,COLUMN()-29),1,MIN(60,COLUMN()-29)),OFFSET(BQ749,0,-MIN(60,COLUMN()-29),1,MIN(60,COLUMN()-29))),0)</f>
        <v>0</v>
      </c>
      <c r="BR750" s="112" t="n">
        <f aca="true">IFERROR(SUMPRODUCT(OFFSET($BJ$31,0,1-MIN(60,COLUMN()-29),1,MIN(60,COLUMN()-29)),OFFSET(BR749,0,-MIN(60,COLUMN()-29),1,MIN(60,COLUMN()-29))),0)</f>
        <v>0</v>
      </c>
      <c r="BS750" s="112" t="n">
        <f aca="true">IFERROR(SUMPRODUCT(OFFSET($BJ$31,0,1-MIN(60,COLUMN()-29),1,MIN(60,COLUMN()-29)),OFFSET(BS749,0,-MIN(60,COLUMN()-29),1,MIN(60,COLUMN()-29))),0)</f>
        <v>0</v>
      </c>
      <c r="BT750" s="112" t="n">
        <f aca="true">IFERROR(SUMPRODUCT(OFFSET($BJ$31,0,1-MIN(60,COLUMN()-29),1,MIN(60,COLUMN()-29)),OFFSET(BT749,0,-MIN(60,COLUMN()-29),1,MIN(60,COLUMN()-29))),0)</f>
        <v>0</v>
      </c>
      <c r="BU750" s="112" t="n">
        <f aca="true">IFERROR(SUMPRODUCT(OFFSET($BJ$31,0,1-MIN(60,COLUMN()-29),1,MIN(60,COLUMN()-29)),OFFSET(BU749,0,-MIN(60,COLUMN()-29),1,MIN(60,COLUMN()-29))),0)</f>
        <v>0</v>
      </c>
      <c r="BV750" s="112" t="n">
        <f aca="true">IFERROR(SUMPRODUCT(OFFSET($BJ$31,0,1-MIN(60,COLUMN()-29),1,MIN(60,COLUMN()-29)),OFFSET(BV749,0,-MIN(60,COLUMN()-29),1,MIN(60,COLUMN()-29))),0)</f>
        <v>0</v>
      </c>
      <c r="BW750" s="112" t="n">
        <f aca="true">IFERROR(SUMPRODUCT(OFFSET($BJ$31,0,1-MIN(60,COLUMN()-29),1,MIN(60,COLUMN()-29)),OFFSET(BW749,0,-MIN(60,COLUMN()-29),1,MIN(60,COLUMN()-29))),0)</f>
        <v>0</v>
      </c>
      <c r="BX750" s="112" t="n">
        <f aca="true">IFERROR(SUMPRODUCT(OFFSET($BJ$31,0,1-MIN(60,COLUMN()-29),1,MIN(60,COLUMN()-29)),OFFSET(BX749,0,-MIN(60,COLUMN()-29),1,MIN(60,COLUMN()-29))),0)</f>
        <v>0</v>
      </c>
      <c r="BY750" s="112" t="n">
        <f aca="true">IFERROR(SUMPRODUCT(OFFSET($BJ$31,0,1-MIN(60,COLUMN()-29),1,MIN(60,COLUMN()-29)),OFFSET(BY749,0,-MIN(60,COLUMN()-29),1,MIN(60,COLUMN()-29))),0)</f>
        <v>0</v>
      </c>
      <c r="BZ750" s="112" t="n">
        <f aca="true">IFERROR(SUMPRODUCT(OFFSET($BJ$31,0,1-MIN(60,COLUMN()-29),1,MIN(60,COLUMN()-29)),OFFSET(BZ749,0,-MIN(60,COLUMN()-29),1,MIN(60,COLUMN()-29))),0)</f>
        <v>0</v>
      </c>
      <c r="CA750" s="112" t="n">
        <f aca="true">IFERROR(SUMPRODUCT(OFFSET($BJ$31,0,1-MIN(60,COLUMN()-29),1,MIN(60,COLUMN()-29)),OFFSET(CA749,0,-MIN(60,COLUMN()-29),1,MIN(60,COLUMN()-29))),0)</f>
        <v>0</v>
      </c>
      <c r="CB750" s="112" t="n">
        <f aca="true">IFERROR(SUMPRODUCT(OFFSET($BJ$31,0,1-MIN(60,COLUMN()-29),1,MIN(60,COLUMN()-29)),OFFSET(CB749,0,-MIN(60,COLUMN()-29),1,MIN(60,COLUMN()-29))),0)</f>
        <v>0</v>
      </c>
      <c r="CC750" s="112" t="n">
        <f aca="true">IFERROR(SUMPRODUCT(OFFSET($BJ$31,0,1-MIN(60,COLUMN()-29),1,MIN(60,COLUMN()-29)),OFFSET(CC749,0,-MIN(60,COLUMN()-29),1,MIN(60,COLUMN()-29))),0)</f>
        <v>0</v>
      </c>
      <c r="CD750" s="112" t="n">
        <f aca="true">IFERROR(SUMPRODUCT(OFFSET($BJ$31,0,1-MIN(60,COLUMN()-29),1,MIN(60,COLUMN()-29)),OFFSET(CD749,0,-MIN(60,COLUMN()-29),1,MIN(60,COLUMN()-29))),0)</f>
        <v>0</v>
      </c>
      <c r="CE750" s="112" t="n">
        <f aca="true">IFERROR(SUMPRODUCT(OFFSET($BJ$31,0,1-MIN(60,COLUMN()-29),1,MIN(60,COLUMN()-29)),OFFSET(CE749,0,-MIN(60,COLUMN()-29),1,MIN(60,COLUMN()-29))),0)</f>
        <v>0</v>
      </c>
      <c r="CF750" s="112" t="n">
        <f aca="true">IFERROR(SUMPRODUCT(OFFSET($BJ$31,0,1-MIN(60,COLUMN()-29),1,MIN(60,COLUMN()-29)),OFFSET(CF749,0,-MIN(60,COLUMN()-29),1,MIN(60,COLUMN()-29))),0)</f>
        <v>0</v>
      </c>
      <c r="CG750" s="112" t="n">
        <f aca="true">IFERROR(SUMPRODUCT(OFFSET($BJ$31,0,1-MIN(60,COLUMN()-29),1,MIN(60,COLUMN()-29)),OFFSET(CG749,0,-MIN(60,COLUMN()-29),1,MIN(60,COLUMN()-29))),0)</f>
        <v>0</v>
      </c>
      <c r="CH750" s="112" t="n">
        <f aca="true">IFERROR(SUMPRODUCT(OFFSET($BJ$31,0,1-MIN(60,COLUMN()-29),1,MIN(60,COLUMN()-29)),OFFSET(CH749,0,-MIN(60,COLUMN()-29),1,MIN(60,COLUMN()-29))),0)</f>
        <v>0</v>
      </c>
      <c r="CI750" s="112" t="n">
        <f aca="true">IFERROR(SUMPRODUCT(OFFSET($BJ$31,0,1-MIN(60,COLUMN()-29),1,MIN(60,COLUMN()-29)),OFFSET(CI749,0,-MIN(60,COLUMN()-29),1,MIN(60,COLUMN()-29))),0)</f>
        <v>0</v>
      </c>
      <c r="CJ750" s="112" t="n">
        <f aca="true">IFERROR(SUMPRODUCT(OFFSET($BJ$31,0,1-MIN(60,COLUMN()-29),1,MIN(60,COLUMN()-29)),OFFSET(CJ749,0,-MIN(60,COLUMN()-29),1,MIN(60,COLUMN()-29))),0)</f>
        <v>0</v>
      </c>
      <c r="CK750" s="112" t="n">
        <f aca="true">IFERROR(SUMPRODUCT(OFFSET($BJ$31,0,1-MIN(60,COLUMN()-29),1,MIN(60,COLUMN()-29)),OFFSET(CK749,0,-MIN(60,COLUMN()-29),1,MIN(60,COLUMN()-29))),0)</f>
        <v>0</v>
      </c>
      <c r="CL750" s="112" t="n">
        <f aca="true">IFERROR(SUMPRODUCT(OFFSET($BJ$31,0,1-MIN(60,COLUMN()-29),1,MIN(60,COLUMN()-29)),OFFSET(CL749,0,-MIN(60,COLUMN()-29),1,MIN(60,COLUMN()-29))),0)</f>
        <v>0</v>
      </c>
      <c r="CM750" s="112" t="n">
        <f aca="true">IFERROR(SUMPRODUCT(OFFSET($BJ$31,0,1-MIN(60,COLUMN()-29),1,MIN(60,COLUMN()-29)),OFFSET(CM749,0,-MIN(60,COLUMN()-29),1,MIN(60,COLUMN()-29))),0)</f>
        <v>0</v>
      </c>
      <c r="CN750" s="112" t="n">
        <f aca="true">IFERROR(SUMPRODUCT(OFFSET($BJ$31,0,1-MIN(60,COLUMN()-29),1,MIN(60,COLUMN()-29)),OFFSET(CN749,0,-MIN(60,COLUMN()-29),1,MIN(60,COLUMN()-29))),0)</f>
        <v>0</v>
      </c>
      <c r="CO750" s="112" t="n">
        <f aca="true">IFERROR(SUMPRODUCT(OFFSET($BJ$31,0,1-MIN(60,COLUMN()-29),1,MIN(60,COLUMN()-29)),OFFSET(CO749,0,-MIN(60,COLUMN()-29),1,MIN(60,COLUMN()-29))),0)</f>
        <v>0</v>
      </c>
      <c r="CP750" s="112" t="n">
        <f aca="true">IFERROR(SUMPRODUCT(OFFSET($BJ$31,0,1-MIN(60,COLUMN()-29),1,MIN(60,COLUMN()-29)),OFFSET(CP749,0,-MIN(60,COLUMN()-29),1,MIN(60,COLUMN()-29))),0)</f>
        <v>0</v>
      </c>
      <c r="CQ750" s="112" t="n">
        <f aca="true">IFERROR(SUMPRODUCT(OFFSET($BJ$31,0,1-MIN(60,COLUMN()-29),1,MIN(60,COLUMN()-29)),OFFSET(CQ749,0,-MIN(60,COLUMN()-29),1,MIN(60,COLUMN()-29))),0)</f>
        <v>0</v>
      </c>
      <c r="CR750" s="112" t="n">
        <f aca="true">IFERROR(SUMPRODUCT(OFFSET($BJ$31,0,1-MIN(60,COLUMN()-29),1,MIN(60,COLUMN()-29)),OFFSET(CR749,0,-MIN(60,COLUMN()-29),1,MIN(60,COLUMN()-29))),0)</f>
        <v>0</v>
      </c>
      <c r="CS750" s="112" t="n">
        <f aca="true">IFERROR(SUMPRODUCT(OFFSET($BJ$31,0,1-MIN(60,COLUMN()-29),1,MIN(60,COLUMN()-29)),OFFSET(CS749,0,-MIN(60,COLUMN()-29),1,MIN(60,COLUMN()-29))),0)</f>
        <v>0</v>
      </c>
      <c r="CT750" s="112" t="n">
        <f aca="true">IFERROR(SUMPRODUCT(OFFSET($BJ$31,0,1-MIN(60,COLUMN()-29),1,MIN(60,COLUMN()-29)),OFFSET(CT749,0,-MIN(60,COLUMN()-29),1,MIN(60,COLUMN()-29))),0)</f>
        <v>0</v>
      </c>
      <c r="CU750" s="112" t="n">
        <f aca="true">IFERROR(SUMPRODUCT(OFFSET($BJ$31,0,1-MIN(60,COLUMN()-29),1,MIN(60,COLUMN()-29)),OFFSET(CU749,0,-MIN(60,COLUMN()-29),1,MIN(60,COLUMN()-29))),0)</f>
        <v>0</v>
      </c>
      <c r="CV750" s="112" t="n">
        <f aca="true">IFERROR(SUMPRODUCT(OFFSET($BJ$31,0,1-MIN(60,COLUMN()-29),1,MIN(60,COLUMN()-29)),OFFSET(CV749,0,-MIN(60,COLUMN()-29),1,MIN(60,COLUMN()-29))),0)</f>
        <v>0</v>
      </c>
      <c r="CW750" s="112" t="n">
        <f aca="true">IFERROR(SUMPRODUCT(OFFSET($BJ$31,0,1-MIN(60,COLUMN()-29),1,MIN(60,COLUMN()-29)),OFFSET(CW749,0,-MIN(60,COLUMN()-29),1,MIN(60,COLUMN()-29))),0)</f>
        <v>0</v>
      </c>
      <c r="CX750" s="112" t="n">
        <f aca="true">IFERROR(SUMPRODUCT(OFFSET($BJ$31,0,1-MIN(60,COLUMN()-29),1,MIN(60,COLUMN()-29)),OFFSET(CX749,0,-MIN(60,COLUMN()-29),1,MIN(60,COLUMN()-29))),0)</f>
        <v>0</v>
      </c>
      <c r="CY750" s="112" t="n">
        <f aca="true">IFERROR(SUMPRODUCT(OFFSET($BJ$31,0,1-MIN(60,COLUMN()-29),1,MIN(60,COLUMN()-29)),OFFSET(CY749,0,-MIN(60,COLUMN()-29),1,MIN(60,COLUMN()-29))),0)</f>
        <v>0</v>
      </c>
      <c r="CZ750" s="112" t="n">
        <f aca="true">IFERROR(SUMPRODUCT(OFFSET($BJ$31,0,1-MIN(60,COLUMN()-29),1,MIN(60,COLUMN()-29)),OFFSET(CZ749,0,-MIN(60,COLUMN()-29),1,MIN(60,COLUMN()-29))),0)</f>
        <v>0</v>
      </c>
      <c r="DA750" s="112" t="n">
        <f aca="true">IFERROR(SUMPRODUCT(OFFSET($BJ$31,0,1-MIN(60,COLUMN()-29),1,MIN(60,COLUMN()-29)),OFFSET(DA749,0,-MIN(60,COLUMN()-29),1,MIN(60,COLUMN()-29))),0)</f>
        <v>0</v>
      </c>
      <c r="DB750" s="112" t="n">
        <f aca="true">IFERROR(SUMPRODUCT(OFFSET($BJ$31,0,1-MIN(60,COLUMN()-29),1,MIN(60,COLUMN()-29)),OFFSET(DB749,0,-MIN(60,COLUMN()-29),1,MIN(60,COLUMN()-29))),0)</f>
        <v>0</v>
      </c>
      <c r="DC750" s="112" t="n">
        <f aca="true">IFERROR(SUMPRODUCT(OFFSET($BJ$31,0,1-MIN(60,COLUMN()-29),1,MIN(60,COLUMN()-29)),OFFSET(DC749,0,-MIN(60,COLUMN()-29),1,MIN(60,COLUMN()-29))),0)</f>
        <v>0</v>
      </c>
      <c r="DD750" s="112" t="n">
        <f aca="true">IFERROR(SUMPRODUCT(OFFSET($BJ$31,0,1-MIN(60,COLUMN()-29),1,MIN(60,COLUMN()-29)),OFFSET(DD749,0,-MIN(60,COLUMN()-29),1,MIN(60,COLUMN()-29))),0)</f>
        <v>0</v>
      </c>
      <c r="DE750" s="112" t="n">
        <f aca="true">IFERROR(SUMPRODUCT(OFFSET($BJ$31,0,1-MIN(60,COLUMN()-29),1,MIN(60,COLUMN()-29)),OFFSET(DE749,0,-MIN(60,COLUMN()-29),1,MIN(60,COLUMN()-29))),0)</f>
        <v>0</v>
      </c>
      <c r="DF750" s="112" t="n">
        <f aca="true">IFERROR(SUMPRODUCT(OFFSET($BJ$31,0,1-MIN(60,COLUMN()-29),1,MIN(60,COLUMN()-29)),OFFSET(DF749,0,-MIN(60,COLUMN()-29),1,MIN(60,COLUMN()-29))),0)</f>
        <v>0</v>
      </c>
      <c r="DG750" s="112" t="n">
        <f aca="true">IFERROR(SUMPRODUCT(OFFSET($BJ$31,0,1-MIN(60,COLUMN()-29),1,MIN(60,COLUMN()-29)),OFFSET(DG749,0,-MIN(60,COLUMN()-29),1,MIN(60,COLUMN()-29))),0)</f>
        <v>0</v>
      </c>
      <c r="DH750" s="112" t="n">
        <f aca="true">IFERROR(SUMPRODUCT(OFFSET($BJ$31,0,1-MIN(60,COLUMN()-29),1,MIN(60,COLUMN()-29)),OFFSET(DH749,0,-MIN(60,COLUMN()-29),1,MIN(60,COLUMN()-29))),0)</f>
        <v>0</v>
      </c>
      <c r="DI750" s="112" t="n">
        <f aca="true">IFERROR(SUMPRODUCT(OFFSET($BJ$31,0,1-MIN(60,COLUMN()-29),1,MIN(60,COLUMN()-29)),OFFSET(DI749,0,-MIN(60,COLUMN()-29),1,MIN(60,COLUMN()-29))),0)</f>
        <v>0</v>
      </c>
      <c r="DJ750" s="112" t="n">
        <f aca="true">IFERROR(SUMPRODUCT(OFFSET($BJ$31,0,1-MIN(60,COLUMN()-29),1,MIN(60,COLUMN()-29)),OFFSET(DJ749,0,-MIN(60,COLUMN()-29),1,MIN(60,COLUMN()-29))),0)</f>
        <v>0</v>
      </c>
      <c r="DK750" s="112" t="n">
        <f aca="true">IFERROR(SUMPRODUCT(OFFSET($BJ$31,0,1-MIN(60,COLUMN()-29),1,MIN(60,COLUMN()-29)),OFFSET(DK749,0,-MIN(60,COLUMN()-29),1,MIN(60,COLUMN()-29))),0)</f>
        <v>0</v>
      </c>
      <c r="DL750" s="112" t="n">
        <f aca="true">IFERROR(SUMPRODUCT(OFFSET($BJ$31,0,1-MIN(60,COLUMN()-29),1,MIN(60,COLUMN()-29)),OFFSET(DL749,0,-MIN(60,COLUMN()-29),1,MIN(60,COLUMN()-29))),0)</f>
        <v>0</v>
      </c>
      <c r="DM750" s="112" t="n">
        <f aca="true">IFERROR(SUMPRODUCT(OFFSET($BJ$31,0,1-MIN(60,COLUMN()-29),1,MIN(60,COLUMN()-29)),OFFSET(DM749,0,-MIN(60,COLUMN()-29),1,MIN(60,COLUMN()-29))),0)</f>
        <v>0</v>
      </c>
      <c r="DN750" s="112" t="n">
        <f aca="true">IFERROR(SUMPRODUCT(OFFSET($BJ$31,0,1-MIN(60,COLUMN()-29),1,MIN(60,COLUMN()-29)),OFFSET(DN749,0,-MIN(60,COLUMN()-29),1,MIN(60,COLUMN()-29))),0)</f>
        <v>0</v>
      </c>
      <c r="DO750" s="112" t="n">
        <f aca="true">IFERROR(SUMPRODUCT(OFFSET($BJ$31,0,1-MIN(60,COLUMN()-29),1,MIN(60,COLUMN()-29)),OFFSET(DO749,0,-MIN(60,COLUMN()-29),1,MIN(60,COLUMN()-29))),0)</f>
        <v>0</v>
      </c>
      <c r="DP750" s="112" t="n">
        <f aca="true">IFERROR(SUMPRODUCT(OFFSET($BJ$31,0,1-MIN(60,COLUMN()-29),1,MIN(60,COLUMN()-29)),OFFSET(DP749,0,-MIN(60,COLUMN()-29),1,MIN(60,COLUMN()-29))),0)</f>
        <v>0</v>
      </c>
      <c r="DQ750" s="112" t="n">
        <f aca="true">IFERROR(SUMPRODUCT(OFFSET($BJ$31,0,1-MIN(60,COLUMN()-29),1,MIN(60,COLUMN()-29)),OFFSET(DQ749,0,-MIN(60,COLUMN()-29),1,MIN(60,COLUMN()-29))),0)</f>
        <v>0</v>
      </c>
      <c r="DR750" s="112" t="n">
        <f aca="true">IFERROR(SUMPRODUCT(OFFSET($BJ$31,0,1-MIN(60,COLUMN()-29),1,MIN(60,COLUMN()-29)),OFFSET(DR749,0,-MIN(60,COLUMN()-29),1,MIN(60,COLUMN()-29))),0)</f>
        <v>0</v>
      </c>
      <c r="DS750" s="112" t="n">
        <f aca="true">IFERROR(SUMPRODUCT(OFFSET($BJ$31,0,1-MIN(60,COLUMN()-29),1,MIN(60,COLUMN()-29)),OFFSET(DS749,0,-MIN(60,COLUMN()-29),1,MIN(60,COLUMN()-29))),0)</f>
        <v>0</v>
      </c>
      <c r="DT750" s="112" t="n">
        <f aca="true">IFERROR(SUMPRODUCT(OFFSET($BJ$31,0,1-MIN(60,COLUMN()-29),1,MIN(60,COLUMN()-29)),OFFSET(DT749,0,-MIN(60,COLUMN()-29),1,MIN(60,COLUMN()-29))),0)</f>
        <v>0</v>
      </c>
      <c r="DU750" s="112" t="n">
        <f aca="true">IFERROR(SUMPRODUCT(OFFSET($BJ$31,0,1-MIN(60,COLUMN()-29),1,MIN(60,COLUMN()-29)),OFFSET(DU749,0,-MIN(60,COLUMN()-29),1,MIN(60,COLUMN()-29))),0)</f>
        <v>0</v>
      </c>
      <c r="DV750" s="112" t="n">
        <f aca="true">IFERROR(SUMPRODUCT(OFFSET($BJ$31,0,1-MIN(60,COLUMN()-29),1,MIN(60,COLUMN()-29)),OFFSET(DV749,0,-MIN(60,COLUMN()-29),1,MIN(60,COLUMN()-29))),0)</f>
        <v>0</v>
      </c>
      <c r="DW750" s="112" t="n">
        <f aca="true">IFERROR(SUMPRODUCT(OFFSET($BJ$31,0,1-MIN(60,COLUMN()-29),1,MIN(60,COLUMN()-29)),OFFSET(DW749,0,-MIN(60,COLUMN()-29),1,MIN(60,COLUMN()-29))),0)</f>
        <v>0</v>
      </c>
      <c r="DX750" s="112" t="n">
        <f aca="true">IFERROR(SUMPRODUCT(OFFSET($BJ$31,0,1-MIN(60,COLUMN()-29),1,MIN(60,COLUMN()-29)),OFFSET(DX749,0,-MIN(60,COLUMN()-29),1,MIN(60,COLUMN()-29))),0)</f>
        <v>0</v>
      </c>
      <c r="DY750" s="112" t="n">
        <f aca="true">IFERROR(SUMPRODUCT(OFFSET($BJ$31,0,1-MIN(60,COLUMN()-29),1,MIN(60,COLUMN()-29)),OFFSET(DY749,0,-MIN(60,COLUMN()-29),1,MIN(60,COLUMN()-29))),0)</f>
        <v>0</v>
      </c>
      <c r="DZ750" s="112" t="n">
        <f aca="true">IFERROR(SUMPRODUCT(OFFSET($BJ$31,0,1-MIN(60,COLUMN()-29),1,MIN(60,COLUMN()-29)),OFFSET(DZ749,0,-MIN(60,COLUMN()-29),1,MIN(60,COLUMN()-29))),0)</f>
        <v>0</v>
      </c>
      <c r="EA750" s="112" t="n">
        <f aca="true">IFERROR(SUMPRODUCT(OFFSET($BJ$31,0,1-MIN(60,COLUMN()-29),1,MIN(60,COLUMN()-29)),OFFSET(EA749,0,-MIN(60,COLUMN()-29),1,MIN(60,COLUMN()-29))),0)</f>
        <v>0</v>
      </c>
      <c r="EB750" s="112" t="n">
        <f aca="true">IFERROR(SUMPRODUCT(OFFSET($BJ$31,0,1-MIN(60,COLUMN()-29),1,MIN(60,COLUMN()-29)),OFFSET(EB749,0,-MIN(60,COLUMN()-29),1,MIN(60,COLUMN()-29))),0)</f>
        <v>0</v>
      </c>
      <c r="EC750" s="112" t="n">
        <f aca="true">IFERROR(SUMPRODUCT(OFFSET($BJ$31,0,1-MIN(60,COLUMN()-29),1,MIN(60,COLUMN()-29)),OFFSET(EC749,0,-MIN(60,COLUMN()-29),1,MIN(60,COLUMN()-29))),0)</f>
        <v>0</v>
      </c>
      <c r="ED750" s="112" t="n">
        <f aca="true">IFERROR(SUMPRODUCT(OFFSET($BJ$31,0,1-MIN(60,COLUMN()-29),1,MIN(60,COLUMN()-29)),OFFSET(ED749,0,-MIN(60,COLUMN()-29),1,MIN(60,COLUMN()-29))),0)</f>
        <v>0</v>
      </c>
      <c r="EE750" s="112" t="n">
        <f aca="true">IFERROR(SUMPRODUCT(OFFSET($BJ$31,0,1-MIN(60,COLUMN()-29),1,MIN(60,COLUMN()-29)),OFFSET(EE749,0,-MIN(60,COLUMN()-29),1,MIN(60,COLUMN()-29))),0)</f>
        <v>0</v>
      </c>
      <c r="EF750" s="112" t="n">
        <f aca="true">IFERROR(SUMPRODUCT(OFFSET($BJ$31,0,1-MIN(60,COLUMN()-29),1,MIN(60,COLUMN()-29)),OFFSET(EF749,0,-MIN(60,COLUMN()-29),1,MIN(60,COLUMN()-29))),0)</f>
        <v>0</v>
      </c>
      <c r="EG750" s="112" t="n">
        <f aca="true">IFERROR(SUMPRODUCT(OFFSET($BJ$31,0,1-MIN(60,COLUMN()-29),1,MIN(60,COLUMN()-29)),OFFSET(EG749,0,-MIN(60,COLUMN()-29),1,MIN(60,COLUMN()-29))),0)</f>
        <v>0</v>
      </c>
      <c r="EH750" s="112" t="n">
        <f aca="true">IFERROR(SUMPRODUCT(OFFSET($BJ$31,0,1-MIN(60,COLUMN()-29),1,MIN(60,COLUMN()-29)),OFFSET(EH749,0,-MIN(60,COLUMN()-29),1,MIN(60,COLUMN()-29))),0)</f>
        <v>0</v>
      </c>
      <c r="EI750" s="112" t="n">
        <f aca="true">IFERROR(SUMPRODUCT(OFFSET($BJ$31,0,1-MIN(60,COLUMN()-29),1,MIN(60,COLUMN()-29)),OFFSET(EI749,0,-MIN(60,COLUMN()-29),1,MIN(60,COLUMN()-29))),0)</f>
        <v>0</v>
      </c>
      <c r="EJ750" s="112" t="n">
        <f aca="true">IFERROR(SUMPRODUCT(OFFSET($BJ$31,0,1-MIN(60,COLUMN()-29),1,MIN(60,COLUMN()-29)),OFFSET(EJ749,0,-MIN(60,COLUMN()-29),1,MIN(60,COLUMN()-29))),0)</f>
        <v>0</v>
      </c>
      <c r="EK750" s="112" t="n">
        <f aca="true">IFERROR(SUMPRODUCT(OFFSET($BJ$31,0,1-MIN(60,COLUMN()-29),1,MIN(60,COLUMN()-29)),OFFSET(EK749,0,-MIN(60,COLUMN()-29),1,MIN(60,COLUMN()-29))),0)</f>
        <v>0</v>
      </c>
      <c r="EL750" s="112" t="n">
        <f aca="true">IFERROR(SUMPRODUCT(OFFSET($BJ$31,0,1-MIN(60,COLUMN()-29),1,MIN(60,COLUMN()-29)),OFFSET(EL749,0,-MIN(60,COLUMN()-29),1,MIN(60,COLUMN()-29))),0)</f>
        <v>0</v>
      </c>
      <c r="EM750" s="112" t="n">
        <f aca="true">IFERROR(SUMPRODUCT(OFFSET($BJ$31,0,1-MIN(60,COLUMN()-29),1,MIN(60,COLUMN()-29)),OFFSET(EM749,0,-MIN(60,COLUMN()-29),1,MIN(60,COLUMN()-29))),0)</f>
        <v>0</v>
      </c>
      <c r="EN750" s="112" t="n">
        <f aca="true">IFERROR(SUMPRODUCT(OFFSET($BJ$31,0,1-MIN(60,COLUMN()-29),1,MIN(60,COLUMN()-29)),OFFSET(EN749,0,-MIN(60,COLUMN()-29),1,MIN(60,COLUMN()-29))),0)</f>
        <v>0</v>
      </c>
      <c r="EO750" s="112" t="n">
        <f aca="true">IFERROR(SUMPRODUCT(OFFSET($BJ$31,0,1-MIN(60,COLUMN()-29),1,MIN(60,COLUMN()-29)),OFFSET(EO749,0,-MIN(60,COLUMN()-29),1,MIN(60,COLUMN()-29))),0)</f>
        <v>0</v>
      </c>
      <c r="EP750" s="112" t="n">
        <f aca="true">IFERROR(SUMPRODUCT(OFFSET($BJ$31,0,1-MIN(60,COLUMN()-29),1,MIN(60,COLUMN()-29)),OFFSET(EP749,0,-MIN(60,COLUMN()-29),1,MIN(60,COLUMN()-29))),0)</f>
        <v>0</v>
      </c>
      <c r="EQ750" s="112" t="n">
        <f aca="true">IFERROR(SUMPRODUCT(OFFSET($BJ$31,0,1-MIN(60,COLUMN()-29),1,MIN(60,COLUMN()-29)),OFFSET(EQ749,0,-MIN(60,COLUMN()-29),1,MIN(60,COLUMN()-29))),0)</f>
        <v>0</v>
      </c>
      <c r="ER750" s="112" t="n">
        <f aca="true">IFERROR(SUMPRODUCT(OFFSET($BJ$31,0,1-MIN(60,COLUMN()-29),1,MIN(60,COLUMN()-29)),OFFSET(ER749,0,-MIN(60,COLUMN()-29),1,MIN(60,COLUMN()-29))),0)</f>
        <v>0</v>
      </c>
      <c r="ES750" s="9" t="n">
        <f aca="true">IFERROR(SUMPRODUCT(OFFSET($BJ$31,0,1-MIN(60,COLUMN()-29),1,MIN(60,COLUMN()-29)),OFFSET(ES749,0,-MIN(60,COLUMN()-29),1,MIN(60,COLUMN()-29))),0)</f>
        <v>0</v>
      </c>
      <c r="ET750" s="9" t="n">
        <f aca="true">IFERROR(SUMPRODUCT(OFFSET($BJ$31,0,1-MIN(60,COLUMN()-29),1,MIN(60,COLUMN()-29)),OFFSET(ET749,0,-MIN(60,COLUMN()-29),1,MIN(60,COLUMN()-29))),0)</f>
        <v>0</v>
      </c>
      <c r="EU750" s="9" t="n">
        <f aca="true">IFERROR(SUMPRODUCT(OFFSET($BJ$31,0,1-MIN(60,COLUMN()-29),1,MIN(60,COLUMN()-29)),OFFSET(EU749,0,-MIN(60,COLUMN()-29),1,MIN(60,COLUMN()-29))),0)</f>
        <v>0</v>
      </c>
      <c r="EV750" s="9" t="n">
        <f aca="true">IFERROR(SUMPRODUCT(OFFSET($BJ$31,0,1-MIN(60,COLUMN()-29),1,MIN(60,COLUMN()-29)),OFFSET(EV749,0,-MIN(60,COLUMN()-29),1,MIN(60,COLUMN()-29))),0)</f>
        <v>0</v>
      </c>
      <c r="EW750" s="9" t="n">
        <f aca="true">IFERROR(SUMPRODUCT(OFFSET($BJ$31,0,1-MIN(60,COLUMN()-29),1,MIN(60,COLUMN()-29)),OFFSET(EW749,0,-MIN(60,COLUMN()-29),1,MIN(60,COLUMN()-29))),0)</f>
        <v>0</v>
      </c>
      <c r="EX750" s="9" t="n">
        <f aca="true">IFERROR(SUMPRODUCT(OFFSET($BJ$31,0,1-MIN(60,COLUMN()-29),1,MIN(60,COLUMN()-29)),OFFSET(EX749,0,-MIN(60,COLUMN()-29),1,MIN(60,COLUMN()-29))),0)</f>
        <v>0</v>
      </c>
      <c r="EY750" s="9" t="n">
        <f aca="true">IFERROR(SUMPRODUCT(OFFSET($BJ$31,0,1-MIN(60,COLUMN()-29),1,MIN(60,COLUMN()-29)),OFFSET(EY749,0,-MIN(60,COLUMN()-29),1,MIN(60,COLUMN()-29))),0)</f>
        <v>0</v>
      </c>
      <c r="EZ750" s="9" t="n">
        <f aca="true">IFERROR(SUMPRODUCT(OFFSET($BJ$31,0,1-MIN(60,COLUMN()-29),1,MIN(60,COLUMN()-29)),OFFSET(EZ749,0,-MIN(60,COLUMN()-29),1,MIN(60,COLUMN()-29))),0)</f>
        <v>3.97824</v>
      </c>
      <c r="FA750" s="9" t="n">
        <f aca="true">IFERROR(SUMPRODUCT(OFFSET($BJ$31,0,1-MIN(60,COLUMN()-29),1,MIN(60,COLUMN()-29)),OFFSET(FA749,0,-MIN(60,COLUMN()-29),1,MIN(60,COLUMN()-29))),0)</f>
        <v>7.94464</v>
      </c>
      <c r="FB750" s="9" t="n">
        <f aca="true">IFERROR(SUMPRODUCT(OFFSET($BJ$31,0,1-MIN(60,COLUMN()-29),1,MIN(60,COLUMN()-29)),OFFSET(FB749,0,-MIN(60,COLUMN()-29),1,MIN(60,COLUMN()-29))),0)</f>
        <v>8.3058784</v>
      </c>
      <c r="FC750" s="9" t="n">
        <f aca="true">IFERROR(SUMPRODUCT(OFFSET($BJ$31,0,1-MIN(60,COLUMN()-29),1,MIN(60,COLUMN()-29)),OFFSET(FC749,0,-MIN(60,COLUMN()-29),1,MIN(60,COLUMN()-29))),0)</f>
        <v>8.736736</v>
      </c>
      <c r="FD750" s="9" t="n">
        <f aca="true">IFERROR(SUMPRODUCT(OFFSET($BJ$31,0,1-MIN(60,COLUMN()-29),1,MIN(60,COLUMN()-29)),OFFSET(FD749,0,-MIN(60,COLUMN()-29),1,MIN(60,COLUMN()-29))),0)</f>
        <v>7.639168</v>
      </c>
      <c r="FE750" s="9" t="n">
        <f aca="true">IFERROR(SUMPRODUCT(OFFSET($BJ$31,0,1-MIN(60,COLUMN()-29),1,MIN(60,COLUMN()-29)),OFFSET(FE749,0,-MIN(60,COLUMN()-29),1,MIN(60,COLUMN()-29))),0)</f>
        <v>10.5579648</v>
      </c>
      <c r="FF750" s="9" t="n">
        <f aca="true">IFERROR(SUMPRODUCT(OFFSET($BJ$31,0,1-MIN(60,COLUMN()-29),1,MIN(60,COLUMN()-29)),OFFSET(FF749,0,-MIN(60,COLUMN()-29),1,MIN(60,COLUMN()-29))),0)</f>
        <v>12.669096</v>
      </c>
      <c r="FG750" s="9" t="n">
        <f aca="true">IFERROR(SUMPRODUCT(OFFSET($BJ$31,0,1-MIN(60,COLUMN()-29),1,MIN(60,COLUMN()-29)),OFFSET(FG749,0,-MIN(60,COLUMN()-29),1,MIN(60,COLUMN()-29))),0)</f>
        <v>12.3557504</v>
      </c>
      <c r="FH750" s="9" t="n">
        <f aca="true">IFERROR(SUMPRODUCT(OFFSET($BJ$31,0,1-MIN(60,COLUMN()-29),1,MIN(60,COLUMN()-29)),OFFSET(FH749,0,-MIN(60,COLUMN()-29),1,MIN(60,COLUMN()-29))),0)</f>
        <v>17.4180016</v>
      </c>
      <c r="FI750" s="9" t="n">
        <f aca="true">IFERROR(SUMPRODUCT(OFFSET($BJ$31,0,1-MIN(60,COLUMN()-29),1,MIN(60,COLUMN()-29)),OFFSET(FI749,0,-MIN(60,COLUMN()-29),1,MIN(60,COLUMN()-29))),0)</f>
        <v>18.1938176</v>
      </c>
      <c r="FJ750" s="9" t="n">
        <f aca="true">IFERROR(SUMPRODUCT(OFFSET($BJ$31,0,1-MIN(60,COLUMN()-29),1,MIN(60,COLUMN()-29)),OFFSET(FJ749,0,-MIN(60,COLUMN()-29),1,MIN(60,COLUMN()-29))),0)</f>
        <v>18.274152</v>
      </c>
      <c r="FK750" s="9" t="n">
        <f aca="true">IFERROR(SUMPRODUCT(OFFSET($BJ$31,0,1-MIN(60,COLUMN()-29),1,MIN(60,COLUMN()-29)),OFFSET(FK749,0,-MIN(60,COLUMN()-29),1,MIN(60,COLUMN()-29))),0)</f>
        <v>18.9123872</v>
      </c>
      <c r="FL750" s="9" t="n">
        <f aca="true">IFERROR(SUMPRODUCT(OFFSET($BJ$31,0,1-MIN(60,COLUMN()-29),1,MIN(60,COLUMN()-29)),OFFSET(FL749,0,-MIN(60,COLUMN()-29),1,MIN(60,COLUMN()-29))),0)</f>
        <v>22.079824</v>
      </c>
      <c r="FM750" s="9" t="n">
        <f aca="true">IFERROR(SUMPRODUCT(OFFSET($BJ$31,0,1-MIN(60,COLUMN()-29),1,MIN(60,COLUMN()-29)),OFFSET(FM749,0,-MIN(60,COLUMN()-29),1,MIN(60,COLUMN()-29))),0)</f>
        <v>32.203024</v>
      </c>
      <c r="FN750" s="9" t="n">
        <f aca="true">IFERROR(SUMPRODUCT(OFFSET($BJ$31,0,1-MIN(60,COLUMN()-29),1,MIN(60,COLUMN()-29)),OFFSET(FN749,0,-MIN(60,COLUMN()-29),1,MIN(60,COLUMN()-29))),0)</f>
        <v>31.1272416</v>
      </c>
      <c r="FO750" s="9" t="n">
        <f aca="true">IFERROR(SUMPRODUCT(OFFSET($BJ$31,0,1-MIN(60,COLUMN()-29),1,MIN(60,COLUMN()-29)),OFFSET(FO749,0,-MIN(60,COLUMN()-29),1,MIN(60,COLUMN()-29))),0)</f>
        <v>33.238432</v>
      </c>
      <c r="FP750" s="9" t="n">
        <f aca="true">IFERROR(SUMPRODUCT(OFFSET($BJ$31,0,1-MIN(60,COLUMN()-29),1,MIN(60,COLUMN()-29)),OFFSET(FP749,0,-MIN(60,COLUMN()-29),1,MIN(60,COLUMN()-29))),0)</f>
        <v>31.22846176</v>
      </c>
    </row>
    <row r="751" customFormat="false" ht="15" hidden="false" customHeight="false" outlineLevel="2" collapsed="false">
      <c r="B751" s="90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237"/>
      <c r="AD751" s="237"/>
      <c r="AE751" s="237"/>
      <c r="AF751" s="237"/>
      <c r="AG751" s="237"/>
      <c r="AH751" s="237"/>
      <c r="AI751" s="237"/>
      <c r="AJ751" s="237"/>
      <c r="AK751" s="237"/>
      <c r="AL751" s="237"/>
      <c r="AM751" s="237"/>
      <c r="AN751" s="237"/>
      <c r="AO751" s="237"/>
      <c r="AP751" s="237"/>
      <c r="AQ751" s="237"/>
      <c r="AR751" s="237"/>
      <c r="AS751" s="237"/>
      <c r="AT751" s="237"/>
      <c r="AU751" s="237"/>
      <c r="AV751" s="237"/>
      <c r="AW751" s="237"/>
      <c r="AX751" s="237"/>
      <c r="AY751" s="237"/>
      <c r="AZ751" s="237"/>
      <c r="BA751" s="237"/>
      <c r="BB751" s="237"/>
      <c r="BC751" s="237"/>
      <c r="BD751" s="237"/>
      <c r="BE751" s="237"/>
      <c r="BF751" s="237"/>
      <c r="BG751" s="237"/>
      <c r="BH751" s="237"/>
      <c r="BI751" s="237"/>
      <c r="BJ751" s="237"/>
      <c r="BK751" s="237"/>
      <c r="BL751" s="237"/>
      <c r="BM751" s="237"/>
      <c r="BN751" s="237"/>
      <c r="BO751" s="237"/>
      <c r="BP751" s="237"/>
      <c r="BQ751" s="237"/>
      <c r="BR751" s="237"/>
      <c r="BS751" s="237"/>
      <c r="BT751" s="237"/>
      <c r="BU751" s="237"/>
      <c r="BV751" s="237"/>
      <c r="BW751" s="237"/>
      <c r="BX751" s="237"/>
      <c r="BY751" s="237"/>
      <c r="BZ751" s="237"/>
      <c r="CA751" s="237"/>
      <c r="CB751" s="237"/>
      <c r="CC751" s="237"/>
      <c r="CD751" s="237"/>
      <c r="CE751" s="237"/>
      <c r="CF751" s="237"/>
      <c r="CG751" s="237"/>
      <c r="CH751" s="237"/>
      <c r="CI751" s="237"/>
      <c r="CJ751" s="237"/>
      <c r="CK751" s="237"/>
      <c r="CL751" s="237"/>
      <c r="CM751" s="237"/>
      <c r="CN751" s="237"/>
      <c r="CO751" s="237"/>
      <c r="CP751" s="237"/>
      <c r="CQ751" s="237"/>
      <c r="CR751" s="237"/>
      <c r="CS751" s="237"/>
      <c r="CT751" s="237"/>
      <c r="CU751" s="237"/>
      <c r="CV751" s="237"/>
      <c r="CW751" s="237"/>
      <c r="CX751" s="237"/>
      <c r="CY751" s="237"/>
      <c r="CZ751" s="237"/>
      <c r="DA751" s="237"/>
      <c r="DB751" s="237"/>
      <c r="DC751" s="237"/>
      <c r="DD751" s="237"/>
      <c r="DE751" s="237"/>
      <c r="DF751" s="237"/>
      <c r="DG751" s="237"/>
      <c r="DH751" s="237"/>
      <c r="DI751" s="237"/>
      <c r="DJ751" s="237"/>
      <c r="DK751" s="237"/>
      <c r="DL751" s="237"/>
      <c r="DM751" s="237"/>
      <c r="DN751" s="237"/>
      <c r="DO751" s="237"/>
      <c r="DP751" s="237"/>
      <c r="DQ751" s="237"/>
      <c r="DR751" s="237"/>
      <c r="DS751" s="237"/>
      <c r="DT751" s="237"/>
      <c r="DU751" s="237"/>
      <c r="DV751" s="237"/>
      <c r="DW751" s="237"/>
      <c r="DX751" s="237"/>
      <c r="DY751" s="237"/>
      <c r="DZ751" s="237"/>
      <c r="EA751" s="237"/>
      <c r="EB751" s="237"/>
      <c r="EC751" s="237"/>
      <c r="ED751" s="237"/>
      <c r="EE751" s="237"/>
      <c r="EF751" s="237"/>
      <c r="EG751" s="237"/>
      <c r="EH751" s="237"/>
      <c r="EI751" s="237"/>
      <c r="EJ751" s="237"/>
      <c r="EK751" s="237"/>
      <c r="EL751" s="237"/>
      <c r="EM751" s="237"/>
      <c r="EN751" s="237"/>
      <c r="EO751" s="237"/>
      <c r="EP751" s="237"/>
      <c r="EQ751" s="237"/>
      <c r="ER751" s="237"/>
      <c r="ES751" s="9"/>
      <c r="ET751" s="9"/>
      <c r="EU751" s="9"/>
      <c r="EV751" s="9"/>
      <c r="EW751" s="9"/>
      <c r="EX751" s="9"/>
      <c r="EY751" s="9"/>
      <c r="EZ751" s="9"/>
      <c r="FA751" s="9"/>
      <c r="FB751" s="9"/>
      <c r="FC751" s="9"/>
      <c r="FD751" s="9"/>
      <c r="FE751" s="9"/>
      <c r="FF751" s="9"/>
      <c r="FG751" s="9"/>
      <c r="FH751" s="9"/>
      <c r="FI751" s="9"/>
      <c r="FJ751" s="9"/>
      <c r="FK751" s="9"/>
      <c r="FL751" s="9"/>
      <c r="FM751" s="9"/>
      <c r="FN751" s="9"/>
      <c r="FO751" s="9"/>
      <c r="FP751" s="9"/>
    </row>
    <row r="752" customFormat="false" ht="15" hidden="false" customHeight="false" outlineLevel="2" collapsed="false">
      <c r="B752" s="240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237"/>
      <c r="AD752" s="237"/>
      <c r="AE752" s="237"/>
      <c r="AF752" s="237"/>
      <c r="AG752" s="237"/>
      <c r="AH752" s="237"/>
      <c r="AI752" s="237"/>
      <c r="AJ752" s="237"/>
      <c r="AK752" s="237"/>
      <c r="AL752" s="237"/>
      <c r="AM752" s="237"/>
      <c r="AN752" s="237"/>
      <c r="AO752" s="237"/>
      <c r="AP752" s="237"/>
      <c r="AQ752" s="237"/>
      <c r="AR752" s="237"/>
      <c r="AS752" s="237"/>
      <c r="AT752" s="237"/>
      <c r="AU752" s="237"/>
      <c r="AV752" s="237"/>
      <c r="AW752" s="237"/>
      <c r="AX752" s="237"/>
      <c r="AY752" s="237"/>
      <c r="AZ752" s="237"/>
      <c r="BA752" s="237"/>
      <c r="BB752" s="237"/>
      <c r="BC752" s="237"/>
      <c r="BD752" s="237"/>
      <c r="BE752" s="237"/>
      <c r="BF752" s="237"/>
      <c r="BG752" s="237"/>
      <c r="BH752" s="237"/>
      <c r="BI752" s="237"/>
      <c r="BJ752" s="237"/>
      <c r="BK752" s="237"/>
      <c r="BL752" s="237"/>
      <c r="BM752" s="237"/>
      <c r="BN752" s="237"/>
      <c r="BO752" s="237"/>
      <c r="BP752" s="237"/>
      <c r="BQ752" s="237"/>
      <c r="BR752" s="237"/>
      <c r="BS752" s="237"/>
      <c r="BT752" s="237"/>
      <c r="BU752" s="237"/>
      <c r="BV752" s="237"/>
      <c r="BW752" s="237"/>
      <c r="BX752" s="237"/>
      <c r="BY752" s="237"/>
      <c r="BZ752" s="237"/>
      <c r="CA752" s="237"/>
      <c r="CB752" s="237"/>
      <c r="CC752" s="237"/>
      <c r="CD752" s="237"/>
      <c r="CE752" s="237"/>
      <c r="CF752" s="237"/>
      <c r="CG752" s="237"/>
      <c r="CH752" s="237"/>
      <c r="CI752" s="237"/>
      <c r="CJ752" s="237"/>
      <c r="CK752" s="237"/>
      <c r="CL752" s="237"/>
      <c r="CM752" s="237"/>
      <c r="CN752" s="237"/>
      <c r="CO752" s="237"/>
      <c r="CP752" s="237"/>
      <c r="CQ752" s="237"/>
      <c r="CR752" s="237"/>
      <c r="CS752" s="237"/>
      <c r="CT752" s="237"/>
      <c r="CU752" s="237"/>
      <c r="CV752" s="237"/>
      <c r="CW752" s="237"/>
      <c r="CX752" s="237"/>
      <c r="CY752" s="237"/>
      <c r="CZ752" s="237"/>
      <c r="DA752" s="237"/>
      <c r="DB752" s="237"/>
      <c r="DC752" s="237"/>
      <c r="DD752" s="237"/>
      <c r="DE752" s="237"/>
      <c r="DF752" s="237"/>
      <c r="DG752" s="237"/>
      <c r="DH752" s="237"/>
      <c r="DI752" s="237"/>
      <c r="DJ752" s="237"/>
      <c r="DK752" s="237"/>
      <c r="DL752" s="237"/>
      <c r="DM752" s="237"/>
      <c r="DN752" s="237"/>
      <c r="DO752" s="237"/>
      <c r="DP752" s="237"/>
      <c r="DQ752" s="237"/>
      <c r="DR752" s="237"/>
      <c r="DS752" s="237"/>
      <c r="DT752" s="237"/>
      <c r="DU752" s="237"/>
      <c r="DV752" s="237"/>
      <c r="DW752" s="237"/>
      <c r="DX752" s="237"/>
      <c r="DY752" s="237"/>
      <c r="DZ752" s="237"/>
      <c r="EA752" s="237"/>
      <c r="EB752" s="237"/>
      <c r="EC752" s="237"/>
      <c r="ED752" s="237"/>
      <c r="EE752" s="237"/>
      <c r="EF752" s="237"/>
      <c r="EG752" s="237"/>
      <c r="EH752" s="237"/>
      <c r="EI752" s="237"/>
      <c r="EJ752" s="237"/>
      <c r="EK752" s="237"/>
      <c r="EL752" s="237"/>
      <c r="EM752" s="237"/>
      <c r="EN752" s="237"/>
      <c r="EO752" s="237"/>
      <c r="EP752" s="237"/>
      <c r="EQ752" s="237"/>
      <c r="ER752" s="237"/>
      <c r="ES752" s="9"/>
      <c r="ET752" s="9"/>
      <c r="EU752" s="9"/>
      <c r="EV752" s="9"/>
      <c r="EW752" s="9"/>
      <c r="EX752" s="9"/>
      <c r="EY752" s="9"/>
      <c r="EZ752" s="9"/>
      <c r="FA752" s="9"/>
      <c r="FB752" s="9"/>
      <c r="FC752" s="9"/>
      <c r="FD752" s="9"/>
      <c r="FE752" s="9"/>
      <c r="FF752" s="9"/>
      <c r="FG752" s="9"/>
      <c r="FH752" s="9"/>
      <c r="FI752" s="9"/>
      <c r="FJ752" s="9"/>
      <c r="FK752" s="9"/>
      <c r="FL752" s="9"/>
      <c r="FM752" s="9"/>
      <c r="FN752" s="9"/>
      <c r="FO752" s="9"/>
      <c r="FP752" s="9"/>
    </row>
    <row r="753" customFormat="false" ht="15" hidden="false" customHeight="false" outlineLevel="2" collapsed="false">
      <c r="B753" s="21" t="s">
        <v>948</v>
      </c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  <c r="AP753" s="21"/>
      <c r="AQ753" s="21"/>
      <c r="AR753" s="21"/>
      <c r="AS753" s="21"/>
      <c r="AT753" s="21"/>
      <c r="AU753" s="21"/>
      <c r="AV753" s="21"/>
      <c r="AW753" s="21"/>
      <c r="AX753" s="21"/>
      <c r="AY753" s="21"/>
      <c r="AZ753" s="21"/>
      <c r="BA753" s="21"/>
      <c r="BB753" s="21"/>
      <c r="BC753" s="21"/>
      <c r="BD753" s="21"/>
      <c r="BE753" s="21"/>
      <c r="BF753" s="21"/>
      <c r="BG753" s="21"/>
      <c r="BH753" s="21"/>
      <c r="BI753" s="21"/>
      <c r="BJ753" s="21"/>
      <c r="BK753" s="21"/>
      <c r="BL753" s="21"/>
      <c r="BM753" s="21"/>
      <c r="BN753" s="21"/>
      <c r="BO753" s="21"/>
      <c r="BP753" s="21"/>
      <c r="BQ753" s="21"/>
      <c r="BR753" s="21"/>
      <c r="BS753" s="21"/>
      <c r="BT753" s="21"/>
      <c r="BU753" s="21"/>
      <c r="BV753" s="21"/>
      <c r="BW753" s="21"/>
      <c r="BX753" s="21"/>
      <c r="BY753" s="21"/>
      <c r="BZ753" s="21"/>
      <c r="CA753" s="21"/>
      <c r="CB753" s="21"/>
      <c r="CC753" s="21"/>
      <c r="CD753" s="21"/>
      <c r="CE753" s="21"/>
      <c r="CF753" s="21"/>
      <c r="CG753" s="21"/>
      <c r="CH753" s="21"/>
      <c r="CI753" s="21"/>
      <c r="CJ753" s="21"/>
      <c r="CK753" s="21"/>
      <c r="CL753" s="21"/>
      <c r="CM753" s="21"/>
      <c r="CN753" s="21"/>
      <c r="CO753" s="21"/>
      <c r="CP753" s="21"/>
      <c r="CQ753" s="21"/>
      <c r="CR753" s="21"/>
      <c r="CS753" s="21"/>
      <c r="CT753" s="21"/>
      <c r="CU753" s="21"/>
      <c r="CV753" s="21"/>
      <c r="CW753" s="21"/>
      <c r="CX753" s="21"/>
      <c r="CY753" s="21"/>
      <c r="CZ753" s="21"/>
      <c r="DA753" s="21"/>
      <c r="DB753" s="21"/>
      <c r="DC753" s="21"/>
      <c r="DD753" s="21"/>
      <c r="DE753" s="21"/>
      <c r="DF753" s="21"/>
      <c r="DG753" s="21"/>
      <c r="DH753" s="21"/>
      <c r="DI753" s="21"/>
      <c r="DJ753" s="21"/>
      <c r="DK753" s="21"/>
      <c r="DL753" s="21"/>
      <c r="DM753" s="21"/>
      <c r="DN753" s="21"/>
      <c r="DO753" s="21"/>
      <c r="DP753" s="21"/>
      <c r="DQ753" s="21"/>
      <c r="DR753" s="21"/>
      <c r="DS753" s="21"/>
      <c r="DT753" s="21"/>
      <c r="DU753" s="21"/>
      <c r="DV753" s="21"/>
      <c r="DW753" s="21"/>
      <c r="DX753" s="21"/>
      <c r="DY753" s="21"/>
      <c r="DZ753" s="21"/>
      <c r="EA753" s="21"/>
      <c r="EB753" s="21"/>
      <c r="EC753" s="21"/>
      <c r="ED753" s="21"/>
      <c r="EE753" s="21"/>
      <c r="EF753" s="21"/>
      <c r="EG753" s="21"/>
      <c r="EH753" s="21"/>
      <c r="EI753" s="21"/>
      <c r="EJ753" s="21"/>
      <c r="EK753" s="21"/>
      <c r="EL753" s="21"/>
      <c r="EM753" s="21"/>
      <c r="EN753" s="21"/>
      <c r="EO753" s="21"/>
      <c r="EP753" s="21"/>
      <c r="EQ753" s="21"/>
      <c r="ER753" s="21"/>
      <c r="ES753" s="9"/>
      <c r="ET753" s="9"/>
      <c r="EU753" s="9"/>
      <c r="EV753" s="9"/>
      <c r="EW753" s="9"/>
      <c r="EX753" s="9"/>
      <c r="EY753" s="9"/>
      <c r="EZ753" s="9"/>
      <c r="FA753" s="9"/>
      <c r="FB753" s="9"/>
      <c r="FC753" s="9"/>
      <c r="FD753" s="9"/>
      <c r="FE753" s="9"/>
      <c r="FF753" s="9"/>
      <c r="FG753" s="9"/>
      <c r="FH753" s="9"/>
      <c r="FI753" s="9"/>
      <c r="FJ753" s="9"/>
      <c r="FK753" s="9"/>
      <c r="FL753" s="9"/>
      <c r="FM753" s="9"/>
      <c r="FN753" s="9"/>
      <c r="FO753" s="9"/>
      <c r="FP753" s="9"/>
    </row>
    <row r="754" customFormat="false" ht="15" hidden="false" customHeight="false" outlineLevel="2" collapsed="false">
      <c r="B754" s="9" t="s">
        <v>872</v>
      </c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234" t="n">
        <f aca="false">('⑫ Roll-out Plan'!G80-2025)*12+'⑫ Roll-out Plan'!F80</f>
        <v>128</v>
      </c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  <c r="CO754" s="9"/>
      <c r="CP754" s="9"/>
      <c r="CQ754" s="9"/>
      <c r="CR754" s="9"/>
      <c r="CS754" s="9"/>
      <c r="CT754" s="9"/>
      <c r="CU754" s="9"/>
      <c r="CV754" s="9"/>
      <c r="CW754" s="9"/>
      <c r="CX754" s="9"/>
      <c r="CY754" s="9"/>
      <c r="CZ754" s="9"/>
      <c r="DA754" s="9"/>
      <c r="DB754" s="9"/>
      <c r="DC754" s="9"/>
      <c r="DD754" s="9"/>
      <c r="DE754" s="9"/>
      <c r="DF754" s="9"/>
      <c r="DG754" s="9"/>
      <c r="DH754" s="9"/>
      <c r="DI754" s="9"/>
      <c r="DJ754" s="9"/>
      <c r="DK754" s="9"/>
      <c r="DL754" s="9"/>
      <c r="DM754" s="9"/>
      <c r="DN754" s="9"/>
      <c r="DO754" s="9"/>
      <c r="DP754" s="9"/>
      <c r="DQ754" s="9"/>
      <c r="DR754" s="9"/>
      <c r="DS754" s="9"/>
      <c r="DT754" s="9"/>
      <c r="DU754" s="9"/>
      <c r="DV754" s="9"/>
      <c r="DW754" s="9"/>
      <c r="DX754" s="9"/>
      <c r="DY754" s="9"/>
      <c r="DZ754" s="9"/>
      <c r="EA754" s="9"/>
      <c r="EB754" s="9"/>
      <c r="EC754" s="9"/>
      <c r="ED754" s="9"/>
      <c r="EE754" s="9"/>
      <c r="EF754" s="9"/>
      <c r="EG754" s="9"/>
      <c r="EH754" s="9"/>
      <c r="EI754" s="9"/>
      <c r="EJ754" s="9"/>
      <c r="EK754" s="9"/>
      <c r="EL754" s="9"/>
      <c r="EM754" s="9"/>
      <c r="EN754" s="9"/>
      <c r="EO754" s="9"/>
      <c r="EP754" s="9"/>
      <c r="EQ754" s="9"/>
      <c r="ER754" s="9"/>
      <c r="ES754" s="9"/>
      <c r="ET754" s="9"/>
      <c r="EU754" s="9"/>
      <c r="EV754" s="9"/>
      <c r="EW754" s="9"/>
      <c r="EX754" s="9"/>
      <c r="EY754" s="9"/>
      <c r="EZ754" s="9"/>
      <c r="FA754" s="9"/>
      <c r="FB754" s="9"/>
      <c r="FC754" s="9"/>
      <c r="FD754" s="9"/>
      <c r="FE754" s="9"/>
      <c r="FF754" s="9"/>
      <c r="FG754" s="9"/>
      <c r="FH754" s="9"/>
      <c r="FI754" s="9"/>
      <c r="FJ754" s="9"/>
      <c r="FK754" s="9"/>
      <c r="FL754" s="9"/>
      <c r="FM754" s="9"/>
      <c r="FN754" s="9"/>
      <c r="FO754" s="9"/>
      <c r="FP754" s="9"/>
    </row>
    <row r="755" customFormat="false" ht="15" hidden="false" customHeight="false" outlineLevel="2" collapsed="false">
      <c r="B755" s="9" t="s">
        <v>873</v>
      </c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235" t="n">
        <f aca="false">VLOOKUP("B",$B$14:$C$18,2,FALSE())</f>
        <v>185</v>
      </c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9"/>
      <c r="CN755" s="9"/>
      <c r="CO755" s="9"/>
      <c r="CP755" s="9"/>
      <c r="CQ755" s="9"/>
      <c r="CR755" s="9"/>
      <c r="CS755" s="9"/>
      <c r="CT755" s="9"/>
      <c r="CU755" s="9"/>
      <c r="CV755" s="9"/>
      <c r="CW755" s="9"/>
      <c r="CX755" s="9"/>
      <c r="CY755" s="9"/>
      <c r="CZ755" s="9"/>
      <c r="DA755" s="9"/>
      <c r="DB755" s="9"/>
      <c r="DC755" s="9"/>
      <c r="DD755" s="9"/>
      <c r="DE755" s="9"/>
      <c r="DF755" s="9"/>
      <c r="DG755" s="9"/>
      <c r="DH755" s="9"/>
      <c r="DI755" s="9"/>
      <c r="DJ755" s="9"/>
      <c r="DK755" s="9"/>
      <c r="DL755" s="9"/>
      <c r="DM755" s="9"/>
      <c r="DN755" s="9"/>
      <c r="DO755" s="9"/>
      <c r="DP755" s="9"/>
      <c r="DQ755" s="9"/>
      <c r="DR755" s="9"/>
      <c r="DS755" s="9"/>
      <c r="DT755" s="9"/>
      <c r="DU755" s="9"/>
      <c r="DV755" s="9"/>
      <c r="DW755" s="9"/>
      <c r="DX755" s="9"/>
      <c r="DY755" s="9"/>
      <c r="DZ755" s="9"/>
      <c r="EA755" s="9"/>
      <c r="EB755" s="9"/>
      <c r="EC755" s="9"/>
      <c r="ED755" s="9"/>
      <c r="EE755" s="9"/>
      <c r="EF755" s="9"/>
      <c r="EG755" s="9"/>
      <c r="EH755" s="9"/>
      <c r="EI755" s="9"/>
      <c r="EJ755" s="9"/>
      <c r="EK755" s="9"/>
      <c r="EL755" s="9"/>
      <c r="EM755" s="9"/>
      <c r="EN755" s="9"/>
      <c r="EO755" s="9"/>
      <c r="EP755" s="9"/>
      <c r="EQ755" s="9"/>
      <c r="ER755" s="9"/>
      <c r="ES755" s="9"/>
      <c r="ET755" s="9"/>
      <c r="EU755" s="9"/>
      <c r="EV755" s="9"/>
      <c r="EW755" s="9"/>
      <c r="EX755" s="9"/>
      <c r="EY755" s="9"/>
      <c r="EZ755" s="9"/>
      <c r="FA755" s="9"/>
      <c r="FB755" s="9"/>
      <c r="FC755" s="9"/>
      <c r="FD755" s="9"/>
      <c r="FE755" s="9"/>
      <c r="FF755" s="9"/>
      <c r="FG755" s="9"/>
      <c r="FH755" s="9"/>
      <c r="FI755" s="9"/>
      <c r="FJ755" s="9"/>
      <c r="FK755" s="9"/>
      <c r="FL755" s="9"/>
      <c r="FM755" s="9"/>
      <c r="FN755" s="9"/>
      <c r="FO755" s="9"/>
      <c r="FP755" s="9"/>
    </row>
    <row r="756" customFormat="false" ht="15" hidden="false" customHeight="false" outlineLevel="2" collapsed="false">
      <c r="B756" s="9" t="s">
        <v>799</v>
      </c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63" t="n">
        <f aca="false">IF(AC$35&gt;=$AC$754,AC$35-$AC$754+1,0)</f>
        <v>0</v>
      </c>
      <c r="AD756" s="63" t="n">
        <f aca="false">IF(AD$35&gt;=$AC$754,AD$35-$AC$754+1,0)</f>
        <v>0</v>
      </c>
      <c r="AE756" s="63" t="n">
        <f aca="false">IF(AE$35&gt;=$AC$754,AE$35-$AC$754+1,0)</f>
        <v>0</v>
      </c>
      <c r="AF756" s="63" t="n">
        <f aca="false">IF(AF$35&gt;=$AC$754,AF$35-$AC$754+1,0)</f>
        <v>0</v>
      </c>
      <c r="AG756" s="63" t="n">
        <f aca="false">IF(AG$35&gt;=$AC$754,AG$35-$AC$754+1,0)</f>
        <v>0</v>
      </c>
      <c r="AH756" s="63" t="n">
        <f aca="false">IF(AH$35&gt;=$AC$754,AH$35-$AC$754+1,0)</f>
        <v>0</v>
      </c>
      <c r="AI756" s="63" t="n">
        <f aca="false">IF(AI$35&gt;=$AC$754,AI$35-$AC$754+1,0)</f>
        <v>0</v>
      </c>
      <c r="AJ756" s="63" t="n">
        <f aca="false">IF(AJ$35&gt;=$AC$754,AJ$35-$AC$754+1,0)</f>
        <v>0</v>
      </c>
      <c r="AK756" s="63" t="n">
        <f aca="false">IF(AK$35&gt;=$AC$754,AK$35-$AC$754+1,0)</f>
        <v>0</v>
      </c>
      <c r="AL756" s="63" t="n">
        <f aca="false">IF(AL$35&gt;=$AC$754,AL$35-$AC$754+1,0)</f>
        <v>0</v>
      </c>
      <c r="AM756" s="63" t="n">
        <f aca="false">IF(AM$35&gt;=$AC$754,AM$35-$AC$754+1,0)</f>
        <v>0</v>
      </c>
      <c r="AN756" s="63" t="n">
        <f aca="false">IF(AN$35&gt;=$AC$754,AN$35-$AC$754+1,0)</f>
        <v>0</v>
      </c>
      <c r="AO756" s="63" t="n">
        <f aca="false">IF(AO$35&gt;=$AC$754,AO$35-$AC$754+1,0)</f>
        <v>0</v>
      </c>
      <c r="AP756" s="63" t="n">
        <f aca="false">IF(AP$35&gt;=$AC$754,AP$35-$AC$754+1,0)</f>
        <v>0</v>
      </c>
      <c r="AQ756" s="63" t="n">
        <f aca="false">IF(AQ$35&gt;=$AC$754,AQ$35-$AC$754+1,0)</f>
        <v>0</v>
      </c>
      <c r="AR756" s="63" t="n">
        <f aca="false">IF(AR$35&gt;=$AC$754,AR$35-$AC$754+1,0)</f>
        <v>0</v>
      </c>
      <c r="AS756" s="63" t="n">
        <f aca="false">IF(AS$35&gt;=$AC$754,AS$35-$AC$754+1,0)</f>
        <v>0</v>
      </c>
      <c r="AT756" s="63" t="n">
        <f aca="false">IF(AT$35&gt;=$AC$754,AT$35-$AC$754+1,0)</f>
        <v>0</v>
      </c>
      <c r="AU756" s="63" t="n">
        <f aca="false">IF(AU$35&gt;=$AC$754,AU$35-$AC$754+1,0)</f>
        <v>0</v>
      </c>
      <c r="AV756" s="63" t="n">
        <f aca="false">IF(AV$35&gt;=$AC$754,AV$35-$AC$754+1,0)</f>
        <v>0</v>
      </c>
      <c r="AW756" s="63" t="n">
        <f aca="false">IF(AW$35&gt;=$AC$754,AW$35-$AC$754+1,0)</f>
        <v>0</v>
      </c>
      <c r="AX756" s="63" t="n">
        <f aca="false">IF(AX$35&gt;=$AC$754,AX$35-$AC$754+1,0)</f>
        <v>0</v>
      </c>
      <c r="AY756" s="63" t="n">
        <f aca="false">IF(AY$35&gt;=$AC$754,AY$35-$AC$754+1,0)</f>
        <v>0</v>
      </c>
      <c r="AZ756" s="63" t="n">
        <f aca="false">IF(AZ$35&gt;=$AC$754,AZ$35-$AC$754+1,0)</f>
        <v>0</v>
      </c>
      <c r="BA756" s="63" t="n">
        <f aca="false">IF(BA$35&gt;=$AC$754,BA$35-$AC$754+1,0)</f>
        <v>0</v>
      </c>
      <c r="BB756" s="63" t="n">
        <f aca="false">IF(BB$35&gt;=$AC$754,BB$35-$AC$754+1,0)</f>
        <v>0</v>
      </c>
      <c r="BC756" s="63" t="n">
        <f aca="false">IF(BC$35&gt;=$AC$754,BC$35-$AC$754+1,0)</f>
        <v>0</v>
      </c>
      <c r="BD756" s="63" t="n">
        <f aca="false">IF(BD$35&gt;=$AC$754,BD$35-$AC$754+1,0)</f>
        <v>0</v>
      </c>
      <c r="BE756" s="63" t="n">
        <f aca="false">IF(BE$35&gt;=$AC$754,BE$35-$AC$754+1,0)</f>
        <v>0</v>
      </c>
      <c r="BF756" s="63" t="n">
        <f aca="false">IF(BF$35&gt;=$AC$754,BF$35-$AC$754+1,0)</f>
        <v>0</v>
      </c>
      <c r="BG756" s="63" t="n">
        <f aca="false">IF(BG$35&gt;=$AC$754,BG$35-$AC$754+1,0)</f>
        <v>0</v>
      </c>
      <c r="BH756" s="63" t="n">
        <f aca="false">IF(BH$35&gt;=$AC$754,BH$35-$AC$754+1,0)</f>
        <v>0</v>
      </c>
      <c r="BI756" s="63" t="n">
        <f aca="false">IF(BI$35&gt;=$AC$754,BI$35-$AC$754+1,0)</f>
        <v>0</v>
      </c>
      <c r="BJ756" s="63" t="n">
        <f aca="false">IF(BJ$35&gt;=$AC$754,BJ$35-$AC$754+1,0)</f>
        <v>0</v>
      </c>
      <c r="BK756" s="63" t="n">
        <f aca="false">IF(BK$35&gt;=$AC$754,BK$35-$AC$754+1,0)</f>
        <v>0</v>
      </c>
      <c r="BL756" s="63" t="n">
        <f aca="false">IF(BL$35&gt;=$AC$754,BL$35-$AC$754+1,0)</f>
        <v>0</v>
      </c>
      <c r="BM756" s="63" t="n">
        <f aca="false">IF(BM$35&gt;=$AC$754,BM$35-$AC$754+1,0)</f>
        <v>0</v>
      </c>
      <c r="BN756" s="63" t="n">
        <f aca="false">IF(BN$35&gt;=$AC$754,BN$35-$AC$754+1,0)</f>
        <v>0</v>
      </c>
      <c r="BO756" s="63" t="n">
        <f aca="false">IF(BO$35&gt;=$AC$754,BO$35-$AC$754+1,0)</f>
        <v>0</v>
      </c>
      <c r="BP756" s="63" t="n">
        <f aca="false">IF(BP$35&gt;=$AC$754,BP$35-$AC$754+1,0)</f>
        <v>0</v>
      </c>
      <c r="BQ756" s="63" t="n">
        <f aca="false">IF(BQ$35&gt;=$AC$754,BQ$35-$AC$754+1,0)</f>
        <v>0</v>
      </c>
      <c r="BR756" s="63" t="n">
        <f aca="false">IF(BR$35&gt;=$AC$754,BR$35-$AC$754+1,0)</f>
        <v>0</v>
      </c>
      <c r="BS756" s="63" t="n">
        <f aca="false">IF(BS$35&gt;=$AC$754,BS$35-$AC$754+1,0)</f>
        <v>0</v>
      </c>
      <c r="BT756" s="63" t="n">
        <f aca="false">IF(BT$35&gt;=$AC$754,BT$35-$AC$754+1,0)</f>
        <v>0</v>
      </c>
      <c r="BU756" s="63" t="n">
        <f aca="false">IF(BU$35&gt;=$AC$754,BU$35-$AC$754+1,0)</f>
        <v>0</v>
      </c>
      <c r="BV756" s="63" t="n">
        <f aca="false">IF(BV$35&gt;=$AC$754,BV$35-$AC$754+1,0)</f>
        <v>0</v>
      </c>
      <c r="BW756" s="63" t="n">
        <f aca="false">IF(BW$35&gt;=$AC$754,BW$35-$AC$754+1,0)</f>
        <v>0</v>
      </c>
      <c r="BX756" s="63" t="n">
        <f aca="false">IF(BX$35&gt;=$AC$754,BX$35-$AC$754+1,0)</f>
        <v>0</v>
      </c>
      <c r="BY756" s="63" t="n">
        <f aca="false">IF(BY$35&gt;=$AC$754,BY$35-$AC$754+1,0)</f>
        <v>0</v>
      </c>
      <c r="BZ756" s="63" t="n">
        <f aca="false">IF(BZ$35&gt;=$AC$754,BZ$35-$AC$754+1,0)</f>
        <v>0</v>
      </c>
      <c r="CA756" s="63" t="n">
        <f aca="false">IF(CA$35&gt;=$AC$754,CA$35-$AC$754+1,0)</f>
        <v>0</v>
      </c>
      <c r="CB756" s="63" t="n">
        <f aca="false">IF(CB$35&gt;=$AC$754,CB$35-$AC$754+1,0)</f>
        <v>0</v>
      </c>
      <c r="CC756" s="63" t="n">
        <f aca="false">IF(CC$35&gt;=$AC$754,CC$35-$AC$754+1,0)</f>
        <v>0</v>
      </c>
      <c r="CD756" s="63" t="n">
        <f aca="false">IF(CD$35&gt;=$AC$754,CD$35-$AC$754+1,0)</f>
        <v>0</v>
      </c>
      <c r="CE756" s="63" t="n">
        <f aca="false">IF(CE$35&gt;=$AC$754,CE$35-$AC$754+1,0)</f>
        <v>0</v>
      </c>
      <c r="CF756" s="63" t="n">
        <f aca="false">IF(CF$35&gt;=$AC$754,CF$35-$AC$754+1,0)</f>
        <v>0</v>
      </c>
      <c r="CG756" s="63" t="n">
        <f aca="false">IF(CG$35&gt;=$AC$754,CG$35-$AC$754+1,0)</f>
        <v>0</v>
      </c>
      <c r="CH756" s="63" t="n">
        <f aca="false">IF(CH$35&gt;=$AC$754,CH$35-$AC$754+1,0)</f>
        <v>0</v>
      </c>
      <c r="CI756" s="63" t="n">
        <f aca="false">IF(CI$35&gt;=$AC$754,CI$35-$AC$754+1,0)</f>
        <v>0</v>
      </c>
      <c r="CJ756" s="63" t="n">
        <f aca="false">IF(CJ$35&gt;=$AC$754,CJ$35-$AC$754+1,0)</f>
        <v>0</v>
      </c>
      <c r="CK756" s="63" t="n">
        <f aca="false">IF(CK$35&gt;=$AC$754,CK$35-$AC$754+1,0)</f>
        <v>0</v>
      </c>
      <c r="CL756" s="63" t="n">
        <f aca="false">IF(CL$35&gt;=$AC$754,CL$35-$AC$754+1,0)</f>
        <v>0</v>
      </c>
      <c r="CM756" s="63" t="n">
        <f aca="false">IF(CM$35&gt;=$AC$754,CM$35-$AC$754+1,0)</f>
        <v>0</v>
      </c>
      <c r="CN756" s="63" t="n">
        <f aca="false">IF(CN$35&gt;=$AC$754,CN$35-$AC$754+1,0)</f>
        <v>0</v>
      </c>
      <c r="CO756" s="63" t="n">
        <f aca="false">IF(CO$35&gt;=$AC$754,CO$35-$AC$754+1,0)</f>
        <v>0</v>
      </c>
      <c r="CP756" s="63" t="n">
        <f aca="false">IF(CP$35&gt;=$AC$754,CP$35-$AC$754+1,0)</f>
        <v>0</v>
      </c>
      <c r="CQ756" s="63" t="n">
        <f aca="false">IF(CQ$35&gt;=$AC$754,CQ$35-$AC$754+1,0)</f>
        <v>0</v>
      </c>
      <c r="CR756" s="63" t="n">
        <f aca="false">IF(CR$35&gt;=$AC$754,CR$35-$AC$754+1,0)</f>
        <v>0</v>
      </c>
      <c r="CS756" s="63" t="n">
        <f aca="false">IF(CS$35&gt;=$AC$754,CS$35-$AC$754+1,0)</f>
        <v>0</v>
      </c>
      <c r="CT756" s="63" t="n">
        <f aca="false">IF(CT$35&gt;=$AC$754,CT$35-$AC$754+1,0)</f>
        <v>0</v>
      </c>
      <c r="CU756" s="63" t="n">
        <f aca="false">IF(CU$35&gt;=$AC$754,CU$35-$AC$754+1,0)</f>
        <v>0</v>
      </c>
      <c r="CV756" s="63" t="n">
        <f aca="false">IF(CV$35&gt;=$AC$754,CV$35-$AC$754+1,0)</f>
        <v>0</v>
      </c>
      <c r="CW756" s="63" t="n">
        <f aca="false">IF(CW$35&gt;=$AC$754,CW$35-$AC$754+1,0)</f>
        <v>0</v>
      </c>
      <c r="CX756" s="63" t="n">
        <f aca="false">IF(CX$35&gt;=$AC$754,CX$35-$AC$754+1,0)</f>
        <v>0</v>
      </c>
      <c r="CY756" s="63" t="n">
        <f aca="false">IF(CY$35&gt;=$AC$754,CY$35-$AC$754+1,0)</f>
        <v>0</v>
      </c>
      <c r="CZ756" s="63" t="n">
        <f aca="false">IF(CZ$35&gt;=$AC$754,CZ$35-$AC$754+1,0)</f>
        <v>0</v>
      </c>
      <c r="DA756" s="63" t="n">
        <f aca="false">IF(DA$35&gt;=$AC$754,DA$35-$AC$754+1,0)</f>
        <v>0</v>
      </c>
      <c r="DB756" s="63" t="n">
        <f aca="false">IF(DB$35&gt;=$AC$754,DB$35-$AC$754+1,0)</f>
        <v>0</v>
      </c>
      <c r="DC756" s="63" t="n">
        <f aca="false">IF(DC$35&gt;=$AC$754,DC$35-$AC$754+1,0)</f>
        <v>0</v>
      </c>
      <c r="DD756" s="63" t="n">
        <f aca="false">IF(DD$35&gt;=$AC$754,DD$35-$AC$754+1,0)</f>
        <v>0</v>
      </c>
      <c r="DE756" s="63" t="n">
        <f aca="false">IF(DE$35&gt;=$AC$754,DE$35-$AC$754+1,0)</f>
        <v>0</v>
      </c>
      <c r="DF756" s="63" t="n">
        <f aca="false">IF(DF$35&gt;=$AC$754,DF$35-$AC$754+1,0)</f>
        <v>0</v>
      </c>
      <c r="DG756" s="63" t="n">
        <f aca="false">IF(DG$35&gt;=$AC$754,DG$35-$AC$754+1,0)</f>
        <v>0</v>
      </c>
      <c r="DH756" s="63" t="n">
        <f aca="false">IF(DH$35&gt;=$AC$754,DH$35-$AC$754+1,0)</f>
        <v>0</v>
      </c>
      <c r="DI756" s="63" t="n">
        <f aca="false">IF(DI$35&gt;=$AC$754,DI$35-$AC$754+1,0)</f>
        <v>0</v>
      </c>
      <c r="DJ756" s="63" t="n">
        <f aca="false">IF(DJ$35&gt;=$AC$754,DJ$35-$AC$754+1,0)</f>
        <v>0</v>
      </c>
      <c r="DK756" s="63" t="n">
        <f aca="false">IF(DK$35&gt;=$AC$754,DK$35-$AC$754+1,0)</f>
        <v>0</v>
      </c>
      <c r="DL756" s="63" t="n">
        <f aca="false">IF(DL$35&gt;=$AC$754,DL$35-$AC$754+1,0)</f>
        <v>0</v>
      </c>
      <c r="DM756" s="63" t="n">
        <f aca="false">IF(DM$35&gt;=$AC$754,DM$35-$AC$754+1,0)</f>
        <v>0</v>
      </c>
      <c r="DN756" s="63" t="n">
        <f aca="false">IF(DN$35&gt;=$AC$754,DN$35-$AC$754+1,0)</f>
        <v>0</v>
      </c>
      <c r="DO756" s="63" t="n">
        <f aca="false">IF(DO$35&gt;=$AC$754,DO$35-$AC$754+1,0)</f>
        <v>0</v>
      </c>
      <c r="DP756" s="63" t="n">
        <f aca="false">IF(DP$35&gt;=$AC$754,DP$35-$AC$754+1,0)</f>
        <v>0</v>
      </c>
      <c r="DQ756" s="63" t="n">
        <f aca="false">IF(DQ$35&gt;=$AC$754,DQ$35-$AC$754+1,0)</f>
        <v>0</v>
      </c>
      <c r="DR756" s="63" t="n">
        <f aca="false">IF(DR$35&gt;=$AC$754,DR$35-$AC$754+1,0)</f>
        <v>0</v>
      </c>
      <c r="DS756" s="63" t="n">
        <f aca="false">IF(DS$35&gt;=$AC$754,DS$35-$AC$754+1,0)</f>
        <v>0</v>
      </c>
      <c r="DT756" s="63" t="n">
        <f aca="false">IF(DT$35&gt;=$AC$754,DT$35-$AC$754+1,0)</f>
        <v>0</v>
      </c>
      <c r="DU756" s="63" t="n">
        <f aca="false">IF(DU$35&gt;=$AC$754,DU$35-$AC$754+1,0)</f>
        <v>0</v>
      </c>
      <c r="DV756" s="63" t="n">
        <f aca="false">IF(DV$35&gt;=$AC$754,DV$35-$AC$754+1,0)</f>
        <v>0</v>
      </c>
      <c r="DW756" s="63" t="n">
        <f aca="false">IF(DW$35&gt;=$AC$754,DW$35-$AC$754+1,0)</f>
        <v>0</v>
      </c>
      <c r="DX756" s="63" t="n">
        <f aca="false">IF(DX$35&gt;=$AC$754,DX$35-$AC$754+1,0)</f>
        <v>0</v>
      </c>
      <c r="DY756" s="63" t="n">
        <f aca="false">IF(DY$35&gt;=$AC$754,DY$35-$AC$754+1,0)</f>
        <v>0</v>
      </c>
      <c r="DZ756" s="63" t="n">
        <f aca="false">IF(DZ$35&gt;=$AC$754,DZ$35-$AC$754+1,0)</f>
        <v>0</v>
      </c>
      <c r="EA756" s="63" t="n">
        <f aca="false">IF(EA$35&gt;=$AC$754,EA$35-$AC$754+1,0)</f>
        <v>0</v>
      </c>
      <c r="EB756" s="63" t="n">
        <f aca="false">IF(EB$35&gt;=$AC$754,EB$35-$AC$754+1,0)</f>
        <v>0</v>
      </c>
      <c r="EC756" s="63" t="n">
        <f aca="false">IF(EC$35&gt;=$AC$754,EC$35-$AC$754+1,0)</f>
        <v>0</v>
      </c>
      <c r="ED756" s="63" t="n">
        <f aca="false">IF(ED$35&gt;=$AC$754,ED$35-$AC$754+1,0)</f>
        <v>0</v>
      </c>
      <c r="EE756" s="63" t="n">
        <f aca="false">IF(EE$35&gt;=$AC$754,EE$35-$AC$754+1,0)</f>
        <v>0</v>
      </c>
      <c r="EF756" s="63" t="n">
        <f aca="false">IF(EF$35&gt;=$AC$754,EF$35-$AC$754+1,0)</f>
        <v>0</v>
      </c>
      <c r="EG756" s="63" t="n">
        <f aca="false">IF(EG$35&gt;=$AC$754,EG$35-$AC$754+1,0)</f>
        <v>0</v>
      </c>
      <c r="EH756" s="63" t="n">
        <f aca="false">IF(EH$35&gt;=$AC$754,EH$35-$AC$754+1,0)</f>
        <v>0</v>
      </c>
      <c r="EI756" s="63" t="n">
        <f aca="false">IF(EI$35&gt;=$AC$754,EI$35-$AC$754+1,0)</f>
        <v>0</v>
      </c>
      <c r="EJ756" s="63" t="n">
        <f aca="false">IF(EJ$35&gt;=$AC$754,EJ$35-$AC$754+1,0)</f>
        <v>0</v>
      </c>
      <c r="EK756" s="63" t="n">
        <f aca="false">IF(EK$35&gt;=$AC$754,EK$35-$AC$754+1,0)</f>
        <v>0</v>
      </c>
      <c r="EL756" s="63" t="n">
        <f aca="false">IF(EL$35&gt;=$AC$754,EL$35-$AC$754+1,0)</f>
        <v>0</v>
      </c>
      <c r="EM756" s="63" t="n">
        <f aca="false">IF(EM$35&gt;=$AC$754,EM$35-$AC$754+1,0)</f>
        <v>0</v>
      </c>
      <c r="EN756" s="63" t="n">
        <f aca="false">IF(EN$35&gt;=$AC$754,EN$35-$AC$754+1,0)</f>
        <v>0</v>
      </c>
      <c r="EO756" s="63" t="n">
        <f aca="false">IF(EO$35&gt;=$AC$754,EO$35-$AC$754+1,0)</f>
        <v>0</v>
      </c>
      <c r="EP756" s="63" t="n">
        <f aca="false">IF(EP$35&gt;=$AC$754,EP$35-$AC$754+1,0)</f>
        <v>0</v>
      </c>
      <c r="EQ756" s="63" t="n">
        <f aca="false">IF(EQ$35&gt;=$AC$754,EQ$35-$AC$754+1,0)</f>
        <v>0</v>
      </c>
      <c r="ER756" s="63" t="n">
        <f aca="false">IF(ER$35&gt;=$AC$754,ER$35-$AC$754+1,0)</f>
        <v>0</v>
      </c>
      <c r="ES756" s="9" t="n">
        <f aca="false">IF(ES$35&gt;=$AC$754,ES$35-$AC$754+1,0)</f>
        <v>0</v>
      </c>
      <c r="ET756" s="9" t="n">
        <f aca="false">IF(ET$35&gt;=$AC$754,ET$35-$AC$754+1,0)</f>
        <v>0</v>
      </c>
      <c r="EU756" s="9" t="n">
        <f aca="false">IF(EU$35&gt;=$AC$754,EU$35-$AC$754+1,0)</f>
        <v>0</v>
      </c>
      <c r="EV756" s="9" t="n">
        <f aca="false">IF(EV$35&gt;=$AC$754,EV$35-$AC$754+1,0)</f>
        <v>0</v>
      </c>
      <c r="EW756" s="9" t="n">
        <f aca="false">IF(EW$35&gt;=$AC$754,EW$35-$AC$754+1,0)</f>
        <v>0</v>
      </c>
      <c r="EX756" s="9" t="n">
        <f aca="false">IF(EX$35&gt;=$AC$754,EX$35-$AC$754+1,0)</f>
        <v>0</v>
      </c>
      <c r="EY756" s="9" t="n">
        <f aca="false">IF(EY$35&gt;=$AC$754,EY$35-$AC$754+1,0)</f>
        <v>0</v>
      </c>
      <c r="EZ756" s="9" t="n">
        <f aca="false">IF(EZ$35&gt;=$AC$754,EZ$35-$AC$754+1,0)</f>
        <v>1</v>
      </c>
      <c r="FA756" s="9" t="n">
        <f aca="false">IF(FA$35&gt;=$AC$754,FA$35-$AC$754+1,0)</f>
        <v>2</v>
      </c>
      <c r="FB756" s="9" t="n">
        <f aca="false">IF(FB$35&gt;=$AC$754,FB$35-$AC$754+1,0)</f>
        <v>3</v>
      </c>
      <c r="FC756" s="9" t="n">
        <f aca="false">IF(FC$35&gt;=$AC$754,FC$35-$AC$754+1,0)</f>
        <v>4</v>
      </c>
      <c r="FD756" s="9" t="n">
        <f aca="false">IF(FD$35&gt;=$AC$754,FD$35-$AC$754+1,0)</f>
        <v>5</v>
      </c>
      <c r="FE756" s="9" t="n">
        <f aca="false">IF(FE$35&gt;=$AC$754,FE$35-$AC$754+1,0)</f>
        <v>6</v>
      </c>
      <c r="FF756" s="9" t="n">
        <f aca="false">IF(FF$35&gt;=$AC$754,FF$35-$AC$754+1,0)</f>
        <v>7</v>
      </c>
      <c r="FG756" s="9" t="n">
        <f aca="false">IF(FG$35&gt;=$AC$754,FG$35-$AC$754+1,0)</f>
        <v>8</v>
      </c>
      <c r="FH756" s="9" t="n">
        <f aca="false">IF(FH$35&gt;=$AC$754,FH$35-$AC$754+1,0)</f>
        <v>9</v>
      </c>
      <c r="FI756" s="9" t="n">
        <f aca="false">IF(FI$35&gt;=$AC$754,FI$35-$AC$754+1,0)</f>
        <v>10</v>
      </c>
      <c r="FJ756" s="9" t="n">
        <f aca="false">IF(FJ$35&gt;=$AC$754,FJ$35-$AC$754+1,0)</f>
        <v>11</v>
      </c>
      <c r="FK756" s="9" t="n">
        <f aca="false">IF(FK$35&gt;=$AC$754,FK$35-$AC$754+1,0)</f>
        <v>12</v>
      </c>
      <c r="FL756" s="9" t="n">
        <f aca="false">IF(FL$35&gt;=$AC$754,FL$35-$AC$754+1,0)</f>
        <v>13</v>
      </c>
      <c r="FM756" s="9" t="n">
        <f aca="false">IF(FM$35&gt;=$AC$754,FM$35-$AC$754+1,0)</f>
        <v>14</v>
      </c>
      <c r="FN756" s="9" t="n">
        <f aca="false">IF(FN$35&gt;=$AC$754,FN$35-$AC$754+1,0)</f>
        <v>15</v>
      </c>
      <c r="FO756" s="9" t="n">
        <f aca="false">IF(FO$35&gt;=$AC$754,FO$35-$AC$754+1,0)</f>
        <v>16</v>
      </c>
      <c r="FP756" s="9" t="n">
        <f aca="false">IF(FP$35&gt;=$AC$754,FP$35-$AC$754+1,0)</f>
        <v>17</v>
      </c>
    </row>
    <row r="757" customFormat="false" ht="15" hidden="false" customHeight="false" outlineLevel="2" collapsed="false">
      <c r="B757" s="9" t="s">
        <v>874</v>
      </c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236" t="n">
        <f aca="false" t="array" ref="AC757:AC757">IF(AC756=0,0,IF(AC756/'🎚️ Escenario'!$C$11&gt;=36,$AL$23,INDEX($C$23:$AL$23,MAX(1,ROUNDUP(AC756/'🎚️ Escenario'!$C$11,0)))))</f>
        <v>0</v>
      </c>
      <c r="AD757" s="236" t="n">
        <f aca="false" t="array" ref="AD757:AD757">IF(AD756=0,0,IF(AD756/'🎚️ Escenario'!$C$11&gt;=36,$AL$23,INDEX($C$23:$AL$23,MAX(1,ROUNDUP(AD756/'🎚️ Escenario'!$C$11,0)))))</f>
        <v>0</v>
      </c>
      <c r="AE757" s="236" t="n">
        <f aca="false" t="array" ref="AE757:AE757">IF(AE756=0,0,IF(AE756/'🎚️ Escenario'!$C$11&gt;=36,$AL$23,INDEX($C$23:$AL$23,MAX(1,ROUNDUP(AE756/'🎚️ Escenario'!$C$11,0)))))</f>
        <v>0</v>
      </c>
      <c r="AF757" s="236" t="n">
        <f aca="false" t="array" ref="AF757:AF757">IF(AF756=0,0,IF(AF756/'🎚️ Escenario'!$C$11&gt;=36,$AL$23,INDEX($C$23:$AL$23,MAX(1,ROUNDUP(AF756/'🎚️ Escenario'!$C$11,0)))))</f>
        <v>0</v>
      </c>
      <c r="AG757" s="236" t="n">
        <f aca="false" t="array" ref="AG757:AG757">IF(AG756=0,0,IF(AG756/'🎚️ Escenario'!$C$11&gt;=36,$AL$23,INDEX($C$23:$AL$23,MAX(1,ROUNDUP(AG756/'🎚️ Escenario'!$C$11,0)))))</f>
        <v>0</v>
      </c>
      <c r="AH757" s="236" t="n">
        <f aca="false" t="array" ref="AH757:AH757">IF(AH756=0,0,IF(AH756/'🎚️ Escenario'!$C$11&gt;=36,$AL$23,INDEX($C$23:$AL$23,MAX(1,ROUNDUP(AH756/'🎚️ Escenario'!$C$11,0)))))</f>
        <v>0</v>
      </c>
      <c r="AI757" s="236" t="n">
        <f aca="false" t="array" ref="AI757:AI757">IF(AI756=0,0,IF(AI756/'🎚️ Escenario'!$C$11&gt;=36,$AL$23,INDEX($C$23:$AL$23,MAX(1,ROUNDUP(AI756/'🎚️ Escenario'!$C$11,0)))))</f>
        <v>0</v>
      </c>
      <c r="AJ757" s="236" t="n">
        <f aca="false" t="array" ref="AJ757:AJ757">IF(AJ756=0,0,IF(AJ756/'🎚️ Escenario'!$C$11&gt;=36,$AL$23,INDEX($C$23:$AL$23,MAX(1,ROUNDUP(AJ756/'🎚️ Escenario'!$C$11,0)))))</f>
        <v>0</v>
      </c>
      <c r="AK757" s="236" t="n">
        <f aca="false" t="array" ref="AK757:AK757">IF(AK756=0,0,IF(AK756/'🎚️ Escenario'!$C$11&gt;=36,$AL$23,INDEX($C$23:$AL$23,MAX(1,ROUNDUP(AK756/'🎚️ Escenario'!$C$11,0)))))</f>
        <v>0</v>
      </c>
      <c r="AL757" s="236" t="n">
        <f aca="false" t="array" ref="AL757:AL757">IF(AL756=0,0,IF(AL756/'🎚️ Escenario'!$C$11&gt;=36,$AL$23,INDEX($C$23:$AL$23,MAX(1,ROUNDUP(AL756/'🎚️ Escenario'!$C$11,0)))))</f>
        <v>0</v>
      </c>
      <c r="AM757" s="236" t="n">
        <f aca="false" t="array" ref="AM757:AM757">IF(AM756=0,0,IF(AM756/'🎚️ Escenario'!$C$11&gt;=36,$AL$23,INDEX($C$23:$AL$23,MAX(1,ROUNDUP(AM756/'🎚️ Escenario'!$C$11,0)))))</f>
        <v>0</v>
      </c>
      <c r="AN757" s="236" t="n">
        <f aca="false" t="array" ref="AN757:AN757">IF(AN756=0,0,IF(AN756/'🎚️ Escenario'!$C$11&gt;=36,$AL$23,INDEX($C$23:$AL$23,MAX(1,ROUNDUP(AN756/'🎚️ Escenario'!$C$11,0)))))</f>
        <v>0</v>
      </c>
      <c r="AO757" s="236" t="n">
        <f aca="false" t="array" ref="AO757:AO757">IF(AO756=0,0,IF(AO756/'🎚️ Escenario'!$C$11&gt;=36,$AL$23,INDEX($C$23:$AL$23,MAX(1,ROUNDUP(AO756/'🎚️ Escenario'!$C$11,0)))))</f>
        <v>0</v>
      </c>
      <c r="AP757" s="236" t="n">
        <f aca="false" t="array" ref="AP757:AP757">IF(AP756=0,0,IF(AP756/'🎚️ Escenario'!$C$11&gt;=36,$AL$23,INDEX($C$23:$AL$23,MAX(1,ROUNDUP(AP756/'🎚️ Escenario'!$C$11,0)))))</f>
        <v>0</v>
      </c>
      <c r="AQ757" s="236" t="n">
        <f aca="false" t="array" ref="AQ757:AQ757">IF(AQ756=0,0,IF(AQ756/'🎚️ Escenario'!$C$11&gt;=36,$AL$23,INDEX($C$23:$AL$23,MAX(1,ROUNDUP(AQ756/'🎚️ Escenario'!$C$11,0)))))</f>
        <v>0</v>
      </c>
      <c r="AR757" s="236" t="n">
        <f aca="false" t="array" ref="AR757:AR757">IF(AR756=0,0,IF(AR756/'🎚️ Escenario'!$C$11&gt;=36,$AL$23,INDEX($C$23:$AL$23,MAX(1,ROUNDUP(AR756/'🎚️ Escenario'!$C$11,0)))))</f>
        <v>0</v>
      </c>
      <c r="AS757" s="236" t="n">
        <f aca="false" t="array" ref="AS757:AS757">IF(AS756=0,0,IF(AS756/'🎚️ Escenario'!$C$11&gt;=36,$AL$23,INDEX($C$23:$AL$23,MAX(1,ROUNDUP(AS756/'🎚️ Escenario'!$C$11,0)))))</f>
        <v>0</v>
      </c>
      <c r="AT757" s="236" t="n">
        <f aca="false" t="array" ref="AT757:AT757">IF(AT756=0,0,IF(AT756/'🎚️ Escenario'!$C$11&gt;=36,$AL$23,INDEX($C$23:$AL$23,MAX(1,ROUNDUP(AT756/'🎚️ Escenario'!$C$11,0)))))</f>
        <v>0</v>
      </c>
      <c r="AU757" s="236" t="n">
        <f aca="false" t="array" ref="AU757:AU757">IF(AU756=0,0,IF(AU756/'🎚️ Escenario'!$C$11&gt;=36,$AL$23,INDEX($C$23:$AL$23,MAX(1,ROUNDUP(AU756/'🎚️ Escenario'!$C$11,0)))))</f>
        <v>0</v>
      </c>
      <c r="AV757" s="236" t="n">
        <f aca="false" t="array" ref="AV757:AV757">IF(AV756=0,0,IF(AV756/'🎚️ Escenario'!$C$11&gt;=36,$AL$23,INDEX($C$23:$AL$23,MAX(1,ROUNDUP(AV756/'🎚️ Escenario'!$C$11,0)))))</f>
        <v>0</v>
      </c>
      <c r="AW757" s="236" t="n">
        <f aca="false" t="array" ref="AW757:AW757">IF(AW756=0,0,IF(AW756/'🎚️ Escenario'!$C$11&gt;=36,$AL$23,INDEX($C$23:$AL$23,MAX(1,ROUNDUP(AW756/'🎚️ Escenario'!$C$11,0)))))</f>
        <v>0</v>
      </c>
      <c r="AX757" s="236" t="n">
        <f aca="false" t="array" ref="AX757:AX757">IF(AX756=0,0,IF(AX756/'🎚️ Escenario'!$C$11&gt;=36,$AL$23,INDEX($C$23:$AL$23,MAX(1,ROUNDUP(AX756/'🎚️ Escenario'!$C$11,0)))))</f>
        <v>0</v>
      </c>
      <c r="AY757" s="236" t="n">
        <f aca="false" t="array" ref="AY757:AY757">IF(AY756=0,0,IF(AY756/'🎚️ Escenario'!$C$11&gt;=36,$AL$23,INDEX($C$23:$AL$23,MAX(1,ROUNDUP(AY756/'🎚️ Escenario'!$C$11,0)))))</f>
        <v>0</v>
      </c>
      <c r="AZ757" s="236" t="n">
        <f aca="false" t="array" ref="AZ757:AZ757">IF(AZ756=0,0,IF(AZ756/'🎚️ Escenario'!$C$11&gt;=36,$AL$23,INDEX($C$23:$AL$23,MAX(1,ROUNDUP(AZ756/'🎚️ Escenario'!$C$11,0)))))</f>
        <v>0</v>
      </c>
      <c r="BA757" s="236" t="n">
        <f aca="false" t="array" ref="BA757:BA757">IF(BA756=0,0,IF(BA756/'🎚️ Escenario'!$C$11&gt;=36,$AL$23,INDEX($C$23:$AL$23,MAX(1,ROUNDUP(BA756/'🎚️ Escenario'!$C$11,0)))))</f>
        <v>0</v>
      </c>
      <c r="BB757" s="236" t="n">
        <f aca="false" t="array" ref="BB757:BB757">IF(BB756=0,0,IF(BB756/'🎚️ Escenario'!$C$11&gt;=36,$AL$23,INDEX($C$23:$AL$23,MAX(1,ROUNDUP(BB756/'🎚️ Escenario'!$C$11,0)))))</f>
        <v>0</v>
      </c>
      <c r="BC757" s="236" t="n">
        <f aca="false" t="array" ref="BC757:BC757">IF(BC756=0,0,IF(BC756/'🎚️ Escenario'!$C$11&gt;=36,$AL$23,INDEX($C$23:$AL$23,MAX(1,ROUNDUP(BC756/'🎚️ Escenario'!$C$11,0)))))</f>
        <v>0</v>
      </c>
      <c r="BD757" s="236" t="n">
        <f aca="false" t="array" ref="BD757:BD757">IF(BD756=0,0,IF(BD756/'🎚️ Escenario'!$C$11&gt;=36,$AL$23,INDEX($C$23:$AL$23,MAX(1,ROUNDUP(BD756/'🎚️ Escenario'!$C$11,0)))))</f>
        <v>0</v>
      </c>
      <c r="BE757" s="236" t="n">
        <f aca="false" t="array" ref="BE757:BE757">IF(BE756=0,0,IF(BE756/'🎚️ Escenario'!$C$11&gt;=36,$AL$23,INDEX($C$23:$AL$23,MAX(1,ROUNDUP(BE756/'🎚️ Escenario'!$C$11,0)))))</f>
        <v>0</v>
      </c>
      <c r="BF757" s="236" t="n">
        <f aca="false" t="array" ref="BF757:BF757">IF(BF756=0,0,IF(BF756/'🎚️ Escenario'!$C$11&gt;=36,$AL$23,INDEX($C$23:$AL$23,MAX(1,ROUNDUP(BF756/'🎚️ Escenario'!$C$11,0)))))</f>
        <v>0</v>
      </c>
      <c r="BG757" s="236" t="n">
        <f aca="false" t="array" ref="BG757:BG757">IF(BG756=0,0,IF(BG756/'🎚️ Escenario'!$C$11&gt;=36,$AL$23,INDEX($C$23:$AL$23,MAX(1,ROUNDUP(BG756/'🎚️ Escenario'!$C$11,0)))))</f>
        <v>0</v>
      </c>
      <c r="BH757" s="236" t="n">
        <f aca="false" t="array" ref="BH757:BH757">IF(BH756=0,0,IF(BH756/'🎚️ Escenario'!$C$11&gt;=36,$AL$23,INDEX($C$23:$AL$23,MAX(1,ROUNDUP(BH756/'🎚️ Escenario'!$C$11,0)))))</f>
        <v>0</v>
      </c>
      <c r="BI757" s="236" t="n">
        <f aca="false" t="array" ref="BI757:BI757">IF(BI756=0,0,IF(BI756/'🎚️ Escenario'!$C$11&gt;=36,$AL$23,INDEX($C$23:$AL$23,MAX(1,ROUNDUP(BI756/'🎚️ Escenario'!$C$11,0)))))</f>
        <v>0</v>
      </c>
      <c r="BJ757" s="236" t="n">
        <f aca="false" t="array" ref="BJ757:BJ757">IF(BJ756=0,0,IF(BJ756/'🎚️ Escenario'!$C$11&gt;=36,$AL$23,INDEX($C$23:$AL$23,MAX(1,ROUNDUP(BJ756/'🎚️ Escenario'!$C$11,0)))))</f>
        <v>0</v>
      </c>
      <c r="BK757" s="236" t="n">
        <f aca="false" t="array" ref="BK757:BK757">IF(BK756=0,0,IF(BK756/'🎚️ Escenario'!$C$11&gt;=36,$AL$23,INDEX($C$23:$AL$23,MAX(1,ROUNDUP(BK756/'🎚️ Escenario'!$C$11,0)))))</f>
        <v>0</v>
      </c>
      <c r="BL757" s="236" t="n">
        <f aca="false" t="array" ref="BL757:BL757">IF(BL756=0,0,IF(BL756/'🎚️ Escenario'!$C$11&gt;=36,$AL$23,INDEX($C$23:$AL$23,MAX(1,ROUNDUP(BL756/'🎚️ Escenario'!$C$11,0)))))</f>
        <v>0</v>
      </c>
      <c r="BM757" s="236" t="n">
        <f aca="false" t="array" ref="BM757:BM757">IF(BM756=0,0,IF(BM756/'🎚️ Escenario'!$C$11&gt;=36,$AL$23,INDEX($C$23:$AL$23,MAX(1,ROUNDUP(BM756/'🎚️ Escenario'!$C$11,0)))))</f>
        <v>0</v>
      </c>
      <c r="BN757" s="236" t="n">
        <f aca="false" t="array" ref="BN757:BN757">IF(BN756=0,0,IF(BN756/'🎚️ Escenario'!$C$11&gt;=36,$AL$23,INDEX($C$23:$AL$23,MAX(1,ROUNDUP(BN756/'🎚️ Escenario'!$C$11,0)))))</f>
        <v>0</v>
      </c>
      <c r="BO757" s="236" t="n">
        <f aca="false" t="array" ref="BO757:BO757">IF(BO756=0,0,IF(BO756/'🎚️ Escenario'!$C$11&gt;=36,$AL$23,INDEX($C$23:$AL$23,MAX(1,ROUNDUP(BO756/'🎚️ Escenario'!$C$11,0)))))</f>
        <v>0</v>
      </c>
      <c r="BP757" s="236" t="n">
        <f aca="false" t="array" ref="BP757:BP757">IF(BP756=0,0,IF(BP756/'🎚️ Escenario'!$C$11&gt;=36,$AL$23,INDEX($C$23:$AL$23,MAX(1,ROUNDUP(BP756/'🎚️ Escenario'!$C$11,0)))))</f>
        <v>0</v>
      </c>
      <c r="BQ757" s="236" t="n">
        <f aca="false" t="array" ref="BQ757:BQ757">IF(BQ756=0,0,IF(BQ756/'🎚️ Escenario'!$C$11&gt;=36,$AL$23,INDEX($C$23:$AL$23,MAX(1,ROUNDUP(BQ756/'🎚️ Escenario'!$C$11,0)))))</f>
        <v>0</v>
      </c>
      <c r="BR757" s="236" t="n">
        <f aca="false" t="array" ref="BR757:BR757">IF(BR756=0,0,IF(BR756/'🎚️ Escenario'!$C$11&gt;=36,$AL$23,INDEX($C$23:$AL$23,MAX(1,ROUNDUP(BR756/'🎚️ Escenario'!$C$11,0)))))</f>
        <v>0</v>
      </c>
      <c r="BS757" s="236" t="n">
        <f aca="false" t="array" ref="BS757:BS757">IF(BS756=0,0,IF(BS756/'🎚️ Escenario'!$C$11&gt;=36,$AL$23,INDEX($C$23:$AL$23,MAX(1,ROUNDUP(BS756/'🎚️ Escenario'!$C$11,0)))))</f>
        <v>0</v>
      </c>
      <c r="BT757" s="236" t="n">
        <f aca="false" t="array" ref="BT757:BT757">IF(BT756=0,0,IF(BT756/'🎚️ Escenario'!$C$11&gt;=36,$AL$23,INDEX($C$23:$AL$23,MAX(1,ROUNDUP(BT756/'🎚️ Escenario'!$C$11,0)))))</f>
        <v>0</v>
      </c>
      <c r="BU757" s="236" t="n">
        <f aca="false" t="array" ref="BU757:BU757">IF(BU756=0,0,IF(BU756/'🎚️ Escenario'!$C$11&gt;=36,$AL$23,INDEX($C$23:$AL$23,MAX(1,ROUNDUP(BU756/'🎚️ Escenario'!$C$11,0)))))</f>
        <v>0</v>
      </c>
      <c r="BV757" s="236" t="n">
        <f aca="false" t="array" ref="BV757:BV757">IF(BV756=0,0,IF(BV756/'🎚️ Escenario'!$C$11&gt;=36,$AL$23,INDEX($C$23:$AL$23,MAX(1,ROUNDUP(BV756/'🎚️ Escenario'!$C$11,0)))))</f>
        <v>0</v>
      </c>
      <c r="BW757" s="236" t="n">
        <f aca="false" t="array" ref="BW757:BW757">IF(BW756=0,0,IF(BW756/'🎚️ Escenario'!$C$11&gt;=36,$AL$23,INDEX($C$23:$AL$23,MAX(1,ROUNDUP(BW756/'🎚️ Escenario'!$C$11,0)))))</f>
        <v>0</v>
      </c>
      <c r="BX757" s="236" t="n">
        <f aca="false" t="array" ref="BX757:BX757">IF(BX756=0,0,IF(BX756/'🎚️ Escenario'!$C$11&gt;=36,$AL$23,INDEX($C$23:$AL$23,MAX(1,ROUNDUP(BX756/'🎚️ Escenario'!$C$11,0)))))</f>
        <v>0</v>
      </c>
      <c r="BY757" s="236" t="n">
        <f aca="false" t="array" ref="BY757:BY757">IF(BY756=0,0,IF(BY756/'🎚️ Escenario'!$C$11&gt;=36,$AL$23,INDEX($C$23:$AL$23,MAX(1,ROUNDUP(BY756/'🎚️ Escenario'!$C$11,0)))))</f>
        <v>0</v>
      </c>
      <c r="BZ757" s="236" t="n">
        <f aca="false" t="array" ref="BZ757:BZ757">IF(BZ756=0,0,IF(BZ756/'🎚️ Escenario'!$C$11&gt;=36,$AL$23,INDEX($C$23:$AL$23,MAX(1,ROUNDUP(BZ756/'🎚️ Escenario'!$C$11,0)))))</f>
        <v>0</v>
      </c>
      <c r="CA757" s="236" t="n">
        <f aca="false" t="array" ref="CA757:CA757">IF(CA756=0,0,IF(CA756/'🎚️ Escenario'!$C$11&gt;=36,$AL$23,INDEX($C$23:$AL$23,MAX(1,ROUNDUP(CA756/'🎚️ Escenario'!$C$11,0)))))</f>
        <v>0</v>
      </c>
      <c r="CB757" s="236" t="n">
        <f aca="false" t="array" ref="CB757:CB757">IF(CB756=0,0,IF(CB756/'🎚️ Escenario'!$C$11&gt;=36,$AL$23,INDEX($C$23:$AL$23,MAX(1,ROUNDUP(CB756/'🎚️ Escenario'!$C$11,0)))))</f>
        <v>0</v>
      </c>
      <c r="CC757" s="236" t="n">
        <f aca="false" t="array" ref="CC757:CC757">IF(CC756=0,0,IF(CC756/'🎚️ Escenario'!$C$11&gt;=36,$AL$23,INDEX($C$23:$AL$23,MAX(1,ROUNDUP(CC756/'🎚️ Escenario'!$C$11,0)))))</f>
        <v>0</v>
      </c>
      <c r="CD757" s="236" t="n">
        <f aca="false" t="array" ref="CD757:CD757">IF(CD756=0,0,IF(CD756/'🎚️ Escenario'!$C$11&gt;=36,$AL$23,INDEX($C$23:$AL$23,MAX(1,ROUNDUP(CD756/'🎚️ Escenario'!$C$11,0)))))</f>
        <v>0</v>
      </c>
      <c r="CE757" s="236" t="n">
        <f aca="false" t="array" ref="CE757:CE757">IF(CE756=0,0,IF(CE756/'🎚️ Escenario'!$C$11&gt;=36,$AL$23,INDEX($C$23:$AL$23,MAX(1,ROUNDUP(CE756/'🎚️ Escenario'!$C$11,0)))))</f>
        <v>0</v>
      </c>
      <c r="CF757" s="236" t="n">
        <f aca="false" t="array" ref="CF757:CF757">IF(CF756=0,0,IF(CF756/'🎚️ Escenario'!$C$11&gt;=36,$AL$23,INDEX($C$23:$AL$23,MAX(1,ROUNDUP(CF756/'🎚️ Escenario'!$C$11,0)))))</f>
        <v>0</v>
      </c>
      <c r="CG757" s="236" t="n">
        <f aca="false" t="array" ref="CG757:CG757">IF(CG756=0,0,IF(CG756/'🎚️ Escenario'!$C$11&gt;=36,$AL$23,INDEX($C$23:$AL$23,MAX(1,ROUNDUP(CG756/'🎚️ Escenario'!$C$11,0)))))</f>
        <v>0</v>
      </c>
      <c r="CH757" s="236" t="n">
        <f aca="false" t="array" ref="CH757:CH757">IF(CH756=0,0,IF(CH756/'🎚️ Escenario'!$C$11&gt;=36,$AL$23,INDEX($C$23:$AL$23,MAX(1,ROUNDUP(CH756/'🎚️ Escenario'!$C$11,0)))))</f>
        <v>0</v>
      </c>
      <c r="CI757" s="236" t="n">
        <f aca="false" t="array" ref="CI757:CI757">IF(CI756=0,0,IF(CI756/'🎚️ Escenario'!$C$11&gt;=36,$AL$23,INDEX($C$23:$AL$23,MAX(1,ROUNDUP(CI756/'🎚️ Escenario'!$C$11,0)))))</f>
        <v>0</v>
      </c>
      <c r="CJ757" s="236" t="n">
        <f aca="false" t="array" ref="CJ757:CJ757">IF(CJ756=0,0,IF(CJ756/'🎚️ Escenario'!$C$11&gt;=36,$AL$23,INDEX($C$23:$AL$23,MAX(1,ROUNDUP(CJ756/'🎚️ Escenario'!$C$11,0)))))</f>
        <v>0</v>
      </c>
      <c r="CK757" s="236" t="n">
        <f aca="false" t="array" ref="CK757:CK757">IF(CK756=0,0,IF(CK756/'🎚️ Escenario'!$C$11&gt;=36,$AL$23,INDEX($C$23:$AL$23,MAX(1,ROUNDUP(CK756/'🎚️ Escenario'!$C$11,0)))))</f>
        <v>0</v>
      </c>
      <c r="CL757" s="236" t="n">
        <f aca="false" t="array" ref="CL757:CL757">IF(CL756=0,0,IF(CL756/'🎚️ Escenario'!$C$11&gt;=36,$AL$23,INDEX($C$23:$AL$23,MAX(1,ROUNDUP(CL756/'🎚️ Escenario'!$C$11,0)))))</f>
        <v>0</v>
      </c>
      <c r="CM757" s="236" t="n">
        <f aca="false" t="array" ref="CM757:CM757">IF(CM756=0,0,IF(CM756/'🎚️ Escenario'!$C$11&gt;=36,$AL$23,INDEX($C$23:$AL$23,MAX(1,ROUNDUP(CM756/'🎚️ Escenario'!$C$11,0)))))</f>
        <v>0</v>
      </c>
      <c r="CN757" s="236" t="n">
        <f aca="false" t="array" ref="CN757:CN757">IF(CN756=0,0,IF(CN756/'🎚️ Escenario'!$C$11&gt;=36,$AL$23,INDEX($C$23:$AL$23,MAX(1,ROUNDUP(CN756/'🎚️ Escenario'!$C$11,0)))))</f>
        <v>0</v>
      </c>
      <c r="CO757" s="236" t="n">
        <f aca="false" t="array" ref="CO757:CO757">IF(CO756=0,0,IF(CO756/'🎚️ Escenario'!$C$11&gt;=36,$AL$23,INDEX($C$23:$AL$23,MAX(1,ROUNDUP(CO756/'🎚️ Escenario'!$C$11,0)))))</f>
        <v>0</v>
      </c>
      <c r="CP757" s="236" t="n">
        <f aca="false" t="array" ref="CP757:CP757">IF(CP756=0,0,IF(CP756/'🎚️ Escenario'!$C$11&gt;=36,$AL$23,INDEX($C$23:$AL$23,MAX(1,ROUNDUP(CP756/'🎚️ Escenario'!$C$11,0)))))</f>
        <v>0</v>
      </c>
      <c r="CQ757" s="236" t="n">
        <f aca="false" t="array" ref="CQ757:CQ757">IF(CQ756=0,0,IF(CQ756/'🎚️ Escenario'!$C$11&gt;=36,$AL$23,INDEX($C$23:$AL$23,MAX(1,ROUNDUP(CQ756/'🎚️ Escenario'!$C$11,0)))))</f>
        <v>0</v>
      </c>
      <c r="CR757" s="236" t="n">
        <f aca="false" t="array" ref="CR757:CR757">IF(CR756=0,0,IF(CR756/'🎚️ Escenario'!$C$11&gt;=36,$AL$23,INDEX($C$23:$AL$23,MAX(1,ROUNDUP(CR756/'🎚️ Escenario'!$C$11,0)))))</f>
        <v>0</v>
      </c>
      <c r="CS757" s="236" t="n">
        <f aca="false" t="array" ref="CS757:CS757">IF(CS756=0,0,IF(CS756/'🎚️ Escenario'!$C$11&gt;=36,$AL$23,INDEX($C$23:$AL$23,MAX(1,ROUNDUP(CS756/'🎚️ Escenario'!$C$11,0)))))</f>
        <v>0</v>
      </c>
      <c r="CT757" s="236" t="n">
        <f aca="false" t="array" ref="CT757:CT757">IF(CT756=0,0,IF(CT756/'🎚️ Escenario'!$C$11&gt;=36,$AL$23,INDEX($C$23:$AL$23,MAX(1,ROUNDUP(CT756/'🎚️ Escenario'!$C$11,0)))))</f>
        <v>0</v>
      </c>
      <c r="CU757" s="236" t="n">
        <f aca="false" t="array" ref="CU757:CU757">IF(CU756=0,0,IF(CU756/'🎚️ Escenario'!$C$11&gt;=36,$AL$23,INDEX($C$23:$AL$23,MAX(1,ROUNDUP(CU756/'🎚️ Escenario'!$C$11,0)))))</f>
        <v>0</v>
      </c>
      <c r="CV757" s="236" t="n">
        <f aca="false" t="array" ref="CV757:CV757">IF(CV756=0,0,IF(CV756/'🎚️ Escenario'!$C$11&gt;=36,$AL$23,INDEX($C$23:$AL$23,MAX(1,ROUNDUP(CV756/'🎚️ Escenario'!$C$11,0)))))</f>
        <v>0</v>
      </c>
      <c r="CW757" s="236" t="n">
        <f aca="false" t="array" ref="CW757:CW757">IF(CW756=0,0,IF(CW756/'🎚️ Escenario'!$C$11&gt;=36,$AL$23,INDEX($C$23:$AL$23,MAX(1,ROUNDUP(CW756/'🎚️ Escenario'!$C$11,0)))))</f>
        <v>0</v>
      </c>
      <c r="CX757" s="236" t="n">
        <f aca="false" t="array" ref="CX757:CX757">IF(CX756=0,0,IF(CX756/'🎚️ Escenario'!$C$11&gt;=36,$AL$23,INDEX($C$23:$AL$23,MAX(1,ROUNDUP(CX756/'🎚️ Escenario'!$C$11,0)))))</f>
        <v>0</v>
      </c>
      <c r="CY757" s="236" t="n">
        <f aca="false" t="array" ref="CY757:CY757">IF(CY756=0,0,IF(CY756/'🎚️ Escenario'!$C$11&gt;=36,$AL$23,INDEX($C$23:$AL$23,MAX(1,ROUNDUP(CY756/'🎚️ Escenario'!$C$11,0)))))</f>
        <v>0</v>
      </c>
      <c r="CZ757" s="236" t="n">
        <f aca="false" t="array" ref="CZ757:CZ757">IF(CZ756=0,0,IF(CZ756/'🎚️ Escenario'!$C$11&gt;=36,$AL$23,INDEX($C$23:$AL$23,MAX(1,ROUNDUP(CZ756/'🎚️ Escenario'!$C$11,0)))))</f>
        <v>0</v>
      </c>
      <c r="DA757" s="236" t="n">
        <f aca="false" t="array" ref="DA757:DA757">IF(DA756=0,0,IF(DA756/'🎚️ Escenario'!$C$11&gt;=36,$AL$23,INDEX($C$23:$AL$23,MAX(1,ROUNDUP(DA756/'🎚️ Escenario'!$C$11,0)))))</f>
        <v>0</v>
      </c>
      <c r="DB757" s="236" t="n">
        <f aca="false" t="array" ref="DB757:DB757">IF(DB756=0,0,IF(DB756/'🎚️ Escenario'!$C$11&gt;=36,$AL$23,INDEX($C$23:$AL$23,MAX(1,ROUNDUP(DB756/'🎚️ Escenario'!$C$11,0)))))</f>
        <v>0</v>
      </c>
      <c r="DC757" s="236" t="n">
        <f aca="false" t="array" ref="DC757:DC757">IF(DC756=0,0,IF(DC756/'🎚️ Escenario'!$C$11&gt;=36,$AL$23,INDEX($C$23:$AL$23,MAX(1,ROUNDUP(DC756/'🎚️ Escenario'!$C$11,0)))))</f>
        <v>0</v>
      </c>
      <c r="DD757" s="236" t="n">
        <f aca="false" t="array" ref="DD757:DD757">IF(DD756=0,0,IF(DD756/'🎚️ Escenario'!$C$11&gt;=36,$AL$23,INDEX($C$23:$AL$23,MAX(1,ROUNDUP(DD756/'🎚️ Escenario'!$C$11,0)))))</f>
        <v>0</v>
      </c>
      <c r="DE757" s="236" t="n">
        <f aca="false" t="array" ref="DE757:DE757">IF(DE756=0,0,IF(DE756/'🎚️ Escenario'!$C$11&gt;=36,$AL$23,INDEX($C$23:$AL$23,MAX(1,ROUNDUP(DE756/'🎚️ Escenario'!$C$11,0)))))</f>
        <v>0</v>
      </c>
      <c r="DF757" s="236" t="n">
        <f aca="false" t="array" ref="DF757:DF757">IF(DF756=0,0,IF(DF756/'🎚️ Escenario'!$C$11&gt;=36,$AL$23,INDEX($C$23:$AL$23,MAX(1,ROUNDUP(DF756/'🎚️ Escenario'!$C$11,0)))))</f>
        <v>0</v>
      </c>
      <c r="DG757" s="236" t="n">
        <f aca="false" t="array" ref="DG757:DG757">IF(DG756=0,0,IF(DG756/'🎚️ Escenario'!$C$11&gt;=36,$AL$23,INDEX($C$23:$AL$23,MAX(1,ROUNDUP(DG756/'🎚️ Escenario'!$C$11,0)))))</f>
        <v>0</v>
      </c>
      <c r="DH757" s="236" t="n">
        <f aca="false" t="array" ref="DH757:DH757">IF(DH756=0,0,IF(DH756/'🎚️ Escenario'!$C$11&gt;=36,$AL$23,INDEX($C$23:$AL$23,MAX(1,ROUNDUP(DH756/'🎚️ Escenario'!$C$11,0)))))</f>
        <v>0</v>
      </c>
      <c r="DI757" s="236" t="n">
        <f aca="false" t="array" ref="DI757:DI757">IF(DI756=0,0,IF(DI756/'🎚️ Escenario'!$C$11&gt;=36,$AL$23,INDEX($C$23:$AL$23,MAX(1,ROUNDUP(DI756/'🎚️ Escenario'!$C$11,0)))))</f>
        <v>0</v>
      </c>
      <c r="DJ757" s="236" t="n">
        <f aca="false" t="array" ref="DJ757:DJ757">IF(DJ756=0,0,IF(DJ756/'🎚️ Escenario'!$C$11&gt;=36,$AL$23,INDEX($C$23:$AL$23,MAX(1,ROUNDUP(DJ756/'🎚️ Escenario'!$C$11,0)))))</f>
        <v>0</v>
      </c>
      <c r="DK757" s="236" t="n">
        <f aca="false" t="array" ref="DK757:DK757">IF(DK756=0,0,IF(DK756/'🎚️ Escenario'!$C$11&gt;=36,$AL$23,INDEX($C$23:$AL$23,MAX(1,ROUNDUP(DK756/'🎚️ Escenario'!$C$11,0)))))</f>
        <v>0</v>
      </c>
      <c r="DL757" s="236" t="n">
        <f aca="false" t="array" ref="DL757:DL757">IF(DL756=0,0,IF(DL756/'🎚️ Escenario'!$C$11&gt;=36,$AL$23,INDEX($C$23:$AL$23,MAX(1,ROUNDUP(DL756/'🎚️ Escenario'!$C$11,0)))))</f>
        <v>0</v>
      </c>
      <c r="DM757" s="236" t="n">
        <f aca="false" t="array" ref="DM757:DM757">IF(DM756=0,0,IF(DM756/'🎚️ Escenario'!$C$11&gt;=36,$AL$23,INDEX($C$23:$AL$23,MAX(1,ROUNDUP(DM756/'🎚️ Escenario'!$C$11,0)))))</f>
        <v>0</v>
      </c>
      <c r="DN757" s="236" t="n">
        <f aca="false" t="array" ref="DN757:DN757">IF(DN756=0,0,IF(DN756/'🎚️ Escenario'!$C$11&gt;=36,$AL$23,INDEX($C$23:$AL$23,MAX(1,ROUNDUP(DN756/'🎚️ Escenario'!$C$11,0)))))</f>
        <v>0</v>
      </c>
      <c r="DO757" s="236" t="n">
        <f aca="false" t="array" ref="DO757:DO757">IF(DO756=0,0,IF(DO756/'🎚️ Escenario'!$C$11&gt;=36,$AL$23,INDEX($C$23:$AL$23,MAX(1,ROUNDUP(DO756/'🎚️ Escenario'!$C$11,0)))))</f>
        <v>0</v>
      </c>
      <c r="DP757" s="236" t="n">
        <f aca="false" t="array" ref="DP757:DP757">IF(DP756=0,0,IF(DP756/'🎚️ Escenario'!$C$11&gt;=36,$AL$23,INDEX($C$23:$AL$23,MAX(1,ROUNDUP(DP756/'🎚️ Escenario'!$C$11,0)))))</f>
        <v>0</v>
      </c>
      <c r="DQ757" s="236" t="n">
        <f aca="false" t="array" ref="DQ757:DQ757">IF(DQ756=0,0,IF(DQ756/'🎚️ Escenario'!$C$11&gt;=36,$AL$23,INDEX($C$23:$AL$23,MAX(1,ROUNDUP(DQ756/'🎚️ Escenario'!$C$11,0)))))</f>
        <v>0</v>
      </c>
      <c r="DR757" s="236" t="n">
        <f aca="false" t="array" ref="DR757:DR757">IF(DR756=0,0,IF(DR756/'🎚️ Escenario'!$C$11&gt;=36,$AL$23,INDEX($C$23:$AL$23,MAX(1,ROUNDUP(DR756/'🎚️ Escenario'!$C$11,0)))))</f>
        <v>0</v>
      </c>
      <c r="DS757" s="236" t="n">
        <f aca="false" t="array" ref="DS757:DS757">IF(DS756=0,0,IF(DS756/'🎚️ Escenario'!$C$11&gt;=36,$AL$23,INDEX($C$23:$AL$23,MAX(1,ROUNDUP(DS756/'🎚️ Escenario'!$C$11,0)))))</f>
        <v>0</v>
      </c>
      <c r="DT757" s="236" t="n">
        <f aca="false" t="array" ref="DT757:DT757">IF(DT756=0,0,IF(DT756/'🎚️ Escenario'!$C$11&gt;=36,$AL$23,INDEX($C$23:$AL$23,MAX(1,ROUNDUP(DT756/'🎚️ Escenario'!$C$11,0)))))</f>
        <v>0</v>
      </c>
      <c r="DU757" s="236" t="n">
        <f aca="false" t="array" ref="DU757:DU757">IF(DU756=0,0,IF(DU756/'🎚️ Escenario'!$C$11&gt;=36,$AL$23,INDEX($C$23:$AL$23,MAX(1,ROUNDUP(DU756/'🎚️ Escenario'!$C$11,0)))))</f>
        <v>0</v>
      </c>
      <c r="DV757" s="236" t="n">
        <f aca="false" t="array" ref="DV757:DV757">IF(DV756=0,0,IF(DV756/'🎚️ Escenario'!$C$11&gt;=36,$AL$23,INDEX($C$23:$AL$23,MAX(1,ROUNDUP(DV756/'🎚️ Escenario'!$C$11,0)))))</f>
        <v>0</v>
      </c>
      <c r="DW757" s="236" t="n">
        <f aca="false" t="array" ref="DW757:DW757">IF(DW756=0,0,IF(DW756/'🎚️ Escenario'!$C$11&gt;=36,$AL$23,INDEX($C$23:$AL$23,MAX(1,ROUNDUP(DW756/'🎚️ Escenario'!$C$11,0)))))</f>
        <v>0</v>
      </c>
      <c r="DX757" s="236" t="n">
        <f aca="false" t="array" ref="DX757:DX757">IF(DX756=0,0,IF(DX756/'🎚️ Escenario'!$C$11&gt;=36,$AL$23,INDEX($C$23:$AL$23,MAX(1,ROUNDUP(DX756/'🎚️ Escenario'!$C$11,0)))))</f>
        <v>0</v>
      </c>
      <c r="DY757" s="236" t="n">
        <f aca="false" t="array" ref="DY757:DY757">IF(DY756=0,0,IF(DY756/'🎚️ Escenario'!$C$11&gt;=36,$AL$23,INDEX($C$23:$AL$23,MAX(1,ROUNDUP(DY756/'🎚️ Escenario'!$C$11,0)))))</f>
        <v>0</v>
      </c>
      <c r="DZ757" s="236" t="n">
        <f aca="false" t="array" ref="DZ757:DZ757">IF(DZ756=0,0,IF(DZ756/'🎚️ Escenario'!$C$11&gt;=36,$AL$23,INDEX($C$23:$AL$23,MAX(1,ROUNDUP(DZ756/'🎚️ Escenario'!$C$11,0)))))</f>
        <v>0</v>
      </c>
      <c r="EA757" s="236" t="n">
        <f aca="false" t="array" ref="EA757:EA757">IF(EA756=0,0,IF(EA756/'🎚️ Escenario'!$C$11&gt;=36,$AL$23,INDEX($C$23:$AL$23,MAX(1,ROUNDUP(EA756/'🎚️ Escenario'!$C$11,0)))))</f>
        <v>0</v>
      </c>
      <c r="EB757" s="236" t="n">
        <f aca="false" t="array" ref="EB757:EB757">IF(EB756=0,0,IF(EB756/'🎚️ Escenario'!$C$11&gt;=36,$AL$23,INDEX($C$23:$AL$23,MAX(1,ROUNDUP(EB756/'🎚️ Escenario'!$C$11,0)))))</f>
        <v>0</v>
      </c>
      <c r="EC757" s="236" t="n">
        <f aca="false" t="array" ref="EC757:EC757">IF(EC756=0,0,IF(EC756/'🎚️ Escenario'!$C$11&gt;=36,$AL$23,INDEX($C$23:$AL$23,MAX(1,ROUNDUP(EC756/'🎚️ Escenario'!$C$11,0)))))</f>
        <v>0</v>
      </c>
      <c r="ED757" s="236" t="n">
        <f aca="false" t="array" ref="ED757:ED757">IF(ED756=0,0,IF(ED756/'🎚️ Escenario'!$C$11&gt;=36,$AL$23,INDEX($C$23:$AL$23,MAX(1,ROUNDUP(ED756/'🎚️ Escenario'!$C$11,0)))))</f>
        <v>0</v>
      </c>
      <c r="EE757" s="236" t="n">
        <f aca="false" t="array" ref="EE757:EE757">IF(EE756=0,0,IF(EE756/'🎚️ Escenario'!$C$11&gt;=36,$AL$23,INDEX($C$23:$AL$23,MAX(1,ROUNDUP(EE756/'🎚️ Escenario'!$C$11,0)))))</f>
        <v>0</v>
      </c>
      <c r="EF757" s="236" t="n">
        <f aca="false" t="array" ref="EF757:EF757">IF(EF756=0,0,IF(EF756/'🎚️ Escenario'!$C$11&gt;=36,$AL$23,INDEX($C$23:$AL$23,MAX(1,ROUNDUP(EF756/'🎚️ Escenario'!$C$11,0)))))</f>
        <v>0</v>
      </c>
      <c r="EG757" s="236" t="n">
        <f aca="false" t="array" ref="EG757:EG757">IF(EG756=0,0,IF(EG756/'🎚️ Escenario'!$C$11&gt;=36,$AL$23,INDEX($C$23:$AL$23,MAX(1,ROUNDUP(EG756/'🎚️ Escenario'!$C$11,0)))))</f>
        <v>0</v>
      </c>
      <c r="EH757" s="236" t="n">
        <f aca="false" t="array" ref="EH757:EH757">IF(EH756=0,0,IF(EH756/'🎚️ Escenario'!$C$11&gt;=36,$AL$23,INDEX($C$23:$AL$23,MAX(1,ROUNDUP(EH756/'🎚️ Escenario'!$C$11,0)))))</f>
        <v>0</v>
      </c>
      <c r="EI757" s="236" t="n">
        <f aca="false" t="array" ref="EI757:EI757">IF(EI756=0,0,IF(EI756/'🎚️ Escenario'!$C$11&gt;=36,$AL$23,INDEX($C$23:$AL$23,MAX(1,ROUNDUP(EI756/'🎚️ Escenario'!$C$11,0)))))</f>
        <v>0</v>
      </c>
      <c r="EJ757" s="236" t="n">
        <f aca="false" t="array" ref="EJ757:EJ757">IF(EJ756=0,0,IF(EJ756/'🎚️ Escenario'!$C$11&gt;=36,$AL$23,INDEX($C$23:$AL$23,MAX(1,ROUNDUP(EJ756/'🎚️ Escenario'!$C$11,0)))))</f>
        <v>0</v>
      </c>
      <c r="EK757" s="236" t="n">
        <f aca="false" t="array" ref="EK757:EK757">IF(EK756=0,0,IF(EK756/'🎚️ Escenario'!$C$11&gt;=36,$AL$23,INDEX($C$23:$AL$23,MAX(1,ROUNDUP(EK756/'🎚️ Escenario'!$C$11,0)))))</f>
        <v>0</v>
      </c>
      <c r="EL757" s="236" t="n">
        <f aca="false" t="array" ref="EL757:EL757">IF(EL756=0,0,IF(EL756/'🎚️ Escenario'!$C$11&gt;=36,$AL$23,INDEX($C$23:$AL$23,MAX(1,ROUNDUP(EL756/'🎚️ Escenario'!$C$11,0)))))</f>
        <v>0</v>
      </c>
      <c r="EM757" s="236" t="n">
        <f aca="false" t="array" ref="EM757:EM757">IF(EM756=0,0,IF(EM756/'🎚️ Escenario'!$C$11&gt;=36,$AL$23,INDEX($C$23:$AL$23,MAX(1,ROUNDUP(EM756/'🎚️ Escenario'!$C$11,0)))))</f>
        <v>0</v>
      </c>
      <c r="EN757" s="236" t="n">
        <f aca="false" t="array" ref="EN757:EN757">IF(EN756=0,0,IF(EN756/'🎚️ Escenario'!$C$11&gt;=36,$AL$23,INDEX($C$23:$AL$23,MAX(1,ROUNDUP(EN756/'🎚️ Escenario'!$C$11,0)))))</f>
        <v>0</v>
      </c>
      <c r="EO757" s="236" t="n">
        <f aca="false" t="array" ref="EO757:EO757">IF(EO756=0,0,IF(EO756/'🎚️ Escenario'!$C$11&gt;=36,$AL$23,INDEX($C$23:$AL$23,MAX(1,ROUNDUP(EO756/'🎚️ Escenario'!$C$11,0)))))</f>
        <v>0</v>
      </c>
      <c r="EP757" s="236" t="n">
        <f aca="false" t="array" ref="EP757:EP757">IF(EP756=0,0,IF(EP756/'🎚️ Escenario'!$C$11&gt;=36,$AL$23,INDEX($C$23:$AL$23,MAX(1,ROUNDUP(EP756/'🎚️ Escenario'!$C$11,0)))))</f>
        <v>0</v>
      </c>
      <c r="EQ757" s="236" t="n">
        <f aca="false" t="array" ref="EQ757:EQ757">IF(EQ756=0,0,IF(EQ756/'🎚️ Escenario'!$C$11&gt;=36,$AL$23,INDEX($C$23:$AL$23,MAX(1,ROUNDUP(EQ756/'🎚️ Escenario'!$C$11,0)))))</f>
        <v>0</v>
      </c>
      <c r="ER757" s="236" t="n">
        <f aca="false" t="array" ref="ER757:ER757">IF(ER756=0,0,IF(ER756/'🎚️ Escenario'!$C$11&gt;=36,$AL$23,INDEX($C$23:$AL$23,MAX(1,ROUNDUP(ER756/'🎚️ Escenario'!$C$11,0)))))</f>
        <v>0</v>
      </c>
      <c r="ES757" s="9" t="n">
        <f aca="false" t="array" ref="ES757:ES757">IF(ES756=0,0,IF(ES756/'🎚️ Escenario'!$C$11&gt;=36,$AL$23,INDEX($C$23:$AL$23,MAX(1,ROUNDUP(ES756/'🎚️ Escenario'!$C$11,0)))))</f>
        <v>0</v>
      </c>
      <c r="ET757" s="9" t="n">
        <f aca="false" t="array" ref="ET757:ET757">IF(ET756=0,0,IF(ET756/'🎚️ Escenario'!$C$11&gt;=36,$AL$23,INDEX($C$23:$AL$23,MAX(1,ROUNDUP(ET756/'🎚️ Escenario'!$C$11,0)))))</f>
        <v>0</v>
      </c>
      <c r="EU757" s="9" t="n">
        <f aca="false" t="array" ref="EU757:EU757">IF(EU756=0,0,IF(EU756/'🎚️ Escenario'!$C$11&gt;=36,$AL$23,INDEX($C$23:$AL$23,MAX(1,ROUNDUP(EU756/'🎚️ Escenario'!$C$11,0)))))</f>
        <v>0</v>
      </c>
      <c r="EV757" s="9" t="n">
        <f aca="false" t="array" ref="EV757:EV757">IF(EV756=0,0,IF(EV756/'🎚️ Escenario'!$C$11&gt;=36,$AL$23,INDEX($C$23:$AL$23,MAX(1,ROUNDUP(EV756/'🎚️ Escenario'!$C$11,0)))))</f>
        <v>0</v>
      </c>
      <c r="EW757" s="9" t="n">
        <f aca="false" t="array" ref="EW757:EW757">IF(EW756=0,0,IF(EW756/'🎚️ Escenario'!$C$11&gt;=36,$AL$23,INDEX($C$23:$AL$23,MAX(1,ROUNDUP(EW756/'🎚️ Escenario'!$C$11,0)))))</f>
        <v>0</v>
      </c>
      <c r="EX757" s="9" t="n">
        <f aca="false" t="array" ref="EX757:EX757">IF(EX756=0,0,IF(EX756/'🎚️ Escenario'!$C$11&gt;=36,$AL$23,INDEX($C$23:$AL$23,MAX(1,ROUNDUP(EX756/'🎚️ Escenario'!$C$11,0)))))</f>
        <v>0</v>
      </c>
      <c r="EY757" s="9" t="n">
        <f aca="false" t="array" ref="EY757:EY757">IF(EY756=0,0,IF(EY756/'🎚️ Escenario'!$C$11&gt;=36,$AL$23,INDEX($C$23:$AL$23,MAX(1,ROUNDUP(EY756/'🎚️ Escenario'!$C$11,0)))))</f>
        <v>0</v>
      </c>
      <c r="EZ757" s="9" t="n">
        <f aca="false" t="array" ref="EZ757:EZ757">IF(EZ756=0,0,IF(EZ756/'🎚️ Escenario'!$C$11&gt;=36,$AL$23,INDEX($C$23:$AL$23,MAX(1,ROUNDUP(EZ756/'🎚️ Escenario'!$C$11,0)))))</f>
        <v>0.2</v>
      </c>
      <c r="FA757" s="9" t="n">
        <f aca="false" t="array" ref="FA757:FA757">IF(FA756=0,0,IF(FA756/'🎚️ Escenario'!$C$11&gt;=36,$AL$23,INDEX($C$23:$AL$23,MAX(1,ROUNDUP(FA756/'🎚️ Escenario'!$C$11,0)))))</f>
        <v>0.22</v>
      </c>
      <c r="FB757" s="9" t="n">
        <f aca="false" t="array" ref="FB757:FB757">IF(FB756=0,0,IF(FB756/'🎚️ Escenario'!$C$11&gt;=36,$AL$23,INDEX($C$23:$AL$23,MAX(1,ROUNDUP(FB756/'🎚️ Escenario'!$C$11,0)))))</f>
        <v>0.24</v>
      </c>
      <c r="FC757" s="9" t="n">
        <f aca="false" t="array" ref="FC757:FC757">IF(FC756=0,0,IF(FC756/'🎚️ Escenario'!$C$11&gt;=36,$AL$23,INDEX($C$23:$AL$23,MAX(1,ROUNDUP(FC756/'🎚️ Escenario'!$C$11,0)))))</f>
        <v>0.27</v>
      </c>
      <c r="FD757" s="9" t="n">
        <f aca="false" t="array" ref="FD757:FD757">IF(FD756=0,0,IF(FD756/'🎚️ Escenario'!$C$11&gt;=36,$AL$23,INDEX($C$23:$AL$23,MAX(1,ROUNDUP(FD756/'🎚️ Escenario'!$C$11,0)))))</f>
        <v>0.27</v>
      </c>
      <c r="FE757" s="9" t="n">
        <f aca="false" t="array" ref="FE757:FE757">IF(FE756=0,0,IF(FE756/'🎚️ Escenario'!$C$11&gt;=36,$AL$23,INDEX($C$23:$AL$23,MAX(1,ROUNDUP(FE756/'🎚️ Escenario'!$C$11,0)))))</f>
        <v>0.31</v>
      </c>
      <c r="FF757" s="9" t="n">
        <f aca="false" t="array" ref="FF757:FF757">IF(FF756=0,0,IF(FF756/'🎚️ Escenario'!$C$11&gt;=36,$AL$23,INDEX($C$23:$AL$23,MAX(1,ROUNDUP(FF756/'🎚️ Escenario'!$C$11,0)))))</f>
        <v>0.35</v>
      </c>
      <c r="FG757" s="9" t="n">
        <f aca="false" t="array" ref="FG757:FG757">IF(FG756=0,0,IF(FG756/'🎚️ Escenario'!$C$11&gt;=36,$AL$23,INDEX($C$23:$AL$23,MAX(1,ROUNDUP(FG756/'🎚️ Escenario'!$C$11,0)))))</f>
        <v>0.39</v>
      </c>
      <c r="FH757" s="9" t="n">
        <f aca="false" t="array" ref="FH757:FH757">IF(FH756=0,0,IF(FH756/'🎚️ Escenario'!$C$11&gt;=36,$AL$23,INDEX($C$23:$AL$23,MAX(1,ROUNDUP(FH756/'🎚️ Escenario'!$C$11,0)))))</f>
        <v>0.44</v>
      </c>
      <c r="FI757" s="9" t="n">
        <f aca="false" t="array" ref="FI757:FI757">IF(FI756=0,0,IF(FI756/'🎚️ Escenario'!$C$11&gt;=36,$AL$23,INDEX($C$23:$AL$23,MAX(1,ROUNDUP(FI756/'🎚️ Escenario'!$C$11,0)))))</f>
        <v>0.44</v>
      </c>
      <c r="FJ757" s="9" t="n">
        <f aca="false" t="array" ref="FJ757:FJ757">IF(FJ756=0,0,IF(FJ756/'🎚️ Escenario'!$C$11&gt;=36,$AL$23,INDEX($C$23:$AL$23,MAX(1,ROUNDUP(FJ756/'🎚️ Escenario'!$C$11,0)))))</f>
        <v>0.48</v>
      </c>
      <c r="FK757" s="9" t="n">
        <f aca="false" t="array" ref="FK757:FK757">IF(FK756=0,0,IF(FK756/'🎚️ Escenario'!$C$11&gt;=36,$AL$23,INDEX($C$23:$AL$23,MAX(1,ROUNDUP(FK756/'🎚️ Escenario'!$C$11,0)))))</f>
        <v>0.52</v>
      </c>
      <c r="FL757" s="9" t="n">
        <f aca="false" t="array" ref="FL757:FL757">IF(FL756=0,0,IF(FL756/'🎚️ Escenario'!$C$11&gt;=36,$AL$23,INDEX($C$23:$AL$23,MAX(1,ROUNDUP(FL756/'🎚️ Escenario'!$C$11,0)))))</f>
        <v>0.56</v>
      </c>
      <c r="FM757" s="9" t="n">
        <f aca="false" t="array" ref="FM757:FM757">IF(FM756=0,0,IF(FM756/'🎚️ Escenario'!$C$11&gt;=36,$AL$23,INDEX($C$23:$AL$23,MAX(1,ROUNDUP(FM756/'🎚️ Escenario'!$C$11,0)))))</f>
        <v>0.6</v>
      </c>
      <c r="FN757" s="9" t="n">
        <f aca="false" t="array" ref="FN757:FN757">IF(FN756=0,0,IF(FN756/'🎚️ Escenario'!$C$11&gt;=36,$AL$23,INDEX($C$23:$AL$23,MAX(1,ROUNDUP(FN756/'🎚️ Escenario'!$C$11,0)))))</f>
        <v>0.6</v>
      </c>
      <c r="FO757" s="9" t="n">
        <f aca="false" t="array" ref="FO757:FO757">IF(FO756=0,0,IF(FO756/'🎚️ Escenario'!$C$11&gt;=36,$AL$23,INDEX($C$23:$AL$23,MAX(1,ROUNDUP(FO756/'🎚️ Escenario'!$C$11,0)))))</f>
        <v>0.63</v>
      </c>
      <c r="FP757" s="9" t="n">
        <f aca="false" t="array" ref="FP757:FP757">IF(FP756=0,0,IF(FP756/'🎚️ Escenario'!$C$11&gt;=36,$AL$23,INDEX($C$23:$AL$23,MAX(1,ROUNDUP(FP756/'🎚️ Escenario'!$C$11,0)))))</f>
        <v>0.66</v>
      </c>
    </row>
    <row r="758" customFormat="false" ht="15" hidden="false" customHeight="false" outlineLevel="2" collapsed="false">
      <c r="B758" s="9" t="s">
        <v>875</v>
      </c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237" t="n">
        <f aca="false">IF(AC756=0,0,IF(AC756&lt;=12*'🎚️ Escenario'!$C$11,1,1+$C$6))</f>
        <v>0</v>
      </c>
      <c r="AD758" s="237" t="n">
        <f aca="false">IF(AD756=0,0,IF(AD756&lt;=12*'🎚️ Escenario'!$C$11,1,1+$C$6))</f>
        <v>0</v>
      </c>
      <c r="AE758" s="237" t="n">
        <f aca="false">IF(AE756=0,0,IF(AE756&lt;=12*'🎚️ Escenario'!$C$11,1,1+$C$6))</f>
        <v>0</v>
      </c>
      <c r="AF758" s="237" t="n">
        <f aca="false">IF(AF756=0,0,IF(AF756&lt;=12*'🎚️ Escenario'!$C$11,1,1+$C$6))</f>
        <v>0</v>
      </c>
      <c r="AG758" s="237" t="n">
        <f aca="false">IF(AG756=0,0,IF(AG756&lt;=12*'🎚️ Escenario'!$C$11,1,1+$C$6))</f>
        <v>0</v>
      </c>
      <c r="AH758" s="237" t="n">
        <f aca="false">IF(AH756=0,0,IF(AH756&lt;=12*'🎚️ Escenario'!$C$11,1,1+$C$6))</f>
        <v>0</v>
      </c>
      <c r="AI758" s="237" t="n">
        <f aca="false">IF(AI756=0,0,IF(AI756&lt;=12*'🎚️ Escenario'!$C$11,1,1+$C$6))</f>
        <v>0</v>
      </c>
      <c r="AJ758" s="237" t="n">
        <f aca="false">IF(AJ756=0,0,IF(AJ756&lt;=12*'🎚️ Escenario'!$C$11,1,1+$C$6))</f>
        <v>0</v>
      </c>
      <c r="AK758" s="237" t="n">
        <f aca="false">IF(AK756=0,0,IF(AK756&lt;=12*'🎚️ Escenario'!$C$11,1,1+$C$6))</f>
        <v>0</v>
      </c>
      <c r="AL758" s="237" t="n">
        <f aca="false">IF(AL756=0,0,IF(AL756&lt;=12*'🎚️ Escenario'!$C$11,1,1+$C$6))</f>
        <v>0</v>
      </c>
      <c r="AM758" s="237" t="n">
        <f aca="false">IF(AM756=0,0,IF(AM756&lt;=12*'🎚️ Escenario'!$C$11,1,1+$C$6))</f>
        <v>0</v>
      </c>
      <c r="AN758" s="237" t="n">
        <f aca="false">IF(AN756=0,0,IF(AN756&lt;=12*'🎚️ Escenario'!$C$11,1,1+$C$6))</f>
        <v>0</v>
      </c>
      <c r="AO758" s="237" t="n">
        <f aca="false">IF(AO756=0,0,IF(AO756&lt;=12*'🎚️ Escenario'!$C$11,1,1+$C$6))</f>
        <v>0</v>
      </c>
      <c r="AP758" s="237" t="n">
        <f aca="false">IF(AP756=0,0,IF(AP756&lt;=12*'🎚️ Escenario'!$C$11,1,1+$C$6))</f>
        <v>0</v>
      </c>
      <c r="AQ758" s="237" t="n">
        <f aca="false">IF(AQ756=0,0,IF(AQ756&lt;=12*'🎚️ Escenario'!$C$11,1,1+$C$6))</f>
        <v>0</v>
      </c>
      <c r="AR758" s="237" t="n">
        <f aca="false">IF(AR756=0,0,IF(AR756&lt;=12*'🎚️ Escenario'!$C$11,1,1+$C$6))</f>
        <v>0</v>
      </c>
      <c r="AS758" s="237" t="n">
        <f aca="false">IF(AS756=0,0,IF(AS756&lt;=12*'🎚️ Escenario'!$C$11,1,1+$C$6))</f>
        <v>0</v>
      </c>
      <c r="AT758" s="237" t="n">
        <f aca="false">IF(AT756=0,0,IF(AT756&lt;=12*'🎚️ Escenario'!$C$11,1,1+$C$6))</f>
        <v>0</v>
      </c>
      <c r="AU758" s="237" t="n">
        <f aca="false">IF(AU756=0,0,IF(AU756&lt;=12*'🎚️ Escenario'!$C$11,1,1+$C$6))</f>
        <v>0</v>
      </c>
      <c r="AV758" s="237" t="n">
        <f aca="false">IF(AV756=0,0,IF(AV756&lt;=12*'🎚️ Escenario'!$C$11,1,1+$C$6))</f>
        <v>0</v>
      </c>
      <c r="AW758" s="237" t="n">
        <f aca="false">IF(AW756=0,0,IF(AW756&lt;=12*'🎚️ Escenario'!$C$11,1,1+$C$6))</f>
        <v>0</v>
      </c>
      <c r="AX758" s="237" t="n">
        <f aca="false">IF(AX756=0,0,IF(AX756&lt;=12*'🎚️ Escenario'!$C$11,1,1+$C$6))</f>
        <v>0</v>
      </c>
      <c r="AY758" s="237" t="n">
        <f aca="false">IF(AY756=0,0,IF(AY756&lt;=12*'🎚️ Escenario'!$C$11,1,1+$C$6))</f>
        <v>0</v>
      </c>
      <c r="AZ758" s="237" t="n">
        <f aca="false">IF(AZ756=0,0,IF(AZ756&lt;=12*'🎚️ Escenario'!$C$11,1,1+$C$6))</f>
        <v>0</v>
      </c>
      <c r="BA758" s="237" t="n">
        <f aca="false">IF(BA756=0,0,IF(BA756&lt;=12*'🎚️ Escenario'!$C$11,1,1+$C$6))</f>
        <v>0</v>
      </c>
      <c r="BB758" s="237" t="n">
        <f aca="false">IF(BB756=0,0,IF(BB756&lt;=12*'🎚️ Escenario'!$C$11,1,1+$C$6))</f>
        <v>0</v>
      </c>
      <c r="BC758" s="237" t="n">
        <f aca="false">IF(BC756=0,0,IF(BC756&lt;=12*'🎚️ Escenario'!$C$11,1,1+$C$6))</f>
        <v>0</v>
      </c>
      <c r="BD758" s="237" t="n">
        <f aca="false">IF(BD756=0,0,IF(BD756&lt;=12*'🎚️ Escenario'!$C$11,1,1+$C$6))</f>
        <v>0</v>
      </c>
      <c r="BE758" s="237" t="n">
        <f aca="false">IF(BE756=0,0,IF(BE756&lt;=12*'🎚️ Escenario'!$C$11,1,1+$C$6))</f>
        <v>0</v>
      </c>
      <c r="BF758" s="237" t="n">
        <f aca="false">IF(BF756=0,0,IF(BF756&lt;=12*'🎚️ Escenario'!$C$11,1,1+$C$6))</f>
        <v>0</v>
      </c>
      <c r="BG758" s="237" t="n">
        <f aca="false">IF(BG756=0,0,IF(BG756&lt;=12*'🎚️ Escenario'!$C$11,1,1+$C$6))</f>
        <v>0</v>
      </c>
      <c r="BH758" s="237" t="n">
        <f aca="false">IF(BH756=0,0,IF(BH756&lt;=12*'🎚️ Escenario'!$C$11,1,1+$C$6))</f>
        <v>0</v>
      </c>
      <c r="BI758" s="237" t="n">
        <f aca="false">IF(BI756=0,0,IF(BI756&lt;=12*'🎚️ Escenario'!$C$11,1,1+$C$6))</f>
        <v>0</v>
      </c>
      <c r="BJ758" s="237" t="n">
        <f aca="false">IF(BJ756=0,0,IF(BJ756&lt;=12*'🎚️ Escenario'!$C$11,1,1+$C$6))</f>
        <v>0</v>
      </c>
      <c r="BK758" s="237" t="n">
        <f aca="false">IF(BK756=0,0,IF(BK756&lt;=12*'🎚️ Escenario'!$C$11,1,1+$C$6))</f>
        <v>0</v>
      </c>
      <c r="BL758" s="237" t="n">
        <f aca="false">IF(BL756=0,0,IF(BL756&lt;=12*'🎚️ Escenario'!$C$11,1,1+$C$6))</f>
        <v>0</v>
      </c>
      <c r="BM758" s="237" t="n">
        <f aca="false">IF(BM756=0,0,IF(BM756&lt;=12*'🎚️ Escenario'!$C$11,1,1+$C$6))</f>
        <v>0</v>
      </c>
      <c r="BN758" s="237" t="n">
        <f aca="false">IF(BN756=0,0,IF(BN756&lt;=12*'🎚️ Escenario'!$C$11,1,1+$C$6))</f>
        <v>0</v>
      </c>
      <c r="BO758" s="237" t="n">
        <f aca="false">IF(BO756=0,0,IF(BO756&lt;=12*'🎚️ Escenario'!$C$11,1,1+$C$6))</f>
        <v>0</v>
      </c>
      <c r="BP758" s="237" t="n">
        <f aca="false">IF(BP756=0,0,IF(BP756&lt;=12*'🎚️ Escenario'!$C$11,1,1+$C$6))</f>
        <v>0</v>
      </c>
      <c r="BQ758" s="237" t="n">
        <f aca="false">IF(BQ756=0,0,IF(BQ756&lt;=12*'🎚️ Escenario'!$C$11,1,1+$C$6))</f>
        <v>0</v>
      </c>
      <c r="BR758" s="237" t="n">
        <f aca="false">IF(BR756=0,0,IF(BR756&lt;=12*'🎚️ Escenario'!$C$11,1,1+$C$6))</f>
        <v>0</v>
      </c>
      <c r="BS758" s="237" t="n">
        <f aca="false">IF(BS756=0,0,IF(BS756&lt;=12*'🎚️ Escenario'!$C$11,1,1+$C$6))</f>
        <v>0</v>
      </c>
      <c r="BT758" s="237" t="n">
        <f aca="false">IF(BT756=0,0,IF(BT756&lt;=12*'🎚️ Escenario'!$C$11,1,1+$C$6))</f>
        <v>0</v>
      </c>
      <c r="BU758" s="237" t="n">
        <f aca="false">IF(BU756=0,0,IF(BU756&lt;=12*'🎚️ Escenario'!$C$11,1,1+$C$6))</f>
        <v>0</v>
      </c>
      <c r="BV758" s="237" t="n">
        <f aca="false">IF(BV756=0,0,IF(BV756&lt;=12*'🎚️ Escenario'!$C$11,1,1+$C$6))</f>
        <v>0</v>
      </c>
      <c r="BW758" s="237" t="n">
        <f aca="false">IF(BW756=0,0,IF(BW756&lt;=12*'🎚️ Escenario'!$C$11,1,1+$C$6))</f>
        <v>0</v>
      </c>
      <c r="BX758" s="237" t="n">
        <f aca="false">IF(BX756=0,0,IF(BX756&lt;=12*'🎚️ Escenario'!$C$11,1,1+$C$6))</f>
        <v>0</v>
      </c>
      <c r="BY758" s="237" t="n">
        <f aca="false">IF(BY756=0,0,IF(BY756&lt;=12*'🎚️ Escenario'!$C$11,1,1+$C$6))</f>
        <v>0</v>
      </c>
      <c r="BZ758" s="237" t="n">
        <f aca="false">IF(BZ756=0,0,IF(BZ756&lt;=12*'🎚️ Escenario'!$C$11,1,1+$C$6))</f>
        <v>0</v>
      </c>
      <c r="CA758" s="237" t="n">
        <f aca="false">IF(CA756=0,0,IF(CA756&lt;=12*'🎚️ Escenario'!$C$11,1,1+$C$6))</f>
        <v>0</v>
      </c>
      <c r="CB758" s="237" t="n">
        <f aca="false">IF(CB756=0,0,IF(CB756&lt;=12*'🎚️ Escenario'!$C$11,1,1+$C$6))</f>
        <v>0</v>
      </c>
      <c r="CC758" s="237" t="n">
        <f aca="false">IF(CC756=0,0,IF(CC756&lt;=12*'🎚️ Escenario'!$C$11,1,1+$C$6))</f>
        <v>0</v>
      </c>
      <c r="CD758" s="237" t="n">
        <f aca="false">IF(CD756=0,0,IF(CD756&lt;=12*'🎚️ Escenario'!$C$11,1,1+$C$6))</f>
        <v>0</v>
      </c>
      <c r="CE758" s="237" t="n">
        <f aca="false">IF(CE756=0,0,IF(CE756&lt;=12*'🎚️ Escenario'!$C$11,1,1+$C$6))</f>
        <v>0</v>
      </c>
      <c r="CF758" s="237" t="n">
        <f aca="false">IF(CF756=0,0,IF(CF756&lt;=12*'🎚️ Escenario'!$C$11,1,1+$C$6))</f>
        <v>0</v>
      </c>
      <c r="CG758" s="237" t="n">
        <f aca="false">IF(CG756=0,0,IF(CG756&lt;=12*'🎚️ Escenario'!$C$11,1,1+$C$6))</f>
        <v>0</v>
      </c>
      <c r="CH758" s="237" t="n">
        <f aca="false">IF(CH756=0,0,IF(CH756&lt;=12*'🎚️ Escenario'!$C$11,1,1+$C$6))</f>
        <v>0</v>
      </c>
      <c r="CI758" s="237" t="n">
        <f aca="false">IF(CI756=0,0,IF(CI756&lt;=12*'🎚️ Escenario'!$C$11,1,1+$C$6))</f>
        <v>0</v>
      </c>
      <c r="CJ758" s="237" t="n">
        <f aca="false">IF(CJ756=0,0,IF(CJ756&lt;=12*'🎚️ Escenario'!$C$11,1,1+$C$6))</f>
        <v>0</v>
      </c>
      <c r="CK758" s="237" t="n">
        <f aca="false">IF(CK756=0,0,IF(CK756&lt;=12*'🎚️ Escenario'!$C$11,1,1+$C$6))</f>
        <v>0</v>
      </c>
      <c r="CL758" s="237" t="n">
        <f aca="false">IF(CL756=0,0,IF(CL756&lt;=12*'🎚️ Escenario'!$C$11,1,1+$C$6))</f>
        <v>0</v>
      </c>
      <c r="CM758" s="237" t="n">
        <f aca="false">IF(CM756=0,0,IF(CM756&lt;=12*'🎚️ Escenario'!$C$11,1,1+$C$6))</f>
        <v>0</v>
      </c>
      <c r="CN758" s="237" t="n">
        <f aca="false">IF(CN756=0,0,IF(CN756&lt;=12*'🎚️ Escenario'!$C$11,1,1+$C$6))</f>
        <v>0</v>
      </c>
      <c r="CO758" s="237" t="n">
        <f aca="false">IF(CO756=0,0,IF(CO756&lt;=12*'🎚️ Escenario'!$C$11,1,1+$C$6))</f>
        <v>0</v>
      </c>
      <c r="CP758" s="237" t="n">
        <f aca="false">IF(CP756=0,0,IF(CP756&lt;=12*'🎚️ Escenario'!$C$11,1,1+$C$6))</f>
        <v>0</v>
      </c>
      <c r="CQ758" s="237" t="n">
        <f aca="false">IF(CQ756=0,0,IF(CQ756&lt;=12*'🎚️ Escenario'!$C$11,1,1+$C$6))</f>
        <v>0</v>
      </c>
      <c r="CR758" s="237" t="n">
        <f aca="false">IF(CR756=0,0,IF(CR756&lt;=12*'🎚️ Escenario'!$C$11,1,1+$C$6))</f>
        <v>0</v>
      </c>
      <c r="CS758" s="237" t="n">
        <f aca="false">IF(CS756=0,0,IF(CS756&lt;=12*'🎚️ Escenario'!$C$11,1,1+$C$6))</f>
        <v>0</v>
      </c>
      <c r="CT758" s="237" t="n">
        <f aca="false">IF(CT756=0,0,IF(CT756&lt;=12*'🎚️ Escenario'!$C$11,1,1+$C$6))</f>
        <v>0</v>
      </c>
      <c r="CU758" s="237" t="n">
        <f aca="false">IF(CU756=0,0,IF(CU756&lt;=12*'🎚️ Escenario'!$C$11,1,1+$C$6))</f>
        <v>0</v>
      </c>
      <c r="CV758" s="237" t="n">
        <f aca="false">IF(CV756=0,0,IF(CV756&lt;=12*'🎚️ Escenario'!$C$11,1,1+$C$6))</f>
        <v>0</v>
      </c>
      <c r="CW758" s="237" t="n">
        <f aca="false">IF(CW756=0,0,IF(CW756&lt;=12*'🎚️ Escenario'!$C$11,1,1+$C$6))</f>
        <v>0</v>
      </c>
      <c r="CX758" s="237" t="n">
        <f aca="false">IF(CX756=0,0,IF(CX756&lt;=12*'🎚️ Escenario'!$C$11,1,1+$C$6))</f>
        <v>0</v>
      </c>
      <c r="CY758" s="237" t="n">
        <f aca="false">IF(CY756=0,0,IF(CY756&lt;=12*'🎚️ Escenario'!$C$11,1,1+$C$6))</f>
        <v>0</v>
      </c>
      <c r="CZ758" s="237" t="n">
        <f aca="false">IF(CZ756=0,0,IF(CZ756&lt;=12*'🎚️ Escenario'!$C$11,1,1+$C$6))</f>
        <v>0</v>
      </c>
      <c r="DA758" s="237" t="n">
        <f aca="false">IF(DA756=0,0,IF(DA756&lt;=12*'🎚️ Escenario'!$C$11,1,1+$C$6))</f>
        <v>0</v>
      </c>
      <c r="DB758" s="237" t="n">
        <f aca="false">IF(DB756=0,0,IF(DB756&lt;=12*'🎚️ Escenario'!$C$11,1,1+$C$6))</f>
        <v>0</v>
      </c>
      <c r="DC758" s="237" t="n">
        <f aca="false">IF(DC756=0,0,IF(DC756&lt;=12*'🎚️ Escenario'!$C$11,1,1+$C$6))</f>
        <v>0</v>
      </c>
      <c r="DD758" s="237" t="n">
        <f aca="false">IF(DD756=0,0,IF(DD756&lt;=12*'🎚️ Escenario'!$C$11,1,1+$C$6))</f>
        <v>0</v>
      </c>
      <c r="DE758" s="237" t="n">
        <f aca="false">IF(DE756=0,0,IF(DE756&lt;=12*'🎚️ Escenario'!$C$11,1,1+$C$6))</f>
        <v>0</v>
      </c>
      <c r="DF758" s="237" t="n">
        <f aca="false">IF(DF756=0,0,IF(DF756&lt;=12*'🎚️ Escenario'!$C$11,1,1+$C$6))</f>
        <v>0</v>
      </c>
      <c r="DG758" s="237" t="n">
        <f aca="false">IF(DG756=0,0,IF(DG756&lt;=12*'🎚️ Escenario'!$C$11,1,1+$C$6))</f>
        <v>0</v>
      </c>
      <c r="DH758" s="237" t="n">
        <f aca="false">IF(DH756=0,0,IF(DH756&lt;=12*'🎚️ Escenario'!$C$11,1,1+$C$6))</f>
        <v>0</v>
      </c>
      <c r="DI758" s="237" t="n">
        <f aca="false">IF(DI756=0,0,IF(DI756&lt;=12*'🎚️ Escenario'!$C$11,1,1+$C$6))</f>
        <v>0</v>
      </c>
      <c r="DJ758" s="237" t="n">
        <f aca="false">IF(DJ756=0,0,IF(DJ756&lt;=12*'🎚️ Escenario'!$C$11,1,1+$C$6))</f>
        <v>0</v>
      </c>
      <c r="DK758" s="237" t="n">
        <f aca="false">IF(DK756=0,0,IF(DK756&lt;=12*'🎚️ Escenario'!$C$11,1,1+$C$6))</f>
        <v>0</v>
      </c>
      <c r="DL758" s="237" t="n">
        <f aca="false">IF(DL756=0,0,IF(DL756&lt;=12*'🎚️ Escenario'!$C$11,1,1+$C$6))</f>
        <v>0</v>
      </c>
      <c r="DM758" s="237" t="n">
        <f aca="false">IF(DM756=0,0,IF(DM756&lt;=12*'🎚️ Escenario'!$C$11,1,1+$C$6))</f>
        <v>0</v>
      </c>
      <c r="DN758" s="237" t="n">
        <f aca="false">IF(DN756=0,0,IF(DN756&lt;=12*'🎚️ Escenario'!$C$11,1,1+$C$6))</f>
        <v>0</v>
      </c>
      <c r="DO758" s="237" t="n">
        <f aca="false">IF(DO756=0,0,IF(DO756&lt;=12*'🎚️ Escenario'!$C$11,1,1+$C$6))</f>
        <v>0</v>
      </c>
      <c r="DP758" s="237" t="n">
        <f aca="false">IF(DP756=0,0,IF(DP756&lt;=12*'🎚️ Escenario'!$C$11,1,1+$C$6))</f>
        <v>0</v>
      </c>
      <c r="DQ758" s="237" t="n">
        <f aca="false">IF(DQ756=0,0,IF(DQ756&lt;=12*'🎚️ Escenario'!$C$11,1,1+$C$6))</f>
        <v>0</v>
      </c>
      <c r="DR758" s="237" t="n">
        <f aca="false">IF(DR756=0,0,IF(DR756&lt;=12*'🎚️ Escenario'!$C$11,1,1+$C$6))</f>
        <v>0</v>
      </c>
      <c r="DS758" s="237" t="n">
        <f aca="false">IF(DS756=0,0,IF(DS756&lt;=12*'🎚️ Escenario'!$C$11,1,1+$C$6))</f>
        <v>0</v>
      </c>
      <c r="DT758" s="237" t="n">
        <f aca="false">IF(DT756=0,0,IF(DT756&lt;=12*'🎚️ Escenario'!$C$11,1,1+$C$6))</f>
        <v>0</v>
      </c>
      <c r="DU758" s="237" t="n">
        <f aca="false">IF(DU756=0,0,IF(DU756&lt;=12*'🎚️ Escenario'!$C$11,1,1+$C$6))</f>
        <v>0</v>
      </c>
      <c r="DV758" s="237" t="n">
        <f aca="false">IF(DV756=0,0,IF(DV756&lt;=12*'🎚️ Escenario'!$C$11,1,1+$C$6))</f>
        <v>0</v>
      </c>
      <c r="DW758" s="237" t="n">
        <f aca="false">IF(DW756=0,0,IF(DW756&lt;=12*'🎚️ Escenario'!$C$11,1,1+$C$6))</f>
        <v>0</v>
      </c>
      <c r="DX758" s="237" t="n">
        <f aca="false">IF(DX756=0,0,IF(DX756&lt;=12*'🎚️ Escenario'!$C$11,1,1+$C$6))</f>
        <v>0</v>
      </c>
      <c r="DY758" s="237" t="n">
        <f aca="false">IF(DY756=0,0,IF(DY756&lt;=12*'🎚️ Escenario'!$C$11,1,1+$C$6))</f>
        <v>0</v>
      </c>
      <c r="DZ758" s="237" t="n">
        <f aca="false">IF(DZ756=0,0,IF(DZ756&lt;=12*'🎚️ Escenario'!$C$11,1,1+$C$6))</f>
        <v>0</v>
      </c>
      <c r="EA758" s="237" t="n">
        <f aca="false">IF(EA756=0,0,IF(EA756&lt;=12*'🎚️ Escenario'!$C$11,1,1+$C$6))</f>
        <v>0</v>
      </c>
      <c r="EB758" s="237" t="n">
        <f aca="false">IF(EB756=0,0,IF(EB756&lt;=12*'🎚️ Escenario'!$C$11,1,1+$C$6))</f>
        <v>0</v>
      </c>
      <c r="EC758" s="237" t="n">
        <f aca="false">IF(EC756=0,0,IF(EC756&lt;=12*'🎚️ Escenario'!$C$11,1,1+$C$6))</f>
        <v>0</v>
      </c>
      <c r="ED758" s="237" t="n">
        <f aca="false">IF(ED756=0,0,IF(ED756&lt;=12*'🎚️ Escenario'!$C$11,1,1+$C$6))</f>
        <v>0</v>
      </c>
      <c r="EE758" s="237" t="n">
        <f aca="false">IF(EE756=0,0,IF(EE756&lt;=12*'🎚️ Escenario'!$C$11,1,1+$C$6))</f>
        <v>0</v>
      </c>
      <c r="EF758" s="237" t="n">
        <f aca="false">IF(EF756=0,0,IF(EF756&lt;=12*'🎚️ Escenario'!$C$11,1,1+$C$6))</f>
        <v>0</v>
      </c>
      <c r="EG758" s="237" t="n">
        <f aca="false">IF(EG756=0,0,IF(EG756&lt;=12*'🎚️ Escenario'!$C$11,1,1+$C$6))</f>
        <v>0</v>
      </c>
      <c r="EH758" s="237" t="n">
        <f aca="false">IF(EH756=0,0,IF(EH756&lt;=12*'🎚️ Escenario'!$C$11,1,1+$C$6))</f>
        <v>0</v>
      </c>
      <c r="EI758" s="237" t="n">
        <f aca="false">IF(EI756=0,0,IF(EI756&lt;=12*'🎚️ Escenario'!$C$11,1,1+$C$6))</f>
        <v>0</v>
      </c>
      <c r="EJ758" s="237" t="n">
        <f aca="false">IF(EJ756=0,0,IF(EJ756&lt;=12*'🎚️ Escenario'!$C$11,1,1+$C$6))</f>
        <v>0</v>
      </c>
      <c r="EK758" s="237" t="n">
        <f aca="false">IF(EK756=0,0,IF(EK756&lt;=12*'🎚️ Escenario'!$C$11,1,1+$C$6))</f>
        <v>0</v>
      </c>
      <c r="EL758" s="237" t="n">
        <f aca="false">IF(EL756=0,0,IF(EL756&lt;=12*'🎚️ Escenario'!$C$11,1,1+$C$6))</f>
        <v>0</v>
      </c>
      <c r="EM758" s="237" t="n">
        <f aca="false">IF(EM756=0,0,IF(EM756&lt;=12*'🎚️ Escenario'!$C$11,1,1+$C$6))</f>
        <v>0</v>
      </c>
      <c r="EN758" s="237" t="n">
        <f aca="false">IF(EN756=0,0,IF(EN756&lt;=12*'🎚️ Escenario'!$C$11,1,1+$C$6))</f>
        <v>0</v>
      </c>
      <c r="EO758" s="237" t="n">
        <f aca="false">IF(EO756=0,0,IF(EO756&lt;=12*'🎚️ Escenario'!$C$11,1,1+$C$6))</f>
        <v>0</v>
      </c>
      <c r="EP758" s="237" t="n">
        <f aca="false">IF(EP756=0,0,IF(EP756&lt;=12*'🎚️ Escenario'!$C$11,1,1+$C$6))</f>
        <v>0</v>
      </c>
      <c r="EQ758" s="237" t="n">
        <f aca="false">IF(EQ756=0,0,IF(EQ756&lt;=12*'🎚️ Escenario'!$C$11,1,1+$C$6))</f>
        <v>0</v>
      </c>
      <c r="ER758" s="237" t="n">
        <f aca="false">IF(ER756=0,0,IF(ER756&lt;=12*'🎚️ Escenario'!$C$11,1,1+$C$6))</f>
        <v>0</v>
      </c>
      <c r="ES758" s="9" t="n">
        <f aca="false">IF(ES756=0,0,IF(ES756&lt;=12*'🎚️ Escenario'!$C$11,1,1+$C$6))</f>
        <v>0</v>
      </c>
      <c r="ET758" s="9" t="n">
        <f aca="false">IF(ET756=0,0,IF(ET756&lt;=12*'🎚️ Escenario'!$C$11,1,1+$C$6))</f>
        <v>0</v>
      </c>
      <c r="EU758" s="9" t="n">
        <f aca="false">IF(EU756=0,0,IF(EU756&lt;=12*'🎚️ Escenario'!$C$11,1,1+$C$6))</f>
        <v>0</v>
      </c>
      <c r="EV758" s="9" t="n">
        <f aca="false">IF(EV756=0,0,IF(EV756&lt;=12*'🎚️ Escenario'!$C$11,1,1+$C$6))</f>
        <v>0</v>
      </c>
      <c r="EW758" s="9" t="n">
        <f aca="false">IF(EW756=0,0,IF(EW756&lt;=12*'🎚️ Escenario'!$C$11,1,1+$C$6))</f>
        <v>0</v>
      </c>
      <c r="EX758" s="9" t="n">
        <f aca="false">IF(EX756=0,0,IF(EX756&lt;=12*'🎚️ Escenario'!$C$11,1,1+$C$6))</f>
        <v>0</v>
      </c>
      <c r="EY758" s="9" t="n">
        <f aca="false">IF(EY756=0,0,IF(EY756&lt;=12*'🎚️ Escenario'!$C$11,1,1+$C$6))</f>
        <v>0</v>
      </c>
      <c r="EZ758" s="9" t="n">
        <f aca="false">IF(EZ756=0,0,IF(EZ756&lt;=12*'🎚️ Escenario'!$C$11,1,1+$C$6))</f>
        <v>1</v>
      </c>
      <c r="FA758" s="9" t="n">
        <f aca="false">IF(FA756=0,0,IF(FA756&lt;=12*'🎚️ Escenario'!$C$11,1,1+$C$6))</f>
        <v>1</v>
      </c>
      <c r="FB758" s="9" t="n">
        <f aca="false">IF(FB756=0,0,IF(FB756&lt;=12*'🎚️ Escenario'!$C$11,1,1+$C$6))</f>
        <v>1</v>
      </c>
      <c r="FC758" s="9" t="n">
        <f aca="false">IF(FC756=0,0,IF(FC756&lt;=12*'🎚️ Escenario'!$C$11,1,1+$C$6))</f>
        <v>1</v>
      </c>
      <c r="FD758" s="9" t="n">
        <f aca="false">IF(FD756=0,0,IF(FD756&lt;=12*'🎚️ Escenario'!$C$11,1,1+$C$6))</f>
        <v>1</v>
      </c>
      <c r="FE758" s="9" t="n">
        <f aca="false">IF(FE756=0,0,IF(FE756&lt;=12*'🎚️ Escenario'!$C$11,1,1+$C$6))</f>
        <v>1</v>
      </c>
      <c r="FF758" s="9" t="n">
        <f aca="false">IF(FF756=0,0,IF(FF756&lt;=12*'🎚️ Escenario'!$C$11,1,1+$C$6))</f>
        <v>1</v>
      </c>
      <c r="FG758" s="9" t="n">
        <f aca="false">IF(FG756=0,0,IF(FG756&lt;=12*'🎚️ Escenario'!$C$11,1,1+$C$6))</f>
        <v>1</v>
      </c>
      <c r="FH758" s="9" t="n">
        <f aca="false">IF(FH756=0,0,IF(FH756&lt;=12*'🎚️ Escenario'!$C$11,1,1+$C$6))</f>
        <v>1</v>
      </c>
      <c r="FI758" s="9" t="n">
        <f aca="false">IF(FI756=0,0,IF(FI756&lt;=12*'🎚️ Escenario'!$C$11,1,1+$C$6))</f>
        <v>1</v>
      </c>
      <c r="FJ758" s="9" t="n">
        <f aca="false">IF(FJ756=0,0,IF(FJ756&lt;=12*'🎚️ Escenario'!$C$11,1,1+$C$6))</f>
        <v>1</v>
      </c>
      <c r="FK758" s="9" t="n">
        <f aca="false">IF(FK756=0,0,IF(FK756&lt;=12*'🎚️ Escenario'!$C$11,1,1+$C$6))</f>
        <v>1</v>
      </c>
      <c r="FL758" s="9" t="n">
        <f aca="false">IF(FL756=0,0,IF(FL756&lt;=12*'🎚️ Escenario'!$C$11,1,1+$C$6))</f>
        <v>1</v>
      </c>
      <c r="FM758" s="9" t="n">
        <f aca="false">IF(FM756=0,0,IF(FM756&lt;=12*'🎚️ Escenario'!$C$11,1,1+$C$6))</f>
        <v>1</v>
      </c>
      <c r="FN758" s="9" t="n">
        <f aca="false">IF(FN756=0,0,IF(FN756&lt;=12*'🎚️ Escenario'!$C$11,1,1+$C$6))</f>
        <v>1</v>
      </c>
      <c r="FO758" s="238" t="n">
        <f aca="false">IF(FO756=0,0,IF(FO756&lt;=12*'🎚️ Escenario'!$C$11,1,1+$C$6))</f>
        <v>1.2</v>
      </c>
      <c r="FP758" s="238" t="n">
        <f aca="false">IF(FP756=0,0,IF(FP756&lt;=12*'🎚️ Escenario'!$C$11,1,1+$C$6))</f>
        <v>1.2</v>
      </c>
    </row>
    <row r="759" customFormat="false" ht="15" hidden="false" customHeight="false" outlineLevel="2" collapsed="false">
      <c r="B759" s="9" t="s">
        <v>876</v>
      </c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36" t="n">
        <f aca="false">AC757*$AC$755*AC758*AC$38*'⑫ Roll-out Plan'!$O$80</f>
        <v>0</v>
      </c>
      <c r="AD759" s="36" t="n">
        <f aca="false">AD757*$AC$755*AD758*AD$38*'⑫ Roll-out Plan'!$O$80</f>
        <v>0</v>
      </c>
      <c r="AE759" s="36" t="n">
        <f aca="false">AE757*$AC$755*AE758*AE$38*'⑫ Roll-out Plan'!$O$80</f>
        <v>0</v>
      </c>
      <c r="AF759" s="36" t="n">
        <f aca="false">AF757*$AC$755*AF758*AF$38*'⑫ Roll-out Plan'!$O$80</f>
        <v>0</v>
      </c>
      <c r="AG759" s="36" t="n">
        <f aca="false">AG757*$AC$755*AG758*AG$38*'⑫ Roll-out Plan'!$O$80</f>
        <v>0</v>
      </c>
      <c r="AH759" s="36" t="n">
        <f aca="false">AH757*$AC$755*AH758*AH$38*'⑫ Roll-out Plan'!$O$80</f>
        <v>0</v>
      </c>
      <c r="AI759" s="36" t="n">
        <f aca="false">AI757*$AC$755*AI758*AI$38*'⑫ Roll-out Plan'!$O$80</f>
        <v>0</v>
      </c>
      <c r="AJ759" s="36" t="n">
        <f aca="false">AJ757*$AC$755*AJ758*AJ$38*'⑫ Roll-out Plan'!$O$80</f>
        <v>0</v>
      </c>
      <c r="AK759" s="36" t="n">
        <f aca="false">AK757*$AC$755*AK758*AK$38*'⑫ Roll-out Plan'!$O$80</f>
        <v>0</v>
      </c>
      <c r="AL759" s="36" t="n">
        <f aca="false">AL757*$AC$755*AL758*AL$38*'⑫ Roll-out Plan'!$O$80</f>
        <v>0</v>
      </c>
      <c r="AM759" s="36" t="n">
        <f aca="false">AM757*$AC$755*AM758*AM$38*'⑫ Roll-out Plan'!$O$80</f>
        <v>0</v>
      </c>
      <c r="AN759" s="36" t="n">
        <f aca="false">AN757*$AC$755*AN758*AN$38*'⑫ Roll-out Plan'!$O$80</f>
        <v>0</v>
      </c>
      <c r="AO759" s="36" t="n">
        <f aca="false">AO757*$AC$755*AO758*AO$38*'⑫ Roll-out Plan'!$O$80</f>
        <v>0</v>
      </c>
      <c r="AP759" s="36" t="n">
        <f aca="false">AP757*$AC$755*AP758*AP$38*'⑫ Roll-out Plan'!$O$80</f>
        <v>0</v>
      </c>
      <c r="AQ759" s="36" t="n">
        <f aca="false">AQ757*$AC$755*AQ758*AQ$38*'⑫ Roll-out Plan'!$O$80</f>
        <v>0</v>
      </c>
      <c r="AR759" s="36" t="n">
        <f aca="false">AR757*$AC$755*AR758*AR$38*'⑫ Roll-out Plan'!$O$80</f>
        <v>0</v>
      </c>
      <c r="AS759" s="36" t="n">
        <f aca="false">AS757*$AC$755*AS758*AS$38*'⑫ Roll-out Plan'!$O$80</f>
        <v>0</v>
      </c>
      <c r="AT759" s="36" t="n">
        <f aca="false">AT757*$AC$755*AT758*AT$38*'⑫ Roll-out Plan'!$O$80</f>
        <v>0</v>
      </c>
      <c r="AU759" s="36" t="n">
        <f aca="false">AU757*$AC$755*AU758*AU$38*'⑫ Roll-out Plan'!$O$80</f>
        <v>0</v>
      </c>
      <c r="AV759" s="36" t="n">
        <f aca="false">AV757*$AC$755*AV758*AV$38*'⑫ Roll-out Plan'!$O$80</f>
        <v>0</v>
      </c>
      <c r="AW759" s="36" t="n">
        <f aca="false">AW757*$AC$755*AW758*AW$38*'⑫ Roll-out Plan'!$O$80</f>
        <v>0</v>
      </c>
      <c r="AX759" s="36" t="n">
        <f aca="false">AX757*$AC$755*AX758*AX$38*'⑫ Roll-out Plan'!$O$80</f>
        <v>0</v>
      </c>
      <c r="AY759" s="36" t="n">
        <f aca="false">AY757*$AC$755*AY758*AY$38*'⑫ Roll-out Plan'!$O$80</f>
        <v>0</v>
      </c>
      <c r="AZ759" s="36" t="n">
        <f aca="false">AZ757*$AC$755*AZ758*AZ$38*'⑫ Roll-out Plan'!$O$80</f>
        <v>0</v>
      </c>
      <c r="BA759" s="36" t="n">
        <f aca="false">BA757*$AC$755*BA758*BA$38*'⑫ Roll-out Plan'!$O$80</f>
        <v>0</v>
      </c>
      <c r="BB759" s="36" t="n">
        <f aca="false">BB757*$AC$755*BB758*BB$38*'⑫ Roll-out Plan'!$O$80</f>
        <v>0</v>
      </c>
      <c r="BC759" s="36" t="n">
        <f aca="false">BC757*$AC$755*BC758*BC$38*'⑫ Roll-out Plan'!$O$80</f>
        <v>0</v>
      </c>
      <c r="BD759" s="36" t="n">
        <f aca="false">BD757*$AC$755*BD758*BD$38*'⑫ Roll-out Plan'!$O$80</f>
        <v>0</v>
      </c>
      <c r="BE759" s="36" t="n">
        <f aca="false">BE757*$AC$755*BE758*BE$38*'⑫ Roll-out Plan'!$O$80</f>
        <v>0</v>
      </c>
      <c r="BF759" s="36" t="n">
        <f aca="false">BF757*$AC$755*BF758*BF$38*'⑫ Roll-out Plan'!$O$80</f>
        <v>0</v>
      </c>
      <c r="BG759" s="36" t="n">
        <f aca="false">BG757*$AC$755*BG758*BG$38*'⑫ Roll-out Plan'!$O$80</f>
        <v>0</v>
      </c>
      <c r="BH759" s="36" t="n">
        <f aca="false">BH757*$AC$755*BH758*BH$38*'⑫ Roll-out Plan'!$O$80</f>
        <v>0</v>
      </c>
      <c r="BI759" s="36" t="n">
        <f aca="false">BI757*$AC$755*BI758*BI$38*'⑫ Roll-out Plan'!$O$80</f>
        <v>0</v>
      </c>
      <c r="BJ759" s="36" t="n">
        <f aca="false">BJ757*$AC$755*BJ758*BJ$38*'⑫ Roll-out Plan'!$O$80</f>
        <v>0</v>
      </c>
      <c r="BK759" s="36" t="n">
        <f aca="false">BK757*$AC$755*BK758*BK$38*'⑫ Roll-out Plan'!$O$80</f>
        <v>0</v>
      </c>
      <c r="BL759" s="36" t="n">
        <f aca="false">BL757*$AC$755*BL758*BL$38*'⑫ Roll-out Plan'!$O$80</f>
        <v>0</v>
      </c>
      <c r="BM759" s="36" t="n">
        <f aca="false">BM757*$AC$755*BM758*BM$38*'⑫ Roll-out Plan'!$O$80</f>
        <v>0</v>
      </c>
      <c r="BN759" s="36" t="n">
        <f aca="false">BN757*$AC$755*BN758*BN$38*'⑫ Roll-out Plan'!$O$80</f>
        <v>0</v>
      </c>
      <c r="BO759" s="36" t="n">
        <f aca="false">BO757*$AC$755*BO758*BO$38*'⑫ Roll-out Plan'!$O$80</f>
        <v>0</v>
      </c>
      <c r="BP759" s="36" t="n">
        <f aca="false">BP757*$AC$755*BP758*BP$38*'⑫ Roll-out Plan'!$O$80</f>
        <v>0</v>
      </c>
      <c r="BQ759" s="36" t="n">
        <f aca="false">BQ757*$AC$755*BQ758*BQ$38*'⑫ Roll-out Plan'!$O$80</f>
        <v>0</v>
      </c>
      <c r="BR759" s="36" t="n">
        <f aca="false">BR757*$AC$755*BR758*BR$38*'⑫ Roll-out Plan'!$O$80</f>
        <v>0</v>
      </c>
      <c r="BS759" s="36" t="n">
        <f aca="false">BS757*$AC$755*BS758*BS$38*'⑫ Roll-out Plan'!$O$80</f>
        <v>0</v>
      </c>
      <c r="BT759" s="36" t="n">
        <f aca="false">BT757*$AC$755*BT758*BT$38*'⑫ Roll-out Plan'!$O$80</f>
        <v>0</v>
      </c>
      <c r="BU759" s="36" t="n">
        <f aca="false">BU757*$AC$755*BU758*BU$38*'⑫ Roll-out Plan'!$O$80</f>
        <v>0</v>
      </c>
      <c r="BV759" s="36" t="n">
        <f aca="false">BV757*$AC$755*BV758*BV$38*'⑫ Roll-out Plan'!$O$80</f>
        <v>0</v>
      </c>
      <c r="BW759" s="36" t="n">
        <f aca="false">BW757*$AC$755*BW758*BW$38*'⑫ Roll-out Plan'!$O$80</f>
        <v>0</v>
      </c>
      <c r="BX759" s="36" t="n">
        <f aca="false">BX757*$AC$755*BX758*BX$38*'⑫ Roll-out Plan'!$O$80</f>
        <v>0</v>
      </c>
      <c r="BY759" s="36" t="n">
        <f aca="false">BY757*$AC$755*BY758*BY$38*'⑫ Roll-out Plan'!$O$80</f>
        <v>0</v>
      </c>
      <c r="BZ759" s="36" t="n">
        <f aca="false">BZ757*$AC$755*BZ758*BZ$38*'⑫ Roll-out Plan'!$O$80</f>
        <v>0</v>
      </c>
      <c r="CA759" s="36" t="n">
        <f aca="false">CA757*$AC$755*CA758*CA$38*'⑫ Roll-out Plan'!$O$80</f>
        <v>0</v>
      </c>
      <c r="CB759" s="36" t="n">
        <f aca="false">CB757*$AC$755*CB758*CB$38*'⑫ Roll-out Plan'!$O$80</f>
        <v>0</v>
      </c>
      <c r="CC759" s="36" t="n">
        <f aca="false">CC757*$AC$755*CC758*CC$38*'⑫ Roll-out Plan'!$O$80</f>
        <v>0</v>
      </c>
      <c r="CD759" s="36" t="n">
        <f aca="false">CD757*$AC$755*CD758*CD$38*'⑫ Roll-out Plan'!$O$80</f>
        <v>0</v>
      </c>
      <c r="CE759" s="36" t="n">
        <f aca="false">CE757*$AC$755*CE758*CE$38*'⑫ Roll-out Plan'!$O$80</f>
        <v>0</v>
      </c>
      <c r="CF759" s="36" t="n">
        <f aca="false">CF757*$AC$755*CF758*CF$38*'⑫ Roll-out Plan'!$O$80</f>
        <v>0</v>
      </c>
      <c r="CG759" s="36" t="n">
        <f aca="false">CG757*$AC$755*CG758*CG$38*'⑫ Roll-out Plan'!$O$80</f>
        <v>0</v>
      </c>
      <c r="CH759" s="36" t="n">
        <f aca="false">CH757*$AC$755*CH758*CH$38*'⑫ Roll-out Plan'!$O$80</f>
        <v>0</v>
      </c>
      <c r="CI759" s="36" t="n">
        <f aca="false">CI757*$AC$755*CI758*CI$38*'⑫ Roll-out Plan'!$O$80</f>
        <v>0</v>
      </c>
      <c r="CJ759" s="36" t="n">
        <f aca="false">CJ757*$AC$755*CJ758*CJ$38*'⑫ Roll-out Plan'!$O$80</f>
        <v>0</v>
      </c>
      <c r="CK759" s="36" t="n">
        <f aca="false">CK757*$AC$755*CK758*CK$38*'⑫ Roll-out Plan'!$O$80</f>
        <v>0</v>
      </c>
      <c r="CL759" s="36" t="n">
        <f aca="false">CL757*$AC$755*CL758*CL$38*'⑫ Roll-out Plan'!$O$80</f>
        <v>0</v>
      </c>
      <c r="CM759" s="36" t="n">
        <f aca="false">CM757*$AC$755*CM758*CM$38*'⑫ Roll-out Plan'!$O$80</f>
        <v>0</v>
      </c>
      <c r="CN759" s="36" t="n">
        <f aca="false">CN757*$AC$755*CN758*CN$38*'⑫ Roll-out Plan'!$O$80</f>
        <v>0</v>
      </c>
      <c r="CO759" s="36" t="n">
        <f aca="false">CO757*$AC$755*CO758*CO$38*'⑫ Roll-out Plan'!$O$80</f>
        <v>0</v>
      </c>
      <c r="CP759" s="36" t="n">
        <f aca="false">CP757*$AC$755*CP758*CP$38*'⑫ Roll-out Plan'!$O$80</f>
        <v>0</v>
      </c>
      <c r="CQ759" s="36" t="n">
        <f aca="false">CQ757*$AC$755*CQ758*CQ$38*'⑫ Roll-out Plan'!$O$80</f>
        <v>0</v>
      </c>
      <c r="CR759" s="36" t="n">
        <f aca="false">CR757*$AC$755*CR758*CR$38*'⑫ Roll-out Plan'!$O$80</f>
        <v>0</v>
      </c>
      <c r="CS759" s="36" t="n">
        <f aca="false">CS757*$AC$755*CS758*CS$38*'⑫ Roll-out Plan'!$O$80</f>
        <v>0</v>
      </c>
      <c r="CT759" s="36" t="n">
        <f aca="false">CT757*$AC$755*CT758*CT$38*'⑫ Roll-out Plan'!$O$80</f>
        <v>0</v>
      </c>
      <c r="CU759" s="36" t="n">
        <f aca="false">CU757*$AC$755*CU758*CU$38*'⑫ Roll-out Plan'!$O$80</f>
        <v>0</v>
      </c>
      <c r="CV759" s="36" t="n">
        <f aca="false">CV757*$AC$755*CV758*CV$38*'⑫ Roll-out Plan'!$O$80</f>
        <v>0</v>
      </c>
      <c r="CW759" s="36" t="n">
        <f aca="false">CW757*$AC$755*CW758*CW$38*'⑫ Roll-out Plan'!$O$80</f>
        <v>0</v>
      </c>
      <c r="CX759" s="36" t="n">
        <f aca="false">CX757*$AC$755*CX758*CX$38*'⑫ Roll-out Plan'!$O$80</f>
        <v>0</v>
      </c>
      <c r="CY759" s="36" t="n">
        <f aca="false">CY757*$AC$755*CY758*CY$38*'⑫ Roll-out Plan'!$O$80</f>
        <v>0</v>
      </c>
      <c r="CZ759" s="36" t="n">
        <f aca="false">CZ757*$AC$755*CZ758*CZ$38*'⑫ Roll-out Plan'!$O$80</f>
        <v>0</v>
      </c>
      <c r="DA759" s="36" t="n">
        <f aca="false">DA757*$AC$755*DA758*DA$38*'⑫ Roll-out Plan'!$O$80</f>
        <v>0</v>
      </c>
      <c r="DB759" s="36" t="n">
        <f aca="false">DB757*$AC$755*DB758*DB$38*'⑫ Roll-out Plan'!$O$80</f>
        <v>0</v>
      </c>
      <c r="DC759" s="36" t="n">
        <f aca="false">DC757*$AC$755*DC758*DC$38*'⑫ Roll-out Plan'!$O$80</f>
        <v>0</v>
      </c>
      <c r="DD759" s="36" t="n">
        <f aca="false">DD757*$AC$755*DD758*DD$38*'⑫ Roll-out Plan'!$O$80</f>
        <v>0</v>
      </c>
      <c r="DE759" s="36" t="n">
        <f aca="false">DE757*$AC$755*DE758*DE$38*'⑫ Roll-out Plan'!$O$80</f>
        <v>0</v>
      </c>
      <c r="DF759" s="36" t="n">
        <f aca="false">DF757*$AC$755*DF758*DF$38*'⑫ Roll-out Plan'!$O$80</f>
        <v>0</v>
      </c>
      <c r="DG759" s="36" t="n">
        <f aca="false">DG757*$AC$755*DG758*DG$38*'⑫ Roll-out Plan'!$O$80</f>
        <v>0</v>
      </c>
      <c r="DH759" s="36" t="n">
        <f aca="false">DH757*$AC$755*DH758*DH$38*'⑫ Roll-out Plan'!$O$80</f>
        <v>0</v>
      </c>
      <c r="DI759" s="36" t="n">
        <f aca="false">DI757*$AC$755*DI758*DI$38*'⑫ Roll-out Plan'!$O$80</f>
        <v>0</v>
      </c>
      <c r="DJ759" s="36" t="n">
        <f aca="false">DJ757*$AC$755*DJ758*DJ$38*'⑫ Roll-out Plan'!$O$80</f>
        <v>0</v>
      </c>
      <c r="DK759" s="36" t="n">
        <f aca="false">DK757*$AC$755*DK758*DK$38*'⑫ Roll-out Plan'!$O$80</f>
        <v>0</v>
      </c>
      <c r="DL759" s="36" t="n">
        <f aca="false">DL757*$AC$755*DL758*DL$38*'⑫ Roll-out Plan'!$O$80</f>
        <v>0</v>
      </c>
      <c r="DM759" s="36" t="n">
        <f aca="false">DM757*$AC$755*DM758*DM$38*'⑫ Roll-out Plan'!$O$80</f>
        <v>0</v>
      </c>
      <c r="DN759" s="36" t="n">
        <f aca="false">DN757*$AC$755*DN758*DN$38*'⑫ Roll-out Plan'!$O$80</f>
        <v>0</v>
      </c>
      <c r="DO759" s="36" t="n">
        <f aca="false">DO757*$AC$755*DO758*DO$38*'⑫ Roll-out Plan'!$O$80</f>
        <v>0</v>
      </c>
      <c r="DP759" s="36" t="n">
        <f aca="false">DP757*$AC$755*DP758*DP$38*'⑫ Roll-out Plan'!$O$80</f>
        <v>0</v>
      </c>
      <c r="DQ759" s="36" t="n">
        <f aca="false">DQ757*$AC$755*DQ758*DQ$38*'⑫ Roll-out Plan'!$O$80</f>
        <v>0</v>
      </c>
      <c r="DR759" s="36" t="n">
        <f aca="false">DR757*$AC$755*DR758*DR$38*'⑫ Roll-out Plan'!$O$80</f>
        <v>0</v>
      </c>
      <c r="DS759" s="36" t="n">
        <f aca="false">DS757*$AC$755*DS758*DS$38*'⑫ Roll-out Plan'!$O$80</f>
        <v>0</v>
      </c>
      <c r="DT759" s="36" t="n">
        <f aca="false">DT757*$AC$755*DT758*DT$38*'⑫ Roll-out Plan'!$O$80</f>
        <v>0</v>
      </c>
      <c r="DU759" s="36" t="n">
        <f aca="false">DU757*$AC$755*DU758*DU$38*'⑫ Roll-out Plan'!$O$80</f>
        <v>0</v>
      </c>
      <c r="DV759" s="36" t="n">
        <f aca="false">DV757*$AC$755*DV758*DV$38*'⑫ Roll-out Plan'!$O$80</f>
        <v>0</v>
      </c>
      <c r="DW759" s="36" t="n">
        <f aca="false">DW757*$AC$755*DW758*DW$38*'⑫ Roll-out Plan'!$O$80</f>
        <v>0</v>
      </c>
      <c r="DX759" s="36" t="n">
        <f aca="false">DX757*$AC$755*DX758*DX$38*'⑫ Roll-out Plan'!$O$80</f>
        <v>0</v>
      </c>
      <c r="DY759" s="36" t="n">
        <f aca="false">DY757*$AC$755*DY758*DY$38*'⑫ Roll-out Plan'!$O$80</f>
        <v>0</v>
      </c>
      <c r="DZ759" s="36" t="n">
        <f aca="false">DZ757*$AC$755*DZ758*DZ$38*'⑫ Roll-out Plan'!$O$80</f>
        <v>0</v>
      </c>
      <c r="EA759" s="36" t="n">
        <f aca="false">EA757*$AC$755*EA758*EA$38*'⑫ Roll-out Plan'!$O$80</f>
        <v>0</v>
      </c>
      <c r="EB759" s="36" t="n">
        <f aca="false">EB757*$AC$755*EB758*EB$38*'⑫ Roll-out Plan'!$O$80</f>
        <v>0</v>
      </c>
      <c r="EC759" s="36" t="n">
        <f aca="false">EC757*$AC$755*EC758*EC$38*'⑫ Roll-out Plan'!$O$80</f>
        <v>0</v>
      </c>
      <c r="ED759" s="36" t="n">
        <f aca="false">ED757*$AC$755*ED758*ED$38*'⑫ Roll-out Plan'!$O$80</f>
        <v>0</v>
      </c>
      <c r="EE759" s="36" t="n">
        <f aca="false">EE757*$AC$755*EE758*EE$38*'⑫ Roll-out Plan'!$O$80</f>
        <v>0</v>
      </c>
      <c r="EF759" s="36" t="n">
        <f aca="false">EF757*$AC$755*EF758*EF$38*'⑫ Roll-out Plan'!$O$80</f>
        <v>0</v>
      </c>
      <c r="EG759" s="36" t="n">
        <f aca="false">EG757*$AC$755*EG758*EG$38*'⑫ Roll-out Plan'!$O$80</f>
        <v>0</v>
      </c>
      <c r="EH759" s="36" t="n">
        <f aca="false">EH757*$AC$755*EH758*EH$38*'⑫ Roll-out Plan'!$O$80</f>
        <v>0</v>
      </c>
      <c r="EI759" s="36" t="n">
        <f aca="false">EI757*$AC$755*EI758*EI$38*'⑫ Roll-out Plan'!$O$80</f>
        <v>0</v>
      </c>
      <c r="EJ759" s="36" t="n">
        <f aca="false">EJ757*$AC$755*EJ758*EJ$38*'⑫ Roll-out Plan'!$O$80</f>
        <v>0</v>
      </c>
      <c r="EK759" s="36" t="n">
        <f aca="false">EK757*$AC$755*EK758*EK$38*'⑫ Roll-out Plan'!$O$80</f>
        <v>0</v>
      </c>
      <c r="EL759" s="36" t="n">
        <f aca="false">EL757*$AC$755*EL758*EL$38*'⑫ Roll-out Plan'!$O$80</f>
        <v>0</v>
      </c>
      <c r="EM759" s="36" t="n">
        <f aca="false">EM757*$AC$755*EM758*EM$38*'⑫ Roll-out Plan'!$O$80</f>
        <v>0</v>
      </c>
      <c r="EN759" s="36" t="n">
        <f aca="false">EN757*$AC$755*EN758*EN$38*'⑫ Roll-out Plan'!$O$80</f>
        <v>0</v>
      </c>
      <c r="EO759" s="36" t="n">
        <f aca="false">EO757*$AC$755*EO758*EO$38*'⑫ Roll-out Plan'!$O$80</f>
        <v>0</v>
      </c>
      <c r="EP759" s="36" t="n">
        <f aca="false">EP757*$AC$755*EP758*EP$38*'⑫ Roll-out Plan'!$O$80</f>
        <v>0</v>
      </c>
      <c r="EQ759" s="36" t="n">
        <f aca="false">EQ757*$AC$755*EQ758*EQ$38*'⑫ Roll-out Plan'!$O$80</f>
        <v>0</v>
      </c>
      <c r="ER759" s="36" t="n">
        <f aca="false">ER757*$AC$755*ER758*ER$38*'⑫ Roll-out Plan'!$O$80</f>
        <v>0</v>
      </c>
      <c r="ES759" s="9" t="n">
        <f aca="false">ES757*$AC$755*ES758*ES$38*'⑫ Roll-out Plan'!$O$80</f>
        <v>0</v>
      </c>
      <c r="ET759" s="9" t="n">
        <f aca="false">ET757*$AC$755*ET758*ET$38*'⑫ Roll-out Plan'!$O$80</f>
        <v>0</v>
      </c>
      <c r="EU759" s="9" t="n">
        <f aca="false">EU757*$AC$755*EU758*EU$38*'⑫ Roll-out Plan'!$O$80</f>
        <v>0</v>
      </c>
      <c r="EV759" s="9" t="n">
        <f aca="false">EV757*$AC$755*EV758*EV$38*'⑫ Roll-out Plan'!$O$80</f>
        <v>0</v>
      </c>
      <c r="EW759" s="9" t="n">
        <f aca="false">EW757*$AC$755*EW758*EW$38*'⑫ Roll-out Plan'!$O$80</f>
        <v>0</v>
      </c>
      <c r="EX759" s="9" t="n">
        <f aca="false">EX757*$AC$755*EX758*EX$38*'⑫ Roll-out Plan'!$O$80</f>
        <v>0</v>
      </c>
      <c r="EY759" s="9" t="n">
        <f aca="false">EY757*$AC$755*EY758*EY$38*'⑫ Roll-out Plan'!$O$80</f>
        <v>0</v>
      </c>
      <c r="EZ759" s="9" t="n">
        <f aca="false">EZ757*$AC$755*EZ758*EZ$38*'⑫ Roll-out Plan'!$O$80</f>
        <v>52.54</v>
      </c>
      <c r="FA759" s="9" t="n">
        <f aca="false">FA757*$AC$755*FA758*FA$38*'⑫ Roll-out Plan'!$O$80</f>
        <v>47.212</v>
      </c>
      <c r="FB759" s="9" t="n">
        <f aca="false">FB757*$AC$755*FB758*FB$38*'⑫ Roll-out Plan'!$O$80</f>
        <v>42.624</v>
      </c>
      <c r="FC759" s="9" t="n">
        <f aca="false">FC757*$AC$755*FC758*FC$38*'⑫ Roll-out Plan'!$O$80</f>
        <v>35.964</v>
      </c>
      <c r="FD759" s="9" t="n">
        <f aca="false">FD757*$AC$755*FD758*FD$38*'⑫ Roll-out Plan'!$O$80</f>
        <v>50.949</v>
      </c>
      <c r="FE759" s="9" t="n">
        <f aca="false">FE757*$AC$755*FE758*FE$38*'⑫ Roll-out Plan'!$O$80</f>
        <v>61.938</v>
      </c>
      <c r="FF759" s="9" t="n">
        <f aca="false">FF757*$AC$755*FF758*FF$38*'⑫ Roll-out Plan'!$O$80</f>
        <v>53.095</v>
      </c>
      <c r="FG759" s="9" t="n">
        <f aca="false">FG757*$AC$755*FG758*FG$38*'⑫ Roll-out Plan'!$O$80</f>
        <v>83.694</v>
      </c>
      <c r="FH759" s="9" t="n">
        <f aca="false">FH757*$AC$755*FH758*FH$38*'⑫ Roll-out Plan'!$O$80</f>
        <v>89.54</v>
      </c>
      <c r="FI759" s="9" t="n">
        <f aca="false">FI757*$AC$755*FI758*FI$38*'⑫ Roll-out Plan'!$O$80</f>
        <v>74.888</v>
      </c>
      <c r="FJ759" s="9" t="n">
        <f aca="false">FJ757*$AC$755*FJ758*FJ$38*'⑫ Roll-out Plan'!$O$80</f>
        <v>71.04</v>
      </c>
      <c r="FK759" s="9" t="n">
        <f aca="false">FK757*$AC$755*FK758*FK$38*'⑫ Roll-out Plan'!$O$80</f>
        <v>80.808</v>
      </c>
      <c r="FL759" s="9" t="n">
        <f aca="false">FL757*$AC$755*FL758*FL$38*'⑫ Roll-out Plan'!$O$80</f>
        <v>147.112</v>
      </c>
      <c r="FM759" s="9" t="n">
        <f aca="false">FM757*$AC$755*FM758*FM$38*'⑫ Roll-out Plan'!$O$80</f>
        <v>128.76</v>
      </c>
      <c r="FN759" s="9" t="n">
        <f aca="false">FN757*$AC$755*FN758*FN$38*'⑫ Roll-out Plan'!$O$80</f>
        <v>106.56</v>
      </c>
      <c r="FO759" s="9" t="n">
        <f aca="false">FO757*$AC$755*FO758*FO$38*'⑫ Roll-out Plan'!$O$80</f>
        <v>100.6992</v>
      </c>
      <c r="FP759" s="9" t="n">
        <f aca="false">FP757*$AC$755*FP758*FP$38*'⑫ Roll-out Plan'!$O$80</f>
        <v>149.4504</v>
      </c>
    </row>
    <row r="760" customFormat="false" ht="15" hidden="false" customHeight="false" outlineLevel="2" collapsed="false">
      <c r="B760" s="9" t="s">
        <v>877</v>
      </c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112" t="n">
        <f aca="true">IFERROR(SUMPRODUCT(OFFSET($BJ$31,0,1-MIN(60,COLUMN()-29),1,MIN(60,COLUMN()-29)),OFFSET(AC759,0,-MIN(60,COLUMN()-29),1,MIN(60,COLUMN()-29))),0)</f>
        <v>0</v>
      </c>
      <c r="AD760" s="112" t="n">
        <f aca="true">IFERROR(SUMPRODUCT(OFFSET($BJ$31,0,1-MIN(60,COLUMN()-29),1,MIN(60,COLUMN()-29)),OFFSET(AD759,0,-MIN(60,COLUMN()-29),1,MIN(60,COLUMN()-29))),0)</f>
        <v>0</v>
      </c>
      <c r="AE760" s="112" t="n">
        <f aca="true">IFERROR(SUMPRODUCT(OFFSET($BJ$31,0,1-MIN(60,COLUMN()-29),1,MIN(60,COLUMN()-29)),OFFSET(AE759,0,-MIN(60,COLUMN()-29),1,MIN(60,COLUMN()-29))),0)</f>
        <v>0</v>
      </c>
      <c r="AF760" s="112" t="n">
        <f aca="true">IFERROR(SUMPRODUCT(OFFSET($BJ$31,0,1-MIN(60,COLUMN()-29),1,MIN(60,COLUMN()-29)),OFFSET(AF759,0,-MIN(60,COLUMN()-29),1,MIN(60,COLUMN()-29))),0)</f>
        <v>0</v>
      </c>
      <c r="AG760" s="112" t="n">
        <f aca="true">IFERROR(SUMPRODUCT(OFFSET($BJ$31,0,1-MIN(60,COLUMN()-29),1,MIN(60,COLUMN()-29)),OFFSET(AG759,0,-MIN(60,COLUMN()-29),1,MIN(60,COLUMN()-29))),0)</f>
        <v>0</v>
      </c>
      <c r="AH760" s="112" t="n">
        <f aca="true">IFERROR(SUMPRODUCT(OFFSET($BJ$31,0,1-MIN(60,COLUMN()-29),1,MIN(60,COLUMN()-29)),OFFSET(AH759,0,-MIN(60,COLUMN()-29),1,MIN(60,COLUMN()-29))),0)</f>
        <v>0</v>
      </c>
      <c r="AI760" s="112" t="n">
        <f aca="true">IFERROR(SUMPRODUCT(OFFSET($BJ$31,0,1-MIN(60,COLUMN()-29),1,MIN(60,COLUMN()-29)),OFFSET(AI759,0,-MIN(60,COLUMN()-29),1,MIN(60,COLUMN()-29))),0)</f>
        <v>0</v>
      </c>
      <c r="AJ760" s="112" t="n">
        <f aca="true">IFERROR(SUMPRODUCT(OFFSET($BJ$31,0,1-MIN(60,COLUMN()-29),1,MIN(60,COLUMN()-29)),OFFSET(AJ759,0,-MIN(60,COLUMN()-29),1,MIN(60,COLUMN()-29))),0)</f>
        <v>0</v>
      </c>
      <c r="AK760" s="112" t="n">
        <f aca="true">IFERROR(SUMPRODUCT(OFFSET($BJ$31,0,1-MIN(60,COLUMN()-29),1,MIN(60,COLUMN()-29)),OFFSET(AK759,0,-MIN(60,COLUMN()-29),1,MIN(60,COLUMN()-29))),0)</f>
        <v>0</v>
      </c>
      <c r="AL760" s="112" t="n">
        <f aca="true">IFERROR(SUMPRODUCT(OFFSET($BJ$31,0,1-MIN(60,COLUMN()-29),1,MIN(60,COLUMN()-29)),OFFSET(AL759,0,-MIN(60,COLUMN()-29),1,MIN(60,COLUMN()-29))),0)</f>
        <v>0</v>
      </c>
      <c r="AM760" s="112" t="n">
        <f aca="true">IFERROR(SUMPRODUCT(OFFSET($BJ$31,0,1-MIN(60,COLUMN()-29),1,MIN(60,COLUMN()-29)),OFFSET(AM759,0,-MIN(60,COLUMN()-29),1,MIN(60,COLUMN()-29))),0)</f>
        <v>0</v>
      </c>
      <c r="AN760" s="239" t="n">
        <f aca="true">IFERROR(SUMPRODUCT(OFFSET($BJ$31,0,1-MIN(60,COLUMN()-29),1,MIN(60,COLUMN()-29)),OFFSET(AN759,0,-MIN(60,COLUMN()-29),1,MIN(60,COLUMN()-29))),0)</f>
        <v>0</v>
      </c>
      <c r="AO760" s="112" t="n">
        <f aca="true">IFERROR(SUMPRODUCT(OFFSET($BJ$31,0,1-MIN(60,COLUMN()-29),1,MIN(60,COLUMN()-29)),OFFSET(AO759,0,-MIN(60,COLUMN()-29),1,MIN(60,COLUMN()-29))),0)</f>
        <v>0</v>
      </c>
      <c r="AP760" s="112" t="n">
        <f aca="true">IFERROR(SUMPRODUCT(OFFSET($BJ$31,0,1-MIN(60,COLUMN()-29),1,MIN(60,COLUMN()-29)),OFFSET(AP759,0,-MIN(60,COLUMN()-29),1,MIN(60,COLUMN()-29))),0)</f>
        <v>0</v>
      </c>
      <c r="AQ760" s="112" t="n">
        <f aca="true">IFERROR(SUMPRODUCT(OFFSET($BJ$31,0,1-MIN(60,COLUMN()-29),1,MIN(60,COLUMN()-29)),OFFSET(AQ759,0,-MIN(60,COLUMN()-29),1,MIN(60,COLUMN()-29))),0)</f>
        <v>0</v>
      </c>
      <c r="AR760" s="112" t="n">
        <f aca="true">IFERROR(SUMPRODUCT(OFFSET($BJ$31,0,1-MIN(60,COLUMN()-29),1,MIN(60,COLUMN()-29)),OFFSET(AR759,0,-MIN(60,COLUMN()-29),1,MIN(60,COLUMN()-29))),0)</f>
        <v>0</v>
      </c>
      <c r="AS760" s="112" t="n">
        <f aca="true">IFERROR(SUMPRODUCT(OFFSET($BJ$31,0,1-MIN(60,COLUMN()-29),1,MIN(60,COLUMN()-29)),OFFSET(AS759,0,-MIN(60,COLUMN()-29),1,MIN(60,COLUMN()-29))),0)</f>
        <v>0</v>
      </c>
      <c r="AT760" s="112" t="n">
        <f aca="true">IFERROR(SUMPRODUCT(OFFSET($BJ$31,0,1-MIN(60,COLUMN()-29),1,MIN(60,COLUMN()-29)),OFFSET(AT759,0,-MIN(60,COLUMN()-29),1,MIN(60,COLUMN()-29))),0)</f>
        <v>0</v>
      </c>
      <c r="AU760" s="112" t="n">
        <f aca="true">IFERROR(SUMPRODUCT(OFFSET($BJ$31,0,1-MIN(60,COLUMN()-29),1,MIN(60,COLUMN()-29)),OFFSET(AU759,0,-MIN(60,COLUMN()-29),1,MIN(60,COLUMN()-29))),0)</f>
        <v>0</v>
      </c>
      <c r="AV760" s="112" t="n">
        <f aca="true">IFERROR(SUMPRODUCT(OFFSET($BJ$31,0,1-MIN(60,COLUMN()-29),1,MIN(60,COLUMN()-29)),OFFSET(AV759,0,-MIN(60,COLUMN()-29),1,MIN(60,COLUMN()-29))),0)</f>
        <v>0</v>
      </c>
      <c r="AW760" s="112" t="n">
        <f aca="true">IFERROR(SUMPRODUCT(OFFSET($BJ$31,0,1-MIN(60,COLUMN()-29),1,MIN(60,COLUMN()-29)),OFFSET(AW759,0,-MIN(60,COLUMN()-29),1,MIN(60,COLUMN()-29))),0)</f>
        <v>0</v>
      </c>
      <c r="AX760" s="112" t="n">
        <f aca="true">IFERROR(SUMPRODUCT(OFFSET($BJ$31,0,1-MIN(60,COLUMN()-29),1,MIN(60,COLUMN()-29)),OFFSET(AX759,0,-MIN(60,COLUMN()-29),1,MIN(60,COLUMN()-29))),0)</f>
        <v>0</v>
      </c>
      <c r="AY760" s="112" t="n">
        <f aca="true">IFERROR(SUMPRODUCT(OFFSET($BJ$31,0,1-MIN(60,COLUMN()-29),1,MIN(60,COLUMN()-29)),OFFSET(AY759,0,-MIN(60,COLUMN()-29),1,MIN(60,COLUMN()-29))),0)</f>
        <v>0</v>
      </c>
      <c r="AZ760" s="112" t="n">
        <f aca="true">IFERROR(SUMPRODUCT(OFFSET($BJ$31,0,1-MIN(60,COLUMN()-29),1,MIN(60,COLUMN()-29)),OFFSET(AZ759,0,-MIN(60,COLUMN()-29),1,MIN(60,COLUMN()-29))),0)</f>
        <v>0</v>
      </c>
      <c r="BA760" s="112" t="n">
        <f aca="true">IFERROR(SUMPRODUCT(OFFSET($BJ$31,0,1-MIN(60,COLUMN()-29),1,MIN(60,COLUMN()-29)),OFFSET(BA759,0,-MIN(60,COLUMN()-29),1,MIN(60,COLUMN()-29))),0)</f>
        <v>0</v>
      </c>
      <c r="BB760" s="112" t="n">
        <f aca="true">IFERROR(SUMPRODUCT(OFFSET($BJ$31,0,1-MIN(60,COLUMN()-29),1,MIN(60,COLUMN()-29)),OFFSET(BB759,0,-MIN(60,COLUMN()-29),1,MIN(60,COLUMN()-29))),0)</f>
        <v>0</v>
      </c>
      <c r="BC760" s="112" t="n">
        <f aca="true">IFERROR(SUMPRODUCT(OFFSET($BJ$31,0,1-MIN(60,COLUMN()-29),1,MIN(60,COLUMN()-29)),OFFSET(BC759,0,-MIN(60,COLUMN()-29),1,MIN(60,COLUMN()-29))),0)</f>
        <v>0</v>
      </c>
      <c r="BD760" s="112" t="n">
        <f aca="true">IFERROR(SUMPRODUCT(OFFSET($BJ$31,0,1-MIN(60,COLUMN()-29),1,MIN(60,COLUMN()-29)),OFFSET(BD759,0,-MIN(60,COLUMN()-29),1,MIN(60,COLUMN()-29))),0)</f>
        <v>0</v>
      </c>
      <c r="BE760" s="112" t="n">
        <f aca="true">IFERROR(SUMPRODUCT(OFFSET($BJ$31,0,1-MIN(60,COLUMN()-29),1,MIN(60,COLUMN()-29)),OFFSET(BE759,0,-MIN(60,COLUMN()-29),1,MIN(60,COLUMN()-29))),0)</f>
        <v>0</v>
      </c>
      <c r="BF760" s="112" t="n">
        <f aca="true">IFERROR(SUMPRODUCT(OFFSET($BJ$31,0,1-MIN(60,COLUMN()-29),1,MIN(60,COLUMN()-29)),OFFSET(BF759,0,-MIN(60,COLUMN()-29),1,MIN(60,COLUMN()-29))),0)</f>
        <v>0</v>
      </c>
      <c r="BG760" s="112" t="n">
        <f aca="true">IFERROR(SUMPRODUCT(OFFSET($BJ$31,0,1-MIN(60,COLUMN()-29),1,MIN(60,COLUMN()-29)),OFFSET(BG759,0,-MIN(60,COLUMN()-29),1,MIN(60,COLUMN()-29))),0)</f>
        <v>0</v>
      </c>
      <c r="BH760" s="112" t="n">
        <f aca="true">IFERROR(SUMPRODUCT(OFFSET($BJ$31,0,1-MIN(60,COLUMN()-29),1,MIN(60,COLUMN()-29)),OFFSET(BH759,0,-MIN(60,COLUMN()-29),1,MIN(60,COLUMN()-29))),0)</f>
        <v>0</v>
      </c>
      <c r="BI760" s="112" t="n">
        <f aca="true">IFERROR(SUMPRODUCT(OFFSET($BJ$31,0,1-MIN(60,COLUMN()-29),1,MIN(60,COLUMN()-29)),OFFSET(BI759,0,-MIN(60,COLUMN()-29),1,MIN(60,COLUMN()-29))),0)</f>
        <v>0</v>
      </c>
      <c r="BJ760" s="112" t="n">
        <f aca="true">IFERROR(SUMPRODUCT(OFFSET($BJ$31,0,1-MIN(60,COLUMN()-29),1,MIN(60,COLUMN()-29)),OFFSET(BJ759,0,-MIN(60,COLUMN()-29),1,MIN(60,COLUMN()-29))),0)</f>
        <v>0</v>
      </c>
      <c r="BK760" s="112" t="n">
        <f aca="true">IFERROR(SUMPRODUCT(OFFSET($BJ$31,0,1-MIN(60,COLUMN()-29),1,MIN(60,COLUMN()-29)),OFFSET(BK759,0,-MIN(60,COLUMN()-29),1,MIN(60,COLUMN()-29))),0)</f>
        <v>0</v>
      </c>
      <c r="BL760" s="112" t="n">
        <f aca="true">IFERROR(SUMPRODUCT(OFFSET($BJ$31,0,1-MIN(60,COLUMN()-29),1,MIN(60,COLUMN()-29)),OFFSET(BL759,0,-MIN(60,COLUMN()-29),1,MIN(60,COLUMN()-29))),0)</f>
        <v>0</v>
      </c>
      <c r="BM760" s="112" t="n">
        <f aca="true">IFERROR(SUMPRODUCT(OFFSET($BJ$31,0,1-MIN(60,COLUMN()-29),1,MIN(60,COLUMN()-29)),OFFSET(BM759,0,-MIN(60,COLUMN()-29),1,MIN(60,COLUMN()-29))),0)</f>
        <v>0</v>
      </c>
      <c r="BN760" s="112" t="n">
        <f aca="true">IFERROR(SUMPRODUCT(OFFSET($BJ$31,0,1-MIN(60,COLUMN()-29),1,MIN(60,COLUMN()-29)),OFFSET(BN759,0,-MIN(60,COLUMN()-29),1,MIN(60,COLUMN()-29))),0)</f>
        <v>0</v>
      </c>
      <c r="BO760" s="112" t="n">
        <f aca="true">IFERROR(SUMPRODUCT(OFFSET($BJ$31,0,1-MIN(60,COLUMN()-29),1,MIN(60,COLUMN()-29)),OFFSET(BO759,0,-MIN(60,COLUMN()-29),1,MIN(60,COLUMN()-29))),0)</f>
        <v>0</v>
      </c>
      <c r="BP760" s="112" t="n">
        <f aca="true">IFERROR(SUMPRODUCT(OFFSET($BJ$31,0,1-MIN(60,COLUMN()-29),1,MIN(60,COLUMN()-29)),OFFSET(BP759,0,-MIN(60,COLUMN()-29),1,MIN(60,COLUMN()-29))),0)</f>
        <v>0</v>
      </c>
      <c r="BQ760" s="112" t="n">
        <f aca="true">IFERROR(SUMPRODUCT(OFFSET($BJ$31,0,1-MIN(60,COLUMN()-29),1,MIN(60,COLUMN()-29)),OFFSET(BQ759,0,-MIN(60,COLUMN()-29),1,MIN(60,COLUMN()-29))),0)</f>
        <v>0</v>
      </c>
      <c r="BR760" s="112" t="n">
        <f aca="true">IFERROR(SUMPRODUCT(OFFSET($BJ$31,0,1-MIN(60,COLUMN()-29),1,MIN(60,COLUMN()-29)),OFFSET(BR759,0,-MIN(60,COLUMN()-29),1,MIN(60,COLUMN()-29))),0)</f>
        <v>0</v>
      </c>
      <c r="BS760" s="112" t="n">
        <f aca="true">IFERROR(SUMPRODUCT(OFFSET($BJ$31,0,1-MIN(60,COLUMN()-29),1,MIN(60,COLUMN()-29)),OFFSET(BS759,0,-MIN(60,COLUMN()-29),1,MIN(60,COLUMN()-29))),0)</f>
        <v>0</v>
      </c>
      <c r="BT760" s="112" t="n">
        <f aca="true">IFERROR(SUMPRODUCT(OFFSET($BJ$31,0,1-MIN(60,COLUMN()-29),1,MIN(60,COLUMN()-29)),OFFSET(BT759,0,-MIN(60,COLUMN()-29),1,MIN(60,COLUMN()-29))),0)</f>
        <v>0</v>
      </c>
      <c r="BU760" s="112" t="n">
        <f aca="true">IFERROR(SUMPRODUCT(OFFSET($BJ$31,0,1-MIN(60,COLUMN()-29),1,MIN(60,COLUMN()-29)),OFFSET(BU759,0,-MIN(60,COLUMN()-29),1,MIN(60,COLUMN()-29))),0)</f>
        <v>0</v>
      </c>
      <c r="BV760" s="112" t="n">
        <f aca="true">IFERROR(SUMPRODUCT(OFFSET($BJ$31,0,1-MIN(60,COLUMN()-29),1,MIN(60,COLUMN()-29)),OFFSET(BV759,0,-MIN(60,COLUMN()-29),1,MIN(60,COLUMN()-29))),0)</f>
        <v>0</v>
      </c>
      <c r="BW760" s="112" t="n">
        <f aca="true">IFERROR(SUMPRODUCT(OFFSET($BJ$31,0,1-MIN(60,COLUMN()-29),1,MIN(60,COLUMN()-29)),OFFSET(BW759,0,-MIN(60,COLUMN()-29),1,MIN(60,COLUMN()-29))),0)</f>
        <v>0</v>
      </c>
      <c r="BX760" s="112" t="n">
        <f aca="true">IFERROR(SUMPRODUCT(OFFSET($BJ$31,0,1-MIN(60,COLUMN()-29),1,MIN(60,COLUMN()-29)),OFFSET(BX759,0,-MIN(60,COLUMN()-29),1,MIN(60,COLUMN()-29))),0)</f>
        <v>0</v>
      </c>
      <c r="BY760" s="112" t="n">
        <f aca="true">IFERROR(SUMPRODUCT(OFFSET($BJ$31,0,1-MIN(60,COLUMN()-29),1,MIN(60,COLUMN()-29)),OFFSET(BY759,0,-MIN(60,COLUMN()-29),1,MIN(60,COLUMN()-29))),0)</f>
        <v>0</v>
      </c>
      <c r="BZ760" s="112" t="n">
        <f aca="true">IFERROR(SUMPRODUCT(OFFSET($BJ$31,0,1-MIN(60,COLUMN()-29),1,MIN(60,COLUMN()-29)),OFFSET(BZ759,0,-MIN(60,COLUMN()-29),1,MIN(60,COLUMN()-29))),0)</f>
        <v>0</v>
      </c>
      <c r="CA760" s="112" t="n">
        <f aca="true">IFERROR(SUMPRODUCT(OFFSET($BJ$31,0,1-MIN(60,COLUMN()-29),1,MIN(60,COLUMN()-29)),OFFSET(CA759,0,-MIN(60,COLUMN()-29),1,MIN(60,COLUMN()-29))),0)</f>
        <v>0</v>
      </c>
      <c r="CB760" s="112" t="n">
        <f aca="true">IFERROR(SUMPRODUCT(OFFSET($BJ$31,0,1-MIN(60,COLUMN()-29),1,MIN(60,COLUMN()-29)),OFFSET(CB759,0,-MIN(60,COLUMN()-29),1,MIN(60,COLUMN()-29))),0)</f>
        <v>0</v>
      </c>
      <c r="CC760" s="112" t="n">
        <f aca="true">IFERROR(SUMPRODUCT(OFFSET($BJ$31,0,1-MIN(60,COLUMN()-29),1,MIN(60,COLUMN()-29)),OFFSET(CC759,0,-MIN(60,COLUMN()-29),1,MIN(60,COLUMN()-29))),0)</f>
        <v>0</v>
      </c>
      <c r="CD760" s="112" t="n">
        <f aca="true">IFERROR(SUMPRODUCT(OFFSET($BJ$31,0,1-MIN(60,COLUMN()-29),1,MIN(60,COLUMN()-29)),OFFSET(CD759,0,-MIN(60,COLUMN()-29),1,MIN(60,COLUMN()-29))),0)</f>
        <v>0</v>
      </c>
      <c r="CE760" s="112" t="n">
        <f aca="true">IFERROR(SUMPRODUCT(OFFSET($BJ$31,0,1-MIN(60,COLUMN()-29),1,MIN(60,COLUMN()-29)),OFFSET(CE759,0,-MIN(60,COLUMN()-29),1,MIN(60,COLUMN()-29))),0)</f>
        <v>0</v>
      </c>
      <c r="CF760" s="112" t="n">
        <f aca="true">IFERROR(SUMPRODUCT(OFFSET($BJ$31,0,1-MIN(60,COLUMN()-29),1,MIN(60,COLUMN()-29)),OFFSET(CF759,0,-MIN(60,COLUMN()-29),1,MIN(60,COLUMN()-29))),0)</f>
        <v>0</v>
      </c>
      <c r="CG760" s="112" t="n">
        <f aca="true">IFERROR(SUMPRODUCT(OFFSET($BJ$31,0,1-MIN(60,COLUMN()-29),1,MIN(60,COLUMN()-29)),OFFSET(CG759,0,-MIN(60,COLUMN()-29),1,MIN(60,COLUMN()-29))),0)</f>
        <v>0</v>
      </c>
      <c r="CH760" s="112" t="n">
        <f aca="true">IFERROR(SUMPRODUCT(OFFSET($BJ$31,0,1-MIN(60,COLUMN()-29),1,MIN(60,COLUMN()-29)),OFFSET(CH759,0,-MIN(60,COLUMN()-29),1,MIN(60,COLUMN()-29))),0)</f>
        <v>0</v>
      </c>
      <c r="CI760" s="112" t="n">
        <f aca="true">IFERROR(SUMPRODUCT(OFFSET($BJ$31,0,1-MIN(60,COLUMN()-29),1,MIN(60,COLUMN()-29)),OFFSET(CI759,0,-MIN(60,COLUMN()-29),1,MIN(60,COLUMN()-29))),0)</f>
        <v>0</v>
      </c>
      <c r="CJ760" s="112" t="n">
        <f aca="true">IFERROR(SUMPRODUCT(OFFSET($BJ$31,0,1-MIN(60,COLUMN()-29),1,MIN(60,COLUMN()-29)),OFFSET(CJ759,0,-MIN(60,COLUMN()-29),1,MIN(60,COLUMN()-29))),0)</f>
        <v>0</v>
      </c>
      <c r="CK760" s="112" t="n">
        <f aca="true">IFERROR(SUMPRODUCT(OFFSET($BJ$31,0,1-MIN(60,COLUMN()-29),1,MIN(60,COLUMN()-29)),OFFSET(CK759,0,-MIN(60,COLUMN()-29),1,MIN(60,COLUMN()-29))),0)</f>
        <v>0</v>
      </c>
      <c r="CL760" s="112" t="n">
        <f aca="true">IFERROR(SUMPRODUCT(OFFSET($BJ$31,0,1-MIN(60,COLUMN()-29),1,MIN(60,COLUMN()-29)),OFFSET(CL759,0,-MIN(60,COLUMN()-29),1,MIN(60,COLUMN()-29))),0)</f>
        <v>0</v>
      </c>
      <c r="CM760" s="112" t="n">
        <f aca="true">IFERROR(SUMPRODUCT(OFFSET($BJ$31,0,1-MIN(60,COLUMN()-29),1,MIN(60,COLUMN()-29)),OFFSET(CM759,0,-MIN(60,COLUMN()-29),1,MIN(60,COLUMN()-29))),0)</f>
        <v>0</v>
      </c>
      <c r="CN760" s="112" t="n">
        <f aca="true">IFERROR(SUMPRODUCT(OFFSET($BJ$31,0,1-MIN(60,COLUMN()-29),1,MIN(60,COLUMN()-29)),OFFSET(CN759,0,-MIN(60,COLUMN()-29),1,MIN(60,COLUMN()-29))),0)</f>
        <v>0</v>
      </c>
      <c r="CO760" s="112" t="n">
        <f aca="true">IFERROR(SUMPRODUCT(OFFSET($BJ$31,0,1-MIN(60,COLUMN()-29),1,MIN(60,COLUMN()-29)),OFFSET(CO759,0,-MIN(60,COLUMN()-29),1,MIN(60,COLUMN()-29))),0)</f>
        <v>0</v>
      </c>
      <c r="CP760" s="112" t="n">
        <f aca="true">IFERROR(SUMPRODUCT(OFFSET($BJ$31,0,1-MIN(60,COLUMN()-29),1,MIN(60,COLUMN()-29)),OFFSET(CP759,0,-MIN(60,COLUMN()-29),1,MIN(60,COLUMN()-29))),0)</f>
        <v>0</v>
      </c>
      <c r="CQ760" s="112" t="n">
        <f aca="true">IFERROR(SUMPRODUCT(OFFSET($BJ$31,0,1-MIN(60,COLUMN()-29),1,MIN(60,COLUMN()-29)),OFFSET(CQ759,0,-MIN(60,COLUMN()-29),1,MIN(60,COLUMN()-29))),0)</f>
        <v>0</v>
      </c>
      <c r="CR760" s="112" t="n">
        <f aca="true">IFERROR(SUMPRODUCT(OFFSET($BJ$31,0,1-MIN(60,COLUMN()-29),1,MIN(60,COLUMN()-29)),OFFSET(CR759,0,-MIN(60,COLUMN()-29),1,MIN(60,COLUMN()-29))),0)</f>
        <v>0</v>
      </c>
      <c r="CS760" s="112" t="n">
        <f aca="true">IFERROR(SUMPRODUCT(OFFSET($BJ$31,0,1-MIN(60,COLUMN()-29),1,MIN(60,COLUMN()-29)),OFFSET(CS759,0,-MIN(60,COLUMN()-29),1,MIN(60,COLUMN()-29))),0)</f>
        <v>0</v>
      </c>
      <c r="CT760" s="112" t="n">
        <f aca="true">IFERROR(SUMPRODUCT(OFFSET($BJ$31,0,1-MIN(60,COLUMN()-29),1,MIN(60,COLUMN()-29)),OFFSET(CT759,0,-MIN(60,COLUMN()-29),1,MIN(60,COLUMN()-29))),0)</f>
        <v>0</v>
      </c>
      <c r="CU760" s="112" t="n">
        <f aca="true">IFERROR(SUMPRODUCT(OFFSET($BJ$31,0,1-MIN(60,COLUMN()-29),1,MIN(60,COLUMN()-29)),OFFSET(CU759,0,-MIN(60,COLUMN()-29),1,MIN(60,COLUMN()-29))),0)</f>
        <v>0</v>
      </c>
      <c r="CV760" s="112" t="n">
        <f aca="true">IFERROR(SUMPRODUCT(OFFSET($BJ$31,0,1-MIN(60,COLUMN()-29),1,MIN(60,COLUMN()-29)),OFFSET(CV759,0,-MIN(60,COLUMN()-29),1,MIN(60,COLUMN()-29))),0)</f>
        <v>0</v>
      </c>
      <c r="CW760" s="112" t="n">
        <f aca="true">IFERROR(SUMPRODUCT(OFFSET($BJ$31,0,1-MIN(60,COLUMN()-29),1,MIN(60,COLUMN()-29)),OFFSET(CW759,0,-MIN(60,COLUMN()-29),1,MIN(60,COLUMN()-29))),0)</f>
        <v>0</v>
      </c>
      <c r="CX760" s="112" t="n">
        <f aca="true">IFERROR(SUMPRODUCT(OFFSET($BJ$31,0,1-MIN(60,COLUMN()-29),1,MIN(60,COLUMN()-29)),OFFSET(CX759,0,-MIN(60,COLUMN()-29),1,MIN(60,COLUMN()-29))),0)</f>
        <v>0</v>
      </c>
      <c r="CY760" s="112" t="n">
        <f aca="true">IFERROR(SUMPRODUCT(OFFSET($BJ$31,0,1-MIN(60,COLUMN()-29),1,MIN(60,COLUMN()-29)),OFFSET(CY759,0,-MIN(60,COLUMN()-29),1,MIN(60,COLUMN()-29))),0)</f>
        <v>0</v>
      </c>
      <c r="CZ760" s="112" t="n">
        <f aca="true">IFERROR(SUMPRODUCT(OFFSET($BJ$31,0,1-MIN(60,COLUMN()-29),1,MIN(60,COLUMN()-29)),OFFSET(CZ759,0,-MIN(60,COLUMN()-29),1,MIN(60,COLUMN()-29))),0)</f>
        <v>0</v>
      </c>
      <c r="DA760" s="112" t="n">
        <f aca="true">IFERROR(SUMPRODUCT(OFFSET($BJ$31,0,1-MIN(60,COLUMN()-29),1,MIN(60,COLUMN()-29)),OFFSET(DA759,0,-MIN(60,COLUMN()-29),1,MIN(60,COLUMN()-29))),0)</f>
        <v>0</v>
      </c>
      <c r="DB760" s="112" t="n">
        <f aca="true">IFERROR(SUMPRODUCT(OFFSET($BJ$31,0,1-MIN(60,COLUMN()-29),1,MIN(60,COLUMN()-29)),OFFSET(DB759,0,-MIN(60,COLUMN()-29),1,MIN(60,COLUMN()-29))),0)</f>
        <v>0</v>
      </c>
      <c r="DC760" s="112" t="n">
        <f aca="true">IFERROR(SUMPRODUCT(OFFSET($BJ$31,0,1-MIN(60,COLUMN()-29),1,MIN(60,COLUMN()-29)),OFFSET(DC759,0,-MIN(60,COLUMN()-29),1,MIN(60,COLUMN()-29))),0)</f>
        <v>0</v>
      </c>
      <c r="DD760" s="112" t="n">
        <f aca="true">IFERROR(SUMPRODUCT(OFFSET($BJ$31,0,1-MIN(60,COLUMN()-29),1,MIN(60,COLUMN()-29)),OFFSET(DD759,0,-MIN(60,COLUMN()-29),1,MIN(60,COLUMN()-29))),0)</f>
        <v>0</v>
      </c>
      <c r="DE760" s="112" t="n">
        <f aca="true">IFERROR(SUMPRODUCT(OFFSET($BJ$31,0,1-MIN(60,COLUMN()-29),1,MIN(60,COLUMN()-29)),OFFSET(DE759,0,-MIN(60,COLUMN()-29),1,MIN(60,COLUMN()-29))),0)</f>
        <v>0</v>
      </c>
      <c r="DF760" s="112" t="n">
        <f aca="true">IFERROR(SUMPRODUCT(OFFSET($BJ$31,0,1-MIN(60,COLUMN()-29),1,MIN(60,COLUMN()-29)),OFFSET(DF759,0,-MIN(60,COLUMN()-29),1,MIN(60,COLUMN()-29))),0)</f>
        <v>0</v>
      </c>
      <c r="DG760" s="112" t="n">
        <f aca="true">IFERROR(SUMPRODUCT(OFFSET($BJ$31,0,1-MIN(60,COLUMN()-29),1,MIN(60,COLUMN()-29)),OFFSET(DG759,0,-MIN(60,COLUMN()-29),1,MIN(60,COLUMN()-29))),0)</f>
        <v>0</v>
      </c>
      <c r="DH760" s="112" t="n">
        <f aca="true">IFERROR(SUMPRODUCT(OFFSET($BJ$31,0,1-MIN(60,COLUMN()-29),1,MIN(60,COLUMN()-29)),OFFSET(DH759,0,-MIN(60,COLUMN()-29),1,MIN(60,COLUMN()-29))),0)</f>
        <v>0</v>
      </c>
      <c r="DI760" s="112" t="n">
        <f aca="true">IFERROR(SUMPRODUCT(OFFSET($BJ$31,0,1-MIN(60,COLUMN()-29),1,MIN(60,COLUMN()-29)),OFFSET(DI759,0,-MIN(60,COLUMN()-29),1,MIN(60,COLUMN()-29))),0)</f>
        <v>0</v>
      </c>
      <c r="DJ760" s="112" t="n">
        <f aca="true">IFERROR(SUMPRODUCT(OFFSET($BJ$31,0,1-MIN(60,COLUMN()-29),1,MIN(60,COLUMN()-29)),OFFSET(DJ759,0,-MIN(60,COLUMN()-29),1,MIN(60,COLUMN()-29))),0)</f>
        <v>0</v>
      </c>
      <c r="DK760" s="112" t="n">
        <f aca="true">IFERROR(SUMPRODUCT(OFFSET($BJ$31,0,1-MIN(60,COLUMN()-29),1,MIN(60,COLUMN()-29)),OFFSET(DK759,0,-MIN(60,COLUMN()-29),1,MIN(60,COLUMN()-29))),0)</f>
        <v>0</v>
      </c>
      <c r="DL760" s="112" t="n">
        <f aca="true">IFERROR(SUMPRODUCT(OFFSET($BJ$31,0,1-MIN(60,COLUMN()-29),1,MIN(60,COLUMN()-29)),OFFSET(DL759,0,-MIN(60,COLUMN()-29),1,MIN(60,COLUMN()-29))),0)</f>
        <v>0</v>
      </c>
      <c r="DM760" s="112" t="n">
        <f aca="true">IFERROR(SUMPRODUCT(OFFSET($BJ$31,0,1-MIN(60,COLUMN()-29),1,MIN(60,COLUMN()-29)),OFFSET(DM759,0,-MIN(60,COLUMN()-29),1,MIN(60,COLUMN()-29))),0)</f>
        <v>0</v>
      </c>
      <c r="DN760" s="112" t="n">
        <f aca="true">IFERROR(SUMPRODUCT(OFFSET($BJ$31,0,1-MIN(60,COLUMN()-29),1,MIN(60,COLUMN()-29)),OFFSET(DN759,0,-MIN(60,COLUMN()-29),1,MIN(60,COLUMN()-29))),0)</f>
        <v>0</v>
      </c>
      <c r="DO760" s="112" t="n">
        <f aca="true">IFERROR(SUMPRODUCT(OFFSET($BJ$31,0,1-MIN(60,COLUMN()-29),1,MIN(60,COLUMN()-29)),OFFSET(DO759,0,-MIN(60,COLUMN()-29),1,MIN(60,COLUMN()-29))),0)</f>
        <v>0</v>
      </c>
      <c r="DP760" s="112" t="n">
        <f aca="true">IFERROR(SUMPRODUCT(OFFSET($BJ$31,0,1-MIN(60,COLUMN()-29),1,MIN(60,COLUMN()-29)),OFFSET(DP759,0,-MIN(60,COLUMN()-29),1,MIN(60,COLUMN()-29))),0)</f>
        <v>0</v>
      </c>
      <c r="DQ760" s="112" t="n">
        <f aca="true">IFERROR(SUMPRODUCT(OFFSET($BJ$31,0,1-MIN(60,COLUMN()-29),1,MIN(60,COLUMN()-29)),OFFSET(DQ759,0,-MIN(60,COLUMN()-29),1,MIN(60,COLUMN()-29))),0)</f>
        <v>0</v>
      </c>
      <c r="DR760" s="112" t="n">
        <f aca="true">IFERROR(SUMPRODUCT(OFFSET($BJ$31,0,1-MIN(60,COLUMN()-29),1,MIN(60,COLUMN()-29)),OFFSET(DR759,0,-MIN(60,COLUMN()-29),1,MIN(60,COLUMN()-29))),0)</f>
        <v>0</v>
      </c>
      <c r="DS760" s="112" t="n">
        <f aca="true">IFERROR(SUMPRODUCT(OFFSET($BJ$31,0,1-MIN(60,COLUMN()-29),1,MIN(60,COLUMN()-29)),OFFSET(DS759,0,-MIN(60,COLUMN()-29),1,MIN(60,COLUMN()-29))),0)</f>
        <v>0</v>
      </c>
      <c r="DT760" s="112" t="n">
        <f aca="true">IFERROR(SUMPRODUCT(OFFSET($BJ$31,0,1-MIN(60,COLUMN()-29),1,MIN(60,COLUMN()-29)),OFFSET(DT759,0,-MIN(60,COLUMN()-29),1,MIN(60,COLUMN()-29))),0)</f>
        <v>0</v>
      </c>
      <c r="DU760" s="112" t="n">
        <f aca="true">IFERROR(SUMPRODUCT(OFFSET($BJ$31,0,1-MIN(60,COLUMN()-29),1,MIN(60,COLUMN()-29)),OFFSET(DU759,0,-MIN(60,COLUMN()-29),1,MIN(60,COLUMN()-29))),0)</f>
        <v>0</v>
      </c>
      <c r="DV760" s="112" t="n">
        <f aca="true">IFERROR(SUMPRODUCT(OFFSET($BJ$31,0,1-MIN(60,COLUMN()-29),1,MIN(60,COLUMN()-29)),OFFSET(DV759,0,-MIN(60,COLUMN()-29),1,MIN(60,COLUMN()-29))),0)</f>
        <v>0</v>
      </c>
      <c r="DW760" s="112" t="n">
        <f aca="true">IFERROR(SUMPRODUCT(OFFSET($BJ$31,0,1-MIN(60,COLUMN()-29),1,MIN(60,COLUMN()-29)),OFFSET(DW759,0,-MIN(60,COLUMN()-29),1,MIN(60,COLUMN()-29))),0)</f>
        <v>0</v>
      </c>
      <c r="DX760" s="112" t="n">
        <f aca="true">IFERROR(SUMPRODUCT(OFFSET($BJ$31,0,1-MIN(60,COLUMN()-29),1,MIN(60,COLUMN()-29)),OFFSET(DX759,0,-MIN(60,COLUMN()-29),1,MIN(60,COLUMN()-29))),0)</f>
        <v>0</v>
      </c>
      <c r="DY760" s="112" t="n">
        <f aca="true">IFERROR(SUMPRODUCT(OFFSET($BJ$31,0,1-MIN(60,COLUMN()-29),1,MIN(60,COLUMN()-29)),OFFSET(DY759,0,-MIN(60,COLUMN()-29),1,MIN(60,COLUMN()-29))),0)</f>
        <v>0</v>
      </c>
      <c r="DZ760" s="112" t="n">
        <f aca="true">IFERROR(SUMPRODUCT(OFFSET($BJ$31,0,1-MIN(60,COLUMN()-29),1,MIN(60,COLUMN()-29)),OFFSET(DZ759,0,-MIN(60,COLUMN()-29),1,MIN(60,COLUMN()-29))),0)</f>
        <v>0</v>
      </c>
      <c r="EA760" s="112" t="n">
        <f aca="true">IFERROR(SUMPRODUCT(OFFSET($BJ$31,0,1-MIN(60,COLUMN()-29),1,MIN(60,COLUMN()-29)),OFFSET(EA759,0,-MIN(60,COLUMN()-29),1,MIN(60,COLUMN()-29))),0)</f>
        <v>0</v>
      </c>
      <c r="EB760" s="112" t="n">
        <f aca="true">IFERROR(SUMPRODUCT(OFFSET($BJ$31,0,1-MIN(60,COLUMN()-29),1,MIN(60,COLUMN()-29)),OFFSET(EB759,0,-MIN(60,COLUMN()-29),1,MIN(60,COLUMN()-29))),0)</f>
        <v>0</v>
      </c>
      <c r="EC760" s="112" t="n">
        <f aca="true">IFERROR(SUMPRODUCT(OFFSET($BJ$31,0,1-MIN(60,COLUMN()-29),1,MIN(60,COLUMN()-29)),OFFSET(EC759,0,-MIN(60,COLUMN()-29),1,MIN(60,COLUMN()-29))),0)</f>
        <v>0</v>
      </c>
      <c r="ED760" s="112" t="n">
        <f aca="true">IFERROR(SUMPRODUCT(OFFSET($BJ$31,0,1-MIN(60,COLUMN()-29),1,MIN(60,COLUMN()-29)),OFFSET(ED759,0,-MIN(60,COLUMN()-29),1,MIN(60,COLUMN()-29))),0)</f>
        <v>0</v>
      </c>
      <c r="EE760" s="112" t="n">
        <f aca="true">IFERROR(SUMPRODUCT(OFFSET($BJ$31,0,1-MIN(60,COLUMN()-29),1,MIN(60,COLUMN()-29)),OFFSET(EE759,0,-MIN(60,COLUMN()-29),1,MIN(60,COLUMN()-29))),0)</f>
        <v>0</v>
      </c>
      <c r="EF760" s="112" t="n">
        <f aca="true">IFERROR(SUMPRODUCT(OFFSET($BJ$31,0,1-MIN(60,COLUMN()-29),1,MIN(60,COLUMN()-29)),OFFSET(EF759,0,-MIN(60,COLUMN()-29),1,MIN(60,COLUMN()-29))),0)</f>
        <v>0</v>
      </c>
      <c r="EG760" s="112" t="n">
        <f aca="true">IFERROR(SUMPRODUCT(OFFSET($BJ$31,0,1-MIN(60,COLUMN()-29),1,MIN(60,COLUMN()-29)),OFFSET(EG759,0,-MIN(60,COLUMN()-29),1,MIN(60,COLUMN()-29))),0)</f>
        <v>0</v>
      </c>
      <c r="EH760" s="112" t="n">
        <f aca="true">IFERROR(SUMPRODUCT(OFFSET($BJ$31,0,1-MIN(60,COLUMN()-29),1,MIN(60,COLUMN()-29)),OFFSET(EH759,0,-MIN(60,COLUMN()-29),1,MIN(60,COLUMN()-29))),0)</f>
        <v>0</v>
      </c>
      <c r="EI760" s="112" t="n">
        <f aca="true">IFERROR(SUMPRODUCT(OFFSET($BJ$31,0,1-MIN(60,COLUMN()-29),1,MIN(60,COLUMN()-29)),OFFSET(EI759,0,-MIN(60,COLUMN()-29),1,MIN(60,COLUMN()-29))),0)</f>
        <v>0</v>
      </c>
      <c r="EJ760" s="112" t="n">
        <f aca="true">IFERROR(SUMPRODUCT(OFFSET($BJ$31,0,1-MIN(60,COLUMN()-29),1,MIN(60,COLUMN()-29)),OFFSET(EJ759,0,-MIN(60,COLUMN()-29),1,MIN(60,COLUMN()-29))),0)</f>
        <v>0</v>
      </c>
      <c r="EK760" s="112" t="n">
        <f aca="true">IFERROR(SUMPRODUCT(OFFSET($BJ$31,0,1-MIN(60,COLUMN()-29),1,MIN(60,COLUMN()-29)),OFFSET(EK759,0,-MIN(60,COLUMN()-29),1,MIN(60,COLUMN()-29))),0)</f>
        <v>0</v>
      </c>
      <c r="EL760" s="112" t="n">
        <f aca="true">IFERROR(SUMPRODUCT(OFFSET($BJ$31,0,1-MIN(60,COLUMN()-29),1,MIN(60,COLUMN()-29)),OFFSET(EL759,0,-MIN(60,COLUMN()-29),1,MIN(60,COLUMN()-29))),0)</f>
        <v>0</v>
      </c>
      <c r="EM760" s="112" t="n">
        <f aca="true">IFERROR(SUMPRODUCT(OFFSET($BJ$31,0,1-MIN(60,COLUMN()-29),1,MIN(60,COLUMN()-29)),OFFSET(EM759,0,-MIN(60,COLUMN()-29),1,MIN(60,COLUMN()-29))),0)</f>
        <v>0</v>
      </c>
      <c r="EN760" s="112" t="n">
        <f aca="true">IFERROR(SUMPRODUCT(OFFSET($BJ$31,0,1-MIN(60,COLUMN()-29),1,MIN(60,COLUMN()-29)),OFFSET(EN759,0,-MIN(60,COLUMN()-29),1,MIN(60,COLUMN()-29))),0)</f>
        <v>0</v>
      </c>
      <c r="EO760" s="112" t="n">
        <f aca="true">IFERROR(SUMPRODUCT(OFFSET($BJ$31,0,1-MIN(60,COLUMN()-29),1,MIN(60,COLUMN()-29)),OFFSET(EO759,0,-MIN(60,COLUMN()-29),1,MIN(60,COLUMN()-29))),0)</f>
        <v>0</v>
      </c>
      <c r="EP760" s="112" t="n">
        <f aca="true">IFERROR(SUMPRODUCT(OFFSET($BJ$31,0,1-MIN(60,COLUMN()-29),1,MIN(60,COLUMN()-29)),OFFSET(EP759,0,-MIN(60,COLUMN()-29),1,MIN(60,COLUMN()-29))),0)</f>
        <v>0</v>
      </c>
      <c r="EQ760" s="112" t="n">
        <f aca="true">IFERROR(SUMPRODUCT(OFFSET($BJ$31,0,1-MIN(60,COLUMN()-29),1,MIN(60,COLUMN()-29)),OFFSET(EQ759,0,-MIN(60,COLUMN()-29),1,MIN(60,COLUMN()-29))),0)</f>
        <v>0</v>
      </c>
      <c r="ER760" s="112" t="n">
        <f aca="true">IFERROR(SUMPRODUCT(OFFSET($BJ$31,0,1-MIN(60,COLUMN()-29),1,MIN(60,COLUMN()-29)),OFFSET(ER759,0,-MIN(60,COLUMN()-29),1,MIN(60,COLUMN()-29))),0)</f>
        <v>0</v>
      </c>
      <c r="ES760" s="9" t="n">
        <f aca="true">IFERROR(SUMPRODUCT(OFFSET($BJ$31,0,1-MIN(60,COLUMN()-29),1,MIN(60,COLUMN()-29)),OFFSET(ES759,0,-MIN(60,COLUMN()-29),1,MIN(60,COLUMN()-29))),0)</f>
        <v>0</v>
      </c>
      <c r="ET760" s="9" t="n">
        <f aca="true">IFERROR(SUMPRODUCT(OFFSET($BJ$31,0,1-MIN(60,COLUMN()-29),1,MIN(60,COLUMN()-29)),OFFSET(ET759,0,-MIN(60,COLUMN()-29),1,MIN(60,COLUMN()-29))),0)</f>
        <v>0</v>
      </c>
      <c r="EU760" s="9" t="n">
        <f aca="true">IFERROR(SUMPRODUCT(OFFSET($BJ$31,0,1-MIN(60,COLUMN()-29),1,MIN(60,COLUMN()-29)),OFFSET(EU759,0,-MIN(60,COLUMN()-29),1,MIN(60,COLUMN()-29))),0)</f>
        <v>0</v>
      </c>
      <c r="EV760" s="9" t="n">
        <f aca="true">IFERROR(SUMPRODUCT(OFFSET($BJ$31,0,1-MIN(60,COLUMN()-29),1,MIN(60,COLUMN()-29)),OFFSET(EV759,0,-MIN(60,COLUMN()-29),1,MIN(60,COLUMN()-29))),0)</f>
        <v>0</v>
      </c>
      <c r="EW760" s="9" t="n">
        <f aca="true">IFERROR(SUMPRODUCT(OFFSET($BJ$31,0,1-MIN(60,COLUMN()-29),1,MIN(60,COLUMN()-29)),OFFSET(EW759,0,-MIN(60,COLUMN()-29),1,MIN(60,COLUMN()-29))),0)</f>
        <v>0</v>
      </c>
      <c r="EX760" s="9" t="n">
        <f aca="true">IFERROR(SUMPRODUCT(OFFSET($BJ$31,0,1-MIN(60,COLUMN()-29),1,MIN(60,COLUMN()-29)),OFFSET(EX759,0,-MIN(60,COLUMN()-29),1,MIN(60,COLUMN()-29))),0)</f>
        <v>0</v>
      </c>
      <c r="EY760" s="9" t="n">
        <f aca="true">IFERROR(SUMPRODUCT(OFFSET($BJ$31,0,1-MIN(60,COLUMN()-29),1,MIN(60,COLUMN()-29)),OFFSET(EY759,0,-MIN(60,COLUMN()-29),1,MIN(60,COLUMN()-29))),0)</f>
        <v>0</v>
      </c>
      <c r="EZ760" s="9" t="n">
        <f aca="true">IFERROR(SUMPRODUCT(OFFSET($BJ$31,0,1-MIN(60,COLUMN()-29),1,MIN(60,COLUMN()-29)),OFFSET(EZ759,0,-MIN(60,COLUMN()-29),1,MIN(60,COLUMN()-29))),0)</f>
        <v>0</v>
      </c>
      <c r="FA760" s="9" t="n">
        <f aca="true">IFERROR(SUMPRODUCT(OFFSET($BJ$31,0,1-MIN(60,COLUMN()-29),1,MIN(60,COLUMN()-29)),OFFSET(FA759,0,-MIN(60,COLUMN()-29),1,MIN(60,COLUMN()-29))),0)</f>
        <v>6.72512</v>
      </c>
      <c r="FB760" s="9" t="n">
        <f aca="true">IFERROR(SUMPRODUCT(OFFSET($BJ$31,0,1-MIN(60,COLUMN()-29),1,MIN(60,COLUMN()-29)),OFFSET(FB759,0,-MIN(60,COLUMN()-29),1,MIN(60,COLUMN()-29))),0)</f>
        <v>6.96784</v>
      </c>
      <c r="FC760" s="9" t="n">
        <f aca="true">IFERROR(SUMPRODUCT(OFFSET($BJ$31,0,1-MIN(60,COLUMN()-29),1,MIN(60,COLUMN()-29)),OFFSET(FC759,0,-MIN(60,COLUMN()-29),1,MIN(60,COLUMN()-29))),0)</f>
        <v>7.4636992</v>
      </c>
      <c r="FD760" s="9" t="n">
        <f aca="true">IFERROR(SUMPRODUCT(OFFSET($BJ$31,0,1-MIN(60,COLUMN()-29),1,MIN(60,COLUMN()-29)),OFFSET(FD759,0,-MIN(60,COLUMN()-29),1,MIN(60,COLUMN()-29))),0)</f>
        <v>7.0836352</v>
      </c>
      <c r="FE760" s="9" t="n">
        <f aca="true">IFERROR(SUMPRODUCT(OFFSET($BJ$31,0,1-MIN(60,COLUMN()-29),1,MIN(60,COLUMN()-29)),OFFSET(FE759,0,-MIN(60,COLUMN()-29),1,MIN(60,COLUMN()-29))),0)</f>
        <v>9.2179136</v>
      </c>
      <c r="FF760" s="9" t="n">
        <f aca="true">IFERROR(SUMPRODUCT(OFFSET($BJ$31,0,1-MIN(60,COLUMN()-29),1,MIN(60,COLUMN()-29)),OFFSET(FF759,0,-MIN(60,COLUMN()-29),1,MIN(60,COLUMN()-29))),0)</f>
        <v>10.8813744</v>
      </c>
      <c r="FG760" s="9" t="n">
        <f aca="true">IFERROR(SUMPRODUCT(OFFSET($BJ$31,0,1-MIN(60,COLUMN()-29),1,MIN(60,COLUMN()-29)),OFFSET(FG759,0,-MIN(60,COLUMN()-29),1,MIN(60,COLUMN()-29))),0)</f>
        <v>10.9643136</v>
      </c>
      <c r="FH760" s="9" t="n">
        <f aca="true">IFERROR(SUMPRODUCT(OFFSET($BJ$31,0,1-MIN(60,COLUMN()-29),1,MIN(60,COLUMN()-29)),OFFSET(FH759,0,-MIN(60,COLUMN()-29),1,MIN(60,COLUMN()-29))),0)</f>
        <v>15.244296</v>
      </c>
      <c r="FI760" s="9" t="n">
        <f aca="true">IFERROR(SUMPRODUCT(OFFSET($BJ$31,0,1-MIN(60,COLUMN()-29),1,MIN(60,COLUMN()-29)),OFFSET(FI759,0,-MIN(60,COLUMN()-29),1,MIN(60,COLUMN()-29))),0)</f>
        <v>16.990992</v>
      </c>
      <c r="FJ760" s="9" t="n">
        <f aca="true">IFERROR(SUMPRODUCT(OFFSET($BJ$31,0,1-MIN(60,COLUMN()-29),1,MIN(60,COLUMN()-29)),OFFSET(FJ759,0,-MIN(60,COLUMN()-29),1,MIN(60,COLUMN()-29))),0)</f>
        <v>16.713048</v>
      </c>
      <c r="FK760" s="9" t="n">
        <f aca="true">IFERROR(SUMPRODUCT(OFFSET($BJ$31,0,1-MIN(60,COLUMN()-29),1,MIN(60,COLUMN()-29)),OFFSET(FK759,0,-MIN(60,COLUMN()-29),1,MIN(60,COLUMN()-29))),0)</f>
        <v>16.6912032</v>
      </c>
      <c r="FL760" s="9" t="n">
        <f aca="true">IFERROR(SUMPRODUCT(OFFSET($BJ$31,0,1-MIN(60,COLUMN()-29),1,MIN(60,COLUMN()-29)),OFFSET(FL759,0,-MIN(60,COLUMN()-29),1,MIN(60,COLUMN()-29))),0)</f>
        <v>19.386816</v>
      </c>
      <c r="FM760" s="9" t="n">
        <f aca="true">IFERROR(SUMPRODUCT(OFFSET($BJ$31,0,1-MIN(60,COLUMN()-29),1,MIN(60,COLUMN()-29)),OFFSET(FM759,0,-MIN(60,COLUMN()-29),1,MIN(60,COLUMN()-29))),0)</f>
        <v>29.6026048</v>
      </c>
      <c r="FN760" s="9" t="n">
        <f aca="true">IFERROR(SUMPRODUCT(OFFSET($BJ$31,0,1-MIN(60,COLUMN()-29),1,MIN(60,COLUMN()-29)),OFFSET(FN759,0,-MIN(60,COLUMN()-29),1,MIN(60,COLUMN()-29))),0)</f>
        <v>29.5486144</v>
      </c>
      <c r="FO760" s="9" t="n">
        <f aca="true">IFERROR(SUMPRODUCT(OFFSET($BJ$31,0,1-MIN(60,COLUMN()-29),1,MIN(60,COLUMN()-29)),OFFSET(FO759,0,-MIN(60,COLUMN()-29),1,MIN(60,COLUMN()-29))),0)</f>
        <v>28.4699904</v>
      </c>
      <c r="FP760" s="9" t="n">
        <f aca="true">IFERROR(SUMPRODUCT(OFFSET($BJ$31,0,1-MIN(60,COLUMN()-29),1,MIN(60,COLUMN()-29)),OFFSET(FP759,0,-MIN(60,COLUMN()-29),1,MIN(60,COLUMN()-29))),0)</f>
        <v>28.2913248</v>
      </c>
    </row>
    <row r="761" customFormat="false" ht="15" hidden="false" customHeight="false" outlineLevel="2" collapsed="false">
      <c r="B761" s="90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237"/>
      <c r="AD761" s="237"/>
      <c r="AE761" s="237"/>
      <c r="AF761" s="237"/>
      <c r="AG761" s="237"/>
      <c r="AH761" s="237"/>
      <c r="AI761" s="237"/>
      <c r="AJ761" s="237"/>
      <c r="AK761" s="237"/>
      <c r="AL761" s="237"/>
      <c r="AM761" s="237"/>
      <c r="AN761" s="237"/>
      <c r="AO761" s="237"/>
      <c r="AP761" s="237"/>
      <c r="AQ761" s="237"/>
      <c r="AR761" s="237"/>
      <c r="AS761" s="237"/>
      <c r="AT761" s="237"/>
      <c r="AU761" s="237"/>
      <c r="AV761" s="237"/>
      <c r="AW761" s="237"/>
      <c r="AX761" s="237"/>
      <c r="AY761" s="237"/>
      <c r="AZ761" s="237"/>
      <c r="BA761" s="237"/>
      <c r="BB761" s="237"/>
      <c r="BC761" s="237"/>
      <c r="BD761" s="237"/>
      <c r="BE761" s="237"/>
      <c r="BF761" s="237"/>
      <c r="BG761" s="237"/>
      <c r="BH761" s="237"/>
      <c r="BI761" s="237"/>
      <c r="BJ761" s="237"/>
      <c r="BK761" s="237"/>
      <c r="BL761" s="237"/>
      <c r="BM761" s="237"/>
      <c r="BN761" s="237"/>
      <c r="BO761" s="237"/>
      <c r="BP761" s="237"/>
      <c r="BQ761" s="237"/>
      <c r="BR761" s="237"/>
      <c r="BS761" s="237"/>
      <c r="BT761" s="237"/>
      <c r="BU761" s="237"/>
      <c r="BV761" s="237"/>
      <c r="BW761" s="237"/>
      <c r="BX761" s="237"/>
      <c r="BY761" s="237"/>
      <c r="BZ761" s="237"/>
      <c r="CA761" s="237"/>
      <c r="CB761" s="237"/>
      <c r="CC761" s="237"/>
      <c r="CD761" s="237"/>
      <c r="CE761" s="237"/>
      <c r="CF761" s="237"/>
      <c r="CG761" s="237"/>
      <c r="CH761" s="237"/>
      <c r="CI761" s="237"/>
      <c r="CJ761" s="237"/>
      <c r="CK761" s="237"/>
      <c r="CL761" s="237"/>
      <c r="CM761" s="237"/>
      <c r="CN761" s="237"/>
      <c r="CO761" s="237"/>
      <c r="CP761" s="237"/>
      <c r="CQ761" s="237"/>
      <c r="CR761" s="237"/>
      <c r="CS761" s="237"/>
      <c r="CT761" s="237"/>
      <c r="CU761" s="237"/>
      <c r="CV761" s="237"/>
      <c r="CW761" s="237"/>
      <c r="CX761" s="237"/>
      <c r="CY761" s="237"/>
      <c r="CZ761" s="237"/>
      <c r="DA761" s="237"/>
      <c r="DB761" s="237"/>
      <c r="DC761" s="237"/>
      <c r="DD761" s="237"/>
      <c r="DE761" s="237"/>
      <c r="DF761" s="237"/>
      <c r="DG761" s="237"/>
      <c r="DH761" s="237"/>
      <c r="DI761" s="237"/>
      <c r="DJ761" s="237"/>
      <c r="DK761" s="237"/>
      <c r="DL761" s="237"/>
      <c r="DM761" s="237"/>
      <c r="DN761" s="237"/>
      <c r="DO761" s="237"/>
      <c r="DP761" s="237"/>
      <c r="DQ761" s="237"/>
      <c r="DR761" s="237"/>
      <c r="DS761" s="237"/>
      <c r="DT761" s="237"/>
      <c r="DU761" s="237"/>
      <c r="DV761" s="237"/>
      <c r="DW761" s="237"/>
      <c r="DX761" s="237"/>
      <c r="DY761" s="237"/>
      <c r="DZ761" s="237"/>
      <c r="EA761" s="237"/>
      <c r="EB761" s="237"/>
      <c r="EC761" s="237"/>
      <c r="ED761" s="237"/>
      <c r="EE761" s="237"/>
      <c r="EF761" s="237"/>
      <c r="EG761" s="237"/>
      <c r="EH761" s="237"/>
      <c r="EI761" s="237"/>
      <c r="EJ761" s="237"/>
      <c r="EK761" s="237"/>
      <c r="EL761" s="237"/>
      <c r="EM761" s="237"/>
      <c r="EN761" s="237"/>
      <c r="EO761" s="237"/>
      <c r="EP761" s="237"/>
      <c r="EQ761" s="237"/>
      <c r="ER761" s="237"/>
      <c r="ES761" s="9"/>
      <c r="ET761" s="9"/>
      <c r="EU761" s="9"/>
      <c r="EV761" s="9"/>
      <c r="EW761" s="9"/>
      <c r="EX761" s="9"/>
      <c r="EY761" s="9"/>
      <c r="EZ761" s="9"/>
      <c r="FA761" s="9"/>
      <c r="FB761" s="9"/>
      <c r="FC761" s="9"/>
      <c r="FD761" s="9"/>
      <c r="FE761" s="9"/>
      <c r="FF761" s="9"/>
      <c r="FG761" s="9"/>
      <c r="FH761" s="9"/>
      <c r="FI761" s="9"/>
      <c r="FJ761" s="9"/>
      <c r="FK761" s="9"/>
      <c r="FL761" s="9"/>
      <c r="FM761" s="9"/>
      <c r="FN761" s="9"/>
      <c r="FO761" s="9"/>
      <c r="FP761" s="9"/>
    </row>
    <row r="762" customFormat="false" ht="15" hidden="false" customHeight="false" outlineLevel="2" collapsed="false">
      <c r="B762" s="240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237"/>
      <c r="AD762" s="237"/>
      <c r="AE762" s="237"/>
      <c r="AF762" s="237"/>
      <c r="AG762" s="237"/>
      <c r="AH762" s="237"/>
      <c r="AI762" s="237"/>
      <c r="AJ762" s="237"/>
      <c r="AK762" s="237"/>
      <c r="AL762" s="237"/>
      <c r="AM762" s="237"/>
      <c r="AN762" s="237"/>
      <c r="AO762" s="237"/>
      <c r="AP762" s="237"/>
      <c r="AQ762" s="237"/>
      <c r="AR762" s="237"/>
      <c r="AS762" s="237"/>
      <c r="AT762" s="237"/>
      <c r="AU762" s="237"/>
      <c r="AV762" s="237"/>
      <c r="AW762" s="237"/>
      <c r="AX762" s="237"/>
      <c r="AY762" s="237"/>
      <c r="AZ762" s="237"/>
      <c r="BA762" s="237"/>
      <c r="BB762" s="237"/>
      <c r="BC762" s="237"/>
      <c r="BD762" s="237"/>
      <c r="BE762" s="237"/>
      <c r="BF762" s="237"/>
      <c r="BG762" s="237"/>
      <c r="BH762" s="237"/>
      <c r="BI762" s="237"/>
      <c r="BJ762" s="237"/>
      <c r="BK762" s="237"/>
      <c r="BL762" s="237"/>
      <c r="BM762" s="237"/>
      <c r="BN762" s="237"/>
      <c r="BO762" s="237"/>
      <c r="BP762" s="237"/>
      <c r="BQ762" s="237"/>
      <c r="BR762" s="237"/>
      <c r="BS762" s="237"/>
      <c r="BT762" s="237"/>
      <c r="BU762" s="237"/>
      <c r="BV762" s="237"/>
      <c r="BW762" s="237"/>
      <c r="BX762" s="237"/>
      <c r="BY762" s="237"/>
      <c r="BZ762" s="237"/>
      <c r="CA762" s="237"/>
      <c r="CB762" s="237"/>
      <c r="CC762" s="237"/>
      <c r="CD762" s="237"/>
      <c r="CE762" s="237"/>
      <c r="CF762" s="237"/>
      <c r="CG762" s="237"/>
      <c r="CH762" s="237"/>
      <c r="CI762" s="237"/>
      <c r="CJ762" s="237"/>
      <c r="CK762" s="237"/>
      <c r="CL762" s="237"/>
      <c r="CM762" s="237"/>
      <c r="CN762" s="237"/>
      <c r="CO762" s="237"/>
      <c r="CP762" s="237"/>
      <c r="CQ762" s="237"/>
      <c r="CR762" s="237"/>
      <c r="CS762" s="237"/>
      <c r="CT762" s="237"/>
      <c r="CU762" s="237"/>
      <c r="CV762" s="237"/>
      <c r="CW762" s="237"/>
      <c r="CX762" s="237"/>
      <c r="CY762" s="237"/>
      <c r="CZ762" s="237"/>
      <c r="DA762" s="237"/>
      <c r="DB762" s="237"/>
      <c r="DC762" s="237"/>
      <c r="DD762" s="237"/>
      <c r="DE762" s="237"/>
      <c r="DF762" s="237"/>
      <c r="DG762" s="237"/>
      <c r="DH762" s="237"/>
      <c r="DI762" s="237"/>
      <c r="DJ762" s="237"/>
      <c r="DK762" s="237"/>
      <c r="DL762" s="237"/>
      <c r="DM762" s="237"/>
      <c r="DN762" s="237"/>
      <c r="DO762" s="237"/>
      <c r="DP762" s="237"/>
      <c r="DQ762" s="237"/>
      <c r="DR762" s="237"/>
      <c r="DS762" s="237"/>
      <c r="DT762" s="237"/>
      <c r="DU762" s="237"/>
      <c r="DV762" s="237"/>
      <c r="DW762" s="237"/>
      <c r="DX762" s="237"/>
      <c r="DY762" s="237"/>
      <c r="DZ762" s="237"/>
      <c r="EA762" s="237"/>
      <c r="EB762" s="237"/>
      <c r="EC762" s="237"/>
      <c r="ED762" s="237"/>
      <c r="EE762" s="237"/>
      <c r="EF762" s="237"/>
      <c r="EG762" s="237"/>
      <c r="EH762" s="237"/>
      <c r="EI762" s="237"/>
      <c r="EJ762" s="237"/>
      <c r="EK762" s="237"/>
      <c r="EL762" s="237"/>
      <c r="EM762" s="237"/>
      <c r="EN762" s="237"/>
      <c r="EO762" s="237"/>
      <c r="EP762" s="237"/>
      <c r="EQ762" s="237"/>
      <c r="ER762" s="237"/>
      <c r="ES762" s="9"/>
      <c r="ET762" s="9"/>
      <c r="EU762" s="9"/>
      <c r="EV762" s="9"/>
      <c r="EW762" s="9"/>
      <c r="EX762" s="9"/>
      <c r="EY762" s="9"/>
      <c r="EZ762" s="9"/>
      <c r="FA762" s="9"/>
      <c r="FB762" s="9"/>
      <c r="FC762" s="9"/>
      <c r="FD762" s="9"/>
      <c r="FE762" s="9"/>
      <c r="FF762" s="9"/>
      <c r="FG762" s="9"/>
      <c r="FH762" s="9"/>
      <c r="FI762" s="9"/>
      <c r="FJ762" s="9"/>
      <c r="FK762" s="9"/>
      <c r="FL762" s="9"/>
      <c r="FM762" s="9"/>
      <c r="FN762" s="9"/>
      <c r="FO762" s="9"/>
      <c r="FP762" s="9"/>
    </row>
    <row r="763" customFormat="false" ht="15" hidden="false" customHeight="false" outlineLevel="2" collapsed="false">
      <c r="B763" s="21" t="s">
        <v>949</v>
      </c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  <c r="AP763" s="21"/>
      <c r="AQ763" s="21"/>
      <c r="AR763" s="21"/>
      <c r="AS763" s="21"/>
      <c r="AT763" s="21"/>
      <c r="AU763" s="21"/>
      <c r="AV763" s="21"/>
      <c r="AW763" s="21"/>
      <c r="AX763" s="21"/>
      <c r="AY763" s="21"/>
      <c r="AZ763" s="21"/>
      <c r="BA763" s="21"/>
      <c r="BB763" s="21"/>
      <c r="BC763" s="21"/>
      <c r="BD763" s="21"/>
      <c r="BE763" s="21"/>
      <c r="BF763" s="21"/>
      <c r="BG763" s="21"/>
      <c r="BH763" s="21"/>
      <c r="BI763" s="21"/>
      <c r="BJ763" s="21"/>
      <c r="BK763" s="21"/>
      <c r="BL763" s="21"/>
      <c r="BM763" s="21"/>
      <c r="BN763" s="21"/>
      <c r="BO763" s="21"/>
      <c r="BP763" s="21"/>
      <c r="BQ763" s="21"/>
      <c r="BR763" s="21"/>
      <c r="BS763" s="21"/>
      <c r="BT763" s="21"/>
      <c r="BU763" s="21"/>
      <c r="BV763" s="21"/>
      <c r="BW763" s="21"/>
      <c r="BX763" s="21"/>
      <c r="BY763" s="21"/>
      <c r="BZ763" s="21"/>
      <c r="CA763" s="21"/>
      <c r="CB763" s="21"/>
      <c r="CC763" s="21"/>
      <c r="CD763" s="21"/>
      <c r="CE763" s="21"/>
      <c r="CF763" s="21"/>
      <c r="CG763" s="21"/>
      <c r="CH763" s="21"/>
      <c r="CI763" s="21"/>
      <c r="CJ763" s="21"/>
      <c r="CK763" s="21"/>
      <c r="CL763" s="21"/>
      <c r="CM763" s="21"/>
      <c r="CN763" s="21"/>
      <c r="CO763" s="21"/>
      <c r="CP763" s="21"/>
      <c r="CQ763" s="21"/>
      <c r="CR763" s="21"/>
      <c r="CS763" s="21"/>
      <c r="CT763" s="21"/>
      <c r="CU763" s="21"/>
      <c r="CV763" s="21"/>
      <c r="CW763" s="21"/>
      <c r="CX763" s="21"/>
      <c r="CY763" s="21"/>
      <c r="CZ763" s="21"/>
      <c r="DA763" s="21"/>
      <c r="DB763" s="21"/>
      <c r="DC763" s="21"/>
      <c r="DD763" s="21"/>
      <c r="DE763" s="21"/>
      <c r="DF763" s="21"/>
      <c r="DG763" s="21"/>
      <c r="DH763" s="21"/>
      <c r="DI763" s="21"/>
      <c r="DJ763" s="21"/>
      <c r="DK763" s="21"/>
      <c r="DL763" s="21"/>
      <c r="DM763" s="21"/>
      <c r="DN763" s="21"/>
      <c r="DO763" s="21"/>
      <c r="DP763" s="21"/>
      <c r="DQ763" s="21"/>
      <c r="DR763" s="21"/>
      <c r="DS763" s="21"/>
      <c r="DT763" s="21"/>
      <c r="DU763" s="21"/>
      <c r="DV763" s="21"/>
      <c r="DW763" s="21"/>
      <c r="DX763" s="21"/>
      <c r="DY763" s="21"/>
      <c r="DZ763" s="21"/>
      <c r="EA763" s="21"/>
      <c r="EB763" s="21"/>
      <c r="EC763" s="21"/>
      <c r="ED763" s="21"/>
      <c r="EE763" s="21"/>
      <c r="EF763" s="21"/>
      <c r="EG763" s="21"/>
      <c r="EH763" s="21"/>
      <c r="EI763" s="21"/>
      <c r="EJ763" s="21"/>
      <c r="EK763" s="21"/>
      <c r="EL763" s="21"/>
      <c r="EM763" s="21"/>
      <c r="EN763" s="21"/>
      <c r="EO763" s="21"/>
      <c r="EP763" s="21"/>
      <c r="EQ763" s="21"/>
      <c r="ER763" s="21"/>
      <c r="ES763" s="9"/>
      <c r="ET763" s="9"/>
      <c r="EU763" s="9"/>
      <c r="EV763" s="9"/>
      <c r="EW763" s="9"/>
      <c r="EX763" s="9"/>
      <c r="EY763" s="9"/>
      <c r="EZ763" s="9"/>
      <c r="FA763" s="9"/>
      <c r="FB763" s="9"/>
      <c r="FC763" s="9"/>
      <c r="FD763" s="9"/>
      <c r="FE763" s="9"/>
      <c r="FF763" s="9"/>
      <c r="FG763" s="9"/>
      <c r="FH763" s="9"/>
      <c r="FI763" s="9"/>
      <c r="FJ763" s="9"/>
      <c r="FK763" s="9"/>
      <c r="FL763" s="9"/>
      <c r="FM763" s="9"/>
      <c r="FN763" s="9"/>
      <c r="FO763" s="9"/>
      <c r="FP763" s="9"/>
    </row>
    <row r="764" customFormat="false" ht="15" hidden="false" customHeight="false" outlineLevel="2" collapsed="false">
      <c r="B764" s="9" t="s">
        <v>872</v>
      </c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234" t="n">
        <f aca="false">('⑫ Roll-out Plan'!G81-2025)*12+'⑫ Roll-out Plan'!F81</f>
        <v>129</v>
      </c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9"/>
      <c r="DK764" s="9"/>
      <c r="DL764" s="9"/>
      <c r="DM764" s="9"/>
      <c r="DN764" s="9"/>
      <c r="DO764" s="9"/>
      <c r="DP764" s="9"/>
      <c r="DQ764" s="9"/>
      <c r="DR764" s="9"/>
      <c r="DS764" s="9"/>
      <c r="DT764" s="9"/>
      <c r="DU764" s="9"/>
      <c r="DV764" s="9"/>
      <c r="DW764" s="9"/>
      <c r="DX764" s="9"/>
      <c r="DY764" s="9"/>
      <c r="DZ764" s="9"/>
      <c r="EA764" s="9"/>
      <c r="EB764" s="9"/>
      <c r="EC764" s="9"/>
      <c r="ED764" s="9"/>
      <c r="EE764" s="9"/>
      <c r="EF764" s="9"/>
      <c r="EG764" s="9"/>
      <c r="EH764" s="9"/>
      <c r="EI764" s="9"/>
      <c r="EJ764" s="9"/>
      <c r="EK764" s="9"/>
      <c r="EL764" s="9"/>
      <c r="EM764" s="9"/>
      <c r="EN764" s="9"/>
      <c r="EO764" s="9"/>
      <c r="EP764" s="9"/>
      <c r="EQ764" s="9"/>
      <c r="ER764" s="9"/>
      <c r="ES764" s="9"/>
      <c r="ET764" s="9"/>
      <c r="EU764" s="9"/>
      <c r="EV764" s="9"/>
      <c r="EW764" s="9"/>
      <c r="EX764" s="9"/>
      <c r="EY764" s="9"/>
      <c r="EZ764" s="9"/>
      <c r="FA764" s="9"/>
      <c r="FB764" s="9"/>
      <c r="FC764" s="9"/>
      <c r="FD764" s="9"/>
      <c r="FE764" s="9"/>
      <c r="FF764" s="9"/>
      <c r="FG764" s="9"/>
      <c r="FH764" s="9"/>
      <c r="FI764" s="9"/>
      <c r="FJ764" s="9"/>
      <c r="FK764" s="9"/>
      <c r="FL764" s="9"/>
      <c r="FM764" s="9"/>
      <c r="FN764" s="9"/>
      <c r="FO764" s="9"/>
      <c r="FP764" s="9"/>
    </row>
    <row r="765" customFormat="false" ht="15" hidden="false" customHeight="false" outlineLevel="2" collapsed="false">
      <c r="B765" s="9" t="s">
        <v>873</v>
      </c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235" t="n">
        <f aca="false">VLOOKUP("C",$B$14:$C$18,2,FALSE())</f>
        <v>110</v>
      </c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  <c r="CA765" s="9"/>
      <c r="CB765" s="9"/>
      <c r="CC765" s="9"/>
      <c r="CD765" s="9"/>
      <c r="CE765" s="9"/>
      <c r="CF765" s="9"/>
      <c r="CG765" s="9"/>
      <c r="CH765" s="9"/>
      <c r="CI765" s="9"/>
      <c r="CJ765" s="9"/>
      <c r="CK765" s="9"/>
      <c r="CL765" s="9"/>
      <c r="CM765" s="9"/>
      <c r="CN765" s="9"/>
      <c r="CO765" s="9"/>
      <c r="CP765" s="9"/>
      <c r="CQ765" s="9"/>
      <c r="CR765" s="9"/>
      <c r="CS765" s="9"/>
      <c r="CT765" s="9"/>
      <c r="CU765" s="9"/>
      <c r="CV765" s="9"/>
      <c r="CW765" s="9"/>
      <c r="CX765" s="9"/>
      <c r="CY765" s="9"/>
      <c r="CZ765" s="9"/>
      <c r="DA765" s="9"/>
      <c r="DB765" s="9"/>
      <c r="DC765" s="9"/>
      <c r="DD765" s="9"/>
      <c r="DE765" s="9"/>
      <c r="DF765" s="9"/>
      <c r="DG765" s="9"/>
      <c r="DH765" s="9"/>
      <c r="DI765" s="9"/>
      <c r="DJ765" s="9"/>
      <c r="DK765" s="9"/>
      <c r="DL765" s="9"/>
      <c r="DM765" s="9"/>
      <c r="DN765" s="9"/>
      <c r="DO765" s="9"/>
      <c r="DP765" s="9"/>
      <c r="DQ765" s="9"/>
      <c r="DR765" s="9"/>
      <c r="DS765" s="9"/>
      <c r="DT765" s="9"/>
      <c r="DU765" s="9"/>
      <c r="DV765" s="9"/>
      <c r="DW765" s="9"/>
      <c r="DX765" s="9"/>
      <c r="DY765" s="9"/>
      <c r="DZ765" s="9"/>
      <c r="EA765" s="9"/>
      <c r="EB765" s="9"/>
      <c r="EC765" s="9"/>
      <c r="ED765" s="9"/>
      <c r="EE765" s="9"/>
      <c r="EF765" s="9"/>
      <c r="EG765" s="9"/>
      <c r="EH765" s="9"/>
      <c r="EI765" s="9"/>
      <c r="EJ765" s="9"/>
      <c r="EK765" s="9"/>
      <c r="EL765" s="9"/>
      <c r="EM765" s="9"/>
      <c r="EN765" s="9"/>
      <c r="EO765" s="9"/>
      <c r="EP765" s="9"/>
      <c r="EQ765" s="9"/>
      <c r="ER765" s="9"/>
      <c r="ES765" s="9"/>
      <c r="ET765" s="9"/>
      <c r="EU765" s="9"/>
      <c r="EV765" s="9"/>
      <c r="EW765" s="9"/>
      <c r="EX765" s="9"/>
      <c r="EY765" s="9"/>
      <c r="EZ765" s="9"/>
      <c r="FA765" s="9"/>
      <c r="FB765" s="9"/>
      <c r="FC765" s="9"/>
      <c r="FD765" s="9"/>
      <c r="FE765" s="9"/>
      <c r="FF765" s="9"/>
      <c r="FG765" s="9"/>
      <c r="FH765" s="9"/>
      <c r="FI765" s="9"/>
      <c r="FJ765" s="9"/>
      <c r="FK765" s="9"/>
      <c r="FL765" s="9"/>
      <c r="FM765" s="9"/>
      <c r="FN765" s="9"/>
      <c r="FO765" s="9"/>
      <c r="FP765" s="9"/>
    </row>
    <row r="766" customFormat="false" ht="15" hidden="false" customHeight="false" outlineLevel="2" collapsed="false">
      <c r="B766" s="9" t="s">
        <v>799</v>
      </c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63" t="n">
        <f aca="false">IF(AC$35&gt;=$AC$764,AC$35-$AC$764+1,0)</f>
        <v>0</v>
      </c>
      <c r="AD766" s="63" t="n">
        <f aca="false">IF(AD$35&gt;=$AC$764,AD$35-$AC$764+1,0)</f>
        <v>0</v>
      </c>
      <c r="AE766" s="63" t="n">
        <f aca="false">IF(AE$35&gt;=$AC$764,AE$35-$AC$764+1,0)</f>
        <v>0</v>
      </c>
      <c r="AF766" s="63" t="n">
        <f aca="false">IF(AF$35&gt;=$AC$764,AF$35-$AC$764+1,0)</f>
        <v>0</v>
      </c>
      <c r="AG766" s="63" t="n">
        <f aca="false">IF(AG$35&gt;=$AC$764,AG$35-$AC$764+1,0)</f>
        <v>0</v>
      </c>
      <c r="AH766" s="63" t="n">
        <f aca="false">IF(AH$35&gt;=$AC$764,AH$35-$AC$764+1,0)</f>
        <v>0</v>
      </c>
      <c r="AI766" s="63" t="n">
        <f aca="false">IF(AI$35&gt;=$AC$764,AI$35-$AC$764+1,0)</f>
        <v>0</v>
      </c>
      <c r="AJ766" s="63" t="n">
        <f aca="false">IF(AJ$35&gt;=$AC$764,AJ$35-$AC$764+1,0)</f>
        <v>0</v>
      </c>
      <c r="AK766" s="63" t="n">
        <f aca="false">IF(AK$35&gt;=$AC$764,AK$35-$AC$764+1,0)</f>
        <v>0</v>
      </c>
      <c r="AL766" s="63" t="n">
        <f aca="false">IF(AL$35&gt;=$AC$764,AL$35-$AC$764+1,0)</f>
        <v>0</v>
      </c>
      <c r="AM766" s="63" t="n">
        <f aca="false">IF(AM$35&gt;=$AC$764,AM$35-$AC$764+1,0)</f>
        <v>0</v>
      </c>
      <c r="AN766" s="63" t="n">
        <f aca="false">IF(AN$35&gt;=$AC$764,AN$35-$AC$764+1,0)</f>
        <v>0</v>
      </c>
      <c r="AO766" s="63" t="n">
        <f aca="false">IF(AO$35&gt;=$AC$764,AO$35-$AC$764+1,0)</f>
        <v>0</v>
      </c>
      <c r="AP766" s="63" t="n">
        <f aca="false">IF(AP$35&gt;=$AC$764,AP$35-$AC$764+1,0)</f>
        <v>0</v>
      </c>
      <c r="AQ766" s="63" t="n">
        <f aca="false">IF(AQ$35&gt;=$AC$764,AQ$35-$AC$764+1,0)</f>
        <v>0</v>
      </c>
      <c r="AR766" s="63" t="n">
        <f aca="false">IF(AR$35&gt;=$AC$764,AR$35-$AC$764+1,0)</f>
        <v>0</v>
      </c>
      <c r="AS766" s="63" t="n">
        <f aca="false">IF(AS$35&gt;=$AC$764,AS$35-$AC$764+1,0)</f>
        <v>0</v>
      </c>
      <c r="AT766" s="63" t="n">
        <f aca="false">IF(AT$35&gt;=$AC$764,AT$35-$AC$764+1,0)</f>
        <v>0</v>
      </c>
      <c r="AU766" s="63" t="n">
        <f aca="false">IF(AU$35&gt;=$AC$764,AU$35-$AC$764+1,0)</f>
        <v>0</v>
      </c>
      <c r="AV766" s="63" t="n">
        <f aca="false">IF(AV$35&gt;=$AC$764,AV$35-$AC$764+1,0)</f>
        <v>0</v>
      </c>
      <c r="AW766" s="63" t="n">
        <f aca="false">IF(AW$35&gt;=$AC$764,AW$35-$AC$764+1,0)</f>
        <v>0</v>
      </c>
      <c r="AX766" s="63" t="n">
        <f aca="false">IF(AX$35&gt;=$AC$764,AX$35-$AC$764+1,0)</f>
        <v>0</v>
      </c>
      <c r="AY766" s="63" t="n">
        <f aca="false">IF(AY$35&gt;=$AC$764,AY$35-$AC$764+1,0)</f>
        <v>0</v>
      </c>
      <c r="AZ766" s="63" t="n">
        <f aca="false">IF(AZ$35&gt;=$AC$764,AZ$35-$AC$764+1,0)</f>
        <v>0</v>
      </c>
      <c r="BA766" s="63" t="n">
        <f aca="false">IF(BA$35&gt;=$AC$764,BA$35-$AC$764+1,0)</f>
        <v>0</v>
      </c>
      <c r="BB766" s="63" t="n">
        <f aca="false">IF(BB$35&gt;=$AC$764,BB$35-$AC$764+1,0)</f>
        <v>0</v>
      </c>
      <c r="BC766" s="63" t="n">
        <f aca="false">IF(BC$35&gt;=$AC$764,BC$35-$AC$764+1,0)</f>
        <v>0</v>
      </c>
      <c r="BD766" s="63" t="n">
        <f aca="false">IF(BD$35&gt;=$AC$764,BD$35-$AC$764+1,0)</f>
        <v>0</v>
      </c>
      <c r="BE766" s="63" t="n">
        <f aca="false">IF(BE$35&gt;=$AC$764,BE$35-$AC$764+1,0)</f>
        <v>0</v>
      </c>
      <c r="BF766" s="63" t="n">
        <f aca="false">IF(BF$35&gt;=$AC$764,BF$35-$AC$764+1,0)</f>
        <v>0</v>
      </c>
      <c r="BG766" s="63" t="n">
        <f aca="false">IF(BG$35&gt;=$AC$764,BG$35-$AC$764+1,0)</f>
        <v>0</v>
      </c>
      <c r="BH766" s="63" t="n">
        <f aca="false">IF(BH$35&gt;=$AC$764,BH$35-$AC$764+1,0)</f>
        <v>0</v>
      </c>
      <c r="BI766" s="63" t="n">
        <f aca="false">IF(BI$35&gt;=$AC$764,BI$35-$AC$764+1,0)</f>
        <v>0</v>
      </c>
      <c r="BJ766" s="63" t="n">
        <f aca="false">IF(BJ$35&gt;=$AC$764,BJ$35-$AC$764+1,0)</f>
        <v>0</v>
      </c>
      <c r="BK766" s="63" t="n">
        <f aca="false">IF(BK$35&gt;=$AC$764,BK$35-$AC$764+1,0)</f>
        <v>0</v>
      </c>
      <c r="BL766" s="63" t="n">
        <f aca="false">IF(BL$35&gt;=$AC$764,BL$35-$AC$764+1,0)</f>
        <v>0</v>
      </c>
      <c r="BM766" s="63" t="n">
        <f aca="false">IF(BM$35&gt;=$AC$764,BM$35-$AC$764+1,0)</f>
        <v>0</v>
      </c>
      <c r="BN766" s="63" t="n">
        <f aca="false">IF(BN$35&gt;=$AC$764,BN$35-$AC$764+1,0)</f>
        <v>0</v>
      </c>
      <c r="BO766" s="63" t="n">
        <f aca="false">IF(BO$35&gt;=$AC$764,BO$35-$AC$764+1,0)</f>
        <v>0</v>
      </c>
      <c r="BP766" s="63" t="n">
        <f aca="false">IF(BP$35&gt;=$AC$764,BP$35-$AC$764+1,0)</f>
        <v>0</v>
      </c>
      <c r="BQ766" s="63" t="n">
        <f aca="false">IF(BQ$35&gt;=$AC$764,BQ$35-$AC$764+1,0)</f>
        <v>0</v>
      </c>
      <c r="BR766" s="63" t="n">
        <f aca="false">IF(BR$35&gt;=$AC$764,BR$35-$AC$764+1,0)</f>
        <v>0</v>
      </c>
      <c r="BS766" s="63" t="n">
        <f aca="false">IF(BS$35&gt;=$AC$764,BS$35-$AC$764+1,0)</f>
        <v>0</v>
      </c>
      <c r="BT766" s="63" t="n">
        <f aca="false">IF(BT$35&gt;=$AC$764,BT$35-$AC$764+1,0)</f>
        <v>0</v>
      </c>
      <c r="BU766" s="63" t="n">
        <f aca="false">IF(BU$35&gt;=$AC$764,BU$35-$AC$764+1,0)</f>
        <v>0</v>
      </c>
      <c r="BV766" s="63" t="n">
        <f aca="false">IF(BV$35&gt;=$AC$764,BV$35-$AC$764+1,0)</f>
        <v>0</v>
      </c>
      <c r="BW766" s="63" t="n">
        <f aca="false">IF(BW$35&gt;=$AC$764,BW$35-$AC$764+1,0)</f>
        <v>0</v>
      </c>
      <c r="BX766" s="63" t="n">
        <f aca="false">IF(BX$35&gt;=$AC$764,BX$35-$AC$764+1,0)</f>
        <v>0</v>
      </c>
      <c r="BY766" s="63" t="n">
        <f aca="false">IF(BY$35&gt;=$AC$764,BY$35-$AC$764+1,0)</f>
        <v>0</v>
      </c>
      <c r="BZ766" s="63" t="n">
        <f aca="false">IF(BZ$35&gt;=$AC$764,BZ$35-$AC$764+1,0)</f>
        <v>0</v>
      </c>
      <c r="CA766" s="63" t="n">
        <f aca="false">IF(CA$35&gt;=$AC$764,CA$35-$AC$764+1,0)</f>
        <v>0</v>
      </c>
      <c r="CB766" s="63" t="n">
        <f aca="false">IF(CB$35&gt;=$AC$764,CB$35-$AC$764+1,0)</f>
        <v>0</v>
      </c>
      <c r="CC766" s="63" t="n">
        <f aca="false">IF(CC$35&gt;=$AC$764,CC$35-$AC$764+1,0)</f>
        <v>0</v>
      </c>
      <c r="CD766" s="63" t="n">
        <f aca="false">IF(CD$35&gt;=$AC$764,CD$35-$AC$764+1,0)</f>
        <v>0</v>
      </c>
      <c r="CE766" s="63" t="n">
        <f aca="false">IF(CE$35&gt;=$AC$764,CE$35-$AC$764+1,0)</f>
        <v>0</v>
      </c>
      <c r="CF766" s="63" t="n">
        <f aca="false">IF(CF$35&gt;=$AC$764,CF$35-$AC$764+1,0)</f>
        <v>0</v>
      </c>
      <c r="CG766" s="63" t="n">
        <f aca="false">IF(CG$35&gt;=$AC$764,CG$35-$AC$764+1,0)</f>
        <v>0</v>
      </c>
      <c r="CH766" s="63" t="n">
        <f aca="false">IF(CH$35&gt;=$AC$764,CH$35-$AC$764+1,0)</f>
        <v>0</v>
      </c>
      <c r="CI766" s="63" t="n">
        <f aca="false">IF(CI$35&gt;=$AC$764,CI$35-$AC$764+1,0)</f>
        <v>0</v>
      </c>
      <c r="CJ766" s="63" t="n">
        <f aca="false">IF(CJ$35&gt;=$AC$764,CJ$35-$AC$764+1,0)</f>
        <v>0</v>
      </c>
      <c r="CK766" s="63" t="n">
        <f aca="false">IF(CK$35&gt;=$AC$764,CK$35-$AC$764+1,0)</f>
        <v>0</v>
      </c>
      <c r="CL766" s="63" t="n">
        <f aca="false">IF(CL$35&gt;=$AC$764,CL$35-$AC$764+1,0)</f>
        <v>0</v>
      </c>
      <c r="CM766" s="63" t="n">
        <f aca="false">IF(CM$35&gt;=$AC$764,CM$35-$AC$764+1,0)</f>
        <v>0</v>
      </c>
      <c r="CN766" s="63" t="n">
        <f aca="false">IF(CN$35&gt;=$AC$764,CN$35-$AC$764+1,0)</f>
        <v>0</v>
      </c>
      <c r="CO766" s="63" t="n">
        <f aca="false">IF(CO$35&gt;=$AC$764,CO$35-$AC$764+1,0)</f>
        <v>0</v>
      </c>
      <c r="CP766" s="63" t="n">
        <f aca="false">IF(CP$35&gt;=$AC$764,CP$35-$AC$764+1,0)</f>
        <v>0</v>
      </c>
      <c r="CQ766" s="63" t="n">
        <f aca="false">IF(CQ$35&gt;=$AC$764,CQ$35-$AC$764+1,0)</f>
        <v>0</v>
      </c>
      <c r="CR766" s="63" t="n">
        <f aca="false">IF(CR$35&gt;=$AC$764,CR$35-$AC$764+1,0)</f>
        <v>0</v>
      </c>
      <c r="CS766" s="63" t="n">
        <f aca="false">IF(CS$35&gt;=$AC$764,CS$35-$AC$764+1,0)</f>
        <v>0</v>
      </c>
      <c r="CT766" s="63" t="n">
        <f aca="false">IF(CT$35&gt;=$AC$764,CT$35-$AC$764+1,0)</f>
        <v>0</v>
      </c>
      <c r="CU766" s="63" t="n">
        <f aca="false">IF(CU$35&gt;=$AC$764,CU$35-$AC$764+1,0)</f>
        <v>0</v>
      </c>
      <c r="CV766" s="63" t="n">
        <f aca="false">IF(CV$35&gt;=$AC$764,CV$35-$AC$764+1,0)</f>
        <v>0</v>
      </c>
      <c r="CW766" s="63" t="n">
        <f aca="false">IF(CW$35&gt;=$AC$764,CW$35-$AC$764+1,0)</f>
        <v>0</v>
      </c>
      <c r="CX766" s="63" t="n">
        <f aca="false">IF(CX$35&gt;=$AC$764,CX$35-$AC$764+1,0)</f>
        <v>0</v>
      </c>
      <c r="CY766" s="63" t="n">
        <f aca="false">IF(CY$35&gt;=$AC$764,CY$35-$AC$764+1,0)</f>
        <v>0</v>
      </c>
      <c r="CZ766" s="63" t="n">
        <f aca="false">IF(CZ$35&gt;=$AC$764,CZ$35-$AC$764+1,0)</f>
        <v>0</v>
      </c>
      <c r="DA766" s="63" t="n">
        <f aca="false">IF(DA$35&gt;=$AC$764,DA$35-$AC$764+1,0)</f>
        <v>0</v>
      </c>
      <c r="DB766" s="63" t="n">
        <f aca="false">IF(DB$35&gt;=$AC$764,DB$35-$AC$764+1,0)</f>
        <v>0</v>
      </c>
      <c r="DC766" s="63" t="n">
        <f aca="false">IF(DC$35&gt;=$AC$764,DC$35-$AC$764+1,0)</f>
        <v>0</v>
      </c>
      <c r="DD766" s="63" t="n">
        <f aca="false">IF(DD$35&gt;=$AC$764,DD$35-$AC$764+1,0)</f>
        <v>0</v>
      </c>
      <c r="DE766" s="63" t="n">
        <f aca="false">IF(DE$35&gt;=$AC$764,DE$35-$AC$764+1,0)</f>
        <v>0</v>
      </c>
      <c r="DF766" s="63" t="n">
        <f aca="false">IF(DF$35&gt;=$AC$764,DF$35-$AC$764+1,0)</f>
        <v>0</v>
      </c>
      <c r="DG766" s="63" t="n">
        <f aca="false">IF(DG$35&gt;=$AC$764,DG$35-$AC$764+1,0)</f>
        <v>0</v>
      </c>
      <c r="DH766" s="63" t="n">
        <f aca="false">IF(DH$35&gt;=$AC$764,DH$35-$AC$764+1,0)</f>
        <v>0</v>
      </c>
      <c r="DI766" s="63" t="n">
        <f aca="false">IF(DI$35&gt;=$AC$764,DI$35-$AC$764+1,0)</f>
        <v>0</v>
      </c>
      <c r="DJ766" s="63" t="n">
        <f aca="false">IF(DJ$35&gt;=$AC$764,DJ$35-$AC$764+1,0)</f>
        <v>0</v>
      </c>
      <c r="DK766" s="63" t="n">
        <f aca="false">IF(DK$35&gt;=$AC$764,DK$35-$AC$764+1,0)</f>
        <v>0</v>
      </c>
      <c r="DL766" s="63" t="n">
        <f aca="false">IF(DL$35&gt;=$AC$764,DL$35-$AC$764+1,0)</f>
        <v>0</v>
      </c>
      <c r="DM766" s="63" t="n">
        <f aca="false">IF(DM$35&gt;=$AC$764,DM$35-$AC$764+1,0)</f>
        <v>0</v>
      </c>
      <c r="DN766" s="63" t="n">
        <f aca="false">IF(DN$35&gt;=$AC$764,DN$35-$AC$764+1,0)</f>
        <v>0</v>
      </c>
      <c r="DO766" s="63" t="n">
        <f aca="false">IF(DO$35&gt;=$AC$764,DO$35-$AC$764+1,0)</f>
        <v>0</v>
      </c>
      <c r="DP766" s="63" t="n">
        <f aca="false">IF(DP$35&gt;=$AC$764,DP$35-$AC$764+1,0)</f>
        <v>0</v>
      </c>
      <c r="DQ766" s="63" t="n">
        <f aca="false">IF(DQ$35&gt;=$AC$764,DQ$35-$AC$764+1,0)</f>
        <v>0</v>
      </c>
      <c r="DR766" s="63" t="n">
        <f aca="false">IF(DR$35&gt;=$AC$764,DR$35-$AC$764+1,0)</f>
        <v>0</v>
      </c>
      <c r="DS766" s="63" t="n">
        <f aca="false">IF(DS$35&gt;=$AC$764,DS$35-$AC$764+1,0)</f>
        <v>0</v>
      </c>
      <c r="DT766" s="63" t="n">
        <f aca="false">IF(DT$35&gt;=$AC$764,DT$35-$AC$764+1,0)</f>
        <v>0</v>
      </c>
      <c r="DU766" s="63" t="n">
        <f aca="false">IF(DU$35&gt;=$AC$764,DU$35-$AC$764+1,0)</f>
        <v>0</v>
      </c>
      <c r="DV766" s="63" t="n">
        <f aca="false">IF(DV$35&gt;=$AC$764,DV$35-$AC$764+1,0)</f>
        <v>0</v>
      </c>
      <c r="DW766" s="63" t="n">
        <f aca="false">IF(DW$35&gt;=$AC$764,DW$35-$AC$764+1,0)</f>
        <v>0</v>
      </c>
      <c r="DX766" s="63" t="n">
        <f aca="false">IF(DX$35&gt;=$AC$764,DX$35-$AC$764+1,0)</f>
        <v>0</v>
      </c>
      <c r="DY766" s="63" t="n">
        <f aca="false">IF(DY$35&gt;=$AC$764,DY$35-$AC$764+1,0)</f>
        <v>0</v>
      </c>
      <c r="DZ766" s="63" t="n">
        <f aca="false">IF(DZ$35&gt;=$AC$764,DZ$35-$AC$764+1,0)</f>
        <v>0</v>
      </c>
      <c r="EA766" s="63" t="n">
        <f aca="false">IF(EA$35&gt;=$AC$764,EA$35-$AC$764+1,0)</f>
        <v>0</v>
      </c>
      <c r="EB766" s="63" t="n">
        <f aca="false">IF(EB$35&gt;=$AC$764,EB$35-$AC$764+1,0)</f>
        <v>0</v>
      </c>
      <c r="EC766" s="63" t="n">
        <f aca="false">IF(EC$35&gt;=$AC$764,EC$35-$AC$764+1,0)</f>
        <v>0</v>
      </c>
      <c r="ED766" s="63" t="n">
        <f aca="false">IF(ED$35&gt;=$AC$764,ED$35-$AC$764+1,0)</f>
        <v>0</v>
      </c>
      <c r="EE766" s="63" t="n">
        <f aca="false">IF(EE$35&gt;=$AC$764,EE$35-$AC$764+1,0)</f>
        <v>0</v>
      </c>
      <c r="EF766" s="63" t="n">
        <f aca="false">IF(EF$35&gt;=$AC$764,EF$35-$AC$764+1,0)</f>
        <v>0</v>
      </c>
      <c r="EG766" s="63" t="n">
        <f aca="false">IF(EG$35&gt;=$AC$764,EG$35-$AC$764+1,0)</f>
        <v>0</v>
      </c>
      <c r="EH766" s="63" t="n">
        <f aca="false">IF(EH$35&gt;=$AC$764,EH$35-$AC$764+1,0)</f>
        <v>0</v>
      </c>
      <c r="EI766" s="63" t="n">
        <f aca="false">IF(EI$35&gt;=$AC$764,EI$35-$AC$764+1,0)</f>
        <v>0</v>
      </c>
      <c r="EJ766" s="63" t="n">
        <f aca="false">IF(EJ$35&gt;=$AC$764,EJ$35-$AC$764+1,0)</f>
        <v>0</v>
      </c>
      <c r="EK766" s="63" t="n">
        <f aca="false">IF(EK$35&gt;=$AC$764,EK$35-$AC$764+1,0)</f>
        <v>0</v>
      </c>
      <c r="EL766" s="63" t="n">
        <f aca="false">IF(EL$35&gt;=$AC$764,EL$35-$AC$764+1,0)</f>
        <v>0</v>
      </c>
      <c r="EM766" s="63" t="n">
        <f aca="false">IF(EM$35&gt;=$AC$764,EM$35-$AC$764+1,0)</f>
        <v>0</v>
      </c>
      <c r="EN766" s="63" t="n">
        <f aca="false">IF(EN$35&gt;=$AC$764,EN$35-$AC$764+1,0)</f>
        <v>0</v>
      </c>
      <c r="EO766" s="63" t="n">
        <f aca="false">IF(EO$35&gt;=$AC$764,EO$35-$AC$764+1,0)</f>
        <v>0</v>
      </c>
      <c r="EP766" s="63" t="n">
        <f aca="false">IF(EP$35&gt;=$AC$764,EP$35-$AC$764+1,0)</f>
        <v>0</v>
      </c>
      <c r="EQ766" s="63" t="n">
        <f aca="false">IF(EQ$35&gt;=$AC$764,EQ$35-$AC$764+1,0)</f>
        <v>0</v>
      </c>
      <c r="ER766" s="63" t="n">
        <f aca="false">IF(ER$35&gt;=$AC$764,ER$35-$AC$764+1,0)</f>
        <v>0</v>
      </c>
      <c r="ES766" s="9" t="n">
        <f aca="false">IF(ES$35&gt;=$AC$764,ES$35-$AC$764+1,0)</f>
        <v>0</v>
      </c>
      <c r="ET766" s="9" t="n">
        <f aca="false">IF(ET$35&gt;=$AC$764,ET$35-$AC$764+1,0)</f>
        <v>0</v>
      </c>
      <c r="EU766" s="9" t="n">
        <f aca="false">IF(EU$35&gt;=$AC$764,EU$35-$AC$764+1,0)</f>
        <v>0</v>
      </c>
      <c r="EV766" s="9" t="n">
        <f aca="false">IF(EV$35&gt;=$AC$764,EV$35-$AC$764+1,0)</f>
        <v>0</v>
      </c>
      <c r="EW766" s="9" t="n">
        <f aca="false">IF(EW$35&gt;=$AC$764,EW$35-$AC$764+1,0)</f>
        <v>0</v>
      </c>
      <c r="EX766" s="9" t="n">
        <f aca="false">IF(EX$35&gt;=$AC$764,EX$35-$AC$764+1,0)</f>
        <v>0</v>
      </c>
      <c r="EY766" s="9" t="n">
        <f aca="false">IF(EY$35&gt;=$AC$764,EY$35-$AC$764+1,0)</f>
        <v>0</v>
      </c>
      <c r="EZ766" s="9" t="n">
        <f aca="false">IF(EZ$35&gt;=$AC$764,EZ$35-$AC$764+1,0)</f>
        <v>0</v>
      </c>
      <c r="FA766" s="9" t="n">
        <f aca="false">IF(FA$35&gt;=$AC$764,FA$35-$AC$764+1,0)</f>
        <v>1</v>
      </c>
      <c r="FB766" s="9" t="n">
        <f aca="false">IF(FB$35&gt;=$AC$764,FB$35-$AC$764+1,0)</f>
        <v>2</v>
      </c>
      <c r="FC766" s="9" t="n">
        <f aca="false">IF(FC$35&gt;=$AC$764,FC$35-$AC$764+1,0)</f>
        <v>3</v>
      </c>
      <c r="FD766" s="9" t="n">
        <f aca="false">IF(FD$35&gt;=$AC$764,FD$35-$AC$764+1,0)</f>
        <v>4</v>
      </c>
      <c r="FE766" s="9" t="n">
        <f aca="false">IF(FE$35&gt;=$AC$764,FE$35-$AC$764+1,0)</f>
        <v>5</v>
      </c>
      <c r="FF766" s="9" t="n">
        <f aca="false">IF(FF$35&gt;=$AC$764,FF$35-$AC$764+1,0)</f>
        <v>6</v>
      </c>
      <c r="FG766" s="9" t="n">
        <f aca="false">IF(FG$35&gt;=$AC$764,FG$35-$AC$764+1,0)</f>
        <v>7</v>
      </c>
      <c r="FH766" s="9" t="n">
        <f aca="false">IF(FH$35&gt;=$AC$764,FH$35-$AC$764+1,0)</f>
        <v>8</v>
      </c>
      <c r="FI766" s="9" t="n">
        <f aca="false">IF(FI$35&gt;=$AC$764,FI$35-$AC$764+1,0)</f>
        <v>9</v>
      </c>
      <c r="FJ766" s="9" t="n">
        <f aca="false">IF(FJ$35&gt;=$AC$764,FJ$35-$AC$764+1,0)</f>
        <v>10</v>
      </c>
      <c r="FK766" s="9" t="n">
        <f aca="false">IF(FK$35&gt;=$AC$764,FK$35-$AC$764+1,0)</f>
        <v>11</v>
      </c>
      <c r="FL766" s="9" t="n">
        <f aca="false">IF(FL$35&gt;=$AC$764,FL$35-$AC$764+1,0)</f>
        <v>12</v>
      </c>
      <c r="FM766" s="9" t="n">
        <f aca="false">IF(FM$35&gt;=$AC$764,FM$35-$AC$764+1,0)</f>
        <v>13</v>
      </c>
      <c r="FN766" s="9" t="n">
        <f aca="false">IF(FN$35&gt;=$AC$764,FN$35-$AC$764+1,0)</f>
        <v>14</v>
      </c>
      <c r="FO766" s="9" t="n">
        <f aca="false">IF(FO$35&gt;=$AC$764,FO$35-$AC$764+1,0)</f>
        <v>15</v>
      </c>
      <c r="FP766" s="9" t="n">
        <f aca="false">IF(FP$35&gt;=$AC$764,FP$35-$AC$764+1,0)</f>
        <v>16</v>
      </c>
    </row>
    <row r="767" customFormat="false" ht="15" hidden="false" customHeight="false" outlineLevel="2" collapsed="false">
      <c r="B767" s="9" t="s">
        <v>874</v>
      </c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236" t="n">
        <f aca="false" t="array" ref="AC767:AC767">IF(AC766=0,0,IF(AC766/'🎚️ Escenario'!$C$11&gt;=36,$AL$23,INDEX($C$23:$AL$23,MAX(1,ROUNDUP(AC766/'🎚️ Escenario'!$C$11,0)))))</f>
        <v>0</v>
      </c>
      <c r="AD767" s="236" t="n">
        <f aca="false" t="array" ref="AD767:AD767">IF(AD766=0,0,IF(AD766/'🎚️ Escenario'!$C$11&gt;=36,$AL$23,INDEX($C$23:$AL$23,MAX(1,ROUNDUP(AD766/'🎚️ Escenario'!$C$11,0)))))</f>
        <v>0</v>
      </c>
      <c r="AE767" s="236" t="n">
        <f aca="false" t="array" ref="AE767:AE767">IF(AE766=0,0,IF(AE766/'🎚️ Escenario'!$C$11&gt;=36,$AL$23,INDEX($C$23:$AL$23,MAX(1,ROUNDUP(AE766/'🎚️ Escenario'!$C$11,0)))))</f>
        <v>0</v>
      </c>
      <c r="AF767" s="236" t="n">
        <f aca="false" t="array" ref="AF767:AF767">IF(AF766=0,0,IF(AF766/'🎚️ Escenario'!$C$11&gt;=36,$AL$23,INDEX($C$23:$AL$23,MAX(1,ROUNDUP(AF766/'🎚️ Escenario'!$C$11,0)))))</f>
        <v>0</v>
      </c>
      <c r="AG767" s="236" t="n">
        <f aca="false" t="array" ref="AG767:AG767">IF(AG766=0,0,IF(AG766/'🎚️ Escenario'!$C$11&gt;=36,$AL$23,INDEX($C$23:$AL$23,MAX(1,ROUNDUP(AG766/'🎚️ Escenario'!$C$11,0)))))</f>
        <v>0</v>
      </c>
      <c r="AH767" s="236" t="n">
        <f aca="false" t="array" ref="AH767:AH767">IF(AH766=0,0,IF(AH766/'🎚️ Escenario'!$C$11&gt;=36,$AL$23,INDEX($C$23:$AL$23,MAX(1,ROUNDUP(AH766/'🎚️ Escenario'!$C$11,0)))))</f>
        <v>0</v>
      </c>
      <c r="AI767" s="236" t="n">
        <f aca="false" t="array" ref="AI767:AI767">IF(AI766=0,0,IF(AI766/'🎚️ Escenario'!$C$11&gt;=36,$AL$23,INDEX($C$23:$AL$23,MAX(1,ROUNDUP(AI766/'🎚️ Escenario'!$C$11,0)))))</f>
        <v>0</v>
      </c>
      <c r="AJ767" s="236" t="n">
        <f aca="false" t="array" ref="AJ767:AJ767">IF(AJ766=0,0,IF(AJ766/'🎚️ Escenario'!$C$11&gt;=36,$AL$23,INDEX($C$23:$AL$23,MAX(1,ROUNDUP(AJ766/'🎚️ Escenario'!$C$11,0)))))</f>
        <v>0</v>
      </c>
      <c r="AK767" s="236" t="n">
        <f aca="false" t="array" ref="AK767:AK767">IF(AK766=0,0,IF(AK766/'🎚️ Escenario'!$C$11&gt;=36,$AL$23,INDEX($C$23:$AL$23,MAX(1,ROUNDUP(AK766/'🎚️ Escenario'!$C$11,0)))))</f>
        <v>0</v>
      </c>
      <c r="AL767" s="236" t="n">
        <f aca="false" t="array" ref="AL767:AL767">IF(AL766=0,0,IF(AL766/'🎚️ Escenario'!$C$11&gt;=36,$AL$23,INDEX($C$23:$AL$23,MAX(1,ROUNDUP(AL766/'🎚️ Escenario'!$C$11,0)))))</f>
        <v>0</v>
      </c>
      <c r="AM767" s="236" t="n">
        <f aca="false" t="array" ref="AM767:AM767">IF(AM766=0,0,IF(AM766/'🎚️ Escenario'!$C$11&gt;=36,$AL$23,INDEX($C$23:$AL$23,MAX(1,ROUNDUP(AM766/'🎚️ Escenario'!$C$11,0)))))</f>
        <v>0</v>
      </c>
      <c r="AN767" s="236" t="n">
        <f aca="false" t="array" ref="AN767:AN767">IF(AN766=0,0,IF(AN766/'🎚️ Escenario'!$C$11&gt;=36,$AL$23,INDEX($C$23:$AL$23,MAX(1,ROUNDUP(AN766/'🎚️ Escenario'!$C$11,0)))))</f>
        <v>0</v>
      </c>
      <c r="AO767" s="236" t="n">
        <f aca="false" t="array" ref="AO767:AO767">IF(AO766=0,0,IF(AO766/'🎚️ Escenario'!$C$11&gt;=36,$AL$23,INDEX($C$23:$AL$23,MAX(1,ROUNDUP(AO766/'🎚️ Escenario'!$C$11,0)))))</f>
        <v>0</v>
      </c>
      <c r="AP767" s="236" t="n">
        <f aca="false" t="array" ref="AP767:AP767">IF(AP766=0,0,IF(AP766/'🎚️ Escenario'!$C$11&gt;=36,$AL$23,INDEX($C$23:$AL$23,MAX(1,ROUNDUP(AP766/'🎚️ Escenario'!$C$11,0)))))</f>
        <v>0</v>
      </c>
      <c r="AQ767" s="236" t="n">
        <f aca="false" t="array" ref="AQ767:AQ767">IF(AQ766=0,0,IF(AQ766/'🎚️ Escenario'!$C$11&gt;=36,$AL$23,INDEX($C$23:$AL$23,MAX(1,ROUNDUP(AQ766/'🎚️ Escenario'!$C$11,0)))))</f>
        <v>0</v>
      </c>
      <c r="AR767" s="236" t="n">
        <f aca="false" t="array" ref="AR767:AR767">IF(AR766=0,0,IF(AR766/'🎚️ Escenario'!$C$11&gt;=36,$AL$23,INDEX($C$23:$AL$23,MAX(1,ROUNDUP(AR766/'🎚️ Escenario'!$C$11,0)))))</f>
        <v>0</v>
      </c>
      <c r="AS767" s="236" t="n">
        <f aca="false" t="array" ref="AS767:AS767">IF(AS766=0,0,IF(AS766/'🎚️ Escenario'!$C$11&gt;=36,$AL$23,INDEX($C$23:$AL$23,MAX(1,ROUNDUP(AS766/'🎚️ Escenario'!$C$11,0)))))</f>
        <v>0</v>
      </c>
      <c r="AT767" s="236" t="n">
        <f aca="false" t="array" ref="AT767:AT767">IF(AT766=0,0,IF(AT766/'🎚️ Escenario'!$C$11&gt;=36,$AL$23,INDEX($C$23:$AL$23,MAX(1,ROUNDUP(AT766/'🎚️ Escenario'!$C$11,0)))))</f>
        <v>0</v>
      </c>
      <c r="AU767" s="236" t="n">
        <f aca="false" t="array" ref="AU767:AU767">IF(AU766=0,0,IF(AU766/'🎚️ Escenario'!$C$11&gt;=36,$AL$23,INDEX($C$23:$AL$23,MAX(1,ROUNDUP(AU766/'🎚️ Escenario'!$C$11,0)))))</f>
        <v>0</v>
      </c>
      <c r="AV767" s="236" t="n">
        <f aca="false" t="array" ref="AV767:AV767">IF(AV766=0,0,IF(AV766/'🎚️ Escenario'!$C$11&gt;=36,$AL$23,INDEX($C$23:$AL$23,MAX(1,ROUNDUP(AV766/'🎚️ Escenario'!$C$11,0)))))</f>
        <v>0</v>
      </c>
      <c r="AW767" s="236" t="n">
        <f aca="false" t="array" ref="AW767:AW767">IF(AW766=0,0,IF(AW766/'🎚️ Escenario'!$C$11&gt;=36,$AL$23,INDEX($C$23:$AL$23,MAX(1,ROUNDUP(AW766/'🎚️ Escenario'!$C$11,0)))))</f>
        <v>0</v>
      </c>
      <c r="AX767" s="236" t="n">
        <f aca="false" t="array" ref="AX767:AX767">IF(AX766=0,0,IF(AX766/'🎚️ Escenario'!$C$11&gt;=36,$AL$23,INDEX($C$23:$AL$23,MAX(1,ROUNDUP(AX766/'🎚️ Escenario'!$C$11,0)))))</f>
        <v>0</v>
      </c>
      <c r="AY767" s="236" t="n">
        <f aca="false" t="array" ref="AY767:AY767">IF(AY766=0,0,IF(AY766/'🎚️ Escenario'!$C$11&gt;=36,$AL$23,INDEX($C$23:$AL$23,MAX(1,ROUNDUP(AY766/'🎚️ Escenario'!$C$11,0)))))</f>
        <v>0</v>
      </c>
      <c r="AZ767" s="236" t="n">
        <f aca="false" t="array" ref="AZ767:AZ767">IF(AZ766=0,0,IF(AZ766/'🎚️ Escenario'!$C$11&gt;=36,$AL$23,INDEX($C$23:$AL$23,MAX(1,ROUNDUP(AZ766/'🎚️ Escenario'!$C$11,0)))))</f>
        <v>0</v>
      </c>
      <c r="BA767" s="236" t="n">
        <f aca="false" t="array" ref="BA767:BA767">IF(BA766=0,0,IF(BA766/'🎚️ Escenario'!$C$11&gt;=36,$AL$23,INDEX($C$23:$AL$23,MAX(1,ROUNDUP(BA766/'🎚️ Escenario'!$C$11,0)))))</f>
        <v>0</v>
      </c>
      <c r="BB767" s="236" t="n">
        <f aca="false" t="array" ref="BB767:BB767">IF(BB766=0,0,IF(BB766/'🎚️ Escenario'!$C$11&gt;=36,$AL$23,INDEX($C$23:$AL$23,MAX(1,ROUNDUP(BB766/'🎚️ Escenario'!$C$11,0)))))</f>
        <v>0</v>
      </c>
      <c r="BC767" s="236" t="n">
        <f aca="false" t="array" ref="BC767:BC767">IF(BC766=0,0,IF(BC766/'🎚️ Escenario'!$C$11&gt;=36,$AL$23,INDEX($C$23:$AL$23,MAX(1,ROUNDUP(BC766/'🎚️ Escenario'!$C$11,0)))))</f>
        <v>0</v>
      </c>
      <c r="BD767" s="236" t="n">
        <f aca="false" t="array" ref="BD767:BD767">IF(BD766=0,0,IF(BD766/'🎚️ Escenario'!$C$11&gt;=36,$AL$23,INDEX($C$23:$AL$23,MAX(1,ROUNDUP(BD766/'🎚️ Escenario'!$C$11,0)))))</f>
        <v>0</v>
      </c>
      <c r="BE767" s="236" t="n">
        <f aca="false" t="array" ref="BE767:BE767">IF(BE766=0,0,IF(BE766/'🎚️ Escenario'!$C$11&gt;=36,$AL$23,INDEX($C$23:$AL$23,MAX(1,ROUNDUP(BE766/'🎚️ Escenario'!$C$11,0)))))</f>
        <v>0</v>
      </c>
      <c r="BF767" s="236" t="n">
        <f aca="false" t="array" ref="BF767:BF767">IF(BF766=0,0,IF(BF766/'🎚️ Escenario'!$C$11&gt;=36,$AL$23,INDEX($C$23:$AL$23,MAX(1,ROUNDUP(BF766/'🎚️ Escenario'!$C$11,0)))))</f>
        <v>0</v>
      </c>
      <c r="BG767" s="236" t="n">
        <f aca="false" t="array" ref="BG767:BG767">IF(BG766=0,0,IF(BG766/'🎚️ Escenario'!$C$11&gt;=36,$AL$23,INDEX($C$23:$AL$23,MAX(1,ROUNDUP(BG766/'🎚️ Escenario'!$C$11,0)))))</f>
        <v>0</v>
      </c>
      <c r="BH767" s="236" t="n">
        <f aca="false" t="array" ref="BH767:BH767">IF(BH766=0,0,IF(BH766/'🎚️ Escenario'!$C$11&gt;=36,$AL$23,INDEX($C$23:$AL$23,MAX(1,ROUNDUP(BH766/'🎚️ Escenario'!$C$11,0)))))</f>
        <v>0</v>
      </c>
      <c r="BI767" s="236" t="n">
        <f aca="false" t="array" ref="BI767:BI767">IF(BI766=0,0,IF(BI766/'🎚️ Escenario'!$C$11&gt;=36,$AL$23,INDEX($C$23:$AL$23,MAX(1,ROUNDUP(BI766/'🎚️ Escenario'!$C$11,0)))))</f>
        <v>0</v>
      </c>
      <c r="BJ767" s="236" t="n">
        <f aca="false" t="array" ref="BJ767:BJ767">IF(BJ766=0,0,IF(BJ766/'🎚️ Escenario'!$C$11&gt;=36,$AL$23,INDEX($C$23:$AL$23,MAX(1,ROUNDUP(BJ766/'🎚️ Escenario'!$C$11,0)))))</f>
        <v>0</v>
      </c>
      <c r="BK767" s="236" t="n">
        <f aca="false" t="array" ref="BK767:BK767">IF(BK766=0,0,IF(BK766/'🎚️ Escenario'!$C$11&gt;=36,$AL$23,INDEX($C$23:$AL$23,MAX(1,ROUNDUP(BK766/'🎚️ Escenario'!$C$11,0)))))</f>
        <v>0</v>
      </c>
      <c r="BL767" s="236" t="n">
        <f aca="false" t="array" ref="BL767:BL767">IF(BL766=0,0,IF(BL766/'🎚️ Escenario'!$C$11&gt;=36,$AL$23,INDEX($C$23:$AL$23,MAX(1,ROUNDUP(BL766/'🎚️ Escenario'!$C$11,0)))))</f>
        <v>0</v>
      </c>
      <c r="BM767" s="236" t="n">
        <f aca="false" t="array" ref="BM767:BM767">IF(BM766=0,0,IF(BM766/'🎚️ Escenario'!$C$11&gt;=36,$AL$23,INDEX($C$23:$AL$23,MAX(1,ROUNDUP(BM766/'🎚️ Escenario'!$C$11,0)))))</f>
        <v>0</v>
      </c>
      <c r="BN767" s="236" t="n">
        <f aca="false" t="array" ref="BN767:BN767">IF(BN766=0,0,IF(BN766/'🎚️ Escenario'!$C$11&gt;=36,$AL$23,INDEX($C$23:$AL$23,MAX(1,ROUNDUP(BN766/'🎚️ Escenario'!$C$11,0)))))</f>
        <v>0</v>
      </c>
      <c r="BO767" s="236" t="n">
        <f aca="false" t="array" ref="BO767:BO767">IF(BO766=0,0,IF(BO766/'🎚️ Escenario'!$C$11&gt;=36,$AL$23,INDEX($C$23:$AL$23,MAX(1,ROUNDUP(BO766/'🎚️ Escenario'!$C$11,0)))))</f>
        <v>0</v>
      </c>
      <c r="BP767" s="236" t="n">
        <f aca="false" t="array" ref="BP767:BP767">IF(BP766=0,0,IF(BP766/'🎚️ Escenario'!$C$11&gt;=36,$AL$23,INDEX($C$23:$AL$23,MAX(1,ROUNDUP(BP766/'🎚️ Escenario'!$C$11,0)))))</f>
        <v>0</v>
      </c>
      <c r="BQ767" s="236" t="n">
        <f aca="false" t="array" ref="BQ767:BQ767">IF(BQ766=0,0,IF(BQ766/'🎚️ Escenario'!$C$11&gt;=36,$AL$23,INDEX($C$23:$AL$23,MAX(1,ROUNDUP(BQ766/'🎚️ Escenario'!$C$11,0)))))</f>
        <v>0</v>
      </c>
      <c r="BR767" s="236" t="n">
        <f aca="false" t="array" ref="BR767:BR767">IF(BR766=0,0,IF(BR766/'🎚️ Escenario'!$C$11&gt;=36,$AL$23,INDEX($C$23:$AL$23,MAX(1,ROUNDUP(BR766/'🎚️ Escenario'!$C$11,0)))))</f>
        <v>0</v>
      </c>
      <c r="BS767" s="236" t="n">
        <f aca="false" t="array" ref="BS767:BS767">IF(BS766=0,0,IF(BS766/'🎚️ Escenario'!$C$11&gt;=36,$AL$23,INDEX($C$23:$AL$23,MAX(1,ROUNDUP(BS766/'🎚️ Escenario'!$C$11,0)))))</f>
        <v>0</v>
      </c>
      <c r="BT767" s="236" t="n">
        <f aca="false" t="array" ref="BT767:BT767">IF(BT766=0,0,IF(BT766/'🎚️ Escenario'!$C$11&gt;=36,$AL$23,INDEX($C$23:$AL$23,MAX(1,ROUNDUP(BT766/'🎚️ Escenario'!$C$11,0)))))</f>
        <v>0</v>
      </c>
      <c r="BU767" s="236" t="n">
        <f aca="false" t="array" ref="BU767:BU767">IF(BU766=0,0,IF(BU766/'🎚️ Escenario'!$C$11&gt;=36,$AL$23,INDEX($C$23:$AL$23,MAX(1,ROUNDUP(BU766/'🎚️ Escenario'!$C$11,0)))))</f>
        <v>0</v>
      </c>
      <c r="BV767" s="236" t="n">
        <f aca="false" t="array" ref="BV767:BV767">IF(BV766=0,0,IF(BV766/'🎚️ Escenario'!$C$11&gt;=36,$AL$23,INDEX($C$23:$AL$23,MAX(1,ROUNDUP(BV766/'🎚️ Escenario'!$C$11,0)))))</f>
        <v>0</v>
      </c>
      <c r="BW767" s="236" t="n">
        <f aca="false" t="array" ref="BW767:BW767">IF(BW766=0,0,IF(BW766/'🎚️ Escenario'!$C$11&gt;=36,$AL$23,INDEX($C$23:$AL$23,MAX(1,ROUNDUP(BW766/'🎚️ Escenario'!$C$11,0)))))</f>
        <v>0</v>
      </c>
      <c r="BX767" s="236" t="n">
        <f aca="false" t="array" ref="BX767:BX767">IF(BX766=0,0,IF(BX766/'🎚️ Escenario'!$C$11&gt;=36,$AL$23,INDEX($C$23:$AL$23,MAX(1,ROUNDUP(BX766/'🎚️ Escenario'!$C$11,0)))))</f>
        <v>0</v>
      </c>
      <c r="BY767" s="236" t="n">
        <f aca="false" t="array" ref="BY767:BY767">IF(BY766=0,0,IF(BY766/'🎚️ Escenario'!$C$11&gt;=36,$AL$23,INDEX($C$23:$AL$23,MAX(1,ROUNDUP(BY766/'🎚️ Escenario'!$C$11,0)))))</f>
        <v>0</v>
      </c>
      <c r="BZ767" s="236" t="n">
        <f aca="false" t="array" ref="BZ767:BZ767">IF(BZ766=0,0,IF(BZ766/'🎚️ Escenario'!$C$11&gt;=36,$AL$23,INDEX($C$23:$AL$23,MAX(1,ROUNDUP(BZ766/'🎚️ Escenario'!$C$11,0)))))</f>
        <v>0</v>
      </c>
      <c r="CA767" s="236" t="n">
        <f aca="false" t="array" ref="CA767:CA767">IF(CA766=0,0,IF(CA766/'🎚️ Escenario'!$C$11&gt;=36,$AL$23,INDEX($C$23:$AL$23,MAX(1,ROUNDUP(CA766/'🎚️ Escenario'!$C$11,0)))))</f>
        <v>0</v>
      </c>
      <c r="CB767" s="236" t="n">
        <f aca="false" t="array" ref="CB767:CB767">IF(CB766=0,0,IF(CB766/'🎚️ Escenario'!$C$11&gt;=36,$AL$23,INDEX($C$23:$AL$23,MAX(1,ROUNDUP(CB766/'🎚️ Escenario'!$C$11,0)))))</f>
        <v>0</v>
      </c>
      <c r="CC767" s="236" t="n">
        <f aca="false" t="array" ref="CC767:CC767">IF(CC766=0,0,IF(CC766/'🎚️ Escenario'!$C$11&gt;=36,$AL$23,INDEX($C$23:$AL$23,MAX(1,ROUNDUP(CC766/'🎚️ Escenario'!$C$11,0)))))</f>
        <v>0</v>
      </c>
      <c r="CD767" s="236" t="n">
        <f aca="false" t="array" ref="CD767:CD767">IF(CD766=0,0,IF(CD766/'🎚️ Escenario'!$C$11&gt;=36,$AL$23,INDEX($C$23:$AL$23,MAX(1,ROUNDUP(CD766/'🎚️ Escenario'!$C$11,0)))))</f>
        <v>0</v>
      </c>
      <c r="CE767" s="236" t="n">
        <f aca="false" t="array" ref="CE767:CE767">IF(CE766=0,0,IF(CE766/'🎚️ Escenario'!$C$11&gt;=36,$AL$23,INDEX($C$23:$AL$23,MAX(1,ROUNDUP(CE766/'🎚️ Escenario'!$C$11,0)))))</f>
        <v>0</v>
      </c>
      <c r="CF767" s="236" t="n">
        <f aca="false" t="array" ref="CF767:CF767">IF(CF766=0,0,IF(CF766/'🎚️ Escenario'!$C$11&gt;=36,$AL$23,INDEX($C$23:$AL$23,MAX(1,ROUNDUP(CF766/'🎚️ Escenario'!$C$11,0)))))</f>
        <v>0</v>
      </c>
      <c r="CG767" s="236" t="n">
        <f aca="false" t="array" ref="CG767:CG767">IF(CG766=0,0,IF(CG766/'🎚️ Escenario'!$C$11&gt;=36,$AL$23,INDEX($C$23:$AL$23,MAX(1,ROUNDUP(CG766/'🎚️ Escenario'!$C$11,0)))))</f>
        <v>0</v>
      </c>
      <c r="CH767" s="236" t="n">
        <f aca="false" t="array" ref="CH767:CH767">IF(CH766=0,0,IF(CH766/'🎚️ Escenario'!$C$11&gt;=36,$AL$23,INDEX($C$23:$AL$23,MAX(1,ROUNDUP(CH766/'🎚️ Escenario'!$C$11,0)))))</f>
        <v>0</v>
      </c>
      <c r="CI767" s="236" t="n">
        <f aca="false" t="array" ref="CI767:CI767">IF(CI766=0,0,IF(CI766/'🎚️ Escenario'!$C$11&gt;=36,$AL$23,INDEX($C$23:$AL$23,MAX(1,ROUNDUP(CI766/'🎚️ Escenario'!$C$11,0)))))</f>
        <v>0</v>
      </c>
      <c r="CJ767" s="236" t="n">
        <f aca="false" t="array" ref="CJ767:CJ767">IF(CJ766=0,0,IF(CJ766/'🎚️ Escenario'!$C$11&gt;=36,$AL$23,INDEX($C$23:$AL$23,MAX(1,ROUNDUP(CJ766/'🎚️ Escenario'!$C$11,0)))))</f>
        <v>0</v>
      </c>
      <c r="CK767" s="236" t="n">
        <f aca="false" t="array" ref="CK767:CK767">IF(CK766=0,0,IF(CK766/'🎚️ Escenario'!$C$11&gt;=36,$AL$23,INDEX($C$23:$AL$23,MAX(1,ROUNDUP(CK766/'🎚️ Escenario'!$C$11,0)))))</f>
        <v>0</v>
      </c>
      <c r="CL767" s="236" t="n">
        <f aca="false" t="array" ref="CL767:CL767">IF(CL766=0,0,IF(CL766/'🎚️ Escenario'!$C$11&gt;=36,$AL$23,INDEX($C$23:$AL$23,MAX(1,ROUNDUP(CL766/'🎚️ Escenario'!$C$11,0)))))</f>
        <v>0</v>
      </c>
      <c r="CM767" s="236" t="n">
        <f aca="false" t="array" ref="CM767:CM767">IF(CM766=0,0,IF(CM766/'🎚️ Escenario'!$C$11&gt;=36,$AL$23,INDEX($C$23:$AL$23,MAX(1,ROUNDUP(CM766/'🎚️ Escenario'!$C$11,0)))))</f>
        <v>0</v>
      </c>
      <c r="CN767" s="236" t="n">
        <f aca="false" t="array" ref="CN767:CN767">IF(CN766=0,0,IF(CN766/'🎚️ Escenario'!$C$11&gt;=36,$AL$23,INDEX($C$23:$AL$23,MAX(1,ROUNDUP(CN766/'🎚️ Escenario'!$C$11,0)))))</f>
        <v>0</v>
      </c>
      <c r="CO767" s="236" t="n">
        <f aca="false" t="array" ref="CO767:CO767">IF(CO766=0,0,IF(CO766/'🎚️ Escenario'!$C$11&gt;=36,$AL$23,INDEX($C$23:$AL$23,MAX(1,ROUNDUP(CO766/'🎚️ Escenario'!$C$11,0)))))</f>
        <v>0</v>
      </c>
      <c r="CP767" s="236" t="n">
        <f aca="false" t="array" ref="CP767:CP767">IF(CP766=0,0,IF(CP766/'🎚️ Escenario'!$C$11&gt;=36,$AL$23,INDEX($C$23:$AL$23,MAX(1,ROUNDUP(CP766/'🎚️ Escenario'!$C$11,0)))))</f>
        <v>0</v>
      </c>
      <c r="CQ767" s="236" t="n">
        <f aca="false" t="array" ref="CQ767:CQ767">IF(CQ766=0,0,IF(CQ766/'🎚️ Escenario'!$C$11&gt;=36,$AL$23,INDEX($C$23:$AL$23,MAX(1,ROUNDUP(CQ766/'🎚️ Escenario'!$C$11,0)))))</f>
        <v>0</v>
      </c>
      <c r="CR767" s="236" t="n">
        <f aca="false" t="array" ref="CR767:CR767">IF(CR766=0,0,IF(CR766/'🎚️ Escenario'!$C$11&gt;=36,$AL$23,INDEX($C$23:$AL$23,MAX(1,ROUNDUP(CR766/'🎚️ Escenario'!$C$11,0)))))</f>
        <v>0</v>
      </c>
      <c r="CS767" s="236" t="n">
        <f aca="false" t="array" ref="CS767:CS767">IF(CS766=0,0,IF(CS766/'🎚️ Escenario'!$C$11&gt;=36,$AL$23,INDEX($C$23:$AL$23,MAX(1,ROUNDUP(CS766/'🎚️ Escenario'!$C$11,0)))))</f>
        <v>0</v>
      </c>
      <c r="CT767" s="236" t="n">
        <f aca="false" t="array" ref="CT767:CT767">IF(CT766=0,0,IF(CT766/'🎚️ Escenario'!$C$11&gt;=36,$AL$23,INDEX($C$23:$AL$23,MAX(1,ROUNDUP(CT766/'🎚️ Escenario'!$C$11,0)))))</f>
        <v>0</v>
      </c>
      <c r="CU767" s="236" t="n">
        <f aca="false" t="array" ref="CU767:CU767">IF(CU766=0,0,IF(CU766/'🎚️ Escenario'!$C$11&gt;=36,$AL$23,INDEX($C$23:$AL$23,MAX(1,ROUNDUP(CU766/'🎚️ Escenario'!$C$11,0)))))</f>
        <v>0</v>
      </c>
      <c r="CV767" s="236" t="n">
        <f aca="false" t="array" ref="CV767:CV767">IF(CV766=0,0,IF(CV766/'🎚️ Escenario'!$C$11&gt;=36,$AL$23,INDEX($C$23:$AL$23,MAX(1,ROUNDUP(CV766/'🎚️ Escenario'!$C$11,0)))))</f>
        <v>0</v>
      </c>
      <c r="CW767" s="236" t="n">
        <f aca="false" t="array" ref="CW767:CW767">IF(CW766=0,0,IF(CW766/'🎚️ Escenario'!$C$11&gt;=36,$AL$23,INDEX($C$23:$AL$23,MAX(1,ROUNDUP(CW766/'🎚️ Escenario'!$C$11,0)))))</f>
        <v>0</v>
      </c>
      <c r="CX767" s="236" t="n">
        <f aca="false" t="array" ref="CX767:CX767">IF(CX766=0,0,IF(CX766/'🎚️ Escenario'!$C$11&gt;=36,$AL$23,INDEX($C$23:$AL$23,MAX(1,ROUNDUP(CX766/'🎚️ Escenario'!$C$11,0)))))</f>
        <v>0</v>
      </c>
      <c r="CY767" s="236" t="n">
        <f aca="false" t="array" ref="CY767:CY767">IF(CY766=0,0,IF(CY766/'🎚️ Escenario'!$C$11&gt;=36,$AL$23,INDEX($C$23:$AL$23,MAX(1,ROUNDUP(CY766/'🎚️ Escenario'!$C$11,0)))))</f>
        <v>0</v>
      </c>
      <c r="CZ767" s="236" t="n">
        <f aca="false" t="array" ref="CZ767:CZ767">IF(CZ766=0,0,IF(CZ766/'🎚️ Escenario'!$C$11&gt;=36,$AL$23,INDEX($C$23:$AL$23,MAX(1,ROUNDUP(CZ766/'🎚️ Escenario'!$C$11,0)))))</f>
        <v>0</v>
      </c>
      <c r="DA767" s="236" t="n">
        <f aca="false" t="array" ref="DA767:DA767">IF(DA766=0,0,IF(DA766/'🎚️ Escenario'!$C$11&gt;=36,$AL$23,INDEX($C$23:$AL$23,MAX(1,ROUNDUP(DA766/'🎚️ Escenario'!$C$11,0)))))</f>
        <v>0</v>
      </c>
      <c r="DB767" s="236" t="n">
        <f aca="false" t="array" ref="DB767:DB767">IF(DB766=0,0,IF(DB766/'🎚️ Escenario'!$C$11&gt;=36,$AL$23,INDEX($C$23:$AL$23,MAX(1,ROUNDUP(DB766/'🎚️ Escenario'!$C$11,0)))))</f>
        <v>0</v>
      </c>
      <c r="DC767" s="236" t="n">
        <f aca="false" t="array" ref="DC767:DC767">IF(DC766=0,0,IF(DC766/'🎚️ Escenario'!$C$11&gt;=36,$AL$23,INDEX($C$23:$AL$23,MAX(1,ROUNDUP(DC766/'🎚️ Escenario'!$C$11,0)))))</f>
        <v>0</v>
      </c>
      <c r="DD767" s="236" t="n">
        <f aca="false" t="array" ref="DD767:DD767">IF(DD766=0,0,IF(DD766/'🎚️ Escenario'!$C$11&gt;=36,$AL$23,INDEX($C$23:$AL$23,MAX(1,ROUNDUP(DD766/'🎚️ Escenario'!$C$11,0)))))</f>
        <v>0</v>
      </c>
      <c r="DE767" s="236" t="n">
        <f aca="false" t="array" ref="DE767:DE767">IF(DE766=0,0,IF(DE766/'🎚️ Escenario'!$C$11&gt;=36,$AL$23,INDEX($C$23:$AL$23,MAX(1,ROUNDUP(DE766/'🎚️ Escenario'!$C$11,0)))))</f>
        <v>0</v>
      </c>
      <c r="DF767" s="236" t="n">
        <f aca="false" t="array" ref="DF767:DF767">IF(DF766=0,0,IF(DF766/'🎚️ Escenario'!$C$11&gt;=36,$AL$23,INDEX($C$23:$AL$23,MAX(1,ROUNDUP(DF766/'🎚️ Escenario'!$C$11,0)))))</f>
        <v>0</v>
      </c>
      <c r="DG767" s="236" t="n">
        <f aca="false" t="array" ref="DG767:DG767">IF(DG766=0,0,IF(DG766/'🎚️ Escenario'!$C$11&gt;=36,$AL$23,INDEX($C$23:$AL$23,MAX(1,ROUNDUP(DG766/'🎚️ Escenario'!$C$11,0)))))</f>
        <v>0</v>
      </c>
      <c r="DH767" s="236" t="n">
        <f aca="false" t="array" ref="DH767:DH767">IF(DH766=0,0,IF(DH766/'🎚️ Escenario'!$C$11&gt;=36,$AL$23,INDEX($C$23:$AL$23,MAX(1,ROUNDUP(DH766/'🎚️ Escenario'!$C$11,0)))))</f>
        <v>0</v>
      </c>
      <c r="DI767" s="236" t="n">
        <f aca="false" t="array" ref="DI767:DI767">IF(DI766=0,0,IF(DI766/'🎚️ Escenario'!$C$11&gt;=36,$AL$23,INDEX($C$23:$AL$23,MAX(1,ROUNDUP(DI766/'🎚️ Escenario'!$C$11,0)))))</f>
        <v>0</v>
      </c>
      <c r="DJ767" s="236" t="n">
        <f aca="false" t="array" ref="DJ767:DJ767">IF(DJ766=0,0,IF(DJ766/'🎚️ Escenario'!$C$11&gt;=36,$AL$23,INDEX($C$23:$AL$23,MAX(1,ROUNDUP(DJ766/'🎚️ Escenario'!$C$11,0)))))</f>
        <v>0</v>
      </c>
      <c r="DK767" s="236" t="n">
        <f aca="false" t="array" ref="DK767:DK767">IF(DK766=0,0,IF(DK766/'🎚️ Escenario'!$C$11&gt;=36,$AL$23,INDEX($C$23:$AL$23,MAX(1,ROUNDUP(DK766/'🎚️ Escenario'!$C$11,0)))))</f>
        <v>0</v>
      </c>
      <c r="DL767" s="236" t="n">
        <f aca="false" t="array" ref="DL767:DL767">IF(DL766=0,0,IF(DL766/'🎚️ Escenario'!$C$11&gt;=36,$AL$23,INDEX($C$23:$AL$23,MAX(1,ROUNDUP(DL766/'🎚️ Escenario'!$C$11,0)))))</f>
        <v>0</v>
      </c>
      <c r="DM767" s="236" t="n">
        <f aca="false" t="array" ref="DM767:DM767">IF(DM766=0,0,IF(DM766/'🎚️ Escenario'!$C$11&gt;=36,$AL$23,INDEX($C$23:$AL$23,MAX(1,ROUNDUP(DM766/'🎚️ Escenario'!$C$11,0)))))</f>
        <v>0</v>
      </c>
      <c r="DN767" s="236" t="n">
        <f aca="false" t="array" ref="DN767:DN767">IF(DN766=0,0,IF(DN766/'🎚️ Escenario'!$C$11&gt;=36,$AL$23,INDEX($C$23:$AL$23,MAX(1,ROUNDUP(DN766/'🎚️ Escenario'!$C$11,0)))))</f>
        <v>0</v>
      </c>
      <c r="DO767" s="236" t="n">
        <f aca="false" t="array" ref="DO767:DO767">IF(DO766=0,0,IF(DO766/'🎚️ Escenario'!$C$11&gt;=36,$AL$23,INDEX($C$23:$AL$23,MAX(1,ROUNDUP(DO766/'🎚️ Escenario'!$C$11,0)))))</f>
        <v>0</v>
      </c>
      <c r="DP767" s="236" t="n">
        <f aca="false" t="array" ref="DP767:DP767">IF(DP766=0,0,IF(DP766/'🎚️ Escenario'!$C$11&gt;=36,$AL$23,INDEX($C$23:$AL$23,MAX(1,ROUNDUP(DP766/'🎚️ Escenario'!$C$11,0)))))</f>
        <v>0</v>
      </c>
      <c r="DQ767" s="236" t="n">
        <f aca="false" t="array" ref="DQ767:DQ767">IF(DQ766=0,0,IF(DQ766/'🎚️ Escenario'!$C$11&gt;=36,$AL$23,INDEX($C$23:$AL$23,MAX(1,ROUNDUP(DQ766/'🎚️ Escenario'!$C$11,0)))))</f>
        <v>0</v>
      </c>
      <c r="DR767" s="236" t="n">
        <f aca="false" t="array" ref="DR767:DR767">IF(DR766=0,0,IF(DR766/'🎚️ Escenario'!$C$11&gt;=36,$AL$23,INDEX($C$23:$AL$23,MAX(1,ROUNDUP(DR766/'🎚️ Escenario'!$C$11,0)))))</f>
        <v>0</v>
      </c>
      <c r="DS767" s="236" t="n">
        <f aca="false" t="array" ref="DS767:DS767">IF(DS766=0,0,IF(DS766/'🎚️ Escenario'!$C$11&gt;=36,$AL$23,INDEX($C$23:$AL$23,MAX(1,ROUNDUP(DS766/'🎚️ Escenario'!$C$11,0)))))</f>
        <v>0</v>
      </c>
      <c r="DT767" s="236" t="n">
        <f aca="false" t="array" ref="DT767:DT767">IF(DT766=0,0,IF(DT766/'🎚️ Escenario'!$C$11&gt;=36,$AL$23,INDEX($C$23:$AL$23,MAX(1,ROUNDUP(DT766/'🎚️ Escenario'!$C$11,0)))))</f>
        <v>0</v>
      </c>
      <c r="DU767" s="236" t="n">
        <f aca="false" t="array" ref="DU767:DU767">IF(DU766=0,0,IF(DU766/'🎚️ Escenario'!$C$11&gt;=36,$AL$23,INDEX($C$23:$AL$23,MAX(1,ROUNDUP(DU766/'🎚️ Escenario'!$C$11,0)))))</f>
        <v>0</v>
      </c>
      <c r="DV767" s="236" t="n">
        <f aca="false" t="array" ref="DV767:DV767">IF(DV766=0,0,IF(DV766/'🎚️ Escenario'!$C$11&gt;=36,$AL$23,INDEX($C$23:$AL$23,MAX(1,ROUNDUP(DV766/'🎚️ Escenario'!$C$11,0)))))</f>
        <v>0</v>
      </c>
      <c r="DW767" s="236" t="n">
        <f aca="false" t="array" ref="DW767:DW767">IF(DW766=0,0,IF(DW766/'🎚️ Escenario'!$C$11&gt;=36,$AL$23,INDEX($C$23:$AL$23,MAX(1,ROUNDUP(DW766/'🎚️ Escenario'!$C$11,0)))))</f>
        <v>0</v>
      </c>
      <c r="DX767" s="236" t="n">
        <f aca="false" t="array" ref="DX767:DX767">IF(DX766=0,0,IF(DX766/'🎚️ Escenario'!$C$11&gt;=36,$AL$23,INDEX($C$23:$AL$23,MAX(1,ROUNDUP(DX766/'🎚️ Escenario'!$C$11,0)))))</f>
        <v>0</v>
      </c>
      <c r="DY767" s="236" t="n">
        <f aca="false" t="array" ref="DY767:DY767">IF(DY766=0,0,IF(DY766/'🎚️ Escenario'!$C$11&gt;=36,$AL$23,INDEX($C$23:$AL$23,MAX(1,ROUNDUP(DY766/'🎚️ Escenario'!$C$11,0)))))</f>
        <v>0</v>
      </c>
      <c r="DZ767" s="236" t="n">
        <f aca="false" t="array" ref="DZ767:DZ767">IF(DZ766=0,0,IF(DZ766/'🎚️ Escenario'!$C$11&gt;=36,$AL$23,INDEX($C$23:$AL$23,MAX(1,ROUNDUP(DZ766/'🎚️ Escenario'!$C$11,0)))))</f>
        <v>0</v>
      </c>
      <c r="EA767" s="236" t="n">
        <f aca="false" t="array" ref="EA767:EA767">IF(EA766=0,0,IF(EA766/'🎚️ Escenario'!$C$11&gt;=36,$AL$23,INDEX($C$23:$AL$23,MAX(1,ROUNDUP(EA766/'🎚️ Escenario'!$C$11,0)))))</f>
        <v>0</v>
      </c>
      <c r="EB767" s="236" t="n">
        <f aca="false" t="array" ref="EB767:EB767">IF(EB766=0,0,IF(EB766/'🎚️ Escenario'!$C$11&gt;=36,$AL$23,INDEX($C$23:$AL$23,MAX(1,ROUNDUP(EB766/'🎚️ Escenario'!$C$11,0)))))</f>
        <v>0</v>
      </c>
      <c r="EC767" s="236" t="n">
        <f aca="false" t="array" ref="EC767:EC767">IF(EC766=0,0,IF(EC766/'🎚️ Escenario'!$C$11&gt;=36,$AL$23,INDEX($C$23:$AL$23,MAX(1,ROUNDUP(EC766/'🎚️ Escenario'!$C$11,0)))))</f>
        <v>0</v>
      </c>
      <c r="ED767" s="236" t="n">
        <f aca="false" t="array" ref="ED767:ED767">IF(ED766=0,0,IF(ED766/'🎚️ Escenario'!$C$11&gt;=36,$AL$23,INDEX($C$23:$AL$23,MAX(1,ROUNDUP(ED766/'🎚️ Escenario'!$C$11,0)))))</f>
        <v>0</v>
      </c>
      <c r="EE767" s="236" t="n">
        <f aca="false" t="array" ref="EE767:EE767">IF(EE766=0,0,IF(EE766/'🎚️ Escenario'!$C$11&gt;=36,$AL$23,INDEX($C$23:$AL$23,MAX(1,ROUNDUP(EE766/'🎚️ Escenario'!$C$11,0)))))</f>
        <v>0</v>
      </c>
      <c r="EF767" s="236" t="n">
        <f aca="false" t="array" ref="EF767:EF767">IF(EF766=0,0,IF(EF766/'🎚️ Escenario'!$C$11&gt;=36,$AL$23,INDEX($C$23:$AL$23,MAX(1,ROUNDUP(EF766/'🎚️ Escenario'!$C$11,0)))))</f>
        <v>0</v>
      </c>
      <c r="EG767" s="236" t="n">
        <f aca="false" t="array" ref="EG767:EG767">IF(EG766=0,0,IF(EG766/'🎚️ Escenario'!$C$11&gt;=36,$AL$23,INDEX($C$23:$AL$23,MAX(1,ROUNDUP(EG766/'🎚️ Escenario'!$C$11,0)))))</f>
        <v>0</v>
      </c>
      <c r="EH767" s="236" t="n">
        <f aca="false" t="array" ref="EH767:EH767">IF(EH766=0,0,IF(EH766/'🎚️ Escenario'!$C$11&gt;=36,$AL$23,INDEX($C$23:$AL$23,MAX(1,ROUNDUP(EH766/'🎚️ Escenario'!$C$11,0)))))</f>
        <v>0</v>
      </c>
      <c r="EI767" s="236" t="n">
        <f aca="false" t="array" ref="EI767:EI767">IF(EI766=0,0,IF(EI766/'🎚️ Escenario'!$C$11&gt;=36,$AL$23,INDEX($C$23:$AL$23,MAX(1,ROUNDUP(EI766/'🎚️ Escenario'!$C$11,0)))))</f>
        <v>0</v>
      </c>
      <c r="EJ767" s="236" t="n">
        <f aca="false" t="array" ref="EJ767:EJ767">IF(EJ766=0,0,IF(EJ766/'🎚️ Escenario'!$C$11&gt;=36,$AL$23,INDEX($C$23:$AL$23,MAX(1,ROUNDUP(EJ766/'🎚️ Escenario'!$C$11,0)))))</f>
        <v>0</v>
      </c>
      <c r="EK767" s="236" t="n">
        <f aca="false" t="array" ref="EK767:EK767">IF(EK766=0,0,IF(EK766/'🎚️ Escenario'!$C$11&gt;=36,$AL$23,INDEX($C$23:$AL$23,MAX(1,ROUNDUP(EK766/'🎚️ Escenario'!$C$11,0)))))</f>
        <v>0</v>
      </c>
      <c r="EL767" s="236" t="n">
        <f aca="false" t="array" ref="EL767:EL767">IF(EL766=0,0,IF(EL766/'🎚️ Escenario'!$C$11&gt;=36,$AL$23,INDEX($C$23:$AL$23,MAX(1,ROUNDUP(EL766/'🎚️ Escenario'!$C$11,0)))))</f>
        <v>0</v>
      </c>
      <c r="EM767" s="236" t="n">
        <f aca="false" t="array" ref="EM767:EM767">IF(EM766=0,0,IF(EM766/'🎚️ Escenario'!$C$11&gt;=36,$AL$23,INDEX($C$23:$AL$23,MAX(1,ROUNDUP(EM766/'🎚️ Escenario'!$C$11,0)))))</f>
        <v>0</v>
      </c>
      <c r="EN767" s="236" t="n">
        <f aca="false" t="array" ref="EN767:EN767">IF(EN766=0,0,IF(EN766/'🎚️ Escenario'!$C$11&gt;=36,$AL$23,INDEX($C$23:$AL$23,MAX(1,ROUNDUP(EN766/'🎚️ Escenario'!$C$11,0)))))</f>
        <v>0</v>
      </c>
      <c r="EO767" s="236" t="n">
        <f aca="false" t="array" ref="EO767:EO767">IF(EO766=0,0,IF(EO766/'🎚️ Escenario'!$C$11&gt;=36,$AL$23,INDEX($C$23:$AL$23,MAX(1,ROUNDUP(EO766/'🎚️ Escenario'!$C$11,0)))))</f>
        <v>0</v>
      </c>
      <c r="EP767" s="236" t="n">
        <f aca="false" t="array" ref="EP767:EP767">IF(EP766=0,0,IF(EP766/'🎚️ Escenario'!$C$11&gt;=36,$AL$23,INDEX($C$23:$AL$23,MAX(1,ROUNDUP(EP766/'🎚️ Escenario'!$C$11,0)))))</f>
        <v>0</v>
      </c>
      <c r="EQ767" s="236" t="n">
        <f aca="false" t="array" ref="EQ767:EQ767">IF(EQ766=0,0,IF(EQ766/'🎚️ Escenario'!$C$11&gt;=36,$AL$23,INDEX($C$23:$AL$23,MAX(1,ROUNDUP(EQ766/'🎚️ Escenario'!$C$11,0)))))</f>
        <v>0</v>
      </c>
      <c r="ER767" s="236" t="n">
        <f aca="false" t="array" ref="ER767:ER767">IF(ER766=0,0,IF(ER766/'🎚️ Escenario'!$C$11&gt;=36,$AL$23,INDEX($C$23:$AL$23,MAX(1,ROUNDUP(ER766/'🎚️ Escenario'!$C$11,0)))))</f>
        <v>0</v>
      </c>
      <c r="ES767" s="9" t="n">
        <f aca="false" t="array" ref="ES767:ES767">IF(ES766=0,0,IF(ES766/'🎚️ Escenario'!$C$11&gt;=36,$AL$23,INDEX($C$23:$AL$23,MAX(1,ROUNDUP(ES766/'🎚️ Escenario'!$C$11,0)))))</f>
        <v>0</v>
      </c>
      <c r="ET767" s="9" t="n">
        <f aca="false" t="array" ref="ET767:ET767">IF(ET766=0,0,IF(ET766/'🎚️ Escenario'!$C$11&gt;=36,$AL$23,INDEX($C$23:$AL$23,MAX(1,ROUNDUP(ET766/'🎚️ Escenario'!$C$11,0)))))</f>
        <v>0</v>
      </c>
      <c r="EU767" s="9" t="n">
        <f aca="false" t="array" ref="EU767:EU767">IF(EU766=0,0,IF(EU766/'🎚️ Escenario'!$C$11&gt;=36,$AL$23,INDEX($C$23:$AL$23,MAX(1,ROUNDUP(EU766/'🎚️ Escenario'!$C$11,0)))))</f>
        <v>0</v>
      </c>
      <c r="EV767" s="9" t="n">
        <f aca="false" t="array" ref="EV767:EV767">IF(EV766=0,0,IF(EV766/'🎚️ Escenario'!$C$11&gt;=36,$AL$23,INDEX($C$23:$AL$23,MAX(1,ROUNDUP(EV766/'🎚️ Escenario'!$C$11,0)))))</f>
        <v>0</v>
      </c>
      <c r="EW767" s="9" t="n">
        <f aca="false" t="array" ref="EW767:EW767">IF(EW766=0,0,IF(EW766/'🎚️ Escenario'!$C$11&gt;=36,$AL$23,INDEX($C$23:$AL$23,MAX(1,ROUNDUP(EW766/'🎚️ Escenario'!$C$11,0)))))</f>
        <v>0</v>
      </c>
      <c r="EX767" s="9" t="n">
        <f aca="false" t="array" ref="EX767:EX767">IF(EX766=0,0,IF(EX766/'🎚️ Escenario'!$C$11&gt;=36,$AL$23,INDEX($C$23:$AL$23,MAX(1,ROUNDUP(EX766/'🎚️ Escenario'!$C$11,0)))))</f>
        <v>0</v>
      </c>
      <c r="EY767" s="9" t="n">
        <f aca="false" t="array" ref="EY767:EY767">IF(EY766=0,0,IF(EY766/'🎚️ Escenario'!$C$11&gt;=36,$AL$23,INDEX($C$23:$AL$23,MAX(1,ROUNDUP(EY766/'🎚️ Escenario'!$C$11,0)))))</f>
        <v>0</v>
      </c>
      <c r="EZ767" s="9" t="n">
        <f aca="false" t="array" ref="EZ767:EZ767">IF(EZ766=0,0,IF(EZ766/'🎚️ Escenario'!$C$11&gt;=36,$AL$23,INDEX($C$23:$AL$23,MAX(1,ROUNDUP(EZ766/'🎚️ Escenario'!$C$11,0)))))</f>
        <v>0</v>
      </c>
      <c r="FA767" s="9" t="n">
        <f aca="false" t="array" ref="FA767:FA767">IF(FA766=0,0,IF(FA766/'🎚️ Escenario'!$C$11&gt;=36,$AL$23,INDEX($C$23:$AL$23,MAX(1,ROUNDUP(FA766/'🎚️ Escenario'!$C$11,0)))))</f>
        <v>0.2</v>
      </c>
      <c r="FB767" s="9" t="n">
        <f aca="false" t="array" ref="FB767:FB767">IF(FB766=0,0,IF(FB766/'🎚️ Escenario'!$C$11&gt;=36,$AL$23,INDEX($C$23:$AL$23,MAX(1,ROUNDUP(FB766/'🎚️ Escenario'!$C$11,0)))))</f>
        <v>0.22</v>
      </c>
      <c r="FC767" s="9" t="n">
        <f aca="false" t="array" ref="FC767:FC767">IF(FC766=0,0,IF(FC766/'🎚️ Escenario'!$C$11&gt;=36,$AL$23,INDEX($C$23:$AL$23,MAX(1,ROUNDUP(FC766/'🎚️ Escenario'!$C$11,0)))))</f>
        <v>0.24</v>
      </c>
      <c r="FD767" s="9" t="n">
        <f aca="false" t="array" ref="FD767:FD767">IF(FD766=0,0,IF(FD766/'🎚️ Escenario'!$C$11&gt;=36,$AL$23,INDEX($C$23:$AL$23,MAX(1,ROUNDUP(FD766/'🎚️ Escenario'!$C$11,0)))))</f>
        <v>0.27</v>
      </c>
      <c r="FE767" s="9" t="n">
        <f aca="false" t="array" ref="FE767:FE767">IF(FE766=0,0,IF(FE766/'🎚️ Escenario'!$C$11&gt;=36,$AL$23,INDEX($C$23:$AL$23,MAX(1,ROUNDUP(FE766/'🎚️ Escenario'!$C$11,0)))))</f>
        <v>0.27</v>
      </c>
      <c r="FF767" s="9" t="n">
        <f aca="false" t="array" ref="FF767:FF767">IF(FF766=0,0,IF(FF766/'🎚️ Escenario'!$C$11&gt;=36,$AL$23,INDEX($C$23:$AL$23,MAX(1,ROUNDUP(FF766/'🎚️ Escenario'!$C$11,0)))))</f>
        <v>0.31</v>
      </c>
      <c r="FG767" s="9" t="n">
        <f aca="false" t="array" ref="FG767:FG767">IF(FG766=0,0,IF(FG766/'🎚️ Escenario'!$C$11&gt;=36,$AL$23,INDEX($C$23:$AL$23,MAX(1,ROUNDUP(FG766/'🎚️ Escenario'!$C$11,0)))))</f>
        <v>0.35</v>
      </c>
      <c r="FH767" s="9" t="n">
        <f aca="false" t="array" ref="FH767:FH767">IF(FH766=0,0,IF(FH766/'🎚️ Escenario'!$C$11&gt;=36,$AL$23,INDEX($C$23:$AL$23,MAX(1,ROUNDUP(FH766/'🎚️ Escenario'!$C$11,0)))))</f>
        <v>0.39</v>
      </c>
      <c r="FI767" s="9" t="n">
        <f aca="false" t="array" ref="FI767:FI767">IF(FI766=0,0,IF(FI766/'🎚️ Escenario'!$C$11&gt;=36,$AL$23,INDEX($C$23:$AL$23,MAX(1,ROUNDUP(FI766/'🎚️ Escenario'!$C$11,0)))))</f>
        <v>0.44</v>
      </c>
      <c r="FJ767" s="9" t="n">
        <f aca="false" t="array" ref="FJ767:FJ767">IF(FJ766=0,0,IF(FJ766/'🎚️ Escenario'!$C$11&gt;=36,$AL$23,INDEX($C$23:$AL$23,MAX(1,ROUNDUP(FJ766/'🎚️ Escenario'!$C$11,0)))))</f>
        <v>0.44</v>
      </c>
      <c r="FK767" s="9" t="n">
        <f aca="false" t="array" ref="FK767:FK767">IF(FK766=0,0,IF(FK766/'🎚️ Escenario'!$C$11&gt;=36,$AL$23,INDEX($C$23:$AL$23,MAX(1,ROUNDUP(FK766/'🎚️ Escenario'!$C$11,0)))))</f>
        <v>0.48</v>
      </c>
      <c r="FL767" s="9" t="n">
        <f aca="false" t="array" ref="FL767:FL767">IF(FL766=0,0,IF(FL766/'🎚️ Escenario'!$C$11&gt;=36,$AL$23,INDEX($C$23:$AL$23,MAX(1,ROUNDUP(FL766/'🎚️ Escenario'!$C$11,0)))))</f>
        <v>0.52</v>
      </c>
      <c r="FM767" s="9" t="n">
        <f aca="false" t="array" ref="FM767:FM767">IF(FM766=0,0,IF(FM766/'🎚️ Escenario'!$C$11&gt;=36,$AL$23,INDEX($C$23:$AL$23,MAX(1,ROUNDUP(FM766/'🎚️ Escenario'!$C$11,0)))))</f>
        <v>0.56</v>
      </c>
      <c r="FN767" s="9" t="n">
        <f aca="false" t="array" ref="FN767:FN767">IF(FN766=0,0,IF(FN766/'🎚️ Escenario'!$C$11&gt;=36,$AL$23,INDEX($C$23:$AL$23,MAX(1,ROUNDUP(FN766/'🎚️ Escenario'!$C$11,0)))))</f>
        <v>0.6</v>
      </c>
      <c r="FO767" s="9" t="n">
        <f aca="false" t="array" ref="FO767:FO767">IF(FO766=0,0,IF(FO766/'🎚️ Escenario'!$C$11&gt;=36,$AL$23,INDEX($C$23:$AL$23,MAX(1,ROUNDUP(FO766/'🎚️ Escenario'!$C$11,0)))))</f>
        <v>0.6</v>
      </c>
      <c r="FP767" s="9" t="n">
        <f aca="false" t="array" ref="FP767:FP767">IF(FP766=0,0,IF(FP766/'🎚️ Escenario'!$C$11&gt;=36,$AL$23,INDEX($C$23:$AL$23,MAX(1,ROUNDUP(FP766/'🎚️ Escenario'!$C$11,0)))))</f>
        <v>0.63</v>
      </c>
    </row>
    <row r="768" customFormat="false" ht="15" hidden="false" customHeight="false" outlineLevel="2" collapsed="false">
      <c r="B768" s="9" t="s">
        <v>875</v>
      </c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237" t="n">
        <f aca="false">IF(AC766=0,0,IF(AC766&lt;=12*'🎚️ Escenario'!$C$11,1,1+$C$6))</f>
        <v>0</v>
      </c>
      <c r="AD768" s="237" t="n">
        <f aca="false">IF(AD766=0,0,IF(AD766&lt;=12*'🎚️ Escenario'!$C$11,1,1+$C$6))</f>
        <v>0</v>
      </c>
      <c r="AE768" s="237" t="n">
        <f aca="false">IF(AE766=0,0,IF(AE766&lt;=12*'🎚️ Escenario'!$C$11,1,1+$C$6))</f>
        <v>0</v>
      </c>
      <c r="AF768" s="237" t="n">
        <f aca="false">IF(AF766=0,0,IF(AF766&lt;=12*'🎚️ Escenario'!$C$11,1,1+$C$6))</f>
        <v>0</v>
      </c>
      <c r="AG768" s="237" t="n">
        <f aca="false">IF(AG766=0,0,IF(AG766&lt;=12*'🎚️ Escenario'!$C$11,1,1+$C$6))</f>
        <v>0</v>
      </c>
      <c r="AH768" s="237" t="n">
        <f aca="false">IF(AH766=0,0,IF(AH766&lt;=12*'🎚️ Escenario'!$C$11,1,1+$C$6))</f>
        <v>0</v>
      </c>
      <c r="AI768" s="237" t="n">
        <f aca="false">IF(AI766=0,0,IF(AI766&lt;=12*'🎚️ Escenario'!$C$11,1,1+$C$6))</f>
        <v>0</v>
      </c>
      <c r="AJ768" s="237" t="n">
        <f aca="false">IF(AJ766=0,0,IF(AJ766&lt;=12*'🎚️ Escenario'!$C$11,1,1+$C$6))</f>
        <v>0</v>
      </c>
      <c r="AK768" s="237" t="n">
        <f aca="false">IF(AK766=0,0,IF(AK766&lt;=12*'🎚️ Escenario'!$C$11,1,1+$C$6))</f>
        <v>0</v>
      </c>
      <c r="AL768" s="237" t="n">
        <f aca="false">IF(AL766=0,0,IF(AL766&lt;=12*'🎚️ Escenario'!$C$11,1,1+$C$6))</f>
        <v>0</v>
      </c>
      <c r="AM768" s="237" t="n">
        <f aca="false">IF(AM766=0,0,IF(AM766&lt;=12*'🎚️ Escenario'!$C$11,1,1+$C$6))</f>
        <v>0</v>
      </c>
      <c r="AN768" s="237" t="n">
        <f aca="false">IF(AN766=0,0,IF(AN766&lt;=12*'🎚️ Escenario'!$C$11,1,1+$C$6))</f>
        <v>0</v>
      </c>
      <c r="AO768" s="237" t="n">
        <f aca="false">IF(AO766=0,0,IF(AO766&lt;=12*'🎚️ Escenario'!$C$11,1,1+$C$6))</f>
        <v>0</v>
      </c>
      <c r="AP768" s="237" t="n">
        <f aca="false">IF(AP766=0,0,IF(AP766&lt;=12*'🎚️ Escenario'!$C$11,1,1+$C$6))</f>
        <v>0</v>
      </c>
      <c r="AQ768" s="237" t="n">
        <f aca="false">IF(AQ766=0,0,IF(AQ766&lt;=12*'🎚️ Escenario'!$C$11,1,1+$C$6))</f>
        <v>0</v>
      </c>
      <c r="AR768" s="237" t="n">
        <f aca="false">IF(AR766=0,0,IF(AR766&lt;=12*'🎚️ Escenario'!$C$11,1,1+$C$6))</f>
        <v>0</v>
      </c>
      <c r="AS768" s="237" t="n">
        <f aca="false">IF(AS766=0,0,IF(AS766&lt;=12*'🎚️ Escenario'!$C$11,1,1+$C$6))</f>
        <v>0</v>
      </c>
      <c r="AT768" s="237" t="n">
        <f aca="false">IF(AT766=0,0,IF(AT766&lt;=12*'🎚️ Escenario'!$C$11,1,1+$C$6))</f>
        <v>0</v>
      </c>
      <c r="AU768" s="237" t="n">
        <f aca="false">IF(AU766=0,0,IF(AU766&lt;=12*'🎚️ Escenario'!$C$11,1,1+$C$6))</f>
        <v>0</v>
      </c>
      <c r="AV768" s="237" t="n">
        <f aca="false">IF(AV766=0,0,IF(AV766&lt;=12*'🎚️ Escenario'!$C$11,1,1+$C$6))</f>
        <v>0</v>
      </c>
      <c r="AW768" s="237" t="n">
        <f aca="false">IF(AW766=0,0,IF(AW766&lt;=12*'🎚️ Escenario'!$C$11,1,1+$C$6))</f>
        <v>0</v>
      </c>
      <c r="AX768" s="237" t="n">
        <f aca="false">IF(AX766=0,0,IF(AX766&lt;=12*'🎚️ Escenario'!$C$11,1,1+$C$6))</f>
        <v>0</v>
      </c>
      <c r="AY768" s="237" t="n">
        <f aca="false">IF(AY766=0,0,IF(AY766&lt;=12*'🎚️ Escenario'!$C$11,1,1+$C$6))</f>
        <v>0</v>
      </c>
      <c r="AZ768" s="237" t="n">
        <f aca="false">IF(AZ766=0,0,IF(AZ766&lt;=12*'🎚️ Escenario'!$C$11,1,1+$C$6))</f>
        <v>0</v>
      </c>
      <c r="BA768" s="237" t="n">
        <f aca="false">IF(BA766=0,0,IF(BA766&lt;=12*'🎚️ Escenario'!$C$11,1,1+$C$6))</f>
        <v>0</v>
      </c>
      <c r="BB768" s="237" t="n">
        <f aca="false">IF(BB766=0,0,IF(BB766&lt;=12*'🎚️ Escenario'!$C$11,1,1+$C$6))</f>
        <v>0</v>
      </c>
      <c r="BC768" s="237" t="n">
        <f aca="false">IF(BC766=0,0,IF(BC766&lt;=12*'🎚️ Escenario'!$C$11,1,1+$C$6))</f>
        <v>0</v>
      </c>
      <c r="BD768" s="237" t="n">
        <f aca="false">IF(BD766=0,0,IF(BD766&lt;=12*'🎚️ Escenario'!$C$11,1,1+$C$6))</f>
        <v>0</v>
      </c>
      <c r="BE768" s="237" t="n">
        <f aca="false">IF(BE766=0,0,IF(BE766&lt;=12*'🎚️ Escenario'!$C$11,1,1+$C$6))</f>
        <v>0</v>
      </c>
      <c r="BF768" s="237" t="n">
        <f aca="false">IF(BF766=0,0,IF(BF766&lt;=12*'🎚️ Escenario'!$C$11,1,1+$C$6))</f>
        <v>0</v>
      </c>
      <c r="BG768" s="237" t="n">
        <f aca="false">IF(BG766=0,0,IF(BG766&lt;=12*'🎚️ Escenario'!$C$11,1,1+$C$6))</f>
        <v>0</v>
      </c>
      <c r="BH768" s="237" t="n">
        <f aca="false">IF(BH766=0,0,IF(BH766&lt;=12*'🎚️ Escenario'!$C$11,1,1+$C$6))</f>
        <v>0</v>
      </c>
      <c r="BI768" s="237" t="n">
        <f aca="false">IF(BI766=0,0,IF(BI766&lt;=12*'🎚️ Escenario'!$C$11,1,1+$C$6))</f>
        <v>0</v>
      </c>
      <c r="BJ768" s="237" t="n">
        <f aca="false">IF(BJ766=0,0,IF(BJ766&lt;=12*'🎚️ Escenario'!$C$11,1,1+$C$6))</f>
        <v>0</v>
      </c>
      <c r="BK768" s="237" t="n">
        <f aca="false">IF(BK766=0,0,IF(BK766&lt;=12*'🎚️ Escenario'!$C$11,1,1+$C$6))</f>
        <v>0</v>
      </c>
      <c r="BL768" s="237" t="n">
        <f aca="false">IF(BL766=0,0,IF(BL766&lt;=12*'🎚️ Escenario'!$C$11,1,1+$C$6))</f>
        <v>0</v>
      </c>
      <c r="BM768" s="237" t="n">
        <f aca="false">IF(BM766=0,0,IF(BM766&lt;=12*'🎚️ Escenario'!$C$11,1,1+$C$6))</f>
        <v>0</v>
      </c>
      <c r="BN768" s="237" t="n">
        <f aca="false">IF(BN766=0,0,IF(BN766&lt;=12*'🎚️ Escenario'!$C$11,1,1+$C$6))</f>
        <v>0</v>
      </c>
      <c r="BO768" s="237" t="n">
        <f aca="false">IF(BO766=0,0,IF(BO766&lt;=12*'🎚️ Escenario'!$C$11,1,1+$C$6))</f>
        <v>0</v>
      </c>
      <c r="BP768" s="237" t="n">
        <f aca="false">IF(BP766=0,0,IF(BP766&lt;=12*'🎚️ Escenario'!$C$11,1,1+$C$6))</f>
        <v>0</v>
      </c>
      <c r="BQ768" s="237" t="n">
        <f aca="false">IF(BQ766=0,0,IF(BQ766&lt;=12*'🎚️ Escenario'!$C$11,1,1+$C$6))</f>
        <v>0</v>
      </c>
      <c r="BR768" s="237" t="n">
        <f aca="false">IF(BR766=0,0,IF(BR766&lt;=12*'🎚️ Escenario'!$C$11,1,1+$C$6))</f>
        <v>0</v>
      </c>
      <c r="BS768" s="237" t="n">
        <f aca="false">IF(BS766=0,0,IF(BS766&lt;=12*'🎚️ Escenario'!$C$11,1,1+$C$6))</f>
        <v>0</v>
      </c>
      <c r="BT768" s="237" t="n">
        <f aca="false">IF(BT766=0,0,IF(BT766&lt;=12*'🎚️ Escenario'!$C$11,1,1+$C$6))</f>
        <v>0</v>
      </c>
      <c r="BU768" s="237" t="n">
        <f aca="false">IF(BU766=0,0,IF(BU766&lt;=12*'🎚️ Escenario'!$C$11,1,1+$C$6))</f>
        <v>0</v>
      </c>
      <c r="BV768" s="237" t="n">
        <f aca="false">IF(BV766=0,0,IF(BV766&lt;=12*'🎚️ Escenario'!$C$11,1,1+$C$6))</f>
        <v>0</v>
      </c>
      <c r="BW768" s="237" t="n">
        <f aca="false">IF(BW766=0,0,IF(BW766&lt;=12*'🎚️ Escenario'!$C$11,1,1+$C$6))</f>
        <v>0</v>
      </c>
      <c r="BX768" s="237" t="n">
        <f aca="false">IF(BX766=0,0,IF(BX766&lt;=12*'🎚️ Escenario'!$C$11,1,1+$C$6))</f>
        <v>0</v>
      </c>
      <c r="BY768" s="237" t="n">
        <f aca="false">IF(BY766=0,0,IF(BY766&lt;=12*'🎚️ Escenario'!$C$11,1,1+$C$6))</f>
        <v>0</v>
      </c>
      <c r="BZ768" s="237" t="n">
        <f aca="false">IF(BZ766=0,0,IF(BZ766&lt;=12*'🎚️ Escenario'!$C$11,1,1+$C$6))</f>
        <v>0</v>
      </c>
      <c r="CA768" s="237" t="n">
        <f aca="false">IF(CA766=0,0,IF(CA766&lt;=12*'🎚️ Escenario'!$C$11,1,1+$C$6))</f>
        <v>0</v>
      </c>
      <c r="CB768" s="237" t="n">
        <f aca="false">IF(CB766=0,0,IF(CB766&lt;=12*'🎚️ Escenario'!$C$11,1,1+$C$6))</f>
        <v>0</v>
      </c>
      <c r="CC768" s="237" t="n">
        <f aca="false">IF(CC766=0,0,IF(CC766&lt;=12*'🎚️ Escenario'!$C$11,1,1+$C$6))</f>
        <v>0</v>
      </c>
      <c r="CD768" s="237" t="n">
        <f aca="false">IF(CD766=0,0,IF(CD766&lt;=12*'🎚️ Escenario'!$C$11,1,1+$C$6))</f>
        <v>0</v>
      </c>
      <c r="CE768" s="237" t="n">
        <f aca="false">IF(CE766=0,0,IF(CE766&lt;=12*'🎚️ Escenario'!$C$11,1,1+$C$6))</f>
        <v>0</v>
      </c>
      <c r="CF768" s="237" t="n">
        <f aca="false">IF(CF766=0,0,IF(CF766&lt;=12*'🎚️ Escenario'!$C$11,1,1+$C$6))</f>
        <v>0</v>
      </c>
      <c r="CG768" s="237" t="n">
        <f aca="false">IF(CG766=0,0,IF(CG766&lt;=12*'🎚️ Escenario'!$C$11,1,1+$C$6))</f>
        <v>0</v>
      </c>
      <c r="CH768" s="237" t="n">
        <f aca="false">IF(CH766=0,0,IF(CH766&lt;=12*'🎚️ Escenario'!$C$11,1,1+$C$6))</f>
        <v>0</v>
      </c>
      <c r="CI768" s="237" t="n">
        <f aca="false">IF(CI766=0,0,IF(CI766&lt;=12*'🎚️ Escenario'!$C$11,1,1+$C$6))</f>
        <v>0</v>
      </c>
      <c r="CJ768" s="237" t="n">
        <f aca="false">IF(CJ766=0,0,IF(CJ766&lt;=12*'🎚️ Escenario'!$C$11,1,1+$C$6))</f>
        <v>0</v>
      </c>
      <c r="CK768" s="237" t="n">
        <f aca="false">IF(CK766=0,0,IF(CK766&lt;=12*'🎚️ Escenario'!$C$11,1,1+$C$6))</f>
        <v>0</v>
      </c>
      <c r="CL768" s="237" t="n">
        <f aca="false">IF(CL766=0,0,IF(CL766&lt;=12*'🎚️ Escenario'!$C$11,1,1+$C$6))</f>
        <v>0</v>
      </c>
      <c r="CM768" s="237" t="n">
        <f aca="false">IF(CM766=0,0,IF(CM766&lt;=12*'🎚️ Escenario'!$C$11,1,1+$C$6))</f>
        <v>0</v>
      </c>
      <c r="CN768" s="237" t="n">
        <f aca="false">IF(CN766=0,0,IF(CN766&lt;=12*'🎚️ Escenario'!$C$11,1,1+$C$6))</f>
        <v>0</v>
      </c>
      <c r="CO768" s="237" t="n">
        <f aca="false">IF(CO766=0,0,IF(CO766&lt;=12*'🎚️ Escenario'!$C$11,1,1+$C$6))</f>
        <v>0</v>
      </c>
      <c r="CP768" s="237" t="n">
        <f aca="false">IF(CP766=0,0,IF(CP766&lt;=12*'🎚️ Escenario'!$C$11,1,1+$C$6))</f>
        <v>0</v>
      </c>
      <c r="CQ768" s="237" t="n">
        <f aca="false">IF(CQ766=0,0,IF(CQ766&lt;=12*'🎚️ Escenario'!$C$11,1,1+$C$6))</f>
        <v>0</v>
      </c>
      <c r="CR768" s="237" t="n">
        <f aca="false">IF(CR766=0,0,IF(CR766&lt;=12*'🎚️ Escenario'!$C$11,1,1+$C$6))</f>
        <v>0</v>
      </c>
      <c r="CS768" s="237" t="n">
        <f aca="false">IF(CS766=0,0,IF(CS766&lt;=12*'🎚️ Escenario'!$C$11,1,1+$C$6))</f>
        <v>0</v>
      </c>
      <c r="CT768" s="237" t="n">
        <f aca="false">IF(CT766=0,0,IF(CT766&lt;=12*'🎚️ Escenario'!$C$11,1,1+$C$6))</f>
        <v>0</v>
      </c>
      <c r="CU768" s="237" t="n">
        <f aca="false">IF(CU766=0,0,IF(CU766&lt;=12*'🎚️ Escenario'!$C$11,1,1+$C$6))</f>
        <v>0</v>
      </c>
      <c r="CV768" s="237" t="n">
        <f aca="false">IF(CV766=0,0,IF(CV766&lt;=12*'🎚️ Escenario'!$C$11,1,1+$C$6))</f>
        <v>0</v>
      </c>
      <c r="CW768" s="237" t="n">
        <f aca="false">IF(CW766=0,0,IF(CW766&lt;=12*'🎚️ Escenario'!$C$11,1,1+$C$6))</f>
        <v>0</v>
      </c>
      <c r="CX768" s="237" t="n">
        <f aca="false">IF(CX766=0,0,IF(CX766&lt;=12*'🎚️ Escenario'!$C$11,1,1+$C$6))</f>
        <v>0</v>
      </c>
      <c r="CY768" s="237" t="n">
        <f aca="false">IF(CY766=0,0,IF(CY766&lt;=12*'🎚️ Escenario'!$C$11,1,1+$C$6))</f>
        <v>0</v>
      </c>
      <c r="CZ768" s="237" t="n">
        <f aca="false">IF(CZ766=0,0,IF(CZ766&lt;=12*'🎚️ Escenario'!$C$11,1,1+$C$6))</f>
        <v>0</v>
      </c>
      <c r="DA768" s="237" t="n">
        <f aca="false">IF(DA766=0,0,IF(DA766&lt;=12*'🎚️ Escenario'!$C$11,1,1+$C$6))</f>
        <v>0</v>
      </c>
      <c r="DB768" s="237" t="n">
        <f aca="false">IF(DB766=0,0,IF(DB766&lt;=12*'🎚️ Escenario'!$C$11,1,1+$C$6))</f>
        <v>0</v>
      </c>
      <c r="DC768" s="237" t="n">
        <f aca="false">IF(DC766=0,0,IF(DC766&lt;=12*'🎚️ Escenario'!$C$11,1,1+$C$6))</f>
        <v>0</v>
      </c>
      <c r="DD768" s="237" t="n">
        <f aca="false">IF(DD766=0,0,IF(DD766&lt;=12*'🎚️ Escenario'!$C$11,1,1+$C$6))</f>
        <v>0</v>
      </c>
      <c r="DE768" s="237" t="n">
        <f aca="false">IF(DE766=0,0,IF(DE766&lt;=12*'🎚️ Escenario'!$C$11,1,1+$C$6))</f>
        <v>0</v>
      </c>
      <c r="DF768" s="237" t="n">
        <f aca="false">IF(DF766=0,0,IF(DF766&lt;=12*'🎚️ Escenario'!$C$11,1,1+$C$6))</f>
        <v>0</v>
      </c>
      <c r="DG768" s="237" t="n">
        <f aca="false">IF(DG766=0,0,IF(DG766&lt;=12*'🎚️ Escenario'!$C$11,1,1+$C$6))</f>
        <v>0</v>
      </c>
      <c r="DH768" s="237" t="n">
        <f aca="false">IF(DH766=0,0,IF(DH766&lt;=12*'🎚️ Escenario'!$C$11,1,1+$C$6))</f>
        <v>0</v>
      </c>
      <c r="DI768" s="237" t="n">
        <f aca="false">IF(DI766=0,0,IF(DI766&lt;=12*'🎚️ Escenario'!$C$11,1,1+$C$6))</f>
        <v>0</v>
      </c>
      <c r="DJ768" s="237" t="n">
        <f aca="false">IF(DJ766=0,0,IF(DJ766&lt;=12*'🎚️ Escenario'!$C$11,1,1+$C$6))</f>
        <v>0</v>
      </c>
      <c r="DK768" s="237" t="n">
        <f aca="false">IF(DK766=0,0,IF(DK766&lt;=12*'🎚️ Escenario'!$C$11,1,1+$C$6))</f>
        <v>0</v>
      </c>
      <c r="DL768" s="237" t="n">
        <f aca="false">IF(DL766=0,0,IF(DL766&lt;=12*'🎚️ Escenario'!$C$11,1,1+$C$6))</f>
        <v>0</v>
      </c>
      <c r="DM768" s="237" t="n">
        <f aca="false">IF(DM766=0,0,IF(DM766&lt;=12*'🎚️ Escenario'!$C$11,1,1+$C$6))</f>
        <v>0</v>
      </c>
      <c r="DN768" s="237" t="n">
        <f aca="false">IF(DN766=0,0,IF(DN766&lt;=12*'🎚️ Escenario'!$C$11,1,1+$C$6))</f>
        <v>0</v>
      </c>
      <c r="DO768" s="237" t="n">
        <f aca="false">IF(DO766=0,0,IF(DO766&lt;=12*'🎚️ Escenario'!$C$11,1,1+$C$6))</f>
        <v>0</v>
      </c>
      <c r="DP768" s="237" t="n">
        <f aca="false">IF(DP766=0,0,IF(DP766&lt;=12*'🎚️ Escenario'!$C$11,1,1+$C$6))</f>
        <v>0</v>
      </c>
      <c r="DQ768" s="237" t="n">
        <f aca="false">IF(DQ766=0,0,IF(DQ766&lt;=12*'🎚️ Escenario'!$C$11,1,1+$C$6))</f>
        <v>0</v>
      </c>
      <c r="DR768" s="237" t="n">
        <f aca="false">IF(DR766=0,0,IF(DR766&lt;=12*'🎚️ Escenario'!$C$11,1,1+$C$6))</f>
        <v>0</v>
      </c>
      <c r="DS768" s="237" t="n">
        <f aca="false">IF(DS766=0,0,IF(DS766&lt;=12*'🎚️ Escenario'!$C$11,1,1+$C$6))</f>
        <v>0</v>
      </c>
      <c r="DT768" s="237" t="n">
        <f aca="false">IF(DT766=0,0,IF(DT766&lt;=12*'🎚️ Escenario'!$C$11,1,1+$C$6))</f>
        <v>0</v>
      </c>
      <c r="DU768" s="237" t="n">
        <f aca="false">IF(DU766=0,0,IF(DU766&lt;=12*'🎚️ Escenario'!$C$11,1,1+$C$6))</f>
        <v>0</v>
      </c>
      <c r="DV768" s="237" t="n">
        <f aca="false">IF(DV766=0,0,IF(DV766&lt;=12*'🎚️ Escenario'!$C$11,1,1+$C$6))</f>
        <v>0</v>
      </c>
      <c r="DW768" s="237" t="n">
        <f aca="false">IF(DW766=0,0,IF(DW766&lt;=12*'🎚️ Escenario'!$C$11,1,1+$C$6))</f>
        <v>0</v>
      </c>
      <c r="DX768" s="237" t="n">
        <f aca="false">IF(DX766=0,0,IF(DX766&lt;=12*'🎚️ Escenario'!$C$11,1,1+$C$6))</f>
        <v>0</v>
      </c>
      <c r="DY768" s="237" t="n">
        <f aca="false">IF(DY766=0,0,IF(DY766&lt;=12*'🎚️ Escenario'!$C$11,1,1+$C$6))</f>
        <v>0</v>
      </c>
      <c r="DZ768" s="237" t="n">
        <f aca="false">IF(DZ766=0,0,IF(DZ766&lt;=12*'🎚️ Escenario'!$C$11,1,1+$C$6))</f>
        <v>0</v>
      </c>
      <c r="EA768" s="237" t="n">
        <f aca="false">IF(EA766=0,0,IF(EA766&lt;=12*'🎚️ Escenario'!$C$11,1,1+$C$6))</f>
        <v>0</v>
      </c>
      <c r="EB768" s="237" t="n">
        <f aca="false">IF(EB766=0,0,IF(EB766&lt;=12*'🎚️ Escenario'!$C$11,1,1+$C$6))</f>
        <v>0</v>
      </c>
      <c r="EC768" s="237" t="n">
        <f aca="false">IF(EC766=0,0,IF(EC766&lt;=12*'🎚️ Escenario'!$C$11,1,1+$C$6))</f>
        <v>0</v>
      </c>
      <c r="ED768" s="237" t="n">
        <f aca="false">IF(ED766=0,0,IF(ED766&lt;=12*'🎚️ Escenario'!$C$11,1,1+$C$6))</f>
        <v>0</v>
      </c>
      <c r="EE768" s="237" t="n">
        <f aca="false">IF(EE766=0,0,IF(EE766&lt;=12*'🎚️ Escenario'!$C$11,1,1+$C$6))</f>
        <v>0</v>
      </c>
      <c r="EF768" s="237" t="n">
        <f aca="false">IF(EF766=0,0,IF(EF766&lt;=12*'🎚️ Escenario'!$C$11,1,1+$C$6))</f>
        <v>0</v>
      </c>
      <c r="EG768" s="237" t="n">
        <f aca="false">IF(EG766=0,0,IF(EG766&lt;=12*'🎚️ Escenario'!$C$11,1,1+$C$6))</f>
        <v>0</v>
      </c>
      <c r="EH768" s="237" t="n">
        <f aca="false">IF(EH766=0,0,IF(EH766&lt;=12*'🎚️ Escenario'!$C$11,1,1+$C$6))</f>
        <v>0</v>
      </c>
      <c r="EI768" s="237" t="n">
        <f aca="false">IF(EI766=0,0,IF(EI766&lt;=12*'🎚️ Escenario'!$C$11,1,1+$C$6))</f>
        <v>0</v>
      </c>
      <c r="EJ768" s="237" t="n">
        <f aca="false">IF(EJ766=0,0,IF(EJ766&lt;=12*'🎚️ Escenario'!$C$11,1,1+$C$6))</f>
        <v>0</v>
      </c>
      <c r="EK768" s="237" t="n">
        <f aca="false">IF(EK766=0,0,IF(EK766&lt;=12*'🎚️ Escenario'!$C$11,1,1+$C$6))</f>
        <v>0</v>
      </c>
      <c r="EL768" s="237" t="n">
        <f aca="false">IF(EL766=0,0,IF(EL766&lt;=12*'🎚️ Escenario'!$C$11,1,1+$C$6))</f>
        <v>0</v>
      </c>
      <c r="EM768" s="237" t="n">
        <f aca="false">IF(EM766=0,0,IF(EM766&lt;=12*'🎚️ Escenario'!$C$11,1,1+$C$6))</f>
        <v>0</v>
      </c>
      <c r="EN768" s="237" t="n">
        <f aca="false">IF(EN766=0,0,IF(EN766&lt;=12*'🎚️ Escenario'!$C$11,1,1+$C$6))</f>
        <v>0</v>
      </c>
      <c r="EO768" s="237" t="n">
        <f aca="false">IF(EO766=0,0,IF(EO766&lt;=12*'🎚️ Escenario'!$C$11,1,1+$C$6))</f>
        <v>0</v>
      </c>
      <c r="EP768" s="237" t="n">
        <f aca="false">IF(EP766=0,0,IF(EP766&lt;=12*'🎚️ Escenario'!$C$11,1,1+$C$6))</f>
        <v>0</v>
      </c>
      <c r="EQ768" s="237" t="n">
        <f aca="false">IF(EQ766=0,0,IF(EQ766&lt;=12*'🎚️ Escenario'!$C$11,1,1+$C$6))</f>
        <v>0</v>
      </c>
      <c r="ER768" s="237" t="n">
        <f aca="false">IF(ER766=0,0,IF(ER766&lt;=12*'🎚️ Escenario'!$C$11,1,1+$C$6))</f>
        <v>0</v>
      </c>
      <c r="ES768" s="9" t="n">
        <f aca="false">IF(ES766=0,0,IF(ES766&lt;=12*'🎚️ Escenario'!$C$11,1,1+$C$6))</f>
        <v>0</v>
      </c>
      <c r="ET768" s="9" t="n">
        <f aca="false">IF(ET766=0,0,IF(ET766&lt;=12*'🎚️ Escenario'!$C$11,1,1+$C$6))</f>
        <v>0</v>
      </c>
      <c r="EU768" s="9" t="n">
        <f aca="false">IF(EU766=0,0,IF(EU766&lt;=12*'🎚️ Escenario'!$C$11,1,1+$C$6))</f>
        <v>0</v>
      </c>
      <c r="EV768" s="9" t="n">
        <f aca="false">IF(EV766=0,0,IF(EV766&lt;=12*'🎚️ Escenario'!$C$11,1,1+$C$6))</f>
        <v>0</v>
      </c>
      <c r="EW768" s="9" t="n">
        <f aca="false">IF(EW766=0,0,IF(EW766&lt;=12*'🎚️ Escenario'!$C$11,1,1+$C$6))</f>
        <v>0</v>
      </c>
      <c r="EX768" s="9" t="n">
        <f aca="false">IF(EX766=0,0,IF(EX766&lt;=12*'🎚️ Escenario'!$C$11,1,1+$C$6))</f>
        <v>0</v>
      </c>
      <c r="EY768" s="9" t="n">
        <f aca="false">IF(EY766=0,0,IF(EY766&lt;=12*'🎚️ Escenario'!$C$11,1,1+$C$6))</f>
        <v>0</v>
      </c>
      <c r="EZ768" s="9" t="n">
        <f aca="false">IF(EZ766=0,0,IF(EZ766&lt;=12*'🎚️ Escenario'!$C$11,1,1+$C$6))</f>
        <v>0</v>
      </c>
      <c r="FA768" s="9" t="n">
        <f aca="false">IF(FA766=0,0,IF(FA766&lt;=12*'🎚️ Escenario'!$C$11,1,1+$C$6))</f>
        <v>1</v>
      </c>
      <c r="FB768" s="9" t="n">
        <f aca="false">IF(FB766=0,0,IF(FB766&lt;=12*'🎚️ Escenario'!$C$11,1,1+$C$6))</f>
        <v>1</v>
      </c>
      <c r="FC768" s="9" t="n">
        <f aca="false">IF(FC766=0,0,IF(FC766&lt;=12*'🎚️ Escenario'!$C$11,1,1+$C$6))</f>
        <v>1</v>
      </c>
      <c r="FD768" s="9" t="n">
        <f aca="false">IF(FD766=0,0,IF(FD766&lt;=12*'🎚️ Escenario'!$C$11,1,1+$C$6))</f>
        <v>1</v>
      </c>
      <c r="FE768" s="9" t="n">
        <f aca="false">IF(FE766=0,0,IF(FE766&lt;=12*'🎚️ Escenario'!$C$11,1,1+$C$6))</f>
        <v>1</v>
      </c>
      <c r="FF768" s="9" t="n">
        <f aca="false">IF(FF766=0,0,IF(FF766&lt;=12*'🎚️ Escenario'!$C$11,1,1+$C$6))</f>
        <v>1</v>
      </c>
      <c r="FG768" s="9" t="n">
        <f aca="false">IF(FG766=0,0,IF(FG766&lt;=12*'🎚️ Escenario'!$C$11,1,1+$C$6))</f>
        <v>1</v>
      </c>
      <c r="FH768" s="9" t="n">
        <f aca="false">IF(FH766=0,0,IF(FH766&lt;=12*'🎚️ Escenario'!$C$11,1,1+$C$6))</f>
        <v>1</v>
      </c>
      <c r="FI768" s="9" t="n">
        <f aca="false">IF(FI766=0,0,IF(FI766&lt;=12*'🎚️ Escenario'!$C$11,1,1+$C$6))</f>
        <v>1</v>
      </c>
      <c r="FJ768" s="9" t="n">
        <f aca="false">IF(FJ766=0,0,IF(FJ766&lt;=12*'🎚️ Escenario'!$C$11,1,1+$C$6))</f>
        <v>1</v>
      </c>
      <c r="FK768" s="9" t="n">
        <f aca="false">IF(FK766=0,0,IF(FK766&lt;=12*'🎚️ Escenario'!$C$11,1,1+$C$6))</f>
        <v>1</v>
      </c>
      <c r="FL768" s="9" t="n">
        <f aca="false">IF(FL766=0,0,IF(FL766&lt;=12*'🎚️ Escenario'!$C$11,1,1+$C$6))</f>
        <v>1</v>
      </c>
      <c r="FM768" s="9" t="n">
        <f aca="false">IF(FM766=0,0,IF(FM766&lt;=12*'🎚️ Escenario'!$C$11,1,1+$C$6))</f>
        <v>1</v>
      </c>
      <c r="FN768" s="9" t="n">
        <f aca="false">IF(FN766=0,0,IF(FN766&lt;=12*'🎚️ Escenario'!$C$11,1,1+$C$6))</f>
        <v>1</v>
      </c>
      <c r="FO768" s="9" t="n">
        <f aca="false">IF(FO766=0,0,IF(FO766&lt;=12*'🎚️ Escenario'!$C$11,1,1+$C$6))</f>
        <v>1</v>
      </c>
      <c r="FP768" s="238" t="n">
        <f aca="false">IF(FP766=0,0,IF(FP766&lt;=12*'🎚️ Escenario'!$C$11,1,1+$C$6))</f>
        <v>1.2</v>
      </c>
    </row>
    <row r="769" customFormat="false" ht="15" hidden="false" customHeight="false" outlineLevel="2" collapsed="false">
      <c r="B769" s="9" t="s">
        <v>876</v>
      </c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36" t="n">
        <f aca="false">AC767*$AC$765*AC768*AC$38*'⑫ Roll-out Plan'!$O$81</f>
        <v>0</v>
      </c>
      <c r="AD769" s="36" t="n">
        <f aca="false">AD767*$AC$765*AD768*AD$38*'⑫ Roll-out Plan'!$O$81</f>
        <v>0</v>
      </c>
      <c r="AE769" s="36" t="n">
        <f aca="false">AE767*$AC$765*AE768*AE$38*'⑫ Roll-out Plan'!$O$81</f>
        <v>0</v>
      </c>
      <c r="AF769" s="36" t="n">
        <f aca="false">AF767*$AC$765*AF768*AF$38*'⑫ Roll-out Plan'!$O$81</f>
        <v>0</v>
      </c>
      <c r="AG769" s="36" t="n">
        <f aca="false">AG767*$AC$765*AG768*AG$38*'⑫ Roll-out Plan'!$O$81</f>
        <v>0</v>
      </c>
      <c r="AH769" s="36" t="n">
        <f aca="false">AH767*$AC$765*AH768*AH$38*'⑫ Roll-out Plan'!$O$81</f>
        <v>0</v>
      </c>
      <c r="AI769" s="36" t="n">
        <f aca="false">AI767*$AC$765*AI768*AI$38*'⑫ Roll-out Plan'!$O$81</f>
        <v>0</v>
      </c>
      <c r="AJ769" s="36" t="n">
        <f aca="false">AJ767*$AC$765*AJ768*AJ$38*'⑫ Roll-out Plan'!$O$81</f>
        <v>0</v>
      </c>
      <c r="AK769" s="36" t="n">
        <f aca="false">AK767*$AC$765*AK768*AK$38*'⑫ Roll-out Plan'!$O$81</f>
        <v>0</v>
      </c>
      <c r="AL769" s="36" t="n">
        <f aca="false">AL767*$AC$765*AL768*AL$38*'⑫ Roll-out Plan'!$O$81</f>
        <v>0</v>
      </c>
      <c r="AM769" s="36" t="n">
        <f aca="false">AM767*$AC$765*AM768*AM$38*'⑫ Roll-out Plan'!$O$81</f>
        <v>0</v>
      </c>
      <c r="AN769" s="36" t="n">
        <f aca="false">AN767*$AC$765*AN768*AN$38*'⑫ Roll-out Plan'!$O$81</f>
        <v>0</v>
      </c>
      <c r="AO769" s="36" t="n">
        <f aca="false">AO767*$AC$765*AO768*AO$38*'⑫ Roll-out Plan'!$O$81</f>
        <v>0</v>
      </c>
      <c r="AP769" s="36" t="n">
        <f aca="false">AP767*$AC$765*AP768*AP$38*'⑫ Roll-out Plan'!$O$81</f>
        <v>0</v>
      </c>
      <c r="AQ769" s="36" t="n">
        <f aca="false">AQ767*$AC$765*AQ768*AQ$38*'⑫ Roll-out Plan'!$O$81</f>
        <v>0</v>
      </c>
      <c r="AR769" s="36" t="n">
        <f aca="false">AR767*$AC$765*AR768*AR$38*'⑫ Roll-out Plan'!$O$81</f>
        <v>0</v>
      </c>
      <c r="AS769" s="36" t="n">
        <f aca="false">AS767*$AC$765*AS768*AS$38*'⑫ Roll-out Plan'!$O$81</f>
        <v>0</v>
      </c>
      <c r="AT769" s="36" t="n">
        <f aca="false">AT767*$AC$765*AT768*AT$38*'⑫ Roll-out Plan'!$O$81</f>
        <v>0</v>
      </c>
      <c r="AU769" s="36" t="n">
        <f aca="false">AU767*$AC$765*AU768*AU$38*'⑫ Roll-out Plan'!$O$81</f>
        <v>0</v>
      </c>
      <c r="AV769" s="36" t="n">
        <f aca="false">AV767*$AC$765*AV768*AV$38*'⑫ Roll-out Plan'!$O$81</f>
        <v>0</v>
      </c>
      <c r="AW769" s="36" t="n">
        <f aca="false">AW767*$AC$765*AW768*AW$38*'⑫ Roll-out Plan'!$O$81</f>
        <v>0</v>
      </c>
      <c r="AX769" s="36" t="n">
        <f aca="false">AX767*$AC$765*AX768*AX$38*'⑫ Roll-out Plan'!$O$81</f>
        <v>0</v>
      </c>
      <c r="AY769" s="36" t="n">
        <f aca="false">AY767*$AC$765*AY768*AY$38*'⑫ Roll-out Plan'!$O$81</f>
        <v>0</v>
      </c>
      <c r="AZ769" s="36" t="n">
        <f aca="false">AZ767*$AC$765*AZ768*AZ$38*'⑫ Roll-out Plan'!$O$81</f>
        <v>0</v>
      </c>
      <c r="BA769" s="36" t="n">
        <f aca="false">BA767*$AC$765*BA768*BA$38*'⑫ Roll-out Plan'!$O$81</f>
        <v>0</v>
      </c>
      <c r="BB769" s="36" t="n">
        <f aca="false">BB767*$AC$765*BB768*BB$38*'⑫ Roll-out Plan'!$O$81</f>
        <v>0</v>
      </c>
      <c r="BC769" s="36" t="n">
        <f aca="false">BC767*$AC$765*BC768*BC$38*'⑫ Roll-out Plan'!$O$81</f>
        <v>0</v>
      </c>
      <c r="BD769" s="36" t="n">
        <f aca="false">BD767*$AC$765*BD768*BD$38*'⑫ Roll-out Plan'!$O$81</f>
        <v>0</v>
      </c>
      <c r="BE769" s="36" t="n">
        <f aca="false">BE767*$AC$765*BE768*BE$38*'⑫ Roll-out Plan'!$O$81</f>
        <v>0</v>
      </c>
      <c r="BF769" s="36" t="n">
        <f aca="false">BF767*$AC$765*BF768*BF$38*'⑫ Roll-out Plan'!$O$81</f>
        <v>0</v>
      </c>
      <c r="BG769" s="36" t="n">
        <f aca="false">BG767*$AC$765*BG768*BG$38*'⑫ Roll-out Plan'!$O$81</f>
        <v>0</v>
      </c>
      <c r="BH769" s="36" t="n">
        <f aca="false">BH767*$AC$765*BH768*BH$38*'⑫ Roll-out Plan'!$O$81</f>
        <v>0</v>
      </c>
      <c r="BI769" s="36" t="n">
        <f aca="false">BI767*$AC$765*BI768*BI$38*'⑫ Roll-out Plan'!$O$81</f>
        <v>0</v>
      </c>
      <c r="BJ769" s="36" t="n">
        <f aca="false">BJ767*$AC$765*BJ768*BJ$38*'⑫ Roll-out Plan'!$O$81</f>
        <v>0</v>
      </c>
      <c r="BK769" s="36" t="n">
        <f aca="false">BK767*$AC$765*BK768*BK$38*'⑫ Roll-out Plan'!$O$81</f>
        <v>0</v>
      </c>
      <c r="BL769" s="36" t="n">
        <f aca="false">BL767*$AC$765*BL768*BL$38*'⑫ Roll-out Plan'!$O$81</f>
        <v>0</v>
      </c>
      <c r="BM769" s="36" t="n">
        <f aca="false">BM767*$AC$765*BM768*BM$38*'⑫ Roll-out Plan'!$O$81</f>
        <v>0</v>
      </c>
      <c r="BN769" s="36" t="n">
        <f aca="false">BN767*$AC$765*BN768*BN$38*'⑫ Roll-out Plan'!$O$81</f>
        <v>0</v>
      </c>
      <c r="BO769" s="36" t="n">
        <f aca="false">BO767*$AC$765*BO768*BO$38*'⑫ Roll-out Plan'!$O$81</f>
        <v>0</v>
      </c>
      <c r="BP769" s="36" t="n">
        <f aca="false">BP767*$AC$765*BP768*BP$38*'⑫ Roll-out Plan'!$O$81</f>
        <v>0</v>
      </c>
      <c r="BQ769" s="36" t="n">
        <f aca="false">BQ767*$AC$765*BQ768*BQ$38*'⑫ Roll-out Plan'!$O$81</f>
        <v>0</v>
      </c>
      <c r="BR769" s="36" t="n">
        <f aca="false">BR767*$AC$765*BR768*BR$38*'⑫ Roll-out Plan'!$O$81</f>
        <v>0</v>
      </c>
      <c r="BS769" s="36" t="n">
        <f aca="false">BS767*$AC$765*BS768*BS$38*'⑫ Roll-out Plan'!$O$81</f>
        <v>0</v>
      </c>
      <c r="BT769" s="36" t="n">
        <f aca="false">BT767*$AC$765*BT768*BT$38*'⑫ Roll-out Plan'!$O$81</f>
        <v>0</v>
      </c>
      <c r="BU769" s="36" t="n">
        <f aca="false">BU767*$AC$765*BU768*BU$38*'⑫ Roll-out Plan'!$O$81</f>
        <v>0</v>
      </c>
      <c r="BV769" s="36" t="n">
        <f aca="false">BV767*$AC$765*BV768*BV$38*'⑫ Roll-out Plan'!$O$81</f>
        <v>0</v>
      </c>
      <c r="BW769" s="36" t="n">
        <f aca="false">BW767*$AC$765*BW768*BW$38*'⑫ Roll-out Plan'!$O$81</f>
        <v>0</v>
      </c>
      <c r="BX769" s="36" t="n">
        <f aca="false">BX767*$AC$765*BX768*BX$38*'⑫ Roll-out Plan'!$O$81</f>
        <v>0</v>
      </c>
      <c r="BY769" s="36" t="n">
        <f aca="false">BY767*$AC$765*BY768*BY$38*'⑫ Roll-out Plan'!$O$81</f>
        <v>0</v>
      </c>
      <c r="BZ769" s="36" t="n">
        <f aca="false">BZ767*$AC$765*BZ768*BZ$38*'⑫ Roll-out Plan'!$O$81</f>
        <v>0</v>
      </c>
      <c r="CA769" s="36" t="n">
        <f aca="false">CA767*$AC$765*CA768*CA$38*'⑫ Roll-out Plan'!$O$81</f>
        <v>0</v>
      </c>
      <c r="CB769" s="36" t="n">
        <f aca="false">CB767*$AC$765*CB768*CB$38*'⑫ Roll-out Plan'!$O$81</f>
        <v>0</v>
      </c>
      <c r="CC769" s="36" t="n">
        <f aca="false">CC767*$AC$765*CC768*CC$38*'⑫ Roll-out Plan'!$O$81</f>
        <v>0</v>
      </c>
      <c r="CD769" s="36" t="n">
        <f aca="false">CD767*$AC$765*CD768*CD$38*'⑫ Roll-out Plan'!$O$81</f>
        <v>0</v>
      </c>
      <c r="CE769" s="36" t="n">
        <f aca="false">CE767*$AC$765*CE768*CE$38*'⑫ Roll-out Plan'!$O$81</f>
        <v>0</v>
      </c>
      <c r="CF769" s="36" t="n">
        <f aca="false">CF767*$AC$765*CF768*CF$38*'⑫ Roll-out Plan'!$O$81</f>
        <v>0</v>
      </c>
      <c r="CG769" s="36" t="n">
        <f aca="false">CG767*$AC$765*CG768*CG$38*'⑫ Roll-out Plan'!$O$81</f>
        <v>0</v>
      </c>
      <c r="CH769" s="36" t="n">
        <f aca="false">CH767*$AC$765*CH768*CH$38*'⑫ Roll-out Plan'!$O$81</f>
        <v>0</v>
      </c>
      <c r="CI769" s="36" t="n">
        <f aca="false">CI767*$AC$765*CI768*CI$38*'⑫ Roll-out Plan'!$O$81</f>
        <v>0</v>
      </c>
      <c r="CJ769" s="36" t="n">
        <f aca="false">CJ767*$AC$765*CJ768*CJ$38*'⑫ Roll-out Plan'!$O$81</f>
        <v>0</v>
      </c>
      <c r="CK769" s="36" t="n">
        <f aca="false">CK767*$AC$765*CK768*CK$38*'⑫ Roll-out Plan'!$O$81</f>
        <v>0</v>
      </c>
      <c r="CL769" s="36" t="n">
        <f aca="false">CL767*$AC$765*CL768*CL$38*'⑫ Roll-out Plan'!$O$81</f>
        <v>0</v>
      </c>
      <c r="CM769" s="36" t="n">
        <f aca="false">CM767*$AC$765*CM768*CM$38*'⑫ Roll-out Plan'!$O$81</f>
        <v>0</v>
      </c>
      <c r="CN769" s="36" t="n">
        <f aca="false">CN767*$AC$765*CN768*CN$38*'⑫ Roll-out Plan'!$O$81</f>
        <v>0</v>
      </c>
      <c r="CO769" s="36" t="n">
        <f aca="false">CO767*$AC$765*CO768*CO$38*'⑫ Roll-out Plan'!$O$81</f>
        <v>0</v>
      </c>
      <c r="CP769" s="36" t="n">
        <f aca="false">CP767*$AC$765*CP768*CP$38*'⑫ Roll-out Plan'!$O$81</f>
        <v>0</v>
      </c>
      <c r="CQ769" s="36" t="n">
        <f aca="false">CQ767*$AC$765*CQ768*CQ$38*'⑫ Roll-out Plan'!$O$81</f>
        <v>0</v>
      </c>
      <c r="CR769" s="36" t="n">
        <f aca="false">CR767*$AC$765*CR768*CR$38*'⑫ Roll-out Plan'!$O$81</f>
        <v>0</v>
      </c>
      <c r="CS769" s="36" t="n">
        <f aca="false">CS767*$AC$765*CS768*CS$38*'⑫ Roll-out Plan'!$O$81</f>
        <v>0</v>
      </c>
      <c r="CT769" s="36" t="n">
        <f aca="false">CT767*$AC$765*CT768*CT$38*'⑫ Roll-out Plan'!$O$81</f>
        <v>0</v>
      </c>
      <c r="CU769" s="36" t="n">
        <f aca="false">CU767*$AC$765*CU768*CU$38*'⑫ Roll-out Plan'!$O$81</f>
        <v>0</v>
      </c>
      <c r="CV769" s="36" t="n">
        <f aca="false">CV767*$AC$765*CV768*CV$38*'⑫ Roll-out Plan'!$O$81</f>
        <v>0</v>
      </c>
      <c r="CW769" s="36" t="n">
        <f aca="false">CW767*$AC$765*CW768*CW$38*'⑫ Roll-out Plan'!$O$81</f>
        <v>0</v>
      </c>
      <c r="CX769" s="36" t="n">
        <f aca="false">CX767*$AC$765*CX768*CX$38*'⑫ Roll-out Plan'!$O$81</f>
        <v>0</v>
      </c>
      <c r="CY769" s="36" t="n">
        <f aca="false">CY767*$AC$765*CY768*CY$38*'⑫ Roll-out Plan'!$O$81</f>
        <v>0</v>
      </c>
      <c r="CZ769" s="36" t="n">
        <f aca="false">CZ767*$AC$765*CZ768*CZ$38*'⑫ Roll-out Plan'!$O$81</f>
        <v>0</v>
      </c>
      <c r="DA769" s="36" t="n">
        <f aca="false">DA767*$AC$765*DA768*DA$38*'⑫ Roll-out Plan'!$O$81</f>
        <v>0</v>
      </c>
      <c r="DB769" s="36" t="n">
        <f aca="false">DB767*$AC$765*DB768*DB$38*'⑫ Roll-out Plan'!$O$81</f>
        <v>0</v>
      </c>
      <c r="DC769" s="36" t="n">
        <f aca="false">DC767*$AC$765*DC768*DC$38*'⑫ Roll-out Plan'!$O$81</f>
        <v>0</v>
      </c>
      <c r="DD769" s="36" t="n">
        <f aca="false">DD767*$AC$765*DD768*DD$38*'⑫ Roll-out Plan'!$O$81</f>
        <v>0</v>
      </c>
      <c r="DE769" s="36" t="n">
        <f aca="false">DE767*$AC$765*DE768*DE$38*'⑫ Roll-out Plan'!$O$81</f>
        <v>0</v>
      </c>
      <c r="DF769" s="36" t="n">
        <f aca="false">DF767*$AC$765*DF768*DF$38*'⑫ Roll-out Plan'!$O$81</f>
        <v>0</v>
      </c>
      <c r="DG769" s="36" t="n">
        <f aca="false">DG767*$AC$765*DG768*DG$38*'⑫ Roll-out Plan'!$O$81</f>
        <v>0</v>
      </c>
      <c r="DH769" s="36" t="n">
        <f aca="false">DH767*$AC$765*DH768*DH$38*'⑫ Roll-out Plan'!$O$81</f>
        <v>0</v>
      </c>
      <c r="DI769" s="36" t="n">
        <f aca="false">DI767*$AC$765*DI768*DI$38*'⑫ Roll-out Plan'!$O$81</f>
        <v>0</v>
      </c>
      <c r="DJ769" s="36" t="n">
        <f aca="false">DJ767*$AC$765*DJ768*DJ$38*'⑫ Roll-out Plan'!$O$81</f>
        <v>0</v>
      </c>
      <c r="DK769" s="36" t="n">
        <f aca="false">DK767*$AC$765*DK768*DK$38*'⑫ Roll-out Plan'!$O$81</f>
        <v>0</v>
      </c>
      <c r="DL769" s="36" t="n">
        <f aca="false">DL767*$AC$765*DL768*DL$38*'⑫ Roll-out Plan'!$O$81</f>
        <v>0</v>
      </c>
      <c r="DM769" s="36" t="n">
        <f aca="false">DM767*$AC$765*DM768*DM$38*'⑫ Roll-out Plan'!$O$81</f>
        <v>0</v>
      </c>
      <c r="DN769" s="36" t="n">
        <f aca="false">DN767*$AC$765*DN768*DN$38*'⑫ Roll-out Plan'!$O$81</f>
        <v>0</v>
      </c>
      <c r="DO769" s="36" t="n">
        <f aca="false">DO767*$AC$765*DO768*DO$38*'⑫ Roll-out Plan'!$O$81</f>
        <v>0</v>
      </c>
      <c r="DP769" s="36" t="n">
        <f aca="false">DP767*$AC$765*DP768*DP$38*'⑫ Roll-out Plan'!$O$81</f>
        <v>0</v>
      </c>
      <c r="DQ769" s="36" t="n">
        <f aca="false">DQ767*$AC$765*DQ768*DQ$38*'⑫ Roll-out Plan'!$O$81</f>
        <v>0</v>
      </c>
      <c r="DR769" s="36" t="n">
        <f aca="false">DR767*$AC$765*DR768*DR$38*'⑫ Roll-out Plan'!$O$81</f>
        <v>0</v>
      </c>
      <c r="DS769" s="36" t="n">
        <f aca="false">DS767*$AC$765*DS768*DS$38*'⑫ Roll-out Plan'!$O$81</f>
        <v>0</v>
      </c>
      <c r="DT769" s="36" t="n">
        <f aca="false">DT767*$AC$765*DT768*DT$38*'⑫ Roll-out Plan'!$O$81</f>
        <v>0</v>
      </c>
      <c r="DU769" s="36" t="n">
        <f aca="false">DU767*$AC$765*DU768*DU$38*'⑫ Roll-out Plan'!$O$81</f>
        <v>0</v>
      </c>
      <c r="DV769" s="36" t="n">
        <f aca="false">DV767*$AC$765*DV768*DV$38*'⑫ Roll-out Plan'!$O$81</f>
        <v>0</v>
      </c>
      <c r="DW769" s="36" t="n">
        <f aca="false">DW767*$AC$765*DW768*DW$38*'⑫ Roll-out Plan'!$O$81</f>
        <v>0</v>
      </c>
      <c r="DX769" s="36" t="n">
        <f aca="false">DX767*$AC$765*DX768*DX$38*'⑫ Roll-out Plan'!$O$81</f>
        <v>0</v>
      </c>
      <c r="DY769" s="36" t="n">
        <f aca="false">DY767*$AC$765*DY768*DY$38*'⑫ Roll-out Plan'!$O$81</f>
        <v>0</v>
      </c>
      <c r="DZ769" s="36" t="n">
        <f aca="false">DZ767*$AC$765*DZ768*DZ$38*'⑫ Roll-out Plan'!$O$81</f>
        <v>0</v>
      </c>
      <c r="EA769" s="36" t="n">
        <f aca="false">EA767*$AC$765*EA768*EA$38*'⑫ Roll-out Plan'!$O$81</f>
        <v>0</v>
      </c>
      <c r="EB769" s="36" t="n">
        <f aca="false">EB767*$AC$765*EB768*EB$38*'⑫ Roll-out Plan'!$O$81</f>
        <v>0</v>
      </c>
      <c r="EC769" s="36" t="n">
        <f aca="false">EC767*$AC$765*EC768*EC$38*'⑫ Roll-out Plan'!$O$81</f>
        <v>0</v>
      </c>
      <c r="ED769" s="36" t="n">
        <f aca="false">ED767*$AC$765*ED768*ED$38*'⑫ Roll-out Plan'!$O$81</f>
        <v>0</v>
      </c>
      <c r="EE769" s="36" t="n">
        <f aca="false">EE767*$AC$765*EE768*EE$38*'⑫ Roll-out Plan'!$O$81</f>
        <v>0</v>
      </c>
      <c r="EF769" s="36" t="n">
        <f aca="false">EF767*$AC$765*EF768*EF$38*'⑫ Roll-out Plan'!$O$81</f>
        <v>0</v>
      </c>
      <c r="EG769" s="36" t="n">
        <f aca="false">EG767*$AC$765*EG768*EG$38*'⑫ Roll-out Plan'!$O$81</f>
        <v>0</v>
      </c>
      <c r="EH769" s="36" t="n">
        <f aca="false">EH767*$AC$765*EH768*EH$38*'⑫ Roll-out Plan'!$O$81</f>
        <v>0</v>
      </c>
      <c r="EI769" s="36" t="n">
        <f aca="false">EI767*$AC$765*EI768*EI$38*'⑫ Roll-out Plan'!$O$81</f>
        <v>0</v>
      </c>
      <c r="EJ769" s="36" t="n">
        <f aca="false">EJ767*$AC$765*EJ768*EJ$38*'⑫ Roll-out Plan'!$O$81</f>
        <v>0</v>
      </c>
      <c r="EK769" s="36" t="n">
        <f aca="false">EK767*$AC$765*EK768*EK$38*'⑫ Roll-out Plan'!$O$81</f>
        <v>0</v>
      </c>
      <c r="EL769" s="36" t="n">
        <f aca="false">EL767*$AC$765*EL768*EL$38*'⑫ Roll-out Plan'!$O$81</f>
        <v>0</v>
      </c>
      <c r="EM769" s="36" t="n">
        <f aca="false">EM767*$AC$765*EM768*EM$38*'⑫ Roll-out Plan'!$O$81</f>
        <v>0</v>
      </c>
      <c r="EN769" s="36" t="n">
        <f aca="false">EN767*$AC$765*EN768*EN$38*'⑫ Roll-out Plan'!$O$81</f>
        <v>0</v>
      </c>
      <c r="EO769" s="36" t="n">
        <f aca="false">EO767*$AC$765*EO768*EO$38*'⑫ Roll-out Plan'!$O$81</f>
        <v>0</v>
      </c>
      <c r="EP769" s="36" t="n">
        <f aca="false">EP767*$AC$765*EP768*EP$38*'⑫ Roll-out Plan'!$O$81</f>
        <v>0</v>
      </c>
      <c r="EQ769" s="36" t="n">
        <f aca="false">EQ767*$AC$765*EQ768*EQ$38*'⑫ Roll-out Plan'!$O$81</f>
        <v>0</v>
      </c>
      <c r="ER769" s="36" t="n">
        <f aca="false">ER767*$AC$765*ER768*ER$38*'⑫ Roll-out Plan'!$O$81</f>
        <v>0</v>
      </c>
      <c r="ES769" s="9" t="n">
        <f aca="false">ES767*$AC$765*ES768*ES$38*'⑫ Roll-out Plan'!$O$81</f>
        <v>0</v>
      </c>
      <c r="ET769" s="9" t="n">
        <f aca="false">ET767*$AC$765*ET768*ET$38*'⑫ Roll-out Plan'!$O$81</f>
        <v>0</v>
      </c>
      <c r="EU769" s="9" t="n">
        <f aca="false">EU767*$AC$765*EU768*EU$38*'⑫ Roll-out Plan'!$O$81</f>
        <v>0</v>
      </c>
      <c r="EV769" s="9" t="n">
        <f aca="false">EV767*$AC$765*EV768*EV$38*'⑫ Roll-out Plan'!$O$81</f>
        <v>0</v>
      </c>
      <c r="EW769" s="9" t="n">
        <f aca="false">EW767*$AC$765*EW768*EW$38*'⑫ Roll-out Plan'!$O$81</f>
        <v>0</v>
      </c>
      <c r="EX769" s="9" t="n">
        <f aca="false">EX767*$AC$765*EX768*EX$38*'⑫ Roll-out Plan'!$O$81</f>
        <v>0</v>
      </c>
      <c r="EY769" s="9" t="n">
        <f aca="false">EY767*$AC$765*EY768*EY$38*'⑫ Roll-out Plan'!$O$81</f>
        <v>0</v>
      </c>
      <c r="EZ769" s="9" t="n">
        <f aca="false">EZ767*$AC$765*EZ768*EZ$38*'⑫ Roll-out Plan'!$O$81</f>
        <v>0</v>
      </c>
      <c r="FA769" s="9" t="n">
        <f aca="false">FA767*$AC$765*FA768*FA$38*'⑫ Roll-out Plan'!$O$81</f>
        <v>25.52</v>
      </c>
      <c r="FB769" s="9" t="n">
        <f aca="false">FB767*$AC$765*FB768*FB$38*'⑫ Roll-out Plan'!$O$81</f>
        <v>23.232</v>
      </c>
      <c r="FC769" s="9" t="n">
        <f aca="false">FC767*$AC$765*FC768*FC$38*'⑫ Roll-out Plan'!$O$81</f>
        <v>19.008</v>
      </c>
      <c r="FD769" s="9" t="n">
        <f aca="false">FD767*$AC$765*FD768*FD$38*'⑫ Roll-out Plan'!$O$81</f>
        <v>30.294</v>
      </c>
      <c r="FE769" s="9" t="n">
        <f aca="false">FE767*$AC$765*FE768*FE$38*'⑫ Roll-out Plan'!$O$81</f>
        <v>32.076</v>
      </c>
      <c r="FF769" s="9" t="n">
        <f aca="false">FF767*$AC$765*FF768*FF$38*'⑫ Roll-out Plan'!$O$81</f>
        <v>27.962</v>
      </c>
      <c r="FG769" s="9" t="n">
        <f aca="false">FG767*$AC$765*FG768*FG$38*'⑫ Roll-out Plan'!$O$81</f>
        <v>44.66</v>
      </c>
      <c r="FH769" s="9" t="n">
        <f aca="false">FH767*$AC$765*FH768*FH$38*'⑫ Roll-out Plan'!$O$81</f>
        <v>47.19</v>
      </c>
      <c r="FI769" s="9" t="n">
        <f aca="false">FI767*$AC$765*FI768*FI$38*'⑫ Roll-out Plan'!$O$81</f>
        <v>44.528</v>
      </c>
      <c r="FJ769" s="9" t="n">
        <f aca="false">FJ767*$AC$765*FJ768*FJ$38*'⑫ Roll-out Plan'!$O$81</f>
        <v>38.72</v>
      </c>
      <c r="FK769" s="9" t="n">
        <f aca="false">FK767*$AC$765*FK768*FK$38*'⑫ Roll-out Plan'!$O$81</f>
        <v>44.352</v>
      </c>
      <c r="FL769" s="9" t="n">
        <f aca="false">FL767*$AC$765*FL768*FL$38*'⑫ Roll-out Plan'!$O$81</f>
        <v>81.224</v>
      </c>
      <c r="FM769" s="9" t="n">
        <f aca="false">FM767*$AC$765*FM768*FM$38*'⑫ Roll-out Plan'!$O$81</f>
        <v>71.456</v>
      </c>
      <c r="FN769" s="9" t="n">
        <f aca="false">FN767*$AC$765*FN768*FN$38*'⑫ Roll-out Plan'!$O$81</f>
        <v>63.36</v>
      </c>
      <c r="FO769" s="9" t="n">
        <f aca="false">FO767*$AC$765*FO768*FO$38*'⑫ Roll-out Plan'!$O$81</f>
        <v>47.52</v>
      </c>
      <c r="FP769" s="9" t="n">
        <f aca="false">FP767*$AC$765*FP768*FP$38*'⑫ Roll-out Plan'!$O$81</f>
        <v>84.8232</v>
      </c>
    </row>
    <row r="770" customFormat="false" ht="15" hidden="false" customHeight="false" outlineLevel="2" collapsed="false">
      <c r="B770" s="9" t="s">
        <v>877</v>
      </c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112" t="n">
        <f aca="true">IFERROR(SUMPRODUCT(OFFSET($BJ$31,0,1-MIN(60,COLUMN()-29),1,MIN(60,COLUMN()-29)),OFFSET(AC769,0,-MIN(60,COLUMN()-29),1,MIN(60,COLUMN()-29))),0)</f>
        <v>0</v>
      </c>
      <c r="AD770" s="112" t="n">
        <f aca="true">IFERROR(SUMPRODUCT(OFFSET($BJ$31,0,1-MIN(60,COLUMN()-29),1,MIN(60,COLUMN()-29)),OFFSET(AD769,0,-MIN(60,COLUMN()-29),1,MIN(60,COLUMN()-29))),0)</f>
        <v>0</v>
      </c>
      <c r="AE770" s="112" t="n">
        <f aca="true">IFERROR(SUMPRODUCT(OFFSET($BJ$31,0,1-MIN(60,COLUMN()-29),1,MIN(60,COLUMN()-29)),OFFSET(AE769,0,-MIN(60,COLUMN()-29),1,MIN(60,COLUMN()-29))),0)</f>
        <v>0</v>
      </c>
      <c r="AF770" s="112" t="n">
        <f aca="true">IFERROR(SUMPRODUCT(OFFSET($BJ$31,0,1-MIN(60,COLUMN()-29),1,MIN(60,COLUMN()-29)),OFFSET(AF769,0,-MIN(60,COLUMN()-29),1,MIN(60,COLUMN()-29))),0)</f>
        <v>0</v>
      </c>
      <c r="AG770" s="112" t="n">
        <f aca="true">IFERROR(SUMPRODUCT(OFFSET($BJ$31,0,1-MIN(60,COLUMN()-29),1,MIN(60,COLUMN()-29)),OFFSET(AG769,0,-MIN(60,COLUMN()-29),1,MIN(60,COLUMN()-29))),0)</f>
        <v>0</v>
      </c>
      <c r="AH770" s="112" t="n">
        <f aca="true">IFERROR(SUMPRODUCT(OFFSET($BJ$31,0,1-MIN(60,COLUMN()-29),1,MIN(60,COLUMN()-29)),OFFSET(AH769,0,-MIN(60,COLUMN()-29),1,MIN(60,COLUMN()-29))),0)</f>
        <v>0</v>
      </c>
      <c r="AI770" s="112" t="n">
        <f aca="true">IFERROR(SUMPRODUCT(OFFSET($BJ$31,0,1-MIN(60,COLUMN()-29),1,MIN(60,COLUMN()-29)),OFFSET(AI769,0,-MIN(60,COLUMN()-29),1,MIN(60,COLUMN()-29))),0)</f>
        <v>0</v>
      </c>
      <c r="AJ770" s="112" t="n">
        <f aca="true">IFERROR(SUMPRODUCT(OFFSET($BJ$31,0,1-MIN(60,COLUMN()-29),1,MIN(60,COLUMN()-29)),OFFSET(AJ769,0,-MIN(60,COLUMN()-29),1,MIN(60,COLUMN()-29))),0)</f>
        <v>0</v>
      </c>
      <c r="AK770" s="112" t="n">
        <f aca="true">IFERROR(SUMPRODUCT(OFFSET($BJ$31,0,1-MIN(60,COLUMN()-29),1,MIN(60,COLUMN()-29)),OFFSET(AK769,0,-MIN(60,COLUMN()-29),1,MIN(60,COLUMN()-29))),0)</f>
        <v>0</v>
      </c>
      <c r="AL770" s="112" t="n">
        <f aca="true">IFERROR(SUMPRODUCT(OFFSET($BJ$31,0,1-MIN(60,COLUMN()-29),1,MIN(60,COLUMN()-29)),OFFSET(AL769,0,-MIN(60,COLUMN()-29),1,MIN(60,COLUMN()-29))),0)</f>
        <v>0</v>
      </c>
      <c r="AM770" s="112" t="n">
        <f aca="true">IFERROR(SUMPRODUCT(OFFSET($BJ$31,0,1-MIN(60,COLUMN()-29),1,MIN(60,COLUMN()-29)),OFFSET(AM769,0,-MIN(60,COLUMN()-29),1,MIN(60,COLUMN()-29))),0)</f>
        <v>0</v>
      </c>
      <c r="AN770" s="239" t="n">
        <f aca="true">IFERROR(SUMPRODUCT(OFFSET($BJ$31,0,1-MIN(60,COLUMN()-29),1,MIN(60,COLUMN()-29)),OFFSET(AN769,0,-MIN(60,COLUMN()-29),1,MIN(60,COLUMN()-29))),0)</f>
        <v>0</v>
      </c>
      <c r="AO770" s="112" t="n">
        <f aca="true">IFERROR(SUMPRODUCT(OFFSET($BJ$31,0,1-MIN(60,COLUMN()-29),1,MIN(60,COLUMN()-29)),OFFSET(AO769,0,-MIN(60,COLUMN()-29),1,MIN(60,COLUMN()-29))),0)</f>
        <v>0</v>
      </c>
      <c r="AP770" s="112" t="n">
        <f aca="true">IFERROR(SUMPRODUCT(OFFSET($BJ$31,0,1-MIN(60,COLUMN()-29),1,MIN(60,COLUMN()-29)),OFFSET(AP769,0,-MIN(60,COLUMN()-29),1,MIN(60,COLUMN()-29))),0)</f>
        <v>0</v>
      </c>
      <c r="AQ770" s="112" t="n">
        <f aca="true">IFERROR(SUMPRODUCT(OFFSET($BJ$31,0,1-MIN(60,COLUMN()-29),1,MIN(60,COLUMN()-29)),OFFSET(AQ769,0,-MIN(60,COLUMN()-29),1,MIN(60,COLUMN()-29))),0)</f>
        <v>0</v>
      </c>
      <c r="AR770" s="112" t="n">
        <f aca="true">IFERROR(SUMPRODUCT(OFFSET($BJ$31,0,1-MIN(60,COLUMN()-29),1,MIN(60,COLUMN()-29)),OFFSET(AR769,0,-MIN(60,COLUMN()-29),1,MIN(60,COLUMN()-29))),0)</f>
        <v>0</v>
      </c>
      <c r="AS770" s="112" t="n">
        <f aca="true">IFERROR(SUMPRODUCT(OFFSET($BJ$31,0,1-MIN(60,COLUMN()-29),1,MIN(60,COLUMN()-29)),OFFSET(AS769,0,-MIN(60,COLUMN()-29),1,MIN(60,COLUMN()-29))),0)</f>
        <v>0</v>
      </c>
      <c r="AT770" s="112" t="n">
        <f aca="true">IFERROR(SUMPRODUCT(OFFSET($BJ$31,0,1-MIN(60,COLUMN()-29),1,MIN(60,COLUMN()-29)),OFFSET(AT769,0,-MIN(60,COLUMN()-29),1,MIN(60,COLUMN()-29))),0)</f>
        <v>0</v>
      </c>
      <c r="AU770" s="112" t="n">
        <f aca="true">IFERROR(SUMPRODUCT(OFFSET($BJ$31,0,1-MIN(60,COLUMN()-29),1,MIN(60,COLUMN()-29)),OFFSET(AU769,0,-MIN(60,COLUMN()-29),1,MIN(60,COLUMN()-29))),0)</f>
        <v>0</v>
      </c>
      <c r="AV770" s="112" t="n">
        <f aca="true">IFERROR(SUMPRODUCT(OFFSET($BJ$31,0,1-MIN(60,COLUMN()-29),1,MIN(60,COLUMN()-29)),OFFSET(AV769,0,-MIN(60,COLUMN()-29),1,MIN(60,COLUMN()-29))),0)</f>
        <v>0</v>
      </c>
      <c r="AW770" s="112" t="n">
        <f aca="true">IFERROR(SUMPRODUCT(OFFSET($BJ$31,0,1-MIN(60,COLUMN()-29),1,MIN(60,COLUMN()-29)),OFFSET(AW769,0,-MIN(60,COLUMN()-29),1,MIN(60,COLUMN()-29))),0)</f>
        <v>0</v>
      </c>
      <c r="AX770" s="112" t="n">
        <f aca="true">IFERROR(SUMPRODUCT(OFFSET($BJ$31,0,1-MIN(60,COLUMN()-29),1,MIN(60,COLUMN()-29)),OFFSET(AX769,0,-MIN(60,COLUMN()-29),1,MIN(60,COLUMN()-29))),0)</f>
        <v>0</v>
      </c>
      <c r="AY770" s="112" t="n">
        <f aca="true">IFERROR(SUMPRODUCT(OFFSET($BJ$31,0,1-MIN(60,COLUMN()-29),1,MIN(60,COLUMN()-29)),OFFSET(AY769,0,-MIN(60,COLUMN()-29),1,MIN(60,COLUMN()-29))),0)</f>
        <v>0</v>
      </c>
      <c r="AZ770" s="112" t="n">
        <f aca="true">IFERROR(SUMPRODUCT(OFFSET($BJ$31,0,1-MIN(60,COLUMN()-29),1,MIN(60,COLUMN()-29)),OFFSET(AZ769,0,-MIN(60,COLUMN()-29),1,MIN(60,COLUMN()-29))),0)</f>
        <v>0</v>
      </c>
      <c r="BA770" s="112" t="n">
        <f aca="true">IFERROR(SUMPRODUCT(OFFSET($BJ$31,0,1-MIN(60,COLUMN()-29),1,MIN(60,COLUMN()-29)),OFFSET(BA769,0,-MIN(60,COLUMN()-29),1,MIN(60,COLUMN()-29))),0)</f>
        <v>0</v>
      </c>
      <c r="BB770" s="112" t="n">
        <f aca="true">IFERROR(SUMPRODUCT(OFFSET($BJ$31,0,1-MIN(60,COLUMN()-29),1,MIN(60,COLUMN()-29)),OFFSET(BB769,0,-MIN(60,COLUMN()-29),1,MIN(60,COLUMN()-29))),0)</f>
        <v>0</v>
      </c>
      <c r="BC770" s="112" t="n">
        <f aca="true">IFERROR(SUMPRODUCT(OFFSET($BJ$31,0,1-MIN(60,COLUMN()-29),1,MIN(60,COLUMN()-29)),OFFSET(BC769,0,-MIN(60,COLUMN()-29),1,MIN(60,COLUMN()-29))),0)</f>
        <v>0</v>
      </c>
      <c r="BD770" s="112" t="n">
        <f aca="true">IFERROR(SUMPRODUCT(OFFSET($BJ$31,0,1-MIN(60,COLUMN()-29),1,MIN(60,COLUMN()-29)),OFFSET(BD769,0,-MIN(60,COLUMN()-29),1,MIN(60,COLUMN()-29))),0)</f>
        <v>0</v>
      </c>
      <c r="BE770" s="112" t="n">
        <f aca="true">IFERROR(SUMPRODUCT(OFFSET($BJ$31,0,1-MIN(60,COLUMN()-29),1,MIN(60,COLUMN()-29)),OFFSET(BE769,0,-MIN(60,COLUMN()-29),1,MIN(60,COLUMN()-29))),0)</f>
        <v>0</v>
      </c>
      <c r="BF770" s="112" t="n">
        <f aca="true">IFERROR(SUMPRODUCT(OFFSET($BJ$31,0,1-MIN(60,COLUMN()-29),1,MIN(60,COLUMN()-29)),OFFSET(BF769,0,-MIN(60,COLUMN()-29),1,MIN(60,COLUMN()-29))),0)</f>
        <v>0</v>
      </c>
      <c r="BG770" s="112" t="n">
        <f aca="true">IFERROR(SUMPRODUCT(OFFSET($BJ$31,0,1-MIN(60,COLUMN()-29),1,MIN(60,COLUMN()-29)),OFFSET(BG769,0,-MIN(60,COLUMN()-29),1,MIN(60,COLUMN()-29))),0)</f>
        <v>0</v>
      </c>
      <c r="BH770" s="112" t="n">
        <f aca="true">IFERROR(SUMPRODUCT(OFFSET($BJ$31,0,1-MIN(60,COLUMN()-29),1,MIN(60,COLUMN()-29)),OFFSET(BH769,0,-MIN(60,COLUMN()-29),1,MIN(60,COLUMN()-29))),0)</f>
        <v>0</v>
      </c>
      <c r="BI770" s="112" t="n">
        <f aca="true">IFERROR(SUMPRODUCT(OFFSET($BJ$31,0,1-MIN(60,COLUMN()-29),1,MIN(60,COLUMN()-29)),OFFSET(BI769,0,-MIN(60,COLUMN()-29),1,MIN(60,COLUMN()-29))),0)</f>
        <v>0</v>
      </c>
      <c r="BJ770" s="112" t="n">
        <f aca="true">IFERROR(SUMPRODUCT(OFFSET($BJ$31,0,1-MIN(60,COLUMN()-29),1,MIN(60,COLUMN()-29)),OFFSET(BJ769,0,-MIN(60,COLUMN()-29),1,MIN(60,COLUMN()-29))),0)</f>
        <v>0</v>
      </c>
      <c r="BK770" s="112" t="n">
        <f aca="true">IFERROR(SUMPRODUCT(OFFSET($BJ$31,0,1-MIN(60,COLUMN()-29),1,MIN(60,COLUMN()-29)),OFFSET(BK769,0,-MIN(60,COLUMN()-29),1,MIN(60,COLUMN()-29))),0)</f>
        <v>0</v>
      </c>
      <c r="BL770" s="112" t="n">
        <f aca="true">IFERROR(SUMPRODUCT(OFFSET($BJ$31,0,1-MIN(60,COLUMN()-29),1,MIN(60,COLUMN()-29)),OFFSET(BL769,0,-MIN(60,COLUMN()-29),1,MIN(60,COLUMN()-29))),0)</f>
        <v>0</v>
      </c>
      <c r="BM770" s="112" t="n">
        <f aca="true">IFERROR(SUMPRODUCT(OFFSET($BJ$31,0,1-MIN(60,COLUMN()-29),1,MIN(60,COLUMN()-29)),OFFSET(BM769,0,-MIN(60,COLUMN()-29),1,MIN(60,COLUMN()-29))),0)</f>
        <v>0</v>
      </c>
      <c r="BN770" s="112" t="n">
        <f aca="true">IFERROR(SUMPRODUCT(OFFSET($BJ$31,0,1-MIN(60,COLUMN()-29),1,MIN(60,COLUMN()-29)),OFFSET(BN769,0,-MIN(60,COLUMN()-29),1,MIN(60,COLUMN()-29))),0)</f>
        <v>0</v>
      </c>
      <c r="BO770" s="112" t="n">
        <f aca="true">IFERROR(SUMPRODUCT(OFFSET($BJ$31,0,1-MIN(60,COLUMN()-29),1,MIN(60,COLUMN()-29)),OFFSET(BO769,0,-MIN(60,COLUMN()-29),1,MIN(60,COLUMN()-29))),0)</f>
        <v>0</v>
      </c>
      <c r="BP770" s="112" t="n">
        <f aca="true">IFERROR(SUMPRODUCT(OFFSET($BJ$31,0,1-MIN(60,COLUMN()-29),1,MIN(60,COLUMN()-29)),OFFSET(BP769,0,-MIN(60,COLUMN()-29),1,MIN(60,COLUMN()-29))),0)</f>
        <v>0</v>
      </c>
      <c r="BQ770" s="112" t="n">
        <f aca="true">IFERROR(SUMPRODUCT(OFFSET($BJ$31,0,1-MIN(60,COLUMN()-29),1,MIN(60,COLUMN()-29)),OFFSET(BQ769,0,-MIN(60,COLUMN()-29),1,MIN(60,COLUMN()-29))),0)</f>
        <v>0</v>
      </c>
      <c r="BR770" s="112" t="n">
        <f aca="true">IFERROR(SUMPRODUCT(OFFSET($BJ$31,0,1-MIN(60,COLUMN()-29),1,MIN(60,COLUMN()-29)),OFFSET(BR769,0,-MIN(60,COLUMN()-29),1,MIN(60,COLUMN()-29))),0)</f>
        <v>0</v>
      </c>
      <c r="BS770" s="112" t="n">
        <f aca="true">IFERROR(SUMPRODUCT(OFFSET($BJ$31,0,1-MIN(60,COLUMN()-29),1,MIN(60,COLUMN()-29)),OFFSET(BS769,0,-MIN(60,COLUMN()-29),1,MIN(60,COLUMN()-29))),0)</f>
        <v>0</v>
      </c>
      <c r="BT770" s="112" t="n">
        <f aca="true">IFERROR(SUMPRODUCT(OFFSET($BJ$31,0,1-MIN(60,COLUMN()-29),1,MIN(60,COLUMN()-29)),OFFSET(BT769,0,-MIN(60,COLUMN()-29),1,MIN(60,COLUMN()-29))),0)</f>
        <v>0</v>
      </c>
      <c r="BU770" s="112" t="n">
        <f aca="true">IFERROR(SUMPRODUCT(OFFSET($BJ$31,0,1-MIN(60,COLUMN()-29),1,MIN(60,COLUMN()-29)),OFFSET(BU769,0,-MIN(60,COLUMN()-29),1,MIN(60,COLUMN()-29))),0)</f>
        <v>0</v>
      </c>
      <c r="BV770" s="112" t="n">
        <f aca="true">IFERROR(SUMPRODUCT(OFFSET($BJ$31,0,1-MIN(60,COLUMN()-29),1,MIN(60,COLUMN()-29)),OFFSET(BV769,0,-MIN(60,COLUMN()-29),1,MIN(60,COLUMN()-29))),0)</f>
        <v>0</v>
      </c>
      <c r="BW770" s="112" t="n">
        <f aca="true">IFERROR(SUMPRODUCT(OFFSET($BJ$31,0,1-MIN(60,COLUMN()-29),1,MIN(60,COLUMN()-29)),OFFSET(BW769,0,-MIN(60,COLUMN()-29),1,MIN(60,COLUMN()-29))),0)</f>
        <v>0</v>
      </c>
      <c r="BX770" s="112" t="n">
        <f aca="true">IFERROR(SUMPRODUCT(OFFSET($BJ$31,0,1-MIN(60,COLUMN()-29),1,MIN(60,COLUMN()-29)),OFFSET(BX769,0,-MIN(60,COLUMN()-29),1,MIN(60,COLUMN()-29))),0)</f>
        <v>0</v>
      </c>
      <c r="BY770" s="112" t="n">
        <f aca="true">IFERROR(SUMPRODUCT(OFFSET($BJ$31,0,1-MIN(60,COLUMN()-29),1,MIN(60,COLUMN()-29)),OFFSET(BY769,0,-MIN(60,COLUMN()-29),1,MIN(60,COLUMN()-29))),0)</f>
        <v>0</v>
      </c>
      <c r="BZ770" s="112" t="n">
        <f aca="true">IFERROR(SUMPRODUCT(OFFSET($BJ$31,0,1-MIN(60,COLUMN()-29),1,MIN(60,COLUMN()-29)),OFFSET(BZ769,0,-MIN(60,COLUMN()-29),1,MIN(60,COLUMN()-29))),0)</f>
        <v>0</v>
      </c>
      <c r="CA770" s="112" t="n">
        <f aca="true">IFERROR(SUMPRODUCT(OFFSET($BJ$31,0,1-MIN(60,COLUMN()-29),1,MIN(60,COLUMN()-29)),OFFSET(CA769,0,-MIN(60,COLUMN()-29),1,MIN(60,COLUMN()-29))),0)</f>
        <v>0</v>
      </c>
      <c r="CB770" s="112" t="n">
        <f aca="true">IFERROR(SUMPRODUCT(OFFSET($BJ$31,0,1-MIN(60,COLUMN()-29),1,MIN(60,COLUMN()-29)),OFFSET(CB769,0,-MIN(60,COLUMN()-29),1,MIN(60,COLUMN()-29))),0)</f>
        <v>0</v>
      </c>
      <c r="CC770" s="112" t="n">
        <f aca="true">IFERROR(SUMPRODUCT(OFFSET($BJ$31,0,1-MIN(60,COLUMN()-29),1,MIN(60,COLUMN()-29)),OFFSET(CC769,0,-MIN(60,COLUMN()-29),1,MIN(60,COLUMN()-29))),0)</f>
        <v>0</v>
      </c>
      <c r="CD770" s="112" t="n">
        <f aca="true">IFERROR(SUMPRODUCT(OFFSET($BJ$31,0,1-MIN(60,COLUMN()-29),1,MIN(60,COLUMN()-29)),OFFSET(CD769,0,-MIN(60,COLUMN()-29),1,MIN(60,COLUMN()-29))),0)</f>
        <v>0</v>
      </c>
      <c r="CE770" s="112" t="n">
        <f aca="true">IFERROR(SUMPRODUCT(OFFSET($BJ$31,0,1-MIN(60,COLUMN()-29),1,MIN(60,COLUMN()-29)),OFFSET(CE769,0,-MIN(60,COLUMN()-29),1,MIN(60,COLUMN()-29))),0)</f>
        <v>0</v>
      </c>
      <c r="CF770" s="112" t="n">
        <f aca="true">IFERROR(SUMPRODUCT(OFFSET($BJ$31,0,1-MIN(60,COLUMN()-29),1,MIN(60,COLUMN()-29)),OFFSET(CF769,0,-MIN(60,COLUMN()-29),1,MIN(60,COLUMN()-29))),0)</f>
        <v>0</v>
      </c>
      <c r="CG770" s="112" t="n">
        <f aca="true">IFERROR(SUMPRODUCT(OFFSET($BJ$31,0,1-MIN(60,COLUMN()-29),1,MIN(60,COLUMN()-29)),OFFSET(CG769,0,-MIN(60,COLUMN()-29),1,MIN(60,COLUMN()-29))),0)</f>
        <v>0</v>
      </c>
      <c r="CH770" s="112" t="n">
        <f aca="true">IFERROR(SUMPRODUCT(OFFSET($BJ$31,0,1-MIN(60,COLUMN()-29),1,MIN(60,COLUMN()-29)),OFFSET(CH769,0,-MIN(60,COLUMN()-29),1,MIN(60,COLUMN()-29))),0)</f>
        <v>0</v>
      </c>
      <c r="CI770" s="112" t="n">
        <f aca="true">IFERROR(SUMPRODUCT(OFFSET($BJ$31,0,1-MIN(60,COLUMN()-29),1,MIN(60,COLUMN()-29)),OFFSET(CI769,0,-MIN(60,COLUMN()-29),1,MIN(60,COLUMN()-29))),0)</f>
        <v>0</v>
      </c>
      <c r="CJ770" s="112" t="n">
        <f aca="true">IFERROR(SUMPRODUCT(OFFSET($BJ$31,0,1-MIN(60,COLUMN()-29),1,MIN(60,COLUMN()-29)),OFFSET(CJ769,0,-MIN(60,COLUMN()-29),1,MIN(60,COLUMN()-29))),0)</f>
        <v>0</v>
      </c>
      <c r="CK770" s="112" t="n">
        <f aca="true">IFERROR(SUMPRODUCT(OFFSET($BJ$31,0,1-MIN(60,COLUMN()-29),1,MIN(60,COLUMN()-29)),OFFSET(CK769,0,-MIN(60,COLUMN()-29),1,MIN(60,COLUMN()-29))),0)</f>
        <v>0</v>
      </c>
      <c r="CL770" s="112" t="n">
        <f aca="true">IFERROR(SUMPRODUCT(OFFSET($BJ$31,0,1-MIN(60,COLUMN()-29),1,MIN(60,COLUMN()-29)),OFFSET(CL769,0,-MIN(60,COLUMN()-29),1,MIN(60,COLUMN()-29))),0)</f>
        <v>0</v>
      </c>
      <c r="CM770" s="112" t="n">
        <f aca="true">IFERROR(SUMPRODUCT(OFFSET($BJ$31,0,1-MIN(60,COLUMN()-29),1,MIN(60,COLUMN()-29)),OFFSET(CM769,0,-MIN(60,COLUMN()-29),1,MIN(60,COLUMN()-29))),0)</f>
        <v>0</v>
      </c>
      <c r="CN770" s="112" t="n">
        <f aca="true">IFERROR(SUMPRODUCT(OFFSET($BJ$31,0,1-MIN(60,COLUMN()-29),1,MIN(60,COLUMN()-29)),OFFSET(CN769,0,-MIN(60,COLUMN()-29),1,MIN(60,COLUMN()-29))),0)</f>
        <v>0</v>
      </c>
      <c r="CO770" s="112" t="n">
        <f aca="true">IFERROR(SUMPRODUCT(OFFSET($BJ$31,0,1-MIN(60,COLUMN()-29),1,MIN(60,COLUMN()-29)),OFFSET(CO769,0,-MIN(60,COLUMN()-29),1,MIN(60,COLUMN()-29))),0)</f>
        <v>0</v>
      </c>
      <c r="CP770" s="112" t="n">
        <f aca="true">IFERROR(SUMPRODUCT(OFFSET($BJ$31,0,1-MIN(60,COLUMN()-29),1,MIN(60,COLUMN()-29)),OFFSET(CP769,0,-MIN(60,COLUMN()-29),1,MIN(60,COLUMN()-29))),0)</f>
        <v>0</v>
      </c>
      <c r="CQ770" s="112" t="n">
        <f aca="true">IFERROR(SUMPRODUCT(OFFSET($BJ$31,0,1-MIN(60,COLUMN()-29),1,MIN(60,COLUMN()-29)),OFFSET(CQ769,0,-MIN(60,COLUMN()-29),1,MIN(60,COLUMN()-29))),0)</f>
        <v>0</v>
      </c>
      <c r="CR770" s="112" t="n">
        <f aca="true">IFERROR(SUMPRODUCT(OFFSET($BJ$31,0,1-MIN(60,COLUMN()-29),1,MIN(60,COLUMN()-29)),OFFSET(CR769,0,-MIN(60,COLUMN()-29),1,MIN(60,COLUMN()-29))),0)</f>
        <v>0</v>
      </c>
      <c r="CS770" s="112" t="n">
        <f aca="true">IFERROR(SUMPRODUCT(OFFSET($BJ$31,0,1-MIN(60,COLUMN()-29),1,MIN(60,COLUMN()-29)),OFFSET(CS769,0,-MIN(60,COLUMN()-29),1,MIN(60,COLUMN()-29))),0)</f>
        <v>0</v>
      </c>
      <c r="CT770" s="112" t="n">
        <f aca="true">IFERROR(SUMPRODUCT(OFFSET($BJ$31,0,1-MIN(60,COLUMN()-29),1,MIN(60,COLUMN()-29)),OFFSET(CT769,0,-MIN(60,COLUMN()-29),1,MIN(60,COLUMN()-29))),0)</f>
        <v>0</v>
      </c>
      <c r="CU770" s="112" t="n">
        <f aca="true">IFERROR(SUMPRODUCT(OFFSET($BJ$31,0,1-MIN(60,COLUMN()-29),1,MIN(60,COLUMN()-29)),OFFSET(CU769,0,-MIN(60,COLUMN()-29),1,MIN(60,COLUMN()-29))),0)</f>
        <v>0</v>
      </c>
      <c r="CV770" s="112" t="n">
        <f aca="true">IFERROR(SUMPRODUCT(OFFSET($BJ$31,0,1-MIN(60,COLUMN()-29),1,MIN(60,COLUMN()-29)),OFFSET(CV769,0,-MIN(60,COLUMN()-29),1,MIN(60,COLUMN()-29))),0)</f>
        <v>0</v>
      </c>
      <c r="CW770" s="112" t="n">
        <f aca="true">IFERROR(SUMPRODUCT(OFFSET($BJ$31,0,1-MIN(60,COLUMN()-29),1,MIN(60,COLUMN()-29)),OFFSET(CW769,0,-MIN(60,COLUMN()-29),1,MIN(60,COLUMN()-29))),0)</f>
        <v>0</v>
      </c>
      <c r="CX770" s="112" t="n">
        <f aca="true">IFERROR(SUMPRODUCT(OFFSET($BJ$31,0,1-MIN(60,COLUMN()-29),1,MIN(60,COLUMN()-29)),OFFSET(CX769,0,-MIN(60,COLUMN()-29),1,MIN(60,COLUMN()-29))),0)</f>
        <v>0</v>
      </c>
      <c r="CY770" s="112" t="n">
        <f aca="true">IFERROR(SUMPRODUCT(OFFSET($BJ$31,0,1-MIN(60,COLUMN()-29),1,MIN(60,COLUMN()-29)),OFFSET(CY769,0,-MIN(60,COLUMN()-29),1,MIN(60,COLUMN()-29))),0)</f>
        <v>0</v>
      </c>
      <c r="CZ770" s="112" t="n">
        <f aca="true">IFERROR(SUMPRODUCT(OFFSET($BJ$31,0,1-MIN(60,COLUMN()-29),1,MIN(60,COLUMN()-29)),OFFSET(CZ769,0,-MIN(60,COLUMN()-29),1,MIN(60,COLUMN()-29))),0)</f>
        <v>0</v>
      </c>
      <c r="DA770" s="112" t="n">
        <f aca="true">IFERROR(SUMPRODUCT(OFFSET($BJ$31,0,1-MIN(60,COLUMN()-29),1,MIN(60,COLUMN()-29)),OFFSET(DA769,0,-MIN(60,COLUMN()-29),1,MIN(60,COLUMN()-29))),0)</f>
        <v>0</v>
      </c>
      <c r="DB770" s="112" t="n">
        <f aca="true">IFERROR(SUMPRODUCT(OFFSET($BJ$31,0,1-MIN(60,COLUMN()-29),1,MIN(60,COLUMN()-29)),OFFSET(DB769,0,-MIN(60,COLUMN()-29),1,MIN(60,COLUMN()-29))),0)</f>
        <v>0</v>
      </c>
      <c r="DC770" s="112" t="n">
        <f aca="true">IFERROR(SUMPRODUCT(OFFSET($BJ$31,0,1-MIN(60,COLUMN()-29),1,MIN(60,COLUMN()-29)),OFFSET(DC769,0,-MIN(60,COLUMN()-29),1,MIN(60,COLUMN()-29))),0)</f>
        <v>0</v>
      </c>
      <c r="DD770" s="112" t="n">
        <f aca="true">IFERROR(SUMPRODUCT(OFFSET($BJ$31,0,1-MIN(60,COLUMN()-29),1,MIN(60,COLUMN()-29)),OFFSET(DD769,0,-MIN(60,COLUMN()-29),1,MIN(60,COLUMN()-29))),0)</f>
        <v>0</v>
      </c>
      <c r="DE770" s="112" t="n">
        <f aca="true">IFERROR(SUMPRODUCT(OFFSET($BJ$31,0,1-MIN(60,COLUMN()-29),1,MIN(60,COLUMN()-29)),OFFSET(DE769,0,-MIN(60,COLUMN()-29),1,MIN(60,COLUMN()-29))),0)</f>
        <v>0</v>
      </c>
      <c r="DF770" s="112" t="n">
        <f aca="true">IFERROR(SUMPRODUCT(OFFSET($BJ$31,0,1-MIN(60,COLUMN()-29),1,MIN(60,COLUMN()-29)),OFFSET(DF769,0,-MIN(60,COLUMN()-29),1,MIN(60,COLUMN()-29))),0)</f>
        <v>0</v>
      </c>
      <c r="DG770" s="112" t="n">
        <f aca="true">IFERROR(SUMPRODUCT(OFFSET($BJ$31,0,1-MIN(60,COLUMN()-29),1,MIN(60,COLUMN()-29)),OFFSET(DG769,0,-MIN(60,COLUMN()-29),1,MIN(60,COLUMN()-29))),0)</f>
        <v>0</v>
      </c>
      <c r="DH770" s="112" t="n">
        <f aca="true">IFERROR(SUMPRODUCT(OFFSET($BJ$31,0,1-MIN(60,COLUMN()-29),1,MIN(60,COLUMN()-29)),OFFSET(DH769,0,-MIN(60,COLUMN()-29),1,MIN(60,COLUMN()-29))),0)</f>
        <v>0</v>
      </c>
      <c r="DI770" s="112" t="n">
        <f aca="true">IFERROR(SUMPRODUCT(OFFSET($BJ$31,0,1-MIN(60,COLUMN()-29),1,MIN(60,COLUMN()-29)),OFFSET(DI769,0,-MIN(60,COLUMN()-29),1,MIN(60,COLUMN()-29))),0)</f>
        <v>0</v>
      </c>
      <c r="DJ770" s="112" t="n">
        <f aca="true">IFERROR(SUMPRODUCT(OFFSET($BJ$31,0,1-MIN(60,COLUMN()-29),1,MIN(60,COLUMN()-29)),OFFSET(DJ769,0,-MIN(60,COLUMN()-29),1,MIN(60,COLUMN()-29))),0)</f>
        <v>0</v>
      </c>
      <c r="DK770" s="112" t="n">
        <f aca="true">IFERROR(SUMPRODUCT(OFFSET($BJ$31,0,1-MIN(60,COLUMN()-29),1,MIN(60,COLUMN()-29)),OFFSET(DK769,0,-MIN(60,COLUMN()-29),1,MIN(60,COLUMN()-29))),0)</f>
        <v>0</v>
      </c>
      <c r="DL770" s="112" t="n">
        <f aca="true">IFERROR(SUMPRODUCT(OFFSET($BJ$31,0,1-MIN(60,COLUMN()-29),1,MIN(60,COLUMN()-29)),OFFSET(DL769,0,-MIN(60,COLUMN()-29),1,MIN(60,COLUMN()-29))),0)</f>
        <v>0</v>
      </c>
      <c r="DM770" s="112" t="n">
        <f aca="true">IFERROR(SUMPRODUCT(OFFSET($BJ$31,0,1-MIN(60,COLUMN()-29),1,MIN(60,COLUMN()-29)),OFFSET(DM769,0,-MIN(60,COLUMN()-29),1,MIN(60,COLUMN()-29))),0)</f>
        <v>0</v>
      </c>
      <c r="DN770" s="112" t="n">
        <f aca="true">IFERROR(SUMPRODUCT(OFFSET($BJ$31,0,1-MIN(60,COLUMN()-29),1,MIN(60,COLUMN()-29)),OFFSET(DN769,0,-MIN(60,COLUMN()-29),1,MIN(60,COLUMN()-29))),0)</f>
        <v>0</v>
      </c>
      <c r="DO770" s="112" t="n">
        <f aca="true">IFERROR(SUMPRODUCT(OFFSET($BJ$31,0,1-MIN(60,COLUMN()-29),1,MIN(60,COLUMN()-29)),OFFSET(DO769,0,-MIN(60,COLUMN()-29),1,MIN(60,COLUMN()-29))),0)</f>
        <v>0</v>
      </c>
      <c r="DP770" s="112" t="n">
        <f aca="true">IFERROR(SUMPRODUCT(OFFSET($BJ$31,0,1-MIN(60,COLUMN()-29),1,MIN(60,COLUMN()-29)),OFFSET(DP769,0,-MIN(60,COLUMN()-29),1,MIN(60,COLUMN()-29))),0)</f>
        <v>0</v>
      </c>
      <c r="DQ770" s="112" t="n">
        <f aca="true">IFERROR(SUMPRODUCT(OFFSET($BJ$31,0,1-MIN(60,COLUMN()-29),1,MIN(60,COLUMN()-29)),OFFSET(DQ769,0,-MIN(60,COLUMN()-29),1,MIN(60,COLUMN()-29))),0)</f>
        <v>0</v>
      </c>
      <c r="DR770" s="112" t="n">
        <f aca="true">IFERROR(SUMPRODUCT(OFFSET($BJ$31,0,1-MIN(60,COLUMN()-29),1,MIN(60,COLUMN()-29)),OFFSET(DR769,0,-MIN(60,COLUMN()-29),1,MIN(60,COLUMN()-29))),0)</f>
        <v>0</v>
      </c>
      <c r="DS770" s="112" t="n">
        <f aca="true">IFERROR(SUMPRODUCT(OFFSET($BJ$31,0,1-MIN(60,COLUMN()-29),1,MIN(60,COLUMN()-29)),OFFSET(DS769,0,-MIN(60,COLUMN()-29),1,MIN(60,COLUMN()-29))),0)</f>
        <v>0</v>
      </c>
      <c r="DT770" s="112" t="n">
        <f aca="true">IFERROR(SUMPRODUCT(OFFSET($BJ$31,0,1-MIN(60,COLUMN()-29),1,MIN(60,COLUMN()-29)),OFFSET(DT769,0,-MIN(60,COLUMN()-29),1,MIN(60,COLUMN()-29))),0)</f>
        <v>0</v>
      </c>
      <c r="DU770" s="112" t="n">
        <f aca="true">IFERROR(SUMPRODUCT(OFFSET($BJ$31,0,1-MIN(60,COLUMN()-29),1,MIN(60,COLUMN()-29)),OFFSET(DU769,0,-MIN(60,COLUMN()-29),1,MIN(60,COLUMN()-29))),0)</f>
        <v>0</v>
      </c>
      <c r="DV770" s="112" t="n">
        <f aca="true">IFERROR(SUMPRODUCT(OFFSET($BJ$31,0,1-MIN(60,COLUMN()-29),1,MIN(60,COLUMN()-29)),OFFSET(DV769,0,-MIN(60,COLUMN()-29),1,MIN(60,COLUMN()-29))),0)</f>
        <v>0</v>
      </c>
      <c r="DW770" s="112" t="n">
        <f aca="true">IFERROR(SUMPRODUCT(OFFSET($BJ$31,0,1-MIN(60,COLUMN()-29),1,MIN(60,COLUMN()-29)),OFFSET(DW769,0,-MIN(60,COLUMN()-29),1,MIN(60,COLUMN()-29))),0)</f>
        <v>0</v>
      </c>
      <c r="DX770" s="112" t="n">
        <f aca="true">IFERROR(SUMPRODUCT(OFFSET($BJ$31,0,1-MIN(60,COLUMN()-29),1,MIN(60,COLUMN()-29)),OFFSET(DX769,0,-MIN(60,COLUMN()-29),1,MIN(60,COLUMN()-29))),0)</f>
        <v>0</v>
      </c>
      <c r="DY770" s="112" t="n">
        <f aca="true">IFERROR(SUMPRODUCT(OFFSET($BJ$31,0,1-MIN(60,COLUMN()-29),1,MIN(60,COLUMN()-29)),OFFSET(DY769,0,-MIN(60,COLUMN()-29),1,MIN(60,COLUMN()-29))),0)</f>
        <v>0</v>
      </c>
      <c r="DZ770" s="112" t="n">
        <f aca="true">IFERROR(SUMPRODUCT(OFFSET($BJ$31,0,1-MIN(60,COLUMN()-29),1,MIN(60,COLUMN()-29)),OFFSET(DZ769,0,-MIN(60,COLUMN()-29),1,MIN(60,COLUMN()-29))),0)</f>
        <v>0</v>
      </c>
      <c r="EA770" s="112" t="n">
        <f aca="true">IFERROR(SUMPRODUCT(OFFSET($BJ$31,0,1-MIN(60,COLUMN()-29),1,MIN(60,COLUMN()-29)),OFFSET(EA769,0,-MIN(60,COLUMN()-29),1,MIN(60,COLUMN()-29))),0)</f>
        <v>0</v>
      </c>
      <c r="EB770" s="112" t="n">
        <f aca="true">IFERROR(SUMPRODUCT(OFFSET($BJ$31,0,1-MIN(60,COLUMN()-29),1,MIN(60,COLUMN()-29)),OFFSET(EB769,0,-MIN(60,COLUMN()-29),1,MIN(60,COLUMN()-29))),0)</f>
        <v>0</v>
      </c>
      <c r="EC770" s="112" t="n">
        <f aca="true">IFERROR(SUMPRODUCT(OFFSET($BJ$31,0,1-MIN(60,COLUMN()-29),1,MIN(60,COLUMN()-29)),OFFSET(EC769,0,-MIN(60,COLUMN()-29),1,MIN(60,COLUMN()-29))),0)</f>
        <v>0</v>
      </c>
      <c r="ED770" s="112" t="n">
        <f aca="true">IFERROR(SUMPRODUCT(OFFSET($BJ$31,0,1-MIN(60,COLUMN()-29),1,MIN(60,COLUMN()-29)),OFFSET(ED769,0,-MIN(60,COLUMN()-29),1,MIN(60,COLUMN()-29))),0)</f>
        <v>0</v>
      </c>
      <c r="EE770" s="112" t="n">
        <f aca="true">IFERROR(SUMPRODUCT(OFFSET($BJ$31,0,1-MIN(60,COLUMN()-29),1,MIN(60,COLUMN()-29)),OFFSET(EE769,0,-MIN(60,COLUMN()-29),1,MIN(60,COLUMN()-29))),0)</f>
        <v>0</v>
      </c>
      <c r="EF770" s="112" t="n">
        <f aca="true">IFERROR(SUMPRODUCT(OFFSET($BJ$31,0,1-MIN(60,COLUMN()-29),1,MIN(60,COLUMN()-29)),OFFSET(EF769,0,-MIN(60,COLUMN()-29),1,MIN(60,COLUMN()-29))),0)</f>
        <v>0</v>
      </c>
      <c r="EG770" s="112" t="n">
        <f aca="true">IFERROR(SUMPRODUCT(OFFSET($BJ$31,0,1-MIN(60,COLUMN()-29),1,MIN(60,COLUMN()-29)),OFFSET(EG769,0,-MIN(60,COLUMN()-29),1,MIN(60,COLUMN()-29))),0)</f>
        <v>0</v>
      </c>
      <c r="EH770" s="112" t="n">
        <f aca="true">IFERROR(SUMPRODUCT(OFFSET($BJ$31,0,1-MIN(60,COLUMN()-29),1,MIN(60,COLUMN()-29)),OFFSET(EH769,0,-MIN(60,COLUMN()-29),1,MIN(60,COLUMN()-29))),0)</f>
        <v>0</v>
      </c>
      <c r="EI770" s="112" t="n">
        <f aca="true">IFERROR(SUMPRODUCT(OFFSET($BJ$31,0,1-MIN(60,COLUMN()-29),1,MIN(60,COLUMN()-29)),OFFSET(EI769,0,-MIN(60,COLUMN()-29),1,MIN(60,COLUMN()-29))),0)</f>
        <v>0</v>
      </c>
      <c r="EJ770" s="112" t="n">
        <f aca="true">IFERROR(SUMPRODUCT(OFFSET($BJ$31,0,1-MIN(60,COLUMN()-29),1,MIN(60,COLUMN()-29)),OFFSET(EJ769,0,-MIN(60,COLUMN()-29),1,MIN(60,COLUMN()-29))),0)</f>
        <v>0</v>
      </c>
      <c r="EK770" s="112" t="n">
        <f aca="true">IFERROR(SUMPRODUCT(OFFSET($BJ$31,0,1-MIN(60,COLUMN()-29),1,MIN(60,COLUMN()-29)),OFFSET(EK769,0,-MIN(60,COLUMN()-29),1,MIN(60,COLUMN()-29))),0)</f>
        <v>0</v>
      </c>
      <c r="EL770" s="112" t="n">
        <f aca="true">IFERROR(SUMPRODUCT(OFFSET($BJ$31,0,1-MIN(60,COLUMN()-29),1,MIN(60,COLUMN()-29)),OFFSET(EL769,0,-MIN(60,COLUMN()-29),1,MIN(60,COLUMN()-29))),0)</f>
        <v>0</v>
      </c>
      <c r="EM770" s="112" t="n">
        <f aca="true">IFERROR(SUMPRODUCT(OFFSET($BJ$31,0,1-MIN(60,COLUMN()-29),1,MIN(60,COLUMN()-29)),OFFSET(EM769,0,-MIN(60,COLUMN()-29),1,MIN(60,COLUMN()-29))),0)</f>
        <v>0</v>
      </c>
      <c r="EN770" s="112" t="n">
        <f aca="true">IFERROR(SUMPRODUCT(OFFSET($BJ$31,0,1-MIN(60,COLUMN()-29),1,MIN(60,COLUMN()-29)),OFFSET(EN769,0,-MIN(60,COLUMN()-29),1,MIN(60,COLUMN()-29))),0)</f>
        <v>0</v>
      </c>
      <c r="EO770" s="112" t="n">
        <f aca="true">IFERROR(SUMPRODUCT(OFFSET($BJ$31,0,1-MIN(60,COLUMN()-29),1,MIN(60,COLUMN()-29)),OFFSET(EO769,0,-MIN(60,COLUMN()-29),1,MIN(60,COLUMN()-29))),0)</f>
        <v>0</v>
      </c>
      <c r="EP770" s="112" t="n">
        <f aca="true">IFERROR(SUMPRODUCT(OFFSET($BJ$31,0,1-MIN(60,COLUMN()-29),1,MIN(60,COLUMN()-29)),OFFSET(EP769,0,-MIN(60,COLUMN()-29),1,MIN(60,COLUMN()-29))),0)</f>
        <v>0</v>
      </c>
      <c r="EQ770" s="112" t="n">
        <f aca="true">IFERROR(SUMPRODUCT(OFFSET($BJ$31,0,1-MIN(60,COLUMN()-29),1,MIN(60,COLUMN()-29)),OFFSET(EQ769,0,-MIN(60,COLUMN()-29),1,MIN(60,COLUMN()-29))),0)</f>
        <v>0</v>
      </c>
      <c r="ER770" s="112" t="n">
        <f aca="true">IFERROR(SUMPRODUCT(OFFSET($BJ$31,0,1-MIN(60,COLUMN()-29),1,MIN(60,COLUMN()-29)),OFFSET(ER769,0,-MIN(60,COLUMN()-29),1,MIN(60,COLUMN()-29))),0)</f>
        <v>0</v>
      </c>
      <c r="ES770" s="9" t="n">
        <f aca="true">IFERROR(SUMPRODUCT(OFFSET($BJ$31,0,1-MIN(60,COLUMN()-29),1,MIN(60,COLUMN()-29)),OFFSET(ES769,0,-MIN(60,COLUMN()-29),1,MIN(60,COLUMN()-29))),0)</f>
        <v>0</v>
      </c>
      <c r="ET770" s="9" t="n">
        <f aca="true">IFERROR(SUMPRODUCT(OFFSET($BJ$31,0,1-MIN(60,COLUMN()-29),1,MIN(60,COLUMN()-29)),OFFSET(ET769,0,-MIN(60,COLUMN()-29),1,MIN(60,COLUMN()-29))),0)</f>
        <v>0</v>
      </c>
      <c r="EU770" s="9" t="n">
        <f aca="true">IFERROR(SUMPRODUCT(OFFSET($BJ$31,0,1-MIN(60,COLUMN()-29),1,MIN(60,COLUMN()-29)),OFFSET(EU769,0,-MIN(60,COLUMN()-29),1,MIN(60,COLUMN()-29))),0)</f>
        <v>0</v>
      </c>
      <c r="EV770" s="9" t="n">
        <f aca="true">IFERROR(SUMPRODUCT(OFFSET($BJ$31,0,1-MIN(60,COLUMN()-29),1,MIN(60,COLUMN()-29)),OFFSET(EV769,0,-MIN(60,COLUMN()-29),1,MIN(60,COLUMN()-29))),0)</f>
        <v>0</v>
      </c>
      <c r="EW770" s="9" t="n">
        <f aca="true">IFERROR(SUMPRODUCT(OFFSET($BJ$31,0,1-MIN(60,COLUMN()-29),1,MIN(60,COLUMN()-29)),OFFSET(EW769,0,-MIN(60,COLUMN()-29),1,MIN(60,COLUMN()-29))),0)</f>
        <v>0</v>
      </c>
      <c r="EX770" s="9" t="n">
        <f aca="true">IFERROR(SUMPRODUCT(OFFSET($BJ$31,0,1-MIN(60,COLUMN()-29),1,MIN(60,COLUMN()-29)),OFFSET(EX769,0,-MIN(60,COLUMN()-29),1,MIN(60,COLUMN()-29))),0)</f>
        <v>0</v>
      </c>
      <c r="EY770" s="9" t="n">
        <f aca="true">IFERROR(SUMPRODUCT(OFFSET($BJ$31,0,1-MIN(60,COLUMN()-29),1,MIN(60,COLUMN()-29)),OFFSET(EY769,0,-MIN(60,COLUMN()-29),1,MIN(60,COLUMN()-29))),0)</f>
        <v>0</v>
      </c>
      <c r="EZ770" s="9" t="n">
        <f aca="true">IFERROR(SUMPRODUCT(OFFSET($BJ$31,0,1-MIN(60,COLUMN()-29),1,MIN(60,COLUMN()-29)),OFFSET(EZ769,0,-MIN(60,COLUMN()-29),1,MIN(60,COLUMN()-29))),0)</f>
        <v>0</v>
      </c>
      <c r="FA770" s="9" t="n">
        <f aca="true">IFERROR(SUMPRODUCT(OFFSET($BJ$31,0,1-MIN(60,COLUMN()-29),1,MIN(60,COLUMN()-29)),OFFSET(FA769,0,-MIN(60,COLUMN()-29),1,MIN(60,COLUMN()-29))),0)</f>
        <v>0</v>
      </c>
      <c r="FB770" s="9" t="n">
        <f aca="true">IFERROR(SUMPRODUCT(OFFSET($BJ$31,0,1-MIN(60,COLUMN()-29),1,MIN(60,COLUMN()-29)),OFFSET(FB769,0,-MIN(60,COLUMN()-29),1,MIN(60,COLUMN()-29))),0)</f>
        <v>3.26656</v>
      </c>
      <c r="FC770" s="9" t="n">
        <f aca="true">IFERROR(SUMPRODUCT(OFFSET($BJ$31,0,1-MIN(60,COLUMN()-29),1,MIN(60,COLUMN()-29)),OFFSET(FC769,0,-MIN(60,COLUMN()-29),1,MIN(60,COLUMN()-29))),0)</f>
        <v>3.422848</v>
      </c>
      <c r="FD770" s="9" t="n">
        <f aca="true">IFERROR(SUMPRODUCT(OFFSET($BJ$31,0,1-MIN(60,COLUMN()-29),1,MIN(60,COLUMN()-29)),OFFSET(FD769,0,-MIN(60,COLUMN()-29),1,MIN(60,COLUMN()-29))),0)</f>
        <v>3.4135552</v>
      </c>
      <c r="FE770" s="9" t="n">
        <f aca="true">IFERROR(SUMPRODUCT(OFFSET($BJ$31,0,1-MIN(60,COLUMN()-29),1,MIN(60,COLUMN()-29)),OFFSET(FE769,0,-MIN(60,COLUMN()-29),1,MIN(60,COLUMN()-29))),0)</f>
        <v>5.0592256</v>
      </c>
      <c r="FF770" s="9" t="n">
        <f aca="true">IFERROR(SUMPRODUCT(OFFSET($BJ$31,0,1-MIN(60,COLUMN()-29),1,MIN(60,COLUMN()-29)),OFFSET(FF769,0,-MIN(60,COLUMN()-29),1,MIN(60,COLUMN()-29))),0)</f>
        <v>5.6070432</v>
      </c>
      <c r="FG770" s="9" t="n">
        <f aca="true">IFERROR(SUMPRODUCT(OFFSET($BJ$31,0,1-MIN(60,COLUMN()-29),1,MIN(60,COLUMN()-29)),OFFSET(FG769,0,-MIN(60,COLUMN()-29),1,MIN(60,COLUMN()-29))),0)</f>
        <v>5.4110848</v>
      </c>
      <c r="FH770" s="9" t="n">
        <f aca="true">IFERROR(SUMPRODUCT(OFFSET($BJ$31,0,1-MIN(60,COLUMN()-29),1,MIN(60,COLUMN()-29)),OFFSET(FH769,0,-MIN(60,COLUMN()-29),1,MIN(60,COLUMN()-29))),0)</f>
        <v>8.0171872</v>
      </c>
      <c r="FI770" s="9" t="n">
        <f aca="true">IFERROR(SUMPRODUCT(OFFSET($BJ$31,0,1-MIN(60,COLUMN()-29),1,MIN(60,COLUMN()-29)),OFFSET(FI769,0,-MIN(60,COLUMN()-29),1,MIN(60,COLUMN()-29))),0)</f>
        <v>8.7395264</v>
      </c>
      <c r="FJ770" s="9" t="n">
        <f aca="true">IFERROR(SUMPRODUCT(OFFSET($BJ$31,0,1-MIN(60,COLUMN()-29),1,MIN(60,COLUMN()-29)),OFFSET(FJ769,0,-MIN(60,COLUMN()-29),1,MIN(60,COLUMN()-29))),0)</f>
        <v>9.0024</v>
      </c>
      <c r="FK770" s="9" t="n">
        <f aca="true">IFERROR(SUMPRODUCT(OFFSET($BJ$31,0,1-MIN(60,COLUMN()-29),1,MIN(60,COLUMN()-29)),OFFSET(FK769,0,-MIN(60,COLUMN()-29),1,MIN(60,COLUMN()-29))),0)</f>
        <v>9.0390784</v>
      </c>
      <c r="FL770" s="9" t="n">
        <f aca="true">IFERROR(SUMPRODUCT(OFFSET($BJ$31,0,1-MIN(60,COLUMN()-29),1,MIN(60,COLUMN()-29)),OFFSET(FL769,0,-MIN(60,COLUMN()-29),1,MIN(60,COLUMN()-29))),0)</f>
        <v>9.854592</v>
      </c>
      <c r="FM770" s="9" t="n">
        <f aca="true">IFERROR(SUMPRODUCT(OFFSET($BJ$31,0,1-MIN(60,COLUMN()-29),1,MIN(60,COLUMN()-29)),OFFSET(FM769,0,-MIN(60,COLUMN()-29),1,MIN(60,COLUMN()-29))),0)</f>
        <v>15.277152</v>
      </c>
      <c r="FN770" s="9" t="n">
        <f aca="true">IFERROR(SUMPRODUCT(OFFSET($BJ$31,0,1-MIN(60,COLUMN()-29),1,MIN(60,COLUMN()-29)),OFFSET(FN769,0,-MIN(60,COLUMN()-29),1,MIN(60,COLUMN()-29))),0)</f>
        <v>15.9999136</v>
      </c>
      <c r="FO770" s="9" t="n">
        <f aca="true">IFERROR(SUMPRODUCT(OFFSET($BJ$31,0,1-MIN(60,COLUMN()-29),1,MIN(60,COLUMN()-29)),OFFSET(FO769,0,-MIN(60,COLUMN()-29),1,MIN(60,COLUMN()-29))),0)</f>
        <v>15.8602048</v>
      </c>
      <c r="FP770" s="9" t="n">
        <f aca="true">IFERROR(SUMPRODUCT(OFFSET($BJ$31,0,1-MIN(60,COLUMN()-29),1,MIN(60,COLUMN()-29)),OFFSET(FP769,0,-MIN(60,COLUMN()-29),1,MIN(60,COLUMN()-29))),0)</f>
        <v>14.451184</v>
      </c>
    </row>
    <row r="771" customFormat="false" ht="15" hidden="false" customHeight="false" outlineLevel="2" collapsed="false">
      <c r="B771" s="90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237"/>
      <c r="AD771" s="237"/>
      <c r="AE771" s="237"/>
      <c r="AF771" s="237"/>
      <c r="AG771" s="237"/>
      <c r="AH771" s="237"/>
      <c r="AI771" s="237"/>
      <c r="AJ771" s="237"/>
      <c r="AK771" s="237"/>
      <c r="AL771" s="237"/>
      <c r="AM771" s="237"/>
      <c r="AN771" s="237"/>
      <c r="AO771" s="237"/>
      <c r="AP771" s="237"/>
      <c r="AQ771" s="237"/>
      <c r="AR771" s="237"/>
      <c r="AS771" s="237"/>
      <c r="AT771" s="237"/>
      <c r="AU771" s="237"/>
      <c r="AV771" s="237"/>
      <c r="AW771" s="237"/>
      <c r="AX771" s="237"/>
      <c r="AY771" s="237"/>
      <c r="AZ771" s="237"/>
      <c r="BA771" s="237"/>
      <c r="BB771" s="237"/>
      <c r="BC771" s="237"/>
      <c r="BD771" s="237"/>
      <c r="BE771" s="237"/>
      <c r="BF771" s="237"/>
      <c r="BG771" s="237"/>
      <c r="BH771" s="237"/>
      <c r="BI771" s="237"/>
      <c r="BJ771" s="237"/>
      <c r="BK771" s="237"/>
      <c r="BL771" s="237"/>
      <c r="BM771" s="237"/>
      <c r="BN771" s="237"/>
      <c r="BO771" s="237"/>
      <c r="BP771" s="237"/>
      <c r="BQ771" s="237"/>
      <c r="BR771" s="237"/>
      <c r="BS771" s="237"/>
      <c r="BT771" s="237"/>
      <c r="BU771" s="237"/>
      <c r="BV771" s="237"/>
      <c r="BW771" s="237"/>
      <c r="BX771" s="237"/>
      <c r="BY771" s="237"/>
      <c r="BZ771" s="237"/>
      <c r="CA771" s="237"/>
      <c r="CB771" s="237"/>
      <c r="CC771" s="237"/>
      <c r="CD771" s="237"/>
      <c r="CE771" s="237"/>
      <c r="CF771" s="237"/>
      <c r="CG771" s="237"/>
      <c r="CH771" s="237"/>
      <c r="CI771" s="237"/>
      <c r="CJ771" s="237"/>
      <c r="CK771" s="237"/>
      <c r="CL771" s="237"/>
      <c r="CM771" s="237"/>
      <c r="CN771" s="237"/>
      <c r="CO771" s="237"/>
      <c r="CP771" s="237"/>
      <c r="CQ771" s="237"/>
      <c r="CR771" s="237"/>
      <c r="CS771" s="237"/>
      <c r="CT771" s="237"/>
      <c r="CU771" s="237"/>
      <c r="CV771" s="237"/>
      <c r="CW771" s="237"/>
      <c r="CX771" s="237"/>
      <c r="CY771" s="237"/>
      <c r="CZ771" s="237"/>
      <c r="DA771" s="237"/>
      <c r="DB771" s="237"/>
      <c r="DC771" s="237"/>
      <c r="DD771" s="237"/>
      <c r="DE771" s="237"/>
      <c r="DF771" s="237"/>
      <c r="DG771" s="237"/>
      <c r="DH771" s="237"/>
      <c r="DI771" s="237"/>
      <c r="DJ771" s="237"/>
      <c r="DK771" s="237"/>
      <c r="DL771" s="237"/>
      <c r="DM771" s="237"/>
      <c r="DN771" s="237"/>
      <c r="DO771" s="237"/>
      <c r="DP771" s="237"/>
      <c r="DQ771" s="237"/>
      <c r="DR771" s="237"/>
      <c r="DS771" s="237"/>
      <c r="DT771" s="237"/>
      <c r="DU771" s="237"/>
      <c r="DV771" s="237"/>
      <c r="DW771" s="237"/>
      <c r="DX771" s="237"/>
      <c r="DY771" s="237"/>
      <c r="DZ771" s="237"/>
      <c r="EA771" s="237"/>
      <c r="EB771" s="237"/>
      <c r="EC771" s="237"/>
      <c r="ED771" s="237"/>
      <c r="EE771" s="237"/>
      <c r="EF771" s="237"/>
      <c r="EG771" s="237"/>
      <c r="EH771" s="237"/>
      <c r="EI771" s="237"/>
      <c r="EJ771" s="237"/>
      <c r="EK771" s="237"/>
      <c r="EL771" s="237"/>
      <c r="EM771" s="237"/>
      <c r="EN771" s="237"/>
      <c r="EO771" s="237"/>
      <c r="EP771" s="237"/>
      <c r="EQ771" s="237"/>
      <c r="ER771" s="237"/>
      <c r="ES771" s="9"/>
      <c r="ET771" s="9"/>
      <c r="EU771" s="9"/>
      <c r="EV771" s="9"/>
      <c r="EW771" s="9"/>
      <c r="EX771" s="9"/>
      <c r="EY771" s="9"/>
      <c r="EZ771" s="9"/>
      <c r="FA771" s="9"/>
      <c r="FB771" s="9"/>
      <c r="FC771" s="9"/>
      <c r="FD771" s="9"/>
      <c r="FE771" s="9"/>
      <c r="FF771" s="9"/>
      <c r="FG771" s="9"/>
      <c r="FH771" s="9"/>
      <c r="FI771" s="9"/>
      <c r="FJ771" s="9"/>
      <c r="FK771" s="9"/>
      <c r="FL771" s="9"/>
      <c r="FM771" s="9"/>
      <c r="FN771" s="9"/>
      <c r="FO771" s="9"/>
      <c r="FP771" s="9"/>
    </row>
    <row r="772" customFormat="false" ht="15" hidden="false" customHeight="false" outlineLevel="2" collapsed="false">
      <c r="B772" s="240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237"/>
      <c r="AD772" s="237"/>
      <c r="AE772" s="237"/>
      <c r="AF772" s="237"/>
      <c r="AG772" s="237"/>
      <c r="AH772" s="237"/>
      <c r="AI772" s="237"/>
      <c r="AJ772" s="237"/>
      <c r="AK772" s="237"/>
      <c r="AL772" s="237"/>
      <c r="AM772" s="237"/>
      <c r="AN772" s="237"/>
      <c r="AO772" s="237"/>
      <c r="AP772" s="237"/>
      <c r="AQ772" s="237"/>
      <c r="AR772" s="237"/>
      <c r="AS772" s="237"/>
      <c r="AT772" s="237"/>
      <c r="AU772" s="237"/>
      <c r="AV772" s="237"/>
      <c r="AW772" s="237"/>
      <c r="AX772" s="237"/>
      <c r="AY772" s="237"/>
      <c r="AZ772" s="237"/>
      <c r="BA772" s="237"/>
      <c r="BB772" s="237"/>
      <c r="BC772" s="237"/>
      <c r="BD772" s="237"/>
      <c r="BE772" s="237"/>
      <c r="BF772" s="237"/>
      <c r="BG772" s="237"/>
      <c r="BH772" s="237"/>
      <c r="BI772" s="237"/>
      <c r="BJ772" s="237"/>
      <c r="BK772" s="237"/>
      <c r="BL772" s="237"/>
      <c r="BM772" s="237"/>
      <c r="BN772" s="237"/>
      <c r="BO772" s="237"/>
      <c r="BP772" s="237"/>
      <c r="BQ772" s="237"/>
      <c r="BR772" s="237"/>
      <c r="BS772" s="237"/>
      <c r="BT772" s="237"/>
      <c r="BU772" s="237"/>
      <c r="BV772" s="237"/>
      <c r="BW772" s="237"/>
      <c r="BX772" s="237"/>
      <c r="BY772" s="237"/>
      <c r="BZ772" s="237"/>
      <c r="CA772" s="237"/>
      <c r="CB772" s="237"/>
      <c r="CC772" s="237"/>
      <c r="CD772" s="237"/>
      <c r="CE772" s="237"/>
      <c r="CF772" s="237"/>
      <c r="CG772" s="237"/>
      <c r="CH772" s="237"/>
      <c r="CI772" s="237"/>
      <c r="CJ772" s="237"/>
      <c r="CK772" s="237"/>
      <c r="CL772" s="237"/>
      <c r="CM772" s="237"/>
      <c r="CN772" s="237"/>
      <c r="CO772" s="237"/>
      <c r="CP772" s="237"/>
      <c r="CQ772" s="237"/>
      <c r="CR772" s="237"/>
      <c r="CS772" s="237"/>
      <c r="CT772" s="237"/>
      <c r="CU772" s="237"/>
      <c r="CV772" s="237"/>
      <c r="CW772" s="237"/>
      <c r="CX772" s="237"/>
      <c r="CY772" s="237"/>
      <c r="CZ772" s="237"/>
      <c r="DA772" s="237"/>
      <c r="DB772" s="237"/>
      <c r="DC772" s="237"/>
      <c r="DD772" s="237"/>
      <c r="DE772" s="237"/>
      <c r="DF772" s="237"/>
      <c r="DG772" s="237"/>
      <c r="DH772" s="237"/>
      <c r="DI772" s="237"/>
      <c r="DJ772" s="237"/>
      <c r="DK772" s="237"/>
      <c r="DL772" s="237"/>
      <c r="DM772" s="237"/>
      <c r="DN772" s="237"/>
      <c r="DO772" s="237"/>
      <c r="DP772" s="237"/>
      <c r="DQ772" s="237"/>
      <c r="DR772" s="237"/>
      <c r="DS772" s="237"/>
      <c r="DT772" s="237"/>
      <c r="DU772" s="237"/>
      <c r="DV772" s="237"/>
      <c r="DW772" s="237"/>
      <c r="DX772" s="237"/>
      <c r="DY772" s="237"/>
      <c r="DZ772" s="237"/>
      <c r="EA772" s="237"/>
      <c r="EB772" s="237"/>
      <c r="EC772" s="237"/>
      <c r="ED772" s="237"/>
      <c r="EE772" s="237"/>
      <c r="EF772" s="237"/>
      <c r="EG772" s="237"/>
      <c r="EH772" s="237"/>
      <c r="EI772" s="237"/>
      <c r="EJ772" s="237"/>
      <c r="EK772" s="237"/>
      <c r="EL772" s="237"/>
      <c r="EM772" s="237"/>
      <c r="EN772" s="237"/>
      <c r="EO772" s="237"/>
      <c r="EP772" s="237"/>
      <c r="EQ772" s="237"/>
      <c r="ER772" s="237"/>
      <c r="ES772" s="9"/>
      <c r="ET772" s="9"/>
      <c r="EU772" s="9"/>
      <c r="EV772" s="9"/>
      <c r="EW772" s="9"/>
      <c r="EX772" s="9"/>
      <c r="EY772" s="9"/>
      <c r="EZ772" s="9"/>
      <c r="FA772" s="9"/>
      <c r="FB772" s="9"/>
      <c r="FC772" s="9"/>
      <c r="FD772" s="9"/>
      <c r="FE772" s="9"/>
      <c r="FF772" s="9"/>
      <c r="FG772" s="9"/>
      <c r="FH772" s="9"/>
      <c r="FI772" s="9"/>
      <c r="FJ772" s="9"/>
      <c r="FK772" s="9"/>
      <c r="FL772" s="9"/>
      <c r="FM772" s="9"/>
      <c r="FN772" s="9"/>
      <c r="FO772" s="9"/>
      <c r="FP772" s="9"/>
    </row>
    <row r="773" customFormat="false" ht="15" hidden="false" customHeight="false" outlineLevel="2" collapsed="false">
      <c r="B773" s="21" t="s">
        <v>950</v>
      </c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  <c r="AP773" s="21"/>
      <c r="AQ773" s="21"/>
      <c r="AR773" s="21"/>
      <c r="AS773" s="21"/>
      <c r="AT773" s="21"/>
      <c r="AU773" s="21"/>
      <c r="AV773" s="21"/>
      <c r="AW773" s="21"/>
      <c r="AX773" s="21"/>
      <c r="AY773" s="21"/>
      <c r="AZ773" s="21"/>
      <c r="BA773" s="21"/>
      <c r="BB773" s="21"/>
      <c r="BC773" s="21"/>
      <c r="BD773" s="21"/>
      <c r="BE773" s="21"/>
      <c r="BF773" s="21"/>
      <c r="BG773" s="21"/>
      <c r="BH773" s="21"/>
      <c r="BI773" s="21"/>
      <c r="BJ773" s="21"/>
      <c r="BK773" s="21"/>
      <c r="BL773" s="21"/>
      <c r="BM773" s="21"/>
      <c r="BN773" s="21"/>
      <c r="BO773" s="21"/>
      <c r="BP773" s="21"/>
      <c r="BQ773" s="21"/>
      <c r="BR773" s="21"/>
      <c r="BS773" s="21"/>
      <c r="BT773" s="21"/>
      <c r="BU773" s="21"/>
      <c r="BV773" s="21"/>
      <c r="BW773" s="21"/>
      <c r="BX773" s="21"/>
      <c r="BY773" s="21"/>
      <c r="BZ773" s="21"/>
      <c r="CA773" s="21"/>
      <c r="CB773" s="21"/>
      <c r="CC773" s="21"/>
      <c r="CD773" s="21"/>
      <c r="CE773" s="21"/>
      <c r="CF773" s="21"/>
      <c r="CG773" s="21"/>
      <c r="CH773" s="21"/>
      <c r="CI773" s="21"/>
      <c r="CJ773" s="21"/>
      <c r="CK773" s="21"/>
      <c r="CL773" s="21"/>
      <c r="CM773" s="21"/>
      <c r="CN773" s="21"/>
      <c r="CO773" s="21"/>
      <c r="CP773" s="21"/>
      <c r="CQ773" s="21"/>
      <c r="CR773" s="21"/>
      <c r="CS773" s="21"/>
      <c r="CT773" s="21"/>
      <c r="CU773" s="21"/>
      <c r="CV773" s="21"/>
      <c r="CW773" s="21"/>
      <c r="CX773" s="21"/>
      <c r="CY773" s="21"/>
      <c r="CZ773" s="21"/>
      <c r="DA773" s="21"/>
      <c r="DB773" s="21"/>
      <c r="DC773" s="21"/>
      <c r="DD773" s="21"/>
      <c r="DE773" s="21"/>
      <c r="DF773" s="21"/>
      <c r="DG773" s="21"/>
      <c r="DH773" s="21"/>
      <c r="DI773" s="21"/>
      <c r="DJ773" s="21"/>
      <c r="DK773" s="21"/>
      <c r="DL773" s="21"/>
      <c r="DM773" s="21"/>
      <c r="DN773" s="21"/>
      <c r="DO773" s="21"/>
      <c r="DP773" s="21"/>
      <c r="DQ773" s="21"/>
      <c r="DR773" s="21"/>
      <c r="DS773" s="21"/>
      <c r="DT773" s="21"/>
      <c r="DU773" s="21"/>
      <c r="DV773" s="21"/>
      <c r="DW773" s="21"/>
      <c r="DX773" s="21"/>
      <c r="DY773" s="21"/>
      <c r="DZ773" s="21"/>
      <c r="EA773" s="21"/>
      <c r="EB773" s="21"/>
      <c r="EC773" s="21"/>
      <c r="ED773" s="21"/>
      <c r="EE773" s="21"/>
      <c r="EF773" s="21"/>
      <c r="EG773" s="21"/>
      <c r="EH773" s="21"/>
      <c r="EI773" s="21"/>
      <c r="EJ773" s="21"/>
      <c r="EK773" s="21"/>
      <c r="EL773" s="21"/>
      <c r="EM773" s="21"/>
      <c r="EN773" s="21"/>
      <c r="EO773" s="21"/>
      <c r="EP773" s="21"/>
      <c r="EQ773" s="21"/>
      <c r="ER773" s="21"/>
      <c r="ES773" s="9"/>
      <c r="ET773" s="9"/>
      <c r="EU773" s="9"/>
      <c r="EV773" s="9"/>
      <c r="EW773" s="9"/>
      <c r="EX773" s="9"/>
      <c r="EY773" s="9"/>
      <c r="EZ773" s="9"/>
      <c r="FA773" s="9"/>
      <c r="FB773" s="9"/>
      <c r="FC773" s="9"/>
      <c r="FD773" s="9"/>
      <c r="FE773" s="9"/>
      <c r="FF773" s="9"/>
      <c r="FG773" s="9"/>
      <c r="FH773" s="9"/>
      <c r="FI773" s="9"/>
      <c r="FJ773" s="9"/>
      <c r="FK773" s="9"/>
      <c r="FL773" s="9"/>
      <c r="FM773" s="9"/>
      <c r="FN773" s="9"/>
      <c r="FO773" s="9"/>
      <c r="FP773" s="9"/>
    </row>
    <row r="774" customFormat="false" ht="15" hidden="false" customHeight="false" outlineLevel="2" collapsed="false">
      <c r="B774" s="9" t="s">
        <v>872</v>
      </c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234" t="n">
        <f aca="false">('⑫ Roll-out Plan'!G82-2025)*12+'⑫ Roll-out Plan'!F82</f>
        <v>130</v>
      </c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  <c r="CA774" s="9"/>
      <c r="CB774" s="9"/>
      <c r="CC774" s="9"/>
      <c r="CD774" s="9"/>
      <c r="CE774" s="9"/>
      <c r="CF774" s="9"/>
      <c r="CG774" s="9"/>
      <c r="CH774" s="9"/>
      <c r="CI774" s="9"/>
      <c r="CJ774" s="9"/>
      <c r="CK774" s="9"/>
      <c r="CL774" s="9"/>
      <c r="CM774" s="9"/>
      <c r="CN774" s="9"/>
      <c r="CO774" s="9"/>
      <c r="CP774" s="9"/>
      <c r="CQ774" s="9"/>
      <c r="CR774" s="9"/>
      <c r="CS774" s="9"/>
      <c r="CT774" s="9"/>
      <c r="CU774" s="9"/>
      <c r="CV774" s="9"/>
      <c r="CW774" s="9"/>
      <c r="CX774" s="9"/>
      <c r="CY774" s="9"/>
      <c r="CZ774" s="9"/>
      <c r="DA774" s="9"/>
      <c r="DB774" s="9"/>
      <c r="DC774" s="9"/>
      <c r="DD774" s="9"/>
      <c r="DE774" s="9"/>
      <c r="DF774" s="9"/>
      <c r="DG774" s="9"/>
      <c r="DH774" s="9"/>
      <c r="DI774" s="9"/>
      <c r="DJ774" s="9"/>
      <c r="DK774" s="9"/>
      <c r="DL774" s="9"/>
      <c r="DM774" s="9"/>
      <c r="DN774" s="9"/>
      <c r="DO774" s="9"/>
      <c r="DP774" s="9"/>
      <c r="DQ774" s="9"/>
      <c r="DR774" s="9"/>
      <c r="DS774" s="9"/>
      <c r="DT774" s="9"/>
      <c r="DU774" s="9"/>
      <c r="DV774" s="9"/>
      <c r="DW774" s="9"/>
      <c r="DX774" s="9"/>
      <c r="DY774" s="9"/>
      <c r="DZ774" s="9"/>
      <c r="EA774" s="9"/>
      <c r="EB774" s="9"/>
      <c r="EC774" s="9"/>
      <c r="ED774" s="9"/>
      <c r="EE774" s="9"/>
      <c r="EF774" s="9"/>
      <c r="EG774" s="9"/>
      <c r="EH774" s="9"/>
      <c r="EI774" s="9"/>
      <c r="EJ774" s="9"/>
      <c r="EK774" s="9"/>
      <c r="EL774" s="9"/>
      <c r="EM774" s="9"/>
      <c r="EN774" s="9"/>
      <c r="EO774" s="9"/>
      <c r="EP774" s="9"/>
      <c r="EQ774" s="9"/>
      <c r="ER774" s="9"/>
      <c r="ES774" s="9"/>
      <c r="ET774" s="9"/>
      <c r="EU774" s="9"/>
      <c r="EV774" s="9"/>
      <c r="EW774" s="9"/>
      <c r="EX774" s="9"/>
      <c r="EY774" s="9"/>
      <c r="EZ774" s="9"/>
      <c r="FA774" s="9"/>
      <c r="FB774" s="9"/>
      <c r="FC774" s="9"/>
      <c r="FD774" s="9"/>
      <c r="FE774" s="9"/>
      <c r="FF774" s="9"/>
      <c r="FG774" s="9"/>
      <c r="FH774" s="9"/>
      <c r="FI774" s="9"/>
      <c r="FJ774" s="9"/>
      <c r="FK774" s="9"/>
      <c r="FL774" s="9"/>
      <c r="FM774" s="9"/>
      <c r="FN774" s="9"/>
      <c r="FO774" s="9"/>
      <c r="FP774" s="9"/>
    </row>
    <row r="775" customFormat="false" ht="15" hidden="false" customHeight="false" outlineLevel="2" collapsed="false">
      <c r="B775" s="9" t="s">
        <v>873</v>
      </c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235" t="n">
        <f aca="false">VLOOKUP("A",$B$14:$C$18,2,FALSE())</f>
        <v>210</v>
      </c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9"/>
      <c r="BS775" s="9"/>
      <c r="BT775" s="9"/>
      <c r="BU775" s="9"/>
      <c r="BV775" s="9"/>
      <c r="BW775" s="9"/>
      <c r="BX775" s="9"/>
      <c r="BY775" s="9"/>
      <c r="BZ775" s="9"/>
      <c r="CA775" s="9"/>
      <c r="CB775" s="9"/>
      <c r="CC775" s="9"/>
      <c r="CD775" s="9"/>
      <c r="CE775" s="9"/>
      <c r="CF775" s="9"/>
      <c r="CG775" s="9"/>
      <c r="CH775" s="9"/>
      <c r="CI775" s="9"/>
      <c r="CJ775" s="9"/>
      <c r="CK775" s="9"/>
      <c r="CL775" s="9"/>
      <c r="CM775" s="9"/>
      <c r="CN775" s="9"/>
      <c r="CO775" s="9"/>
      <c r="CP775" s="9"/>
      <c r="CQ775" s="9"/>
      <c r="CR775" s="9"/>
      <c r="CS775" s="9"/>
      <c r="CT775" s="9"/>
      <c r="CU775" s="9"/>
      <c r="CV775" s="9"/>
      <c r="CW775" s="9"/>
      <c r="CX775" s="9"/>
      <c r="CY775" s="9"/>
      <c r="CZ775" s="9"/>
      <c r="DA775" s="9"/>
      <c r="DB775" s="9"/>
      <c r="DC775" s="9"/>
      <c r="DD775" s="9"/>
      <c r="DE775" s="9"/>
      <c r="DF775" s="9"/>
      <c r="DG775" s="9"/>
      <c r="DH775" s="9"/>
      <c r="DI775" s="9"/>
      <c r="DJ775" s="9"/>
      <c r="DK775" s="9"/>
      <c r="DL775" s="9"/>
      <c r="DM775" s="9"/>
      <c r="DN775" s="9"/>
      <c r="DO775" s="9"/>
      <c r="DP775" s="9"/>
      <c r="DQ775" s="9"/>
      <c r="DR775" s="9"/>
      <c r="DS775" s="9"/>
      <c r="DT775" s="9"/>
      <c r="DU775" s="9"/>
      <c r="DV775" s="9"/>
      <c r="DW775" s="9"/>
      <c r="DX775" s="9"/>
      <c r="DY775" s="9"/>
      <c r="DZ775" s="9"/>
      <c r="EA775" s="9"/>
      <c r="EB775" s="9"/>
      <c r="EC775" s="9"/>
      <c r="ED775" s="9"/>
      <c r="EE775" s="9"/>
      <c r="EF775" s="9"/>
      <c r="EG775" s="9"/>
      <c r="EH775" s="9"/>
      <c r="EI775" s="9"/>
      <c r="EJ775" s="9"/>
      <c r="EK775" s="9"/>
      <c r="EL775" s="9"/>
      <c r="EM775" s="9"/>
      <c r="EN775" s="9"/>
      <c r="EO775" s="9"/>
      <c r="EP775" s="9"/>
      <c r="EQ775" s="9"/>
      <c r="ER775" s="9"/>
      <c r="ES775" s="9"/>
      <c r="ET775" s="9"/>
      <c r="EU775" s="9"/>
      <c r="EV775" s="9"/>
      <c r="EW775" s="9"/>
      <c r="EX775" s="9"/>
      <c r="EY775" s="9"/>
      <c r="EZ775" s="9"/>
      <c r="FA775" s="9"/>
      <c r="FB775" s="9"/>
      <c r="FC775" s="9"/>
      <c r="FD775" s="9"/>
      <c r="FE775" s="9"/>
      <c r="FF775" s="9"/>
      <c r="FG775" s="9"/>
      <c r="FH775" s="9"/>
      <c r="FI775" s="9"/>
      <c r="FJ775" s="9"/>
      <c r="FK775" s="9"/>
      <c r="FL775" s="9"/>
      <c r="FM775" s="9"/>
      <c r="FN775" s="9"/>
      <c r="FO775" s="9"/>
      <c r="FP775" s="9"/>
    </row>
    <row r="776" customFormat="false" ht="15" hidden="false" customHeight="false" outlineLevel="2" collapsed="false">
      <c r="B776" s="9" t="s">
        <v>799</v>
      </c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63" t="n">
        <f aca="false">IF(AC$35&gt;=$AC$774,AC$35-$AC$774+1,0)</f>
        <v>0</v>
      </c>
      <c r="AD776" s="63" t="n">
        <f aca="false">IF(AD$35&gt;=$AC$774,AD$35-$AC$774+1,0)</f>
        <v>0</v>
      </c>
      <c r="AE776" s="63" t="n">
        <f aca="false">IF(AE$35&gt;=$AC$774,AE$35-$AC$774+1,0)</f>
        <v>0</v>
      </c>
      <c r="AF776" s="63" t="n">
        <f aca="false">IF(AF$35&gt;=$AC$774,AF$35-$AC$774+1,0)</f>
        <v>0</v>
      </c>
      <c r="AG776" s="63" t="n">
        <f aca="false">IF(AG$35&gt;=$AC$774,AG$35-$AC$774+1,0)</f>
        <v>0</v>
      </c>
      <c r="AH776" s="63" t="n">
        <f aca="false">IF(AH$35&gt;=$AC$774,AH$35-$AC$774+1,0)</f>
        <v>0</v>
      </c>
      <c r="AI776" s="63" t="n">
        <f aca="false">IF(AI$35&gt;=$AC$774,AI$35-$AC$774+1,0)</f>
        <v>0</v>
      </c>
      <c r="AJ776" s="63" t="n">
        <f aca="false">IF(AJ$35&gt;=$AC$774,AJ$35-$AC$774+1,0)</f>
        <v>0</v>
      </c>
      <c r="AK776" s="63" t="n">
        <f aca="false">IF(AK$35&gt;=$AC$774,AK$35-$AC$774+1,0)</f>
        <v>0</v>
      </c>
      <c r="AL776" s="63" t="n">
        <f aca="false">IF(AL$35&gt;=$AC$774,AL$35-$AC$774+1,0)</f>
        <v>0</v>
      </c>
      <c r="AM776" s="63" t="n">
        <f aca="false">IF(AM$35&gt;=$AC$774,AM$35-$AC$774+1,0)</f>
        <v>0</v>
      </c>
      <c r="AN776" s="63" t="n">
        <f aca="false">IF(AN$35&gt;=$AC$774,AN$35-$AC$774+1,0)</f>
        <v>0</v>
      </c>
      <c r="AO776" s="63" t="n">
        <f aca="false">IF(AO$35&gt;=$AC$774,AO$35-$AC$774+1,0)</f>
        <v>0</v>
      </c>
      <c r="AP776" s="63" t="n">
        <f aca="false">IF(AP$35&gt;=$AC$774,AP$35-$AC$774+1,0)</f>
        <v>0</v>
      </c>
      <c r="AQ776" s="63" t="n">
        <f aca="false">IF(AQ$35&gt;=$AC$774,AQ$35-$AC$774+1,0)</f>
        <v>0</v>
      </c>
      <c r="AR776" s="63" t="n">
        <f aca="false">IF(AR$35&gt;=$AC$774,AR$35-$AC$774+1,0)</f>
        <v>0</v>
      </c>
      <c r="AS776" s="63" t="n">
        <f aca="false">IF(AS$35&gt;=$AC$774,AS$35-$AC$774+1,0)</f>
        <v>0</v>
      </c>
      <c r="AT776" s="63" t="n">
        <f aca="false">IF(AT$35&gt;=$AC$774,AT$35-$AC$774+1,0)</f>
        <v>0</v>
      </c>
      <c r="AU776" s="63" t="n">
        <f aca="false">IF(AU$35&gt;=$AC$774,AU$35-$AC$774+1,0)</f>
        <v>0</v>
      </c>
      <c r="AV776" s="63" t="n">
        <f aca="false">IF(AV$35&gt;=$AC$774,AV$35-$AC$774+1,0)</f>
        <v>0</v>
      </c>
      <c r="AW776" s="63" t="n">
        <f aca="false">IF(AW$35&gt;=$AC$774,AW$35-$AC$774+1,0)</f>
        <v>0</v>
      </c>
      <c r="AX776" s="63" t="n">
        <f aca="false">IF(AX$35&gt;=$AC$774,AX$35-$AC$774+1,0)</f>
        <v>0</v>
      </c>
      <c r="AY776" s="63" t="n">
        <f aca="false">IF(AY$35&gt;=$AC$774,AY$35-$AC$774+1,0)</f>
        <v>0</v>
      </c>
      <c r="AZ776" s="63" t="n">
        <f aca="false">IF(AZ$35&gt;=$AC$774,AZ$35-$AC$774+1,0)</f>
        <v>0</v>
      </c>
      <c r="BA776" s="63" t="n">
        <f aca="false">IF(BA$35&gt;=$AC$774,BA$35-$AC$774+1,0)</f>
        <v>0</v>
      </c>
      <c r="BB776" s="63" t="n">
        <f aca="false">IF(BB$35&gt;=$AC$774,BB$35-$AC$774+1,0)</f>
        <v>0</v>
      </c>
      <c r="BC776" s="63" t="n">
        <f aca="false">IF(BC$35&gt;=$AC$774,BC$35-$AC$774+1,0)</f>
        <v>0</v>
      </c>
      <c r="BD776" s="63" t="n">
        <f aca="false">IF(BD$35&gt;=$AC$774,BD$35-$AC$774+1,0)</f>
        <v>0</v>
      </c>
      <c r="BE776" s="63" t="n">
        <f aca="false">IF(BE$35&gt;=$AC$774,BE$35-$AC$774+1,0)</f>
        <v>0</v>
      </c>
      <c r="BF776" s="63" t="n">
        <f aca="false">IF(BF$35&gt;=$AC$774,BF$35-$AC$774+1,0)</f>
        <v>0</v>
      </c>
      <c r="BG776" s="63" t="n">
        <f aca="false">IF(BG$35&gt;=$AC$774,BG$35-$AC$774+1,0)</f>
        <v>0</v>
      </c>
      <c r="BH776" s="63" t="n">
        <f aca="false">IF(BH$35&gt;=$AC$774,BH$35-$AC$774+1,0)</f>
        <v>0</v>
      </c>
      <c r="BI776" s="63" t="n">
        <f aca="false">IF(BI$35&gt;=$AC$774,BI$35-$AC$774+1,0)</f>
        <v>0</v>
      </c>
      <c r="BJ776" s="63" t="n">
        <f aca="false">IF(BJ$35&gt;=$AC$774,BJ$35-$AC$774+1,0)</f>
        <v>0</v>
      </c>
      <c r="BK776" s="63" t="n">
        <f aca="false">IF(BK$35&gt;=$AC$774,BK$35-$AC$774+1,0)</f>
        <v>0</v>
      </c>
      <c r="BL776" s="63" t="n">
        <f aca="false">IF(BL$35&gt;=$AC$774,BL$35-$AC$774+1,0)</f>
        <v>0</v>
      </c>
      <c r="BM776" s="63" t="n">
        <f aca="false">IF(BM$35&gt;=$AC$774,BM$35-$AC$774+1,0)</f>
        <v>0</v>
      </c>
      <c r="BN776" s="63" t="n">
        <f aca="false">IF(BN$35&gt;=$AC$774,BN$35-$AC$774+1,0)</f>
        <v>0</v>
      </c>
      <c r="BO776" s="63" t="n">
        <f aca="false">IF(BO$35&gt;=$AC$774,BO$35-$AC$774+1,0)</f>
        <v>0</v>
      </c>
      <c r="BP776" s="63" t="n">
        <f aca="false">IF(BP$35&gt;=$AC$774,BP$35-$AC$774+1,0)</f>
        <v>0</v>
      </c>
      <c r="BQ776" s="63" t="n">
        <f aca="false">IF(BQ$35&gt;=$AC$774,BQ$35-$AC$774+1,0)</f>
        <v>0</v>
      </c>
      <c r="BR776" s="63" t="n">
        <f aca="false">IF(BR$35&gt;=$AC$774,BR$35-$AC$774+1,0)</f>
        <v>0</v>
      </c>
      <c r="BS776" s="63" t="n">
        <f aca="false">IF(BS$35&gt;=$AC$774,BS$35-$AC$774+1,0)</f>
        <v>0</v>
      </c>
      <c r="BT776" s="63" t="n">
        <f aca="false">IF(BT$35&gt;=$AC$774,BT$35-$AC$774+1,0)</f>
        <v>0</v>
      </c>
      <c r="BU776" s="63" t="n">
        <f aca="false">IF(BU$35&gt;=$AC$774,BU$35-$AC$774+1,0)</f>
        <v>0</v>
      </c>
      <c r="BV776" s="63" t="n">
        <f aca="false">IF(BV$35&gt;=$AC$774,BV$35-$AC$774+1,0)</f>
        <v>0</v>
      </c>
      <c r="BW776" s="63" t="n">
        <f aca="false">IF(BW$35&gt;=$AC$774,BW$35-$AC$774+1,0)</f>
        <v>0</v>
      </c>
      <c r="BX776" s="63" t="n">
        <f aca="false">IF(BX$35&gt;=$AC$774,BX$35-$AC$774+1,0)</f>
        <v>0</v>
      </c>
      <c r="BY776" s="63" t="n">
        <f aca="false">IF(BY$35&gt;=$AC$774,BY$35-$AC$774+1,0)</f>
        <v>0</v>
      </c>
      <c r="BZ776" s="63" t="n">
        <f aca="false">IF(BZ$35&gt;=$AC$774,BZ$35-$AC$774+1,0)</f>
        <v>0</v>
      </c>
      <c r="CA776" s="63" t="n">
        <f aca="false">IF(CA$35&gt;=$AC$774,CA$35-$AC$774+1,0)</f>
        <v>0</v>
      </c>
      <c r="CB776" s="63" t="n">
        <f aca="false">IF(CB$35&gt;=$AC$774,CB$35-$AC$774+1,0)</f>
        <v>0</v>
      </c>
      <c r="CC776" s="63" t="n">
        <f aca="false">IF(CC$35&gt;=$AC$774,CC$35-$AC$774+1,0)</f>
        <v>0</v>
      </c>
      <c r="CD776" s="63" t="n">
        <f aca="false">IF(CD$35&gt;=$AC$774,CD$35-$AC$774+1,0)</f>
        <v>0</v>
      </c>
      <c r="CE776" s="63" t="n">
        <f aca="false">IF(CE$35&gt;=$AC$774,CE$35-$AC$774+1,0)</f>
        <v>0</v>
      </c>
      <c r="CF776" s="63" t="n">
        <f aca="false">IF(CF$35&gt;=$AC$774,CF$35-$AC$774+1,0)</f>
        <v>0</v>
      </c>
      <c r="CG776" s="63" t="n">
        <f aca="false">IF(CG$35&gt;=$AC$774,CG$35-$AC$774+1,0)</f>
        <v>0</v>
      </c>
      <c r="CH776" s="63" t="n">
        <f aca="false">IF(CH$35&gt;=$AC$774,CH$35-$AC$774+1,0)</f>
        <v>0</v>
      </c>
      <c r="CI776" s="63" t="n">
        <f aca="false">IF(CI$35&gt;=$AC$774,CI$35-$AC$774+1,0)</f>
        <v>0</v>
      </c>
      <c r="CJ776" s="63" t="n">
        <f aca="false">IF(CJ$35&gt;=$AC$774,CJ$35-$AC$774+1,0)</f>
        <v>0</v>
      </c>
      <c r="CK776" s="63" t="n">
        <f aca="false">IF(CK$35&gt;=$AC$774,CK$35-$AC$774+1,0)</f>
        <v>0</v>
      </c>
      <c r="CL776" s="63" t="n">
        <f aca="false">IF(CL$35&gt;=$AC$774,CL$35-$AC$774+1,0)</f>
        <v>0</v>
      </c>
      <c r="CM776" s="63" t="n">
        <f aca="false">IF(CM$35&gt;=$AC$774,CM$35-$AC$774+1,0)</f>
        <v>0</v>
      </c>
      <c r="CN776" s="63" t="n">
        <f aca="false">IF(CN$35&gt;=$AC$774,CN$35-$AC$774+1,0)</f>
        <v>0</v>
      </c>
      <c r="CO776" s="63" t="n">
        <f aca="false">IF(CO$35&gt;=$AC$774,CO$35-$AC$774+1,0)</f>
        <v>0</v>
      </c>
      <c r="CP776" s="63" t="n">
        <f aca="false">IF(CP$35&gt;=$AC$774,CP$35-$AC$774+1,0)</f>
        <v>0</v>
      </c>
      <c r="CQ776" s="63" t="n">
        <f aca="false">IF(CQ$35&gt;=$AC$774,CQ$35-$AC$774+1,0)</f>
        <v>0</v>
      </c>
      <c r="CR776" s="63" t="n">
        <f aca="false">IF(CR$35&gt;=$AC$774,CR$35-$AC$774+1,0)</f>
        <v>0</v>
      </c>
      <c r="CS776" s="63" t="n">
        <f aca="false">IF(CS$35&gt;=$AC$774,CS$35-$AC$774+1,0)</f>
        <v>0</v>
      </c>
      <c r="CT776" s="63" t="n">
        <f aca="false">IF(CT$35&gt;=$AC$774,CT$35-$AC$774+1,0)</f>
        <v>0</v>
      </c>
      <c r="CU776" s="63" t="n">
        <f aca="false">IF(CU$35&gt;=$AC$774,CU$35-$AC$774+1,0)</f>
        <v>0</v>
      </c>
      <c r="CV776" s="63" t="n">
        <f aca="false">IF(CV$35&gt;=$AC$774,CV$35-$AC$774+1,0)</f>
        <v>0</v>
      </c>
      <c r="CW776" s="63" t="n">
        <f aca="false">IF(CW$35&gt;=$AC$774,CW$35-$AC$774+1,0)</f>
        <v>0</v>
      </c>
      <c r="CX776" s="63" t="n">
        <f aca="false">IF(CX$35&gt;=$AC$774,CX$35-$AC$774+1,0)</f>
        <v>0</v>
      </c>
      <c r="CY776" s="63" t="n">
        <f aca="false">IF(CY$35&gt;=$AC$774,CY$35-$AC$774+1,0)</f>
        <v>0</v>
      </c>
      <c r="CZ776" s="63" t="n">
        <f aca="false">IF(CZ$35&gt;=$AC$774,CZ$35-$AC$774+1,0)</f>
        <v>0</v>
      </c>
      <c r="DA776" s="63" t="n">
        <f aca="false">IF(DA$35&gt;=$AC$774,DA$35-$AC$774+1,0)</f>
        <v>0</v>
      </c>
      <c r="DB776" s="63" t="n">
        <f aca="false">IF(DB$35&gt;=$AC$774,DB$35-$AC$774+1,0)</f>
        <v>0</v>
      </c>
      <c r="DC776" s="63" t="n">
        <f aca="false">IF(DC$35&gt;=$AC$774,DC$35-$AC$774+1,0)</f>
        <v>0</v>
      </c>
      <c r="DD776" s="63" t="n">
        <f aca="false">IF(DD$35&gt;=$AC$774,DD$35-$AC$774+1,0)</f>
        <v>0</v>
      </c>
      <c r="DE776" s="63" t="n">
        <f aca="false">IF(DE$35&gt;=$AC$774,DE$35-$AC$774+1,0)</f>
        <v>0</v>
      </c>
      <c r="DF776" s="63" t="n">
        <f aca="false">IF(DF$35&gt;=$AC$774,DF$35-$AC$774+1,0)</f>
        <v>0</v>
      </c>
      <c r="DG776" s="63" t="n">
        <f aca="false">IF(DG$35&gt;=$AC$774,DG$35-$AC$774+1,0)</f>
        <v>0</v>
      </c>
      <c r="DH776" s="63" t="n">
        <f aca="false">IF(DH$35&gt;=$AC$774,DH$35-$AC$774+1,0)</f>
        <v>0</v>
      </c>
      <c r="DI776" s="63" t="n">
        <f aca="false">IF(DI$35&gt;=$AC$774,DI$35-$AC$774+1,0)</f>
        <v>0</v>
      </c>
      <c r="DJ776" s="63" t="n">
        <f aca="false">IF(DJ$35&gt;=$AC$774,DJ$35-$AC$774+1,0)</f>
        <v>0</v>
      </c>
      <c r="DK776" s="63" t="n">
        <f aca="false">IF(DK$35&gt;=$AC$774,DK$35-$AC$774+1,0)</f>
        <v>0</v>
      </c>
      <c r="DL776" s="63" t="n">
        <f aca="false">IF(DL$35&gt;=$AC$774,DL$35-$AC$774+1,0)</f>
        <v>0</v>
      </c>
      <c r="DM776" s="63" t="n">
        <f aca="false">IF(DM$35&gt;=$AC$774,DM$35-$AC$774+1,0)</f>
        <v>0</v>
      </c>
      <c r="DN776" s="63" t="n">
        <f aca="false">IF(DN$35&gt;=$AC$774,DN$35-$AC$774+1,0)</f>
        <v>0</v>
      </c>
      <c r="DO776" s="63" t="n">
        <f aca="false">IF(DO$35&gt;=$AC$774,DO$35-$AC$774+1,0)</f>
        <v>0</v>
      </c>
      <c r="DP776" s="63" t="n">
        <f aca="false">IF(DP$35&gt;=$AC$774,DP$35-$AC$774+1,0)</f>
        <v>0</v>
      </c>
      <c r="DQ776" s="63" t="n">
        <f aca="false">IF(DQ$35&gt;=$AC$774,DQ$35-$AC$774+1,0)</f>
        <v>0</v>
      </c>
      <c r="DR776" s="63" t="n">
        <f aca="false">IF(DR$35&gt;=$AC$774,DR$35-$AC$774+1,0)</f>
        <v>0</v>
      </c>
      <c r="DS776" s="63" t="n">
        <f aca="false">IF(DS$35&gt;=$AC$774,DS$35-$AC$774+1,0)</f>
        <v>0</v>
      </c>
      <c r="DT776" s="63" t="n">
        <f aca="false">IF(DT$35&gt;=$AC$774,DT$35-$AC$774+1,0)</f>
        <v>0</v>
      </c>
      <c r="DU776" s="63" t="n">
        <f aca="false">IF(DU$35&gt;=$AC$774,DU$35-$AC$774+1,0)</f>
        <v>0</v>
      </c>
      <c r="DV776" s="63" t="n">
        <f aca="false">IF(DV$35&gt;=$AC$774,DV$35-$AC$774+1,0)</f>
        <v>0</v>
      </c>
      <c r="DW776" s="63" t="n">
        <f aca="false">IF(DW$35&gt;=$AC$774,DW$35-$AC$774+1,0)</f>
        <v>0</v>
      </c>
      <c r="DX776" s="63" t="n">
        <f aca="false">IF(DX$35&gt;=$AC$774,DX$35-$AC$774+1,0)</f>
        <v>0</v>
      </c>
      <c r="DY776" s="63" t="n">
        <f aca="false">IF(DY$35&gt;=$AC$774,DY$35-$AC$774+1,0)</f>
        <v>0</v>
      </c>
      <c r="DZ776" s="63" t="n">
        <f aca="false">IF(DZ$35&gt;=$AC$774,DZ$35-$AC$774+1,0)</f>
        <v>0</v>
      </c>
      <c r="EA776" s="63" t="n">
        <f aca="false">IF(EA$35&gt;=$AC$774,EA$35-$AC$774+1,0)</f>
        <v>0</v>
      </c>
      <c r="EB776" s="63" t="n">
        <f aca="false">IF(EB$35&gt;=$AC$774,EB$35-$AC$774+1,0)</f>
        <v>0</v>
      </c>
      <c r="EC776" s="63" t="n">
        <f aca="false">IF(EC$35&gt;=$AC$774,EC$35-$AC$774+1,0)</f>
        <v>0</v>
      </c>
      <c r="ED776" s="63" t="n">
        <f aca="false">IF(ED$35&gt;=$AC$774,ED$35-$AC$774+1,0)</f>
        <v>0</v>
      </c>
      <c r="EE776" s="63" t="n">
        <f aca="false">IF(EE$35&gt;=$AC$774,EE$35-$AC$774+1,0)</f>
        <v>0</v>
      </c>
      <c r="EF776" s="63" t="n">
        <f aca="false">IF(EF$35&gt;=$AC$774,EF$35-$AC$774+1,0)</f>
        <v>0</v>
      </c>
      <c r="EG776" s="63" t="n">
        <f aca="false">IF(EG$35&gt;=$AC$774,EG$35-$AC$774+1,0)</f>
        <v>0</v>
      </c>
      <c r="EH776" s="63" t="n">
        <f aca="false">IF(EH$35&gt;=$AC$774,EH$35-$AC$774+1,0)</f>
        <v>0</v>
      </c>
      <c r="EI776" s="63" t="n">
        <f aca="false">IF(EI$35&gt;=$AC$774,EI$35-$AC$774+1,0)</f>
        <v>0</v>
      </c>
      <c r="EJ776" s="63" t="n">
        <f aca="false">IF(EJ$35&gt;=$AC$774,EJ$35-$AC$774+1,0)</f>
        <v>0</v>
      </c>
      <c r="EK776" s="63" t="n">
        <f aca="false">IF(EK$35&gt;=$AC$774,EK$35-$AC$774+1,0)</f>
        <v>0</v>
      </c>
      <c r="EL776" s="63" t="n">
        <f aca="false">IF(EL$35&gt;=$AC$774,EL$35-$AC$774+1,0)</f>
        <v>0</v>
      </c>
      <c r="EM776" s="63" t="n">
        <f aca="false">IF(EM$35&gt;=$AC$774,EM$35-$AC$774+1,0)</f>
        <v>0</v>
      </c>
      <c r="EN776" s="63" t="n">
        <f aca="false">IF(EN$35&gt;=$AC$774,EN$35-$AC$774+1,0)</f>
        <v>0</v>
      </c>
      <c r="EO776" s="63" t="n">
        <f aca="false">IF(EO$35&gt;=$AC$774,EO$35-$AC$774+1,0)</f>
        <v>0</v>
      </c>
      <c r="EP776" s="63" t="n">
        <f aca="false">IF(EP$35&gt;=$AC$774,EP$35-$AC$774+1,0)</f>
        <v>0</v>
      </c>
      <c r="EQ776" s="63" t="n">
        <f aca="false">IF(EQ$35&gt;=$AC$774,EQ$35-$AC$774+1,0)</f>
        <v>0</v>
      </c>
      <c r="ER776" s="63" t="n">
        <f aca="false">IF(ER$35&gt;=$AC$774,ER$35-$AC$774+1,0)</f>
        <v>0</v>
      </c>
      <c r="ES776" s="9" t="n">
        <f aca="false">IF(ES$35&gt;=$AC$774,ES$35-$AC$774+1,0)</f>
        <v>0</v>
      </c>
      <c r="ET776" s="9" t="n">
        <f aca="false">IF(ET$35&gt;=$AC$774,ET$35-$AC$774+1,0)</f>
        <v>0</v>
      </c>
      <c r="EU776" s="9" t="n">
        <f aca="false">IF(EU$35&gt;=$AC$774,EU$35-$AC$774+1,0)</f>
        <v>0</v>
      </c>
      <c r="EV776" s="9" t="n">
        <f aca="false">IF(EV$35&gt;=$AC$774,EV$35-$AC$774+1,0)</f>
        <v>0</v>
      </c>
      <c r="EW776" s="9" t="n">
        <f aca="false">IF(EW$35&gt;=$AC$774,EW$35-$AC$774+1,0)</f>
        <v>0</v>
      </c>
      <c r="EX776" s="9" t="n">
        <f aca="false">IF(EX$35&gt;=$AC$774,EX$35-$AC$774+1,0)</f>
        <v>0</v>
      </c>
      <c r="EY776" s="9" t="n">
        <f aca="false">IF(EY$35&gt;=$AC$774,EY$35-$AC$774+1,0)</f>
        <v>0</v>
      </c>
      <c r="EZ776" s="9" t="n">
        <f aca="false">IF(EZ$35&gt;=$AC$774,EZ$35-$AC$774+1,0)</f>
        <v>0</v>
      </c>
      <c r="FA776" s="9" t="n">
        <f aca="false">IF(FA$35&gt;=$AC$774,FA$35-$AC$774+1,0)</f>
        <v>0</v>
      </c>
      <c r="FB776" s="9" t="n">
        <f aca="false">IF(FB$35&gt;=$AC$774,FB$35-$AC$774+1,0)</f>
        <v>1</v>
      </c>
      <c r="FC776" s="9" t="n">
        <f aca="false">IF(FC$35&gt;=$AC$774,FC$35-$AC$774+1,0)</f>
        <v>2</v>
      </c>
      <c r="FD776" s="9" t="n">
        <f aca="false">IF(FD$35&gt;=$AC$774,FD$35-$AC$774+1,0)</f>
        <v>3</v>
      </c>
      <c r="FE776" s="9" t="n">
        <f aca="false">IF(FE$35&gt;=$AC$774,FE$35-$AC$774+1,0)</f>
        <v>4</v>
      </c>
      <c r="FF776" s="9" t="n">
        <f aca="false">IF(FF$35&gt;=$AC$774,FF$35-$AC$774+1,0)</f>
        <v>5</v>
      </c>
      <c r="FG776" s="9" t="n">
        <f aca="false">IF(FG$35&gt;=$AC$774,FG$35-$AC$774+1,0)</f>
        <v>6</v>
      </c>
      <c r="FH776" s="9" t="n">
        <f aca="false">IF(FH$35&gt;=$AC$774,FH$35-$AC$774+1,0)</f>
        <v>7</v>
      </c>
      <c r="FI776" s="9" t="n">
        <f aca="false">IF(FI$35&gt;=$AC$774,FI$35-$AC$774+1,0)</f>
        <v>8</v>
      </c>
      <c r="FJ776" s="9" t="n">
        <f aca="false">IF(FJ$35&gt;=$AC$774,FJ$35-$AC$774+1,0)</f>
        <v>9</v>
      </c>
      <c r="FK776" s="9" t="n">
        <f aca="false">IF(FK$35&gt;=$AC$774,FK$35-$AC$774+1,0)</f>
        <v>10</v>
      </c>
      <c r="FL776" s="9" t="n">
        <f aca="false">IF(FL$35&gt;=$AC$774,FL$35-$AC$774+1,0)</f>
        <v>11</v>
      </c>
      <c r="FM776" s="9" t="n">
        <f aca="false">IF(FM$35&gt;=$AC$774,FM$35-$AC$774+1,0)</f>
        <v>12</v>
      </c>
      <c r="FN776" s="9" t="n">
        <f aca="false">IF(FN$35&gt;=$AC$774,FN$35-$AC$774+1,0)</f>
        <v>13</v>
      </c>
      <c r="FO776" s="9" t="n">
        <f aca="false">IF(FO$35&gt;=$AC$774,FO$35-$AC$774+1,0)</f>
        <v>14</v>
      </c>
      <c r="FP776" s="9" t="n">
        <f aca="false">IF(FP$35&gt;=$AC$774,FP$35-$AC$774+1,0)</f>
        <v>15</v>
      </c>
    </row>
    <row r="777" customFormat="false" ht="15" hidden="false" customHeight="false" outlineLevel="2" collapsed="false">
      <c r="B777" s="9" t="s">
        <v>874</v>
      </c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236" t="n">
        <f aca="false" t="array" ref="AC777:AC777">IF(AC776=0,0,IF(AC776/'🎚️ Escenario'!$C$11&gt;=36,$AL$23,INDEX($C$23:$AL$23,MAX(1,ROUNDUP(AC776/'🎚️ Escenario'!$C$11,0)))))</f>
        <v>0</v>
      </c>
      <c r="AD777" s="236" t="n">
        <f aca="false" t="array" ref="AD777:AD777">IF(AD776=0,0,IF(AD776/'🎚️ Escenario'!$C$11&gt;=36,$AL$23,INDEX($C$23:$AL$23,MAX(1,ROUNDUP(AD776/'🎚️ Escenario'!$C$11,0)))))</f>
        <v>0</v>
      </c>
      <c r="AE777" s="236" t="n">
        <f aca="false" t="array" ref="AE777:AE777">IF(AE776=0,0,IF(AE776/'🎚️ Escenario'!$C$11&gt;=36,$AL$23,INDEX($C$23:$AL$23,MAX(1,ROUNDUP(AE776/'🎚️ Escenario'!$C$11,0)))))</f>
        <v>0</v>
      </c>
      <c r="AF777" s="236" t="n">
        <f aca="false" t="array" ref="AF777:AF777">IF(AF776=0,0,IF(AF776/'🎚️ Escenario'!$C$11&gt;=36,$AL$23,INDEX($C$23:$AL$23,MAX(1,ROUNDUP(AF776/'🎚️ Escenario'!$C$11,0)))))</f>
        <v>0</v>
      </c>
      <c r="AG777" s="236" t="n">
        <f aca="false" t="array" ref="AG777:AG777">IF(AG776=0,0,IF(AG776/'🎚️ Escenario'!$C$11&gt;=36,$AL$23,INDEX($C$23:$AL$23,MAX(1,ROUNDUP(AG776/'🎚️ Escenario'!$C$11,0)))))</f>
        <v>0</v>
      </c>
      <c r="AH777" s="236" t="n">
        <f aca="false" t="array" ref="AH777:AH777">IF(AH776=0,0,IF(AH776/'🎚️ Escenario'!$C$11&gt;=36,$AL$23,INDEX($C$23:$AL$23,MAX(1,ROUNDUP(AH776/'🎚️ Escenario'!$C$11,0)))))</f>
        <v>0</v>
      </c>
      <c r="AI777" s="236" t="n">
        <f aca="false" t="array" ref="AI777:AI777">IF(AI776=0,0,IF(AI776/'🎚️ Escenario'!$C$11&gt;=36,$AL$23,INDEX($C$23:$AL$23,MAX(1,ROUNDUP(AI776/'🎚️ Escenario'!$C$11,0)))))</f>
        <v>0</v>
      </c>
      <c r="AJ777" s="236" t="n">
        <f aca="false" t="array" ref="AJ777:AJ777">IF(AJ776=0,0,IF(AJ776/'🎚️ Escenario'!$C$11&gt;=36,$AL$23,INDEX($C$23:$AL$23,MAX(1,ROUNDUP(AJ776/'🎚️ Escenario'!$C$11,0)))))</f>
        <v>0</v>
      </c>
      <c r="AK777" s="236" t="n">
        <f aca="false" t="array" ref="AK777:AK777">IF(AK776=0,0,IF(AK776/'🎚️ Escenario'!$C$11&gt;=36,$AL$23,INDEX($C$23:$AL$23,MAX(1,ROUNDUP(AK776/'🎚️ Escenario'!$C$11,0)))))</f>
        <v>0</v>
      </c>
      <c r="AL777" s="236" t="n">
        <f aca="false" t="array" ref="AL777:AL777">IF(AL776=0,0,IF(AL776/'🎚️ Escenario'!$C$11&gt;=36,$AL$23,INDEX($C$23:$AL$23,MAX(1,ROUNDUP(AL776/'🎚️ Escenario'!$C$11,0)))))</f>
        <v>0</v>
      </c>
      <c r="AM777" s="236" t="n">
        <f aca="false" t="array" ref="AM777:AM777">IF(AM776=0,0,IF(AM776/'🎚️ Escenario'!$C$11&gt;=36,$AL$23,INDEX($C$23:$AL$23,MAX(1,ROUNDUP(AM776/'🎚️ Escenario'!$C$11,0)))))</f>
        <v>0</v>
      </c>
      <c r="AN777" s="236" t="n">
        <f aca="false" t="array" ref="AN777:AN777">IF(AN776=0,0,IF(AN776/'🎚️ Escenario'!$C$11&gt;=36,$AL$23,INDEX($C$23:$AL$23,MAX(1,ROUNDUP(AN776/'🎚️ Escenario'!$C$11,0)))))</f>
        <v>0</v>
      </c>
      <c r="AO777" s="236" t="n">
        <f aca="false" t="array" ref="AO777:AO777">IF(AO776=0,0,IF(AO776/'🎚️ Escenario'!$C$11&gt;=36,$AL$23,INDEX($C$23:$AL$23,MAX(1,ROUNDUP(AO776/'🎚️ Escenario'!$C$11,0)))))</f>
        <v>0</v>
      </c>
      <c r="AP777" s="236" t="n">
        <f aca="false" t="array" ref="AP777:AP777">IF(AP776=0,0,IF(AP776/'🎚️ Escenario'!$C$11&gt;=36,$AL$23,INDEX($C$23:$AL$23,MAX(1,ROUNDUP(AP776/'🎚️ Escenario'!$C$11,0)))))</f>
        <v>0</v>
      </c>
      <c r="AQ777" s="236" t="n">
        <f aca="false" t="array" ref="AQ777:AQ777">IF(AQ776=0,0,IF(AQ776/'🎚️ Escenario'!$C$11&gt;=36,$AL$23,INDEX($C$23:$AL$23,MAX(1,ROUNDUP(AQ776/'🎚️ Escenario'!$C$11,0)))))</f>
        <v>0</v>
      </c>
      <c r="AR777" s="236" t="n">
        <f aca="false" t="array" ref="AR777:AR777">IF(AR776=0,0,IF(AR776/'🎚️ Escenario'!$C$11&gt;=36,$AL$23,INDEX($C$23:$AL$23,MAX(1,ROUNDUP(AR776/'🎚️ Escenario'!$C$11,0)))))</f>
        <v>0</v>
      </c>
      <c r="AS777" s="236" t="n">
        <f aca="false" t="array" ref="AS777:AS777">IF(AS776=0,0,IF(AS776/'🎚️ Escenario'!$C$11&gt;=36,$AL$23,INDEX($C$23:$AL$23,MAX(1,ROUNDUP(AS776/'🎚️ Escenario'!$C$11,0)))))</f>
        <v>0</v>
      </c>
      <c r="AT777" s="236" t="n">
        <f aca="false" t="array" ref="AT777:AT777">IF(AT776=0,0,IF(AT776/'🎚️ Escenario'!$C$11&gt;=36,$AL$23,INDEX($C$23:$AL$23,MAX(1,ROUNDUP(AT776/'🎚️ Escenario'!$C$11,0)))))</f>
        <v>0</v>
      </c>
      <c r="AU777" s="236" t="n">
        <f aca="false" t="array" ref="AU777:AU777">IF(AU776=0,0,IF(AU776/'🎚️ Escenario'!$C$11&gt;=36,$AL$23,INDEX($C$23:$AL$23,MAX(1,ROUNDUP(AU776/'🎚️ Escenario'!$C$11,0)))))</f>
        <v>0</v>
      </c>
      <c r="AV777" s="236" t="n">
        <f aca="false" t="array" ref="AV777:AV777">IF(AV776=0,0,IF(AV776/'🎚️ Escenario'!$C$11&gt;=36,$AL$23,INDEX($C$23:$AL$23,MAX(1,ROUNDUP(AV776/'🎚️ Escenario'!$C$11,0)))))</f>
        <v>0</v>
      </c>
      <c r="AW777" s="236" t="n">
        <f aca="false" t="array" ref="AW777:AW777">IF(AW776=0,0,IF(AW776/'🎚️ Escenario'!$C$11&gt;=36,$AL$23,INDEX($C$23:$AL$23,MAX(1,ROUNDUP(AW776/'🎚️ Escenario'!$C$11,0)))))</f>
        <v>0</v>
      </c>
      <c r="AX777" s="236" t="n">
        <f aca="false" t="array" ref="AX777:AX777">IF(AX776=0,0,IF(AX776/'🎚️ Escenario'!$C$11&gt;=36,$AL$23,INDEX($C$23:$AL$23,MAX(1,ROUNDUP(AX776/'🎚️ Escenario'!$C$11,0)))))</f>
        <v>0</v>
      </c>
      <c r="AY777" s="236" t="n">
        <f aca="false" t="array" ref="AY777:AY777">IF(AY776=0,0,IF(AY776/'🎚️ Escenario'!$C$11&gt;=36,$AL$23,INDEX($C$23:$AL$23,MAX(1,ROUNDUP(AY776/'🎚️ Escenario'!$C$11,0)))))</f>
        <v>0</v>
      </c>
      <c r="AZ777" s="236" t="n">
        <f aca="false" t="array" ref="AZ777:AZ777">IF(AZ776=0,0,IF(AZ776/'🎚️ Escenario'!$C$11&gt;=36,$AL$23,INDEX($C$23:$AL$23,MAX(1,ROUNDUP(AZ776/'🎚️ Escenario'!$C$11,0)))))</f>
        <v>0</v>
      </c>
      <c r="BA777" s="236" t="n">
        <f aca="false" t="array" ref="BA777:BA777">IF(BA776=0,0,IF(BA776/'🎚️ Escenario'!$C$11&gt;=36,$AL$23,INDEX($C$23:$AL$23,MAX(1,ROUNDUP(BA776/'🎚️ Escenario'!$C$11,0)))))</f>
        <v>0</v>
      </c>
      <c r="BB777" s="236" t="n">
        <f aca="false" t="array" ref="BB777:BB777">IF(BB776=0,0,IF(BB776/'🎚️ Escenario'!$C$11&gt;=36,$AL$23,INDEX($C$23:$AL$23,MAX(1,ROUNDUP(BB776/'🎚️ Escenario'!$C$11,0)))))</f>
        <v>0</v>
      </c>
      <c r="BC777" s="236" t="n">
        <f aca="false" t="array" ref="BC777:BC777">IF(BC776=0,0,IF(BC776/'🎚️ Escenario'!$C$11&gt;=36,$AL$23,INDEX($C$23:$AL$23,MAX(1,ROUNDUP(BC776/'🎚️ Escenario'!$C$11,0)))))</f>
        <v>0</v>
      </c>
      <c r="BD777" s="236" t="n">
        <f aca="false" t="array" ref="BD777:BD777">IF(BD776=0,0,IF(BD776/'🎚️ Escenario'!$C$11&gt;=36,$AL$23,INDEX($C$23:$AL$23,MAX(1,ROUNDUP(BD776/'🎚️ Escenario'!$C$11,0)))))</f>
        <v>0</v>
      </c>
      <c r="BE777" s="236" t="n">
        <f aca="false" t="array" ref="BE777:BE777">IF(BE776=0,0,IF(BE776/'🎚️ Escenario'!$C$11&gt;=36,$AL$23,INDEX($C$23:$AL$23,MAX(1,ROUNDUP(BE776/'🎚️ Escenario'!$C$11,0)))))</f>
        <v>0</v>
      </c>
      <c r="BF777" s="236" t="n">
        <f aca="false" t="array" ref="BF777:BF777">IF(BF776=0,0,IF(BF776/'🎚️ Escenario'!$C$11&gt;=36,$AL$23,INDEX($C$23:$AL$23,MAX(1,ROUNDUP(BF776/'🎚️ Escenario'!$C$11,0)))))</f>
        <v>0</v>
      </c>
      <c r="BG777" s="236" t="n">
        <f aca="false" t="array" ref="BG777:BG777">IF(BG776=0,0,IF(BG776/'🎚️ Escenario'!$C$11&gt;=36,$AL$23,INDEX($C$23:$AL$23,MAX(1,ROUNDUP(BG776/'🎚️ Escenario'!$C$11,0)))))</f>
        <v>0</v>
      </c>
      <c r="BH777" s="236" t="n">
        <f aca="false" t="array" ref="BH777:BH777">IF(BH776=0,0,IF(BH776/'🎚️ Escenario'!$C$11&gt;=36,$AL$23,INDEX($C$23:$AL$23,MAX(1,ROUNDUP(BH776/'🎚️ Escenario'!$C$11,0)))))</f>
        <v>0</v>
      </c>
      <c r="BI777" s="236" t="n">
        <f aca="false" t="array" ref="BI777:BI777">IF(BI776=0,0,IF(BI776/'🎚️ Escenario'!$C$11&gt;=36,$AL$23,INDEX($C$23:$AL$23,MAX(1,ROUNDUP(BI776/'🎚️ Escenario'!$C$11,0)))))</f>
        <v>0</v>
      </c>
      <c r="BJ777" s="236" t="n">
        <f aca="false" t="array" ref="BJ777:BJ777">IF(BJ776=0,0,IF(BJ776/'🎚️ Escenario'!$C$11&gt;=36,$AL$23,INDEX($C$23:$AL$23,MAX(1,ROUNDUP(BJ776/'🎚️ Escenario'!$C$11,0)))))</f>
        <v>0</v>
      </c>
      <c r="BK777" s="236" t="n">
        <f aca="false" t="array" ref="BK777:BK777">IF(BK776=0,0,IF(BK776/'🎚️ Escenario'!$C$11&gt;=36,$AL$23,INDEX($C$23:$AL$23,MAX(1,ROUNDUP(BK776/'🎚️ Escenario'!$C$11,0)))))</f>
        <v>0</v>
      </c>
      <c r="BL777" s="236" t="n">
        <f aca="false" t="array" ref="BL777:BL777">IF(BL776=0,0,IF(BL776/'🎚️ Escenario'!$C$11&gt;=36,$AL$23,INDEX($C$23:$AL$23,MAX(1,ROUNDUP(BL776/'🎚️ Escenario'!$C$11,0)))))</f>
        <v>0</v>
      </c>
      <c r="BM777" s="236" t="n">
        <f aca="false" t="array" ref="BM777:BM777">IF(BM776=0,0,IF(BM776/'🎚️ Escenario'!$C$11&gt;=36,$AL$23,INDEX($C$23:$AL$23,MAX(1,ROUNDUP(BM776/'🎚️ Escenario'!$C$11,0)))))</f>
        <v>0</v>
      </c>
      <c r="BN777" s="236" t="n">
        <f aca="false" t="array" ref="BN777:BN777">IF(BN776=0,0,IF(BN776/'🎚️ Escenario'!$C$11&gt;=36,$AL$23,INDEX($C$23:$AL$23,MAX(1,ROUNDUP(BN776/'🎚️ Escenario'!$C$11,0)))))</f>
        <v>0</v>
      </c>
      <c r="BO777" s="236" t="n">
        <f aca="false" t="array" ref="BO777:BO777">IF(BO776=0,0,IF(BO776/'🎚️ Escenario'!$C$11&gt;=36,$AL$23,INDEX($C$23:$AL$23,MAX(1,ROUNDUP(BO776/'🎚️ Escenario'!$C$11,0)))))</f>
        <v>0</v>
      </c>
      <c r="BP777" s="236" t="n">
        <f aca="false" t="array" ref="BP777:BP777">IF(BP776=0,0,IF(BP776/'🎚️ Escenario'!$C$11&gt;=36,$AL$23,INDEX($C$23:$AL$23,MAX(1,ROUNDUP(BP776/'🎚️ Escenario'!$C$11,0)))))</f>
        <v>0</v>
      </c>
      <c r="BQ777" s="236" t="n">
        <f aca="false" t="array" ref="BQ777:BQ777">IF(BQ776=0,0,IF(BQ776/'🎚️ Escenario'!$C$11&gt;=36,$AL$23,INDEX($C$23:$AL$23,MAX(1,ROUNDUP(BQ776/'🎚️ Escenario'!$C$11,0)))))</f>
        <v>0</v>
      </c>
      <c r="BR777" s="236" t="n">
        <f aca="false" t="array" ref="BR777:BR777">IF(BR776=0,0,IF(BR776/'🎚️ Escenario'!$C$11&gt;=36,$AL$23,INDEX($C$23:$AL$23,MAX(1,ROUNDUP(BR776/'🎚️ Escenario'!$C$11,0)))))</f>
        <v>0</v>
      </c>
      <c r="BS777" s="236" t="n">
        <f aca="false" t="array" ref="BS777:BS777">IF(BS776=0,0,IF(BS776/'🎚️ Escenario'!$C$11&gt;=36,$AL$23,INDEX($C$23:$AL$23,MAX(1,ROUNDUP(BS776/'🎚️ Escenario'!$C$11,0)))))</f>
        <v>0</v>
      </c>
      <c r="BT777" s="236" t="n">
        <f aca="false" t="array" ref="BT777:BT777">IF(BT776=0,0,IF(BT776/'🎚️ Escenario'!$C$11&gt;=36,$AL$23,INDEX($C$23:$AL$23,MAX(1,ROUNDUP(BT776/'🎚️ Escenario'!$C$11,0)))))</f>
        <v>0</v>
      </c>
      <c r="BU777" s="236" t="n">
        <f aca="false" t="array" ref="BU777:BU777">IF(BU776=0,0,IF(BU776/'🎚️ Escenario'!$C$11&gt;=36,$AL$23,INDEX($C$23:$AL$23,MAX(1,ROUNDUP(BU776/'🎚️ Escenario'!$C$11,0)))))</f>
        <v>0</v>
      </c>
      <c r="BV777" s="236" t="n">
        <f aca="false" t="array" ref="BV777:BV777">IF(BV776=0,0,IF(BV776/'🎚️ Escenario'!$C$11&gt;=36,$AL$23,INDEX($C$23:$AL$23,MAX(1,ROUNDUP(BV776/'🎚️ Escenario'!$C$11,0)))))</f>
        <v>0</v>
      </c>
      <c r="BW777" s="236" t="n">
        <f aca="false" t="array" ref="BW777:BW777">IF(BW776=0,0,IF(BW776/'🎚️ Escenario'!$C$11&gt;=36,$AL$23,INDEX($C$23:$AL$23,MAX(1,ROUNDUP(BW776/'🎚️ Escenario'!$C$11,0)))))</f>
        <v>0</v>
      </c>
      <c r="BX777" s="236" t="n">
        <f aca="false" t="array" ref="BX777:BX777">IF(BX776=0,0,IF(BX776/'🎚️ Escenario'!$C$11&gt;=36,$AL$23,INDEX($C$23:$AL$23,MAX(1,ROUNDUP(BX776/'🎚️ Escenario'!$C$11,0)))))</f>
        <v>0</v>
      </c>
      <c r="BY777" s="236" t="n">
        <f aca="false" t="array" ref="BY777:BY777">IF(BY776=0,0,IF(BY776/'🎚️ Escenario'!$C$11&gt;=36,$AL$23,INDEX($C$23:$AL$23,MAX(1,ROUNDUP(BY776/'🎚️ Escenario'!$C$11,0)))))</f>
        <v>0</v>
      </c>
      <c r="BZ777" s="236" t="n">
        <f aca="false" t="array" ref="BZ777:BZ777">IF(BZ776=0,0,IF(BZ776/'🎚️ Escenario'!$C$11&gt;=36,$AL$23,INDEX($C$23:$AL$23,MAX(1,ROUNDUP(BZ776/'🎚️ Escenario'!$C$11,0)))))</f>
        <v>0</v>
      </c>
      <c r="CA777" s="236" t="n">
        <f aca="false" t="array" ref="CA777:CA777">IF(CA776=0,0,IF(CA776/'🎚️ Escenario'!$C$11&gt;=36,$AL$23,INDEX($C$23:$AL$23,MAX(1,ROUNDUP(CA776/'🎚️ Escenario'!$C$11,0)))))</f>
        <v>0</v>
      </c>
      <c r="CB777" s="236" t="n">
        <f aca="false" t="array" ref="CB777:CB777">IF(CB776=0,0,IF(CB776/'🎚️ Escenario'!$C$11&gt;=36,$AL$23,INDEX($C$23:$AL$23,MAX(1,ROUNDUP(CB776/'🎚️ Escenario'!$C$11,0)))))</f>
        <v>0</v>
      </c>
      <c r="CC777" s="236" t="n">
        <f aca="false" t="array" ref="CC777:CC777">IF(CC776=0,0,IF(CC776/'🎚️ Escenario'!$C$11&gt;=36,$AL$23,INDEX($C$23:$AL$23,MAX(1,ROUNDUP(CC776/'🎚️ Escenario'!$C$11,0)))))</f>
        <v>0</v>
      </c>
      <c r="CD777" s="236" t="n">
        <f aca="false" t="array" ref="CD777:CD777">IF(CD776=0,0,IF(CD776/'🎚️ Escenario'!$C$11&gt;=36,$AL$23,INDEX($C$23:$AL$23,MAX(1,ROUNDUP(CD776/'🎚️ Escenario'!$C$11,0)))))</f>
        <v>0</v>
      </c>
      <c r="CE777" s="236" t="n">
        <f aca="false" t="array" ref="CE777:CE777">IF(CE776=0,0,IF(CE776/'🎚️ Escenario'!$C$11&gt;=36,$AL$23,INDEX($C$23:$AL$23,MAX(1,ROUNDUP(CE776/'🎚️ Escenario'!$C$11,0)))))</f>
        <v>0</v>
      </c>
      <c r="CF777" s="236" t="n">
        <f aca="false" t="array" ref="CF777:CF777">IF(CF776=0,0,IF(CF776/'🎚️ Escenario'!$C$11&gt;=36,$AL$23,INDEX($C$23:$AL$23,MAX(1,ROUNDUP(CF776/'🎚️ Escenario'!$C$11,0)))))</f>
        <v>0</v>
      </c>
      <c r="CG777" s="236" t="n">
        <f aca="false" t="array" ref="CG777:CG777">IF(CG776=0,0,IF(CG776/'🎚️ Escenario'!$C$11&gt;=36,$AL$23,INDEX($C$23:$AL$23,MAX(1,ROUNDUP(CG776/'🎚️ Escenario'!$C$11,0)))))</f>
        <v>0</v>
      </c>
      <c r="CH777" s="236" t="n">
        <f aca="false" t="array" ref="CH777:CH777">IF(CH776=0,0,IF(CH776/'🎚️ Escenario'!$C$11&gt;=36,$AL$23,INDEX($C$23:$AL$23,MAX(1,ROUNDUP(CH776/'🎚️ Escenario'!$C$11,0)))))</f>
        <v>0</v>
      </c>
      <c r="CI777" s="236" t="n">
        <f aca="false" t="array" ref="CI777:CI777">IF(CI776=0,0,IF(CI776/'🎚️ Escenario'!$C$11&gt;=36,$AL$23,INDEX($C$23:$AL$23,MAX(1,ROUNDUP(CI776/'🎚️ Escenario'!$C$11,0)))))</f>
        <v>0</v>
      </c>
      <c r="CJ777" s="236" t="n">
        <f aca="false" t="array" ref="CJ777:CJ777">IF(CJ776=0,0,IF(CJ776/'🎚️ Escenario'!$C$11&gt;=36,$AL$23,INDEX($C$23:$AL$23,MAX(1,ROUNDUP(CJ776/'🎚️ Escenario'!$C$11,0)))))</f>
        <v>0</v>
      </c>
      <c r="CK777" s="236" t="n">
        <f aca="false" t="array" ref="CK777:CK777">IF(CK776=0,0,IF(CK776/'🎚️ Escenario'!$C$11&gt;=36,$AL$23,INDEX($C$23:$AL$23,MAX(1,ROUNDUP(CK776/'🎚️ Escenario'!$C$11,0)))))</f>
        <v>0</v>
      </c>
      <c r="CL777" s="236" t="n">
        <f aca="false" t="array" ref="CL777:CL777">IF(CL776=0,0,IF(CL776/'🎚️ Escenario'!$C$11&gt;=36,$AL$23,INDEX($C$23:$AL$23,MAX(1,ROUNDUP(CL776/'🎚️ Escenario'!$C$11,0)))))</f>
        <v>0</v>
      </c>
      <c r="CM777" s="236" t="n">
        <f aca="false" t="array" ref="CM777:CM777">IF(CM776=0,0,IF(CM776/'🎚️ Escenario'!$C$11&gt;=36,$AL$23,INDEX($C$23:$AL$23,MAX(1,ROUNDUP(CM776/'🎚️ Escenario'!$C$11,0)))))</f>
        <v>0</v>
      </c>
      <c r="CN777" s="236" t="n">
        <f aca="false" t="array" ref="CN777:CN777">IF(CN776=0,0,IF(CN776/'🎚️ Escenario'!$C$11&gt;=36,$AL$23,INDEX($C$23:$AL$23,MAX(1,ROUNDUP(CN776/'🎚️ Escenario'!$C$11,0)))))</f>
        <v>0</v>
      </c>
      <c r="CO777" s="236" t="n">
        <f aca="false" t="array" ref="CO777:CO777">IF(CO776=0,0,IF(CO776/'🎚️ Escenario'!$C$11&gt;=36,$AL$23,INDEX($C$23:$AL$23,MAX(1,ROUNDUP(CO776/'🎚️ Escenario'!$C$11,0)))))</f>
        <v>0</v>
      </c>
      <c r="CP777" s="236" t="n">
        <f aca="false" t="array" ref="CP777:CP777">IF(CP776=0,0,IF(CP776/'🎚️ Escenario'!$C$11&gt;=36,$AL$23,INDEX($C$23:$AL$23,MAX(1,ROUNDUP(CP776/'🎚️ Escenario'!$C$11,0)))))</f>
        <v>0</v>
      </c>
      <c r="CQ777" s="236" t="n">
        <f aca="false" t="array" ref="CQ777:CQ777">IF(CQ776=0,0,IF(CQ776/'🎚️ Escenario'!$C$11&gt;=36,$AL$23,INDEX($C$23:$AL$23,MAX(1,ROUNDUP(CQ776/'🎚️ Escenario'!$C$11,0)))))</f>
        <v>0</v>
      </c>
      <c r="CR777" s="236" t="n">
        <f aca="false" t="array" ref="CR777:CR777">IF(CR776=0,0,IF(CR776/'🎚️ Escenario'!$C$11&gt;=36,$AL$23,INDEX($C$23:$AL$23,MAX(1,ROUNDUP(CR776/'🎚️ Escenario'!$C$11,0)))))</f>
        <v>0</v>
      </c>
      <c r="CS777" s="236" t="n">
        <f aca="false" t="array" ref="CS777:CS777">IF(CS776=0,0,IF(CS776/'🎚️ Escenario'!$C$11&gt;=36,$AL$23,INDEX($C$23:$AL$23,MAX(1,ROUNDUP(CS776/'🎚️ Escenario'!$C$11,0)))))</f>
        <v>0</v>
      </c>
      <c r="CT777" s="236" t="n">
        <f aca="false" t="array" ref="CT777:CT777">IF(CT776=0,0,IF(CT776/'🎚️ Escenario'!$C$11&gt;=36,$AL$23,INDEX($C$23:$AL$23,MAX(1,ROUNDUP(CT776/'🎚️ Escenario'!$C$11,0)))))</f>
        <v>0</v>
      </c>
      <c r="CU777" s="236" t="n">
        <f aca="false" t="array" ref="CU777:CU777">IF(CU776=0,0,IF(CU776/'🎚️ Escenario'!$C$11&gt;=36,$AL$23,INDEX($C$23:$AL$23,MAX(1,ROUNDUP(CU776/'🎚️ Escenario'!$C$11,0)))))</f>
        <v>0</v>
      </c>
      <c r="CV777" s="236" t="n">
        <f aca="false" t="array" ref="CV777:CV777">IF(CV776=0,0,IF(CV776/'🎚️ Escenario'!$C$11&gt;=36,$AL$23,INDEX($C$23:$AL$23,MAX(1,ROUNDUP(CV776/'🎚️ Escenario'!$C$11,0)))))</f>
        <v>0</v>
      </c>
      <c r="CW777" s="236" t="n">
        <f aca="false" t="array" ref="CW777:CW777">IF(CW776=0,0,IF(CW776/'🎚️ Escenario'!$C$11&gt;=36,$AL$23,INDEX($C$23:$AL$23,MAX(1,ROUNDUP(CW776/'🎚️ Escenario'!$C$11,0)))))</f>
        <v>0</v>
      </c>
      <c r="CX777" s="236" t="n">
        <f aca="false" t="array" ref="CX777:CX777">IF(CX776=0,0,IF(CX776/'🎚️ Escenario'!$C$11&gt;=36,$AL$23,INDEX($C$23:$AL$23,MAX(1,ROUNDUP(CX776/'🎚️ Escenario'!$C$11,0)))))</f>
        <v>0</v>
      </c>
      <c r="CY777" s="236" t="n">
        <f aca="false" t="array" ref="CY777:CY777">IF(CY776=0,0,IF(CY776/'🎚️ Escenario'!$C$11&gt;=36,$AL$23,INDEX($C$23:$AL$23,MAX(1,ROUNDUP(CY776/'🎚️ Escenario'!$C$11,0)))))</f>
        <v>0</v>
      </c>
      <c r="CZ777" s="236" t="n">
        <f aca="false" t="array" ref="CZ777:CZ777">IF(CZ776=0,0,IF(CZ776/'🎚️ Escenario'!$C$11&gt;=36,$AL$23,INDEX($C$23:$AL$23,MAX(1,ROUNDUP(CZ776/'🎚️ Escenario'!$C$11,0)))))</f>
        <v>0</v>
      </c>
      <c r="DA777" s="236" t="n">
        <f aca="false" t="array" ref="DA777:DA777">IF(DA776=0,0,IF(DA776/'🎚️ Escenario'!$C$11&gt;=36,$AL$23,INDEX($C$23:$AL$23,MAX(1,ROUNDUP(DA776/'🎚️ Escenario'!$C$11,0)))))</f>
        <v>0</v>
      </c>
      <c r="DB777" s="236" t="n">
        <f aca="false" t="array" ref="DB777:DB777">IF(DB776=0,0,IF(DB776/'🎚️ Escenario'!$C$11&gt;=36,$AL$23,INDEX($C$23:$AL$23,MAX(1,ROUNDUP(DB776/'🎚️ Escenario'!$C$11,0)))))</f>
        <v>0</v>
      </c>
      <c r="DC777" s="236" t="n">
        <f aca="false" t="array" ref="DC777:DC777">IF(DC776=0,0,IF(DC776/'🎚️ Escenario'!$C$11&gt;=36,$AL$23,INDEX($C$23:$AL$23,MAX(1,ROUNDUP(DC776/'🎚️ Escenario'!$C$11,0)))))</f>
        <v>0</v>
      </c>
      <c r="DD777" s="236" t="n">
        <f aca="false" t="array" ref="DD777:DD777">IF(DD776=0,0,IF(DD776/'🎚️ Escenario'!$C$11&gt;=36,$AL$23,INDEX($C$23:$AL$23,MAX(1,ROUNDUP(DD776/'🎚️ Escenario'!$C$11,0)))))</f>
        <v>0</v>
      </c>
      <c r="DE777" s="236" t="n">
        <f aca="false" t="array" ref="DE777:DE777">IF(DE776=0,0,IF(DE776/'🎚️ Escenario'!$C$11&gt;=36,$AL$23,INDEX($C$23:$AL$23,MAX(1,ROUNDUP(DE776/'🎚️ Escenario'!$C$11,0)))))</f>
        <v>0</v>
      </c>
      <c r="DF777" s="236" t="n">
        <f aca="false" t="array" ref="DF777:DF777">IF(DF776=0,0,IF(DF776/'🎚️ Escenario'!$C$11&gt;=36,$AL$23,INDEX($C$23:$AL$23,MAX(1,ROUNDUP(DF776/'🎚️ Escenario'!$C$11,0)))))</f>
        <v>0</v>
      </c>
      <c r="DG777" s="236" t="n">
        <f aca="false" t="array" ref="DG777:DG777">IF(DG776=0,0,IF(DG776/'🎚️ Escenario'!$C$11&gt;=36,$AL$23,INDEX($C$23:$AL$23,MAX(1,ROUNDUP(DG776/'🎚️ Escenario'!$C$11,0)))))</f>
        <v>0</v>
      </c>
      <c r="DH777" s="236" t="n">
        <f aca="false" t="array" ref="DH777:DH777">IF(DH776=0,0,IF(DH776/'🎚️ Escenario'!$C$11&gt;=36,$AL$23,INDEX($C$23:$AL$23,MAX(1,ROUNDUP(DH776/'🎚️ Escenario'!$C$11,0)))))</f>
        <v>0</v>
      </c>
      <c r="DI777" s="236" t="n">
        <f aca="false" t="array" ref="DI777:DI777">IF(DI776=0,0,IF(DI776/'🎚️ Escenario'!$C$11&gt;=36,$AL$23,INDEX($C$23:$AL$23,MAX(1,ROUNDUP(DI776/'🎚️ Escenario'!$C$11,0)))))</f>
        <v>0</v>
      </c>
      <c r="DJ777" s="236" t="n">
        <f aca="false" t="array" ref="DJ777:DJ777">IF(DJ776=0,0,IF(DJ776/'🎚️ Escenario'!$C$11&gt;=36,$AL$23,INDEX($C$23:$AL$23,MAX(1,ROUNDUP(DJ776/'🎚️ Escenario'!$C$11,0)))))</f>
        <v>0</v>
      </c>
      <c r="DK777" s="236" t="n">
        <f aca="false" t="array" ref="DK777:DK777">IF(DK776=0,0,IF(DK776/'🎚️ Escenario'!$C$11&gt;=36,$AL$23,INDEX($C$23:$AL$23,MAX(1,ROUNDUP(DK776/'🎚️ Escenario'!$C$11,0)))))</f>
        <v>0</v>
      </c>
      <c r="DL777" s="236" t="n">
        <f aca="false" t="array" ref="DL777:DL777">IF(DL776=0,0,IF(DL776/'🎚️ Escenario'!$C$11&gt;=36,$AL$23,INDEX($C$23:$AL$23,MAX(1,ROUNDUP(DL776/'🎚️ Escenario'!$C$11,0)))))</f>
        <v>0</v>
      </c>
      <c r="DM777" s="236" t="n">
        <f aca="false" t="array" ref="DM777:DM777">IF(DM776=0,0,IF(DM776/'🎚️ Escenario'!$C$11&gt;=36,$AL$23,INDEX($C$23:$AL$23,MAX(1,ROUNDUP(DM776/'🎚️ Escenario'!$C$11,0)))))</f>
        <v>0</v>
      </c>
      <c r="DN777" s="236" t="n">
        <f aca="false" t="array" ref="DN777:DN777">IF(DN776=0,0,IF(DN776/'🎚️ Escenario'!$C$11&gt;=36,$AL$23,INDEX($C$23:$AL$23,MAX(1,ROUNDUP(DN776/'🎚️ Escenario'!$C$11,0)))))</f>
        <v>0</v>
      </c>
      <c r="DO777" s="236" t="n">
        <f aca="false" t="array" ref="DO777:DO777">IF(DO776=0,0,IF(DO776/'🎚️ Escenario'!$C$11&gt;=36,$AL$23,INDEX($C$23:$AL$23,MAX(1,ROUNDUP(DO776/'🎚️ Escenario'!$C$11,0)))))</f>
        <v>0</v>
      </c>
      <c r="DP777" s="236" t="n">
        <f aca="false" t="array" ref="DP777:DP777">IF(DP776=0,0,IF(DP776/'🎚️ Escenario'!$C$11&gt;=36,$AL$23,INDEX($C$23:$AL$23,MAX(1,ROUNDUP(DP776/'🎚️ Escenario'!$C$11,0)))))</f>
        <v>0</v>
      </c>
      <c r="DQ777" s="236" t="n">
        <f aca="false" t="array" ref="DQ777:DQ777">IF(DQ776=0,0,IF(DQ776/'🎚️ Escenario'!$C$11&gt;=36,$AL$23,INDEX($C$23:$AL$23,MAX(1,ROUNDUP(DQ776/'🎚️ Escenario'!$C$11,0)))))</f>
        <v>0</v>
      </c>
      <c r="DR777" s="236" t="n">
        <f aca="false" t="array" ref="DR777:DR777">IF(DR776=0,0,IF(DR776/'🎚️ Escenario'!$C$11&gt;=36,$AL$23,INDEX($C$23:$AL$23,MAX(1,ROUNDUP(DR776/'🎚️ Escenario'!$C$11,0)))))</f>
        <v>0</v>
      </c>
      <c r="DS777" s="236" t="n">
        <f aca="false" t="array" ref="DS777:DS777">IF(DS776=0,0,IF(DS776/'🎚️ Escenario'!$C$11&gt;=36,$AL$23,INDEX($C$23:$AL$23,MAX(1,ROUNDUP(DS776/'🎚️ Escenario'!$C$11,0)))))</f>
        <v>0</v>
      </c>
      <c r="DT777" s="236" t="n">
        <f aca="false" t="array" ref="DT777:DT777">IF(DT776=0,0,IF(DT776/'🎚️ Escenario'!$C$11&gt;=36,$AL$23,INDEX($C$23:$AL$23,MAX(1,ROUNDUP(DT776/'🎚️ Escenario'!$C$11,0)))))</f>
        <v>0</v>
      </c>
      <c r="DU777" s="236" t="n">
        <f aca="false" t="array" ref="DU777:DU777">IF(DU776=0,0,IF(DU776/'🎚️ Escenario'!$C$11&gt;=36,$AL$23,INDEX($C$23:$AL$23,MAX(1,ROUNDUP(DU776/'🎚️ Escenario'!$C$11,0)))))</f>
        <v>0</v>
      </c>
      <c r="DV777" s="236" t="n">
        <f aca="false" t="array" ref="DV777:DV777">IF(DV776=0,0,IF(DV776/'🎚️ Escenario'!$C$11&gt;=36,$AL$23,INDEX($C$23:$AL$23,MAX(1,ROUNDUP(DV776/'🎚️ Escenario'!$C$11,0)))))</f>
        <v>0</v>
      </c>
      <c r="DW777" s="236" t="n">
        <f aca="false" t="array" ref="DW777:DW777">IF(DW776=0,0,IF(DW776/'🎚️ Escenario'!$C$11&gt;=36,$AL$23,INDEX($C$23:$AL$23,MAX(1,ROUNDUP(DW776/'🎚️ Escenario'!$C$11,0)))))</f>
        <v>0</v>
      </c>
      <c r="DX777" s="236" t="n">
        <f aca="false" t="array" ref="DX777:DX777">IF(DX776=0,0,IF(DX776/'🎚️ Escenario'!$C$11&gt;=36,$AL$23,INDEX($C$23:$AL$23,MAX(1,ROUNDUP(DX776/'🎚️ Escenario'!$C$11,0)))))</f>
        <v>0</v>
      </c>
      <c r="DY777" s="236" t="n">
        <f aca="false" t="array" ref="DY777:DY777">IF(DY776=0,0,IF(DY776/'🎚️ Escenario'!$C$11&gt;=36,$AL$23,INDEX($C$23:$AL$23,MAX(1,ROUNDUP(DY776/'🎚️ Escenario'!$C$11,0)))))</f>
        <v>0</v>
      </c>
      <c r="DZ777" s="236" t="n">
        <f aca="false" t="array" ref="DZ777:DZ777">IF(DZ776=0,0,IF(DZ776/'🎚️ Escenario'!$C$11&gt;=36,$AL$23,INDEX($C$23:$AL$23,MAX(1,ROUNDUP(DZ776/'🎚️ Escenario'!$C$11,0)))))</f>
        <v>0</v>
      </c>
      <c r="EA777" s="236" t="n">
        <f aca="false" t="array" ref="EA777:EA777">IF(EA776=0,0,IF(EA776/'🎚️ Escenario'!$C$11&gt;=36,$AL$23,INDEX($C$23:$AL$23,MAX(1,ROUNDUP(EA776/'🎚️ Escenario'!$C$11,0)))))</f>
        <v>0</v>
      </c>
      <c r="EB777" s="236" t="n">
        <f aca="false" t="array" ref="EB777:EB777">IF(EB776=0,0,IF(EB776/'🎚️ Escenario'!$C$11&gt;=36,$AL$23,INDEX($C$23:$AL$23,MAX(1,ROUNDUP(EB776/'🎚️ Escenario'!$C$11,0)))))</f>
        <v>0</v>
      </c>
      <c r="EC777" s="236" t="n">
        <f aca="false" t="array" ref="EC777:EC777">IF(EC776=0,0,IF(EC776/'🎚️ Escenario'!$C$11&gt;=36,$AL$23,INDEX($C$23:$AL$23,MAX(1,ROUNDUP(EC776/'🎚️ Escenario'!$C$11,0)))))</f>
        <v>0</v>
      </c>
      <c r="ED777" s="236" t="n">
        <f aca="false" t="array" ref="ED777:ED777">IF(ED776=0,0,IF(ED776/'🎚️ Escenario'!$C$11&gt;=36,$AL$23,INDEX($C$23:$AL$23,MAX(1,ROUNDUP(ED776/'🎚️ Escenario'!$C$11,0)))))</f>
        <v>0</v>
      </c>
      <c r="EE777" s="236" t="n">
        <f aca="false" t="array" ref="EE777:EE777">IF(EE776=0,0,IF(EE776/'🎚️ Escenario'!$C$11&gt;=36,$AL$23,INDEX($C$23:$AL$23,MAX(1,ROUNDUP(EE776/'🎚️ Escenario'!$C$11,0)))))</f>
        <v>0</v>
      </c>
      <c r="EF777" s="236" t="n">
        <f aca="false" t="array" ref="EF777:EF777">IF(EF776=0,0,IF(EF776/'🎚️ Escenario'!$C$11&gt;=36,$AL$23,INDEX($C$23:$AL$23,MAX(1,ROUNDUP(EF776/'🎚️ Escenario'!$C$11,0)))))</f>
        <v>0</v>
      </c>
      <c r="EG777" s="236" t="n">
        <f aca="false" t="array" ref="EG777:EG777">IF(EG776=0,0,IF(EG776/'🎚️ Escenario'!$C$11&gt;=36,$AL$23,INDEX($C$23:$AL$23,MAX(1,ROUNDUP(EG776/'🎚️ Escenario'!$C$11,0)))))</f>
        <v>0</v>
      </c>
      <c r="EH777" s="236" t="n">
        <f aca="false" t="array" ref="EH777:EH777">IF(EH776=0,0,IF(EH776/'🎚️ Escenario'!$C$11&gt;=36,$AL$23,INDEX($C$23:$AL$23,MAX(1,ROUNDUP(EH776/'🎚️ Escenario'!$C$11,0)))))</f>
        <v>0</v>
      </c>
      <c r="EI777" s="236" t="n">
        <f aca="false" t="array" ref="EI777:EI777">IF(EI776=0,0,IF(EI776/'🎚️ Escenario'!$C$11&gt;=36,$AL$23,INDEX($C$23:$AL$23,MAX(1,ROUNDUP(EI776/'🎚️ Escenario'!$C$11,0)))))</f>
        <v>0</v>
      </c>
      <c r="EJ777" s="236" t="n">
        <f aca="false" t="array" ref="EJ777:EJ777">IF(EJ776=0,0,IF(EJ776/'🎚️ Escenario'!$C$11&gt;=36,$AL$23,INDEX($C$23:$AL$23,MAX(1,ROUNDUP(EJ776/'🎚️ Escenario'!$C$11,0)))))</f>
        <v>0</v>
      </c>
      <c r="EK777" s="236" t="n">
        <f aca="false" t="array" ref="EK777:EK777">IF(EK776=0,0,IF(EK776/'🎚️ Escenario'!$C$11&gt;=36,$AL$23,INDEX($C$23:$AL$23,MAX(1,ROUNDUP(EK776/'🎚️ Escenario'!$C$11,0)))))</f>
        <v>0</v>
      </c>
      <c r="EL777" s="236" t="n">
        <f aca="false" t="array" ref="EL777:EL777">IF(EL776=0,0,IF(EL776/'🎚️ Escenario'!$C$11&gt;=36,$AL$23,INDEX($C$23:$AL$23,MAX(1,ROUNDUP(EL776/'🎚️ Escenario'!$C$11,0)))))</f>
        <v>0</v>
      </c>
      <c r="EM777" s="236" t="n">
        <f aca="false" t="array" ref="EM777:EM777">IF(EM776=0,0,IF(EM776/'🎚️ Escenario'!$C$11&gt;=36,$AL$23,INDEX($C$23:$AL$23,MAX(1,ROUNDUP(EM776/'🎚️ Escenario'!$C$11,0)))))</f>
        <v>0</v>
      </c>
      <c r="EN777" s="236" t="n">
        <f aca="false" t="array" ref="EN777:EN777">IF(EN776=0,0,IF(EN776/'🎚️ Escenario'!$C$11&gt;=36,$AL$23,INDEX($C$23:$AL$23,MAX(1,ROUNDUP(EN776/'🎚️ Escenario'!$C$11,0)))))</f>
        <v>0</v>
      </c>
      <c r="EO777" s="236" t="n">
        <f aca="false" t="array" ref="EO777:EO777">IF(EO776=0,0,IF(EO776/'🎚️ Escenario'!$C$11&gt;=36,$AL$23,INDEX($C$23:$AL$23,MAX(1,ROUNDUP(EO776/'🎚️ Escenario'!$C$11,0)))))</f>
        <v>0</v>
      </c>
      <c r="EP777" s="236" t="n">
        <f aca="false" t="array" ref="EP777:EP777">IF(EP776=0,0,IF(EP776/'🎚️ Escenario'!$C$11&gt;=36,$AL$23,INDEX($C$23:$AL$23,MAX(1,ROUNDUP(EP776/'🎚️ Escenario'!$C$11,0)))))</f>
        <v>0</v>
      </c>
      <c r="EQ777" s="236" t="n">
        <f aca="false" t="array" ref="EQ777:EQ777">IF(EQ776=0,0,IF(EQ776/'🎚️ Escenario'!$C$11&gt;=36,$AL$23,INDEX($C$23:$AL$23,MAX(1,ROUNDUP(EQ776/'🎚️ Escenario'!$C$11,0)))))</f>
        <v>0</v>
      </c>
      <c r="ER777" s="236" t="n">
        <f aca="false" t="array" ref="ER777:ER777">IF(ER776=0,0,IF(ER776/'🎚️ Escenario'!$C$11&gt;=36,$AL$23,INDEX($C$23:$AL$23,MAX(1,ROUNDUP(ER776/'🎚️ Escenario'!$C$11,0)))))</f>
        <v>0</v>
      </c>
      <c r="ES777" s="9" t="n">
        <f aca="false" t="array" ref="ES777:ES777">IF(ES776=0,0,IF(ES776/'🎚️ Escenario'!$C$11&gt;=36,$AL$23,INDEX($C$23:$AL$23,MAX(1,ROUNDUP(ES776/'🎚️ Escenario'!$C$11,0)))))</f>
        <v>0</v>
      </c>
      <c r="ET777" s="9" t="n">
        <f aca="false" t="array" ref="ET777:ET777">IF(ET776=0,0,IF(ET776/'🎚️ Escenario'!$C$11&gt;=36,$AL$23,INDEX($C$23:$AL$23,MAX(1,ROUNDUP(ET776/'🎚️ Escenario'!$C$11,0)))))</f>
        <v>0</v>
      </c>
      <c r="EU777" s="9" t="n">
        <f aca="false" t="array" ref="EU777:EU777">IF(EU776=0,0,IF(EU776/'🎚️ Escenario'!$C$11&gt;=36,$AL$23,INDEX($C$23:$AL$23,MAX(1,ROUNDUP(EU776/'🎚️ Escenario'!$C$11,0)))))</f>
        <v>0</v>
      </c>
      <c r="EV777" s="9" t="n">
        <f aca="false" t="array" ref="EV777:EV777">IF(EV776=0,0,IF(EV776/'🎚️ Escenario'!$C$11&gt;=36,$AL$23,INDEX($C$23:$AL$23,MAX(1,ROUNDUP(EV776/'🎚️ Escenario'!$C$11,0)))))</f>
        <v>0</v>
      </c>
      <c r="EW777" s="9" t="n">
        <f aca="false" t="array" ref="EW777:EW777">IF(EW776=0,0,IF(EW776/'🎚️ Escenario'!$C$11&gt;=36,$AL$23,INDEX($C$23:$AL$23,MAX(1,ROUNDUP(EW776/'🎚️ Escenario'!$C$11,0)))))</f>
        <v>0</v>
      </c>
      <c r="EX777" s="9" t="n">
        <f aca="false" t="array" ref="EX777:EX777">IF(EX776=0,0,IF(EX776/'🎚️ Escenario'!$C$11&gt;=36,$AL$23,INDEX($C$23:$AL$23,MAX(1,ROUNDUP(EX776/'🎚️ Escenario'!$C$11,0)))))</f>
        <v>0</v>
      </c>
      <c r="EY777" s="9" t="n">
        <f aca="false" t="array" ref="EY777:EY777">IF(EY776=0,0,IF(EY776/'🎚️ Escenario'!$C$11&gt;=36,$AL$23,INDEX($C$23:$AL$23,MAX(1,ROUNDUP(EY776/'🎚️ Escenario'!$C$11,0)))))</f>
        <v>0</v>
      </c>
      <c r="EZ777" s="9" t="n">
        <f aca="false" t="array" ref="EZ777:EZ777">IF(EZ776=0,0,IF(EZ776/'🎚️ Escenario'!$C$11&gt;=36,$AL$23,INDEX($C$23:$AL$23,MAX(1,ROUNDUP(EZ776/'🎚️ Escenario'!$C$11,0)))))</f>
        <v>0</v>
      </c>
      <c r="FA777" s="9" t="n">
        <f aca="false" t="array" ref="FA777:FA777">IF(FA776=0,0,IF(FA776/'🎚️ Escenario'!$C$11&gt;=36,$AL$23,INDEX($C$23:$AL$23,MAX(1,ROUNDUP(FA776/'🎚️ Escenario'!$C$11,0)))))</f>
        <v>0</v>
      </c>
      <c r="FB777" s="9" t="n">
        <f aca="false" t="array" ref="FB777:FB777">IF(FB776=0,0,IF(FB776/'🎚️ Escenario'!$C$11&gt;=36,$AL$23,INDEX($C$23:$AL$23,MAX(1,ROUNDUP(FB776/'🎚️ Escenario'!$C$11,0)))))</f>
        <v>0.2</v>
      </c>
      <c r="FC777" s="9" t="n">
        <f aca="false" t="array" ref="FC777:FC777">IF(FC776=0,0,IF(FC776/'🎚️ Escenario'!$C$11&gt;=36,$AL$23,INDEX($C$23:$AL$23,MAX(1,ROUNDUP(FC776/'🎚️ Escenario'!$C$11,0)))))</f>
        <v>0.22</v>
      </c>
      <c r="FD777" s="9" t="n">
        <f aca="false" t="array" ref="FD777:FD777">IF(FD776=0,0,IF(FD776/'🎚️ Escenario'!$C$11&gt;=36,$AL$23,INDEX($C$23:$AL$23,MAX(1,ROUNDUP(FD776/'🎚️ Escenario'!$C$11,0)))))</f>
        <v>0.24</v>
      </c>
      <c r="FE777" s="9" t="n">
        <f aca="false" t="array" ref="FE777:FE777">IF(FE776=0,0,IF(FE776/'🎚️ Escenario'!$C$11&gt;=36,$AL$23,INDEX($C$23:$AL$23,MAX(1,ROUNDUP(FE776/'🎚️ Escenario'!$C$11,0)))))</f>
        <v>0.27</v>
      </c>
      <c r="FF777" s="9" t="n">
        <f aca="false" t="array" ref="FF777:FF777">IF(FF776=0,0,IF(FF776/'🎚️ Escenario'!$C$11&gt;=36,$AL$23,INDEX($C$23:$AL$23,MAX(1,ROUNDUP(FF776/'🎚️ Escenario'!$C$11,0)))))</f>
        <v>0.27</v>
      </c>
      <c r="FG777" s="9" t="n">
        <f aca="false" t="array" ref="FG777:FG777">IF(FG776=0,0,IF(FG776/'🎚️ Escenario'!$C$11&gt;=36,$AL$23,INDEX($C$23:$AL$23,MAX(1,ROUNDUP(FG776/'🎚️ Escenario'!$C$11,0)))))</f>
        <v>0.31</v>
      </c>
      <c r="FH777" s="9" t="n">
        <f aca="false" t="array" ref="FH777:FH777">IF(FH776=0,0,IF(FH776/'🎚️ Escenario'!$C$11&gt;=36,$AL$23,INDEX($C$23:$AL$23,MAX(1,ROUNDUP(FH776/'🎚️ Escenario'!$C$11,0)))))</f>
        <v>0.35</v>
      </c>
      <c r="FI777" s="9" t="n">
        <f aca="false" t="array" ref="FI777:FI777">IF(FI776=0,0,IF(FI776/'🎚️ Escenario'!$C$11&gt;=36,$AL$23,INDEX($C$23:$AL$23,MAX(1,ROUNDUP(FI776/'🎚️ Escenario'!$C$11,0)))))</f>
        <v>0.39</v>
      </c>
      <c r="FJ777" s="9" t="n">
        <f aca="false" t="array" ref="FJ777:FJ777">IF(FJ776=0,0,IF(FJ776/'🎚️ Escenario'!$C$11&gt;=36,$AL$23,INDEX($C$23:$AL$23,MAX(1,ROUNDUP(FJ776/'🎚️ Escenario'!$C$11,0)))))</f>
        <v>0.44</v>
      </c>
      <c r="FK777" s="9" t="n">
        <f aca="false" t="array" ref="FK777:FK777">IF(FK776=0,0,IF(FK776/'🎚️ Escenario'!$C$11&gt;=36,$AL$23,INDEX($C$23:$AL$23,MAX(1,ROUNDUP(FK776/'🎚️ Escenario'!$C$11,0)))))</f>
        <v>0.44</v>
      </c>
      <c r="FL777" s="9" t="n">
        <f aca="false" t="array" ref="FL777:FL777">IF(FL776=0,0,IF(FL776/'🎚️ Escenario'!$C$11&gt;=36,$AL$23,INDEX($C$23:$AL$23,MAX(1,ROUNDUP(FL776/'🎚️ Escenario'!$C$11,0)))))</f>
        <v>0.48</v>
      </c>
      <c r="FM777" s="9" t="n">
        <f aca="false" t="array" ref="FM777:FM777">IF(FM776=0,0,IF(FM776/'🎚️ Escenario'!$C$11&gt;=36,$AL$23,INDEX($C$23:$AL$23,MAX(1,ROUNDUP(FM776/'🎚️ Escenario'!$C$11,0)))))</f>
        <v>0.52</v>
      </c>
      <c r="FN777" s="9" t="n">
        <f aca="false" t="array" ref="FN777:FN777">IF(FN776=0,0,IF(FN776/'🎚️ Escenario'!$C$11&gt;=36,$AL$23,INDEX($C$23:$AL$23,MAX(1,ROUNDUP(FN776/'🎚️ Escenario'!$C$11,0)))))</f>
        <v>0.56</v>
      </c>
      <c r="FO777" s="9" t="n">
        <f aca="false" t="array" ref="FO777:FO777">IF(FO776=0,0,IF(FO776/'🎚️ Escenario'!$C$11&gt;=36,$AL$23,INDEX($C$23:$AL$23,MAX(1,ROUNDUP(FO776/'🎚️ Escenario'!$C$11,0)))))</f>
        <v>0.6</v>
      </c>
      <c r="FP777" s="9" t="n">
        <f aca="false" t="array" ref="FP777:FP777">IF(FP776=0,0,IF(FP776/'🎚️ Escenario'!$C$11&gt;=36,$AL$23,INDEX($C$23:$AL$23,MAX(1,ROUNDUP(FP776/'🎚️ Escenario'!$C$11,0)))))</f>
        <v>0.6</v>
      </c>
    </row>
    <row r="778" customFormat="false" ht="15" hidden="false" customHeight="false" outlineLevel="2" collapsed="false">
      <c r="B778" s="9" t="s">
        <v>875</v>
      </c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237" t="n">
        <f aca="false">IF(AC776=0,0,IF(AC776&lt;=12*'🎚️ Escenario'!$C$11,1,1+$C$6))</f>
        <v>0</v>
      </c>
      <c r="AD778" s="237" t="n">
        <f aca="false">IF(AD776=0,0,IF(AD776&lt;=12*'🎚️ Escenario'!$C$11,1,1+$C$6))</f>
        <v>0</v>
      </c>
      <c r="AE778" s="237" t="n">
        <f aca="false">IF(AE776=0,0,IF(AE776&lt;=12*'🎚️ Escenario'!$C$11,1,1+$C$6))</f>
        <v>0</v>
      </c>
      <c r="AF778" s="237" t="n">
        <f aca="false">IF(AF776=0,0,IF(AF776&lt;=12*'🎚️ Escenario'!$C$11,1,1+$C$6))</f>
        <v>0</v>
      </c>
      <c r="AG778" s="237" t="n">
        <f aca="false">IF(AG776=0,0,IF(AG776&lt;=12*'🎚️ Escenario'!$C$11,1,1+$C$6))</f>
        <v>0</v>
      </c>
      <c r="AH778" s="237" t="n">
        <f aca="false">IF(AH776=0,0,IF(AH776&lt;=12*'🎚️ Escenario'!$C$11,1,1+$C$6))</f>
        <v>0</v>
      </c>
      <c r="AI778" s="237" t="n">
        <f aca="false">IF(AI776=0,0,IF(AI776&lt;=12*'🎚️ Escenario'!$C$11,1,1+$C$6))</f>
        <v>0</v>
      </c>
      <c r="AJ778" s="237" t="n">
        <f aca="false">IF(AJ776=0,0,IF(AJ776&lt;=12*'🎚️ Escenario'!$C$11,1,1+$C$6))</f>
        <v>0</v>
      </c>
      <c r="AK778" s="237" t="n">
        <f aca="false">IF(AK776=0,0,IF(AK776&lt;=12*'🎚️ Escenario'!$C$11,1,1+$C$6))</f>
        <v>0</v>
      </c>
      <c r="AL778" s="237" t="n">
        <f aca="false">IF(AL776=0,0,IF(AL776&lt;=12*'🎚️ Escenario'!$C$11,1,1+$C$6))</f>
        <v>0</v>
      </c>
      <c r="AM778" s="237" t="n">
        <f aca="false">IF(AM776=0,0,IF(AM776&lt;=12*'🎚️ Escenario'!$C$11,1,1+$C$6))</f>
        <v>0</v>
      </c>
      <c r="AN778" s="237" t="n">
        <f aca="false">IF(AN776=0,0,IF(AN776&lt;=12*'🎚️ Escenario'!$C$11,1,1+$C$6))</f>
        <v>0</v>
      </c>
      <c r="AO778" s="237" t="n">
        <f aca="false">IF(AO776=0,0,IF(AO776&lt;=12*'🎚️ Escenario'!$C$11,1,1+$C$6))</f>
        <v>0</v>
      </c>
      <c r="AP778" s="237" t="n">
        <f aca="false">IF(AP776=0,0,IF(AP776&lt;=12*'🎚️ Escenario'!$C$11,1,1+$C$6))</f>
        <v>0</v>
      </c>
      <c r="AQ778" s="237" t="n">
        <f aca="false">IF(AQ776=0,0,IF(AQ776&lt;=12*'🎚️ Escenario'!$C$11,1,1+$C$6))</f>
        <v>0</v>
      </c>
      <c r="AR778" s="237" t="n">
        <f aca="false">IF(AR776=0,0,IF(AR776&lt;=12*'🎚️ Escenario'!$C$11,1,1+$C$6))</f>
        <v>0</v>
      </c>
      <c r="AS778" s="237" t="n">
        <f aca="false">IF(AS776=0,0,IF(AS776&lt;=12*'🎚️ Escenario'!$C$11,1,1+$C$6))</f>
        <v>0</v>
      </c>
      <c r="AT778" s="237" t="n">
        <f aca="false">IF(AT776=0,0,IF(AT776&lt;=12*'🎚️ Escenario'!$C$11,1,1+$C$6))</f>
        <v>0</v>
      </c>
      <c r="AU778" s="237" t="n">
        <f aca="false">IF(AU776=0,0,IF(AU776&lt;=12*'🎚️ Escenario'!$C$11,1,1+$C$6))</f>
        <v>0</v>
      </c>
      <c r="AV778" s="237" t="n">
        <f aca="false">IF(AV776=0,0,IF(AV776&lt;=12*'🎚️ Escenario'!$C$11,1,1+$C$6))</f>
        <v>0</v>
      </c>
      <c r="AW778" s="237" t="n">
        <f aca="false">IF(AW776=0,0,IF(AW776&lt;=12*'🎚️ Escenario'!$C$11,1,1+$C$6))</f>
        <v>0</v>
      </c>
      <c r="AX778" s="237" t="n">
        <f aca="false">IF(AX776=0,0,IF(AX776&lt;=12*'🎚️ Escenario'!$C$11,1,1+$C$6))</f>
        <v>0</v>
      </c>
      <c r="AY778" s="237" t="n">
        <f aca="false">IF(AY776=0,0,IF(AY776&lt;=12*'🎚️ Escenario'!$C$11,1,1+$C$6))</f>
        <v>0</v>
      </c>
      <c r="AZ778" s="237" t="n">
        <f aca="false">IF(AZ776=0,0,IF(AZ776&lt;=12*'🎚️ Escenario'!$C$11,1,1+$C$6))</f>
        <v>0</v>
      </c>
      <c r="BA778" s="237" t="n">
        <f aca="false">IF(BA776=0,0,IF(BA776&lt;=12*'🎚️ Escenario'!$C$11,1,1+$C$6))</f>
        <v>0</v>
      </c>
      <c r="BB778" s="237" t="n">
        <f aca="false">IF(BB776=0,0,IF(BB776&lt;=12*'🎚️ Escenario'!$C$11,1,1+$C$6))</f>
        <v>0</v>
      </c>
      <c r="BC778" s="237" t="n">
        <f aca="false">IF(BC776=0,0,IF(BC776&lt;=12*'🎚️ Escenario'!$C$11,1,1+$C$6))</f>
        <v>0</v>
      </c>
      <c r="BD778" s="237" t="n">
        <f aca="false">IF(BD776=0,0,IF(BD776&lt;=12*'🎚️ Escenario'!$C$11,1,1+$C$6))</f>
        <v>0</v>
      </c>
      <c r="BE778" s="237" t="n">
        <f aca="false">IF(BE776=0,0,IF(BE776&lt;=12*'🎚️ Escenario'!$C$11,1,1+$C$6))</f>
        <v>0</v>
      </c>
      <c r="BF778" s="237" t="n">
        <f aca="false">IF(BF776=0,0,IF(BF776&lt;=12*'🎚️ Escenario'!$C$11,1,1+$C$6))</f>
        <v>0</v>
      </c>
      <c r="BG778" s="237" t="n">
        <f aca="false">IF(BG776=0,0,IF(BG776&lt;=12*'🎚️ Escenario'!$C$11,1,1+$C$6))</f>
        <v>0</v>
      </c>
      <c r="BH778" s="237" t="n">
        <f aca="false">IF(BH776=0,0,IF(BH776&lt;=12*'🎚️ Escenario'!$C$11,1,1+$C$6))</f>
        <v>0</v>
      </c>
      <c r="BI778" s="237" t="n">
        <f aca="false">IF(BI776=0,0,IF(BI776&lt;=12*'🎚️ Escenario'!$C$11,1,1+$C$6))</f>
        <v>0</v>
      </c>
      <c r="BJ778" s="237" t="n">
        <f aca="false">IF(BJ776=0,0,IF(BJ776&lt;=12*'🎚️ Escenario'!$C$11,1,1+$C$6))</f>
        <v>0</v>
      </c>
      <c r="BK778" s="237" t="n">
        <f aca="false">IF(BK776=0,0,IF(BK776&lt;=12*'🎚️ Escenario'!$C$11,1,1+$C$6))</f>
        <v>0</v>
      </c>
      <c r="BL778" s="237" t="n">
        <f aca="false">IF(BL776=0,0,IF(BL776&lt;=12*'🎚️ Escenario'!$C$11,1,1+$C$6))</f>
        <v>0</v>
      </c>
      <c r="BM778" s="237" t="n">
        <f aca="false">IF(BM776=0,0,IF(BM776&lt;=12*'🎚️ Escenario'!$C$11,1,1+$C$6))</f>
        <v>0</v>
      </c>
      <c r="BN778" s="237" t="n">
        <f aca="false">IF(BN776=0,0,IF(BN776&lt;=12*'🎚️ Escenario'!$C$11,1,1+$C$6))</f>
        <v>0</v>
      </c>
      <c r="BO778" s="237" t="n">
        <f aca="false">IF(BO776=0,0,IF(BO776&lt;=12*'🎚️ Escenario'!$C$11,1,1+$C$6))</f>
        <v>0</v>
      </c>
      <c r="BP778" s="237" t="n">
        <f aca="false">IF(BP776=0,0,IF(BP776&lt;=12*'🎚️ Escenario'!$C$11,1,1+$C$6))</f>
        <v>0</v>
      </c>
      <c r="BQ778" s="237" t="n">
        <f aca="false">IF(BQ776=0,0,IF(BQ776&lt;=12*'🎚️ Escenario'!$C$11,1,1+$C$6))</f>
        <v>0</v>
      </c>
      <c r="BR778" s="237" t="n">
        <f aca="false">IF(BR776=0,0,IF(BR776&lt;=12*'🎚️ Escenario'!$C$11,1,1+$C$6))</f>
        <v>0</v>
      </c>
      <c r="BS778" s="237" t="n">
        <f aca="false">IF(BS776=0,0,IF(BS776&lt;=12*'🎚️ Escenario'!$C$11,1,1+$C$6))</f>
        <v>0</v>
      </c>
      <c r="BT778" s="237" t="n">
        <f aca="false">IF(BT776=0,0,IF(BT776&lt;=12*'🎚️ Escenario'!$C$11,1,1+$C$6))</f>
        <v>0</v>
      </c>
      <c r="BU778" s="237" t="n">
        <f aca="false">IF(BU776=0,0,IF(BU776&lt;=12*'🎚️ Escenario'!$C$11,1,1+$C$6))</f>
        <v>0</v>
      </c>
      <c r="BV778" s="237" t="n">
        <f aca="false">IF(BV776=0,0,IF(BV776&lt;=12*'🎚️ Escenario'!$C$11,1,1+$C$6))</f>
        <v>0</v>
      </c>
      <c r="BW778" s="237" t="n">
        <f aca="false">IF(BW776=0,0,IF(BW776&lt;=12*'🎚️ Escenario'!$C$11,1,1+$C$6))</f>
        <v>0</v>
      </c>
      <c r="BX778" s="237" t="n">
        <f aca="false">IF(BX776=0,0,IF(BX776&lt;=12*'🎚️ Escenario'!$C$11,1,1+$C$6))</f>
        <v>0</v>
      </c>
      <c r="BY778" s="237" t="n">
        <f aca="false">IF(BY776=0,0,IF(BY776&lt;=12*'🎚️ Escenario'!$C$11,1,1+$C$6))</f>
        <v>0</v>
      </c>
      <c r="BZ778" s="237" t="n">
        <f aca="false">IF(BZ776=0,0,IF(BZ776&lt;=12*'🎚️ Escenario'!$C$11,1,1+$C$6))</f>
        <v>0</v>
      </c>
      <c r="CA778" s="237" t="n">
        <f aca="false">IF(CA776=0,0,IF(CA776&lt;=12*'🎚️ Escenario'!$C$11,1,1+$C$6))</f>
        <v>0</v>
      </c>
      <c r="CB778" s="237" t="n">
        <f aca="false">IF(CB776=0,0,IF(CB776&lt;=12*'🎚️ Escenario'!$C$11,1,1+$C$6))</f>
        <v>0</v>
      </c>
      <c r="CC778" s="237" t="n">
        <f aca="false">IF(CC776=0,0,IF(CC776&lt;=12*'🎚️ Escenario'!$C$11,1,1+$C$6))</f>
        <v>0</v>
      </c>
      <c r="CD778" s="237" t="n">
        <f aca="false">IF(CD776=0,0,IF(CD776&lt;=12*'🎚️ Escenario'!$C$11,1,1+$C$6))</f>
        <v>0</v>
      </c>
      <c r="CE778" s="237" t="n">
        <f aca="false">IF(CE776=0,0,IF(CE776&lt;=12*'🎚️ Escenario'!$C$11,1,1+$C$6))</f>
        <v>0</v>
      </c>
      <c r="CF778" s="237" t="n">
        <f aca="false">IF(CF776=0,0,IF(CF776&lt;=12*'🎚️ Escenario'!$C$11,1,1+$C$6))</f>
        <v>0</v>
      </c>
      <c r="CG778" s="237" t="n">
        <f aca="false">IF(CG776=0,0,IF(CG776&lt;=12*'🎚️ Escenario'!$C$11,1,1+$C$6))</f>
        <v>0</v>
      </c>
      <c r="CH778" s="237" t="n">
        <f aca="false">IF(CH776=0,0,IF(CH776&lt;=12*'🎚️ Escenario'!$C$11,1,1+$C$6))</f>
        <v>0</v>
      </c>
      <c r="CI778" s="237" t="n">
        <f aca="false">IF(CI776=0,0,IF(CI776&lt;=12*'🎚️ Escenario'!$C$11,1,1+$C$6))</f>
        <v>0</v>
      </c>
      <c r="CJ778" s="237" t="n">
        <f aca="false">IF(CJ776=0,0,IF(CJ776&lt;=12*'🎚️ Escenario'!$C$11,1,1+$C$6))</f>
        <v>0</v>
      </c>
      <c r="CK778" s="237" t="n">
        <f aca="false">IF(CK776=0,0,IF(CK776&lt;=12*'🎚️ Escenario'!$C$11,1,1+$C$6))</f>
        <v>0</v>
      </c>
      <c r="CL778" s="237" t="n">
        <f aca="false">IF(CL776=0,0,IF(CL776&lt;=12*'🎚️ Escenario'!$C$11,1,1+$C$6))</f>
        <v>0</v>
      </c>
      <c r="CM778" s="237" t="n">
        <f aca="false">IF(CM776=0,0,IF(CM776&lt;=12*'🎚️ Escenario'!$C$11,1,1+$C$6))</f>
        <v>0</v>
      </c>
      <c r="CN778" s="237" t="n">
        <f aca="false">IF(CN776=0,0,IF(CN776&lt;=12*'🎚️ Escenario'!$C$11,1,1+$C$6))</f>
        <v>0</v>
      </c>
      <c r="CO778" s="237" t="n">
        <f aca="false">IF(CO776=0,0,IF(CO776&lt;=12*'🎚️ Escenario'!$C$11,1,1+$C$6))</f>
        <v>0</v>
      </c>
      <c r="CP778" s="237" t="n">
        <f aca="false">IF(CP776=0,0,IF(CP776&lt;=12*'🎚️ Escenario'!$C$11,1,1+$C$6))</f>
        <v>0</v>
      </c>
      <c r="CQ778" s="237" t="n">
        <f aca="false">IF(CQ776=0,0,IF(CQ776&lt;=12*'🎚️ Escenario'!$C$11,1,1+$C$6))</f>
        <v>0</v>
      </c>
      <c r="CR778" s="237" t="n">
        <f aca="false">IF(CR776=0,0,IF(CR776&lt;=12*'🎚️ Escenario'!$C$11,1,1+$C$6))</f>
        <v>0</v>
      </c>
      <c r="CS778" s="237" t="n">
        <f aca="false">IF(CS776=0,0,IF(CS776&lt;=12*'🎚️ Escenario'!$C$11,1,1+$C$6))</f>
        <v>0</v>
      </c>
      <c r="CT778" s="237" t="n">
        <f aca="false">IF(CT776=0,0,IF(CT776&lt;=12*'🎚️ Escenario'!$C$11,1,1+$C$6))</f>
        <v>0</v>
      </c>
      <c r="CU778" s="237" t="n">
        <f aca="false">IF(CU776=0,0,IF(CU776&lt;=12*'🎚️ Escenario'!$C$11,1,1+$C$6))</f>
        <v>0</v>
      </c>
      <c r="CV778" s="237" t="n">
        <f aca="false">IF(CV776=0,0,IF(CV776&lt;=12*'🎚️ Escenario'!$C$11,1,1+$C$6))</f>
        <v>0</v>
      </c>
      <c r="CW778" s="237" t="n">
        <f aca="false">IF(CW776=0,0,IF(CW776&lt;=12*'🎚️ Escenario'!$C$11,1,1+$C$6))</f>
        <v>0</v>
      </c>
      <c r="CX778" s="237" t="n">
        <f aca="false">IF(CX776=0,0,IF(CX776&lt;=12*'🎚️ Escenario'!$C$11,1,1+$C$6))</f>
        <v>0</v>
      </c>
      <c r="CY778" s="237" t="n">
        <f aca="false">IF(CY776=0,0,IF(CY776&lt;=12*'🎚️ Escenario'!$C$11,1,1+$C$6))</f>
        <v>0</v>
      </c>
      <c r="CZ778" s="237" t="n">
        <f aca="false">IF(CZ776=0,0,IF(CZ776&lt;=12*'🎚️ Escenario'!$C$11,1,1+$C$6))</f>
        <v>0</v>
      </c>
      <c r="DA778" s="237" t="n">
        <f aca="false">IF(DA776=0,0,IF(DA776&lt;=12*'🎚️ Escenario'!$C$11,1,1+$C$6))</f>
        <v>0</v>
      </c>
      <c r="DB778" s="237" t="n">
        <f aca="false">IF(DB776=0,0,IF(DB776&lt;=12*'🎚️ Escenario'!$C$11,1,1+$C$6))</f>
        <v>0</v>
      </c>
      <c r="DC778" s="237" t="n">
        <f aca="false">IF(DC776=0,0,IF(DC776&lt;=12*'🎚️ Escenario'!$C$11,1,1+$C$6))</f>
        <v>0</v>
      </c>
      <c r="DD778" s="237" t="n">
        <f aca="false">IF(DD776=0,0,IF(DD776&lt;=12*'🎚️ Escenario'!$C$11,1,1+$C$6))</f>
        <v>0</v>
      </c>
      <c r="DE778" s="237" t="n">
        <f aca="false">IF(DE776=0,0,IF(DE776&lt;=12*'🎚️ Escenario'!$C$11,1,1+$C$6))</f>
        <v>0</v>
      </c>
      <c r="DF778" s="237" t="n">
        <f aca="false">IF(DF776=0,0,IF(DF776&lt;=12*'🎚️ Escenario'!$C$11,1,1+$C$6))</f>
        <v>0</v>
      </c>
      <c r="DG778" s="237" t="n">
        <f aca="false">IF(DG776=0,0,IF(DG776&lt;=12*'🎚️ Escenario'!$C$11,1,1+$C$6))</f>
        <v>0</v>
      </c>
      <c r="DH778" s="237" t="n">
        <f aca="false">IF(DH776=0,0,IF(DH776&lt;=12*'🎚️ Escenario'!$C$11,1,1+$C$6))</f>
        <v>0</v>
      </c>
      <c r="DI778" s="237" t="n">
        <f aca="false">IF(DI776=0,0,IF(DI776&lt;=12*'🎚️ Escenario'!$C$11,1,1+$C$6))</f>
        <v>0</v>
      </c>
      <c r="DJ778" s="237" t="n">
        <f aca="false">IF(DJ776=0,0,IF(DJ776&lt;=12*'🎚️ Escenario'!$C$11,1,1+$C$6))</f>
        <v>0</v>
      </c>
      <c r="DK778" s="237" t="n">
        <f aca="false">IF(DK776=0,0,IF(DK776&lt;=12*'🎚️ Escenario'!$C$11,1,1+$C$6))</f>
        <v>0</v>
      </c>
      <c r="DL778" s="237" t="n">
        <f aca="false">IF(DL776=0,0,IF(DL776&lt;=12*'🎚️ Escenario'!$C$11,1,1+$C$6))</f>
        <v>0</v>
      </c>
      <c r="DM778" s="237" t="n">
        <f aca="false">IF(DM776=0,0,IF(DM776&lt;=12*'🎚️ Escenario'!$C$11,1,1+$C$6))</f>
        <v>0</v>
      </c>
      <c r="DN778" s="237" t="n">
        <f aca="false">IF(DN776=0,0,IF(DN776&lt;=12*'🎚️ Escenario'!$C$11,1,1+$C$6))</f>
        <v>0</v>
      </c>
      <c r="DO778" s="237" t="n">
        <f aca="false">IF(DO776=0,0,IF(DO776&lt;=12*'🎚️ Escenario'!$C$11,1,1+$C$6))</f>
        <v>0</v>
      </c>
      <c r="DP778" s="237" t="n">
        <f aca="false">IF(DP776=0,0,IF(DP776&lt;=12*'🎚️ Escenario'!$C$11,1,1+$C$6))</f>
        <v>0</v>
      </c>
      <c r="DQ778" s="237" t="n">
        <f aca="false">IF(DQ776=0,0,IF(DQ776&lt;=12*'🎚️ Escenario'!$C$11,1,1+$C$6))</f>
        <v>0</v>
      </c>
      <c r="DR778" s="237" t="n">
        <f aca="false">IF(DR776=0,0,IF(DR776&lt;=12*'🎚️ Escenario'!$C$11,1,1+$C$6))</f>
        <v>0</v>
      </c>
      <c r="DS778" s="237" t="n">
        <f aca="false">IF(DS776=0,0,IF(DS776&lt;=12*'🎚️ Escenario'!$C$11,1,1+$C$6))</f>
        <v>0</v>
      </c>
      <c r="DT778" s="237" t="n">
        <f aca="false">IF(DT776=0,0,IF(DT776&lt;=12*'🎚️ Escenario'!$C$11,1,1+$C$6))</f>
        <v>0</v>
      </c>
      <c r="DU778" s="237" t="n">
        <f aca="false">IF(DU776=0,0,IF(DU776&lt;=12*'🎚️ Escenario'!$C$11,1,1+$C$6))</f>
        <v>0</v>
      </c>
      <c r="DV778" s="237" t="n">
        <f aca="false">IF(DV776=0,0,IF(DV776&lt;=12*'🎚️ Escenario'!$C$11,1,1+$C$6))</f>
        <v>0</v>
      </c>
      <c r="DW778" s="237" t="n">
        <f aca="false">IF(DW776=0,0,IF(DW776&lt;=12*'🎚️ Escenario'!$C$11,1,1+$C$6))</f>
        <v>0</v>
      </c>
      <c r="DX778" s="237" t="n">
        <f aca="false">IF(DX776=0,0,IF(DX776&lt;=12*'🎚️ Escenario'!$C$11,1,1+$C$6))</f>
        <v>0</v>
      </c>
      <c r="DY778" s="237" t="n">
        <f aca="false">IF(DY776=0,0,IF(DY776&lt;=12*'🎚️ Escenario'!$C$11,1,1+$C$6))</f>
        <v>0</v>
      </c>
      <c r="DZ778" s="237" t="n">
        <f aca="false">IF(DZ776=0,0,IF(DZ776&lt;=12*'🎚️ Escenario'!$C$11,1,1+$C$6))</f>
        <v>0</v>
      </c>
      <c r="EA778" s="237" t="n">
        <f aca="false">IF(EA776=0,0,IF(EA776&lt;=12*'🎚️ Escenario'!$C$11,1,1+$C$6))</f>
        <v>0</v>
      </c>
      <c r="EB778" s="237" t="n">
        <f aca="false">IF(EB776=0,0,IF(EB776&lt;=12*'🎚️ Escenario'!$C$11,1,1+$C$6))</f>
        <v>0</v>
      </c>
      <c r="EC778" s="237" t="n">
        <f aca="false">IF(EC776=0,0,IF(EC776&lt;=12*'🎚️ Escenario'!$C$11,1,1+$C$6))</f>
        <v>0</v>
      </c>
      <c r="ED778" s="237" t="n">
        <f aca="false">IF(ED776=0,0,IF(ED776&lt;=12*'🎚️ Escenario'!$C$11,1,1+$C$6))</f>
        <v>0</v>
      </c>
      <c r="EE778" s="237" t="n">
        <f aca="false">IF(EE776=0,0,IF(EE776&lt;=12*'🎚️ Escenario'!$C$11,1,1+$C$6))</f>
        <v>0</v>
      </c>
      <c r="EF778" s="237" t="n">
        <f aca="false">IF(EF776=0,0,IF(EF776&lt;=12*'🎚️ Escenario'!$C$11,1,1+$C$6))</f>
        <v>0</v>
      </c>
      <c r="EG778" s="237" t="n">
        <f aca="false">IF(EG776=0,0,IF(EG776&lt;=12*'🎚️ Escenario'!$C$11,1,1+$C$6))</f>
        <v>0</v>
      </c>
      <c r="EH778" s="237" t="n">
        <f aca="false">IF(EH776=0,0,IF(EH776&lt;=12*'🎚️ Escenario'!$C$11,1,1+$C$6))</f>
        <v>0</v>
      </c>
      <c r="EI778" s="237" t="n">
        <f aca="false">IF(EI776=0,0,IF(EI776&lt;=12*'🎚️ Escenario'!$C$11,1,1+$C$6))</f>
        <v>0</v>
      </c>
      <c r="EJ778" s="237" t="n">
        <f aca="false">IF(EJ776=0,0,IF(EJ776&lt;=12*'🎚️ Escenario'!$C$11,1,1+$C$6))</f>
        <v>0</v>
      </c>
      <c r="EK778" s="237" t="n">
        <f aca="false">IF(EK776=0,0,IF(EK776&lt;=12*'🎚️ Escenario'!$C$11,1,1+$C$6))</f>
        <v>0</v>
      </c>
      <c r="EL778" s="237" t="n">
        <f aca="false">IF(EL776=0,0,IF(EL776&lt;=12*'🎚️ Escenario'!$C$11,1,1+$C$6))</f>
        <v>0</v>
      </c>
      <c r="EM778" s="237" t="n">
        <f aca="false">IF(EM776=0,0,IF(EM776&lt;=12*'🎚️ Escenario'!$C$11,1,1+$C$6))</f>
        <v>0</v>
      </c>
      <c r="EN778" s="237" t="n">
        <f aca="false">IF(EN776=0,0,IF(EN776&lt;=12*'🎚️ Escenario'!$C$11,1,1+$C$6))</f>
        <v>0</v>
      </c>
      <c r="EO778" s="237" t="n">
        <f aca="false">IF(EO776=0,0,IF(EO776&lt;=12*'🎚️ Escenario'!$C$11,1,1+$C$6))</f>
        <v>0</v>
      </c>
      <c r="EP778" s="237" t="n">
        <f aca="false">IF(EP776=0,0,IF(EP776&lt;=12*'🎚️ Escenario'!$C$11,1,1+$C$6))</f>
        <v>0</v>
      </c>
      <c r="EQ778" s="237" t="n">
        <f aca="false">IF(EQ776=0,0,IF(EQ776&lt;=12*'🎚️ Escenario'!$C$11,1,1+$C$6))</f>
        <v>0</v>
      </c>
      <c r="ER778" s="237" t="n">
        <f aca="false">IF(ER776=0,0,IF(ER776&lt;=12*'🎚️ Escenario'!$C$11,1,1+$C$6))</f>
        <v>0</v>
      </c>
      <c r="ES778" s="9" t="n">
        <f aca="false">IF(ES776=0,0,IF(ES776&lt;=12*'🎚️ Escenario'!$C$11,1,1+$C$6))</f>
        <v>0</v>
      </c>
      <c r="ET778" s="9" t="n">
        <f aca="false">IF(ET776=0,0,IF(ET776&lt;=12*'🎚️ Escenario'!$C$11,1,1+$C$6))</f>
        <v>0</v>
      </c>
      <c r="EU778" s="9" t="n">
        <f aca="false">IF(EU776=0,0,IF(EU776&lt;=12*'🎚️ Escenario'!$C$11,1,1+$C$6))</f>
        <v>0</v>
      </c>
      <c r="EV778" s="9" t="n">
        <f aca="false">IF(EV776=0,0,IF(EV776&lt;=12*'🎚️ Escenario'!$C$11,1,1+$C$6))</f>
        <v>0</v>
      </c>
      <c r="EW778" s="9" t="n">
        <f aca="false">IF(EW776=0,0,IF(EW776&lt;=12*'🎚️ Escenario'!$C$11,1,1+$C$6))</f>
        <v>0</v>
      </c>
      <c r="EX778" s="9" t="n">
        <f aca="false">IF(EX776=0,0,IF(EX776&lt;=12*'🎚️ Escenario'!$C$11,1,1+$C$6))</f>
        <v>0</v>
      </c>
      <c r="EY778" s="9" t="n">
        <f aca="false">IF(EY776=0,0,IF(EY776&lt;=12*'🎚️ Escenario'!$C$11,1,1+$C$6))</f>
        <v>0</v>
      </c>
      <c r="EZ778" s="9" t="n">
        <f aca="false">IF(EZ776=0,0,IF(EZ776&lt;=12*'🎚️ Escenario'!$C$11,1,1+$C$6))</f>
        <v>0</v>
      </c>
      <c r="FA778" s="9" t="n">
        <f aca="false">IF(FA776=0,0,IF(FA776&lt;=12*'🎚️ Escenario'!$C$11,1,1+$C$6))</f>
        <v>0</v>
      </c>
      <c r="FB778" s="9" t="n">
        <f aca="false">IF(FB776=0,0,IF(FB776&lt;=12*'🎚️ Escenario'!$C$11,1,1+$C$6))</f>
        <v>1</v>
      </c>
      <c r="FC778" s="9" t="n">
        <f aca="false">IF(FC776=0,0,IF(FC776&lt;=12*'🎚️ Escenario'!$C$11,1,1+$C$6))</f>
        <v>1</v>
      </c>
      <c r="FD778" s="9" t="n">
        <f aca="false">IF(FD776=0,0,IF(FD776&lt;=12*'🎚️ Escenario'!$C$11,1,1+$C$6))</f>
        <v>1</v>
      </c>
      <c r="FE778" s="9" t="n">
        <f aca="false">IF(FE776=0,0,IF(FE776&lt;=12*'🎚️ Escenario'!$C$11,1,1+$C$6))</f>
        <v>1</v>
      </c>
      <c r="FF778" s="9" t="n">
        <f aca="false">IF(FF776=0,0,IF(FF776&lt;=12*'🎚️ Escenario'!$C$11,1,1+$C$6))</f>
        <v>1</v>
      </c>
      <c r="FG778" s="9" t="n">
        <f aca="false">IF(FG776=0,0,IF(FG776&lt;=12*'🎚️ Escenario'!$C$11,1,1+$C$6))</f>
        <v>1</v>
      </c>
      <c r="FH778" s="9" t="n">
        <f aca="false">IF(FH776=0,0,IF(FH776&lt;=12*'🎚️ Escenario'!$C$11,1,1+$C$6))</f>
        <v>1</v>
      </c>
      <c r="FI778" s="9" t="n">
        <f aca="false">IF(FI776=0,0,IF(FI776&lt;=12*'🎚️ Escenario'!$C$11,1,1+$C$6))</f>
        <v>1</v>
      </c>
      <c r="FJ778" s="9" t="n">
        <f aca="false">IF(FJ776=0,0,IF(FJ776&lt;=12*'🎚️ Escenario'!$C$11,1,1+$C$6))</f>
        <v>1</v>
      </c>
      <c r="FK778" s="9" t="n">
        <f aca="false">IF(FK776=0,0,IF(FK776&lt;=12*'🎚️ Escenario'!$C$11,1,1+$C$6))</f>
        <v>1</v>
      </c>
      <c r="FL778" s="9" t="n">
        <f aca="false">IF(FL776=0,0,IF(FL776&lt;=12*'🎚️ Escenario'!$C$11,1,1+$C$6))</f>
        <v>1</v>
      </c>
      <c r="FM778" s="9" t="n">
        <f aca="false">IF(FM776=0,0,IF(FM776&lt;=12*'🎚️ Escenario'!$C$11,1,1+$C$6))</f>
        <v>1</v>
      </c>
      <c r="FN778" s="9" t="n">
        <f aca="false">IF(FN776=0,0,IF(FN776&lt;=12*'🎚️ Escenario'!$C$11,1,1+$C$6))</f>
        <v>1</v>
      </c>
      <c r="FO778" s="9" t="n">
        <f aca="false">IF(FO776=0,0,IF(FO776&lt;=12*'🎚️ Escenario'!$C$11,1,1+$C$6))</f>
        <v>1</v>
      </c>
      <c r="FP778" s="9" t="n">
        <f aca="false">IF(FP776=0,0,IF(FP776&lt;=12*'🎚️ Escenario'!$C$11,1,1+$C$6))</f>
        <v>1</v>
      </c>
    </row>
    <row r="779" customFormat="false" ht="15" hidden="false" customHeight="false" outlineLevel="2" collapsed="false">
      <c r="B779" s="9" t="s">
        <v>876</v>
      </c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36" t="n">
        <f aca="false">AC777*$AC$775*AC778*AC$38*'⑫ Roll-out Plan'!$O$82</f>
        <v>0</v>
      </c>
      <c r="AD779" s="36" t="n">
        <f aca="false">AD777*$AC$775*AD778*AD$38*'⑫ Roll-out Plan'!$O$82</f>
        <v>0</v>
      </c>
      <c r="AE779" s="36" t="n">
        <f aca="false">AE777*$AC$775*AE778*AE$38*'⑫ Roll-out Plan'!$O$82</f>
        <v>0</v>
      </c>
      <c r="AF779" s="36" t="n">
        <f aca="false">AF777*$AC$775*AF778*AF$38*'⑫ Roll-out Plan'!$O$82</f>
        <v>0</v>
      </c>
      <c r="AG779" s="36" t="n">
        <f aca="false">AG777*$AC$775*AG778*AG$38*'⑫ Roll-out Plan'!$O$82</f>
        <v>0</v>
      </c>
      <c r="AH779" s="36" t="n">
        <f aca="false">AH777*$AC$775*AH778*AH$38*'⑫ Roll-out Plan'!$O$82</f>
        <v>0</v>
      </c>
      <c r="AI779" s="36" t="n">
        <f aca="false">AI777*$AC$775*AI778*AI$38*'⑫ Roll-out Plan'!$O$82</f>
        <v>0</v>
      </c>
      <c r="AJ779" s="36" t="n">
        <f aca="false">AJ777*$AC$775*AJ778*AJ$38*'⑫ Roll-out Plan'!$O$82</f>
        <v>0</v>
      </c>
      <c r="AK779" s="36" t="n">
        <f aca="false">AK777*$AC$775*AK778*AK$38*'⑫ Roll-out Plan'!$O$82</f>
        <v>0</v>
      </c>
      <c r="AL779" s="36" t="n">
        <f aca="false">AL777*$AC$775*AL778*AL$38*'⑫ Roll-out Plan'!$O$82</f>
        <v>0</v>
      </c>
      <c r="AM779" s="36" t="n">
        <f aca="false">AM777*$AC$775*AM778*AM$38*'⑫ Roll-out Plan'!$O$82</f>
        <v>0</v>
      </c>
      <c r="AN779" s="36" t="n">
        <f aca="false">AN777*$AC$775*AN778*AN$38*'⑫ Roll-out Plan'!$O$82</f>
        <v>0</v>
      </c>
      <c r="AO779" s="36" t="n">
        <f aca="false">AO777*$AC$775*AO778*AO$38*'⑫ Roll-out Plan'!$O$82</f>
        <v>0</v>
      </c>
      <c r="AP779" s="36" t="n">
        <f aca="false">AP777*$AC$775*AP778*AP$38*'⑫ Roll-out Plan'!$O$82</f>
        <v>0</v>
      </c>
      <c r="AQ779" s="36" t="n">
        <f aca="false">AQ777*$AC$775*AQ778*AQ$38*'⑫ Roll-out Plan'!$O$82</f>
        <v>0</v>
      </c>
      <c r="AR779" s="36" t="n">
        <f aca="false">AR777*$AC$775*AR778*AR$38*'⑫ Roll-out Plan'!$O$82</f>
        <v>0</v>
      </c>
      <c r="AS779" s="36" t="n">
        <f aca="false">AS777*$AC$775*AS778*AS$38*'⑫ Roll-out Plan'!$O$82</f>
        <v>0</v>
      </c>
      <c r="AT779" s="36" t="n">
        <f aca="false">AT777*$AC$775*AT778*AT$38*'⑫ Roll-out Plan'!$O$82</f>
        <v>0</v>
      </c>
      <c r="AU779" s="36" t="n">
        <f aca="false">AU777*$AC$775*AU778*AU$38*'⑫ Roll-out Plan'!$O$82</f>
        <v>0</v>
      </c>
      <c r="AV779" s="36" t="n">
        <f aca="false">AV777*$AC$775*AV778*AV$38*'⑫ Roll-out Plan'!$O$82</f>
        <v>0</v>
      </c>
      <c r="AW779" s="36" t="n">
        <f aca="false">AW777*$AC$775*AW778*AW$38*'⑫ Roll-out Plan'!$O$82</f>
        <v>0</v>
      </c>
      <c r="AX779" s="36" t="n">
        <f aca="false">AX777*$AC$775*AX778*AX$38*'⑫ Roll-out Plan'!$O$82</f>
        <v>0</v>
      </c>
      <c r="AY779" s="36" t="n">
        <f aca="false">AY777*$AC$775*AY778*AY$38*'⑫ Roll-out Plan'!$O$82</f>
        <v>0</v>
      </c>
      <c r="AZ779" s="36" t="n">
        <f aca="false">AZ777*$AC$775*AZ778*AZ$38*'⑫ Roll-out Plan'!$O$82</f>
        <v>0</v>
      </c>
      <c r="BA779" s="36" t="n">
        <f aca="false">BA777*$AC$775*BA778*BA$38*'⑫ Roll-out Plan'!$O$82</f>
        <v>0</v>
      </c>
      <c r="BB779" s="36" t="n">
        <f aca="false">BB777*$AC$775*BB778*BB$38*'⑫ Roll-out Plan'!$O$82</f>
        <v>0</v>
      </c>
      <c r="BC779" s="36" t="n">
        <f aca="false">BC777*$AC$775*BC778*BC$38*'⑫ Roll-out Plan'!$O$82</f>
        <v>0</v>
      </c>
      <c r="BD779" s="36" t="n">
        <f aca="false">BD777*$AC$775*BD778*BD$38*'⑫ Roll-out Plan'!$O$82</f>
        <v>0</v>
      </c>
      <c r="BE779" s="36" t="n">
        <f aca="false">BE777*$AC$775*BE778*BE$38*'⑫ Roll-out Plan'!$O$82</f>
        <v>0</v>
      </c>
      <c r="BF779" s="36" t="n">
        <f aca="false">BF777*$AC$775*BF778*BF$38*'⑫ Roll-out Plan'!$O$82</f>
        <v>0</v>
      </c>
      <c r="BG779" s="36" t="n">
        <f aca="false">BG777*$AC$775*BG778*BG$38*'⑫ Roll-out Plan'!$O$82</f>
        <v>0</v>
      </c>
      <c r="BH779" s="36" t="n">
        <f aca="false">BH777*$AC$775*BH778*BH$38*'⑫ Roll-out Plan'!$O$82</f>
        <v>0</v>
      </c>
      <c r="BI779" s="36" t="n">
        <f aca="false">BI777*$AC$775*BI778*BI$38*'⑫ Roll-out Plan'!$O$82</f>
        <v>0</v>
      </c>
      <c r="BJ779" s="36" t="n">
        <f aca="false">BJ777*$AC$775*BJ778*BJ$38*'⑫ Roll-out Plan'!$O$82</f>
        <v>0</v>
      </c>
      <c r="BK779" s="36" t="n">
        <f aca="false">BK777*$AC$775*BK778*BK$38*'⑫ Roll-out Plan'!$O$82</f>
        <v>0</v>
      </c>
      <c r="BL779" s="36" t="n">
        <f aca="false">BL777*$AC$775*BL778*BL$38*'⑫ Roll-out Plan'!$O$82</f>
        <v>0</v>
      </c>
      <c r="BM779" s="36" t="n">
        <f aca="false">BM777*$AC$775*BM778*BM$38*'⑫ Roll-out Plan'!$O$82</f>
        <v>0</v>
      </c>
      <c r="BN779" s="36" t="n">
        <f aca="false">BN777*$AC$775*BN778*BN$38*'⑫ Roll-out Plan'!$O$82</f>
        <v>0</v>
      </c>
      <c r="BO779" s="36" t="n">
        <f aca="false">BO777*$AC$775*BO778*BO$38*'⑫ Roll-out Plan'!$O$82</f>
        <v>0</v>
      </c>
      <c r="BP779" s="36" t="n">
        <f aca="false">BP777*$AC$775*BP778*BP$38*'⑫ Roll-out Plan'!$O$82</f>
        <v>0</v>
      </c>
      <c r="BQ779" s="36" t="n">
        <f aca="false">BQ777*$AC$775*BQ778*BQ$38*'⑫ Roll-out Plan'!$O$82</f>
        <v>0</v>
      </c>
      <c r="BR779" s="36" t="n">
        <f aca="false">BR777*$AC$775*BR778*BR$38*'⑫ Roll-out Plan'!$O$82</f>
        <v>0</v>
      </c>
      <c r="BS779" s="36" t="n">
        <f aca="false">BS777*$AC$775*BS778*BS$38*'⑫ Roll-out Plan'!$O$82</f>
        <v>0</v>
      </c>
      <c r="BT779" s="36" t="n">
        <f aca="false">BT777*$AC$775*BT778*BT$38*'⑫ Roll-out Plan'!$O$82</f>
        <v>0</v>
      </c>
      <c r="BU779" s="36" t="n">
        <f aca="false">BU777*$AC$775*BU778*BU$38*'⑫ Roll-out Plan'!$O$82</f>
        <v>0</v>
      </c>
      <c r="BV779" s="36" t="n">
        <f aca="false">BV777*$AC$775*BV778*BV$38*'⑫ Roll-out Plan'!$O$82</f>
        <v>0</v>
      </c>
      <c r="BW779" s="36" t="n">
        <f aca="false">BW777*$AC$775*BW778*BW$38*'⑫ Roll-out Plan'!$O$82</f>
        <v>0</v>
      </c>
      <c r="BX779" s="36" t="n">
        <f aca="false">BX777*$AC$775*BX778*BX$38*'⑫ Roll-out Plan'!$O$82</f>
        <v>0</v>
      </c>
      <c r="BY779" s="36" t="n">
        <f aca="false">BY777*$AC$775*BY778*BY$38*'⑫ Roll-out Plan'!$O$82</f>
        <v>0</v>
      </c>
      <c r="BZ779" s="36" t="n">
        <f aca="false">BZ777*$AC$775*BZ778*BZ$38*'⑫ Roll-out Plan'!$O$82</f>
        <v>0</v>
      </c>
      <c r="CA779" s="36" t="n">
        <f aca="false">CA777*$AC$775*CA778*CA$38*'⑫ Roll-out Plan'!$O$82</f>
        <v>0</v>
      </c>
      <c r="CB779" s="36" t="n">
        <f aca="false">CB777*$AC$775*CB778*CB$38*'⑫ Roll-out Plan'!$O$82</f>
        <v>0</v>
      </c>
      <c r="CC779" s="36" t="n">
        <f aca="false">CC777*$AC$775*CC778*CC$38*'⑫ Roll-out Plan'!$O$82</f>
        <v>0</v>
      </c>
      <c r="CD779" s="36" t="n">
        <f aca="false">CD777*$AC$775*CD778*CD$38*'⑫ Roll-out Plan'!$O$82</f>
        <v>0</v>
      </c>
      <c r="CE779" s="36" t="n">
        <f aca="false">CE777*$AC$775*CE778*CE$38*'⑫ Roll-out Plan'!$O$82</f>
        <v>0</v>
      </c>
      <c r="CF779" s="36" t="n">
        <f aca="false">CF777*$AC$775*CF778*CF$38*'⑫ Roll-out Plan'!$O$82</f>
        <v>0</v>
      </c>
      <c r="CG779" s="36" t="n">
        <f aca="false">CG777*$AC$775*CG778*CG$38*'⑫ Roll-out Plan'!$O$82</f>
        <v>0</v>
      </c>
      <c r="CH779" s="36" t="n">
        <f aca="false">CH777*$AC$775*CH778*CH$38*'⑫ Roll-out Plan'!$O$82</f>
        <v>0</v>
      </c>
      <c r="CI779" s="36" t="n">
        <f aca="false">CI777*$AC$775*CI778*CI$38*'⑫ Roll-out Plan'!$O$82</f>
        <v>0</v>
      </c>
      <c r="CJ779" s="36" t="n">
        <f aca="false">CJ777*$AC$775*CJ778*CJ$38*'⑫ Roll-out Plan'!$O$82</f>
        <v>0</v>
      </c>
      <c r="CK779" s="36" t="n">
        <f aca="false">CK777*$AC$775*CK778*CK$38*'⑫ Roll-out Plan'!$O$82</f>
        <v>0</v>
      </c>
      <c r="CL779" s="36" t="n">
        <f aca="false">CL777*$AC$775*CL778*CL$38*'⑫ Roll-out Plan'!$O$82</f>
        <v>0</v>
      </c>
      <c r="CM779" s="36" t="n">
        <f aca="false">CM777*$AC$775*CM778*CM$38*'⑫ Roll-out Plan'!$O$82</f>
        <v>0</v>
      </c>
      <c r="CN779" s="36" t="n">
        <f aca="false">CN777*$AC$775*CN778*CN$38*'⑫ Roll-out Plan'!$O$82</f>
        <v>0</v>
      </c>
      <c r="CO779" s="36" t="n">
        <f aca="false">CO777*$AC$775*CO778*CO$38*'⑫ Roll-out Plan'!$O$82</f>
        <v>0</v>
      </c>
      <c r="CP779" s="36" t="n">
        <f aca="false">CP777*$AC$775*CP778*CP$38*'⑫ Roll-out Plan'!$O$82</f>
        <v>0</v>
      </c>
      <c r="CQ779" s="36" t="n">
        <f aca="false">CQ777*$AC$775*CQ778*CQ$38*'⑫ Roll-out Plan'!$O$82</f>
        <v>0</v>
      </c>
      <c r="CR779" s="36" t="n">
        <f aca="false">CR777*$AC$775*CR778*CR$38*'⑫ Roll-out Plan'!$O$82</f>
        <v>0</v>
      </c>
      <c r="CS779" s="36" t="n">
        <f aca="false">CS777*$AC$775*CS778*CS$38*'⑫ Roll-out Plan'!$O$82</f>
        <v>0</v>
      </c>
      <c r="CT779" s="36" t="n">
        <f aca="false">CT777*$AC$775*CT778*CT$38*'⑫ Roll-out Plan'!$O$82</f>
        <v>0</v>
      </c>
      <c r="CU779" s="36" t="n">
        <f aca="false">CU777*$AC$775*CU778*CU$38*'⑫ Roll-out Plan'!$O$82</f>
        <v>0</v>
      </c>
      <c r="CV779" s="36" t="n">
        <f aca="false">CV777*$AC$775*CV778*CV$38*'⑫ Roll-out Plan'!$O$82</f>
        <v>0</v>
      </c>
      <c r="CW779" s="36" t="n">
        <f aca="false">CW777*$AC$775*CW778*CW$38*'⑫ Roll-out Plan'!$O$82</f>
        <v>0</v>
      </c>
      <c r="CX779" s="36" t="n">
        <f aca="false">CX777*$AC$775*CX778*CX$38*'⑫ Roll-out Plan'!$O$82</f>
        <v>0</v>
      </c>
      <c r="CY779" s="36" t="n">
        <f aca="false">CY777*$AC$775*CY778*CY$38*'⑫ Roll-out Plan'!$O$82</f>
        <v>0</v>
      </c>
      <c r="CZ779" s="36" t="n">
        <f aca="false">CZ777*$AC$775*CZ778*CZ$38*'⑫ Roll-out Plan'!$O$82</f>
        <v>0</v>
      </c>
      <c r="DA779" s="36" t="n">
        <f aca="false">DA777*$AC$775*DA778*DA$38*'⑫ Roll-out Plan'!$O$82</f>
        <v>0</v>
      </c>
      <c r="DB779" s="36" t="n">
        <f aca="false">DB777*$AC$775*DB778*DB$38*'⑫ Roll-out Plan'!$O$82</f>
        <v>0</v>
      </c>
      <c r="DC779" s="36" t="n">
        <f aca="false">DC777*$AC$775*DC778*DC$38*'⑫ Roll-out Plan'!$O$82</f>
        <v>0</v>
      </c>
      <c r="DD779" s="36" t="n">
        <f aca="false">DD777*$AC$775*DD778*DD$38*'⑫ Roll-out Plan'!$O$82</f>
        <v>0</v>
      </c>
      <c r="DE779" s="36" t="n">
        <f aca="false">DE777*$AC$775*DE778*DE$38*'⑫ Roll-out Plan'!$O$82</f>
        <v>0</v>
      </c>
      <c r="DF779" s="36" t="n">
        <f aca="false">DF777*$AC$775*DF778*DF$38*'⑫ Roll-out Plan'!$O$82</f>
        <v>0</v>
      </c>
      <c r="DG779" s="36" t="n">
        <f aca="false">DG777*$AC$775*DG778*DG$38*'⑫ Roll-out Plan'!$O$82</f>
        <v>0</v>
      </c>
      <c r="DH779" s="36" t="n">
        <f aca="false">DH777*$AC$775*DH778*DH$38*'⑫ Roll-out Plan'!$O$82</f>
        <v>0</v>
      </c>
      <c r="DI779" s="36" t="n">
        <f aca="false">DI777*$AC$775*DI778*DI$38*'⑫ Roll-out Plan'!$O$82</f>
        <v>0</v>
      </c>
      <c r="DJ779" s="36" t="n">
        <f aca="false">DJ777*$AC$775*DJ778*DJ$38*'⑫ Roll-out Plan'!$O$82</f>
        <v>0</v>
      </c>
      <c r="DK779" s="36" t="n">
        <f aca="false">DK777*$AC$775*DK778*DK$38*'⑫ Roll-out Plan'!$O$82</f>
        <v>0</v>
      </c>
      <c r="DL779" s="36" t="n">
        <f aca="false">DL777*$AC$775*DL778*DL$38*'⑫ Roll-out Plan'!$O$82</f>
        <v>0</v>
      </c>
      <c r="DM779" s="36" t="n">
        <f aca="false">DM777*$AC$775*DM778*DM$38*'⑫ Roll-out Plan'!$O$82</f>
        <v>0</v>
      </c>
      <c r="DN779" s="36" t="n">
        <f aca="false">DN777*$AC$775*DN778*DN$38*'⑫ Roll-out Plan'!$O$82</f>
        <v>0</v>
      </c>
      <c r="DO779" s="36" t="n">
        <f aca="false">DO777*$AC$775*DO778*DO$38*'⑫ Roll-out Plan'!$O$82</f>
        <v>0</v>
      </c>
      <c r="DP779" s="36" t="n">
        <f aca="false">DP777*$AC$775*DP778*DP$38*'⑫ Roll-out Plan'!$O$82</f>
        <v>0</v>
      </c>
      <c r="DQ779" s="36" t="n">
        <f aca="false">DQ777*$AC$775*DQ778*DQ$38*'⑫ Roll-out Plan'!$O$82</f>
        <v>0</v>
      </c>
      <c r="DR779" s="36" t="n">
        <f aca="false">DR777*$AC$775*DR778*DR$38*'⑫ Roll-out Plan'!$O$82</f>
        <v>0</v>
      </c>
      <c r="DS779" s="36" t="n">
        <f aca="false">DS777*$AC$775*DS778*DS$38*'⑫ Roll-out Plan'!$O$82</f>
        <v>0</v>
      </c>
      <c r="DT779" s="36" t="n">
        <f aca="false">DT777*$AC$775*DT778*DT$38*'⑫ Roll-out Plan'!$O$82</f>
        <v>0</v>
      </c>
      <c r="DU779" s="36" t="n">
        <f aca="false">DU777*$AC$775*DU778*DU$38*'⑫ Roll-out Plan'!$O$82</f>
        <v>0</v>
      </c>
      <c r="DV779" s="36" t="n">
        <f aca="false">DV777*$AC$775*DV778*DV$38*'⑫ Roll-out Plan'!$O$82</f>
        <v>0</v>
      </c>
      <c r="DW779" s="36" t="n">
        <f aca="false">DW777*$AC$775*DW778*DW$38*'⑫ Roll-out Plan'!$O$82</f>
        <v>0</v>
      </c>
      <c r="DX779" s="36" t="n">
        <f aca="false">DX777*$AC$775*DX778*DX$38*'⑫ Roll-out Plan'!$O$82</f>
        <v>0</v>
      </c>
      <c r="DY779" s="36" t="n">
        <f aca="false">DY777*$AC$775*DY778*DY$38*'⑫ Roll-out Plan'!$O$82</f>
        <v>0</v>
      </c>
      <c r="DZ779" s="36" t="n">
        <f aca="false">DZ777*$AC$775*DZ778*DZ$38*'⑫ Roll-out Plan'!$O$82</f>
        <v>0</v>
      </c>
      <c r="EA779" s="36" t="n">
        <f aca="false">EA777*$AC$775*EA778*EA$38*'⑫ Roll-out Plan'!$O$82</f>
        <v>0</v>
      </c>
      <c r="EB779" s="36" t="n">
        <f aca="false">EB777*$AC$775*EB778*EB$38*'⑫ Roll-out Plan'!$O$82</f>
        <v>0</v>
      </c>
      <c r="EC779" s="36" t="n">
        <f aca="false">EC777*$AC$775*EC778*EC$38*'⑫ Roll-out Plan'!$O$82</f>
        <v>0</v>
      </c>
      <c r="ED779" s="36" t="n">
        <f aca="false">ED777*$AC$775*ED778*ED$38*'⑫ Roll-out Plan'!$O$82</f>
        <v>0</v>
      </c>
      <c r="EE779" s="36" t="n">
        <f aca="false">EE777*$AC$775*EE778*EE$38*'⑫ Roll-out Plan'!$O$82</f>
        <v>0</v>
      </c>
      <c r="EF779" s="36" t="n">
        <f aca="false">EF777*$AC$775*EF778*EF$38*'⑫ Roll-out Plan'!$O$82</f>
        <v>0</v>
      </c>
      <c r="EG779" s="36" t="n">
        <f aca="false">EG777*$AC$775*EG778*EG$38*'⑫ Roll-out Plan'!$O$82</f>
        <v>0</v>
      </c>
      <c r="EH779" s="36" t="n">
        <f aca="false">EH777*$AC$775*EH778*EH$38*'⑫ Roll-out Plan'!$O$82</f>
        <v>0</v>
      </c>
      <c r="EI779" s="36" t="n">
        <f aca="false">EI777*$AC$775*EI778*EI$38*'⑫ Roll-out Plan'!$O$82</f>
        <v>0</v>
      </c>
      <c r="EJ779" s="36" t="n">
        <f aca="false">EJ777*$AC$775*EJ778*EJ$38*'⑫ Roll-out Plan'!$O$82</f>
        <v>0</v>
      </c>
      <c r="EK779" s="36" t="n">
        <f aca="false">EK777*$AC$775*EK778*EK$38*'⑫ Roll-out Plan'!$O$82</f>
        <v>0</v>
      </c>
      <c r="EL779" s="36" t="n">
        <f aca="false">EL777*$AC$775*EL778*EL$38*'⑫ Roll-out Plan'!$O$82</f>
        <v>0</v>
      </c>
      <c r="EM779" s="36" t="n">
        <f aca="false">EM777*$AC$775*EM778*EM$38*'⑫ Roll-out Plan'!$O$82</f>
        <v>0</v>
      </c>
      <c r="EN779" s="36" t="n">
        <f aca="false">EN777*$AC$775*EN778*EN$38*'⑫ Roll-out Plan'!$O$82</f>
        <v>0</v>
      </c>
      <c r="EO779" s="36" t="n">
        <f aca="false">EO777*$AC$775*EO778*EO$38*'⑫ Roll-out Plan'!$O$82</f>
        <v>0</v>
      </c>
      <c r="EP779" s="36" t="n">
        <f aca="false">EP777*$AC$775*EP778*EP$38*'⑫ Roll-out Plan'!$O$82</f>
        <v>0</v>
      </c>
      <c r="EQ779" s="36" t="n">
        <f aca="false">EQ777*$AC$775*EQ778*EQ$38*'⑫ Roll-out Plan'!$O$82</f>
        <v>0</v>
      </c>
      <c r="ER779" s="36" t="n">
        <f aca="false">ER777*$AC$775*ER778*ER$38*'⑫ Roll-out Plan'!$O$82</f>
        <v>0</v>
      </c>
      <c r="ES779" s="9" t="n">
        <f aca="false">ES777*$AC$775*ES778*ES$38*'⑫ Roll-out Plan'!$O$82</f>
        <v>0</v>
      </c>
      <c r="ET779" s="9" t="n">
        <f aca="false">ET777*$AC$775*ET778*ET$38*'⑫ Roll-out Plan'!$O$82</f>
        <v>0</v>
      </c>
      <c r="EU779" s="9" t="n">
        <f aca="false">EU777*$AC$775*EU778*EU$38*'⑫ Roll-out Plan'!$O$82</f>
        <v>0</v>
      </c>
      <c r="EV779" s="9" t="n">
        <f aca="false">EV777*$AC$775*EV778*EV$38*'⑫ Roll-out Plan'!$O$82</f>
        <v>0</v>
      </c>
      <c r="EW779" s="9" t="n">
        <f aca="false">EW777*$AC$775*EW778*EW$38*'⑫ Roll-out Plan'!$O$82</f>
        <v>0</v>
      </c>
      <c r="EX779" s="9" t="n">
        <f aca="false">EX777*$AC$775*EX778*EX$38*'⑫ Roll-out Plan'!$O$82</f>
        <v>0</v>
      </c>
      <c r="EY779" s="9" t="n">
        <f aca="false">EY777*$AC$775*EY778*EY$38*'⑫ Roll-out Plan'!$O$82</f>
        <v>0</v>
      </c>
      <c r="EZ779" s="9" t="n">
        <f aca="false">EZ777*$AC$775*EZ778*EZ$38*'⑫ Roll-out Plan'!$O$82</f>
        <v>0</v>
      </c>
      <c r="FA779" s="9" t="n">
        <f aca="false">FA777*$AC$775*FA778*FA$38*'⑫ Roll-out Plan'!$O$82</f>
        <v>0</v>
      </c>
      <c r="FB779" s="9" t="n">
        <f aca="false">FB777*$AC$775*FB778*FB$38*'⑫ Roll-out Plan'!$O$82</f>
        <v>40.32</v>
      </c>
      <c r="FC779" s="9" t="n">
        <f aca="false">FC777*$AC$775*FC778*FC$38*'⑫ Roll-out Plan'!$O$82</f>
        <v>33.264</v>
      </c>
      <c r="FD779" s="9" t="n">
        <f aca="false">FD777*$AC$775*FD778*FD$38*'⑫ Roll-out Plan'!$O$82</f>
        <v>51.408</v>
      </c>
      <c r="FE779" s="9" t="n">
        <f aca="false">FE777*$AC$775*FE778*FE$38*'⑫ Roll-out Plan'!$O$82</f>
        <v>61.236</v>
      </c>
      <c r="FF779" s="9" t="n">
        <f aca="false">FF777*$AC$775*FF778*FF$38*'⑫ Roll-out Plan'!$O$82</f>
        <v>46.494</v>
      </c>
      <c r="FG779" s="9" t="n">
        <f aca="false">FG777*$AC$775*FG778*FG$38*'⑫ Roll-out Plan'!$O$82</f>
        <v>75.516</v>
      </c>
      <c r="FH779" s="9" t="n">
        <f aca="false">FH777*$AC$775*FH778*FH$38*'⑫ Roll-out Plan'!$O$82</f>
        <v>80.85</v>
      </c>
      <c r="FI779" s="9" t="n">
        <f aca="false">FI777*$AC$775*FI778*FI$38*'⑫ Roll-out Plan'!$O$82</f>
        <v>75.348</v>
      </c>
      <c r="FJ779" s="9" t="n">
        <f aca="false">FJ777*$AC$775*FJ778*FJ$38*'⑫ Roll-out Plan'!$O$82</f>
        <v>73.92</v>
      </c>
      <c r="FK779" s="9" t="n">
        <f aca="false">FK777*$AC$775*FK778*FK$38*'⑫ Roll-out Plan'!$O$82</f>
        <v>77.616</v>
      </c>
      <c r="FL779" s="9" t="n">
        <f aca="false">FL777*$AC$775*FL778*FL$38*'⑫ Roll-out Plan'!$O$82</f>
        <v>143.136</v>
      </c>
      <c r="FM779" s="9" t="n">
        <f aca="false">FM777*$AC$775*FM778*FM$38*'⑫ Roll-out Plan'!$O$82</f>
        <v>126.672</v>
      </c>
      <c r="FN779" s="9" t="n">
        <f aca="false">FN777*$AC$775*FN778*FN$38*'⑫ Roll-out Plan'!$O$82</f>
        <v>112.896</v>
      </c>
      <c r="FO779" s="9" t="n">
        <f aca="false">FO777*$AC$775*FO778*FO$38*'⑫ Roll-out Plan'!$O$82</f>
        <v>90.72</v>
      </c>
      <c r="FP779" s="9" t="n">
        <f aca="false">FP777*$AC$775*FP778*FP$38*'⑫ Roll-out Plan'!$O$82</f>
        <v>128.52</v>
      </c>
    </row>
    <row r="780" customFormat="false" ht="15" hidden="false" customHeight="false" outlineLevel="2" collapsed="false">
      <c r="B780" s="9" t="s">
        <v>877</v>
      </c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112" t="n">
        <f aca="true">IFERROR(SUMPRODUCT(OFFSET($BJ$31,0,1-MIN(60,COLUMN()-29),1,MIN(60,COLUMN()-29)),OFFSET(AC779,0,-MIN(60,COLUMN()-29),1,MIN(60,COLUMN()-29))),0)</f>
        <v>0</v>
      </c>
      <c r="AD780" s="112" t="n">
        <f aca="true">IFERROR(SUMPRODUCT(OFFSET($BJ$31,0,1-MIN(60,COLUMN()-29),1,MIN(60,COLUMN()-29)),OFFSET(AD779,0,-MIN(60,COLUMN()-29),1,MIN(60,COLUMN()-29))),0)</f>
        <v>0</v>
      </c>
      <c r="AE780" s="112" t="n">
        <f aca="true">IFERROR(SUMPRODUCT(OFFSET($BJ$31,0,1-MIN(60,COLUMN()-29),1,MIN(60,COLUMN()-29)),OFFSET(AE779,0,-MIN(60,COLUMN()-29),1,MIN(60,COLUMN()-29))),0)</f>
        <v>0</v>
      </c>
      <c r="AF780" s="112" t="n">
        <f aca="true">IFERROR(SUMPRODUCT(OFFSET($BJ$31,0,1-MIN(60,COLUMN()-29),1,MIN(60,COLUMN()-29)),OFFSET(AF779,0,-MIN(60,COLUMN()-29),1,MIN(60,COLUMN()-29))),0)</f>
        <v>0</v>
      </c>
      <c r="AG780" s="112" t="n">
        <f aca="true">IFERROR(SUMPRODUCT(OFFSET($BJ$31,0,1-MIN(60,COLUMN()-29),1,MIN(60,COLUMN()-29)),OFFSET(AG779,0,-MIN(60,COLUMN()-29),1,MIN(60,COLUMN()-29))),0)</f>
        <v>0</v>
      </c>
      <c r="AH780" s="112" t="n">
        <f aca="true">IFERROR(SUMPRODUCT(OFFSET($BJ$31,0,1-MIN(60,COLUMN()-29),1,MIN(60,COLUMN()-29)),OFFSET(AH779,0,-MIN(60,COLUMN()-29),1,MIN(60,COLUMN()-29))),0)</f>
        <v>0</v>
      </c>
      <c r="AI780" s="112" t="n">
        <f aca="true">IFERROR(SUMPRODUCT(OFFSET($BJ$31,0,1-MIN(60,COLUMN()-29),1,MIN(60,COLUMN()-29)),OFFSET(AI779,0,-MIN(60,COLUMN()-29),1,MIN(60,COLUMN()-29))),0)</f>
        <v>0</v>
      </c>
      <c r="AJ780" s="112" t="n">
        <f aca="true">IFERROR(SUMPRODUCT(OFFSET($BJ$31,0,1-MIN(60,COLUMN()-29),1,MIN(60,COLUMN()-29)),OFFSET(AJ779,0,-MIN(60,COLUMN()-29),1,MIN(60,COLUMN()-29))),0)</f>
        <v>0</v>
      </c>
      <c r="AK780" s="112" t="n">
        <f aca="true">IFERROR(SUMPRODUCT(OFFSET($BJ$31,0,1-MIN(60,COLUMN()-29),1,MIN(60,COLUMN()-29)),OFFSET(AK779,0,-MIN(60,COLUMN()-29),1,MIN(60,COLUMN()-29))),0)</f>
        <v>0</v>
      </c>
      <c r="AL780" s="112" t="n">
        <f aca="true">IFERROR(SUMPRODUCT(OFFSET($BJ$31,0,1-MIN(60,COLUMN()-29),1,MIN(60,COLUMN()-29)),OFFSET(AL779,0,-MIN(60,COLUMN()-29),1,MIN(60,COLUMN()-29))),0)</f>
        <v>0</v>
      </c>
      <c r="AM780" s="112" t="n">
        <f aca="true">IFERROR(SUMPRODUCT(OFFSET($BJ$31,0,1-MIN(60,COLUMN()-29),1,MIN(60,COLUMN()-29)),OFFSET(AM779,0,-MIN(60,COLUMN()-29),1,MIN(60,COLUMN()-29))),0)</f>
        <v>0</v>
      </c>
      <c r="AN780" s="239" t="n">
        <f aca="true">IFERROR(SUMPRODUCT(OFFSET($BJ$31,0,1-MIN(60,COLUMN()-29),1,MIN(60,COLUMN()-29)),OFFSET(AN779,0,-MIN(60,COLUMN()-29),1,MIN(60,COLUMN()-29))),0)</f>
        <v>0</v>
      </c>
      <c r="AO780" s="112" t="n">
        <f aca="true">IFERROR(SUMPRODUCT(OFFSET($BJ$31,0,1-MIN(60,COLUMN()-29),1,MIN(60,COLUMN()-29)),OFFSET(AO779,0,-MIN(60,COLUMN()-29),1,MIN(60,COLUMN()-29))),0)</f>
        <v>0</v>
      </c>
      <c r="AP780" s="112" t="n">
        <f aca="true">IFERROR(SUMPRODUCT(OFFSET($BJ$31,0,1-MIN(60,COLUMN()-29),1,MIN(60,COLUMN()-29)),OFFSET(AP779,0,-MIN(60,COLUMN()-29),1,MIN(60,COLUMN()-29))),0)</f>
        <v>0</v>
      </c>
      <c r="AQ780" s="112" t="n">
        <f aca="true">IFERROR(SUMPRODUCT(OFFSET($BJ$31,0,1-MIN(60,COLUMN()-29),1,MIN(60,COLUMN()-29)),OFFSET(AQ779,0,-MIN(60,COLUMN()-29),1,MIN(60,COLUMN()-29))),0)</f>
        <v>0</v>
      </c>
      <c r="AR780" s="112" t="n">
        <f aca="true">IFERROR(SUMPRODUCT(OFFSET($BJ$31,0,1-MIN(60,COLUMN()-29),1,MIN(60,COLUMN()-29)),OFFSET(AR779,0,-MIN(60,COLUMN()-29),1,MIN(60,COLUMN()-29))),0)</f>
        <v>0</v>
      </c>
      <c r="AS780" s="112" t="n">
        <f aca="true">IFERROR(SUMPRODUCT(OFFSET($BJ$31,0,1-MIN(60,COLUMN()-29),1,MIN(60,COLUMN()-29)),OFFSET(AS779,0,-MIN(60,COLUMN()-29),1,MIN(60,COLUMN()-29))),0)</f>
        <v>0</v>
      </c>
      <c r="AT780" s="112" t="n">
        <f aca="true">IFERROR(SUMPRODUCT(OFFSET($BJ$31,0,1-MIN(60,COLUMN()-29),1,MIN(60,COLUMN()-29)),OFFSET(AT779,0,-MIN(60,COLUMN()-29),1,MIN(60,COLUMN()-29))),0)</f>
        <v>0</v>
      </c>
      <c r="AU780" s="112" t="n">
        <f aca="true">IFERROR(SUMPRODUCT(OFFSET($BJ$31,0,1-MIN(60,COLUMN()-29),1,MIN(60,COLUMN()-29)),OFFSET(AU779,0,-MIN(60,COLUMN()-29),1,MIN(60,COLUMN()-29))),0)</f>
        <v>0</v>
      </c>
      <c r="AV780" s="112" t="n">
        <f aca="true">IFERROR(SUMPRODUCT(OFFSET($BJ$31,0,1-MIN(60,COLUMN()-29),1,MIN(60,COLUMN()-29)),OFFSET(AV779,0,-MIN(60,COLUMN()-29),1,MIN(60,COLUMN()-29))),0)</f>
        <v>0</v>
      </c>
      <c r="AW780" s="112" t="n">
        <f aca="true">IFERROR(SUMPRODUCT(OFFSET($BJ$31,0,1-MIN(60,COLUMN()-29),1,MIN(60,COLUMN()-29)),OFFSET(AW779,0,-MIN(60,COLUMN()-29),1,MIN(60,COLUMN()-29))),0)</f>
        <v>0</v>
      </c>
      <c r="AX780" s="112" t="n">
        <f aca="true">IFERROR(SUMPRODUCT(OFFSET($BJ$31,0,1-MIN(60,COLUMN()-29),1,MIN(60,COLUMN()-29)),OFFSET(AX779,0,-MIN(60,COLUMN()-29),1,MIN(60,COLUMN()-29))),0)</f>
        <v>0</v>
      </c>
      <c r="AY780" s="112" t="n">
        <f aca="true">IFERROR(SUMPRODUCT(OFFSET($BJ$31,0,1-MIN(60,COLUMN()-29),1,MIN(60,COLUMN()-29)),OFFSET(AY779,0,-MIN(60,COLUMN()-29),1,MIN(60,COLUMN()-29))),0)</f>
        <v>0</v>
      </c>
      <c r="AZ780" s="112" t="n">
        <f aca="true">IFERROR(SUMPRODUCT(OFFSET($BJ$31,0,1-MIN(60,COLUMN()-29),1,MIN(60,COLUMN()-29)),OFFSET(AZ779,0,-MIN(60,COLUMN()-29),1,MIN(60,COLUMN()-29))),0)</f>
        <v>0</v>
      </c>
      <c r="BA780" s="112" t="n">
        <f aca="true">IFERROR(SUMPRODUCT(OFFSET($BJ$31,0,1-MIN(60,COLUMN()-29),1,MIN(60,COLUMN()-29)),OFFSET(BA779,0,-MIN(60,COLUMN()-29),1,MIN(60,COLUMN()-29))),0)</f>
        <v>0</v>
      </c>
      <c r="BB780" s="112" t="n">
        <f aca="true">IFERROR(SUMPRODUCT(OFFSET($BJ$31,0,1-MIN(60,COLUMN()-29),1,MIN(60,COLUMN()-29)),OFFSET(BB779,0,-MIN(60,COLUMN()-29),1,MIN(60,COLUMN()-29))),0)</f>
        <v>0</v>
      </c>
      <c r="BC780" s="112" t="n">
        <f aca="true">IFERROR(SUMPRODUCT(OFFSET($BJ$31,0,1-MIN(60,COLUMN()-29),1,MIN(60,COLUMN()-29)),OFFSET(BC779,0,-MIN(60,COLUMN()-29),1,MIN(60,COLUMN()-29))),0)</f>
        <v>0</v>
      </c>
      <c r="BD780" s="112" t="n">
        <f aca="true">IFERROR(SUMPRODUCT(OFFSET($BJ$31,0,1-MIN(60,COLUMN()-29),1,MIN(60,COLUMN()-29)),OFFSET(BD779,0,-MIN(60,COLUMN()-29),1,MIN(60,COLUMN()-29))),0)</f>
        <v>0</v>
      </c>
      <c r="BE780" s="112" t="n">
        <f aca="true">IFERROR(SUMPRODUCT(OFFSET($BJ$31,0,1-MIN(60,COLUMN()-29),1,MIN(60,COLUMN()-29)),OFFSET(BE779,0,-MIN(60,COLUMN()-29),1,MIN(60,COLUMN()-29))),0)</f>
        <v>0</v>
      </c>
      <c r="BF780" s="112" t="n">
        <f aca="true">IFERROR(SUMPRODUCT(OFFSET($BJ$31,0,1-MIN(60,COLUMN()-29),1,MIN(60,COLUMN()-29)),OFFSET(BF779,0,-MIN(60,COLUMN()-29),1,MIN(60,COLUMN()-29))),0)</f>
        <v>0</v>
      </c>
      <c r="BG780" s="112" t="n">
        <f aca="true">IFERROR(SUMPRODUCT(OFFSET($BJ$31,0,1-MIN(60,COLUMN()-29),1,MIN(60,COLUMN()-29)),OFFSET(BG779,0,-MIN(60,COLUMN()-29),1,MIN(60,COLUMN()-29))),0)</f>
        <v>0</v>
      </c>
      <c r="BH780" s="112" t="n">
        <f aca="true">IFERROR(SUMPRODUCT(OFFSET($BJ$31,0,1-MIN(60,COLUMN()-29),1,MIN(60,COLUMN()-29)),OFFSET(BH779,0,-MIN(60,COLUMN()-29),1,MIN(60,COLUMN()-29))),0)</f>
        <v>0</v>
      </c>
      <c r="BI780" s="112" t="n">
        <f aca="true">IFERROR(SUMPRODUCT(OFFSET($BJ$31,0,1-MIN(60,COLUMN()-29),1,MIN(60,COLUMN()-29)),OFFSET(BI779,0,-MIN(60,COLUMN()-29),1,MIN(60,COLUMN()-29))),0)</f>
        <v>0</v>
      </c>
      <c r="BJ780" s="112" t="n">
        <f aca="true">IFERROR(SUMPRODUCT(OFFSET($BJ$31,0,1-MIN(60,COLUMN()-29),1,MIN(60,COLUMN()-29)),OFFSET(BJ779,0,-MIN(60,COLUMN()-29),1,MIN(60,COLUMN()-29))),0)</f>
        <v>0</v>
      </c>
      <c r="BK780" s="112" t="n">
        <f aca="true">IFERROR(SUMPRODUCT(OFFSET($BJ$31,0,1-MIN(60,COLUMN()-29),1,MIN(60,COLUMN()-29)),OFFSET(BK779,0,-MIN(60,COLUMN()-29),1,MIN(60,COLUMN()-29))),0)</f>
        <v>0</v>
      </c>
      <c r="BL780" s="112" t="n">
        <f aca="true">IFERROR(SUMPRODUCT(OFFSET($BJ$31,0,1-MIN(60,COLUMN()-29),1,MIN(60,COLUMN()-29)),OFFSET(BL779,0,-MIN(60,COLUMN()-29),1,MIN(60,COLUMN()-29))),0)</f>
        <v>0</v>
      </c>
      <c r="BM780" s="112" t="n">
        <f aca="true">IFERROR(SUMPRODUCT(OFFSET($BJ$31,0,1-MIN(60,COLUMN()-29),1,MIN(60,COLUMN()-29)),OFFSET(BM779,0,-MIN(60,COLUMN()-29),1,MIN(60,COLUMN()-29))),0)</f>
        <v>0</v>
      </c>
      <c r="BN780" s="112" t="n">
        <f aca="true">IFERROR(SUMPRODUCT(OFFSET($BJ$31,0,1-MIN(60,COLUMN()-29),1,MIN(60,COLUMN()-29)),OFFSET(BN779,0,-MIN(60,COLUMN()-29),1,MIN(60,COLUMN()-29))),0)</f>
        <v>0</v>
      </c>
      <c r="BO780" s="112" t="n">
        <f aca="true">IFERROR(SUMPRODUCT(OFFSET($BJ$31,0,1-MIN(60,COLUMN()-29),1,MIN(60,COLUMN()-29)),OFFSET(BO779,0,-MIN(60,COLUMN()-29),1,MIN(60,COLUMN()-29))),0)</f>
        <v>0</v>
      </c>
      <c r="BP780" s="112" t="n">
        <f aca="true">IFERROR(SUMPRODUCT(OFFSET($BJ$31,0,1-MIN(60,COLUMN()-29),1,MIN(60,COLUMN()-29)),OFFSET(BP779,0,-MIN(60,COLUMN()-29),1,MIN(60,COLUMN()-29))),0)</f>
        <v>0</v>
      </c>
      <c r="BQ780" s="112" t="n">
        <f aca="true">IFERROR(SUMPRODUCT(OFFSET($BJ$31,0,1-MIN(60,COLUMN()-29),1,MIN(60,COLUMN()-29)),OFFSET(BQ779,0,-MIN(60,COLUMN()-29),1,MIN(60,COLUMN()-29))),0)</f>
        <v>0</v>
      </c>
      <c r="BR780" s="112" t="n">
        <f aca="true">IFERROR(SUMPRODUCT(OFFSET($BJ$31,0,1-MIN(60,COLUMN()-29),1,MIN(60,COLUMN()-29)),OFFSET(BR779,0,-MIN(60,COLUMN()-29),1,MIN(60,COLUMN()-29))),0)</f>
        <v>0</v>
      </c>
      <c r="BS780" s="112" t="n">
        <f aca="true">IFERROR(SUMPRODUCT(OFFSET($BJ$31,0,1-MIN(60,COLUMN()-29),1,MIN(60,COLUMN()-29)),OFFSET(BS779,0,-MIN(60,COLUMN()-29),1,MIN(60,COLUMN()-29))),0)</f>
        <v>0</v>
      </c>
      <c r="BT780" s="112" t="n">
        <f aca="true">IFERROR(SUMPRODUCT(OFFSET($BJ$31,0,1-MIN(60,COLUMN()-29),1,MIN(60,COLUMN()-29)),OFFSET(BT779,0,-MIN(60,COLUMN()-29),1,MIN(60,COLUMN()-29))),0)</f>
        <v>0</v>
      </c>
      <c r="BU780" s="112" t="n">
        <f aca="true">IFERROR(SUMPRODUCT(OFFSET($BJ$31,0,1-MIN(60,COLUMN()-29),1,MIN(60,COLUMN()-29)),OFFSET(BU779,0,-MIN(60,COLUMN()-29),1,MIN(60,COLUMN()-29))),0)</f>
        <v>0</v>
      </c>
      <c r="BV780" s="112" t="n">
        <f aca="true">IFERROR(SUMPRODUCT(OFFSET($BJ$31,0,1-MIN(60,COLUMN()-29),1,MIN(60,COLUMN()-29)),OFFSET(BV779,0,-MIN(60,COLUMN()-29),1,MIN(60,COLUMN()-29))),0)</f>
        <v>0</v>
      </c>
      <c r="BW780" s="112" t="n">
        <f aca="true">IFERROR(SUMPRODUCT(OFFSET($BJ$31,0,1-MIN(60,COLUMN()-29),1,MIN(60,COLUMN()-29)),OFFSET(BW779,0,-MIN(60,COLUMN()-29),1,MIN(60,COLUMN()-29))),0)</f>
        <v>0</v>
      </c>
      <c r="BX780" s="112" t="n">
        <f aca="true">IFERROR(SUMPRODUCT(OFFSET($BJ$31,0,1-MIN(60,COLUMN()-29),1,MIN(60,COLUMN()-29)),OFFSET(BX779,0,-MIN(60,COLUMN()-29),1,MIN(60,COLUMN()-29))),0)</f>
        <v>0</v>
      </c>
      <c r="BY780" s="112" t="n">
        <f aca="true">IFERROR(SUMPRODUCT(OFFSET($BJ$31,0,1-MIN(60,COLUMN()-29),1,MIN(60,COLUMN()-29)),OFFSET(BY779,0,-MIN(60,COLUMN()-29),1,MIN(60,COLUMN()-29))),0)</f>
        <v>0</v>
      </c>
      <c r="BZ780" s="112" t="n">
        <f aca="true">IFERROR(SUMPRODUCT(OFFSET($BJ$31,0,1-MIN(60,COLUMN()-29),1,MIN(60,COLUMN()-29)),OFFSET(BZ779,0,-MIN(60,COLUMN()-29),1,MIN(60,COLUMN()-29))),0)</f>
        <v>0</v>
      </c>
      <c r="CA780" s="112" t="n">
        <f aca="true">IFERROR(SUMPRODUCT(OFFSET($BJ$31,0,1-MIN(60,COLUMN()-29),1,MIN(60,COLUMN()-29)),OFFSET(CA779,0,-MIN(60,COLUMN()-29),1,MIN(60,COLUMN()-29))),0)</f>
        <v>0</v>
      </c>
      <c r="CB780" s="112" t="n">
        <f aca="true">IFERROR(SUMPRODUCT(OFFSET($BJ$31,0,1-MIN(60,COLUMN()-29),1,MIN(60,COLUMN()-29)),OFFSET(CB779,0,-MIN(60,COLUMN()-29),1,MIN(60,COLUMN()-29))),0)</f>
        <v>0</v>
      </c>
      <c r="CC780" s="112" t="n">
        <f aca="true">IFERROR(SUMPRODUCT(OFFSET($BJ$31,0,1-MIN(60,COLUMN()-29),1,MIN(60,COLUMN()-29)),OFFSET(CC779,0,-MIN(60,COLUMN()-29),1,MIN(60,COLUMN()-29))),0)</f>
        <v>0</v>
      </c>
      <c r="CD780" s="112" t="n">
        <f aca="true">IFERROR(SUMPRODUCT(OFFSET($BJ$31,0,1-MIN(60,COLUMN()-29),1,MIN(60,COLUMN()-29)),OFFSET(CD779,0,-MIN(60,COLUMN()-29),1,MIN(60,COLUMN()-29))),0)</f>
        <v>0</v>
      </c>
      <c r="CE780" s="112" t="n">
        <f aca="true">IFERROR(SUMPRODUCT(OFFSET($BJ$31,0,1-MIN(60,COLUMN()-29),1,MIN(60,COLUMN()-29)),OFFSET(CE779,0,-MIN(60,COLUMN()-29),1,MIN(60,COLUMN()-29))),0)</f>
        <v>0</v>
      </c>
      <c r="CF780" s="112" t="n">
        <f aca="true">IFERROR(SUMPRODUCT(OFFSET($BJ$31,0,1-MIN(60,COLUMN()-29),1,MIN(60,COLUMN()-29)),OFFSET(CF779,0,-MIN(60,COLUMN()-29),1,MIN(60,COLUMN()-29))),0)</f>
        <v>0</v>
      </c>
      <c r="CG780" s="112" t="n">
        <f aca="true">IFERROR(SUMPRODUCT(OFFSET($BJ$31,0,1-MIN(60,COLUMN()-29),1,MIN(60,COLUMN()-29)),OFFSET(CG779,0,-MIN(60,COLUMN()-29),1,MIN(60,COLUMN()-29))),0)</f>
        <v>0</v>
      </c>
      <c r="CH780" s="112" t="n">
        <f aca="true">IFERROR(SUMPRODUCT(OFFSET($BJ$31,0,1-MIN(60,COLUMN()-29),1,MIN(60,COLUMN()-29)),OFFSET(CH779,0,-MIN(60,COLUMN()-29),1,MIN(60,COLUMN()-29))),0)</f>
        <v>0</v>
      </c>
      <c r="CI780" s="112" t="n">
        <f aca="true">IFERROR(SUMPRODUCT(OFFSET($BJ$31,0,1-MIN(60,COLUMN()-29),1,MIN(60,COLUMN()-29)),OFFSET(CI779,0,-MIN(60,COLUMN()-29),1,MIN(60,COLUMN()-29))),0)</f>
        <v>0</v>
      </c>
      <c r="CJ780" s="112" t="n">
        <f aca="true">IFERROR(SUMPRODUCT(OFFSET($BJ$31,0,1-MIN(60,COLUMN()-29),1,MIN(60,COLUMN()-29)),OFFSET(CJ779,0,-MIN(60,COLUMN()-29),1,MIN(60,COLUMN()-29))),0)</f>
        <v>0</v>
      </c>
      <c r="CK780" s="112" t="n">
        <f aca="true">IFERROR(SUMPRODUCT(OFFSET($BJ$31,0,1-MIN(60,COLUMN()-29),1,MIN(60,COLUMN()-29)),OFFSET(CK779,0,-MIN(60,COLUMN()-29),1,MIN(60,COLUMN()-29))),0)</f>
        <v>0</v>
      </c>
      <c r="CL780" s="112" t="n">
        <f aca="true">IFERROR(SUMPRODUCT(OFFSET($BJ$31,0,1-MIN(60,COLUMN()-29),1,MIN(60,COLUMN()-29)),OFFSET(CL779,0,-MIN(60,COLUMN()-29),1,MIN(60,COLUMN()-29))),0)</f>
        <v>0</v>
      </c>
      <c r="CM780" s="112" t="n">
        <f aca="true">IFERROR(SUMPRODUCT(OFFSET($BJ$31,0,1-MIN(60,COLUMN()-29),1,MIN(60,COLUMN()-29)),OFFSET(CM779,0,-MIN(60,COLUMN()-29),1,MIN(60,COLUMN()-29))),0)</f>
        <v>0</v>
      </c>
      <c r="CN780" s="112" t="n">
        <f aca="true">IFERROR(SUMPRODUCT(OFFSET($BJ$31,0,1-MIN(60,COLUMN()-29),1,MIN(60,COLUMN()-29)),OFFSET(CN779,0,-MIN(60,COLUMN()-29),1,MIN(60,COLUMN()-29))),0)</f>
        <v>0</v>
      </c>
      <c r="CO780" s="112" t="n">
        <f aca="true">IFERROR(SUMPRODUCT(OFFSET($BJ$31,0,1-MIN(60,COLUMN()-29),1,MIN(60,COLUMN()-29)),OFFSET(CO779,0,-MIN(60,COLUMN()-29),1,MIN(60,COLUMN()-29))),0)</f>
        <v>0</v>
      </c>
      <c r="CP780" s="112" t="n">
        <f aca="true">IFERROR(SUMPRODUCT(OFFSET($BJ$31,0,1-MIN(60,COLUMN()-29),1,MIN(60,COLUMN()-29)),OFFSET(CP779,0,-MIN(60,COLUMN()-29),1,MIN(60,COLUMN()-29))),0)</f>
        <v>0</v>
      </c>
      <c r="CQ780" s="112" t="n">
        <f aca="true">IFERROR(SUMPRODUCT(OFFSET($BJ$31,0,1-MIN(60,COLUMN()-29),1,MIN(60,COLUMN()-29)),OFFSET(CQ779,0,-MIN(60,COLUMN()-29),1,MIN(60,COLUMN()-29))),0)</f>
        <v>0</v>
      </c>
      <c r="CR780" s="112" t="n">
        <f aca="true">IFERROR(SUMPRODUCT(OFFSET($BJ$31,0,1-MIN(60,COLUMN()-29),1,MIN(60,COLUMN()-29)),OFFSET(CR779,0,-MIN(60,COLUMN()-29),1,MIN(60,COLUMN()-29))),0)</f>
        <v>0</v>
      </c>
      <c r="CS780" s="112" t="n">
        <f aca="true">IFERROR(SUMPRODUCT(OFFSET($BJ$31,0,1-MIN(60,COLUMN()-29),1,MIN(60,COLUMN()-29)),OFFSET(CS779,0,-MIN(60,COLUMN()-29),1,MIN(60,COLUMN()-29))),0)</f>
        <v>0</v>
      </c>
      <c r="CT780" s="112" t="n">
        <f aca="true">IFERROR(SUMPRODUCT(OFFSET($BJ$31,0,1-MIN(60,COLUMN()-29),1,MIN(60,COLUMN()-29)),OFFSET(CT779,0,-MIN(60,COLUMN()-29),1,MIN(60,COLUMN()-29))),0)</f>
        <v>0</v>
      </c>
      <c r="CU780" s="112" t="n">
        <f aca="true">IFERROR(SUMPRODUCT(OFFSET($BJ$31,0,1-MIN(60,COLUMN()-29),1,MIN(60,COLUMN()-29)),OFFSET(CU779,0,-MIN(60,COLUMN()-29),1,MIN(60,COLUMN()-29))),0)</f>
        <v>0</v>
      </c>
      <c r="CV780" s="112" t="n">
        <f aca="true">IFERROR(SUMPRODUCT(OFFSET($BJ$31,0,1-MIN(60,COLUMN()-29),1,MIN(60,COLUMN()-29)),OFFSET(CV779,0,-MIN(60,COLUMN()-29),1,MIN(60,COLUMN()-29))),0)</f>
        <v>0</v>
      </c>
      <c r="CW780" s="112" t="n">
        <f aca="true">IFERROR(SUMPRODUCT(OFFSET($BJ$31,0,1-MIN(60,COLUMN()-29),1,MIN(60,COLUMN()-29)),OFFSET(CW779,0,-MIN(60,COLUMN()-29),1,MIN(60,COLUMN()-29))),0)</f>
        <v>0</v>
      </c>
      <c r="CX780" s="112" t="n">
        <f aca="true">IFERROR(SUMPRODUCT(OFFSET($BJ$31,0,1-MIN(60,COLUMN()-29),1,MIN(60,COLUMN()-29)),OFFSET(CX779,0,-MIN(60,COLUMN()-29),1,MIN(60,COLUMN()-29))),0)</f>
        <v>0</v>
      </c>
      <c r="CY780" s="112" t="n">
        <f aca="true">IFERROR(SUMPRODUCT(OFFSET($BJ$31,0,1-MIN(60,COLUMN()-29),1,MIN(60,COLUMN()-29)),OFFSET(CY779,0,-MIN(60,COLUMN()-29),1,MIN(60,COLUMN()-29))),0)</f>
        <v>0</v>
      </c>
      <c r="CZ780" s="112" t="n">
        <f aca="true">IFERROR(SUMPRODUCT(OFFSET($BJ$31,0,1-MIN(60,COLUMN()-29),1,MIN(60,COLUMN()-29)),OFFSET(CZ779,0,-MIN(60,COLUMN()-29),1,MIN(60,COLUMN()-29))),0)</f>
        <v>0</v>
      </c>
      <c r="DA780" s="112" t="n">
        <f aca="true">IFERROR(SUMPRODUCT(OFFSET($BJ$31,0,1-MIN(60,COLUMN()-29),1,MIN(60,COLUMN()-29)),OFFSET(DA779,0,-MIN(60,COLUMN()-29),1,MIN(60,COLUMN()-29))),0)</f>
        <v>0</v>
      </c>
      <c r="DB780" s="112" t="n">
        <f aca="true">IFERROR(SUMPRODUCT(OFFSET($BJ$31,0,1-MIN(60,COLUMN()-29),1,MIN(60,COLUMN()-29)),OFFSET(DB779,0,-MIN(60,COLUMN()-29),1,MIN(60,COLUMN()-29))),0)</f>
        <v>0</v>
      </c>
      <c r="DC780" s="112" t="n">
        <f aca="true">IFERROR(SUMPRODUCT(OFFSET($BJ$31,0,1-MIN(60,COLUMN()-29),1,MIN(60,COLUMN()-29)),OFFSET(DC779,0,-MIN(60,COLUMN()-29),1,MIN(60,COLUMN()-29))),0)</f>
        <v>0</v>
      </c>
      <c r="DD780" s="112" t="n">
        <f aca="true">IFERROR(SUMPRODUCT(OFFSET($BJ$31,0,1-MIN(60,COLUMN()-29),1,MIN(60,COLUMN()-29)),OFFSET(DD779,0,-MIN(60,COLUMN()-29),1,MIN(60,COLUMN()-29))),0)</f>
        <v>0</v>
      </c>
      <c r="DE780" s="112" t="n">
        <f aca="true">IFERROR(SUMPRODUCT(OFFSET($BJ$31,0,1-MIN(60,COLUMN()-29),1,MIN(60,COLUMN()-29)),OFFSET(DE779,0,-MIN(60,COLUMN()-29),1,MIN(60,COLUMN()-29))),0)</f>
        <v>0</v>
      </c>
      <c r="DF780" s="112" t="n">
        <f aca="true">IFERROR(SUMPRODUCT(OFFSET($BJ$31,0,1-MIN(60,COLUMN()-29),1,MIN(60,COLUMN()-29)),OFFSET(DF779,0,-MIN(60,COLUMN()-29),1,MIN(60,COLUMN()-29))),0)</f>
        <v>0</v>
      </c>
      <c r="DG780" s="112" t="n">
        <f aca="true">IFERROR(SUMPRODUCT(OFFSET($BJ$31,0,1-MIN(60,COLUMN()-29),1,MIN(60,COLUMN()-29)),OFFSET(DG779,0,-MIN(60,COLUMN()-29),1,MIN(60,COLUMN()-29))),0)</f>
        <v>0</v>
      </c>
      <c r="DH780" s="112" t="n">
        <f aca="true">IFERROR(SUMPRODUCT(OFFSET($BJ$31,0,1-MIN(60,COLUMN()-29),1,MIN(60,COLUMN()-29)),OFFSET(DH779,0,-MIN(60,COLUMN()-29),1,MIN(60,COLUMN()-29))),0)</f>
        <v>0</v>
      </c>
      <c r="DI780" s="112" t="n">
        <f aca="true">IFERROR(SUMPRODUCT(OFFSET($BJ$31,0,1-MIN(60,COLUMN()-29),1,MIN(60,COLUMN()-29)),OFFSET(DI779,0,-MIN(60,COLUMN()-29),1,MIN(60,COLUMN()-29))),0)</f>
        <v>0</v>
      </c>
      <c r="DJ780" s="112" t="n">
        <f aca="true">IFERROR(SUMPRODUCT(OFFSET($BJ$31,0,1-MIN(60,COLUMN()-29),1,MIN(60,COLUMN()-29)),OFFSET(DJ779,0,-MIN(60,COLUMN()-29),1,MIN(60,COLUMN()-29))),0)</f>
        <v>0</v>
      </c>
      <c r="DK780" s="112" t="n">
        <f aca="true">IFERROR(SUMPRODUCT(OFFSET($BJ$31,0,1-MIN(60,COLUMN()-29),1,MIN(60,COLUMN()-29)),OFFSET(DK779,0,-MIN(60,COLUMN()-29),1,MIN(60,COLUMN()-29))),0)</f>
        <v>0</v>
      </c>
      <c r="DL780" s="112" t="n">
        <f aca="true">IFERROR(SUMPRODUCT(OFFSET($BJ$31,0,1-MIN(60,COLUMN()-29),1,MIN(60,COLUMN()-29)),OFFSET(DL779,0,-MIN(60,COLUMN()-29),1,MIN(60,COLUMN()-29))),0)</f>
        <v>0</v>
      </c>
      <c r="DM780" s="112" t="n">
        <f aca="true">IFERROR(SUMPRODUCT(OFFSET($BJ$31,0,1-MIN(60,COLUMN()-29),1,MIN(60,COLUMN()-29)),OFFSET(DM779,0,-MIN(60,COLUMN()-29),1,MIN(60,COLUMN()-29))),0)</f>
        <v>0</v>
      </c>
      <c r="DN780" s="112" t="n">
        <f aca="true">IFERROR(SUMPRODUCT(OFFSET($BJ$31,0,1-MIN(60,COLUMN()-29),1,MIN(60,COLUMN()-29)),OFFSET(DN779,0,-MIN(60,COLUMN()-29),1,MIN(60,COLUMN()-29))),0)</f>
        <v>0</v>
      </c>
      <c r="DO780" s="112" t="n">
        <f aca="true">IFERROR(SUMPRODUCT(OFFSET($BJ$31,0,1-MIN(60,COLUMN()-29),1,MIN(60,COLUMN()-29)),OFFSET(DO779,0,-MIN(60,COLUMN()-29),1,MIN(60,COLUMN()-29))),0)</f>
        <v>0</v>
      </c>
      <c r="DP780" s="112" t="n">
        <f aca="true">IFERROR(SUMPRODUCT(OFFSET($BJ$31,0,1-MIN(60,COLUMN()-29),1,MIN(60,COLUMN()-29)),OFFSET(DP779,0,-MIN(60,COLUMN()-29),1,MIN(60,COLUMN()-29))),0)</f>
        <v>0</v>
      </c>
      <c r="DQ780" s="112" t="n">
        <f aca="true">IFERROR(SUMPRODUCT(OFFSET($BJ$31,0,1-MIN(60,COLUMN()-29),1,MIN(60,COLUMN()-29)),OFFSET(DQ779,0,-MIN(60,COLUMN()-29),1,MIN(60,COLUMN()-29))),0)</f>
        <v>0</v>
      </c>
      <c r="DR780" s="112" t="n">
        <f aca="true">IFERROR(SUMPRODUCT(OFFSET($BJ$31,0,1-MIN(60,COLUMN()-29),1,MIN(60,COLUMN()-29)),OFFSET(DR779,0,-MIN(60,COLUMN()-29),1,MIN(60,COLUMN()-29))),0)</f>
        <v>0</v>
      </c>
      <c r="DS780" s="112" t="n">
        <f aca="true">IFERROR(SUMPRODUCT(OFFSET($BJ$31,0,1-MIN(60,COLUMN()-29),1,MIN(60,COLUMN()-29)),OFFSET(DS779,0,-MIN(60,COLUMN()-29),1,MIN(60,COLUMN()-29))),0)</f>
        <v>0</v>
      </c>
      <c r="DT780" s="112" t="n">
        <f aca="true">IFERROR(SUMPRODUCT(OFFSET($BJ$31,0,1-MIN(60,COLUMN()-29),1,MIN(60,COLUMN()-29)),OFFSET(DT779,0,-MIN(60,COLUMN()-29),1,MIN(60,COLUMN()-29))),0)</f>
        <v>0</v>
      </c>
      <c r="DU780" s="112" t="n">
        <f aca="true">IFERROR(SUMPRODUCT(OFFSET($BJ$31,0,1-MIN(60,COLUMN()-29),1,MIN(60,COLUMN()-29)),OFFSET(DU779,0,-MIN(60,COLUMN()-29),1,MIN(60,COLUMN()-29))),0)</f>
        <v>0</v>
      </c>
      <c r="DV780" s="112" t="n">
        <f aca="true">IFERROR(SUMPRODUCT(OFFSET($BJ$31,0,1-MIN(60,COLUMN()-29),1,MIN(60,COLUMN()-29)),OFFSET(DV779,0,-MIN(60,COLUMN()-29),1,MIN(60,COLUMN()-29))),0)</f>
        <v>0</v>
      </c>
      <c r="DW780" s="112" t="n">
        <f aca="true">IFERROR(SUMPRODUCT(OFFSET($BJ$31,0,1-MIN(60,COLUMN()-29),1,MIN(60,COLUMN()-29)),OFFSET(DW779,0,-MIN(60,COLUMN()-29),1,MIN(60,COLUMN()-29))),0)</f>
        <v>0</v>
      </c>
      <c r="DX780" s="112" t="n">
        <f aca="true">IFERROR(SUMPRODUCT(OFFSET($BJ$31,0,1-MIN(60,COLUMN()-29),1,MIN(60,COLUMN()-29)),OFFSET(DX779,0,-MIN(60,COLUMN()-29),1,MIN(60,COLUMN()-29))),0)</f>
        <v>0</v>
      </c>
      <c r="DY780" s="112" t="n">
        <f aca="true">IFERROR(SUMPRODUCT(OFFSET($BJ$31,0,1-MIN(60,COLUMN()-29),1,MIN(60,COLUMN()-29)),OFFSET(DY779,0,-MIN(60,COLUMN()-29),1,MIN(60,COLUMN()-29))),0)</f>
        <v>0</v>
      </c>
      <c r="DZ780" s="112" t="n">
        <f aca="true">IFERROR(SUMPRODUCT(OFFSET($BJ$31,0,1-MIN(60,COLUMN()-29),1,MIN(60,COLUMN()-29)),OFFSET(DZ779,0,-MIN(60,COLUMN()-29),1,MIN(60,COLUMN()-29))),0)</f>
        <v>0</v>
      </c>
      <c r="EA780" s="112" t="n">
        <f aca="true">IFERROR(SUMPRODUCT(OFFSET($BJ$31,0,1-MIN(60,COLUMN()-29),1,MIN(60,COLUMN()-29)),OFFSET(EA779,0,-MIN(60,COLUMN()-29),1,MIN(60,COLUMN()-29))),0)</f>
        <v>0</v>
      </c>
      <c r="EB780" s="112" t="n">
        <f aca="true">IFERROR(SUMPRODUCT(OFFSET($BJ$31,0,1-MIN(60,COLUMN()-29),1,MIN(60,COLUMN()-29)),OFFSET(EB779,0,-MIN(60,COLUMN()-29),1,MIN(60,COLUMN()-29))),0)</f>
        <v>0</v>
      </c>
      <c r="EC780" s="112" t="n">
        <f aca="true">IFERROR(SUMPRODUCT(OFFSET($BJ$31,0,1-MIN(60,COLUMN()-29),1,MIN(60,COLUMN()-29)),OFFSET(EC779,0,-MIN(60,COLUMN()-29),1,MIN(60,COLUMN()-29))),0)</f>
        <v>0</v>
      </c>
      <c r="ED780" s="112" t="n">
        <f aca="true">IFERROR(SUMPRODUCT(OFFSET($BJ$31,0,1-MIN(60,COLUMN()-29),1,MIN(60,COLUMN()-29)),OFFSET(ED779,0,-MIN(60,COLUMN()-29),1,MIN(60,COLUMN()-29))),0)</f>
        <v>0</v>
      </c>
      <c r="EE780" s="112" t="n">
        <f aca="true">IFERROR(SUMPRODUCT(OFFSET($BJ$31,0,1-MIN(60,COLUMN()-29),1,MIN(60,COLUMN()-29)),OFFSET(EE779,0,-MIN(60,COLUMN()-29),1,MIN(60,COLUMN()-29))),0)</f>
        <v>0</v>
      </c>
      <c r="EF780" s="112" t="n">
        <f aca="true">IFERROR(SUMPRODUCT(OFFSET($BJ$31,0,1-MIN(60,COLUMN()-29),1,MIN(60,COLUMN()-29)),OFFSET(EF779,0,-MIN(60,COLUMN()-29),1,MIN(60,COLUMN()-29))),0)</f>
        <v>0</v>
      </c>
      <c r="EG780" s="112" t="n">
        <f aca="true">IFERROR(SUMPRODUCT(OFFSET($BJ$31,0,1-MIN(60,COLUMN()-29),1,MIN(60,COLUMN()-29)),OFFSET(EG779,0,-MIN(60,COLUMN()-29),1,MIN(60,COLUMN()-29))),0)</f>
        <v>0</v>
      </c>
      <c r="EH780" s="112" t="n">
        <f aca="true">IFERROR(SUMPRODUCT(OFFSET($BJ$31,0,1-MIN(60,COLUMN()-29),1,MIN(60,COLUMN()-29)),OFFSET(EH779,0,-MIN(60,COLUMN()-29),1,MIN(60,COLUMN()-29))),0)</f>
        <v>0</v>
      </c>
      <c r="EI780" s="112" t="n">
        <f aca="true">IFERROR(SUMPRODUCT(OFFSET($BJ$31,0,1-MIN(60,COLUMN()-29),1,MIN(60,COLUMN()-29)),OFFSET(EI779,0,-MIN(60,COLUMN()-29),1,MIN(60,COLUMN()-29))),0)</f>
        <v>0</v>
      </c>
      <c r="EJ780" s="112" t="n">
        <f aca="true">IFERROR(SUMPRODUCT(OFFSET($BJ$31,0,1-MIN(60,COLUMN()-29),1,MIN(60,COLUMN()-29)),OFFSET(EJ779,0,-MIN(60,COLUMN()-29),1,MIN(60,COLUMN()-29))),0)</f>
        <v>0</v>
      </c>
      <c r="EK780" s="112" t="n">
        <f aca="true">IFERROR(SUMPRODUCT(OFFSET($BJ$31,0,1-MIN(60,COLUMN()-29),1,MIN(60,COLUMN()-29)),OFFSET(EK779,0,-MIN(60,COLUMN()-29),1,MIN(60,COLUMN()-29))),0)</f>
        <v>0</v>
      </c>
      <c r="EL780" s="112" t="n">
        <f aca="true">IFERROR(SUMPRODUCT(OFFSET($BJ$31,0,1-MIN(60,COLUMN()-29),1,MIN(60,COLUMN()-29)),OFFSET(EL779,0,-MIN(60,COLUMN()-29),1,MIN(60,COLUMN()-29))),0)</f>
        <v>0</v>
      </c>
      <c r="EM780" s="112" t="n">
        <f aca="true">IFERROR(SUMPRODUCT(OFFSET($BJ$31,0,1-MIN(60,COLUMN()-29),1,MIN(60,COLUMN()-29)),OFFSET(EM779,0,-MIN(60,COLUMN()-29),1,MIN(60,COLUMN()-29))),0)</f>
        <v>0</v>
      </c>
      <c r="EN780" s="112" t="n">
        <f aca="true">IFERROR(SUMPRODUCT(OFFSET($BJ$31,0,1-MIN(60,COLUMN()-29),1,MIN(60,COLUMN()-29)),OFFSET(EN779,0,-MIN(60,COLUMN()-29),1,MIN(60,COLUMN()-29))),0)</f>
        <v>0</v>
      </c>
      <c r="EO780" s="112" t="n">
        <f aca="true">IFERROR(SUMPRODUCT(OFFSET($BJ$31,0,1-MIN(60,COLUMN()-29),1,MIN(60,COLUMN()-29)),OFFSET(EO779,0,-MIN(60,COLUMN()-29),1,MIN(60,COLUMN()-29))),0)</f>
        <v>0</v>
      </c>
      <c r="EP780" s="112" t="n">
        <f aca="true">IFERROR(SUMPRODUCT(OFFSET($BJ$31,0,1-MIN(60,COLUMN()-29),1,MIN(60,COLUMN()-29)),OFFSET(EP779,0,-MIN(60,COLUMN()-29),1,MIN(60,COLUMN()-29))),0)</f>
        <v>0</v>
      </c>
      <c r="EQ780" s="112" t="n">
        <f aca="true">IFERROR(SUMPRODUCT(OFFSET($BJ$31,0,1-MIN(60,COLUMN()-29),1,MIN(60,COLUMN()-29)),OFFSET(EQ779,0,-MIN(60,COLUMN()-29),1,MIN(60,COLUMN()-29))),0)</f>
        <v>0</v>
      </c>
      <c r="ER780" s="112" t="n">
        <f aca="true">IFERROR(SUMPRODUCT(OFFSET($BJ$31,0,1-MIN(60,COLUMN()-29),1,MIN(60,COLUMN()-29)),OFFSET(ER779,0,-MIN(60,COLUMN()-29),1,MIN(60,COLUMN()-29))),0)</f>
        <v>0</v>
      </c>
      <c r="ES780" s="9" t="n">
        <f aca="true">IFERROR(SUMPRODUCT(OFFSET($BJ$31,0,1-MIN(60,COLUMN()-29),1,MIN(60,COLUMN()-29)),OFFSET(ES779,0,-MIN(60,COLUMN()-29),1,MIN(60,COLUMN()-29))),0)</f>
        <v>0</v>
      </c>
      <c r="ET780" s="9" t="n">
        <f aca="true">IFERROR(SUMPRODUCT(OFFSET($BJ$31,0,1-MIN(60,COLUMN()-29),1,MIN(60,COLUMN()-29)),OFFSET(ET779,0,-MIN(60,COLUMN()-29),1,MIN(60,COLUMN()-29))),0)</f>
        <v>0</v>
      </c>
      <c r="EU780" s="9" t="n">
        <f aca="true">IFERROR(SUMPRODUCT(OFFSET($BJ$31,0,1-MIN(60,COLUMN()-29),1,MIN(60,COLUMN()-29)),OFFSET(EU779,0,-MIN(60,COLUMN()-29),1,MIN(60,COLUMN()-29))),0)</f>
        <v>0</v>
      </c>
      <c r="EV780" s="9" t="n">
        <f aca="true">IFERROR(SUMPRODUCT(OFFSET($BJ$31,0,1-MIN(60,COLUMN()-29),1,MIN(60,COLUMN()-29)),OFFSET(EV779,0,-MIN(60,COLUMN()-29),1,MIN(60,COLUMN()-29))),0)</f>
        <v>0</v>
      </c>
      <c r="EW780" s="9" t="n">
        <f aca="true">IFERROR(SUMPRODUCT(OFFSET($BJ$31,0,1-MIN(60,COLUMN()-29),1,MIN(60,COLUMN()-29)),OFFSET(EW779,0,-MIN(60,COLUMN()-29),1,MIN(60,COLUMN()-29))),0)</f>
        <v>0</v>
      </c>
      <c r="EX780" s="9" t="n">
        <f aca="true">IFERROR(SUMPRODUCT(OFFSET($BJ$31,0,1-MIN(60,COLUMN()-29),1,MIN(60,COLUMN()-29)),OFFSET(EX779,0,-MIN(60,COLUMN()-29),1,MIN(60,COLUMN()-29))),0)</f>
        <v>0</v>
      </c>
      <c r="EY780" s="9" t="n">
        <f aca="true">IFERROR(SUMPRODUCT(OFFSET($BJ$31,0,1-MIN(60,COLUMN()-29),1,MIN(60,COLUMN()-29)),OFFSET(EY779,0,-MIN(60,COLUMN()-29),1,MIN(60,COLUMN()-29))),0)</f>
        <v>0</v>
      </c>
      <c r="EZ780" s="9" t="n">
        <f aca="true">IFERROR(SUMPRODUCT(OFFSET($BJ$31,0,1-MIN(60,COLUMN()-29),1,MIN(60,COLUMN()-29)),OFFSET(EZ779,0,-MIN(60,COLUMN()-29),1,MIN(60,COLUMN()-29))),0)</f>
        <v>0</v>
      </c>
      <c r="FA780" s="9" t="n">
        <f aca="true">IFERROR(SUMPRODUCT(OFFSET($BJ$31,0,1-MIN(60,COLUMN()-29),1,MIN(60,COLUMN()-29)),OFFSET(FA779,0,-MIN(60,COLUMN()-29),1,MIN(60,COLUMN()-29))),0)</f>
        <v>0</v>
      </c>
      <c r="FB780" s="9" t="n">
        <f aca="true">IFERROR(SUMPRODUCT(OFFSET($BJ$31,0,1-MIN(60,COLUMN()-29),1,MIN(60,COLUMN()-29)),OFFSET(FB779,0,-MIN(60,COLUMN()-29),1,MIN(60,COLUMN()-29))),0)</f>
        <v>0</v>
      </c>
      <c r="FC780" s="9" t="n">
        <f aca="true">IFERROR(SUMPRODUCT(OFFSET($BJ$31,0,1-MIN(60,COLUMN()-29),1,MIN(60,COLUMN()-29)),OFFSET(FC779,0,-MIN(60,COLUMN()-29),1,MIN(60,COLUMN()-29))),0)</f>
        <v>5.16096</v>
      </c>
      <c r="FD780" s="9" t="n">
        <f aca="true">IFERROR(SUMPRODUCT(OFFSET($BJ$31,0,1-MIN(60,COLUMN()-29),1,MIN(60,COLUMN()-29)),OFFSET(FD779,0,-MIN(60,COLUMN()-29),1,MIN(60,COLUMN()-29))),0)</f>
        <v>4.967424</v>
      </c>
      <c r="FE780" s="9" t="n">
        <f aca="true">IFERROR(SUMPRODUCT(OFFSET($BJ$31,0,1-MIN(60,COLUMN()-29),1,MIN(60,COLUMN()-29)),OFFSET(FE779,0,-MIN(60,COLUMN()-29),1,MIN(60,COLUMN()-29))),0)</f>
        <v>8.0688384</v>
      </c>
      <c r="FF780" s="9" t="n">
        <f aca="true">IFERROR(SUMPRODUCT(OFFSET($BJ$31,0,1-MIN(60,COLUMN()-29),1,MIN(60,COLUMN()-29)),OFFSET(FF779,0,-MIN(60,COLUMN()-29),1,MIN(60,COLUMN()-29))),0)</f>
        <v>10.0041984</v>
      </c>
      <c r="FG780" s="9" t="n">
        <f aca="true">IFERROR(SUMPRODUCT(OFFSET($BJ$31,0,1-MIN(60,COLUMN()-29),1,MIN(60,COLUMN()-29)),OFFSET(FG779,0,-MIN(60,COLUMN()-29),1,MIN(60,COLUMN()-29))),0)</f>
        <v>8.993376</v>
      </c>
      <c r="FH780" s="9" t="n">
        <f aca="true">IFERROR(SUMPRODUCT(OFFSET($BJ$31,0,1-MIN(60,COLUMN()-29),1,MIN(60,COLUMN()-29)),OFFSET(FH779,0,-MIN(60,COLUMN()-29),1,MIN(60,COLUMN()-29))),0)</f>
        <v>13.0269216</v>
      </c>
      <c r="FI780" s="9" t="n">
        <f aca="true">IFERROR(SUMPRODUCT(OFFSET($BJ$31,0,1-MIN(60,COLUMN()-29),1,MIN(60,COLUMN()-29)),OFFSET(FI779,0,-MIN(60,COLUMN()-29),1,MIN(60,COLUMN()-29))),0)</f>
        <v>14.801472</v>
      </c>
      <c r="FJ780" s="9" t="n">
        <f aca="true">IFERROR(SUMPRODUCT(OFFSET($BJ$31,0,1-MIN(60,COLUMN()-29),1,MIN(60,COLUMN()-29)),OFFSET(FJ779,0,-MIN(60,COLUMN()-29),1,MIN(60,COLUMN()-29))),0)</f>
        <v>14.9145696</v>
      </c>
      <c r="FK780" s="9" t="n">
        <f aca="true">IFERROR(SUMPRODUCT(OFFSET($BJ$31,0,1-MIN(60,COLUMN()-29),1,MIN(60,COLUMN()-29)),OFFSET(FK779,0,-MIN(60,COLUMN()-29),1,MIN(60,COLUMN()-29))),0)</f>
        <v>15.675072</v>
      </c>
      <c r="FL780" s="9" t="n">
        <f aca="true">IFERROR(SUMPRODUCT(OFFSET($BJ$31,0,1-MIN(60,COLUMN()-29),1,MIN(60,COLUMN()-29)),OFFSET(FL779,0,-MIN(60,COLUMN()-29),1,MIN(60,COLUMN()-29))),0)</f>
        <v>17.1621408</v>
      </c>
      <c r="FM780" s="9" t="n">
        <f aca="true">IFERROR(SUMPRODUCT(OFFSET($BJ$31,0,1-MIN(60,COLUMN()-29),1,MIN(60,COLUMN()-29)),OFFSET(FM779,0,-MIN(60,COLUMN()-29),1,MIN(60,COLUMN()-29))),0)</f>
        <v>25.6921728</v>
      </c>
      <c r="FN780" s="9" t="n">
        <f aca="true">IFERROR(SUMPRODUCT(OFFSET($BJ$31,0,1-MIN(60,COLUMN()-29),1,MIN(60,COLUMN()-29)),OFFSET(FN779,0,-MIN(60,COLUMN()-29),1,MIN(60,COLUMN()-29))),0)</f>
        <v>26.6566272</v>
      </c>
      <c r="FO780" s="9" t="n">
        <f aca="true">IFERROR(SUMPRODUCT(OFFSET($BJ$31,0,1-MIN(60,COLUMN()-29),1,MIN(60,COLUMN()-29)),OFFSET(FO779,0,-MIN(60,COLUMN()-29),1,MIN(60,COLUMN()-29))),0)</f>
        <v>27.619872</v>
      </c>
      <c r="FP780" s="9" t="n">
        <f aca="true">IFERROR(SUMPRODUCT(OFFSET($BJ$31,0,1-MIN(60,COLUMN()-29),1,MIN(60,COLUMN()-29)),OFFSET(FP779,0,-MIN(60,COLUMN()-29),1,MIN(60,COLUMN()-29))),0)</f>
        <v>25.7222784</v>
      </c>
    </row>
    <row r="781" customFormat="false" ht="15" hidden="false" customHeight="false" outlineLevel="2" collapsed="false">
      <c r="B781" s="90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237"/>
      <c r="AD781" s="237"/>
      <c r="AE781" s="237"/>
      <c r="AF781" s="237"/>
      <c r="AG781" s="237"/>
      <c r="AH781" s="237"/>
      <c r="AI781" s="237"/>
      <c r="AJ781" s="237"/>
      <c r="AK781" s="237"/>
      <c r="AL781" s="237"/>
      <c r="AM781" s="237"/>
      <c r="AN781" s="237"/>
      <c r="AO781" s="237"/>
      <c r="AP781" s="237"/>
      <c r="AQ781" s="237"/>
      <c r="AR781" s="237"/>
      <c r="AS781" s="237"/>
      <c r="AT781" s="237"/>
      <c r="AU781" s="237"/>
      <c r="AV781" s="237"/>
      <c r="AW781" s="237"/>
      <c r="AX781" s="237"/>
      <c r="AY781" s="237"/>
      <c r="AZ781" s="237"/>
      <c r="BA781" s="237"/>
      <c r="BB781" s="237"/>
      <c r="BC781" s="237"/>
      <c r="BD781" s="237"/>
      <c r="BE781" s="237"/>
      <c r="BF781" s="237"/>
      <c r="BG781" s="237"/>
      <c r="BH781" s="237"/>
      <c r="BI781" s="237"/>
      <c r="BJ781" s="237"/>
      <c r="BK781" s="237"/>
      <c r="BL781" s="237"/>
      <c r="BM781" s="237"/>
      <c r="BN781" s="237"/>
      <c r="BO781" s="237"/>
      <c r="BP781" s="237"/>
      <c r="BQ781" s="237"/>
      <c r="BR781" s="237"/>
      <c r="BS781" s="237"/>
      <c r="BT781" s="237"/>
      <c r="BU781" s="237"/>
      <c r="BV781" s="237"/>
      <c r="BW781" s="237"/>
      <c r="BX781" s="237"/>
      <c r="BY781" s="237"/>
      <c r="BZ781" s="237"/>
      <c r="CA781" s="237"/>
      <c r="CB781" s="237"/>
      <c r="CC781" s="237"/>
      <c r="CD781" s="237"/>
      <c r="CE781" s="237"/>
      <c r="CF781" s="237"/>
      <c r="CG781" s="237"/>
      <c r="CH781" s="237"/>
      <c r="CI781" s="237"/>
      <c r="CJ781" s="237"/>
      <c r="CK781" s="237"/>
      <c r="CL781" s="237"/>
      <c r="CM781" s="237"/>
      <c r="CN781" s="237"/>
      <c r="CO781" s="237"/>
      <c r="CP781" s="237"/>
      <c r="CQ781" s="237"/>
      <c r="CR781" s="237"/>
      <c r="CS781" s="237"/>
      <c r="CT781" s="237"/>
      <c r="CU781" s="237"/>
      <c r="CV781" s="237"/>
      <c r="CW781" s="237"/>
      <c r="CX781" s="237"/>
      <c r="CY781" s="237"/>
      <c r="CZ781" s="237"/>
      <c r="DA781" s="237"/>
      <c r="DB781" s="237"/>
      <c r="DC781" s="237"/>
      <c r="DD781" s="237"/>
      <c r="DE781" s="237"/>
      <c r="DF781" s="237"/>
      <c r="DG781" s="237"/>
      <c r="DH781" s="237"/>
      <c r="DI781" s="237"/>
      <c r="DJ781" s="237"/>
      <c r="DK781" s="237"/>
      <c r="DL781" s="237"/>
      <c r="DM781" s="237"/>
      <c r="DN781" s="237"/>
      <c r="DO781" s="237"/>
      <c r="DP781" s="237"/>
      <c r="DQ781" s="237"/>
      <c r="DR781" s="237"/>
      <c r="DS781" s="237"/>
      <c r="DT781" s="237"/>
      <c r="DU781" s="237"/>
      <c r="DV781" s="237"/>
      <c r="DW781" s="237"/>
      <c r="DX781" s="237"/>
      <c r="DY781" s="237"/>
      <c r="DZ781" s="237"/>
      <c r="EA781" s="237"/>
      <c r="EB781" s="237"/>
      <c r="EC781" s="237"/>
      <c r="ED781" s="237"/>
      <c r="EE781" s="237"/>
      <c r="EF781" s="237"/>
      <c r="EG781" s="237"/>
      <c r="EH781" s="237"/>
      <c r="EI781" s="237"/>
      <c r="EJ781" s="237"/>
      <c r="EK781" s="237"/>
      <c r="EL781" s="237"/>
      <c r="EM781" s="237"/>
      <c r="EN781" s="237"/>
      <c r="EO781" s="237"/>
      <c r="EP781" s="237"/>
      <c r="EQ781" s="237"/>
      <c r="ER781" s="237"/>
      <c r="ES781" s="9"/>
      <c r="ET781" s="9"/>
      <c r="EU781" s="9"/>
      <c r="EV781" s="9"/>
      <c r="EW781" s="9"/>
      <c r="EX781" s="9"/>
      <c r="EY781" s="9"/>
      <c r="EZ781" s="9"/>
      <c r="FA781" s="9"/>
      <c r="FB781" s="9"/>
      <c r="FC781" s="9"/>
      <c r="FD781" s="9"/>
      <c r="FE781" s="9"/>
      <c r="FF781" s="9"/>
      <c r="FG781" s="9"/>
      <c r="FH781" s="9"/>
      <c r="FI781" s="9"/>
      <c r="FJ781" s="9"/>
      <c r="FK781" s="9"/>
      <c r="FL781" s="9"/>
      <c r="FM781" s="9"/>
      <c r="FN781" s="9"/>
      <c r="FO781" s="9"/>
      <c r="FP781" s="9"/>
    </row>
    <row r="782" customFormat="false" ht="15" hidden="false" customHeight="false" outlineLevel="2" collapsed="false">
      <c r="B782" s="240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237"/>
      <c r="AD782" s="237"/>
      <c r="AE782" s="237"/>
      <c r="AF782" s="237"/>
      <c r="AG782" s="237"/>
      <c r="AH782" s="237"/>
      <c r="AI782" s="237"/>
      <c r="AJ782" s="237"/>
      <c r="AK782" s="237"/>
      <c r="AL782" s="237"/>
      <c r="AM782" s="237"/>
      <c r="AN782" s="237"/>
      <c r="AO782" s="237"/>
      <c r="AP782" s="237"/>
      <c r="AQ782" s="237"/>
      <c r="AR782" s="237"/>
      <c r="AS782" s="237"/>
      <c r="AT782" s="237"/>
      <c r="AU782" s="237"/>
      <c r="AV782" s="237"/>
      <c r="AW782" s="237"/>
      <c r="AX782" s="237"/>
      <c r="AY782" s="237"/>
      <c r="AZ782" s="237"/>
      <c r="BA782" s="237"/>
      <c r="BB782" s="237"/>
      <c r="BC782" s="237"/>
      <c r="BD782" s="237"/>
      <c r="BE782" s="237"/>
      <c r="BF782" s="237"/>
      <c r="BG782" s="237"/>
      <c r="BH782" s="237"/>
      <c r="BI782" s="237"/>
      <c r="BJ782" s="237"/>
      <c r="BK782" s="237"/>
      <c r="BL782" s="237"/>
      <c r="BM782" s="237"/>
      <c r="BN782" s="237"/>
      <c r="BO782" s="237"/>
      <c r="BP782" s="237"/>
      <c r="BQ782" s="237"/>
      <c r="BR782" s="237"/>
      <c r="BS782" s="237"/>
      <c r="BT782" s="237"/>
      <c r="BU782" s="237"/>
      <c r="BV782" s="237"/>
      <c r="BW782" s="237"/>
      <c r="BX782" s="237"/>
      <c r="BY782" s="237"/>
      <c r="BZ782" s="237"/>
      <c r="CA782" s="237"/>
      <c r="CB782" s="237"/>
      <c r="CC782" s="237"/>
      <c r="CD782" s="237"/>
      <c r="CE782" s="237"/>
      <c r="CF782" s="237"/>
      <c r="CG782" s="237"/>
      <c r="CH782" s="237"/>
      <c r="CI782" s="237"/>
      <c r="CJ782" s="237"/>
      <c r="CK782" s="237"/>
      <c r="CL782" s="237"/>
      <c r="CM782" s="237"/>
      <c r="CN782" s="237"/>
      <c r="CO782" s="237"/>
      <c r="CP782" s="237"/>
      <c r="CQ782" s="237"/>
      <c r="CR782" s="237"/>
      <c r="CS782" s="237"/>
      <c r="CT782" s="237"/>
      <c r="CU782" s="237"/>
      <c r="CV782" s="237"/>
      <c r="CW782" s="237"/>
      <c r="CX782" s="237"/>
      <c r="CY782" s="237"/>
      <c r="CZ782" s="237"/>
      <c r="DA782" s="237"/>
      <c r="DB782" s="237"/>
      <c r="DC782" s="237"/>
      <c r="DD782" s="237"/>
      <c r="DE782" s="237"/>
      <c r="DF782" s="237"/>
      <c r="DG782" s="237"/>
      <c r="DH782" s="237"/>
      <c r="DI782" s="237"/>
      <c r="DJ782" s="237"/>
      <c r="DK782" s="237"/>
      <c r="DL782" s="237"/>
      <c r="DM782" s="237"/>
      <c r="DN782" s="237"/>
      <c r="DO782" s="237"/>
      <c r="DP782" s="237"/>
      <c r="DQ782" s="237"/>
      <c r="DR782" s="237"/>
      <c r="DS782" s="237"/>
      <c r="DT782" s="237"/>
      <c r="DU782" s="237"/>
      <c r="DV782" s="237"/>
      <c r="DW782" s="237"/>
      <c r="DX782" s="237"/>
      <c r="DY782" s="237"/>
      <c r="DZ782" s="237"/>
      <c r="EA782" s="237"/>
      <c r="EB782" s="237"/>
      <c r="EC782" s="237"/>
      <c r="ED782" s="237"/>
      <c r="EE782" s="237"/>
      <c r="EF782" s="237"/>
      <c r="EG782" s="237"/>
      <c r="EH782" s="237"/>
      <c r="EI782" s="237"/>
      <c r="EJ782" s="237"/>
      <c r="EK782" s="237"/>
      <c r="EL782" s="237"/>
      <c r="EM782" s="237"/>
      <c r="EN782" s="237"/>
      <c r="EO782" s="237"/>
      <c r="EP782" s="237"/>
      <c r="EQ782" s="237"/>
      <c r="ER782" s="237"/>
      <c r="ES782" s="9"/>
      <c r="ET782" s="9"/>
      <c r="EU782" s="9"/>
      <c r="EV782" s="9"/>
      <c r="EW782" s="9"/>
      <c r="EX782" s="9"/>
      <c r="EY782" s="9"/>
      <c r="EZ782" s="9"/>
      <c r="FA782" s="9"/>
      <c r="FB782" s="9"/>
      <c r="FC782" s="9"/>
      <c r="FD782" s="9"/>
      <c r="FE782" s="9"/>
      <c r="FF782" s="9"/>
      <c r="FG782" s="9"/>
      <c r="FH782" s="9"/>
      <c r="FI782" s="9"/>
      <c r="FJ782" s="9"/>
      <c r="FK782" s="9"/>
      <c r="FL782" s="9"/>
      <c r="FM782" s="9"/>
      <c r="FN782" s="9"/>
      <c r="FO782" s="9"/>
      <c r="FP782" s="9"/>
    </row>
    <row r="783" customFormat="false" ht="15" hidden="false" customHeight="false" outlineLevel="2" collapsed="false">
      <c r="B783" s="21" t="s">
        <v>951</v>
      </c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  <c r="AP783" s="21"/>
      <c r="AQ783" s="21"/>
      <c r="AR783" s="21"/>
      <c r="AS783" s="21"/>
      <c r="AT783" s="21"/>
      <c r="AU783" s="21"/>
      <c r="AV783" s="21"/>
      <c r="AW783" s="21"/>
      <c r="AX783" s="21"/>
      <c r="AY783" s="21"/>
      <c r="AZ783" s="21"/>
      <c r="BA783" s="21"/>
      <c r="BB783" s="21"/>
      <c r="BC783" s="21"/>
      <c r="BD783" s="21"/>
      <c r="BE783" s="21"/>
      <c r="BF783" s="21"/>
      <c r="BG783" s="21"/>
      <c r="BH783" s="21"/>
      <c r="BI783" s="21"/>
      <c r="BJ783" s="21"/>
      <c r="BK783" s="21"/>
      <c r="BL783" s="21"/>
      <c r="BM783" s="21"/>
      <c r="BN783" s="21"/>
      <c r="BO783" s="21"/>
      <c r="BP783" s="21"/>
      <c r="BQ783" s="21"/>
      <c r="BR783" s="21"/>
      <c r="BS783" s="21"/>
      <c r="BT783" s="21"/>
      <c r="BU783" s="21"/>
      <c r="BV783" s="21"/>
      <c r="BW783" s="21"/>
      <c r="BX783" s="21"/>
      <c r="BY783" s="21"/>
      <c r="BZ783" s="21"/>
      <c r="CA783" s="21"/>
      <c r="CB783" s="21"/>
      <c r="CC783" s="21"/>
      <c r="CD783" s="21"/>
      <c r="CE783" s="21"/>
      <c r="CF783" s="21"/>
      <c r="CG783" s="21"/>
      <c r="CH783" s="21"/>
      <c r="CI783" s="21"/>
      <c r="CJ783" s="21"/>
      <c r="CK783" s="21"/>
      <c r="CL783" s="21"/>
      <c r="CM783" s="21"/>
      <c r="CN783" s="21"/>
      <c r="CO783" s="21"/>
      <c r="CP783" s="21"/>
      <c r="CQ783" s="21"/>
      <c r="CR783" s="21"/>
      <c r="CS783" s="21"/>
      <c r="CT783" s="21"/>
      <c r="CU783" s="21"/>
      <c r="CV783" s="21"/>
      <c r="CW783" s="21"/>
      <c r="CX783" s="21"/>
      <c r="CY783" s="21"/>
      <c r="CZ783" s="21"/>
      <c r="DA783" s="21"/>
      <c r="DB783" s="21"/>
      <c r="DC783" s="21"/>
      <c r="DD783" s="21"/>
      <c r="DE783" s="21"/>
      <c r="DF783" s="21"/>
      <c r="DG783" s="21"/>
      <c r="DH783" s="21"/>
      <c r="DI783" s="21"/>
      <c r="DJ783" s="21"/>
      <c r="DK783" s="21"/>
      <c r="DL783" s="21"/>
      <c r="DM783" s="21"/>
      <c r="DN783" s="21"/>
      <c r="DO783" s="21"/>
      <c r="DP783" s="21"/>
      <c r="DQ783" s="21"/>
      <c r="DR783" s="21"/>
      <c r="DS783" s="21"/>
      <c r="DT783" s="21"/>
      <c r="DU783" s="21"/>
      <c r="DV783" s="21"/>
      <c r="DW783" s="21"/>
      <c r="DX783" s="21"/>
      <c r="DY783" s="21"/>
      <c r="DZ783" s="21"/>
      <c r="EA783" s="21"/>
      <c r="EB783" s="21"/>
      <c r="EC783" s="21"/>
      <c r="ED783" s="21"/>
      <c r="EE783" s="21"/>
      <c r="EF783" s="21"/>
      <c r="EG783" s="21"/>
      <c r="EH783" s="21"/>
      <c r="EI783" s="21"/>
      <c r="EJ783" s="21"/>
      <c r="EK783" s="21"/>
      <c r="EL783" s="21"/>
      <c r="EM783" s="21"/>
      <c r="EN783" s="21"/>
      <c r="EO783" s="21"/>
      <c r="EP783" s="21"/>
      <c r="EQ783" s="21"/>
      <c r="ER783" s="21"/>
      <c r="ES783" s="9"/>
      <c r="ET783" s="9"/>
      <c r="EU783" s="9"/>
      <c r="EV783" s="9"/>
      <c r="EW783" s="9"/>
      <c r="EX783" s="9"/>
      <c r="EY783" s="9"/>
      <c r="EZ783" s="9"/>
      <c r="FA783" s="9"/>
      <c r="FB783" s="9"/>
      <c r="FC783" s="9"/>
      <c r="FD783" s="9"/>
      <c r="FE783" s="9"/>
      <c r="FF783" s="9"/>
      <c r="FG783" s="9"/>
      <c r="FH783" s="9"/>
      <c r="FI783" s="9"/>
      <c r="FJ783" s="9"/>
      <c r="FK783" s="9"/>
      <c r="FL783" s="9"/>
      <c r="FM783" s="9"/>
      <c r="FN783" s="9"/>
      <c r="FO783" s="9"/>
      <c r="FP783" s="9"/>
    </row>
    <row r="784" customFormat="false" ht="15" hidden="false" customHeight="false" outlineLevel="2" collapsed="false">
      <c r="B784" s="9" t="s">
        <v>872</v>
      </c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234" t="n">
        <f aca="false">('⑫ Roll-out Plan'!G83-2025)*12+'⑫ Roll-out Plan'!F83</f>
        <v>131</v>
      </c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  <c r="CO784" s="9"/>
      <c r="CP784" s="9"/>
      <c r="CQ784" s="9"/>
      <c r="CR784" s="9"/>
      <c r="CS784" s="9"/>
      <c r="CT784" s="9"/>
      <c r="CU784" s="9"/>
      <c r="CV784" s="9"/>
      <c r="CW784" s="9"/>
      <c r="CX784" s="9"/>
      <c r="CY784" s="9"/>
      <c r="CZ784" s="9"/>
      <c r="DA784" s="9"/>
      <c r="DB784" s="9"/>
      <c r="DC784" s="9"/>
      <c r="DD784" s="9"/>
      <c r="DE784" s="9"/>
      <c r="DF784" s="9"/>
      <c r="DG784" s="9"/>
      <c r="DH784" s="9"/>
      <c r="DI784" s="9"/>
      <c r="DJ784" s="9"/>
      <c r="DK784" s="9"/>
      <c r="DL784" s="9"/>
      <c r="DM784" s="9"/>
      <c r="DN784" s="9"/>
      <c r="DO784" s="9"/>
      <c r="DP784" s="9"/>
      <c r="DQ784" s="9"/>
      <c r="DR784" s="9"/>
      <c r="DS784" s="9"/>
      <c r="DT784" s="9"/>
      <c r="DU784" s="9"/>
      <c r="DV784" s="9"/>
      <c r="DW784" s="9"/>
      <c r="DX784" s="9"/>
      <c r="DY784" s="9"/>
      <c r="DZ784" s="9"/>
      <c r="EA784" s="9"/>
      <c r="EB784" s="9"/>
      <c r="EC784" s="9"/>
      <c r="ED784" s="9"/>
      <c r="EE784" s="9"/>
      <c r="EF784" s="9"/>
      <c r="EG784" s="9"/>
      <c r="EH784" s="9"/>
      <c r="EI784" s="9"/>
      <c r="EJ784" s="9"/>
      <c r="EK784" s="9"/>
      <c r="EL784" s="9"/>
      <c r="EM784" s="9"/>
      <c r="EN784" s="9"/>
      <c r="EO784" s="9"/>
      <c r="EP784" s="9"/>
      <c r="EQ784" s="9"/>
      <c r="ER784" s="9"/>
      <c r="ES784" s="9"/>
      <c r="ET784" s="9"/>
      <c r="EU784" s="9"/>
      <c r="EV784" s="9"/>
      <c r="EW784" s="9"/>
      <c r="EX784" s="9"/>
      <c r="EY784" s="9"/>
      <c r="EZ784" s="9"/>
      <c r="FA784" s="9"/>
      <c r="FB784" s="9"/>
      <c r="FC784" s="9"/>
      <c r="FD784" s="9"/>
      <c r="FE784" s="9"/>
      <c r="FF784" s="9"/>
      <c r="FG784" s="9"/>
      <c r="FH784" s="9"/>
      <c r="FI784" s="9"/>
      <c r="FJ784" s="9"/>
      <c r="FK784" s="9"/>
      <c r="FL784" s="9"/>
      <c r="FM784" s="9"/>
      <c r="FN784" s="9"/>
      <c r="FO784" s="9"/>
      <c r="FP784" s="9"/>
    </row>
    <row r="785" customFormat="false" ht="15" hidden="false" customHeight="false" outlineLevel="2" collapsed="false">
      <c r="B785" s="9" t="s">
        <v>873</v>
      </c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235" t="n">
        <f aca="false">VLOOKUP("B",$B$14:$C$18,2,FALSE())</f>
        <v>185</v>
      </c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  <c r="CO785" s="9"/>
      <c r="CP785" s="9"/>
      <c r="CQ785" s="9"/>
      <c r="CR785" s="9"/>
      <c r="CS785" s="9"/>
      <c r="CT785" s="9"/>
      <c r="CU785" s="9"/>
      <c r="CV785" s="9"/>
      <c r="CW785" s="9"/>
      <c r="CX785" s="9"/>
      <c r="CY785" s="9"/>
      <c r="CZ785" s="9"/>
      <c r="DA785" s="9"/>
      <c r="DB785" s="9"/>
      <c r="DC785" s="9"/>
      <c r="DD785" s="9"/>
      <c r="DE785" s="9"/>
      <c r="DF785" s="9"/>
      <c r="DG785" s="9"/>
      <c r="DH785" s="9"/>
      <c r="DI785" s="9"/>
      <c r="DJ785" s="9"/>
      <c r="DK785" s="9"/>
      <c r="DL785" s="9"/>
      <c r="DM785" s="9"/>
      <c r="DN785" s="9"/>
      <c r="DO785" s="9"/>
      <c r="DP785" s="9"/>
      <c r="DQ785" s="9"/>
      <c r="DR785" s="9"/>
      <c r="DS785" s="9"/>
      <c r="DT785" s="9"/>
      <c r="DU785" s="9"/>
      <c r="DV785" s="9"/>
      <c r="DW785" s="9"/>
      <c r="DX785" s="9"/>
      <c r="DY785" s="9"/>
      <c r="DZ785" s="9"/>
      <c r="EA785" s="9"/>
      <c r="EB785" s="9"/>
      <c r="EC785" s="9"/>
      <c r="ED785" s="9"/>
      <c r="EE785" s="9"/>
      <c r="EF785" s="9"/>
      <c r="EG785" s="9"/>
      <c r="EH785" s="9"/>
      <c r="EI785" s="9"/>
      <c r="EJ785" s="9"/>
      <c r="EK785" s="9"/>
      <c r="EL785" s="9"/>
      <c r="EM785" s="9"/>
      <c r="EN785" s="9"/>
      <c r="EO785" s="9"/>
      <c r="EP785" s="9"/>
      <c r="EQ785" s="9"/>
      <c r="ER785" s="9"/>
      <c r="ES785" s="9"/>
      <c r="ET785" s="9"/>
      <c r="EU785" s="9"/>
      <c r="EV785" s="9"/>
      <c r="EW785" s="9"/>
      <c r="EX785" s="9"/>
      <c r="EY785" s="9"/>
      <c r="EZ785" s="9"/>
      <c r="FA785" s="9"/>
      <c r="FB785" s="9"/>
      <c r="FC785" s="9"/>
      <c r="FD785" s="9"/>
      <c r="FE785" s="9"/>
      <c r="FF785" s="9"/>
      <c r="FG785" s="9"/>
      <c r="FH785" s="9"/>
      <c r="FI785" s="9"/>
      <c r="FJ785" s="9"/>
      <c r="FK785" s="9"/>
      <c r="FL785" s="9"/>
      <c r="FM785" s="9"/>
      <c r="FN785" s="9"/>
      <c r="FO785" s="9"/>
      <c r="FP785" s="9"/>
    </row>
    <row r="786" customFormat="false" ht="15" hidden="false" customHeight="false" outlineLevel="2" collapsed="false">
      <c r="B786" s="9" t="s">
        <v>799</v>
      </c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63" t="n">
        <f aca="false">IF(AC$35&gt;=$AC$784,AC$35-$AC$784+1,0)</f>
        <v>0</v>
      </c>
      <c r="AD786" s="63" t="n">
        <f aca="false">IF(AD$35&gt;=$AC$784,AD$35-$AC$784+1,0)</f>
        <v>0</v>
      </c>
      <c r="AE786" s="63" t="n">
        <f aca="false">IF(AE$35&gt;=$AC$784,AE$35-$AC$784+1,0)</f>
        <v>0</v>
      </c>
      <c r="AF786" s="63" t="n">
        <f aca="false">IF(AF$35&gt;=$AC$784,AF$35-$AC$784+1,0)</f>
        <v>0</v>
      </c>
      <c r="AG786" s="63" t="n">
        <f aca="false">IF(AG$35&gt;=$AC$784,AG$35-$AC$784+1,0)</f>
        <v>0</v>
      </c>
      <c r="AH786" s="63" t="n">
        <f aca="false">IF(AH$35&gt;=$AC$784,AH$35-$AC$784+1,0)</f>
        <v>0</v>
      </c>
      <c r="AI786" s="63" t="n">
        <f aca="false">IF(AI$35&gt;=$AC$784,AI$35-$AC$784+1,0)</f>
        <v>0</v>
      </c>
      <c r="AJ786" s="63" t="n">
        <f aca="false">IF(AJ$35&gt;=$AC$784,AJ$35-$AC$784+1,0)</f>
        <v>0</v>
      </c>
      <c r="AK786" s="63" t="n">
        <f aca="false">IF(AK$35&gt;=$AC$784,AK$35-$AC$784+1,0)</f>
        <v>0</v>
      </c>
      <c r="AL786" s="63" t="n">
        <f aca="false">IF(AL$35&gt;=$AC$784,AL$35-$AC$784+1,0)</f>
        <v>0</v>
      </c>
      <c r="AM786" s="63" t="n">
        <f aca="false">IF(AM$35&gt;=$AC$784,AM$35-$AC$784+1,0)</f>
        <v>0</v>
      </c>
      <c r="AN786" s="63" t="n">
        <f aca="false">IF(AN$35&gt;=$AC$784,AN$35-$AC$784+1,0)</f>
        <v>0</v>
      </c>
      <c r="AO786" s="63" t="n">
        <f aca="false">IF(AO$35&gt;=$AC$784,AO$35-$AC$784+1,0)</f>
        <v>0</v>
      </c>
      <c r="AP786" s="63" t="n">
        <f aca="false">IF(AP$35&gt;=$AC$784,AP$35-$AC$784+1,0)</f>
        <v>0</v>
      </c>
      <c r="AQ786" s="63" t="n">
        <f aca="false">IF(AQ$35&gt;=$AC$784,AQ$35-$AC$784+1,0)</f>
        <v>0</v>
      </c>
      <c r="AR786" s="63" t="n">
        <f aca="false">IF(AR$35&gt;=$AC$784,AR$35-$AC$784+1,0)</f>
        <v>0</v>
      </c>
      <c r="AS786" s="63" t="n">
        <f aca="false">IF(AS$35&gt;=$AC$784,AS$35-$AC$784+1,0)</f>
        <v>0</v>
      </c>
      <c r="AT786" s="63" t="n">
        <f aca="false">IF(AT$35&gt;=$AC$784,AT$35-$AC$784+1,0)</f>
        <v>0</v>
      </c>
      <c r="AU786" s="63" t="n">
        <f aca="false">IF(AU$35&gt;=$AC$784,AU$35-$AC$784+1,0)</f>
        <v>0</v>
      </c>
      <c r="AV786" s="63" t="n">
        <f aca="false">IF(AV$35&gt;=$AC$784,AV$35-$AC$784+1,0)</f>
        <v>0</v>
      </c>
      <c r="AW786" s="63" t="n">
        <f aca="false">IF(AW$35&gt;=$AC$784,AW$35-$AC$784+1,0)</f>
        <v>0</v>
      </c>
      <c r="AX786" s="63" t="n">
        <f aca="false">IF(AX$35&gt;=$AC$784,AX$35-$AC$784+1,0)</f>
        <v>0</v>
      </c>
      <c r="AY786" s="63" t="n">
        <f aca="false">IF(AY$35&gt;=$AC$784,AY$35-$AC$784+1,0)</f>
        <v>0</v>
      </c>
      <c r="AZ786" s="63" t="n">
        <f aca="false">IF(AZ$35&gt;=$AC$784,AZ$35-$AC$784+1,0)</f>
        <v>0</v>
      </c>
      <c r="BA786" s="63" t="n">
        <f aca="false">IF(BA$35&gt;=$AC$784,BA$35-$AC$784+1,0)</f>
        <v>0</v>
      </c>
      <c r="BB786" s="63" t="n">
        <f aca="false">IF(BB$35&gt;=$AC$784,BB$35-$AC$784+1,0)</f>
        <v>0</v>
      </c>
      <c r="BC786" s="63" t="n">
        <f aca="false">IF(BC$35&gt;=$AC$784,BC$35-$AC$784+1,0)</f>
        <v>0</v>
      </c>
      <c r="BD786" s="63" t="n">
        <f aca="false">IF(BD$35&gt;=$AC$784,BD$35-$AC$784+1,0)</f>
        <v>0</v>
      </c>
      <c r="BE786" s="63" t="n">
        <f aca="false">IF(BE$35&gt;=$AC$784,BE$35-$AC$784+1,0)</f>
        <v>0</v>
      </c>
      <c r="BF786" s="63" t="n">
        <f aca="false">IF(BF$35&gt;=$AC$784,BF$35-$AC$784+1,0)</f>
        <v>0</v>
      </c>
      <c r="BG786" s="63" t="n">
        <f aca="false">IF(BG$35&gt;=$AC$784,BG$35-$AC$784+1,0)</f>
        <v>0</v>
      </c>
      <c r="BH786" s="63" t="n">
        <f aca="false">IF(BH$35&gt;=$AC$784,BH$35-$AC$784+1,0)</f>
        <v>0</v>
      </c>
      <c r="BI786" s="63" t="n">
        <f aca="false">IF(BI$35&gt;=$AC$784,BI$35-$AC$784+1,0)</f>
        <v>0</v>
      </c>
      <c r="BJ786" s="63" t="n">
        <f aca="false">IF(BJ$35&gt;=$AC$784,BJ$35-$AC$784+1,0)</f>
        <v>0</v>
      </c>
      <c r="BK786" s="63" t="n">
        <f aca="false">IF(BK$35&gt;=$AC$784,BK$35-$AC$784+1,0)</f>
        <v>0</v>
      </c>
      <c r="BL786" s="63" t="n">
        <f aca="false">IF(BL$35&gt;=$AC$784,BL$35-$AC$784+1,0)</f>
        <v>0</v>
      </c>
      <c r="BM786" s="63" t="n">
        <f aca="false">IF(BM$35&gt;=$AC$784,BM$35-$AC$784+1,0)</f>
        <v>0</v>
      </c>
      <c r="BN786" s="63" t="n">
        <f aca="false">IF(BN$35&gt;=$AC$784,BN$35-$AC$784+1,0)</f>
        <v>0</v>
      </c>
      <c r="BO786" s="63" t="n">
        <f aca="false">IF(BO$35&gt;=$AC$784,BO$35-$AC$784+1,0)</f>
        <v>0</v>
      </c>
      <c r="BP786" s="63" t="n">
        <f aca="false">IF(BP$35&gt;=$AC$784,BP$35-$AC$784+1,0)</f>
        <v>0</v>
      </c>
      <c r="BQ786" s="63" t="n">
        <f aca="false">IF(BQ$35&gt;=$AC$784,BQ$35-$AC$784+1,0)</f>
        <v>0</v>
      </c>
      <c r="BR786" s="63" t="n">
        <f aca="false">IF(BR$35&gt;=$AC$784,BR$35-$AC$784+1,0)</f>
        <v>0</v>
      </c>
      <c r="BS786" s="63" t="n">
        <f aca="false">IF(BS$35&gt;=$AC$784,BS$35-$AC$784+1,0)</f>
        <v>0</v>
      </c>
      <c r="BT786" s="63" t="n">
        <f aca="false">IF(BT$35&gt;=$AC$784,BT$35-$AC$784+1,0)</f>
        <v>0</v>
      </c>
      <c r="BU786" s="63" t="n">
        <f aca="false">IF(BU$35&gt;=$AC$784,BU$35-$AC$784+1,0)</f>
        <v>0</v>
      </c>
      <c r="BV786" s="63" t="n">
        <f aca="false">IF(BV$35&gt;=$AC$784,BV$35-$AC$784+1,0)</f>
        <v>0</v>
      </c>
      <c r="BW786" s="63" t="n">
        <f aca="false">IF(BW$35&gt;=$AC$784,BW$35-$AC$784+1,0)</f>
        <v>0</v>
      </c>
      <c r="BX786" s="63" t="n">
        <f aca="false">IF(BX$35&gt;=$AC$784,BX$35-$AC$784+1,0)</f>
        <v>0</v>
      </c>
      <c r="BY786" s="63" t="n">
        <f aca="false">IF(BY$35&gt;=$AC$784,BY$35-$AC$784+1,0)</f>
        <v>0</v>
      </c>
      <c r="BZ786" s="63" t="n">
        <f aca="false">IF(BZ$35&gt;=$AC$784,BZ$35-$AC$784+1,0)</f>
        <v>0</v>
      </c>
      <c r="CA786" s="63" t="n">
        <f aca="false">IF(CA$35&gt;=$AC$784,CA$35-$AC$784+1,0)</f>
        <v>0</v>
      </c>
      <c r="CB786" s="63" t="n">
        <f aca="false">IF(CB$35&gt;=$AC$784,CB$35-$AC$784+1,0)</f>
        <v>0</v>
      </c>
      <c r="CC786" s="63" t="n">
        <f aca="false">IF(CC$35&gt;=$AC$784,CC$35-$AC$784+1,0)</f>
        <v>0</v>
      </c>
      <c r="CD786" s="63" t="n">
        <f aca="false">IF(CD$35&gt;=$AC$784,CD$35-$AC$784+1,0)</f>
        <v>0</v>
      </c>
      <c r="CE786" s="63" t="n">
        <f aca="false">IF(CE$35&gt;=$AC$784,CE$35-$AC$784+1,0)</f>
        <v>0</v>
      </c>
      <c r="CF786" s="63" t="n">
        <f aca="false">IF(CF$35&gt;=$AC$784,CF$35-$AC$784+1,0)</f>
        <v>0</v>
      </c>
      <c r="CG786" s="63" t="n">
        <f aca="false">IF(CG$35&gt;=$AC$784,CG$35-$AC$784+1,0)</f>
        <v>0</v>
      </c>
      <c r="CH786" s="63" t="n">
        <f aca="false">IF(CH$35&gt;=$AC$784,CH$35-$AC$784+1,0)</f>
        <v>0</v>
      </c>
      <c r="CI786" s="63" t="n">
        <f aca="false">IF(CI$35&gt;=$AC$784,CI$35-$AC$784+1,0)</f>
        <v>0</v>
      </c>
      <c r="CJ786" s="63" t="n">
        <f aca="false">IF(CJ$35&gt;=$AC$784,CJ$35-$AC$784+1,0)</f>
        <v>0</v>
      </c>
      <c r="CK786" s="63" t="n">
        <f aca="false">IF(CK$35&gt;=$AC$784,CK$35-$AC$784+1,0)</f>
        <v>0</v>
      </c>
      <c r="CL786" s="63" t="n">
        <f aca="false">IF(CL$35&gt;=$AC$784,CL$35-$AC$784+1,0)</f>
        <v>0</v>
      </c>
      <c r="CM786" s="63" t="n">
        <f aca="false">IF(CM$35&gt;=$AC$784,CM$35-$AC$784+1,0)</f>
        <v>0</v>
      </c>
      <c r="CN786" s="63" t="n">
        <f aca="false">IF(CN$35&gt;=$AC$784,CN$35-$AC$784+1,0)</f>
        <v>0</v>
      </c>
      <c r="CO786" s="63" t="n">
        <f aca="false">IF(CO$35&gt;=$AC$784,CO$35-$AC$784+1,0)</f>
        <v>0</v>
      </c>
      <c r="CP786" s="63" t="n">
        <f aca="false">IF(CP$35&gt;=$AC$784,CP$35-$AC$784+1,0)</f>
        <v>0</v>
      </c>
      <c r="CQ786" s="63" t="n">
        <f aca="false">IF(CQ$35&gt;=$AC$784,CQ$35-$AC$784+1,0)</f>
        <v>0</v>
      </c>
      <c r="CR786" s="63" t="n">
        <f aca="false">IF(CR$35&gt;=$AC$784,CR$35-$AC$784+1,0)</f>
        <v>0</v>
      </c>
      <c r="CS786" s="63" t="n">
        <f aca="false">IF(CS$35&gt;=$AC$784,CS$35-$AC$784+1,0)</f>
        <v>0</v>
      </c>
      <c r="CT786" s="63" t="n">
        <f aca="false">IF(CT$35&gt;=$AC$784,CT$35-$AC$784+1,0)</f>
        <v>0</v>
      </c>
      <c r="CU786" s="63" t="n">
        <f aca="false">IF(CU$35&gt;=$AC$784,CU$35-$AC$784+1,0)</f>
        <v>0</v>
      </c>
      <c r="CV786" s="63" t="n">
        <f aca="false">IF(CV$35&gt;=$AC$784,CV$35-$AC$784+1,0)</f>
        <v>0</v>
      </c>
      <c r="CW786" s="63" t="n">
        <f aca="false">IF(CW$35&gt;=$AC$784,CW$35-$AC$784+1,0)</f>
        <v>0</v>
      </c>
      <c r="CX786" s="63" t="n">
        <f aca="false">IF(CX$35&gt;=$AC$784,CX$35-$AC$784+1,0)</f>
        <v>0</v>
      </c>
      <c r="CY786" s="63" t="n">
        <f aca="false">IF(CY$35&gt;=$AC$784,CY$35-$AC$784+1,0)</f>
        <v>0</v>
      </c>
      <c r="CZ786" s="63" t="n">
        <f aca="false">IF(CZ$35&gt;=$AC$784,CZ$35-$AC$784+1,0)</f>
        <v>0</v>
      </c>
      <c r="DA786" s="63" t="n">
        <f aca="false">IF(DA$35&gt;=$AC$784,DA$35-$AC$784+1,0)</f>
        <v>0</v>
      </c>
      <c r="DB786" s="63" t="n">
        <f aca="false">IF(DB$35&gt;=$AC$784,DB$35-$AC$784+1,0)</f>
        <v>0</v>
      </c>
      <c r="DC786" s="63" t="n">
        <f aca="false">IF(DC$35&gt;=$AC$784,DC$35-$AC$784+1,0)</f>
        <v>0</v>
      </c>
      <c r="DD786" s="63" t="n">
        <f aca="false">IF(DD$35&gt;=$AC$784,DD$35-$AC$784+1,0)</f>
        <v>0</v>
      </c>
      <c r="DE786" s="63" t="n">
        <f aca="false">IF(DE$35&gt;=$AC$784,DE$35-$AC$784+1,0)</f>
        <v>0</v>
      </c>
      <c r="DF786" s="63" t="n">
        <f aca="false">IF(DF$35&gt;=$AC$784,DF$35-$AC$784+1,0)</f>
        <v>0</v>
      </c>
      <c r="DG786" s="63" t="n">
        <f aca="false">IF(DG$35&gt;=$AC$784,DG$35-$AC$784+1,0)</f>
        <v>0</v>
      </c>
      <c r="DH786" s="63" t="n">
        <f aca="false">IF(DH$35&gt;=$AC$784,DH$35-$AC$784+1,0)</f>
        <v>0</v>
      </c>
      <c r="DI786" s="63" t="n">
        <f aca="false">IF(DI$35&gt;=$AC$784,DI$35-$AC$784+1,0)</f>
        <v>0</v>
      </c>
      <c r="DJ786" s="63" t="n">
        <f aca="false">IF(DJ$35&gt;=$AC$784,DJ$35-$AC$784+1,0)</f>
        <v>0</v>
      </c>
      <c r="DK786" s="63" t="n">
        <f aca="false">IF(DK$35&gt;=$AC$784,DK$35-$AC$784+1,0)</f>
        <v>0</v>
      </c>
      <c r="DL786" s="63" t="n">
        <f aca="false">IF(DL$35&gt;=$AC$784,DL$35-$AC$784+1,0)</f>
        <v>0</v>
      </c>
      <c r="DM786" s="63" t="n">
        <f aca="false">IF(DM$35&gt;=$AC$784,DM$35-$AC$784+1,0)</f>
        <v>0</v>
      </c>
      <c r="DN786" s="63" t="n">
        <f aca="false">IF(DN$35&gt;=$AC$784,DN$35-$AC$784+1,0)</f>
        <v>0</v>
      </c>
      <c r="DO786" s="63" t="n">
        <f aca="false">IF(DO$35&gt;=$AC$784,DO$35-$AC$784+1,0)</f>
        <v>0</v>
      </c>
      <c r="DP786" s="63" t="n">
        <f aca="false">IF(DP$35&gt;=$AC$784,DP$35-$AC$784+1,0)</f>
        <v>0</v>
      </c>
      <c r="DQ786" s="63" t="n">
        <f aca="false">IF(DQ$35&gt;=$AC$784,DQ$35-$AC$784+1,0)</f>
        <v>0</v>
      </c>
      <c r="DR786" s="63" t="n">
        <f aca="false">IF(DR$35&gt;=$AC$784,DR$35-$AC$784+1,0)</f>
        <v>0</v>
      </c>
      <c r="DS786" s="63" t="n">
        <f aca="false">IF(DS$35&gt;=$AC$784,DS$35-$AC$784+1,0)</f>
        <v>0</v>
      </c>
      <c r="DT786" s="63" t="n">
        <f aca="false">IF(DT$35&gt;=$AC$784,DT$35-$AC$784+1,0)</f>
        <v>0</v>
      </c>
      <c r="DU786" s="63" t="n">
        <f aca="false">IF(DU$35&gt;=$AC$784,DU$35-$AC$784+1,0)</f>
        <v>0</v>
      </c>
      <c r="DV786" s="63" t="n">
        <f aca="false">IF(DV$35&gt;=$AC$784,DV$35-$AC$784+1,0)</f>
        <v>0</v>
      </c>
      <c r="DW786" s="63" t="n">
        <f aca="false">IF(DW$35&gt;=$AC$784,DW$35-$AC$784+1,0)</f>
        <v>0</v>
      </c>
      <c r="DX786" s="63" t="n">
        <f aca="false">IF(DX$35&gt;=$AC$784,DX$35-$AC$784+1,0)</f>
        <v>0</v>
      </c>
      <c r="DY786" s="63" t="n">
        <f aca="false">IF(DY$35&gt;=$AC$784,DY$35-$AC$784+1,0)</f>
        <v>0</v>
      </c>
      <c r="DZ786" s="63" t="n">
        <f aca="false">IF(DZ$35&gt;=$AC$784,DZ$35-$AC$784+1,0)</f>
        <v>0</v>
      </c>
      <c r="EA786" s="63" t="n">
        <f aca="false">IF(EA$35&gt;=$AC$784,EA$35-$AC$784+1,0)</f>
        <v>0</v>
      </c>
      <c r="EB786" s="63" t="n">
        <f aca="false">IF(EB$35&gt;=$AC$784,EB$35-$AC$784+1,0)</f>
        <v>0</v>
      </c>
      <c r="EC786" s="63" t="n">
        <f aca="false">IF(EC$35&gt;=$AC$784,EC$35-$AC$784+1,0)</f>
        <v>0</v>
      </c>
      <c r="ED786" s="63" t="n">
        <f aca="false">IF(ED$35&gt;=$AC$784,ED$35-$AC$784+1,0)</f>
        <v>0</v>
      </c>
      <c r="EE786" s="63" t="n">
        <f aca="false">IF(EE$35&gt;=$AC$784,EE$35-$AC$784+1,0)</f>
        <v>0</v>
      </c>
      <c r="EF786" s="63" t="n">
        <f aca="false">IF(EF$35&gt;=$AC$784,EF$35-$AC$784+1,0)</f>
        <v>0</v>
      </c>
      <c r="EG786" s="63" t="n">
        <f aca="false">IF(EG$35&gt;=$AC$784,EG$35-$AC$784+1,0)</f>
        <v>0</v>
      </c>
      <c r="EH786" s="63" t="n">
        <f aca="false">IF(EH$35&gt;=$AC$784,EH$35-$AC$784+1,0)</f>
        <v>0</v>
      </c>
      <c r="EI786" s="63" t="n">
        <f aca="false">IF(EI$35&gt;=$AC$784,EI$35-$AC$784+1,0)</f>
        <v>0</v>
      </c>
      <c r="EJ786" s="63" t="n">
        <f aca="false">IF(EJ$35&gt;=$AC$784,EJ$35-$AC$784+1,0)</f>
        <v>0</v>
      </c>
      <c r="EK786" s="63" t="n">
        <f aca="false">IF(EK$35&gt;=$AC$784,EK$35-$AC$784+1,0)</f>
        <v>0</v>
      </c>
      <c r="EL786" s="63" t="n">
        <f aca="false">IF(EL$35&gt;=$AC$784,EL$35-$AC$784+1,0)</f>
        <v>0</v>
      </c>
      <c r="EM786" s="63" t="n">
        <f aca="false">IF(EM$35&gt;=$AC$784,EM$35-$AC$784+1,0)</f>
        <v>0</v>
      </c>
      <c r="EN786" s="63" t="n">
        <f aca="false">IF(EN$35&gt;=$AC$784,EN$35-$AC$784+1,0)</f>
        <v>0</v>
      </c>
      <c r="EO786" s="63" t="n">
        <f aca="false">IF(EO$35&gt;=$AC$784,EO$35-$AC$784+1,0)</f>
        <v>0</v>
      </c>
      <c r="EP786" s="63" t="n">
        <f aca="false">IF(EP$35&gt;=$AC$784,EP$35-$AC$784+1,0)</f>
        <v>0</v>
      </c>
      <c r="EQ786" s="63" t="n">
        <f aca="false">IF(EQ$35&gt;=$AC$784,EQ$35-$AC$784+1,0)</f>
        <v>0</v>
      </c>
      <c r="ER786" s="63" t="n">
        <f aca="false">IF(ER$35&gt;=$AC$784,ER$35-$AC$784+1,0)</f>
        <v>0</v>
      </c>
      <c r="ES786" s="9" t="n">
        <f aca="false">IF(ES$35&gt;=$AC$784,ES$35-$AC$784+1,0)</f>
        <v>0</v>
      </c>
      <c r="ET786" s="9" t="n">
        <f aca="false">IF(ET$35&gt;=$AC$784,ET$35-$AC$784+1,0)</f>
        <v>0</v>
      </c>
      <c r="EU786" s="9" t="n">
        <f aca="false">IF(EU$35&gt;=$AC$784,EU$35-$AC$784+1,0)</f>
        <v>0</v>
      </c>
      <c r="EV786" s="9" t="n">
        <f aca="false">IF(EV$35&gt;=$AC$784,EV$35-$AC$784+1,0)</f>
        <v>0</v>
      </c>
      <c r="EW786" s="9" t="n">
        <f aca="false">IF(EW$35&gt;=$AC$784,EW$35-$AC$784+1,0)</f>
        <v>0</v>
      </c>
      <c r="EX786" s="9" t="n">
        <f aca="false">IF(EX$35&gt;=$AC$784,EX$35-$AC$784+1,0)</f>
        <v>0</v>
      </c>
      <c r="EY786" s="9" t="n">
        <f aca="false">IF(EY$35&gt;=$AC$784,EY$35-$AC$784+1,0)</f>
        <v>0</v>
      </c>
      <c r="EZ786" s="9" t="n">
        <f aca="false">IF(EZ$35&gt;=$AC$784,EZ$35-$AC$784+1,0)</f>
        <v>0</v>
      </c>
      <c r="FA786" s="9" t="n">
        <f aca="false">IF(FA$35&gt;=$AC$784,FA$35-$AC$784+1,0)</f>
        <v>0</v>
      </c>
      <c r="FB786" s="9" t="n">
        <f aca="false">IF(FB$35&gt;=$AC$784,FB$35-$AC$784+1,0)</f>
        <v>0</v>
      </c>
      <c r="FC786" s="9" t="n">
        <f aca="false">IF(FC$35&gt;=$AC$784,FC$35-$AC$784+1,0)</f>
        <v>1</v>
      </c>
      <c r="FD786" s="9" t="n">
        <f aca="false">IF(FD$35&gt;=$AC$784,FD$35-$AC$784+1,0)</f>
        <v>2</v>
      </c>
      <c r="FE786" s="9" t="n">
        <f aca="false">IF(FE$35&gt;=$AC$784,FE$35-$AC$784+1,0)</f>
        <v>3</v>
      </c>
      <c r="FF786" s="9" t="n">
        <f aca="false">IF(FF$35&gt;=$AC$784,FF$35-$AC$784+1,0)</f>
        <v>4</v>
      </c>
      <c r="FG786" s="9" t="n">
        <f aca="false">IF(FG$35&gt;=$AC$784,FG$35-$AC$784+1,0)</f>
        <v>5</v>
      </c>
      <c r="FH786" s="9" t="n">
        <f aca="false">IF(FH$35&gt;=$AC$784,FH$35-$AC$784+1,0)</f>
        <v>6</v>
      </c>
      <c r="FI786" s="9" t="n">
        <f aca="false">IF(FI$35&gt;=$AC$784,FI$35-$AC$784+1,0)</f>
        <v>7</v>
      </c>
      <c r="FJ786" s="9" t="n">
        <f aca="false">IF(FJ$35&gt;=$AC$784,FJ$35-$AC$784+1,0)</f>
        <v>8</v>
      </c>
      <c r="FK786" s="9" t="n">
        <f aca="false">IF(FK$35&gt;=$AC$784,FK$35-$AC$784+1,0)</f>
        <v>9</v>
      </c>
      <c r="FL786" s="9" t="n">
        <f aca="false">IF(FL$35&gt;=$AC$784,FL$35-$AC$784+1,0)</f>
        <v>10</v>
      </c>
      <c r="FM786" s="9" t="n">
        <f aca="false">IF(FM$35&gt;=$AC$784,FM$35-$AC$784+1,0)</f>
        <v>11</v>
      </c>
      <c r="FN786" s="9" t="n">
        <f aca="false">IF(FN$35&gt;=$AC$784,FN$35-$AC$784+1,0)</f>
        <v>12</v>
      </c>
      <c r="FO786" s="9" t="n">
        <f aca="false">IF(FO$35&gt;=$AC$784,FO$35-$AC$784+1,0)</f>
        <v>13</v>
      </c>
      <c r="FP786" s="9" t="n">
        <f aca="false">IF(FP$35&gt;=$AC$784,FP$35-$AC$784+1,0)</f>
        <v>14</v>
      </c>
    </row>
    <row r="787" customFormat="false" ht="15" hidden="false" customHeight="false" outlineLevel="2" collapsed="false">
      <c r="B787" s="9" t="s">
        <v>874</v>
      </c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236" t="n">
        <f aca="false" t="array" ref="AC787:AC787">IF(AC786=0,0,IF(AC786/'🎚️ Escenario'!$C$11&gt;=36,$AL$23,INDEX($C$23:$AL$23,MAX(1,ROUNDUP(AC786/'🎚️ Escenario'!$C$11,0)))))</f>
        <v>0</v>
      </c>
      <c r="AD787" s="236" t="n">
        <f aca="false" t="array" ref="AD787:AD787">IF(AD786=0,0,IF(AD786/'🎚️ Escenario'!$C$11&gt;=36,$AL$23,INDEX($C$23:$AL$23,MAX(1,ROUNDUP(AD786/'🎚️ Escenario'!$C$11,0)))))</f>
        <v>0</v>
      </c>
      <c r="AE787" s="236" t="n">
        <f aca="false" t="array" ref="AE787:AE787">IF(AE786=0,0,IF(AE786/'🎚️ Escenario'!$C$11&gt;=36,$AL$23,INDEX($C$23:$AL$23,MAX(1,ROUNDUP(AE786/'🎚️ Escenario'!$C$11,0)))))</f>
        <v>0</v>
      </c>
      <c r="AF787" s="236" t="n">
        <f aca="false" t="array" ref="AF787:AF787">IF(AF786=0,0,IF(AF786/'🎚️ Escenario'!$C$11&gt;=36,$AL$23,INDEX($C$23:$AL$23,MAX(1,ROUNDUP(AF786/'🎚️ Escenario'!$C$11,0)))))</f>
        <v>0</v>
      </c>
      <c r="AG787" s="236" t="n">
        <f aca="false" t="array" ref="AG787:AG787">IF(AG786=0,0,IF(AG786/'🎚️ Escenario'!$C$11&gt;=36,$AL$23,INDEX($C$23:$AL$23,MAX(1,ROUNDUP(AG786/'🎚️ Escenario'!$C$11,0)))))</f>
        <v>0</v>
      </c>
      <c r="AH787" s="236" t="n">
        <f aca="false" t="array" ref="AH787:AH787">IF(AH786=0,0,IF(AH786/'🎚️ Escenario'!$C$11&gt;=36,$AL$23,INDEX($C$23:$AL$23,MAX(1,ROUNDUP(AH786/'🎚️ Escenario'!$C$11,0)))))</f>
        <v>0</v>
      </c>
      <c r="AI787" s="236" t="n">
        <f aca="false" t="array" ref="AI787:AI787">IF(AI786=0,0,IF(AI786/'🎚️ Escenario'!$C$11&gt;=36,$AL$23,INDEX($C$23:$AL$23,MAX(1,ROUNDUP(AI786/'🎚️ Escenario'!$C$11,0)))))</f>
        <v>0</v>
      </c>
      <c r="AJ787" s="236" t="n">
        <f aca="false" t="array" ref="AJ787:AJ787">IF(AJ786=0,0,IF(AJ786/'🎚️ Escenario'!$C$11&gt;=36,$AL$23,INDEX($C$23:$AL$23,MAX(1,ROUNDUP(AJ786/'🎚️ Escenario'!$C$11,0)))))</f>
        <v>0</v>
      </c>
      <c r="AK787" s="236" t="n">
        <f aca="false" t="array" ref="AK787:AK787">IF(AK786=0,0,IF(AK786/'🎚️ Escenario'!$C$11&gt;=36,$AL$23,INDEX($C$23:$AL$23,MAX(1,ROUNDUP(AK786/'🎚️ Escenario'!$C$11,0)))))</f>
        <v>0</v>
      </c>
      <c r="AL787" s="236" t="n">
        <f aca="false" t="array" ref="AL787:AL787">IF(AL786=0,0,IF(AL786/'🎚️ Escenario'!$C$11&gt;=36,$AL$23,INDEX($C$23:$AL$23,MAX(1,ROUNDUP(AL786/'🎚️ Escenario'!$C$11,0)))))</f>
        <v>0</v>
      </c>
      <c r="AM787" s="236" t="n">
        <f aca="false" t="array" ref="AM787:AM787">IF(AM786=0,0,IF(AM786/'🎚️ Escenario'!$C$11&gt;=36,$AL$23,INDEX($C$23:$AL$23,MAX(1,ROUNDUP(AM786/'🎚️ Escenario'!$C$11,0)))))</f>
        <v>0</v>
      </c>
      <c r="AN787" s="236" t="n">
        <f aca="false" t="array" ref="AN787:AN787">IF(AN786=0,0,IF(AN786/'🎚️ Escenario'!$C$11&gt;=36,$AL$23,INDEX($C$23:$AL$23,MAX(1,ROUNDUP(AN786/'🎚️ Escenario'!$C$11,0)))))</f>
        <v>0</v>
      </c>
      <c r="AO787" s="236" t="n">
        <f aca="false" t="array" ref="AO787:AO787">IF(AO786=0,0,IF(AO786/'🎚️ Escenario'!$C$11&gt;=36,$AL$23,INDEX($C$23:$AL$23,MAX(1,ROUNDUP(AO786/'🎚️ Escenario'!$C$11,0)))))</f>
        <v>0</v>
      </c>
      <c r="AP787" s="236" t="n">
        <f aca="false" t="array" ref="AP787:AP787">IF(AP786=0,0,IF(AP786/'🎚️ Escenario'!$C$11&gt;=36,$AL$23,INDEX($C$23:$AL$23,MAX(1,ROUNDUP(AP786/'🎚️ Escenario'!$C$11,0)))))</f>
        <v>0</v>
      </c>
      <c r="AQ787" s="236" t="n">
        <f aca="false" t="array" ref="AQ787:AQ787">IF(AQ786=0,0,IF(AQ786/'🎚️ Escenario'!$C$11&gt;=36,$AL$23,INDEX($C$23:$AL$23,MAX(1,ROUNDUP(AQ786/'🎚️ Escenario'!$C$11,0)))))</f>
        <v>0</v>
      </c>
      <c r="AR787" s="236" t="n">
        <f aca="false" t="array" ref="AR787:AR787">IF(AR786=0,0,IF(AR786/'🎚️ Escenario'!$C$11&gt;=36,$AL$23,INDEX($C$23:$AL$23,MAX(1,ROUNDUP(AR786/'🎚️ Escenario'!$C$11,0)))))</f>
        <v>0</v>
      </c>
      <c r="AS787" s="236" t="n">
        <f aca="false" t="array" ref="AS787:AS787">IF(AS786=0,0,IF(AS786/'🎚️ Escenario'!$C$11&gt;=36,$AL$23,INDEX($C$23:$AL$23,MAX(1,ROUNDUP(AS786/'🎚️ Escenario'!$C$11,0)))))</f>
        <v>0</v>
      </c>
      <c r="AT787" s="236" t="n">
        <f aca="false" t="array" ref="AT787:AT787">IF(AT786=0,0,IF(AT786/'🎚️ Escenario'!$C$11&gt;=36,$AL$23,INDEX($C$23:$AL$23,MAX(1,ROUNDUP(AT786/'🎚️ Escenario'!$C$11,0)))))</f>
        <v>0</v>
      </c>
      <c r="AU787" s="236" t="n">
        <f aca="false" t="array" ref="AU787:AU787">IF(AU786=0,0,IF(AU786/'🎚️ Escenario'!$C$11&gt;=36,$AL$23,INDEX($C$23:$AL$23,MAX(1,ROUNDUP(AU786/'🎚️ Escenario'!$C$11,0)))))</f>
        <v>0</v>
      </c>
      <c r="AV787" s="236" t="n">
        <f aca="false" t="array" ref="AV787:AV787">IF(AV786=0,0,IF(AV786/'🎚️ Escenario'!$C$11&gt;=36,$AL$23,INDEX($C$23:$AL$23,MAX(1,ROUNDUP(AV786/'🎚️ Escenario'!$C$11,0)))))</f>
        <v>0</v>
      </c>
      <c r="AW787" s="236" t="n">
        <f aca="false" t="array" ref="AW787:AW787">IF(AW786=0,0,IF(AW786/'🎚️ Escenario'!$C$11&gt;=36,$AL$23,INDEX($C$23:$AL$23,MAX(1,ROUNDUP(AW786/'🎚️ Escenario'!$C$11,0)))))</f>
        <v>0</v>
      </c>
      <c r="AX787" s="236" t="n">
        <f aca="false" t="array" ref="AX787:AX787">IF(AX786=0,0,IF(AX786/'🎚️ Escenario'!$C$11&gt;=36,$AL$23,INDEX($C$23:$AL$23,MAX(1,ROUNDUP(AX786/'🎚️ Escenario'!$C$11,0)))))</f>
        <v>0</v>
      </c>
      <c r="AY787" s="236" t="n">
        <f aca="false" t="array" ref="AY787:AY787">IF(AY786=0,0,IF(AY786/'🎚️ Escenario'!$C$11&gt;=36,$AL$23,INDEX($C$23:$AL$23,MAX(1,ROUNDUP(AY786/'🎚️ Escenario'!$C$11,0)))))</f>
        <v>0</v>
      </c>
      <c r="AZ787" s="236" t="n">
        <f aca="false" t="array" ref="AZ787:AZ787">IF(AZ786=0,0,IF(AZ786/'🎚️ Escenario'!$C$11&gt;=36,$AL$23,INDEX($C$23:$AL$23,MAX(1,ROUNDUP(AZ786/'🎚️ Escenario'!$C$11,0)))))</f>
        <v>0</v>
      </c>
      <c r="BA787" s="236" t="n">
        <f aca="false" t="array" ref="BA787:BA787">IF(BA786=0,0,IF(BA786/'🎚️ Escenario'!$C$11&gt;=36,$AL$23,INDEX($C$23:$AL$23,MAX(1,ROUNDUP(BA786/'🎚️ Escenario'!$C$11,0)))))</f>
        <v>0</v>
      </c>
      <c r="BB787" s="236" t="n">
        <f aca="false" t="array" ref="BB787:BB787">IF(BB786=0,0,IF(BB786/'🎚️ Escenario'!$C$11&gt;=36,$AL$23,INDEX($C$23:$AL$23,MAX(1,ROUNDUP(BB786/'🎚️ Escenario'!$C$11,0)))))</f>
        <v>0</v>
      </c>
      <c r="BC787" s="236" t="n">
        <f aca="false" t="array" ref="BC787:BC787">IF(BC786=0,0,IF(BC786/'🎚️ Escenario'!$C$11&gt;=36,$AL$23,INDEX($C$23:$AL$23,MAX(1,ROUNDUP(BC786/'🎚️ Escenario'!$C$11,0)))))</f>
        <v>0</v>
      </c>
      <c r="BD787" s="236" t="n">
        <f aca="false" t="array" ref="BD787:BD787">IF(BD786=0,0,IF(BD786/'🎚️ Escenario'!$C$11&gt;=36,$AL$23,INDEX($C$23:$AL$23,MAX(1,ROUNDUP(BD786/'🎚️ Escenario'!$C$11,0)))))</f>
        <v>0</v>
      </c>
      <c r="BE787" s="236" t="n">
        <f aca="false" t="array" ref="BE787:BE787">IF(BE786=0,0,IF(BE786/'🎚️ Escenario'!$C$11&gt;=36,$AL$23,INDEX($C$23:$AL$23,MAX(1,ROUNDUP(BE786/'🎚️ Escenario'!$C$11,0)))))</f>
        <v>0</v>
      </c>
      <c r="BF787" s="236" t="n">
        <f aca="false" t="array" ref="BF787:BF787">IF(BF786=0,0,IF(BF786/'🎚️ Escenario'!$C$11&gt;=36,$AL$23,INDEX($C$23:$AL$23,MAX(1,ROUNDUP(BF786/'🎚️ Escenario'!$C$11,0)))))</f>
        <v>0</v>
      </c>
      <c r="BG787" s="236" t="n">
        <f aca="false" t="array" ref="BG787:BG787">IF(BG786=0,0,IF(BG786/'🎚️ Escenario'!$C$11&gt;=36,$AL$23,INDEX($C$23:$AL$23,MAX(1,ROUNDUP(BG786/'🎚️ Escenario'!$C$11,0)))))</f>
        <v>0</v>
      </c>
      <c r="BH787" s="236" t="n">
        <f aca="false" t="array" ref="BH787:BH787">IF(BH786=0,0,IF(BH786/'🎚️ Escenario'!$C$11&gt;=36,$AL$23,INDEX($C$23:$AL$23,MAX(1,ROUNDUP(BH786/'🎚️ Escenario'!$C$11,0)))))</f>
        <v>0</v>
      </c>
      <c r="BI787" s="236" t="n">
        <f aca="false" t="array" ref="BI787:BI787">IF(BI786=0,0,IF(BI786/'🎚️ Escenario'!$C$11&gt;=36,$AL$23,INDEX($C$23:$AL$23,MAX(1,ROUNDUP(BI786/'🎚️ Escenario'!$C$11,0)))))</f>
        <v>0</v>
      </c>
      <c r="BJ787" s="236" t="n">
        <f aca="false" t="array" ref="BJ787:BJ787">IF(BJ786=0,0,IF(BJ786/'🎚️ Escenario'!$C$11&gt;=36,$AL$23,INDEX($C$23:$AL$23,MAX(1,ROUNDUP(BJ786/'🎚️ Escenario'!$C$11,0)))))</f>
        <v>0</v>
      </c>
      <c r="BK787" s="236" t="n">
        <f aca="false" t="array" ref="BK787:BK787">IF(BK786=0,0,IF(BK786/'🎚️ Escenario'!$C$11&gt;=36,$AL$23,INDEX($C$23:$AL$23,MAX(1,ROUNDUP(BK786/'🎚️ Escenario'!$C$11,0)))))</f>
        <v>0</v>
      </c>
      <c r="BL787" s="236" t="n">
        <f aca="false" t="array" ref="BL787:BL787">IF(BL786=0,0,IF(BL786/'🎚️ Escenario'!$C$11&gt;=36,$AL$23,INDEX($C$23:$AL$23,MAX(1,ROUNDUP(BL786/'🎚️ Escenario'!$C$11,0)))))</f>
        <v>0</v>
      </c>
      <c r="BM787" s="236" t="n">
        <f aca="false" t="array" ref="BM787:BM787">IF(BM786=0,0,IF(BM786/'🎚️ Escenario'!$C$11&gt;=36,$AL$23,INDEX($C$23:$AL$23,MAX(1,ROUNDUP(BM786/'🎚️ Escenario'!$C$11,0)))))</f>
        <v>0</v>
      </c>
      <c r="BN787" s="236" t="n">
        <f aca="false" t="array" ref="BN787:BN787">IF(BN786=0,0,IF(BN786/'🎚️ Escenario'!$C$11&gt;=36,$AL$23,INDEX($C$23:$AL$23,MAX(1,ROUNDUP(BN786/'🎚️ Escenario'!$C$11,0)))))</f>
        <v>0</v>
      </c>
      <c r="BO787" s="236" t="n">
        <f aca="false" t="array" ref="BO787:BO787">IF(BO786=0,0,IF(BO786/'🎚️ Escenario'!$C$11&gt;=36,$AL$23,INDEX($C$23:$AL$23,MAX(1,ROUNDUP(BO786/'🎚️ Escenario'!$C$11,0)))))</f>
        <v>0</v>
      </c>
      <c r="BP787" s="236" t="n">
        <f aca="false" t="array" ref="BP787:BP787">IF(BP786=0,0,IF(BP786/'🎚️ Escenario'!$C$11&gt;=36,$AL$23,INDEX($C$23:$AL$23,MAX(1,ROUNDUP(BP786/'🎚️ Escenario'!$C$11,0)))))</f>
        <v>0</v>
      </c>
      <c r="BQ787" s="236" t="n">
        <f aca="false" t="array" ref="BQ787:BQ787">IF(BQ786=0,0,IF(BQ786/'🎚️ Escenario'!$C$11&gt;=36,$AL$23,INDEX($C$23:$AL$23,MAX(1,ROUNDUP(BQ786/'🎚️ Escenario'!$C$11,0)))))</f>
        <v>0</v>
      </c>
      <c r="BR787" s="236" t="n">
        <f aca="false" t="array" ref="BR787:BR787">IF(BR786=0,0,IF(BR786/'🎚️ Escenario'!$C$11&gt;=36,$AL$23,INDEX($C$23:$AL$23,MAX(1,ROUNDUP(BR786/'🎚️ Escenario'!$C$11,0)))))</f>
        <v>0</v>
      </c>
      <c r="BS787" s="236" t="n">
        <f aca="false" t="array" ref="BS787:BS787">IF(BS786=0,0,IF(BS786/'🎚️ Escenario'!$C$11&gt;=36,$AL$23,INDEX($C$23:$AL$23,MAX(1,ROUNDUP(BS786/'🎚️ Escenario'!$C$11,0)))))</f>
        <v>0</v>
      </c>
      <c r="BT787" s="236" t="n">
        <f aca="false" t="array" ref="BT787:BT787">IF(BT786=0,0,IF(BT786/'🎚️ Escenario'!$C$11&gt;=36,$AL$23,INDEX($C$23:$AL$23,MAX(1,ROUNDUP(BT786/'🎚️ Escenario'!$C$11,0)))))</f>
        <v>0</v>
      </c>
      <c r="BU787" s="236" t="n">
        <f aca="false" t="array" ref="BU787:BU787">IF(BU786=0,0,IF(BU786/'🎚️ Escenario'!$C$11&gt;=36,$AL$23,INDEX($C$23:$AL$23,MAX(1,ROUNDUP(BU786/'🎚️ Escenario'!$C$11,0)))))</f>
        <v>0</v>
      </c>
      <c r="BV787" s="236" t="n">
        <f aca="false" t="array" ref="BV787:BV787">IF(BV786=0,0,IF(BV786/'🎚️ Escenario'!$C$11&gt;=36,$AL$23,INDEX($C$23:$AL$23,MAX(1,ROUNDUP(BV786/'🎚️ Escenario'!$C$11,0)))))</f>
        <v>0</v>
      </c>
      <c r="BW787" s="236" t="n">
        <f aca="false" t="array" ref="BW787:BW787">IF(BW786=0,0,IF(BW786/'🎚️ Escenario'!$C$11&gt;=36,$AL$23,INDEX($C$23:$AL$23,MAX(1,ROUNDUP(BW786/'🎚️ Escenario'!$C$11,0)))))</f>
        <v>0</v>
      </c>
      <c r="BX787" s="236" t="n">
        <f aca="false" t="array" ref="BX787:BX787">IF(BX786=0,0,IF(BX786/'🎚️ Escenario'!$C$11&gt;=36,$AL$23,INDEX($C$23:$AL$23,MAX(1,ROUNDUP(BX786/'🎚️ Escenario'!$C$11,0)))))</f>
        <v>0</v>
      </c>
      <c r="BY787" s="236" t="n">
        <f aca="false" t="array" ref="BY787:BY787">IF(BY786=0,0,IF(BY786/'🎚️ Escenario'!$C$11&gt;=36,$AL$23,INDEX($C$23:$AL$23,MAX(1,ROUNDUP(BY786/'🎚️ Escenario'!$C$11,0)))))</f>
        <v>0</v>
      </c>
      <c r="BZ787" s="236" t="n">
        <f aca="false" t="array" ref="BZ787:BZ787">IF(BZ786=0,0,IF(BZ786/'🎚️ Escenario'!$C$11&gt;=36,$AL$23,INDEX($C$23:$AL$23,MAX(1,ROUNDUP(BZ786/'🎚️ Escenario'!$C$11,0)))))</f>
        <v>0</v>
      </c>
      <c r="CA787" s="236" t="n">
        <f aca="false" t="array" ref="CA787:CA787">IF(CA786=0,0,IF(CA786/'🎚️ Escenario'!$C$11&gt;=36,$AL$23,INDEX($C$23:$AL$23,MAX(1,ROUNDUP(CA786/'🎚️ Escenario'!$C$11,0)))))</f>
        <v>0</v>
      </c>
      <c r="CB787" s="236" t="n">
        <f aca="false" t="array" ref="CB787:CB787">IF(CB786=0,0,IF(CB786/'🎚️ Escenario'!$C$11&gt;=36,$AL$23,INDEX($C$23:$AL$23,MAX(1,ROUNDUP(CB786/'🎚️ Escenario'!$C$11,0)))))</f>
        <v>0</v>
      </c>
      <c r="CC787" s="236" t="n">
        <f aca="false" t="array" ref="CC787:CC787">IF(CC786=0,0,IF(CC786/'🎚️ Escenario'!$C$11&gt;=36,$AL$23,INDEX($C$23:$AL$23,MAX(1,ROUNDUP(CC786/'🎚️ Escenario'!$C$11,0)))))</f>
        <v>0</v>
      </c>
      <c r="CD787" s="236" t="n">
        <f aca="false" t="array" ref="CD787:CD787">IF(CD786=0,0,IF(CD786/'🎚️ Escenario'!$C$11&gt;=36,$AL$23,INDEX($C$23:$AL$23,MAX(1,ROUNDUP(CD786/'🎚️ Escenario'!$C$11,0)))))</f>
        <v>0</v>
      </c>
      <c r="CE787" s="236" t="n">
        <f aca="false" t="array" ref="CE787:CE787">IF(CE786=0,0,IF(CE786/'🎚️ Escenario'!$C$11&gt;=36,$AL$23,INDEX($C$23:$AL$23,MAX(1,ROUNDUP(CE786/'🎚️ Escenario'!$C$11,0)))))</f>
        <v>0</v>
      </c>
      <c r="CF787" s="236" t="n">
        <f aca="false" t="array" ref="CF787:CF787">IF(CF786=0,0,IF(CF786/'🎚️ Escenario'!$C$11&gt;=36,$AL$23,INDEX($C$23:$AL$23,MAX(1,ROUNDUP(CF786/'🎚️ Escenario'!$C$11,0)))))</f>
        <v>0</v>
      </c>
      <c r="CG787" s="236" t="n">
        <f aca="false" t="array" ref="CG787:CG787">IF(CG786=0,0,IF(CG786/'🎚️ Escenario'!$C$11&gt;=36,$AL$23,INDEX($C$23:$AL$23,MAX(1,ROUNDUP(CG786/'🎚️ Escenario'!$C$11,0)))))</f>
        <v>0</v>
      </c>
      <c r="CH787" s="236" t="n">
        <f aca="false" t="array" ref="CH787:CH787">IF(CH786=0,0,IF(CH786/'🎚️ Escenario'!$C$11&gt;=36,$AL$23,INDEX($C$23:$AL$23,MAX(1,ROUNDUP(CH786/'🎚️ Escenario'!$C$11,0)))))</f>
        <v>0</v>
      </c>
      <c r="CI787" s="236" t="n">
        <f aca="false" t="array" ref="CI787:CI787">IF(CI786=0,0,IF(CI786/'🎚️ Escenario'!$C$11&gt;=36,$AL$23,INDEX($C$23:$AL$23,MAX(1,ROUNDUP(CI786/'🎚️ Escenario'!$C$11,0)))))</f>
        <v>0</v>
      </c>
      <c r="CJ787" s="236" t="n">
        <f aca="false" t="array" ref="CJ787:CJ787">IF(CJ786=0,0,IF(CJ786/'🎚️ Escenario'!$C$11&gt;=36,$AL$23,INDEX($C$23:$AL$23,MAX(1,ROUNDUP(CJ786/'🎚️ Escenario'!$C$11,0)))))</f>
        <v>0</v>
      </c>
      <c r="CK787" s="236" t="n">
        <f aca="false" t="array" ref="CK787:CK787">IF(CK786=0,0,IF(CK786/'🎚️ Escenario'!$C$11&gt;=36,$AL$23,INDEX($C$23:$AL$23,MAX(1,ROUNDUP(CK786/'🎚️ Escenario'!$C$11,0)))))</f>
        <v>0</v>
      </c>
      <c r="CL787" s="236" t="n">
        <f aca="false" t="array" ref="CL787:CL787">IF(CL786=0,0,IF(CL786/'🎚️ Escenario'!$C$11&gt;=36,$AL$23,INDEX($C$23:$AL$23,MAX(1,ROUNDUP(CL786/'🎚️ Escenario'!$C$11,0)))))</f>
        <v>0</v>
      </c>
      <c r="CM787" s="236" t="n">
        <f aca="false" t="array" ref="CM787:CM787">IF(CM786=0,0,IF(CM786/'🎚️ Escenario'!$C$11&gt;=36,$AL$23,INDEX($C$23:$AL$23,MAX(1,ROUNDUP(CM786/'🎚️ Escenario'!$C$11,0)))))</f>
        <v>0</v>
      </c>
      <c r="CN787" s="236" t="n">
        <f aca="false" t="array" ref="CN787:CN787">IF(CN786=0,0,IF(CN786/'🎚️ Escenario'!$C$11&gt;=36,$AL$23,INDEX($C$23:$AL$23,MAX(1,ROUNDUP(CN786/'🎚️ Escenario'!$C$11,0)))))</f>
        <v>0</v>
      </c>
      <c r="CO787" s="236" t="n">
        <f aca="false" t="array" ref="CO787:CO787">IF(CO786=0,0,IF(CO786/'🎚️ Escenario'!$C$11&gt;=36,$AL$23,INDEX($C$23:$AL$23,MAX(1,ROUNDUP(CO786/'🎚️ Escenario'!$C$11,0)))))</f>
        <v>0</v>
      </c>
      <c r="CP787" s="236" t="n">
        <f aca="false" t="array" ref="CP787:CP787">IF(CP786=0,0,IF(CP786/'🎚️ Escenario'!$C$11&gt;=36,$AL$23,INDEX($C$23:$AL$23,MAX(1,ROUNDUP(CP786/'🎚️ Escenario'!$C$11,0)))))</f>
        <v>0</v>
      </c>
      <c r="CQ787" s="236" t="n">
        <f aca="false" t="array" ref="CQ787:CQ787">IF(CQ786=0,0,IF(CQ786/'🎚️ Escenario'!$C$11&gt;=36,$AL$23,INDEX($C$23:$AL$23,MAX(1,ROUNDUP(CQ786/'🎚️ Escenario'!$C$11,0)))))</f>
        <v>0</v>
      </c>
      <c r="CR787" s="236" t="n">
        <f aca="false" t="array" ref="CR787:CR787">IF(CR786=0,0,IF(CR786/'🎚️ Escenario'!$C$11&gt;=36,$AL$23,INDEX($C$23:$AL$23,MAX(1,ROUNDUP(CR786/'🎚️ Escenario'!$C$11,0)))))</f>
        <v>0</v>
      </c>
      <c r="CS787" s="236" t="n">
        <f aca="false" t="array" ref="CS787:CS787">IF(CS786=0,0,IF(CS786/'🎚️ Escenario'!$C$11&gt;=36,$AL$23,INDEX($C$23:$AL$23,MAX(1,ROUNDUP(CS786/'🎚️ Escenario'!$C$11,0)))))</f>
        <v>0</v>
      </c>
      <c r="CT787" s="236" t="n">
        <f aca="false" t="array" ref="CT787:CT787">IF(CT786=0,0,IF(CT786/'🎚️ Escenario'!$C$11&gt;=36,$AL$23,INDEX($C$23:$AL$23,MAX(1,ROUNDUP(CT786/'🎚️ Escenario'!$C$11,0)))))</f>
        <v>0</v>
      </c>
      <c r="CU787" s="236" t="n">
        <f aca="false" t="array" ref="CU787:CU787">IF(CU786=0,0,IF(CU786/'🎚️ Escenario'!$C$11&gt;=36,$AL$23,INDEX($C$23:$AL$23,MAX(1,ROUNDUP(CU786/'🎚️ Escenario'!$C$11,0)))))</f>
        <v>0</v>
      </c>
      <c r="CV787" s="236" t="n">
        <f aca="false" t="array" ref="CV787:CV787">IF(CV786=0,0,IF(CV786/'🎚️ Escenario'!$C$11&gt;=36,$AL$23,INDEX($C$23:$AL$23,MAX(1,ROUNDUP(CV786/'🎚️ Escenario'!$C$11,0)))))</f>
        <v>0</v>
      </c>
      <c r="CW787" s="236" t="n">
        <f aca="false" t="array" ref="CW787:CW787">IF(CW786=0,0,IF(CW786/'🎚️ Escenario'!$C$11&gt;=36,$AL$23,INDEX($C$23:$AL$23,MAX(1,ROUNDUP(CW786/'🎚️ Escenario'!$C$11,0)))))</f>
        <v>0</v>
      </c>
      <c r="CX787" s="236" t="n">
        <f aca="false" t="array" ref="CX787:CX787">IF(CX786=0,0,IF(CX786/'🎚️ Escenario'!$C$11&gt;=36,$AL$23,INDEX($C$23:$AL$23,MAX(1,ROUNDUP(CX786/'🎚️ Escenario'!$C$11,0)))))</f>
        <v>0</v>
      </c>
      <c r="CY787" s="236" t="n">
        <f aca="false" t="array" ref="CY787:CY787">IF(CY786=0,0,IF(CY786/'🎚️ Escenario'!$C$11&gt;=36,$AL$23,INDEX($C$23:$AL$23,MAX(1,ROUNDUP(CY786/'🎚️ Escenario'!$C$11,0)))))</f>
        <v>0</v>
      </c>
      <c r="CZ787" s="236" t="n">
        <f aca="false" t="array" ref="CZ787:CZ787">IF(CZ786=0,0,IF(CZ786/'🎚️ Escenario'!$C$11&gt;=36,$AL$23,INDEX($C$23:$AL$23,MAX(1,ROUNDUP(CZ786/'🎚️ Escenario'!$C$11,0)))))</f>
        <v>0</v>
      </c>
      <c r="DA787" s="236" t="n">
        <f aca="false" t="array" ref="DA787:DA787">IF(DA786=0,0,IF(DA786/'🎚️ Escenario'!$C$11&gt;=36,$AL$23,INDEX($C$23:$AL$23,MAX(1,ROUNDUP(DA786/'🎚️ Escenario'!$C$11,0)))))</f>
        <v>0</v>
      </c>
      <c r="DB787" s="236" t="n">
        <f aca="false" t="array" ref="DB787:DB787">IF(DB786=0,0,IF(DB786/'🎚️ Escenario'!$C$11&gt;=36,$AL$23,INDEX($C$23:$AL$23,MAX(1,ROUNDUP(DB786/'🎚️ Escenario'!$C$11,0)))))</f>
        <v>0</v>
      </c>
      <c r="DC787" s="236" t="n">
        <f aca="false" t="array" ref="DC787:DC787">IF(DC786=0,0,IF(DC786/'🎚️ Escenario'!$C$11&gt;=36,$AL$23,INDEX($C$23:$AL$23,MAX(1,ROUNDUP(DC786/'🎚️ Escenario'!$C$11,0)))))</f>
        <v>0</v>
      </c>
      <c r="DD787" s="236" t="n">
        <f aca="false" t="array" ref="DD787:DD787">IF(DD786=0,0,IF(DD786/'🎚️ Escenario'!$C$11&gt;=36,$AL$23,INDEX($C$23:$AL$23,MAX(1,ROUNDUP(DD786/'🎚️ Escenario'!$C$11,0)))))</f>
        <v>0</v>
      </c>
      <c r="DE787" s="236" t="n">
        <f aca="false" t="array" ref="DE787:DE787">IF(DE786=0,0,IF(DE786/'🎚️ Escenario'!$C$11&gt;=36,$AL$23,INDEX($C$23:$AL$23,MAX(1,ROUNDUP(DE786/'🎚️ Escenario'!$C$11,0)))))</f>
        <v>0</v>
      </c>
      <c r="DF787" s="236" t="n">
        <f aca="false" t="array" ref="DF787:DF787">IF(DF786=0,0,IF(DF786/'🎚️ Escenario'!$C$11&gt;=36,$AL$23,INDEX($C$23:$AL$23,MAX(1,ROUNDUP(DF786/'🎚️ Escenario'!$C$11,0)))))</f>
        <v>0</v>
      </c>
      <c r="DG787" s="236" t="n">
        <f aca="false" t="array" ref="DG787:DG787">IF(DG786=0,0,IF(DG786/'🎚️ Escenario'!$C$11&gt;=36,$AL$23,INDEX($C$23:$AL$23,MAX(1,ROUNDUP(DG786/'🎚️ Escenario'!$C$11,0)))))</f>
        <v>0</v>
      </c>
      <c r="DH787" s="236" t="n">
        <f aca="false" t="array" ref="DH787:DH787">IF(DH786=0,0,IF(DH786/'🎚️ Escenario'!$C$11&gt;=36,$AL$23,INDEX($C$23:$AL$23,MAX(1,ROUNDUP(DH786/'🎚️ Escenario'!$C$11,0)))))</f>
        <v>0</v>
      </c>
      <c r="DI787" s="236" t="n">
        <f aca="false" t="array" ref="DI787:DI787">IF(DI786=0,0,IF(DI786/'🎚️ Escenario'!$C$11&gt;=36,$AL$23,INDEX($C$23:$AL$23,MAX(1,ROUNDUP(DI786/'🎚️ Escenario'!$C$11,0)))))</f>
        <v>0</v>
      </c>
      <c r="DJ787" s="236" t="n">
        <f aca="false" t="array" ref="DJ787:DJ787">IF(DJ786=0,0,IF(DJ786/'🎚️ Escenario'!$C$11&gt;=36,$AL$23,INDEX($C$23:$AL$23,MAX(1,ROUNDUP(DJ786/'🎚️ Escenario'!$C$11,0)))))</f>
        <v>0</v>
      </c>
      <c r="DK787" s="236" t="n">
        <f aca="false" t="array" ref="DK787:DK787">IF(DK786=0,0,IF(DK786/'🎚️ Escenario'!$C$11&gt;=36,$AL$23,INDEX($C$23:$AL$23,MAX(1,ROUNDUP(DK786/'🎚️ Escenario'!$C$11,0)))))</f>
        <v>0</v>
      </c>
      <c r="DL787" s="236" t="n">
        <f aca="false" t="array" ref="DL787:DL787">IF(DL786=0,0,IF(DL786/'🎚️ Escenario'!$C$11&gt;=36,$AL$23,INDEX($C$23:$AL$23,MAX(1,ROUNDUP(DL786/'🎚️ Escenario'!$C$11,0)))))</f>
        <v>0</v>
      </c>
      <c r="DM787" s="236" t="n">
        <f aca="false" t="array" ref="DM787:DM787">IF(DM786=0,0,IF(DM786/'🎚️ Escenario'!$C$11&gt;=36,$AL$23,INDEX($C$23:$AL$23,MAX(1,ROUNDUP(DM786/'🎚️ Escenario'!$C$11,0)))))</f>
        <v>0</v>
      </c>
      <c r="DN787" s="236" t="n">
        <f aca="false" t="array" ref="DN787:DN787">IF(DN786=0,0,IF(DN786/'🎚️ Escenario'!$C$11&gt;=36,$AL$23,INDEX($C$23:$AL$23,MAX(1,ROUNDUP(DN786/'🎚️ Escenario'!$C$11,0)))))</f>
        <v>0</v>
      </c>
      <c r="DO787" s="236" t="n">
        <f aca="false" t="array" ref="DO787:DO787">IF(DO786=0,0,IF(DO786/'🎚️ Escenario'!$C$11&gt;=36,$AL$23,INDEX($C$23:$AL$23,MAX(1,ROUNDUP(DO786/'🎚️ Escenario'!$C$11,0)))))</f>
        <v>0</v>
      </c>
      <c r="DP787" s="236" t="n">
        <f aca="false" t="array" ref="DP787:DP787">IF(DP786=0,0,IF(DP786/'🎚️ Escenario'!$C$11&gt;=36,$AL$23,INDEX($C$23:$AL$23,MAX(1,ROUNDUP(DP786/'🎚️ Escenario'!$C$11,0)))))</f>
        <v>0</v>
      </c>
      <c r="DQ787" s="236" t="n">
        <f aca="false" t="array" ref="DQ787:DQ787">IF(DQ786=0,0,IF(DQ786/'🎚️ Escenario'!$C$11&gt;=36,$AL$23,INDEX($C$23:$AL$23,MAX(1,ROUNDUP(DQ786/'🎚️ Escenario'!$C$11,0)))))</f>
        <v>0</v>
      </c>
      <c r="DR787" s="236" t="n">
        <f aca="false" t="array" ref="DR787:DR787">IF(DR786=0,0,IF(DR786/'🎚️ Escenario'!$C$11&gt;=36,$AL$23,INDEX($C$23:$AL$23,MAX(1,ROUNDUP(DR786/'🎚️ Escenario'!$C$11,0)))))</f>
        <v>0</v>
      </c>
      <c r="DS787" s="236" t="n">
        <f aca="false" t="array" ref="DS787:DS787">IF(DS786=0,0,IF(DS786/'🎚️ Escenario'!$C$11&gt;=36,$AL$23,INDEX($C$23:$AL$23,MAX(1,ROUNDUP(DS786/'🎚️ Escenario'!$C$11,0)))))</f>
        <v>0</v>
      </c>
      <c r="DT787" s="236" t="n">
        <f aca="false" t="array" ref="DT787:DT787">IF(DT786=0,0,IF(DT786/'🎚️ Escenario'!$C$11&gt;=36,$AL$23,INDEX($C$23:$AL$23,MAX(1,ROUNDUP(DT786/'🎚️ Escenario'!$C$11,0)))))</f>
        <v>0</v>
      </c>
      <c r="DU787" s="236" t="n">
        <f aca="false" t="array" ref="DU787:DU787">IF(DU786=0,0,IF(DU786/'🎚️ Escenario'!$C$11&gt;=36,$AL$23,INDEX($C$23:$AL$23,MAX(1,ROUNDUP(DU786/'🎚️ Escenario'!$C$11,0)))))</f>
        <v>0</v>
      </c>
      <c r="DV787" s="236" t="n">
        <f aca="false" t="array" ref="DV787:DV787">IF(DV786=0,0,IF(DV786/'🎚️ Escenario'!$C$11&gt;=36,$AL$23,INDEX($C$23:$AL$23,MAX(1,ROUNDUP(DV786/'🎚️ Escenario'!$C$11,0)))))</f>
        <v>0</v>
      </c>
      <c r="DW787" s="236" t="n">
        <f aca="false" t="array" ref="DW787:DW787">IF(DW786=0,0,IF(DW786/'🎚️ Escenario'!$C$11&gt;=36,$AL$23,INDEX($C$23:$AL$23,MAX(1,ROUNDUP(DW786/'🎚️ Escenario'!$C$11,0)))))</f>
        <v>0</v>
      </c>
      <c r="DX787" s="236" t="n">
        <f aca="false" t="array" ref="DX787:DX787">IF(DX786=0,0,IF(DX786/'🎚️ Escenario'!$C$11&gt;=36,$AL$23,INDEX($C$23:$AL$23,MAX(1,ROUNDUP(DX786/'🎚️ Escenario'!$C$11,0)))))</f>
        <v>0</v>
      </c>
      <c r="DY787" s="236" t="n">
        <f aca="false" t="array" ref="DY787:DY787">IF(DY786=0,0,IF(DY786/'🎚️ Escenario'!$C$11&gt;=36,$AL$23,INDEX($C$23:$AL$23,MAX(1,ROUNDUP(DY786/'🎚️ Escenario'!$C$11,0)))))</f>
        <v>0</v>
      </c>
      <c r="DZ787" s="236" t="n">
        <f aca="false" t="array" ref="DZ787:DZ787">IF(DZ786=0,0,IF(DZ786/'🎚️ Escenario'!$C$11&gt;=36,$AL$23,INDEX($C$23:$AL$23,MAX(1,ROUNDUP(DZ786/'🎚️ Escenario'!$C$11,0)))))</f>
        <v>0</v>
      </c>
      <c r="EA787" s="236" t="n">
        <f aca="false" t="array" ref="EA787:EA787">IF(EA786=0,0,IF(EA786/'🎚️ Escenario'!$C$11&gt;=36,$AL$23,INDEX($C$23:$AL$23,MAX(1,ROUNDUP(EA786/'🎚️ Escenario'!$C$11,0)))))</f>
        <v>0</v>
      </c>
      <c r="EB787" s="236" t="n">
        <f aca="false" t="array" ref="EB787:EB787">IF(EB786=0,0,IF(EB786/'🎚️ Escenario'!$C$11&gt;=36,$AL$23,INDEX($C$23:$AL$23,MAX(1,ROUNDUP(EB786/'🎚️ Escenario'!$C$11,0)))))</f>
        <v>0</v>
      </c>
      <c r="EC787" s="236" t="n">
        <f aca="false" t="array" ref="EC787:EC787">IF(EC786=0,0,IF(EC786/'🎚️ Escenario'!$C$11&gt;=36,$AL$23,INDEX($C$23:$AL$23,MAX(1,ROUNDUP(EC786/'🎚️ Escenario'!$C$11,0)))))</f>
        <v>0</v>
      </c>
      <c r="ED787" s="236" t="n">
        <f aca="false" t="array" ref="ED787:ED787">IF(ED786=0,0,IF(ED786/'🎚️ Escenario'!$C$11&gt;=36,$AL$23,INDEX($C$23:$AL$23,MAX(1,ROUNDUP(ED786/'🎚️ Escenario'!$C$11,0)))))</f>
        <v>0</v>
      </c>
      <c r="EE787" s="236" t="n">
        <f aca="false" t="array" ref="EE787:EE787">IF(EE786=0,0,IF(EE786/'🎚️ Escenario'!$C$11&gt;=36,$AL$23,INDEX($C$23:$AL$23,MAX(1,ROUNDUP(EE786/'🎚️ Escenario'!$C$11,0)))))</f>
        <v>0</v>
      </c>
      <c r="EF787" s="236" t="n">
        <f aca="false" t="array" ref="EF787:EF787">IF(EF786=0,0,IF(EF786/'🎚️ Escenario'!$C$11&gt;=36,$AL$23,INDEX($C$23:$AL$23,MAX(1,ROUNDUP(EF786/'🎚️ Escenario'!$C$11,0)))))</f>
        <v>0</v>
      </c>
      <c r="EG787" s="236" t="n">
        <f aca="false" t="array" ref="EG787:EG787">IF(EG786=0,0,IF(EG786/'🎚️ Escenario'!$C$11&gt;=36,$AL$23,INDEX($C$23:$AL$23,MAX(1,ROUNDUP(EG786/'🎚️ Escenario'!$C$11,0)))))</f>
        <v>0</v>
      </c>
      <c r="EH787" s="236" t="n">
        <f aca="false" t="array" ref="EH787:EH787">IF(EH786=0,0,IF(EH786/'🎚️ Escenario'!$C$11&gt;=36,$AL$23,INDEX($C$23:$AL$23,MAX(1,ROUNDUP(EH786/'🎚️ Escenario'!$C$11,0)))))</f>
        <v>0</v>
      </c>
      <c r="EI787" s="236" t="n">
        <f aca="false" t="array" ref="EI787:EI787">IF(EI786=0,0,IF(EI786/'🎚️ Escenario'!$C$11&gt;=36,$AL$23,INDEX($C$23:$AL$23,MAX(1,ROUNDUP(EI786/'🎚️ Escenario'!$C$11,0)))))</f>
        <v>0</v>
      </c>
      <c r="EJ787" s="236" t="n">
        <f aca="false" t="array" ref="EJ787:EJ787">IF(EJ786=0,0,IF(EJ786/'🎚️ Escenario'!$C$11&gt;=36,$AL$23,INDEX($C$23:$AL$23,MAX(1,ROUNDUP(EJ786/'🎚️ Escenario'!$C$11,0)))))</f>
        <v>0</v>
      </c>
      <c r="EK787" s="236" t="n">
        <f aca="false" t="array" ref="EK787:EK787">IF(EK786=0,0,IF(EK786/'🎚️ Escenario'!$C$11&gt;=36,$AL$23,INDEX($C$23:$AL$23,MAX(1,ROUNDUP(EK786/'🎚️ Escenario'!$C$11,0)))))</f>
        <v>0</v>
      </c>
      <c r="EL787" s="236" t="n">
        <f aca="false" t="array" ref="EL787:EL787">IF(EL786=0,0,IF(EL786/'🎚️ Escenario'!$C$11&gt;=36,$AL$23,INDEX($C$23:$AL$23,MAX(1,ROUNDUP(EL786/'🎚️ Escenario'!$C$11,0)))))</f>
        <v>0</v>
      </c>
      <c r="EM787" s="236" t="n">
        <f aca="false" t="array" ref="EM787:EM787">IF(EM786=0,0,IF(EM786/'🎚️ Escenario'!$C$11&gt;=36,$AL$23,INDEX($C$23:$AL$23,MAX(1,ROUNDUP(EM786/'🎚️ Escenario'!$C$11,0)))))</f>
        <v>0</v>
      </c>
      <c r="EN787" s="236" t="n">
        <f aca="false" t="array" ref="EN787:EN787">IF(EN786=0,0,IF(EN786/'🎚️ Escenario'!$C$11&gt;=36,$AL$23,INDEX($C$23:$AL$23,MAX(1,ROUNDUP(EN786/'🎚️ Escenario'!$C$11,0)))))</f>
        <v>0</v>
      </c>
      <c r="EO787" s="236" t="n">
        <f aca="false" t="array" ref="EO787:EO787">IF(EO786=0,0,IF(EO786/'🎚️ Escenario'!$C$11&gt;=36,$AL$23,INDEX($C$23:$AL$23,MAX(1,ROUNDUP(EO786/'🎚️ Escenario'!$C$11,0)))))</f>
        <v>0</v>
      </c>
      <c r="EP787" s="236" t="n">
        <f aca="false" t="array" ref="EP787:EP787">IF(EP786=0,0,IF(EP786/'🎚️ Escenario'!$C$11&gt;=36,$AL$23,INDEX($C$23:$AL$23,MAX(1,ROUNDUP(EP786/'🎚️ Escenario'!$C$11,0)))))</f>
        <v>0</v>
      </c>
      <c r="EQ787" s="236" t="n">
        <f aca="false" t="array" ref="EQ787:EQ787">IF(EQ786=0,0,IF(EQ786/'🎚️ Escenario'!$C$11&gt;=36,$AL$23,INDEX($C$23:$AL$23,MAX(1,ROUNDUP(EQ786/'🎚️ Escenario'!$C$11,0)))))</f>
        <v>0</v>
      </c>
      <c r="ER787" s="236" t="n">
        <f aca="false" t="array" ref="ER787:ER787">IF(ER786=0,0,IF(ER786/'🎚️ Escenario'!$C$11&gt;=36,$AL$23,INDEX($C$23:$AL$23,MAX(1,ROUNDUP(ER786/'🎚️ Escenario'!$C$11,0)))))</f>
        <v>0</v>
      </c>
      <c r="ES787" s="9" t="n">
        <f aca="false" t="array" ref="ES787:ES787">IF(ES786=0,0,IF(ES786/'🎚️ Escenario'!$C$11&gt;=36,$AL$23,INDEX($C$23:$AL$23,MAX(1,ROUNDUP(ES786/'🎚️ Escenario'!$C$11,0)))))</f>
        <v>0</v>
      </c>
      <c r="ET787" s="9" t="n">
        <f aca="false" t="array" ref="ET787:ET787">IF(ET786=0,0,IF(ET786/'🎚️ Escenario'!$C$11&gt;=36,$AL$23,INDEX($C$23:$AL$23,MAX(1,ROUNDUP(ET786/'🎚️ Escenario'!$C$11,0)))))</f>
        <v>0</v>
      </c>
      <c r="EU787" s="9" t="n">
        <f aca="false" t="array" ref="EU787:EU787">IF(EU786=0,0,IF(EU786/'🎚️ Escenario'!$C$11&gt;=36,$AL$23,INDEX($C$23:$AL$23,MAX(1,ROUNDUP(EU786/'🎚️ Escenario'!$C$11,0)))))</f>
        <v>0</v>
      </c>
      <c r="EV787" s="9" t="n">
        <f aca="false" t="array" ref="EV787:EV787">IF(EV786=0,0,IF(EV786/'🎚️ Escenario'!$C$11&gt;=36,$AL$23,INDEX($C$23:$AL$23,MAX(1,ROUNDUP(EV786/'🎚️ Escenario'!$C$11,0)))))</f>
        <v>0</v>
      </c>
      <c r="EW787" s="9" t="n">
        <f aca="false" t="array" ref="EW787:EW787">IF(EW786=0,0,IF(EW786/'🎚️ Escenario'!$C$11&gt;=36,$AL$23,INDEX($C$23:$AL$23,MAX(1,ROUNDUP(EW786/'🎚️ Escenario'!$C$11,0)))))</f>
        <v>0</v>
      </c>
      <c r="EX787" s="9" t="n">
        <f aca="false" t="array" ref="EX787:EX787">IF(EX786=0,0,IF(EX786/'🎚️ Escenario'!$C$11&gt;=36,$AL$23,INDEX($C$23:$AL$23,MAX(1,ROUNDUP(EX786/'🎚️ Escenario'!$C$11,0)))))</f>
        <v>0</v>
      </c>
      <c r="EY787" s="9" t="n">
        <f aca="false" t="array" ref="EY787:EY787">IF(EY786=0,0,IF(EY786/'🎚️ Escenario'!$C$11&gt;=36,$AL$23,INDEX($C$23:$AL$23,MAX(1,ROUNDUP(EY786/'🎚️ Escenario'!$C$11,0)))))</f>
        <v>0</v>
      </c>
      <c r="EZ787" s="9" t="n">
        <f aca="false" t="array" ref="EZ787:EZ787">IF(EZ786=0,0,IF(EZ786/'🎚️ Escenario'!$C$11&gt;=36,$AL$23,INDEX($C$23:$AL$23,MAX(1,ROUNDUP(EZ786/'🎚️ Escenario'!$C$11,0)))))</f>
        <v>0</v>
      </c>
      <c r="FA787" s="9" t="n">
        <f aca="false" t="array" ref="FA787:FA787">IF(FA786=0,0,IF(FA786/'🎚️ Escenario'!$C$11&gt;=36,$AL$23,INDEX($C$23:$AL$23,MAX(1,ROUNDUP(FA786/'🎚️ Escenario'!$C$11,0)))))</f>
        <v>0</v>
      </c>
      <c r="FB787" s="9" t="n">
        <f aca="false" t="array" ref="FB787:FB787">IF(FB786=0,0,IF(FB786/'🎚️ Escenario'!$C$11&gt;=36,$AL$23,INDEX($C$23:$AL$23,MAX(1,ROUNDUP(FB786/'🎚️ Escenario'!$C$11,0)))))</f>
        <v>0</v>
      </c>
      <c r="FC787" s="9" t="n">
        <f aca="false" t="array" ref="FC787:FC787">IF(FC786=0,0,IF(FC786/'🎚️ Escenario'!$C$11&gt;=36,$AL$23,INDEX($C$23:$AL$23,MAX(1,ROUNDUP(FC786/'🎚️ Escenario'!$C$11,0)))))</f>
        <v>0.2</v>
      </c>
      <c r="FD787" s="9" t="n">
        <f aca="false" t="array" ref="FD787:FD787">IF(FD786=0,0,IF(FD786/'🎚️ Escenario'!$C$11&gt;=36,$AL$23,INDEX($C$23:$AL$23,MAX(1,ROUNDUP(FD786/'🎚️ Escenario'!$C$11,0)))))</f>
        <v>0.22</v>
      </c>
      <c r="FE787" s="9" t="n">
        <f aca="false" t="array" ref="FE787:FE787">IF(FE786=0,0,IF(FE786/'🎚️ Escenario'!$C$11&gt;=36,$AL$23,INDEX($C$23:$AL$23,MAX(1,ROUNDUP(FE786/'🎚️ Escenario'!$C$11,0)))))</f>
        <v>0.24</v>
      </c>
      <c r="FF787" s="9" t="n">
        <f aca="false" t="array" ref="FF787:FF787">IF(FF786=0,0,IF(FF786/'🎚️ Escenario'!$C$11&gt;=36,$AL$23,INDEX($C$23:$AL$23,MAX(1,ROUNDUP(FF786/'🎚️ Escenario'!$C$11,0)))))</f>
        <v>0.27</v>
      </c>
      <c r="FG787" s="9" t="n">
        <f aca="false" t="array" ref="FG787:FG787">IF(FG786=0,0,IF(FG786/'🎚️ Escenario'!$C$11&gt;=36,$AL$23,INDEX($C$23:$AL$23,MAX(1,ROUNDUP(FG786/'🎚️ Escenario'!$C$11,0)))))</f>
        <v>0.27</v>
      </c>
      <c r="FH787" s="9" t="n">
        <f aca="false" t="array" ref="FH787:FH787">IF(FH786=0,0,IF(FH786/'🎚️ Escenario'!$C$11&gt;=36,$AL$23,INDEX($C$23:$AL$23,MAX(1,ROUNDUP(FH786/'🎚️ Escenario'!$C$11,0)))))</f>
        <v>0.31</v>
      </c>
      <c r="FI787" s="9" t="n">
        <f aca="false" t="array" ref="FI787:FI787">IF(FI786=0,0,IF(FI786/'🎚️ Escenario'!$C$11&gt;=36,$AL$23,INDEX($C$23:$AL$23,MAX(1,ROUNDUP(FI786/'🎚️ Escenario'!$C$11,0)))))</f>
        <v>0.35</v>
      </c>
      <c r="FJ787" s="9" t="n">
        <f aca="false" t="array" ref="FJ787:FJ787">IF(FJ786=0,0,IF(FJ786/'🎚️ Escenario'!$C$11&gt;=36,$AL$23,INDEX($C$23:$AL$23,MAX(1,ROUNDUP(FJ786/'🎚️ Escenario'!$C$11,0)))))</f>
        <v>0.39</v>
      </c>
      <c r="FK787" s="9" t="n">
        <f aca="false" t="array" ref="FK787:FK787">IF(FK786=0,0,IF(FK786/'🎚️ Escenario'!$C$11&gt;=36,$AL$23,INDEX($C$23:$AL$23,MAX(1,ROUNDUP(FK786/'🎚️ Escenario'!$C$11,0)))))</f>
        <v>0.44</v>
      </c>
      <c r="FL787" s="9" t="n">
        <f aca="false" t="array" ref="FL787:FL787">IF(FL786=0,0,IF(FL786/'🎚️ Escenario'!$C$11&gt;=36,$AL$23,INDEX($C$23:$AL$23,MAX(1,ROUNDUP(FL786/'🎚️ Escenario'!$C$11,0)))))</f>
        <v>0.44</v>
      </c>
      <c r="FM787" s="9" t="n">
        <f aca="false" t="array" ref="FM787:FM787">IF(FM786=0,0,IF(FM786/'🎚️ Escenario'!$C$11&gt;=36,$AL$23,INDEX($C$23:$AL$23,MAX(1,ROUNDUP(FM786/'🎚️ Escenario'!$C$11,0)))))</f>
        <v>0.48</v>
      </c>
      <c r="FN787" s="9" t="n">
        <f aca="false" t="array" ref="FN787:FN787">IF(FN786=0,0,IF(FN786/'🎚️ Escenario'!$C$11&gt;=36,$AL$23,INDEX($C$23:$AL$23,MAX(1,ROUNDUP(FN786/'🎚️ Escenario'!$C$11,0)))))</f>
        <v>0.52</v>
      </c>
      <c r="FO787" s="9" t="n">
        <f aca="false" t="array" ref="FO787:FO787">IF(FO786=0,0,IF(FO786/'🎚️ Escenario'!$C$11&gt;=36,$AL$23,INDEX($C$23:$AL$23,MAX(1,ROUNDUP(FO786/'🎚️ Escenario'!$C$11,0)))))</f>
        <v>0.56</v>
      </c>
      <c r="FP787" s="9" t="n">
        <f aca="false" t="array" ref="FP787:FP787">IF(FP786=0,0,IF(FP786/'🎚️ Escenario'!$C$11&gt;=36,$AL$23,INDEX($C$23:$AL$23,MAX(1,ROUNDUP(FP786/'🎚️ Escenario'!$C$11,0)))))</f>
        <v>0.6</v>
      </c>
    </row>
    <row r="788" customFormat="false" ht="15" hidden="false" customHeight="false" outlineLevel="2" collapsed="false">
      <c r="B788" s="9" t="s">
        <v>875</v>
      </c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237" t="n">
        <f aca="false">IF(AC786=0,0,IF(AC786&lt;=12*'🎚️ Escenario'!$C$11,1,1+$C$6))</f>
        <v>0</v>
      </c>
      <c r="AD788" s="237" t="n">
        <f aca="false">IF(AD786=0,0,IF(AD786&lt;=12*'🎚️ Escenario'!$C$11,1,1+$C$6))</f>
        <v>0</v>
      </c>
      <c r="AE788" s="237" t="n">
        <f aca="false">IF(AE786=0,0,IF(AE786&lt;=12*'🎚️ Escenario'!$C$11,1,1+$C$6))</f>
        <v>0</v>
      </c>
      <c r="AF788" s="237" t="n">
        <f aca="false">IF(AF786=0,0,IF(AF786&lt;=12*'🎚️ Escenario'!$C$11,1,1+$C$6))</f>
        <v>0</v>
      </c>
      <c r="AG788" s="237" t="n">
        <f aca="false">IF(AG786=0,0,IF(AG786&lt;=12*'🎚️ Escenario'!$C$11,1,1+$C$6))</f>
        <v>0</v>
      </c>
      <c r="AH788" s="237" t="n">
        <f aca="false">IF(AH786=0,0,IF(AH786&lt;=12*'🎚️ Escenario'!$C$11,1,1+$C$6))</f>
        <v>0</v>
      </c>
      <c r="AI788" s="237" t="n">
        <f aca="false">IF(AI786=0,0,IF(AI786&lt;=12*'🎚️ Escenario'!$C$11,1,1+$C$6))</f>
        <v>0</v>
      </c>
      <c r="AJ788" s="237" t="n">
        <f aca="false">IF(AJ786=0,0,IF(AJ786&lt;=12*'🎚️ Escenario'!$C$11,1,1+$C$6))</f>
        <v>0</v>
      </c>
      <c r="AK788" s="237" t="n">
        <f aca="false">IF(AK786=0,0,IF(AK786&lt;=12*'🎚️ Escenario'!$C$11,1,1+$C$6))</f>
        <v>0</v>
      </c>
      <c r="AL788" s="237" t="n">
        <f aca="false">IF(AL786=0,0,IF(AL786&lt;=12*'🎚️ Escenario'!$C$11,1,1+$C$6))</f>
        <v>0</v>
      </c>
      <c r="AM788" s="237" t="n">
        <f aca="false">IF(AM786=0,0,IF(AM786&lt;=12*'🎚️ Escenario'!$C$11,1,1+$C$6))</f>
        <v>0</v>
      </c>
      <c r="AN788" s="237" t="n">
        <f aca="false">IF(AN786=0,0,IF(AN786&lt;=12*'🎚️ Escenario'!$C$11,1,1+$C$6))</f>
        <v>0</v>
      </c>
      <c r="AO788" s="237" t="n">
        <f aca="false">IF(AO786=0,0,IF(AO786&lt;=12*'🎚️ Escenario'!$C$11,1,1+$C$6))</f>
        <v>0</v>
      </c>
      <c r="AP788" s="237" t="n">
        <f aca="false">IF(AP786=0,0,IF(AP786&lt;=12*'🎚️ Escenario'!$C$11,1,1+$C$6))</f>
        <v>0</v>
      </c>
      <c r="AQ788" s="237" t="n">
        <f aca="false">IF(AQ786=0,0,IF(AQ786&lt;=12*'🎚️ Escenario'!$C$11,1,1+$C$6))</f>
        <v>0</v>
      </c>
      <c r="AR788" s="237" t="n">
        <f aca="false">IF(AR786=0,0,IF(AR786&lt;=12*'🎚️ Escenario'!$C$11,1,1+$C$6))</f>
        <v>0</v>
      </c>
      <c r="AS788" s="237" t="n">
        <f aca="false">IF(AS786=0,0,IF(AS786&lt;=12*'🎚️ Escenario'!$C$11,1,1+$C$6))</f>
        <v>0</v>
      </c>
      <c r="AT788" s="237" t="n">
        <f aca="false">IF(AT786=0,0,IF(AT786&lt;=12*'🎚️ Escenario'!$C$11,1,1+$C$6))</f>
        <v>0</v>
      </c>
      <c r="AU788" s="237" t="n">
        <f aca="false">IF(AU786=0,0,IF(AU786&lt;=12*'🎚️ Escenario'!$C$11,1,1+$C$6))</f>
        <v>0</v>
      </c>
      <c r="AV788" s="237" t="n">
        <f aca="false">IF(AV786=0,0,IF(AV786&lt;=12*'🎚️ Escenario'!$C$11,1,1+$C$6))</f>
        <v>0</v>
      </c>
      <c r="AW788" s="237" t="n">
        <f aca="false">IF(AW786=0,0,IF(AW786&lt;=12*'🎚️ Escenario'!$C$11,1,1+$C$6))</f>
        <v>0</v>
      </c>
      <c r="AX788" s="237" t="n">
        <f aca="false">IF(AX786=0,0,IF(AX786&lt;=12*'🎚️ Escenario'!$C$11,1,1+$C$6))</f>
        <v>0</v>
      </c>
      <c r="AY788" s="237" t="n">
        <f aca="false">IF(AY786=0,0,IF(AY786&lt;=12*'🎚️ Escenario'!$C$11,1,1+$C$6))</f>
        <v>0</v>
      </c>
      <c r="AZ788" s="237" t="n">
        <f aca="false">IF(AZ786=0,0,IF(AZ786&lt;=12*'🎚️ Escenario'!$C$11,1,1+$C$6))</f>
        <v>0</v>
      </c>
      <c r="BA788" s="237" t="n">
        <f aca="false">IF(BA786=0,0,IF(BA786&lt;=12*'🎚️ Escenario'!$C$11,1,1+$C$6))</f>
        <v>0</v>
      </c>
      <c r="BB788" s="237" t="n">
        <f aca="false">IF(BB786=0,0,IF(BB786&lt;=12*'🎚️ Escenario'!$C$11,1,1+$C$6))</f>
        <v>0</v>
      </c>
      <c r="BC788" s="237" t="n">
        <f aca="false">IF(BC786=0,0,IF(BC786&lt;=12*'🎚️ Escenario'!$C$11,1,1+$C$6))</f>
        <v>0</v>
      </c>
      <c r="BD788" s="237" t="n">
        <f aca="false">IF(BD786=0,0,IF(BD786&lt;=12*'🎚️ Escenario'!$C$11,1,1+$C$6))</f>
        <v>0</v>
      </c>
      <c r="BE788" s="237" t="n">
        <f aca="false">IF(BE786=0,0,IF(BE786&lt;=12*'🎚️ Escenario'!$C$11,1,1+$C$6))</f>
        <v>0</v>
      </c>
      <c r="BF788" s="237" t="n">
        <f aca="false">IF(BF786=0,0,IF(BF786&lt;=12*'🎚️ Escenario'!$C$11,1,1+$C$6))</f>
        <v>0</v>
      </c>
      <c r="BG788" s="237" t="n">
        <f aca="false">IF(BG786=0,0,IF(BG786&lt;=12*'🎚️ Escenario'!$C$11,1,1+$C$6))</f>
        <v>0</v>
      </c>
      <c r="BH788" s="237" t="n">
        <f aca="false">IF(BH786=0,0,IF(BH786&lt;=12*'🎚️ Escenario'!$C$11,1,1+$C$6))</f>
        <v>0</v>
      </c>
      <c r="BI788" s="237" t="n">
        <f aca="false">IF(BI786=0,0,IF(BI786&lt;=12*'🎚️ Escenario'!$C$11,1,1+$C$6))</f>
        <v>0</v>
      </c>
      <c r="BJ788" s="237" t="n">
        <f aca="false">IF(BJ786=0,0,IF(BJ786&lt;=12*'🎚️ Escenario'!$C$11,1,1+$C$6))</f>
        <v>0</v>
      </c>
      <c r="BK788" s="237" t="n">
        <f aca="false">IF(BK786=0,0,IF(BK786&lt;=12*'🎚️ Escenario'!$C$11,1,1+$C$6))</f>
        <v>0</v>
      </c>
      <c r="BL788" s="237" t="n">
        <f aca="false">IF(BL786=0,0,IF(BL786&lt;=12*'🎚️ Escenario'!$C$11,1,1+$C$6))</f>
        <v>0</v>
      </c>
      <c r="BM788" s="237" t="n">
        <f aca="false">IF(BM786=0,0,IF(BM786&lt;=12*'🎚️ Escenario'!$C$11,1,1+$C$6))</f>
        <v>0</v>
      </c>
      <c r="BN788" s="237" t="n">
        <f aca="false">IF(BN786=0,0,IF(BN786&lt;=12*'🎚️ Escenario'!$C$11,1,1+$C$6))</f>
        <v>0</v>
      </c>
      <c r="BO788" s="237" t="n">
        <f aca="false">IF(BO786=0,0,IF(BO786&lt;=12*'🎚️ Escenario'!$C$11,1,1+$C$6))</f>
        <v>0</v>
      </c>
      <c r="BP788" s="237" t="n">
        <f aca="false">IF(BP786=0,0,IF(BP786&lt;=12*'🎚️ Escenario'!$C$11,1,1+$C$6))</f>
        <v>0</v>
      </c>
      <c r="BQ788" s="237" t="n">
        <f aca="false">IF(BQ786=0,0,IF(BQ786&lt;=12*'🎚️ Escenario'!$C$11,1,1+$C$6))</f>
        <v>0</v>
      </c>
      <c r="BR788" s="237" t="n">
        <f aca="false">IF(BR786=0,0,IF(BR786&lt;=12*'🎚️ Escenario'!$C$11,1,1+$C$6))</f>
        <v>0</v>
      </c>
      <c r="BS788" s="237" t="n">
        <f aca="false">IF(BS786=0,0,IF(BS786&lt;=12*'🎚️ Escenario'!$C$11,1,1+$C$6))</f>
        <v>0</v>
      </c>
      <c r="BT788" s="237" t="n">
        <f aca="false">IF(BT786=0,0,IF(BT786&lt;=12*'🎚️ Escenario'!$C$11,1,1+$C$6))</f>
        <v>0</v>
      </c>
      <c r="BU788" s="237" t="n">
        <f aca="false">IF(BU786=0,0,IF(BU786&lt;=12*'🎚️ Escenario'!$C$11,1,1+$C$6))</f>
        <v>0</v>
      </c>
      <c r="BV788" s="237" t="n">
        <f aca="false">IF(BV786=0,0,IF(BV786&lt;=12*'🎚️ Escenario'!$C$11,1,1+$C$6))</f>
        <v>0</v>
      </c>
      <c r="BW788" s="237" t="n">
        <f aca="false">IF(BW786=0,0,IF(BW786&lt;=12*'🎚️ Escenario'!$C$11,1,1+$C$6))</f>
        <v>0</v>
      </c>
      <c r="BX788" s="237" t="n">
        <f aca="false">IF(BX786=0,0,IF(BX786&lt;=12*'🎚️ Escenario'!$C$11,1,1+$C$6))</f>
        <v>0</v>
      </c>
      <c r="BY788" s="237" t="n">
        <f aca="false">IF(BY786=0,0,IF(BY786&lt;=12*'🎚️ Escenario'!$C$11,1,1+$C$6))</f>
        <v>0</v>
      </c>
      <c r="BZ788" s="237" t="n">
        <f aca="false">IF(BZ786=0,0,IF(BZ786&lt;=12*'🎚️ Escenario'!$C$11,1,1+$C$6))</f>
        <v>0</v>
      </c>
      <c r="CA788" s="237" t="n">
        <f aca="false">IF(CA786=0,0,IF(CA786&lt;=12*'🎚️ Escenario'!$C$11,1,1+$C$6))</f>
        <v>0</v>
      </c>
      <c r="CB788" s="237" t="n">
        <f aca="false">IF(CB786=0,0,IF(CB786&lt;=12*'🎚️ Escenario'!$C$11,1,1+$C$6))</f>
        <v>0</v>
      </c>
      <c r="CC788" s="237" t="n">
        <f aca="false">IF(CC786=0,0,IF(CC786&lt;=12*'🎚️ Escenario'!$C$11,1,1+$C$6))</f>
        <v>0</v>
      </c>
      <c r="CD788" s="237" t="n">
        <f aca="false">IF(CD786=0,0,IF(CD786&lt;=12*'🎚️ Escenario'!$C$11,1,1+$C$6))</f>
        <v>0</v>
      </c>
      <c r="CE788" s="237" t="n">
        <f aca="false">IF(CE786=0,0,IF(CE786&lt;=12*'🎚️ Escenario'!$C$11,1,1+$C$6))</f>
        <v>0</v>
      </c>
      <c r="CF788" s="237" t="n">
        <f aca="false">IF(CF786=0,0,IF(CF786&lt;=12*'🎚️ Escenario'!$C$11,1,1+$C$6))</f>
        <v>0</v>
      </c>
      <c r="CG788" s="237" t="n">
        <f aca="false">IF(CG786=0,0,IF(CG786&lt;=12*'🎚️ Escenario'!$C$11,1,1+$C$6))</f>
        <v>0</v>
      </c>
      <c r="CH788" s="237" t="n">
        <f aca="false">IF(CH786=0,0,IF(CH786&lt;=12*'🎚️ Escenario'!$C$11,1,1+$C$6))</f>
        <v>0</v>
      </c>
      <c r="CI788" s="237" t="n">
        <f aca="false">IF(CI786=0,0,IF(CI786&lt;=12*'🎚️ Escenario'!$C$11,1,1+$C$6))</f>
        <v>0</v>
      </c>
      <c r="CJ788" s="237" t="n">
        <f aca="false">IF(CJ786=0,0,IF(CJ786&lt;=12*'🎚️ Escenario'!$C$11,1,1+$C$6))</f>
        <v>0</v>
      </c>
      <c r="CK788" s="237" t="n">
        <f aca="false">IF(CK786=0,0,IF(CK786&lt;=12*'🎚️ Escenario'!$C$11,1,1+$C$6))</f>
        <v>0</v>
      </c>
      <c r="CL788" s="237" t="n">
        <f aca="false">IF(CL786=0,0,IF(CL786&lt;=12*'🎚️ Escenario'!$C$11,1,1+$C$6))</f>
        <v>0</v>
      </c>
      <c r="CM788" s="237" t="n">
        <f aca="false">IF(CM786=0,0,IF(CM786&lt;=12*'🎚️ Escenario'!$C$11,1,1+$C$6))</f>
        <v>0</v>
      </c>
      <c r="CN788" s="237" t="n">
        <f aca="false">IF(CN786=0,0,IF(CN786&lt;=12*'🎚️ Escenario'!$C$11,1,1+$C$6))</f>
        <v>0</v>
      </c>
      <c r="CO788" s="237" t="n">
        <f aca="false">IF(CO786=0,0,IF(CO786&lt;=12*'🎚️ Escenario'!$C$11,1,1+$C$6))</f>
        <v>0</v>
      </c>
      <c r="CP788" s="237" t="n">
        <f aca="false">IF(CP786=0,0,IF(CP786&lt;=12*'🎚️ Escenario'!$C$11,1,1+$C$6))</f>
        <v>0</v>
      </c>
      <c r="CQ788" s="237" t="n">
        <f aca="false">IF(CQ786=0,0,IF(CQ786&lt;=12*'🎚️ Escenario'!$C$11,1,1+$C$6))</f>
        <v>0</v>
      </c>
      <c r="CR788" s="237" t="n">
        <f aca="false">IF(CR786=0,0,IF(CR786&lt;=12*'🎚️ Escenario'!$C$11,1,1+$C$6))</f>
        <v>0</v>
      </c>
      <c r="CS788" s="237" t="n">
        <f aca="false">IF(CS786=0,0,IF(CS786&lt;=12*'🎚️ Escenario'!$C$11,1,1+$C$6))</f>
        <v>0</v>
      </c>
      <c r="CT788" s="237" t="n">
        <f aca="false">IF(CT786=0,0,IF(CT786&lt;=12*'🎚️ Escenario'!$C$11,1,1+$C$6))</f>
        <v>0</v>
      </c>
      <c r="CU788" s="237" t="n">
        <f aca="false">IF(CU786=0,0,IF(CU786&lt;=12*'🎚️ Escenario'!$C$11,1,1+$C$6))</f>
        <v>0</v>
      </c>
      <c r="CV788" s="237" t="n">
        <f aca="false">IF(CV786=0,0,IF(CV786&lt;=12*'🎚️ Escenario'!$C$11,1,1+$C$6))</f>
        <v>0</v>
      </c>
      <c r="CW788" s="237" t="n">
        <f aca="false">IF(CW786=0,0,IF(CW786&lt;=12*'🎚️ Escenario'!$C$11,1,1+$C$6))</f>
        <v>0</v>
      </c>
      <c r="CX788" s="237" t="n">
        <f aca="false">IF(CX786=0,0,IF(CX786&lt;=12*'🎚️ Escenario'!$C$11,1,1+$C$6))</f>
        <v>0</v>
      </c>
      <c r="CY788" s="237" t="n">
        <f aca="false">IF(CY786=0,0,IF(CY786&lt;=12*'🎚️ Escenario'!$C$11,1,1+$C$6))</f>
        <v>0</v>
      </c>
      <c r="CZ788" s="237" t="n">
        <f aca="false">IF(CZ786=0,0,IF(CZ786&lt;=12*'🎚️ Escenario'!$C$11,1,1+$C$6))</f>
        <v>0</v>
      </c>
      <c r="DA788" s="237" t="n">
        <f aca="false">IF(DA786=0,0,IF(DA786&lt;=12*'🎚️ Escenario'!$C$11,1,1+$C$6))</f>
        <v>0</v>
      </c>
      <c r="DB788" s="237" t="n">
        <f aca="false">IF(DB786=0,0,IF(DB786&lt;=12*'🎚️ Escenario'!$C$11,1,1+$C$6))</f>
        <v>0</v>
      </c>
      <c r="DC788" s="237" t="n">
        <f aca="false">IF(DC786=0,0,IF(DC786&lt;=12*'🎚️ Escenario'!$C$11,1,1+$C$6))</f>
        <v>0</v>
      </c>
      <c r="DD788" s="237" t="n">
        <f aca="false">IF(DD786=0,0,IF(DD786&lt;=12*'🎚️ Escenario'!$C$11,1,1+$C$6))</f>
        <v>0</v>
      </c>
      <c r="DE788" s="237" t="n">
        <f aca="false">IF(DE786=0,0,IF(DE786&lt;=12*'🎚️ Escenario'!$C$11,1,1+$C$6))</f>
        <v>0</v>
      </c>
      <c r="DF788" s="237" t="n">
        <f aca="false">IF(DF786=0,0,IF(DF786&lt;=12*'🎚️ Escenario'!$C$11,1,1+$C$6))</f>
        <v>0</v>
      </c>
      <c r="DG788" s="237" t="n">
        <f aca="false">IF(DG786=0,0,IF(DG786&lt;=12*'🎚️ Escenario'!$C$11,1,1+$C$6))</f>
        <v>0</v>
      </c>
      <c r="DH788" s="237" t="n">
        <f aca="false">IF(DH786=0,0,IF(DH786&lt;=12*'🎚️ Escenario'!$C$11,1,1+$C$6))</f>
        <v>0</v>
      </c>
      <c r="DI788" s="237" t="n">
        <f aca="false">IF(DI786=0,0,IF(DI786&lt;=12*'🎚️ Escenario'!$C$11,1,1+$C$6))</f>
        <v>0</v>
      </c>
      <c r="DJ788" s="237" t="n">
        <f aca="false">IF(DJ786=0,0,IF(DJ786&lt;=12*'🎚️ Escenario'!$C$11,1,1+$C$6))</f>
        <v>0</v>
      </c>
      <c r="DK788" s="237" t="n">
        <f aca="false">IF(DK786=0,0,IF(DK786&lt;=12*'🎚️ Escenario'!$C$11,1,1+$C$6))</f>
        <v>0</v>
      </c>
      <c r="DL788" s="237" t="n">
        <f aca="false">IF(DL786=0,0,IF(DL786&lt;=12*'🎚️ Escenario'!$C$11,1,1+$C$6))</f>
        <v>0</v>
      </c>
      <c r="DM788" s="237" t="n">
        <f aca="false">IF(DM786=0,0,IF(DM786&lt;=12*'🎚️ Escenario'!$C$11,1,1+$C$6))</f>
        <v>0</v>
      </c>
      <c r="DN788" s="237" t="n">
        <f aca="false">IF(DN786=0,0,IF(DN786&lt;=12*'🎚️ Escenario'!$C$11,1,1+$C$6))</f>
        <v>0</v>
      </c>
      <c r="DO788" s="237" t="n">
        <f aca="false">IF(DO786=0,0,IF(DO786&lt;=12*'🎚️ Escenario'!$C$11,1,1+$C$6))</f>
        <v>0</v>
      </c>
      <c r="DP788" s="237" t="n">
        <f aca="false">IF(DP786=0,0,IF(DP786&lt;=12*'🎚️ Escenario'!$C$11,1,1+$C$6))</f>
        <v>0</v>
      </c>
      <c r="DQ788" s="237" t="n">
        <f aca="false">IF(DQ786=0,0,IF(DQ786&lt;=12*'🎚️ Escenario'!$C$11,1,1+$C$6))</f>
        <v>0</v>
      </c>
      <c r="DR788" s="237" t="n">
        <f aca="false">IF(DR786=0,0,IF(DR786&lt;=12*'🎚️ Escenario'!$C$11,1,1+$C$6))</f>
        <v>0</v>
      </c>
      <c r="DS788" s="237" t="n">
        <f aca="false">IF(DS786=0,0,IF(DS786&lt;=12*'🎚️ Escenario'!$C$11,1,1+$C$6))</f>
        <v>0</v>
      </c>
      <c r="DT788" s="237" t="n">
        <f aca="false">IF(DT786=0,0,IF(DT786&lt;=12*'🎚️ Escenario'!$C$11,1,1+$C$6))</f>
        <v>0</v>
      </c>
      <c r="DU788" s="237" t="n">
        <f aca="false">IF(DU786=0,0,IF(DU786&lt;=12*'🎚️ Escenario'!$C$11,1,1+$C$6))</f>
        <v>0</v>
      </c>
      <c r="DV788" s="237" t="n">
        <f aca="false">IF(DV786=0,0,IF(DV786&lt;=12*'🎚️ Escenario'!$C$11,1,1+$C$6))</f>
        <v>0</v>
      </c>
      <c r="DW788" s="237" t="n">
        <f aca="false">IF(DW786=0,0,IF(DW786&lt;=12*'🎚️ Escenario'!$C$11,1,1+$C$6))</f>
        <v>0</v>
      </c>
      <c r="DX788" s="237" t="n">
        <f aca="false">IF(DX786=0,0,IF(DX786&lt;=12*'🎚️ Escenario'!$C$11,1,1+$C$6))</f>
        <v>0</v>
      </c>
      <c r="DY788" s="237" t="n">
        <f aca="false">IF(DY786=0,0,IF(DY786&lt;=12*'🎚️ Escenario'!$C$11,1,1+$C$6))</f>
        <v>0</v>
      </c>
      <c r="DZ788" s="237" t="n">
        <f aca="false">IF(DZ786=0,0,IF(DZ786&lt;=12*'🎚️ Escenario'!$C$11,1,1+$C$6))</f>
        <v>0</v>
      </c>
      <c r="EA788" s="237" t="n">
        <f aca="false">IF(EA786=0,0,IF(EA786&lt;=12*'🎚️ Escenario'!$C$11,1,1+$C$6))</f>
        <v>0</v>
      </c>
      <c r="EB788" s="237" t="n">
        <f aca="false">IF(EB786=0,0,IF(EB786&lt;=12*'🎚️ Escenario'!$C$11,1,1+$C$6))</f>
        <v>0</v>
      </c>
      <c r="EC788" s="237" t="n">
        <f aca="false">IF(EC786=0,0,IF(EC786&lt;=12*'🎚️ Escenario'!$C$11,1,1+$C$6))</f>
        <v>0</v>
      </c>
      <c r="ED788" s="237" t="n">
        <f aca="false">IF(ED786=0,0,IF(ED786&lt;=12*'🎚️ Escenario'!$C$11,1,1+$C$6))</f>
        <v>0</v>
      </c>
      <c r="EE788" s="237" t="n">
        <f aca="false">IF(EE786=0,0,IF(EE786&lt;=12*'🎚️ Escenario'!$C$11,1,1+$C$6))</f>
        <v>0</v>
      </c>
      <c r="EF788" s="237" t="n">
        <f aca="false">IF(EF786=0,0,IF(EF786&lt;=12*'🎚️ Escenario'!$C$11,1,1+$C$6))</f>
        <v>0</v>
      </c>
      <c r="EG788" s="237" t="n">
        <f aca="false">IF(EG786=0,0,IF(EG786&lt;=12*'🎚️ Escenario'!$C$11,1,1+$C$6))</f>
        <v>0</v>
      </c>
      <c r="EH788" s="237" t="n">
        <f aca="false">IF(EH786=0,0,IF(EH786&lt;=12*'🎚️ Escenario'!$C$11,1,1+$C$6))</f>
        <v>0</v>
      </c>
      <c r="EI788" s="237" t="n">
        <f aca="false">IF(EI786=0,0,IF(EI786&lt;=12*'🎚️ Escenario'!$C$11,1,1+$C$6))</f>
        <v>0</v>
      </c>
      <c r="EJ788" s="237" t="n">
        <f aca="false">IF(EJ786=0,0,IF(EJ786&lt;=12*'🎚️ Escenario'!$C$11,1,1+$C$6))</f>
        <v>0</v>
      </c>
      <c r="EK788" s="237" t="n">
        <f aca="false">IF(EK786=0,0,IF(EK786&lt;=12*'🎚️ Escenario'!$C$11,1,1+$C$6))</f>
        <v>0</v>
      </c>
      <c r="EL788" s="237" t="n">
        <f aca="false">IF(EL786=0,0,IF(EL786&lt;=12*'🎚️ Escenario'!$C$11,1,1+$C$6))</f>
        <v>0</v>
      </c>
      <c r="EM788" s="237" t="n">
        <f aca="false">IF(EM786=0,0,IF(EM786&lt;=12*'🎚️ Escenario'!$C$11,1,1+$C$6))</f>
        <v>0</v>
      </c>
      <c r="EN788" s="237" t="n">
        <f aca="false">IF(EN786=0,0,IF(EN786&lt;=12*'🎚️ Escenario'!$C$11,1,1+$C$6))</f>
        <v>0</v>
      </c>
      <c r="EO788" s="237" t="n">
        <f aca="false">IF(EO786=0,0,IF(EO786&lt;=12*'🎚️ Escenario'!$C$11,1,1+$C$6))</f>
        <v>0</v>
      </c>
      <c r="EP788" s="237" t="n">
        <f aca="false">IF(EP786=0,0,IF(EP786&lt;=12*'🎚️ Escenario'!$C$11,1,1+$C$6))</f>
        <v>0</v>
      </c>
      <c r="EQ788" s="237" t="n">
        <f aca="false">IF(EQ786=0,0,IF(EQ786&lt;=12*'🎚️ Escenario'!$C$11,1,1+$C$6))</f>
        <v>0</v>
      </c>
      <c r="ER788" s="237" t="n">
        <f aca="false">IF(ER786=0,0,IF(ER786&lt;=12*'🎚️ Escenario'!$C$11,1,1+$C$6))</f>
        <v>0</v>
      </c>
      <c r="ES788" s="9" t="n">
        <f aca="false">IF(ES786=0,0,IF(ES786&lt;=12*'🎚️ Escenario'!$C$11,1,1+$C$6))</f>
        <v>0</v>
      </c>
      <c r="ET788" s="9" t="n">
        <f aca="false">IF(ET786=0,0,IF(ET786&lt;=12*'🎚️ Escenario'!$C$11,1,1+$C$6))</f>
        <v>0</v>
      </c>
      <c r="EU788" s="9" t="n">
        <f aca="false">IF(EU786=0,0,IF(EU786&lt;=12*'🎚️ Escenario'!$C$11,1,1+$C$6))</f>
        <v>0</v>
      </c>
      <c r="EV788" s="9" t="n">
        <f aca="false">IF(EV786=0,0,IF(EV786&lt;=12*'🎚️ Escenario'!$C$11,1,1+$C$6))</f>
        <v>0</v>
      </c>
      <c r="EW788" s="9" t="n">
        <f aca="false">IF(EW786=0,0,IF(EW786&lt;=12*'🎚️ Escenario'!$C$11,1,1+$C$6))</f>
        <v>0</v>
      </c>
      <c r="EX788" s="9" t="n">
        <f aca="false">IF(EX786=0,0,IF(EX786&lt;=12*'🎚️ Escenario'!$C$11,1,1+$C$6))</f>
        <v>0</v>
      </c>
      <c r="EY788" s="9" t="n">
        <f aca="false">IF(EY786=0,0,IF(EY786&lt;=12*'🎚️ Escenario'!$C$11,1,1+$C$6))</f>
        <v>0</v>
      </c>
      <c r="EZ788" s="9" t="n">
        <f aca="false">IF(EZ786=0,0,IF(EZ786&lt;=12*'🎚️ Escenario'!$C$11,1,1+$C$6))</f>
        <v>0</v>
      </c>
      <c r="FA788" s="9" t="n">
        <f aca="false">IF(FA786=0,0,IF(FA786&lt;=12*'🎚️ Escenario'!$C$11,1,1+$C$6))</f>
        <v>0</v>
      </c>
      <c r="FB788" s="9" t="n">
        <f aca="false">IF(FB786=0,0,IF(FB786&lt;=12*'🎚️ Escenario'!$C$11,1,1+$C$6))</f>
        <v>0</v>
      </c>
      <c r="FC788" s="9" t="n">
        <f aca="false">IF(FC786=0,0,IF(FC786&lt;=12*'🎚️ Escenario'!$C$11,1,1+$C$6))</f>
        <v>1</v>
      </c>
      <c r="FD788" s="9" t="n">
        <f aca="false">IF(FD786=0,0,IF(FD786&lt;=12*'🎚️ Escenario'!$C$11,1,1+$C$6))</f>
        <v>1</v>
      </c>
      <c r="FE788" s="9" t="n">
        <f aca="false">IF(FE786=0,0,IF(FE786&lt;=12*'🎚️ Escenario'!$C$11,1,1+$C$6))</f>
        <v>1</v>
      </c>
      <c r="FF788" s="9" t="n">
        <f aca="false">IF(FF786=0,0,IF(FF786&lt;=12*'🎚️ Escenario'!$C$11,1,1+$C$6))</f>
        <v>1</v>
      </c>
      <c r="FG788" s="9" t="n">
        <f aca="false">IF(FG786=0,0,IF(FG786&lt;=12*'🎚️ Escenario'!$C$11,1,1+$C$6))</f>
        <v>1</v>
      </c>
      <c r="FH788" s="9" t="n">
        <f aca="false">IF(FH786=0,0,IF(FH786&lt;=12*'🎚️ Escenario'!$C$11,1,1+$C$6))</f>
        <v>1</v>
      </c>
      <c r="FI788" s="9" t="n">
        <f aca="false">IF(FI786=0,0,IF(FI786&lt;=12*'🎚️ Escenario'!$C$11,1,1+$C$6))</f>
        <v>1</v>
      </c>
      <c r="FJ788" s="9" t="n">
        <f aca="false">IF(FJ786=0,0,IF(FJ786&lt;=12*'🎚️ Escenario'!$C$11,1,1+$C$6))</f>
        <v>1</v>
      </c>
      <c r="FK788" s="9" t="n">
        <f aca="false">IF(FK786=0,0,IF(FK786&lt;=12*'🎚️ Escenario'!$C$11,1,1+$C$6))</f>
        <v>1</v>
      </c>
      <c r="FL788" s="9" t="n">
        <f aca="false">IF(FL786=0,0,IF(FL786&lt;=12*'🎚️ Escenario'!$C$11,1,1+$C$6))</f>
        <v>1</v>
      </c>
      <c r="FM788" s="9" t="n">
        <f aca="false">IF(FM786=0,0,IF(FM786&lt;=12*'🎚️ Escenario'!$C$11,1,1+$C$6))</f>
        <v>1</v>
      </c>
      <c r="FN788" s="9" t="n">
        <f aca="false">IF(FN786=0,0,IF(FN786&lt;=12*'🎚️ Escenario'!$C$11,1,1+$C$6))</f>
        <v>1</v>
      </c>
      <c r="FO788" s="9" t="n">
        <f aca="false">IF(FO786=0,0,IF(FO786&lt;=12*'🎚️ Escenario'!$C$11,1,1+$C$6))</f>
        <v>1</v>
      </c>
      <c r="FP788" s="9" t="n">
        <f aca="false">IF(FP786=0,0,IF(FP786&lt;=12*'🎚️ Escenario'!$C$11,1,1+$C$6))</f>
        <v>1</v>
      </c>
    </row>
    <row r="789" customFormat="false" ht="15" hidden="false" customHeight="false" outlineLevel="2" collapsed="false">
      <c r="B789" s="9" t="s">
        <v>876</v>
      </c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36" t="n">
        <f aca="false">AC787*$AC$785*AC788*AC$38*'⑫ Roll-out Plan'!$O$83</f>
        <v>0</v>
      </c>
      <c r="AD789" s="36" t="n">
        <f aca="false">AD787*$AC$785*AD788*AD$38*'⑫ Roll-out Plan'!$O$83</f>
        <v>0</v>
      </c>
      <c r="AE789" s="36" t="n">
        <f aca="false">AE787*$AC$785*AE788*AE$38*'⑫ Roll-out Plan'!$O$83</f>
        <v>0</v>
      </c>
      <c r="AF789" s="36" t="n">
        <f aca="false">AF787*$AC$785*AF788*AF$38*'⑫ Roll-out Plan'!$O$83</f>
        <v>0</v>
      </c>
      <c r="AG789" s="36" t="n">
        <f aca="false">AG787*$AC$785*AG788*AG$38*'⑫ Roll-out Plan'!$O$83</f>
        <v>0</v>
      </c>
      <c r="AH789" s="36" t="n">
        <f aca="false">AH787*$AC$785*AH788*AH$38*'⑫ Roll-out Plan'!$O$83</f>
        <v>0</v>
      </c>
      <c r="AI789" s="36" t="n">
        <f aca="false">AI787*$AC$785*AI788*AI$38*'⑫ Roll-out Plan'!$O$83</f>
        <v>0</v>
      </c>
      <c r="AJ789" s="36" t="n">
        <f aca="false">AJ787*$AC$785*AJ788*AJ$38*'⑫ Roll-out Plan'!$O$83</f>
        <v>0</v>
      </c>
      <c r="AK789" s="36" t="n">
        <f aca="false">AK787*$AC$785*AK788*AK$38*'⑫ Roll-out Plan'!$O$83</f>
        <v>0</v>
      </c>
      <c r="AL789" s="36" t="n">
        <f aca="false">AL787*$AC$785*AL788*AL$38*'⑫ Roll-out Plan'!$O$83</f>
        <v>0</v>
      </c>
      <c r="AM789" s="36" t="n">
        <f aca="false">AM787*$AC$785*AM788*AM$38*'⑫ Roll-out Plan'!$O$83</f>
        <v>0</v>
      </c>
      <c r="AN789" s="36" t="n">
        <f aca="false">AN787*$AC$785*AN788*AN$38*'⑫ Roll-out Plan'!$O$83</f>
        <v>0</v>
      </c>
      <c r="AO789" s="36" t="n">
        <f aca="false">AO787*$AC$785*AO788*AO$38*'⑫ Roll-out Plan'!$O$83</f>
        <v>0</v>
      </c>
      <c r="AP789" s="36" t="n">
        <f aca="false">AP787*$AC$785*AP788*AP$38*'⑫ Roll-out Plan'!$O$83</f>
        <v>0</v>
      </c>
      <c r="AQ789" s="36" t="n">
        <f aca="false">AQ787*$AC$785*AQ788*AQ$38*'⑫ Roll-out Plan'!$O$83</f>
        <v>0</v>
      </c>
      <c r="AR789" s="36" t="n">
        <f aca="false">AR787*$AC$785*AR788*AR$38*'⑫ Roll-out Plan'!$O$83</f>
        <v>0</v>
      </c>
      <c r="AS789" s="36" t="n">
        <f aca="false">AS787*$AC$785*AS788*AS$38*'⑫ Roll-out Plan'!$O$83</f>
        <v>0</v>
      </c>
      <c r="AT789" s="36" t="n">
        <f aca="false">AT787*$AC$785*AT788*AT$38*'⑫ Roll-out Plan'!$O$83</f>
        <v>0</v>
      </c>
      <c r="AU789" s="36" t="n">
        <f aca="false">AU787*$AC$785*AU788*AU$38*'⑫ Roll-out Plan'!$O$83</f>
        <v>0</v>
      </c>
      <c r="AV789" s="36" t="n">
        <f aca="false">AV787*$AC$785*AV788*AV$38*'⑫ Roll-out Plan'!$O$83</f>
        <v>0</v>
      </c>
      <c r="AW789" s="36" t="n">
        <f aca="false">AW787*$AC$785*AW788*AW$38*'⑫ Roll-out Plan'!$O$83</f>
        <v>0</v>
      </c>
      <c r="AX789" s="36" t="n">
        <f aca="false">AX787*$AC$785*AX788*AX$38*'⑫ Roll-out Plan'!$O$83</f>
        <v>0</v>
      </c>
      <c r="AY789" s="36" t="n">
        <f aca="false">AY787*$AC$785*AY788*AY$38*'⑫ Roll-out Plan'!$O$83</f>
        <v>0</v>
      </c>
      <c r="AZ789" s="36" t="n">
        <f aca="false">AZ787*$AC$785*AZ788*AZ$38*'⑫ Roll-out Plan'!$O$83</f>
        <v>0</v>
      </c>
      <c r="BA789" s="36" t="n">
        <f aca="false">BA787*$AC$785*BA788*BA$38*'⑫ Roll-out Plan'!$O$83</f>
        <v>0</v>
      </c>
      <c r="BB789" s="36" t="n">
        <f aca="false">BB787*$AC$785*BB788*BB$38*'⑫ Roll-out Plan'!$O$83</f>
        <v>0</v>
      </c>
      <c r="BC789" s="36" t="n">
        <f aca="false">BC787*$AC$785*BC788*BC$38*'⑫ Roll-out Plan'!$O$83</f>
        <v>0</v>
      </c>
      <c r="BD789" s="36" t="n">
        <f aca="false">BD787*$AC$785*BD788*BD$38*'⑫ Roll-out Plan'!$O$83</f>
        <v>0</v>
      </c>
      <c r="BE789" s="36" t="n">
        <f aca="false">BE787*$AC$785*BE788*BE$38*'⑫ Roll-out Plan'!$O$83</f>
        <v>0</v>
      </c>
      <c r="BF789" s="36" t="n">
        <f aca="false">BF787*$AC$785*BF788*BF$38*'⑫ Roll-out Plan'!$O$83</f>
        <v>0</v>
      </c>
      <c r="BG789" s="36" t="n">
        <f aca="false">BG787*$AC$785*BG788*BG$38*'⑫ Roll-out Plan'!$O$83</f>
        <v>0</v>
      </c>
      <c r="BH789" s="36" t="n">
        <f aca="false">BH787*$AC$785*BH788*BH$38*'⑫ Roll-out Plan'!$O$83</f>
        <v>0</v>
      </c>
      <c r="BI789" s="36" t="n">
        <f aca="false">BI787*$AC$785*BI788*BI$38*'⑫ Roll-out Plan'!$O$83</f>
        <v>0</v>
      </c>
      <c r="BJ789" s="36" t="n">
        <f aca="false">BJ787*$AC$785*BJ788*BJ$38*'⑫ Roll-out Plan'!$O$83</f>
        <v>0</v>
      </c>
      <c r="BK789" s="36" t="n">
        <f aca="false">BK787*$AC$785*BK788*BK$38*'⑫ Roll-out Plan'!$O$83</f>
        <v>0</v>
      </c>
      <c r="BL789" s="36" t="n">
        <f aca="false">BL787*$AC$785*BL788*BL$38*'⑫ Roll-out Plan'!$O$83</f>
        <v>0</v>
      </c>
      <c r="BM789" s="36" t="n">
        <f aca="false">BM787*$AC$785*BM788*BM$38*'⑫ Roll-out Plan'!$O$83</f>
        <v>0</v>
      </c>
      <c r="BN789" s="36" t="n">
        <f aca="false">BN787*$AC$785*BN788*BN$38*'⑫ Roll-out Plan'!$O$83</f>
        <v>0</v>
      </c>
      <c r="BO789" s="36" t="n">
        <f aca="false">BO787*$AC$785*BO788*BO$38*'⑫ Roll-out Plan'!$O$83</f>
        <v>0</v>
      </c>
      <c r="BP789" s="36" t="n">
        <f aca="false">BP787*$AC$785*BP788*BP$38*'⑫ Roll-out Plan'!$O$83</f>
        <v>0</v>
      </c>
      <c r="BQ789" s="36" t="n">
        <f aca="false">BQ787*$AC$785*BQ788*BQ$38*'⑫ Roll-out Plan'!$O$83</f>
        <v>0</v>
      </c>
      <c r="BR789" s="36" t="n">
        <f aca="false">BR787*$AC$785*BR788*BR$38*'⑫ Roll-out Plan'!$O$83</f>
        <v>0</v>
      </c>
      <c r="BS789" s="36" t="n">
        <f aca="false">BS787*$AC$785*BS788*BS$38*'⑫ Roll-out Plan'!$O$83</f>
        <v>0</v>
      </c>
      <c r="BT789" s="36" t="n">
        <f aca="false">BT787*$AC$785*BT788*BT$38*'⑫ Roll-out Plan'!$O$83</f>
        <v>0</v>
      </c>
      <c r="BU789" s="36" t="n">
        <f aca="false">BU787*$AC$785*BU788*BU$38*'⑫ Roll-out Plan'!$O$83</f>
        <v>0</v>
      </c>
      <c r="BV789" s="36" t="n">
        <f aca="false">BV787*$AC$785*BV788*BV$38*'⑫ Roll-out Plan'!$O$83</f>
        <v>0</v>
      </c>
      <c r="BW789" s="36" t="n">
        <f aca="false">BW787*$AC$785*BW788*BW$38*'⑫ Roll-out Plan'!$O$83</f>
        <v>0</v>
      </c>
      <c r="BX789" s="36" t="n">
        <f aca="false">BX787*$AC$785*BX788*BX$38*'⑫ Roll-out Plan'!$O$83</f>
        <v>0</v>
      </c>
      <c r="BY789" s="36" t="n">
        <f aca="false">BY787*$AC$785*BY788*BY$38*'⑫ Roll-out Plan'!$O$83</f>
        <v>0</v>
      </c>
      <c r="BZ789" s="36" t="n">
        <f aca="false">BZ787*$AC$785*BZ788*BZ$38*'⑫ Roll-out Plan'!$O$83</f>
        <v>0</v>
      </c>
      <c r="CA789" s="36" t="n">
        <f aca="false">CA787*$AC$785*CA788*CA$38*'⑫ Roll-out Plan'!$O$83</f>
        <v>0</v>
      </c>
      <c r="CB789" s="36" t="n">
        <f aca="false">CB787*$AC$785*CB788*CB$38*'⑫ Roll-out Plan'!$O$83</f>
        <v>0</v>
      </c>
      <c r="CC789" s="36" t="n">
        <f aca="false">CC787*$AC$785*CC788*CC$38*'⑫ Roll-out Plan'!$O$83</f>
        <v>0</v>
      </c>
      <c r="CD789" s="36" t="n">
        <f aca="false">CD787*$AC$785*CD788*CD$38*'⑫ Roll-out Plan'!$O$83</f>
        <v>0</v>
      </c>
      <c r="CE789" s="36" t="n">
        <f aca="false">CE787*$AC$785*CE788*CE$38*'⑫ Roll-out Plan'!$O$83</f>
        <v>0</v>
      </c>
      <c r="CF789" s="36" t="n">
        <f aca="false">CF787*$AC$785*CF788*CF$38*'⑫ Roll-out Plan'!$O$83</f>
        <v>0</v>
      </c>
      <c r="CG789" s="36" t="n">
        <f aca="false">CG787*$AC$785*CG788*CG$38*'⑫ Roll-out Plan'!$O$83</f>
        <v>0</v>
      </c>
      <c r="CH789" s="36" t="n">
        <f aca="false">CH787*$AC$785*CH788*CH$38*'⑫ Roll-out Plan'!$O$83</f>
        <v>0</v>
      </c>
      <c r="CI789" s="36" t="n">
        <f aca="false">CI787*$AC$785*CI788*CI$38*'⑫ Roll-out Plan'!$O$83</f>
        <v>0</v>
      </c>
      <c r="CJ789" s="36" t="n">
        <f aca="false">CJ787*$AC$785*CJ788*CJ$38*'⑫ Roll-out Plan'!$O$83</f>
        <v>0</v>
      </c>
      <c r="CK789" s="36" t="n">
        <f aca="false">CK787*$AC$785*CK788*CK$38*'⑫ Roll-out Plan'!$O$83</f>
        <v>0</v>
      </c>
      <c r="CL789" s="36" t="n">
        <f aca="false">CL787*$AC$785*CL788*CL$38*'⑫ Roll-out Plan'!$O$83</f>
        <v>0</v>
      </c>
      <c r="CM789" s="36" t="n">
        <f aca="false">CM787*$AC$785*CM788*CM$38*'⑫ Roll-out Plan'!$O$83</f>
        <v>0</v>
      </c>
      <c r="CN789" s="36" t="n">
        <f aca="false">CN787*$AC$785*CN788*CN$38*'⑫ Roll-out Plan'!$O$83</f>
        <v>0</v>
      </c>
      <c r="CO789" s="36" t="n">
        <f aca="false">CO787*$AC$785*CO788*CO$38*'⑫ Roll-out Plan'!$O$83</f>
        <v>0</v>
      </c>
      <c r="CP789" s="36" t="n">
        <f aca="false">CP787*$AC$785*CP788*CP$38*'⑫ Roll-out Plan'!$O$83</f>
        <v>0</v>
      </c>
      <c r="CQ789" s="36" t="n">
        <f aca="false">CQ787*$AC$785*CQ788*CQ$38*'⑫ Roll-out Plan'!$O$83</f>
        <v>0</v>
      </c>
      <c r="CR789" s="36" t="n">
        <f aca="false">CR787*$AC$785*CR788*CR$38*'⑫ Roll-out Plan'!$O$83</f>
        <v>0</v>
      </c>
      <c r="CS789" s="36" t="n">
        <f aca="false">CS787*$AC$785*CS788*CS$38*'⑫ Roll-out Plan'!$O$83</f>
        <v>0</v>
      </c>
      <c r="CT789" s="36" t="n">
        <f aca="false">CT787*$AC$785*CT788*CT$38*'⑫ Roll-out Plan'!$O$83</f>
        <v>0</v>
      </c>
      <c r="CU789" s="36" t="n">
        <f aca="false">CU787*$AC$785*CU788*CU$38*'⑫ Roll-out Plan'!$O$83</f>
        <v>0</v>
      </c>
      <c r="CV789" s="36" t="n">
        <f aca="false">CV787*$AC$785*CV788*CV$38*'⑫ Roll-out Plan'!$O$83</f>
        <v>0</v>
      </c>
      <c r="CW789" s="36" t="n">
        <f aca="false">CW787*$AC$785*CW788*CW$38*'⑫ Roll-out Plan'!$O$83</f>
        <v>0</v>
      </c>
      <c r="CX789" s="36" t="n">
        <f aca="false">CX787*$AC$785*CX788*CX$38*'⑫ Roll-out Plan'!$O$83</f>
        <v>0</v>
      </c>
      <c r="CY789" s="36" t="n">
        <f aca="false">CY787*$AC$785*CY788*CY$38*'⑫ Roll-out Plan'!$O$83</f>
        <v>0</v>
      </c>
      <c r="CZ789" s="36" t="n">
        <f aca="false">CZ787*$AC$785*CZ788*CZ$38*'⑫ Roll-out Plan'!$O$83</f>
        <v>0</v>
      </c>
      <c r="DA789" s="36" t="n">
        <f aca="false">DA787*$AC$785*DA788*DA$38*'⑫ Roll-out Plan'!$O$83</f>
        <v>0</v>
      </c>
      <c r="DB789" s="36" t="n">
        <f aca="false">DB787*$AC$785*DB788*DB$38*'⑫ Roll-out Plan'!$O$83</f>
        <v>0</v>
      </c>
      <c r="DC789" s="36" t="n">
        <f aca="false">DC787*$AC$785*DC788*DC$38*'⑫ Roll-out Plan'!$O$83</f>
        <v>0</v>
      </c>
      <c r="DD789" s="36" t="n">
        <f aca="false">DD787*$AC$785*DD788*DD$38*'⑫ Roll-out Plan'!$O$83</f>
        <v>0</v>
      </c>
      <c r="DE789" s="36" t="n">
        <f aca="false">DE787*$AC$785*DE788*DE$38*'⑫ Roll-out Plan'!$O$83</f>
        <v>0</v>
      </c>
      <c r="DF789" s="36" t="n">
        <f aca="false">DF787*$AC$785*DF788*DF$38*'⑫ Roll-out Plan'!$O$83</f>
        <v>0</v>
      </c>
      <c r="DG789" s="36" t="n">
        <f aca="false">DG787*$AC$785*DG788*DG$38*'⑫ Roll-out Plan'!$O$83</f>
        <v>0</v>
      </c>
      <c r="DH789" s="36" t="n">
        <f aca="false">DH787*$AC$785*DH788*DH$38*'⑫ Roll-out Plan'!$O$83</f>
        <v>0</v>
      </c>
      <c r="DI789" s="36" t="n">
        <f aca="false">DI787*$AC$785*DI788*DI$38*'⑫ Roll-out Plan'!$O$83</f>
        <v>0</v>
      </c>
      <c r="DJ789" s="36" t="n">
        <f aca="false">DJ787*$AC$785*DJ788*DJ$38*'⑫ Roll-out Plan'!$O$83</f>
        <v>0</v>
      </c>
      <c r="DK789" s="36" t="n">
        <f aca="false">DK787*$AC$785*DK788*DK$38*'⑫ Roll-out Plan'!$O$83</f>
        <v>0</v>
      </c>
      <c r="DL789" s="36" t="n">
        <f aca="false">DL787*$AC$785*DL788*DL$38*'⑫ Roll-out Plan'!$O$83</f>
        <v>0</v>
      </c>
      <c r="DM789" s="36" t="n">
        <f aca="false">DM787*$AC$785*DM788*DM$38*'⑫ Roll-out Plan'!$O$83</f>
        <v>0</v>
      </c>
      <c r="DN789" s="36" t="n">
        <f aca="false">DN787*$AC$785*DN788*DN$38*'⑫ Roll-out Plan'!$O$83</f>
        <v>0</v>
      </c>
      <c r="DO789" s="36" t="n">
        <f aca="false">DO787*$AC$785*DO788*DO$38*'⑫ Roll-out Plan'!$O$83</f>
        <v>0</v>
      </c>
      <c r="DP789" s="36" t="n">
        <f aca="false">DP787*$AC$785*DP788*DP$38*'⑫ Roll-out Plan'!$O$83</f>
        <v>0</v>
      </c>
      <c r="DQ789" s="36" t="n">
        <f aca="false">DQ787*$AC$785*DQ788*DQ$38*'⑫ Roll-out Plan'!$O$83</f>
        <v>0</v>
      </c>
      <c r="DR789" s="36" t="n">
        <f aca="false">DR787*$AC$785*DR788*DR$38*'⑫ Roll-out Plan'!$O$83</f>
        <v>0</v>
      </c>
      <c r="DS789" s="36" t="n">
        <f aca="false">DS787*$AC$785*DS788*DS$38*'⑫ Roll-out Plan'!$O$83</f>
        <v>0</v>
      </c>
      <c r="DT789" s="36" t="n">
        <f aca="false">DT787*$AC$785*DT788*DT$38*'⑫ Roll-out Plan'!$O$83</f>
        <v>0</v>
      </c>
      <c r="DU789" s="36" t="n">
        <f aca="false">DU787*$AC$785*DU788*DU$38*'⑫ Roll-out Plan'!$O$83</f>
        <v>0</v>
      </c>
      <c r="DV789" s="36" t="n">
        <f aca="false">DV787*$AC$785*DV788*DV$38*'⑫ Roll-out Plan'!$O$83</f>
        <v>0</v>
      </c>
      <c r="DW789" s="36" t="n">
        <f aca="false">DW787*$AC$785*DW788*DW$38*'⑫ Roll-out Plan'!$O$83</f>
        <v>0</v>
      </c>
      <c r="DX789" s="36" t="n">
        <f aca="false">DX787*$AC$785*DX788*DX$38*'⑫ Roll-out Plan'!$O$83</f>
        <v>0</v>
      </c>
      <c r="DY789" s="36" t="n">
        <f aca="false">DY787*$AC$785*DY788*DY$38*'⑫ Roll-out Plan'!$O$83</f>
        <v>0</v>
      </c>
      <c r="DZ789" s="36" t="n">
        <f aca="false">DZ787*$AC$785*DZ788*DZ$38*'⑫ Roll-out Plan'!$O$83</f>
        <v>0</v>
      </c>
      <c r="EA789" s="36" t="n">
        <f aca="false">EA787*$AC$785*EA788*EA$38*'⑫ Roll-out Plan'!$O$83</f>
        <v>0</v>
      </c>
      <c r="EB789" s="36" t="n">
        <f aca="false">EB787*$AC$785*EB788*EB$38*'⑫ Roll-out Plan'!$O$83</f>
        <v>0</v>
      </c>
      <c r="EC789" s="36" t="n">
        <f aca="false">EC787*$AC$785*EC788*EC$38*'⑫ Roll-out Plan'!$O$83</f>
        <v>0</v>
      </c>
      <c r="ED789" s="36" t="n">
        <f aca="false">ED787*$AC$785*ED788*ED$38*'⑫ Roll-out Plan'!$O$83</f>
        <v>0</v>
      </c>
      <c r="EE789" s="36" t="n">
        <f aca="false">EE787*$AC$785*EE788*EE$38*'⑫ Roll-out Plan'!$O$83</f>
        <v>0</v>
      </c>
      <c r="EF789" s="36" t="n">
        <f aca="false">EF787*$AC$785*EF788*EF$38*'⑫ Roll-out Plan'!$O$83</f>
        <v>0</v>
      </c>
      <c r="EG789" s="36" t="n">
        <f aca="false">EG787*$AC$785*EG788*EG$38*'⑫ Roll-out Plan'!$O$83</f>
        <v>0</v>
      </c>
      <c r="EH789" s="36" t="n">
        <f aca="false">EH787*$AC$785*EH788*EH$38*'⑫ Roll-out Plan'!$O$83</f>
        <v>0</v>
      </c>
      <c r="EI789" s="36" t="n">
        <f aca="false">EI787*$AC$785*EI788*EI$38*'⑫ Roll-out Plan'!$O$83</f>
        <v>0</v>
      </c>
      <c r="EJ789" s="36" t="n">
        <f aca="false">EJ787*$AC$785*EJ788*EJ$38*'⑫ Roll-out Plan'!$O$83</f>
        <v>0</v>
      </c>
      <c r="EK789" s="36" t="n">
        <f aca="false">EK787*$AC$785*EK788*EK$38*'⑫ Roll-out Plan'!$O$83</f>
        <v>0</v>
      </c>
      <c r="EL789" s="36" t="n">
        <f aca="false">EL787*$AC$785*EL788*EL$38*'⑫ Roll-out Plan'!$O$83</f>
        <v>0</v>
      </c>
      <c r="EM789" s="36" t="n">
        <f aca="false">EM787*$AC$785*EM788*EM$38*'⑫ Roll-out Plan'!$O$83</f>
        <v>0</v>
      </c>
      <c r="EN789" s="36" t="n">
        <f aca="false">EN787*$AC$785*EN788*EN$38*'⑫ Roll-out Plan'!$O$83</f>
        <v>0</v>
      </c>
      <c r="EO789" s="36" t="n">
        <f aca="false">EO787*$AC$785*EO788*EO$38*'⑫ Roll-out Plan'!$O$83</f>
        <v>0</v>
      </c>
      <c r="EP789" s="36" t="n">
        <f aca="false">EP787*$AC$785*EP788*EP$38*'⑫ Roll-out Plan'!$O$83</f>
        <v>0</v>
      </c>
      <c r="EQ789" s="36" t="n">
        <f aca="false">EQ787*$AC$785*EQ788*EQ$38*'⑫ Roll-out Plan'!$O$83</f>
        <v>0</v>
      </c>
      <c r="ER789" s="36" t="n">
        <f aca="false">ER787*$AC$785*ER788*ER$38*'⑫ Roll-out Plan'!$O$83</f>
        <v>0</v>
      </c>
      <c r="ES789" s="9" t="n">
        <f aca="false">ES787*$AC$785*ES788*ES$38*'⑫ Roll-out Plan'!$O$83</f>
        <v>0</v>
      </c>
      <c r="ET789" s="9" t="n">
        <f aca="false">ET787*$AC$785*ET788*ET$38*'⑫ Roll-out Plan'!$O$83</f>
        <v>0</v>
      </c>
      <c r="EU789" s="9" t="n">
        <f aca="false">EU787*$AC$785*EU788*EU$38*'⑫ Roll-out Plan'!$O$83</f>
        <v>0</v>
      </c>
      <c r="EV789" s="9" t="n">
        <f aca="false">EV787*$AC$785*EV788*EV$38*'⑫ Roll-out Plan'!$O$83</f>
        <v>0</v>
      </c>
      <c r="EW789" s="9" t="n">
        <f aca="false">EW787*$AC$785*EW788*EW$38*'⑫ Roll-out Plan'!$O$83</f>
        <v>0</v>
      </c>
      <c r="EX789" s="9" t="n">
        <f aca="false">EX787*$AC$785*EX788*EX$38*'⑫ Roll-out Plan'!$O$83</f>
        <v>0</v>
      </c>
      <c r="EY789" s="9" t="n">
        <f aca="false">EY787*$AC$785*EY788*EY$38*'⑫ Roll-out Plan'!$O$83</f>
        <v>0</v>
      </c>
      <c r="EZ789" s="9" t="n">
        <f aca="false">EZ787*$AC$785*EZ788*EZ$38*'⑫ Roll-out Plan'!$O$83</f>
        <v>0</v>
      </c>
      <c r="FA789" s="9" t="n">
        <f aca="false">FA787*$AC$785*FA788*FA$38*'⑫ Roll-out Plan'!$O$83</f>
        <v>0</v>
      </c>
      <c r="FB789" s="9" t="n">
        <f aca="false">FB787*$AC$785*FB788*FB$38*'⑫ Roll-out Plan'!$O$83</f>
        <v>0</v>
      </c>
      <c r="FC789" s="9" t="n">
        <f aca="false">FC787*$AC$785*FC788*FC$38*'⑫ Roll-out Plan'!$O$83</f>
        <v>26.64</v>
      </c>
      <c r="FD789" s="9" t="n">
        <f aca="false">FD787*$AC$785*FD788*FD$38*'⑫ Roll-out Plan'!$O$83</f>
        <v>41.514</v>
      </c>
      <c r="FE789" s="9" t="n">
        <f aca="false">FE787*$AC$785*FE788*FE$38*'⑫ Roll-out Plan'!$O$83</f>
        <v>47.952</v>
      </c>
      <c r="FF789" s="9" t="n">
        <f aca="false">FF787*$AC$785*FF788*FF$38*'⑫ Roll-out Plan'!$O$83</f>
        <v>40.959</v>
      </c>
      <c r="FG789" s="9" t="n">
        <f aca="false">FG787*$AC$785*FG788*FG$38*'⑫ Roll-out Plan'!$O$83</f>
        <v>57.942</v>
      </c>
      <c r="FH789" s="9" t="n">
        <f aca="false">FH787*$AC$785*FH788*FH$38*'⑫ Roll-out Plan'!$O$83</f>
        <v>63.085</v>
      </c>
      <c r="FI789" s="9" t="n">
        <f aca="false">FI787*$AC$785*FI788*FI$38*'⑫ Roll-out Plan'!$O$83</f>
        <v>59.57</v>
      </c>
      <c r="FJ789" s="9" t="n">
        <f aca="false">FJ787*$AC$785*FJ788*FJ$38*'⑫ Roll-out Plan'!$O$83</f>
        <v>57.72</v>
      </c>
      <c r="FK789" s="9" t="n">
        <f aca="false">FK787*$AC$785*FK788*FK$38*'⑫ Roll-out Plan'!$O$83</f>
        <v>68.376</v>
      </c>
      <c r="FL789" s="9" t="n">
        <f aca="false">FL787*$AC$785*FL788*FL$38*'⑫ Roll-out Plan'!$O$83</f>
        <v>115.588</v>
      </c>
      <c r="FM789" s="9" t="n">
        <f aca="false">FM787*$AC$785*FM788*FM$38*'⑫ Roll-out Plan'!$O$83</f>
        <v>103.008</v>
      </c>
      <c r="FN789" s="9" t="n">
        <f aca="false">FN787*$AC$785*FN788*FN$38*'⑫ Roll-out Plan'!$O$83</f>
        <v>92.352</v>
      </c>
      <c r="FO789" s="9" t="n">
        <f aca="false">FO787*$AC$785*FO788*FO$38*'⑫ Roll-out Plan'!$O$83</f>
        <v>74.592</v>
      </c>
      <c r="FP789" s="9" t="n">
        <f aca="false">FP787*$AC$785*FP788*FP$38*'⑫ Roll-out Plan'!$O$83</f>
        <v>113.22</v>
      </c>
    </row>
    <row r="790" customFormat="false" ht="15" hidden="false" customHeight="false" outlineLevel="2" collapsed="false">
      <c r="B790" s="9" t="s">
        <v>877</v>
      </c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112" t="n">
        <f aca="true">IFERROR(SUMPRODUCT(OFFSET($BJ$31,0,1-MIN(60,COLUMN()-29),1,MIN(60,COLUMN()-29)),OFFSET(AC789,0,-MIN(60,COLUMN()-29),1,MIN(60,COLUMN()-29))),0)</f>
        <v>0</v>
      </c>
      <c r="AD790" s="112" t="n">
        <f aca="true">IFERROR(SUMPRODUCT(OFFSET($BJ$31,0,1-MIN(60,COLUMN()-29),1,MIN(60,COLUMN()-29)),OFFSET(AD789,0,-MIN(60,COLUMN()-29),1,MIN(60,COLUMN()-29))),0)</f>
        <v>0</v>
      </c>
      <c r="AE790" s="112" t="n">
        <f aca="true">IFERROR(SUMPRODUCT(OFFSET($BJ$31,0,1-MIN(60,COLUMN()-29),1,MIN(60,COLUMN()-29)),OFFSET(AE789,0,-MIN(60,COLUMN()-29),1,MIN(60,COLUMN()-29))),0)</f>
        <v>0</v>
      </c>
      <c r="AF790" s="112" t="n">
        <f aca="true">IFERROR(SUMPRODUCT(OFFSET($BJ$31,0,1-MIN(60,COLUMN()-29),1,MIN(60,COLUMN()-29)),OFFSET(AF789,0,-MIN(60,COLUMN()-29),1,MIN(60,COLUMN()-29))),0)</f>
        <v>0</v>
      </c>
      <c r="AG790" s="112" t="n">
        <f aca="true">IFERROR(SUMPRODUCT(OFFSET($BJ$31,0,1-MIN(60,COLUMN()-29),1,MIN(60,COLUMN()-29)),OFFSET(AG789,0,-MIN(60,COLUMN()-29),1,MIN(60,COLUMN()-29))),0)</f>
        <v>0</v>
      </c>
      <c r="AH790" s="112" t="n">
        <f aca="true">IFERROR(SUMPRODUCT(OFFSET($BJ$31,0,1-MIN(60,COLUMN()-29),1,MIN(60,COLUMN()-29)),OFFSET(AH789,0,-MIN(60,COLUMN()-29),1,MIN(60,COLUMN()-29))),0)</f>
        <v>0</v>
      </c>
      <c r="AI790" s="112" t="n">
        <f aca="true">IFERROR(SUMPRODUCT(OFFSET($BJ$31,0,1-MIN(60,COLUMN()-29),1,MIN(60,COLUMN()-29)),OFFSET(AI789,0,-MIN(60,COLUMN()-29),1,MIN(60,COLUMN()-29))),0)</f>
        <v>0</v>
      </c>
      <c r="AJ790" s="112" t="n">
        <f aca="true">IFERROR(SUMPRODUCT(OFFSET($BJ$31,0,1-MIN(60,COLUMN()-29),1,MIN(60,COLUMN()-29)),OFFSET(AJ789,0,-MIN(60,COLUMN()-29),1,MIN(60,COLUMN()-29))),0)</f>
        <v>0</v>
      </c>
      <c r="AK790" s="112" t="n">
        <f aca="true">IFERROR(SUMPRODUCT(OFFSET($BJ$31,0,1-MIN(60,COLUMN()-29),1,MIN(60,COLUMN()-29)),OFFSET(AK789,0,-MIN(60,COLUMN()-29),1,MIN(60,COLUMN()-29))),0)</f>
        <v>0</v>
      </c>
      <c r="AL790" s="112" t="n">
        <f aca="true">IFERROR(SUMPRODUCT(OFFSET($BJ$31,0,1-MIN(60,COLUMN()-29),1,MIN(60,COLUMN()-29)),OFFSET(AL789,0,-MIN(60,COLUMN()-29),1,MIN(60,COLUMN()-29))),0)</f>
        <v>0</v>
      </c>
      <c r="AM790" s="112" t="n">
        <f aca="true">IFERROR(SUMPRODUCT(OFFSET($BJ$31,0,1-MIN(60,COLUMN()-29),1,MIN(60,COLUMN()-29)),OFFSET(AM789,0,-MIN(60,COLUMN()-29),1,MIN(60,COLUMN()-29))),0)</f>
        <v>0</v>
      </c>
      <c r="AN790" s="239" t="n">
        <f aca="true">IFERROR(SUMPRODUCT(OFFSET($BJ$31,0,1-MIN(60,COLUMN()-29),1,MIN(60,COLUMN()-29)),OFFSET(AN789,0,-MIN(60,COLUMN()-29),1,MIN(60,COLUMN()-29))),0)</f>
        <v>0</v>
      </c>
      <c r="AO790" s="112" t="n">
        <f aca="true">IFERROR(SUMPRODUCT(OFFSET($BJ$31,0,1-MIN(60,COLUMN()-29),1,MIN(60,COLUMN()-29)),OFFSET(AO789,0,-MIN(60,COLUMN()-29),1,MIN(60,COLUMN()-29))),0)</f>
        <v>0</v>
      </c>
      <c r="AP790" s="112" t="n">
        <f aca="true">IFERROR(SUMPRODUCT(OFFSET($BJ$31,0,1-MIN(60,COLUMN()-29),1,MIN(60,COLUMN()-29)),OFFSET(AP789,0,-MIN(60,COLUMN()-29),1,MIN(60,COLUMN()-29))),0)</f>
        <v>0</v>
      </c>
      <c r="AQ790" s="112" t="n">
        <f aca="true">IFERROR(SUMPRODUCT(OFFSET($BJ$31,0,1-MIN(60,COLUMN()-29),1,MIN(60,COLUMN()-29)),OFFSET(AQ789,0,-MIN(60,COLUMN()-29),1,MIN(60,COLUMN()-29))),0)</f>
        <v>0</v>
      </c>
      <c r="AR790" s="112" t="n">
        <f aca="true">IFERROR(SUMPRODUCT(OFFSET($BJ$31,0,1-MIN(60,COLUMN()-29),1,MIN(60,COLUMN()-29)),OFFSET(AR789,0,-MIN(60,COLUMN()-29),1,MIN(60,COLUMN()-29))),0)</f>
        <v>0</v>
      </c>
      <c r="AS790" s="112" t="n">
        <f aca="true">IFERROR(SUMPRODUCT(OFFSET($BJ$31,0,1-MIN(60,COLUMN()-29),1,MIN(60,COLUMN()-29)),OFFSET(AS789,0,-MIN(60,COLUMN()-29),1,MIN(60,COLUMN()-29))),0)</f>
        <v>0</v>
      </c>
      <c r="AT790" s="112" t="n">
        <f aca="true">IFERROR(SUMPRODUCT(OFFSET($BJ$31,0,1-MIN(60,COLUMN()-29),1,MIN(60,COLUMN()-29)),OFFSET(AT789,0,-MIN(60,COLUMN()-29),1,MIN(60,COLUMN()-29))),0)</f>
        <v>0</v>
      </c>
      <c r="AU790" s="112" t="n">
        <f aca="true">IFERROR(SUMPRODUCT(OFFSET($BJ$31,0,1-MIN(60,COLUMN()-29),1,MIN(60,COLUMN()-29)),OFFSET(AU789,0,-MIN(60,COLUMN()-29),1,MIN(60,COLUMN()-29))),0)</f>
        <v>0</v>
      </c>
      <c r="AV790" s="112" t="n">
        <f aca="true">IFERROR(SUMPRODUCT(OFFSET($BJ$31,0,1-MIN(60,COLUMN()-29),1,MIN(60,COLUMN()-29)),OFFSET(AV789,0,-MIN(60,COLUMN()-29),1,MIN(60,COLUMN()-29))),0)</f>
        <v>0</v>
      </c>
      <c r="AW790" s="112" t="n">
        <f aca="true">IFERROR(SUMPRODUCT(OFFSET($BJ$31,0,1-MIN(60,COLUMN()-29),1,MIN(60,COLUMN()-29)),OFFSET(AW789,0,-MIN(60,COLUMN()-29),1,MIN(60,COLUMN()-29))),0)</f>
        <v>0</v>
      </c>
      <c r="AX790" s="112" t="n">
        <f aca="true">IFERROR(SUMPRODUCT(OFFSET($BJ$31,0,1-MIN(60,COLUMN()-29),1,MIN(60,COLUMN()-29)),OFFSET(AX789,0,-MIN(60,COLUMN()-29),1,MIN(60,COLUMN()-29))),0)</f>
        <v>0</v>
      </c>
      <c r="AY790" s="112" t="n">
        <f aca="true">IFERROR(SUMPRODUCT(OFFSET($BJ$31,0,1-MIN(60,COLUMN()-29),1,MIN(60,COLUMN()-29)),OFFSET(AY789,0,-MIN(60,COLUMN()-29),1,MIN(60,COLUMN()-29))),0)</f>
        <v>0</v>
      </c>
      <c r="AZ790" s="112" t="n">
        <f aca="true">IFERROR(SUMPRODUCT(OFFSET($BJ$31,0,1-MIN(60,COLUMN()-29),1,MIN(60,COLUMN()-29)),OFFSET(AZ789,0,-MIN(60,COLUMN()-29),1,MIN(60,COLUMN()-29))),0)</f>
        <v>0</v>
      </c>
      <c r="BA790" s="112" t="n">
        <f aca="true">IFERROR(SUMPRODUCT(OFFSET($BJ$31,0,1-MIN(60,COLUMN()-29),1,MIN(60,COLUMN()-29)),OFFSET(BA789,0,-MIN(60,COLUMN()-29),1,MIN(60,COLUMN()-29))),0)</f>
        <v>0</v>
      </c>
      <c r="BB790" s="112" t="n">
        <f aca="true">IFERROR(SUMPRODUCT(OFFSET($BJ$31,0,1-MIN(60,COLUMN()-29),1,MIN(60,COLUMN()-29)),OFFSET(BB789,0,-MIN(60,COLUMN()-29),1,MIN(60,COLUMN()-29))),0)</f>
        <v>0</v>
      </c>
      <c r="BC790" s="112" t="n">
        <f aca="true">IFERROR(SUMPRODUCT(OFFSET($BJ$31,0,1-MIN(60,COLUMN()-29),1,MIN(60,COLUMN()-29)),OFFSET(BC789,0,-MIN(60,COLUMN()-29),1,MIN(60,COLUMN()-29))),0)</f>
        <v>0</v>
      </c>
      <c r="BD790" s="112" t="n">
        <f aca="true">IFERROR(SUMPRODUCT(OFFSET($BJ$31,0,1-MIN(60,COLUMN()-29),1,MIN(60,COLUMN()-29)),OFFSET(BD789,0,-MIN(60,COLUMN()-29),1,MIN(60,COLUMN()-29))),0)</f>
        <v>0</v>
      </c>
      <c r="BE790" s="112" t="n">
        <f aca="true">IFERROR(SUMPRODUCT(OFFSET($BJ$31,0,1-MIN(60,COLUMN()-29),1,MIN(60,COLUMN()-29)),OFFSET(BE789,0,-MIN(60,COLUMN()-29),1,MIN(60,COLUMN()-29))),0)</f>
        <v>0</v>
      </c>
      <c r="BF790" s="112" t="n">
        <f aca="true">IFERROR(SUMPRODUCT(OFFSET($BJ$31,0,1-MIN(60,COLUMN()-29),1,MIN(60,COLUMN()-29)),OFFSET(BF789,0,-MIN(60,COLUMN()-29),1,MIN(60,COLUMN()-29))),0)</f>
        <v>0</v>
      </c>
      <c r="BG790" s="112" t="n">
        <f aca="true">IFERROR(SUMPRODUCT(OFFSET($BJ$31,0,1-MIN(60,COLUMN()-29),1,MIN(60,COLUMN()-29)),OFFSET(BG789,0,-MIN(60,COLUMN()-29),1,MIN(60,COLUMN()-29))),0)</f>
        <v>0</v>
      </c>
      <c r="BH790" s="112" t="n">
        <f aca="true">IFERROR(SUMPRODUCT(OFFSET($BJ$31,0,1-MIN(60,COLUMN()-29),1,MIN(60,COLUMN()-29)),OFFSET(BH789,0,-MIN(60,COLUMN()-29),1,MIN(60,COLUMN()-29))),0)</f>
        <v>0</v>
      </c>
      <c r="BI790" s="112" t="n">
        <f aca="true">IFERROR(SUMPRODUCT(OFFSET($BJ$31,0,1-MIN(60,COLUMN()-29),1,MIN(60,COLUMN()-29)),OFFSET(BI789,0,-MIN(60,COLUMN()-29),1,MIN(60,COLUMN()-29))),0)</f>
        <v>0</v>
      </c>
      <c r="BJ790" s="112" t="n">
        <f aca="true">IFERROR(SUMPRODUCT(OFFSET($BJ$31,0,1-MIN(60,COLUMN()-29),1,MIN(60,COLUMN()-29)),OFFSET(BJ789,0,-MIN(60,COLUMN()-29),1,MIN(60,COLUMN()-29))),0)</f>
        <v>0</v>
      </c>
      <c r="BK790" s="112" t="n">
        <f aca="true">IFERROR(SUMPRODUCT(OFFSET($BJ$31,0,1-MIN(60,COLUMN()-29),1,MIN(60,COLUMN()-29)),OFFSET(BK789,0,-MIN(60,COLUMN()-29),1,MIN(60,COLUMN()-29))),0)</f>
        <v>0</v>
      </c>
      <c r="BL790" s="112" t="n">
        <f aca="true">IFERROR(SUMPRODUCT(OFFSET($BJ$31,0,1-MIN(60,COLUMN()-29),1,MIN(60,COLUMN()-29)),OFFSET(BL789,0,-MIN(60,COLUMN()-29),1,MIN(60,COLUMN()-29))),0)</f>
        <v>0</v>
      </c>
      <c r="BM790" s="112" t="n">
        <f aca="true">IFERROR(SUMPRODUCT(OFFSET($BJ$31,0,1-MIN(60,COLUMN()-29),1,MIN(60,COLUMN()-29)),OFFSET(BM789,0,-MIN(60,COLUMN()-29),1,MIN(60,COLUMN()-29))),0)</f>
        <v>0</v>
      </c>
      <c r="BN790" s="112" t="n">
        <f aca="true">IFERROR(SUMPRODUCT(OFFSET($BJ$31,0,1-MIN(60,COLUMN()-29),1,MIN(60,COLUMN()-29)),OFFSET(BN789,0,-MIN(60,COLUMN()-29),1,MIN(60,COLUMN()-29))),0)</f>
        <v>0</v>
      </c>
      <c r="BO790" s="112" t="n">
        <f aca="true">IFERROR(SUMPRODUCT(OFFSET($BJ$31,0,1-MIN(60,COLUMN()-29),1,MIN(60,COLUMN()-29)),OFFSET(BO789,0,-MIN(60,COLUMN()-29),1,MIN(60,COLUMN()-29))),0)</f>
        <v>0</v>
      </c>
      <c r="BP790" s="112" t="n">
        <f aca="true">IFERROR(SUMPRODUCT(OFFSET($BJ$31,0,1-MIN(60,COLUMN()-29),1,MIN(60,COLUMN()-29)),OFFSET(BP789,0,-MIN(60,COLUMN()-29),1,MIN(60,COLUMN()-29))),0)</f>
        <v>0</v>
      </c>
      <c r="BQ790" s="112" t="n">
        <f aca="true">IFERROR(SUMPRODUCT(OFFSET($BJ$31,0,1-MIN(60,COLUMN()-29),1,MIN(60,COLUMN()-29)),OFFSET(BQ789,0,-MIN(60,COLUMN()-29),1,MIN(60,COLUMN()-29))),0)</f>
        <v>0</v>
      </c>
      <c r="BR790" s="112" t="n">
        <f aca="true">IFERROR(SUMPRODUCT(OFFSET($BJ$31,0,1-MIN(60,COLUMN()-29),1,MIN(60,COLUMN()-29)),OFFSET(BR789,0,-MIN(60,COLUMN()-29),1,MIN(60,COLUMN()-29))),0)</f>
        <v>0</v>
      </c>
      <c r="BS790" s="112" t="n">
        <f aca="true">IFERROR(SUMPRODUCT(OFFSET($BJ$31,0,1-MIN(60,COLUMN()-29),1,MIN(60,COLUMN()-29)),OFFSET(BS789,0,-MIN(60,COLUMN()-29),1,MIN(60,COLUMN()-29))),0)</f>
        <v>0</v>
      </c>
      <c r="BT790" s="112" t="n">
        <f aca="true">IFERROR(SUMPRODUCT(OFFSET($BJ$31,0,1-MIN(60,COLUMN()-29),1,MIN(60,COLUMN()-29)),OFFSET(BT789,0,-MIN(60,COLUMN()-29),1,MIN(60,COLUMN()-29))),0)</f>
        <v>0</v>
      </c>
      <c r="BU790" s="112" t="n">
        <f aca="true">IFERROR(SUMPRODUCT(OFFSET($BJ$31,0,1-MIN(60,COLUMN()-29),1,MIN(60,COLUMN()-29)),OFFSET(BU789,0,-MIN(60,COLUMN()-29),1,MIN(60,COLUMN()-29))),0)</f>
        <v>0</v>
      </c>
      <c r="BV790" s="112" t="n">
        <f aca="true">IFERROR(SUMPRODUCT(OFFSET($BJ$31,0,1-MIN(60,COLUMN()-29),1,MIN(60,COLUMN()-29)),OFFSET(BV789,0,-MIN(60,COLUMN()-29),1,MIN(60,COLUMN()-29))),0)</f>
        <v>0</v>
      </c>
      <c r="BW790" s="112" t="n">
        <f aca="true">IFERROR(SUMPRODUCT(OFFSET($BJ$31,0,1-MIN(60,COLUMN()-29),1,MIN(60,COLUMN()-29)),OFFSET(BW789,0,-MIN(60,COLUMN()-29),1,MIN(60,COLUMN()-29))),0)</f>
        <v>0</v>
      </c>
      <c r="BX790" s="112" t="n">
        <f aca="true">IFERROR(SUMPRODUCT(OFFSET($BJ$31,0,1-MIN(60,COLUMN()-29),1,MIN(60,COLUMN()-29)),OFFSET(BX789,0,-MIN(60,COLUMN()-29),1,MIN(60,COLUMN()-29))),0)</f>
        <v>0</v>
      </c>
      <c r="BY790" s="112" t="n">
        <f aca="true">IFERROR(SUMPRODUCT(OFFSET($BJ$31,0,1-MIN(60,COLUMN()-29),1,MIN(60,COLUMN()-29)),OFFSET(BY789,0,-MIN(60,COLUMN()-29),1,MIN(60,COLUMN()-29))),0)</f>
        <v>0</v>
      </c>
      <c r="BZ790" s="112" t="n">
        <f aca="true">IFERROR(SUMPRODUCT(OFFSET($BJ$31,0,1-MIN(60,COLUMN()-29),1,MIN(60,COLUMN()-29)),OFFSET(BZ789,0,-MIN(60,COLUMN()-29),1,MIN(60,COLUMN()-29))),0)</f>
        <v>0</v>
      </c>
      <c r="CA790" s="112" t="n">
        <f aca="true">IFERROR(SUMPRODUCT(OFFSET($BJ$31,0,1-MIN(60,COLUMN()-29),1,MIN(60,COLUMN()-29)),OFFSET(CA789,0,-MIN(60,COLUMN()-29),1,MIN(60,COLUMN()-29))),0)</f>
        <v>0</v>
      </c>
      <c r="CB790" s="112" t="n">
        <f aca="true">IFERROR(SUMPRODUCT(OFFSET($BJ$31,0,1-MIN(60,COLUMN()-29),1,MIN(60,COLUMN()-29)),OFFSET(CB789,0,-MIN(60,COLUMN()-29),1,MIN(60,COLUMN()-29))),0)</f>
        <v>0</v>
      </c>
      <c r="CC790" s="112" t="n">
        <f aca="true">IFERROR(SUMPRODUCT(OFFSET($BJ$31,0,1-MIN(60,COLUMN()-29),1,MIN(60,COLUMN()-29)),OFFSET(CC789,0,-MIN(60,COLUMN()-29),1,MIN(60,COLUMN()-29))),0)</f>
        <v>0</v>
      </c>
      <c r="CD790" s="112" t="n">
        <f aca="true">IFERROR(SUMPRODUCT(OFFSET($BJ$31,0,1-MIN(60,COLUMN()-29),1,MIN(60,COLUMN()-29)),OFFSET(CD789,0,-MIN(60,COLUMN()-29),1,MIN(60,COLUMN()-29))),0)</f>
        <v>0</v>
      </c>
      <c r="CE790" s="112" t="n">
        <f aca="true">IFERROR(SUMPRODUCT(OFFSET($BJ$31,0,1-MIN(60,COLUMN()-29),1,MIN(60,COLUMN()-29)),OFFSET(CE789,0,-MIN(60,COLUMN()-29),1,MIN(60,COLUMN()-29))),0)</f>
        <v>0</v>
      </c>
      <c r="CF790" s="112" t="n">
        <f aca="true">IFERROR(SUMPRODUCT(OFFSET($BJ$31,0,1-MIN(60,COLUMN()-29),1,MIN(60,COLUMN()-29)),OFFSET(CF789,0,-MIN(60,COLUMN()-29),1,MIN(60,COLUMN()-29))),0)</f>
        <v>0</v>
      </c>
      <c r="CG790" s="112" t="n">
        <f aca="true">IFERROR(SUMPRODUCT(OFFSET($BJ$31,0,1-MIN(60,COLUMN()-29),1,MIN(60,COLUMN()-29)),OFFSET(CG789,0,-MIN(60,COLUMN()-29),1,MIN(60,COLUMN()-29))),0)</f>
        <v>0</v>
      </c>
      <c r="CH790" s="112" t="n">
        <f aca="true">IFERROR(SUMPRODUCT(OFFSET($BJ$31,0,1-MIN(60,COLUMN()-29),1,MIN(60,COLUMN()-29)),OFFSET(CH789,0,-MIN(60,COLUMN()-29),1,MIN(60,COLUMN()-29))),0)</f>
        <v>0</v>
      </c>
      <c r="CI790" s="112" t="n">
        <f aca="true">IFERROR(SUMPRODUCT(OFFSET($BJ$31,0,1-MIN(60,COLUMN()-29),1,MIN(60,COLUMN()-29)),OFFSET(CI789,0,-MIN(60,COLUMN()-29),1,MIN(60,COLUMN()-29))),0)</f>
        <v>0</v>
      </c>
      <c r="CJ790" s="112" t="n">
        <f aca="true">IFERROR(SUMPRODUCT(OFFSET($BJ$31,0,1-MIN(60,COLUMN()-29),1,MIN(60,COLUMN()-29)),OFFSET(CJ789,0,-MIN(60,COLUMN()-29),1,MIN(60,COLUMN()-29))),0)</f>
        <v>0</v>
      </c>
      <c r="CK790" s="112" t="n">
        <f aca="true">IFERROR(SUMPRODUCT(OFFSET($BJ$31,0,1-MIN(60,COLUMN()-29),1,MIN(60,COLUMN()-29)),OFFSET(CK789,0,-MIN(60,COLUMN()-29),1,MIN(60,COLUMN()-29))),0)</f>
        <v>0</v>
      </c>
      <c r="CL790" s="112" t="n">
        <f aca="true">IFERROR(SUMPRODUCT(OFFSET($BJ$31,0,1-MIN(60,COLUMN()-29),1,MIN(60,COLUMN()-29)),OFFSET(CL789,0,-MIN(60,COLUMN()-29),1,MIN(60,COLUMN()-29))),0)</f>
        <v>0</v>
      </c>
      <c r="CM790" s="112" t="n">
        <f aca="true">IFERROR(SUMPRODUCT(OFFSET($BJ$31,0,1-MIN(60,COLUMN()-29),1,MIN(60,COLUMN()-29)),OFFSET(CM789,0,-MIN(60,COLUMN()-29),1,MIN(60,COLUMN()-29))),0)</f>
        <v>0</v>
      </c>
      <c r="CN790" s="112" t="n">
        <f aca="true">IFERROR(SUMPRODUCT(OFFSET($BJ$31,0,1-MIN(60,COLUMN()-29),1,MIN(60,COLUMN()-29)),OFFSET(CN789,0,-MIN(60,COLUMN()-29),1,MIN(60,COLUMN()-29))),0)</f>
        <v>0</v>
      </c>
      <c r="CO790" s="112" t="n">
        <f aca="true">IFERROR(SUMPRODUCT(OFFSET($BJ$31,0,1-MIN(60,COLUMN()-29),1,MIN(60,COLUMN()-29)),OFFSET(CO789,0,-MIN(60,COLUMN()-29),1,MIN(60,COLUMN()-29))),0)</f>
        <v>0</v>
      </c>
      <c r="CP790" s="112" t="n">
        <f aca="true">IFERROR(SUMPRODUCT(OFFSET($BJ$31,0,1-MIN(60,COLUMN()-29),1,MIN(60,COLUMN()-29)),OFFSET(CP789,0,-MIN(60,COLUMN()-29),1,MIN(60,COLUMN()-29))),0)</f>
        <v>0</v>
      </c>
      <c r="CQ790" s="112" t="n">
        <f aca="true">IFERROR(SUMPRODUCT(OFFSET($BJ$31,0,1-MIN(60,COLUMN()-29),1,MIN(60,COLUMN()-29)),OFFSET(CQ789,0,-MIN(60,COLUMN()-29),1,MIN(60,COLUMN()-29))),0)</f>
        <v>0</v>
      </c>
      <c r="CR790" s="112" t="n">
        <f aca="true">IFERROR(SUMPRODUCT(OFFSET($BJ$31,0,1-MIN(60,COLUMN()-29),1,MIN(60,COLUMN()-29)),OFFSET(CR789,0,-MIN(60,COLUMN()-29),1,MIN(60,COLUMN()-29))),0)</f>
        <v>0</v>
      </c>
      <c r="CS790" s="112" t="n">
        <f aca="true">IFERROR(SUMPRODUCT(OFFSET($BJ$31,0,1-MIN(60,COLUMN()-29),1,MIN(60,COLUMN()-29)),OFFSET(CS789,0,-MIN(60,COLUMN()-29),1,MIN(60,COLUMN()-29))),0)</f>
        <v>0</v>
      </c>
      <c r="CT790" s="112" t="n">
        <f aca="true">IFERROR(SUMPRODUCT(OFFSET($BJ$31,0,1-MIN(60,COLUMN()-29),1,MIN(60,COLUMN()-29)),OFFSET(CT789,0,-MIN(60,COLUMN()-29),1,MIN(60,COLUMN()-29))),0)</f>
        <v>0</v>
      </c>
      <c r="CU790" s="112" t="n">
        <f aca="true">IFERROR(SUMPRODUCT(OFFSET($BJ$31,0,1-MIN(60,COLUMN()-29),1,MIN(60,COLUMN()-29)),OFFSET(CU789,0,-MIN(60,COLUMN()-29),1,MIN(60,COLUMN()-29))),0)</f>
        <v>0</v>
      </c>
      <c r="CV790" s="112" t="n">
        <f aca="true">IFERROR(SUMPRODUCT(OFFSET($BJ$31,0,1-MIN(60,COLUMN()-29),1,MIN(60,COLUMN()-29)),OFFSET(CV789,0,-MIN(60,COLUMN()-29),1,MIN(60,COLUMN()-29))),0)</f>
        <v>0</v>
      </c>
      <c r="CW790" s="112" t="n">
        <f aca="true">IFERROR(SUMPRODUCT(OFFSET($BJ$31,0,1-MIN(60,COLUMN()-29),1,MIN(60,COLUMN()-29)),OFFSET(CW789,0,-MIN(60,COLUMN()-29),1,MIN(60,COLUMN()-29))),0)</f>
        <v>0</v>
      </c>
      <c r="CX790" s="112" t="n">
        <f aca="true">IFERROR(SUMPRODUCT(OFFSET($BJ$31,0,1-MIN(60,COLUMN()-29),1,MIN(60,COLUMN()-29)),OFFSET(CX789,0,-MIN(60,COLUMN()-29),1,MIN(60,COLUMN()-29))),0)</f>
        <v>0</v>
      </c>
      <c r="CY790" s="112" t="n">
        <f aca="true">IFERROR(SUMPRODUCT(OFFSET($BJ$31,0,1-MIN(60,COLUMN()-29),1,MIN(60,COLUMN()-29)),OFFSET(CY789,0,-MIN(60,COLUMN()-29),1,MIN(60,COLUMN()-29))),0)</f>
        <v>0</v>
      </c>
      <c r="CZ790" s="112" t="n">
        <f aca="true">IFERROR(SUMPRODUCT(OFFSET($BJ$31,0,1-MIN(60,COLUMN()-29),1,MIN(60,COLUMN()-29)),OFFSET(CZ789,0,-MIN(60,COLUMN()-29),1,MIN(60,COLUMN()-29))),0)</f>
        <v>0</v>
      </c>
      <c r="DA790" s="112" t="n">
        <f aca="true">IFERROR(SUMPRODUCT(OFFSET($BJ$31,0,1-MIN(60,COLUMN()-29),1,MIN(60,COLUMN()-29)),OFFSET(DA789,0,-MIN(60,COLUMN()-29),1,MIN(60,COLUMN()-29))),0)</f>
        <v>0</v>
      </c>
      <c r="DB790" s="112" t="n">
        <f aca="true">IFERROR(SUMPRODUCT(OFFSET($BJ$31,0,1-MIN(60,COLUMN()-29),1,MIN(60,COLUMN()-29)),OFFSET(DB789,0,-MIN(60,COLUMN()-29),1,MIN(60,COLUMN()-29))),0)</f>
        <v>0</v>
      </c>
      <c r="DC790" s="112" t="n">
        <f aca="true">IFERROR(SUMPRODUCT(OFFSET($BJ$31,0,1-MIN(60,COLUMN()-29),1,MIN(60,COLUMN()-29)),OFFSET(DC789,0,-MIN(60,COLUMN()-29),1,MIN(60,COLUMN()-29))),0)</f>
        <v>0</v>
      </c>
      <c r="DD790" s="112" t="n">
        <f aca="true">IFERROR(SUMPRODUCT(OFFSET($BJ$31,0,1-MIN(60,COLUMN()-29),1,MIN(60,COLUMN()-29)),OFFSET(DD789,0,-MIN(60,COLUMN()-29),1,MIN(60,COLUMN()-29))),0)</f>
        <v>0</v>
      </c>
      <c r="DE790" s="112" t="n">
        <f aca="true">IFERROR(SUMPRODUCT(OFFSET($BJ$31,0,1-MIN(60,COLUMN()-29),1,MIN(60,COLUMN()-29)),OFFSET(DE789,0,-MIN(60,COLUMN()-29),1,MIN(60,COLUMN()-29))),0)</f>
        <v>0</v>
      </c>
      <c r="DF790" s="112" t="n">
        <f aca="true">IFERROR(SUMPRODUCT(OFFSET($BJ$31,0,1-MIN(60,COLUMN()-29),1,MIN(60,COLUMN()-29)),OFFSET(DF789,0,-MIN(60,COLUMN()-29),1,MIN(60,COLUMN()-29))),0)</f>
        <v>0</v>
      </c>
      <c r="DG790" s="112" t="n">
        <f aca="true">IFERROR(SUMPRODUCT(OFFSET($BJ$31,0,1-MIN(60,COLUMN()-29),1,MIN(60,COLUMN()-29)),OFFSET(DG789,0,-MIN(60,COLUMN()-29),1,MIN(60,COLUMN()-29))),0)</f>
        <v>0</v>
      </c>
      <c r="DH790" s="112" t="n">
        <f aca="true">IFERROR(SUMPRODUCT(OFFSET($BJ$31,0,1-MIN(60,COLUMN()-29),1,MIN(60,COLUMN()-29)),OFFSET(DH789,0,-MIN(60,COLUMN()-29),1,MIN(60,COLUMN()-29))),0)</f>
        <v>0</v>
      </c>
      <c r="DI790" s="112" t="n">
        <f aca="true">IFERROR(SUMPRODUCT(OFFSET($BJ$31,0,1-MIN(60,COLUMN()-29),1,MIN(60,COLUMN()-29)),OFFSET(DI789,0,-MIN(60,COLUMN()-29),1,MIN(60,COLUMN()-29))),0)</f>
        <v>0</v>
      </c>
      <c r="DJ790" s="112" t="n">
        <f aca="true">IFERROR(SUMPRODUCT(OFFSET($BJ$31,0,1-MIN(60,COLUMN()-29),1,MIN(60,COLUMN()-29)),OFFSET(DJ789,0,-MIN(60,COLUMN()-29),1,MIN(60,COLUMN()-29))),0)</f>
        <v>0</v>
      </c>
      <c r="DK790" s="112" t="n">
        <f aca="true">IFERROR(SUMPRODUCT(OFFSET($BJ$31,0,1-MIN(60,COLUMN()-29),1,MIN(60,COLUMN()-29)),OFFSET(DK789,0,-MIN(60,COLUMN()-29),1,MIN(60,COLUMN()-29))),0)</f>
        <v>0</v>
      </c>
      <c r="DL790" s="112" t="n">
        <f aca="true">IFERROR(SUMPRODUCT(OFFSET($BJ$31,0,1-MIN(60,COLUMN()-29),1,MIN(60,COLUMN()-29)),OFFSET(DL789,0,-MIN(60,COLUMN()-29),1,MIN(60,COLUMN()-29))),0)</f>
        <v>0</v>
      </c>
      <c r="DM790" s="112" t="n">
        <f aca="true">IFERROR(SUMPRODUCT(OFFSET($BJ$31,0,1-MIN(60,COLUMN()-29),1,MIN(60,COLUMN()-29)),OFFSET(DM789,0,-MIN(60,COLUMN()-29),1,MIN(60,COLUMN()-29))),0)</f>
        <v>0</v>
      </c>
      <c r="DN790" s="112" t="n">
        <f aca="true">IFERROR(SUMPRODUCT(OFFSET($BJ$31,0,1-MIN(60,COLUMN()-29),1,MIN(60,COLUMN()-29)),OFFSET(DN789,0,-MIN(60,COLUMN()-29),1,MIN(60,COLUMN()-29))),0)</f>
        <v>0</v>
      </c>
      <c r="DO790" s="112" t="n">
        <f aca="true">IFERROR(SUMPRODUCT(OFFSET($BJ$31,0,1-MIN(60,COLUMN()-29),1,MIN(60,COLUMN()-29)),OFFSET(DO789,0,-MIN(60,COLUMN()-29),1,MIN(60,COLUMN()-29))),0)</f>
        <v>0</v>
      </c>
      <c r="DP790" s="112" t="n">
        <f aca="true">IFERROR(SUMPRODUCT(OFFSET($BJ$31,0,1-MIN(60,COLUMN()-29),1,MIN(60,COLUMN()-29)),OFFSET(DP789,0,-MIN(60,COLUMN()-29),1,MIN(60,COLUMN()-29))),0)</f>
        <v>0</v>
      </c>
      <c r="DQ790" s="112" t="n">
        <f aca="true">IFERROR(SUMPRODUCT(OFFSET($BJ$31,0,1-MIN(60,COLUMN()-29),1,MIN(60,COLUMN()-29)),OFFSET(DQ789,0,-MIN(60,COLUMN()-29),1,MIN(60,COLUMN()-29))),0)</f>
        <v>0</v>
      </c>
      <c r="DR790" s="112" t="n">
        <f aca="true">IFERROR(SUMPRODUCT(OFFSET($BJ$31,0,1-MIN(60,COLUMN()-29),1,MIN(60,COLUMN()-29)),OFFSET(DR789,0,-MIN(60,COLUMN()-29),1,MIN(60,COLUMN()-29))),0)</f>
        <v>0</v>
      </c>
      <c r="DS790" s="112" t="n">
        <f aca="true">IFERROR(SUMPRODUCT(OFFSET($BJ$31,0,1-MIN(60,COLUMN()-29),1,MIN(60,COLUMN()-29)),OFFSET(DS789,0,-MIN(60,COLUMN()-29),1,MIN(60,COLUMN()-29))),0)</f>
        <v>0</v>
      </c>
      <c r="DT790" s="112" t="n">
        <f aca="true">IFERROR(SUMPRODUCT(OFFSET($BJ$31,0,1-MIN(60,COLUMN()-29),1,MIN(60,COLUMN()-29)),OFFSET(DT789,0,-MIN(60,COLUMN()-29),1,MIN(60,COLUMN()-29))),0)</f>
        <v>0</v>
      </c>
      <c r="DU790" s="112" t="n">
        <f aca="true">IFERROR(SUMPRODUCT(OFFSET($BJ$31,0,1-MIN(60,COLUMN()-29),1,MIN(60,COLUMN()-29)),OFFSET(DU789,0,-MIN(60,COLUMN()-29),1,MIN(60,COLUMN()-29))),0)</f>
        <v>0</v>
      </c>
      <c r="DV790" s="112" t="n">
        <f aca="true">IFERROR(SUMPRODUCT(OFFSET($BJ$31,0,1-MIN(60,COLUMN()-29),1,MIN(60,COLUMN()-29)),OFFSET(DV789,0,-MIN(60,COLUMN()-29),1,MIN(60,COLUMN()-29))),0)</f>
        <v>0</v>
      </c>
      <c r="DW790" s="112" t="n">
        <f aca="true">IFERROR(SUMPRODUCT(OFFSET($BJ$31,0,1-MIN(60,COLUMN()-29),1,MIN(60,COLUMN()-29)),OFFSET(DW789,0,-MIN(60,COLUMN()-29),1,MIN(60,COLUMN()-29))),0)</f>
        <v>0</v>
      </c>
      <c r="DX790" s="112" t="n">
        <f aca="true">IFERROR(SUMPRODUCT(OFFSET($BJ$31,0,1-MIN(60,COLUMN()-29),1,MIN(60,COLUMN()-29)),OFFSET(DX789,0,-MIN(60,COLUMN()-29),1,MIN(60,COLUMN()-29))),0)</f>
        <v>0</v>
      </c>
      <c r="DY790" s="112" t="n">
        <f aca="true">IFERROR(SUMPRODUCT(OFFSET($BJ$31,0,1-MIN(60,COLUMN()-29),1,MIN(60,COLUMN()-29)),OFFSET(DY789,0,-MIN(60,COLUMN()-29),1,MIN(60,COLUMN()-29))),0)</f>
        <v>0</v>
      </c>
      <c r="DZ790" s="112" t="n">
        <f aca="true">IFERROR(SUMPRODUCT(OFFSET($BJ$31,0,1-MIN(60,COLUMN()-29),1,MIN(60,COLUMN()-29)),OFFSET(DZ789,0,-MIN(60,COLUMN()-29),1,MIN(60,COLUMN()-29))),0)</f>
        <v>0</v>
      </c>
      <c r="EA790" s="112" t="n">
        <f aca="true">IFERROR(SUMPRODUCT(OFFSET($BJ$31,0,1-MIN(60,COLUMN()-29),1,MIN(60,COLUMN()-29)),OFFSET(EA789,0,-MIN(60,COLUMN()-29),1,MIN(60,COLUMN()-29))),0)</f>
        <v>0</v>
      </c>
      <c r="EB790" s="112" t="n">
        <f aca="true">IFERROR(SUMPRODUCT(OFFSET($BJ$31,0,1-MIN(60,COLUMN()-29),1,MIN(60,COLUMN()-29)),OFFSET(EB789,0,-MIN(60,COLUMN()-29),1,MIN(60,COLUMN()-29))),0)</f>
        <v>0</v>
      </c>
      <c r="EC790" s="112" t="n">
        <f aca="true">IFERROR(SUMPRODUCT(OFFSET($BJ$31,0,1-MIN(60,COLUMN()-29),1,MIN(60,COLUMN()-29)),OFFSET(EC789,0,-MIN(60,COLUMN()-29),1,MIN(60,COLUMN()-29))),0)</f>
        <v>0</v>
      </c>
      <c r="ED790" s="112" t="n">
        <f aca="true">IFERROR(SUMPRODUCT(OFFSET($BJ$31,0,1-MIN(60,COLUMN()-29),1,MIN(60,COLUMN()-29)),OFFSET(ED789,0,-MIN(60,COLUMN()-29),1,MIN(60,COLUMN()-29))),0)</f>
        <v>0</v>
      </c>
      <c r="EE790" s="112" t="n">
        <f aca="true">IFERROR(SUMPRODUCT(OFFSET($BJ$31,0,1-MIN(60,COLUMN()-29),1,MIN(60,COLUMN()-29)),OFFSET(EE789,0,-MIN(60,COLUMN()-29),1,MIN(60,COLUMN()-29))),0)</f>
        <v>0</v>
      </c>
      <c r="EF790" s="112" t="n">
        <f aca="true">IFERROR(SUMPRODUCT(OFFSET($BJ$31,0,1-MIN(60,COLUMN()-29),1,MIN(60,COLUMN()-29)),OFFSET(EF789,0,-MIN(60,COLUMN()-29),1,MIN(60,COLUMN()-29))),0)</f>
        <v>0</v>
      </c>
      <c r="EG790" s="112" t="n">
        <f aca="true">IFERROR(SUMPRODUCT(OFFSET($BJ$31,0,1-MIN(60,COLUMN()-29),1,MIN(60,COLUMN()-29)),OFFSET(EG789,0,-MIN(60,COLUMN()-29),1,MIN(60,COLUMN()-29))),0)</f>
        <v>0</v>
      </c>
      <c r="EH790" s="112" t="n">
        <f aca="true">IFERROR(SUMPRODUCT(OFFSET($BJ$31,0,1-MIN(60,COLUMN()-29),1,MIN(60,COLUMN()-29)),OFFSET(EH789,0,-MIN(60,COLUMN()-29),1,MIN(60,COLUMN()-29))),0)</f>
        <v>0</v>
      </c>
      <c r="EI790" s="112" t="n">
        <f aca="true">IFERROR(SUMPRODUCT(OFFSET($BJ$31,0,1-MIN(60,COLUMN()-29),1,MIN(60,COLUMN()-29)),OFFSET(EI789,0,-MIN(60,COLUMN()-29),1,MIN(60,COLUMN()-29))),0)</f>
        <v>0</v>
      </c>
      <c r="EJ790" s="112" t="n">
        <f aca="true">IFERROR(SUMPRODUCT(OFFSET($BJ$31,0,1-MIN(60,COLUMN()-29),1,MIN(60,COLUMN()-29)),OFFSET(EJ789,0,-MIN(60,COLUMN()-29),1,MIN(60,COLUMN()-29))),0)</f>
        <v>0</v>
      </c>
      <c r="EK790" s="112" t="n">
        <f aca="true">IFERROR(SUMPRODUCT(OFFSET($BJ$31,0,1-MIN(60,COLUMN()-29),1,MIN(60,COLUMN()-29)),OFFSET(EK789,0,-MIN(60,COLUMN()-29),1,MIN(60,COLUMN()-29))),0)</f>
        <v>0</v>
      </c>
      <c r="EL790" s="112" t="n">
        <f aca="true">IFERROR(SUMPRODUCT(OFFSET($BJ$31,0,1-MIN(60,COLUMN()-29),1,MIN(60,COLUMN()-29)),OFFSET(EL789,0,-MIN(60,COLUMN()-29),1,MIN(60,COLUMN()-29))),0)</f>
        <v>0</v>
      </c>
      <c r="EM790" s="112" t="n">
        <f aca="true">IFERROR(SUMPRODUCT(OFFSET($BJ$31,0,1-MIN(60,COLUMN()-29),1,MIN(60,COLUMN()-29)),OFFSET(EM789,0,-MIN(60,COLUMN()-29),1,MIN(60,COLUMN()-29))),0)</f>
        <v>0</v>
      </c>
      <c r="EN790" s="112" t="n">
        <f aca="true">IFERROR(SUMPRODUCT(OFFSET($BJ$31,0,1-MIN(60,COLUMN()-29),1,MIN(60,COLUMN()-29)),OFFSET(EN789,0,-MIN(60,COLUMN()-29),1,MIN(60,COLUMN()-29))),0)</f>
        <v>0</v>
      </c>
      <c r="EO790" s="112" t="n">
        <f aca="true">IFERROR(SUMPRODUCT(OFFSET($BJ$31,0,1-MIN(60,COLUMN()-29),1,MIN(60,COLUMN()-29)),OFFSET(EO789,0,-MIN(60,COLUMN()-29),1,MIN(60,COLUMN()-29))),0)</f>
        <v>0</v>
      </c>
      <c r="EP790" s="112" t="n">
        <f aca="true">IFERROR(SUMPRODUCT(OFFSET($BJ$31,0,1-MIN(60,COLUMN()-29),1,MIN(60,COLUMN()-29)),OFFSET(EP789,0,-MIN(60,COLUMN()-29),1,MIN(60,COLUMN()-29))),0)</f>
        <v>0</v>
      </c>
      <c r="EQ790" s="112" t="n">
        <f aca="true">IFERROR(SUMPRODUCT(OFFSET($BJ$31,0,1-MIN(60,COLUMN()-29),1,MIN(60,COLUMN()-29)),OFFSET(EQ789,0,-MIN(60,COLUMN()-29),1,MIN(60,COLUMN()-29))),0)</f>
        <v>0</v>
      </c>
      <c r="ER790" s="112" t="n">
        <f aca="true">IFERROR(SUMPRODUCT(OFFSET($BJ$31,0,1-MIN(60,COLUMN()-29),1,MIN(60,COLUMN()-29)),OFFSET(ER789,0,-MIN(60,COLUMN()-29),1,MIN(60,COLUMN()-29))),0)</f>
        <v>0</v>
      </c>
      <c r="ES790" s="9" t="n">
        <f aca="true">IFERROR(SUMPRODUCT(OFFSET($BJ$31,0,1-MIN(60,COLUMN()-29),1,MIN(60,COLUMN()-29)),OFFSET(ES789,0,-MIN(60,COLUMN()-29),1,MIN(60,COLUMN()-29))),0)</f>
        <v>0</v>
      </c>
      <c r="ET790" s="9" t="n">
        <f aca="true">IFERROR(SUMPRODUCT(OFFSET($BJ$31,0,1-MIN(60,COLUMN()-29),1,MIN(60,COLUMN()-29)),OFFSET(ET789,0,-MIN(60,COLUMN()-29),1,MIN(60,COLUMN()-29))),0)</f>
        <v>0</v>
      </c>
      <c r="EU790" s="9" t="n">
        <f aca="true">IFERROR(SUMPRODUCT(OFFSET($BJ$31,0,1-MIN(60,COLUMN()-29),1,MIN(60,COLUMN()-29)),OFFSET(EU789,0,-MIN(60,COLUMN()-29),1,MIN(60,COLUMN()-29))),0)</f>
        <v>0</v>
      </c>
      <c r="EV790" s="9" t="n">
        <f aca="true">IFERROR(SUMPRODUCT(OFFSET($BJ$31,0,1-MIN(60,COLUMN()-29),1,MIN(60,COLUMN()-29)),OFFSET(EV789,0,-MIN(60,COLUMN()-29),1,MIN(60,COLUMN()-29))),0)</f>
        <v>0</v>
      </c>
      <c r="EW790" s="9" t="n">
        <f aca="true">IFERROR(SUMPRODUCT(OFFSET($BJ$31,0,1-MIN(60,COLUMN()-29),1,MIN(60,COLUMN()-29)),OFFSET(EW789,0,-MIN(60,COLUMN()-29),1,MIN(60,COLUMN()-29))),0)</f>
        <v>0</v>
      </c>
      <c r="EX790" s="9" t="n">
        <f aca="true">IFERROR(SUMPRODUCT(OFFSET($BJ$31,0,1-MIN(60,COLUMN()-29),1,MIN(60,COLUMN()-29)),OFFSET(EX789,0,-MIN(60,COLUMN()-29),1,MIN(60,COLUMN()-29))),0)</f>
        <v>0</v>
      </c>
      <c r="EY790" s="9" t="n">
        <f aca="true">IFERROR(SUMPRODUCT(OFFSET($BJ$31,0,1-MIN(60,COLUMN()-29),1,MIN(60,COLUMN()-29)),OFFSET(EY789,0,-MIN(60,COLUMN()-29),1,MIN(60,COLUMN()-29))),0)</f>
        <v>0</v>
      </c>
      <c r="EZ790" s="9" t="n">
        <f aca="true">IFERROR(SUMPRODUCT(OFFSET($BJ$31,0,1-MIN(60,COLUMN()-29),1,MIN(60,COLUMN()-29)),OFFSET(EZ789,0,-MIN(60,COLUMN()-29),1,MIN(60,COLUMN()-29))),0)</f>
        <v>0</v>
      </c>
      <c r="FA790" s="9" t="n">
        <f aca="true">IFERROR(SUMPRODUCT(OFFSET($BJ$31,0,1-MIN(60,COLUMN()-29),1,MIN(60,COLUMN()-29)),OFFSET(FA789,0,-MIN(60,COLUMN()-29),1,MIN(60,COLUMN()-29))),0)</f>
        <v>0</v>
      </c>
      <c r="FB790" s="9" t="n">
        <f aca="true">IFERROR(SUMPRODUCT(OFFSET($BJ$31,0,1-MIN(60,COLUMN()-29),1,MIN(60,COLUMN()-29)),OFFSET(FB789,0,-MIN(60,COLUMN()-29),1,MIN(60,COLUMN()-29))),0)</f>
        <v>0</v>
      </c>
      <c r="FC790" s="9" t="n">
        <f aca="true">IFERROR(SUMPRODUCT(OFFSET($BJ$31,0,1-MIN(60,COLUMN()-29),1,MIN(60,COLUMN()-29)),OFFSET(FC789,0,-MIN(60,COLUMN()-29),1,MIN(60,COLUMN()-29))),0)</f>
        <v>0</v>
      </c>
      <c r="FD790" s="9" t="n">
        <f aca="true">IFERROR(SUMPRODUCT(OFFSET($BJ$31,0,1-MIN(60,COLUMN()-29),1,MIN(60,COLUMN()-29)),OFFSET(FD789,0,-MIN(60,COLUMN()-29),1,MIN(60,COLUMN()-29))),0)</f>
        <v>3.40992</v>
      </c>
      <c r="FE790" s="9" t="n">
        <f aca="true">IFERROR(SUMPRODUCT(OFFSET($BJ$31,0,1-MIN(60,COLUMN()-29),1,MIN(60,COLUMN()-29)),OFFSET(FE789,0,-MIN(60,COLUMN()-29),1,MIN(60,COLUMN()-29))),0)</f>
        <v>5.782656</v>
      </c>
      <c r="FF790" s="9" t="n">
        <f aca="true">IFERROR(SUMPRODUCT(OFFSET($BJ$31,0,1-MIN(60,COLUMN()-29),1,MIN(60,COLUMN()-29)),OFFSET(FF789,0,-MIN(60,COLUMN()-29),1,MIN(60,COLUMN()-29))),0)</f>
        <v>7.4652384</v>
      </c>
      <c r="FG790" s="9" t="n">
        <f aca="true">IFERROR(SUMPRODUCT(OFFSET($BJ$31,0,1-MIN(60,COLUMN()-29),1,MIN(60,COLUMN()-29)),OFFSET(FG789,0,-MIN(60,COLUMN()-29),1,MIN(60,COLUMN()-29))),0)</f>
        <v>7.3576128</v>
      </c>
      <c r="FH790" s="9" t="n">
        <f aca="true">IFERROR(SUMPRODUCT(OFFSET($BJ$31,0,1-MIN(60,COLUMN()-29),1,MIN(60,COLUMN()-29)),OFFSET(FH789,0,-MIN(60,COLUMN()-29),1,MIN(60,COLUMN()-29))),0)</f>
        <v>9.9987024</v>
      </c>
      <c r="FI790" s="9" t="n">
        <f aca="true">IFERROR(SUMPRODUCT(OFFSET($BJ$31,0,1-MIN(60,COLUMN()-29),1,MIN(60,COLUMN()-29)),OFFSET(FI789,0,-MIN(60,COLUMN()-29),1,MIN(60,COLUMN()-29))),0)</f>
        <v>11.1523328</v>
      </c>
      <c r="FJ790" s="9" t="n">
        <f aca="true">IFERROR(SUMPRODUCT(OFFSET($BJ$31,0,1-MIN(60,COLUMN()-29),1,MIN(60,COLUMN()-29)),OFFSET(FJ789,0,-MIN(60,COLUMN()-29),1,MIN(60,COLUMN()-29))),0)</f>
        <v>11.6432784</v>
      </c>
      <c r="FK790" s="9" t="n">
        <f aca="true">IFERROR(SUMPRODUCT(OFFSET($BJ$31,0,1-MIN(60,COLUMN()-29),1,MIN(60,COLUMN()-29)),OFFSET(FK789,0,-MIN(60,COLUMN()-29),1,MIN(60,COLUMN()-29))),0)</f>
        <v>12.0068256</v>
      </c>
      <c r="FL790" s="9" t="n">
        <f aca="true">IFERROR(SUMPRODUCT(OFFSET($BJ$31,0,1-MIN(60,COLUMN()-29),1,MIN(60,COLUMN()-29)),OFFSET(FL789,0,-MIN(60,COLUMN()-29),1,MIN(60,COLUMN()-29))),0)</f>
        <v>13.8849456</v>
      </c>
      <c r="FM790" s="9" t="n">
        <f aca="true">IFERROR(SUMPRODUCT(OFFSET($BJ$31,0,1-MIN(60,COLUMN()-29),1,MIN(60,COLUMN()-29)),OFFSET(FM789,0,-MIN(60,COLUMN()-29),1,MIN(60,COLUMN()-29))),0)</f>
        <v>20.6907552</v>
      </c>
      <c r="FN790" s="9" t="n">
        <f aca="true">IFERROR(SUMPRODUCT(OFFSET($BJ$31,0,1-MIN(60,COLUMN()-29),1,MIN(60,COLUMN()-29)),OFFSET(FN789,0,-MIN(60,COLUMN()-29),1,MIN(60,COLUMN()-29))),0)</f>
        <v>20.7644</v>
      </c>
      <c r="FO790" s="9" t="n">
        <f aca="true">IFERROR(SUMPRODUCT(OFFSET($BJ$31,0,1-MIN(60,COLUMN()-29),1,MIN(60,COLUMN()-29)),OFFSET(FO789,0,-MIN(60,COLUMN()-29),1,MIN(60,COLUMN()-29))),0)</f>
        <v>21.3205248</v>
      </c>
      <c r="FP790" s="9" t="n">
        <f aca="true">IFERROR(SUMPRODUCT(OFFSET($BJ$31,0,1-MIN(60,COLUMN()-29),1,MIN(60,COLUMN()-29)),OFFSET(FP789,0,-MIN(60,COLUMN()-29),1,MIN(60,COLUMN()-29))),0)</f>
        <v>20.6469472</v>
      </c>
    </row>
    <row r="791" customFormat="false" ht="15" hidden="false" customHeight="false" outlineLevel="2" collapsed="false">
      <c r="B791" s="90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237"/>
      <c r="AD791" s="237"/>
      <c r="AE791" s="237"/>
      <c r="AF791" s="237"/>
      <c r="AG791" s="237"/>
      <c r="AH791" s="237"/>
      <c r="AI791" s="237"/>
      <c r="AJ791" s="237"/>
      <c r="AK791" s="237"/>
      <c r="AL791" s="237"/>
      <c r="AM791" s="237"/>
      <c r="AN791" s="237"/>
      <c r="AO791" s="237"/>
      <c r="AP791" s="237"/>
      <c r="AQ791" s="237"/>
      <c r="AR791" s="237"/>
      <c r="AS791" s="237"/>
      <c r="AT791" s="237"/>
      <c r="AU791" s="237"/>
      <c r="AV791" s="237"/>
      <c r="AW791" s="237"/>
      <c r="AX791" s="237"/>
      <c r="AY791" s="237"/>
      <c r="AZ791" s="237"/>
      <c r="BA791" s="237"/>
      <c r="BB791" s="237"/>
      <c r="BC791" s="237"/>
      <c r="BD791" s="237"/>
      <c r="BE791" s="237"/>
      <c r="BF791" s="237"/>
      <c r="BG791" s="237"/>
      <c r="BH791" s="237"/>
      <c r="BI791" s="237"/>
      <c r="BJ791" s="237"/>
      <c r="BK791" s="237"/>
      <c r="BL791" s="237"/>
      <c r="BM791" s="237"/>
      <c r="BN791" s="237"/>
      <c r="BO791" s="237"/>
      <c r="BP791" s="237"/>
      <c r="BQ791" s="237"/>
      <c r="BR791" s="237"/>
      <c r="BS791" s="237"/>
      <c r="BT791" s="237"/>
      <c r="BU791" s="237"/>
      <c r="BV791" s="237"/>
      <c r="BW791" s="237"/>
      <c r="BX791" s="237"/>
      <c r="BY791" s="237"/>
      <c r="BZ791" s="237"/>
      <c r="CA791" s="237"/>
      <c r="CB791" s="237"/>
      <c r="CC791" s="237"/>
      <c r="CD791" s="237"/>
      <c r="CE791" s="237"/>
      <c r="CF791" s="237"/>
      <c r="CG791" s="237"/>
      <c r="CH791" s="237"/>
      <c r="CI791" s="237"/>
      <c r="CJ791" s="237"/>
      <c r="CK791" s="237"/>
      <c r="CL791" s="237"/>
      <c r="CM791" s="237"/>
      <c r="CN791" s="237"/>
      <c r="CO791" s="237"/>
      <c r="CP791" s="237"/>
      <c r="CQ791" s="237"/>
      <c r="CR791" s="237"/>
      <c r="CS791" s="237"/>
      <c r="CT791" s="237"/>
      <c r="CU791" s="237"/>
      <c r="CV791" s="237"/>
      <c r="CW791" s="237"/>
      <c r="CX791" s="237"/>
      <c r="CY791" s="237"/>
      <c r="CZ791" s="237"/>
      <c r="DA791" s="237"/>
      <c r="DB791" s="237"/>
      <c r="DC791" s="237"/>
      <c r="DD791" s="237"/>
      <c r="DE791" s="237"/>
      <c r="DF791" s="237"/>
      <c r="DG791" s="237"/>
      <c r="DH791" s="237"/>
      <c r="DI791" s="237"/>
      <c r="DJ791" s="237"/>
      <c r="DK791" s="237"/>
      <c r="DL791" s="237"/>
      <c r="DM791" s="237"/>
      <c r="DN791" s="237"/>
      <c r="DO791" s="237"/>
      <c r="DP791" s="237"/>
      <c r="DQ791" s="237"/>
      <c r="DR791" s="237"/>
      <c r="DS791" s="237"/>
      <c r="DT791" s="237"/>
      <c r="DU791" s="237"/>
      <c r="DV791" s="237"/>
      <c r="DW791" s="237"/>
      <c r="DX791" s="237"/>
      <c r="DY791" s="237"/>
      <c r="DZ791" s="237"/>
      <c r="EA791" s="237"/>
      <c r="EB791" s="237"/>
      <c r="EC791" s="237"/>
      <c r="ED791" s="237"/>
      <c r="EE791" s="237"/>
      <c r="EF791" s="237"/>
      <c r="EG791" s="237"/>
      <c r="EH791" s="237"/>
      <c r="EI791" s="237"/>
      <c r="EJ791" s="237"/>
      <c r="EK791" s="237"/>
      <c r="EL791" s="237"/>
      <c r="EM791" s="237"/>
      <c r="EN791" s="237"/>
      <c r="EO791" s="237"/>
      <c r="EP791" s="237"/>
      <c r="EQ791" s="237"/>
      <c r="ER791" s="237"/>
      <c r="ES791" s="9"/>
      <c r="ET791" s="9"/>
      <c r="EU791" s="9"/>
      <c r="EV791" s="9"/>
      <c r="EW791" s="9"/>
      <c r="EX791" s="9"/>
      <c r="EY791" s="9"/>
      <c r="EZ791" s="9"/>
      <c r="FA791" s="9"/>
      <c r="FB791" s="9"/>
      <c r="FC791" s="9"/>
      <c r="FD791" s="9"/>
      <c r="FE791" s="9"/>
      <c r="FF791" s="9"/>
      <c r="FG791" s="9"/>
      <c r="FH791" s="9"/>
      <c r="FI791" s="9"/>
      <c r="FJ791" s="9"/>
      <c r="FK791" s="9"/>
      <c r="FL791" s="9"/>
      <c r="FM791" s="9"/>
      <c r="FN791" s="9"/>
      <c r="FO791" s="9"/>
      <c r="FP791" s="9"/>
    </row>
    <row r="792" customFormat="false" ht="15" hidden="false" customHeight="false" outlineLevel="2" collapsed="false">
      <c r="B792" s="240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237"/>
      <c r="AD792" s="237"/>
      <c r="AE792" s="237"/>
      <c r="AF792" s="237"/>
      <c r="AG792" s="237"/>
      <c r="AH792" s="237"/>
      <c r="AI792" s="237"/>
      <c r="AJ792" s="237"/>
      <c r="AK792" s="237"/>
      <c r="AL792" s="237"/>
      <c r="AM792" s="237"/>
      <c r="AN792" s="237"/>
      <c r="AO792" s="237"/>
      <c r="AP792" s="237"/>
      <c r="AQ792" s="237"/>
      <c r="AR792" s="237"/>
      <c r="AS792" s="237"/>
      <c r="AT792" s="237"/>
      <c r="AU792" s="237"/>
      <c r="AV792" s="237"/>
      <c r="AW792" s="237"/>
      <c r="AX792" s="237"/>
      <c r="AY792" s="237"/>
      <c r="AZ792" s="237"/>
      <c r="BA792" s="237"/>
      <c r="BB792" s="237"/>
      <c r="BC792" s="237"/>
      <c r="BD792" s="237"/>
      <c r="BE792" s="237"/>
      <c r="BF792" s="237"/>
      <c r="BG792" s="237"/>
      <c r="BH792" s="237"/>
      <c r="BI792" s="237"/>
      <c r="BJ792" s="237"/>
      <c r="BK792" s="237"/>
      <c r="BL792" s="237"/>
      <c r="BM792" s="237"/>
      <c r="BN792" s="237"/>
      <c r="BO792" s="237"/>
      <c r="BP792" s="237"/>
      <c r="BQ792" s="237"/>
      <c r="BR792" s="237"/>
      <c r="BS792" s="237"/>
      <c r="BT792" s="237"/>
      <c r="BU792" s="237"/>
      <c r="BV792" s="237"/>
      <c r="BW792" s="237"/>
      <c r="BX792" s="237"/>
      <c r="BY792" s="237"/>
      <c r="BZ792" s="237"/>
      <c r="CA792" s="237"/>
      <c r="CB792" s="237"/>
      <c r="CC792" s="237"/>
      <c r="CD792" s="237"/>
      <c r="CE792" s="237"/>
      <c r="CF792" s="237"/>
      <c r="CG792" s="237"/>
      <c r="CH792" s="237"/>
      <c r="CI792" s="237"/>
      <c r="CJ792" s="237"/>
      <c r="CK792" s="237"/>
      <c r="CL792" s="237"/>
      <c r="CM792" s="237"/>
      <c r="CN792" s="237"/>
      <c r="CO792" s="237"/>
      <c r="CP792" s="237"/>
      <c r="CQ792" s="237"/>
      <c r="CR792" s="237"/>
      <c r="CS792" s="237"/>
      <c r="CT792" s="237"/>
      <c r="CU792" s="237"/>
      <c r="CV792" s="237"/>
      <c r="CW792" s="237"/>
      <c r="CX792" s="237"/>
      <c r="CY792" s="237"/>
      <c r="CZ792" s="237"/>
      <c r="DA792" s="237"/>
      <c r="DB792" s="237"/>
      <c r="DC792" s="237"/>
      <c r="DD792" s="237"/>
      <c r="DE792" s="237"/>
      <c r="DF792" s="237"/>
      <c r="DG792" s="237"/>
      <c r="DH792" s="237"/>
      <c r="DI792" s="237"/>
      <c r="DJ792" s="237"/>
      <c r="DK792" s="237"/>
      <c r="DL792" s="237"/>
      <c r="DM792" s="237"/>
      <c r="DN792" s="237"/>
      <c r="DO792" s="237"/>
      <c r="DP792" s="237"/>
      <c r="DQ792" s="237"/>
      <c r="DR792" s="237"/>
      <c r="DS792" s="237"/>
      <c r="DT792" s="237"/>
      <c r="DU792" s="237"/>
      <c r="DV792" s="237"/>
      <c r="DW792" s="237"/>
      <c r="DX792" s="237"/>
      <c r="DY792" s="237"/>
      <c r="DZ792" s="237"/>
      <c r="EA792" s="237"/>
      <c r="EB792" s="237"/>
      <c r="EC792" s="237"/>
      <c r="ED792" s="237"/>
      <c r="EE792" s="237"/>
      <c r="EF792" s="237"/>
      <c r="EG792" s="237"/>
      <c r="EH792" s="237"/>
      <c r="EI792" s="237"/>
      <c r="EJ792" s="237"/>
      <c r="EK792" s="237"/>
      <c r="EL792" s="237"/>
      <c r="EM792" s="237"/>
      <c r="EN792" s="237"/>
      <c r="EO792" s="237"/>
      <c r="EP792" s="237"/>
      <c r="EQ792" s="237"/>
      <c r="ER792" s="237"/>
      <c r="ES792" s="9"/>
      <c r="ET792" s="9"/>
      <c r="EU792" s="9"/>
      <c r="EV792" s="9"/>
      <c r="EW792" s="9"/>
      <c r="EX792" s="9"/>
      <c r="EY792" s="9"/>
      <c r="EZ792" s="9"/>
      <c r="FA792" s="9"/>
      <c r="FB792" s="9"/>
      <c r="FC792" s="9"/>
      <c r="FD792" s="9"/>
      <c r="FE792" s="9"/>
      <c r="FF792" s="9"/>
      <c r="FG792" s="9"/>
      <c r="FH792" s="9"/>
      <c r="FI792" s="9"/>
      <c r="FJ792" s="9"/>
      <c r="FK792" s="9"/>
      <c r="FL792" s="9"/>
      <c r="FM792" s="9"/>
      <c r="FN792" s="9"/>
      <c r="FO792" s="9"/>
      <c r="FP792" s="9"/>
    </row>
    <row r="793" customFormat="false" ht="15" hidden="false" customHeight="false" outlineLevel="2" collapsed="false">
      <c r="B793" s="21" t="s">
        <v>952</v>
      </c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  <c r="AP793" s="21"/>
      <c r="AQ793" s="21"/>
      <c r="AR793" s="21"/>
      <c r="AS793" s="21"/>
      <c r="AT793" s="21"/>
      <c r="AU793" s="21"/>
      <c r="AV793" s="21"/>
      <c r="AW793" s="21"/>
      <c r="AX793" s="21"/>
      <c r="AY793" s="21"/>
      <c r="AZ793" s="21"/>
      <c r="BA793" s="21"/>
      <c r="BB793" s="21"/>
      <c r="BC793" s="21"/>
      <c r="BD793" s="21"/>
      <c r="BE793" s="21"/>
      <c r="BF793" s="21"/>
      <c r="BG793" s="21"/>
      <c r="BH793" s="21"/>
      <c r="BI793" s="21"/>
      <c r="BJ793" s="21"/>
      <c r="BK793" s="21"/>
      <c r="BL793" s="21"/>
      <c r="BM793" s="21"/>
      <c r="BN793" s="21"/>
      <c r="BO793" s="21"/>
      <c r="BP793" s="21"/>
      <c r="BQ793" s="21"/>
      <c r="BR793" s="21"/>
      <c r="BS793" s="21"/>
      <c r="BT793" s="21"/>
      <c r="BU793" s="21"/>
      <c r="BV793" s="21"/>
      <c r="BW793" s="21"/>
      <c r="BX793" s="21"/>
      <c r="BY793" s="21"/>
      <c r="BZ793" s="21"/>
      <c r="CA793" s="21"/>
      <c r="CB793" s="21"/>
      <c r="CC793" s="21"/>
      <c r="CD793" s="21"/>
      <c r="CE793" s="21"/>
      <c r="CF793" s="21"/>
      <c r="CG793" s="21"/>
      <c r="CH793" s="21"/>
      <c r="CI793" s="21"/>
      <c r="CJ793" s="21"/>
      <c r="CK793" s="21"/>
      <c r="CL793" s="21"/>
      <c r="CM793" s="21"/>
      <c r="CN793" s="21"/>
      <c r="CO793" s="21"/>
      <c r="CP793" s="21"/>
      <c r="CQ793" s="21"/>
      <c r="CR793" s="21"/>
      <c r="CS793" s="21"/>
      <c r="CT793" s="21"/>
      <c r="CU793" s="21"/>
      <c r="CV793" s="21"/>
      <c r="CW793" s="21"/>
      <c r="CX793" s="21"/>
      <c r="CY793" s="21"/>
      <c r="CZ793" s="21"/>
      <c r="DA793" s="21"/>
      <c r="DB793" s="21"/>
      <c r="DC793" s="21"/>
      <c r="DD793" s="21"/>
      <c r="DE793" s="21"/>
      <c r="DF793" s="21"/>
      <c r="DG793" s="21"/>
      <c r="DH793" s="21"/>
      <c r="DI793" s="21"/>
      <c r="DJ793" s="21"/>
      <c r="DK793" s="21"/>
      <c r="DL793" s="21"/>
      <c r="DM793" s="21"/>
      <c r="DN793" s="21"/>
      <c r="DO793" s="21"/>
      <c r="DP793" s="21"/>
      <c r="DQ793" s="21"/>
      <c r="DR793" s="21"/>
      <c r="DS793" s="21"/>
      <c r="DT793" s="21"/>
      <c r="DU793" s="21"/>
      <c r="DV793" s="21"/>
      <c r="DW793" s="21"/>
      <c r="DX793" s="21"/>
      <c r="DY793" s="21"/>
      <c r="DZ793" s="21"/>
      <c r="EA793" s="21"/>
      <c r="EB793" s="21"/>
      <c r="EC793" s="21"/>
      <c r="ED793" s="21"/>
      <c r="EE793" s="21"/>
      <c r="EF793" s="21"/>
      <c r="EG793" s="21"/>
      <c r="EH793" s="21"/>
      <c r="EI793" s="21"/>
      <c r="EJ793" s="21"/>
      <c r="EK793" s="21"/>
      <c r="EL793" s="21"/>
      <c r="EM793" s="21"/>
      <c r="EN793" s="21"/>
      <c r="EO793" s="21"/>
      <c r="EP793" s="21"/>
      <c r="EQ793" s="21"/>
      <c r="ER793" s="21"/>
      <c r="ES793" s="9"/>
      <c r="ET793" s="9"/>
      <c r="EU793" s="9"/>
      <c r="EV793" s="9"/>
      <c r="EW793" s="9"/>
      <c r="EX793" s="9"/>
      <c r="EY793" s="9"/>
      <c r="EZ793" s="9"/>
      <c r="FA793" s="9"/>
      <c r="FB793" s="9"/>
      <c r="FC793" s="9"/>
      <c r="FD793" s="9"/>
      <c r="FE793" s="9"/>
      <c r="FF793" s="9"/>
      <c r="FG793" s="9"/>
      <c r="FH793" s="9"/>
      <c r="FI793" s="9"/>
      <c r="FJ793" s="9"/>
      <c r="FK793" s="9"/>
      <c r="FL793" s="9"/>
      <c r="FM793" s="9"/>
      <c r="FN793" s="9"/>
      <c r="FO793" s="9"/>
      <c r="FP793" s="9"/>
    </row>
    <row r="794" customFormat="false" ht="15" hidden="false" customHeight="false" outlineLevel="2" collapsed="false">
      <c r="B794" s="9" t="s">
        <v>872</v>
      </c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234" t="n">
        <f aca="false">('⑫ Roll-out Plan'!G84-2025)*12+'⑫ Roll-out Plan'!F84</f>
        <v>132</v>
      </c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  <c r="CO794" s="9"/>
      <c r="CP794" s="9"/>
      <c r="CQ794" s="9"/>
      <c r="CR794" s="9"/>
      <c r="CS794" s="9"/>
      <c r="CT794" s="9"/>
      <c r="CU794" s="9"/>
      <c r="CV794" s="9"/>
      <c r="CW794" s="9"/>
      <c r="CX794" s="9"/>
      <c r="CY794" s="9"/>
      <c r="CZ794" s="9"/>
      <c r="DA794" s="9"/>
      <c r="DB794" s="9"/>
      <c r="DC794" s="9"/>
      <c r="DD794" s="9"/>
      <c r="DE794" s="9"/>
      <c r="DF794" s="9"/>
      <c r="DG794" s="9"/>
      <c r="DH794" s="9"/>
      <c r="DI794" s="9"/>
      <c r="DJ794" s="9"/>
      <c r="DK794" s="9"/>
      <c r="DL794" s="9"/>
      <c r="DM794" s="9"/>
      <c r="DN794" s="9"/>
      <c r="DO794" s="9"/>
      <c r="DP794" s="9"/>
      <c r="DQ794" s="9"/>
      <c r="DR794" s="9"/>
      <c r="DS794" s="9"/>
      <c r="DT794" s="9"/>
      <c r="DU794" s="9"/>
      <c r="DV794" s="9"/>
      <c r="DW794" s="9"/>
      <c r="DX794" s="9"/>
      <c r="DY794" s="9"/>
      <c r="DZ794" s="9"/>
      <c r="EA794" s="9"/>
      <c r="EB794" s="9"/>
      <c r="EC794" s="9"/>
      <c r="ED794" s="9"/>
      <c r="EE794" s="9"/>
      <c r="EF794" s="9"/>
      <c r="EG794" s="9"/>
      <c r="EH794" s="9"/>
      <c r="EI794" s="9"/>
      <c r="EJ794" s="9"/>
      <c r="EK794" s="9"/>
      <c r="EL794" s="9"/>
      <c r="EM794" s="9"/>
      <c r="EN794" s="9"/>
      <c r="EO794" s="9"/>
      <c r="EP794" s="9"/>
      <c r="EQ794" s="9"/>
      <c r="ER794" s="9"/>
      <c r="ES794" s="9"/>
      <c r="ET794" s="9"/>
      <c r="EU794" s="9"/>
      <c r="EV794" s="9"/>
      <c r="EW794" s="9"/>
      <c r="EX794" s="9"/>
      <c r="EY794" s="9"/>
      <c r="EZ794" s="9"/>
      <c r="FA794" s="9"/>
      <c r="FB794" s="9"/>
      <c r="FC794" s="9"/>
      <c r="FD794" s="9"/>
      <c r="FE794" s="9"/>
      <c r="FF794" s="9"/>
      <c r="FG794" s="9"/>
      <c r="FH794" s="9"/>
      <c r="FI794" s="9"/>
      <c r="FJ794" s="9"/>
      <c r="FK794" s="9"/>
      <c r="FL794" s="9"/>
      <c r="FM794" s="9"/>
      <c r="FN794" s="9"/>
      <c r="FO794" s="9"/>
      <c r="FP794" s="9"/>
    </row>
    <row r="795" customFormat="false" ht="15" hidden="false" customHeight="false" outlineLevel="2" collapsed="false">
      <c r="B795" s="9" t="s">
        <v>873</v>
      </c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235" t="n">
        <f aca="false">VLOOKUP("C",$B$14:$C$18,2,FALSE())</f>
        <v>110</v>
      </c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9"/>
      <c r="CN795" s="9"/>
      <c r="CO795" s="9"/>
      <c r="CP795" s="9"/>
      <c r="CQ795" s="9"/>
      <c r="CR795" s="9"/>
      <c r="CS795" s="9"/>
      <c r="CT795" s="9"/>
      <c r="CU795" s="9"/>
      <c r="CV795" s="9"/>
      <c r="CW795" s="9"/>
      <c r="CX795" s="9"/>
      <c r="CY795" s="9"/>
      <c r="CZ795" s="9"/>
      <c r="DA795" s="9"/>
      <c r="DB795" s="9"/>
      <c r="DC795" s="9"/>
      <c r="DD795" s="9"/>
      <c r="DE795" s="9"/>
      <c r="DF795" s="9"/>
      <c r="DG795" s="9"/>
      <c r="DH795" s="9"/>
      <c r="DI795" s="9"/>
      <c r="DJ795" s="9"/>
      <c r="DK795" s="9"/>
      <c r="DL795" s="9"/>
      <c r="DM795" s="9"/>
      <c r="DN795" s="9"/>
      <c r="DO795" s="9"/>
      <c r="DP795" s="9"/>
      <c r="DQ795" s="9"/>
      <c r="DR795" s="9"/>
      <c r="DS795" s="9"/>
      <c r="DT795" s="9"/>
      <c r="DU795" s="9"/>
      <c r="DV795" s="9"/>
      <c r="DW795" s="9"/>
      <c r="DX795" s="9"/>
      <c r="DY795" s="9"/>
      <c r="DZ795" s="9"/>
      <c r="EA795" s="9"/>
      <c r="EB795" s="9"/>
      <c r="EC795" s="9"/>
      <c r="ED795" s="9"/>
      <c r="EE795" s="9"/>
      <c r="EF795" s="9"/>
      <c r="EG795" s="9"/>
      <c r="EH795" s="9"/>
      <c r="EI795" s="9"/>
      <c r="EJ795" s="9"/>
      <c r="EK795" s="9"/>
      <c r="EL795" s="9"/>
      <c r="EM795" s="9"/>
      <c r="EN795" s="9"/>
      <c r="EO795" s="9"/>
      <c r="EP795" s="9"/>
      <c r="EQ795" s="9"/>
      <c r="ER795" s="9"/>
      <c r="ES795" s="9"/>
      <c r="ET795" s="9"/>
      <c r="EU795" s="9"/>
      <c r="EV795" s="9"/>
      <c r="EW795" s="9"/>
      <c r="EX795" s="9"/>
      <c r="EY795" s="9"/>
      <c r="EZ795" s="9"/>
      <c r="FA795" s="9"/>
      <c r="FB795" s="9"/>
      <c r="FC795" s="9"/>
      <c r="FD795" s="9"/>
      <c r="FE795" s="9"/>
      <c r="FF795" s="9"/>
      <c r="FG795" s="9"/>
      <c r="FH795" s="9"/>
      <c r="FI795" s="9"/>
      <c r="FJ795" s="9"/>
      <c r="FK795" s="9"/>
      <c r="FL795" s="9"/>
      <c r="FM795" s="9"/>
      <c r="FN795" s="9"/>
      <c r="FO795" s="9"/>
      <c r="FP795" s="9"/>
    </row>
    <row r="796" customFormat="false" ht="15" hidden="false" customHeight="false" outlineLevel="2" collapsed="false">
      <c r="B796" s="9" t="s">
        <v>799</v>
      </c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63" t="n">
        <f aca="false">IF(AC$35&gt;=$AC$794,AC$35-$AC$794+1,0)</f>
        <v>0</v>
      </c>
      <c r="AD796" s="63" t="n">
        <f aca="false">IF(AD$35&gt;=$AC$794,AD$35-$AC$794+1,0)</f>
        <v>0</v>
      </c>
      <c r="AE796" s="63" t="n">
        <f aca="false">IF(AE$35&gt;=$AC$794,AE$35-$AC$794+1,0)</f>
        <v>0</v>
      </c>
      <c r="AF796" s="63" t="n">
        <f aca="false">IF(AF$35&gt;=$AC$794,AF$35-$AC$794+1,0)</f>
        <v>0</v>
      </c>
      <c r="AG796" s="63" t="n">
        <f aca="false">IF(AG$35&gt;=$AC$794,AG$35-$AC$794+1,0)</f>
        <v>0</v>
      </c>
      <c r="AH796" s="63" t="n">
        <f aca="false">IF(AH$35&gt;=$AC$794,AH$35-$AC$794+1,0)</f>
        <v>0</v>
      </c>
      <c r="AI796" s="63" t="n">
        <f aca="false">IF(AI$35&gt;=$AC$794,AI$35-$AC$794+1,0)</f>
        <v>0</v>
      </c>
      <c r="AJ796" s="63" t="n">
        <f aca="false">IF(AJ$35&gt;=$AC$794,AJ$35-$AC$794+1,0)</f>
        <v>0</v>
      </c>
      <c r="AK796" s="63" t="n">
        <f aca="false">IF(AK$35&gt;=$AC$794,AK$35-$AC$794+1,0)</f>
        <v>0</v>
      </c>
      <c r="AL796" s="63" t="n">
        <f aca="false">IF(AL$35&gt;=$AC$794,AL$35-$AC$794+1,0)</f>
        <v>0</v>
      </c>
      <c r="AM796" s="63" t="n">
        <f aca="false">IF(AM$35&gt;=$AC$794,AM$35-$AC$794+1,0)</f>
        <v>0</v>
      </c>
      <c r="AN796" s="63" t="n">
        <f aca="false">IF(AN$35&gt;=$AC$794,AN$35-$AC$794+1,0)</f>
        <v>0</v>
      </c>
      <c r="AO796" s="63" t="n">
        <f aca="false">IF(AO$35&gt;=$AC$794,AO$35-$AC$794+1,0)</f>
        <v>0</v>
      </c>
      <c r="AP796" s="63" t="n">
        <f aca="false">IF(AP$35&gt;=$AC$794,AP$35-$AC$794+1,0)</f>
        <v>0</v>
      </c>
      <c r="AQ796" s="63" t="n">
        <f aca="false">IF(AQ$35&gt;=$AC$794,AQ$35-$AC$794+1,0)</f>
        <v>0</v>
      </c>
      <c r="AR796" s="63" t="n">
        <f aca="false">IF(AR$35&gt;=$AC$794,AR$35-$AC$794+1,0)</f>
        <v>0</v>
      </c>
      <c r="AS796" s="63" t="n">
        <f aca="false">IF(AS$35&gt;=$AC$794,AS$35-$AC$794+1,0)</f>
        <v>0</v>
      </c>
      <c r="AT796" s="63" t="n">
        <f aca="false">IF(AT$35&gt;=$AC$794,AT$35-$AC$794+1,0)</f>
        <v>0</v>
      </c>
      <c r="AU796" s="63" t="n">
        <f aca="false">IF(AU$35&gt;=$AC$794,AU$35-$AC$794+1,0)</f>
        <v>0</v>
      </c>
      <c r="AV796" s="63" t="n">
        <f aca="false">IF(AV$35&gt;=$AC$794,AV$35-$AC$794+1,0)</f>
        <v>0</v>
      </c>
      <c r="AW796" s="63" t="n">
        <f aca="false">IF(AW$35&gt;=$AC$794,AW$35-$AC$794+1,0)</f>
        <v>0</v>
      </c>
      <c r="AX796" s="63" t="n">
        <f aca="false">IF(AX$35&gt;=$AC$794,AX$35-$AC$794+1,0)</f>
        <v>0</v>
      </c>
      <c r="AY796" s="63" t="n">
        <f aca="false">IF(AY$35&gt;=$AC$794,AY$35-$AC$794+1,0)</f>
        <v>0</v>
      </c>
      <c r="AZ796" s="63" t="n">
        <f aca="false">IF(AZ$35&gt;=$AC$794,AZ$35-$AC$794+1,0)</f>
        <v>0</v>
      </c>
      <c r="BA796" s="63" t="n">
        <f aca="false">IF(BA$35&gt;=$AC$794,BA$35-$AC$794+1,0)</f>
        <v>0</v>
      </c>
      <c r="BB796" s="63" t="n">
        <f aca="false">IF(BB$35&gt;=$AC$794,BB$35-$AC$794+1,0)</f>
        <v>0</v>
      </c>
      <c r="BC796" s="63" t="n">
        <f aca="false">IF(BC$35&gt;=$AC$794,BC$35-$AC$794+1,0)</f>
        <v>0</v>
      </c>
      <c r="BD796" s="63" t="n">
        <f aca="false">IF(BD$35&gt;=$AC$794,BD$35-$AC$794+1,0)</f>
        <v>0</v>
      </c>
      <c r="BE796" s="63" t="n">
        <f aca="false">IF(BE$35&gt;=$AC$794,BE$35-$AC$794+1,0)</f>
        <v>0</v>
      </c>
      <c r="BF796" s="63" t="n">
        <f aca="false">IF(BF$35&gt;=$AC$794,BF$35-$AC$794+1,0)</f>
        <v>0</v>
      </c>
      <c r="BG796" s="63" t="n">
        <f aca="false">IF(BG$35&gt;=$AC$794,BG$35-$AC$794+1,0)</f>
        <v>0</v>
      </c>
      <c r="BH796" s="63" t="n">
        <f aca="false">IF(BH$35&gt;=$AC$794,BH$35-$AC$794+1,0)</f>
        <v>0</v>
      </c>
      <c r="BI796" s="63" t="n">
        <f aca="false">IF(BI$35&gt;=$AC$794,BI$35-$AC$794+1,0)</f>
        <v>0</v>
      </c>
      <c r="BJ796" s="63" t="n">
        <f aca="false">IF(BJ$35&gt;=$AC$794,BJ$35-$AC$794+1,0)</f>
        <v>0</v>
      </c>
      <c r="BK796" s="63" t="n">
        <f aca="false">IF(BK$35&gt;=$AC$794,BK$35-$AC$794+1,0)</f>
        <v>0</v>
      </c>
      <c r="BL796" s="63" t="n">
        <f aca="false">IF(BL$35&gt;=$AC$794,BL$35-$AC$794+1,0)</f>
        <v>0</v>
      </c>
      <c r="BM796" s="63" t="n">
        <f aca="false">IF(BM$35&gt;=$AC$794,BM$35-$AC$794+1,0)</f>
        <v>0</v>
      </c>
      <c r="BN796" s="63" t="n">
        <f aca="false">IF(BN$35&gt;=$AC$794,BN$35-$AC$794+1,0)</f>
        <v>0</v>
      </c>
      <c r="BO796" s="63" t="n">
        <f aca="false">IF(BO$35&gt;=$AC$794,BO$35-$AC$794+1,0)</f>
        <v>0</v>
      </c>
      <c r="BP796" s="63" t="n">
        <f aca="false">IF(BP$35&gt;=$AC$794,BP$35-$AC$794+1,0)</f>
        <v>0</v>
      </c>
      <c r="BQ796" s="63" t="n">
        <f aca="false">IF(BQ$35&gt;=$AC$794,BQ$35-$AC$794+1,0)</f>
        <v>0</v>
      </c>
      <c r="BR796" s="63" t="n">
        <f aca="false">IF(BR$35&gt;=$AC$794,BR$35-$AC$794+1,0)</f>
        <v>0</v>
      </c>
      <c r="BS796" s="63" t="n">
        <f aca="false">IF(BS$35&gt;=$AC$794,BS$35-$AC$794+1,0)</f>
        <v>0</v>
      </c>
      <c r="BT796" s="63" t="n">
        <f aca="false">IF(BT$35&gt;=$AC$794,BT$35-$AC$794+1,0)</f>
        <v>0</v>
      </c>
      <c r="BU796" s="63" t="n">
        <f aca="false">IF(BU$35&gt;=$AC$794,BU$35-$AC$794+1,0)</f>
        <v>0</v>
      </c>
      <c r="BV796" s="63" t="n">
        <f aca="false">IF(BV$35&gt;=$AC$794,BV$35-$AC$794+1,0)</f>
        <v>0</v>
      </c>
      <c r="BW796" s="63" t="n">
        <f aca="false">IF(BW$35&gt;=$AC$794,BW$35-$AC$794+1,0)</f>
        <v>0</v>
      </c>
      <c r="BX796" s="63" t="n">
        <f aca="false">IF(BX$35&gt;=$AC$794,BX$35-$AC$794+1,0)</f>
        <v>0</v>
      </c>
      <c r="BY796" s="63" t="n">
        <f aca="false">IF(BY$35&gt;=$AC$794,BY$35-$AC$794+1,0)</f>
        <v>0</v>
      </c>
      <c r="BZ796" s="63" t="n">
        <f aca="false">IF(BZ$35&gt;=$AC$794,BZ$35-$AC$794+1,0)</f>
        <v>0</v>
      </c>
      <c r="CA796" s="63" t="n">
        <f aca="false">IF(CA$35&gt;=$AC$794,CA$35-$AC$794+1,0)</f>
        <v>0</v>
      </c>
      <c r="CB796" s="63" t="n">
        <f aca="false">IF(CB$35&gt;=$AC$794,CB$35-$AC$794+1,0)</f>
        <v>0</v>
      </c>
      <c r="CC796" s="63" t="n">
        <f aca="false">IF(CC$35&gt;=$AC$794,CC$35-$AC$794+1,0)</f>
        <v>0</v>
      </c>
      <c r="CD796" s="63" t="n">
        <f aca="false">IF(CD$35&gt;=$AC$794,CD$35-$AC$794+1,0)</f>
        <v>0</v>
      </c>
      <c r="CE796" s="63" t="n">
        <f aca="false">IF(CE$35&gt;=$AC$794,CE$35-$AC$794+1,0)</f>
        <v>0</v>
      </c>
      <c r="CF796" s="63" t="n">
        <f aca="false">IF(CF$35&gt;=$AC$794,CF$35-$AC$794+1,0)</f>
        <v>0</v>
      </c>
      <c r="CG796" s="63" t="n">
        <f aca="false">IF(CG$35&gt;=$AC$794,CG$35-$AC$794+1,0)</f>
        <v>0</v>
      </c>
      <c r="CH796" s="63" t="n">
        <f aca="false">IF(CH$35&gt;=$AC$794,CH$35-$AC$794+1,0)</f>
        <v>0</v>
      </c>
      <c r="CI796" s="63" t="n">
        <f aca="false">IF(CI$35&gt;=$AC$794,CI$35-$AC$794+1,0)</f>
        <v>0</v>
      </c>
      <c r="CJ796" s="63" t="n">
        <f aca="false">IF(CJ$35&gt;=$AC$794,CJ$35-$AC$794+1,0)</f>
        <v>0</v>
      </c>
      <c r="CK796" s="63" t="n">
        <f aca="false">IF(CK$35&gt;=$AC$794,CK$35-$AC$794+1,0)</f>
        <v>0</v>
      </c>
      <c r="CL796" s="63" t="n">
        <f aca="false">IF(CL$35&gt;=$AC$794,CL$35-$AC$794+1,0)</f>
        <v>0</v>
      </c>
      <c r="CM796" s="63" t="n">
        <f aca="false">IF(CM$35&gt;=$AC$794,CM$35-$AC$794+1,0)</f>
        <v>0</v>
      </c>
      <c r="CN796" s="63" t="n">
        <f aca="false">IF(CN$35&gt;=$AC$794,CN$35-$AC$794+1,0)</f>
        <v>0</v>
      </c>
      <c r="CO796" s="63" t="n">
        <f aca="false">IF(CO$35&gt;=$AC$794,CO$35-$AC$794+1,0)</f>
        <v>0</v>
      </c>
      <c r="CP796" s="63" t="n">
        <f aca="false">IF(CP$35&gt;=$AC$794,CP$35-$AC$794+1,0)</f>
        <v>0</v>
      </c>
      <c r="CQ796" s="63" t="n">
        <f aca="false">IF(CQ$35&gt;=$AC$794,CQ$35-$AC$794+1,0)</f>
        <v>0</v>
      </c>
      <c r="CR796" s="63" t="n">
        <f aca="false">IF(CR$35&gt;=$AC$794,CR$35-$AC$794+1,0)</f>
        <v>0</v>
      </c>
      <c r="CS796" s="63" t="n">
        <f aca="false">IF(CS$35&gt;=$AC$794,CS$35-$AC$794+1,0)</f>
        <v>0</v>
      </c>
      <c r="CT796" s="63" t="n">
        <f aca="false">IF(CT$35&gt;=$AC$794,CT$35-$AC$794+1,0)</f>
        <v>0</v>
      </c>
      <c r="CU796" s="63" t="n">
        <f aca="false">IF(CU$35&gt;=$AC$794,CU$35-$AC$794+1,0)</f>
        <v>0</v>
      </c>
      <c r="CV796" s="63" t="n">
        <f aca="false">IF(CV$35&gt;=$AC$794,CV$35-$AC$794+1,0)</f>
        <v>0</v>
      </c>
      <c r="CW796" s="63" t="n">
        <f aca="false">IF(CW$35&gt;=$AC$794,CW$35-$AC$794+1,0)</f>
        <v>0</v>
      </c>
      <c r="CX796" s="63" t="n">
        <f aca="false">IF(CX$35&gt;=$AC$794,CX$35-$AC$794+1,0)</f>
        <v>0</v>
      </c>
      <c r="CY796" s="63" t="n">
        <f aca="false">IF(CY$35&gt;=$AC$794,CY$35-$AC$794+1,0)</f>
        <v>0</v>
      </c>
      <c r="CZ796" s="63" t="n">
        <f aca="false">IF(CZ$35&gt;=$AC$794,CZ$35-$AC$794+1,0)</f>
        <v>0</v>
      </c>
      <c r="DA796" s="63" t="n">
        <f aca="false">IF(DA$35&gt;=$AC$794,DA$35-$AC$794+1,0)</f>
        <v>0</v>
      </c>
      <c r="DB796" s="63" t="n">
        <f aca="false">IF(DB$35&gt;=$AC$794,DB$35-$AC$794+1,0)</f>
        <v>0</v>
      </c>
      <c r="DC796" s="63" t="n">
        <f aca="false">IF(DC$35&gt;=$AC$794,DC$35-$AC$794+1,0)</f>
        <v>0</v>
      </c>
      <c r="DD796" s="63" t="n">
        <f aca="false">IF(DD$35&gt;=$AC$794,DD$35-$AC$794+1,0)</f>
        <v>0</v>
      </c>
      <c r="DE796" s="63" t="n">
        <f aca="false">IF(DE$35&gt;=$AC$794,DE$35-$AC$794+1,0)</f>
        <v>0</v>
      </c>
      <c r="DF796" s="63" t="n">
        <f aca="false">IF(DF$35&gt;=$AC$794,DF$35-$AC$794+1,0)</f>
        <v>0</v>
      </c>
      <c r="DG796" s="63" t="n">
        <f aca="false">IF(DG$35&gt;=$AC$794,DG$35-$AC$794+1,0)</f>
        <v>0</v>
      </c>
      <c r="DH796" s="63" t="n">
        <f aca="false">IF(DH$35&gt;=$AC$794,DH$35-$AC$794+1,0)</f>
        <v>0</v>
      </c>
      <c r="DI796" s="63" t="n">
        <f aca="false">IF(DI$35&gt;=$AC$794,DI$35-$AC$794+1,0)</f>
        <v>0</v>
      </c>
      <c r="DJ796" s="63" t="n">
        <f aca="false">IF(DJ$35&gt;=$AC$794,DJ$35-$AC$794+1,0)</f>
        <v>0</v>
      </c>
      <c r="DK796" s="63" t="n">
        <f aca="false">IF(DK$35&gt;=$AC$794,DK$35-$AC$794+1,0)</f>
        <v>0</v>
      </c>
      <c r="DL796" s="63" t="n">
        <f aca="false">IF(DL$35&gt;=$AC$794,DL$35-$AC$794+1,0)</f>
        <v>0</v>
      </c>
      <c r="DM796" s="63" t="n">
        <f aca="false">IF(DM$35&gt;=$AC$794,DM$35-$AC$794+1,0)</f>
        <v>0</v>
      </c>
      <c r="DN796" s="63" t="n">
        <f aca="false">IF(DN$35&gt;=$AC$794,DN$35-$AC$794+1,0)</f>
        <v>0</v>
      </c>
      <c r="DO796" s="63" t="n">
        <f aca="false">IF(DO$35&gt;=$AC$794,DO$35-$AC$794+1,0)</f>
        <v>0</v>
      </c>
      <c r="DP796" s="63" t="n">
        <f aca="false">IF(DP$35&gt;=$AC$794,DP$35-$AC$794+1,0)</f>
        <v>0</v>
      </c>
      <c r="DQ796" s="63" t="n">
        <f aca="false">IF(DQ$35&gt;=$AC$794,DQ$35-$AC$794+1,0)</f>
        <v>0</v>
      </c>
      <c r="DR796" s="63" t="n">
        <f aca="false">IF(DR$35&gt;=$AC$794,DR$35-$AC$794+1,0)</f>
        <v>0</v>
      </c>
      <c r="DS796" s="63" t="n">
        <f aca="false">IF(DS$35&gt;=$AC$794,DS$35-$AC$794+1,0)</f>
        <v>0</v>
      </c>
      <c r="DT796" s="63" t="n">
        <f aca="false">IF(DT$35&gt;=$AC$794,DT$35-$AC$794+1,0)</f>
        <v>0</v>
      </c>
      <c r="DU796" s="63" t="n">
        <f aca="false">IF(DU$35&gt;=$AC$794,DU$35-$AC$794+1,0)</f>
        <v>0</v>
      </c>
      <c r="DV796" s="63" t="n">
        <f aca="false">IF(DV$35&gt;=$AC$794,DV$35-$AC$794+1,0)</f>
        <v>0</v>
      </c>
      <c r="DW796" s="63" t="n">
        <f aca="false">IF(DW$35&gt;=$AC$794,DW$35-$AC$794+1,0)</f>
        <v>0</v>
      </c>
      <c r="DX796" s="63" t="n">
        <f aca="false">IF(DX$35&gt;=$AC$794,DX$35-$AC$794+1,0)</f>
        <v>0</v>
      </c>
      <c r="DY796" s="63" t="n">
        <f aca="false">IF(DY$35&gt;=$AC$794,DY$35-$AC$794+1,0)</f>
        <v>0</v>
      </c>
      <c r="DZ796" s="63" t="n">
        <f aca="false">IF(DZ$35&gt;=$AC$794,DZ$35-$AC$794+1,0)</f>
        <v>0</v>
      </c>
      <c r="EA796" s="63" t="n">
        <f aca="false">IF(EA$35&gt;=$AC$794,EA$35-$AC$794+1,0)</f>
        <v>0</v>
      </c>
      <c r="EB796" s="63" t="n">
        <f aca="false">IF(EB$35&gt;=$AC$794,EB$35-$AC$794+1,0)</f>
        <v>0</v>
      </c>
      <c r="EC796" s="63" t="n">
        <f aca="false">IF(EC$35&gt;=$AC$794,EC$35-$AC$794+1,0)</f>
        <v>0</v>
      </c>
      <c r="ED796" s="63" t="n">
        <f aca="false">IF(ED$35&gt;=$AC$794,ED$35-$AC$794+1,0)</f>
        <v>0</v>
      </c>
      <c r="EE796" s="63" t="n">
        <f aca="false">IF(EE$35&gt;=$AC$794,EE$35-$AC$794+1,0)</f>
        <v>0</v>
      </c>
      <c r="EF796" s="63" t="n">
        <f aca="false">IF(EF$35&gt;=$AC$794,EF$35-$AC$794+1,0)</f>
        <v>0</v>
      </c>
      <c r="EG796" s="63" t="n">
        <f aca="false">IF(EG$35&gt;=$AC$794,EG$35-$AC$794+1,0)</f>
        <v>0</v>
      </c>
      <c r="EH796" s="63" t="n">
        <f aca="false">IF(EH$35&gt;=$AC$794,EH$35-$AC$794+1,0)</f>
        <v>0</v>
      </c>
      <c r="EI796" s="63" t="n">
        <f aca="false">IF(EI$35&gt;=$AC$794,EI$35-$AC$794+1,0)</f>
        <v>0</v>
      </c>
      <c r="EJ796" s="63" t="n">
        <f aca="false">IF(EJ$35&gt;=$AC$794,EJ$35-$AC$794+1,0)</f>
        <v>0</v>
      </c>
      <c r="EK796" s="63" t="n">
        <f aca="false">IF(EK$35&gt;=$AC$794,EK$35-$AC$794+1,0)</f>
        <v>0</v>
      </c>
      <c r="EL796" s="63" t="n">
        <f aca="false">IF(EL$35&gt;=$AC$794,EL$35-$AC$794+1,0)</f>
        <v>0</v>
      </c>
      <c r="EM796" s="63" t="n">
        <f aca="false">IF(EM$35&gt;=$AC$794,EM$35-$AC$794+1,0)</f>
        <v>0</v>
      </c>
      <c r="EN796" s="63" t="n">
        <f aca="false">IF(EN$35&gt;=$AC$794,EN$35-$AC$794+1,0)</f>
        <v>0</v>
      </c>
      <c r="EO796" s="63" t="n">
        <f aca="false">IF(EO$35&gt;=$AC$794,EO$35-$AC$794+1,0)</f>
        <v>0</v>
      </c>
      <c r="EP796" s="63" t="n">
        <f aca="false">IF(EP$35&gt;=$AC$794,EP$35-$AC$794+1,0)</f>
        <v>0</v>
      </c>
      <c r="EQ796" s="63" t="n">
        <f aca="false">IF(EQ$35&gt;=$AC$794,EQ$35-$AC$794+1,0)</f>
        <v>0</v>
      </c>
      <c r="ER796" s="63" t="n">
        <f aca="false">IF(ER$35&gt;=$AC$794,ER$35-$AC$794+1,0)</f>
        <v>0</v>
      </c>
      <c r="ES796" s="9" t="n">
        <f aca="false">IF(ES$35&gt;=$AC$794,ES$35-$AC$794+1,0)</f>
        <v>0</v>
      </c>
      <c r="ET796" s="9" t="n">
        <f aca="false">IF(ET$35&gt;=$AC$794,ET$35-$AC$794+1,0)</f>
        <v>0</v>
      </c>
      <c r="EU796" s="9" t="n">
        <f aca="false">IF(EU$35&gt;=$AC$794,EU$35-$AC$794+1,0)</f>
        <v>0</v>
      </c>
      <c r="EV796" s="9" t="n">
        <f aca="false">IF(EV$35&gt;=$AC$794,EV$35-$AC$794+1,0)</f>
        <v>0</v>
      </c>
      <c r="EW796" s="9" t="n">
        <f aca="false">IF(EW$35&gt;=$AC$794,EW$35-$AC$794+1,0)</f>
        <v>0</v>
      </c>
      <c r="EX796" s="9" t="n">
        <f aca="false">IF(EX$35&gt;=$AC$794,EX$35-$AC$794+1,0)</f>
        <v>0</v>
      </c>
      <c r="EY796" s="9" t="n">
        <f aca="false">IF(EY$35&gt;=$AC$794,EY$35-$AC$794+1,0)</f>
        <v>0</v>
      </c>
      <c r="EZ796" s="9" t="n">
        <f aca="false">IF(EZ$35&gt;=$AC$794,EZ$35-$AC$794+1,0)</f>
        <v>0</v>
      </c>
      <c r="FA796" s="9" t="n">
        <f aca="false">IF(FA$35&gt;=$AC$794,FA$35-$AC$794+1,0)</f>
        <v>0</v>
      </c>
      <c r="FB796" s="9" t="n">
        <f aca="false">IF(FB$35&gt;=$AC$794,FB$35-$AC$794+1,0)</f>
        <v>0</v>
      </c>
      <c r="FC796" s="9" t="n">
        <f aca="false">IF(FC$35&gt;=$AC$794,FC$35-$AC$794+1,0)</f>
        <v>0</v>
      </c>
      <c r="FD796" s="9" t="n">
        <f aca="false">IF(FD$35&gt;=$AC$794,FD$35-$AC$794+1,0)</f>
        <v>1</v>
      </c>
      <c r="FE796" s="9" t="n">
        <f aca="false">IF(FE$35&gt;=$AC$794,FE$35-$AC$794+1,0)</f>
        <v>2</v>
      </c>
      <c r="FF796" s="9" t="n">
        <f aca="false">IF(FF$35&gt;=$AC$794,FF$35-$AC$794+1,0)</f>
        <v>3</v>
      </c>
      <c r="FG796" s="9" t="n">
        <f aca="false">IF(FG$35&gt;=$AC$794,FG$35-$AC$794+1,0)</f>
        <v>4</v>
      </c>
      <c r="FH796" s="9" t="n">
        <f aca="false">IF(FH$35&gt;=$AC$794,FH$35-$AC$794+1,0)</f>
        <v>5</v>
      </c>
      <c r="FI796" s="9" t="n">
        <f aca="false">IF(FI$35&gt;=$AC$794,FI$35-$AC$794+1,0)</f>
        <v>6</v>
      </c>
      <c r="FJ796" s="9" t="n">
        <f aca="false">IF(FJ$35&gt;=$AC$794,FJ$35-$AC$794+1,0)</f>
        <v>7</v>
      </c>
      <c r="FK796" s="9" t="n">
        <f aca="false">IF(FK$35&gt;=$AC$794,FK$35-$AC$794+1,0)</f>
        <v>8</v>
      </c>
      <c r="FL796" s="9" t="n">
        <f aca="false">IF(FL$35&gt;=$AC$794,FL$35-$AC$794+1,0)</f>
        <v>9</v>
      </c>
      <c r="FM796" s="9" t="n">
        <f aca="false">IF(FM$35&gt;=$AC$794,FM$35-$AC$794+1,0)</f>
        <v>10</v>
      </c>
      <c r="FN796" s="9" t="n">
        <f aca="false">IF(FN$35&gt;=$AC$794,FN$35-$AC$794+1,0)</f>
        <v>11</v>
      </c>
      <c r="FO796" s="9" t="n">
        <f aca="false">IF(FO$35&gt;=$AC$794,FO$35-$AC$794+1,0)</f>
        <v>12</v>
      </c>
      <c r="FP796" s="9" t="n">
        <f aca="false">IF(FP$35&gt;=$AC$794,FP$35-$AC$794+1,0)</f>
        <v>13</v>
      </c>
    </row>
    <row r="797" customFormat="false" ht="15" hidden="false" customHeight="false" outlineLevel="2" collapsed="false">
      <c r="B797" s="9" t="s">
        <v>874</v>
      </c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236" t="n">
        <f aca="false" t="array" ref="AC797:AC797">IF(AC796=0,0,IF(AC796/'🎚️ Escenario'!$C$11&gt;=36,$AL$23,INDEX($C$23:$AL$23,MAX(1,ROUNDUP(AC796/'🎚️ Escenario'!$C$11,0)))))</f>
        <v>0</v>
      </c>
      <c r="AD797" s="236" t="n">
        <f aca="false" t="array" ref="AD797:AD797">IF(AD796=0,0,IF(AD796/'🎚️ Escenario'!$C$11&gt;=36,$AL$23,INDEX($C$23:$AL$23,MAX(1,ROUNDUP(AD796/'🎚️ Escenario'!$C$11,0)))))</f>
        <v>0</v>
      </c>
      <c r="AE797" s="236" t="n">
        <f aca="false" t="array" ref="AE797:AE797">IF(AE796=0,0,IF(AE796/'🎚️ Escenario'!$C$11&gt;=36,$AL$23,INDEX($C$23:$AL$23,MAX(1,ROUNDUP(AE796/'🎚️ Escenario'!$C$11,0)))))</f>
        <v>0</v>
      </c>
      <c r="AF797" s="236" t="n">
        <f aca="false" t="array" ref="AF797:AF797">IF(AF796=0,0,IF(AF796/'🎚️ Escenario'!$C$11&gt;=36,$AL$23,INDEX($C$23:$AL$23,MAX(1,ROUNDUP(AF796/'🎚️ Escenario'!$C$11,0)))))</f>
        <v>0</v>
      </c>
      <c r="AG797" s="236" t="n">
        <f aca="false" t="array" ref="AG797:AG797">IF(AG796=0,0,IF(AG796/'🎚️ Escenario'!$C$11&gt;=36,$AL$23,INDEX($C$23:$AL$23,MAX(1,ROUNDUP(AG796/'🎚️ Escenario'!$C$11,0)))))</f>
        <v>0</v>
      </c>
      <c r="AH797" s="236" t="n">
        <f aca="false" t="array" ref="AH797:AH797">IF(AH796=0,0,IF(AH796/'🎚️ Escenario'!$C$11&gt;=36,$AL$23,INDEX($C$23:$AL$23,MAX(1,ROUNDUP(AH796/'🎚️ Escenario'!$C$11,0)))))</f>
        <v>0</v>
      </c>
      <c r="AI797" s="236" t="n">
        <f aca="false" t="array" ref="AI797:AI797">IF(AI796=0,0,IF(AI796/'🎚️ Escenario'!$C$11&gt;=36,$AL$23,INDEX($C$23:$AL$23,MAX(1,ROUNDUP(AI796/'🎚️ Escenario'!$C$11,0)))))</f>
        <v>0</v>
      </c>
      <c r="AJ797" s="236" t="n">
        <f aca="false" t="array" ref="AJ797:AJ797">IF(AJ796=0,0,IF(AJ796/'🎚️ Escenario'!$C$11&gt;=36,$AL$23,INDEX($C$23:$AL$23,MAX(1,ROUNDUP(AJ796/'🎚️ Escenario'!$C$11,0)))))</f>
        <v>0</v>
      </c>
      <c r="AK797" s="236" t="n">
        <f aca="false" t="array" ref="AK797:AK797">IF(AK796=0,0,IF(AK796/'🎚️ Escenario'!$C$11&gt;=36,$AL$23,INDEX($C$23:$AL$23,MAX(1,ROUNDUP(AK796/'🎚️ Escenario'!$C$11,0)))))</f>
        <v>0</v>
      </c>
      <c r="AL797" s="236" t="n">
        <f aca="false" t="array" ref="AL797:AL797">IF(AL796=0,0,IF(AL796/'🎚️ Escenario'!$C$11&gt;=36,$AL$23,INDEX($C$23:$AL$23,MAX(1,ROUNDUP(AL796/'🎚️ Escenario'!$C$11,0)))))</f>
        <v>0</v>
      </c>
      <c r="AM797" s="236" t="n">
        <f aca="false" t="array" ref="AM797:AM797">IF(AM796=0,0,IF(AM796/'🎚️ Escenario'!$C$11&gt;=36,$AL$23,INDEX($C$23:$AL$23,MAX(1,ROUNDUP(AM796/'🎚️ Escenario'!$C$11,0)))))</f>
        <v>0</v>
      </c>
      <c r="AN797" s="236" t="n">
        <f aca="false" t="array" ref="AN797:AN797">IF(AN796=0,0,IF(AN796/'🎚️ Escenario'!$C$11&gt;=36,$AL$23,INDEX($C$23:$AL$23,MAX(1,ROUNDUP(AN796/'🎚️ Escenario'!$C$11,0)))))</f>
        <v>0</v>
      </c>
      <c r="AO797" s="236" t="n">
        <f aca="false" t="array" ref="AO797:AO797">IF(AO796=0,0,IF(AO796/'🎚️ Escenario'!$C$11&gt;=36,$AL$23,INDEX($C$23:$AL$23,MAX(1,ROUNDUP(AO796/'🎚️ Escenario'!$C$11,0)))))</f>
        <v>0</v>
      </c>
      <c r="AP797" s="236" t="n">
        <f aca="false" t="array" ref="AP797:AP797">IF(AP796=0,0,IF(AP796/'🎚️ Escenario'!$C$11&gt;=36,$AL$23,INDEX($C$23:$AL$23,MAX(1,ROUNDUP(AP796/'🎚️ Escenario'!$C$11,0)))))</f>
        <v>0</v>
      </c>
      <c r="AQ797" s="236" t="n">
        <f aca="false" t="array" ref="AQ797:AQ797">IF(AQ796=0,0,IF(AQ796/'🎚️ Escenario'!$C$11&gt;=36,$AL$23,INDEX($C$23:$AL$23,MAX(1,ROUNDUP(AQ796/'🎚️ Escenario'!$C$11,0)))))</f>
        <v>0</v>
      </c>
      <c r="AR797" s="236" t="n">
        <f aca="false" t="array" ref="AR797:AR797">IF(AR796=0,0,IF(AR796/'🎚️ Escenario'!$C$11&gt;=36,$AL$23,INDEX($C$23:$AL$23,MAX(1,ROUNDUP(AR796/'🎚️ Escenario'!$C$11,0)))))</f>
        <v>0</v>
      </c>
      <c r="AS797" s="236" t="n">
        <f aca="false" t="array" ref="AS797:AS797">IF(AS796=0,0,IF(AS796/'🎚️ Escenario'!$C$11&gt;=36,$AL$23,INDEX($C$23:$AL$23,MAX(1,ROUNDUP(AS796/'🎚️ Escenario'!$C$11,0)))))</f>
        <v>0</v>
      </c>
      <c r="AT797" s="236" t="n">
        <f aca="false" t="array" ref="AT797:AT797">IF(AT796=0,0,IF(AT796/'🎚️ Escenario'!$C$11&gt;=36,$AL$23,INDEX($C$23:$AL$23,MAX(1,ROUNDUP(AT796/'🎚️ Escenario'!$C$11,0)))))</f>
        <v>0</v>
      </c>
      <c r="AU797" s="236" t="n">
        <f aca="false" t="array" ref="AU797:AU797">IF(AU796=0,0,IF(AU796/'🎚️ Escenario'!$C$11&gt;=36,$AL$23,INDEX($C$23:$AL$23,MAX(1,ROUNDUP(AU796/'🎚️ Escenario'!$C$11,0)))))</f>
        <v>0</v>
      </c>
      <c r="AV797" s="236" t="n">
        <f aca="false" t="array" ref="AV797:AV797">IF(AV796=0,0,IF(AV796/'🎚️ Escenario'!$C$11&gt;=36,$AL$23,INDEX($C$23:$AL$23,MAX(1,ROUNDUP(AV796/'🎚️ Escenario'!$C$11,0)))))</f>
        <v>0</v>
      </c>
      <c r="AW797" s="236" t="n">
        <f aca="false" t="array" ref="AW797:AW797">IF(AW796=0,0,IF(AW796/'🎚️ Escenario'!$C$11&gt;=36,$AL$23,INDEX($C$23:$AL$23,MAX(1,ROUNDUP(AW796/'🎚️ Escenario'!$C$11,0)))))</f>
        <v>0</v>
      </c>
      <c r="AX797" s="236" t="n">
        <f aca="false" t="array" ref="AX797:AX797">IF(AX796=0,0,IF(AX796/'🎚️ Escenario'!$C$11&gt;=36,$AL$23,INDEX($C$23:$AL$23,MAX(1,ROUNDUP(AX796/'🎚️ Escenario'!$C$11,0)))))</f>
        <v>0</v>
      </c>
      <c r="AY797" s="236" t="n">
        <f aca="false" t="array" ref="AY797:AY797">IF(AY796=0,0,IF(AY796/'🎚️ Escenario'!$C$11&gt;=36,$AL$23,INDEX($C$23:$AL$23,MAX(1,ROUNDUP(AY796/'🎚️ Escenario'!$C$11,0)))))</f>
        <v>0</v>
      </c>
      <c r="AZ797" s="236" t="n">
        <f aca="false" t="array" ref="AZ797:AZ797">IF(AZ796=0,0,IF(AZ796/'🎚️ Escenario'!$C$11&gt;=36,$AL$23,INDEX($C$23:$AL$23,MAX(1,ROUNDUP(AZ796/'🎚️ Escenario'!$C$11,0)))))</f>
        <v>0</v>
      </c>
      <c r="BA797" s="236" t="n">
        <f aca="false" t="array" ref="BA797:BA797">IF(BA796=0,0,IF(BA796/'🎚️ Escenario'!$C$11&gt;=36,$AL$23,INDEX($C$23:$AL$23,MAX(1,ROUNDUP(BA796/'🎚️ Escenario'!$C$11,0)))))</f>
        <v>0</v>
      </c>
      <c r="BB797" s="236" t="n">
        <f aca="false" t="array" ref="BB797:BB797">IF(BB796=0,0,IF(BB796/'🎚️ Escenario'!$C$11&gt;=36,$AL$23,INDEX($C$23:$AL$23,MAX(1,ROUNDUP(BB796/'🎚️ Escenario'!$C$11,0)))))</f>
        <v>0</v>
      </c>
      <c r="BC797" s="236" t="n">
        <f aca="false" t="array" ref="BC797:BC797">IF(BC796=0,0,IF(BC796/'🎚️ Escenario'!$C$11&gt;=36,$AL$23,INDEX($C$23:$AL$23,MAX(1,ROUNDUP(BC796/'🎚️ Escenario'!$C$11,0)))))</f>
        <v>0</v>
      </c>
      <c r="BD797" s="236" t="n">
        <f aca="false" t="array" ref="BD797:BD797">IF(BD796=0,0,IF(BD796/'🎚️ Escenario'!$C$11&gt;=36,$AL$23,INDEX($C$23:$AL$23,MAX(1,ROUNDUP(BD796/'🎚️ Escenario'!$C$11,0)))))</f>
        <v>0</v>
      </c>
      <c r="BE797" s="236" t="n">
        <f aca="false" t="array" ref="BE797:BE797">IF(BE796=0,0,IF(BE796/'🎚️ Escenario'!$C$11&gt;=36,$AL$23,INDEX($C$23:$AL$23,MAX(1,ROUNDUP(BE796/'🎚️ Escenario'!$C$11,0)))))</f>
        <v>0</v>
      </c>
      <c r="BF797" s="236" t="n">
        <f aca="false" t="array" ref="BF797:BF797">IF(BF796=0,0,IF(BF796/'🎚️ Escenario'!$C$11&gt;=36,$AL$23,INDEX($C$23:$AL$23,MAX(1,ROUNDUP(BF796/'🎚️ Escenario'!$C$11,0)))))</f>
        <v>0</v>
      </c>
      <c r="BG797" s="236" t="n">
        <f aca="false" t="array" ref="BG797:BG797">IF(BG796=0,0,IF(BG796/'🎚️ Escenario'!$C$11&gt;=36,$AL$23,INDEX($C$23:$AL$23,MAX(1,ROUNDUP(BG796/'🎚️ Escenario'!$C$11,0)))))</f>
        <v>0</v>
      </c>
      <c r="BH797" s="236" t="n">
        <f aca="false" t="array" ref="BH797:BH797">IF(BH796=0,0,IF(BH796/'🎚️ Escenario'!$C$11&gt;=36,$AL$23,INDEX($C$23:$AL$23,MAX(1,ROUNDUP(BH796/'🎚️ Escenario'!$C$11,0)))))</f>
        <v>0</v>
      </c>
      <c r="BI797" s="236" t="n">
        <f aca="false" t="array" ref="BI797:BI797">IF(BI796=0,0,IF(BI796/'🎚️ Escenario'!$C$11&gt;=36,$AL$23,INDEX($C$23:$AL$23,MAX(1,ROUNDUP(BI796/'🎚️ Escenario'!$C$11,0)))))</f>
        <v>0</v>
      </c>
      <c r="BJ797" s="236" t="n">
        <f aca="false" t="array" ref="BJ797:BJ797">IF(BJ796=0,0,IF(BJ796/'🎚️ Escenario'!$C$11&gt;=36,$AL$23,INDEX($C$23:$AL$23,MAX(1,ROUNDUP(BJ796/'🎚️ Escenario'!$C$11,0)))))</f>
        <v>0</v>
      </c>
      <c r="BK797" s="236" t="n">
        <f aca="false" t="array" ref="BK797:BK797">IF(BK796=0,0,IF(BK796/'🎚️ Escenario'!$C$11&gt;=36,$AL$23,INDEX($C$23:$AL$23,MAX(1,ROUNDUP(BK796/'🎚️ Escenario'!$C$11,0)))))</f>
        <v>0</v>
      </c>
      <c r="BL797" s="236" t="n">
        <f aca="false" t="array" ref="BL797:BL797">IF(BL796=0,0,IF(BL796/'🎚️ Escenario'!$C$11&gt;=36,$AL$23,INDEX($C$23:$AL$23,MAX(1,ROUNDUP(BL796/'🎚️ Escenario'!$C$11,0)))))</f>
        <v>0</v>
      </c>
      <c r="BM797" s="236" t="n">
        <f aca="false" t="array" ref="BM797:BM797">IF(BM796=0,0,IF(BM796/'🎚️ Escenario'!$C$11&gt;=36,$AL$23,INDEX($C$23:$AL$23,MAX(1,ROUNDUP(BM796/'🎚️ Escenario'!$C$11,0)))))</f>
        <v>0</v>
      </c>
      <c r="BN797" s="236" t="n">
        <f aca="false" t="array" ref="BN797:BN797">IF(BN796=0,0,IF(BN796/'🎚️ Escenario'!$C$11&gt;=36,$AL$23,INDEX($C$23:$AL$23,MAX(1,ROUNDUP(BN796/'🎚️ Escenario'!$C$11,0)))))</f>
        <v>0</v>
      </c>
      <c r="BO797" s="236" t="n">
        <f aca="false" t="array" ref="BO797:BO797">IF(BO796=0,0,IF(BO796/'🎚️ Escenario'!$C$11&gt;=36,$AL$23,INDEX($C$23:$AL$23,MAX(1,ROUNDUP(BO796/'🎚️ Escenario'!$C$11,0)))))</f>
        <v>0</v>
      </c>
      <c r="BP797" s="236" t="n">
        <f aca="false" t="array" ref="BP797:BP797">IF(BP796=0,0,IF(BP796/'🎚️ Escenario'!$C$11&gt;=36,$AL$23,INDEX($C$23:$AL$23,MAX(1,ROUNDUP(BP796/'🎚️ Escenario'!$C$11,0)))))</f>
        <v>0</v>
      </c>
      <c r="BQ797" s="236" t="n">
        <f aca="false" t="array" ref="BQ797:BQ797">IF(BQ796=0,0,IF(BQ796/'🎚️ Escenario'!$C$11&gt;=36,$AL$23,INDEX($C$23:$AL$23,MAX(1,ROUNDUP(BQ796/'🎚️ Escenario'!$C$11,0)))))</f>
        <v>0</v>
      </c>
      <c r="BR797" s="236" t="n">
        <f aca="false" t="array" ref="BR797:BR797">IF(BR796=0,0,IF(BR796/'🎚️ Escenario'!$C$11&gt;=36,$AL$23,INDEX($C$23:$AL$23,MAX(1,ROUNDUP(BR796/'🎚️ Escenario'!$C$11,0)))))</f>
        <v>0</v>
      </c>
      <c r="BS797" s="236" t="n">
        <f aca="false" t="array" ref="BS797:BS797">IF(BS796=0,0,IF(BS796/'🎚️ Escenario'!$C$11&gt;=36,$AL$23,INDEX($C$23:$AL$23,MAX(1,ROUNDUP(BS796/'🎚️ Escenario'!$C$11,0)))))</f>
        <v>0</v>
      </c>
      <c r="BT797" s="236" t="n">
        <f aca="false" t="array" ref="BT797:BT797">IF(BT796=0,0,IF(BT796/'🎚️ Escenario'!$C$11&gt;=36,$AL$23,INDEX($C$23:$AL$23,MAX(1,ROUNDUP(BT796/'🎚️ Escenario'!$C$11,0)))))</f>
        <v>0</v>
      </c>
      <c r="BU797" s="236" t="n">
        <f aca="false" t="array" ref="BU797:BU797">IF(BU796=0,0,IF(BU796/'🎚️ Escenario'!$C$11&gt;=36,$AL$23,INDEX($C$23:$AL$23,MAX(1,ROUNDUP(BU796/'🎚️ Escenario'!$C$11,0)))))</f>
        <v>0</v>
      </c>
      <c r="BV797" s="236" t="n">
        <f aca="false" t="array" ref="BV797:BV797">IF(BV796=0,0,IF(BV796/'🎚️ Escenario'!$C$11&gt;=36,$AL$23,INDEX($C$23:$AL$23,MAX(1,ROUNDUP(BV796/'🎚️ Escenario'!$C$11,0)))))</f>
        <v>0</v>
      </c>
      <c r="BW797" s="236" t="n">
        <f aca="false" t="array" ref="BW797:BW797">IF(BW796=0,0,IF(BW796/'🎚️ Escenario'!$C$11&gt;=36,$AL$23,INDEX($C$23:$AL$23,MAX(1,ROUNDUP(BW796/'🎚️ Escenario'!$C$11,0)))))</f>
        <v>0</v>
      </c>
      <c r="BX797" s="236" t="n">
        <f aca="false" t="array" ref="BX797:BX797">IF(BX796=0,0,IF(BX796/'🎚️ Escenario'!$C$11&gt;=36,$AL$23,INDEX($C$23:$AL$23,MAX(1,ROUNDUP(BX796/'🎚️ Escenario'!$C$11,0)))))</f>
        <v>0</v>
      </c>
      <c r="BY797" s="236" t="n">
        <f aca="false" t="array" ref="BY797:BY797">IF(BY796=0,0,IF(BY796/'🎚️ Escenario'!$C$11&gt;=36,$AL$23,INDEX($C$23:$AL$23,MAX(1,ROUNDUP(BY796/'🎚️ Escenario'!$C$11,0)))))</f>
        <v>0</v>
      </c>
      <c r="BZ797" s="236" t="n">
        <f aca="false" t="array" ref="BZ797:BZ797">IF(BZ796=0,0,IF(BZ796/'🎚️ Escenario'!$C$11&gt;=36,$AL$23,INDEX($C$23:$AL$23,MAX(1,ROUNDUP(BZ796/'🎚️ Escenario'!$C$11,0)))))</f>
        <v>0</v>
      </c>
      <c r="CA797" s="236" t="n">
        <f aca="false" t="array" ref="CA797:CA797">IF(CA796=0,0,IF(CA796/'🎚️ Escenario'!$C$11&gt;=36,$AL$23,INDEX($C$23:$AL$23,MAX(1,ROUNDUP(CA796/'🎚️ Escenario'!$C$11,0)))))</f>
        <v>0</v>
      </c>
      <c r="CB797" s="236" t="n">
        <f aca="false" t="array" ref="CB797:CB797">IF(CB796=0,0,IF(CB796/'🎚️ Escenario'!$C$11&gt;=36,$AL$23,INDEX($C$23:$AL$23,MAX(1,ROUNDUP(CB796/'🎚️ Escenario'!$C$11,0)))))</f>
        <v>0</v>
      </c>
      <c r="CC797" s="236" t="n">
        <f aca="false" t="array" ref="CC797:CC797">IF(CC796=0,0,IF(CC796/'🎚️ Escenario'!$C$11&gt;=36,$AL$23,INDEX($C$23:$AL$23,MAX(1,ROUNDUP(CC796/'🎚️ Escenario'!$C$11,0)))))</f>
        <v>0</v>
      </c>
      <c r="CD797" s="236" t="n">
        <f aca="false" t="array" ref="CD797:CD797">IF(CD796=0,0,IF(CD796/'🎚️ Escenario'!$C$11&gt;=36,$AL$23,INDEX($C$23:$AL$23,MAX(1,ROUNDUP(CD796/'🎚️ Escenario'!$C$11,0)))))</f>
        <v>0</v>
      </c>
      <c r="CE797" s="236" t="n">
        <f aca="false" t="array" ref="CE797:CE797">IF(CE796=0,0,IF(CE796/'🎚️ Escenario'!$C$11&gt;=36,$AL$23,INDEX($C$23:$AL$23,MAX(1,ROUNDUP(CE796/'🎚️ Escenario'!$C$11,0)))))</f>
        <v>0</v>
      </c>
      <c r="CF797" s="236" t="n">
        <f aca="false" t="array" ref="CF797:CF797">IF(CF796=0,0,IF(CF796/'🎚️ Escenario'!$C$11&gt;=36,$AL$23,INDEX($C$23:$AL$23,MAX(1,ROUNDUP(CF796/'🎚️ Escenario'!$C$11,0)))))</f>
        <v>0</v>
      </c>
      <c r="CG797" s="236" t="n">
        <f aca="false" t="array" ref="CG797:CG797">IF(CG796=0,0,IF(CG796/'🎚️ Escenario'!$C$11&gt;=36,$AL$23,INDEX($C$23:$AL$23,MAX(1,ROUNDUP(CG796/'🎚️ Escenario'!$C$11,0)))))</f>
        <v>0</v>
      </c>
      <c r="CH797" s="236" t="n">
        <f aca="false" t="array" ref="CH797:CH797">IF(CH796=0,0,IF(CH796/'🎚️ Escenario'!$C$11&gt;=36,$AL$23,INDEX($C$23:$AL$23,MAX(1,ROUNDUP(CH796/'🎚️ Escenario'!$C$11,0)))))</f>
        <v>0</v>
      </c>
      <c r="CI797" s="236" t="n">
        <f aca="false" t="array" ref="CI797:CI797">IF(CI796=0,0,IF(CI796/'🎚️ Escenario'!$C$11&gt;=36,$AL$23,INDEX($C$23:$AL$23,MAX(1,ROUNDUP(CI796/'🎚️ Escenario'!$C$11,0)))))</f>
        <v>0</v>
      </c>
      <c r="CJ797" s="236" t="n">
        <f aca="false" t="array" ref="CJ797:CJ797">IF(CJ796=0,0,IF(CJ796/'🎚️ Escenario'!$C$11&gt;=36,$AL$23,INDEX($C$23:$AL$23,MAX(1,ROUNDUP(CJ796/'🎚️ Escenario'!$C$11,0)))))</f>
        <v>0</v>
      </c>
      <c r="CK797" s="236" t="n">
        <f aca="false" t="array" ref="CK797:CK797">IF(CK796=0,0,IF(CK796/'🎚️ Escenario'!$C$11&gt;=36,$AL$23,INDEX($C$23:$AL$23,MAX(1,ROUNDUP(CK796/'🎚️ Escenario'!$C$11,0)))))</f>
        <v>0</v>
      </c>
      <c r="CL797" s="236" t="n">
        <f aca="false" t="array" ref="CL797:CL797">IF(CL796=0,0,IF(CL796/'🎚️ Escenario'!$C$11&gt;=36,$AL$23,INDEX($C$23:$AL$23,MAX(1,ROUNDUP(CL796/'🎚️ Escenario'!$C$11,0)))))</f>
        <v>0</v>
      </c>
      <c r="CM797" s="236" t="n">
        <f aca="false" t="array" ref="CM797:CM797">IF(CM796=0,0,IF(CM796/'🎚️ Escenario'!$C$11&gt;=36,$AL$23,INDEX($C$23:$AL$23,MAX(1,ROUNDUP(CM796/'🎚️ Escenario'!$C$11,0)))))</f>
        <v>0</v>
      </c>
      <c r="CN797" s="236" t="n">
        <f aca="false" t="array" ref="CN797:CN797">IF(CN796=0,0,IF(CN796/'🎚️ Escenario'!$C$11&gt;=36,$AL$23,INDEX($C$23:$AL$23,MAX(1,ROUNDUP(CN796/'🎚️ Escenario'!$C$11,0)))))</f>
        <v>0</v>
      </c>
      <c r="CO797" s="236" t="n">
        <f aca="false" t="array" ref="CO797:CO797">IF(CO796=0,0,IF(CO796/'🎚️ Escenario'!$C$11&gt;=36,$AL$23,INDEX($C$23:$AL$23,MAX(1,ROUNDUP(CO796/'🎚️ Escenario'!$C$11,0)))))</f>
        <v>0</v>
      </c>
      <c r="CP797" s="236" t="n">
        <f aca="false" t="array" ref="CP797:CP797">IF(CP796=0,0,IF(CP796/'🎚️ Escenario'!$C$11&gt;=36,$AL$23,INDEX($C$23:$AL$23,MAX(1,ROUNDUP(CP796/'🎚️ Escenario'!$C$11,0)))))</f>
        <v>0</v>
      </c>
      <c r="CQ797" s="236" t="n">
        <f aca="false" t="array" ref="CQ797:CQ797">IF(CQ796=0,0,IF(CQ796/'🎚️ Escenario'!$C$11&gt;=36,$AL$23,INDEX($C$23:$AL$23,MAX(1,ROUNDUP(CQ796/'🎚️ Escenario'!$C$11,0)))))</f>
        <v>0</v>
      </c>
      <c r="CR797" s="236" t="n">
        <f aca="false" t="array" ref="CR797:CR797">IF(CR796=0,0,IF(CR796/'🎚️ Escenario'!$C$11&gt;=36,$AL$23,INDEX($C$23:$AL$23,MAX(1,ROUNDUP(CR796/'🎚️ Escenario'!$C$11,0)))))</f>
        <v>0</v>
      </c>
      <c r="CS797" s="236" t="n">
        <f aca="false" t="array" ref="CS797:CS797">IF(CS796=0,0,IF(CS796/'🎚️ Escenario'!$C$11&gt;=36,$AL$23,INDEX($C$23:$AL$23,MAX(1,ROUNDUP(CS796/'🎚️ Escenario'!$C$11,0)))))</f>
        <v>0</v>
      </c>
      <c r="CT797" s="236" t="n">
        <f aca="false" t="array" ref="CT797:CT797">IF(CT796=0,0,IF(CT796/'🎚️ Escenario'!$C$11&gt;=36,$AL$23,INDEX($C$23:$AL$23,MAX(1,ROUNDUP(CT796/'🎚️ Escenario'!$C$11,0)))))</f>
        <v>0</v>
      </c>
      <c r="CU797" s="236" t="n">
        <f aca="false" t="array" ref="CU797:CU797">IF(CU796=0,0,IF(CU796/'🎚️ Escenario'!$C$11&gt;=36,$AL$23,INDEX($C$23:$AL$23,MAX(1,ROUNDUP(CU796/'🎚️ Escenario'!$C$11,0)))))</f>
        <v>0</v>
      </c>
      <c r="CV797" s="236" t="n">
        <f aca="false" t="array" ref="CV797:CV797">IF(CV796=0,0,IF(CV796/'🎚️ Escenario'!$C$11&gt;=36,$AL$23,INDEX($C$23:$AL$23,MAX(1,ROUNDUP(CV796/'🎚️ Escenario'!$C$11,0)))))</f>
        <v>0</v>
      </c>
      <c r="CW797" s="236" t="n">
        <f aca="false" t="array" ref="CW797:CW797">IF(CW796=0,0,IF(CW796/'🎚️ Escenario'!$C$11&gt;=36,$AL$23,INDEX($C$23:$AL$23,MAX(1,ROUNDUP(CW796/'🎚️ Escenario'!$C$11,0)))))</f>
        <v>0</v>
      </c>
      <c r="CX797" s="236" t="n">
        <f aca="false" t="array" ref="CX797:CX797">IF(CX796=0,0,IF(CX796/'🎚️ Escenario'!$C$11&gt;=36,$AL$23,INDEX($C$23:$AL$23,MAX(1,ROUNDUP(CX796/'🎚️ Escenario'!$C$11,0)))))</f>
        <v>0</v>
      </c>
      <c r="CY797" s="236" t="n">
        <f aca="false" t="array" ref="CY797:CY797">IF(CY796=0,0,IF(CY796/'🎚️ Escenario'!$C$11&gt;=36,$AL$23,INDEX($C$23:$AL$23,MAX(1,ROUNDUP(CY796/'🎚️ Escenario'!$C$11,0)))))</f>
        <v>0</v>
      </c>
      <c r="CZ797" s="236" t="n">
        <f aca="false" t="array" ref="CZ797:CZ797">IF(CZ796=0,0,IF(CZ796/'🎚️ Escenario'!$C$11&gt;=36,$AL$23,INDEX($C$23:$AL$23,MAX(1,ROUNDUP(CZ796/'🎚️ Escenario'!$C$11,0)))))</f>
        <v>0</v>
      </c>
      <c r="DA797" s="236" t="n">
        <f aca="false" t="array" ref="DA797:DA797">IF(DA796=0,0,IF(DA796/'🎚️ Escenario'!$C$11&gt;=36,$AL$23,INDEX($C$23:$AL$23,MAX(1,ROUNDUP(DA796/'🎚️ Escenario'!$C$11,0)))))</f>
        <v>0</v>
      </c>
      <c r="DB797" s="236" t="n">
        <f aca="false" t="array" ref="DB797:DB797">IF(DB796=0,0,IF(DB796/'🎚️ Escenario'!$C$11&gt;=36,$AL$23,INDEX($C$23:$AL$23,MAX(1,ROUNDUP(DB796/'🎚️ Escenario'!$C$11,0)))))</f>
        <v>0</v>
      </c>
      <c r="DC797" s="236" t="n">
        <f aca="false" t="array" ref="DC797:DC797">IF(DC796=0,0,IF(DC796/'🎚️ Escenario'!$C$11&gt;=36,$AL$23,INDEX($C$23:$AL$23,MAX(1,ROUNDUP(DC796/'🎚️ Escenario'!$C$11,0)))))</f>
        <v>0</v>
      </c>
      <c r="DD797" s="236" t="n">
        <f aca="false" t="array" ref="DD797:DD797">IF(DD796=0,0,IF(DD796/'🎚️ Escenario'!$C$11&gt;=36,$AL$23,INDEX($C$23:$AL$23,MAX(1,ROUNDUP(DD796/'🎚️ Escenario'!$C$11,0)))))</f>
        <v>0</v>
      </c>
      <c r="DE797" s="236" t="n">
        <f aca="false" t="array" ref="DE797:DE797">IF(DE796=0,0,IF(DE796/'🎚️ Escenario'!$C$11&gt;=36,$AL$23,INDEX($C$23:$AL$23,MAX(1,ROUNDUP(DE796/'🎚️ Escenario'!$C$11,0)))))</f>
        <v>0</v>
      </c>
      <c r="DF797" s="236" t="n">
        <f aca="false" t="array" ref="DF797:DF797">IF(DF796=0,0,IF(DF796/'🎚️ Escenario'!$C$11&gt;=36,$AL$23,INDEX($C$23:$AL$23,MAX(1,ROUNDUP(DF796/'🎚️ Escenario'!$C$11,0)))))</f>
        <v>0</v>
      </c>
      <c r="DG797" s="236" t="n">
        <f aca="false" t="array" ref="DG797:DG797">IF(DG796=0,0,IF(DG796/'🎚️ Escenario'!$C$11&gt;=36,$AL$23,INDEX($C$23:$AL$23,MAX(1,ROUNDUP(DG796/'🎚️ Escenario'!$C$11,0)))))</f>
        <v>0</v>
      </c>
      <c r="DH797" s="236" t="n">
        <f aca="false" t="array" ref="DH797:DH797">IF(DH796=0,0,IF(DH796/'🎚️ Escenario'!$C$11&gt;=36,$AL$23,INDEX($C$23:$AL$23,MAX(1,ROUNDUP(DH796/'🎚️ Escenario'!$C$11,0)))))</f>
        <v>0</v>
      </c>
      <c r="DI797" s="236" t="n">
        <f aca="false" t="array" ref="DI797:DI797">IF(DI796=0,0,IF(DI796/'🎚️ Escenario'!$C$11&gt;=36,$AL$23,INDEX($C$23:$AL$23,MAX(1,ROUNDUP(DI796/'🎚️ Escenario'!$C$11,0)))))</f>
        <v>0</v>
      </c>
      <c r="DJ797" s="236" t="n">
        <f aca="false" t="array" ref="DJ797:DJ797">IF(DJ796=0,0,IF(DJ796/'🎚️ Escenario'!$C$11&gt;=36,$AL$23,INDEX($C$23:$AL$23,MAX(1,ROUNDUP(DJ796/'🎚️ Escenario'!$C$11,0)))))</f>
        <v>0</v>
      </c>
      <c r="DK797" s="236" t="n">
        <f aca="false" t="array" ref="DK797:DK797">IF(DK796=0,0,IF(DK796/'🎚️ Escenario'!$C$11&gt;=36,$AL$23,INDEX($C$23:$AL$23,MAX(1,ROUNDUP(DK796/'🎚️ Escenario'!$C$11,0)))))</f>
        <v>0</v>
      </c>
      <c r="DL797" s="236" t="n">
        <f aca="false" t="array" ref="DL797:DL797">IF(DL796=0,0,IF(DL796/'🎚️ Escenario'!$C$11&gt;=36,$AL$23,INDEX($C$23:$AL$23,MAX(1,ROUNDUP(DL796/'🎚️ Escenario'!$C$11,0)))))</f>
        <v>0</v>
      </c>
      <c r="DM797" s="236" t="n">
        <f aca="false" t="array" ref="DM797:DM797">IF(DM796=0,0,IF(DM796/'🎚️ Escenario'!$C$11&gt;=36,$AL$23,INDEX($C$23:$AL$23,MAX(1,ROUNDUP(DM796/'🎚️ Escenario'!$C$11,0)))))</f>
        <v>0</v>
      </c>
      <c r="DN797" s="236" t="n">
        <f aca="false" t="array" ref="DN797:DN797">IF(DN796=0,0,IF(DN796/'🎚️ Escenario'!$C$11&gt;=36,$AL$23,INDEX($C$23:$AL$23,MAX(1,ROUNDUP(DN796/'🎚️ Escenario'!$C$11,0)))))</f>
        <v>0</v>
      </c>
      <c r="DO797" s="236" t="n">
        <f aca="false" t="array" ref="DO797:DO797">IF(DO796=0,0,IF(DO796/'🎚️ Escenario'!$C$11&gt;=36,$AL$23,INDEX($C$23:$AL$23,MAX(1,ROUNDUP(DO796/'🎚️ Escenario'!$C$11,0)))))</f>
        <v>0</v>
      </c>
      <c r="DP797" s="236" t="n">
        <f aca="false" t="array" ref="DP797:DP797">IF(DP796=0,0,IF(DP796/'🎚️ Escenario'!$C$11&gt;=36,$AL$23,INDEX($C$23:$AL$23,MAX(1,ROUNDUP(DP796/'🎚️ Escenario'!$C$11,0)))))</f>
        <v>0</v>
      </c>
      <c r="DQ797" s="236" t="n">
        <f aca="false" t="array" ref="DQ797:DQ797">IF(DQ796=0,0,IF(DQ796/'🎚️ Escenario'!$C$11&gt;=36,$AL$23,INDEX($C$23:$AL$23,MAX(1,ROUNDUP(DQ796/'🎚️ Escenario'!$C$11,0)))))</f>
        <v>0</v>
      </c>
      <c r="DR797" s="236" t="n">
        <f aca="false" t="array" ref="DR797:DR797">IF(DR796=0,0,IF(DR796/'🎚️ Escenario'!$C$11&gt;=36,$AL$23,INDEX($C$23:$AL$23,MAX(1,ROUNDUP(DR796/'🎚️ Escenario'!$C$11,0)))))</f>
        <v>0</v>
      </c>
      <c r="DS797" s="236" t="n">
        <f aca="false" t="array" ref="DS797:DS797">IF(DS796=0,0,IF(DS796/'🎚️ Escenario'!$C$11&gt;=36,$AL$23,INDEX($C$23:$AL$23,MAX(1,ROUNDUP(DS796/'🎚️ Escenario'!$C$11,0)))))</f>
        <v>0</v>
      </c>
      <c r="DT797" s="236" t="n">
        <f aca="false" t="array" ref="DT797:DT797">IF(DT796=0,0,IF(DT796/'🎚️ Escenario'!$C$11&gt;=36,$AL$23,INDEX($C$23:$AL$23,MAX(1,ROUNDUP(DT796/'🎚️ Escenario'!$C$11,0)))))</f>
        <v>0</v>
      </c>
      <c r="DU797" s="236" t="n">
        <f aca="false" t="array" ref="DU797:DU797">IF(DU796=0,0,IF(DU796/'🎚️ Escenario'!$C$11&gt;=36,$AL$23,INDEX($C$23:$AL$23,MAX(1,ROUNDUP(DU796/'🎚️ Escenario'!$C$11,0)))))</f>
        <v>0</v>
      </c>
      <c r="DV797" s="236" t="n">
        <f aca="false" t="array" ref="DV797:DV797">IF(DV796=0,0,IF(DV796/'🎚️ Escenario'!$C$11&gt;=36,$AL$23,INDEX($C$23:$AL$23,MAX(1,ROUNDUP(DV796/'🎚️ Escenario'!$C$11,0)))))</f>
        <v>0</v>
      </c>
      <c r="DW797" s="236" t="n">
        <f aca="false" t="array" ref="DW797:DW797">IF(DW796=0,0,IF(DW796/'🎚️ Escenario'!$C$11&gt;=36,$AL$23,INDEX($C$23:$AL$23,MAX(1,ROUNDUP(DW796/'🎚️ Escenario'!$C$11,0)))))</f>
        <v>0</v>
      </c>
      <c r="DX797" s="236" t="n">
        <f aca="false" t="array" ref="DX797:DX797">IF(DX796=0,0,IF(DX796/'🎚️ Escenario'!$C$11&gt;=36,$AL$23,INDEX($C$23:$AL$23,MAX(1,ROUNDUP(DX796/'🎚️ Escenario'!$C$11,0)))))</f>
        <v>0</v>
      </c>
      <c r="DY797" s="236" t="n">
        <f aca="false" t="array" ref="DY797:DY797">IF(DY796=0,0,IF(DY796/'🎚️ Escenario'!$C$11&gt;=36,$AL$23,INDEX($C$23:$AL$23,MAX(1,ROUNDUP(DY796/'🎚️ Escenario'!$C$11,0)))))</f>
        <v>0</v>
      </c>
      <c r="DZ797" s="236" t="n">
        <f aca="false" t="array" ref="DZ797:DZ797">IF(DZ796=0,0,IF(DZ796/'🎚️ Escenario'!$C$11&gt;=36,$AL$23,INDEX($C$23:$AL$23,MAX(1,ROUNDUP(DZ796/'🎚️ Escenario'!$C$11,0)))))</f>
        <v>0</v>
      </c>
      <c r="EA797" s="236" t="n">
        <f aca="false" t="array" ref="EA797:EA797">IF(EA796=0,0,IF(EA796/'🎚️ Escenario'!$C$11&gt;=36,$AL$23,INDEX($C$23:$AL$23,MAX(1,ROUNDUP(EA796/'🎚️ Escenario'!$C$11,0)))))</f>
        <v>0</v>
      </c>
      <c r="EB797" s="236" t="n">
        <f aca="false" t="array" ref="EB797:EB797">IF(EB796=0,0,IF(EB796/'🎚️ Escenario'!$C$11&gt;=36,$AL$23,INDEX($C$23:$AL$23,MAX(1,ROUNDUP(EB796/'🎚️ Escenario'!$C$11,0)))))</f>
        <v>0</v>
      </c>
      <c r="EC797" s="236" t="n">
        <f aca="false" t="array" ref="EC797:EC797">IF(EC796=0,0,IF(EC796/'🎚️ Escenario'!$C$11&gt;=36,$AL$23,INDEX($C$23:$AL$23,MAX(1,ROUNDUP(EC796/'🎚️ Escenario'!$C$11,0)))))</f>
        <v>0</v>
      </c>
      <c r="ED797" s="236" t="n">
        <f aca="false" t="array" ref="ED797:ED797">IF(ED796=0,0,IF(ED796/'🎚️ Escenario'!$C$11&gt;=36,$AL$23,INDEX($C$23:$AL$23,MAX(1,ROUNDUP(ED796/'🎚️ Escenario'!$C$11,0)))))</f>
        <v>0</v>
      </c>
      <c r="EE797" s="236" t="n">
        <f aca="false" t="array" ref="EE797:EE797">IF(EE796=0,0,IF(EE796/'🎚️ Escenario'!$C$11&gt;=36,$AL$23,INDEX($C$23:$AL$23,MAX(1,ROUNDUP(EE796/'🎚️ Escenario'!$C$11,0)))))</f>
        <v>0</v>
      </c>
      <c r="EF797" s="236" t="n">
        <f aca="false" t="array" ref="EF797:EF797">IF(EF796=0,0,IF(EF796/'🎚️ Escenario'!$C$11&gt;=36,$AL$23,INDEX($C$23:$AL$23,MAX(1,ROUNDUP(EF796/'🎚️ Escenario'!$C$11,0)))))</f>
        <v>0</v>
      </c>
      <c r="EG797" s="236" t="n">
        <f aca="false" t="array" ref="EG797:EG797">IF(EG796=0,0,IF(EG796/'🎚️ Escenario'!$C$11&gt;=36,$AL$23,INDEX($C$23:$AL$23,MAX(1,ROUNDUP(EG796/'🎚️ Escenario'!$C$11,0)))))</f>
        <v>0</v>
      </c>
      <c r="EH797" s="236" t="n">
        <f aca="false" t="array" ref="EH797:EH797">IF(EH796=0,0,IF(EH796/'🎚️ Escenario'!$C$11&gt;=36,$AL$23,INDEX($C$23:$AL$23,MAX(1,ROUNDUP(EH796/'🎚️ Escenario'!$C$11,0)))))</f>
        <v>0</v>
      </c>
      <c r="EI797" s="236" t="n">
        <f aca="false" t="array" ref="EI797:EI797">IF(EI796=0,0,IF(EI796/'🎚️ Escenario'!$C$11&gt;=36,$AL$23,INDEX($C$23:$AL$23,MAX(1,ROUNDUP(EI796/'🎚️ Escenario'!$C$11,0)))))</f>
        <v>0</v>
      </c>
      <c r="EJ797" s="236" t="n">
        <f aca="false" t="array" ref="EJ797:EJ797">IF(EJ796=0,0,IF(EJ796/'🎚️ Escenario'!$C$11&gt;=36,$AL$23,INDEX($C$23:$AL$23,MAX(1,ROUNDUP(EJ796/'🎚️ Escenario'!$C$11,0)))))</f>
        <v>0</v>
      </c>
      <c r="EK797" s="236" t="n">
        <f aca="false" t="array" ref="EK797:EK797">IF(EK796=0,0,IF(EK796/'🎚️ Escenario'!$C$11&gt;=36,$AL$23,INDEX($C$23:$AL$23,MAX(1,ROUNDUP(EK796/'🎚️ Escenario'!$C$11,0)))))</f>
        <v>0</v>
      </c>
      <c r="EL797" s="236" t="n">
        <f aca="false" t="array" ref="EL797:EL797">IF(EL796=0,0,IF(EL796/'🎚️ Escenario'!$C$11&gt;=36,$AL$23,INDEX($C$23:$AL$23,MAX(1,ROUNDUP(EL796/'🎚️ Escenario'!$C$11,0)))))</f>
        <v>0</v>
      </c>
      <c r="EM797" s="236" t="n">
        <f aca="false" t="array" ref="EM797:EM797">IF(EM796=0,0,IF(EM796/'🎚️ Escenario'!$C$11&gt;=36,$AL$23,INDEX($C$23:$AL$23,MAX(1,ROUNDUP(EM796/'🎚️ Escenario'!$C$11,0)))))</f>
        <v>0</v>
      </c>
      <c r="EN797" s="236" t="n">
        <f aca="false" t="array" ref="EN797:EN797">IF(EN796=0,0,IF(EN796/'🎚️ Escenario'!$C$11&gt;=36,$AL$23,INDEX($C$23:$AL$23,MAX(1,ROUNDUP(EN796/'🎚️ Escenario'!$C$11,0)))))</f>
        <v>0</v>
      </c>
      <c r="EO797" s="236" t="n">
        <f aca="false" t="array" ref="EO797:EO797">IF(EO796=0,0,IF(EO796/'🎚️ Escenario'!$C$11&gt;=36,$AL$23,INDEX($C$23:$AL$23,MAX(1,ROUNDUP(EO796/'🎚️ Escenario'!$C$11,0)))))</f>
        <v>0</v>
      </c>
      <c r="EP797" s="236" t="n">
        <f aca="false" t="array" ref="EP797:EP797">IF(EP796=0,0,IF(EP796/'🎚️ Escenario'!$C$11&gt;=36,$AL$23,INDEX($C$23:$AL$23,MAX(1,ROUNDUP(EP796/'🎚️ Escenario'!$C$11,0)))))</f>
        <v>0</v>
      </c>
      <c r="EQ797" s="236" t="n">
        <f aca="false" t="array" ref="EQ797:EQ797">IF(EQ796=0,0,IF(EQ796/'🎚️ Escenario'!$C$11&gt;=36,$AL$23,INDEX($C$23:$AL$23,MAX(1,ROUNDUP(EQ796/'🎚️ Escenario'!$C$11,0)))))</f>
        <v>0</v>
      </c>
      <c r="ER797" s="236" t="n">
        <f aca="false" t="array" ref="ER797:ER797">IF(ER796=0,0,IF(ER796/'🎚️ Escenario'!$C$11&gt;=36,$AL$23,INDEX($C$23:$AL$23,MAX(1,ROUNDUP(ER796/'🎚️ Escenario'!$C$11,0)))))</f>
        <v>0</v>
      </c>
      <c r="ES797" s="9" t="n">
        <f aca="false" t="array" ref="ES797:ES797">IF(ES796=0,0,IF(ES796/'🎚️ Escenario'!$C$11&gt;=36,$AL$23,INDEX($C$23:$AL$23,MAX(1,ROUNDUP(ES796/'🎚️ Escenario'!$C$11,0)))))</f>
        <v>0</v>
      </c>
      <c r="ET797" s="9" t="n">
        <f aca="false" t="array" ref="ET797:ET797">IF(ET796=0,0,IF(ET796/'🎚️ Escenario'!$C$11&gt;=36,$AL$23,INDEX($C$23:$AL$23,MAX(1,ROUNDUP(ET796/'🎚️ Escenario'!$C$11,0)))))</f>
        <v>0</v>
      </c>
      <c r="EU797" s="9" t="n">
        <f aca="false" t="array" ref="EU797:EU797">IF(EU796=0,0,IF(EU796/'🎚️ Escenario'!$C$11&gt;=36,$AL$23,INDEX($C$23:$AL$23,MAX(1,ROUNDUP(EU796/'🎚️ Escenario'!$C$11,0)))))</f>
        <v>0</v>
      </c>
      <c r="EV797" s="9" t="n">
        <f aca="false" t="array" ref="EV797:EV797">IF(EV796=0,0,IF(EV796/'🎚️ Escenario'!$C$11&gt;=36,$AL$23,INDEX($C$23:$AL$23,MAX(1,ROUNDUP(EV796/'🎚️ Escenario'!$C$11,0)))))</f>
        <v>0</v>
      </c>
      <c r="EW797" s="9" t="n">
        <f aca="false" t="array" ref="EW797:EW797">IF(EW796=0,0,IF(EW796/'🎚️ Escenario'!$C$11&gt;=36,$AL$23,INDEX($C$23:$AL$23,MAX(1,ROUNDUP(EW796/'🎚️ Escenario'!$C$11,0)))))</f>
        <v>0</v>
      </c>
      <c r="EX797" s="9" t="n">
        <f aca="false" t="array" ref="EX797:EX797">IF(EX796=0,0,IF(EX796/'🎚️ Escenario'!$C$11&gt;=36,$AL$23,INDEX($C$23:$AL$23,MAX(1,ROUNDUP(EX796/'🎚️ Escenario'!$C$11,0)))))</f>
        <v>0</v>
      </c>
      <c r="EY797" s="9" t="n">
        <f aca="false" t="array" ref="EY797:EY797">IF(EY796=0,0,IF(EY796/'🎚️ Escenario'!$C$11&gt;=36,$AL$23,INDEX($C$23:$AL$23,MAX(1,ROUNDUP(EY796/'🎚️ Escenario'!$C$11,0)))))</f>
        <v>0</v>
      </c>
      <c r="EZ797" s="9" t="n">
        <f aca="false" t="array" ref="EZ797:EZ797">IF(EZ796=0,0,IF(EZ796/'🎚️ Escenario'!$C$11&gt;=36,$AL$23,INDEX($C$23:$AL$23,MAX(1,ROUNDUP(EZ796/'🎚️ Escenario'!$C$11,0)))))</f>
        <v>0</v>
      </c>
      <c r="FA797" s="9" t="n">
        <f aca="false" t="array" ref="FA797:FA797">IF(FA796=0,0,IF(FA796/'🎚️ Escenario'!$C$11&gt;=36,$AL$23,INDEX($C$23:$AL$23,MAX(1,ROUNDUP(FA796/'🎚️ Escenario'!$C$11,0)))))</f>
        <v>0</v>
      </c>
      <c r="FB797" s="9" t="n">
        <f aca="false" t="array" ref="FB797:FB797">IF(FB796=0,0,IF(FB796/'🎚️ Escenario'!$C$11&gt;=36,$AL$23,INDEX($C$23:$AL$23,MAX(1,ROUNDUP(FB796/'🎚️ Escenario'!$C$11,0)))))</f>
        <v>0</v>
      </c>
      <c r="FC797" s="9" t="n">
        <f aca="false" t="array" ref="FC797:FC797">IF(FC796=0,0,IF(FC796/'🎚️ Escenario'!$C$11&gt;=36,$AL$23,INDEX($C$23:$AL$23,MAX(1,ROUNDUP(FC796/'🎚️ Escenario'!$C$11,0)))))</f>
        <v>0</v>
      </c>
      <c r="FD797" s="9" t="n">
        <f aca="false" t="array" ref="FD797:FD797">IF(FD796=0,0,IF(FD796/'🎚️ Escenario'!$C$11&gt;=36,$AL$23,INDEX($C$23:$AL$23,MAX(1,ROUNDUP(FD796/'🎚️ Escenario'!$C$11,0)))))</f>
        <v>0.2</v>
      </c>
      <c r="FE797" s="9" t="n">
        <f aca="false" t="array" ref="FE797:FE797">IF(FE796=0,0,IF(FE796/'🎚️ Escenario'!$C$11&gt;=36,$AL$23,INDEX($C$23:$AL$23,MAX(1,ROUNDUP(FE796/'🎚️ Escenario'!$C$11,0)))))</f>
        <v>0.22</v>
      </c>
      <c r="FF797" s="9" t="n">
        <f aca="false" t="array" ref="FF797:FF797">IF(FF796=0,0,IF(FF796/'🎚️ Escenario'!$C$11&gt;=36,$AL$23,INDEX($C$23:$AL$23,MAX(1,ROUNDUP(FF796/'🎚️ Escenario'!$C$11,0)))))</f>
        <v>0.24</v>
      </c>
      <c r="FG797" s="9" t="n">
        <f aca="false" t="array" ref="FG797:FG797">IF(FG796=0,0,IF(FG796/'🎚️ Escenario'!$C$11&gt;=36,$AL$23,INDEX($C$23:$AL$23,MAX(1,ROUNDUP(FG796/'🎚️ Escenario'!$C$11,0)))))</f>
        <v>0.27</v>
      </c>
      <c r="FH797" s="9" t="n">
        <f aca="false" t="array" ref="FH797:FH797">IF(FH796=0,0,IF(FH796/'🎚️ Escenario'!$C$11&gt;=36,$AL$23,INDEX($C$23:$AL$23,MAX(1,ROUNDUP(FH796/'🎚️ Escenario'!$C$11,0)))))</f>
        <v>0.27</v>
      </c>
      <c r="FI797" s="9" t="n">
        <f aca="false" t="array" ref="FI797:FI797">IF(FI796=0,0,IF(FI796/'🎚️ Escenario'!$C$11&gt;=36,$AL$23,INDEX($C$23:$AL$23,MAX(1,ROUNDUP(FI796/'🎚️ Escenario'!$C$11,0)))))</f>
        <v>0.31</v>
      </c>
      <c r="FJ797" s="9" t="n">
        <f aca="false" t="array" ref="FJ797:FJ797">IF(FJ796=0,0,IF(FJ796/'🎚️ Escenario'!$C$11&gt;=36,$AL$23,INDEX($C$23:$AL$23,MAX(1,ROUNDUP(FJ796/'🎚️ Escenario'!$C$11,0)))))</f>
        <v>0.35</v>
      </c>
      <c r="FK797" s="9" t="n">
        <f aca="false" t="array" ref="FK797:FK797">IF(FK796=0,0,IF(FK796/'🎚️ Escenario'!$C$11&gt;=36,$AL$23,INDEX($C$23:$AL$23,MAX(1,ROUNDUP(FK796/'🎚️ Escenario'!$C$11,0)))))</f>
        <v>0.39</v>
      </c>
      <c r="FL797" s="9" t="n">
        <f aca="false" t="array" ref="FL797:FL797">IF(FL796=0,0,IF(FL796/'🎚️ Escenario'!$C$11&gt;=36,$AL$23,INDEX($C$23:$AL$23,MAX(1,ROUNDUP(FL796/'🎚️ Escenario'!$C$11,0)))))</f>
        <v>0.44</v>
      </c>
      <c r="FM797" s="9" t="n">
        <f aca="false" t="array" ref="FM797:FM797">IF(FM796=0,0,IF(FM796/'🎚️ Escenario'!$C$11&gt;=36,$AL$23,INDEX($C$23:$AL$23,MAX(1,ROUNDUP(FM796/'🎚️ Escenario'!$C$11,0)))))</f>
        <v>0.44</v>
      </c>
      <c r="FN797" s="9" t="n">
        <f aca="false" t="array" ref="FN797:FN797">IF(FN796=0,0,IF(FN796/'🎚️ Escenario'!$C$11&gt;=36,$AL$23,INDEX($C$23:$AL$23,MAX(1,ROUNDUP(FN796/'🎚️ Escenario'!$C$11,0)))))</f>
        <v>0.48</v>
      </c>
      <c r="FO797" s="9" t="n">
        <f aca="false" t="array" ref="FO797:FO797">IF(FO796=0,0,IF(FO796/'🎚️ Escenario'!$C$11&gt;=36,$AL$23,INDEX($C$23:$AL$23,MAX(1,ROUNDUP(FO796/'🎚️ Escenario'!$C$11,0)))))</f>
        <v>0.52</v>
      </c>
      <c r="FP797" s="9" t="n">
        <f aca="false" t="array" ref="FP797:FP797">IF(FP796=0,0,IF(FP796/'🎚️ Escenario'!$C$11&gt;=36,$AL$23,INDEX($C$23:$AL$23,MAX(1,ROUNDUP(FP796/'🎚️ Escenario'!$C$11,0)))))</f>
        <v>0.56</v>
      </c>
    </row>
    <row r="798" customFormat="false" ht="15" hidden="false" customHeight="false" outlineLevel="2" collapsed="false">
      <c r="B798" s="9" t="s">
        <v>875</v>
      </c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237" t="n">
        <f aca="false">IF(AC796=0,0,IF(AC796&lt;=12*'🎚️ Escenario'!$C$11,1,1+$C$6))</f>
        <v>0</v>
      </c>
      <c r="AD798" s="237" t="n">
        <f aca="false">IF(AD796=0,0,IF(AD796&lt;=12*'🎚️ Escenario'!$C$11,1,1+$C$6))</f>
        <v>0</v>
      </c>
      <c r="AE798" s="237" t="n">
        <f aca="false">IF(AE796=0,0,IF(AE796&lt;=12*'🎚️ Escenario'!$C$11,1,1+$C$6))</f>
        <v>0</v>
      </c>
      <c r="AF798" s="237" t="n">
        <f aca="false">IF(AF796=0,0,IF(AF796&lt;=12*'🎚️ Escenario'!$C$11,1,1+$C$6))</f>
        <v>0</v>
      </c>
      <c r="AG798" s="237" t="n">
        <f aca="false">IF(AG796=0,0,IF(AG796&lt;=12*'🎚️ Escenario'!$C$11,1,1+$C$6))</f>
        <v>0</v>
      </c>
      <c r="AH798" s="237" t="n">
        <f aca="false">IF(AH796=0,0,IF(AH796&lt;=12*'🎚️ Escenario'!$C$11,1,1+$C$6))</f>
        <v>0</v>
      </c>
      <c r="AI798" s="237" t="n">
        <f aca="false">IF(AI796=0,0,IF(AI796&lt;=12*'🎚️ Escenario'!$C$11,1,1+$C$6))</f>
        <v>0</v>
      </c>
      <c r="AJ798" s="237" t="n">
        <f aca="false">IF(AJ796=0,0,IF(AJ796&lt;=12*'🎚️ Escenario'!$C$11,1,1+$C$6))</f>
        <v>0</v>
      </c>
      <c r="AK798" s="237" t="n">
        <f aca="false">IF(AK796=0,0,IF(AK796&lt;=12*'🎚️ Escenario'!$C$11,1,1+$C$6))</f>
        <v>0</v>
      </c>
      <c r="AL798" s="237" t="n">
        <f aca="false">IF(AL796=0,0,IF(AL796&lt;=12*'🎚️ Escenario'!$C$11,1,1+$C$6))</f>
        <v>0</v>
      </c>
      <c r="AM798" s="237" t="n">
        <f aca="false">IF(AM796=0,0,IF(AM796&lt;=12*'🎚️ Escenario'!$C$11,1,1+$C$6))</f>
        <v>0</v>
      </c>
      <c r="AN798" s="237" t="n">
        <f aca="false">IF(AN796=0,0,IF(AN796&lt;=12*'🎚️ Escenario'!$C$11,1,1+$C$6))</f>
        <v>0</v>
      </c>
      <c r="AO798" s="237" t="n">
        <f aca="false">IF(AO796=0,0,IF(AO796&lt;=12*'🎚️ Escenario'!$C$11,1,1+$C$6))</f>
        <v>0</v>
      </c>
      <c r="AP798" s="237" t="n">
        <f aca="false">IF(AP796=0,0,IF(AP796&lt;=12*'🎚️ Escenario'!$C$11,1,1+$C$6))</f>
        <v>0</v>
      </c>
      <c r="AQ798" s="237" t="n">
        <f aca="false">IF(AQ796=0,0,IF(AQ796&lt;=12*'🎚️ Escenario'!$C$11,1,1+$C$6))</f>
        <v>0</v>
      </c>
      <c r="AR798" s="237" t="n">
        <f aca="false">IF(AR796=0,0,IF(AR796&lt;=12*'🎚️ Escenario'!$C$11,1,1+$C$6))</f>
        <v>0</v>
      </c>
      <c r="AS798" s="237" t="n">
        <f aca="false">IF(AS796=0,0,IF(AS796&lt;=12*'🎚️ Escenario'!$C$11,1,1+$C$6))</f>
        <v>0</v>
      </c>
      <c r="AT798" s="237" t="n">
        <f aca="false">IF(AT796=0,0,IF(AT796&lt;=12*'🎚️ Escenario'!$C$11,1,1+$C$6))</f>
        <v>0</v>
      </c>
      <c r="AU798" s="237" t="n">
        <f aca="false">IF(AU796=0,0,IF(AU796&lt;=12*'🎚️ Escenario'!$C$11,1,1+$C$6))</f>
        <v>0</v>
      </c>
      <c r="AV798" s="237" t="n">
        <f aca="false">IF(AV796=0,0,IF(AV796&lt;=12*'🎚️ Escenario'!$C$11,1,1+$C$6))</f>
        <v>0</v>
      </c>
      <c r="AW798" s="237" t="n">
        <f aca="false">IF(AW796=0,0,IF(AW796&lt;=12*'🎚️ Escenario'!$C$11,1,1+$C$6))</f>
        <v>0</v>
      </c>
      <c r="AX798" s="237" t="n">
        <f aca="false">IF(AX796=0,0,IF(AX796&lt;=12*'🎚️ Escenario'!$C$11,1,1+$C$6))</f>
        <v>0</v>
      </c>
      <c r="AY798" s="237" t="n">
        <f aca="false">IF(AY796=0,0,IF(AY796&lt;=12*'🎚️ Escenario'!$C$11,1,1+$C$6))</f>
        <v>0</v>
      </c>
      <c r="AZ798" s="237" t="n">
        <f aca="false">IF(AZ796=0,0,IF(AZ796&lt;=12*'🎚️ Escenario'!$C$11,1,1+$C$6))</f>
        <v>0</v>
      </c>
      <c r="BA798" s="237" t="n">
        <f aca="false">IF(BA796=0,0,IF(BA796&lt;=12*'🎚️ Escenario'!$C$11,1,1+$C$6))</f>
        <v>0</v>
      </c>
      <c r="BB798" s="237" t="n">
        <f aca="false">IF(BB796=0,0,IF(BB796&lt;=12*'🎚️ Escenario'!$C$11,1,1+$C$6))</f>
        <v>0</v>
      </c>
      <c r="BC798" s="237" t="n">
        <f aca="false">IF(BC796=0,0,IF(BC796&lt;=12*'🎚️ Escenario'!$C$11,1,1+$C$6))</f>
        <v>0</v>
      </c>
      <c r="BD798" s="237" t="n">
        <f aca="false">IF(BD796=0,0,IF(BD796&lt;=12*'🎚️ Escenario'!$C$11,1,1+$C$6))</f>
        <v>0</v>
      </c>
      <c r="BE798" s="237" t="n">
        <f aca="false">IF(BE796=0,0,IF(BE796&lt;=12*'🎚️ Escenario'!$C$11,1,1+$C$6))</f>
        <v>0</v>
      </c>
      <c r="BF798" s="237" t="n">
        <f aca="false">IF(BF796=0,0,IF(BF796&lt;=12*'🎚️ Escenario'!$C$11,1,1+$C$6))</f>
        <v>0</v>
      </c>
      <c r="BG798" s="237" t="n">
        <f aca="false">IF(BG796=0,0,IF(BG796&lt;=12*'🎚️ Escenario'!$C$11,1,1+$C$6))</f>
        <v>0</v>
      </c>
      <c r="BH798" s="237" t="n">
        <f aca="false">IF(BH796=0,0,IF(BH796&lt;=12*'🎚️ Escenario'!$C$11,1,1+$C$6))</f>
        <v>0</v>
      </c>
      <c r="BI798" s="237" t="n">
        <f aca="false">IF(BI796=0,0,IF(BI796&lt;=12*'🎚️ Escenario'!$C$11,1,1+$C$6))</f>
        <v>0</v>
      </c>
      <c r="BJ798" s="237" t="n">
        <f aca="false">IF(BJ796=0,0,IF(BJ796&lt;=12*'🎚️ Escenario'!$C$11,1,1+$C$6))</f>
        <v>0</v>
      </c>
      <c r="BK798" s="237" t="n">
        <f aca="false">IF(BK796=0,0,IF(BK796&lt;=12*'🎚️ Escenario'!$C$11,1,1+$C$6))</f>
        <v>0</v>
      </c>
      <c r="BL798" s="237" t="n">
        <f aca="false">IF(BL796=0,0,IF(BL796&lt;=12*'🎚️ Escenario'!$C$11,1,1+$C$6))</f>
        <v>0</v>
      </c>
      <c r="BM798" s="237" t="n">
        <f aca="false">IF(BM796=0,0,IF(BM796&lt;=12*'🎚️ Escenario'!$C$11,1,1+$C$6))</f>
        <v>0</v>
      </c>
      <c r="BN798" s="237" t="n">
        <f aca="false">IF(BN796=0,0,IF(BN796&lt;=12*'🎚️ Escenario'!$C$11,1,1+$C$6))</f>
        <v>0</v>
      </c>
      <c r="BO798" s="237" t="n">
        <f aca="false">IF(BO796=0,0,IF(BO796&lt;=12*'🎚️ Escenario'!$C$11,1,1+$C$6))</f>
        <v>0</v>
      </c>
      <c r="BP798" s="237" t="n">
        <f aca="false">IF(BP796=0,0,IF(BP796&lt;=12*'🎚️ Escenario'!$C$11,1,1+$C$6))</f>
        <v>0</v>
      </c>
      <c r="BQ798" s="237" t="n">
        <f aca="false">IF(BQ796=0,0,IF(BQ796&lt;=12*'🎚️ Escenario'!$C$11,1,1+$C$6))</f>
        <v>0</v>
      </c>
      <c r="BR798" s="237" t="n">
        <f aca="false">IF(BR796=0,0,IF(BR796&lt;=12*'🎚️ Escenario'!$C$11,1,1+$C$6))</f>
        <v>0</v>
      </c>
      <c r="BS798" s="237" t="n">
        <f aca="false">IF(BS796=0,0,IF(BS796&lt;=12*'🎚️ Escenario'!$C$11,1,1+$C$6))</f>
        <v>0</v>
      </c>
      <c r="BT798" s="237" t="n">
        <f aca="false">IF(BT796=0,0,IF(BT796&lt;=12*'🎚️ Escenario'!$C$11,1,1+$C$6))</f>
        <v>0</v>
      </c>
      <c r="BU798" s="237" t="n">
        <f aca="false">IF(BU796=0,0,IF(BU796&lt;=12*'🎚️ Escenario'!$C$11,1,1+$C$6))</f>
        <v>0</v>
      </c>
      <c r="BV798" s="237" t="n">
        <f aca="false">IF(BV796=0,0,IF(BV796&lt;=12*'🎚️ Escenario'!$C$11,1,1+$C$6))</f>
        <v>0</v>
      </c>
      <c r="BW798" s="237" t="n">
        <f aca="false">IF(BW796=0,0,IF(BW796&lt;=12*'🎚️ Escenario'!$C$11,1,1+$C$6))</f>
        <v>0</v>
      </c>
      <c r="BX798" s="237" t="n">
        <f aca="false">IF(BX796=0,0,IF(BX796&lt;=12*'🎚️ Escenario'!$C$11,1,1+$C$6))</f>
        <v>0</v>
      </c>
      <c r="BY798" s="237" t="n">
        <f aca="false">IF(BY796=0,0,IF(BY796&lt;=12*'🎚️ Escenario'!$C$11,1,1+$C$6))</f>
        <v>0</v>
      </c>
      <c r="BZ798" s="237" t="n">
        <f aca="false">IF(BZ796=0,0,IF(BZ796&lt;=12*'🎚️ Escenario'!$C$11,1,1+$C$6))</f>
        <v>0</v>
      </c>
      <c r="CA798" s="237" t="n">
        <f aca="false">IF(CA796=0,0,IF(CA796&lt;=12*'🎚️ Escenario'!$C$11,1,1+$C$6))</f>
        <v>0</v>
      </c>
      <c r="CB798" s="237" t="n">
        <f aca="false">IF(CB796=0,0,IF(CB796&lt;=12*'🎚️ Escenario'!$C$11,1,1+$C$6))</f>
        <v>0</v>
      </c>
      <c r="CC798" s="237" t="n">
        <f aca="false">IF(CC796=0,0,IF(CC796&lt;=12*'🎚️ Escenario'!$C$11,1,1+$C$6))</f>
        <v>0</v>
      </c>
      <c r="CD798" s="237" t="n">
        <f aca="false">IF(CD796=0,0,IF(CD796&lt;=12*'🎚️ Escenario'!$C$11,1,1+$C$6))</f>
        <v>0</v>
      </c>
      <c r="CE798" s="237" t="n">
        <f aca="false">IF(CE796=0,0,IF(CE796&lt;=12*'🎚️ Escenario'!$C$11,1,1+$C$6))</f>
        <v>0</v>
      </c>
      <c r="CF798" s="237" t="n">
        <f aca="false">IF(CF796=0,0,IF(CF796&lt;=12*'🎚️ Escenario'!$C$11,1,1+$C$6))</f>
        <v>0</v>
      </c>
      <c r="CG798" s="237" t="n">
        <f aca="false">IF(CG796=0,0,IF(CG796&lt;=12*'🎚️ Escenario'!$C$11,1,1+$C$6))</f>
        <v>0</v>
      </c>
      <c r="CH798" s="237" t="n">
        <f aca="false">IF(CH796=0,0,IF(CH796&lt;=12*'🎚️ Escenario'!$C$11,1,1+$C$6))</f>
        <v>0</v>
      </c>
      <c r="CI798" s="237" t="n">
        <f aca="false">IF(CI796=0,0,IF(CI796&lt;=12*'🎚️ Escenario'!$C$11,1,1+$C$6))</f>
        <v>0</v>
      </c>
      <c r="CJ798" s="237" t="n">
        <f aca="false">IF(CJ796=0,0,IF(CJ796&lt;=12*'🎚️ Escenario'!$C$11,1,1+$C$6))</f>
        <v>0</v>
      </c>
      <c r="CK798" s="237" t="n">
        <f aca="false">IF(CK796=0,0,IF(CK796&lt;=12*'🎚️ Escenario'!$C$11,1,1+$C$6))</f>
        <v>0</v>
      </c>
      <c r="CL798" s="237" t="n">
        <f aca="false">IF(CL796=0,0,IF(CL796&lt;=12*'🎚️ Escenario'!$C$11,1,1+$C$6))</f>
        <v>0</v>
      </c>
      <c r="CM798" s="237" t="n">
        <f aca="false">IF(CM796=0,0,IF(CM796&lt;=12*'🎚️ Escenario'!$C$11,1,1+$C$6))</f>
        <v>0</v>
      </c>
      <c r="CN798" s="237" t="n">
        <f aca="false">IF(CN796=0,0,IF(CN796&lt;=12*'🎚️ Escenario'!$C$11,1,1+$C$6))</f>
        <v>0</v>
      </c>
      <c r="CO798" s="237" t="n">
        <f aca="false">IF(CO796=0,0,IF(CO796&lt;=12*'🎚️ Escenario'!$C$11,1,1+$C$6))</f>
        <v>0</v>
      </c>
      <c r="CP798" s="237" t="n">
        <f aca="false">IF(CP796=0,0,IF(CP796&lt;=12*'🎚️ Escenario'!$C$11,1,1+$C$6))</f>
        <v>0</v>
      </c>
      <c r="CQ798" s="237" t="n">
        <f aca="false">IF(CQ796=0,0,IF(CQ796&lt;=12*'🎚️ Escenario'!$C$11,1,1+$C$6))</f>
        <v>0</v>
      </c>
      <c r="CR798" s="237" t="n">
        <f aca="false">IF(CR796=0,0,IF(CR796&lt;=12*'🎚️ Escenario'!$C$11,1,1+$C$6))</f>
        <v>0</v>
      </c>
      <c r="CS798" s="237" t="n">
        <f aca="false">IF(CS796=0,0,IF(CS796&lt;=12*'🎚️ Escenario'!$C$11,1,1+$C$6))</f>
        <v>0</v>
      </c>
      <c r="CT798" s="237" t="n">
        <f aca="false">IF(CT796=0,0,IF(CT796&lt;=12*'🎚️ Escenario'!$C$11,1,1+$C$6))</f>
        <v>0</v>
      </c>
      <c r="CU798" s="237" t="n">
        <f aca="false">IF(CU796=0,0,IF(CU796&lt;=12*'🎚️ Escenario'!$C$11,1,1+$C$6))</f>
        <v>0</v>
      </c>
      <c r="CV798" s="237" t="n">
        <f aca="false">IF(CV796=0,0,IF(CV796&lt;=12*'🎚️ Escenario'!$C$11,1,1+$C$6))</f>
        <v>0</v>
      </c>
      <c r="CW798" s="237" t="n">
        <f aca="false">IF(CW796=0,0,IF(CW796&lt;=12*'🎚️ Escenario'!$C$11,1,1+$C$6))</f>
        <v>0</v>
      </c>
      <c r="CX798" s="237" t="n">
        <f aca="false">IF(CX796=0,0,IF(CX796&lt;=12*'🎚️ Escenario'!$C$11,1,1+$C$6))</f>
        <v>0</v>
      </c>
      <c r="CY798" s="237" t="n">
        <f aca="false">IF(CY796=0,0,IF(CY796&lt;=12*'🎚️ Escenario'!$C$11,1,1+$C$6))</f>
        <v>0</v>
      </c>
      <c r="CZ798" s="237" t="n">
        <f aca="false">IF(CZ796=0,0,IF(CZ796&lt;=12*'🎚️ Escenario'!$C$11,1,1+$C$6))</f>
        <v>0</v>
      </c>
      <c r="DA798" s="237" t="n">
        <f aca="false">IF(DA796=0,0,IF(DA796&lt;=12*'🎚️ Escenario'!$C$11,1,1+$C$6))</f>
        <v>0</v>
      </c>
      <c r="DB798" s="237" t="n">
        <f aca="false">IF(DB796=0,0,IF(DB796&lt;=12*'🎚️ Escenario'!$C$11,1,1+$C$6))</f>
        <v>0</v>
      </c>
      <c r="DC798" s="237" t="n">
        <f aca="false">IF(DC796=0,0,IF(DC796&lt;=12*'🎚️ Escenario'!$C$11,1,1+$C$6))</f>
        <v>0</v>
      </c>
      <c r="DD798" s="237" t="n">
        <f aca="false">IF(DD796=0,0,IF(DD796&lt;=12*'🎚️ Escenario'!$C$11,1,1+$C$6))</f>
        <v>0</v>
      </c>
      <c r="DE798" s="237" t="n">
        <f aca="false">IF(DE796=0,0,IF(DE796&lt;=12*'🎚️ Escenario'!$C$11,1,1+$C$6))</f>
        <v>0</v>
      </c>
      <c r="DF798" s="237" t="n">
        <f aca="false">IF(DF796=0,0,IF(DF796&lt;=12*'🎚️ Escenario'!$C$11,1,1+$C$6))</f>
        <v>0</v>
      </c>
      <c r="DG798" s="237" t="n">
        <f aca="false">IF(DG796=0,0,IF(DG796&lt;=12*'🎚️ Escenario'!$C$11,1,1+$C$6))</f>
        <v>0</v>
      </c>
      <c r="DH798" s="237" t="n">
        <f aca="false">IF(DH796=0,0,IF(DH796&lt;=12*'🎚️ Escenario'!$C$11,1,1+$C$6))</f>
        <v>0</v>
      </c>
      <c r="DI798" s="237" t="n">
        <f aca="false">IF(DI796=0,0,IF(DI796&lt;=12*'🎚️ Escenario'!$C$11,1,1+$C$6))</f>
        <v>0</v>
      </c>
      <c r="DJ798" s="237" t="n">
        <f aca="false">IF(DJ796=0,0,IF(DJ796&lt;=12*'🎚️ Escenario'!$C$11,1,1+$C$6))</f>
        <v>0</v>
      </c>
      <c r="DK798" s="237" t="n">
        <f aca="false">IF(DK796=0,0,IF(DK796&lt;=12*'🎚️ Escenario'!$C$11,1,1+$C$6))</f>
        <v>0</v>
      </c>
      <c r="DL798" s="237" t="n">
        <f aca="false">IF(DL796=0,0,IF(DL796&lt;=12*'🎚️ Escenario'!$C$11,1,1+$C$6))</f>
        <v>0</v>
      </c>
      <c r="DM798" s="237" t="n">
        <f aca="false">IF(DM796=0,0,IF(DM796&lt;=12*'🎚️ Escenario'!$C$11,1,1+$C$6))</f>
        <v>0</v>
      </c>
      <c r="DN798" s="237" t="n">
        <f aca="false">IF(DN796=0,0,IF(DN796&lt;=12*'🎚️ Escenario'!$C$11,1,1+$C$6))</f>
        <v>0</v>
      </c>
      <c r="DO798" s="237" t="n">
        <f aca="false">IF(DO796=0,0,IF(DO796&lt;=12*'🎚️ Escenario'!$C$11,1,1+$C$6))</f>
        <v>0</v>
      </c>
      <c r="DP798" s="237" t="n">
        <f aca="false">IF(DP796=0,0,IF(DP796&lt;=12*'🎚️ Escenario'!$C$11,1,1+$C$6))</f>
        <v>0</v>
      </c>
      <c r="DQ798" s="237" t="n">
        <f aca="false">IF(DQ796=0,0,IF(DQ796&lt;=12*'🎚️ Escenario'!$C$11,1,1+$C$6))</f>
        <v>0</v>
      </c>
      <c r="DR798" s="237" t="n">
        <f aca="false">IF(DR796=0,0,IF(DR796&lt;=12*'🎚️ Escenario'!$C$11,1,1+$C$6))</f>
        <v>0</v>
      </c>
      <c r="DS798" s="237" t="n">
        <f aca="false">IF(DS796=0,0,IF(DS796&lt;=12*'🎚️ Escenario'!$C$11,1,1+$C$6))</f>
        <v>0</v>
      </c>
      <c r="DT798" s="237" t="n">
        <f aca="false">IF(DT796=0,0,IF(DT796&lt;=12*'🎚️ Escenario'!$C$11,1,1+$C$6))</f>
        <v>0</v>
      </c>
      <c r="DU798" s="237" t="n">
        <f aca="false">IF(DU796=0,0,IF(DU796&lt;=12*'🎚️ Escenario'!$C$11,1,1+$C$6))</f>
        <v>0</v>
      </c>
      <c r="DV798" s="237" t="n">
        <f aca="false">IF(DV796=0,0,IF(DV796&lt;=12*'🎚️ Escenario'!$C$11,1,1+$C$6))</f>
        <v>0</v>
      </c>
      <c r="DW798" s="237" t="n">
        <f aca="false">IF(DW796=0,0,IF(DW796&lt;=12*'🎚️ Escenario'!$C$11,1,1+$C$6))</f>
        <v>0</v>
      </c>
      <c r="DX798" s="237" t="n">
        <f aca="false">IF(DX796=0,0,IF(DX796&lt;=12*'🎚️ Escenario'!$C$11,1,1+$C$6))</f>
        <v>0</v>
      </c>
      <c r="DY798" s="237" t="n">
        <f aca="false">IF(DY796=0,0,IF(DY796&lt;=12*'🎚️ Escenario'!$C$11,1,1+$C$6))</f>
        <v>0</v>
      </c>
      <c r="DZ798" s="237" t="n">
        <f aca="false">IF(DZ796=0,0,IF(DZ796&lt;=12*'🎚️ Escenario'!$C$11,1,1+$C$6))</f>
        <v>0</v>
      </c>
      <c r="EA798" s="237" t="n">
        <f aca="false">IF(EA796=0,0,IF(EA796&lt;=12*'🎚️ Escenario'!$C$11,1,1+$C$6))</f>
        <v>0</v>
      </c>
      <c r="EB798" s="237" t="n">
        <f aca="false">IF(EB796=0,0,IF(EB796&lt;=12*'🎚️ Escenario'!$C$11,1,1+$C$6))</f>
        <v>0</v>
      </c>
      <c r="EC798" s="237" t="n">
        <f aca="false">IF(EC796=0,0,IF(EC796&lt;=12*'🎚️ Escenario'!$C$11,1,1+$C$6))</f>
        <v>0</v>
      </c>
      <c r="ED798" s="237" t="n">
        <f aca="false">IF(ED796=0,0,IF(ED796&lt;=12*'🎚️ Escenario'!$C$11,1,1+$C$6))</f>
        <v>0</v>
      </c>
      <c r="EE798" s="237" t="n">
        <f aca="false">IF(EE796=0,0,IF(EE796&lt;=12*'🎚️ Escenario'!$C$11,1,1+$C$6))</f>
        <v>0</v>
      </c>
      <c r="EF798" s="237" t="n">
        <f aca="false">IF(EF796=0,0,IF(EF796&lt;=12*'🎚️ Escenario'!$C$11,1,1+$C$6))</f>
        <v>0</v>
      </c>
      <c r="EG798" s="237" t="n">
        <f aca="false">IF(EG796=0,0,IF(EG796&lt;=12*'🎚️ Escenario'!$C$11,1,1+$C$6))</f>
        <v>0</v>
      </c>
      <c r="EH798" s="237" t="n">
        <f aca="false">IF(EH796=0,0,IF(EH796&lt;=12*'🎚️ Escenario'!$C$11,1,1+$C$6))</f>
        <v>0</v>
      </c>
      <c r="EI798" s="237" t="n">
        <f aca="false">IF(EI796=0,0,IF(EI796&lt;=12*'🎚️ Escenario'!$C$11,1,1+$C$6))</f>
        <v>0</v>
      </c>
      <c r="EJ798" s="237" t="n">
        <f aca="false">IF(EJ796=0,0,IF(EJ796&lt;=12*'🎚️ Escenario'!$C$11,1,1+$C$6))</f>
        <v>0</v>
      </c>
      <c r="EK798" s="237" t="n">
        <f aca="false">IF(EK796=0,0,IF(EK796&lt;=12*'🎚️ Escenario'!$C$11,1,1+$C$6))</f>
        <v>0</v>
      </c>
      <c r="EL798" s="237" t="n">
        <f aca="false">IF(EL796=0,0,IF(EL796&lt;=12*'🎚️ Escenario'!$C$11,1,1+$C$6))</f>
        <v>0</v>
      </c>
      <c r="EM798" s="237" t="n">
        <f aca="false">IF(EM796=0,0,IF(EM796&lt;=12*'🎚️ Escenario'!$C$11,1,1+$C$6))</f>
        <v>0</v>
      </c>
      <c r="EN798" s="237" t="n">
        <f aca="false">IF(EN796=0,0,IF(EN796&lt;=12*'🎚️ Escenario'!$C$11,1,1+$C$6))</f>
        <v>0</v>
      </c>
      <c r="EO798" s="237" t="n">
        <f aca="false">IF(EO796=0,0,IF(EO796&lt;=12*'🎚️ Escenario'!$C$11,1,1+$C$6))</f>
        <v>0</v>
      </c>
      <c r="EP798" s="237" t="n">
        <f aca="false">IF(EP796=0,0,IF(EP796&lt;=12*'🎚️ Escenario'!$C$11,1,1+$C$6))</f>
        <v>0</v>
      </c>
      <c r="EQ798" s="237" t="n">
        <f aca="false">IF(EQ796=0,0,IF(EQ796&lt;=12*'🎚️ Escenario'!$C$11,1,1+$C$6))</f>
        <v>0</v>
      </c>
      <c r="ER798" s="237" t="n">
        <f aca="false">IF(ER796=0,0,IF(ER796&lt;=12*'🎚️ Escenario'!$C$11,1,1+$C$6))</f>
        <v>0</v>
      </c>
      <c r="ES798" s="9" t="n">
        <f aca="false">IF(ES796=0,0,IF(ES796&lt;=12*'🎚️ Escenario'!$C$11,1,1+$C$6))</f>
        <v>0</v>
      </c>
      <c r="ET798" s="9" t="n">
        <f aca="false">IF(ET796=0,0,IF(ET796&lt;=12*'🎚️ Escenario'!$C$11,1,1+$C$6))</f>
        <v>0</v>
      </c>
      <c r="EU798" s="9" t="n">
        <f aca="false">IF(EU796=0,0,IF(EU796&lt;=12*'🎚️ Escenario'!$C$11,1,1+$C$6))</f>
        <v>0</v>
      </c>
      <c r="EV798" s="9" t="n">
        <f aca="false">IF(EV796=0,0,IF(EV796&lt;=12*'🎚️ Escenario'!$C$11,1,1+$C$6))</f>
        <v>0</v>
      </c>
      <c r="EW798" s="9" t="n">
        <f aca="false">IF(EW796=0,0,IF(EW796&lt;=12*'🎚️ Escenario'!$C$11,1,1+$C$6))</f>
        <v>0</v>
      </c>
      <c r="EX798" s="9" t="n">
        <f aca="false">IF(EX796=0,0,IF(EX796&lt;=12*'🎚️ Escenario'!$C$11,1,1+$C$6))</f>
        <v>0</v>
      </c>
      <c r="EY798" s="9" t="n">
        <f aca="false">IF(EY796=0,0,IF(EY796&lt;=12*'🎚️ Escenario'!$C$11,1,1+$C$6))</f>
        <v>0</v>
      </c>
      <c r="EZ798" s="9" t="n">
        <f aca="false">IF(EZ796=0,0,IF(EZ796&lt;=12*'🎚️ Escenario'!$C$11,1,1+$C$6))</f>
        <v>0</v>
      </c>
      <c r="FA798" s="9" t="n">
        <f aca="false">IF(FA796=0,0,IF(FA796&lt;=12*'🎚️ Escenario'!$C$11,1,1+$C$6))</f>
        <v>0</v>
      </c>
      <c r="FB798" s="9" t="n">
        <f aca="false">IF(FB796=0,0,IF(FB796&lt;=12*'🎚️ Escenario'!$C$11,1,1+$C$6))</f>
        <v>0</v>
      </c>
      <c r="FC798" s="9" t="n">
        <f aca="false">IF(FC796=0,0,IF(FC796&lt;=12*'🎚️ Escenario'!$C$11,1,1+$C$6))</f>
        <v>0</v>
      </c>
      <c r="FD798" s="9" t="n">
        <f aca="false">IF(FD796=0,0,IF(FD796&lt;=12*'🎚️ Escenario'!$C$11,1,1+$C$6))</f>
        <v>1</v>
      </c>
      <c r="FE798" s="9" t="n">
        <f aca="false">IF(FE796=0,0,IF(FE796&lt;=12*'🎚️ Escenario'!$C$11,1,1+$C$6))</f>
        <v>1</v>
      </c>
      <c r="FF798" s="9" t="n">
        <f aca="false">IF(FF796=0,0,IF(FF796&lt;=12*'🎚️ Escenario'!$C$11,1,1+$C$6))</f>
        <v>1</v>
      </c>
      <c r="FG798" s="9" t="n">
        <f aca="false">IF(FG796=0,0,IF(FG796&lt;=12*'🎚️ Escenario'!$C$11,1,1+$C$6))</f>
        <v>1</v>
      </c>
      <c r="FH798" s="9" t="n">
        <f aca="false">IF(FH796=0,0,IF(FH796&lt;=12*'🎚️ Escenario'!$C$11,1,1+$C$6))</f>
        <v>1</v>
      </c>
      <c r="FI798" s="9" t="n">
        <f aca="false">IF(FI796=0,0,IF(FI796&lt;=12*'🎚️ Escenario'!$C$11,1,1+$C$6))</f>
        <v>1</v>
      </c>
      <c r="FJ798" s="9" t="n">
        <f aca="false">IF(FJ796=0,0,IF(FJ796&lt;=12*'🎚️ Escenario'!$C$11,1,1+$C$6))</f>
        <v>1</v>
      </c>
      <c r="FK798" s="9" t="n">
        <f aca="false">IF(FK796=0,0,IF(FK796&lt;=12*'🎚️ Escenario'!$C$11,1,1+$C$6))</f>
        <v>1</v>
      </c>
      <c r="FL798" s="9" t="n">
        <f aca="false">IF(FL796=0,0,IF(FL796&lt;=12*'🎚️ Escenario'!$C$11,1,1+$C$6))</f>
        <v>1</v>
      </c>
      <c r="FM798" s="9" t="n">
        <f aca="false">IF(FM796=0,0,IF(FM796&lt;=12*'🎚️ Escenario'!$C$11,1,1+$C$6))</f>
        <v>1</v>
      </c>
      <c r="FN798" s="9" t="n">
        <f aca="false">IF(FN796=0,0,IF(FN796&lt;=12*'🎚️ Escenario'!$C$11,1,1+$C$6))</f>
        <v>1</v>
      </c>
      <c r="FO798" s="9" t="n">
        <f aca="false">IF(FO796=0,0,IF(FO796&lt;=12*'🎚️ Escenario'!$C$11,1,1+$C$6))</f>
        <v>1</v>
      </c>
      <c r="FP798" s="9" t="n">
        <f aca="false">IF(FP796=0,0,IF(FP796&lt;=12*'🎚️ Escenario'!$C$11,1,1+$C$6))</f>
        <v>1</v>
      </c>
    </row>
    <row r="799" customFormat="false" ht="15" hidden="false" customHeight="false" outlineLevel="2" collapsed="false">
      <c r="B799" s="9" t="s">
        <v>876</v>
      </c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36" t="n">
        <f aca="false">AC797*$AC$795*AC798*AC$38*'⑫ Roll-out Plan'!$O$84</f>
        <v>0</v>
      </c>
      <c r="AD799" s="36" t="n">
        <f aca="false">AD797*$AC$795*AD798*AD$38*'⑫ Roll-out Plan'!$O$84</f>
        <v>0</v>
      </c>
      <c r="AE799" s="36" t="n">
        <f aca="false">AE797*$AC$795*AE798*AE$38*'⑫ Roll-out Plan'!$O$84</f>
        <v>0</v>
      </c>
      <c r="AF799" s="36" t="n">
        <f aca="false">AF797*$AC$795*AF798*AF$38*'⑫ Roll-out Plan'!$O$84</f>
        <v>0</v>
      </c>
      <c r="AG799" s="36" t="n">
        <f aca="false">AG797*$AC$795*AG798*AG$38*'⑫ Roll-out Plan'!$O$84</f>
        <v>0</v>
      </c>
      <c r="AH799" s="36" t="n">
        <f aca="false">AH797*$AC$795*AH798*AH$38*'⑫ Roll-out Plan'!$O$84</f>
        <v>0</v>
      </c>
      <c r="AI799" s="36" t="n">
        <f aca="false">AI797*$AC$795*AI798*AI$38*'⑫ Roll-out Plan'!$O$84</f>
        <v>0</v>
      </c>
      <c r="AJ799" s="36" t="n">
        <f aca="false">AJ797*$AC$795*AJ798*AJ$38*'⑫ Roll-out Plan'!$O$84</f>
        <v>0</v>
      </c>
      <c r="AK799" s="36" t="n">
        <f aca="false">AK797*$AC$795*AK798*AK$38*'⑫ Roll-out Plan'!$O$84</f>
        <v>0</v>
      </c>
      <c r="AL799" s="36" t="n">
        <f aca="false">AL797*$AC$795*AL798*AL$38*'⑫ Roll-out Plan'!$O$84</f>
        <v>0</v>
      </c>
      <c r="AM799" s="36" t="n">
        <f aca="false">AM797*$AC$795*AM798*AM$38*'⑫ Roll-out Plan'!$O$84</f>
        <v>0</v>
      </c>
      <c r="AN799" s="36" t="n">
        <f aca="false">AN797*$AC$795*AN798*AN$38*'⑫ Roll-out Plan'!$O$84</f>
        <v>0</v>
      </c>
      <c r="AO799" s="36" t="n">
        <f aca="false">AO797*$AC$795*AO798*AO$38*'⑫ Roll-out Plan'!$O$84</f>
        <v>0</v>
      </c>
      <c r="AP799" s="36" t="n">
        <f aca="false">AP797*$AC$795*AP798*AP$38*'⑫ Roll-out Plan'!$O$84</f>
        <v>0</v>
      </c>
      <c r="AQ799" s="36" t="n">
        <f aca="false">AQ797*$AC$795*AQ798*AQ$38*'⑫ Roll-out Plan'!$O$84</f>
        <v>0</v>
      </c>
      <c r="AR799" s="36" t="n">
        <f aca="false">AR797*$AC$795*AR798*AR$38*'⑫ Roll-out Plan'!$O$84</f>
        <v>0</v>
      </c>
      <c r="AS799" s="36" t="n">
        <f aca="false">AS797*$AC$795*AS798*AS$38*'⑫ Roll-out Plan'!$O$84</f>
        <v>0</v>
      </c>
      <c r="AT799" s="36" t="n">
        <f aca="false">AT797*$AC$795*AT798*AT$38*'⑫ Roll-out Plan'!$O$84</f>
        <v>0</v>
      </c>
      <c r="AU799" s="36" t="n">
        <f aca="false">AU797*$AC$795*AU798*AU$38*'⑫ Roll-out Plan'!$O$84</f>
        <v>0</v>
      </c>
      <c r="AV799" s="36" t="n">
        <f aca="false">AV797*$AC$795*AV798*AV$38*'⑫ Roll-out Plan'!$O$84</f>
        <v>0</v>
      </c>
      <c r="AW799" s="36" t="n">
        <f aca="false">AW797*$AC$795*AW798*AW$38*'⑫ Roll-out Plan'!$O$84</f>
        <v>0</v>
      </c>
      <c r="AX799" s="36" t="n">
        <f aca="false">AX797*$AC$795*AX798*AX$38*'⑫ Roll-out Plan'!$O$84</f>
        <v>0</v>
      </c>
      <c r="AY799" s="36" t="n">
        <f aca="false">AY797*$AC$795*AY798*AY$38*'⑫ Roll-out Plan'!$O$84</f>
        <v>0</v>
      </c>
      <c r="AZ799" s="36" t="n">
        <f aca="false">AZ797*$AC$795*AZ798*AZ$38*'⑫ Roll-out Plan'!$O$84</f>
        <v>0</v>
      </c>
      <c r="BA799" s="36" t="n">
        <f aca="false">BA797*$AC$795*BA798*BA$38*'⑫ Roll-out Plan'!$O$84</f>
        <v>0</v>
      </c>
      <c r="BB799" s="36" t="n">
        <f aca="false">BB797*$AC$795*BB798*BB$38*'⑫ Roll-out Plan'!$O$84</f>
        <v>0</v>
      </c>
      <c r="BC799" s="36" t="n">
        <f aca="false">BC797*$AC$795*BC798*BC$38*'⑫ Roll-out Plan'!$O$84</f>
        <v>0</v>
      </c>
      <c r="BD799" s="36" t="n">
        <f aca="false">BD797*$AC$795*BD798*BD$38*'⑫ Roll-out Plan'!$O$84</f>
        <v>0</v>
      </c>
      <c r="BE799" s="36" t="n">
        <f aca="false">BE797*$AC$795*BE798*BE$38*'⑫ Roll-out Plan'!$O$84</f>
        <v>0</v>
      </c>
      <c r="BF799" s="36" t="n">
        <f aca="false">BF797*$AC$795*BF798*BF$38*'⑫ Roll-out Plan'!$O$84</f>
        <v>0</v>
      </c>
      <c r="BG799" s="36" t="n">
        <f aca="false">BG797*$AC$795*BG798*BG$38*'⑫ Roll-out Plan'!$O$84</f>
        <v>0</v>
      </c>
      <c r="BH799" s="36" t="n">
        <f aca="false">BH797*$AC$795*BH798*BH$38*'⑫ Roll-out Plan'!$O$84</f>
        <v>0</v>
      </c>
      <c r="BI799" s="36" t="n">
        <f aca="false">BI797*$AC$795*BI798*BI$38*'⑫ Roll-out Plan'!$O$84</f>
        <v>0</v>
      </c>
      <c r="BJ799" s="36" t="n">
        <f aca="false">BJ797*$AC$795*BJ798*BJ$38*'⑫ Roll-out Plan'!$O$84</f>
        <v>0</v>
      </c>
      <c r="BK799" s="36" t="n">
        <f aca="false">BK797*$AC$795*BK798*BK$38*'⑫ Roll-out Plan'!$O$84</f>
        <v>0</v>
      </c>
      <c r="BL799" s="36" t="n">
        <f aca="false">BL797*$AC$795*BL798*BL$38*'⑫ Roll-out Plan'!$O$84</f>
        <v>0</v>
      </c>
      <c r="BM799" s="36" t="n">
        <f aca="false">BM797*$AC$795*BM798*BM$38*'⑫ Roll-out Plan'!$O$84</f>
        <v>0</v>
      </c>
      <c r="BN799" s="36" t="n">
        <f aca="false">BN797*$AC$795*BN798*BN$38*'⑫ Roll-out Plan'!$O$84</f>
        <v>0</v>
      </c>
      <c r="BO799" s="36" t="n">
        <f aca="false">BO797*$AC$795*BO798*BO$38*'⑫ Roll-out Plan'!$O$84</f>
        <v>0</v>
      </c>
      <c r="BP799" s="36" t="n">
        <f aca="false">BP797*$AC$795*BP798*BP$38*'⑫ Roll-out Plan'!$O$84</f>
        <v>0</v>
      </c>
      <c r="BQ799" s="36" t="n">
        <f aca="false">BQ797*$AC$795*BQ798*BQ$38*'⑫ Roll-out Plan'!$O$84</f>
        <v>0</v>
      </c>
      <c r="BR799" s="36" t="n">
        <f aca="false">BR797*$AC$795*BR798*BR$38*'⑫ Roll-out Plan'!$O$84</f>
        <v>0</v>
      </c>
      <c r="BS799" s="36" t="n">
        <f aca="false">BS797*$AC$795*BS798*BS$38*'⑫ Roll-out Plan'!$O$84</f>
        <v>0</v>
      </c>
      <c r="BT799" s="36" t="n">
        <f aca="false">BT797*$AC$795*BT798*BT$38*'⑫ Roll-out Plan'!$O$84</f>
        <v>0</v>
      </c>
      <c r="BU799" s="36" t="n">
        <f aca="false">BU797*$AC$795*BU798*BU$38*'⑫ Roll-out Plan'!$O$84</f>
        <v>0</v>
      </c>
      <c r="BV799" s="36" t="n">
        <f aca="false">BV797*$AC$795*BV798*BV$38*'⑫ Roll-out Plan'!$O$84</f>
        <v>0</v>
      </c>
      <c r="BW799" s="36" t="n">
        <f aca="false">BW797*$AC$795*BW798*BW$38*'⑫ Roll-out Plan'!$O$84</f>
        <v>0</v>
      </c>
      <c r="BX799" s="36" t="n">
        <f aca="false">BX797*$AC$795*BX798*BX$38*'⑫ Roll-out Plan'!$O$84</f>
        <v>0</v>
      </c>
      <c r="BY799" s="36" t="n">
        <f aca="false">BY797*$AC$795*BY798*BY$38*'⑫ Roll-out Plan'!$O$84</f>
        <v>0</v>
      </c>
      <c r="BZ799" s="36" t="n">
        <f aca="false">BZ797*$AC$795*BZ798*BZ$38*'⑫ Roll-out Plan'!$O$84</f>
        <v>0</v>
      </c>
      <c r="CA799" s="36" t="n">
        <f aca="false">CA797*$AC$795*CA798*CA$38*'⑫ Roll-out Plan'!$O$84</f>
        <v>0</v>
      </c>
      <c r="CB799" s="36" t="n">
        <f aca="false">CB797*$AC$795*CB798*CB$38*'⑫ Roll-out Plan'!$O$84</f>
        <v>0</v>
      </c>
      <c r="CC799" s="36" t="n">
        <f aca="false">CC797*$AC$795*CC798*CC$38*'⑫ Roll-out Plan'!$O$84</f>
        <v>0</v>
      </c>
      <c r="CD799" s="36" t="n">
        <f aca="false">CD797*$AC$795*CD798*CD$38*'⑫ Roll-out Plan'!$O$84</f>
        <v>0</v>
      </c>
      <c r="CE799" s="36" t="n">
        <f aca="false">CE797*$AC$795*CE798*CE$38*'⑫ Roll-out Plan'!$O$84</f>
        <v>0</v>
      </c>
      <c r="CF799" s="36" t="n">
        <f aca="false">CF797*$AC$795*CF798*CF$38*'⑫ Roll-out Plan'!$O$84</f>
        <v>0</v>
      </c>
      <c r="CG799" s="36" t="n">
        <f aca="false">CG797*$AC$795*CG798*CG$38*'⑫ Roll-out Plan'!$O$84</f>
        <v>0</v>
      </c>
      <c r="CH799" s="36" t="n">
        <f aca="false">CH797*$AC$795*CH798*CH$38*'⑫ Roll-out Plan'!$O$84</f>
        <v>0</v>
      </c>
      <c r="CI799" s="36" t="n">
        <f aca="false">CI797*$AC$795*CI798*CI$38*'⑫ Roll-out Plan'!$O$84</f>
        <v>0</v>
      </c>
      <c r="CJ799" s="36" t="n">
        <f aca="false">CJ797*$AC$795*CJ798*CJ$38*'⑫ Roll-out Plan'!$O$84</f>
        <v>0</v>
      </c>
      <c r="CK799" s="36" t="n">
        <f aca="false">CK797*$AC$795*CK798*CK$38*'⑫ Roll-out Plan'!$O$84</f>
        <v>0</v>
      </c>
      <c r="CL799" s="36" t="n">
        <f aca="false">CL797*$AC$795*CL798*CL$38*'⑫ Roll-out Plan'!$O$84</f>
        <v>0</v>
      </c>
      <c r="CM799" s="36" t="n">
        <f aca="false">CM797*$AC$795*CM798*CM$38*'⑫ Roll-out Plan'!$O$84</f>
        <v>0</v>
      </c>
      <c r="CN799" s="36" t="n">
        <f aca="false">CN797*$AC$795*CN798*CN$38*'⑫ Roll-out Plan'!$O$84</f>
        <v>0</v>
      </c>
      <c r="CO799" s="36" t="n">
        <f aca="false">CO797*$AC$795*CO798*CO$38*'⑫ Roll-out Plan'!$O$84</f>
        <v>0</v>
      </c>
      <c r="CP799" s="36" t="n">
        <f aca="false">CP797*$AC$795*CP798*CP$38*'⑫ Roll-out Plan'!$O$84</f>
        <v>0</v>
      </c>
      <c r="CQ799" s="36" t="n">
        <f aca="false">CQ797*$AC$795*CQ798*CQ$38*'⑫ Roll-out Plan'!$O$84</f>
        <v>0</v>
      </c>
      <c r="CR799" s="36" t="n">
        <f aca="false">CR797*$AC$795*CR798*CR$38*'⑫ Roll-out Plan'!$O$84</f>
        <v>0</v>
      </c>
      <c r="CS799" s="36" t="n">
        <f aca="false">CS797*$AC$795*CS798*CS$38*'⑫ Roll-out Plan'!$O$84</f>
        <v>0</v>
      </c>
      <c r="CT799" s="36" t="n">
        <f aca="false">CT797*$AC$795*CT798*CT$38*'⑫ Roll-out Plan'!$O$84</f>
        <v>0</v>
      </c>
      <c r="CU799" s="36" t="n">
        <f aca="false">CU797*$AC$795*CU798*CU$38*'⑫ Roll-out Plan'!$O$84</f>
        <v>0</v>
      </c>
      <c r="CV799" s="36" t="n">
        <f aca="false">CV797*$AC$795*CV798*CV$38*'⑫ Roll-out Plan'!$O$84</f>
        <v>0</v>
      </c>
      <c r="CW799" s="36" t="n">
        <f aca="false">CW797*$AC$795*CW798*CW$38*'⑫ Roll-out Plan'!$O$84</f>
        <v>0</v>
      </c>
      <c r="CX799" s="36" t="n">
        <f aca="false">CX797*$AC$795*CX798*CX$38*'⑫ Roll-out Plan'!$O$84</f>
        <v>0</v>
      </c>
      <c r="CY799" s="36" t="n">
        <f aca="false">CY797*$AC$795*CY798*CY$38*'⑫ Roll-out Plan'!$O$84</f>
        <v>0</v>
      </c>
      <c r="CZ799" s="36" t="n">
        <f aca="false">CZ797*$AC$795*CZ798*CZ$38*'⑫ Roll-out Plan'!$O$84</f>
        <v>0</v>
      </c>
      <c r="DA799" s="36" t="n">
        <f aca="false">DA797*$AC$795*DA798*DA$38*'⑫ Roll-out Plan'!$O$84</f>
        <v>0</v>
      </c>
      <c r="DB799" s="36" t="n">
        <f aca="false">DB797*$AC$795*DB798*DB$38*'⑫ Roll-out Plan'!$O$84</f>
        <v>0</v>
      </c>
      <c r="DC799" s="36" t="n">
        <f aca="false">DC797*$AC$795*DC798*DC$38*'⑫ Roll-out Plan'!$O$84</f>
        <v>0</v>
      </c>
      <c r="DD799" s="36" t="n">
        <f aca="false">DD797*$AC$795*DD798*DD$38*'⑫ Roll-out Plan'!$O$84</f>
        <v>0</v>
      </c>
      <c r="DE799" s="36" t="n">
        <f aca="false">DE797*$AC$795*DE798*DE$38*'⑫ Roll-out Plan'!$O$84</f>
        <v>0</v>
      </c>
      <c r="DF799" s="36" t="n">
        <f aca="false">DF797*$AC$795*DF798*DF$38*'⑫ Roll-out Plan'!$O$84</f>
        <v>0</v>
      </c>
      <c r="DG799" s="36" t="n">
        <f aca="false">DG797*$AC$795*DG798*DG$38*'⑫ Roll-out Plan'!$O$84</f>
        <v>0</v>
      </c>
      <c r="DH799" s="36" t="n">
        <f aca="false">DH797*$AC$795*DH798*DH$38*'⑫ Roll-out Plan'!$O$84</f>
        <v>0</v>
      </c>
      <c r="DI799" s="36" t="n">
        <f aca="false">DI797*$AC$795*DI798*DI$38*'⑫ Roll-out Plan'!$O$84</f>
        <v>0</v>
      </c>
      <c r="DJ799" s="36" t="n">
        <f aca="false">DJ797*$AC$795*DJ798*DJ$38*'⑫ Roll-out Plan'!$O$84</f>
        <v>0</v>
      </c>
      <c r="DK799" s="36" t="n">
        <f aca="false">DK797*$AC$795*DK798*DK$38*'⑫ Roll-out Plan'!$O$84</f>
        <v>0</v>
      </c>
      <c r="DL799" s="36" t="n">
        <f aca="false">DL797*$AC$795*DL798*DL$38*'⑫ Roll-out Plan'!$O$84</f>
        <v>0</v>
      </c>
      <c r="DM799" s="36" t="n">
        <f aca="false">DM797*$AC$795*DM798*DM$38*'⑫ Roll-out Plan'!$O$84</f>
        <v>0</v>
      </c>
      <c r="DN799" s="36" t="n">
        <f aca="false">DN797*$AC$795*DN798*DN$38*'⑫ Roll-out Plan'!$O$84</f>
        <v>0</v>
      </c>
      <c r="DO799" s="36" t="n">
        <f aca="false">DO797*$AC$795*DO798*DO$38*'⑫ Roll-out Plan'!$O$84</f>
        <v>0</v>
      </c>
      <c r="DP799" s="36" t="n">
        <f aca="false">DP797*$AC$795*DP798*DP$38*'⑫ Roll-out Plan'!$O$84</f>
        <v>0</v>
      </c>
      <c r="DQ799" s="36" t="n">
        <f aca="false">DQ797*$AC$795*DQ798*DQ$38*'⑫ Roll-out Plan'!$O$84</f>
        <v>0</v>
      </c>
      <c r="DR799" s="36" t="n">
        <f aca="false">DR797*$AC$795*DR798*DR$38*'⑫ Roll-out Plan'!$O$84</f>
        <v>0</v>
      </c>
      <c r="DS799" s="36" t="n">
        <f aca="false">DS797*$AC$795*DS798*DS$38*'⑫ Roll-out Plan'!$O$84</f>
        <v>0</v>
      </c>
      <c r="DT799" s="36" t="n">
        <f aca="false">DT797*$AC$795*DT798*DT$38*'⑫ Roll-out Plan'!$O$84</f>
        <v>0</v>
      </c>
      <c r="DU799" s="36" t="n">
        <f aca="false">DU797*$AC$795*DU798*DU$38*'⑫ Roll-out Plan'!$O$84</f>
        <v>0</v>
      </c>
      <c r="DV799" s="36" t="n">
        <f aca="false">DV797*$AC$795*DV798*DV$38*'⑫ Roll-out Plan'!$O$84</f>
        <v>0</v>
      </c>
      <c r="DW799" s="36" t="n">
        <f aca="false">DW797*$AC$795*DW798*DW$38*'⑫ Roll-out Plan'!$O$84</f>
        <v>0</v>
      </c>
      <c r="DX799" s="36" t="n">
        <f aca="false">DX797*$AC$795*DX798*DX$38*'⑫ Roll-out Plan'!$O$84</f>
        <v>0</v>
      </c>
      <c r="DY799" s="36" t="n">
        <f aca="false">DY797*$AC$795*DY798*DY$38*'⑫ Roll-out Plan'!$O$84</f>
        <v>0</v>
      </c>
      <c r="DZ799" s="36" t="n">
        <f aca="false">DZ797*$AC$795*DZ798*DZ$38*'⑫ Roll-out Plan'!$O$84</f>
        <v>0</v>
      </c>
      <c r="EA799" s="36" t="n">
        <f aca="false">EA797*$AC$795*EA798*EA$38*'⑫ Roll-out Plan'!$O$84</f>
        <v>0</v>
      </c>
      <c r="EB799" s="36" t="n">
        <f aca="false">EB797*$AC$795*EB798*EB$38*'⑫ Roll-out Plan'!$O$84</f>
        <v>0</v>
      </c>
      <c r="EC799" s="36" t="n">
        <f aca="false">EC797*$AC$795*EC798*EC$38*'⑫ Roll-out Plan'!$O$84</f>
        <v>0</v>
      </c>
      <c r="ED799" s="36" t="n">
        <f aca="false">ED797*$AC$795*ED798*ED$38*'⑫ Roll-out Plan'!$O$84</f>
        <v>0</v>
      </c>
      <c r="EE799" s="36" t="n">
        <f aca="false">EE797*$AC$795*EE798*EE$38*'⑫ Roll-out Plan'!$O$84</f>
        <v>0</v>
      </c>
      <c r="EF799" s="36" t="n">
        <f aca="false">EF797*$AC$795*EF798*EF$38*'⑫ Roll-out Plan'!$O$84</f>
        <v>0</v>
      </c>
      <c r="EG799" s="36" t="n">
        <f aca="false">EG797*$AC$795*EG798*EG$38*'⑫ Roll-out Plan'!$O$84</f>
        <v>0</v>
      </c>
      <c r="EH799" s="36" t="n">
        <f aca="false">EH797*$AC$795*EH798*EH$38*'⑫ Roll-out Plan'!$O$84</f>
        <v>0</v>
      </c>
      <c r="EI799" s="36" t="n">
        <f aca="false">EI797*$AC$795*EI798*EI$38*'⑫ Roll-out Plan'!$O$84</f>
        <v>0</v>
      </c>
      <c r="EJ799" s="36" t="n">
        <f aca="false">EJ797*$AC$795*EJ798*EJ$38*'⑫ Roll-out Plan'!$O$84</f>
        <v>0</v>
      </c>
      <c r="EK799" s="36" t="n">
        <f aca="false">EK797*$AC$795*EK798*EK$38*'⑫ Roll-out Plan'!$O$84</f>
        <v>0</v>
      </c>
      <c r="EL799" s="36" t="n">
        <f aca="false">EL797*$AC$795*EL798*EL$38*'⑫ Roll-out Plan'!$O$84</f>
        <v>0</v>
      </c>
      <c r="EM799" s="36" t="n">
        <f aca="false">EM797*$AC$795*EM798*EM$38*'⑫ Roll-out Plan'!$O$84</f>
        <v>0</v>
      </c>
      <c r="EN799" s="36" t="n">
        <f aca="false">EN797*$AC$795*EN798*EN$38*'⑫ Roll-out Plan'!$O$84</f>
        <v>0</v>
      </c>
      <c r="EO799" s="36" t="n">
        <f aca="false">EO797*$AC$795*EO798*EO$38*'⑫ Roll-out Plan'!$O$84</f>
        <v>0</v>
      </c>
      <c r="EP799" s="36" t="n">
        <f aca="false">EP797*$AC$795*EP798*EP$38*'⑫ Roll-out Plan'!$O$84</f>
        <v>0</v>
      </c>
      <c r="EQ799" s="36" t="n">
        <f aca="false">EQ797*$AC$795*EQ798*EQ$38*'⑫ Roll-out Plan'!$O$84</f>
        <v>0</v>
      </c>
      <c r="ER799" s="36" t="n">
        <f aca="false">ER797*$AC$795*ER798*ER$38*'⑫ Roll-out Plan'!$O$84</f>
        <v>0</v>
      </c>
      <c r="ES799" s="9" t="n">
        <f aca="false">ES797*$AC$795*ES798*ES$38*'⑫ Roll-out Plan'!$O$84</f>
        <v>0</v>
      </c>
      <c r="ET799" s="9" t="n">
        <f aca="false">ET797*$AC$795*ET798*ET$38*'⑫ Roll-out Plan'!$O$84</f>
        <v>0</v>
      </c>
      <c r="EU799" s="9" t="n">
        <f aca="false">EU797*$AC$795*EU798*EU$38*'⑫ Roll-out Plan'!$O$84</f>
        <v>0</v>
      </c>
      <c r="EV799" s="9" t="n">
        <f aca="false">EV797*$AC$795*EV798*EV$38*'⑫ Roll-out Plan'!$O$84</f>
        <v>0</v>
      </c>
      <c r="EW799" s="9" t="n">
        <f aca="false">EW797*$AC$795*EW798*EW$38*'⑫ Roll-out Plan'!$O$84</f>
        <v>0</v>
      </c>
      <c r="EX799" s="9" t="n">
        <f aca="false">EX797*$AC$795*EX798*EX$38*'⑫ Roll-out Plan'!$O$84</f>
        <v>0</v>
      </c>
      <c r="EY799" s="9" t="n">
        <f aca="false">EY797*$AC$795*EY798*EY$38*'⑫ Roll-out Plan'!$O$84</f>
        <v>0</v>
      </c>
      <c r="EZ799" s="9" t="n">
        <f aca="false">EZ797*$AC$795*EZ798*EZ$38*'⑫ Roll-out Plan'!$O$84</f>
        <v>0</v>
      </c>
      <c r="FA799" s="9" t="n">
        <f aca="false">FA797*$AC$795*FA798*FA$38*'⑫ Roll-out Plan'!$O$84</f>
        <v>0</v>
      </c>
      <c r="FB799" s="9" t="n">
        <f aca="false">FB797*$AC$795*FB798*FB$38*'⑫ Roll-out Plan'!$O$84</f>
        <v>0</v>
      </c>
      <c r="FC799" s="9" t="n">
        <f aca="false">FC797*$AC$795*FC798*FC$38*'⑫ Roll-out Plan'!$O$84</f>
        <v>0</v>
      </c>
      <c r="FD799" s="9" t="n">
        <f aca="false">FD797*$AC$795*FD798*FD$38*'⑫ Roll-out Plan'!$O$84</f>
        <v>22.44</v>
      </c>
      <c r="FE799" s="9" t="n">
        <f aca="false">FE797*$AC$795*FE798*FE$38*'⑫ Roll-out Plan'!$O$84</f>
        <v>26.136</v>
      </c>
      <c r="FF799" s="9" t="n">
        <f aca="false">FF797*$AC$795*FF798*FF$38*'⑫ Roll-out Plan'!$O$84</f>
        <v>21.648</v>
      </c>
      <c r="FG799" s="9" t="n">
        <f aca="false">FG797*$AC$795*FG798*FG$38*'⑫ Roll-out Plan'!$O$84</f>
        <v>34.452</v>
      </c>
      <c r="FH799" s="9" t="n">
        <f aca="false">FH797*$AC$795*FH798*FH$38*'⑫ Roll-out Plan'!$O$84</f>
        <v>32.67</v>
      </c>
      <c r="FI799" s="9" t="n">
        <f aca="false">FI797*$AC$795*FI798*FI$38*'⑫ Roll-out Plan'!$O$84</f>
        <v>31.372</v>
      </c>
      <c r="FJ799" s="9" t="n">
        <f aca="false">FJ797*$AC$795*FJ798*FJ$38*'⑫ Roll-out Plan'!$O$84</f>
        <v>30.8</v>
      </c>
      <c r="FK799" s="9" t="n">
        <f aca="false">FK797*$AC$795*FK798*FK$38*'⑫ Roll-out Plan'!$O$84</f>
        <v>36.036</v>
      </c>
      <c r="FL799" s="9" t="n">
        <f aca="false">FL797*$AC$795*FL798*FL$38*'⑫ Roll-out Plan'!$O$84</f>
        <v>68.728</v>
      </c>
      <c r="FM799" s="9" t="n">
        <f aca="false">FM797*$AC$795*FM798*FM$38*'⑫ Roll-out Plan'!$O$84</f>
        <v>56.144</v>
      </c>
      <c r="FN799" s="9" t="n">
        <f aca="false">FN797*$AC$795*FN798*FN$38*'⑫ Roll-out Plan'!$O$84</f>
        <v>50.688</v>
      </c>
      <c r="FO799" s="9" t="n">
        <f aca="false">FO797*$AC$795*FO798*FO$38*'⑫ Roll-out Plan'!$O$84</f>
        <v>41.184</v>
      </c>
      <c r="FP799" s="9" t="n">
        <f aca="false">FP797*$AC$795*FP798*FP$38*'⑫ Roll-out Plan'!$O$84</f>
        <v>62.832</v>
      </c>
    </row>
    <row r="800" customFormat="false" ht="15" hidden="false" customHeight="false" outlineLevel="2" collapsed="false">
      <c r="B800" s="9" t="s">
        <v>877</v>
      </c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112" t="n">
        <f aca="true">IFERROR(SUMPRODUCT(OFFSET($BJ$31,0,1-MIN(60,COLUMN()-29),1,MIN(60,COLUMN()-29)),OFFSET(AC799,0,-MIN(60,COLUMN()-29),1,MIN(60,COLUMN()-29))),0)</f>
        <v>0</v>
      </c>
      <c r="AD800" s="112" t="n">
        <f aca="true">IFERROR(SUMPRODUCT(OFFSET($BJ$31,0,1-MIN(60,COLUMN()-29),1,MIN(60,COLUMN()-29)),OFFSET(AD799,0,-MIN(60,COLUMN()-29),1,MIN(60,COLUMN()-29))),0)</f>
        <v>0</v>
      </c>
      <c r="AE800" s="112" t="n">
        <f aca="true">IFERROR(SUMPRODUCT(OFFSET($BJ$31,0,1-MIN(60,COLUMN()-29),1,MIN(60,COLUMN()-29)),OFFSET(AE799,0,-MIN(60,COLUMN()-29),1,MIN(60,COLUMN()-29))),0)</f>
        <v>0</v>
      </c>
      <c r="AF800" s="112" t="n">
        <f aca="true">IFERROR(SUMPRODUCT(OFFSET($BJ$31,0,1-MIN(60,COLUMN()-29),1,MIN(60,COLUMN()-29)),OFFSET(AF799,0,-MIN(60,COLUMN()-29),1,MIN(60,COLUMN()-29))),0)</f>
        <v>0</v>
      </c>
      <c r="AG800" s="112" t="n">
        <f aca="true">IFERROR(SUMPRODUCT(OFFSET($BJ$31,0,1-MIN(60,COLUMN()-29),1,MIN(60,COLUMN()-29)),OFFSET(AG799,0,-MIN(60,COLUMN()-29),1,MIN(60,COLUMN()-29))),0)</f>
        <v>0</v>
      </c>
      <c r="AH800" s="112" t="n">
        <f aca="true">IFERROR(SUMPRODUCT(OFFSET($BJ$31,0,1-MIN(60,COLUMN()-29),1,MIN(60,COLUMN()-29)),OFFSET(AH799,0,-MIN(60,COLUMN()-29),1,MIN(60,COLUMN()-29))),0)</f>
        <v>0</v>
      </c>
      <c r="AI800" s="112" t="n">
        <f aca="true">IFERROR(SUMPRODUCT(OFFSET($BJ$31,0,1-MIN(60,COLUMN()-29),1,MIN(60,COLUMN()-29)),OFFSET(AI799,0,-MIN(60,COLUMN()-29),1,MIN(60,COLUMN()-29))),0)</f>
        <v>0</v>
      </c>
      <c r="AJ800" s="112" t="n">
        <f aca="true">IFERROR(SUMPRODUCT(OFFSET($BJ$31,0,1-MIN(60,COLUMN()-29),1,MIN(60,COLUMN()-29)),OFFSET(AJ799,0,-MIN(60,COLUMN()-29),1,MIN(60,COLUMN()-29))),0)</f>
        <v>0</v>
      </c>
      <c r="AK800" s="112" t="n">
        <f aca="true">IFERROR(SUMPRODUCT(OFFSET($BJ$31,0,1-MIN(60,COLUMN()-29),1,MIN(60,COLUMN()-29)),OFFSET(AK799,0,-MIN(60,COLUMN()-29),1,MIN(60,COLUMN()-29))),0)</f>
        <v>0</v>
      </c>
      <c r="AL800" s="112" t="n">
        <f aca="true">IFERROR(SUMPRODUCT(OFFSET($BJ$31,0,1-MIN(60,COLUMN()-29),1,MIN(60,COLUMN()-29)),OFFSET(AL799,0,-MIN(60,COLUMN()-29),1,MIN(60,COLUMN()-29))),0)</f>
        <v>0</v>
      </c>
      <c r="AM800" s="112" t="n">
        <f aca="true">IFERROR(SUMPRODUCT(OFFSET($BJ$31,0,1-MIN(60,COLUMN()-29),1,MIN(60,COLUMN()-29)),OFFSET(AM799,0,-MIN(60,COLUMN()-29),1,MIN(60,COLUMN()-29))),0)</f>
        <v>0</v>
      </c>
      <c r="AN800" s="239" t="n">
        <f aca="true">IFERROR(SUMPRODUCT(OFFSET($BJ$31,0,1-MIN(60,COLUMN()-29),1,MIN(60,COLUMN()-29)),OFFSET(AN799,0,-MIN(60,COLUMN()-29),1,MIN(60,COLUMN()-29))),0)</f>
        <v>0</v>
      </c>
      <c r="AO800" s="112" t="n">
        <f aca="true">IFERROR(SUMPRODUCT(OFFSET($BJ$31,0,1-MIN(60,COLUMN()-29),1,MIN(60,COLUMN()-29)),OFFSET(AO799,0,-MIN(60,COLUMN()-29),1,MIN(60,COLUMN()-29))),0)</f>
        <v>0</v>
      </c>
      <c r="AP800" s="112" t="n">
        <f aca="true">IFERROR(SUMPRODUCT(OFFSET($BJ$31,0,1-MIN(60,COLUMN()-29),1,MIN(60,COLUMN()-29)),OFFSET(AP799,0,-MIN(60,COLUMN()-29),1,MIN(60,COLUMN()-29))),0)</f>
        <v>0</v>
      </c>
      <c r="AQ800" s="112" t="n">
        <f aca="true">IFERROR(SUMPRODUCT(OFFSET($BJ$31,0,1-MIN(60,COLUMN()-29),1,MIN(60,COLUMN()-29)),OFFSET(AQ799,0,-MIN(60,COLUMN()-29),1,MIN(60,COLUMN()-29))),0)</f>
        <v>0</v>
      </c>
      <c r="AR800" s="112" t="n">
        <f aca="true">IFERROR(SUMPRODUCT(OFFSET($BJ$31,0,1-MIN(60,COLUMN()-29),1,MIN(60,COLUMN()-29)),OFFSET(AR799,0,-MIN(60,COLUMN()-29),1,MIN(60,COLUMN()-29))),0)</f>
        <v>0</v>
      </c>
      <c r="AS800" s="112" t="n">
        <f aca="true">IFERROR(SUMPRODUCT(OFFSET($BJ$31,0,1-MIN(60,COLUMN()-29),1,MIN(60,COLUMN()-29)),OFFSET(AS799,0,-MIN(60,COLUMN()-29),1,MIN(60,COLUMN()-29))),0)</f>
        <v>0</v>
      </c>
      <c r="AT800" s="112" t="n">
        <f aca="true">IFERROR(SUMPRODUCT(OFFSET($BJ$31,0,1-MIN(60,COLUMN()-29),1,MIN(60,COLUMN()-29)),OFFSET(AT799,0,-MIN(60,COLUMN()-29),1,MIN(60,COLUMN()-29))),0)</f>
        <v>0</v>
      </c>
      <c r="AU800" s="112" t="n">
        <f aca="true">IFERROR(SUMPRODUCT(OFFSET($BJ$31,0,1-MIN(60,COLUMN()-29),1,MIN(60,COLUMN()-29)),OFFSET(AU799,0,-MIN(60,COLUMN()-29),1,MIN(60,COLUMN()-29))),0)</f>
        <v>0</v>
      </c>
      <c r="AV800" s="112" t="n">
        <f aca="true">IFERROR(SUMPRODUCT(OFFSET($BJ$31,0,1-MIN(60,COLUMN()-29),1,MIN(60,COLUMN()-29)),OFFSET(AV799,0,-MIN(60,COLUMN()-29),1,MIN(60,COLUMN()-29))),0)</f>
        <v>0</v>
      </c>
      <c r="AW800" s="112" t="n">
        <f aca="true">IFERROR(SUMPRODUCT(OFFSET($BJ$31,0,1-MIN(60,COLUMN()-29),1,MIN(60,COLUMN()-29)),OFFSET(AW799,0,-MIN(60,COLUMN()-29),1,MIN(60,COLUMN()-29))),0)</f>
        <v>0</v>
      </c>
      <c r="AX800" s="112" t="n">
        <f aca="true">IFERROR(SUMPRODUCT(OFFSET($BJ$31,0,1-MIN(60,COLUMN()-29),1,MIN(60,COLUMN()-29)),OFFSET(AX799,0,-MIN(60,COLUMN()-29),1,MIN(60,COLUMN()-29))),0)</f>
        <v>0</v>
      </c>
      <c r="AY800" s="112" t="n">
        <f aca="true">IFERROR(SUMPRODUCT(OFFSET($BJ$31,0,1-MIN(60,COLUMN()-29),1,MIN(60,COLUMN()-29)),OFFSET(AY799,0,-MIN(60,COLUMN()-29),1,MIN(60,COLUMN()-29))),0)</f>
        <v>0</v>
      </c>
      <c r="AZ800" s="112" t="n">
        <f aca="true">IFERROR(SUMPRODUCT(OFFSET($BJ$31,0,1-MIN(60,COLUMN()-29),1,MIN(60,COLUMN()-29)),OFFSET(AZ799,0,-MIN(60,COLUMN()-29),1,MIN(60,COLUMN()-29))),0)</f>
        <v>0</v>
      </c>
      <c r="BA800" s="112" t="n">
        <f aca="true">IFERROR(SUMPRODUCT(OFFSET($BJ$31,0,1-MIN(60,COLUMN()-29),1,MIN(60,COLUMN()-29)),OFFSET(BA799,0,-MIN(60,COLUMN()-29),1,MIN(60,COLUMN()-29))),0)</f>
        <v>0</v>
      </c>
      <c r="BB800" s="112" t="n">
        <f aca="true">IFERROR(SUMPRODUCT(OFFSET($BJ$31,0,1-MIN(60,COLUMN()-29),1,MIN(60,COLUMN()-29)),OFFSET(BB799,0,-MIN(60,COLUMN()-29),1,MIN(60,COLUMN()-29))),0)</f>
        <v>0</v>
      </c>
      <c r="BC800" s="112" t="n">
        <f aca="true">IFERROR(SUMPRODUCT(OFFSET($BJ$31,0,1-MIN(60,COLUMN()-29),1,MIN(60,COLUMN()-29)),OFFSET(BC799,0,-MIN(60,COLUMN()-29),1,MIN(60,COLUMN()-29))),0)</f>
        <v>0</v>
      </c>
      <c r="BD800" s="112" t="n">
        <f aca="true">IFERROR(SUMPRODUCT(OFFSET($BJ$31,0,1-MIN(60,COLUMN()-29),1,MIN(60,COLUMN()-29)),OFFSET(BD799,0,-MIN(60,COLUMN()-29),1,MIN(60,COLUMN()-29))),0)</f>
        <v>0</v>
      </c>
      <c r="BE800" s="112" t="n">
        <f aca="true">IFERROR(SUMPRODUCT(OFFSET($BJ$31,0,1-MIN(60,COLUMN()-29),1,MIN(60,COLUMN()-29)),OFFSET(BE799,0,-MIN(60,COLUMN()-29),1,MIN(60,COLUMN()-29))),0)</f>
        <v>0</v>
      </c>
      <c r="BF800" s="112" t="n">
        <f aca="true">IFERROR(SUMPRODUCT(OFFSET($BJ$31,0,1-MIN(60,COLUMN()-29),1,MIN(60,COLUMN()-29)),OFFSET(BF799,0,-MIN(60,COLUMN()-29),1,MIN(60,COLUMN()-29))),0)</f>
        <v>0</v>
      </c>
      <c r="BG800" s="112" t="n">
        <f aca="true">IFERROR(SUMPRODUCT(OFFSET($BJ$31,0,1-MIN(60,COLUMN()-29),1,MIN(60,COLUMN()-29)),OFFSET(BG799,0,-MIN(60,COLUMN()-29),1,MIN(60,COLUMN()-29))),0)</f>
        <v>0</v>
      </c>
      <c r="BH800" s="112" t="n">
        <f aca="true">IFERROR(SUMPRODUCT(OFFSET($BJ$31,0,1-MIN(60,COLUMN()-29),1,MIN(60,COLUMN()-29)),OFFSET(BH799,0,-MIN(60,COLUMN()-29),1,MIN(60,COLUMN()-29))),0)</f>
        <v>0</v>
      </c>
      <c r="BI800" s="112" t="n">
        <f aca="true">IFERROR(SUMPRODUCT(OFFSET($BJ$31,0,1-MIN(60,COLUMN()-29),1,MIN(60,COLUMN()-29)),OFFSET(BI799,0,-MIN(60,COLUMN()-29),1,MIN(60,COLUMN()-29))),0)</f>
        <v>0</v>
      </c>
      <c r="BJ800" s="112" t="n">
        <f aca="true">IFERROR(SUMPRODUCT(OFFSET($BJ$31,0,1-MIN(60,COLUMN()-29),1,MIN(60,COLUMN()-29)),OFFSET(BJ799,0,-MIN(60,COLUMN()-29),1,MIN(60,COLUMN()-29))),0)</f>
        <v>0</v>
      </c>
      <c r="BK800" s="112" t="n">
        <f aca="true">IFERROR(SUMPRODUCT(OFFSET($BJ$31,0,1-MIN(60,COLUMN()-29),1,MIN(60,COLUMN()-29)),OFFSET(BK799,0,-MIN(60,COLUMN()-29),1,MIN(60,COLUMN()-29))),0)</f>
        <v>0</v>
      </c>
      <c r="BL800" s="112" t="n">
        <f aca="true">IFERROR(SUMPRODUCT(OFFSET($BJ$31,0,1-MIN(60,COLUMN()-29),1,MIN(60,COLUMN()-29)),OFFSET(BL799,0,-MIN(60,COLUMN()-29),1,MIN(60,COLUMN()-29))),0)</f>
        <v>0</v>
      </c>
      <c r="BM800" s="112" t="n">
        <f aca="true">IFERROR(SUMPRODUCT(OFFSET($BJ$31,0,1-MIN(60,COLUMN()-29),1,MIN(60,COLUMN()-29)),OFFSET(BM799,0,-MIN(60,COLUMN()-29),1,MIN(60,COLUMN()-29))),0)</f>
        <v>0</v>
      </c>
      <c r="BN800" s="112" t="n">
        <f aca="true">IFERROR(SUMPRODUCT(OFFSET($BJ$31,0,1-MIN(60,COLUMN()-29),1,MIN(60,COLUMN()-29)),OFFSET(BN799,0,-MIN(60,COLUMN()-29),1,MIN(60,COLUMN()-29))),0)</f>
        <v>0</v>
      </c>
      <c r="BO800" s="112" t="n">
        <f aca="true">IFERROR(SUMPRODUCT(OFFSET($BJ$31,0,1-MIN(60,COLUMN()-29),1,MIN(60,COLUMN()-29)),OFFSET(BO799,0,-MIN(60,COLUMN()-29),1,MIN(60,COLUMN()-29))),0)</f>
        <v>0</v>
      </c>
      <c r="BP800" s="112" t="n">
        <f aca="true">IFERROR(SUMPRODUCT(OFFSET($BJ$31,0,1-MIN(60,COLUMN()-29),1,MIN(60,COLUMN()-29)),OFFSET(BP799,0,-MIN(60,COLUMN()-29),1,MIN(60,COLUMN()-29))),0)</f>
        <v>0</v>
      </c>
      <c r="BQ800" s="112" t="n">
        <f aca="true">IFERROR(SUMPRODUCT(OFFSET($BJ$31,0,1-MIN(60,COLUMN()-29),1,MIN(60,COLUMN()-29)),OFFSET(BQ799,0,-MIN(60,COLUMN()-29),1,MIN(60,COLUMN()-29))),0)</f>
        <v>0</v>
      </c>
      <c r="BR800" s="112" t="n">
        <f aca="true">IFERROR(SUMPRODUCT(OFFSET($BJ$31,0,1-MIN(60,COLUMN()-29),1,MIN(60,COLUMN()-29)),OFFSET(BR799,0,-MIN(60,COLUMN()-29),1,MIN(60,COLUMN()-29))),0)</f>
        <v>0</v>
      </c>
      <c r="BS800" s="112" t="n">
        <f aca="true">IFERROR(SUMPRODUCT(OFFSET($BJ$31,0,1-MIN(60,COLUMN()-29),1,MIN(60,COLUMN()-29)),OFFSET(BS799,0,-MIN(60,COLUMN()-29),1,MIN(60,COLUMN()-29))),0)</f>
        <v>0</v>
      </c>
      <c r="BT800" s="112" t="n">
        <f aca="true">IFERROR(SUMPRODUCT(OFFSET($BJ$31,0,1-MIN(60,COLUMN()-29),1,MIN(60,COLUMN()-29)),OFFSET(BT799,0,-MIN(60,COLUMN()-29),1,MIN(60,COLUMN()-29))),0)</f>
        <v>0</v>
      </c>
      <c r="BU800" s="112" t="n">
        <f aca="true">IFERROR(SUMPRODUCT(OFFSET($BJ$31,0,1-MIN(60,COLUMN()-29),1,MIN(60,COLUMN()-29)),OFFSET(BU799,0,-MIN(60,COLUMN()-29),1,MIN(60,COLUMN()-29))),0)</f>
        <v>0</v>
      </c>
      <c r="BV800" s="112" t="n">
        <f aca="true">IFERROR(SUMPRODUCT(OFFSET($BJ$31,0,1-MIN(60,COLUMN()-29),1,MIN(60,COLUMN()-29)),OFFSET(BV799,0,-MIN(60,COLUMN()-29),1,MIN(60,COLUMN()-29))),0)</f>
        <v>0</v>
      </c>
      <c r="BW800" s="112" t="n">
        <f aca="true">IFERROR(SUMPRODUCT(OFFSET($BJ$31,0,1-MIN(60,COLUMN()-29),1,MIN(60,COLUMN()-29)),OFFSET(BW799,0,-MIN(60,COLUMN()-29),1,MIN(60,COLUMN()-29))),0)</f>
        <v>0</v>
      </c>
      <c r="BX800" s="112" t="n">
        <f aca="true">IFERROR(SUMPRODUCT(OFFSET($BJ$31,0,1-MIN(60,COLUMN()-29),1,MIN(60,COLUMN()-29)),OFFSET(BX799,0,-MIN(60,COLUMN()-29),1,MIN(60,COLUMN()-29))),0)</f>
        <v>0</v>
      </c>
      <c r="BY800" s="112" t="n">
        <f aca="true">IFERROR(SUMPRODUCT(OFFSET($BJ$31,0,1-MIN(60,COLUMN()-29),1,MIN(60,COLUMN()-29)),OFFSET(BY799,0,-MIN(60,COLUMN()-29),1,MIN(60,COLUMN()-29))),0)</f>
        <v>0</v>
      </c>
      <c r="BZ800" s="112" t="n">
        <f aca="true">IFERROR(SUMPRODUCT(OFFSET($BJ$31,0,1-MIN(60,COLUMN()-29),1,MIN(60,COLUMN()-29)),OFFSET(BZ799,0,-MIN(60,COLUMN()-29),1,MIN(60,COLUMN()-29))),0)</f>
        <v>0</v>
      </c>
      <c r="CA800" s="112" t="n">
        <f aca="true">IFERROR(SUMPRODUCT(OFFSET($BJ$31,0,1-MIN(60,COLUMN()-29),1,MIN(60,COLUMN()-29)),OFFSET(CA799,0,-MIN(60,COLUMN()-29),1,MIN(60,COLUMN()-29))),0)</f>
        <v>0</v>
      </c>
      <c r="CB800" s="112" t="n">
        <f aca="true">IFERROR(SUMPRODUCT(OFFSET($BJ$31,0,1-MIN(60,COLUMN()-29),1,MIN(60,COLUMN()-29)),OFFSET(CB799,0,-MIN(60,COLUMN()-29),1,MIN(60,COLUMN()-29))),0)</f>
        <v>0</v>
      </c>
      <c r="CC800" s="112" t="n">
        <f aca="true">IFERROR(SUMPRODUCT(OFFSET($BJ$31,0,1-MIN(60,COLUMN()-29),1,MIN(60,COLUMN()-29)),OFFSET(CC799,0,-MIN(60,COLUMN()-29),1,MIN(60,COLUMN()-29))),0)</f>
        <v>0</v>
      </c>
      <c r="CD800" s="112" t="n">
        <f aca="true">IFERROR(SUMPRODUCT(OFFSET($BJ$31,0,1-MIN(60,COLUMN()-29),1,MIN(60,COLUMN()-29)),OFFSET(CD799,0,-MIN(60,COLUMN()-29),1,MIN(60,COLUMN()-29))),0)</f>
        <v>0</v>
      </c>
      <c r="CE800" s="112" t="n">
        <f aca="true">IFERROR(SUMPRODUCT(OFFSET($BJ$31,0,1-MIN(60,COLUMN()-29),1,MIN(60,COLUMN()-29)),OFFSET(CE799,0,-MIN(60,COLUMN()-29),1,MIN(60,COLUMN()-29))),0)</f>
        <v>0</v>
      </c>
      <c r="CF800" s="112" t="n">
        <f aca="true">IFERROR(SUMPRODUCT(OFFSET($BJ$31,0,1-MIN(60,COLUMN()-29),1,MIN(60,COLUMN()-29)),OFFSET(CF799,0,-MIN(60,COLUMN()-29),1,MIN(60,COLUMN()-29))),0)</f>
        <v>0</v>
      </c>
      <c r="CG800" s="112" t="n">
        <f aca="true">IFERROR(SUMPRODUCT(OFFSET($BJ$31,0,1-MIN(60,COLUMN()-29),1,MIN(60,COLUMN()-29)),OFFSET(CG799,0,-MIN(60,COLUMN()-29),1,MIN(60,COLUMN()-29))),0)</f>
        <v>0</v>
      </c>
      <c r="CH800" s="112" t="n">
        <f aca="true">IFERROR(SUMPRODUCT(OFFSET($BJ$31,0,1-MIN(60,COLUMN()-29),1,MIN(60,COLUMN()-29)),OFFSET(CH799,0,-MIN(60,COLUMN()-29),1,MIN(60,COLUMN()-29))),0)</f>
        <v>0</v>
      </c>
      <c r="CI800" s="112" t="n">
        <f aca="true">IFERROR(SUMPRODUCT(OFFSET($BJ$31,0,1-MIN(60,COLUMN()-29),1,MIN(60,COLUMN()-29)),OFFSET(CI799,0,-MIN(60,COLUMN()-29),1,MIN(60,COLUMN()-29))),0)</f>
        <v>0</v>
      </c>
      <c r="CJ800" s="112" t="n">
        <f aca="true">IFERROR(SUMPRODUCT(OFFSET($BJ$31,0,1-MIN(60,COLUMN()-29),1,MIN(60,COLUMN()-29)),OFFSET(CJ799,0,-MIN(60,COLUMN()-29),1,MIN(60,COLUMN()-29))),0)</f>
        <v>0</v>
      </c>
      <c r="CK800" s="112" t="n">
        <f aca="true">IFERROR(SUMPRODUCT(OFFSET($BJ$31,0,1-MIN(60,COLUMN()-29),1,MIN(60,COLUMN()-29)),OFFSET(CK799,0,-MIN(60,COLUMN()-29),1,MIN(60,COLUMN()-29))),0)</f>
        <v>0</v>
      </c>
      <c r="CL800" s="112" t="n">
        <f aca="true">IFERROR(SUMPRODUCT(OFFSET($BJ$31,0,1-MIN(60,COLUMN()-29),1,MIN(60,COLUMN()-29)),OFFSET(CL799,0,-MIN(60,COLUMN()-29),1,MIN(60,COLUMN()-29))),0)</f>
        <v>0</v>
      </c>
      <c r="CM800" s="112" t="n">
        <f aca="true">IFERROR(SUMPRODUCT(OFFSET($BJ$31,0,1-MIN(60,COLUMN()-29),1,MIN(60,COLUMN()-29)),OFFSET(CM799,0,-MIN(60,COLUMN()-29),1,MIN(60,COLUMN()-29))),0)</f>
        <v>0</v>
      </c>
      <c r="CN800" s="112" t="n">
        <f aca="true">IFERROR(SUMPRODUCT(OFFSET($BJ$31,0,1-MIN(60,COLUMN()-29),1,MIN(60,COLUMN()-29)),OFFSET(CN799,0,-MIN(60,COLUMN()-29),1,MIN(60,COLUMN()-29))),0)</f>
        <v>0</v>
      </c>
      <c r="CO800" s="112" t="n">
        <f aca="true">IFERROR(SUMPRODUCT(OFFSET($BJ$31,0,1-MIN(60,COLUMN()-29),1,MIN(60,COLUMN()-29)),OFFSET(CO799,0,-MIN(60,COLUMN()-29),1,MIN(60,COLUMN()-29))),0)</f>
        <v>0</v>
      </c>
      <c r="CP800" s="112" t="n">
        <f aca="true">IFERROR(SUMPRODUCT(OFFSET($BJ$31,0,1-MIN(60,COLUMN()-29),1,MIN(60,COLUMN()-29)),OFFSET(CP799,0,-MIN(60,COLUMN()-29),1,MIN(60,COLUMN()-29))),0)</f>
        <v>0</v>
      </c>
      <c r="CQ800" s="112" t="n">
        <f aca="true">IFERROR(SUMPRODUCT(OFFSET($BJ$31,0,1-MIN(60,COLUMN()-29),1,MIN(60,COLUMN()-29)),OFFSET(CQ799,0,-MIN(60,COLUMN()-29),1,MIN(60,COLUMN()-29))),0)</f>
        <v>0</v>
      </c>
      <c r="CR800" s="112" t="n">
        <f aca="true">IFERROR(SUMPRODUCT(OFFSET($BJ$31,0,1-MIN(60,COLUMN()-29),1,MIN(60,COLUMN()-29)),OFFSET(CR799,0,-MIN(60,COLUMN()-29),1,MIN(60,COLUMN()-29))),0)</f>
        <v>0</v>
      </c>
      <c r="CS800" s="112" t="n">
        <f aca="true">IFERROR(SUMPRODUCT(OFFSET($BJ$31,0,1-MIN(60,COLUMN()-29),1,MIN(60,COLUMN()-29)),OFFSET(CS799,0,-MIN(60,COLUMN()-29),1,MIN(60,COLUMN()-29))),0)</f>
        <v>0</v>
      </c>
      <c r="CT800" s="112" t="n">
        <f aca="true">IFERROR(SUMPRODUCT(OFFSET($BJ$31,0,1-MIN(60,COLUMN()-29),1,MIN(60,COLUMN()-29)),OFFSET(CT799,0,-MIN(60,COLUMN()-29),1,MIN(60,COLUMN()-29))),0)</f>
        <v>0</v>
      </c>
      <c r="CU800" s="112" t="n">
        <f aca="true">IFERROR(SUMPRODUCT(OFFSET($BJ$31,0,1-MIN(60,COLUMN()-29),1,MIN(60,COLUMN()-29)),OFFSET(CU799,0,-MIN(60,COLUMN()-29),1,MIN(60,COLUMN()-29))),0)</f>
        <v>0</v>
      </c>
      <c r="CV800" s="112" t="n">
        <f aca="true">IFERROR(SUMPRODUCT(OFFSET($BJ$31,0,1-MIN(60,COLUMN()-29),1,MIN(60,COLUMN()-29)),OFFSET(CV799,0,-MIN(60,COLUMN()-29),1,MIN(60,COLUMN()-29))),0)</f>
        <v>0</v>
      </c>
      <c r="CW800" s="112" t="n">
        <f aca="true">IFERROR(SUMPRODUCT(OFFSET($BJ$31,0,1-MIN(60,COLUMN()-29),1,MIN(60,COLUMN()-29)),OFFSET(CW799,0,-MIN(60,COLUMN()-29),1,MIN(60,COLUMN()-29))),0)</f>
        <v>0</v>
      </c>
      <c r="CX800" s="112" t="n">
        <f aca="true">IFERROR(SUMPRODUCT(OFFSET($BJ$31,0,1-MIN(60,COLUMN()-29),1,MIN(60,COLUMN()-29)),OFFSET(CX799,0,-MIN(60,COLUMN()-29),1,MIN(60,COLUMN()-29))),0)</f>
        <v>0</v>
      </c>
      <c r="CY800" s="112" t="n">
        <f aca="true">IFERROR(SUMPRODUCT(OFFSET($BJ$31,0,1-MIN(60,COLUMN()-29),1,MIN(60,COLUMN()-29)),OFFSET(CY799,0,-MIN(60,COLUMN()-29),1,MIN(60,COLUMN()-29))),0)</f>
        <v>0</v>
      </c>
      <c r="CZ800" s="112" t="n">
        <f aca="true">IFERROR(SUMPRODUCT(OFFSET($BJ$31,0,1-MIN(60,COLUMN()-29),1,MIN(60,COLUMN()-29)),OFFSET(CZ799,0,-MIN(60,COLUMN()-29),1,MIN(60,COLUMN()-29))),0)</f>
        <v>0</v>
      </c>
      <c r="DA800" s="112" t="n">
        <f aca="true">IFERROR(SUMPRODUCT(OFFSET($BJ$31,0,1-MIN(60,COLUMN()-29),1,MIN(60,COLUMN()-29)),OFFSET(DA799,0,-MIN(60,COLUMN()-29),1,MIN(60,COLUMN()-29))),0)</f>
        <v>0</v>
      </c>
      <c r="DB800" s="112" t="n">
        <f aca="true">IFERROR(SUMPRODUCT(OFFSET($BJ$31,0,1-MIN(60,COLUMN()-29),1,MIN(60,COLUMN()-29)),OFFSET(DB799,0,-MIN(60,COLUMN()-29),1,MIN(60,COLUMN()-29))),0)</f>
        <v>0</v>
      </c>
      <c r="DC800" s="112" t="n">
        <f aca="true">IFERROR(SUMPRODUCT(OFFSET($BJ$31,0,1-MIN(60,COLUMN()-29),1,MIN(60,COLUMN()-29)),OFFSET(DC799,0,-MIN(60,COLUMN()-29),1,MIN(60,COLUMN()-29))),0)</f>
        <v>0</v>
      </c>
      <c r="DD800" s="112" t="n">
        <f aca="true">IFERROR(SUMPRODUCT(OFFSET($BJ$31,0,1-MIN(60,COLUMN()-29),1,MIN(60,COLUMN()-29)),OFFSET(DD799,0,-MIN(60,COLUMN()-29),1,MIN(60,COLUMN()-29))),0)</f>
        <v>0</v>
      </c>
      <c r="DE800" s="112" t="n">
        <f aca="true">IFERROR(SUMPRODUCT(OFFSET($BJ$31,0,1-MIN(60,COLUMN()-29),1,MIN(60,COLUMN()-29)),OFFSET(DE799,0,-MIN(60,COLUMN()-29),1,MIN(60,COLUMN()-29))),0)</f>
        <v>0</v>
      </c>
      <c r="DF800" s="112" t="n">
        <f aca="true">IFERROR(SUMPRODUCT(OFFSET($BJ$31,0,1-MIN(60,COLUMN()-29),1,MIN(60,COLUMN()-29)),OFFSET(DF799,0,-MIN(60,COLUMN()-29),1,MIN(60,COLUMN()-29))),0)</f>
        <v>0</v>
      </c>
      <c r="DG800" s="112" t="n">
        <f aca="true">IFERROR(SUMPRODUCT(OFFSET($BJ$31,0,1-MIN(60,COLUMN()-29),1,MIN(60,COLUMN()-29)),OFFSET(DG799,0,-MIN(60,COLUMN()-29),1,MIN(60,COLUMN()-29))),0)</f>
        <v>0</v>
      </c>
      <c r="DH800" s="112" t="n">
        <f aca="true">IFERROR(SUMPRODUCT(OFFSET($BJ$31,0,1-MIN(60,COLUMN()-29),1,MIN(60,COLUMN()-29)),OFFSET(DH799,0,-MIN(60,COLUMN()-29),1,MIN(60,COLUMN()-29))),0)</f>
        <v>0</v>
      </c>
      <c r="DI800" s="112" t="n">
        <f aca="true">IFERROR(SUMPRODUCT(OFFSET($BJ$31,0,1-MIN(60,COLUMN()-29),1,MIN(60,COLUMN()-29)),OFFSET(DI799,0,-MIN(60,COLUMN()-29),1,MIN(60,COLUMN()-29))),0)</f>
        <v>0</v>
      </c>
      <c r="DJ800" s="112" t="n">
        <f aca="true">IFERROR(SUMPRODUCT(OFFSET($BJ$31,0,1-MIN(60,COLUMN()-29),1,MIN(60,COLUMN()-29)),OFFSET(DJ799,0,-MIN(60,COLUMN()-29),1,MIN(60,COLUMN()-29))),0)</f>
        <v>0</v>
      </c>
      <c r="DK800" s="112" t="n">
        <f aca="true">IFERROR(SUMPRODUCT(OFFSET($BJ$31,0,1-MIN(60,COLUMN()-29),1,MIN(60,COLUMN()-29)),OFFSET(DK799,0,-MIN(60,COLUMN()-29),1,MIN(60,COLUMN()-29))),0)</f>
        <v>0</v>
      </c>
      <c r="DL800" s="112" t="n">
        <f aca="true">IFERROR(SUMPRODUCT(OFFSET($BJ$31,0,1-MIN(60,COLUMN()-29),1,MIN(60,COLUMN()-29)),OFFSET(DL799,0,-MIN(60,COLUMN()-29),1,MIN(60,COLUMN()-29))),0)</f>
        <v>0</v>
      </c>
      <c r="DM800" s="112" t="n">
        <f aca="true">IFERROR(SUMPRODUCT(OFFSET($BJ$31,0,1-MIN(60,COLUMN()-29),1,MIN(60,COLUMN()-29)),OFFSET(DM799,0,-MIN(60,COLUMN()-29),1,MIN(60,COLUMN()-29))),0)</f>
        <v>0</v>
      </c>
      <c r="DN800" s="112" t="n">
        <f aca="true">IFERROR(SUMPRODUCT(OFFSET($BJ$31,0,1-MIN(60,COLUMN()-29),1,MIN(60,COLUMN()-29)),OFFSET(DN799,0,-MIN(60,COLUMN()-29),1,MIN(60,COLUMN()-29))),0)</f>
        <v>0</v>
      </c>
      <c r="DO800" s="112" t="n">
        <f aca="true">IFERROR(SUMPRODUCT(OFFSET($BJ$31,0,1-MIN(60,COLUMN()-29),1,MIN(60,COLUMN()-29)),OFFSET(DO799,0,-MIN(60,COLUMN()-29),1,MIN(60,COLUMN()-29))),0)</f>
        <v>0</v>
      </c>
      <c r="DP800" s="112" t="n">
        <f aca="true">IFERROR(SUMPRODUCT(OFFSET($BJ$31,0,1-MIN(60,COLUMN()-29),1,MIN(60,COLUMN()-29)),OFFSET(DP799,0,-MIN(60,COLUMN()-29),1,MIN(60,COLUMN()-29))),0)</f>
        <v>0</v>
      </c>
      <c r="DQ800" s="112" t="n">
        <f aca="true">IFERROR(SUMPRODUCT(OFFSET($BJ$31,0,1-MIN(60,COLUMN()-29),1,MIN(60,COLUMN()-29)),OFFSET(DQ799,0,-MIN(60,COLUMN()-29),1,MIN(60,COLUMN()-29))),0)</f>
        <v>0</v>
      </c>
      <c r="DR800" s="112" t="n">
        <f aca="true">IFERROR(SUMPRODUCT(OFFSET($BJ$31,0,1-MIN(60,COLUMN()-29),1,MIN(60,COLUMN()-29)),OFFSET(DR799,0,-MIN(60,COLUMN()-29),1,MIN(60,COLUMN()-29))),0)</f>
        <v>0</v>
      </c>
      <c r="DS800" s="112" t="n">
        <f aca="true">IFERROR(SUMPRODUCT(OFFSET($BJ$31,0,1-MIN(60,COLUMN()-29),1,MIN(60,COLUMN()-29)),OFFSET(DS799,0,-MIN(60,COLUMN()-29),1,MIN(60,COLUMN()-29))),0)</f>
        <v>0</v>
      </c>
      <c r="DT800" s="112" t="n">
        <f aca="true">IFERROR(SUMPRODUCT(OFFSET($BJ$31,0,1-MIN(60,COLUMN()-29),1,MIN(60,COLUMN()-29)),OFFSET(DT799,0,-MIN(60,COLUMN()-29),1,MIN(60,COLUMN()-29))),0)</f>
        <v>0</v>
      </c>
      <c r="DU800" s="112" t="n">
        <f aca="true">IFERROR(SUMPRODUCT(OFFSET($BJ$31,0,1-MIN(60,COLUMN()-29),1,MIN(60,COLUMN()-29)),OFFSET(DU799,0,-MIN(60,COLUMN()-29),1,MIN(60,COLUMN()-29))),0)</f>
        <v>0</v>
      </c>
      <c r="DV800" s="112" t="n">
        <f aca="true">IFERROR(SUMPRODUCT(OFFSET($BJ$31,0,1-MIN(60,COLUMN()-29),1,MIN(60,COLUMN()-29)),OFFSET(DV799,0,-MIN(60,COLUMN()-29),1,MIN(60,COLUMN()-29))),0)</f>
        <v>0</v>
      </c>
      <c r="DW800" s="112" t="n">
        <f aca="true">IFERROR(SUMPRODUCT(OFFSET($BJ$31,0,1-MIN(60,COLUMN()-29),1,MIN(60,COLUMN()-29)),OFFSET(DW799,0,-MIN(60,COLUMN()-29),1,MIN(60,COLUMN()-29))),0)</f>
        <v>0</v>
      </c>
      <c r="DX800" s="112" t="n">
        <f aca="true">IFERROR(SUMPRODUCT(OFFSET($BJ$31,0,1-MIN(60,COLUMN()-29),1,MIN(60,COLUMN()-29)),OFFSET(DX799,0,-MIN(60,COLUMN()-29),1,MIN(60,COLUMN()-29))),0)</f>
        <v>0</v>
      </c>
      <c r="DY800" s="112" t="n">
        <f aca="true">IFERROR(SUMPRODUCT(OFFSET($BJ$31,0,1-MIN(60,COLUMN()-29),1,MIN(60,COLUMN()-29)),OFFSET(DY799,0,-MIN(60,COLUMN()-29),1,MIN(60,COLUMN()-29))),0)</f>
        <v>0</v>
      </c>
      <c r="DZ800" s="112" t="n">
        <f aca="true">IFERROR(SUMPRODUCT(OFFSET($BJ$31,0,1-MIN(60,COLUMN()-29),1,MIN(60,COLUMN()-29)),OFFSET(DZ799,0,-MIN(60,COLUMN()-29),1,MIN(60,COLUMN()-29))),0)</f>
        <v>0</v>
      </c>
      <c r="EA800" s="112" t="n">
        <f aca="true">IFERROR(SUMPRODUCT(OFFSET($BJ$31,0,1-MIN(60,COLUMN()-29),1,MIN(60,COLUMN()-29)),OFFSET(EA799,0,-MIN(60,COLUMN()-29),1,MIN(60,COLUMN()-29))),0)</f>
        <v>0</v>
      </c>
      <c r="EB800" s="112" t="n">
        <f aca="true">IFERROR(SUMPRODUCT(OFFSET($BJ$31,0,1-MIN(60,COLUMN()-29),1,MIN(60,COLUMN()-29)),OFFSET(EB799,0,-MIN(60,COLUMN()-29),1,MIN(60,COLUMN()-29))),0)</f>
        <v>0</v>
      </c>
      <c r="EC800" s="112" t="n">
        <f aca="true">IFERROR(SUMPRODUCT(OFFSET($BJ$31,0,1-MIN(60,COLUMN()-29),1,MIN(60,COLUMN()-29)),OFFSET(EC799,0,-MIN(60,COLUMN()-29),1,MIN(60,COLUMN()-29))),0)</f>
        <v>0</v>
      </c>
      <c r="ED800" s="112" t="n">
        <f aca="true">IFERROR(SUMPRODUCT(OFFSET($BJ$31,0,1-MIN(60,COLUMN()-29),1,MIN(60,COLUMN()-29)),OFFSET(ED799,0,-MIN(60,COLUMN()-29),1,MIN(60,COLUMN()-29))),0)</f>
        <v>0</v>
      </c>
      <c r="EE800" s="112" t="n">
        <f aca="true">IFERROR(SUMPRODUCT(OFFSET($BJ$31,0,1-MIN(60,COLUMN()-29),1,MIN(60,COLUMN()-29)),OFFSET(EE799,0,-MIN(60,COLUMN()-29),1,MIN(60,COLUMN()-29))),0)</f>
        <v>0</v>
      </c>
      <c r="EF800" s="112" t="n">
        <f aca="true">IFERROR(SUMPRODUCT(OFFSET($BJ$31,0,1-MIN(60,COLUMN()-29),1,MIN(60,COLUMN()-29)),OFFSET(EF799,0,-MIN(60,COLUMN()-29),1,MIN(60,COLUMN()-29))),0)</f>
        <v>0</v>
      </c>
      <c r="EG800" s="112" t="n">
        <f aca="true">IFERROR(SUMPRODUCT(OFFSET($BJ$31,0,1-MIN(60,COLUMN()-29),1,MIN(60,COLUMN()-29)),OFFSET(EG799,0,-MIN(60,COLUMN()-29),1,MIN(60,COLUMN()-29))),0)</f>
        <v>0</v>
      </c>
      <c r="EH800" s="112" t="n">
        <f aca="true">IFERROR(SUMPRODUCT(OFFSET($BJ$31,0,1-MIN(60,COLUMN()-29),1,MIN(60,COLUMN()-29)),OFFSET(EH799,0,-MIN(60,COLUMN()-29),1,MIN(60,COLUMN()-29))),0)</f>
        <v>0</v>
      </c>
      <c r="EI800" s="112" t="n">
        <f aca="true">IFERROR(SUMPRODUCT(OFFSET($BJ$31,0,1-MIN(60,COLUMN()-29),1,MIN(60,COLUMN()-29)),OFFSET(EI799,0,-MIN(60,COLUMN()-29),1,MIN(60,COLUMN()-29))),0)</f>
        <v>0</v>
      </c>
      <c r="EJ800" s="112" t="n">
        <f aca="true">IFERROR(SUMPRODUCT(OFFSET($BJ$31,0,1-MIN(60,COLUMN()-29),1,MIN(60,COLUMN()-29)),OFFSET(EJ799,0,-MIN(60,COLUMN()-29),1,MIN(60,COLUMN()-29))),0)</f>
        <v>0</v>
      </c>
      <c r="EK800" s="112" t="n">
        <f aca="true">IFERROR(SUMPRODUCT(OFFSET($BJ$31,0,1-MIN(60,COLUMN()-29),1,MIN(60,COLUMN()-29)),OFFSET(EK799,0,-MIN(60,COLUMN()-29),1,MIN(60,COLUMN()-29))),0)</f>
        <v>0</v>
      </c>
      <c r="EL800" s="112" t="n">
        <f aca="true">IFERROR(SUMPRODUCT(OFFSET($BJ$31,0,1-MIN(60,COLUMN()-29),1,MIN(60,COLUMN()-29)),OFFSET(EL799,0,-MIN(60,COLUMN()-29),1,MIN(60,COLUMN()-29))),0)</f>
        <v>0</v>
      </c>
      <c r="EM800" s="112" t="n">
        <f aca="true">IFERROR(SUMPRODUCT(OFFSET($BJ$31,0,1-MIN(60,COLUMN()-29),1,MIN(60,COLUMN()-29)),OFFSET(EM799,0,-MIN(60,COLUMN()-29),1,MIN(60,COLUMN()-29))),0)</f>
        <v>0</v>
      </c>
      <c r="EN800" s="112" t="n">
        <f aca="true">IFERROR(SUMPRODUCT(OFFSET($BJ$31,0,1-MIN(60,COLUMN()-29),1,MIN(60,COLUMN()-29)),OFFSET(EN799,0,-MIN(60,COLUMN()-29),1,MIN(60,COLUMN()-29))),0)</f>
        <v>0</v>
      </c>
      <c r="EO800" s="112" t="n">
        <f aca="true">IFERROR(SUMPRODUCT(OFFSET($BJ$31,0,1-MIN(60,COLUMN()-29),1,MIN(60,COLUMN()-29)),OFFSET(EO799,0,-MIN(60,COLUMN()-29),1,MIN(60,COLUMN()-29))),0)</f>
        <v>0</v>
      </c>
      <c r="EP800" s="112" t="n">
        <f aca="true">IFERROR(SUMPRODUCT(OFFSET($BJ$31,0,1-MIN(60,COLUMN()-29),1,MIN(60,COLUMN()-29)),OFFSET(EP799,0,-MIN(60,COLUMN()-29),1,MIN(60,COLUMN()-29))),0)</f>
        <v>0</v>
      </c>
      <c r="EQ800" s="112" t="n">
        <f aca="true">IFERROR(SUMPRODUCT(OFFSET($BJ$31,0,1-MIN(60,COLUMN()-29),1,MIN(60,COLUMN()-29)),OFFSET(EQ799,0,-MIN(60,COLUMN()-29),1,MIN(60,COLUMN()-29))),0)</f>
        <v>0</v>
      </c>
      <c r="ER800" s="112" t="n">
        <f aca="true">IFERROR(SUMPRODUCT(OFFSET($BJ$31,0,1-MIN(60,COLUMN()-29),1,MIN(60,COLUMN()-29)),OFFSET(ER799,0,-MIN(60,COLUMN()-29),1,MIN(60,COLUMN()-29))),0)</f>
        <v>0</v>
      </c>
      <c r="ES800" s="9" t="n">
        <f aca="true">IFERROR(SUMPRODUCT(OFFSET($BJ$31,0,1-MIN(60,COLUMN()-29),1,MIN(60,COLUMN()-29)),OFFSET(ES799,0,-MIN(60,COLUMN()-29),1,MIN(60,COLUMN()-29))),0)</f>
        <v>0</v>
      </c>
      <c r="ET800" s="9" t="n">
        <f aca="true">IFERROR(SUMPRODUCT(OFFSET($BJ$31,0,1-MIN(60,COLUMN()-29),1,MIN(60,COLUMN()-29)),OFFSET(ET799,0,-MIN(60,COLUMN()-29),1,MIN(60,COLUMN()-29))),0)</f>
        <v>0</v>
      </c>
      <c r="EU800" s="9" t="n">
        <f aca="true">IFERROR(SUMPRODUCT(OFFSET($BJ$31,0,1-MIN(60,COLUMN()-29),1,MIN(60,COLUMN()-29)),OFFSET(EU799,0,-MIN(60,COLUMN()-29),1,MIN(60,COLUMN()-29))),0)</f>
        <v>0</v>
      </c>
      <c r="EV800" s="9" t="n">
        <f aca="true">IFERROR(SUMPRODUCT(OFFSET($BJ$31,0,1-MIN(60,COLUMN()-29),1,MIN(60,COLUMN()-29)),OFFSET(EV799,0,-MIN(60,COLUMN()-29),1,MIN(60,COLUMN()-29))),0)</f>
        <v>0</v>
      </c>
      <c r="EW800" s="9" t="n">
        <f aca="true">IFERROR(SUMPRODUCT(OFFSET($BJ$31,0,1-MIN(60,COLUMN()-29),1,MIN(60,COLUMN()-29)),OFFSET(EW799,0,-MIN(60,COLUMN()-29),1,MIN(60,COLUMN()-29))),0)</f>
        <v>0</v>
      </c>
      <c r="EX800" s="9" t="n">
        <f aca="true">IFERROR(SUMPRODUCT(OFFSET($BJ$31,0,1-MIN(60,COLUMN()-29),1,MIN(60,COLUMN()-29)),OFFSET(EX799,0,-MIN(60,COLUMN()-29),1,MIN(60,COLUMN()-29))),0)</f>
        <v>0</v>
      </c>
      <c r="EY800" s="9" t="n">
        <f aca="true">IFERROR(SUMPRODUCT(OFFSET($BJ$31,0,1-MIN(60,COLUMN()-29),1,MIN(60,COLUMN()-29)),OFFSET(EY799,0,-MIN(60,COLUMN()-29),1,MIN(60,COLUMN()-29))),0)</f>
        <v>0</v>
      </c>
      <c r="EZ800" s="9" t="n">
        <f aca="true">IFERROR(SUMPRODUCT(OFFSET($BJ$31,0,1-MIN(60,COLUMN()-29),1,MIN(60,COLUMN()-29)),OFFSET(EZ799,0,-MIN(60,COLUMN()-29),1,MIN(60,COLUMN()-29))),0)</f>
        <v>0</v>
      </c>
      <c r="FA800" s="9" t="n">
        <f aca="true">IFERROR(SUMPRODUCT(OFFSET($BJ$31,0,1-MIN(60,COLUMN()-29),1,MIN(60,COLUMN()-29)),OFFSET(FA799,0,-MIN(60,COLUMN()-29),1,MIN(60,COLUMN()-29))),0)</f>
        <v>0</v>
      </c>
      <c r="FB800" s="9" t="n">
        <f aca="true">IFERROR(SUMPRODUCT(OFFSET($BJ$31,0,1-MIN(60,COLUMN()-29),1,MIN(60,COLUMN()-29)),OFFSET(FB799,0,-MIN(60,COLUMN()-29),1,MIN(60,COLUMN()-29))),0)</f>
        <v>0</v>
      </c>
      <c r="FC800" s="9" t="n">
        <f aca="true">IFERROR(SUMPRODUCT(OFFSET($BJ$31,0,1-MIN(60,COLUMN()-29),1,MIN(60,COLUMN()-29)),OFFSET(FC799,0,-MIN(60,COLUMN()-29),1,MIN(60,COLUMN()-29))),0)</f>
        <v>0</v>
      </c>
      <c r="FD800" s="9" t="n">
        <f aca="true">IFERROR(SUMPRODUCT(OFFSET($BJ$31,0,1-MIN(60,COLUMN()-29),1,MIN(60,COLUMN()-29)),OFFSET(FD799,0,-MIN(60,COLUMN()-29),1,MIN(60,COLUMN()-29))),0)</f>
        <v>0</v>
      </c>
      <c r="FE800" s="9" t="n">
        <f aca="true">IFERROR(SUMPRODUCT(OFFSET($BJ$31,0,1-MIN(60,COLUMN()-29),1,MIN(60,COLUMN()-29)),OFFSET(FE799,0,-MIN(60,COLUMN()-29),1,MIN(60,COLUMN()-29))),0)</f>
        <v>2.87232</v>
      </c>
      <c r="FF800" s="9" t="n">
        <f aca="true">IFERROR(SUMPRODUCT(OFFSET($BJ$31,0,1-MIN(60,COLUMN()-29),1,MIN(60,COLUMN()-29)),OFFSET(FF799,0,-MIN(60,COLUMN()-29),1,MIN(60,COLUMN()-29))),0)</f>
        <v>3.740352</v>
      </c>
      <c r="FG800" s="9" t="n">
        <f aca="true">IFERROR(SUMPRODUCT(OFFSET($BJ$31,0,1-MIN(60,COLUMN()-29),1,MIN(60,COLUMN()-29)),OFFSET(FG799,0,-MIN(60,COLUMN()-29),1,MIN(60,COLUMN()-29))),0)</f>
        <v>3.7335936</v>
      </c>
      <c r="FH800" s="9" t="n">
        <f aca="true">IFERROR(SUMPRODUCT(OFFSET($BJ$31,0,1-MIN(60,COLUMN()-29),1,MIN(60,COLUMN()-29)),OFFSET(FH799,0,-MIN(60,COLUMN()-29),1,MIN(60,COLUMN()-29))),0)</f>
        <v>5.6635392</v>
      </c>
      <c r="FI800" s="9" t="n">
        <f aca="true">IFERROR(SUMPRODUCT(OFFSET($BJ$31,0,1-MIN(60,COLUMN()-29),1,MIN(60,COLUMN()-29)),OFFSET(FI799,0,-MIN(60,COLUMN()-29),1,MIN(60,COLUMN()-29))),0)</f>
        <v>5.8229952</v>
      </c>
      <c r="FJ800" s="9" t="n">
        <f aca="true">IFERROR(SUMPRODUCT(OFFSET($BJ$31,0,1-MIN(60,COLUMN()-29),1,MIN(60,COLUMN()-29)),OFFSET(FJ799,0,-MIN(60,COLUMN()-29),1,MIN(60,COLUMN()-29))),0)</f>
        <v>5.9980448</v>
      </c>
      <c r="FK800" s="9" t="n">
        <f aca="true">IFERROR(SUMPRODUCT(OFFSET($BJ$31,0,1-MIN(60,COLUMN()-29),1,MIN(60,COLUMN()-29)),OFFSET(FK799,0,-MIN(60,COLUMN()-29),1,MIN(60,COLUMN()-29))),0)</f>
        <v>6.3596544</v>
      </c>
      <c r="FL800" s="9" t="n">
        <f aca="true">IFERROR(SUMPRODUCT(OFFSET($BJ$31,0,1-MIN(60,COLUMN()-29),1,MIN(60,COLUMN()-29)),OFFSET(FL799,0,-MIN(60,COLUMN()-29),1,MIN(60,COLUMN()-29))),0)</f>
        <v>7.2361344</v>
      </c>
      <c r="FM800" s="9" t="n">
        <f aca="true">IFERROR(SUMPRODUCT(OFFSET($BJ$31,0,1-MIN(60,COLUMN()-29),1,MIN(60,COLUMN()-29)),OFFSET(FM799,0,-MIN(60,COLUMN()-29),1,MIN(60,COLUMN()-29))),0)</f>
        <v>11.6891456</v>
      </c>
      <c r="FN800" s="9" t="n">
        <f aca="true">IFERROR(SUMPRODUCT(OFFSET($BJ$31,0,1-MIN(60,COLUMN()-29),1,MIN(60,COLUMN()-29)),OFFSET(FN799,0,-MIN(60,COLUMN()-29),1,MIN(60,COLUMN()-29))),0)</f>
        <v>11.3564704</v>
      </c>
      <c r="FO800" s="9" t="n">
        <f aca="true">IFERROR(SUMPRODUCT(OFFSET($BJ$31,0,1-MIN(60,COLUMN()-29),1,MIN(60,COLUMN()-29)),OFFSET(FO799,0,-MIN(60,COLUMN()-29),1,MIN(60,COLUMN()-29))),0)</f>
        <v>11.350944</v>
      </c>
      <c r="FP800" s="9" t="n">
        <f aca="true">IFERROR(SUMPRODUCT(OFFSET($BJ$31,0,1-MIN(60,COLUMN()-29),1,MIN(60,COLUMN()-29)),OFFSET(FP799,0,-MIN(60,COLUMN()-29),1,MIN(60,COLUMN()-29))),0)</f>
        <v>10.8593056</v>
      </c>
    </row>
    <row r="801" customFormat="false" ht="15" hidden="false" customHeight="false" outlineLevel="2" collapsed="false">
      <c r="B801" s="90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237"/>
      <c r="AD801" s="237"/>
      <c r="AE801" s="237"/>
      <c r="AF801" s="237"/>
      <c r="AG801" s="237"/>
      <c r="AH801" s="237"/>
      <c r="AI801" s="237"/>
      <c r="AJ801" s="237"/>
      <c r="AK801" s="237"/>
      <c r="AL801" s="237"/>
      <c r="AM801" s="237"/>
      <c r="AN801" s="237"/>
      <c r="AO801" s="237"/>
      <c r="AP801" s="237"/>
      <c r="AQ801" s="237"/>
      <c r="AR801" s="237"/>
      <c r="AS801" s="237"/>
      <c r="AT801" s="237"/>
      <c r="AU801" s="237"/>
      <c r="AV801" s="237"/>
      <c r="AW801" s="237"/>
      <c r="AX801" s="237"/>
      <c r="AY801" s="237"/>
      <c r="AZ801" s="237"/>
      <c r="BA801" s="237"/>
      <c r="BB801" s="237"/>
      <c r="BC801" s="237"/>
      <c r="BD801" s="237"/>
      <c r="BE801" s="237"/>
      <c r="BF801" s="237"/>
      <c r="BG801" s="237"/>
      <c r="BH801" s="237"/>
      <c r="BI801" s="237"/>
      <c r="BJ801" s="237"/>
      <c r="BK801" s="237"/>
      <c r="BL801" s="237"/>
      <c r="BM801" s="237"/>
      <c r="BN801" s="237"/>
      <c r="BO801" s="237"/>
      <c r="BP801" s="237"/>
      <c r="BQ801" s="237"/>
      <c r="BR801" s="237"/>
      <c r="BS801" s="237"/>
      <c r="BT801" s="237"/>
      <c r="BU801" s="237"/>
      <c r="BV801" s="237"/>
      <c r="BW801" s="237"/>
      <c r="BX801" s="237"/>
      <c r="BY801" s="237"/>
      <c r="BZ801" s="237"/>
      <c r="CA801" s="237"/>
      <c r="CB801" s="237"/>
      <c r="CC801" s="237"/>
      <c r="CD801" s="237"/>
      <c r="CE801" s="237"/>
      <c r="CF801" s="237"/>
      <c r="CG801" s="237"/>
      <c r="CH801" s="237"/>
      <c r="CI801" s="237"/>
      <c r="CJ801" s="237"/>
      <c r="CK801" s="237"/>
      <c r="CL801" s="237"/>
      <c r="CM801" s="237"/>
      <c r="CN801" s="237"/>
      <c r="CO801" s="237"/>
      <c r="CP801" s="237"/>
      <c r="CQ801" s="237"/>
      <c r="CR801" s="237"/>
      <c r="CS801" s="237"/>
      <c r="CT801" s="237"/>
      <c r="CU801" s="237"/>
      <c r="CV801" s="237"/>
      <c r="CW801" s="237"/>
      <c r="CX801" s="237"/>
      <c r="CY801" s="237"/>
      <c r="CZ801" s="237"/>
      <c r="DA801" s="237"/>
      <c r="DB801" s="237"/>
      <c r="DC801" s="237"/>
      <c r="DD801" s="237"/>
      <c r="DE801" s="237"/>
      <c r="DF801" s="237"/>
      <c r="DG801" s="237"/>
      <c r="DH801" s="237"/>
      <c r="DI801" s="237"/>
      <c r="DJ801" s="237"/>
      <c r="DK801" s="237"/>
      <c r="DL801" s="237"/>
      <c r="DM801" s="237"/>
      <c r="DN801" s="237"/>
      <c r="DO801" s="237"/>
      <c r="DP801" s="237"/>
      <c r="DQ801" s="237"/>
      <c r="DR801" s="237"/>
      <c r="DS801" s="237"/>
      <c r="DT801" s="237"/>
      <c r="DU801" s="237"/>
      <c r="DV801" s="237"/>
      <c r="DW801" s="237"/>
      <c r="DX801" s="237"/>
      <c r="DY801" s="237"/>
      <c r="DZ801" s="237"/>
      <c r="EA801" s="237"/>
      <c r="EB801" s="237"/>
      <c r="EC801" s="237"/>
      <c r="ED801" s="237"/>
      <c r="EE801" s="237"/>
      <c r="EF801" s="237"/>
      <c r="EG801" s="237"/>
      <c r="EH801" s="237"/>
      <c r="EI801" s="237"/>
      <c r="EJ801" s="237"/>
      <c r="EK801" s="237"/>
      <c r="EL801" s="237"/>
      <c r="EM801" s="237"/>
      <c r="EN801" s="237"/>
      <c r="EO801" s="237"/>
      <c r="EP801" s="237"/>
      <c r="EQ801" s="237"/>
      <c r="ER801" s="237"/>
      <c r="ES801" s="9"/>
      <c r="ET801" s="9"/>
      <c r="EU801" s="9"/>
      <c r="EV801" s="9"/>
      <c r="EW801" s="9"/>
      <c r="EX801" s="9"/>
      <c r="EY801" s="9"/>
      <c r="EZ801" s="9"/>
      <c r="FA801" s="9"/>
      <c r="FB801" s="9"/>
      <c r="FC801" s="9"/>
      <c r="FD801" s="9"/>
      <c r="FE801" s="9"/>
      <c r="FF801" s="9"/>
      <c r="FG801" s="9"/>
      <c r="FH801" s="9"/>
      <c r="FI801" s="9"/>
      <c r="FJ801" s="9"/>
      <c r="FK801" s="9"/>
      <c r="FL801" s="9"/>
      <c r="FM801" s="9"/>
      <c r="FN801" s="9"/>
      <c r="FO801" s="9"/>
      <c r="FP801" s="9"/>
    </row>
    <row r="802" customFormat="false" ht="15" hidden="false" customHeight="false" outlineLevel="2" collapsed="false">
      <c r="B802" s="240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237"/>
      <c r="AD802" s="237"/>
      <c r="AE802" s="237"/>
      <c r="AF802" s="237"/>
      <c r="AG802" s="237"/>
      <c r="AH802" s="237"/>
      <c r="AI802" s="237"/>
      <c r="AJ802" s="237"/>
      <c r="AK802" s="237"/>
      <c r="AL802" s="237"/>
      <c r="AM802" s="237"/>
      <c r="AN802" s="237"/>
      <c r="AO802" s="237"/>
      <c r="AP802" s="237"/>
      <c r="AQ802" s="237"/>
      <c r="AR802" s="237"/>
      <c r="AS802" s="237"/>
      <c r="AT802" s="237"/>
      <c r="AU802" s="237"/>
      <c r="AV802" s="237"/>
      <c r="AW802" s="237"/>
      <c r="AX802" s="237"/>
      <c r="AY802" s="237"/>
      <c r="AZ802" s="237"/>
      <c r="BA802" s="237"/>
      <c r="BB802" s="237"/>
      <c r="BC802" s="237"/>
      <c r="BD802" s="237"/>
      <c r="BE802" s="237"/>
      <c r="BF802" s="237"/>
      <c r="BG802" s="237"/>
      <c r="BH802" s="237"/>
      <c r="BI802" s="237"/>
      <c r="BJ802" s="237"/>
      <c r="BK802" s="237"/>
      <c r="BL802" s="237"/>
      <c r="BM802" s="237"/>
      <c r="BN802" s="237"/>
      <c r="BO802" s="237"/>
      <c r="BP802" s="237"/>
      <c r="BQ802" s="237"/>
      <c r="BR802" s="237"/>
      <c r="BS802" s="237"/>
      <c r="BT802" s="237"/>
      <c r="BU802" s="237"/>
      <c r="BV802" s="237"/>
      <c r="BW802" s="237"/>
      <c r="BX802" s="237"/>
      <c r="BY802" s="237"/>
      <c r="BZ802" s="237"/>
      <c r="CA802" s="237"/>
      <c r="CB802" s="237"/>
      <c r="CC802" s="237"/>
      <c r="CD802" s="237"/>
      <c r="CE802" s="237"/>
      <c r="CF802" s="237"/>
      <c r="CG802" s="237"/>
      <c r="CH802" s="237"/>
      <c r="CI802" s="237"/>
      <c r="CJ802" s="237"/>
      <c r="CK802" s="237"/>
      <c r="CL802" s="237"/>
      <c r="CM802" s="237"/>
      <c r="CN802" s="237"/>
      <c r="CO802" s="237"/>
      <c r="CP802" s="237"/>
      <c r="CQ802" s="237"/>
      <c r="CR802" s="237"/>
      <c r="CS802" s="237"/>
      <c r="CT802" s="237"/>
      <c r="CU802" s="237"/>
      <c r="CV802" s="237"/>
      <c r="CW802" s="237"/>
      <c r="CX802" s="237"/>
      <c r="CY802" s="237"/>
      <c r="CZ802" s="237"/>
      <c r="DA802" s="237"/>
      <c r="DB802" s="237"/>
      <c r="DC802" s="237"/>
      <c r="DD802" s="237"/>
      <c r="DE802" s="237"/>
      <c r="DF802" s="237"/>
      <c r="DG802" s="237"/>
      <c r="DH802" s="237"/>
      <c r="DI802" s="237"/>
      <c r="DJ802" s="237"/>
      <c r="DK802" s="237"/>
      <c r="DL802" s="237"/>
      <c r="DM802" s="237"/>
      <c r="DN802" s="237"/>
      <c r="DO802" s="237"/>
      <c r="DP802" s="237"/>
      <c r="DQ802" s="237"/>
      <c r="DR802" s="237"/>
      <c r="DS802" s="237"/>
      <c r="DT802" s="237"/>
      <c r="DU802" s="237"/>
      <c r="DV802" s="237"/>
      <c r="DW802" s="237"/>
      <c r="DX802" s="237"/>
      <c r="DY802" s="237"/>
      <c r="DZ802" s="237"/>
      <c r="EA802" s="237"/>
      <c r="EB802" s="237"/>
      <c r="EC802" s="237"/>
      <c r="ED802" s="237"/>
      <c r="EE802" s="237"/>
      <c r="EF802" s="237"/>
      <c r="EG802" s="237"/>
      <c r="EH802" s="237"/>
      <c r="EI802" s="237"/>
      <c r="EJ802" s="237"/>
      <c r="EK802" s="237"/>
      <c r="EL802" s="237"/>
      <c r="EM802" s="237"/>
      <c r="EN802" s="237"/>
      <c r="EO802" s="237"/>
      <c r="EP802" s="237"/>
      <c r="EQ802" s="237"/>
      <c r="ER802" s="237"/>
      <c r="ES802" s="9"/>
      <c r="ET802" s="9"/>
      <c r="EU802" s="9"/>
      <c r="EV802" s="9"/>
      <c r="EW802" s="9"/>
      <c r="EX802" s="9"/>
      <c r="EY802" s="9"/>
      <c r="EZ802" s="9"/>
      <c r="FA802" s="9"/>
      <c r="FB802" s="9"/>
      <c r="FC802" s="9"/>
      <c r="FD802" s="9"/>
      <c r="FE802" s="9"/>
      <c r="FF802" s="9"/>
      <c r="FG802" s="9"/>
      <c r="FH802" s="9"/>
      <c r="FI802" s="9"/>
      <c r="FJ802" s="9"/>
      <c r="FK802" s="9"/>
      <c r="FL802" s="9"/>
      <c r="FM802" s="9"/>
      <c r="FN802" s="9"/>
      <c r="FO802" s="9"/>
      <c r="FP802" s="9"/>
    </row>
    <row r="803" customFormat="false" ht="15" hidden="false" customHeight="false" outlineLevel="2" collapsed="false">
      <c r="B803" s="21" t="s">
        <v>953</v>
      </c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  <c r="AP803" s="21"/>
      <c r="AQ803" s="21"/>
      <c r="AR803" s="21"/>
      <c r="AS803" s="21"/>
      <c r="AT803" s="21"/>
      <c r="AU803" s="21"/>
      <c r="AV803" s="21"/>
      <c r="AW803" s="21"/>
      <c r="AX803" s="21"/>
      <c r="AY803" s="21"/>
      <c r="AZ803" s="21"/>
      <c r="BA803" s="21"/>
      <c r="BB803" s="21"/>
      <c r="BC803" s="21"/>
      <c r="BD803" s="21"/>
      <c r="BE803" s="21"/>
      <c r="BF803" s="21"/>
      <c r="BG803" s="21"/>
      <c r="BH803" s="21"/>
      <c r="BI803" s="21"/>
      <c r="BJ803" s="21"/>
      <c r="BK803" s="21"/>
      <c r="BL803" s="21"/>
      <c r="BM803" s="21"/>
      <c r="BN803" s="21"/>
      <c r="BO803" s="21"/>
      <c r="BP803" s="21"/>
      <c r="BQ803" s="21"/>
      <c r="BR803" s="21"/>
      <c r="BS803" s="21"/>
      <c r="BT803" s="21"/>
      <c r="BU803" s="21"/>
      <c r="BV803" s="21"/>
      <c r="BW803" s="21"/>
      <c r="BX803" s="21"/>
      <c r="BY803" s="21"/>
      <c r="BZ803" s="21"/>
      <c r="CA803" s="21"/>
      <c r="CB803" s="21"/>
      <c r="CC803" s="21"/>
      <c r="CD803" s="21"/>
      <c r="CE803" s="21"/>
      <c r="CF803" s="21"/>
      <c r="CG803" s="21"/>
      <c r="CH803" s="21"/>
      <c r="CI803" s="21"/>
      <c r="CJ803" s="21"/>
      <c r="CK803" s="21"/>
      <c r="CL803" s="21"/>
      <c r="CM803" s="21"/>
      <c r="CN803" s="21"/>
      <c r="CO803" s="21"/>
      <c r="CP803" s="21"/>
      <c r="CQ803" s="21"/>
      <c r="CR803" s="21"/>
      <c r="CS803" s="21"/>
      <c r="CT803" s="21"/>
      <c r="CU803" s="21"/>
      <c r="CV803" s="21"/>
      <c r="CW803" s="21"/>
      <c r="CX803" s="21"/>
      <c r="CY803" s="21"/>
      <c r="CZ803" s="21"/>
      <c r="DA803" s="21"/>
      <c r="DB803" s="21"/>
      <c r="DC803" s="21"/>
      <c r="DD803" s="21"/>
      <c r="DE803" s="21"/>
      <c r="DF803" s="21"/>
      <c r="DG803" s="21"/>
      <c r="DH803" s="21"/>
      <c r="DI803" s="21"/>
      <c r="DJ803" s="21"/>
      <c r="DK803" s="21"/>
      <c r="DL803" s="21"/>
      <c r="DM803" s="21"/>
      <c r="DN803" s="21"/>
      <c r="DO803" s="21"/>
      <c r="DP803" s="21"/>
      <c r="DQ803" s="21"/>
      <c r="DR803" s="21"/>
      <c r="DS803" s="21"/>
      <c r="DT803" s="21"/>
      <c r="DU803" s="21"/>
      <c r="DV803" s="21"/>
      <c r="DW803" s="21"/>
      <c r="DX803" s="21"/>
      <c r="DY803" s="21"/>
      <c r="DZ803" s="21"/>
      <c r="EA803" s="21"/>
      <c r="EB803" s="21"/>
      <c r="EC803" s="21"/>
      <c r="ED803" s="21"/>
      <c r="EE803" s="21"/>
      <c r="EF803" s="21"/>
      <c r="EG803" s="21"/>
      <c r="EH803" s="21"/>
      <c r="EI803" s="21"/>
      <c r="EJ803" s="21"/>
      <c r="EK803" s="21"/>
      <c r="EL803" s="21"/>
      <c r="EM803" s="21"/>
      <c r="EN803" s="21"/>
      <c r="EO803" s="21"/>
      <c r="EP803" s="21"/>
      <c r="EQ803" s="21"/>
      <c r="ER803" s="21"/>
      <c r="ES803" s="9"/>
      <c r="ET803" s="9"/>
      <c r="EU803" s="9"/>
      <c r="EV803" s="9"/>
      <c r="EW803" s="9"/>
      <c r="EX803" s="9"/>
      <c r="EY803" s="9"/>
      <c r="EZ803" s="9"/>
      <c r="FA803" s="9"/>
      <c r="FB803" s="9"/>
      <c r="FC803" s="9"/>
      <c r="FD803" s="9"/>
      <c r="FE803" s="9"/>
      <c r="FF803" s="9"/>
      <c r="FG803" s="9"/>
      <c r="FH803" s="9"/>
      <c r="FI803" s="9"/>
      <c r="FJ803" s="9"/>
      <c r="FK803" s="9"/>
      <c r="FL803" s="9"/>
      <c r="FM803" s="9"/>
      <c r="FN803" s="9"/>
      <c r="FO803" s="9"/>
      <c r="FP803" s="9"/>
    </row>
    <row r="804" customFormat="false" ht="15" hidden="false" customHeight="false" outlineLevel="2" collapsed="false">
      <c r="B804" s="9" t="s">
        <v>872</v>
      </c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234" t="n">
        <f aca="false">('⑫ Roll-out Plan'!G85-2025)*12+'⑫ Roll-out Plan'!F85</f>
        <v>121</v>
      </c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  <c r="CX804" s="9"/>
      <c r="CY804" s="9"/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9"/>
      <c r="DK804" s="9"/>
      <c r="DL804" s="9"/>
      <c r="DM804" s="9"/>
      <c r="DN804" s="9"/>
      <c r="DO804" s="9"/>
      <c r="DP804" s="9"/>
      <c r="DQ804" s="9"/>
      <c r="DR804" s="9"/>
      <c r="DS804" s="9"/>
      <c r="DT804" s="9"/>
      <c r="DU804" s="9"/>
      <c r="DV804" s="9"/>
      <c r="DW804" s="9"/>
      <c r="DX804" s="9"/>
      <c r="DY804" s="9"/>
      <c r="DZ804" s="9"/>
      <c r="EA804" s="9"/>
      <c r="EB804" s="9"/>
      <c r="EC804" s="9"/>
      <c r="ED804" s="9"/>
      <c r="EE804" s="9"/>
      <c r="EF804" s="9"/>
      <c r="EG804" s="9"/>
      <c r="EH804" s="9"/>
      <c r="EI804" s="9"/>
      <c r="EJ804" s="9"/>
      <c r="EK804" s="9"/>
      <c r="EL804" s="9"/>
      <c r="EM804" s="9"/>
      <c r="EN804" s="9"/>
      <c r="EO804" s="9"/>
      <c r="EP804" s="9"/>
      <c r="EQ804" s="9"/>
      <c r="ER804" s="9"/>
      <c r="ES804" s="9"/>
      <c r="ET804" s="9"/>
      <c r="EU804" s="9"/>
      <c r="EV804" s="9"/>
      <c r="EW804" s="9"/>
      <c r="EX804" s="9"/>
      <c r="EY804" s="9"/>
      <c r="EZ804" s="9"/>
      <c r="FA804" s="9"/>
      <c r="FB804" s="9"/>
      <c r="FC804" s="9"/>
      <c r="FD804" s="9"/>
      <c r="FE804" s="9"/>
      <c r="FF804" s="9"/>
      <c r="FG804" s="9"/>
      <c r="FH804" s="9"/>
      <c r="FI804" s="9"/>
      <c r="FJ804" s="9"/>
      <c r="FK804" s="9"/>
      <c r="FL804" s="9"/>
      <c r="FM804" s="9"/>
      <c r="FN804" s="9"/>
      <c r="FO804" s="9"/>
      <c r="FP804" s="9"/>
    </row>
    <row r="805" customFormat="false" ht="15" hidden="false" customHeight="false" outlineLevel="2" collapsed="false">
      <c r="B805" s="9" t="s">
        <v>873</v>
      </c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235" t="n">
        <f aca="false">VLOOKUP("B",$B$14:$C$18,2,FALSE())</f>
        <v>185</v>
      </c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9"/>
      <c r="CN805" s="9"/>
      <c r="CO805" s="9"/>
      <c r="CP805" s="9"/>
      <c r="CQ805" s="9"/>
      <c r="CR805" s="9"/>
      <c r="CS805" s="9"/>
      <c r="CT805" s="9"/>
      <c r="CU805" s="9"/>
      <c r="CV805" s="9"/>
      <c r="CW805" s="9"/>
      <c r="CX805" s="9"/>
      <c r="CY805" s="9"/>
      <c r="CZ805" s="9"/>
      <c r="DA805" s="9"/>
      <c r="DB805" s="9"/>
      <c r="DC805" s="9"/>
      <c r="DD805" s="9"/>
      <c r="DE805" s="9"/>
      <c r="DF805" s="9"/>
      <c r="DG805" s="9"/>
      <c r="DH805" s="9"/>
      <c r="DI805" s="9"/>
      <c r="DJ805" s="9"/>
      <c r="DK805" s="9"/>
      <c r="DL805" s="9"/>
      <c r="DM805" s="9"/>
      <c r="DN805" s="9"/>
      <c r="DO805" s="9"/>
      <c r="DP805" s="9"/>
      <c r="DQ805" s="9"/>
      <c r="DR805" s="9"/>
      <c r="DS805" s="9"/>
      <c r="DT805" s="9"/>
      <c r="DU805" s="9"/>
      <c r="DV805" s="9"/>
      <c r="DW805" s="9"/>
      <c r="DX805" s="9"/>
      <c r="DY805" s="9"/>
      <c r="DZ805" s="9"/>
      <c r="EA805" s="9"/>
      <c r="EB805" s="9"/>
      <c r="EC805" s="9"/>
      <c r="ED805" s="9"/>
      <c r="EE805" s="9"/>
      <c r="EF805" s="9"/>
      <c r="EG805" s="9"/>
      <c r="EH805" s="9"/>
      <c r="EI805" s="9"/>
      <c r="EJ805" s="9"/>
      <c r="EK805" s="9"/>
      <c r="EL805" s="9"/>
      <c r="EM805" s="9"/>
      <c r="EN805" s="9"/>
      <c r="EO805" s="9"/>
      <c r="EP805" s="9"/>
      <c r="EQ805" s="9"/>
      <c r="ER805" s="9"/>
      <c r="ES805" s="9"/>
      <c r="ET805" s="9"/>
      <c r="EU805" s="9"/>
      <c r="EV805" s="9"/>
      <c r="EW805" s="9"/>
      <c r="EX805" s="9"/>
      <c r="EY805" s="9"/>
      <c r="EZ805" s="9"/>
      <c r="FA805" s="9"/>
      <c r="FB805" s="9"/>
      <c r="FC805" s="9"/>
      <c r="FD805" s="9"/>
      <c r="FE805" s="9"/>
      <c r="FF805" s="9"/>
      <c r="FG805" s="9"/>
      <c r="FH805" s="9"/>
      <c r="FI805" s="9"/>
      <c r="FJ805" s="9"/>
      <c r="FK805" s="9"/>
      <c r="FL805" s="9"/>
      <c r="FM805" s="9"/>
      <c r="FN805" s="9"/>
      <c r="FO805" s="9"/>
      <c r="FP805" s="9"/>
    </row>
    <row r="806" customFormat="false" ht="15" hidden="false" customHeight="false" outlineLevel="2" collapsed="false">
      <c r="B806" s="9" t="s">
        <v>799</v>
      </c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63" t="n">
        <f aca="false">IF(AC$35&gt;=$AC$804,AC$35-$AC$804+1,0)</f>
        <v>0</v>
      </c>
      <c r="AD806" s="63" t="n">
        <f aca="false">IF(AD$35&gt;=$AC$804,AD$35-$AC$804+1,0)</f>
        <v>0</v>
      </c>
      <c r="AE806" s="63" t="n">
        <f aca="false">IF(AE$35&gt;=$AC$804,AE$35-$AC$804+1,0)</f>
        <v>0</v>
      </c>
      <c r="AF806" s="63" t="n">
        <f aca="false">IF(AF$35&gt;=$AC$804,AF$35-$AC$804+1,0)</f>
        <v>0</v>
      </c>
      <c r="AG806" s="63" t="n">
        <f aca="false">IF(AG$35&gt;=$AC$804,AG$35-$AC$804+1,0)</f>
        <v>0</v>
      </c>
      <c r="AH806" s="63" t="n">
        <f aca="false">IF(AH$35&gt;=$AC$804,AH$35-$AC$804+1,0)</f>
        <v>0</v>
      </c>
      <c r="AI806" s="63" t="n">
        <f aca="false">IF(AI$35&gt;=$AC$804,AI$35-$AC$804+1,0)</f>
        <v>0</v>
      </c>
      <c r="AJ806" s="63" t="n">
        <f aca="false">IF(AJ$35&gt;=$AC$804,AJ$35-$AC$804+1,0)</f>
        <v>0</v>
      </c>
      <c r="AK806" s="63" t="n">
        <f aca="false">IF(AK$35&gt;=$AC$804,AK$35-$AC$804+1,0)</f>
        <v>0</v>
      </c>
      <c r="AL806" s="63" t="n">
        <f aca="false">IF(AL$35&gt;=$AC$804,AL$35-$AC$804+1,0)</f>
        <v>0</v>
      </c>
      <c r="AM806" s="63" t="n">
        <f aca="false">IF(AM$35&gt;=$AC$804,AM$35-$AC$804+1,0)</f>
        <v>0</v>
      </c>
      <c r="AN806" s="63" t="n">
        <f aca="false">IF(AN$35&gt;=$AC$804,AN$35-$AC$804+1,0)</f>
        <v>0</v>
      </c>
      <c r="AO806" s="63" t="n">
        <f aca="false">IF(AO$35&gt;=$AC$804,AO$35-$AC$804+1,0)</f>
        <v>0</v>
      </c>
      <c r="AP806" s="63" t="n">
        <f aca="false">IF(AP$35&gt;=$AC$804,AP$35-$AC$804+1,0)</f>
        <v>0</v>
      </c>
      <c r="AQ806" s="63" t="n">
        <f aca="false">IF(AQ$35&gt;=$AC$804,AQ$35-$AC$804+1,0)</f>
        <v>0</v>
      </c>
      <c r="AR806" s="63" t="n">
        <f aca="false">IF(AR$35&gt;=$AC$804,AR$35-$AC$804+1,0)</f>
        <v>0</v>
      </c>
      <c r="AS806" s="63" t="n">
        <f aca="false">IF(AS$35&gt;=$AC$804,AS$35-$AC$804+1,0)</f>
        <v>0</v>
      </c>
      <c r="AT806" s="63" t="n">
        <f aca="false">IF(AT$35&gt;=$AC$804,AT$35-$AC$804+1,0)</f>
        <v>0</v>
      </c>
      <c r="AU806" s="63" t="n">
        <f aca="false">IF(AU$35&gt;=$AC$804,AU$35-$AC$804+1,0)</f>
        <v>0</v>
      </c>
      <c r="AV806" s="63" t="n">
        <f aca="false">IF(AV$35&gt;=$AC$804,AV$35-$AC$804+1,0)</f>
        <v>0</v>
      </c>
      <c r="AW806" s="63" t="n">
        <f aca="false">IF(AW$35&gt;=$AC$804,AW$35-$AC$804+1,0)</f>
        <v>0</v>
      </c>
      <c r="AX806" s="63" t="n">
        <f aca="false">IF(AX$35&gt;=$AC$804,AX$35-$AC$804+1,0)</f>
        <v>0</v>
      </c>
      <c r="AY806" s="63" t="n">
        <f aca="false">IF(AY$35&gt;=$AC$804,AY$35-$AC$804+1,0)</f>
        <v>0</v>
      </c>
      <c r="AZ806" s="63" t="n">
        <f aca="false">IF(AZ$35&gt;=$AC$804,AZ$35-$AC$804+1,0)</f>
        <v>0</v>
      </c>
      <c r="BA806" s="63" t="n">
        <f aca="false">IF(BA$35&gt;=$AC$804,BA$35-$AC$804+1,0)</f>
        <v>0</v>
      </c>
      <c r="BB806" s="63" t="n">
        <f aca="false">IF(BB$35&gt;=$AC$804,BB$35-$AC$804+1,0)</f>
        <v>0</v>
      </c>
      <c r="BC806" s="63" t="n">
        <f aca="false">IF(BC$35&gt;=$AC$804,BC$35-$AC$804+1,0)</f>
        <v>0</v>
      </c>
      <c r="BD806" s="63" t="n">
        <f aca="false">IF(BD$35&gt;=$AC$804,BD$35-$AC$804+1,0)</f>
        <v>0</v>
      </c>
      <c r="BE806" s="63" t="n">
        <f aca="false">IF(BE$35&gt;=$AC$804,BE$35-$AC$804+1,0)</f>
        <v>0</v>
      </c>
      <c r="BF806" s="63" t="n">
        <f aca="false">IF(BF$35&gt;=$AC$804,BF$35-$AC$804+1,0)</f>
        <v>0</v>
      </c>
      <c r="BG806" s="63" t="n">
        <f aca="false">IF(BG$35&gt;=$AC$804,BG$35-$AC$804+1,0)</f>
        <v>0</v>
      </c>
      <c r="BH806" s="63" t="n">
        <f aca="false">IF(BH$35&gt;=$AC$804,BH$35-$AC$804+1,0)</f>
        <v>0</v>
      </c>
      <c r="BI806" s="63" t="n">
        <f aca="false">IF(BI$35&gt;=$AC$804,BI$35-$AC$804+1,0)</f>
        <v>0</v>
      </c>
      <c r="BJ806" s="63" t="n">
        <f aca="false">IF(BJ$35&gt;=$AC$804,BJ$35-$AC$804+1,0)</f>
        <v>0</v>
      </c>
      <c r="BK806" s="63" t="n">
        <f aca="false">IF(BK$35&gt;=$AC$804,BK$35-$AC$804+1,0)</f>
        <v>0</v>
      </c>
      <c r="BL806" s="63" t="n">
        <f aca="false">IF(BL$35&gt;=$AC$804,BL$35-$AC$804+1,0)</f>
        <v>0</v>
      </c>
      <c r="BM806" s="63" t="n">
        <f aca="false">IF(BM$35&gt;=$AC$804,BM$35-$AC$804+1,0)</f>
        <v>0</v>
      </c>
      <c r="BN806" s="63" t="n">
        <f aca="false">IF(BN$35&gt;=$AC$804,BN$35-$AC$804+1,0)</f>
        <v>0</v>
      </c>
      <c r="BO806" s="63" t="n">
        <f aca="false">IF(BO$35&gt;=$AC$804,BO$35-$AC$804+1,0)</f>
        <v>0</v>
      </c>
      <c r="BP806" s="63" t="n">
        <f aca="false">IF(BP$35&gt;=$AC$804,BP$35-$AC$804+1,0)</f>
        <v>0</v>
      </c>
      <c r="BQ806" s="63" t="n">
        <f aca="false">IF(BQ$35&gt;=$AC$804,BQ$35-$AC$804+1,0)</f>
        <v>0</v>
      </c>
      <c r="BR806" s="63" t="n">
        <f aca="false">IF(BR$35&gt;=$AC$804,BR$35-$AC$804+1,0)</f>
        <v>0</v>
      </c>
      <c r="BS806" s="63" t="n">
        <f aca="false">IF(BS$35&gt;=$AC$804,BS$35-$AC$804+1,0)</f>
        <v>0</v>
      </c>
      <c r="BT806" s="63" t="n">
        <f aca="false">IF(BT$35&gt;=$AC$804,BT$35-$AC$804+1,0)</f>
        <v>0</v>
      </c>
      <c r="BU806" s="63" t="n">
        <f aca="false">IF(BU$35&gt;=$AC$804,BU$35-$AC$804+1,0)</f>
        <v>0</v>
      </c>
      <c r="BV806" s="63" t="n">
        <f aca="false">IF(BV$35&gt;=$AC$804,BV$35-$AC$804+1,0)</f>
        <v>0</v>
      </c>
      <c r="BW806" s="63" t="n">
        <f aca="false">IF(BW$35&gt;=$AC$804,BW$35-$AC$804+1,0)</f>
        <v>0</v>
      </c>
      <c r="BX806" s="63" t="n">
        <f aca="false">IF(BX$35&gt;=$AC$804,BX$35-$AC$804+1,0)</f>
        <v>0</v>
      </c>
      <c r="BY806" s="63" t="n">
        <f aca="false">IF(BY$35&gt;=$AC$804,BY$35-$AC$804+1,0)</f>
        <v>0</v>
      </c>
      <c r="BZ806" s="63" t="n">
        <f aca="false">IF(BZ$35&gt;=$AC$804,BZ$35-$AC$804+1,0)</f>
        <v>0</v>
      </c>
      <c r="CA806" s="63" t="n">
        <f aca="false">IF(CA$35&gt;=$AC$804,CA$35-$AC$804+1,0)</f>
        <v>0</v>
      </c>
      <c r="CB806" s="63" t="n">
        <f aca="false">IF(CB$35&gt;=$AC$804,CB$35-$AC$804+1,0)</f>
        <v>0</v>
      </c>
      <c r="CC806" s="63" t="n">
        <f aca="false">IF(CC$35&gt;=$AC$804,CC$35-$AC$804+1,0)</f>
        <v>0</v>
      </c>
      <c r="CD806" s="63" t="n">
        <f aca="false">IF(CD$35&gt;=$AC$804,CD$35-$AC$804+1,0)</f>
        <v>0</v>
      </c>
      <c r="CE806" s="63" t="n">
        <f aca="false">IF(CE$35&gt;=$AC$804,CE$35-$AC$804+1,0)</f>
        <v>0</v>
      </c>
      <c r="CF806" s="63" t="n">
        <f aca="false">IF(CF$35&gt;=$AC$804,CF$35-$AC$804+1,0)</f>
        <v>0</v>
      </c>
      <c r="CG806" s="63" t="n">
        <f aca="false">IF(CG$35&gt;=$AC$804,CG$35-$AC$804+1,0)</f>
        <v>0</v>
      </c>
      <c r="CH806" s="63" t="n">
        <f aca="false">IF(CH$35&gt;=$AC$804,CH$35-$AC$804+1,0)</f>
        <v>0</v>
      </c>
      <c r="CI806" s="63" t="n">
        <f aca="false">IF(CI$35&gt;=$AC$804,CI$35-$AC$804+1,0)</f>
        <v>0</v>
      </c>
      <c r="CJ806" s="63" t="n">
        <f aca="false">IF(CJ$35&gt;=$AC$804,CJ$35-$AC$804+1,0)</f>
        <v>0</v>
      </c>
      <c r="CK806" s="63" t="n">
        <f aca="false">IF(CK$35&gt;=$AC$804,CK$35-$AC$804+1,0)</f>
        <v>0</v>
      </c>
      <c r="CL806" s="63" t="n">
        <f aca="false">IF(CL$35&gt;=$AC$804,CL$35-$AC$804+1,0)</f>
        <v>0</v>
      </c>
      <c r="CM806" s="63" t="n">
        <f aca="false">IF(CM$35&gt;=$AC$804,CM$35-$AC$804+1,0)</f>
        <v>0</v>
      </c>
      <c r="CN806" s="63" t="n">
        <f aca="false">IF(CN$35&gt;=$AC$804,CN$35-$AC$804+1,0)</f>
        <v>0</v>
      </c>
      <c r="CO806" s="63" t="n">
        <f aca="false">IF(CO$35&gt;=$AC$804,CO$35-$AC$804+1,0)</f>
        <v>0</v>
      </c>
      <c r="CP806" s="63" t="n">
        <f aca="false">IF(CP$35&gt;=$AC$804,CP$35-$AC$804+1,0)</f>
        <v>0</v>
      </c>
      <c r="CQ806" s="63" t="n">
        <f aca="false">IF(CQ$35&gt;=$AC$804,CQ$35-$AC$804+1,0)</f>
        <v>0</v>
      </c>
      <c r="CR806" s="63" t="n">
        <f aca="false">IF(CR$35&gt;=$AC$804,CR$35-$AC$804+1,0)</f>
        <v>0</v>
      </c>
      <c r="CS806" s="63" t="n">
        <f aca="false">IF(CS$35&gt;=$AC$804,CS$35-$AC$804+1,0)</f>
        <v>0</v>
      </c>
      <c r="CT806" s="63" t="n">
        <f aca="false">IF(CT$35&gt;=$AC$804,CT$35-$AC$804+1,0)</f>
        <v>0</v>
      </c>
      <c r="CU806" s="63" t="n">
        <f aca="false">IF(CU$35&gt;=$AC$804,CU$35-$AC$804+1,0)</f>
        <v>0</v>
      </c>
      <c r="CV806" s="63" t="n">
        <f aca="false">IF(CV$35&gt;=$AC$804,CV$35-$AC$804+1,0)</f>
        <v>0</v>
      </c>
      <c r="CW806" s="63" t="n">
        <f aca="false">IF(CW$35&gt;=$AC$804,CW$35-$AC$804+1,0)</f>
        <v>0</v>
      </c>
      <c r="CX806" s="63" t="n">
        <f aca="false">IF(CX$35&gt;=$AC$804,CX$35-$AC$804+1,0)</f>
        <v>0</v>
      </c>
      <c r="CY806" s="63" t="n">
        <f aca="false">IF(CY$35&gt;=$AC$804,CY$35-$AC$804+1,0)</f>
        <v>0</v>
      </c>
      <c r="CZ806" s="63" t="n">
        <f aca="false">IF(CZ$35&gt;=$AC$804,CZ$35-$AC$804+1,0)</f>
        <v>0</v>
      </c>
      <c r="DA806" s="63" t="n">
        <f aca="false">IF(DA$35&gt;=$AC$804,DA$35-$AC$804+1,0)</f>
        <v>0</v>
      </c>
      <c r="DB806" s="63" t="n">
        <f aca="false">IF(DB$35&gt;=$AC$804,DB$35-$AC$804+1,0)</f>
        <v>0</v>
      </c>
      <c r="DC806" s="63" t="n">
        <f aca="false">IF(DC$35&gt;=$AC$804,DC$35-$AC$804+1,0)</f>
        <v>0</v>
      </c>
      <c r="DD806" s="63" t="n">
        <f aca="false">IF(DD$35&gt;=$AC$804,DD$35-$AC$804+1,0)</f>
        <v>0</v>
      </c>
      <c r="DE806" s="63" t="n">
        <f aca="false">IF(DE$35&gt;=$AC$804,DE$35-$AC$804+1,0)</f>
        <v>0</v>
      </c>
      <c r="DF806" s="63" t="n">
        <f aca="false">IF(DF$35&gt;=$AC$804,DF$35-$AC$804+1,0)</f>
        <v>0</v>
      </c>
      <c r="DG806" s="63" t="n">
        <f aca="false">IF(DG$35&gt;=$AC$804,DG$35-$AC$804+1,0)</f>
        <v>0</v>
      </c>
      <c r="DH806" s="63" t="n">
        <f aca="false">IF(DH$35&gt;=$AC$804,DH$35-$AC$804+1,0)</f>
        <v>0</v>
      </c>
      <c r="DI806" s="63" t="n">
        <f aca="false">IF(DI$35&gt;=$AC$804,DI$35-$AC$804+1,0)</f>
        <v>0</v>
      </c>
      <c r="DJ806" s="63" t="n">
        <f aca="false">IF(DJ$35&gt;=$AC$804,DJ$35-$AC$804+1,0)</f>
        <v>0</v>
      </c>
      <c r="DK806" s="63" t="n">
        <f aca="false">IF(DK$35&gt;=$AC$804,DK$35-$AC$804+1,0)</f>
        <v>0</v>
      </c>
      <c r="DL806" s="63" t="n">
        <f aca="false">IF(DL$35&gt;=$AC$804,DL$35-$AC$804+1,0)</f>
        <v>0</v>
      </c>
      <c r="DM806" s="63" t="n">
        <f aca="false">IF(DM$35&gt;=$AC$804,DM$35-$AC$804+1,0)</f>
        <v>0</v>
      </c>
      <c r="DN806" s="63" t="n">
        <f aca="false">IF(DN$35&gt;=$AC$804,DN$35-$AC$804+1,0)</f>
        <v>0</v>
      </c>
      <c r="DO806" s="63" t="n">
        <f aca="false">IF(DO$35&gt;=$AC$804,DO$35-$AC$804+1,0)</f>
        <v>0</v>
      </c>
      <c r="DP806" s="63" t="n">
        <f aca="false">IF(DP$35&gt;=$AC$804,DP$35-$AC$804+1,0)</f>
        <v>0</v>
      </c>
      <c r="DQ806" s="63" t="n">
        <f aca="false">IF(DQ$35&gt;=$AC$804,DQ$35-$AC$804+1,0)</f>
        <v>0</v>
      </c>
      <c r="DR806" s="63" t="n">
        <f aca="false">IF(DR$35&gt;=$AC$804,DR$35-$AC$804+1,0)</f>
        <v>0</v>
      </c>
      <c r="DS806" s="63" t="n">
        <f aca="false">IF(DS$35&gt;=$AC$804,DS$35-$AC$804+1,0)</f>
        <v>0</v>
      </c>
      <c r="DT806" s="63" t="n">
        <f aca="false">IF(DT$35&gt;=$AC$804,DT$35-$AC$804+1,0)</f>
        <v>0</v>
      </c>
      <c r="DU806" s="63" t="n">
        <f aca="false">IF(DU$35&gt;=$AC$804,DU$35-$AC$804+1,0)</f>
        <v>0</v>
      </c>
      <c r="DV806" s="63" t="n">
        <f aca="false">IF(DV$35&gt;=$AC$804,DV$35-$AC$804+1,0)</f>
        <v>0</v>
      </c>
      <c r="DW806" s="63" t="n">
        <f aca="false">IF(DW$35&gt;=$AC$804,DW$35-$AC$804+1,0)</f>
        <v>0</v>
      </c>
      <c r="DX806" s="63" t="n">
        <f aca="false">IF(DX$35&gt;=$AC$804,DX$35-$AC$804+1,0)</f>
        <v>0</v>
      </c>
      <c r="DY806" s="63" t="n">
        <f aca="false">IF(DY$35&gt;=$AC$804,DY$35-$AC$804+1,0)</f>
        <v>0</v>
      </c>
      <c r="DZ806" s="63" t="n">
        <f aca="false">IF(DZ$35&gt;=$AC$804,DZ$35-$AC$804+1,0)</f>
        <v>0</v>
      </c>
      <c r="EA806" s="63" t="n">
        <f aca="false">IF(EA$35&gt;=$AC$804,EA$35-$AC$804+1,0)</f>
        <v>0</v>
      </c>
      <c r="EB806" s="63" t="n">
        <f aca="false">IF(EB$35&gt;=$AC$804,EB$35-$AC$804+1,0)</f>
        <v>0</v>
      </c>
      <c r="EC806" s="63" t="n">
        <f aca="false">IF(EC$35&gt;=$AC$804,EC$35-$AC$804+1,0)</f>
        <v>0</v>
      </c>
      <c r="ED806" s="63" t="n">
        <f aca="false">IF(ED$35&gt;=$AC$804,ED$35-$AC$804+1,0)</f>
        <v>0</v>
      </c>
      <c r="EE806" s="63" t="n">
        <f aca="false">IF(EE$35&gt;=$AC$804,EE$35-$AC$804+1,0)</f>
        <v>0</v>
      </c>
      <c r="EF806" s="63" t="n">
        <f aca="false">IF(EF$35&gt;=$AC$804,EF$35-$AC$804+1,0)</f>
        <v>0</v>
      </c>
      <c r="EG806" s="63" t="n">
        <f aca="false">IF(EG$35&gt;=$AC$804,EG$35-$AC$804+1,0)</f>
        <v>0</v>
      </c>
      <c r="EH806" s="63" t="n">
        <f aca="false">IF(EH$35&gt;=$AC$804,EH$35-$AC$804+1,0)</f>
        <v>0</v>
      </c>
      <c r="EI806" s="63" t="n">
        <f aca="false">IF(EI$35&gt;=$AC$804,EI$35-$AC$804+1,0)</f>
        <v>0</v>
      </c>
      <c r="EJ806" s="63" t="n">
        <f aca="false">IF(EJ$35&gt;=$AC$804,EJ$35-$AC$804+1,0)</f>
        <v>0</v>
      </c>
      <c r="EK806" s="63" t="n">
        <f aca="false">IF(EK$35&gt;=$AC$804,EK$35-$AC$804+1,0)</f>
        <v>0</v>
      </c>
      <c r="EL806" s="63" t="n">
        <f aca="false">IF(EL$35&gt;=$AC$804,EL$35-$AC$804+1,0)</f>
        <v>0</v>
      </c>
      <c r="EM806" s="63" t="n">
        <f aca="false">IF(EM$35&gt;=$AC$804,EM$35-$AC$804+1,0)</f>
        <v>0</v>
      </c>
      <c r="EN806" s="63" t="n">
        <f aca="false">IF(EN$35&gt;=$AC$804,EN$35-$AC$804+1,0)</f>
        <v>0</v>
      </c>
      <c r="EO806" s="63" t="n">
        <f aca="false">IF(EO$35&gt;=$AC$804,EO$35-$AC$804+1,0)</f>
        <v>0</v>
      </c>
      <c r="EP806" s="63" t="n">
        <f aca="false">IF(EP$35&gt;=$AC$804,EP$35-$AC$804+1,0)</f>
        <v>0</v>
      </c>
      <c r="EQ806" s="63" t="n">
        <f aca="false">IF(EQ$35&gt;=$AC$804,EQ$35-$AC$804+1,0)</f>
        <v>0</v>
      </c>
      <c r="ER806" s="63" t="n">
        <f aca="false">IF(ER$35&gt;=$AC$804,ER$35-$AC$804+1,0)</f>
        <v>0</v>
      </c>
      <c r="ES806" s="9" t="n">
        <f aca="false">IF(ES$35&gt;=$AC$804,ES$35-$AC$804+1,0)</f>
        <v>1</v>
      </c>
      <c r="ET806" s="9" t="n">
        <f aca="false">IF(ET$35&gt;=$AC$804,ET$35-$AC$804+1,0)</f>
        <v>2</v>
      </c>
      <c r="EU806" s="9" t="n">
        <f aca="false">IF(EU$35&gt;=$AC$804,EU$35-$AC$804+1,0)</f>
        <v>3</v>
      </c>
      <c r="EV806" s="9" t="n">
        <f aca="false">IF(EV$35&gt;=$AC$804,EV$35-$AC$804+1,0)</f>
        <v>4</v>
      </c>
      <c r="EW806" s="9" t="n">
        <f aca="false">IF(EW$35&gt;=$AC$804,EW$35-$AC$804+1,0)</f>
        <v>5</v>
      </c>
      <c r="EX806" s="9" t="n">
        <f aca="false">IF(EX$35&gt;=$AC$804,EX$35-$AC$804+1,0)</f>
        <v>6</v>
      </c>
      <c r="EY806" s="9" t="n">
        <f aca="false">IF(EY$35&gt;=$AC$804,EY$35-$AC$804+1,0)</f>
        <v>7</v>
      </c>
      <c r="EZ806" s="9" t="n">
        <f aca="false">IF(EZ$35&gt;=$AC$804,EZ$35-$AC$804+1,0)</f>
        <v>8</v>
      </c>
      <c r="FA806" s="9" t="n">
        <f aca="false">IF(FA$35&gt;=$AC$804,FA$35-$AC$804+1,0)</f>
        <v>9</v>
      </c>
      <c r="FB806" s="9" t="n">
        <f aca="false">IF(FB$35&gt;=$AC$804,FB$35-$AC$804+1,0)</f>
        <v>10</v>
      </c>
      <c r="FC806" s="9" t="n">
        <f aca="false">IF(FC$35&gt;=$AC$804,FC$35-$AC$804+1,0)</f>
        <v>11</v>
      </c>
      <c r="FD806" s="9" t="n">
        <f aca="false">IF(FD$35&gt;=$AC$804,FD$35-$AC$804+1,0)</f>
        <v>12</v>
      </c>
      <c r="FE806" s="9" t="n">
        <f aca="false">IF(FE$35&gt;=$AC$804,FE$35-$AC$804+1,0)</f>
        <v>13</v>
      </c>
      <c r="FF806" s="9" t="n">
        <f aca="false">IF(FF$35&gt;=$AC$804,FF$35-$AC$804+1,0)</f>
        <v>14</v>
      </c>
      <c r="FG806" s="9" t="n">
        <f aca="false">IF(FG$35&gt;=$AC$804,FG$35-$AC$804+1,0)</f>
        <v>15</v>
      </c>
      <c r="FH806" s="9" t="n">
        <f aca="false">IF(FH$35&gt;=$AC$804,FH$35-$AC$804+1,0)</f>
        <v>16</v>
      </c>
      <c r="FI806" s="9" t="n">
        <f aca="false">IF(FI$35&gt;=$AC$804,FI$35-$AC$804+1,0)</f>
        <v>17</v>
      </c>
      <c r="FJ806" s="9" t="n">
        <f aca="false">IF(FJ$35&gt;=$AC$804,FJ$35-$AC$804+1,0)</f>
        <v>18</v>
      </c>
      <c r="FK806" s="9" t="n">
        <f aca="false">IF(FK$35&gt;=$AC$804,FK$35-$AC$804+1,0)</f>
        <v>19</v>
      </c>
      <c r="FL806" s="9" t="n">
        <f aca="false">IF(FL$35&gt;=$AC$804,FL$35-$AC$804+1,0)</f>
        <v>20</v>
      </c>
      <c r="FM806" s="9" t="n">
        <f aca="false">IF(FM$35&gt;=$AC$804,FM$35-$AC$804+1,0)</f>
        <v>21</v>
      </c>
      <c r="FN806" s="9" t="n">
        <f aca="false">IF(FN$35&gt;=$AC$804,FN$35-$AC$804+1,0)</f>
        <v>22</v>
      </c>
      <c r="FO806" s="9" t="n">
        <f aca="false">IF(FO$35&gt;=$AC$804,FO$35-$AC$804+1,0)</f>
        <v>23</v>
      </c>
      <c r="FP806" s="9" t="n">
        <f aca="false">IF(FP$35&gt;=$AC$804,FP$35-$AC$804+1,0)</f>
        <v>24</v>
      </c>
    </row>
    <row r="807" customFormat="false" ht="15" hidden="false" customHeight="false" outlineLevel="2" collapsed="false">
      <c r="B807" s="9" t="s">
        <v>874</v>
      </c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236" t="n">
        <f aca="false" t="array" ref="AC807:AC807">IF(AC806=0,0,IF(AC806/'🎚️ Escenario'!$C$11&gt;=36,$AL$23,INDEX($C$23:$AL$23,MAX(1,ROUNDUP(AC806/'🎚️ Escenario'!$C$11,0)))))</f>
        <v>0</v>
      </c>
      <c r="AD807" s="236" t="n">
        <f aca="false" t="array" ref="AD807:AD807">IF(AD806=0,0,IF(AD806/'🎚️ Escenario'!$C$11&gt;=36,$AL$23,INDEX($C$23:$AL$23,MAX(1,ROUNDUP(AD806/'🎚️ Escenario'!$C$11,0)))))</f>
        <v>0</v>
      </c>
      <c r="AE807" s="236" t="n">
        <f aca="false" t="array" ref="AE807:AE807">IF(AE806=0,0,IF(AE806/'🎚️ Escenario'!$C$11&gt;=36,$AL$23,INDEX($C$23:$AL$23,MAX(1,ROUNDUP(AE806/'🎚️ Escenario'!$C$11,0)))))</f>
        <v>0</v>
      </c>
      <c r="AF807" s="236" t="n">
        <f aca="false" t="array" ref="AF807:AF807">IF(AF806=0,0,IF(AF806/'🎚️ Escenario'!$C$11&gt;=36,$AL$23,INDEX($C$23:$AL$23,MAX(1,ROUNDUP(AF806/'🎚️ Escenario'!$C$11,0)))))</f>
        <v>0</v>
      </c>
      <c r="AG807" s="236" t="n">
        <f aca="false" t="array" ref="AG807:AG807">IF(AG806=0,0,IF(AG806/'🎚️ Escenario'!$C$11&gt;=36,$AL$23,INDEX($C$23:$AL$23,MAX(1,ROUNDUP(AG806/'🎚️ Escenario'!$C$11,0)))))</f>
        <v>0</v>
      </c>
      <c r="AH807" s="236" t="n">
        <f aca="false" t="array" ref="AH807:AH807">IF(AH806=0,0,IF(AH806/'🎚️ Escenario'!$C$11&gt;=36,$AL$23,INDEX($C$23:$AL$23,MAX(1,ROUNDUP(AH806/'🎚️ Escenario'!$C$11,0)))))</f>
        <v>0</v>
      </c>
      <c r="AI807" s="236" t="n">
        <f aca="false" t="array" ref="AI807:AI807">IF(AI806=0,0,IF(AI806/'🎚️ Escenario'!$C$11&gt;=36,$AL$23,INDEX($C$23:$AL$23,MAX(1,ROUNDUP(AI806/'🎚️ Escenario'!$C$11,0)))))</f>
        <v>0</v>
      </c>
      <c r="AJ807" s="236" t="n">
        <f aca="false" t="array" ref="AJ807:AJ807">IF(AJ806=0,0,IF(AJ806/'🎚️ Escenario'!$C$11&gt;=36,$AL$23,INDEX($C$23:$AL$23,MAX(1,ROUNDUP(AJ806/'🎚️ Escenario'!$C$11,0)))))</f>
        <v>0</v>
      </c>
      <c r="AK807" s="236" t="n">
        <f aca="false" t="array" ref="AK807:AK807">IF(AK806=0,0,IF(AK806/'🎚️ Escenario'!$C$11&gt;=36,$AL$23,INDEX($C$23:$AL$23,MAX(1,ROUNDUP(AK806/'🎚️ Escenario'!$C$11,0)))))</f>
        <v>0</v>
      </c>
      <c r="AL807" s="236" t="n">
        <f aca="false" t="array" ref="AL807:AL807">IF(AL806=0,0,IF(AL806/'🎚️ Escenario'!$C$11&gt;=36,$AL$23,INDEX($C$23:$AL$23,MAX(1,ROUNDUP(AL806/'🎚️ Escenario'!$C$11,0)))))</f>
        <v>0</v>
      </c>
      <c r="AM807" s="236" t="n">
        <f aca="false" t="array" ref="AM807:AM807">IF(AM806=0,0,IF(AM806/'🎚️ Escenario'!$C$11&gt;=36,$AL$23,INDEX($C$23:$AL$23,MAX(1,ROUNDUP(AM806/'🎚️ Escenario'!$C$11,0)))))</f>
        <v>0</v>
      </c>
      <c r="AN807" s="236" t="n">
        <f aca="false" t="array" ref="AN807:AN807">IF(AN806=0,0,IF(AN806/'🎚️ Escenario'!$C$11&gt;=36,$AL$23,INDEX($C$23:$AL$23,MAX(1,ROUNDUP(AN806/'🎚️ Escenario'!$C$11,0)))))</f>
        <v>0</v>
      </c>
      <c r="AO807" s="236" t="n">
        <f aca="false" t="array" ref="AO807:AO807">IF(AO806=0,0,IF(AO806/'🎚️ Escenario'!$C$11&gt;=36,$AL$23,INDEX($C$23:$AL$23,MAX(1,ROUNDUP(AO806/'🎚️ Escenario'!$C$11,0)))))</f>
        <v>0</v>
      </c>
      <c r="AP807" s="236" t="n">
        <f aca="false" t="array" ref="AP807:AP807">IF(AP806=0,0,IF(AP806/'🎚️ Escenario'!$C$11&gt;=36,$AL$23,INDEX($C$23:$AL$23,MAX(1,ROUNDUP(AP806/'🎚️ Escenario'!$C$11,0)))))</f>
        <v>0</v>
      </c>
      <c r="AQ807" s="236" t="n">
        <f aca="false" t="array" ref="AQ807:AQ807">IF(AQ806=0,0,IF(AQ806/'🎚️ Escenario'!$C$11&gt;=36,$AL$23,INDEX($C$23:$AL$23,MAX(1,ROUNDUP(AQ806/'🎚️ Escenario'!$C$11,0)))))</f>
        <v>0</v>
      </c>
      <c r="AR807" s="236" t="n">
        <f aca="false" t="array" ref="AR807:AR807">IF(AR806=0,0,IF(AR806/'🎚️ Escenario'!$C$11&gt;=36,$AL$23,INDEX($C$23:$AL$23,MAX(1,ROUNDUP(AR806/'🎚️ Escenario'!$C$11,0)))))</f>
        <v>0</v>
      </c>
      <c r="AS807" s="236" t="n">
        <f aca="false" t="array" ref="AS807:AS807">IF(AS806=0,0,IF(AS806/'🎚️ Escenario'!$C$11&gt;=36,$AL$23,INDEX($C$23:$AL$23,MAX(1,ROUNDUP(AS806/'🎚️ Escenario'!$C$11,0)))))</f>
        <v>0</v>
      </c>
      <c r="AT807" s="236" t="n">
        <f aca="false" t="array" ref="AT807:AT807">IF(AT806=0,0,IF(AT806/'🎚️ Escenario'!$C$11&gt;=36,$AL$23,INDEX($C$23:$AL$23,MAX(1,ROUNDUP(AT806/'🎚️ Escenario'!$C$11,0)))))</f>
        <v>0</v>
      </c>
      <c r="AU807" s="236" t="n">
        <f aca="false" t="array" ref="AU807:AU807">IF(AU806=0,0,IF(AU806/'🎚️ Escenario'!$C$11&gt;=36,$AL$23,INDEX($C$23:$AL$23,MAX(1,ROUNDUP(AU806/'🎚️ Escenario'!$C$11,0)))))</f>
        <v>0</v>
      </c>
      <c r="AV807" s="236" t="n">
        <f aca="false" t="array" ref="AV807:AV807">IF(AV806=0,0,IF(AV806/'🎚️ Escenario'!$C$11&gt;=36,$AL$23,INDEX($C$23:$AL$23,MAX(1,ROUNDUP(AV806/'🎚️ Escenario'!$C$11,0)))))</f>
        <v>0</v>
      </c>
      <c r="AW807" s="236" t="n">
        <f aca="false" t="array" ref="AW807:AW807">IF(AW806=0,0,IF(AW806/'🎚️ Escenario'!$C$11&gt;=36,$AL$23,INDEX($C$23:$AL$23,MAX(1,ROUNDUP(AW806/'🎚️ Escenario'!$C$11,0)))))</f>
        <v>0</v>
      </c>
      <c r="AX807" s="236" t="n">
        <f aca="false" t="array" ref="AX807:AX807">IF(AX806=0,0,IF(AX806/'🎚️ Escenario'!$C$11&gt;=36,$AL$23,INDEX($C$23:$AL$23,MAX(1,ROUNDUP(AX806/'🎚️ Escenario'!$C$11,0)))))</f>
        <v>0</v>
      </c>
      <c r="AY807" s="236" t="n">
        <f aca="false" t="array" ref="AY807:AY807">IF(AY806=0,0,IF(AY806/'🎚️ Escenario'!$C$11&gt;=36,$AL$23,INDEX($C$23:$AL$23,MAX(1,ROUNDUP(AY806/'🎚️ Escenario'!$C$11,0)))))</f>
        <v>0</v>
      </c>
      <c r="AZ807" s="236" t="n">
        <f aca="false" t="array" ref="AZ807:AZ807">IF(AZ806=0,0,IF(AZ806/'🎚️ Escenario'!$C$11&gt;=36,$AL$23,INDEX($C$23:$AL$23,MAX(1,ROUNDUP(AZ806/'🎚️ Escenario'!$C$11,0)))))</f>
        <v>0</v>
      </c>
      <c r="BA807" s="236" t="n">
        <f aca="false" t="array" ref="BA807:BA807">IF(BA806=0,0,IF(BA806/'🎚️ Escenario'!$C$11&gt;=36,$AL$23,INDEX($C$23:$AL$23,MAX(1,ROUNDUP(BA806/'🎚️ Escenario'!$C$11,0)))))</f>
        <v>0</v>
      </c>
      <c r="BB807" s="236" t="n">
        <f aca="false" t="array" ref="BB807:BB807">IF(BB806=0,0,IF(BB806/'🎚️ Escenario'!$C$11&gt;=36,$AL$23,INDEX($C$23:$AL$23,MAX(1,ROUNDUP(BB806/'🎚️ Escenario'!$C$11,0)))))</f>
        <v>0</v>
      </c>
      <c r="BC807" s="236" t="n">
        <f aca="false" t="array" ref="BC807:BC807">IF(BC806=0,0,IF(BC806/'🎚️ Escenario'!$C$11&gt;=36,$AL$23,INDEX($C$23:$AL$23,MAX(1,ROUNDUP(BC806/'🎚️ Escenario'!$C$11,0)))))</f>
        <v>0</v>
      </c>
      <c r="BD807" s="236" t="n">
        <f aca="false" t="array" ref="BD807:BD807">IF(BD806=0,0,IF(BD806/'🎚️ Escenario'!$C$11&gt;=36,$AL$23,INDEX($C$23:$AL$23,MAX(1,ROUNDUP(BD806/'🎚️ Escenario'!$C$11,0)))))</f>
        <v>0</v>
      </c>
      <c r="BE807" s="236" t="n">
        <f aca="false" t="array" ref="BE807:BE807">IF(BE806=0,0,IF(BE806/'🎚️ Escenario'!$C$11&gt;=36,$AL$23,INDEX($C$23:$AL$23,MAX(1,ROUNDUP(BE806/'🎚️ Escenario'!$C$11,0)))))</f>
        <v>0</v>
      </c>
      <c r="BF807" s="236" t="n">
        <f aca="false" t="array" ref="BF807:BF807">IF(BF806=0,0,IF(BF806/'🎚️ Escenario'!$C$11&gt;=36,$AL$23,INDEX($C$23:$AL$23,MAX(1,ROUNDUP(BF806/'🎚️ Escenario'!$C$11,0)))))</f>
        <v>0</v>
      </c>
      <c r="BG807" s="236" t="n">
        <f aca="false" t="array" ref="BG807:BG807">IF(BG806=0,0,IF(BG806/'🎚️ Escenario'!$C$11&gt;=36,$AL$23,INDEX($C$23:$AL$23,MAX(1,ROUNDUP(BG806/'🎚️ Escenario'!$C$11,0)))))</f>
        <v>0</v>
      </c>
      <c r="BH807" s="236" t="n">
        <f aca="false" t="array" ref="BH807:BH807">IF(BH806=0,0,IF(BH806/'🎚️ Escenario'!$C$11&gt;=36,$AL$23,INDEX($C$23:$AL$23,MAX(1,ROUNDUP(BH806/'🎚️ Escenario'!$C$11,0)))))</f>
        <v>0</v>
      </c>
      <c r="BI807" s="236" t="n">
        <f aca="false" t="array" ref="BI807:BI807">IF(BI806=0,0,IF(BI806/'🎚️ Escenario'!$C$11&gt;=36,$AL$23,INDEX($C$23:$AL$23,MAX(1,ROUNDUP(BI806/'🎚️ Escenario'!$C$11,0)))))</f>
        <v>0</v>
      </c>
      <c r="BJ807" s="236" t="n">
        <f aca="false" t="array" ref="BJ807:BJ807">IF(BJ806=0,0,IF(BJ806/'🎚️ Escenario'!$C$11&gt;=36,$AL$23,INDEX($C$23:$AL$23,MAX(1,ROUNDUP(BJ806/'🎚️ Escenario'!$C$11,0)))))</f>
        <v>0</v>
      </c>
      <c r="BK807" s="236" t="n">
        <f aca="false" t="array" ref="BK807:BK807">IF(BK806=0,0,IF(BK806/'🎚️ Escenario'!$C$11&gt;=36,$AL$23,INDEX($C$23:$AL$23,MAX(1,ROUNDUP(BK806/'🎚️ Escenario'!$C$11,0)))))</f>
        <v>0</v>
      </c>
      <c r="BL807" s="236" t="n">
        <f aca="false" t="array" ref="BL807:BL807">IF(BL806=0,0,IF(BL806/'🎚️ Escenario'!$C$11&gt;=36,$AL$23,INDEX($C$23:$AL$23,MAX(1,ROUNDUP(BL806/'🎚️ Escenario'!$C$11,0)))))</f>
        <v>0</v>
      </c>
      <c r="BM807" s="236" t="n">
        <f aca="false" t="array" ref="BM807:BM807">IF(BM806=0,0,IF(BM806/'🎚️ Escenario'!$C$11&gt;=36,$AL$23,INDEX($C$23:$AL$23,MAX(1,ROUNDUP(BM806/'🎚️ Escenario'!$C$11,0)))))</f>
        <v>0</v>
      </c>
      <c r="BN807" s="236" t="n">
        <f aca="false" t="array" ref="BN807:BN807">IF(BN806=0,0,IF(BN806/'🎚️ Escenario'!$C$11&gt;=36,$AL$23,INDEX($C$23:$AL$23,MAX(1,ROUNDUP(BN806/'🎚️ Escenario'!$C$11,0)))))</f>
        <v>0</v>
      </c>
      <c r="BO807" s="236" t="n">
        <f aca="false" t="array" ref="BO807:BO807">IF(BO806=0,0,IF(BO806/'🎚️ Escenario'!$C$11&gt;=36,$AL$23,INDEX($C$23:$AL$23,MAX(1,ROUNDUP(BO806/'🎚️ Escenario'!$C$11,0)))))</f>
        <v>0</v>
      </c>
      <c r="BP807" s="236" t="n">
        <f aca="false" t="array" ref="BP807:BP807">IF(BP806=0,0,IF(BP806/'🎚️ Escenario'!$C$11&gt;=36,$AL$23,INDEX($C$23:$AL$23,MAX(1,ROUNDUP(BP806/'🎚️ Escenario'!$C$11,0)))))</f>
        <v>0</v>
      </c>
      <c r="BQ807" s="236" t="n">
        <f aca="false" t="array" ref="BQ807:BQ807">IF(BQ806=0,0,IF(BQ806/'🎚️ Escenario'!$C$11&gt;=36,$AL$23,INDEX($C$23:$AL$23,MAX(1,ROUNDUP(BQ806/'🎚️ Escenario'!$C$11,0)))))</f>
        <v>0</v>
      </c>
      <c r="BR807" s="236" t="n">
        <f aca="false" t="array" ref="BR807:BR807">IF(BR806=0,0,IF(BR806/'🎚️ Escenario'!$C$11&gt;=36,$AL$23,INDEX($C$23:$AL$23,MAX(1,ROUNDUP(BR806/'🎚️ Escenario'!$C$11,0)))))</f>
        <v>0</v>
      </c>
      <c r="BS807" s="236" t="n">
        <f aca="false" t="array" ref="BS807:BS807">IF(BS806=0,0,IF(BS806/'🎚️ Escenario'!$C$11&gt;=36,$AL$23,INDEX($C$23:$AL$23,MAX(1,ROUNDUP(BS806/'🎚️ Escenario'!$C$11,0)))))</f>
        <v>0</v>
      </c>
      <c r="BT807" s="236" t="n">
        <f aca="false" t="array" ref="BT807:BT807">IF(BT806=0,0,IF(BT806/'🎚️ Escenario'!$C$11&gt;=36,$AL$23,INDEX($C$23:$AL$23,MAX(1,ROUNDUP(BT806/'🎚️ Escenario'!$C$11,0)))))</f>
        <v>0</v>
      </c>
      <c r="BU807" s="236" t="n">
        <f aca="false" t="array" ref="BU807:BU807">IF(BU806=0,0,IF(BU806/'🎚️ Escenario'!$C$11&gt;=36,$AL$23,INDEX($C$23:$AL$23,MAX(1,ROUNDUP(BU806/'🎚️ Escenario'!$C$11,0)))))</f>
        <v>0</v>
      </c>
      <c r="BV807" s="236" t="n">
        <f aca="false" t="array" ref="BV807:BV807">IF(BV806=0,0,IF(BV806/'🎚️ Escenario'!$C$11&gt;=36,$AL$23,INDEX($C$23:$AL$23,MAX(1,ROUNDUP(BV806/'🎚️ Escenario'!$C$11,0)))))</f>
        <v>0</v>
      </c>
      <c r="BW807" s="236" t="n">
        <f aca="false" t="array" ref="BW807:BW807">IF(BW806=0,0,IF(BW806/'🎚️ Escenario'!$C$11&gt;=36,$AL$23,INDEX($C$23:$AL$23,MAX(1,ROUNDUP(BW806/'🎚️ Escenario'!$C$11,0)))))</f>
        <v>0</v>
      </c>
      <c r="BX807" s="236" t="n">
        <f aca="false" t="array" ref="BX807:BX807">IF(BX806=0,0,IF(BX806/'🎚️ Escenario'!$C$11&gt;=36,$AL$23,INDEX($C$23:$AL$23,MAX(1,ROUNDUP(BX806/'🎚️ Escenario'!$C$11,0)))))</f>
        <v>0</v>
      </c>
      <c r="BY807" s="236" t="n">
        <f aca="false" t="array" ref="BY807:BY807">IF(BY806=0,0,IF(BY806/'🎚️ Escenario'!$C$11&gt;=36,$AL$23,INDEX($C$23:$AL$23,MAX(1,ROUNDUP(BY806/'🎚️ Escenario'!$C$11,0)))))</f>
        <v>0</v>
      </c>
      <c r="BZ807" s="236" t="n">
        <f aca="false" t="array" ref="BZ807:BZ807">IF(BZ806=0,0,IF(BZ806/'🎚️ Escenario'!$C$11&gt;=36,$AL$23,INDEX($C$23:$AL$23,MAX(1,ROUNDUP(BZ806/'🎚️ Escenario'!$C$11,0)))))</f>
        <v>0</v>
      </c>
      <c r="CA807" s="236" t="n">
        <f aca="false" t="array" ref="CA807:CA807">IF(CA806=0,0,IF(CA806/'🎚️ Escenario'!$C$11&gt;=36,$AL$23,INDEX($C$23:$AL$23,MAX(1,ROUNDUP(CA806/'🎚️ Escenario'!$C$11,0)))))</f>
        <v>0</v>
      </c>
      <c r="CB807" s="236" t="n">
        <f aca="false" t="array" ref="CB807:CB807">IF(CB806=0,0,IF(CB806/'🎚️ Escenario'!$C$11&gt;=36,$AL$23,INDEX($C$23:$AL$23,MAX(1,ROUNDUP(CB806/'🎚️ Escenario'!$C$11,0)))))</f>
        <v>0</v>
      </c>
      <c r="CC807" s="236" t="n">
        <f aca="false" t="array" ref="CC807:CC807">IF(CC806=0,0,IF(CC806/'🎚️ Escenario'!$C$11&gt;=36,$AL$23,INDEX($C$23:$AL$23,MAX(1,ROUNDUP(CC806/'🎚️ Escenario'!$C$11,0)))))</f>
        <v>0</v>
      </c>
      <c r="CD807" s="236" t="n">
        <f aca="false" t="array" ref="CD807:CD807">IF(CD806=0,0,IF(CD806/'🎚️ Escenario'!$C$11&gt;=36,$AL$23,INDEX($C$23:$AL$23,MAX(1,ROUNDUP(CD806/'🎚️ Escenario'!$C$11,0)))))</f>
        <v>0</v>
      </c>
      <c r="CE807" s="236" t="n">
        <f aca="false" t="array" ref="CE807:CE807">IF(CE806=0,0,IF(CE806/'🎚️ Escenario'!$C$11&gt;=36,$AL$23,INDEX($C$23:$AL$23,MAX(1,ROUNDUP(CE806/'🎚️ Escenario'!$C$11,0)))))</f>
        <v>0</v>
      </c>
      <c r="CF807" s="236" t="n">
        <f aca="false" t="array" ref="CF807:CF807">IF(CF806=0,0,IF(CF806/'🎚️ Escenario'!$C$11&gt;=36,$AL$23,INDEX($C$23:$AL$23,MAX(1,ROUNDUP(CF806/'🎚️ Escenario'!$C$11,0)))))</f>
        <v>0</v>
      </c>
      <c r="CG807" s="236" t="n">
        <f aca="false" t="array" ref="CG807:CG807">IF(CG806=0,0,IF(CG806/'🎚️ Escenario'!$C$11&gt;=36,$AL$23,INDEX($C$23:$AL$23,MAX(1,ROUNDUP(CG806/'🎚️ Escenario'!$C$11,0)))))</f>
        <v>0</v>
      </c>
      <c r="CH807" s="236" t="n">
        <f aca="false" t="array" ref="CH807:CH807">IF(CH806=0,0,IF(CH806/'🎚️ Escenario'!$C$11&gt;=36,$AL$23,INDEX($C$23:$AL$23,MAX(1,ROUNDUP(CH806/'🎚️ Escenario'!$C$11,0)))))</f>
        <v>0</v>
      </c>
      <c r="CI807" s="236" t="n">
        <f aca="false" t="array" ref="CI807:CI807">IF(CI806=0,0,IF(CI806/'🎚️ Escenario'!$C$11&gt;=36,$AL$23,INDEX($C$23:$AL$23,MAX(1,ROUNDUP(CI806/'🎚️ Escenario'!$C$11,0)))))</f>
        <v>0</v>
      </c>
      <c r="CJ807" s="236" t="n">
        <f aca="false" t="array" ref="CJ807:CJ807">IF(CJ806=0,0,IF(CJ806/'🎚️ Escenario'!$C$11&gt;=36,$AL$23,INDEX($C$23:$AL$23,MAX(1,ROUNDUP(CJ806/'🎚️ Escenario'!$C$11,0)))))</f>
        <v>0</v>
      </c>
      <c r="CK807" s="236" t="n">
        <f aca="false" t="array" ref="CK807:CK807">IF(CK806=0,0,IF(CK806/'🎚️ Escenario'!$C$11&gt;=36,$AL$23,INDEX($C$23:$AL$23,MAX(1,ROUNDUP(CK806/'🎚️ Escenario'!$C$11,0)))))</f>
        <v>0</v>
      </c>
      <c r="CL807" s="236" t="n">
        <f aca="false" t="array" ref="CL807:CL807">IF(CL806=0,0,IF(CL806/'🎚️ Escenario'!$C$11&gt;=36,$AL$23,INDEX($C$23:$AL$23,MAX(1,ROUNDUP(CL806/'🎚️ Escenario'!$C$11,0)))))</f>
        <v>0</v>
      </c>
      <c r="CM807" s="236" t="n">
        <f aca="false" t="array" ref="CM807:CM807">IF(CM806=0,0,IF(CM806/'🎚️ Escenario'!$C$11&gt;=36,$AL$23,INDEX($C$23:$AL$23,MAX(1,ROUNDUP(CM806/'🎚️ Escenario'!$C$11,0)))))</f>
        <v>0</v>
      </c>
      <c r="CN807" s="236" t="n">
        <f aca="false" t="array" ref="CN807:CN807">IF(CN806=0,0,IF(CN806/'🎚️ Escenario'!$C$11&gt;=36,$AL$23,INDEX($C$23:$AL$23,MAX(1,ROUNDUP(CN806/'🎚️ Escenario'!$C$11,0)))))</f>
        <v>0</v>
      </c>
      <c r="CO807" s="236" t="n">
        <f aca="false" t="array" ref="CO807:CO807">IF(CO806=0,0,IF(CO806/'🎚️ Escenario'!$C$11&gt;=36,$AL$23,INDEX($C$23:$AL$23,MAX(1,ROUNDUP(CO806/'🎚️ Escenario'!$C$11,0)))))</f>
        <v>0</v>
      </c>
      <c r="CP807" s="236" t="n">
        <f aca="false" t="array" ref="CP807:CP807">IF(CP806=0,0,IF(CP806/'🎚️ Escenario'!$C$11&gt;=36,$AL$23,INDEX($C$23:$AL$23,MAX(1,ROUNDUP(CP806/'🎚️ Escenario'!$C$11,0)))))</f>
        <v>0</v>
      </c>
      <c r="CQ807" s="236" t="n">
        <f aca="false" t="array" ref="CQ807:CQ807">IF(CQ806=0,0,IF(CQ806/'🎚️ Escenario'!$C$11&gt;=36,$AL$23,INDEX($C$23:$AL$23,MAX(1,ROUNDUP(CQ806/'🎚️ Escenario'!$C$11,0)))))</f>
        <v>0</v>
      </c>
      <c r="CR807" s="236" t="n">
        <f aca="false" t="array" ref="CR807:CR807">IF(CR806=0,0,IF(CR806/'🎚️ Escenario'!$C$11&gt;=36,$AL$23,INDEX($C$23:$AL$23,MAX(1,ROUNDUP(CR806/'🎚️ Escenario'!$C$11,0)))))</f>
        <v>0</v>
      </c>
      <c r="CS807" s="236" t="n">
        <f aca="false" t="array" ref="CS807:CS807">IF(CS806=0,0,IF(CS806/'🎚️ Escenario'!$C$11&gt;=36,$AL$23,INDEX($C$23:$AL$23,MAX(1,ROUNDUP(CS806/'🎚️ Escenario'!$C$11,0)))))</f>
        <v>0</v>
      </c>
      <c r="CT807" s="236" t="n">
        <f aca="false" t="array" ref="CT807:CT807">IF(CT806=0,0,IF(CT806/'🎚️ Escenario'!$C$11&gt;=36,$AL$23,INDEX($C$23:$AL$23,MAX(1,ROUNDUP(CT806/'🎚️ Escenario'!$C$11,0)))))</f>
        <v>0</v>
      </c>
      <c r="CU807" s="236" t="n">
        <f aca="false" t="array" ref="CU807:CU807">IF(CU806=0,0,IF(CU806/'🎚️ Escenario'!$C$11&gt;=36,$AL$23,INDEX($C$23:$AL$23,MAX(1,ROUNDUP(CU806/'🎚️ Escenario'!$C$11,0)))))</f>
        <v>0</v>
      </c>
      <c r="CV807" s="236" t="n">
        <f aca="false" t="array" ref="CV807:CV807">IF(CV806=0,0,IF(CV806/'🎚️ Escenario'!$C$11&gt;=36,$AL$23,INDEX($C$23:$AL$23,MAX(1,ROUNDUP(CV806/'🎚️ Escenario'!$C$11,0)))))</f>
        <v>0</v>
      </c>
      <c r="CW807" s="236" t="n">
        <f aca="false" t="array" ref="CW807:CW807">IF(CW806=0,0,IF(CW806/'🎚️ Escenario'!$C$11&gt;=36,$AL$23,INDEX($C$23:$AL$23,MAX(1,ROUNDUP(CW806/'🎚️ Escenario'!$C$11,0)))))</f>
        <v>0</v>
      </c>
      <c r="CX807" s="236" t="n">
        <f aca="false" t="array" ref="CX807:CX807">IF(CX806=0,0,IF(CX806/'🎚️ Escenario'!$C$11&gt;=36,$AL$23,INDEX($C$23:$AL$23,MAX(1,ROUNDUP(CX806/'🎚️ Escenario'!$C$11,0)))))</f>
        <v>0</v>
      </c>
      <c r="CY807" s="236" t="n">
        <f aca="false" t="array" ref="CY807:CY807">IF(CY806=0,0,IF(CY806/'🎚️ Escenario'!$C$11&gt;=36,$AL$23,INDEX($C$23:$AL$23,MAX(1,ROUNDUP(CY806/'🎚️ Escenario'!$C$11,0)))))</f>
        <v>0</v>
      </c>
      <c r="CZ807" s="236" t="n">
        <f aca="false" t="array" ref="CZ807:CZ807">IF(CZ806=0,0,IF(CZ806/'🎚️ Escenario'!$C$11&gt;=36,$AL$23,INDEX($C$23:$AL$23,MAX(1,ROUNDUP(CZ806/'🎚️ Escenario'!$C$11,0)))))</f>
        <v>0</v>
      </c>
      <c r="DA807" s="236" t="n">
        <f aca="false" t="array" ref="DA807:DA807">IF(DA806=0,0,IF(DA806/'🎚️ Escenario'!$C$11&gt;=36,$AL$23,INDEX($C$23:$AL$23,MAX(1,ROUNDUP(DA806/'🎚️ Escenario'!$C$11,0)))))</f>
        <v>0</v>
      </c>
      <c r="DB807" s="236" t="n">
        <f aca="false" t="array" ref="DB807:DB807">IF(DB806=0,0,IF(DB806/'🎚️ Escenario'!$C$11&gt;=36,$AL$23,INDEX($C$23:$AL$23,MAX(1,ROUNDUP(DB806/'🎚️ Escenario'!$C$11,0)))))</f>
        <v>0</v>
      </c>
      <c r="DC807" s="236" t="n">
        <f aca="false" t="array" ref="DC807:DC807">IF(DC806=0,0,IF(DC806/'🎚️ Escenario'!$C$11&gt;=36,$AL$23,INDEX($C$23:$AL$23,MAX(1,ROUNDUP(DC806/'🎚️ Escenario'!$C$11,0)))))</f>
        <v>0</v>
      </c>
      <c r="DD807" s="236" t="n">
        <f aca="false" t="array" ref="DD807:DD807">IF(DD806=0,0,IF(DD806/'🎚️ Escenario'!$C$11&gt;=36,$AL$23,INDEX($C$23:$AL$23,MAX(1,ROUNDUP(DD806/'🎚️ Escenario'!$C$11,0)))))</f>
        <v>0</v>
      </c>
      <c r="DE807" s="236" t="n">
        <f aca="false" t="array" ref="DE807:DE807">IF(DE806=0,0,IF(DE806/'🎚️ Escenario'!$C$11&gt;=36,$AL$23,INDEX($C$23:$AL$23,MAX(1,ROUNDUP(DE806/'🎚️ Escenario'!$C$11,0)))))</f>
        <v>0</v>
      </c>
      <c r="DF807" s="236" t="n">
        <f aca="false" t="array" ref="DF807:DF807">IF(DF806=0,0,IF(DF806/'🎚️ Escenario'!$C$11&gt;=36,$AL$23,INDEX($C$23:$AL$23,MAX(1,ROUNDUP(DF806/'🎚️ Escenario'!$C$11,0)))))</f>
        <v>0</v>
      </c>
      <c r="DG807" s="236" t="n">
        <f aca="false" t="array" ref="DG807:DG807">IF(DG806=0,0,IF(DG806/'🎚️ Escenario'!$C$11&gt;=36,$AL$23,INDEX($C$23:$AL$23,MAX(1,ROUNDUP(DG806/'🎚️ Escenario'!$C$11,0)))))</f>
        <v>0</v>
      </c>
      <c r="DH807" s="236" t="n">
        <f aca="false" t="array" ref="DH807:DH807">IF(DH806=0,0,IF(DH806/'🎚️ Escenario'!$C$11&gt;=36,$AL$23,INDEX($C$23:$AL$23,MAX(1,ROUNDUP(DH806/'🎚️ Escenario'!$C$11,0)))))</f>
        <v>0</v>
      </c>
      <c r="DI807" s="236" t="n">
        <f aca="false" t="array" ref="DI807:DI807">IF(DI806=0,0,IF(DI806/'🎚️ Escenario'!$C$11&gt;=36,$AL$23,INDEX($C$23:$AL$23,MAX(1,ROUNDUP(DI806/'🎚️ Escenario'!$C$11,0)))))</f>
        <v>0</v>
      </c>
      <c r="DJ807" s="236" t="n">
        <f aca="false" t="array" ref="DJ807:DJ807">IF(DJ806=0,0,IF(DJ806/'🎚️ Escenario'!$C$11&gt;=36,$AL$23,INDEX($C$23:$AL$23,MAX(1,ROUNDUP(DJ806/'🎚️ Escenario'!$C$11,0)))))</f>
        <v>0</v>
      </c>
      <c r="DK807" s="236" t="n">
        <f aca="false" t="array" ref="DK807:DK807">IF(DK806=0,0,IF(DK806/'🎚️ Escenario'!$C$11&gt;=36,$AL$23,INDEX($C$23:$AL$23,MAX(1,ROUNDUP(DK806/'🎚️ Escenario'!$C$11,0)))))</f>
        <v>0</v>
      </c>
      <c r="DL807" s="236" t="n">
        <f aca="false" t="array" ref="DL807:DL807">IF(DL806=0,0,IF(DL806/'🎚️ Escenario'!$C$11&gt;=36,$AL$23,INDEX($C$23:$AL$23,MAX(1,ROUNDUP(DL806/'🎚️ Escenario'!$C$11,0)))))</f>
        <v>0</v>
      </c>
      <c r="DM807" s="236" t="n">
        <f aca="false" t="array" ref="DM807:DM807">IF(DM806=0,0,IF(DM806/'🎚️ Escenario'!$C$11&gt;=36,$AL$23,INDEX($C$23:$AL$23,MAX(1,ROUNDUP(DM806/'🎚️ Escenario'!$C$11,0)))))</f>
        <v>0</v>
      </c>
      <c r="DN807" s="236" t="n">
        <f aca="false" t="array" ref="DN807:DN807">IF(DN806=0,0,IF(DN806/'🎚️ Escenario'!$C$11&gt;=36,$AL$23,INDEX($C$23:$AL$23,MAX(1,ROUNDUP(DN806/'🎚️ Escenario'!$C$11,0)))))</f>
        <v>0</v>
      </c>
      <c r="DO807" s="236" t="n">
        <f aca="false" t="array" ref="DO807:DO807">IF(DO806=0,0,IF(DO806/'🎚️ Escenario'!$C$11&gt;=36,$AL$23,INDEX($C$23:$AL$23,MAX(1,ROUNDUP(DO806/'🎚️ Escenario'!$C$11,0)))))</f>
        <v>0</v>
      </c>
      <c r="DP807" s="236" t="n">
        <f aca="false" t="array" ref="DP807:DP807">IF(DP806=0,0,IF(DP806/'🎚️ Escenario'!$C$11&gt;=36,$AL$23,INDEX($C$23:$AL$23,MAX(1,ROUNDUP(DP806/'🎚️ Escenario'!$C$11,0)))))</f>
        <v>0</v>
      </c>
      <c r="DQ807" s="236" t="n">
        <f aca="false" t="array" ref="DQ807:DQ807">IF(DQ806=0,0,IF(DQ806/'🎚️ Escenario'!$C$11&gt;=36,$AL$23,INDEX($C$23:$AL$23,MAX(1,ROUNDUP(DQ806/'🎚️ Escenario'!$C$11,0)))))</f>
        <v>0</v>
      </c>
      <c r="DR807" s="236" t="n">
        <f aca="false" t="array" ref="DR807:DR807">IF(DR806=0,0,IF(DR806/'🎚️ Escenario'!$C$11&gt;=36,$AL$23,INDEX($C$23:$AL$23,MAX(1,ROUNDUP(DR806/'🎚️ Escenario'!$C$11,0)))))</f>
        <v>0</v>
      </c>
      <c r="DS807" s="236" t="n">
        <f aca="false" t="array" ref="DS807:DS807">IF(DS806=0,0,IF(DS806/'🎚️ Escenario'!$C$11&gt;=36,$AL$23,INDEX($C$23:$AL$23,MAX(1,ROUNDUP(DS806/'🎚️ Escenario'!$C$11,0)))))</f>
        <v>0</v>
      </c>
      <c r="DT807" s="236" t="n">
        <f aca="false" t="array" ref="DT807:DT807">IF(DT806=0,0,IF(DT806/'🎚️ Escenario'!$C$11&gt;=36,$AL$23,INDEX($C$23:$AL$23,MAX(1,ROUNDUP(DT806/'🎚️ Escenario'!$C$11,0)))))</f>
        <v>0</v>
      </c>
      <c r="DU807" s="236" t="n">
        <f aca="false" t="array" ref="DU807:DU807">IF(DU806=0,0,IF(DU806/'🎚️ Escenario'!$C$11&gt;=36,$AL$23,INDEX($C$23:$AL$23,MAX(1,ROUNDUP(DU806/'🎚️ Escenario'!$C$11,0)))))</f>
        <v>0</v>
      </c>
      <c r="DV807" s="236" t="n">
        <f aca="false" t="array" ref="DV807:DV807">IF(DV806=0,0,IF(DV806/'🎚️ Escenario'!$C$11&gt;=36,$AL$23,INDEX($C$23:$AL$23,MAX(1,ROUNDUP(DV806/'🎚️ Escenario'!$C$11,0)))))</f>
        <v>0</v>
      </c>
      <c r="DW807" s="236" t="n">
        <f aca="false" t="array" ref="DW807:DW807">IF(DW806=0,0,IF(DW806/'🎚️ Escenario'!$C$11&gt;=36,$AL$23,INDEX($C$23:$AL$23,MAX(1,ROUNDUP(DW806/'🎚️ Escenario'!$C$11,0)))))</f>
        <v>0</v>
      </c>
      <c r="DX807" s="236" t="n">
        <f aca="false" t="array" ref="DX807:DX807">IF(DX806=0,0,IF(DX806/'🎚️ Escenario'!$C$11&gt;=36,$AL$23,INDEX($C$23:$AL$23,MAX(1,ROUNDUP(DX806/'🎚️ Escenario'!$C$11,0)))))</f>
        <v>0</v>
      </c>
      <c r="DY807" s="236" t="n">
        <f aca="false" t="array" ref="DY807:DY807">IF(DY806=0,0,IF(DY806/'🎚️ Escenario'!$C$11&gt;=36,$AL$23,INDEX($C$23:$AL$23,MAX(1,ROUNDUP(DY806/'🎚️ Escenario'!$C$11,0)))))</f>
        <v>0</v>
      </c>
      <c r="DZ807" s="236" t="n">
        <f aca="false" t="array" ref="DZ807:DZ807">IF(DZ806=0,0,IF(DZ806/'🎚️ Escenario'!$C$11&gt;=36,$AL$23,INDEX($C$23:$AL$23,MAX(1,ROUNDUP(DZ806/'🎚️ Escenario'!$C$11,0)))))</f>
        <v>0</v>
      </c>
      <c r="EA807" s="236" t="n">
        <f aca="false" t="array" ref="EA807:EA807">IF(EA806=0,0,IF(EA806/'🎚️ Escenario'!$C$11&gt;=36,$AL$23,INDEX($C$23:$AL$23,MAX(1,ROUNDUP(EA806/'🎚️ Escenario'!$C$11,0)))))</f>
        <v>0</v>
      </c>
      <c r="EB807" s="236" t="n">
        <f aca="false" t="array" ref="EB807:EB807">IF(EB806=0,0,IF(EB806/'🎚️ Escenario'!$C$11&gt;=36,$AL$23,INDEX($C$23:$AL$23,MAX(1,ROUNDUP(EB806/'🎚️ Escenario'!$C$11,0)))))</f>
        <v>0</v>
      </c>
      <c r="EC807" s="236" t="n">
        <f aca="false" t="array" ref="EC807:EC807">IF(EC806=0,0,IF(EC806/'🎚️ Escenario'!$C$11&gt;=36,$AL$23,INDEX($C$23:$AL$23,MAX(1,ROUNDUP(EC806/'🎚️ Escenario'!$C$11,0)))))</f>
        <v>0</v>
      </c>
      <c r="ED807" s="236" t="n">
        <f aca="false" t="array" ref="ED807:ED807">IF(ED806=0,0,IF(ED806/'🎚️ Escenario'!$C$11&gt;=36,$AL$23,INDEX($C$23:$AL$23,MAX(1,ROUNDUP(ED806/'🎚️ Escenario'!$C$11,0)))))</f>
        <v>0</v>
      </c>
      <c r="EE807" s="236" t="n">
        <f aca="false" t="array" ref="EE807:EE807">IF(EE806=0,0,IF(EE806/'🎚️ Escenario'!$C$11&gt;=36,$AL$23,INDEX($C$23:$AL$23,MAX(1,ROUNDUP(EE806/'🎚️ Escenario'!$C$11,0)))))</f>
        <v>0</v>
      </c>
      <c r="EF807" s="236" t="n">
        <f aca="false" t="array" ref="EF807:EF807">IF(EF806=0,0,IF(EF806/'🎚️ Escenario'!$C$11&gt;=36,$AL$23,INDEX($C$23:$AL$23,MAX(1,ROUNDUP(EF806/'🎚️ Escenario'!$C$11,0)))))</f>
        <v>0</v>
      </c>
      <c r="EG807" s="236" t="n">
        <f aca="false" t="array" ref="EG807:EG807">IF(EG806=0,0,IF(EG806/'🎚️ Escenario'!$C$11&gt;=36,$AL$23,INDEX($C$23:$AL$23,MAX(1,ROUNDUP(EG806/'🎚️ Escenario'!$C$11,0)))))</f>
        <v>0</v>
      </c>
      <c r="EH807" s="236" t="n">
        <f aca="false" t="array" ref="EH807:EH807">IF(EH806=0,0,IF(EH806/'🎚️ Escenario'!$C$11&gt;=36,$AL$23,INDEX($C$23:$AL$23,MAX(1,ROUNDUP(EH806/'🎚️ Escenario'!$C$11,0)))))</f>
        <v>0</v>
      </c>
      <c r="EI807" s="236" t="n">
        <f aca="false" t="array" ref="EI807:EI807">IF(EI806=0,0,IF(EI806/'🎚️ Escenario'!$C$11&gt;=36,$AL$23,INDEX($C$23:$AL$23,MAX(1,ROUNDUP(EI806/'🎚️ Escenario'!$C$11,0)))))</f>
        <v>0</v>
      </c>
      <c r="EJ807" s="236" t="n">
        <f aca="false" t="array" ref="EJ807:EJ807">IF(EJ806=0,0,IF(EJ806/'🎚️ Escenario'!$C$11&gt;=36,$AL$23,INDEX($C$23:$AL$23,MAX(1,ROUNDUP(EJ806/'🎚️ Escenario'!$C$11,0)))))</f>
        <v>0</v>
      </c>
      <c r="EK807" s="236" t="n">
        <f aca="false" t="array" ref="EK807:EK807">IF(EK806=0,0,IF(EK806/'🎚️ Escenario'!$C$11&gt;=36,$AL$23,INDEX($C$23:$AL$23,MAX(1,ROUNDUP(EK806/'🎚️ Escenario'!$C$11,0)))))</f>
        <v>0</v>
      </c>
      <c r="EL807" s="236" t="n">
        <f aca="false" t="array" ref="EL807:EL807">IF(EL806=0,0,IF(EL806/'🎚️ Escenario'!$C$11&gt;=36,$AL$23,INDEX($C$23:$AL$23,MAX(1,ROUNDUP(EL806/'🎚️ Escenario'!$C$11,0)))))</f>
        <v>0</v>
      </c>
      <c r="EM807" s="236" t="n">
        <f aca="false" t="array" ref="EM807:EM807">IF(EM806=0,0,IF(EM806/'🎚️ Escenario'!$C$11&gt;=36,$AL$23,INDEX($C$23:$AL$23,MAX(1,ROUNDUP(EM806/'🎚️ Escenario'!$C$11,0)))))</f>
        <v>0</v>
      </c>
      <c r="EN807" s="236" t="n">
        <f aca="false" t="array" ref="EN807:EN807">IF(EN806=0,0,IF(EN806/'🎚️ Escenario'!$C$11&gt;=36,$AL$23,INDEX($C$23:$AL$23,MAX(1,ROUNDUP(EN806/'🎚️ Escenario'!$C$11,0)))))</f>
        <v>0</v>
      </c>
      <c r="EO807" s="236" t="n">
        <f aca="false" t="array" ref="EO807:EO807">IF(EO806=0,0,IF(EO806/'🎚️ Escenario'!$C$11&gt;=36,$AL$23,INDEX($C$23:$AL$23,MAX(1,ROUNDUP(EO806/'🎚️ Escenario'!$C$11,0)))))</f>
        <v>0</v>
      </c>
      <c r="EP807" s="236" t="n">
        <f aca="false" t="array" ref="EP807:EP807">IF(EP806=0,0,IF(EP806/'🎚️ Escenario'!$C$11&gt;=36,$AL$23,INDEX($C$23:$AL$23,MAX(1,ROUNDUP(EP806/'🎚️ Escenario'!$C$11,0)))))</f>
        <v>0</v>
      </c>
      <c r="EQ807" s="236" t="n">
        <f aca="false" t="array" ref="EQ807:EQ807">IF(EQ806=0,0,IF(EQ806/'🎚️ Escenario'!$C$11&gt;=36,$AL$23,INDEX($C$23:$AL$23,MAX(1,ROUNDUP(EQ806/'🎚️ Escenario'!$C$11,0)))))</f>
        <v>0</v>
      </c>
      <c r="ER807" s="236" t="n">
        <f aca="false" t="array" ref="ER807:ER807">IF(ER806=0,0,IF(ER806/'🎚️ Escenario'!$C$11&gt;=36,$AL$23,INDEX($C$23:$AL$23,MAX(1,ROUNDUP(ER806/'🎚️ Escenario'!$C$11,0)))))</f>
        <v>0</v>
      </c>
      <c r="ES807" s="9" t="n">
        <f aca="false" t="array" ref="ES807:ES807">IF(ES806=0,0,IF(ES806/'🎚️ Escenario'!$C$11&gt;=36,$AL$23,INDEX($C$23:$AL$23,MAX(1,ROUNDUP(ES806/'🎚️ Escenario'!$C$11,0)))))</f>
        <v>0.2</v>
      </c>
      <c r="ET807" s="9" t="n">
        <f aca="false" t="array" ref="ET807:ET807">IF(ET806=0,0,IF(ET806/'🎚️ Escenario'!$C$11&gt;=36,$AL$23,INDEX($C$23:$AL$23,MAX(1,ROUNDUP(ET806/'🎚️ Escenario'!$C$11,0)))))</f>
        <v>0.22</v>
      </c>
      <c r="EU807" s="9" t="n">
        <f aca="false" t="array" ref="EU807:EU807">IF(EU806=0,0,IF(EU806/'🎚️ Escenario'!$C$11&gt;=36,$AL$23,INDEX($C$23:$AL$23,MAX(1,ROUNDUP(EU806/'🎚️ Escenario'!$C$11,0)))))</f>
        <v>0.24</v>
      </c>
      <c r="EV807" s="9" t="n">
        <f aca="false" t="array" ref="EV807:EV807">IF(EV806=0,0,IF(EV806/'🎚️ Escenario'!$C$11&gt;=36,$AL$23,INDEX($C$23:$AL$23,MAX(1,ROUNDUP(EV806/'🎚️ Escenario'!$C$11,0)))))</f>
        <v>0.27</v>
      </c>
      <c r="EW807" s="9" t="n">
        <f aca="false" t="array" ref="EW807:EW807">IF(EW806=0,0,IF(EW806/'🎚️ Escenario'!$C$11&gt;=36,$AL$23,INDEX($C$23:$AL$23,MAX(1,ROUNDUP(EW806/'🎚️ Escenario'!$C$11,0)))))</f>
        <v>0.27</v>
      </c>
      <c r="EX807" s="9" t="n">
        <f aca="false" t="array" ref="EX807:EX807">IF(EX806=0,0,IF(EX806/'🎚️ Escenario'!$C$11&gt;=36,$AL$23,INDEX($C$23:$AL$23,MAX(1,ROUNDUP(EX806/'🎚️ Escenario'!$C$11,0)))))</f>
        <v>0.31</v>
      </c>
      <c r="EY807" s="9" t="n">
        <f aca="false" t="array" ref="EY807:EY807">IF(EY806=0,0,IF(EY806/'🎚️ Escenario'!$C$11&gt;=36,$AL$23,INDEX($C$23:$AL$23,MAX(1,ROUNDUP(EY806/'🎚️ Escenario'!$C$11,0)))))</f>
        <v>0.35</v>
      </c>
      <c r="EZ807" s="9" t="n">
        <f aca="false" t="array" ref="EZ807:EZ807">IF(EZ806=0,0,IF(EZ806/'🎚️ Escenario'!$C$11&gt;=36,$AL$23,INDEX($C$23:$AL$23,MAX(1,ROUNDUP(EZ806/'🎚️ Escenario'!$C$11,0)))))</f>
        <v>0.39</v>
      </c>
      <c r="FA807" s="9" t="n">
        <f aca="false" t="array" ref="FA807:FA807">IF(FA806=0,0,IF(FA806/'🎚️ Escenario'!$C$11&gt;=36,$AL$23,INDEX($C$23:$AL$23,MAX(1,ROUNDUP(FA806/'🎚️ Escenario'!$C$11,0)))))</f>
        <v>0.44</v>
      </c>
      <c r="FB807" s="9" t="n">
        <f aca="false" t="array" ref="FB807:FB807">IF(FB806=0,0,IF(FB806/'🎚️ Escenario'!$C$11&gt;=36,$AL$23,INDEX($C$23:$AL$23,MAX(1,ROUNDUP(FB806/'🎚️ Escenario'!$C$11,0)))))</f>
        <v>0.44</v>
      </c>
      <c r="FC807" s="9" t="n">
        <f aca="false" t="array" ref="FC807:FC807">IF(FC806=0,0,IF(FC806/'🎚️ Escenario'!$C$11&gt;=36,$AL$23,INDEX($C$23:$AL$23,MAX(1,ROUNDUP(FC806/'🎚️ Escenario'!$C$11,0)))))</f>
        <v>0.48</v>
      </c>
      <c r="FD807" s="9" t="n">
        <f aca="false" t="array" ref="FD807:FD807">IF(FD806=0,0,IF(FD806/'🎚️ Escenario'!$C$11&gt;=36,$AL$23,INDEX($C$23:$AL$23,MAX(1,ROUNDUP(FD806/'🎚️ Escenario'!$C$11,0)))))</f>
        <v>0.52</v>
      </c>
      <c r="FE807" s="9" t="n">
        <f aca="false" t="array" ref="FE807:FE807">IF(FE806=0,0,IF(FE806/'🎚️ Escenario'!$C$11&gt;=36,$AL$23,INDEX($C$23:$AL$23,MAX(1,ROUNDUP(FE806/'🎚️ Escenario'!$C$11,0)))))</f>
        <v>0.56</v>
      </c>
      <c r="FF807" s="9" t="n">
        <f aca="false" t="array" ref="FF807:FF807">IF(FF806=0,0,IF(FF806/'🎚️ Escenario'!$C$11&gt;=36,$AL$23,INDEX($C$23:$AL$23,MAX(1,ROUNDUP(FF806/'🎚️ Escenario'!$C$11,0)))))</f>
        <v>0.6</v>
      </c>
      <c r="FG807" s="9" t="n">
        <f aca="false" t="array" ref="FG807:FG807">IF(FG806=0,0,IF(FG806/'🎚️ Escenario'!$C$11&gt;=36,$AL$23,INDEX($C$23:$AL$23,MAX(1,ROUNDUP(FG806/'🎚️ Escenario'!$C$11,0)))))</f>
        <v>0.6</v>
      </c>
      <c r="FH807" s="9" t="n">
        <f aca="false" t="array" ref="FH807:FH807">IF(FH806=0,0,IF(FH806/'🎚️ Escenario'!$C$11&gt;=36,$AL$23,INDEX($C$23:$AL$23,MAX(1,ROUNDUP(FH806/'🎚️ Escenario'!$C$11,0)))))</f>
        <v>0.63</v>
      </c>
      <c r="FI807" s="9" t="n">
        <f aca="false" t="array" ref="FI807:FI807">IF(FI806=0,0,IF(FI806/'🎚️ Escenario'!$C$11&gt;=36,$AL$23,INDEX($C$23:$AL$23,MAX(1,ROUNDUP(FI806/'🎚️ Escenario'!$C$11,0)))))</f>
        <v>0.66</v>
      </c>
      <c r="FJ807" s="9" t="n">
        <f aca="false" t="array" ref="FJ807:FJ807">IF(FJ806=0,0,IF(FJ806/'🎚️ Escenario'!$C$11&gt;=36,$AL$23,INDEX($C$23:$AL$23,MAX(1,ROUNDUP(FJ806/'🎚️ Escenario'!$C$11,0)))))</f>
        <v>0.69</v>
      </c>
      <c r="FK807" s="9" t="n">
        <f aca="false" t="array" ref="FK807:FK807">IF(FK806=0,0,IF(FK806/'🎚️ Escenario'!$C$11&gt;=36,$AL$23,INDEX($C$23:$AL$23,MAX(1,ROUNDUP(FK806/'🎚️ Escenario'!$C$11,0)))))</f>
        <v>0.71</v>
      </c>
      <c r="FL807" s="9" t="n">
        <f aca="false" t="array" ref="FL807:FL807">IF(FL806=0,0,IF(FL806/'🎚️ Escenario'!$C$11&gt;=36,$AL$23,INDEX($C$23:$AL$23,MAX(1,ROUNDUP(FL806/'🎚️ Escenario'!$C$11,0)))))</f>
        <v>0.71</v>
      </c>
      <c r="FM807" s="9" t="n">
        <f aca="false" t="array" ref="FM807:FM807">IF(FM806=0,0,IF(FM806/'🎚️ Escenario'!$C$11&gt;=36,$AL$23,INDEX($C$23:$AL$23,MAX(1,ROUNDUP(FM806/'🎚️ Escenario'!$C$11,0)))))</f>
        <v>0.73</v>
      </c>
      <c r="FN807" s="9" t="n">
        <f aca="false" t="array" ref="FN807:FN807">IF(FN806=0,0,IF(FN806/'🎚️ Escenario'!$C$11&gt;=36,$AL$23,INDEX($C$23:$AL$23,MAX(1,ROUNDUP(FN806/'🎚️ Escenario'!$C$11,0)))))</f>
        <v>0.75</v>
      </c>
      <c r="FO807" s="9" t="n">
        <f aca="false" t="array" ref="FO807:FO807">IF(FO806=0,0,IF(FO806/'🎚️ Escenario'!$C$11&gt;=36,$AL$23,INDEX($C$23:$AL$23,MAX(1,ROUNDUP(FO806/'🎚️ Escenario'!$C$11,0)))))</f>
        <v>0.77</v>
      </c>
      <c r="FP807" s="9" t="n">
        <f aca="false" t="array" ref="FP807:FP807">IF(FP806=0,0,IF(FP806/'🎚️ Escenario'!$C$11&gt;=36,$AL$23,INDEX($C$23:$AL$23,MAX(1,ROUNDUP(FP806/'🎚️ Escenario'!$C$11,0)))))</f>
        <v>0.79</v>
      </c>
    </row>
    <row r="808" customFormat="false" ht="15" hidden="false" customHeight="false" outlineLevel="2" collapsed="false">
      <c r="B808" s="9" t="s">
        <v>875</v>
      </c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237" t="n">
        <f aca="false">IF(AC806=0,0,IF(AC806&lt;=12*'🎚️ Escenario'!$C$11,1,1+$C$6))</f>
        <v>0</v>
      </c>
      <c r="AD808" s="237" t="n">
        <f aca="false">IF(AD806=0,0,IF(AD806&lt;=12*'🎚️ Escenario'!$C$11,1,1+$C$6))</f>
        <v>0</v>
      </c>
      <c r="AE808" s="237" t="n">
        <f aca="false">IF(AE806=0,0,IF(AE806&lt;=12*'🎚️ Escenario'!$C$11,1,1+$C$6))</f>
        <v>0</v>
      </c>
      <c r="AF808" s="237" t="n">
        <f aca="false">IF(AF806=0,0,IF(AF806&lt;=12*'🎚️ Escenario'!$C$11,1,1+$C$6))</f>
        <v>0</v>
      </c>
      <c r="AG808" s="237" t="n">
        <f aca="false">IF(AG806=0,0,IF(AG806&lt;=12*'🎚️ Escenario'!$C$11,1,1+$C$6))</f>
        <v>0</v>
      </c>
      <c r="AH808" s="237" t="n">
        <f aca="false">IF(AH806=0,0,IF(AH806&lt;=12*'🎚️ Escenario'!$C$11,1,1+$C$6))</f>
        <v>0</v>
      </c>
      <c r="AI808" s="237" t="n">
        <f aca="false">IF(AI806=0,0,IF(AI806&lt;=12*'🎚️ Escenario'!$C$11,1,1+$C$6))</f>
        <v>0</v>
      </c>
      <c r="AJ808" s="237" t="n">
        <f aca="false">IF(AJ806=0,0,IF(AJ806&lt;=12*'🎚️ Escenario'!$C$11,1,1+$C$6))</f>
        <v>0</v>
      </c>
      <c r="AK808" s="237" t="n">
        <f aca="false">IF(AK806=0,0,IF(AK806&lt;=12*'🎚️ Escenario'!$C$11,1,1+$C$6))</f>
        <v>0</v>
      </c>
      <c r="AL808" s="237" t="n">
        <f aca="false">IF(AL806=0,0,IF(AL806&lt;=12*'🎚️ Escenario'!$C$11,1,1+$C$6))</f>
        <v>0</v>
      </c>
      <c r="AM808" s="237" t="n">
        <f aca="false">IF(AM806=0,0,IF(AM806&lt;=12*'🎚️ Escenario'!$C$11,1,1+$C$6))</f>
        <v>0</v>
      </c>
      <c r="AN808" s="237" t="n">
        <f aca="false">IF(AN806=0,0,IF(AN806&lt;=12*'🎚️ Escenario'!$C$11,1,1+$C$6))</f>
        <v>0</v>
      </c>
      <c r="AO808" s="237" t="n">
        <f aca="false">IF(AO806=0,0,IF(AO806&lt;=12*'🎚️ Escenario'!$C$11,1,1+$C$6))</f>
        <v>0</v>
      </c>
      <c r="AP808" s="237" t="n">
        <f aca="false">IF(AP806=0,0,IF(AP806&lt;=12*'🎚️ Escenario'!$C$11,1,1+$C$6))</f>
        <v>0</v>
      </c>
      <c r="AQ808" s="237" t="n">
        <f aca="false">IF(AQ806=0,0,IF(AQ806&lt;=12*'🎚️ Escenario'!$C$11,1,1+$C$6))</f>
        <v>0</v>
      </c>
      <c r="AR808" s="237" t="n">
        <f aca="false">IF(AR806=0,0,IF(AR806&lt;=12*'🎚️ Escenario'!$C$11,1,1+$C$6))</f>
        <v>0</v>
      </c>
      <c r="AS808" s="237" t="n">
        <f aca="false">IF(AS806=0,0,IF(AS806&lt;=12*'🎚️ Escenario'!$C$11,1,1+$C$6))</f>
        <v>0</v>
      </c>
      <c r="AT808" s="237" t="n">
        <f aca="false">IF(AT806=0,0,IF(AT806&lt;=12*'🎚️ Escenario'!$C$11,1,1+$C$6))</f>
        <v>0</v>
      </c>
      <c r="AU808" s="237" t="n">
        <f aca="false">IF(AU806=0,0,IF(AU806&lt;=12*'🎚️ Escenario'!$C$11,1,1+$C$6))</f>
        <v>0</v>
      </c>
      <c r="AV808" s="237" t="n">
        <f aca="false">IF(AV806=0,0,IF(AV806&lt;=12*'🎚️ Escenario'!$C$11,1,1+$C$6))</f>
        <v>0</v>
      </c>
      <c r="AW808" s="237" t="n">
        <f aca="false">IF(AW806=0,0,IF(AW806&lt;=12*'🎚️ Escenario'!$C$11,1,1+$C$6))</f>
        <v>0</v>
      </c>
      <c r="AX808" s="237" t="n">
        <f aca="false">IF(AX806=0,0,IF(AX806&lt;=12*'🎚️ Escenario'!$C$11,1,1+$C$6))</f>
        <v>0</v>
      </c>
      <c r="AY808" s="237" t="n">
        <f aca="false">IF(AY806=0,0,IF(AY806&lt;=12*'🎚️ Escenario'!$C$11,1,1+$C$6))</f>
        <v>0</v>
      </c>
      <c r="AZ808" s="237" t="n">
        <f aca="false">IF(AZ806=0,0,IF(AZ806&lt;=12*'🎚️ Escenario'!$C$11,1,1+$C$6))</f>
        <v>0</v>
      </c>
      <c r="BA808" s="237" t="n">
        <f aca="false">IF(BA806=0,0,IF(BA806&lt;=12*'🎚️ Escenario'!$C$11,1,1+$C$6))</f>
        <v>0</v>
      </c>
      <c r="BB808" s="237" t="n">
        <f aca="false">IF(BB806=0,0,IF(BB806&lt;=12*'🎚️ Escenario'!$C$11,1,1+$C$6))</f>
        <v>0</v>
      </c>
      <c r="BC808" s="237" t="n">
        <f aca="false">IF(BC806=0,0,IF(BC806&lt;=12*'🎚️ Escenario'!$C$11,1,1+$C$6))</f>
        <v>0</v>
      </c>
      <c r="BD808" s="237" t="n">
        <f aca="false">IF(BD806=0,0,IF(BD806&lt;=12*'🎚️ Escenario'!$C$11,1,1+$C$6))</f>
        <v>0</v>
      </c>
      <c r="BE808" s="237" t="n">
        <f aca="false">IF(BE806=0,0,IF(BE806&lt;=12*'🎚️ Escenario'!$C$11,1,1+$C$6))</f>
        <v>0</v>
      </c>
      <c r="BF808" s="237" t="n">
        <f aca="false">IF(BF806=0,0,IF(BF806&lt;=12*'🎚️ Escenario'!$C$11,1,1+$C$6))</f>
        <v>0</v>
      </c>
      <c r="BG808" s="237" t="n">
        <f aca="false">IF(BG806=0,0,IF(BG806&lt;=12*'🎚️ Escenario'!$C$11,1,1+$C$6))</f>
        <v>0</v>
      </c>
      <c r="BH808" s="237" t="n">
        <f aca="false">IF(BH806=0,0,IF(BH806&lt;=12*'🎚️ Escenario'!$C$11,1,1+$C$6))</f>
        <v>0</v>
      </c>
      <c r="BI808" s="237" t="n">
        <f aca="false">IF(BI806=0,0,IF(BI806&lt;=12*'🎚️ Escenario'!$C$11,1,1+$C$6))</f>
        <v>0</v>
      </c>
      <c r="BJ808" s="237" t="n">
        <f aca="false">IF(BJ806=0,0,IF(BJ806&lt;=12*'🎚️ Escenario'!$C$11,1,1+$C$6))</f>
        <v>0</v>
      </c>
      <c r="BK808" s="237" t="n">
        <f aca="false">IF(BK806=0,0,IF(BK806&lt;=12*'🎚️ Escenario'!$C$11,1,1+$C$6))</f>
        <v>0</v>
      </c>
      <c r="BL808" s="237" t="n">
        <f aca="false">IF(BL806=0,0,IF(BL806&lt;=12*'🎚️ Escenario'!$C$11,1,1+$C$6))</f>
        <v>0</v>
      </c>
      <c r="BM808" s="237" t="n">
        <f aca="false">IF(BM806=0,0,IF(BM806&lt;=12*'🎚️ Escenario'!$C$11,1,1+$C$6))</f>
        <v>0</v>
      </c>
      <c r="BN808" s="237" t="n">
        <f aca="false">IF(BN806=0,0,IF(BN806&lt;=12*'🎚️ Escenario'!$C$11,1,1+$C$6))</f>
        <v>0</v>
      </c>
      <c r="BO808" s="237" t="n">
        <f aca="false">IF(BO806=0,0,IF(BO806&lt;=12*'🎚️ Escenario'!$C$11,1,1+$C$6))</f>
        <v>0</v>
      </c>
      <c r="BP808" s="237" t="n">
        <f aca="false">IF(BP806=0,0,IF(BP806&lt;=12*'🎚️ Escenario'!$C$11,1,1+$C$6))</f>
        <v>0</v>
      </c>
      <c r="BQ808" s="237" t="n">
        <f aca="false">IF(BQ806=0,0,IF(BQ806&lt;=12*'🎚️ Escenario'!$C$11,1,1+$C$6))</f>
        <v>0</v>
      </c>
      <c r="BR808" s="237" t="n">
        <f aca="false">IF(BR806=0,0,IF(BR806&lt;=12*'🎚️ Escenario'!$C$11,1,1+$C$6))</f>
        <v>0</v>
      </c>
      <c r="BS808" s="237" t="n">
        <f aca="false">IF(BS806=0,0,IF(BS806&lt;=12*'🎚️ Escenario'!$C$11,1,1+$C$6))</f>
        <v>0</v>
      </c>
      <c r="BT808" s="237" t="n">
        <f aca="false">IF(BT806=0,0,IF(BT806&lt;=12*'🎚️ Escenario'!$C$11,1,1+$C$6))</f>
        <v>0</v>
      </c>
      <c r="BU808" s="237" t="n">
        <f aca="false">IF(BU806=0,0,IF(BU806&lt;=12*'🎚️ Escenario'!$C$11,1,1+$C$6))</f>
        <v>0</v>
      </c>
      <c r="BV808" s="237" t="n">
        <f aca="false">IF(BV806=0,0,IF(BV806&lt;=12*'🎚️ Escenario'!$C$11,1,1+$C$6))</f>
        <v>0</v>
      </c>
      <c r="BW808" s="237" t="n">
        <f aca="false">IF(BW806=0,0,IF(BW806&lt;=12*'🎚️ Escenario'!$C$11,1,1+$C$6))</f>
        <v>0</v>
      </c>
      <c r="BX808" s="237" t="n">
        <f aca="false">IF(BX806=0,0,IF(BX806&lt;=12*'🎚️ Escenario'!$C$11,1,1+$C$6))</f>
        <v>0</v>
      </c>
      <c r="BY808" s="237" t="n">
        <f aca="false">IF(BY806=0,0,IF(BY806&lt;=12*'🎚️ Escenario'!$C$11,1,1+$C$6))</f>
        <v>0</v>
      </c>
      <c r="BZ808" s="237" t="n">
        <f aca="false">IF(BZ806=0,0,IF(BZ806&lt;=12*'🎚️ Escenario'!$C$11,1,1+$C$6))</f>
        <v>0</v>
      </c>
      <c r="CA808" s="237" t="n">
        <f aca="false">IF(CA806=0,0,IF(CA806&lt;=12*'🎚️ Escenario'!$C$11,1,1+$C$6))</f>
        <v>0</v>
      </c>
      <c r="CB808" s="237" t="n">
        <f aca="false">IF(CB806=0,0,IF(CB806&lt;=12*'🎚️ Escenario'!$C$11,1,1+$C$6))</f>
        <v>0</v>
      </c>
      <c r="CC808" s="237" t="n">
        <f aca="false">IF(CC806=0,0,IF(CC806&lt;=12*'🎚️ Escenario'!$C$11,1,1+$C$6))</f>
        <v>0</v>
      </c>
      <c r="CD808" s="237" t="n">
        <f aca="false">IF(CD806=0,0,IF(CD806&lt;=12*'🎚️ Escenario'!$C$11,1,1+$C$6))</f>
        <v>0</v>
      </c>
      <c r="CE808" s="237" t="n">
        <f aca="false">IF(CE806=0,0,IF(CE806&lt;=12*'🎚️ Escenario'!$C$11,1,1+$C$6))</f>
        <v>0</v>
      </c>
      <c r="CF808" s="237" t="n">
        <f aca="false">IF(CF806=0,0,IF(CF806&lt;=12*'🎚️ Escenario'!$C$11,1,1+$C$6))</f>
        <v>0</v>
      </c>
      <c r="CG808" s="237" t="n">
        <f aca="false">IF(CG806=0,0,IF(CG806&lt;=12*'🎚️ Escenario'!$C$11,1,1+$C$6))</f>
        <v>0</v>
      </c>
      <c r="CH808" s="237" t="n">
        <f aca="false">IF(CH806=0,0,IF(CH806&lt;=12*'🎚️ Escenario'!$C$11,1,1+$C$6))</f>
        <v>0</v>
      </c>
      <c r="CI808" s="237" t="n">
        <f aca="false">IF(CI806=0,0,IF(CI806&lt;=12*'🎚️ Escenario'!$C$11,1,1+$C$6))</f>
        <v>0</v>
      </c>
      <c r="CJ808" s="237" t="n">
        <f aca="false">IF(CJ806=0,0,IF(CJ806&lt;=12*'🎚️ Escenario'!$C$11,1,1+$C$6))</f>
        <v>0</v>
      </c>
      <c r="CK808" s="237" t="n">
        <f aca="false">IF(CK806=0,0,IF(CK806&lt;=12*'🎚️ Escenario'!$C$11,1,1+$C$6))</f>
        <v>0</v>
      </c>
      <c r="CL808" s="237" t="n">
        <f aca="false">IF(CL806=0,0,IF(CL806&lt;=12*'🎚️ Escenario'!$C$11,1,1+$C$6))</f>
        <v>0</v>
      </c>
      <c r="CM808" s="237" t="n">
        <f aca="false">IF(CM806=0,0,IF(CM806&lt;=12*'🎚️ Escenario'!$C$11,1,1+$C$6))</f>
        <v>0</v>
      </c>
      <c r="CN808" s="237" t="n">
        <f aca="false">IF(CN806=0,0,IF(CN806&lt;=12*'🎚️ Escenario'!$C$11,1,1+$C$6))</f>
        <v>0</v>
      </c>
      <c r="CO808" s="237" t="n">
        <f aca="false">IF(CO806=0,0,IF(CO806&lt;=12*'🎚️ Escenario'!$C$11,1,1+$C$6))</f>
        <v>0</v>
      </c>
      <c r="CP808" s="237" t="n">
        <f aca="false">IF(CP806=0,0,IF(CP806&lt;=12*'🎚️ Escenario'!$C$11,1,1+$C$6))</f>
        <v>0</v>
      </c>
      <c r="CQ808" s="237" t="n">
        <f aca="false">IF(CQ806=0,0,IF(CQ806&lt;=12*'🎚️ Escenario'!$C$11,1,1+$C$6))</f>
        <v>0</v>
      </c>
      <c r="CR808" s="237" t="n">
        <f aca="false">IF(CR806=0,0,IF(CR806&lt;=12*'🎚️ Escenario'!$C$11,1,1+$C$6))</f>
        <v>0</v>
      </c>
      <c r="CS808" s="237" t="n">
        <f aca="false">IF(CS806=0,0,IF(CS806&lt;=12*'🎚️ Escenario'!$C$11,1,1+$C$6))</f>
        <v>0</v>
      </c>
      <c r="CT808" s="237" t="n">
        <f aca="false">IF(CT806=0,0,IF(CT806&lt;=12*'🎚️ Escenario'!$C$11,1,1+$C$6))</f>
        <v>0</v>
      </c>
      <c r="CU808" s="237" t="n">
        <f aca="false">IF(CU806=0,0,IF(CU806&lt;=12*'🎚️ Escenario'!$C$11,1,1+$C$6))</f>
        <v>0</v>
      </c>
      <c r="CV808" s="237" t="n">
        <f aca="false">IF(CV806=0,0,IF(CV806&lt;=12*'🎚️ Escenario'!$C$11,1,1+$C$6))</f>
        <v>0</v>
      </c>
      <c r="CW808" s="237" t="n">
        <f aca="false">IF(CW806=0,0,IF(CW806&lt;=12*'🎚️ Escenario'!$C$11,1,1+$C$6))</f>
        <v>0</v>
      </c>
      <c r="CX808" s="237" t="n">
        <f aca="false">IF(CX806=0,0,IF(CX806&lt;=12*'🎚️ Escenario'!$C$11,1,1+$C$6))</f>
        <v>0</v>
      </c>
      <c r="CY808" s="237" t="n">
        <f aca="false">IF(CY806=0,0,IF(CY806&lt;=12*'🎚️ Escenario'!$C$11,1,1+$C$6))</f>
        <v>0</v>
      </c>
      <c r="CZ808" s="237" t="n">
        <f aca="false">IF(CZ806=0,0,IF(CZ806&lt;=12*'🎚️ Escenario'!$C$11,1,1+$C$6))</f>
        <v>0</v>
      </c>
      <c r="DA808" s="237" t="n">
        <f aca="false">IF(DA806=0,0,IF(DA806&lt;=12*'🎚️ Escenario'!$C$11,1,1+$C$6))</f>
        <v>0</v>
      </c>
      <c r="DB808" s="237" t="n">
        <f aca="false">IF(DB806=0,0,IF(DB806&lt;=12*'🎚️ Escenario'!$C$11,1,1+$C$6))</f>
        <v>0</v>
      </c>
      <c r="DC808" s="237" t="n">
        <f aca="false">IF(DC806=0,0,IF(DC806&lt;=12*'🎚️ Escenario'!$C$11,1,1+$C$6))</f>
        <v>0</v>
      </c>
      <c r="DD808" s="237" t="n">
        <f aca="false">IF(DD806=0,0,IF(DD806&lt;=12*'🎚️ Escenario'!$C$11,1,1+$C$6))</f>
        <v>0</v>
      </c>
      <c r="DE808" s="237" t="n">
        <f aca="false">IF(DE806=0,0,IF(DE806&lt;=12*'🎚️ Escenario'!$C$11,1,1+$C$6))</f>
        <v>0</v>
      </c>
      <c r="DF808" s="237" t="n">
        <f aca="false">IF(DF806=0,0,IF(DF806&lt;=12*'🎚️ Escenario'!$C$11,1,1+$C$6))</f>
        <v>0</v>
      </c>
      <c r="DG808" s="237" t="n">
        <f aca="false">IF(DG806=0,0,IF(DG806&lt;=12*'🎚️ Escenario'!$C$11,1,1+$C$6))</f>
        <v>0</v>
      </c>
      <c r="DH808" s="237" t="n">
        <f aca="false">IF(DH806=0,0,IF(DH806&lt;=12*'🎚️ Escenario'!$C$11,1,1+$C$6))</f>
        <v>0</v>
      </c>
      <c r="DI808" s="237" t="n">
        <f aca="false">IF(DI806=0,0,IF(DI806&lt;=12*'🎚️ Escenario'!$C$11,1,1+$C$6))</f>
        <v>0</v>
      </c>
      <c r="DJ808" s="237" t="n">
        <f aca="false">IF(DJ806=0,0,IF(DJ806&lt;=12*'🎚️ Escenario'!$C$11,1,1+$C$6))</f>
        <v>0</v>
      </c>
      <c r="DK808" s="237" t="n">
        <f aca="false">IF(DK806=0,0,IF(DK806&lt;=12*'🎚️ Escenario'!$C$11,1,1+$C$6))</f>
        <v>0</v>
      </c>
      <c r="DL808" s="237" t="n">
        <f aca="false">IF(DL806=0,0,IF(DL806&lt;=12*'🎚️ Escenario'!$C$11,1,1+$C$6))</f>
        <v>0</v>
      </c>
      <c r="DM808" s="237" t="n">
        <f aca="false">IF(DM806=0,0,IF(DM806&lt;=12*'🎚️ Escenario'!$C$11,1,1+$C$6))</f>
        <v>0</v>
      </c>
      <c r="DN808" s="237" t="n">
        <f aca="false">IF(DN806=0,0,IF(DN806&lt;=12*'🎚️ Escenario'!$C$11,1,1+$C$6))</f>
        <v>0</v>
      </c>
      <c r="DO808" s="237" t="n">
        <f aca="false">IF(DO806=0,0,IF(DO806&lt;=12*'🎚️ Escenario'!$C$11,1,1+$C$6))</f>
        <v>0</v>
      </c>
      <c r="DP808" s="237" t="n">
        <f aca="false">IF(DP806=0,0,IF(DP806&lt;=12*'🎚️ Escenario'!$C$11,1,1+$C$6))</f>
        <v>0</v>
      </c>
      <c r="DQ808" s="237" t="n">
        <f aca="false">IF(DQ806=0,0,IF(DQ806&lt;=12*'🎚️ Escenario'!$C$11,1,1+$C$6))</f>
        <v>0</v>
      </c>
      <c r="DR808" s="237" t="n">
        <f aca="false">IF(DR806=0,0,IF(DR806&lt;=12*'🎚️ Escenario'!$C$11,1,1+$C$6))</f>
        <v>0</v>
      </c>
      <c r="DS808" s="237" t="n">
        <f aca="false">IF(DS806=0,0,IF(DS806&lt;=12*'🎚️ Escenario'!$C$11,1,1+$C$6))</f>
        <v>0</v>
      </c>
      <c r="DT808" s="237" t="n">
        <f aca="false">IF(DT806=0,0,IF(DT806&lt;=12*'🎚️ Escenario'!$C$11,1,1+$C$6))</f>
        <v>0</v>
      </c>
      <c r="DU808" s="237" t="n">
        <f aca="false">IF(DU806=0,0,IF(DU806&lt;=12*'🎚️ Escenario'!$C$11,1,1+$C$6))</f>
        <v>0</v>
      </c>
      <c r="DV808" s="237" t="n">
        <f aca="false">IF(DV806=0,0,IF(DV806&lt;=12*'🎚️ Escenario'!$C$11,1,1+$C$6))</f>
        <v>0</v>
      </c>
      <c r="DW808" s="237" t="n">
        <f aca="false">IF(DW806=0,0,IF(DW806&lt;=12*'🎚️ Escenario'!$C$11,1,1+$C$6))</f>
        <v>0</v>
      </c>
      <c r="DX808" s="237" t="n">
        <f aca="false">IF(DX806=0,0,IF(DX806&lt;=12*'🎚️ Escenario'!$C$11,1,1+$C$6))</f>
        <v>0</v>
      </c>
      <c r="DY808" s="237" t="n">
        <f aca="false">IF(DY806=0,0,IF(DY806&lt;=12*'🎚️ Escenario'!$C$11,1,1+$C$6))</f>
        <v>0</v>
      </c>
      <c r="DZ808" s="237" t="n">
        <f aca="false">IF(DZ806=0,0,IF(DZ806&lt;=12*'🎚️ Escenario'!$C$11,1,1+$C$6))</f>
        <v>0</v>
      </c>
      <c r="EA808" s="237" t="n">
        <f aca="false">IF(EA806=0,0,IF(EA806&lt;=12*'🎚️ Escenario'!$C$11,1,1+$C$6))</f>
        <v>0</v>
      </c>
      <c r="EB808" s="237" t="n">
        <f aca="false">IF(EB806=0,0,IF(EB806&lt;=12*'🎚️ Escenario'!$C$11,1,1+$C$6))</f>
        <v>0</v>
      </c>
      <c r="EC808" s="237" t="n">
        <f aca="false">IF(EC806=0,0,IF(EC806&lt;=12*'🎚️ Escenario'!$C$11,1,1+$C$6))</f>
        <v>0</v>
      </c>
      <c r="ED808" s="237" t="n">
        <f aca="false">IF(ED806=0,0,IF(ED806&lt;=12*'🎚️ Escenario'!$C$11,1,1+$C$6))</f>
        <v>0</v>
      </c>
      <c r="EE808" s="237" t="n">
        <f aca="false">IF(EE806=0,0,IF(EE806&lt;=12*'🎚️ Escenario'!$C$11,1,1+$C$6))</f>
        <v>0</v>
      </c>
      <c r="EF808" s="237" t="n">
        <f aca="false">IF(EF806=0,0,IF(EF806&lt;=12*'🎚️ Escenario'!$C$11,1,1+$C$6))</f>
        <v>0</v>
      </c>
      <c r="EG808" s="237" t="n">
        <f aca="false">IF(EG806=0,0,IF(EG806&lt;=12*'🎚️ Escenario'!$C$11,1,1+$C$6))</f>
        <v>0</v>
      </c>
      <c r="EH808" s="237" t="n">
        <f aca="false">IF(EH806=0,0,IF(EH806&lt;=12*'🎚️ Escenario'!$C$11,1,1+$C$6))</f>
        <v>0</v>
      </c>
      <c r="EI808" s="237" t="n">
        <f aca="false">IF(EI806=0,0,IF(EI806&lt;=12*'🎚️ Escenario'!$C$11,1,1+$C$6))</f>
        <v>0</v>
      </c>
      <c r="EJ808" s="237" t="n">
        <f aca="false">IF(EJ806=0,0,IF(EJ806&lt;=12*'🎚️ Escenario'!$C$11,1,1+$C$6))</f>
        <v>0</v>
      </c>
      <c r="EK808" s="237" t="n">
        <f aca="false">IF(EK806=0,0,IF(EK806&lt;=12*'🎚️ Escenario'!$C$11,1,1+$C$6))</f>
        <v>0</v>
      </c>
      <c r="EL808" s="237" t="n">
        <f aca="false">IF(EL806=0,0,IF(EL806&lt;=12*'🎚️ Escenario'!$C$11,1,1+$C$6))</f>
        <v>0</v>
      </c>
      <c r="EM808" s="237" t="n">
        <f aca="false">IF(EM806=0,0,IF(EM806&lt;=12*'🎚️ Escenario'!$C$11,1,1+$C$6))</f>
        <v>0</v>
      </c>
      <c r="EN808" s="237" t="n">
        <f aca="false">IF(EN806=0,0,IF(EN806&lt;=12*'🎚️ Escenario'!$C$11,1,1+$C$6))</f>
        <v>0</v>
      </c>
      <c r="EO808" s="237" t="n">
        <f aca="false">IF(EO806=0,0,IF(EO806&lt;=12*'🎚️ Escenario'!$C$11,1,1+$C$6))</f>
        <v>0</v>
      </c>
      <c r="EP808" s="237" t="n">
        <f aca="false">IF(EP806=0,0,IF(EP806&lt;=12*'🎚️ Escenario'!$C$11,1,1+$C$6))</f>
        <v>0</v>
      </c>
      <c r="EQ808" s="237" t="n">
        <f aca="false">IF(EQ806=0,0,IF(EQ806&lt;=12*'🎚️ Escenario'!$C$11,1,1+$C$6))</f>
        <v>0</v>
      </c>
      <c r="ER808" s="237" t="n">
        <f aca="false">IF(ER806=0,0,IF(ER806&lt;=12*'🎚️ Escenario'!$C$11,1,1+$C$6))</f>
        <v>0</v>
      </c>
      <c r="ES808" s="9" t="n">
        <f aca="false">IF(ES806=0,0,IF(ES806&lt;=12*'🎚️ Escenario'!$C$11,1,1+$C$6))</f>
        <v>1</v>
      </c>
      <c r="ET808" s="9" t="n">
        <f aca="false">IF(ET806=0,0,IF(ET806&lt;=12*'🎚️ Escenario'!$C$11,1,1+$C$6))</f>
        <v>1</v>
      </c>
      <c r="EU808" s="9" t="n">
        <f aca="false">IF(EU806=0,0,IF(EU806&lt;=12*'🎚️ Escenario'!$C$11,1,1+$C$6))</f>
        <v>1</v>
      </c>
      <c r="EV808" s="9" t="n">
        <f aca="false">IF(EV806=0,0,IF(EV806&lt;=12*'🎚️ Escenario'!$C$11,1,1+$C$6))</f>
        <v>1</v>
      </c>
      <c r="EW808" s="9" t="n">
        <f aca="false">IF(EW806=0,0,IF(EW806&lt;=12*'🎚️ Escenario'!$C$11,1,1+$C$6))</f>
        <v>1</v>
      </c>
      <c r="EX808" s="9" t="n">
        <f aca="false">IF(EX806=0,0,IF(EX806&lt;=12*'🎚️ Escenario'!$C$11,1,1+$C$6))</f>
        <v>1</v>
      </c>
      <c r="EY808" s="9" t="n">
        <f aca="false">IF(EY806=0,0,IF(EY806&lt;=12*'🎚️ Escenario'!$C$11,1,1+$C$6))</f>
        <v>1</v>
      </c>
      <c r="EZ808" s="9" t="n">
        <f aca="false">IF(EZ806=0,0,IF(EZ806&lt;=12*'🎚️ Escenario'!$C$11,1,1+$C$6))</f>
        <v>1</v>
      </c>
      <c r="FA808" s="9" t="n">
        <f aca="false">IF(FA806=0,0,IF(FA806&lt;=12*'🎚️ Escenario'!$C$11,1,1+$C$6))</f>
        <v>1</v>
      </c>
      <c r="FB808" s="9" t="n">
        <f aca="false">IF(FB806=0,0,IF(FB806&lt;=12*'🎚️ Escenario'!$C$11,1,1+$C$6))</f>
        <v>1</v>
      </c>
      <c r="FC808" s="9" t="n">
        <f aca="false">IF(FC806=0,0,IF(FC806&lt;=12*'🎚️ Escenario'!$C$11,1,1+$C$6))</f>
        <v>1</v>
      </c>
      <c r="FD808" s="9" t="n">
        <f aca="false">IF(FD806=0,0,IF(FD806&lt;=12*'🎚️ Escenario'!$C$11,1,1+$C$6))</f>
        <v>1</v>
      </c>
      <c r="FE808" s="9" t="n">
        <f aca="false">IF(FE806=0,0,IF(FE806&lt;=12*'🎚️ Escenario'!$C$11,1,1+$C$6))</f>
        <v>1</v>
      </c>
      <c r="FF808" s="9" t="n">
        <f aca="false">IF(FF806=0,0,IF(FF806&lt;=12*'🎚️ Escenario'!$C$11,1,1+$C$6))</f>
        <v>1</v>
      </c>
      <c r="FG808" s="9" t="n">
        <f aca="false">IF(FG806=0,0,IF(FG806&lt;=12*'🎚️ Escenario'!$C$11,1,1+$C$6))</f>
        <v>1</v>
      </c>
      <c r="FH808" s="238" t="n">
        <f aca="false">IF(FH806=0,0,IF(FH806&lt;=12*'🎚️ Escenario'!$C$11,1,1+$C$6))</f>
        <v>1.2</v>
      </c>
      <c r="FI808" s="238" t="n">
        <f aca="false">IF(FI806=0,0,IF(FI806&lt;=12*'🎚️ Escenario'!$C$11,1,1+$C$6))</f>
        <v>1.2</v>
      </c>
      <c r="FJ808" s="238" t="n">
        <f aca="false">IF(FJ806=0,0,IF(FJ806&lt;=12*'🎚️ Escenario'!$C$11,1,1+$C$6))</f>
        <v>1.2</v>
      </c>
      <c r="FK808" s="238" t="n">
        <f aca="false">IF(FK806=0,0,IF(FK806&lt;=12*'🎚️ Escenario'!$C$11,1,1+$C$6))</f>
        <v>1.2</v>
      </c>
      <c r="FL808" s="238" t="n">
        <f aca="false">IF(FL806=0,0,IF(FL806&lt;=12*'🎚️ Escenario'!$C$11,1,1+$C$6))</f>
        <v>1.2</v>
      </c>
      <c r="FM808" s="238" t="n">
        <f aca="false">IF(FM806=0,0,IF(FM806&lt;=12*'🎚️ Escenario'!$C$11,1,1+$C$6))</f>
        <v>1.2</v>
      </c>
      <c r="FN808" s="238" t="n">
        <f aca="false">IF(FN806=0,0,IF(FN806&lt;=12*'🎚️ Escenario'!$C$11,1,1+$C$6))</f>
        <v>1.2</v>
      </c>
      <c r="FO808" s="238" t="n">
        <f aca="false">IF(FO806=0,0,IF(FO806&lt;=12*'🎚️ Escenario'!$C$11,1,1+$C$6))</f>
        <v>1.2</v>
      </c>
      <c r="FP808" s="238" t="n">
        <f aca="false">IF(FP806=0,0,IF(FP806&lt;=12*'🎚️ Escenario'!$C$11,1,1+$C$6))</f>
        <v>1.2</v>
      </c>
    </row>
    <row r="809" customFormat="false" ht="15" hidden="false" customHeight="false" outlineLevel="2" collapsed="false">
      <c r="B809" s="9" t="s">
        <v>876</v>
      </c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36" t="n">
        <f aca="false">AC807*$AC$805*AC808*AC$38*'⑫ Roll-out Plan'!$O$85</f>
        <v>0</v>
      </c>
      <c r="AD809" s="36" t="n">
        <f aca="false">AD807*$AC$805*AD808*AD$38*'⑫ Roll-out Plan'!$O$85</f>
        <v>0</v>
      </c>
      <c r="AE809" s="36" t="n">
        <f aca="false">AE807*$AC$805*AE808*AE$38*'⑫ Roll-out Plan'!$O$85</f>
        <v>0</v>
      </c>
      <c r="AF809" s="36" t="n">
        <f aca="false">AF807*$AC$805*AF808*AF$38*'⑫ Roll-out Plan'!$O$85</f>
        <v>0</v>
      </c>
      <c r="AG809" s="36" t="n">
        <f aca="false">AG807*$AC$805*AG808*AG$38*'⑫ Roll-out Plan'!$O$85</f>
        <v>0</v>
      </c>
      <c r="AH809" s="36" t="n">
        <f aca="false">AH807*$AC$805*AH808*AH$38*'⑫ Roll-out Plan'!$O$85</f>
        <v>0</v>
      </c>
      <c r="AI809" s="36" t="n">
        <f aca="false">AI807*$AC$805*AI808*AI$38*'⑫ Roll-out Plan'!$O$85</f>
        <v>0</v>
      </c>
      <c r="AJ809" s="36" t="n">
        <f aca="false">AJ807*$AC$805*AJ808*AJ$38*'⑫ Roll-out Plan'!$O$85</f>
        <v>0</v>
      </c>
      <c r="AK809" s="36" t="n">
        <f aca="false">AK807*$AC$805*AK808*AK$38*'⑫ Roll-out Plan'!$O$85</f>
        <v>0</v>
      </c>
      <c r="AL809" s="36" t="n">
        <f aca="false">AL807*$AC$805*AL808*AL$38*'⑫ Roll-out Plan'!$O$85</f>
        <v>0</v>
      </c>
      <c r="AM809" s="36" t="n">
        <f aca="false">AM807*$AC$805*AM808*AM$38*'⑫ Roll-out Plan'!$O$85</f>
        <v>0</v>
      </c>
      <c r="AN809" s="36" t="n">
        <f aca="false">AN807*$AC$805*AN808*AN$38*'⑫ Roll-out Plan'!$O$85</f>
        <v>0</v>
      </c>
      <c r="AO809" s="36" t="n">
        <f aca="false">AO807*$AC$805*AO808*AO$38*'⑫ Roll-out Plan'!$O$85</f>
        <v>0</v>
      </c>
      <c r="AP809" s="36" t="n">
        <f aca="false">AP807*$AC$805*AP808*AP$38*'⑫ Roll-out Plan'!$O$85</f>
        <v>0</v>
      </c>
      <c r="AQ809" s="36" t="n">
        <f aca="false">AQ807*$AC$805*AQ808*AQ$38*'⑫ Roll-out Plan'!$O$85</f>
        <v>0</v>
      </c>
      <c r="AR809" s="36" t="n">
        <f aca="false">AR807*$AC$805*AR808*AR$38*'⑫ Roll-out Plan'!$O$85</f>
        <v>0</v>
      </c>
      <c r="AS809" s="36" t="n">
        <f aca="false">AS807*$AC$805*AS808*AS$38*'⑫ Roll-out Plan'!$O$85</f>
        <v>0</v>
      </c>
      <c r="AT809" s="36" t="n">
        <f aca="false">AT807*$AC$805*AT808*AT$38*'⑫ Roll-out Plan'!$O$85</f>
        <v>0</v>
      </c>
      <c r="AU809" s="36" t="n">
        <f aca="false">AU807*$AC$805*AU808*AU$38*'⑫ Roll-out Plan'!$O$85</f>
        <v>0</v>
      </c>
      <c r="AV809" s="36" t="n">
        <f aca="false">AV807*$AC$805*AV808*AV$38*'⑫ Roll-out Plan'!$O$85</f>
        <v>0</v>
      </c>
      <c r="AW809" s="36" t="n">
        <f aca="false">AW807*$AC$805*AW808*AW$38*'⑫ Roll-out Plan'!$O$85</f>
        <v>0</v>
      </c>
      <c r="AX809" s="36" t="n">
        <f aca="false">AX807*$AC$805*AX808*AX$38*'⑫ Roll-out Plan'!$O$85</f>
        <v>0</v>
      </c>
      <c r="AY809" s="36" t="n">
        <f aca="false">AY807*$AC$805*AY808*AY$38*'⑫ Roll-out Plan'!$O$85</f>
        <v>0</v>
      </c>
      <c r="AZ809" s="36" t="n">
        <f aca="false">AZ807*$AC$805*AZ808*AZ$38*'⑫ Roll-out Plan'!$O$85</f>
        <v>0</v>
      </c>
      <c r="BA809" s="36" t="n">
        <f aca="false">BA807*$AC$805*BA808*BA$38*'⑫ Roll-out Plan'!$O$85</f>
        <v>0</v>
      </c>
      <c r="BB809" s="36" t="n">
        <f aca="false">BB807*$AC$805*BB808*BB$38*'⑫ Roll-out Plan'!$O$85</f>
        <v>0</v>
      </c>
      <c r="BC809" s="36" t="n">
        <f aca="false">BC807*$AC$805*BC808*BC$38*'⑫ Roll-out Plan'!$O$85</f>
        <v>0</v>
      </c>
      <c r="BD809" s="36" t="n">
        <f aca="false">BD807*$AC$805*BD808*BD$38*'⑫ Roll-out Plan'!$O$85</f>
        <v>0</v>
      </c>
      <c r="BE809" s="36" t="n">
        <f aca="false">BE807*$AC$805*BE808*BE$38*'⑫ Roll-out Plan'!$O$85</f>
        <v>0</v>
      </c>
      <c r="BF809" s="36" t="n">
        <f aca="false">BF807*$AC$805*BF808*BF$38*'⑫ Roll-out Plan'!$O$85</f>
        <v>0</v>
      </c>
      <c r="BG809" s="36" t="n">
        <f aca="false">BG807*$AC$805*BG808*BG$38*'⑫ Roll-out Plan'!$O$85</f>
        <v>0</v>
      </c>
      <c r="BH809" s="36" t="n">
        <f aca="false">BH807*$AC$805*BH808*BH$38*'⑫ Roll-out Plan'!$O$85</f>
        <v>0</v>
      </c>
      <c r="BI809" s="36" t="n">
        <f aca="false">BI807*$AC$805*BI808*BI$38*'⑫ Roll-out Plan'!$O$85</f>
        <v>0</v>
      </c>
      <c r="BJ809" s="36" t="n">
        <f aca="false">BJ807*$AC$805*BJ808*BJ$38*'⑫ Roll-out Plan'!$O$85</f>
        <v>0</v>
      </c>
      <c r="BK809" s="36" t="n">
        <f aca="false">BK807*$AC$805*BK808*BK$38*'⑫ Roll-out Plan'!$O$85</f>
        <v>0</v>
      </c>
      <c r="BL809" s="36" t="n">
        <f aca="false">BL807*$AC$805*BL808*BL$38*'⑫ Roll-out Plan'!$O$85</f>
        <v>0</v>
      </c>
      <c r="BM809" s="36" t="n">
        <f aca="false">BM807*$AC$805*BM808*BM$38*'⑫ Roll-out Plan'!$O$85</f>
        <v>0</v>
      </c>
      <c r="BN809" s="36" t="n">
        <f aca="false">BN807*$AC$805*BN808*BN$38*'⑫ Roll-out Plan'!$O$85</f>
        <v>0</v>
      </c>
      <c r="BO809" s="36" t="n">
        <f aca="false">BO807*$AC$805*BO808*BO$38*'⑫ Roll-out Plan'!$O$85</f>
        <v>0</v>
      </c>
      <c r="BP809" s="36" t="n">
        <f aca="false">BP807*$AC$805*BP808*BP$38*'⑫ Roll-out Plan'!$O$85</f>
        <v>0</v>
      </c>
      <c r="BQ809" s="36" t="n">
        <f aca="false">BQ807*$AC$805*BQ808*BQ$38*'⑫ Roll-out Plan'!$O$85</f>
        <v>0</v>
      </c>
      <c r="BR809" s="36" t="n">
        <f aca="false">BR807*$AC$805*BR808*BR$38*'⑫ Roll-out Plan'!$O$85</f>
        <v>0</v>
      </c>
      <c r="BS809" s="36" t="n">
        <f aca="false">BS807*$AC$805*BS808*BS$38*'⑫ Roll-out Plan'!$O$85</f>
        <v>0</v>
      </c>
      <c r="BT809" s="36" t="n">
        <f aca="false">BT807*$AC$805*BT808*BT$38*'⑫ Roll-out Plan'!$O$85</f>
        <v>0</v>
      </c>
      <c r="BU809" s="36" t="n">
        <f aca="false">BU807*$AC$805*BU808*BU$38*'⑫ Roll-out Plan'!$O$85</f>
        <v>0</v>
      </c>
      <c r="BV809" s="36" t="n">
        <f aca="false">BV807*$AC$805*BV808*BV$38*'⑫ Roll-out Plan'!$O$85</f>
        <v>0</v>
      </c>
      <c r="BW809" s="36" t="n">
        <f aca="false">BW807*$AC$805*BW808*BW$38*'⑫ Roll-out Plan'!$O$85</f>
        <v>0</v>
      </c>
      <c r="BX809" s="36" t="n">
        <f aca="false">BX807*$AC$805*BX808*BX$38*'⑫ Roll-out Plan'!$O$85</f>
        <v>0</v>
      </c>
      <c r="BY809" s="36" t="n">
        <f aca="false">BY807*$AC$805*BY808*BY$38*'⑫ Roll-out Plan'!$O$85</f>
        <v>0</v>
      </c>
      <c r="BZ809" s="36" t="n">
        <f aca="false">BZ807*$AC$805*BZ808*BZ$38*'⑫ Roll-out Plan'!$O$85</f>
        <v>0</v>
      </c>
      <c r="CA809" s="36" t="n">
        <f aca="false">CA807*$AC$805*CA808*CA$38*'⑫ Roll-out Plan'!$O$85</f>
        <v>0</v>
      </c>
      <c r="CB809" s="36" t="n">
        <f aca="false">CB807*$AC$805*CB808*CB$38*'⑫ Roll-out Plan'!$O$85</f>
        <v>0</v>
      </c>
      <c r="CC809" s="36" t="n">
        <f aca="false">CC807*$AC$805*CC808*CC$38*'⑫ Roll-out Plan'!$O$85</f>
        <v>0</v>
      </c>
      <c r="CD809" s="36" t="n">
        <f aca="false">CD807*$AC$805*CD808*CD$38*'⑫ Roll-out Plan'!$O$85</f>
        <v>0</v>
      </c>
      <c r="CE809" s="36" t="n">
        <f aca="false">CE807*$AC$805*CE808*CE$38*'⑫ Roll-out Plan'!$O$85</f>
        <v>0</v>
      </c>
      <c r="CF809" s="36" t="n">
        <f aca="false">CF807*$AC$805*CF808*CF$38*'⑫ Roll-out Plan'!$O$85</f>
        <v>0</v>
      </c>
      <c r="CG809" s="36" t="n">
        <f aca="false">CG807*$AC$805*CG808*CG$38*'⑫ Roll-out Plan'!$O$85</f>
        <v>0</v>
      </c>
      <c r="CH809" s="36" t="n">
        <f aca="false">CH807*$AC$805*CH808*CH$38*'⑫ Roll-out Plan'!$O$85</f>
        <v>0</v>
      </c>
      <c r="CI809" s="36" t="n">
        <f aca="false">CI807*$AC$805*CI808*CI$38*'⑫ Roll-out Plan'!$O$85</f>
        <v>0</v>
      </c>
      <c r="CJ809" s="36" t="n">
        <f aca="false">CJ807*$AC$805*CJ808*CJ$38*'⑫ Roll-out Plan'!$O$85</f>
        <v>0</v>
      </c>
      <c r="CK809" s="36" t="n">
        <f aca="false">CK807*$AC$805*CK808*CK$38*'⑫ Roll-out Plan'!$O$85</f>
        <v>0</v>
      </c>
      <c r="CL809" s="36" t="n">
        <f aca="false">CL807*$AC$805*CL808*CL$38*'⑫ Roll-out Plan'!$O$85</f>
        <v>0</v>
      </c>
      <c r="CM809" s="36" t="n">
        <f aca="false">CM807*$AC$805*CM808*CM$38*'⑫ Roll-out Plan'!$O$85</f>
        <v>0</v>
      </c>
      <c r="CN809" s="36" t="n">
        <f aca="false">CN807*$AC$805*CN808*CN$38*'⑫ Roll-out Plan'!$O$85</f>
        <v>0</v>
      </c>
      <c r="CO809" s="36" t="n">
        <f aca="false">CO807*$AC$805*CO808*CO$38*'⑫ Roll-out Plan'!$O$85</f>
        <v>0</v>
      </c>
      <c r="CP809" s="36" t="n">
        <f aca="false">CP807*$AC$805*CP808*CP$38*'⑫ Roll-out Plan'!$O$85</f>
        <v>0</v>
      </c>
      <c r="CQ809" s="36" t="n">
        <f aca="false">CQ807*$AC$805*CQ808*CQ$38*'⑫ Roll-out Plan'!$O$85</f>
        <v>0</v>
      </c>
      <c r="CR809" s="36" t="n">
        <f aca="false">CR807*$AC$805*CR808*CR$38*'⑫ Roll-out Plan'!$O$85</f>
        <v>0</v>
      </c>
      <c r="CS809" s="36" t="n">
        <f aca="false">CS807*$AC$805*CS808*CS$38*'⑫ Roll-out Plan'!$O$85</f>
        <v>0</v>
      </c>
      <c r="CT809" s="36" t="n">
        <f aca="false">CT807*$AC$805*CT808*CT$38*'⑫ Roll-out Plan'!$O$85</f>
        <v>0</v>
      </c>
      <c r="CU809" s="36" t="n">
        <f aca="false">CU807*$AC$805*CU808*CU$38*'⑫ Roll-out Plan'!$O$85</f>
        <v>0</v>
      </c>
      <c r="CV809" s="36" t="n">
        <f aca="false">CV807*$AC$805*CV808*CV$38*'⑫ Roll-out Plan'!$O$85</f>
        <v>0</v>
      </c>
      <c r="CW809" s="36" t="n">
        <f aca="false">CW807*$AC$805*CW808*CW$38*'⑫ Roll-out Plan'!$O$85</f>
        <v>0</v>
      </c>
      <c r="CX809" s="36" t="n">
        <f aca="false">CX807*$AC$805*CX808*CX$38*'⑫ Roll-out Plan'!$O$85</f>
        <v>0</v>
      </c>
      <c r="CY809" s="36" t="n">
        <f aca="false">CY807*$AC$805*CY808*CY$38*'⑫ Roll-out Plan'!$O$85</f>
        <v>0</v>
      </c>
      <c r="CZ809" s="36" t="n">
        <f aca="false">CZ807*$AC$805*CZ808*CZ$38*'⑫ Roll-out Plan'!$O$85</f>
        <v>0</v>
      </c>
      <c r="DA809" s="36" t="n">
        <f aca="false">DA807*$AC$805*DA808*DA$38*'⑫ Roll-out Plan'!$O$85</f>
        <v>0</v>
      </c>
      <c r="DB809" s="36" t="n">
        <f aca="false">DB807*$AC$805*DB808*DB$38*'⑫ Roll-out Plan'!$O$85</f>
        <v>0</v>
      </c>
      <c r="DC809" s="36" t="n">
        <f aca="false">DC807*$AC$805*DC808*DC$38*'⑫ Roll-out Plan'!$O$85</f>
        <v>0</v>
      </c>
      <c r="DD809" s="36" t="n">
        <f aca="false">DD807*$AC$805*DD808*DD$38*'⑫ Roll-out Plan'!$O$85</f>
        <v>0</v>
      </c>
      <c r="DE809" s="36" t="n">
        <f aca="false">DE807*$AC$805*DE808*DE$38*'⑫ Roll-out Plan'!$O$85</f>
        <v>0</v>
      </c>
      <c r="DF809" s="36" t="n">
        <f aca="false">DF807*$AC$805*DF808*DF$38*'⑫ Roll-out Plan'!$O$85</f>
        <v>0</v>
      </c>
      <c r="DG809" s="36" t="n">
        <f aca="false">DG807*$AC$805*DG808*DG$38*'⑫ Roll-out Plan'!$O$85</f>
        <v>0</v>
      </c>
      <c r="DH809" s="36" t="n">
        <f aca="false">DH807*$AC$805*DH808*DH$38*'⑫ Roll-out Plan'!$O$85</f>
        <v>0</v>
      </c>
      <c r="DI809" s="36" t="n">
        <f aca="false">DI807*$AC$805*DI808*DI$38*'⑫ Roll-out Plan'!$O$85</f>
        <v>0</v>
      </c>
      <c r="DJ809" s="36" t="n">
        <f aca="false">DJ807*$AC$805*DJ808*DJ$38*'⑫ Roll-out Plan'!$O$85</f>
        <v>0</v>
      </c>
      <c r="DK809" s="36" t="n">
        <f aca="false">DK807*$AC$805*DK808*DK$38*'⑫ Roll-out Plan'!$O$85</f>
        <v>0</v>
      </c>
      <c r="DL809" s="36" t="n">
        <f aca="false">DL807*$AC$805*DL808*DL$38*'⑫ Roll-out Plan'!$O$85</f>
        <v>0</v>
      </c>
      <c r="DM809" s="36" t="n">
        <f aca="false">DM807*$AC$805*DM808*DM$38*'⑫ Roll-out Plan'!$O$85</f>
        <v>0</v>
      </c>
      <c r="DN809" s="36" t="n">
        <f aca="false">DN807*$AC$805*DN808*DN$38*'⑫ Roll-out Plan'!$O$85</f>
        <v>0</v>
      </c>
      <c r="DO809" s="36" t="n">
        <f aca="false">DO807*$AC$805*DO808*DO$38*'⑫ Roll-out Plan'!$O$85</f>
        <v>0</v>
      </c>
      <c r="DP809" s="36" t="n">
        <f aca="false">DP807*$AC$805*DP808*DP$38*'⑫ Roll-out Plan'!$O$85</f>
        <v>0</v>
      </c>
      <c r="DQ809" s="36" t="n">
        <f aca="false">DQ807*$AC$805*DQ808*DQ$38*'⑫ Roll-out Plan'!$O$85</f>
        <v>0</v>
      </c>
      <c r="DR809" s="36" t="n">
        <f aca="false">DR807*$AC$805*DR808*DR$38*'⑫ Roll-out Plan'!$O$85</f>
        <v>0</v>
      </c>
      <c r="DS809" s="36" t="n">
        <f aca="false">DS807*$AC$805*DS808*DS$38*'⑫ Roll-out Plan'!$O$85</f>
        <v>0</v>
      </c>
      <c r="DT809" s="36" t="n">
        <f aca="false">DT807*$AC$805*DT808*DT$38*'⑫ Roll-out Plan'!$O$85</f>
        <v>0</v>
      </c>
      <c r="DU809" s="36" t="n">
        <f aca="false">DU807*$AC$805*DU808*DU$38*'⑫ Roll-out Plan'!$O$85</f>
        <v>0</v>
      </c>
      <c r="DV809" s="36" t="n">
        <f aca="false">DV807*$AC$805*DV808*DV$38*'⑫ Roll-out Plan'!$O$85</f>
        <v>0</v>
      </c>
      <c r="DW809" s="36" t="n">
        <f aca="false">DW807*$AC$805*DW808*DW$38*'⑫ Roll-out Plan'!$O$85</f>
        <v>0</v>
      </c>
      <c r="DX809" s="36" t="n">
        <f aca="false">DX807*$AC$805*DX808*DX$38*'⑫ Roll-out Plan'!$O$85</f>
        <v>0</v>
      </c>
      <c r="DY809" s="36" t="n">
        <f aca="false">DY807*$AC$805*DY808*DY$38*'⑫ Roll-out Plan'!$O$85</f>
        <v>0</v>
      </c>
      <c r="DZ809" s="36" t="n">
        <f aca="false">DZ807*$AC$805*DZ808*DZ$38*'⑫ Roll-out Plan'!$O$85</f>
        <v>0</v>
      </c>
      <c r="EA809" s="36" t="n">
        <f aca="false">EA807*$AC$805*EA808*EA$38*'⑫ Roll-out Plan'!$O$85</f>
        <v>0</v>
      </c>
      <c r="EB809" s="36" t="n">
        <f aca="false">EB807*$AC$805*EB808*EB$38*'⑫ Roll-out Plan'!$O$85</f>
        <v>0</v>
      </c>
      <c r="EC809" s="36" t="n">
        <f aca="false">EC807*$AC$805*EC808*EC$38*'⑫ Roll-out Plan'!$O$85</f>
        <v>0</v>
      </c>
      <c r="ED809" s="36" t="n">
        <f aca="false">ED807*$AC$805*ED808*ED$38*'⑫ Roll-out Plan'!$O$85</f>
        <v>0</v>
      </c>
      <c r="EE809" s="36" t="n">
        <f aca="false">EE807*$AC$805*EE808*EE$38*'⑫ Roll-out Plan'!$O$85</f>
        <v>0</v>
      </c>
      <c r="EF809" s="36" t="n">
        <f aca="false">EF807*$AC$805*EF808*EF$38*'⑫ Roll-out Plan'!$O$85</f>
        <v>0</v>
      </c>
      <c r="EG809" s="36" t="n">
        <f aca="false">EG807*$AC$805*EG808*EG$38*'⑫ Roll-out Plan'!$O$85</f>
        <v>0</v>
      </c>
      <c r="EH809" s="36" t="n">
        <f aca="false">EH807*$AC$805*EH808*EH$38*'⑫ Roll-out Plan'!$O$85</f>
        <v>0</v>
      </c>
      <c r="EI809" s="36" t="n">
        <f aca="false">EI807*$AC$805*EI808*EI$38*'⑫ Roll-out Plan'!$O$85</f>
        <v>0</v>
      </c>
      <c r="EJ809" s="36" t="n">
        <f aca="false">EJ807*$AC$805*EJ808*EJ$38*'⑫ Roll-out Plan'!$O$85</f>
        <v>0</v>
      </c>
      <c r="EK809" s="36" t="n">
        <f aca="false">EK807*$AC$805*EK808*EK$38*'⑫ Roll-out Plan'!$O$85</f>
        <v>0</v>
      </c>
      <c r="EL809" s="36" t="n">
        <f aca="false">EL807*$AC$805*EL808*EL$38*'⑫ Roll-out Plan'!$O$85</f>
        <v>0</v>
      </c>
      <c r="EM809" s="36" t="n">
        <f aca="false">EM807*$AC$805*EM808*EM$38*'⑫ Roll-out Plan'!$O$85</f>
        <v>0</v>
      </c>
      <c r="EN809" s="36" t="n">
        <f aca="false">EN807*$AC$805*EN808*EN$38*'⑫ Roll-out Plan'!$O$85</f>
        <v>0</v>
      </c>
      <c r="EO809" s="36" t="n">
        <f aca="false">EO807*$AC$805*EO808*EO$38*'⑫ Roll-out Plan'!$O$85</f>
        <v>0</v>
      </c>
      <c r="EP809" s="36" t="n">
        <f aca="false">EP807*$AC$805*EP808*EP$38*'⑫ Roll-out Plan'!$O$85</f>
        <v>0</v>
      </c>
      <c r="EQ809" s="36" t="n">
        <f aca="false">EQ807*$AC$805*EQ808*EQ$38*'⑫ Roll-out Plan'!$O$85</f>
        <v>0</v>
      </c>
      <c r="ER809" s="36" t="n">
        <f aca="false">ER807*$AC$805*ER808*ER$38*'⑫ Roll-out Plan'!$O$85</f>
        <v>0</v>
      </c>
      <c r="ES809" s="9" t="n">
        <f aca="false">ES807*$AC$805*ES808*ES$38*'⑫ Roll-out Plan'!$O$85</f>
        <v>39.96</v>
      </c>
      <c r="ET809" s="9" t="n">
        <f aca="false">ET807*$AC$805*ET808*ET$38*'⑫ Roll-out Plan'!$O$85</f>
        <v>33.374</v>
      </c>
      <c r="EU809" s="9" t="n">
        <f aca="false">EU807*$AC$805*EU808*EU$38*'⑫ Roll-out Plan'!$O$85</f>
        <v>51.504</v>
      </c>
      <c r="EV809" s="9" t="n">
        <f aca="false">EV807*$AC$805*EV808*EV$38*'⑫ Roll-out Plan'!$O$85</f>
        <v>54.945</v>
      </c>
      <c r="EW809" s="9" t="n">
        <f aca="false">EW807*$AC$805*EW808*EW$38*'⑫ Roll-out Plan'!$O$85</f>
        <v>45.954</v>
      </c>
      <c r="EX809" s="9" t="n">
        <f aca="false">EX807*$AC$805*EX808*EX$38*'⑫ Roll-out Plan'!$O$85</f>
        <v>45.88</v>
      </c>
      <c r="EY809" s="9" t="n">
        <f aca="false">EY807*$AC$805*EY808*EY$38*'⑫ Roll-out Plan'!$O$85</f>
        <v>54.39</v>
      </c>
      <c r="EZ809" s="9" t="n">
        <f aca="false">EZ807*$AC$805*EZ808*EZ$38*'⑫ Roll-out Plan'!$O$85</f>
        <v>102.453</v>
      </c>
      <c r="FA809" s="9" t="n">
        <f aca="false">FA807*$AC$805*FA808*FA$38*'⑫ Roll-out Plan'!$O$85</f>
        <v>94.424</v>
      </c>
      <c r="FB809" s="9" t="n">
        <f aca="false">FB807*$AC$805*FB808*FB$38*'⑫ Roll-out Plan'!$O$85</f>
        <v>78.144</v>
      </c>
      <c r="FC809" s="9" t="n">
        <f aca="false">FC807*$AC$805*FC808*FC$38*'⑫ Roll-out Plan'!$O$85</f>
        <v>63.936</v>
      </c>
      <c r="FD809" s="9" t="n">
        <f aca="false">FD807*$AC$805*FD808*FD$38*'⑫ Roll-out Plan'!$O$85</f>
        <v>98.124</v>
      </c>
      <c r="FE809" s="9" t="n">
        <f aca="false">FE807*$AC$805*FE808*FE$38*'⑫ Roll-out Plan'!$O$85</f>
        <v>111.888</v>
      </c>
      <c r="FF809" s="9" t="n">
        <f aca="false">FF807*$AC$805*FF808*FF$38*'⑫ Roll-out Plan'!$O$85</f>
        <v>91.02</v>
      </c>
      <c r="FG809" s="9" t="n">
        <f aca="false">FG807*$AC$805*FG808*FG$38*'⑫ Roll-out Plan'!$O$85</f>
        <v>128.76</v>
      </c>
      <c r="FH809" s="9" t="n">
        <f aca="false">FH807*$AC$805*FH808*FH$38*'⑫ Roll-out Plan'!$O$85</f>
        <v>153.846</v>
      </c>
      <c r="FI809" s="9" t="n">
        <f aca="false">FI807*$AC$805*FI808*FI$38*'⑫ Roll-out Plan'!$O$85</f>
        <v>134.7984</v>
      </c>
      <c r="FJ809" s="9" t="n">
        <f aca="false">FJ807*$AC$805*FJ808*FJ$38*'⑫ Roll-out Plan'!$O$85</f>
        <v>122.544</v>
      </c>
      <c r="FK809" s="9" t="n">
        <f aca="false">FK807*$AC$805*FK808*FK$38*'⑫ Roll-out Plan'!$O$85</f>
        <v>132.4008</v>
      </c>
      <c r="FL809" s="9" t="n">
        <f aca="false">FL807*$AC$805*FL808*FL$38*'⑫ Roll-out Plan'!$O$85</f>
        <v>223.8204</v>
      </c>
      <c r="FM809" s="9" t="n">
        <f aca="false">FM807*$AC$805*FM808*FM$38*'⑫ Roll-out Plan'!$O$85</f>
        <v>187.9896</v>
      </c>
      <c r="FN809" s="9" t="n">
        <f aca="false">FN807*$AC$805*FN808*FN$38*'⑫ Roll-out Plan'!$O$85</f>
        <v>159.84</v>
      </c>
      <c r="FO809" s="9" t="n">
        <f aca="false">FO807*$AC$805*FO808*FO$38*'⑫ Roll-out Plan'!$O$85</f>
        <v>123.0768</v>
      </c>
      <c r="FP809" s="9" t="n">
        <f aca="false">FP807*$AC$805*FP808*FP$38*'⑫ Roll-out Plan'!$O$85</f>
        <v>178.8876</v>
      </c>
    </row>
    <row r="810" customFormat="false" ht="15" hidden="false" customHeight="false" outlineLevel="2" collapsed="false">
      <c r="B810" s="9" t="s">
        <v>877</v>
      </c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112" t="n">
        <f aca="true">IFERROR(SUMPRODUCT(OFFSET($BJ$31,0,1-MIN(60,COLUMN()-29),1,MIN(60,COLUMN()-29)),OFFSET(AC809,0,-MIN(60,COLUMN()-29),1,MIN(60,COLUMN()-29))),0)</f>
        <v>0</v>
      </c>
      <c r="AD810" s="112" t="n">
        <f aca="true">IFERROR(SUMPRODUCT(OFFSET($BJ$31,0,1-MIN(60,COLUMN()-29),1,MIN(60,COLUMN()-29)),OFFSET(AD809,0,-MIN(60,COLUMN()-29),1,MIN(60,COLUMN()-29))),0)</f>
        <v>0</v>
      </c>
      <c r="AE810" s="112" t="n">
        <f aca="true">IFERROR(SUMPRODUCT(OFFSET($BJ$31,0,1-MIN(60,COLUMN()-29),1,MIN(60,COLUMN()-29)),OFFSET(AE809,0,-MIN(60,COLUMN()-29),1,MIN(60,COLUMN()-29))),0)</f>
        <v>0</v>
      </c>
      <c r="AF810" s="112" t="n">
        <f aca="true">IFERROR(SUMPRODUCT(OFFSET($BJ$31,0,1-MIN(60,COLUMN()-29),1,MIN(60,COLUMN()-29)),OFFSET(AF809,0,-MIN(60,COLUMN()-29),1,MIN(60,COLUMN()-29))),0)</f>
        <v>0</v>
      </c>
      <c r="AG810" s="112" t="n">
        <f aca="true">IFERROR(SUMPRODUCT(OFFSET($BJ$31,0,1-MIN(60,COLUMN()-29),1,MIN(60,COLUMN()-29)),OFFSET(AG809,0,-MIN(60,COLUMN()-29),1,MIN(60,COLUMN()-29))),0)</f>
        <v>0</v>
      </c>
      <c r="AH810" s="112" t="n">
        <f aca="true">IFERROR(SUMPRODUCT(OFFSET($BJ$31,0,1-MIN(60,COLUMN()-29),1,MIN(60,COLUMN()-29)),OFFSET(AH809,0,-MIN(60,COLUMN()-29),1,MIN(60,COLUMN()-29))),0)</f>
        <v>0</v>
      </c>
      <c r="AI810" s="112" t="n">
        <f aca="true">IFERROR(SUMPRODUCT(OFFSET($BJ$31,0,1-MIN(60,COLUMN()-29),1,MIN(60,COLUMN()-29)),OFFSET(AI809,0,-MIN(60,COLUMN()-29),1,MIN(60,COLUMN()-29))),0)</f>
        <v>0</v>
      </c>
      <c r="AJ810" s="112" t="n">
        <f aca="true">IFERROR(SUMPRODUCT(OFFSET($BJ$31,0,1-MIN(60,COLUMN()-29),1,MIN(60,COLUMN()-29)),OFFSET(AJ809,0,-MIN(60,COLUMN()-29),1,MIN(60,COLUMN()-29))),0)</f>
        <v>0</v>
      </c>
      <c r="AK810" s="112" t="n">
        <f aca="true">IFERROR(SUMPRODUCT(OFFSET($BJ$31,0,1-MIN(60,COLUMN()-29),1,MIN(60,COLUMN()-29)),OFFSET(AK809,0,-MIN(60,COLUMN()-29),1,MIN(60,COLUMN()-29))),0)</f>
        <v>0</v>
      </c>
      <c r="AL810" s="112" t="n">
        <f aca="true">IFERROR(SUMPRODUCT(OFFSET($BJ$31,0,1-MIN(60,COLUMN()-29),1,MIN(60,COLUMN()-29)),OFFSET(AL809,0,-MIN(60,COLUMN()-29),1,MIN(60,COLUMN()-29))),0)</f>
        <v>0</v>
      </c>
      <c r="AM810" s="112" t="n">
        <f aca="true">IFERROR(SUMPRODUCT(OFFSET($BJ$31,0,1-MIN(60,COLUMN()-29),1,MIN(60,COLUMN()-29)),OFFSET(AM809,0,-MIN(60,COLUMN()-29),1,MIN(60,COLUMN()-29))),0)</f>
        <v>0</v>
      </c>
      <c r="AN810" s="239" t="n">
        <f aca="true">IFERROR(SUMPRODUCT(OFFSET($BJ$31,0,1-MIN(60,COLUMN()-29),1,MIN(60,COLUMN()-29)),OFFSET(AN809,0,-MIN(60,COLUMN()-29),1,MIN(60,COLUMN()-29))),0)</f>
        <v>0</v>
      </c>
      <c r="AO810" s="112" t="n">
        <f aca="true">IFERROR(SUMPRODUCT(OFFSET($BJ$31,0,1-MIN(60,COLUMN()-29),1,MIN(60,COLUMN()-29)),OFFSET(AO809,0,-MIN(60,COLUMN()-29),1,MIN(60,COLUMN()-29))),0)</f>
        <v>0</v>
      </c>
      <c r="AP810" s="112" t="n">
        <f aca="true">IFERROR(SUMPRODUCT(OFFSET($BJ$31,0,1-MIN(60,COLUMN()-29),1,MIN(60,COLUMN()-29)),OFFSET(AP809,0,-MIN(60,COLUMN()-29),1,MIN(60,COLUMN()-29))),0)</f>
        <v>0</v>
      </c>
      <c r="AQ810" s="112" t="n">
        <f aca="true">IFERROR(SUMPRODUCT(OFFSET($BJ$31,0,1-MIN(60,COLUMN()-29),1,MIN(60,COLUMN()-29)),OFFSET(AQ809,0,-MIN(60,COLUMN()-29),1,MIN(60,COLUMN()-29))),0)</f>
        <v>0</v>
      </c>
      <c r="AR810" s="112" t="n">
        <f aca="true">IFERROR(SUMPRODUCT(OFFSET($BJ$31,0,1-MIN(60,COLUMN()-29),1,MIN(60,COLUMN()-29)),OFFSET(AR809,0,-MIN(60,COLUMN()-29),1,MIN(60,COLUMN()-29))),0)</f>
        <v>0</v>
      </c>
      <c r="AS810" s="112" t="n">
        <f aca="true">IFERROR(SUMPRODUCT(OFFSET($BJ$31,0,1-MIN(60,COLUMN()-29),1,MIN(60,COLUMN()-29)),OFFSET(AS809,0,-MIN(60,COLUMN()-29),1,MIN(60,COLUMN()-29))),0)</f>
        <v>0</v>
      </c>
      <c r="AT810" s="112" t="n">
        <f aca="true">IFERROR(SUMPRODUCT(OFFSET($BJ$31,0,1-MIN(60,COLUMN()-29),1,MIN(60,COLUMN()-29)),OFFSET(AT809,0,-MIN(60,COLUMN()-29),1,MIN(60,COLUMN()-29))),0)</f>
        <v>0</v>
      </c>
      <c r="AU810" s="112" t="n">
        <f aca="true">IFERROR(SUMPRODUCT(OFFSET($BJ$31,0,1-MIN(60,COLUMN()-29),1,MIN(60,COLUMN()-29)),OFFSET(AU809,0,-MIN(60,COLUMN()-29),1,MIN(60,COLUMN()-29))),0)</f>
        <v>0</v>
      </c>
      <c r="AV810" s="112" t="n">
        <f aca="true">IFERROR(SUMPRODUCT(OFFSET($BJ$31,0,1-MIN(60,COLUMN()-29),1,MIN(60,COLUMN()-29)),OFFSET(AV809,0,-MIN(60,COLUMN()-29),1,MIN(60,COLUMN()-29))),0)</f>
        <v>0</v>
      </c>
      <c r="AW810" s="112" t="n">
        <f aca="true">IFERROR(SUMPRODUCT(OFFSET($BJ$31,0,1-MIN(60,COLUMN()-29),1,MIN(60,COLUMN()-29)),OFFSET(AW809,0,-MIN(60,COLUMN()-29),1,MIN(60,COLUMN()-29))),0)</f>
        <v>0</v>
      </c>
      <c r="AX810" s="112" t="n">
        <f aca="true">IFERROR(SUMPRODUCT(OFFSET($BJ$31,0,1-MIN(60,COLUMN()-29),1,MIN(60,COLUMN()-29)),OFFSET(AX809,0,-MIN(60,COLUMN()-29),1,MIN(60,COLUMN()-29))),0)</f>
        <v>0</v>
      </c>
      <c r="AY810" s="112" t="n">
        <f aca="true">IFERROR(SUMPRODUCT(OFFSET($BJ$31,0,1-MIN(60,COLUMN()-29),1,MIN(60,COLUMN()-29)),OFFSET(AY809,0,-MIN(60,COLUMN()-29),1,MIN(60,COLUMN()-29))),0)</f>
        <v>0</v>
      </c>
      <c r="AZ810" s="112" t="n">
        <f aca="true">IFERROR(SUMPRODUCT(OFFSET($BJ$31,0,1-MIN(60,COLUMN()-29),1,MIN(60,COLUMN()-29)),OFFSET(AZ809,0,-MIN(60,COLUMN()-29),1,MIN(60,COLUMN()-29))),0)</f>
        <v>0</v>
      </c>
      <c r="BA810" s="112" t="n">
        <f aca="true">IFERROR(SUMPRODUCT(OFFSET($BJ$31,0,1-MIN(60,COLUMN()-29),1,MIN(60,COLUMN()-29)),OFFSET(BA809,0,-MIN(60,COLUMN()-29),1,MIN(60,COLUMN()-29))),0)</f>
        <v>0</v>
      </c>
      <c r="BB810" s="112" t="n">
        <f aca="true">IFERROR(SUMPRODUCT(OFFSET($BJ$31,0,1-MIN(60,COLUMN()-29),1,MIN(60,COLUMN()-29)),OFFSET(BB809,0,-MIN(60,COLUMN()-29),1,MIN(60,COLUMN()-29))),0)</f>
        <v>0</v>
      </c>
      <c r="BC810" s="112" t="n">
        <f aca="true">IFERROR(SUMPRODUCT(OFFSET($BJ$31,0,1-MIN(60,COLUMN()-29),1,MIN(60,COLUMN()-29)),OFFSET(BC809,0,-MIN(60,COLUMN()-29),1,MIN(60,COLUMN()-29))),0)</f>
        <v>0</v>
      </c>
      <c r="BD810" s="112" t="n">
        <f aca="true">IFERROR(SUMPRODUCT(OFFSET($BJ$31,0,1-MIN(60,COLUMN()-29),1,MIN(60,COLUMN()-29)),OFFSET(BD809,0,-MIN(60,COLUMN()-29),1,MIN(60,COLUMN()-29))),0)</f>
        <v>0</v>
      </c>
      <c r="BE810" s="112" t="n">
        <f aca="true">IFERROR(SUMPRODUCT(OFFSET($BJ$31,0,1-MIN(60,COLUMN()-29),1,MIN(60,COLUMN()-29)),OFFSET(BE809,0,-MIN(60,COLUMN()-29),1,MIN(60,COLUMN()-29))),0)</f>
        <v>0</v>
      </c>
      <c r="BF810" s="112" t="n">
        <f aca="true">IFERROR(SUMPRODUCT(OFFSET($BJ$31,0,1-MIN(60,COLUMN()-29),1,MIN(60,COLUMN()-29)),OFFSET(BF809,0,-MIN(60,COLUMN()-29),1,MIN(60,COLUMN()-29))),0)</f>
        <v>0</v>
      </c>
      <c r="BG810" s="112" t="n">
        <f aca="true">IFERROR(SUMPRODUCT(OFFSET($BJ$31,0,1-MIN(60,COLUMN()-29),1,MIN(60,COLUMN()-29)),OFFSET(BG809,0,-MIN(60,COLUMN()-29),1,MIN(60,COLUMN()-29))),0)</f>
        <v>0</v>
      </c>
      <c r="BH810" s="112" t="n">
        <f aca="true">IFERROR(SUMPRODUCT(OFFSET($BJ$31,0,1-MIN(60,COLUMN()-29),1,MIN(60,COLUMN()-29)),OFFSET(BH809,0,-MIN(60,COLUMN()-29),1,MIN(60,COLUMN()-29))),0)</f>
        <v>0</v>
      </c>
      <c r="BI810" s="112" t="n">
        <f aca="true">IFERROR(SUMPRODUCT(OFFSET($BJ$31,0,1-MIN(60,COLUMN()-29),1,MIN(60,COLUMN()-29)),OFFSET(BI809,0,-MIN(60,COLUMN()-29),1,MIN(60,COLUMN()-29))),0)</f>
        <v>0</v>
      </c>
      <c r="BJ810" s="112" t="n">
        <f aca="true">IFERROR(SUMPRODUCT(OFFSET($BJ$31,0,1-MIN(60,COLUMN()-29),1,MIN(60,COLUMN()-29)),OFFSET(BJ809,0,-MIN(60,COLUMN()-29),1,MIN(60,COLUMN()-29))),0)</f>
        <v>0</v>
      </c>
      <c r="BK810" s="112" t="n">
        <f aca="true">IFERROR(SUMPRODUCT(OFFSET($BJ$31,0,1-MIN(60,COLUMN()-29),1,MIN(60,COLUMN()-29)),OFFSET(BK809,0,-MIN(60,COLUMN()-29),1,MIN(60,COLUMN()-29))),0)</f>
        <v>0</v>
      </c>
      <c r="BL810" s="112" t="n">
        <f aca="true">IFERROR(SUMPRODUCT(OFFSET($BJ$31,0,1-MIN(60,COLUMN()-29),1,MIN(60,COLUMN()-29)),OFFSET(BL809,0,-MIN(60,COLUMN()-29),1,MIN(60,COLUMN()-29))),0)</f>
        <v>0</v>
      </c>
      <c r="BM810" s="112" t="n">
        <f aca="true">IFERROR(SUMPRODUCT(OFFSET($BJ$31,0,1-MIN(60,COLUMN()-29),1,MIN(60,COLUMN()-29)),OFFSET(BM809,0,-MIN(60,COLUMN()-29),1,MIN(60,COLUMN()-29))),0)</f>
        <v>0</v>
      </c>
      <c r="BN810" s="112" t="n">
        <f aca="true">IFERROR(SUMPRODUCT(OFFSET($BJ$31,0,1-MIN(60,COLUMN()-29),1,MIN(60,COLUMN()-29)),OFFSET(BN809,0,-MIN(60,COLUMN()-29),1,MIN(60,COLUMN()-29))),0)</f>
        <v>0</v>
      </c>
      <c r="BO810" s="112" t="n">
        <f aca="true">IFERROR(SUMPRODUCT(OFFSET($BJ$31,0,1-MIN(60,COLUMN()-29),1,MIN(60,COLUMN()-29)),OFFSET(BO809,0,-MIN(60,COLUMN()-29),1,MIN(60,COLUMN()-29))),0)</f>
        <v>0</v>
      </c>
      <c r="BP810" s="112" t="n">
        <f aca="true">IFERROR(SUMPRODUCT(OFFSET($BJ$31,0,1-MIN(60,COLUMN()-29),1,MIN(60,COLUMN()-29)),OFFSET(BP809,0,-MIN(60,COLUMN()-29),1,MIN(60,COLUMN()-29))),0)</f>
        <v>0</v>
      </c>
      <c r="BQ810" s="112" t="n">
        <f aca="true">IFERROR(SUMPRODUCT(OFFSET($BJ$31,0,1-MIN(60,COLUMN()-29),1,MIN(60,COLUMN()-29)),OFFSET(BQ809,0,-MIN(60,COLUMN()-29),1,MIN(60,COLUMN()-29))),0)</f>
        <v>0</v>
      </c>
      <c r="BR810" s="112" t="n">
        <f aca="true">IFERROR(SUMPRODUCT(OFFSET($BJ$31,0,1-MIN(60,COLUMN()-29),1,MIN(60,COLUMN()-29)),OFFSET(BR809,0,-MIN(60,COLUMN()-29),1,MIN(60,COLUMN()-29))),0)</f>
        <v>0</v>
      </c>
      <c r="BS810" s="112" t="n">
        <f aca="true">IFERROR(SUMPRODUCT(OFFSET($BJ$31,0,1-MIN(60,COLUMN()-29),1,MIN(60,COLUMN()-29)),OFFSET(BS809,0,-MIN(60,COLUMN()-29),1,MIN(60,COLUMN()-29))),0)</f>
        <v>0</v>
      </c>
      <c r="BT810" s="112" t="n">
        <f aca="true">IFERROR(SUMPRODUCT(OFFSET($BJ$31,0,1-MIN(60,COLUMN()-29),1,MIN(60,COLUMN()-29)),OFFSET(BT809,0,-MIN(60,COLUMN()-29),1,MIN(60,COLUMN()-29))),0)</f>
        <v>0</v>
      </c>
      <c r="BU810" s="112" t="n">
        <f aca="true">IFERROR(SUMPRODUCT(OFFSET($BJ$31,0,1-MIN(60,COLUMN()-29),1,MIN(60,COLUMN()-29)),OFFSET(BU809,0,-MIN(60,COLUMN()-29),1,MIN(60,COLUMN()-29))),0)</f>
        <v>0</v>
      </c>
      <c r="BV810" s="112" t="n">
        <f aca="true">IFERROR(SUMPRODUCT(OFFSET($BJ$31,0,1-MIN(60,COLUMN()-29),1,MIN(60,COLUMN()-29)),OFFSET(BV809,0,-MIN(60,COLUMN()-29),1,MIN(60,COLUMN()-29))),0)</f>
        <v>0</v>
      </c>
      <c r="BW810" s="112" t="n">
        <f aca="true">IFERROR(SUMPRODUCT(OFFSET($BJ$31,0,1-MIN(60,COLUMN()-29),1,MIN(60,COLUMN()-29)),OFFSET(BW809,0,-MIN(60,COLUMN()-29),1,MIN(60,COLUMN()-29))),0)</f>
        <v>0</v>
      </c>
      <c r="BX810" s="112" t="n">
        <f aca="true">IFERROR(SUMPRODUCT(OFFSET($BJ$31,0,1-MIN(60,COLUMN()-29),1,MIN(60,COLUMN()-29)),OFFSET(BX809,0,-MIN(60,COLUMN()-29),1,MIN(60,COLUMN()-29))),0)</f>
        <v>0</v>
      </c>
      <c r="BY810" s="112" t="n">
        <f aca="true">IFERROR(SUMPRODUCT(OFFSET($BJ$31,0,1-MIN(60,COLUMN()-29),1,MIN(60,COLUMN()-29)),OFFSET(BY809,0,-MIN(60,COLUMN()-29),1,MIN(60,COLUMN()-29))),0)</f>
        <v>0</v>
      </c>
      <c r="BZ810" s="112" t="n">
        <f aca="true">IFERROR(SUMPRODUCT(OFFSET($BJ$31,0,1-MIN(60,COLUMN()-29),1,MIN(60,COLUMN()-29)),OFFSET(BZ809,0,-MIN(60,COLUMN()-29),1,MIN(60,COLUMN()-29))),0)</f>
        <v>0</v>
      </c>
      <c r="CA810" s="112" t="n">
        <f aca="true">IFERROR(SUMPRODUCT(OFFSET($BJ$31,0,1-MIN(60,COLUMN()-29),1,MIN(60,COLUMN()-29)),OFFSET(CA809,0,-MIN(60,COLUMN()-29),1,MIN(60,COLUMN()-29))),0)</f>
        <v>0</v>
      </c>
      <c r="CB810" s="112" t="n">
        <f aca="true">IFERROR(SUMPRODUCT(OFFSET($BJ$31,0,1-MIN(60,COLUMN()-29),1,MIN(60,COLUMN()-29)),OFFSET(CB809,0,-MIN(60,COLUMN()-29),1,MIN(60,COLUMN()-29))),0)</f>
        <v>0</v>
      </c>
      <c r="CC810" s="112" t="n">
        <f aca="true">IFERROR(SUMPRODUCT(OFFSET($BJ$31,0,1-MIN(60,COLUMN()-29),1,MIN(60,COLUMN()-29)),OFFSET(CC809,0,-MIN(60,COLUMN()-29),1,MIN(60,COLUMN()-29))),0)</f>
        <v>0</v>
      </c>
      <c r="CD810" s="112" t="n">
        <f aca="true">IFERROR(SUMPRODUCT(OFFSET($BJ$31,0,1-MIN(60,COLUMN()-29),1,MIN(60,COLUMN()-29)),OFFSET(CD809,0,-MIN(60,COLUMN()-29),1,MIN(60,COLUMN()-29))),0)</f>
        <v>0</v>
      </c>
      <c r="CE810" s="112" t="n">
        <f aca="true">IFERROR(SUMPRODUCT(OFFSET($BJ$31,0,1-MIN(60,COLUMN()-29),1,MIN(60,COLUMN()-29)),OFFSET(CE809,0,-MIN(60,COLUMN()-29),1,MIN(60,COLUMN()-29))),0)</f>
        <v>0</v>
      </c>
      <c r="CF810" s="112" t="n">
        <f aca="true">IFERROR(SUMPRODUCT(OFFSET($BJ$31,0,1-MIN(60,COLUMN()-29),1,MIN(60,COLUMN()-29)),OFFSET(CF809,0,-MIN(60,COLUMN()-29),1,MIN(60,COLUMN()-29))),0)</f>
        <v>0</v>
      </c>
      <c r="CG810" s="112" t="n">
        <f aca="true">IFERROR(SUMPRODUCT(OFFSET($BJ$31,0,1-MIN(60,COLUMN()-29),1,MIN(60,COLUMN()-29)),OFFSET(CG809,0,-MIN(60,COLUMN()-29),1,MIN(60,COLUMN()-29))),0)</f>
        <v>0</v>
      </c>
      <c r="CH810" s="112" t="n">
        <f aca="true">IFERROR(SUMPRODUCT(OFFSET($BJ$31,0,1-MIN(60,COLUMN()-29),1,MIN(60,COLUMN()-29)),OFFSET(CH809,0,-MIN(60,COLUMN()-29),1,MIN(60,COLUMN()-29))),0)</f>
        <v>0</v>
      </c>
      <c r="CI810" s="112" t="n">
        <f aca="true">IFERROR(SUMPRODUCT(OFFSET($BJ$31,0,1-MIN(60,COLUMN()-29),1,MIN(60,COLUMN()-29)),OFFSET(CI809,0,-MIN(60,COLUMN()-29),1,MIN(60,COLUMN()-29))),0)</f>
        <v>0</v>
      </c>
      <c r="CJ810" s="112" t="n">
        <f aca="true">IFERROR(SUMPRODUCT(OFFSET($BJ$31,0,1-MIN(60,COLUMN()-29),1,MIN(60,COLUMN()-29)),OFFSET(CJ809,0,-MIN(60,COLUMN()-29),1,MIN(60,COLUMN()-29))),0)</f>
        <v>0</v>
      </c>
      <c r="CK810" s="112" t="n">
        <f aca="true">IFERROR(SUMPRODUCT(OFFSET($BJ$31,0,1-MIN(60,COLUMN()-29),1,MIN(60,COLUMN()-29)),OFFSET(CK809,0,-MIN(60,COLUMN()-29),1,MIN(60,COLUMN()-29))),0)</f>
        <v>0</v>
      </c>
      <c r="CL810" s="112" t="n">
        <f aca="true">IFERROR(SUMPRODUCT(OFFSET($BJ$31,0,1-MIN(60,COLUMN()-29),1,MIN(60,COLUMN()-29)),OFFSET(CL809,0,-MIN(60,COLUMN()-29),1,MIN(60,COLUMN()-29))),0)</f>
        <v>0</v>
      </c>
      <c r="CM810" s="112" t="n">
        <f aca="true">IFERROR(SUMPRODUCT(OFFSET($BJ$31,0,1-MIN(60,COLUMN()-29),1,MIN(60,COLUMN()-29)),OFFSET(CM809,0,-MIN(60,COLUMN()-29),1,MIN(60,COLUMN()-29))),0)</f>
        <v>0</v>
      </c>
      <c r="CN810" s="112" t="n">
        <f aca="true">IFERROR(SUMPRODUCT(OFFSET($BJ$31,0,1-MIN(60,COLUMN()-29),1,MIN(60,COLUMN()-29)),OFFSET(CN809,0,-MIN(60,COLUMN()-29),1,MIN(60,COLUMN()-29))),0)</f>
        <v>0</v>
      </c>
      <c r="CO810" s="112" t="n">
        <f aca="true">IFERROR(SUMPRODUCT(OFFSET($BJ$31,0,1-MIN(60,COLUMN()-29),1,MIN(60,COLUMN()-29)),OFFSET(CO809,0,-MIN(60,COLUMN()-29),1,MIN(60,COLUMN()-29))),0)</f>
        <v>0</v>
      </c>
      <c r="CP810" s="112" t="n">
        <f aca="true">IFERROR(SUMPRODUCT(OFFSET($BJ$31,0,1-MIN(60,COLUMN()-29),1,MIN(60,COLUMN()-29)),OFFSET(CP809,0,-MIN(60,COLUMN()-29),1,MIN(60,COLUMN()-29))),0)</f>
        <v>0</v>
      </c>
      <c r="CQ810" s="112" t="n">
        <f aca="true">IFERROR(SUMPRODUCT(OFFSET($BJ$31,0,1-MIN(60,COLUMN()-29),1,MIN(60,COLUMN()-29)),OFFSET(CQ809,0,-MIN(60,COLUMN()-29),1,MIN(60,COLUMN()-29))),0)</f>
        <v>0</v>
      </c>
      <c r="CR810" s="112" t="n">
        <f aca="true">IFERROR(SUMPRODUCT(OFFSET($BJ$31,0,1-MIN(60,COLUMN()-29),1,MIN(60,COLUMN()-29)),OFFSET(CR809,0,-MIN(60,COLUMN()-29),1,MIN(60,COLUMN()-29))),0)</f>
        <v>0</v>
      </c>
      <c r="CS810" s="112" t="n">
        <f aca="true">IFERROR(SUMPRODUCT(OFFSET($BJ$31,0,1-MIN(60,COLUMN()-29),1,MIN(60,COLUMN()-29)),OFFSET(CS809,0,-MIN(60,COLUMN()-29),1,MIN(60,COLUMN()-29))),0)</f>
        <v>0</v>
      </c>
      <c r="CT810" s="112" t="n">
        <f aca="true">IFERROR(SUMPRODUCT(OFFSET($BJ$31,0,1-MIN(60,COLUMN()-29),1,MIN(60,COLUMN()-29)),OFFSET(CT809,0,-MIN(60,COLUMN()-29),1,MIN(60,COLUMN()-29))),0)</f>
        <v>0</v>
      </c>
      <c r="CU810" s="112" t="n">
        <f aca="true">IFERROR(SUMPRODUCT(OFFSET($BJ$31,0,1-MIN(60,COLUMN()-29),1,MIN(60,COLUMN()-29)),OFFSET(CU809,0,-MIN(60,COLUMN()-29),1,MIN(60,COLUMN()-29))),0)</f>
        <v>0</v>
      </c>
      <c r="CV810" s="112" t="n">
        <f aca="true">IFERROR(SUMPRODUCT(OFFSET($BJ$31,0,1-MIN(60,COLUMN()-29),1,MIN(60,COLUMN()-29)),OFFSET(CV809,0,-MIN(60,COLUMN()-29),1,MIN(60,COLUMN()-29))),0)</f>
        <v>0</v>
      </c>
      <c r="CW810" s="112" t="n">
        <f aca="true">IFERROR(SUMPRODUCT(OFFSET($BJ$31,0,1-MIN(60,COLUMN()-29),1,MIN(60,COLUMN()-29)),OFFSET(CW809,0,-MIN(60,COLUMN()-29),1,MIN(60,COLUMN()-29))),0)</f>
        <v>0</v>
      </c>
      <c r="CX810" s="112" t="n">
        <f aca="true">IFERROR(SUMPRODUCT(OFFSET($BJ$31,0,1-MIN(60,COLUMN()-29),1,MIN(60,COLUMN()-29)),OFFSET(CX809,0,-MIN(60,COLUMN()-29),1,MIN(60,COLUMN()-29))),0)</f>
        <v>0</v>
      </c>
      <c r="CY810" s="112" t="n">
        <f aca="true">IFERROR(SUMPRODUCT(OFFSET($BJ$31,0,1-MIN(60,COLUMN()-29),1,MIN(60,COLUMN()-29)),OFFSET(CY809,0,-MIN(60,COLUMN()-29),1,MIN(60,COLUMN()-29))),0)</f>
        <v>0</v>
      </c>
      <c r="CZ810" s="112" t="n">
        <f aca="true">IFERROR(SUMPRODUCT(OFFSET($BJ$31,0,1-MIN(60,COLUMN()-29),1,MIN(60,COLUMN()-29)),OFFSET(CZ809,0,-MIN(60,COLUMN()-29),1,MIN(60,COLUMN()-29))),0)</f>
        <v>0</v>
      </c>
      <c r="DA810" s="112" t="n">
        <f aca="true">IFERROR(SUMPRODUCT(OFFSET($BJ$31,0,1-MIN(60,COLUMN()-29),1,MIN(60,COLUMN()-29)),OFFSET(DA809,0,-MIN(60,COLUMN()-29),1,MIN(60,COLUMN()-29))),0)</f>
        <v>0</v>
      </c>
      <c r="DB810" s="112" t="n">
        <f aca="true">IFERROR(SUMPRODUCT(OFFSET($BJ$31,0,1-MIN(60,COLUMN()-29),1,MIN(60,COLUMN()-29)),OFFSET(DB809,0,-MIN(60,COLUMN()-29),1,MIN(60,COLUMN()-29))),0)</f>
        <v>0</v>
      </c>
      <c r="DC810" s="112" t="n">
        <f aca="true">IFERROR(SUMPRODUCT(OFFSET($BJ$31,0,1-MIN(60,COLUMN()-29),1,MIN(60,COLUMN()-29)),OFFSET(DC809,0,-MIN(60,COLUMN()-29),1,MIN(60,COLUMN()-29))),0)</f>
        <v>0</v>
      </c>
      <c r="DD810" s="112" t="n">
        <f aca="true">IFERROR(SUMPRODUCT(OFFSET($BJ$31,0,1-MIN(60,COLUMN()-29),1,MIN(60,COLUMN()-29)),OFFSET(DD809,0,-MIN(60,COLUMN()-29),1,MIN(60,COLUMN()-29))),0)</f>
        <v>0</v>
      </c>
      <c r="DE810" s="112" t="n">
        <f aca="true">IFERROR(SUMPRODUCT(OFFSET($BJ$31,0,1-MIN(60,COLUMN()-29),1,MIN(60,COLUMN()-29)),OFFSET(DE809,0,-MIN(60,COLUMN()-29),1,MIN(60,COLUMN()-29))),0)</f>
        <v>0</v>
      </c>
      <c r="DF810" s="112" t="n">
        <f aca="true">IFERROR(SUMPRODUCT(OFFSET($BJ$31,0,1-MIN(60,COLUMN()-29),1,MIN(60,COLUMN()-29)),OFFSET(DF809,0,-MIN(60,COLUMN()-29),1,MIN(60,COLUMN()-29))),0)</f>
        <v>0</v>
      </c>
      <c r="DG810" s="112" t="n">
        <f aca="true">IFERROR(SUMPRODUCT(OFFSET($BJ$31,0,1-MIN(60,COLUMN()-29),1,MIN(60,COLUMN()-29)),OFFSET(DG809,0,-MIN(60,COLUMN()-29),1,MIN(60,COLUMN()-29))),0)</f>
        <v>0</v>
      </c>
      <c r="DH810" s="112" t="n">
        <f aca="true">IFERROR(SUMPRODUCT(OFFSET($BJ$31,0,1-MIN(60,COLUMN()-29),1,MIN(60,COLUMN()-29)),OFFSET(DH809,0,-MIN(60,COLUMN()-29),1,MIN(60,COLUMN()-29))),0)</f>
        <v>0</v>
      </c>
      <c r="DI810" s="112" t="n">
        <f aca="true">IFERROR(SUMPRODUCT(OFFSET($BJ$31,0,1-MIN(60,COLUMN()-29),1,MIN(60,COLUMN()-29)),OFFSET(DI809,0,-MIN(60,COLUMN()-29),1,MIN(60,COLUMN()-29))),0)</f>
        <v>0</v>
      </c>
      <c r="DJ810" s="112" t="n">
        <f aca="true">IFERROR(SUMPRODUCT(OFFSET($BJ$31,0,1-MIN(60,COLUMN()-29),1,MIN(60,COLUMN()-29)),OFFSET(DJ809,0,-MIN(60,COLUMN()-29),1,MIN(60,COLUMN()-29))),0)</f>
        <v>0</v>
      </c>
      <c r="DK810" s="112" t="n">
        <f aca="true">IFERROR(SUMPRODUCT(OFFSET($BJ$31,0,1-MIN(60,COLUMN()-29),1,MIN(60,COLUMN()-29)),OFFSET(DK809,0,-MIN(60,COLUMN()-29),1,MIN(60,COLUMN()-29))),0)</f>
        <v>0</v>
      </c>
      <c r="DL810" s="112" t="n">
        <f aca="true">IFERROR(SUMPRODUCT(OFFSET($BJ$31,0,1-MIN(60,COLUMN()-29),1,MIN(60,COLUMN()-29)),OFFSET(DL809,0,-MIN(60,COLUMN()-29),1,MIN(60,COLUMN()-29))),0)</f>
        <v>0</v>
      </c>
      <c r="DM810" s="112" t="n">
        <f aca="true">IFERROR(SUMPRODUCT(OFFSET($BJ$31,0,1-MIN(60,COLUMN()-29),1,MIN(60,COLUMN()-29)),OFFSET(DM809,0,-MIN(60,COLUMN()-29),1,MIN(60,COLUMN()-29))),0)</f>
        <v>0</v>
      </c>
      <c r="DN810" s="112" t="n">
        <f aca="true">IFERROR(SUMPRODUCT(OFFSET($BJ$31,0,1-MIN(60,COLUMN()-29),1,MIN(60,COLUMN()-29)),OFFSET(DN809,0,-MIN(60,COLUMN()-29),1,MIN(60,COLUMN()-29))),0)</f>
        <v>0</v>
      </c>
      <c r="DO810" s="112" t="n">
        <f aca="true">IFERROR(SUMPRODUCT(OFFSET($BJ$31,0,1-MIN(60,COLUMN()-29),1,MIN(60,COLUMN()-29)),OFFSET(DO809,0,-MIN(60,COLUMN()-29),1,MIN(60,COLUMN()-29))),0)</f>
        <v>0</v>
      </c>
      <c r="DP810" s="112" t="n">
        <f aca="true">IFERROR(SUMPRODUCT(OFFSET($BJ$31,0,1-MIN(60,COLUMN()-29),1,MIN(60,COLUMN()-29)),OFFSET(DP809,0,-MIN(60,COLUMN()-29),1,MIN(60,COLUMN()-29))),0)</f>
        <v>0</v>
      </c>
      <c r="DQ810" s="112" t="n">
        <f aca="true">IFERROR(SUMPRODUCT(OFFSET($BJ$31,0,1-MIN(60,COLUMN()-29),1,MIN(60,COLUMN()-29)),OFFSET(DQ809,0,-MIN(60,COLUMN()-29),1,MIN(60,COLUMN()-29))),0)</f>
        <v>0</v>
      </c>
      <c r="DR810" s="112" t="n">
        <f aca="true">IFERROR(SUMPRODUCT(OFFSET($BJ$31,0,1-MIN(60,COLUMN()-29),1,MIN(60,COLUMN()-29)),OFFSET(DR809,0,-MIN(60,COLUMN()-29),1,MIN(60,COLUMN()-29))),0)</f>
        <v>0</v>
      </c>
      <c r="DS810" s="112" t="n">
        <f aca="true">IFERROR(SUMPRODUCT(OFFSET($BJ$31,0,1-MIN(60,COLUMN()-29),1,MIN(60,COLUMN()-29)),OFFSET(DS809,0,-MIN(60,COLUMN()-29),1,MIN(60,COLUMN()-29))),0)</f>
        <v>0</v>
      </c>
      <c r="DT810" s="112" t="n">
        <f aca="true">IFERROR(SUMPRODUCT(OFFSET($BJ$31,0,1-MIN(60,COLUMN()-29),1,MIN(60,COLUMN()-29)),OFFSET(DT809,0,-MIN(60,COLUMN()-29),1,MIN(60,COLUMN()-29))),0)</f>
        <v>0</v>
      </c>
      <c r="DU810" s="112" t="n">
        <f aca="true">IFERROR(SUMPRODUCT(OFFSET($BJ$31,0,1-MIN(60,COLUMN()-29),1,MIN(60,COLUMN()-29)),OFFSET(DU809,0,-MIN(60,COLUMN()-29),1,MIN(60,COLUMN()-29))),0)</f>
        <v>0</v>
      </c>
      <c r="DV810" s="112" t="n">
        <f aca="true">IFERROR(SUMPRODUCT(OFFSET($BJ$31,0,1-MIN(60,COLUMN()-29),1,MIN(60,COLUMN()-29)),OFFSET(DV809,0,-MIN(60,COLUMN()-29),1,MIN(60,COLUMN()-29))),0)</f>
        <v>0</v>
      </c>
      <c r="DW810" s="112" t="n">
        <f aca="true">IFERROR(SUMPRODUCT(OFFSET($BJ$31,0,1-MIN(60,COLUMN()-29),1,MIN(60,COLUMN()-29)),OFFSET(DW809,0,-MIN(60,COLUMN()-29),1,MIN(60,COLUMN()-29))),0)</f>
        <v>0</v>
      </c>
      <c r="DX810" s="112" t="n">
        <f aca="true">IFERROR(SUMPRODUCT(OFFSET($BJ$31,0,1-MIN(60,COLUMN()-29),1,MIN(60,COLUMN()-29)),OFFSET(DX809,0,-MIN(60,COLUMN()-29),1,MIN(60,COLUMN()-29))),0)</f>
        <v>0</v>
      </c>
      <c r="DY810" s="112" t="n">
        <f aca="true">IFERROR(SUMPRODUCT(OFFSET($BJ$31,0,1-MIN(60,COLUMN()-29),1,MIN(60,COLUMN()-29)),OFFSET(DY809,0,-MIN(60,COLUMN()-29),1,MIN(60,COLUMN()-29))),0)</f>
        <v>0</v>
      </c>
      <c r="DZ810" s="112" t="n">
        <f aca="true">IFERROR(SUMPRODUCT(OFFSET($BJ$31,0,1-MIN(60,COLUMN()-29),1,MIN(60,COLUMN()-29)),OFFSET(DZ809,0,-MIN(60,COLUMN()-29),1,MIN(60,COLUMN()-29))),0)</f>
        <v>0</v>
      </c>
      <c r="EA810" s="112" t="n">
        <f aca="true">IFERROR(SUMPRODUCT(OFFSET($BJ$31,0,1-MIN(60,COLUMN()-29),1,MIN(60,COLUMN()-29)),OFFSET(EA809,0,-MIN(60,COLUMN()-29),1,MIN(60,COLUMN()-29))),0)</f>
        <v>0</v>
      </c>
      <c r="EB810" s="112" t="n">
        <f aca="true">IFERROR(SUMPRODUCT(OFFSET($BJ$31,0,1-MIN(60,COLUMN()-29),1,MIN(60,COLUMN()-29)),OFFSET(EB809,0,-MIN(60,COLUMN()-29),1,MIN(60,COLUMN()-29))),0)</f>
        <v>0</v>
      </c>
      <c r="EC810" s="112" t="n">
        <f aca="true">IFERROR(SUMPRODUCT(OFFSET($BJ$31,0,1-MIN(60,COLUMN()-29),1,MIN(60,COLUMN()-29)),OFFSET(EC809,0,-MIN(60,COLUMN()-29),1,MIN(60,COLUMN()-29))),0)</f>
        <v>0</v>
      </c>
      <c r="ED810" s="112" t="n">
        <f aca="true">IFERROR(SUMPRODUCT(OFFSET($BJ$31,0,1-MIN(60,COLUMN()-29),1,MIN(60,COLUMN()-29)),OFFSET(ED809,0,-MIN(60,COLUMN()-29),1,MIN(60,COLUMN()-29))),0)</f>
        <v>0</v>
      </c>
      <c r="EE810" s="112" t="n">
        <f aca="true">IFERROR(SUMPRODUCT(OFFSET($BJ$31,0,1-MIN(60,COLUMN()-29),1,MIN(60,COLUMN()-29)),OFFSET(EE809,0,-MIN(60,COLUMN()-29),1,MIN(60,COLUMN()-29))),0)</f>
        <v>0</v>
      </c>
      <c r="EF810" s="112" t="n">
        <f aca="true">IFERROR(SUMPRODUCT(OFFSET($BJ$31,0,1-MIN(60,COLUMN()-29),1,MIN(60,COLUMN()-29)),OFFSET(EF809,0,-MIN(60,COLUMN()-29),1,MIN(60,COLUMN()-29))),0)</f>
        <v>0</v>
      </c>
      <c r="EG810" s="112" t="n">
        <f aca="true">IFERROR(SUMPRODUCT(OFFSET($BJ$31,0,1-MIN(60,COLUMN()-29),1,MIN(60,COLUMN()-29)),OFFSET(EG809,0,-MIN(60,COLUMN()-29),1,MIN(60,COLUMN()-29))),0)</f>
        <v>0</v>
      </c>
      <c r="EH810" s="112" t="n">
        <f aca="true">IFERROR(SUMPRODUCT(OFFSET($BJ$31,0,1-MIN(60,COLUMN()-29),1,MIN(60,COLUMN()-29)),OFFSET(EH809,0,-MIN(60,COLUMN()-29),1,MIN(60,COLUMN()-29))),0)</f>
        <v>0</v>
      </c>
      <c r="EI810" s="112" t="n">
        <f aca="true">IFERROR(SUMPRODUCT(OFFSET($BJ$31,0,1-MIN(60,COLUMN()-29),1,MIN(60,COLUMN()-29)),OFFSET(EI809,0,-MIN(60,COLUMN()-29),1,MIN(60,COLUMN()-29))),0)</f>
        <v>0</v>
      </c>
      <c r="EJ810" s="112" t="n">
        <f aca="true">IFERROR(SUMPRODUCT(OFFSET($BJ$31,0,1-MIN(60,COLUMN()-29),1,MIN(60,COLUMN()-29)),OFFSET(EJ809,0,-MIN(60,COLUMN()-29),1,MIN(60,COLUMN()-29))),0)</f>
        <v>0</v>
      </c>
      <c r="EK810" s="112" t="n">
        <f aca="true">IFERROR(SUMPRODUCT(OFFSET($BJ$31,0,1-MIN(60,COLUMN()-29),1,MIN(60,COLUMN()-29)),OFFSET(EK809,0,-MIN(60,COLUMN()-29),1,MIN(60,COLUMN()-29))),0)</f>
        <v>0</v>
      </c>
      <c r="EL810" s="112" t="n">
        <f aca="true">IFERROR(SUMPRODUCT(OFFSET($BJ$31,0,1-MIN(60,COLUMN()-29),1,MIN(60,COLUMN()-29)),OFFSET(EL809,0,-MIN(60,COLUMN()-29),1,MIN(60,COLUMN()-29))),0)</f>
        <v>0</v>
      </c>
      <c r="EM810" s="112" t="n">
        <f aca="true">IFERROR(SUMPRODUCT(OFFSET($BJ$31,0,1-MIN(60,COLUMN()-29),1,MIN(60,COLUMN()-29)),OFFSET(EM809,0,-MIN(60,COLUMN()-29),1,MIN(60,COLUMN()-29))),0)</f>
        <v>0</v>
      </c>
      <c r="EN810" s="112" t="n">
        <f aca="true">IFERROR(SUMPRODUCT(OFFSET($BJ$31,0,1-MIN(60,COLUMN()-29),1,MIN(60,COLUMN()-29)),OFFSET(EN809,0,-MIN(60,COLUMN()-29),1,MIN(60,COLUMN()-29))),0)</f>
        <v>0</v>
      </c>
      <c r="EO810" s="112" t="n">
        <f aca="true">IFERROR(SUMPRODUCT(OFFSET($BJ$31,0,1-MIN(60,COLUMN()-29),1,MIN(60,COLUMN()-29)),OFFSET(EO809,0,-MIN(60,COLUMN()-29),1,MIN(60,COLUMN()-29))),0)</f>
        <v>0</v>
      </c>
      <c r="EP810" s="112" t="n">
        <f aca="true">IFERROR(SUMPRODUCT(OFFSET($BJ$31,0,1-MIN(60,COLUMN()-29),1,MIN(60,COLUMN()-29)),OFFSET(EP809,0,-MIN(60,COLUMN()-29),1,MIN(60,COLUMN()-29))),0)</f>
        <v>0</v>
      </c>
      <c r="EQ810" s="112" t="n">
        <f aca="true">IFERROR(SUMPRODUCT(OFFSET($BJ$31,0,1-MIN(60,COLUMN()-29),1,MIN(60,COLUMN()-29)),OFFSET(EQ809,0,-MIN(60,COLUMN()-29),1,MIN(60,COLUMN()-29))),0)</f>
        <v>0</v>
      </c>
      <c r="ER810" s="112" t="n">
        <f aca="true">IFERROR(SUMPRODUCT(OFFSET($BJ$31,0,1-MIN(60,COLUMN()-29),1,MIN(60,COLUMN()-29)),OFFSET(ER809,0,-MIN(60,COLUMN()-29),1,MIN(60,COLUMN()-29))),0)</f>
        <v>0</v>
      </c>
      <c r="ES810" s="9" t="n">
        <f aca="true">IFERROR(SUMPRODUCT(OFFSET($BJ$31,0,1-MIN(60,COLUMN()-29),1,MIN(60,COLUMN()-29)),OFFSET(ES809,0,-MIN(60,COLUMN()-29),1,MIN(60,COLUMN()-29))),0)</f>
        <v>0</v>
      </c>
      <c r="ET810" s="9" t="n">
        <f aca="true">IFERROR(SUMPRODUCT(OFFSET($BJ$31,0,1-MIN(60,COLUMN()-29),1,MIN(60,COLUMN()-29)),OFFSET(ET809,0,-MIN(60,COLUMN()-29),1,MIN(60,COLUMN()-29))),0)</f>
        <v>5.11488</v>
      </c>
      <c r="EU810" s="9" t="n">
        <f aca="true">IFERROR(SUMPRODUCT(OFFSET($BJ$31,0,1-MIN(60,COLUMN()-29),1,MIN(60,COLUMN()-29)),OFFSET(EU809,0,-MIN(60,COLUMN()-29),1,MIN(60,COLUMN()-29))),0)</f>
        <v>4.975168</v>
      </c>
      <c r="EV810" s="9" t="n">
        <f aca="true">IFERROR(SUMPRODUCT(OFFSET($BJ$31,0,1-MIN(60,COLUMN()-29),1,MIN(60,COLUMN()-29)),OFFSET(EV809,0,-MIN(60,COLUMN()-29),1,MIN(60,COLUMN()-29))),0)</f>
        <v>8.0749984</v>
      </c>
      <c r="EW810" s="9" t="n">
        <f aca="true">IFERROR(SUMPRODUCT(OFFSET($BJ$31,0,1-MIN(60,COLUMN()-29),1,MIN(60,COLUMN()-29)),OFFSET(EW809,0,-MIN(60,COLUMN()-29),1,MIN(60,COLUMN()-29))),0)</f>
        <v>9.198496</v>
      </c>
      <c r="EX810" s="9" t="n">
        <f aca="true">IFERROR(SUMPRODUCT(OFFSET($BJ$31,0,1-MIN(60,COLUMN()-29),1,MIN(60,COLUMN()-29)),OFFSET(EX809,0,-MIN(60,COLUMN()-29),1,MIN(60,COLUMN()-29))),0)</f>
        <v>8.8136368</v>
      </c>
      <c r="EY810" s="9" t="n">
        <f aca="true">IFERROR(SUMPRODUCT(OFFSET($BJ$31,0,1-MIN(60,COLUMN()-29),1,MIN(60,COLUMN()-29)),OFFSET(EY809,0,-MIN(60,COLUMN()-29),1,MIN(60,COLUMN()-29))),0)</f>
        <v>9.083648</v>
      </c>
      <c r="EZ810" s="9" t="n">
        <f aca="true">IFERROR(SUMPRODUCT(OFFSET($BJ$31,0,1-MIN(60,COLUMN()-29),1,MIN(60,COLUMN()-29)),OFFSET(EZ809,0,-MIN(60,COLUMN()-29),1,MIN(60,COLUMN()-29))),0)</f>
        <v>10.7960672</v>
      </c>
      <c r="FA810" s="9" t="n">
        <f aca="true">IFERROR(SUMPRODUCT(OFFSET($BJ$31,0,1-MIN(60,COLUMN()-29),1,MIN(60,COLUMN()-29)),OFFSET(FA809,0,-MIN(60,COLUMN()-29),1,MIN(60,COLUMN()-29))),0)</f>
        <v>17.1876544</v>
      </c>
      <c r="FB810" s="9" t="n">
        <f aca="true">IFERROR(SUMPRODUCT(OFFSET($BJ$31,0,1-MIN(60,COLUMN()-29),1,MIN(60,COLUMN()-29)),OFFSET(FB809,0,-MIN(60,COLUMN()-29),1,MIN(60,COLUMN()-29))),0)</f>
        <v>17.7678144</v>
      </c>
      <c r="FC810" s="9" t="n">
        <f aca="true">IFERROR(SUMPRODUCT(OFFSET($BJ$31,0,1-MIN(60,COLUMN()-29),1,MIN(60,COLUMN()-29)),OFFSET(FC809,0,-MIN(60,COLUMN()-29),1,MIN(60,COLUMN()-29))),0)</f>
        <v>17.4664864</v>
      </c>
      <c r="FD810" s="9" t="n">
        <f aca="true">IFERROR(SUMPRODUCT(OFFSET($BJ$31,0,1-MIN(60,COLUMN()-29),1,MIN(60,COLUMN()-29)),OFFSET(FD809,0,-MIN(60,COLUMN()-29),1,MIN(60,COLUMN()-29))),0)</f>
        <v>15.9366992</v>
      </c>
      <c r="FE810" s="9" t="n">
        <f aca="true">IFERROR(SUMPRODUCT(OFFSET($BJ$31,0,1-MIN(60,COLUMN()-29),1,MIN(60,COLUMN()-29)),OFFSET(FE809,0,-MIN(60,COLUMN()-29),1,MIN(60,COLUMN()-29))),0)</f>
        <v>21.4711296</v>
      </c>
      <c r="FF810" s="9" t="n">
        <f aca="true">IFERROR(SUMPRODUCT(OFFSET($BJ$31,0,1-MIN(60,COLUMN()-29),1,MIN(60,COLUMN()-29)),OFFSET(FF809,0,-MIN(60,COLUMN()-29),1,MIN(60,COLUMN()-29))),0)</f>
        <v>24.8571328</v>
      </c>
      <c r="FG810" s="9" t="n">
        <f aca="true">IFERROR(SUMPRODUCT(OFFSET($BJ$31,0,1-MIN(60,COLUMN()-29),1,MIN(60,COLUMN()-29)),OFFSET(FG809,0,-MIN(60,COLUMN()-29),1,MIN(60,COLUMN()-29))),0)</f>
        <v>24.1881728</v>
      </c>
      <c r="FH810" s="9" t="n">
        <f aca="true">IFERROR(SUMPRODUCT(OFFSET($BJ$31,0,1-MIN(60,COLUMN()-29),1,MIN(60,COLUMN()-29)),OFFSET(FH809,0,-MIN(60,COLUMN()-29),1,MIN(60,COLUMN()-29))),0)</f>
        <v>30.442416</v>
      </c>
      <c r="FI810" s="9" t="n">
        <f aca="true">IFERROR(SUMPRODUCT(OFFSET($BJ$31,0,1-MIN(60,COLUMN()-29),1,MIN(60,COLUMN()-29)),OFFSET(FI809,0,-MIN(60,COLUMN()-29),1,MIN(60,COLUMN()-29))),0)</f>
        <v>34.923856</v>
      </c>
      <c r="FJ810" s="9" t="n">
        <f aca="true">IFERROR(SUMPRODUCT(OFFSET($BJ$31,0,1-MIN(60,COLUMN()-29),1,MIN(60,COLUMN()-29)),OFFSET(FJ809,0,-MIN(60,COLUMN()-29),1,MIN(60,COLUMN()-29))),0)</f>
        <v>35.3376048</v>
      </c>
      <c r="FK810" s="9" t="n">
        <f aca="true">IFERROR(SUMPRODUCT(OFFSET($BJ$31,0,1-MIN(60,COLUMN()-29),1,MIN(60,COLUMN()-29)),OFFSET(FK809,0,-MIN(60,COLUMN()-29),1,MIN(60,COLUMN()-29))),0)</f>
        <v>35.97249224</v>
      </c>
      <c r="FL810" s="9" t="n">
        <f aca="true">IFERROR(SUMPRODUCT(OFFSET($BJ$31,0,1-MIN(60,COLUMN()-29),1,MIN(60,COLUMN()-29)),OFFSET(FL809,0,-MIN(60,COLUMN()-29),1,MIN(60,COLUMN()-29))),0)</f>
        <v>40.15784936</v>
      </c>
      <c r="FM810" s="9" t="n">
        <f aca="true">IFERROR(SUMPRODUCT(OFFSET($BJ$31,0,1-MIN(60,COLUMN()-29),1,MIN(60,COLUMN()-29)),OFFSET(FM809,0,-MIN(60,COLUMN()-29),1,MIN(60,COLUMN()-29))),0)</f>
        <v>54.8063018</v>
      </c>
      <c r="FN810" s="9" t="n">
        <f aca="true">IFERROR(SUMPRODUCT(OFFSET($BJ$31,0,1-MIN(60,COLUMN()-29),1,MIN(60,COLUMN()-29)),OFFSET(FN809,0,-MIN(60,COLUMN()-29),1,MIN(60,COLUMN()-29))),0)</f>
        <v>54.2811238</v>
      </c>
      <c r="FO810" s="9" t="n">
        <f aca="true">IFERROR(SUMPRODUCT(OFFSET($BJ$31,0,1-MIN(60,COLUMN()-29),1,MIN(60,COLUMN()-29)),OFFSET(FO809,0,-MIN(60,COLUMN()-29),1,MIN(60,COLUMN()-29))),0)</f>
        <v>53.65191068</v>
      </c>
      <c r="FP810" s="9" t="n">
        <f aca="true">IFERROR(SUMPRODUCT(OFFSET($BJ$31,0,1-MIN(60,COLUMN()-29),1,MIN(60,COLUMN()-29)),OFFSET(FP809,0,-MIN(60,COLUMN()-29),1,MIN(60,COLUMN()-29))),0)</f>
        <v>50.84997764</v>
      </c>
    </row>
    <row r="811" customFormat="false" ht="15" hidden="false" customHeight="false" outlineLevel="2" collapsed="false">
      <c r="B811" s="90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237"/>
      <c r="AD811" s="237"/>
      <c r="AE811" s="237"/>
      <c r="AF811" s="237"/>
      <c r="AG811" s="237"/>
      <c r="AH811" s="237"/>
      <c r="AI811" s="237"/>
      <c r="AJ811" s="237"/>
      <c r="AK811" s="237"/>
      <c r="AL811" s="237"/>
      <c r="AM811" s="237"/>
      <c r="AN811" s="237"/>
      <c r="AO811" s="237"/>
      <c r="AP811" s="237"/>
      <c r="AQ811" s="237"/>
      <c r="AR811" s="237"/>
      <c r="AS811" s="237"/>
      <c r="AT811" s="237"/>
      <c r="AU811" s="237"/>
      <c r="AV811" s="237"/>
      <c r="AW811" s="237"/>
      <c r="AX811" s="237"/>
      <c r="AY811" s="237"/>
      <c r="AZ811" s="237"/>
      <c r="BA811" s="237"/>
      <c r="BB811" s="237"/>
      <c r="BC811" s="237"/>
      <c r="BD811" s="237"/>
      <c r="BE811" s="237"/>
      <c r="BF811" s="237"/>
      <c r="BG811" s="237"/>
      <c r="BH811" s="237"/>
      <c r="BI811" s="237"/>
      <c r="BJ811" s="237"/>
      <c r="BK811" s="237"/>
      <c r="BL811" s="237"/>
      <c r="BM811" s="237"/>
      <c r="BN811" s="237"/>
      <c r="BO811" s="237"/>
      <c r="BP811" s="237"/>
      <c r="BQ811" s="237"/>
      <c r="BR811" s="237"/>
      <c r="BS811" s="237"/>
      <c r="BT811" s="237"/>
      <c r="BU811" s="237"/>
      <c r="BV811" s="237"/>
      <c r="BW811" s="237"/>
      <c r="BX811" s="237"/>
      <c r="BY811" s="237"/>
      <c r="BZ811" s="237"/>
      <c r="CA811" s="237"/>
      <c r="CB811" s="237"/>
      <c r="CC811" s="237"/>
      <c r="CD811" s="237"/>
      <c r="CE811" s="237"/>
      <c r="CF811" s="237"/>
      <c r="CG811" s="237"/>
      <c r="CH811" s="237"/>
      <c r="CI811" s="237"/>
      <c r="CJ811" s="237"/>
      <c r="CK811" s="237"/>
      <c r="CL811" s="237"/>
      <c r="CM811" s="237"/>
      <c r="CN811" s="237"/>
      <c r="CO811" s="237"/>
      <c r="CP811" s="237"/>
      <c r="CQ811" s="237"/>
      <c r="CR811" s="237"/>
      <c r="CS811" s="237"/>
      <c r="CT811" s="237"/>
      <c r="CU811" s="237"/>
      <c r="CV811" s="237"/>
      <c r="CW811" s="237"/>
      <c r="CX811" s="237"/>
      <c r="CY811" s="237"/>
      <c r="CZ811" s="237"/>
      <c r="DA811" s="237"/>
      <c r="DB811" s="237"/>
      <c r="DC811" s="237"/>
      <c r="DD811" s="237"/>
      <c r="DE811" s="237"/>
      <c r="DF811" s="237"/>
      <c r="DG811" s="237"/>
      <c r="DH811" s="237"/>
      <c r="DI811" s="237"/>
      <c r="DJ811" s="237"/>
      <c r="DK811" s="237"/>
      <c r="DL811" s="237"/>
      <c r="DM811" s="237"/>
      <c r="DN811" s="237"/>
      <c r="DO811" s="237"/>
      <c r="DP811" s="237"/>
      <c r="DQ811" s="237"/>
      <c r="DR811" s="237"/>
      <c r="DS811" s="237"/>
      <c r="DT811" s="237"/>
      <c r="DU811" s="237"/>
      <c r="DV811" s="237"/>
      <c r="DW811" s="237"/>
      <c r="DX811" s="237"/>
      <c r="DY811" s="237"/>
      <c r="DZ811" s="237"/>
      <c r="EA811" s="237"/>
      <c r="EB811" s="237"/>
      <c r="EC811" s="237"/>
      <c r="ED811" s="237"/>
      <c r="EE811" s="237"/>
      <c r="EF811" s="237"/>
      <c r="EG811" s="237"/>
      <c r="EH811" s="237"/>
      <c r="EI811" s="237"/>
      <c r="EJ811" s="237"/>
      <c r="EK811" s="237"/>
      <c r="EL811" s="237"/>
      <c r="EM811" s="237"/>
      <c r="EN811" s="237"/>
      <c r="EO811" s="237"/>
      <c r="EP811" s="237"/>
      <c r="EQ811" s="237"/>
      <c r="ER811" s="237"/>
      <c r="ES811" s="9"/>
      <c r="ET811" s="9"/>
      <c r="EU811" s="9"/>
      <c r="EV811" s="9"/>
      <c r="EW811" s="9"/>
      <c r="EX811" s="9"/>
      <c r="EY811" s="9"/>
      <c r="EZ811" s="9"/>
      <c r="FA811" s="9"/>
      <c r="FB811" s="9"/>
      <c r="FC811" s="9"/>
      <c r="FD811" s="9"/>
      <c r="FE811" s="9"/>
      <c r="FF811" s="9"/>
      <c r="FG811" s="9"/>
      <c r="FH811" s="9"/>
      <c r="FI811" s="9"/>
      <c r="FJ811" s="9"/>
      <c r="FK811" s="9"/>
      <c r="FL811" s="9"/>
      <c r="FM811" s="9"/>
      <c r="FN811" s="9"/>
      <c r="FO811" s="9"/>
      <c r="FP811" s="9"/>
    </row>
    <row r="812" customFormat="false" ht="15" hidden="false" customHeight="false" outlineLevel="2" collapsed="false">
      <c r="B812" s="240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237"/>
      <c r="AD812" s="237"/>
      <c r="AE812" s="237"/>
      <c r="AF812" s="237"/>
      <c r="AG812" s="237"/>
      <c r="AH812" s="237"/>
      <c r="AI812" s="237"/>
      <c r="AJ812" s="237"/>
      <c r="AK812" s="237"/>
      <c r="AL812" s="237"/>
      <c r="AM812" s="237"/>
      <c r="AN812" s="237"/>
      <c r="AO812" s="237"/>
      <c r="AP812" s="237"/>
      <c r="AQ812" s="237"/>
      <c r="AR812" s="237"/>
      <c r="AS812" s="237"/>
      <c r="AT812" s="237"/>
      <c r="AU812" s="237"/>
      <c r="AV812" s="237"/>
      <c r="AW812" s="237"/>
      <c r="AX812" s="237"/>
      <c r="AY812" s="237"/>
      <c r="AZ812" s="237"/>
      <c r="BA812" s="237"/>
      <c r="BB812" s="237"/>
      <c r="BC812" s="237"/>
      <c r="BD812" s="237"/>
      <c r="BE812" s="237"/>
      <c r="BF812" s="237"/>
      <c r="BG812" s="237"/>
      <c r="BH812" s="237"/>
      <c r="BI812" s="237"/>
      <c r="BJ812" s="237"/>
      <c r="BK812" s="237"/>
      <c r="BL812" s="237"/>
      <c r="BM812" s="237"/>
      <c r="BN812" s="237"/>
      <c r="BO812" s="237"/>
      <c r="BP812" s="237"/>
      <c r="BQ812" s="237"/>
      <c r="BR812" s="237"/>
      <c r="BS812" s="237"/>
      <c r="BT812" s="237"/>
      <c r="BU812" s="237"/>
      <c r="BV812" s="237"/>
      <c r="BW812" s="237"/>
      <c r="BX812" s="237"/>
      <c r="BY812" s="237"/>
      <c r="BZ812" s="237"/>
      <c r="CA812" s="237"/>
      <c r="CB812" s="237"/>
      <c r="CC812" s="237"/>
      <c r="CD812" s="237"/>
      <c r="CE812" s="237"/>
      <c r="CF812" s="237"/>
      <c r="CG812" s="237"/>
      <c r="CH812" s="237"/>
      <c r="CI812" s="237"/>
      <c r="CJ812" s="237"/>
      <c r="CK812" s="237"/>
      <c r="CL812" s="237"/>
      <c r="CM812" s="237"/>
      <c r="CN812" s="237"/>
      <c r="CO812" s="237"/>
      <c r="CP812" s="237"/>
      <c r="CQ812" s="237"/>
      <c r="CR812" s="237"/>
      <c r="CS812" s="237"/>
      <c r="CT812" s="237"/>
      <c r="CU812" s="237"/>
      <c r="CV812" s="237"/>
      <c r="CW812" s="237"/>
      <c r="CX812" s="237"/>
      <c r="CY812" s="237"/>
      <c r="CZ812" s="237"/>
      <c r="DA812" s="237"/>
      <c r="DB812" s="237"/>
      <c r="DC812" s="237"/>
      <c r="DD812" s="237"/>
      <c r="DE812" s="237"/>
      <c r="DF812" s="237"/>
      <c r="DG812" s="237"/>
      <c r="DH812" s="237"/>
      <c r="DI812" s="237"/>
      <c r="DJ812" s="237"/>
      <c r="DK812" s="237"/>
      <c r="DL812" s="237"/>
      <c r="DM812" s="237"/>
      <c r="DN812" s="237"/>
      <c r="DO812" s="237"/>
      <c r="DP812" s="237"/>
      <c r="DQ812" s="237"/>
      <c r="DR812" s="237"/>
      <c r="DS812" s="237"/>
      <c r="DT812" s="237"/>
      <c r="DU812" s="237"/>
      <c r="DV812" s="237"/>
      <c r="DW812" s="237"/>
      <c r="DX812" s="237"/>
      <c r="DY812" s="237"/>
      <c r="DZ812" s="237"/>
      <c r="EA812" s="237"/>
      <c r="EB812" s="237"/>
      <c r="EC812" s="237"/>
      <c r="ED812" s="237"/>
      <c r="EE812" s="237"/>
      <c r="EF812" s="237"/>
      <c r="EG812" s="237"/>
      <c r="EH812" s="237"/>
      <c r="EI812" s="237"/>
      <c r="EJ812" s="237"/>
      <c r="EK812" s="237"/>
      <c r="EL812" s="237"/>
      <c r="EM812" s="237"/>
      <c r="EN812" s="237"/>
      <c r="EO812" s="237"/>
      <c r="EP812" s="237"/>
      <c r="EQ812" s="237"/>
      <c r="ER812" s="237"/>
      <c r="ES812" s="9"/>
      <c r="ET812" s="9"/>
      <c r="EU812" s="9"/>
      <c r="EV812" s="9"/>
      <c r="EW812" s="9"/>
      <c r="EX812" s="9"/>
      <c r="EY812" s="9"/>
      <c r="EZ812" s="9"/>
      <c r="FA812" s="9"/>
      <c r="FB812" s="9"/>
      <c r="FC812" s="9"/>
      <c r="FD812" s="9"/>
      <c r="FE812" s="9"/>
      <c r="FF812" s="9"/>
      <c r="FG812" s="9"/>
      <c r="FH812" s="9"/>
      <c r="FI812" s="9"/>
      <c r="FJ812" s="9"/>
      <c r="FK812" s="9"/>
      <c r="FL812" s="9"/>
      <c r="FM812" s="9"/>
      <c r="FN812" s="9"/>
      <c r="FO812" s="9"/>
      <c r="FP812" s="9"/>
    </row>
    <row r="813" customFormat="false" ht="15" hidden="false" customHeight="false" outlineLevel="2" collapsed="false">
      <c r="B813" s="21" t="s">
        <v>954</v>
      </c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  <c r="AP813" s="21"/>
      <c r="AQ813" s="21"/>
      <c r="AR813" s="21"/>
      <c r="AS813" s="21"/>
      <c r="AT813" s="21"/>
      <c r="AU813" s="21"/>
      <c r="AV813" s="21"/>
      <c r="AW813" s="21"/>
      <c r="AX813" s="21"/>
      <c r="AY813" s="21"/>
      <c r="AZ813" s="21"/>
      <c r="BA813" s="21"/>
      <c r="BB813" s="21"/>
      <c r="BC813" s="21"/>
      <c r="BD813" s="21"/>
      <c r="BE813" s="21"/>
      <c r="BF813" s="21"/>
      <c r="BG813" s="21"/>
      <c r="BH813" s="21"/>
      <c r="BI813" s="21"/>
      <c r="BJ813" s="21"/>
      <c r="BK813" s="21"/>
      <c r="BL813" s="21"/>
      <c r="BM813" s="21"/>
      <c r="BN813" s="21"/>
      <c r="BO813" s="21"/>
      <c r="BP813" s="21"/>
      <c r="BQ813" s="21"/>
      <c r="BR813" s="21"/>
      <c r="BS813" s="21"/>
      <c r="BT813" s="21"/>
      <c r="BU813" s="21"/>
      <c r="BV813" s="21"/>
      <c r="BW813" s="21"/>
      <c r="BX813" s="21"/>
      <c r="BY813" s="21"/>
      <c r="BZ813" s="21"/>
      <c r="CA813" s="21"/>
      <c r="CB813" s="21"/>
      <c r="CC813" s="21"/>
      <c r="CD813" s="21"/>
      <c r="CE813" s="21"/>
      <c r="CF813" s="21"/>
      <c r="CG813" s="21"/>
      <c r="CH813" s="21"/>
      <c r="CI813" s="21"/>
      <c r="CJ813" s="21"/>
      <c r="CK813" s="21"/>
      <c r="CL813" s="21"/>
      <c r="CM813" s="21"/>
      <c r="CN813" s="21"/>
      <c r="CO813" s="21"/>
      <c r="CP813" s="21"/>
      <c r="CQ813" s="21"/>
      <c r="CR813" s="21"/>
      <c r="CS813" s="21"/>
      <c r="CT813" s="21"/>
      <c r="CU813" s="21"/>
      <c r="CV813" s="21"/>
      <c r="CW813" s="21"/>
      <c r="CX813" s="21"/>
      <c r="CY813" s="21"/>
      <c r="CZ813" s="21"/>
      <c r="DA813" s="21"/>
      <c r="DB813" s="21"/>
      <c r="DC813" s="21"/>
      <c r="DD813" s="21"/>
      <c r="DE813" s="21"/>
      <c r="DF813" s="21"/>
      <c r="DG813" s="21"/>
      <c r="DH813" s="21"/>
      <c r="DI813" s="21"/>
      <c r="DJ813" s="21"/>
      <c r="DK813" s="21"/>
      <c r="DL813" s="21"/>
      <c r="DM813" s="21"/>
      <c r="DN813" s="21"/>
      <c r="DO813" s="21"/>
      <c r="DP813" s="21"/>
      <c r="DQ813" s="21"/>
      <c r="DR813" s="21"/>
      <c r="DS813" s="21"/>
      <c r="DT813" s="21"/>
      <c r="DU813" s="21"/>
      <c r="DV813" s="21"/>
      <c r="DW813" s="21"/>
      <c r="DX813" s="21"/>
      <c r="DY813" s="21"/>
      <c r="DZ813" s="21"/>
      <c r="EA813" s="21"/>
      <c r="EB813" s="21"/>
      <c r="EC813" s="21"/>
      <c r="ED813" s="21"/>
      <c r="EE813" s="21"/>
      <c r="EF813" s="21"/>
      <c r="EG813" s="21"/>
      <c r="EH813" s="21"/>
      <c r="EI813" s="21"/>
      <c r="EJ813" s="21"/>
      <c r="EK813" s="21"/>
      <c r="EL813" s="21"/>
      <c r="EM813" s="21"/>
      <c r="EN813" s="21"/>
      <c r="EO813" s="21"/>
      <c r="EP813" s="21"/>
      <c r="EQ813" s="21"/>
      <c r="ER813" s="21"/>
      <c r="ES813" s="9"/>
      <c r="ET813" s="9"/>
      <c r="EU813" s="9"/>
      <c r="EV813" s="9"/>
      <c r="EW813" s="9"/>
      <c r="EX813" s="9"/>
      <c r="EY813" s="9"/>
      <c r="EZ813" s="9"/>
      <c r="FA813" s="9"/>
      <c r="FB813" s="9"/>
      <c r="FC813" s="9"/>
      <c r="FD813" s="9"/>
      <c r="FE813" s="9"/>
      <c r="FF813" s="9"/>
      <c r="FG813" s="9"/>
      <c r="FH813" s="9"/>
      <c r="FI813" s="9"/>
      <c r="FJ813" s="9"/>
      <c r="FK813" s="9"/>
      <c r="FL813" s="9"/>
      <c r="FM813" s="9"/>
      <c r="FN813" s="9"/>
      <c r="FO813" s="9"/>
      <c r="FP813" s="9"/>
    </row>
    <row r="814" customFormat="false" ht="15" hidden="false" customHeight="false" outlineLevel="2" collapsed="false">
      <c r="B814" s="9" t="s">
        <v>872</v>
      </c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234" t="n">
        <f aca="false">('⑫ Roll-out Plan'!G86-2025)*12+'⑫ Roll-out Plan'!F86</f>
        <v>122</v>
      </c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  <c r="CO814" s="9"/>
      <c r="CP814" s="9"/>
      <c r="CQ814" s="9"/>
      <c r="CR814" s="9"/>
      <c r="CS814" s="9"/>
      <c r="CT814" s="9"/>
      <c r="CU814" s="9"/>
      <c r="CV814" s="9"/>
      <c r="CW814" s="9"/>
      <c r="CX814" s="9"/>
      <c r="CY814" s="9"/>
      <c r="CZ814" s="9"/>
      <c r="DA814" s="9"/>
      <c r="DB814" s="9"/>
      <c r="DC814" s="9"/>
      <c r="DD814" s="9"/>
      <c r="DE814" s="9"/>
      <c r="DF814" s="9"/>
      <c r="DG814" s="9"/>
      <c r="DH814" s="9"/>
      <c r="DI814" s="9"/>
      <c r="DJ814" s="9"/>
      <c r="DK814" s="9"/>
      <c r="DL814" s="9"/>
      <c r="DM814" s="9"/>
      <c r="DN814" s="9"/>
      <c r="DO814" s="9"/>
      <c r="DP814" s="9"/>
      <c r="DQ814" s="9"/>
      <c r="DR814" s="9"/>
      <c r="DS814" s="9"/>
      <c r="DT814" s="9"/>
      <c r="DU814" s="9"/>
      <c r="DV814" s="9"/>
      <c r="DW814" s="9"/>
      <c r="DX814" s="9"/>
      <c r="DY814" s="9"/>
      <c r="DZ814" s="9"/>
      <c r="EA814" s="9"/>
      <c r="EB814" s="9"/>
      <c r="EC814" s="9"/>
      <c r="ED814" s="9"/>
      <c r="EE814" s="9"/>
      <c r="EF814" s="9"/>
      <c r="EG814" s="9"/>
      <c r="EH814" s="9"/>
      <c r="EI814" s="9"/>
      <c r="EJ814" s="9"/>
      <c r="EK814" s="9"/>
      <c r="EL814" s="9"/>
      <c r="EM814" s="9"/>
      <c r="EN814" s="9"/>
      <c r="EO814" s="9"/>
      <c r="EP814" s="9"/>
      <c r="EQ814" s="9"/>
      <c r="ER814" s="9"/>
      <c r="ES814" s="9"/>
      <c r="ET814" s="9"/>
      <c r="EU814" s="9"/>
      <c r="EV814" s="9"/>
      <c r="EW814" s="9"/>
      <c r="EX814" s="9"/>
      <c r="EY814" s="9"/>
      <c r="EZ814" s="9"/>
      <c r="FA814" s="9"/>
      <c r="FB814" s="9"/>
      <c r="FC814" s="9"/>
      <c r="FD814" s="9"/>
      <c r="FE814" s="9"/>
      <c r="FF814" s="9"/>
      <c r="FG814" s="9"/>
      <c r="FH814" s="9"/>
      <c r="FI814" s="9"/>
      <c r="FJ814" s="9"/>
      <c r="FK814" s="9"/>
      <c r="FL814" s="9"/>
      <c r="FM814" s="9"/>
      <c r="FN814" s="9"/>
      <c r="FO814" s="9"/>
      <c r="FP814" s="9"/>
    </row>
    <row r="815" customFormat="false" ht="15" hidden="false" customHeight="false" outlineLevel="2" collapsed="false">
      <c r="B815" s="9" t="s">
        <v>873</v>
      </c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235" t="n">
        <f aca="false">VLOOKUP("C",$B$14:$C$18,2,FALSE())</f>
        <v>110</v>
      </c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9"/>
      <c r="CN815" s="9"/>
      <c r="CO815" s="9"/>
      <c r="CP815" s="9"/>
      <c r="CQ815" s="9"/>
      <c r="CR815" s="9"/>
      <c r="CS815" s="9"/>
      <c r="CT815" s="9"/>
      <c r="CU815" s="9"/>
      <c r="CV815" s="9"/>
      <c r="CW815" s="9"/>
      <c r="CX815" s="9"/>
      <c r="CY815" s="9"/>
      <c r="CZ815" s="9"/>
      <c r="DA815" s="9"/>
      <c r="DB815" s="9"/>
      <c r="DC815" s="9"/>
      <c r="DD815" s="9"/>
      <c r="DE815" s="9"/>
      <c r="DF815" s="9"/>
      <c r="DG815" s="9"/>
      <c r="DH815" s="9"/>
      <c r="DI815" s="9"/>
      <c r="DJ815" s="9"/>
      <c r="DK815" s="9"/>
      <c r="DL815" s="9"/>
      <c r="DM815" s="9"/>
      <c r="DN815" s="9"/>
      <c r="DO815" s="9"/>
      <c r="DP815" s="9"/>
      <c r="DQ815" s="9"/>
      <c r="DR815" s="9"/>
      <c r="DS815" s="9"/>
      <c r="DT815" s="9"/>
      <c r="DU815" s="9"/>
      <c r="DV815" s="9"/>
      <c r="DW815" s="9"/>
      <c r="DX815" s="9"/>
      <c r="DY815" s="9"/>
      <c r="DZ815" s="9"/>
      <c r="EA815" s="9"/>
      <c r="EB815" s="9"/>
      <c r="EC815" s="9"/>
      <c r="ED815" s="9"/>
      <c r="EE815" s="9"/>
      <c r="EF815" s="9"/>
      <c r="EG815" s="9"/>
      <c r="EH815" s="9"/>
      <c r="EI815" s="9"/>
      <c r="EJ815" s="9"/>
      <c r="EK815" s="9"/>
      <c r="EL815" s="9"/>
      <c r="EM815" s="9"/>
      <c r="EN815" s="9"/>
      <c r="EO815" s="9"/>
      <c r="EP815" s="9"/>
      <c r="EQ815" s="9"/>
      <c r="ER815" s="9"/>
      <c r="ES815" s="9"/>
      <c r="ET815" s="9"/>
      <c r="EU815" s="9"/>
      <c r="EV815" s="9"/>
      <c r="EW815" s="9"/>
      <c r="EX815" s="9"/>
      <c r="EY815" s="9"/>
      <c r="EZ815" s="9"/>
      <c r="FA815" s="9"/>
      <c r="FB815" s="9"/>
      <c r="FC815" s="9"/>
      <c r="FD815" s="9"/>
      <c r="FE815" s="9"/>
      <c r="FF815" s="9"/>
      <c r="FG815" s="9"/>
      <c r="FH815" s="9"/>
      <c r="FI815" s="9"/>
      <c r="FJ815" s="9"/>
      <c r="FK815" s="9"/>
      <c r="FL815" s="9"/>
      <c r="FM815" s="9"/>
      <c r="FN815" s="9"/>
      <c r="FO815" s="9"/>
      <c r="FP815" s="9"/>
    </row>
    <row r="816" customFormat="false" ht="15" hidden="false" customHeight="false" outlineLevel="2" collapsed="false">
      <c r="B816" s="9" t="s">
        <v>799</v>
      </c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63" t="n">
        <f aca="false">IF(AC$35&gt;=$AC$814,AC$35-$AC$814+1,0)</f>
        <v>0</v>
      </c>
      <c r="AD816" s="63" t="n">
        <f aca="false">IF(AD$35&gt;=$AC$814,AD$35-$AC$814+1,0)</f>
        <v>0</v>
      </c>
      <c r="AE816" s="63" t="n">
        <f aca="false">IF(AE$35&gt;=$AC$814,AE$35-$AC$814+1,0)</f>
        <v>0</v>
      </c>
      <c r="AF816" s="63" t="n">
        <f aca="false">IF(AF$35&gt;=$AC$814,AF$35-$AC$814+1,0)</f>
        <v>0</v>
      </c>
      <c r="AG816" s="63" t="n">
        <f aca="false">IF(AG$35&gt;=$AC$814,AG$35-$AC$814+1,0)</f>
        <v>0</v>
      </c>
      <c r="AH816" s="63" t="n">
        <f aca="false">IF(AH$35&gt;=$AC$814,AH$35-$AC$814+1,0)</f>
        <v>0</v>
      </c>
      <c r="AI816" s="63" t="n">
        <f aca="false">IF(AI$35&gt;=$AC$814,AI$35-$AC$814+1,0)</f>
        <v>0</v>
      </c>
      <c r="AJ816" s="63" t="n">
        <f aca="false">IF(AJ$35&gt;=$AC$814,AJ$35-$AC$814+1,0)</f>
        <v>0</v>
      </c>
      <c r="AK816" s="63" t="n">
        <f aca="false">IF(AK$35&gt;=$AC$814,AK$35-$AC$814+1,0)</f>
        <v>0</v>
      </c>
      <c r="AL816" s="63" t="n">
        <f aca="false">IF(AL$35&gt;=$AC$814,AL$35-$AC$814+1,0)</f>
        <v>0</v>
      </c>
      <c r="AM816" s="63" t="n">
        <f aca="false">IF(AM$35&gt;=$AC$814,AM$35-$AC$814+1,0)</f>
        <v>0</v>
      </c>
      <c r="AN816" s="63" t="n">
        <f aca="false">IF(AN$35&gt;=$AC$814,AN$35-$AC$814+1,0)</f>
        <v>0</v>
      </c>
      <c r="AO816" s="63" t="n">
        <f aca="false">IF(AO$35&gt;=$AC$814,AO$35-$AC$814+1,0)</f>
        <v>0</v>
      </c>
      <c r="AP816" s="63" t="n">
        <f aca="false">IF(AP$35&gt;=$AC$814,AP$35-$AC$814+1,0)</f>
        <v>0</v>
      </c>
      <c r="AQ816" s="63" t="n">
        <f aca="false">IF(AQ$35&gt;=$AC$814,AQ$35-$AC$814+1,0)</f>
        <v>0</v>
      </c>
      <c r="AR816" s="63" t="n">
        <f aca="false">IF(AR$35&gt;=$AC$814,AR$35-$AC$814+1,0)</f>
        <v>0</v>
      </c>
      <c r="AS816" s="63" t="n">
        <f aca="false">IF(AS$35&gt;=$AC$814,AS$35-$AC$814+1,0)</f>
        <v>0</v>
      </c>
      <c r="AT816" s="63" t="n">
        <f aca="false">IF(AT$35&gt;=$AC$814,AT$35-$AC$814+1,0)</f>
        <v>0</v>
      </c>
      <c r="AU816" s="63" t="n">
        <f aca="false">IF(AU$35&gt;=$AC$814,AU$35-$AC$814+1,0)</f>
        <v>0</v>
      </c>
      <c r="AV816" s="63" t="n">
        <f aca="false">IF(AV$35&gt;=$AC$814,AV$35-$AC$814+1,0)</f>
        <v>0</v>
      </c>
      <c r="AW816" s="63" t="n">
        <f aca="false">IF(AW$35&gt;=$AC$814,AW$35-$AC$814+1,0)</f>
        <v>0</v>
      </c>
      <c r="AX816" s="63" t="n">
        <f aca="false">IF(AX$35&gt;=$AC$814,AX$35-$AC$814+1,0)</f>
        <v>0</v>
      </c>
      <c r="AY816" s="63" t="n">
        <f aca="false">IF(AY$35&gt;=$AC$814,AY$35-$AC$814+1,0)</f>
        <v>0</v>
      </c>
      <c r="AZ816" s="63" t="n">
        <f aca="false">IF(AZ$35&gt;=$AC$814,AZ$35-$AC$814+1,0)</f>
        <v>0</v>
      </c>
      <c r="BA816" s="63" t="n">
        <f aca="false">IF(BA$35&gt;=$AC$814,BA$35-$AC$814+1,0)</f>
        <v>0</v>
      </c>
      <c r="BB816" s="63" t="n">
        <f aca="false">IF(BB$35&gt;=$AC$814,BB$35-$AC$814+1,0)</f>
        <v>0</v>
      </c>
      <c r="BC816" s="63" t="n">
        <f aca="false">IF(BC$35&gt;=$AC$814,BC$35-$AC$814+1,0)</f>
        <v>0</v>
      </c>
      <c r="BD816" s="63" t="n">
        <f aca="false">IF(BD$35&gt;=$AC$814,BD$35-$AC$814+1,0)</f>
        <v>0</v>
      </c>
      <c r="BE816" s="63" t="n">
        <f aca="false">IF(BE$35&gt;=$AC$814,BE$35-$AC$814+1,0)</f>
        <v>0</v>
      </c>
      <c r="BF816" s="63" t="n">
        <f aca="false">IF(BF$35&gt;=$AC$814,BF$35-$AC$814+1,0)</f>
        <v>0</v>
      </c>
      <c r="BG816" s="63" t="n">
        <f aca="false">IF(BG$35&gt;=$AC$814,BG$35-$AC$814+1,0)</f>
        <v>0</v>
      </c>
      <c r="BH816" s="63" t="n">
        <f aca="false">IF(BH$35&gt;=$AC$814,BH$35-$AC$814+1,0)</f>
        <v>0</v>
      </c>
      <c r="BI816" s="63" t="n">
        <f aca="false">IF(BI$35&gt;=$AC$814,BI$35-$AC$814+1,0)</f>
        <v>0</v>
      </c>
      <c r="BJ816" s="63" t="n">
        <f aca="false">IF(BJ$35&gt;=$AC$814,BJ$35-$AC$814+1,0)</f>
        <v>0</v>
      </c>
      <c r="BK816" s="63" t="n">
        <f aca="false">IF(BK$35&gt;=$AC$814,BK$35-$AC$814+1,0)</f>
        <v>0</v>
      </c>
      <c r="BL816" s="63" t="n">
        <f aca="false">IF(BL$35&gt;=$AC$814,BL$35-$AC$814+1,0)</f>
        <v>0</v>
      </c>
      <c r="BM816" s="63" t="n">
        <f aca="false">IF(BM$35&gt;=$AC$814,BM$35-$AC$814+1,0)</f>
        <v>0</v>
      </c>
      <c r="BN816" s="63" t="n">
        <f aca="false">IF(BN$35&gt;=$AC$814,BN$35-$AC$814+1,0)</f>
        <v>0</v>
      </c>
      <c r="BO816" s="63" t="n">
        <f aca="false">IF(BO$35&gt;=$AC$814,BO$35-$AC$814+1,0)</f>
        <v>0</v>
      </c>
      <c r="BP816" s="63" t="n">
        <f aca="false">IF(BP$35&gt;=$AC$814,BP$35-$AC$814+1,0)</f>
        <v>0</v>
      </c>
      <c r="BQ816" s="63" t="n">
        <f aca="false">IF(BQ$35&gt;=$AC$814,BQ$35-$AC$814+1,0)</f>
        <v>0</v>
      </c>
      <c r="BR816" s="63" t="n">
        <f aca="false">IF(BR$35&gt;=$AC$814,BR$35-$AC$814+1,0)</f>
        <v>0</v>
      </c>
      <c r="BS816" s="63" t="n">
        <f aca="false">IF(BS$35&gt;=$AC$814,BS$35-$AC$814+1,0)</f>
        <v>0</v>
      </c>
      <c r="BT816" s="63" t="n">
        <f aca="false">IF(BT$35&gt;=$AC$814,BT$35-$AC$814+1,0)</f>
        <v>0</v>
      </c>
      <c r="BU816" s="63" t="n">
        <f aca="false">IF(BU$35&gt;=$AC$814,BU$35-$AC$814+1,0)</f>
        <v>0</v>
      </c>
      <c r="BV816" s="63" t="n">
        <f aca="false">IF(BV$35&gt;=$AC$814,BV$35-$AC$814+1,0)</f>
        <v>0</v>
      </c>
      <c r="BW816" s="63" t="n">
        <f aca="false">IF(BW$35&gt;=$AC$814,BW$35-$AC$814+1,0)</f>
        <v>0</v>
      </c>
      <c r="BX816" s="63" t="n">
        <f aca="false">IF(BX$35&gt;=$AC$814,BX$35-$AC$814+1,0)</f>
        <v>0</v>
      </c>
      <c r="BY816" s="63" t="n">
        <f aca="false">IF(BY$35&gt;=$AC$814,BY$35-$AC$814+1,0)</f>
        <v>0</v>
      </c>
      <c r="BZ816" s="63" t="n">
        <f aca="false">IF(BZ$35&gt;=$AC$814,BZ$35-$AC$814+1,0)</f>
        <v>0</v>
      </c>
      <c r="CA816" s="63" t="n">
        <f aca="false">IF(CA$35&gt;=$AC$814,CA$35-$AC$814+1,0)</f>
        <v>0</v>
      </c>
      <c r="CB816" s="63" t="n">
        <f aca="false">IF(CB$35&gt;=$AC$814,CB$35-$AC$814+1,0)</f>
        <v>0</v>
      </c>
      <c r="CC816" s="63" t="n">
        <f aca="false">IF(CC$35&gt;=$AC$814,CC$35-$AC$814+1,0)</f>
        <v>0</v>
      </c>
      <c r="CD816" s="63" t="n">
        <f aca="false">IF(CD$35&gt;=$AC$814,CD$35-$AC$814+1,0)</f>
        <v>0</v>
      </c>
      <c r="CE816" s="63" t="n">
        <f aca="false">IF(CE$35&gt;=$AC$814,CE$35-$AC$814+1,0)</f>
        <v>0</v>
      </c>
      <c r="CF816" s="63" t="n">
        <f aca="false">IF(CF$35&gt;=$AC$814,CF$35-$AC$814+1,0)</f>
        <v>0</v>
      </c>
      <c r="CG816" s="63" t="n">
        <f aca="false">IF(CG$35&gt;=$AC$814,CG$35-$AC$814+1,0)</f>
        <v>0</v>
      </c>
      <c r="CH816" s="63" t="n">
        <f aca="false">IF(CH$35&gt;=$AC$814,CH$35-$AC$814+1,0)</f>
        <v>0</v>
      </c>
      <c r="CI816" s="63" t="n">
        <f aca="false">IF(CI$35&gt;=$AC$814,CI$35-$AC$814+1,0)</f>
        <v>0</v>
      </c>
      <c r="CJ816" s="63" t="n">
        <f aca="false">IF(CJ$35&gt;=$AC$814,CJ$35-$AC$814+1,0)</f>
        <v>0</v>
      </c>
      <c r="CK816" s="63" t="n">
        <f aca="false">IF(CK$35&gt;=$AC$814,CK$35-$AC$814+1,0)</f>
        <v>0</v>
      </c>
      <c r="CL816" s="63" t="n">
        <f aca="false">IF(CL$35&gt;=$AC$814,CL$35-$AC$814+1,0)</f>
        <v>0</v>
      </c>
      <c r="CM816" s="63" t="n">
        <f aca="false">IF(CM$35&gt;=$AC$814,CM$35-$AC$814+1,0)</f>
        <v>0</v>
      </c>
      <c r="CN816" s="63" t="n">
        <f aca="false">IF(CN$35&gt;=$AC$814,CN$35-$AC$814+1,0)</f>
        <v>0</v>
      </c>
      <c r="CO816" s="63" t="n">
        <f aca="false">IF(CO$35&gt;=$AC$814,CO$35-$AC$814+1,0)</f>
        <v>0</v>
      </c>
      <c r="CP816" s="63" t="n">
        <f aca="false">IF(CP$35&gt;=$AC$814,CP$35-$AC$814+1,0)</f>
        <v>0</v>
      </c>
      <c r="CQ816" s="63" t="n">
        <f aca="false">IF(CQ$35&gt;=$AC$814,CQ$35-$AC$814+1,0)</f>
        <v>0</v>
      </c>
      <c r="CR816" s="63" t="n">
        <f aca="false">IF(CR$35&gt;=$AC$814,CR$35-$AC$814+1,0)</f>
        <v>0</v>
      </c>
      <c r="CS816" s="63" t="n">
        <f aca="false">IF(CS$35&gt;=$AC$814,CS$35-$AC$814+1,0)</f>
        <v>0</v>
      </c>
      <c r="CT816" s="63" t="n">
        <f aca="false">IF(CT$35&gt;=$AC$814,CT$35-$AC$814+1,0)</f>
        <v>0</v>
      </c>
      <c r="CU816" s="63" t="n">
        <f aca="false">IF(CU$35&gt;=$AC$814,CU$35-$AC$814+1,0)</f>
        <v>0</v>
      </c>
      <c r="CV816" s="63" t="n">
        <f aca="false">IF(CV$35&gt;=$AC$814,CV$35-$AC$814+1,0)</f>
        <v>0</v>
      </c>
      <c r="CW816" s="63" t="n">
        <f aca="false">IF(CW$35&gt;=$AC$814,CW$35-$AC$814+1,0)</f>
        <v>0</v>
      </c>
      <c r="CX816" s="63" t="n">
        <f aca="false">IF(CX$35&gt;=$AC$814,CX$35-$AC$814+1,0)</f>
        <v>0</v>
      </c>
      <c r="CY816" s="63" t="n">
        <f aca="false">IF(CY$35&gt;=$AC$814,CY$35-$AC$814+1,0)</f>
        <v>0</v>
      </c>
      <c r="CZ816" s="63" t="n">
        <f aca="false">IF(CZ$35&gt;=$AC$814,CZ$35-$AC$814+1,0)</f>
        <v>0</v>
      </c>
      <c r="DA816" s="63" t="n">
        <f aca="false">IF(DA$35&gt;=$AC$814,DA$35-$AC$814+1,0)</f>
        <v>0</v>
      </c>
      <c r="DB816" s="63" t="n">
        <f aca="false">IF(DB$35&gt;=$AC$814,DB$35-$AC$814+1,0)</f>
        <v>0</v>
      </c>
      <c r="DC816" s="63" t="n">
        <f aca="false">IF(DC$35&gt;=$AC$814,DC$35-$AC$814+1,0)</f>
        <v>0</v>
      </c>
      <c r="DD816" s="63" t="n">
        <f aca="false">IF(DD$35&gt;=$AC$814,DD$35-$AC$814+1,0)</f>
        <v>0</v>
      </c>
      <c r="DE816" s="63" t="n">
        <f aca="false">IF(DE$35&gt;=$AC$814,DE$35-$AC$814+1,0)</f>
        <v>0</v>
      </c>
      <c r="DF816" s="63" t="n">
        <f aca="false">IF(DF$35&gt;=$AC$814,DF$35-$AC$814+1,0)</f>
        <v>0</v>
      </c>
      <c r="DG816" s="63" t="n">
        <f aca="false">IF(DG$35&gt;=$AC$814,DG$35-$AC$814+1,0)</f>
        <v>0</v>
      </c>
      <c r="DH816" s="63" t="n">
        <f aca="false">IF(DH$35&gt;=$AC$814,DH$35-$AC$814+1,0)</f>
        <v>0</v>
      </c>
      <c r="DI816" s="63" t="n">
        <f aca="false">IF(DI$35&gt;=$AC$814,DI$35-$AC$814+1,0)</f>
        <v>0</v>
      </c>
      <c r="DJ816" s="63" t="n">
        <f aca="false">IF(DJ$35&gt;=$AC$814,DJ$35-$AC$814+1,0)</f>
        <v>0</v>
      </c>
      <c r="DK816" s="63" t="n">
        <f aca="false">IF(DK$35&gt;=$AC$814,DK$35-$AC$814+1,0)</f>
        <v>0</v>
      </c>
      <c r="DL816" s="63" t="n">
        <f aca="false">IF(DL$35&gt;=$AC$814,DL$35-$AC$814+1,0)</f>
        <v>0</v>
      </c>
      <c r="DM816" s="63" t="n">
        <f aca="false">IF(DM$35&gt;=$AC$814,DM$35-$AC$814+1,0)</f>
        <v>0</v>
      </c>
      <c r="DN816" s="63" t="n">
        <f aca="false">IF(DN$35&gt;=$AC$814,DN$35-$AC$814+1,0)</f>
        <v>0</v>
      </c>
      <c r="DO816" s="63" t="n">
        <f aca="false">IF(DO$35&gt;=$AC$814,DO$35-$AC$814+1,0)</f>
        <v>0</v>
      </c>
      <c r="DP816" s="63" t="n">
        <f aca="false">IF(DP$35&gt;=$AC$814,DP$35-$AC$814+1,0)</f>
        <v>0</v>
      </c>
      <c r="DQ816" s="63" t="n">
        <f aca="false">IF(DQ$35&gt;=$AC$814,DQ$35-$AC$814+1,0)</f>
        <v>0</v>
      </c>
      <c r="DR816" s="63" t="n">
        <f aca="false">IF(DR$35&gt;=$AC$814,DR$35-$AC$814+1,0)</f>
        <v>0</v>
      </c>
      <c r="DS816" s="63" t="n">
        <f aca="false">IF(DS$35&gt;=$AC$814,DS$35-$AC$814+1,0)</f>
        <v>0</v>
      </c>
      <c r="DT816" s="63" t="n">
        <f aca="false">IF(DT$35&gt;=$AC$814,DT$35-$AC$814+1,0)</f>
        <v>0</v>
      </c>
      <c r="DU816" s="63" t="n">
        <f aca="false">IF(DU$35&gt;=$AC$814,DU$35-$AC$814+1,0)</f>
        <v>0</v>
      </c>
      <c r="DV816" s="63" t="n">
        <f aca="false">IF(DV$35&gt;=$AC$814,DV$35-$AC$814+1,0)</f>
        <v>0</v>
      </c>
      <c r="DW816" s="63" t="n">
        <f aca="false">IF(DW$35&gt;=$AC$814,DW$35-$AC$814+1,0)</f>
        <v>0</v>
      </c>
      <c r="DX816" s="63" t="n">
        <f aca="false">IF(DX$35&gt;=$AC$814,DX$35-$AC$814+1,0)</f>
        <v>0</v>
      </c>
      <c r="DY816" s="63" t="n">
        <f aca="false">IF(DY$35&gt;=$AC$814,DY$35-$AC$814+1,0)</f>
        <v>0</v>
      </c>
      <c r="DZ816" s="63" t="n">
        <f aca="false">IF(DZ$35&gt;=$AC$814,DZ$35-$AC$814+1,0)</f>
        <v>0</v>
      </c>
      <c r="EA816" s="63" t="n">
        <f aca="false">IF(EA$35&gt;=$AC$814,EA$35-$AC$814+1,0)</f>
        <v>0</v>
      </c>
      <c r="EB816" s="63" t="n">
        <f aca="false">IF(EB$35&gt;=$AC$814,EB$35-$AC$814+1,0)</f>
        <v>0</v>
      </c>
      <c r="EC816" s="63" t="n">
        <f aca="false">IF(EC$35&gt;=$AC$814,EC$35-$AC$814+1,0)</f>
        <v>0</v>
      </c>
      <c r="ED816" s="63" t="n">
        <f aca="false">IF(ED$35&gt;=$AC$814,ED$35-$AC$814+1,0)</f>
        <v>0</v>
      </c>
      <c r="EE816" s="63" t="n">
        <f aca="false">IF(EE$35&gt;=$AC$814,EE$35-$AC$814+1,0)</f>
        <v>0</v>
      </c>
      <c r="EF816" s="63" t="n">
        <f aca="false">IF(EF$35&gt;=$AC$814,EF$35-$AC$814+1,0)</f>
        <v>0</v>
      </c>
      <c r="EG816" s="63" t="n">
        <f aca="false">IF(EG$35&gt;=$AC$814,EG$35-$AC$814+1,0)</f>
        <v>0</v>
      </c>
      <c r="EH816" s="63" t="n">
        <f aca="false">IF(EH$35&gt;=$AC$814,EH$35-$AC$814+1,0)</f>
        <v>0</v>
      </c>
      <c r="EI816" s="63" t="n">
        <f aca="false">IF(EI$35&gt;=$AC$814,EI$35-$AC$814+1,0)</f>
        <v>0</v>
      </c>
      <c r="EJ816" s="63" t="n">
        <f aca="false">IF(EJ$35&gt;=$AC$814,EJ$35-$AC$814+1,0)</f>
        <v>0</v>
      </c>
      <c r="EK816" s="63" t="n">
        <f aca="false">IF(EK$35&gt;=$AC$814,EK$35-$AC$814+1,0)</f>
        <v>0</v>
      </c>
      <c r="EL816" s="63" t="n">
        <f aca="false">IF(EL$35&gt;=$AC$814,EL$35-$AC$814+1,0)</f>
        <v>0</v>
      </c>
      <c r="EM816" s="63" t="n">
        <f aca="false">IF(EM$35&gt;=$AC$814,EM$35-$AC$814+1,0)</f>
        <v>0</v>
      </c>
      <c r="EN816" s="63" t="n">
        <f aca="false">IF(EN$35&gt;=$AC$814,EN$35-$AC$814+1,0)</f>
        <v>0</v>
      </c>
      <c r="EO816" s="63" t="n">
        <f aca="false">IF(EO$35&gt;=$AC$814,EO$35-$AC$814+1,0)</f>
        <v>0</v>
      </c>
      <c r="EP816" s="63" t="n">
        <f aca="false">IF(EP$35&gt;=$AC$814,EP$35-$AC$814+1,0)</f>
        <v>0</v>
      </c>
      <c r="EQ816" s="63" t="n">
        <f aca="false">IF(EQ$35&gt;=$AC$814,EQ$35-$AC$814+1,0)</f>
        <v>0</v>
      </c>
      <c r="ER816" s="63" t="n">
        <f aca="false">IF(ER$35&gt;=$AC$814,ER$35-$AC$814+1,0)</f>
        <v>0</v>
      </c>
      <c r="ES816" s="9" t="n">
        <f aca="false">IF(ES$35&gt;=$AC$814,ES$35-$AC$814+1,0)</f>
        <v>0</v>
      </c>
      <c r="ET816" s="9" t="n">
        <f aca="false">IF(ET$35&gt;=$AC$814,ET$35-$AC$814+1,0)</f>
        <v>1</v>
      </c>
      <c r="EU816" s="9" t="n">
        <f aca="false">IF(EU$35&gt;=$AC$814,EU$35-$AC$814+1,0)</f>
        <v>2</v>
      </c>
      <c r="EV816" s="9" t="n">
        <f aca="false">IF(EV$35&gt;=$AC$814,EV$35-$AC$814+1,0)</f>
        <v>3</v>
      </c>
      <c r="EW816" s="9" t="n">
        <f aca="false">IF(EW$35&gt;=$AC$814,EW$35-$AC$814+1,0)</f>
        <v>4</v>
      </c>
      <c r="EX816" s="9" t="n">
        <f aca="false">IF(EX$35&gt;=$AC$814,EX$35-$AC$814+1,0)</f>
        <v>5</v>
      </c>
      <c r="EY816" s="9" t="n">
        <f aca="false">IF(EY$35&gt;=$AC$814,EY$35-$AC$814+1,0)</f>
        <v>6</v>
      </c>
      <c r="EZ816" s="9" t="n">
        <f aca="false">IF(EZ$35&gt;=$AC$814,EZ$35-$AC$814+1,0)</f>
        <v>7</v>
      </c>
      <c r="FA816" s="9" t="n">
        <f aca="false">IF(FA$35&gt;=$AC$814,FA$35-$AC$814+1,0)</f>
        <v>8</v>
      </c>
      <c r="FB816" s="9" t="n">
        <f aca="false">IF(FB$35&gt;=$AC$814,FB$35-$AC$814+1,0)</f>
        <v>9</v>
      </c>
      <c r="FC816" s="9" t="n">
        <f aca="false">IF(FC$35&gt;=$AC$814,FC$35-$AC$814+1,0)</f>
        <v>10</v>
      </c>
      <c r="FD816" s="9" t="n">
        <f aca="false">IF(FD$35&gt;=$AC$814,FD$35-$AC$814+1,0)</f>
        <v>11</v>
      </c>
      <c r="FE816" s="9" t="n">
        <f aca="false">IF(FE$35&gt;=$AC$814,FE$35-$AC$814+1,0)</f>
        <v>12</v>
      </c>
      <c r="FF816" s="9" t="n">
        <f aca="false">IF(FF$35&gt;=$AC$814,FF$35-$AC$814+1,0)</f>
        <v>13</v>
      </c>
      <c r="FG816" s="9" t="n">
        <f aca="false">IF(FG$35&gt;=$AC$814,FG$35-$AC$814+1,0)</f>
        <v>14</v>
      </c>
      <c r="FH816" s="9" t="n">
        <f aca="false">IF(FH$35&gt;=$AC$814,FH$35-$AC$814+1,0)</f>
        <v>15</v>
      </c>
      <c r="FI816" s="9" t="n">
        <f aca="false">IF(FI$35&gt;=$AC$814,FI$35-$AC$814+1,0)</f>
        <v>16</v>
      </c>
      <c r="FJ816" s="9" t="n">
        <f aca="false">IF(FJ$35&gt;=$AC$814,FJ$35-$AC$814+1,0)</f>
        <v>17</v>
      </c>
      <c r="FK816" s="9" t="n">
        <f aca="false">IF(FK$35&gt;=$AC$814,FK$35-$AC$814+1,0)</f>
        <v>18</v>
      </c>
      <c r="FL816" s="9" t="n">
        <f aca="false">IF(FL$35&gt;=$AC$814,FL$35-$AC$814+1,0)</f>
        <v>19</v>
      </c>
      <c r="FM816" s="9" t="n">
        <f aca="false">IF(FM$35&gt;=$AC$814,FM$35-$AC$814+1,0)</f>
        <v>20</v>
      </c>
      <c r="FN816" s="9" t="n">
        <f aca="false">IF(FN$35&gt;=$AC$814,FN$35-$AC$814+1,0)</f>
        <v>21</v>
      </c>
      <c r="FO816" s="9" t="n">
        <f aca="false">IF(FO$35&gt;=$AC$814,FO$35-$AC$814+1,0)</f>
        <v>22</v>
      </c>
      <c r="FP816" s="9" t="n">
        <f aca="false">IF(FP$35&gt;=$AC$814,FP$35-$AC$814+1,0)</f>
        <v>23</v>
      </c>
    </row>
    <row r="817" customFormat="false" ht="15" hidden="false" customHeight="false" outlineLevel="2" collapsed="false">
      <c r="B817" s="9" t="s">
        <v>874</v>
      </c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236" t="n">
        <f aca="false" t="array" ref="AC817:AC817">IF(AC816=0,0,IF(AC816/'🎚️ Escenario'!$C$11&gt;=36,$AL$23,INDEX($C$23:$AL$23,MAX(1,ROUNDUP(AC816/'🎚️ Escenario'!$C$11,0)))))</f>
        <v>0</v>
      </c>
      <c r="AD817" s="236" t="n">
        <f aca="false" t="array" ref="AD817:AD817">IF(AD816=0,0,IF(AD816/'🎚️ Escenario'!$C$11&gt;=36,$AL$23,INDEX($C$23:$AL$23,MAX(1,ROUNDUP(AD816/'🎚️ Escenario'!$C$11,0)))))</f>
        <v>0</v>
      </c>
      <c r="AE817" s="236" t="n">
        <f aca="false" t="array" ref="AE817:AE817">IF(AE816=0,0,IF(AE816/'🎚️ Escenario'!$C$11&gt;=36,$AL$23,INDEX($C$23:$AL$23,MAX(1,ROUNDUP(AE816/'🎚️ Escenario'!$C$11,0)))))</f>
        <v>0</v>
      </c>
      <c r="AF817" s="236" t="n">
        <f aca="false" t="array" ref="AF817:AF817">IF(AF816=0,0,IF(AF816/'🎚️ Escenario'!$C$11&gt;=36,$AL$23,INDEX($C$23:$AL$23,MAX(1,ROUNDUP(AF816/'🎚️ Escenario'!$C$11,0)))))</f>
        <v>0</v>
      </c>
      <c r="AG817" s="236" t="n">
        <f aca="false" t="array" ref="AG817:AG817">IF(AG816=0,0,IF(AG816/'🎚️ Escenario'!$C$11&gt;=36,$AL$23,INDEX($C$23:$AL$23,MAX(1,ROUNDUP(AG816/'🎚️ Escenario'!$C$11,0)))))</f>
        <v>0</v>
      </c>
      <c r="AH817" s="236" t="n">
        <f aca="false" t="array" ref="AH817:AH817">IF(AH816=0,0,IF(AH816/'🎚️ Escenario'!$C$11&gt;=36,$AL$23,INDEX($C$23:$AL$23,MAX(1,ROUNDUP(AH816/'🎚️ Escenario'!$C$11,0)))))</f>
        <v>0</v>
      </c>
      <c r="AI817" s="236" t="n">
        <f aca="false" t="array" ref="AI817:AI817">IF(AI816=0,0,IF(AI816/'🎚️ Escenario'!$C$11&gt;=36,$AL$23,INDEX($C$23:$AL$23,MAX(1,ROUNDUP(AI816/'🎚️ Escenario'!$C$11,0)))))</f>
        <v>0</v>
      </c>
      <c r="AJ817" s="236" t="n">
        <f aca="false" t="array" ref="AJ817:AJ817">IF(AJ816=0,0,IF(AJ816/'🎚️ Escenario'!$C$11&gt;=36,$AL$23,INDEX($C$23:$AL$23,MAX(1,ROUNDUP(AJ816/'🎚️ Escenario'!$C$11,0)))))</f>
        <v>0</v>
      </c>
      <c r="AK817" s="236" t="n">
        <f aca="false" t="array" ref="AK817:AK817">IF(AK816=0,0,IF(AK816/'🎚️ Escenario'!$C$11&gt;=36,$AL$23,INDEX($C$23:$AL$23,MAX(1,ROUNDUP(AK816/'🎚️ Escenario'!$C$11,0)))))</f>
        <v>0</v>
      </c>
      <c r="AL817" s="236" t="n">
        <f aca="false" t="array" ref="AL817:AL817">IF(AL816=0,0,IF(AL816/'🎚️ Escenario'!$C$11&gt;=36,$AL$23,INDEX($C$23:$AL$23,MAX(1,ROUNDUP(AL816/'🎚️ Escenario'!$C$11,0)))))</f>
        <v>0</v>
      </c>
      <c r="AM817" s="236" t="n">
        <f aca="false" t="array" ref="AM817:AM817">IF(AM816=0,0,IF(AM816/'🎚️ Escenario'!$C$11&gt;=36,$AL$23,INDEX($C$23:$AL$23,MAX(1,ROUNDUP(AM816/'🎚️ Escenario'!$C$11,0)))))</f>
        <v>0</v>
      </c>
      <c r="AN817" s="236" t="n">
        <f aca="false" t="array" ref="AN817:AN817">IF(AN816=0,0,IF(AN816/'🎚️ Escenario'!$C$11&gt;=36,$AL$23,INDEX($C$23:$AL$23,MAX(1,ROUNDUP(AN816/'🎚️ Escenario'!$C$11,0)))))</f>
        <v>0</v>
      </c>
      <c r="AO817" s="236" t="n">
        <f aca="false" t="array" ref="AO817:AO817">IF(AO816=0,0,IF(AO816/'🎚️ Escenario'!$C$11&gt;=36,$AL$23,INDEX($C$23:$AL$23,MAX(1,ROUNDUP(AO816/'🎚️ Escenario'!$C$11,0)))))</f>
        <v>0</v>
      </c>
      <c r="AP817" s="236" t="n">
        <f aca="false" t="array" ref="AP817:AP817">IF(AP816=0,0,IF(AP816/'🎚️ Escenario'!$C$11&gt;=36,$AL$23,INDEX($C$23:$AL$23,MAX(1,ROUNDUP(AP816/'🎚️ Escenario'!$C$11,0)))))</f>
        <v>0</v>
      </c>
      <c r="AQ817" s="236" t="n">
        <f aca="false" t="array" ref="AQ817:AQ817">IF(AQ816=0,0,IF(AQ816/'🎚️ Escenario'!$C$11&gt;=36,$AL$23,INDEX($C$23:$AL$23,MAX(1,ROUNDUP(AQ816/'🎚️ Escenario'!$C$11,0)))))</f>
        <v>0</v>
      </c>
      <c r="AR817" s="236" t="n">
        <f aca="false" t="array" ref="AR817:AR817">IF(AR816=0,0,IF(AR816/'🎚️ Escenario'!$C$11&gt;=36,$AL$23,INDEX($C$23:$AL$23,MAX(1,ROUNDUP(AR816/'🎚️ Escenario'!$C$11,0)))))</f>
        <v>0</v>
      </c>
      <c r="AS817" s="236" t="n">
        <f aca="false" t="array" ref="AS817:AS817">IF(AS816=0,0,IF(AS816/'🎚️ Escenario'!$C$11&gt;=36,$AL$23,INDEX($C$23:$AL$23,MAX(1,ROUNDUP(AS816/'🎚️ Escenario'!$C$11,0)))))</f>
        <v>0</v>
      </c>
      <c r="AT817" s="236" t="n">
        <f aca="false" t="array" ref="AT817:AT817">IF(AT816=0,0,IF(AT816/'🎚️ Escenario'!$C$11&gt;=36,$AL$23,INDEX($C$23:$AL$23,MAX(1,ROUNDUP(AT816/'🎚️ Escenario'!$C$11,0)))))</f>
        <v>0</v>
      </c>
      <c r="AU817" s="236" t="n">
        <f aca="false" t="array" ref="AU817:AU817">IF(AU816=0,0,IF(AU816/'🎚️ Escenario'!$C$11&gt;=36,$AL$23,INDEX($C$23:$AL$23,MAX(1,ROUNDUP(AU816/'🎚️ Escenario'!$C$11,0)))))</f>
        <v>0</v>
      </c>
      <c r="AV817" s="236" t="n">
        <f aca="false" t="array" ref="AV817:AV817">IF(AV816=0,0,IF(AV816/'🎚️ Escenario'!$C$11&gt;=36,$AL$23,INDEX($C$23:$AL$23,MAX(1,ROUNDUP(AV816/'🎚️ Escenario'!$C$11,0)))))</f>
        <v>0</v>
      </c>
      <c r="AW817" s="236" t="n">
        <f aca="false" t="array" ref="AW817:AW817">IF(AW816=0,0,IF(AW816/'🎚️ Escenario'!$C$11&gt;=36,$AL$23,INDEX($C$23:$AL$23,MAX(1,ROUNDUP(AW816/'🎚️ Escenario'!$C$11,0)))))</f>
        <v>0</v>
      </c>
      <c r="AX817" s="236" t="n">
        <f aca="false" t="array" ref="AX817:AX817">IF(AX816=0,0,IF(AX816/'🎚️ Escenario'!$C$11&gt;=36,$AL$23,INDEX($C$23:$AL$23,MAX(1,ROUNDUP(AX816/'🎚️ Escenario'!$C$11,0)))))</f>
        <v>0</v>
      </c>
      <c r="AY817" s="236" t="n">
        <f aca="false" t="array" ref="AY817:AY817">IF(AY816=0,0,IF(AY816/'🎚️ Escenario'!$C$11&gt;=36,$AL$23,INDEX($C$23:$AL$23,MAX(1,ROUNDUP(AY816/'🎚️ Escenario'!$C$11,0)))))</f>
        <v>0</v>
      </c>
      <c r="AZ817" s="236" t="n">
        <f aca="false" t="array" ref="AZ817:AZ817">IF(AZ816=0,0,IF(AZ816/'🎚️ Escenario'!$C$11&gt;=36,$AL$23,INDEX($C$23:$AL$23,MAX(1,ROUNDUP(AZ816/'🎚️ Escenario'!$C$11,0)))))</f>
        <v>0</v>
      </c>
      <c r="BA817" s="236" t="n">
        <f aca="false" t="array" ref="BA817:BA817">IF(BA816=0,0,IF(BA816/'🎚️ Escenario'!$C$11&gt;=36,$AL$23,INDEX($C$23:$AL$23,MAX(1,ROUNDUP(BA816/'🎚️ Escenario'!$C$11,0)))))</f>
        <v>0</v>
      </c>
      <c r="BB817" s="236" t="n">
        <f aca="false" t="array" ref="BB817:BB817">IF(BB816=0,0,IF(BB816/'🎚️ Escenario'!$C$11&gt;=36,$AL$23,INDEX($C$23:$AL$23,MAX(1,ROUNDUP(BB816/'🎚️ Escenario'!$C$11,0)))))</f>
        <v>0</v>
      </c>
      <c r="BC817" s="236" t="n">
        <f aca="false" t="array" ref="BC817:BC817">IF(BC816=0,0,IF(BC816/'🎚️ Escenario'!$C$11&gt;=36,$AL$23,INDEX($C$23:$AL$23,MAX(1,ROUNDUP(BC816/'🎚️ Escenario'!$C$11,0)))))</f>
        <v>0</v>
      </c>
      <c r="BD817" s="236" t="n">
        <f aca="false" t="array" ref="BD817:BD817">IF(BD816=0,0,IF(BD816/'🎚️ Escenario'!$C$11&gt;=36,$AL$23,INDEX($C$23:$AL$23,MAX(1,ROUNDUP(BD816/'🎚️ Escenario'!$C$11,0)))))</f>
        <v>0</v>
      </c>
      <c r="BE817" s="236" t="n">
        <f aca="false" t="array" ref="BE817:BE817">IF(BE816=0,0,IF(BE816/'🎚️ Escenario'!$C$11&gt;=36,$AL$23,INDEX($C$23:$AL$23,MAX(1,ROUNDUP(BE816/'🎚️ Escenario'!$C$11,0)))))</f>
        <v>0</v>
      </c>
      <c r="BF817" s="236" t="n">
        <f aca="false" t="array" ref="BF817:BF817">IF(BF816=0,0,IF(BF816/'🎚️ Escenario'!$C$11&gt;=36,$AL$23,INDEX($C$23:$AL$23,MAX(1,ROUNDUP(BF816/'🎚️ Escenario'!$C$11,0)))))</f>
        <v>0</v>
      </c>
      <c r="BG817" s="236" t="n">
        <f aca="false" t="array" ref="BG817:BG817">IF(BG816=0,0,IF(BG816/'🎚️ Escenario'!$C$11&gt;=36,$AL$23,INDEX($C$23:$AL$23,MAX(1,ROUNDUP(BG816/'🎚️ Escenario'!$C$11,0)))))</f>
        <v>0</v>
      </c>
      <c r="BH817" s="236" t="n">
        <f aca="false" t="array" ref="BH817:BH817">IF(BH816=0,0,IF(BH816/'🎚️ Escenario'!$C$11&gt;=36,$AL$23,INDEX($C$23:$AL$23,MAX(1,ROUNDUP(BH816/'🎚️ Escenario'!$C$11,0)))))</f>
        <v>0</v>
      </c>
      <c r="BI817" s="236" t="n">
        <f aca="false" t="array" ref="BI817:BI817">IF(BI816=0,0,IF(BI816/'🎚️ Escenario'!$C$11&gt;=36,$AL$23,INDEX($C$23:$AL$23,MAX(1,ROUNDUP(BI816/'🎚️ Escenario'!$C$11,0)))))</f>
        <v>0</v>
      </c>
      <c r="BJ817" s="236" t="n">
        <f aca="false" t="array" ref="BJ817:BJ817">IF(BJ816=0,0,IF(BJ816/'🎚️ Escenario'!$C$11&gt;=36,$AL$23,INDEX($C$23:$AL$23,MAX(1,ROUNDUP(BJ816/'🎚️ Escenario'!$C$11,0)))))</f>
        <v>0</v>
      </c>
      <c r="BK817" s="236" t="n">
        <f aca="false" t="array" ref="BK817:BK817">IF(BK816=0,0,IF(BK816/'🎚️ Escenario'!$C$11&gt;=36,$AL$23,INDEX($C$23:$AL$23,MAX(1,ROUNDUP(BK816/'🎚️ Escenario'!$C$11,0)))))</f>
        <v>0</v>
      </c>
      <c r="BL817" s="236" t="n">
        <f aca="false" t="array" ref="BL817:BL817">IF(BL816=0,0,IF(BL816/'🎚️ Escenario'!$C$11&gt;=36,$AL$23,INDEX($C$23:$AL$23,MAX(1,ROUNDUP(BL816/'🎚️ Escenario'!$C$11,0)))))</f>
        <v>0</v>
      </c>
      <c r="BM817" s="236" t="n">
        <f aca="false" t="array" ref="BM817:BM817">IF(BM816=0,0,IF(BM816/'🎚️ Escenario'!$C$11&gt;=36,$AL$23,INDEX($C$23:$AL$23,MAX(1,ROUNDUP(BM816/'🎚️ Escenario'!$C$11,0)))))</f>
        <v>0</v>
      </c>
      <c r="BN817" s="236" t="n">
        <f aca="false" t="array" ref="BN817:BN817">IF(BN816=0,0,IF(BN816/'🎚️ Escenario'!$C$11&gt;=36,$AL$23,INDEX($C$23:$AL$23,MAX(1,ROUNDUP(BN816/'🎚️ Escenario'!$C$11,0)))))</f>
        <v>0</v>
      </c>
      <c r="BO817" s="236" t="n">
        <f aca="false" t="array" ref="BO817:BO817">IF(BO816=0,0,IF(BO816/'🎚️ Escenario'!$C$11&gt;=36,$AL$23,INDEX($C$23:$AL$23,MAX(1,ROUNDUP(BO816/'🎚️ Escenario'!$C$11,0)))))</f>
        <v>0</v>
      </c>
      <c r="BP817" s="236" t="n">
        <f aca="false" t="array" ref="BP817:BP817">IF(BP816=0,0,IF(BP816/'🎚️ Escenario'!$C$11&gt;=36,$AL$23,INDEX($C$23:$AL$23,MAX(1,ROUNDUP(BP816/'🎚️ Escenario'!$C$11,0)))))</f>
        <v>0</v>
      </c>
      <c r="BQ817" s="236" t="n">
        <f aca="false" t="array" ref="BQ817:BQ817">IF(BQ816=0,0,IF(BQ816/'🎚️ Escenario'!$C$11&gt;=36,$AL$23,INDEX($C$23:$AL$23,MAX(1,ROUNDUP(BQ816/'🎚️ Escenario'!$C$11,0)))))</f>
        <v>0</v>
      </c>
      <c r="BR817" s="236" t="n">
        <f aca="false" t="array" ref="BR817:BR817">IF(BR816=0,0,IF(BR816/'🎚️ Escenario'!$C$11&gt;=36,$AL$23,INDEX($C$23:$AL$23,MAX(1,ROUNDUP(BR816/'🎚️ Escenario'!$C$11,0)))))</f>
        <v>0</v>
      </c>
      <c r="BS817" s="236" t="n">
        <f aca="false" t="array" ref="BS817:BS817">IF(BS816=0,0,IF(BS816/'🎚️ Escenario'!$C$11&gt;=36,$AL$23,INDEX($C$23:$AL$23,MAX(1,ROUNDUP(BS816/'🎚️ Escenario'!$C$11,0)))))</f>
        <v>0</v>
      </c>
      <c r="BT817" s="236" t="n">
        <f aca="false" t="array" ref="BT817:BT817">IF(BT816=0,0,IF(BT816/'🎚️ Escenario'!$C$11&gt;=36,$AL$23,INDEX($C$23:$AL$23,MAX(1,ROUNDUP(BT816/'🎚️ Escenario'!$C$11,0)))))</f>
        <v>0</v>
      </c>
      <c r="BU817" s="236" t="n">
        <f aca="false" t="array" ref="BU817:BU817">IF(BU816=0,0,IF(BU816/'🎚️ Escenario'!$C$11&gt;=36,$AL$23,INDEX($C$23:$AL$23,MAX(1,ROUNDUP(BU816/'🎚️ Escenario'!$C$11,0)))))</f>
        <v>0</v>
      </c>
      <c r="BV817" s="236" t="n">
        <f aca="false" t="array" ref="BV817:BV817">IF(BV816=0,0,IF(BV816/'🎚️ Escenario'!$C$11&gt;=36,$AL$23,INDEX($C$23:$AL$23,MAX(1,ROUNDUP(BV816/'🎚️ Escenario'!$C$11,0)))))</f>
        <v>0</v>
      </c>
      <c r="BW817" s="236" t="n">
        <f aca="false" t="array" ref="BW817:BW817">IF(BW816=0,0,IF(BW816/'🎚️ Escenario'!$C$11&gt;=36,$AL$23,INDEX($C$23:$AL$23,MAX(1,ROUNDUP(BW816/'🎚️ Escenario'!$C$11,0)))))</f>
        <v>0</v>
      </c>
      <c r="BX817" s="236" t="n">
        <f aca="false" t="array" ref="BX817:BX817">IF(BX816=0,0,IF(BX816/'🎚️ Escenario'!$C$11&gt;=36,$AL$23,INDEX($C$23:$AL$23,MAX(1,ROUNDUP(BX816/'🎚️ Escenario'!$C$11,0)))))</f>
        <v>0</v>
      </c>
      <c r="BY817" s="236" t="n">
        <f aca="false" t="array" ref="BY817:BY817">IF(BY816=0,0,IF(BY816/'🎚️ Escenario'!$C$11&gt;=36,$AL$23,INDEX($C$23:$AL$23,MAX(1,ROUNDUP(BY816/'🎚️ Escenario'!$C$11,0)))))</f>
        <v>0</v>
      </c>
      <c r="BZ817" s="236" t="n">
        <f aca="false" t="array" ref="BZ817:BZ817">IF(BZ816=0,0,IF(BZ816/'🎚️ Escenario'!$C$11&gt;=36,$AL$23,INDEX($C$23:$AL$23,MAX(1,ROUNDUP(BZ816/'🎚️ Escenario'!$C$11,0)))))</f>
        <v>0</v>
      </c>
      <c r="CA817" s="236" t="n">
        <f aca="false" t="array" ref="CA817:CA817">IF(CA816=0,0,IF(CA816/'🎚️ Escenario'!$C$11&gt;=36,$AL$23,INDEX($C$23:$AL$23,MAX(1,ROUNDUP(CA816/'🎚️ Escenario'!$C$11,0)))))</f>
        <v>0</v>
      </c>
      <c r="CB817" s="236" t="n">
        <f aca="false" t="array" ref="CB817:CB817">IF(CB816=0,0,IF(CB816/'🎚️ Escenario'!$C$11&gt;=36,$AL$23,INDEX($C$23:$AL$23,MAX(1,ROUNDUP(CB816/'🎚️ Escenario'!$C$11,0)))))</f>
        <v>0</v>
      </c>
      <c r="CC817" s="236" t="n">
        <f aca="false" t="array" ref="CC817:CC817">IF(CC816=0,0,IF(CC816/'🎚️ Escenario'!$C$11&gt;=36,$AL$23,INDEX($C$23:$AL$23,MAX(1,ROUNDUP(CC816/'🎚️ Escenario'!$C$11,0)))))</f>
        <v>0</v>
      </c>
      <c r="CD817" s="236" t="n">
        <f aca="false" t="array" ref="CD817:CD817">IF(CD816=0,0,IF(CD816/'🎚️ Escenario'!$C$11&gt;=36,$AL$23,INDEX($C$23:$AL$23,MAX(1,ROUNDUP(CD816/'🎚️ Escenario'!$C$11,0)))))</f>
        <v>0</v>
      </c>
      <c r="CE817" s="236" t="n">
        <f aca="false" t="array" ref="CE817:CE817">IF(CE816=0,0,IF(CE816/'🎚️ Escenario'!$C$11&gt;=36,$AL$23,INDEX($C$23:$AL$23,MAX(1,ROUNDUP(CE816/'🎚️ Escenario'!$C$11,0)))))</f>
        <v>0</v>
      </c>
      <c r="CF817" s="236" t="n">
        <f aca="false" t="array" ref="CF817:CF817">IF(CF816=0,0,IF(CF816/'🎚️ Escenario'!$C$11&gt;=36,$AL$23,INDEX($C$23:$AL$23,MAX(1,ROUNDUP(CF816/'🎚️ Escenario'!$C$11,0)))))</f>
        <v>0</v>
      </c>
      <c r="CG817" s="236" t="n">
        <f aca="false" t="array" ref="CG817:CG817">IF(CG816=0,0,IF(CG816/'🎚️ Escenario'!$C$11&gt;=36,$AL$23,INDEX($C$23:$AL$23,MAX(1,ROUNDUP(CG816/'🎚️ Escenario'!$C$11,0)))))</f>
        <v>0</v>
      </c>
      <c r="CH817" s="236" t="n">
        <f aca="false" t="array" ref="CH817:CH817">IF(CH816=0,0,IF(CH816/'🎚️ Escenario'!$C$11&gt;=36,$AL$23,INDEX($C$23:$AL$23,MAX(1,ROUNDUP(CH816/'🎚️ Escenario'!$C$11,0)))))</f>
        <v>0</v>
      </c>
      <c r="CI817" s="236" t="n">
        <f aca="false" t="array" ref="CI817:CI817">IF(CI816=0,0,IF(CI816/'🎚️ Escenario'!$C$11&gt;=36,$AL$23,INDEX($C$23:$AL$23,MAX(1,ROUNDUP(CI816/'🎚️ Escenario'!$C$11,0)))))</f>
        <v>0</v>
      </c>
      <c r="CJ817" s="236" t="n">
        <f aca="false" t="array" ref="CJ817:CJ817">IF(CJ816=0,0,IF(CJ816/'🎚️ Escenario'!$C$11&gt;=36,$AL$23,INDEX($C$23:$AL$23,MAX(1,ROUNDUP(CJ816/'🎚️ Escenario'!$C$11,0)))))</f>
        <v>0</v>
      </c>
      <c r="CK817" s="236" t="n">
        <f aca="false" t="array" ref="CK817:CK817">IF(CK816=0,0,IF(CK816/'🎚️ Escenario'!$C$11&gt;=36,$AL$23,INDEX($C$23:$AL$23,MAX(1,ROUNDUP(CK816/'🎚️ Escenario'!$C$11,0)))))</f>
        <v>0</v>
      </c>
      <c r="CL817" s="236" t="n">
        <f aca="false" t="array" ref="CL817:CL817">IF(CL816=0,0,IF(CL816/'🎚️ Escenario'!$C$11&gt;=36,$AL$23,INDEX($C$23:$AL$23,MAX(1,ROUNDUP(CL816/'🎚️ Escenario'!$C$11,0)))))</f>
        <v>0</v>
      </c>
      <c r="CM817" s="236" t="n">
        <f aca="false" t="array" ref="CM817:CM817">IF(CM816=0,0,IF(CM816/'🎚️ Escenario'!$C$11&gt;=36,$AL$23,INDEX($C$23:$AL$23,MAX(1,ROUNDUP(CM816/'🎚️ Escenario'!$C$11,0)))))</f>
        <v>0</v>
      </c>
      <c r="CN817" s="236" t="n">
        <f aca="false" t="array" ref="CN817:CN817">IF(CN816=0,0,IF(CN816/'🎚️ Escenario'!$C$11&gt;=36,$AL$23,INDEX($C$23:$AL$23,MAX(1,ROUNDUP(CN816/'🎚️ Escenario'!$C$11,0)))))</f>
        <v>0</v>
      </c>
      <c r="CO817" s="236" t="n">
        <f aca="false" t="array" ref="CO817:CO817">IF(CO816=0,0,IF(CO816/'🎚️ Escenario'!$C$11&gt;=36,$AL$23,INDEX($C$23:$AL$23,MAX(1,ROUNDUP(CO816/'🎚️ Escenario'!$C$11,0)))))</f>
        <v>0</v>
      </c>
      <c r="CP817" s="236" t="n">
        <f aca="false" t="array" ref="CP817:CP817">IF(CP816=0,0,IF(CP816/'🎚️ Escenario'!$C$11&gt;=36,$AL$23,INDEX($C$23:$AL$23,MAX(1,ROUNDUP(CP816/'🎚️ Escenario'!$C$11,0)))))</f>
        <v>0</v>
      </c>
      <c r="CQ817" s="236" t="n">
        <f aca="false" t="array" ref="CQ817:CQ817">IF(CQ816=0,0,IF(CQ816/'🎚️ Escenario'!$C$11&gt;=36,$AL$23,INDEX($C$23:$AL$23,MAX(1,ROUNDUP(CQ816/'🎚️ Escenario'!$C$11,0)))))</f>
        <v>0</v>
      </c>
      <c r="CR817" s="236" t="n">
        <f aca="false" t="array" ref="CR817:CR817">IF(CR816=0,0,IF(CR816/'🎚️ Escenario'!$C$11&gt;=36,$AL$23,INDEX($C$23:$AL$23,MAX(1,ROUNDUP(CR816/'🎚️ Escenario'!$C$11,0)))))</f>
        <v>0</v>
      </c>
      <c r="CS817" s="236" t="n">
        <f aca="false" t="array" ref="CS817:CS817">IF(CS816=0,0,IF(CS816/'🎚️ Escenario'!$C$11&gt;=36,$AL$23,INDEX($C$23:$AL$23,MAX(1,ROUNDUP(CS816/'🎚️ Escenario'!$C$11,0)))))</f>
        <v>0</v>
      </c>
      <c r="CT817" s="236" t="n">
        <f aca="false" t="array" ref="CT817:CT817">IF(CT816=0,0,IF(CT816/'🎚️ Escenario'!$C$11&gt;=36,$AL$23,INDEX($C$23:$AL$23,MAX(1,ROUNDUP(CT816/'🎚️ Escenario'!$C$11,0)))))</f>
        <v>0</v>
      </c>
      <c r="CU817" s="236" t="n">
        <f aca="false" t="array" ref="CU817:CU817">IF(CU816=0,0,IF(CU816/'🎚️ Escenario'!$C$11&gt;=36,$AL$23,INDEX($C$23:$AL$23,MAX(1,ROUNDUP(CU816/'🎚️ Escenario'!$C$11,0)))))</f>
        <v>0</v>
      </c>
      <c r="CV817" s="236" t="n">
        <f aca="false" t="array" ref="CV817:CV817">IF(CV816=0,0,IF(CV816/'🎚️ Escenario'!$C$11&gt;=36,$AL$23,INDEX($C$23:$AL$23,MAX(1,ROUNDUP(CV816/'🎚️ Escenario'!$C$11,0)))))</f>
        <v>0</v>
      </c>
      <c r="CW817" s="236" t="n">
        <f aca="false" t="array" ref="CW817:CW817">IF(CW816=0,0,IF(CW816/'🎚️ Escenario'!$C$11&gt;=36,$AL$23,INDEX($C$23:$AL$23,MAX(1,ROUNDUP(CW816/'🎚️ Escenario'!$C$11,0)))))</f>
        <v>0</v>
      </c>
      <c r="CX817" s="236" t="n">
        <f aca="false" t="array" ref="CX817:CX817">IF(CX816=0,0,IF(CX816/'🎚️ Escenario'!$C$11&gt;=36,$AL$23,INDEX($C$23:$AL$23,MAX(1,ROUNDUP(CX816/'🎚️ Escenario'!$C$11,0)))))</f>
        <v>0</v>
      </c>
      <c r="CY817" s="236" t="n">
        <f aca="false" t="array" ref="CY817:CY817">IF(CY816=0,0,IF(CY816/'🎚️ Escenario'!$C$11&gt;=36,$AL$23,INDEX($C$23:$AL$23,MAX(1,ROUNDUP(CY816/'🎚️ Escenario'!$C$11,0)))))</f>
        <v>0</v>
      </c>
      <c r="CZ817" s="236" t="n">
        <f aca="false" t="array" ref="CZ817:CZ817">IF(CZ816=0,0,IF(CZ816/'🎚️ Escenario'!$C$11&gt;=36,$AL$23,INDEX($C$23:$AL$23,MAX(1,ROUNDUP(CZ816/'🎚️ Escenario'!$C$11,0)))))</f>
        <v>0</v>
      </c>
      <c r="DA817" s="236" t="n">
        <f aca="false" t="array" ref="DA817:DA817">IF(DA816=0,0,IF(DA816/'🎚️ Escenario'!$C$11&gt;=36,$AL$23,INDEX($C$23:$AL$23,MAX(1,ROUNDUP(DA816/'🎚️ Escenario'!$C$11,0)))))</f>
        <v>0</v>
      </c>
      <c r="DB817" s="236" t="n">
        <f aca="false" t="array" ref="DB817:DB817">IF(DB816=0,0,IF(DB816/'🎚️ Escenario'!$C$11&gt;=36,$AL$23,INDEX($C$23:$AL$23,MAX(1,ROUNDUP(DB816/'🎚️ Escenario'!$C$11,0)))))</f>
        <v>0</v>
      </c>
      <c r="DC817" s="236" t="n">
        <f aca="false" t="array" ref="DC817:DC817">IF(DC816=0,0,IF(DC816/'🎚️ Escenario'!$C$11&gt;=36,$AL$23,INDEX($C$23:$AL$23,MAX(1,ROUNDUP(DC816/'🎚️ Escenario'!$C$11,0)))))</f>
        <v>0</v>
      </c>
      <c r="DD817" s="236" t="n">
        <f aca="false" t="array" ref="DD817:DD817">IF(DD816=0,0,IF(DD816/'🎚️ Escenario'!$C$11&gt;=36,$AL$23,INDEX($C$23:$AL$23,MAX(1,ROUNDUP(DD816/'🎚️ Escenario'!$C$11,0)))))</f>
        <v>0</v>
      </c>
      <c r="DE817" s="236" t="n">
        <f aca="false" t="array" ref="DE817:DE817">IF(DE816=0,0,IF(DE816/'🎚️ Escenario'!$C$11&gt;=36,$AL$23,INDEX($C$23:$AL$23,MAX(1,ROUNDUP(DE816/'🎚️ Escenario'!$C$11,0)))))</f>
        <v>0</v>
      </c>
      <c r="DF817" s="236" t="n">
        <f aca="false" t="array" ref="DF817:DF817">IF(DF816=0,0,IF(DF816/'🎚️ Escenario'!$C$11&gt;=36,$AL$23,INDEX($C$23:$AL$23,MAX(1,ROUNDUP(DF816/'🎚️ Escenario'!$C$11,0)))))</f>
        <v>0</v>
      </c>
      <c r="DG817" s="236" t="n">
        <f aca="false" t="array" ref="DG817:DG817">IF(DG816=0,0,IF(DG816/'🎚️ Escenario'!$C$11&gt;=36,$AL$23,INDEX($C$23:$AL$23,MAX(1,ROUNDUP(DG816/'🎚️ Escenario'!$C$11,0)))))</f>
        <v>0</v>
      </c>
      <c r="DH817" s="236" t="n">
        <f aca="false" t="array" ref="DH817:DH817">IF(DH816=0,0,IF(DH816/'🎚️ Escenario'!$C$11&gt;=36,$AL$23,INDEX($C$23:$AL$23,MAX(1,ROUNDUP(DH816/'🎚️ Escenario'!$C$11,0)))))</f>
        <v>0</v>
      </c>
      <c r="DI817" s="236" t="n">
        <f aca="false" t="array" ref="DI817:DI817">IF(DI816=0,0,IF(DI816/'🎚️ Escenario'!$C$11&gt;=36,$AL$23,INDEX($C$23:$AL$23,MAX(1,ROUNDUP(DI816/'🎚️ Escenario'!$C$11,0)))))</f>
        <v>0</v>
      </c>
      <c r="DJ817" s="236" t="n">
        <f aca="false" t="array" ref="DJ817:DJ817">IF(DJ816=0,0,IF(DJ816/'🎚️ Escenario'!$C$11&gt;=36,$AL$23,INDEX($C$23:$AL$23,MAX(1,ROUNDUP(DJ816/'🎚️ Escenario'!$C$11,0)))))</f>
        <v>0</v>
      </c>
      <c r="DK817" s="236" t="n">
        <f aca="false" t="array" ref="DK817:DK817">IF(DK816=0,0,IF(DK816/'🎚️ Escenario'!$C$11&gt;=36,$AL$23,INDEX($C$23:$AL$23,MAX(1,ROUNDUP(DK816/'🎚️ Escenario'!$C$11,0)))))</f>
        <v>0</v>
      </c>
      <c r="DL817" s="236" t="n">
        <f aca="false" t="array" ref="DL817:DL817">IF(DL816=0,0,IF(DL816/'🎚️ Escenario'!$C$11&gt;=36,$AL$23,INDEX($C$23:$AL$23,MAX(1,ROUNDUP(DL816/'🎚️ Escenario'!$C$11,0)))))</f>
        <v>0</v>
      </c>
      <c r="DM817" s="236" t="n">
        <f aca="false" t="array" ref="DM817:DM817">IF(DM816=0,0,IF(DM816/'🎚️ Escenario'!$C$11&gt;=36,$AL$23,INDEX($C$23:$AL$23,MAX(1,ROUNDUP(DM816/'🎚️ Escenario'!$C$11,0)))))</f>
        <v>0</v>
      </c>
      <c r="DN817" s="236" t="n">
        <f aca="false" t="array" ref="DN817:DN817">IF(DN816=0,0,IF(DN816/'🎚️ Escenario'!$C$11&gt;=36,$AL$23,INDEX($C$23:$AL$23,MAX(1,ROUNDUP(DN816/'🎚️ Escenario'!$C$11,0)))))</f>
        <v>0</v>
      </c>
      <c r="DO817" s="236" t="n">
        <f aca="false" t="array" ref="DO817:DO817">IF(DO816=0,0,IF(DO816/'🎚️ Escenario'!$C$11&gt;=36,$AL$23,INDEX($C$23:$AL$23,MAX(1,ROUNDUP(DO816/'🎚️ Escenario'!$C$11,0)))))</f>
        <v>0</v>
      </c>
      <c r="DP817" s="236" t="n">
        <f aca="false" t="array" ref="DP817:DP817">IF(DP816=0,0,IF(DP816/'🎚️ Escenario'!$C$11&gt;=36,$AL$23,INDEX($C$23:$AL$23,MAX(1,ROUNDUP(DP816/'🎚️ Escenario'!$C$11,0)))))</f>
        <v>0</v>
      </c>
      <c r="DQ817" s="236" t="n">
        <f aca="false" t="array" ref="DQ817:DQ817">IF(DQ816=0,0,IF(DQ816/'🎚️ Escenario'!$C$11&gt;=36,$AL$23,INDEX($C$23:$AL$23,MAX(1,ROUNDUP(DQ816/'🎚️ Escenario'!$C$11,0)))))</f>
        <v>0</v>
      </c>
      <c r="DR817" s="236" t="n">
        <f aca="false" t="array" ref="DR817:DR817">IF(DR816=0,0,IF(DR816/'🎚️ Escenario'!$C$11&gt;=36,$AL$23,INDEX($C$23:$AL$23,MAX(1,ROUNDUP(DR816/'🎚️ Escenario'!$C$11,0)))))</f>
        <v>0</v>
      </c>
      <c r="DS817" s="236" t="n">
        <f aca="false" t="array" ref="DS817:DS817">IF(DS816=0,0,IF(DS816/'🎚️ Escenario'!$C$11&gt;=36,$AL$23,INDEX($C$23:$AL$23,MAX(1,ROUNDUP(DS816/'🎚️ Escenario'!$C$11,0)))))</f>
        <v>0</v>
      </c>
      <c r="DT817" s="236" t="n">
        <f aca="false" t="array" ref="DT817:DT817">IF(DT816=0,0,IF(DT816/'🎚️ Escenario'!$C$11&gt;=36,$AL$23,INDEX($C$23:$AL$23,MAX(1,ROUNDUP(DT816/'🎚️ Escenario'!$C$11,0)))))</f>
        <v>0</v>
      </c>
      <c r="DU817" s="236" t="n">
        <f aca="false" t="array" ref="DU817:DU817">IF(DU816=0,0,IF(DU816/'🎚️ Escenario'!$C$11&gt;=36,$AL$23,INDEX($C$23:$AL$23,MAX(1,ROUNDUP(DU816/'🎚️ Escenario'!$C$11,0)))))</f>
        <v>0</v>
      </c>
      <c r="DV817" s="236" t="n">
        <f aca="false" t="array" ref="DV817:DV817">IF(DV816=0,0,IF(DV816/'🎚️ Escenario'!$C$11&gt;=36,$AL$23,INDEX($C$23:$AL$23,MAX(1,ROUNDUP(DV816/'🎚️ Escenario'!$C$11,0)))))</f>
        <v>0</v>
      </c>
      <c r="DW817" s="236" t="n">
        <f aca="false" t="array" ref="DW817:DW817">IF(DW816=0,0,IF(DW816/'🎚️ Escenario'!$C$11&gt;=36,$AL$23,INDEX($C$23:$AL$23,MAX(1,ROUNDUP(DW816/'🎚️ Escenario'!$C$11,0)))))</f>
        <v>0</v>
      </c>
      <c r="DX817" s="236" t="n">
        <f aca="false" t="array" ref="DX817:DX817">IF(DX816=0,0,IF(DX816/'🎚️ Escenario'!$C$11&gt;=36,$AL$23,INDEX($C$23:$AL$23,MAX(1,ROUNDUP(DX816/'🎚️ Escenario'!$C$11,0)))))</f>
        <v>0</v>
      </c>
      <c r="DY817" s="236" t="n">
        <f aca="false" t="array" ref="DY817:DY817">IF(DY816=0,0,IF(DY816/'🎚️ Escenario'!$C$11&gt;=36,$AL$23,INDEX($C$23:$AL$23,MAX(1,ROUNDUP(DY816/'🎚️ Escenario'!$C$11,0)))))</f>
        <v>0</v>
      </c>
      <c r="DZ817" s="236" t="n">
        <f aca="false" t="array" ref="DZ817:DZ817">IF(DZ816=0,0,IF(DZ816/'🎚️ Escenario'!$C$11&gt;=36,$AL$23,INDEX($C$23:$AL$23,MAX(1,ROUNDUP(DZ816/'🎚️ Escenario'!$C$11,0)))))</f>
        <v>0</v>
      </c>
      <c r="EA817" s="236" t="n">
        <f aca="false" t="array" ref="EA817:EA817">IF(EA816=0,0,IF(EA816/'🎚️ Escenario'!$C$11&gt;=36,$AL$23,INDEX($C$23:$AL$23,MAX(1,ROUNDUP(EA816/'🎚️ Escenario'!$C$11,0)))))</f>
        <v>0</v>
      </c>
      <c r="EB817" s="236" t="n">
        <f aca="false" t="array" ref="EB817:EB817">IF(EB816=0,0,IF(EB816/'🎚️ Escenario'!$C$11&gt;=36,$AL$23,INDEX($C$23:$AL$23,MAX(1,ROUNDUP(EB816/'🎚️ Escenario'!$C$11,0)))))</f>
        <v>0</v>
      </c>
      <c r="EC817" s="236" t="n">
        <f aca="false" t="array" ref="EC817:EC817">IF(EC816=0,0,IF(EC816/'🎚️ Escenario'!$C$11&gt;=36,$AL$23,INDEX($C$23:$AL$23,MAX(1,ROUNDUP(EC816/'🎚️ Escenario'!$C$11,0)))))</f>
        <v>0</v>
      </c>
      <c r="ED817" s="236" t="n">
        <f aca="false" t="array" ref="ED817:ED817">IF(ED816=0,0,IF(ED816/'🎚️ Escenario'!$C$11&gt;=36,$AL$23,INDEX($C$23:$AL$23,MAX(1,ROUNDUP(ED816/'🎚️ Escenario'!$C$11,0)))))</f>
        <v>0</v>
      </c>
      <c r="EE817" s="236" t="n">
        <f aca="false" t="array" ref="EE817:EE817">IF(EE816=0,0,IF(EE816/'🎚️ Escenario'!$C$11&gt;=36,$AL$23,INDEX($C$23:$AL$23,MAX(1,ROUNDUP(EE816/'🎚️ Escenario'!$C$11,0)))))</f>
        <v>0</v>
      </c>
      <c r="EF817" s="236" t="n">
        <f aca="false" t="array" ref="EF817:EF817">IF(EF816=0,0,IF(EF816/'🎚️ Escenario'!$C$11&gt;=36,$AL$23,INDEX($C$23:$AL$23,MAX(1,ROUNDUP(EF816/'🎚️ Escenario'!$C$11,0)))))</f>
        <v>0</v>
      </c>
      <c r="EG817" s="236" t="n">
        <f aca="false" t="array" ref="EG817:EG817">IF(EG816=0,0,IF(EG816/'🎚️ Escenario'!$C$11&gt;=36,$AL$23,INDEX($C$23:$AL$23,MAX(1,ROUNDUP(EG816/'🎚️ Escenario'!$C$11,0)))))</f>
        <v>0</v>
      </c>
      <c r="EH817" s="236" t="n">
        <f aca="false" t="array" ref="EH817:EH817">IF(EH816=0,0,IF(EH816/'🎚️ Escenario'!$C$11&gt;=36,$AL$23,INDEX($C$23:$AL$23,MAX(1,ROUNDUP(EH816/'🎚️ Escenario'!$C$11,0)))))</f>
        <v>0</v>
      </c>
      <c r="EI817" s="236" t="n">
        <f aca="false" t="array" ref="EI817:EI817">IF(EI816=0,0,IF(EI816/'🎚️ Escenario'!$C$11&gt;=36,$AL$23,INDEX($C$23:$AL$23,MAX(1,ROUNDUP(EI816/'🎚️ Escenario'!$C$11,0)))))</f>
        <v>0</v>
      </c>
      <c r="EJ817" s="236" t="n">
        <f aca="false" t="array" ref="EJ817:EJ817">IF(EJ816=0,0,IF(EJ816/'🎚️ Escenario'!$C$11&gt;=36,$AL$23,INDEX($C$23:$AL$23,MAX(1,ROUNDUP(EJ816/'🎚️ Escenario'!$C$11,0)))))</f>
        <v>0</v>
      </c>
      <c r="EK817" s="236" t="n">
        <f aca="false" t="array" ref="EK817:EK817">IF(EK816=0,0,IF(EK816/'🎚️ Escenario'!$C$11&gt;=36,$AL$23,INDEX($C$23:$AL$23,MAX(1,ROUNDUP(EK816/'🎚️ Escenario'!$C$11,0)))))</f>
        <v>0</v>
      </c>
      <c r="EL817" s="236" t="n">
        <f aca="false" t="array" ref="EL817:EL817">IF(EL816=0,0,IF(EL816/'🎚️ Escenario'!$C$11&gt;=36,$AL$23,INDEX($C$23:$AL$23,MAX(1,ROUNDUP(EL816/'🎚️ Escenario'!$C$11,0)))))</f>
        <v>0</v>
      </c>
      <c r="EM817" s="236" t="n">
        <f aca="false" t="array" ref="EM817:EM817">IF(EM816=0,0,IF(EM816/'🎚️ Escenario'!$C$11&gt;=36,$AL$23,INDEX($C$23:$AL$23,MAX(1,ROUNDUP(EM816/'🎚️ Escenario'!$C$11,0)))))</f>
        <v>0</v>
      </c>
      <c r="EN817" s="236" t="n">
        <f aca="false" t="array" ref="EN817:EN817">IF(EN816=0,0,IF(EN816/'🎚️ Escenario'!$C$11&gt;=36,$AL$23,INDEX($C$23:$AL$23,MAX(1,ROUNDUP(EN816/'🎚️ Escenario'!$C$11,0)))))</f>
        <v>0</v>
      </c>
      <c r="EO817" s="236" t="n">
        <f aca="false" t="array" ref="EO817:EO817">IF(EO816=0,0,IF(EO816/'🎚️ Escenario'!$C$11&gt;=36,$AL$23,INDEX($C$23:$AL$23,MAX(1,ROUNDUP(EO816/'🎚️ Escenario'!$C$11,0)))))</f>
        <v>0</v>
      </c>
      <c r="EP817" s="236" t="n">
        <f aca="false" t="array" ref="EP817:EP817">IF(EP816=0,0,IF(EP816/'🎚️ Escenario'!$C$11&gt;=36,$AL$23,INDEX($C$23:$AL$23,MAX(1,ROUNDUP(EP816/'🎚️ Escenario'!$C$11,0)))))</f>
        <v>0</v>
      </c>
      <c r="EQ817" s="236" t="n">
        <f aca="false" t="array" ref="EQ817:EQ817">IF(EQ816=0,0,IF(EQ816/'🎚️ Escenario'!$C$11&gt;=36,$AL$23,INDEX($C$23:$AL$23,MAX(1,ROUNDUP(EQ816/'🎚️ Escenario'!$C$11,0)))))</f>
        <v>0</v>
      </c>
      <c r="ER817" s="236" t="n">
        <f aca="false" t="array" ref="ER817:ER817">IF(ER816=0,0,IF(ER816/'🎚️ Escenario'!$C$11&gt;=36,$AL$23,INDEX($C$23:$AL$23,MAX(1,ROUNDUP(ER816/'🎚️ Escenario'!$C$11,0)))))</f>
        <v>0</v>
      </c>
      <c r="ES817" s="9" t="n">
        <f aca="false" t="array" ref="ES817:ES817">IF(ES816=0,0,IF(ES816/'🎚️ Escenario'!$C$11&gt;=36,$AL$23,INDEX($C$23:$AL$23,MAX(1,ROUNDUP(ES816/'🎚️ Escenario'!$C$11,0)))))</f>
        <v>0</v>
      </c>
      <c r="ET817" s="9" t="n">
        <f aca="false" t="array" ref="ET817:ET817">IF(ET816=0,0,IF(ET816/'🎚️ Escenario'!$C$11&gt;=36,$AL$23,INDEX($C$23:$AL$23,MAX(1,ROUNDUP(ET816/'🎚️ Escenario'!$C$11,0)))))</f>
        <v>0.2</v>
      </c>
      <c r="EU817" s="9" t="n">
        <f aca="false" t="array" ref="EU817:EU817">IF(EU816=0,0,IF(EU816/'🎚️ Escenario'!$C$11&gt;=36,$AL$23,INDEX($C$23:$AL$23,MAX(1,ROUNDUP(EU816/'🎚️ Escenario'!$C$11,0)))))</f>
        <v>0.22</v>
      </c>
      <c r="EV817" s="9" t="n">
        <f aca="false" t="array" ref="EV817:EV817">IF(EV816=0,0,IF(EV816/'🎚️ Escenario'!$C$11&gt;=36,$AL$23,INDEX($C$23:$AL$23,MAX(1,ROUNDUP(EV816/'🎚️ Escenario'!$C$11,0)))))</f>
        <v>0.24</v>
      </c>
      <c r="EW817" s="9" t="n">
        <f aca="false" t="array" ref="EW817:EW817">IF(EW816=0,0,IF(EW816/'🎚️ Escenario'!$C$11&gt;=36,$AL$23,INDEX($C$23:$AL$23,MAX(1,ROUNDUP(EW816/'🎚️ Escenario'!$C$11,0)))))</f>
        <v>0.27</v>
      </c>
      <c r="EX817" s="9" t="n">
        <f aca="false" t="array" ref="EX817:EX817">IF(EX816=0,0,IF(EX816/'🎚️ Escenario'!$C$11&gt;=36,$AL$23,INDEX($C$23:$AL$23,MAX(1,ROUNDUP(EX816/'🎚️ Escenario'!$C$11,0)))))</f>
        <v>0.27</v>
      </c>
      <c r="EY817" s="9" t="n">
        <f aca="false" t="array" ref="EY817:EY817">IF(EY816=0,0,IF(EY816/'🎚️ Escenario'!$C$11&gt;=36,$AL$23,INDEX($C$23:$AL$23,MAX(1,ROUNDUP(EY816/'🎚️ Escenario'!$C$11,0)))))</f>
        <v>0.31</v>
      </c>
      <c r="EZ817" s="9" t="n">
        <f aca="false" t="array" ref="EZ817:EZ817">IF(EZ816=0,0,IF(EZ816/'🎚️ Escenario'!$C$11&gt;=36,$AL$23,INDEX($C$23:$AL$23,MAX(1,ROUNDUP(EZ816/'🎚️ Escenario'!$C$11,0)))))</f>
        <v>0.35</v>
      </c>
      <c r="FA817" s="9" t="n">
        <f aca="false" t="array" ref="FA817:FA817">IF(FA816=0,0,IF(FA816/'🎚️ Escenario'!$C$11&gt;=36,$AL$23,INDEX($C$23:$AL$23,MAX(1,ROUNDUP(FA816/'🎚️ Escenario'!$C$11,0)))))</f>
        <v>0.39</v>
      </c>
      <c r="FB817" s="9" t="n">
        <f aca="false" t="array" ref="FB817:FB817">IF(FB816=0,0,IF(FB816/'🎚️ Escenario'!$C$11&gt;=36,$AL$23,INDEX($C$23:$AL$23,MAX(1,ROUNDUP(FB816/'🎚️ Escenario'!$C$11,0)))))</f>
        <v>0.44</v>
      </c>
      <c r="FC817" s="9" t="n">
        <f aca="false" t="array" ref="FC817:FC817">IF(FC816=0,0,IF(FC816/'🎚️ Escenario'!$C$11&gt;=36,$AL$23,INDEX($C$23:$AL$23,MAX(1,ROUNDUP(FC816/'🎚️ Escenario'!$C$11,0)))))</f>
        <v>0.44</v>
      </c>
      <c r="FD817" s="9" t="n">
        <f aca="false" t="array" ref="FD817:FD817">IF(FD816=0,0,IF(FD816/'🎚️ Escenario'!$C$11&gt;=36,$AL$23,INDEX($C$23:$AL$23,MAX(1,ROUNDUP(FD816/'🎚️ Escenario'!$C$11,0)))))</f>
        <v>0.48</v>
      </c>
      <c r="FE817" s="9" t="n">
        <f aca="false" t="array" ref="FE817:FE817">IF(FE816=0,0,IF(FE816/'🎚️ Escenario'!$C$11&gt;=36,$AL$23,INDEX($C$23:$AL$23,MAX(1,ROUNDUP(FE816/'🎚️ Escenario'!$C$11,0)))))</f>
        <v>0.52</v>
      </c>
      <c r="FF817" s="9" t="n">
        <f aca="false" t="array" ref="FF817:FF817">IF(FF816=0,0,IF(FF816/'🎚️ Escenario'!$C$11&gt;=36,$AL$23,INDEX($C$23:$AL$23,MAX(1,ROUNDUP(FF816/'🎚️ Escenario'!$C$11,0)))))</f>
        <v>0.56</v>
      </c>
      <c r="FG817" s="9" t="n">
        <f aca="false" t="array" ref="FG817:FG817">IF(FG816=0,0,IF(FG816/'🎚️ Escenario'!$C$11&gt;=36,$AL$23,INDEX($C$23:$AL$23,MAX(1,ROUNDUP(FG816/'🎚️ Escenario'!$C$11,0)))))</f>
        <v>0.6</v>
      </c>
      <c r="FH817" s="9" t="n">
        <f aca="false" t="array" ref="FH817:FH817">IF(FH816=0,0,IF(FH816/'🎚️ Escenario'!$C$11&gt;=36,$AL$23,INDEX($C$23:$AL$23,MAX(1,ROUNDUP(FH816/'🎚️ Escenario'!$C$11,0)))))</f>
        <v>0.6</v>
      </c>
      <c r="FI817" s="9" t="n">
        <f aca="false" t="array" ref="FI817:FI817">IF(FI816=0,0,IF(FI816/'🎚️ Escenario'!$C$11&gt;=36,$AL$23,INDEX($C$23:$AL$23,MAX(1,ROUNDUP(FI816/'🎚️ Escenario'!$C$11,0)))))</f>
        <v>0.63</v>
      </c>
      <c r="FJ817" s="9" t="n">
        <f aca="false" t="array" ref="FJ817:FJ817">IF(FJ816=0,0,IF(FJ816/'🎚️ Escenario'!$C$11&gt;=36,$AL$23,INDEX($C$23:$AL$23,MAX(1,ROUNDUP(FJ816/'🎚️ Escenario'!$C$11,0)))))</f>
        <v>0.66</v>
      </c>
      <c r="FK817" s="9" t="n">
        <f aca="false" t="array" ref="FK817:FK817">IF(FK816=0,0,IF(FK816/'🎚️ Escenario'!$C$11&gt;=36,$AL$23,INDEX($C$23:$AL$23,MAX(1,ROUNDUP(FK816/'🎚️ Escenario'!$C$11,0)))))</f>
        <v>0.69</v>
      </c>
      <c r="FL817" s="9" t="n">
        <f aca="false" t="array" ref="FL817:FL817">IF(FL816=0,0,IF(FL816/'🎚️ Escenario'!$C$11&gt;=36,$AL$23,INDEX($C$23:$AL$23,MAX(1,ROUNDUP(FL816/'🎚️ Escenario'!$C$11,0)))))</f>
        <v>0.71</v>
      </c>
      <c r="FM817" s="9" t="n">
        <f aca="false" t="array" ref="FM817:FM817">IF(FM816=0,0,IF(FM816/'🎚️ Escenario'!$C$11&gt;=36,$AL$23,INDEX($C$23:$AL$23,MAX(1,ROUNDUP(FM816/'🎚️ Escenario'!$C$11,0)))))</f>
        <v>0.71</v>
      </c>
      <c r="FN817" s="9" t="n">
        <f aca="false" t="array" ref="FN817:FN817">IF(FN816=0,0,IF(FN816/'🎚️ Escenario'!$C$11&gt;=36,$AL$23,INDEX($C$23:$AL$23,MAX(1,ROUNDUP(FN816/'🎚️ Escenario'!$C$11,0)))))</f>
        <v>0.73</v>
      </c>
      <c r="FO817" s="9" t="n">
        <f aca="false" t="array" ref="FO817:FO817">IF(FO816=0,0,IF(FO816/'🎚️ Escenario'!$C$11&gt;=36,$AL$23,INDEX($C$23:$AL$23,MAX(1,ROUNDUP(FO816/'🎚️ Escenario'!$C$11,0)))))</f>
        <v>0.75</v>
      </c>
      <c r="FP817" s="9" t="n">
        <f aca="false" t="array" ref="FP817:FP817">IF(FP816=0,0,IF(FP816/'🎚️ Escenario'!$C$11&gt;=36,$AL$23,INDEX($C$23:$AL$23,MAX(1,ROUNDUP(FP816/'🎚️ Escenario'!$C$11,0)))))</f>
        <v>0.77</v>
      </c>
    </row>
    <row r="818" customFormat="false" ht="15" hidden="false" customHeight="false" outlineLevel="2" collapsed="false">
      <c r="B818" s="9" t="s">
        <v>875</v>
      </c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237" t="n">
        <f aca="false">IF(AC816=0,0,IF(AC816&lt;=12*'🎚️ Escenario'!$C$11,1,1+$C$6))</f>
        <v>0</v>
      </c>
      <c r="AD818" s="237" t="n">
        <f aca="false">IF(AD816=0,0,IF(AD816&lt;=12*'🎚️ Escenario'!$C$11,1,1+$C$6))</f>
        <v>0</v>
      </c>
      <c r="AE818" s="237" t="n">
        <f aca="false">IF(AE816=0,0,IF(AE816&lt;=12*'🎚️ Escenario'!$C$11,1,1+$C$6))</f>
        <v>0</v>
      </c>
      <c r="AF818" s="237" t="n">
        <f aca="false">IF(AF816=0,0,IF(AF816&lt;=12*'🎚️ Escenario'!$C$11,1,1+$C$6))</f>
        <v>0</v>
      </c>
      <c r="AG818" s="237" t="n">
        <f aca="false">IF(AG816=0,0,IF(AG816&lt;=12*'🎚️ Escenario'!$C$11,1,1+$C$6))</f>
        <v>0</v>
      </c>
      <c r="AH818" s="237" t="n">
        <f aca="false">IF(AH816=0,0,IF(AH816&lt;=12*'🎚️ Escenario'!$C$11,1,1+$C$6))</f>
        <v>0</v>
      </c>
      <c r="AI818" s="237" t="n">
        <f aca="false">IF(AI816=0,0,IF(AI816&lt;=12*'🎚️ Escenario'!$C$11,1,1+$C$6))</f>
        <v>0</v>
      </c>
      <c r="AJ818" s="237" t="n">
        <f aca="false">IF(AJ816=0,0,IF(AJ816&lt;=12*'🎚️ Escenario'!$C$11,1,1+$C$6))</f>
        <v>0</v>
      </c>
      <c r="AK818" s="237" t="n">
        <f aca="false">IF(AK816=0,0,IF(AK816&lt;=12*'🎚️ Escenario'!$C$11,1,1+$C$6))</f>
        <v>0</v>
      </c>
      <c r="AL818" s="237" t="n">
        <f aca="false">IF(AL816=0,0,IF(AL816&lt;=12*'🎚️ Escenario'!$C$11,1,1+$C$6))</f>
        <v>0</v>
      </c>
      <c r="AM818" s="237" t="n">
        <f aca="false">IF(AM816=0,0,IF(AM816&lt;=12*'🎚️ Escenario'!$C$11,1,1+$C$6))</f>
        <v>0</v>
      </c>
      <c r="AN818" s="237" t="n">
        <f aca="false">IF(AN816=0,0,IF(AN816&lt;=12*'🎚️ Escenario'!$C$11,1,1+$C$6))</f>
        <v>0</v>
      </c>
      <c r="AO818" s="237" t="n">
        <f aca="false">IF(AO816=0,0,IF(AO816&lt;=12*'🎚️ Escenario'!$C$11,1,1+$C$6))</f>
        <v>0</v>
      </c>
      <c r="AP818" s="237" t="n">
        <f aca="false">IF(AP816=0,0,IF(AP816&lt;=12*'🎚️ Escenario'!$C$11,1,1+$C$6))</f>
        <v>0</v>
      </c>
      <c r="AQ818" s="237" t="n">
        <f aca="false">IF(AQ816=0,0,IF(AQ816&lt;=12*'🎚️ Escenario'!$C$11,1,1+$C$6))</f>
        <v>0</v>
      </c>
      <c r="AR818" s="237" t="n">
        <f aca="false">IF(AR816=0,0,IF(AR816&lt;=12*'🎚️ Escenario'!$C$11,1,1+$C$6))</f>
        <v>0</v>
      </c>
      <c r="AS818" s="237" t="n">
        <f aca="false">IF(AS816=0,0,IF(AS816&lt;=12*'🎚️ Escenario'!$C$11,1,1+$C$6))</f>
        <v>0</v>
      </c>
      <c r="AT818" s="237" t="n">
        <f aca="false">IF(AT816=0,0,IF(AT816&lt;=12*'🎚️ Escenario'!$C$11,1,1+$C$6))</f>
        <v>0</v>
      </c>
      <c r="AU818" s="237" t="n">
        <f aca="false">IF(AU816=0,0,IF(AU816&lt;=12*'🎚️ Escenario'!$C$11,1,1+$C$6))</f>
        <v>0</v>
      </c>
      <c r="AV818" s="237" t="n">
        <f aca="false">IF(AV816=0,0,IF(AV816&lt;=12*'🎚️ Escenario'!$C$11,1,1+$C$6))</f>
        <v>0</v>
      </c>
      <c r="AW818" s="237" t="n">
        <f aca="false">IF(AW816=0,0,IF(AW816&lt;=12*'🎚️ Escenario'!$C$11,1,1+$C$6))</f>
        <v>0</v>
      </c>
      <c r="AX818" s="237" t="n">
        <f aca="false">IF(AX816=0,0,IF(AX816&lt;=12*'🎚️ Escenario'!$C$11,1,1+$C$6))</f>
        <v>0</v>
      </c>
      <c r="AY818" s="237" t="n">
        <f aca="false">IF(AY816=0,0,IF(AY816&lt;=12*'🎚️ Escenario'!$C$11,1,1+$C$6))</f>
        <v>0</v>
      </c>
      <c r="AZ818" s="237" t="n">
        <f aca="false">IF(AZ816=0,0,IF(AZ816&lt;=12*'🎚️ Escenario'!$C$11,1,1+$C$6))</f>
        <v>0</v>
      </c>
      <c r="BA818" s="237" t="n">
        <f aca="false">IF(BA816=0,0,IF(BA816&lt;=12*'🎚️ Escenario'!$C$11,1,1+$C$6))</f>
        <v>0</v>
      </c>
      <c r="BB818" s="237" t="n">
        <f aca="false">IF(BB816=0,0,IF(BB816&lt;=12*'🎚️ Escenario'!$C$11,1,1+$C$6))</f>
        <v>0</v>
      </c>
      <c r="BC818" s="237" t="n">
        <f aca="false">IF(BC816=0,0,IF(BC816&lt;=12*'🎚️ Escenario'!$C$11,1,1+$C$6))</f>
        <v>0</v>
      </c>
      <c r="BD818" s="237" t="n">
        <f aca="false">IF(BD816=0,0,IF(BD816&lt;=12*'🎚️ Escenario'!$C$11,1,1+$C$6))</f>
        <v>0</v>
      </c>
      <c r="BE818" s="237" t="n">
        <f aca="false">IF(BE816=0,0,IF(BE816&lt;=12*'🎚️ Escenario'!$C$11,1,1+$C$6))</f>
        <v>0</v>
      </c>
      <c r="BF818" s="237" t="n">
        <f aca="false">IF(BF816=0,0,IF(BF816&lt;=12*'🎚️ Escenario'!$C$11,1,1+$C$6))</f>
        <v>0</v>
      </c>
      <c r="BG818" s="237" t="n">
        <f aca="false">IF(BG816=0,0,IF(BG816&lt;=12*'🎚️ Escenario'!$C$11,1,1+$C$6))</f>
        <v>0</v>
      </c>
      <c r="BH818" s="237" t="n">
        <f aca="false">IF(BH816=0,0,IF(BH816&lt;=12*'🎚️ Escenario'!$C$11,1,1+$C$6))</f>
        <v>0</v>
      </c>
      <c r="BI818" s="237" t="n">
        <f aca="false">IF(BI816=0,0,IF(BI816&lt;=12*'🎚️ Escenario'!$C$11,1,1+$C$6))</f>
        <v>0</v>
      </c>
      <c r="BJ818" s="237" t="n">
        <f aca="false">IF(BJ816=0,0,IF(BJ816&lt;=12*'🎚️ Escenario'!$C$11,1,1+$C$6))</f>
        <v>0</v>
      </c>
      <c r="BK818" s="237" t="n">
        <f aca="false">IF(BK816=0,0,IF(BK816&lt;=12*'🎚️ Escenario'!$C$11,1,1+$C$6))</f>
        <v>0</v>
      </c>
      <c r="BL818" s="237" t="n">
        <f aca="false">IF(BL816=0,0,IF(BL816&lt;=12*'🎚️ Escenario'!$C$11,1,1+$C$6))</f>
        <v>0</v>
      </c>
      <c r="BM818" s="237" t="n">
        <f aca="false">IF(BM816=0,0,IF(BM816&lt;=12*'🎚️ Escenario'!$C$11,1,1+$C$6))</f>
        <v>0</v>
      </c>
      <c r="BN818" s="237" t="n">
        <f aca="false">IF(BN816=0,0,IF(BN816&lt;=12*'🎚️ Escenario'!$C$11,1,1+$C$6))</f>
        <v>0</v>
      </c>
      <c r="BO818" s="237" t="n">
        <f aca="false">IF(BO816=0,0,IF(BO816&lt;=12*'🎚️ Escenario'!$C$11,1,1+$C$6))</f>
        <v>0</v>
      </c>
      <c r="BP818" s="237" t="n">
        <f aca="false">IF(BP816=0,0,IF(BP816&lt;=12*'🎚️ Escenario'!$C$11,1,1+$C$6))</f>
        <v>0</v>
      </c>
      <c r="BQ818" s="237" t="n">
        <f aca="false">IF(BQ816=0,0,IF(BQ816&lt;=12*'🎚️ Escenario'!$C$11,1,1+$C$6))</f>
        <v>0</v>
      </c>
      <c r="BR818" s="237" t="n">
        <f aca="false">IF(BR816=0,0,IF(BR816&lt;=12*'🎚️ Escenario'!$C$11,1,1+$C$6))</f>
        <v>0</v>
      </c>
      <c r="BS818" s="237" t="n">
        <f aca="false">IF(BS816=0,0,IF(BS816&lt;=12*'🎚️ Escenario'!$C$11,1,1+$C$6))</f>
        <v>0</v>
      </c>
      <c r="BT818" s="237" t="n">
        <f aca="false">IF(BT816=0,0,IF(BT816&lt;=12*'🎚️ Escenario'!$C$11,1,1+$C$6))</f>
        <v>0</v>
      </c>
      <c r="BU818" s="237" t="n">
        <f aca="false">IF(BU816=0,0,IF(BU816&lt;=12*'🎚️ Escenario'!$C$11,1,1+$C$6))</f>
        <v>0</v>
      </c>
      <c r="BV818" s="237" t="n">
        <f aca="false">IF(BV816=0,0,IF(BV816&lt;=12*'🎚️ Escenario'!$C$11,1,1+$C$6))</f>
        <v>0</v>
      </c>
      <c r="BW818" s="237" t="n">
        <f aca="false">IF(BW816=0,0,IF(BW816&lt;=12*'🎚️ Escenario'!$C$11,1,1+$C$6))</f>
        <v>0</v>
      </c>
      <c r="BX818" s="237" t="n">
        <f aca="false">IF(BX816=0,0,IF(BX816&lt;=12*'🎚️ Escenario'!$C$11,1,1+$C$6))</f>
        <v>0</v>
      </c>
      <c r="BY818" s="237" t="n">
        <f aca="false">IF(BY816=0,0,IF(BY816&lt;=12*'🎚️ Escenario'!$C$11,1,1+$C$6))</f>
        <v>0</v>
      </c>
      <c r="BZ818" s="237" t="n">
        <f aca="false">IF(BZ816=0,0,IF(BZ816&lt;=12*'🎚️ Escenario'!$C$11,1,1+$C$6))</f>
        <v>0</v>
      </c>
      <c r="CA818" s="237" t="n">
        <f aca="false">IF(CA816=0,0,IF(CA816&lt;=12*'🎚️ Escenario'!$C$11,1,1+$C$6))</f>
        <v>0</v>
      </c>
      <c r="CB818" s="237" t="n">
        <f aca="false">IF(CB816=0,0,IF(CB816&lt;=12*'🎚️ Escenario'!$C$11,1,1+$C$6))</f>
        <v>0</v>
      </c>
      <c r="CC818" s="237" t="n">
        <f aca="false">IF(CC816=0,0,IF(CC816&lt;=12*'🎚️ Escenario'!$C$11,1,1+$C$6))</f>
        <v>0</v>
      </c>
      <c r="CD818" s="237" t="n">
        <f aca="false">IF(CD816=0,0,IF(CD816&lt;=12*'🎚️ Escenario'!$C$11,1,1+$C$6))</f>
        <v>0</v>
      </c>
      <c r="CE818" s="237" t="n">
        <f aca="false">IF(CE816=0,0,IF(CE816&lt;=12*'🎚️ Escenario'!$C$11,1,1+$C$6))</f>
        <v>0</v>
      </c>
      <c r="CF818" s="237" t="n">
        <f aca="false">IF(CF816=0,0,IF(CF816&lt;=12*'🎚️ Escenario'!$C$11,1,1+$C$6))</f>
        <v>0</v>
      </c>
      <c r="CG818" s="237" t="n">
        <f aca="false">IF(CG816=0,0,IF(CG816&lt;=12*'🎚️ Escenario'!$C$11,1,1+$C$6))</f>
        <v>0</v>
      </c>
      <c r="CH818" s="237" t="n">
        <f aca="false">IF(CH816=0,0,IF(CH816&lt;=12*'🎚️ Escenario'!$C$11,1,1+$C$6))</f>
        <v>0</v>
      </c>
      <c r="CI818" s="237" t="n">
        <f aca="false">IF(CI816=0,0,IF(CI816&lt;=12*'🎚️ Escenario'!$C$11,1,1+$C$6))</f>
        <v>0</v>
      </c>
      <c r="CJ818" s="237" t="n">
        <f aca="false">IF(CJ816=0,0,IF(CJ816&lt;=12*'🎚️ Escenario'!$C$11,1,1+$C$6))</f>
        <v>0</v>
      </c>
      <c r="CK818" s="237" t="n">
        <f aca="false">IF(CK816=0,0,IF(CK816&lt;=12*'🎚️ Escenario'!$C$11,1,1+$C$6))</f>
        <v>0</v>
      </c>
      <c r="CL818" s="237" t="n">
        <f aca="false">IF(CL816=0,0,IF(CL816&lt;=12*'🎚️ Escenario'!$C$11,1,1+$C$6))</f>
        <v>0</v>
      </c>
      <c r="CM818" s="237" t="n">
        <f aca="false">IF(CM816=0,0,IF(CM816&lt;=12*'🎚️ Escenario'!$C$11,1,1+$C$6))</f>
        <v>0</v>
      </c>
      <c r="CN818" s="237" t="n">
        <f aca="false">IF(CN816=0,0,IF(CN816&lt;=12*'🎚️ Escenario'!$C$11,1,1+$C$6))</f>
        <v>0</v>
      </c>
      <c r="CO818" s="237" t="n">
        <f aca="false">IF(CO816=0,0,IF(CO816&lt;=12*'🎚️ Escenario'!$C$11,1,1+$C$6))</f>
        <v>0</v>
      </c>
      <c r="CP818" s="237" t="n">
        <f aca="false">IF(CP816=0,0,IF(CP816&lt;=12*'🎚️ Escenario'!$C$11,1,1+$C$6))</f>
        <v>0</v>
      </c>
      <c r="CQ818" s="237" t="n">
        <f aca="false">IF(CQ816=0,0,IF(CQ816&lt;=12*'🎚️ Escenario'!$C$11,1,1+$C$6))</f>
        <v>0</v>
      </c>
      <c r="CR818" s="237" t="n">
        <f aca="false">IF(CR816=0,0,IF(CR816&lt;=12*'🎚️ Escenario'!$C$11,1,1+$C$6))</f>
        <v>0</v>
      </c>
      <c r="CS818" s="237" t="n">
        <f aca="false">IF(CS816=0,0,IF(CS816&lt;=12*'🎚️ Escenario'!$C$11,1,1+$C$6))</f>
        <v>0</v>
      </c>
      <c r="CT818" s="237" t="n">
        <f aca="false">IF(CT816=0,0,IF(CT816&lt;=12*'🎚️ Escenario'!$C$11,1,1+$C$6))</f>
        <v>0</v>
      </c>
      <c r="CU818" s="237" t="n">
        <f aca="false">IF(CU816=0,0,IF(CU816&lt;=12*'🎚️ Escenario'!$C$11,1,1+$C$6))</f>
        <v>0</v>
      </c>
      <c r="CV818" s="237" t="n">
        <f aca="false">IF(CV816=0,0,IF(CV816&lt;=12*'🎚️ Escenario'!$C$11,1,1+$C$6))</f>
        <v>0</v>
      </c>
      <c r="CW818" s="237" t="n">
        <f aca="false">IF(CW816=0,0,IF(CW816&lt;=12*'🎚️ Escenario'!$C$11,1,1+$C$6))</f>
        <v>0</v>
      </c>
      <c r="CX818" s="237" t="n">
        <f aca="false">IF(CX816=0,0,IF(CX816&lt;=12*'🎚️ Escenario'!$C$11,1,1+$C$6))</f>
        <v>0</v>
      </c>
      <c r="CY818" s="237" t="n">
        <f aca="false">IF(CY816=0,0,IF(CY816&lt;=12*'🎚️ Escenario'!$C$11,1,1+$C$6))</f>
        <v>0</v>
      </c>
      <c r="CZ818" s="237" t="n">
        <f aca="false">IF(CZ816=0,0,IF(CZ816&lt;=12*'🎚️ Escenario'!$C$11,1,1+$C$6))</f>
        <v>0</v>
      </c>
      <c r="DA818" s="237" t="n">
        <f aca="false">IF(DA816=0,0,IF(DA816&lt;=12*'🎚️ Escenario'!$C$11,1,1+$C$6))</f>
        <v>0</v>
      </c>
      <c r="DB818" s="237" t="n">
        <f aca="false">IF(DB816=0,0,IF(DB816&lt;=12*'🎚️ Escenario'!$C$11,1,1+$C$6))</f>
        <v>0</v>
      </c>
      <c r="DC818" s="237" t="n">
        <f aca="false">IF(DC816=0,0,IF(DC816&lt;=12*'🎚️ Escenario'!$C$11,1,1+$C$6))</f>
        <v>0</v>
      </c>
      <c r="DD818" s="237" t="n">
        <f aca="false">IF(DD816=0,0,IF(DD816&lt;=12*'🎚️ Escenario'!$C$11,1,1+$C$6))</f>
        <v>0</v>
      </c>
      <c r="DE818" s="237" t="n">
        <f aca="false">IF(DE816=0,0,IF(DE816&lt;=12*'🎚️ Escenario'!$C$11,1,1+$C$6))</f>
        <v>0</v>
      </c>
      <c r="DF818" s="237" t="n">
        <f aca="false">IF(DF816=0,0,IF(DF816&lt;=12*'🎚️ Escenario'!$C$11,1,1+$C$6))</f>
        <v>0</v>
      </c>
      <c r="DG818" s="237" t="n">
        <f aca="false">IF(DG816=0,0,IF(DG816&lt;=12*'🎚️ Escenario'!$C$11,1,1+$C$6))</f>
        <v>0</v>
      </c>
      <c r="DH818" s="237" t="n">
        <f aca="false">IF(DH816=0,0,IF(DH816&lt;=12*'🎚️ Escenario'!$C$11,1,1+$C$6))</f>
        <v>0</v>
      </c>
      <c r="DI818" s="237" t="n">
        <f aca="false">IF(DI816=0,0,IF(DI816&lt;=12*'🎚️ Escenario'!$C$11,1,1+$C$6))</f>
        <v>0</v>
      </c>
      <c r="DJ818" s="237" t="n">
        <f aca="false">IF(DJ816=0,0,IF(DJ816&lt;=12*'🎚️ Escenario'!$C$11,1,1+$C$6))</f>
        <v>0</v>
      </c>
      <c r="DK818" s="237" t="n">
        <f aca="false">IF(DK816=0,0,IF(DK816&lt;=12*'🎚️ Escenario'!$C$11,1,1+$C$6))</f>
        <v>0</v>
      </c>
      <c r="DL818" s="237" t="n">
        <f aca="false">IF(DL816=0,0,IF(DL816&lt;=12*'🎚️ Escenario'!$C$11,1,1+$C$6))</f>
        <v>0</v>
      </c>
      <c r="DM818" s="237" t="n">
        <f aca="false">IF(DM816=0,0,IF(DM816&lt;=12*'🎚️ Escenario'!$C$11,1,1+$C$6))</f>
        <v>0</v>
      </c>
      <c r="DN818" s="237" t="n">
        <f aca="false">IF(DN816=0,0,IF(DN816&lt;=12*'🎚️ Escenario'!$C$11,1,1+$C$6))</f>
        <v>0</v>
      </c>
      <c r="DO818" s="237" t="n">
        <f aca="false">IF(DO816=0,0,IF(DO816&lt;=12*'🎚️ Escenario'!$C$11,1,1+$C$6))</f>
        <v>0</v>
      </c>
      <c r="DP818" s="237" t="n">
        <f aca="false">IF(DP816=0,0,IF(DP816&lt;=12*'🎚️ Escenario'!$C$11,1,1+$C$6))</f>
        <v>0</v>
      </c>
      <c r="DQ818" s="237" t="n">
        <f aca="false">IF(DQ816=0,0,IF(DQ816&lt;=12*'🎚️ Escenario'!$C$11,1,1+$C$6))</f>
        <v>0</v>
      </c>
      <c r="DR818" s="237" t="n">
        <f aca="false">IF(DR816=0,0,IF(DR816&lt;=12*'🎚️ Escenario'!$C$11,1,1+$C$6))</f>
        <v>0</v>
      </c>
      <c r="DS818" s="237" t="n">
        <f aca="false">IF(DS816=0,0,IF(DS816&lt;=12*'🎚️ Escenario'!$C$11,1,1+$C$6))</f>
        <v>0</v>
      </c>
      <c r="DT818" s="237" t="n">
        <f aca="false">IF(DT816=0,0,IF(DT816&lt;=12*'🎚️ Escenario'!$C$11,1,1+$C$6))</f>
        <v>0</v>
      </c>
      <c r="DU818" s="237" t="n">
        <f aca="false">IF(DU816=0,0,IF(DU816&lt;=12*'🎚️ Escenario'!$C$11,1,1+$C$6))</f>
        <v>0</v>
      </c>
      <c r="DV818" s="237" t="n">
        <f aca="false">IF(DV816=0,0,IF(DV816&lt;=12*'🎚️ Escenario'!$C$11,1,1+$C$6))</f>
        <v>0</v>
      </c>
      <c r="DW818" s="237" t="n">
        <f aca="false">IF(DW816=0,0,IF(DW816&lt;=12*'🎚️ Escenario'!$C$11,1,1+$C$6))</f>
        <v>0</v>
      </c>
      <c r="DX818" s="237" t="n">
        <f aca="false">IF(DX816=0,0,IF(DX816&lt;=12*'🎚️ Escenario'!$C$11,1,1+$C$6))</f>
        <v>0</v>
      </c>
      <c r="DY818" s="237" t="n">
        <f aca="false">IF(DY816=0,0,IF(DY816&lt;=12*'🎚️ Escenario'!$C$11,1,1+$C$6))</f>
        <v>0</v>
      </c>
      <c r="DZ818" s="237" t="n">
        <f aca="false">IF(DZ816=0,0,IF(DZ816&lt;=12*'🎚️ Escenario'!$C$11,1,1+$C$6))</f>
        <v>0</v>
      </c>
      <c r="EA818" s="237" t="n">
        <f aca="false">IF(EA816=0,0,IF(EA816&lt;=12*'🎚️ Escenario'!$C$11,1,1+$C$6))</f>
        <v>0</v>
      </c>
      <c r="EB818" s="237" t="n">
        <f aca="false">IF(EB816=0,0,IF(EB816&lt;=12*'🎚️ Escenario'!$C$11,1,1+$C$6))</f>
        <v>0</v>
      </c>
      <c r="EC818" s="237" t="n">
        <f aca="false">IF(EC816=0,0,IF(EC816&lt;=12*'🎚️ Escenario'!$C$11,1,1+$C$6))</f>
        <v>0</v>
      </c>
      <c r="ED818" s="237" t="n">
        <f aca="false">IF(ED816=0,0,IF(ED816&lt;=12*'🎚️ Escenario'!$C$11,1,1+$C$6))</f>
        <v>0</v>
      </c>
      <c r="EE818" s="237" t="n">
        <f aca="false">IF(EE816=0,0,IF(EE816&lt;=12*'🎚️ Escenario'!$C$11,1,1+$C$6))</f>
        <v>0</v>
      </c>
      <c r="EF818" s="237" t="n">
        <f aca="false">IF(EF816=0,0,IF(EF816&lt;=12*'🎚️ Escenario'!$C$11,1,1+$C$6))</f>
        <v>0</v>
      </c>
      <c r="EG818" s="237" t="n">
        <f aca="false">IF(EG816=0,0,IF(EG816&lt;=12*'🎚️ Escenario'!$C$11,1,1+$C$6))</f>
        <v>0</v>
      </c>
      <c r="EH818" s="237" t="n">
        <f aca="false">IF(EH816=0,0,IF(EH816&lt;=12*'🎚️ Escenario'!$C$11,1,1+$C$6))</f>
        <v>0</v>
      </c>
      <c r="EI818" s="237" t="n">
        <f aca="false">IF(EI816=0,0,IF(EI816&lt;=12*'🎚️ Escenario'!$C$11,1,1+$C$6))</f>
        <v>0</v>
      </c>
      <c r="EJ818" s="237" t="n">
        <f aca="false">IF(EJ816=0,0,IF(EJ816&lt;=12*'🎚️ Escenario'!$C$11,1,1+$C$6))</f>
        <v>0</v>
      </c>
      <c r="EK818" s="237" t="n">
        <f aca="false">IF(EK816=0,0,IF(EK816&lt;=12*'🎚️ Escenario'!$C$11,1,1+$C$6))</f>
        <v>0</v>
      </c>
      <c r="EL818" s="237" t="n">
        <f aca="false">IF(EL816=0,0,IF(EL816&lt;=12*'🎚️ Escenario'!$C$11,1,1+$C$6))</f>
        <v>0</v>
      </c>
      <c r="EM818" s="237" t="n">
        <f aca="false">IF(EM816=0,0,IF(EM816&lt;=12*'🎚️ Escenario'!$C$11,1,1+$C$6))</f>
        <v>0</v>
      </c>
      <c r="EN818" s="237" t="n">
        <f aca="false">IF(EN816=0,0,IF(EN816&lt;=12*'🎚️ Escenario'!$C$11,1,1+$C$6))</f>
        <v>0</v>
      </c>
      <c r="EO818" s="237" t="n">
        <f aca="false">IF(EO816=0,0,IF(EO816&lt;=12*'🎚️ Escenario'!$C$11,1,1+$C$6))</f>
        <v>0</v>
      </c>
      <c r="EP818" s="237" t="n">
        <f aca="false">IF(EP816=0,0,IF(EP816&lt;=12*'🎚️ Escenario'!$C$11,1,1+$C$6))</f>
        <v>0</v>
      </c>
      <c r="EQ818" s="237" t="n">
        <f aca="false">IF(EQ816=0,0,IF(EQ816&lt;=12*'🎚️ Escenario'!$C$11,1,1+$C$6))</f>
        <v>0</v>
      </c>
      <c r="ER818" s="237" t="n">
        <f aca="false">IF(ER816=0,0,IF(ER816&lt;=12*'🎚️ Escenario'!$C$11,1,1+$C$6))</f>
        <v>0</v>
      </c>
      <c r="ES818" s="9" t="n">
        <f aca="false">IF(ES816=0,0,IF(ES816&lt;=12*'🎚️ Escenario'!$C$11,1,1+$C$6))</f>
        <v>0</v>
      </c>
      <c r="ET818" s="9" t="n">
        <f aca="false">IF(ET816=0,0,IF(ET816&lt;=12*'🎚️ Escenario'!$C$11,1,1+$C$6))</f>
        <v>1</v>
      </c>
      <c r="EU818" s="9" t="n">
        <f aca="false">IF(EU816=0,0,IF(EU816&lt;=12*'🎚️ Escenario'!$C$11,1,1+$C$6))</f>
        <v>1</v>
      </c>
      <c r="EV818" s="9" t="n">
        <f aca="false">IF(EV816=0,0,IF(EV816&lt;=12*'🎚️ Escenario'!$C$11,1,1+$C$6))</f>
        <v>1</v>
      </c>
      <c r="EW818" s="9" t="n">
        <f aca="false">IF(EW816=0,0,IF(EW816&lt;=12*'🎚️ Escenario'!$C$11,1,1+$C$6))</f>
        <v>1</v>
      </c>
      <c r="EX818" s="9" t="n">
        <f aca="false">IF(EX816=0,0,IF(EX816&lt;=12*'🎚️ Escenario'!$C$11,1,1+$C$6))</f>
        <v>1</v>
      </c>
      <c r="EY818" s="9" t="n">
        <f aca="false">IF(EY816=0,0,IF(EY816&lt;=12*'🎚️ Escenario'!$C$11,1,1+$C$6))</f>
        <v>1</v>
      </c>
      <c r="EZ818" s="9" t="n">
        <f aca="false">IF(EZ816=0,0,IF(EZ816&lt;=12*'🎚️ Escenario'!$C$11,1,1+$C$6))</f>
        <v>1</v>
      </c>
      <c r="FA818" s="9" t="n">
        <f aca="false">IF(FA816=0,0,IF(FA816&lt;=12*'🎚️ Escenario'!$C$11,1,1+$C$6))</f>
        <v>1</v>
      </c>
      <c r="FB818" s="9" t="n">
        <f aca="false">IF(FB816=0,0,IF(FB816&lt;=12*'🎚️ Escenario'!$C$11,1,1+$C$6))</f>
        <v>1</v>
      </c>
      <c r="FC818" s="9" t="n">
        <f aca="false">IF(FC816=0,0,IF(FC816&lt;=12*'🎚️ Escenario'!$C$11,1,1+$C$6))</f>
        <v>1</v>
      </c>
      <c r="FD818" s="9" t="n">
        <f aca="false">IF(FD816=0,0,IF(FD816&lt;=12*'🎚️ Escenario'!$C$11,1,1+$C$6))</f>
        <v>1</v>
      </c>
      <c r="FE818" s="9" t="n">
        <f aca="false">IF(FE816=0,0,IF(FE816&lt;=12*'🎚️ Escenario'!$C$11,1,1+$C$6))</f>
        <v>1</v>
      </c>
      <c r="FF818" s="9" t="n">
        <f aca="false">IF(FF816=0,0,IF(FF816&lt;=12*'🎚️ Escenario'!$C$11,1,1+$C$6))</f>
        <v>1</v>
      </c>
      <c r="FG818" s="9" t="n">
        <f aca="false">IF(FG816=0,0,IF(FG816&lt;=12*'🎚️ Escenario'!$C$11,1,1+$C$6))</f>
        <v>1</v>
      </c>
      <c r="FH818" s="9" t="n">
        <f aca="false">IF(FH816=0,0,IF(FH816&lt;=12*'🎚️ Escenario'!$C$11,1,1+$C$6))</f>
        <v>1</v>
      </c>
      <c r="FI818" s="238" t="n">
        <f aca="false">IF(FI816=0,0,IF(FI816&lt;=12*'🎚️ Escenario'!$C$11,1,1+$C$6))</f>
        <v>1.2</v>
      </c>
      <c r="FJ818" s="238" t="n">
        <f aca="false">IF(FJ816=0,0,IF(FJ816&lt;=12*'🎚️ Escenario'!$C$11,1,1+$C$6))</f>
        <v>1.2</v>
      </c>
      <c r="FK818" s="238" t="n">
        <f aca="false">IF(FK816=0,0,IF(FK816&lt;=12*'🎚️ Escenario'!$C$11,1,1+$C$6))</f>
        <v>1.2</v>
      </c>
      <c r="FL818" s="238" t="n">
        <f aca="false">IF(FL816=0,0,IF(FL816&lt;=12*'🎚️ Escenario'!$C$11,1,1+$C$6))</f>
        <v>1.2</v>
      </c>
      <c r="FM818" s="238" t="n">
        <f aca="false">IF(FM816=0,0,IF(FM816&lt;=12*'🎚️ Escenario'!$C$11,1,1+$C$6))</f>
        <v>1.2</v>
      </c>
      <c r="FN818" s="238" t="n">
        <f aca="false">IF(FN816=0,0,IF(FN816&lt;=12*'🎚️ Escenario'!$C$11,1,1+$C$6))</f>
        <v>1.2</v>
      </c>
      <c r="FO818" s="238" t="n">
        <f aca="false">IF(FO816=0,0,IF(FO816&lt;=12*'🎚️ Escenario'!$C$11,1,1+$C$6))</f>
        <v>1.2</v>
      </c>
      <c r="FP818" s="238" t="n">
        <f aca="false">IF(FP816=0,0,IF(FP816&lt;=12*'🎚️ Escenario'!$C$11,1,1+$C$6))</f>
        <v>1.2</v>
      </c>
    </row>
    <row r="819" customFormat="false" ht="15" hidden="false" customHeight="false" outlineLevel="2" collapsed="false">
      <c r="B819" s="9" t="s">
        <v>876</v>
      </c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36" t="n">
        <f aca="false">AC817*$AC$815*AC818*AC$38*'⑫ Roll-out Plan'!$O$86</f>
        <v>0</v>
      </c>
      <c r="AD819" s="36" t="n">
        <f aca="false">AD817*$AC$815*AD818*AD$38*'⑫ Roll-out Plan'!$O$86</f>
        <v>0</v>
      </c>
      <c r="AE819" s="36" t="n">
        <f aca="false">AE817*$AC$815*AE818*AE$38*'⑫ Roll-out Plan'!$O$86</f>
        <v>0</v>
      </c>
      <c r="AF819" s="36" t="n">
        <f aca="false">AF817*$AC$815*AF818*AF$38*'⑫ Roll-out Plan'!$O$86</f>
        <v>0</v>
      </c>
      <c r="AG819" s="36" t="n">
        <f aca="false">AG817*$AC$815*AG818*AG$38*'⑫ Roll-out Plan'!$O$86</f>
        <v>0</v>
      </c>
      <c r="AH819" s="36" t="n">
        <f aca="false">AH817*$AC$815*AH818*AH$38*'⑫ Roll-out Plan'!$O$86</f>
        <v>0</v>
      </c>
      <c r="AI819" s="36" t="n">
        <f aca="false">AI817*$AC$815*AI818*AI$38*'⑫ Roll-out Plan'!$O$86</f>
        <v>0</v>
      </c>
      <c r="AJ819" s="36" t="n">
        <f aca="false">AJ817*$AC$815*AJ818*AJ$38*'⑫ Roll-out Plan'!$O$86</f>
        <v>0</v>
      </c>
      <c r="AK819" s="36" t="n">
        <f aca="false">AK817*$AC$815*AK818*AK$38*'⑫ Roll-out Plan'!$O$86</f>
        <v>0</v>
      </c>
      <c r="AL819" s="36" t="n">
        <f aca="false">AL817*$AC$815*AL818*AL$38*'⑫ Roll-out Plan'!$O$86</f>
        <v>0</v>
      </c>
      <c r="AM819" s="36" t="n">
        <f aca="false">AM817*$AC$815*AM818*AM$38*'⑫ Roll-out Plan'!$O$86</f>
        <v>0</v>
      </c>
      <c r="AN819" s="36" t="n">
        <f aca="false">AN817*$AC$815*AN818*AN$38*'⑫ Roll-out Plan'!$O$86</f>
        <v>0</v>
      </c>
      <c r="AO819" s="36" t="n">
        <f aca="false">AO817*$AC$815*AO818*AO$38*'⑫ Roll-out Plan'!$O$86</f>
        <v>0</v>
      </c>
      <c r="AP819" s="36" t="n">
        <f aca="false">AP817*$AC$815*AP818*AP$38*'⑫ Roll-out Plan'!$O$86</f>
        <v>0</v>
      </c>
      <c r="AQ819" s="36" t="n">
        <f aca="false">AQ817*$AC$815*AQ818*AQ$38*'⑫ Roll-out Plan'!$O$86</f>
        <v>0</v>
      </c>
      <c r="AR819" s="36" t="n">
        <f aca="false">AR817*$AC$815*AR818*AR$38*'⑫ Roll-out Plan'!$O$86</f>
        <v>0</v>
      </c>
      <c r="AS819" s="36" t="n">
        <f aca="false">AS817*$AC$815*AS818*AS$38*'⑫ Roll-out Plan'!$O$86</f>
        <v>0</v>
      </c>
      <c r="AT819" s="36" t="n">
        <f aca="false">AT817*$AC$815*AT818*AT$38*'⑫ Roll-out Plan'!$O$86</f>
        <v>0</v>
      </c>
      <c r="AU819" s="36" t="n">
        <f aca="false">AU817*$AC$815*AU818*AU$38*'⑫ Roll-out Plan'!$O$86</f>
        <v>0</v>
      </c>
      <c r="AV819" s="36" t="n">
        <f aca="false">AV817*$AC$815*AV818*AV$38*'⑫ Roll-out Plan'!$O$86</f>
        <v>0</v>
      </c>
      <c r="AW819" s="36" t="n">
        <f aca="false">AW817*$AC$815*AW818*AW$38*'⑫ Roll-out Plan'!$O$86</f>
        <v>0</v>
      </c>
      <c r="AX819" s="36" t="n">
        <f aca="false">AX817*$AC$815*AX818*AX$38*'⑫ Roll-out Plan'!$O$86</f>
        <v>0</v>
      </c>
      <c r="AY819" s="36" t="n">
        <f aca="false">AY817*$AC$815*AY818*AY$38*'⑫ Roll-out Plan'!$O$86</f>
        <v>0</v>
      </c>
      <c r="AZ819" s="36" t="n">
        <f aca="false">AZ817*$AC$815*AZ818*AZ$38*'⑫ Roll-out Plan'!$O$86</f>
        <v>0</v>
      </c>
      <c r="BA819" s="36" t="n">
        <f aca="false">BA817*$AC$815*BA818*BA$38*'⑫ Roll-out Plan'!$O$86</f>
        <v>0</v>
      </c>
      <c r="BB819" s="36" t="n">
        <f aca="false">BB817*$AC$815*BB818*BB$38*'⑫ Roll-out Plan'!$O$86</f>
        <v>0</v>
      </c>
      <c r="BC819" s="36" t="n">
        <f aca="false">BC817*$AC$815*BC818*BC$38*'⑫ Roll-out Plan'!$O$86</f>
        <v>0</v>
      </c>
      <c r="BD819" s="36" t="n">
        <f aca="false">BD817*$AC$815*BD818*BD$38*'⑫ Roll-out Plan'!$O$86</f>
        <v>0</v>
      </c>
      <c r="BE819" s="36" t="n">
        <f aca="false">BE817*$AC$815*BE818*BE$38*'⑫ Roll-out Plan'!$O$86</f>
        <v>0</v>
      </c>
      <c r="BF819" s="36" t="n">
        <f aca="false">BF817*$AC$815*BF818*BF$38*'⑫ Roll-out Plan'!$O$86</f>
        <v>0</v>
      </c>
      <c r="BG819" s="36" t="n">
        <f aca="false">BG817*$AC$815*BG818*BG$38*'⑫ Roll-out Plan'!$O$86</f>
        <v>0</v>
      </c>
      <c r="BH819" s="36" t="n">
        <f aca="false">BH817*$AC$815*BH818*BH$38*'⑫ Roll-out Plan'!$O$86</f>
        <v>0</v>
      </c>
      <c r="BI819" s="36" t="n">
        <f aca="false">BI817*$AC$815*BI818*BI$38*'⑫ Roll-out Plan'!$O$86</f>
        <v>0</v>
      </c>
      <c r="BJ819" s="36" t="n">
        <f aca="false">BJ817*$AC$815*BJ818*BJ$38*'⑫ Roll-out Plan'!$O$86</f>
        <v>0</v>
      </c>
      <c r="BK819" s="36" t="n">
        <f aca="false">BK817*$AC$815*BK818*BK$38*'⑫ Roll-out Plan'!$O$86</f>
        <v>0</v>
      </c>
      <c r="BL819" s="36" t="n">
        <f aca="false">BL817*$AC$815*BL818*BL$38*'⑫ Roll-out Plan'!$O$86</f>
        <v>0</v>
      </c>
      <c r="BM819" s="36" t="n">
        <f aca="false">BM817*$AC$815*BM818*BM$38*'⑫ Roll-out Plan'!$O$86</f>
        <v>0</v>
      </c>
      <c r="BN819" s="36" t="n">
        <f aca="false">BN817*$AC$815*BN818*BN$38*'⑫ Roll-out Plan'!$O$86</f>
        <v>0</v>
      </c>
      <c r="BO819" s="36" t="n">
        <f aca="false">BO817*$AC$815*BO818*BO$38*'⑫ Roll-out Plan'!$O$86</f>
        <v>0</v>
      </c>
      <c r="BP819" s="36" t="n">
        <f aca="false">BP817*$AC$815*BP818*BP$38*'⑫ Roll-out Plan'!$O$86</f>
        <v>0</v>
      </c>
      <c r="BQ819" s="36" t="n">
        <f aca="false">BQ817*$AC$815*BQ818*BQ$38*'⑫ Roll-out Plan'!$O$86</f>
        <v>0</v>
      </c>
      <c r="BR819" s="36" t="n">
        <f aca="false">BR817*$AC$815*BR818*BR$38*'⑫ Roll-out Plan'!$O$86</f>
        <v>0</v>
      </c>
      <c r="BS819" s="36" t="n">
        <f aca="false">BS817*$AC$815*BS818*BS$38*'⑫ Roll-out Plan'!$O$86</f>
        <v>0</v>
      </c>
      <c r="BT819" s="36" t="n">
        <f aca="false">BT817*$AC$815*BT818*BT$38*'⑫ Roll-out Plan'!$O$86</f>
        <v>0</v>
      </c>
      <c r="BU819" s="36" t="n">
        <f aca="false">BU817*$AC$815*BU818*BU$38*'⑫ Roll-out Plan'!$O$86</f>
        <v>0</v>
      </c>
      <c r="BV819" s="36" t="n">
        <f aca="false">BV817*$AC$815*BV818*BV$38*'⑫ Roll-out Plan'!$O$86</f>
        <v>0</v>
      </c>
      <c r="BW819" s="36" t="n">
        <f aca="false">BW817*$AC$815*BW818*BW$38*'⑫ Roll-out Plan'!$O$86</f>
        <v>0</v>
      </c>
      <c r="BX819" s="36" t="n">
        <f aca="false">BX817*$AC$815*BX818*BX$38*'⑫ Roll-out Plan'!$O$86</f>
        <v>0</v>
      </c>
      <c r="BY819" s="36" t="n">
        <f aca="false">BY817*$AC$815*BY818*BY$38*'⑫ Roll-out Plan'!$O$86</f>
        <v>0</v>
      </c>
      <c r="BZ819" s="36" t="n">
        <f aca="false">BZ817*$AC$815*BZ818*BZ$38*'⑫ Roll-out Plan'!$O$86</f>
        <v>0</v>
      </c>
      <c r="CA819" s="36" t="n">
        <f aca="false">CA817*$AC$815*CA818*CA$38*'⑫ Roll-out Plan'!$O$86</f>
        <v>0</v>
      </c>
      <c r="CB819" s="36" t="n">
        <f aca="false">CB817*$AC$815*CB818*CB$38*'⑫ Roll-out Plan'!$O$86</f>
        <v>0</v>
      </c>
      <c r="CC819" s="36" t="n">
        <f aca="false">CC817*$AC$815*CC818*CC$38*'⑫ Roll-out Plan'!$O$86</f>
        <v>0</v>
      </c>
      <c r="CD819" s="36" t="n">
        <f aca="false">CD817*$AC$815*CD818*CD$38*'⑫ Roll-out Plan'!$O$86</f>
        <v>0</v>
      </c>
      <c r="CE819" s="36" t="n">
        <f aca="false">CE817*$AC$815*CE818*CE$38*'⑫ Roll-out Plan'!$O$86</f>
        <v>0</v>
      </c>
      <c r="CF819" s="36" t="n">
        <f aca="false">CF817*$AC$815*CF818*CF$38*'⑫ Roll-out Plan'!$O$86</f>
        <v>0</v>
      </c>
      <c r="CG819" s="36" t="n">
        <f aca="false">CG817*$AC$815*CG818*CG$38*'⑫ Roll-out Plan'!$O$86</f>
        <v>0</v>
      </c>
      <c r="CH819" s="36" t="n">
        <f aca="false">CH817*$AC$815*CH818*CH$38*'⑫ Roll-out Plan'!$O$86</f>
        <v>0</v>
      </c>
      <c r="CI819" s="36" t="n">
        <f aca="false">CI817*$AC$815*CI818*CI$38*'⑫ Roll-out Plan'!$O$86</f>
        <v>0</v>
      </c>
      <c r="CJ819" s="36" t="n">
        <f aca="false">CJ817*$AC$815*CJ818*CJ$38*'⑫ Roll-out Plan'!$O$86</f>
        <v>0</v>
      </c>
      <c r="CK819" s="36" t="n">
        <f aca="false">CK817*$AC$815*CK818*CK$38*'⑫ Roll-out Plan'!$O$86</f>
        <v>0</v>
      </c>
      <c r="CL819" s="36" t="n">
        <f aca="false">CL817*$AC$815*CL818*CL$38*'⑫ Roll-out Plan'!$O$86</f>
        <v>0</v>
      </c>
      <c r="CM819" s="36" t="n">
        <f aca="false">CM817*$AC$815*CM818*CM$38*'⑫ Roll-out Plan'!$O$86</f>
        <v>0</v>
      </c>
      <c r="CN819" s="36" t="n">
        <f aca="false">CN817*$AC$815*CN818*CN$38*'⑫ Roll-out Plan'!$O$86</f>
        <v>0</v>
      </c>
      <c r="CO819" s="36" t="n">
        <f aca="false">CO817*$AC$815*CO818*CO$38*'⑫ Roll-out Plan'!$O$86</f>
        <v>0</v>
      </c>
      <c r="CP819" s="36" t="n">
        <f aca="false">CP817*$AC$815*CP818*CP$38*'⑫ Roll-out Plan'!$O$86</f>
        <v>0</v>
      </c>
      <c r="CQ819" s="36" t="n">
        <f aca="false">CQ817*$AC$815*CQ818*CQ$38*'⑫ Roll-out Plan'!$O$86</f>
        <v>0</v>
      </c>
      <c r="CR819" s="36" t="n">
        <f aca="false">CR817*$AC$815*CR818*CR$38*'⑫ Roll-out Plan'!$O$86</f>
        <v>0</v>
      </c>
      <c r="CS819" s="36" t="n">
        <f aca="false">CS817*$AC$815*CS818*CS$38*'⑫ Roll-out Plan'!$O$86</f>
        <v>0</v>
      </c>
      <c r="CT819" s="36" t="n">
        <f aca="false">CT817*$AC$815*CT818*CT$38*'⑫ Roll-out Plan'!$O$86</f>
        <v>0</v>
      </c>
      <c r="CU819" s="36" t="n">
        <f aca="false">CU817*$AC$815*CU818*CU$38*'⑫ Roll-out Plan'!$O$86</f>
        <v>0</v>
      </c>
      <c r="CV819" s="36" t="n">
        <f aca="false">CV817*$AC$815*CV818*CV$38*'⑫ Roll-out Plan'!$O$86</f>
        <v>0</v>
      </c>
      <c r="CW819" s="36" t="n">
        <f aca="false">CW817*$AC$815*CW818*CW$38*'⑫ Roll-out Plan'!$O$86</f>
        <v>0</v>
      </c>
      <c r="CX819" s="36" t="n">
        <f aca="false">CX817*$AC$815*CX818*CX$38*'⑫ Roll-out Plan'!$O$86</f>
        <v>0</v>
      </c>
      <c r="CY819" s="36" t="n">
        <f aca="false">CY817*$AC$815*CY818*CY$38*'⑫ Roll-out Plan'!$O$86</f>
        <v>0</v>
      </c>
      <c r="CZ819" s="36" t="n">
        <f aca="false">CZ817*$AC$815*CZ818*CZ$38*'⑫ Roll-out Plan'!$O$86</f>
        <v>0</v>
      </c>
      <c r="DA819" s="36" t="n">
        <f aca="false">DA817*$AC$815*DA818*DA$38*'⑫ Roll-out Plan'!$O$86</f>
        <v>0</v>
      </c>
      <c r="DB819" s="36" t="n">
        <f aca="false">DB817*$AC$815*DB818*DB$38*'⑫ Roll-out Plan'!$O$86</f>
        <v>0</v>
      </c>
      <c r="DC819" s="36" t="n">
        <f aca="false">DC817*$AC$815*DC818*DC$38*'⑫ Roll-out Plan'!$O$86</f>
        <v>0</v>
      </c>
      <c r="DD819" s="36" t="n">
        <f aca="false">DD817*$AC$815*DD818*DD$38*'⑫ Roll-out Plan'!$O$86</f>
        <v>0</v>
      </c>
      <c r="DE819" s="36" t="n">
        <f aca="false">DE817*$AC$815*DE818*DE$38*'⑫ Roll-out Plan'!$O$86</f>
        <v>0</v>
      </c>
      <c r="DF819" s="36" t="n">
        <f aca="false">DF817*$AC$815*DF818*DF$38*'⑫ Roll-out Plan'!$O$86</f>
        <v>0</v>
      </c>
      <c r="DG819" s="36" t="n">
        <f aca="false">DG817*$AC$815*DG818*DG$38*'⑫ Roll-out Plan'!$O$86</f>
        <v>0</v>
      </c>
      <c r="DH819" s="36" t="n">
        <f aca="false">DH817*$AC$815*DH818*DH$38*'⑫ Roll-out Plan'!$O$86</f>
        <v>0</v>
      </c>
      <c r="DI819" s="36" t="n">
        <f aca="false">DI817*$AC$815*DI818*DI$38*'⑫ Roll-out Plan'!$O$86</f>
        <v>0</v>
      </c>
      <c r="DJ819" s="36" t="n">
        <f aca="false">DJ817*$AC$815*DJ818*DJ$38*'⑫ Roll-out Plan'!$O$86</f>
        <v>0</v>
      </c>
      <c r="DK819" s="36" t="n">
        <f aca="false">DK817*$AC$815*DK818*DK$38*'⑫ Roll-out Plan'!$O$86</f>
        <v>0</v>
      </c>
      <c r="DL819" s="36" t="n">
        <f aca="false">DL817*$AC$815*DL818*DL$38*'⑫ Roll-out Plan'!$O$86</f>
        <v>0</v>
      </c>
      <c r="DM819" s="36" t="n">
        <f aca="false">DM817*$AC$815*DM818*DM$38*'⑫ Roll-out Plan'!$O$86</f>
        <v>0</v>
      </c>
      <c r="DN819" s="36" t="n">
        <f aca="false">DN817*$AC$815*DN818*DN$38*'⑫ Roll-out Plan'!$O$86</f>
        <v>0</v>
      </c>
      <c r="DO819" s="36" t="n">
        <f aca="false">DO817*$AC$815*DO818*DO$38*'⑫ Roll-out Plan'!$O$86</f>
        <v>0</v>
      </c>
      <c r="DP819" s="36" t="n">
        <f aca="false">DP817*$AC$815*DP818*DP$38*'⑫ Roll-out Plan'!$O$86</f>
        <v>0</v>
      </c>
      <c r="DQ819" s="36" t="n">
        <f aca="false">DQ817*$AC$815*DQ818*DQ$38*'⑫ Roll-out Plan'!$O$86</f>
        <v>0</v>
      </c>
      <c r="DR819" s="36" t="n">
        <f aca="false">DR817*$AC$815*DR818*DR$38*'⑫ Roll-out Plan'!$O$86</f>
        <v>0</v>
      </c>
      <c r="DS819" s="36" t="n">
        <f aca="false">DS817*$AC$815*DS818*DS$38*'⑫ Roll-out Plan'!$O$86</f>
        <v>0</v>
      </c>
      <c r="DT819" s="36" t="n">
        <f aca="false">DT817*$AC$815*DT818*DT$38*'⑫ Roll-out Plan'!$O$86</f>
        <v>0</v>
      </c>
      <c r="DU819" s="36" t="n">
        <f aca="false">DU817*$AC$815*DU818*DU$38*'⑫ Roll-out Plan'!$O$86</f>
        <v>0</v>
      </c>
      <c r="DV819" s="36" t="n">
        <f aca="false">DV817*$AC$815*DV818*DV$38*'⑫ Roll-out Plan'!$O$86</f>
        <v>0</v>
      </c>
      <c r="DW819" s="36" t="n">
        <f aca="false">DW817*$AC$815*DW818*DW$38*'⑫ Roll-out Plan'!$O$86</f>
        <v>0</v>
      </c>
      <c r="DX819" s="36" t="n">
        <f aca="false">DX817*$AC$815*DX818*DX$38*'⑫ Roll-out Plan'!$O$86</f>
        <v>0</v>
      </c>
      <c r="DY819" s="36" t="n">
        <f aca="false">DY817*$AC$815*DY818*DY$38*'⑫ Roll-out Plan'!$O$86</f>
        <v>0</v>
      </c>
      <c r="DZ819" s="36" t="n">
        <f aca="false">DZ817*$AC$815*DZ818*DZ$38*'⑫ Roll-out Plan'!$O$86</f>
        <v>0</v>
      </c>
      <c r="EA819" s="36" t="n">
        <f aca="false">EA817*$AC$815*EA818*EA$38*'⑫ Roll-out Plan'!$O$86</f>
        <v>0</v>
      </c>
      <c r="EB819" s="36" t="n">
        <f aca="false">EB817*$AC$815*EB818*EB$38*'⑫ Roll-out Plan'!$O$86</f>
        <v>0</v>
      </c>
      <c r="EC819" s="36" t="n">
        <f aca="false">EC817*$AC$815*EC818*EC$38*'⑫ Roll-out Plan'!$O$86</f>
        <v>0</v>
      </c>
      <c r="ED819" s="36" t="n">
        <f aca="false">ED817*$AC$815*ED818*ED$38*'⑫ Roll-out Plan'!$O$86</f>
        <v>0</v>
      </c>
      <c r="EE819" s="36" t="n">
        <f aca="false">EE817*$AC$815*EE818*EE$38*'⑫ Roll-out Plan'!$O$86</f>
        <v>0</v>
      </c>
      <c r="EF819" s="36" t="n">
        <f aca="false">EF817*$AC$815*EF818*EF$38*'⑫ Roll-out Plan'!$O$86</f>
        <v>0</v>
      </c>
      <c r="EG819" s="36" t="n">
        <f aca="false">EG817*$AC$815*EG818*EG$38*'⑫ Roll-out Plan'!$O$86</f>
        <v>0</v>
      </c>
      <c r="EH819" s="36" t="n">
        <f aca="false">EH817*$AC$815*EH818*EH$38*'⑫ Roll-out Plan'!$O$86</f>
        <v>0</v>
      </c>
      <c r="EI819" s="36" t="n">
        <f aca="false">EI817*$AC$815*EI818*EI$38*'⑫ Roll-out Plan'!$O$86</f>
        <v>0</v>
      </c>
      <c r="EJ819" s="36" t="n">
        <f aca="false">EJ817*$AC$815*EJ818*EJ$38*'⑫ Roll-out Plan'!$O$86</f>
        <v>0</v>
      </c>
      <c r="EK819" s="36" t="n">
        <f aca="false">EK817*$AC$815*EK818*EK$38*'⑫ Roll-out Plan'!$O$86</f>
        <v>0</v>
      </c>
      <c r="EL819" s="36" t="n">
        <f aca="false">EL817*$AC$815*EL818*EL$38*'⑫ Roll-out Plan'!$O$86</f>
        <v>0</v>
      </c>
      <c r="EM819" s="36" t="n">
        <f aca="false">EM817*$AC$815*EM818*EM$38*'⑫ Roll-out Plan'!$O$86</f>
        <v>0</v>
      </c>
      <c r="EN819" s="36" t="n">
        <f aca="false">EN817*$AC$815*EN818*EN$38*'⑫ Roll-out Plan'!$O$86</f>
        <v>0</v>
      </c>
      <c r="EO819" s="36" t="n">
        <f aca="false">EO817*$AC$815*EO818*EO$38*'⑫ Roll-out Plan'!$O$86</f>
        <v>0</v>
      </c>
      <c r="EP819" s="36" t="n">
        <f aca="false">EP817*$AC$815*EP818*EP$38*'⑫ Roll-out Plan'!$O$86</f>
        <v>0</v>
      </c>
      <c r="EQ819" s="36" t="n">
        <f aca="false">EQ817*$AC$815*EQ818*EQ$38*'⑫ Roll-out Plan'!$O$86</f>
        <v>0</v>
      </c>
      <c r="ER819" s="36" t="n">
        <f aca="false">ER817*$AC$815*ER818*ER$38*'⑫ Roll-out Plan'!$O$86</f>
        <v>0</v>
      </c>
      <c r="ES819" s="9" t="n">
        <f aca="false">ES817*$AC$815*ES818*ES$38*'⑫ Roll-out Plan'!$O$86</f>
        <v>0</v>
      </c>
      <c r="ET819" s="9" t="n">
        <f aca="false">ET817*$AC$815*ET818*ET$38*'⑫ Roll-out Plan'!$O$86</f>
        <v>18.04</v>
      </c>
      <c r="EU819" s="9" t="n">
        <f aca="false">EU817*$AC$815*EU818*EU$38*'⑫ Roll-out Plan'!$O$86</f>
        <v>28.072</v>
      </c>
      <c r="EV819" s="9" t="n">
        <f aca="false">EV817*$AC$815*EV818*EV$38*'⑫ Roll-out Plan'!$O$86</f>
        <v>29.04</v>
      </c>
      <c r="EW819" s="9" t="n">
        <f aca="false">EW817*$AC$815*EW818*EW$38*'⑫ Roll-out Plan'!$O$86</f>
        <v>27.324</v>
      </c>
      <c r="EX819" s="9" t="n">
        <f aca="false">EX817*$AC$815*EX818*EX$38*'⑫ Roll-out Plan'!$O$86</f>
        <v>23.76</v>
      </c>
      <c r="EY819" s="9" t="n">
        <f aca="false">EY817*$AC$815*EY818*EY$38*'⑫ Roll-out Plan'!$O$86</f>
        <v>28.644</v>
      </c>
      <c r="EZ819" s="9" t="n">
        <f aca="false">EZ817*$AC$815*EZ818*EZ$38*'⑫ Roll-out Plan'!$O$86</f>
        <v>54.67</v>
      </c>
      <c r="FA819" s="9" t="n">
        <f aca="false">FA817*$AC$815*FA818*FA$38*'⑫ Roll-out Plan'!$O$86</f>
        <v>49.764</v>
      </c>
      <c r="FB819" s="9" t="n">
        <f aca="false">FB817*$AC$815*FB818*FB$38*'⑫ Roll-out Plan'!$O$86</f>
        <v>46.464</v>
      </c>
      <c r="FC819" s="9" t="n">
        <f aca="false">FC817*$AC$815*FC818*FC$38*'⑫ Roll-out Plan'!$O$86</f>
        <v>34.848</v>
      </c>
      <c r="FD819" s="9" t="n">
        <f aca="false">FD817*$AC$815*FD818*FD$38*'⑫ Roll-out Plan'!$O$86</f>
        <v>53.856</v>
      </c>
      <c r="FE819" s="9" t="n">
        <f aca="false">FE817*$AC$815*FE818*FE$38*'⑫ Roll-out Plan'!$O$86</f>
        <v>61.776</v>
      </c>
      <c r="FF819" s="9" t="n">
        <f aca="false">FF817*$AC$815*FF818*FF$38*'⑫ Roll-out Plan'!$O$86</f>
        <v>50.512</v>
      </c>
      <c r="FG819" s="9" t="n">
        <f aca="false">FG817*$AC$815*FG818*FG$38*'⑫ Roll-out Plan'!$O$86</f>
        <v>76.56</v>
      </c>
      <c r="FH819" s="9" t="n">
        <f aca="false">FH817*$AC$815*FH818*FH$38*'⑫ Roll-out Plan'!$O$86</f>
        <v>72.6</v>
      </c>
      <c r="FI819" s="9" t="n">
        <f aca="false">FI817*$AC$815*FI818*FI$38*'⑫ Roll-out Plan'!$O$86</f>
        <v>76.5072</v>
      </c>
      <c r="FJ819" s="9" t="n">
        <f aca="false">FJ817*$AC$815*FJ818*FJ$38*'⑫ Roll-out Plan'!$O$86</f>
        <v>69.696</v>
      </c>
      <c r="FK819" s="9" t="n">
        <f aca="false">FK817*$AC$815*FK818*FK$38*'⑫ Roll-out Plan'!$O$86</f>
        <v>76.5072</v>
      </c>
      <c r="FL819" s="9" t="n">
        <f aca="false">FL817*$AC$815*FL818*FL$38*'⑫ Roll-out Plan'!$O$86</f>
        <v>133.0824</v>
      </c>
      <c r="FM819" s="9" t="n">
        <f aca="false">FM817*$AC$815*FM818*FM$38*'⑫ Roll-out Plan'!$O$86</f>
        <v>108.7152</v>
      </c>
      <c r="FN819" s="9" t="n">
        <f aca="false">FN817*$AC$815*FN818*FN$38*'⑫ Roll-out Plan'!$O$86</f>
        <v>92.5056</v>
      </c>
      <c r="FO819" s="9" t="n">
        <f aca="false">FO817*$AC$815*FO818*FO$38*'⑫ Roll-out Plan'!$O$86</f>
        <v>71.28</v>
      </c>
      <c r="FP819" s="9" t="n">
        <f aca="false">FP817*$AC$815*FP818*FP$38*'⑫ Roll-out Plan'!$O$86</f>
        <v>103.6728</v>
      </c>
    </row>
    <row r="820" customFormat="false" ht="15" hidden="false" customHeight="false" outlineLevel="2" collapsed="false">
      <c r="B820" s="9" t="s">
        <v>877</v>
      </c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112" t="n">
        <f aca="true">IFERROR(SUMPRODUCT(OFFSET($BJ$31,0,1-MIN(60,COLUMN()-29),1,MIN(60,COLUMN()-29)),OFFSET(AC819,0,-MIN(60,COLUMN()-29),1,MIN(60,COLUMN()-29))),0)</f>
        <v>0</v>
      </c>
      <c r="AD820" s="112" t="n">
        <f aca="true">IFERROR(SUMPRODUCT(OFFSET($BJ$31,0,1-MIN(60,COLUMN()-29),1,MIN(60,COLUMN()-29)),OFFSET(AD819,0,-MIN(60,COLUMN()-29),1,MIN(60,COLUMN()-29))),0)</f>
        <v>0</v>
      </c>
      <c r="AE820" s="112" t="n">
        <f aca="true">IFERROR(SUMPRODUCT(OFFSET($BJ$31,0,1-MIN(60,COLUMN()-29),1,MIN(60,COLUMN()-29)),OFFSET(AE819,0,-MIN(60,COLUMN()-29),1,MIN(60,COLUMN()-29))),0)</f>
        <v>0</v>
      </c>
      <c r="AF820" s="112" t="n">
        <f aca="true">IFERROR(SUMPRODUCT(OFFSET($BJ$31,0,1-MIN(60,COLUMN()-29),1,MIN(60,COLUMN()-29)),OFFSET(AF819,0,-MIN(60,COLUMN()-29),1,MIN(60,COLUMN()-29))),0)</f>
        <v>0</v>
      </c>
      <c r="AG820" s="112" t="n">
        <f aca="true">IFERROR(SUMPRODUCT(OFFSET($BJ$31,0,1-MIN(60,COLUMN()-29),1,MIN(60,COLUMN()-29)),OFFSET(AG819,0,-MIN(60,COLUMN()-29),1,MIN(60,COLUMN()-29))),0)</f>
        <v>0</v>
      </c>
      <c r="AH820" s="112" t="n">
        <f aca="true">IFERROR(SUMPRODUCT(OFFSET($BJ$31,0,1-MIN(60,COLUMN()-29),1,MIN(60,COLUMN()-29)),OFFSET(AH819,0,-MIN(60,COLUMN()-29),1,MIN(60,COLUMN()-29))),0)</f>
        <v>0</v>
      </c>
      <c r="AI820" s="112" t="n">
        <f aca="true">IFERROR(SUMPRODUCT(OFFSET($BJ$31,0,1-MIN(60,COLUMN()-29),1,MIN(60,COLUMN()-29)),OFFSET(AI819,0,-MIN(60,COLUMN()-29),1,MIN(60,COLUMN()-29))),0)</f>
        <v>0</v>
      </c>
      <c r="AJ820" s="112" t="n">
        <f aca="true">IFERROR(SUMPRODUCT(OFFSET($BJ$31,0,1-MIN(60,COLUMN()-29),1,MIN(60,COLUMN()-29)),OFFSET(AJ819,0,-MIN(60,COLUMN()-29),1,MIN(60,COLUMN()-29))),0)</f>
        <v>0</v>
      </c>
      <c r="AK820" s="112" t="n">
        <f aca="true">IFERROR(SUMPRODUCT(OFFSET($BJ$31,0,1-MIN(60,COLUMN()-29),1,MIN(60,COLUMN()-29)),OFFSET(AK819,0,-MIN(60,COLUMN()-29),1,MIN(60,COLUMN()-29))),0)</f>
        <v>0</v>
      </c>
      <c r="AL820" s="112" t="n">
        <f aca="true">IFERROR(SUMPRODUCT(OFFSET($BJ$31,0,1-MIN(60,COLUMN()-29),1,MIN(60,COLUMN()-29)),OFFSET(AL819,0,-MIN(60,COLUMN()-29),1,MIN(60,COLUMN()-29))),0)</f>
        <v>0</v>
      </c>
      <c r="AM820" s="112" t="n">
        <f aca="true">IFERROR(SUMPRODUCT(OFFSET($BJ$31,0,1-MIN(60,COLUMN()-29),1,MIN(60,COLUMN()-29)),OFFSET(AM819,0,-MIN(60,COLUMN()-29),1,MIN(60,COLUMN()-29))),0)</f>
        <v>0</v>
      </c>
      <c r="AN820" s="239" t="n">
        <f aca="true">IFERROR(SUMPRODUCT(OFFSET($BJ$31,0,1-MIN(60,COLUMN()-29),1,MIN(60,COLUMN()-29)),OFFSET(AN819,0,-MIN(60,COLUMN()-29),1,MIN(60,COLUMN()-29))),0)</f>
        <v>0</v>
      </c>
      <c r="AO820" s="112" t="n">
        <f aca="true">IFERROR(SUMPRODUCT(OFFSET($BJ$31,0,1-MIN(60,COLUMN()-29),1,MIN(60,COLUMN()-29)),OFFSET(AO819,0,-MIN(60,COLUMN()-29),1,MIN(60,COLUMN()-29))),0)</f>
        <v>0</v>
      </c>
      <c r="AP820" s="112" t="n">
        <f aca="true">IFERROR(SUMPRODUCT(OFFSET($BJ$31,0,1-MIN(60,COLUMN()-29),1,MIN(60,COLUMN()-29)),OFFSET(AP819,0,-MIN(60,COLUMN()-29),1,MIN(60,COLUMN()-29))),0)</f>
        <v>0</v>
      </c>
      <c r="AQ820" s="112" t="n">
        <f aca="true">IFERROR(SUMPRODUCT(OFFSET($BJ$31,0,1-MIN(60,COLUMN()-29),1,MIN(60,COLUMN()-29)),OFFSET(AQ819,0,-MIN(60,COLUMN()-29),1,MIN(60,COLUMN()-29))),0)</f>
        <v>0</v>
      </c>
      <c r="AR820" s="112" t="n">
        <f aca="true">IFERROR(SUMPRODUCT(OFFSET($BJ$31,0,1-MIN(60,COLUMN()-29),1,MIN(60,COLUMN()-29)),OFFSET(AR819,0,-MIN(60,COLUMN()-29),1,MIN(60,COLUMN()-29))),0)</f>
        <v>0</v>
      </c>
      <c r="AS820" s="112" t="n">
        <f aca="true">IFERROR(SUMPRODUCT(OFFSET($BJ$31,0,1-MIN(60,COLUMN()-29),1,MIN(60,COLUMN()-29)),OFFSET(AS819,0,-MIN(60,COLUMN()-29),1,MIN(60,COLUMN()-29))),0)</f>
        <v>0</v>
      </c>
      <c r="AT820" s="112" t="n">
        <f aca="true">IFERROR(SUMPRODUCT(OFFSET($BJ$31,0,1-MIN(60,COLUMN()-29),1,MIN(60,COLUMN()-29)),OFFSET(AT819,0,-MIN(60,COLUMN()-29),1,MIN(60,COLUMN()-29))),0)</f>
        <v>0</v>
      </c>
      <c r="AU820" s="112" t="n">
        <f aca="true">IFERROR(SUMPRODUCT(OFFSET($BJ$31,0,1-MIN(60,COLUMN()-29),1,MIN(60,COLUMN()-29)),OFFSET(AU819,0,-MIN(60,COLUMN()-29),1,MIN(60,COLUMN()-29))),0)</f>
        <v>0</v>
      </c>
      <c r="AV820" s="112" t="n">
        <f aca="true">IFERROR(SUMPRODUCT(OFFSET($BJ$31,0,1-MIN(60,COLUMN()-29),1,MIN(60,COLUMN()-29)),OFFSET(AV819,0,-MIN(60,COLUMN()-29),1,MIN(60,COLUMN()-29))),0)</f>
        <v>0</v>
      </c>
      <c r="AW820" s="112" t="n">
        <f aca="true">IFERROR(SUMPRODUCT(OFFSET($BJ$31,0,1-MIN(60,COLUMN()-29),1,MIN(60,COLUMN()-29)),OFFSET(AW819,0,-MIN(60,COLUMN()-29),1,MIN(60,COLUMN()-29))),0)</f>
        <v>0</v>
      </c>
      <c r="AX820" s="112" t="n">
        <f aca="true">IFERROR(SUMPRODUCT(OFFSET($BJ$31,0,1-MIN(60,COLUMN()-29),1,MIN(60,COLUMN()-29)),OFFSET(AX819,0,-MIN(60,COLUMN()-29),1,MIN(60,COLUMN()-29))),0)</f>
        <v>0</v>
      </c>
      <c r="AY820" s="112" t="n">
        <f aca="true">IFERROR(SUMPRODUCT(OFFSET($BJ$31,0,1-MIN(60,COLUMN()-29),1,MIN(60,COLUMN()-29)),OFFSET(AY819,0,-MIN(60,COLUMN()-29),1,MIN(60,COLUMN()-29))),0)</f>
        <v>0</v>
      </c>
      <c r="AZ820" s="112" t="n">
        <f aca="true">IFERROR(SUMPRODUCT(OFFSET($BJ$31,0,1-MIN(60,COLUMN()-29),1,MIN(60,COLUMN()-29)),OFFSET(AZ819,0,-MIN(60,COLUMN()-29),1,MIN(60,COLUMN()-29))),0)</f>
        <v>0</v>
      </c>
      <c r="BA820" s="112" t="n">
        <f aca="true">IFERROR(SUMPRODUCT(OFFSET($BJ$31,0,1-MIN(60,COLUMN()-29),1,MIN(60,COLUMN()-29)),OFFSET(BA819,0,-MIN(60,COLUMN()-29),1,MIN(60,COLUMN()-29))),0)</f>
        <v>0</v>
      </c>
      <c r="BB820" s="112" t="n">
        <f aca="true">IFERROR(SUMPRODUCT(OFFSET($BJ$31,0,1-MIN(60,COLUMN()-29),1,MIN(60,COLUMN()-29)),OFFSET(BB819,0,-MIN(60,COLUMN()-29),1,MIN(60,COLUMN()-29))),0)</f>
        <v>0</v>
      </c>
      <c r="BC820" s="112" t="n">
        <f aca="true">IFERROR(SUMPRODUCT(OFFSET($BJ$31,0,1-MIN(60,COLUMN()-29),1,MIN(60,COLUMN()-29)),OFFSET(BC819,0,-MIN(60,COLUMN()-29),1,MIN(60,COLUMN()-29))),0)</f>
        <v>0</v>
      </c>
      <c r="BD820" s="112" t="n">
        <f aca="true">IFERROR(SUMPRODUCT(OFFSET($BJ$31,0,1-MIN(60,COLUMN()-29),1,MIN(60,COLUMN()-29)),OFFSET(BD819,0,-MIN(60,COLUMN()-29),1,MIN(60,COLUMN()-29))),0)</f>
        <v>0</v>
      </c>
      <c r="BE820" s="112" t="n">
        <f aca="true">IFERROR(SUMPRODUCT(OFFSET($BJ$31,0,1-MIN(60,COLUMN()-29),1,MIN(60,COLUMN()-29)),OFFSET(BE819,0,-MIN(60,COLUMN()-29),1,MIN(60,COLUMN()-29))),0)</f>
        <v>0</v>
      </c>
      <c r="BF820" s="112" t="n">
        <f aca="true">IFERROR(SUMPRODUCT(OFFSET($BJ$31,0,1-MIN(60,COLUMN()-29),1,MIN(60,COLUMN()-29)),OFFSET(BF819,0,-MIN(60,COLUMN()-29),1,MIN(60,COLUMN()-29))),0)</f>
        <v>0</v>
      </c>
      <c r="BG820" s="112" t="n">
        <f aca="true">IFERROR(SUMPRODUCT(OFFSET($BJ$31,0,1-MIN(60,COLUMN()-29),1,MIN(60,COLUMN()-29)),OFFSET(BG819,0,-MIN(60,COLUMN()-29),1,MIN(60,COLUMN()-29))),0)</f>
        <v>0</v>
      </c>
      <c r="BH820" s="112" t="n">
        <f aca="true">IFERROR(SUMPRODUCT(OFFSET($BJ$31,0,1-MIN(60,COLUMN()-29),1,MIN(60,COLUMN()-29)),OFFSET(BH819,0,-MIN(60,COLUMN()-29),1,MIN(60,COLUMN()-29))),0)</f>
        <v>0</v>
      </c>
      <c r="BI820" s="112" t="n">
        <f aca="true">IFERROR(SUMPRODUCT(OFFSET($BJ$31,0,1-MIN(60,COLUMN()-29),1,MIN(60,COLUMN()-29)),OFFSET(BI819,0,-MIN(60,COLUMN()-29),1,MIN(60,COLUMN()-29))),0)</f>
        <v>0</v>
      </c>
      <c r="BJ820" s="112" t="n">
        <f aca="true">IFERROR(SUMPRODUCT(OFFSET($BJ$31,0,1-MIN(60,COLUMN()-29),1,MIN(60,COLUMN()-29)),OFFSET(BJ819,0,-MIN(60,COLUMN()-29),1,MIN(60,COLUMN()-29))),0)</f>
        <v>0</v>
      </c>
      <c r="BK820" s="112" t="n">
        <f aca="true">IFERROR(SUMPRODUCT(OFFSET($BJ$31,0,1-MIN(60,COLUMN()-29),1,MIN(60,COLUMN()-29)),OFFSET(BK819,0,-MIN(60,COLUMN()-29),1,MIN(60,COLUMN()-29))),0)</f>
        <v>0</v>
      </c>
      <c r="BL820" s="112" t="n">
        <f aca="true">IFERROR(SUMPRODUCT(OFFSET($BJ$31,0,1-MIN(60,COLUMN()-29),1,MIN(60,COLUMN()-29)),OFFSET(BL819,0,-MIN(60,COLUMN()-29),1,MIN(60,COLUMN()-29))),0)</f>
        <v>0</v>
      </c>
      <c r="BM820" s="112" t="n">
        <f aca="true">IFERROR(SUMPRODUCT(OFFSET($BJ$31,0,1-MIN(60,COLUMN()-29),1,MIN(60,COLUMN()-29)),OFFSET(BM819,0,-MIN(60,COLUMN()-29),1,MIN(60,COLUMN()-29))),0)</f>
        <v>0</v>
      </c>
      <c r="BN820" s="112" t="n">
        <f aca="true">IFERROR(SUMPRODUCT(OFFSET($BJ$31,0,1-MIN(60,COLUMN()-29),1,MIN(60,COLUMN()-29)),OFFSET(BN819,0,-MIN(60,COLUMN()-29),1,MIN(60,COLUMN()-29))),0)</f>
        <v>0</v>
      </c>
      <c r="BO820" s="112" t="n">
        <f aca="true">IFERROR(SUMPRODUCT(OFFSET($BJ$31,0,1-MIN(60,COLUMN()-29),1,MIN(60,COLUMN()-29)),OFFSET(BO819,0,-MIN(60,COLUMN()-29),1,MIN(60,COLUMN()-29))),0)</f>
        <v>0</v>
      </c>
      <c r="BP820" s="112" t="n">
        <f aca="true">IFERROR(SUMPRODUCT(OFFSET($BJ$31,0,1-MIN(60,COLUMN()-29),1,MIN(60,COLUMN()-29)),OFFSET(BP819,0,-MIN(60,COLUMN()-29),1,MIN(60,COLUMN()-29))),0)</f>
        <v>0</v>
      </c>
      <c r="BQ820" s="112" t="n">
        <f aca="true">IFERROR(SUMPRODUCT(OFFSET($BJ$31,0,1-MIN(60,COLUMN()-29),1,MIN(60,COLUMN()-29)),OFFSET(BQ819,0,-MIN(60,COLUMN()-29),1,MIN(60,COLUMN()-29))),0)</f>
        <v>0</v>
      </c>
      <c r="BR820" s="112" t="n">
        <f aca="true">IFERROR(SUMPRODUCT(OFFSET($BJ$31,0,1-MIN(60,COLUMN()-29),1,MIN(60,COLUMN()-29)),OFFSET(BR819,0,-MIN(60,COLUMN()-29),1,MIN(60,COLUMN()-29))),0)</f>
        <v>0</v>
      </c>
      <c r="BS820" s="112" t="n">
        <f aca="true">IFERROR(SUMPRODUCT(OFFSET($BJ$31,0,1-MIN(60,COLUMN()-29),1,MIN(60,COLUMN()-29)),OFFSET(BS819,0,-MIN(60,COLUMN()-29),1,MIN(60,COLUMN()-29))),0)</f>
        <v>0</v>
      </c>
      <c r="BT820" s="112" t="n">
        <f aca="true">IFERROR(SUMPRODUCT(OFFSET($BJ$31,0,1-MIN(60,COLUMN()-29),1,MIN(60,COLUMN()-29)),OFFSET(BT819,0,-MIN(60,COLUMN()-29),1,MIN(60,COLUMN()-29))),0)</f>
        <v>0</v>
      </c>
      <c r="BU820" s="112" t="n">
        <f aca="true">IFERROR(SUMPRODUCT(OFFSET($BJ$31,0,1-MIN(60,COLUMN()-29),1,MIN(60,COLUMN()-29)),OFFSET(BU819,0,-MIN(60,COLUMN()-29),1,MIN(60,COLUMN()-29))),0)</f>
        <v>0</v>
      </c>
      <c r="BV820" s="112" t="n">
        <f aca="true">IFERROR(SUMPRODUCT(OFFSET($BJ$31,0,1-MIN(60,COLUMN()-29),1,MIN(60,COLUMN()-29)),OFFSET(BV819,0,-MIN(60,COLUMN()-29),1,MIN(60,COLUMN()-29))),0)</f>
        <v>0</v>
      </c>
      <c r="BW820" s="112" t="n">
        <f aca="true">IFERROR(SUMPRODUCT(OFFSET($BJ$31,0,1-MIN(60,COLUMN()-29),1,MIN(60,COLUMN()-29)),OFFSET(BW819,0,-MIN(60,COLUMN()-29),1,MIN(60,COLUMN()-29))),0)</f>
        <v>0</v>
      </c>
      <c r="BX820" s="112" t="n">
        <f aca="true">IFERROR(SUMPRODUCT(OFFSET($BJ$31,0,1-MIN(60,COLUMN()-29),1,MIN(60,COLUMN()-29)),OFFSET(BX819,0,-MIN(60,COLUMN()-29),1,MIN(60,COLUMN()-29))),0)</f>
        <v>0</v>
      </c>
      <c r="BY820" s="112" t="n">
        <f aca="true">IFERROR(SUMPRODUCT(OFFSET($BJ$31,0,1-MIN(60,COLUMN()-29),1,MIN(60,COLUMN()-29)),OFFSET(BY819,0,-MIN(60,COLUMN()-29),1,MIN(60,COLUMN()-29))),0)</f>
        <v>0</v>
      </c>
      <c r="BZ820" s="112" t="n">
        <f aca="true">IFERROR(SUMPRODUCT(OFFSET($BJ$31,0,1-MIN(60,COLUMN()-29),1,MIN(60,COLUMN()-29)),OFFSET(BZ819,0,-MIN(60,COLUMN()-29),1,MIN(60,COLUMN()-29))),0)</f>
        <v>0</v>
      </c>
      <c r="CA820" s="112" t="n">
        <f aca="true">IFERROR(SUMPRODUCT(OFFSET($BJ$31,0,1-MIN(60,COLUMN()-29),1,MIN(60,COLUMN()-29)),OFFSET(CA819,0,-MIN(60,COLUMN()-29),1,MIN(60,COLUMN()-29))),0)</f>
        <v>0</v>
      </c>
      <c r="CB820" s="112" t="n">
        <f aca="true">IFERROR(SUMPRODUCT(OFFSET($BJ$31,0,1-MIN(60,COLUMN()-29),1,MIN(60,COLUMN()-29)),OFFSET(CB819,0,-MIN(60,COLUMN()-29),1,MIN(60,COLUMN()-29))),0)</f>
        <v>0</v>
      </c>
      <c r="CC820" s="112" t="n">
        <f aca="true">IFERROR(SUMPRODUCT(OFFSET($BJ$31,0,1-MIN(60,COLUMN()-29),1,MIN(60,COLUMN()-29)),OFFSET(CC819,0,-MIN(60,COLUMN()-29),1,MIN(60,COLUMN()-29))),0)</f>
        <v>0</v>
      </c>
      <c r="CD820" s="112" t="n">
        <f aca="true">IFERROR(SUMPRODUCT(OFFSET($BJ$31,0,1-MIN(60,COLUMN()-29),1,MIN(60,COLUMN()-29)),OFFSET(CD819,0,-MIN(60,COLUMN()-29),1,MIN(60,COLUMN()-29))),0)</f>
        <v>0</v>
      </c>
      <c r="CE820" s="112" t="n">
        <f aca="true">IFERROR(SUMPRODUCT(OFFSET($BJ$31,0,1-MIN(60,COLUMN()-29),1,MIN(60,COLUMN()-29)),OFFSET(CE819,0,-MIN(60,COLUMN()-29),1,MIN(60,COLUMN()-29))),0)</f>
        <v>0</v>
      </c>
      <c r="CF820" s="112" t="n">
        <f aca="true">IFERROR(SUMPRODUCT(OFFSET($BJ$31,0,1-MIN(60,COLUMN()-29),1,MIN(60,COLUMN()-29)),OFFSET(CF819,0,-MIN(60,COLUMN()-29),1,MIN(60,COLUMN()-29))),0)</f>
        <v>0</v>
      </c>
      <c r="CG820" s="112" t="n">
        <f aca="true">IFERROR(SUMPRODUCT(OFFSET($BJ$31,0,1-MIN(60,COLUMN()-29),1,MIN(60,COLUMN()-29)),OFFSET(CG819,0,-MIN(60,COLUMN()-29),1,MIN(60,COLUMN()-29))),0)</f>
        <v>0</v>
      </c>
      <c r="CH820" s="112" t="n">
        <f aca="true">IFERROR(SUMPRODUCT(OFFSET($BJ$31,0,1-MIN(60,COLUMN()-29),1,MIN(60,COLUMN()-29)),OFFSET(CH819,0,-MIN(60,COLUMN()-29),1,MIN(60,COLUMN()-29))),0)</f>
        <v>0</v>
      </c>
      <c r="CI820" s="112" t="n">
        <f aca="true">IFERROR(SUMPRODUCT(OFFSET($BJ$31,0,1-MIN(60,COLUMN()-29),1,MIN(60,COLUMN()-29)),OFFSET(CI819,0,-MIN(60,COLUMN()-29),1,MIN(60,COLUMN()-29))),0)</f>
        <v>0</v>
      </c>
      <c r="CJ820" s="112" t="n">
        <f aca="true">IFERROR(SUMPRODUCT(OFFSET($BJ$31,0,1-MIN(60,COLUMN()-29),1,MIN(60,COLUMN()-29)),OFFSET(CJ819,0,-MIN(60,COLUMN()-29),1,MIN(60,COLUMN()-29))),0)</f>
        <v>0</v>
      </c>
      <c r="CK820" s="112" t="n">
        <f aca="true">IFERROR(SUMPRODUCT(OFFSET($BJ$31,0,1-MIN(60,COLUMN()-29),1,MIN(60,COLUMN()-29)),OFFSET(CK819,0,-MIN(60,COLUMN()-29),1,MIN(60,COLUMN()-29))),0)</f>
        <v>0</v>
      </c>
      <c r="CL820" s="112" t="n">
        <f aca="true">IFERROR(SUMPRODUCT(OFFSET($BJ$31,0,1-MIN(60,COLUMN()-29),1,MIN(60,COLUMN()-29)),OFFSET(CL819,0,-MIN(60,COLUMN()-29),1,MIN(60,COLUMN()-29))),0)</f>
        <v>0</v>
      </c>
      <c r="CM820" s="112" t="n">
        <f aca="true">IFERROR(SUMPRODUCT(OFFSET($BJ$31,0,1-MIN(60,COLUMN()-29),1,MIN(60,COLUMN()-29)),OFFSET(CM819,0,-MIN(60,COLUMN()-29),1,MIN(60,COLUMN()-29))),0)</f>
        <v>0</v>
      </c>
      <c r="CN820" s="112" t="n">
        <f aca="true">IFERROR(SUMPRODUCT(OFFSET($BJ$31,0,1-MIN(60,COLUMN()-29),1,MIN(60,COLUMN()-29)),OFFSET(CN819,0,-MIN(60,COLUMN()-29),1,MIN(60,COLUMN()-29))),0)</f>
        <v>0</v>
      </c>
      <c r="CO820" s="112" t="n">
        <f aca="true">IFERROR(SUMPRODUCT(OFFSET($BJ$31,0,1-MIN(60,COLUMN()-29),1,MIN(60,COLUMN()-29)),OFFSET(CO819,0,-MIN(60,COLUMN()-29),1,MIN(60,COLUMN()-29))),0)</f>
        <v>0</v>
      </c>
      <c r="CP820" s="112" t="n">
        <f aca="true">IFERROR(SUMPRODUCT(OFFSET($BJ$31,0,1-MIN(60,COLUMN()-29),1,MIN(60,COLUMN()-29)),OFFSET(CP819,0,-MIN(60,COLUMN()-29),1,MIN(60,COLUMN()-29))),0)</f>
        <v>0</v>
      </c>
      <c r="CQ820" s="112" t="n">
        <f aca="true">IFERROR(SUMPRODUCT(OFFSET($BJ$31,0,1-MIN(60,COLUMN()-29),1,MIN(60,COLUMN()-29)),OFFSET(CQ819,0,-MIN(60,COLUMN()-29),1,MIN(60,COLUMN()-29))),0)</f>
        <v>0</v>
      </c>
      <c r="CR820" s="112" t="n">
        <f aca="true">IFERROR(SUMPRODUCT(OFFSET($BJ$31,0,1-MIN(60,COLUMN()-29),1,MIN(60,COLUMN()-29)),OFFSET(CR819,0,-MIN(60,COLUMN()-29),1,MIN(60,COLUMN()-29))),0)</f>
        <v>0</v>
      </c>
      <c r="CS820" s="112" t="n">
        <f aca="true">IFERROR(SUMPRODUCT(OFFSET($BJ$31,0,1-MIN(60,COLUMN()-29),1,MIN(60,COLUMN()-29)),OFFSET(CS819,0,-MIN(60,COLUMN()-29),1,MIN(60,COLUMN()-29))),0)</f>
        <v>0</v>
      </c>
      <c r="CT820" s="112" t="n">
        <f aca="true">IFERROR(SUMPRODUCT(OFFSET($BJ$31,0,1-MIN(60,COLUMN()-29),1,MIN(60,COLUMN()-29)),OFFSET(CT819,0,-MIN(60,COLUMN()-29),1,MIN(60,COLUMN()-29))),0)</f>
        <v>0</v>
      </c>
      <c r="CU820" s="112" t="n">
        <f aca="true">IFERROR(SUMPRODUCT(OFFSET($BJ$31,0,1-MIN(60,COLUMN()-29),1,MIN(60,COLUMN()-29)),OFFSET(CU819,0,-MIN(60,COLUMN()-29),1,MIN(60,COLUMN()-29))),0)</f>
        <v>0</v>
      </c>
      <c r="CV820" s="112" t="n">
        <f aca="true">IFERROR(SUMPRODUCT(OFFSET($BJ$31,0,1-MIN(60,COLUMN()-29),1,MIN(60,COLUMN()-29)),OFFSET(CV819,0,-MIN(60,COLUMN()-29),1,MIN(60,COLUMN()-29))),0)</f>
        <v>0</v>
      </c>
      <c r="CW820" s="112" t="n">
        <f aca="true">IFERROR(SUMPRODUCT(OFFSET($BJ$31,0,1-MIN(60,COLUMN()-29),1,MIN(60,COLUMN()-29)),OFFSET(CW819,0,-MIN(60,COLUMN()-29),1,MIN(60,COLUMN()-29))),0)</f>
        <v>0</v>
      </c>
      <c r="CX820" s="112" t="n">
        <f aca="true">IFERROR(SUMPRODUCT(OFFSET($BJ$31,0,1-MIN(60,COLUMN()-29),1,MIN(60,COLUMN()-29)),OFFSET(CX819,0,-MIN(60,COLUMN()-29),1,MIN(60,COLUMN()-29))),0)</f>
        <v>0</v>
      </c>
      <c r="CY820" s="112" t="n">
        <f aca="true">IFERROR(SUMPRODUCT(OFFSET($BJ$31,0,1-MIN(60,COLUMN()-29),1,MIN(60,COLUMN()-29)),OFFSET(CY819,0,-MIN(60,COLUMN()-29),1,MIN(60,COLUMN()-29))),0)</f>
        <v>0</v>
      </c>
      <c r="CZ820" s="112" t="n">
        <f aca="true">IFERROR(SUMPRODUCT(OFFSET($BJ$31,0,1-MIN(60,COLUMN()-29),1,MIN(60,COLUMN()-29)),OFFSET(CZ819,0,-MIN(60,COLUMN()-29),1,MIN(60,COLUMN()-29))),0)</f>
        <v>0</v>
      </c>
      <c r="DA820" s="112" t="n">
        <f aca="true">IFERROR(SUMPRODUCT(OFFSET($BJ$31,0,1-MIN(60,COLUMN()-29),1,MIN(60,COLUMN()-29)),OFFSET(DA819,0,-MIN(60,COLUMN()-29),1,MIN(60,COLUMN()-29))),0)</f>
        <v>0</v>
      </c>
      <c r="DB820" s="112" t="n">
        <f aca="true">IFERROR(SUMPRODUCT(OFFSET($BJ$31,0,1-MIN(60,COLUMN()-29),1,MIN(60,COLUMN()-29)),OFFSET(DB819,0,-MIN(60,COLUMN()-29),1,MIN(60,COLUMN()-29))),0)</f>
        <v>0</v>
      </c>
      <c r="DC820" s="112" t="n">
        <f aca="true">IFERROR(SUMPRODUCT(OFFSET($BJ$31,0,1-MIN(60,COLUMN()-29),1,MIN(60,COLUMN()-29)),OFFSET(DC819,0,-MIN(60,COLUMN()-29),1,MIN(60,COLUMN()-29))),0)</f>
        <v>0</v>
      </c>
      <c r="DD820" s="112" t="n">
        <f aca="true">IFERROR(SUMPRODUCT(OFFSET($BJ$31,0,1-MIN(60,COLUMN()-29),1,MIN(60,COLUMN()-29)),OFFSET(DD819,0,-MIN(60,COLUMN()-29),1,MIN(60,COLUMN()-29))),0)</f>
        <v>0</v>
      </c>
      <c r="DE820" s="112" t="n">
        <f aca="true">IFERROR(SUMPRODUCT(OFFSET($BJ$31,0,1-MIN(60,COLUMN()-29),1,MIN(60,COLUMN()-29)),OFFSET(DE819,0,-MIN(60,COLUMN()-29),1,MIN(60,COLUMN()-29))),0)</f>
        <v>0</v>
      </c>
      <c r="DF820" s="112" t="n">
        <f aca="true">IFERROR(SUMPRODUCT(OFFSET($BJ$31,0,1-MIN(60,COLUMN()-29),1,MIN(60,COLUMN()-29)),OFFSET(DF819,0,-MIN(60,COLUMN()-29),1,MIN(60,COLUMN()-29))),0)</f>
        <v>0</v>
      </c>
      <c r="DG820" s="112" t="n">
        <f aca="true">IFERROR(SUMPRODUCT(OFFSET($BJ$31,0,1-MIN(60,COLUMN()-29),1,MIN(60,COLUMN()-29)),OFFSET(DG819,0,-MIN(60,COLUMN()-29),1,MIN(60,COLUMN()-29))),0)</f>
        <v>0</v>
      </c>
      <c r="DH820" s="112" t="n">
        <f aca="true">IFERROR(SUMPRODUCT(OFFSET($BJ$31,0,1-MIN(60,COLUMN()-29),1,MIN(60,COLUMN()-29)),OFFSET(DH819,0,-MIN(60,COLUMN()-29),1,MIN(60,COLUMN()-29))),0)</f>
        <v>0</v>
      </c>
      <c r="DI820" s="112" t="n">
        <f aca="true">IFERROR(SUMPRODUCT(OFFSET($BJ$31,0,1-MIN(60,COLUMN()-29),1,MIN(60,COLUMN()-29)),OFFSET(DI819,0,-MIN(60,COLUMN()-29),1,MIN(60,COLUMN()-29))),0)</f>
        <v>0</v>
      </c>
      <c r="DJ820" s="112" t="n">
        <f aca="true">IFERROR(SUMPRODUCT(OFFSET($BJ$31,0,1-MIN(60,COLUMN()-29),1,MIN(60,COLUMN()-29)),OFFSET(DJ819,0,-MIN(60,COLUMN()-29),1,MIN(60,COLUMN()-29))),0)</f>
        <v>0</v>
      </c>
      <c r="DK820" s="112" t="n">
        <f aca="true">IFERROR(SUMPRODUCT(OFFSET($BJ$31,0,1-MIN(60,COLUMN()-29),1,MIN(60,COLUMN()-29)),OFFSET(DK819,0,-MIN(60,COLUMN()-29),1,MIN(60,COLUMN()-29))),0)</f>
        <v>0</v>
      </c>
      <c r="DL820" s="112" t="n">
        <f aca="true">IFERROR(SUMPRODUCT(OFFSET($BJ$31,0,1-MIN(60,COLUMN()-29),1,MIN(60,COLUMN()-29)),OFFSET(DL819,0,-MIN(60,COLUMN()-29),1,MIN(60,COLUMN()-29))),0)</f>
        <v>0</v>
      </c>
      <c r="DM820" s="112" t="n">
        <f aca="true">IFERROR(SUMPRODUCT(OFFSET($BJ$31,0,1-MIN(60,COLUMN()-29),1,MIN(60,COLUMN()-29)),OFFSET(DM819,0,-MIN(60,COLUMN()-29),1,MIN(60,COLUMN()-29))),0)</f>
        <v>0</v>
      </c>
      <c r="DN820" s="112" t="n">
        <f aca="true">IFERROR(SUMPRODUCT(OFFSET($BJ$31,0,1-MIN(60,COLUMN()-29),1,MIN(60,COLUMN()-29)),OFFSET(DN819,0,-MIN(60,COLUMN()-29),1,MIN(60,COLUMN()-29))),0)</f>
        <v>0</v>
      </c>
      <c r="DO820" s="112" t="n">
        <f aca="true">IFERROR(SUMPRODUCT(OFFSET($BJ$31,0,1-MIN(60,COLUMN()-29),1,MIN(60,COLUMN()-29)),OFFSET(DO819,0,-MIN(60,COLUMN()-29),1,MIN(60,COLUMN()-29))),0)</f>
        <v>0</v>
      </c>
      <c r="DP820" s="112" t="n">
        <f aca="true">IFERROR(SUMPRODUCT(OFFSET($BJ$31,0,1-MIN(60,COLUMN()-29),1,MIN(60,COLUMN()-29)),OFFSET(DP819,0,-MIN(60,COLUMN()-29),1,MIN(60,COLUMN()-29))),0)</f>
        <v>0</v>
      </c>
      <c r="DQ820" s="112" t="n">
        <f aca="true">IFERROR(SUMPRODUCT(OFFSET($BJ$31,0,1-MIN(60,COLUMN()-29),1,MIN(60,COLUMN()-29)),OFFSET(DQ819,0,-MIN(60,COLUMN()-29),1,MIN(60,COLUMN()-29))),0)</f>
        <v>0</v>
      </c>
      <c r="DR820" s="112" t="n">
        <f aca="true">IFERROR(SUMPRODUCT(OFFSET($BJ$31,0,1-MIN(60,COLUMN()-29),1,MIN(60,COLUMN()-29)),OFFSET(DR819,0,-MIN(60,COLUMN()-29),1,MIN(60,COLUMN()-29))),0)</f>
        <v>0</v>
      </c>
      <c r="DS820" s="112" t="n">
        <f aca="true">IFERROR(SUMPRODUCT(OFFSET($BJ$31,0,1-MIN(60,COLUMN()-29),1,MIN(60,COLUMN()-29)),OFFSET(DS819,0,-MIN(60,COLUMN()-29),1,MIN(60,COLUMN()-29))),0)</f>
        <v>0</v>
      </c>
      <c r="DT820" s="112" t="n">
        <f aca="true">IFERROR(SUMPRODUCT(OFFSET($BJ$31,0,1-MIN(60,COLUMN()-29),1,MIN(60,COLUMN()-29)),OFFSET(DT819,0,-MIN(60,COLUMN()-29),1,MIN(60,COLUMN()-29))),0)</f>
        <v>0</v>
      </c>
      <c r="DU820" s="112" t="n">
        <f aca="true">IFERROR(SUMPRODUCT(OFFSET($BJ$31,0,1-MIN(60,COLUMN()-29),1,MIN(60,COLUMN()-29)),OFFSET(DU819,0,-MIN(60,COLUMN()-29),1,MIN(60,COLUMN()-29))),0)</f>
        <v>0</v>
      </c>
      <c r="DV820" s="112" t="n">
        <f aca="true">IFERROR(SUMPRODUCT(OFFSET($BJ$31,0,1-MIN(60,COLUMN()-29),1,MIN(60,COLUMN()-29)),OFFSET(DV819,0,-MIN(60,COLUMN()-29),1,MIN(60,COLUMN()-29))),0)</f>
        <v>0</v>
      </c>
      <c r="DW820" s="112" t="n">
        <f aca="true">IFERROR(SUMPRODUCT(OFFSET($BJ$31,0,1-MIN(60,COLUMN()-29),1,MIN(60,COLUMN()-29)),OFFSET(DW819,0,-MIN(60,COLUMN()-29),1,MIN(60,COLUMN()-29))),0)</f>
        <v>0</v>
      </c>
      <c r="DX820" s="112" t="n">
        <f aca="true">IFERROR(SUMPRODUCT(OFFSET($BJ$31,0,1-MIN(60,COLUMN()-29),1,MIN(60,COLUMN()-29)),OFFSET(DX819,0,-MIN(60,COLUMN()-29),1,MIN(60,COLUMN()-29))),0)</f>
        <v>0</v>
      </c>
      <c r="DY820" s="112" t="n">
        <f aca="true">IFERROR(SUMPRODUCT(OFFSET($BJ$31,0,1-MIN(60,COLUMN()-29),1,MIN(60,COLUMN()-29)),OFFSET(DY819,0,-MIN(60,COLUMN()-29),1,MIN(60,COLUMN()-29))),0)</f>
        <v>0</v>
      </c>
      <c r="DZ820" s="112" t="n">
        <f aca="true">IFERROR(SUMPRODUCT(OFFSET($BJ$31,0,1-MIN(60,COLUMN()-29),1,MIN(60,COLUMN()-29)),OFFSET(DZ819,0,-MIN(60,COLUMN()-29),1,MIN(60,COLUMN()-29))),0)</f>
        <v>0</v>
      </c>
      <c r="EA820" s="112" t="n">
        <f aca="true">IFERROR(SUMPRODUCT(OFFSET($BJ$31,0,1-MIN(60,COLUMN()-29),1,MIN(60,COLUMN()-29)),OFFSET(EA819,0,-MIN(60,COLUMN()-29),1,MIN(60,COLUMN()-29))),0)</f>
        <v>0</v>
      </c>
      <c r="EB820" s="112" t="n">
        <f aca="true">IFERROR(SUMPRODUCT(OFFSET($BJ$31,0,1-MIN(60,COLUMN()-29),1,MIN(60,COLUMN()-29)),OFFSET(EB819,0,-MIN(60,COLUMN()-29),1,MIN(60,COLUMN()-29))),0)</f>
        <v>0</v>
      </c>
      <c r="EC820" s="112" t="n">
        <f aca="true">IFERROR(SUMPRODUCT(OFFSET($BJ$31,0,1-MIN(60,COLUMN()-29),1,MIN(60,COLUMN()-29)),OFFSET(EC819,0,-MIN(60,COLUMN()-29),1,MIN(60,COLUMN()-29))),0)</f>
        <v>0</v>
      </c>
      <c r="ED820" s="112" t="n">
        <f aca="true">IFERROR(SUMPRODUCT(OFFSET($BJ$31,0,1-MIN(60,COLUMN()-29),1,MIN(60,COLUMN()-29)),OFFSET(ED819,0,-MIN(60,COLUMN()-29),1,MIN(60,COLUMN()-29))),0)</f>
        <v>0</v>
      </c>
      <c r="EE820" s="112" t="n">
        <f aca="true">IFERROR(SUMPRODUCT(OFFSET($BJ$31,0,1-MIN(60,COLUMN()-29),1,MIN(60,COLUMN()-29)),OFFSET(EE819,0,-MIN(60,COLUMN()-29),1,MIN(60,COLUMN()-29))),0)</f>
        <v>0</v>
      </c>
      <c r="EF820" s="112" t="n">
        <f aca="true">IFERROR(SUMPRODUCT(OFFSET($BJ$31,0,1-MIN(60,COLUMN()-29),1,MIN(60,COLUMN()-29)),OFFSET(EF819,0,-MIN(60,COLUMN()-29),1,MIN(60,COLUMN()-29))),0)</f>
        <v>0</v>
      </c>
      <c r="EG820" s="112" t="n">
        <f aca="true">IFERROR(SUMPRODUCT(OFFSET($BJ$31,0,1-MIN(60,COLUMN()-29),1,MIN(60,COLUMN()-29)),OFFSET(EG819,0,-MIN(60,COLUMN()-29),1,MIN(60,COLUMN()-29))),0)</f>
        <v>0</v>
      </c>
      <c r="EH820" s="112" t="n">
        <f aca="true">IFERROR(SUMPRODUCT(OFFSET($BJ$31,0,1-MIN(60,COLUMN()-29),1,MIN(60,COLUMN()-29)),OFFSET(EH819,0,-MIN(60,COLUMN()-29),1,MIN(60,COLUMN()-29))),0)</f>
        <v>0</v>
      </c>
      <c r="EI820" s="112" t="n">
        <f aca="true">IFERROR(SUMPRODUCT(OFFSET($BJ$31,0,1-MIN(60,COLUMN()-29),1,MIN(60,COLUMN()-29)),OFFSET(EI819,0,-MIN(60,COLUMN()-29),1,MIN(60,COLUMN()-29))),0)</f>
        <v>0</v>
      </c>
      <c r="EJ820" s="112" t="n">
        <f aca="true">IFERROR(SUMPRODUCT(OFFSET($BJ$31,0,1-MIN(60,COLUMN()-29),1,MIN(60,COLUMN()-29)),OFFSET(EJ819,0,-MIN(60,COLUMN()-29),1,MIN(60,COLUMN()-29))),0)</f>
        <v>0</v>
      </c>
      <c r="EK820" s="112" t="n">
        <f aca="true">IFERROR(SUMPRODUCT(OFFSET($BJ$31,0,1-MIN(60,COLUMN()-29),1,MIN(60,COLUMN()-29)),OFFSET(EK819,0,-MIN(60,COLUMN()-29),1,MIN(60,COLUMN()-29))),0)</f>
        <v>0</v>
      </c>
      <c r="EL820" s="112" t="n">
        <f aca="true">IFERROR(SUMPRODUCT(OFFSET($BJ$31,0,1-MIN(60,COLUMN()-29),1,MIN(60,COLUMN()-29)),OFFSET(EL819,0,-MIN(60,COLUMN()-29),1,MIN(60,COLUMN()-29))),0)</f>
        <v>0</v>
      </c>
      <c r="EM820" s="112" t="n">
        <f aca="true">IFERROR(SUMPRODUCT(OFFSET($BJ$31,0,1-MIN(60,COLUMN()-29),1,MIN(60,COLUMN()-29)),OFFSET(EM819,0,-MIN(60,COLUMN()-29),1,MIN(60,COLUMN()-29))),0)</f>
        <v>0</v>
      </c>
      <c r="EN820" s="112" t="n">
        <f aca="true">IFERROR(SUMPRODUCT(OFFSET($BJ$31,0,1-MIN(60,COLUMN()-29),1,MIN(60,COLUMN()-29)),OFFSET(EN819,0,-MIN(60,COLUMN()-29),1,MIN(60,COLUMN()-29))),0)</f>
        <v>0</v>
      </c>
      <c r="EO820" s="112" t="n">
        <f aca="true">IFERROR(SUMPRODUCT(OFFSET($BJ$31,0,1-MIN(60,COLUMN()-29),1,MIN(60,COLUMN()-29)),OFFSET(EO819,0,-MIN(60,COLUMN()-29),1,MIN(60,COLUMN()-29))),0)</f>
        <v>0</v>
      </c>
      <c r="EP820" s="112" t="n">
        <f aca="true">IFERROR(SUMPRODUCT(OFFSET($BJ$31,0,1-MIN(60,COLUMN()-29),1,MIN(60,COLUMN()-29)),OFFSET(EP819,0,-MIN(60,COLUMN()-29),1,MIN(60,COLUMN()-29))),0)</f>
        <v>0</v>
      </c>
      <c r="EQ820" s="112" t="n">
        <f aca="true">IFERROR(SUMPRODUCT(OFFSET($BJ$31,0,1-MIN(60,COLUMN()-29),1,MIN(60,COLUMN()-29)),OFFSET(EQ819,0,-MIN(60,COLUMN()-29),1,MIN(60,COLUMN()-29))),0)</f>
        <v>0</v>
      </c>
      <c r="ER820" s="112" t="n">
        <f aca="true">IFERROR(SUMPRODUCT(OFFSET($BJ$31,0,1-MIN(60,COLUMN()-29),1,MIN(60,COLUMN()-29)),OFFSET(ER819,0,-MIN(60,COLUMN()-29),1,MIN(60,COLUMN()-29))),0)</f>
        <v>0</v>
      </c>
      <c r="ES820" s="9" t="n">
        <f aca="true">IFERROR(SUMPRODUCT(OFFSET($BJ$31,0,1-MIN(60,COLUMN()-29),1,MIN(60,COLUMN()-29)),OFFSET(ES819,0,-MIN(60,COLUMN()-29),1,MIN(60,COLUMN()-29))),0)</f>
        <v>0</v>
      </c>
      <c r="ET820" s="9" t="n">
        <f aca="true">IFERROR(SUMPRODUCT(OFFSET($BJ$31,0,1-MIN(60,COLUMN()-29),1,MIN(60,COLUMN()-29)),OFFSET(ET819,0,-MIN(60,COLUMN()-29),1,MIN(60,COLUMN()-29))),0)</f>
        <v>0</v>
      </c>
      <c r="EU820" s="9" t="n">
        <f aca="true">IFERROR(SUMPRODUCT(OFFSET($BJ$31,0,1-MIN(60,COLUMN()-29),1,MIN(60,COLUMN()-29)),OFFSET(EU819,0,-MIN(60,COLUMN()-29),1,MIN(60,COLUMN()-29))),0)</f>
        <v>2.30912</v>
      </c>
      <c r="EV820" s="9" t="n">
        <f aca="true">IFERROR(SUMPRODUCT(OFFSET($BJ$31,0,1-MIN(60,COLUMN()-29),1,MIN(60,COLUMN()-29)),OFFSET(EV819,0,-MIN(60,COLUMN()-29),1,MIN(60,COLUMN()-29))),0)</f>
        <v>3.91072</v>
      </c>
      <c r="EW820" s="9" t="n">
        <f aca="true">IFERROR(SUMPRODUCT(OFFSET($BJ$31,0,1-MIN(60,COLUMN()-29),1,MIN(60,COLUMN()-29)),OFFSET(EW819,0,-MIN(60,COLUMN()-29),1,MIN(60,COLUMN()-29))),0)</f>
        <v>4.6152832</v>
      </c>
      <c r="EX820" s="9" t="n">
        <f aca="true">IFERROR(SUMPRODUCT(OFFSET($BJ$31,0,1-MIN(60,COLUMN()-29),1,MIN(60,COLUMN()-29)),OFFSET(EX819,0,-MIN(60,COLUMN()-29),1,MIN(60,COLUMN()-29))),0)</f>
        <v>4.8683008</v>
      </c>
      <c r="EY820" s="9" t="n">
        <f aca="true">IFERROR(SUMPRODUCT(OFFSET($BJ$31,0,1-MIN(60,COLUMN()-29),1,MIN(60,COLUMN()-29)),OFFSET(EY819,0,-MIN(60,COLUMN()-29),1,MIN(60,COLUMN()-29))),0)</f>
        <v>4.705184</v>
      </c>
      <c r="EZ820" s="9" t="n">
        <f aca="true">IFERROR(SUMPRODUCT(OFFSET($BJ$31,0,1-MIN(60,COLUMN()-29),1,MIN(60,COLUMN()-29)),OFFSET(EZ819,0,-MIN(60,COLUMN()-29),1,MIN(60,COLUMN()-29))),0)</f>
        <v>5.4244608</v>
      </c>
      <c r="FA820" s="9" t="n">
        <f aca="true">IFERROR(SUMPRODUCT(OFFSET($BJ$31,0,1-MIN(60,COLUMN()-29),1,MIN(60,COLUMN()-29)),OFFSET(FA819,0,-MIN(60,COLUMN()-29),1,MIN(60,COLUMN()-29))),0)</f>
        <v>9.0860352</v>
      </c>
      <c r="FB820" s="9" t="n">
        <f aca="true">IFERROR(SUMPRODUCT(OFFSET($BJ$31,0,1-MIN(60,COLUMN()-29),1,MIN(60,COLUMN()-29)),OFFSET(FB819,0,-MIN(60,COLUMN()-29),1,MIN(60,COLUMN()-29))),0)</f>
        <v>9.215184</v>
      </c>
      <c r="FC820" s="9" t="n">
        <f aca="true">IFERROR(SUMPRODUCT(OFFSET($BJ$31,0,1-MIN(60,COLUMN()-29),1,MIN(60,COLUMN()-29)),OFFSET(FC819,0,-MIN(60,COLUMN()-29),1,MIN(60,COLUMN()-29))),0)</f>
        <v>9.5463104</v>
      </c>
      <c r="FD820" s="9" t="n">
        <f aca="true">IFERROR(SUMPRODUCT(OFFSET($BJ$31,0,1-MIN(60,COLUMN()-29),1,MIN(60,COLUMN()-29)),OFFSET(FD819,0,-MIN(60,COLUMN()-29),1,MIN(60,COLUMN()-29))),0)</f>
        <v>8.6454016</v>
      </c>
      <c r="FE820" s="9" t="n">
        <f aca="true">IFERROR(SUMPRODUCT(OFFSET($BJ$31,0,1-MIN(60,COLUMN()-29),1,MIN(60,COLUMN()-29)),OFFSET(FE819,0,-MIN(60,COLUMN()-29),1,MIN(60,COLUMN()-29))),0)</f>
        <v>11.1888832</v>
      </c>
      <c r="FF820" s="9" t="n">
        <f aca="true">IFERROR(SUMPRODUCT(OFFSET($BJ$31,0,1-MIN(60,COLUMN()-29),1,MIN(60,COLUMN()-29)),OFFSET(FF819,0,-MIN(60,COLUMN()-29),1,MIN(60,COLUMN()-29))),0)</f>
        <v>12.8969632</v>
      </c>
      <c r="FG820" s="9" t="n">
        <f aca="true">IFERROR(SUMPRODUCT(OFFSET($BJ$31,0,1-MIN(60,COLUMN()-29),1,MIN(60,COLUMN()-29)),OFFSET(FG819,0,-MIN(60,COLUMN()-29),1,MIN(60,COLUMN()-29))),0)</f>
        <v>13.102848</v>
      </c>
      <c r="FH820" s="9" t="n">
        <f aca="true">IFERROR(SUMPRODUCT(OFFSET($BJ$31,0,1-MIN(60,COLUMN()-29),1,MIN(60,COLUMN()-29)),OFFSET(FH819,0,-MIN(60,COLUMN()-29),1,MIN(60,COLUMN()-29))),0)</f>
        <v>17.138704</v>
      </c>
      <c r="FI820" s="9" t="n">
        <f aca="true">IFERROR(SUMPRODUCT(OFFSET($BJ$31,0,1-MIN(60,COLUMN()-29),1,MIN(60,COLUMN()-29)),OFFSET(FI819,0,-MIN(60,COLUMN()-29),1,MIN(60,COLUMN()-29))),0)</f>
        <v>17.6159104</v>
      </c>
      <c r="FJ820" s="9" t="n">
        <f aca="true">IFERROR(SUMPRODUCT(OFFSET($BJ$31,0,1-MIN(60,COLUMN()-29),1,MIN(60,COLUMN()-29)),OFFSET(FJ819,0,-MIN(60,COLUMN()-29),1,MIN(60,COLUMN()-29))),0)</f>
        <v>18.9879712</v>
      </c>
      <c r="FK820" s="9" t="n">
        <f aca="true">IFERROR(SUMPRODUCT(OFFSET($BJ$31,0,1-MIN(60,COLUMN()-29),1,MIN(60,COLUMN()-29)),OFFSET(FK819,0,-MIN(60,COLUMN()-29),1,MIN(60,COLUMN()-29))),0)</f>
        <v>19.18277152</v>
      </c>
      <c r="FL820" s="9" t="n">
        <f aca="true">IFERROR(SUMPRODUCT(OFFSET($BJ$31,0,1-MIN(60,COLUMN()-29),1,MIN(60,COLUMN()-29)),OFFSET(FL819,0,-MIN(60,COLUMN()-29),1,MIN(60,COLUMN()-29))),0)</f>
        <v>21.85396928</v>
      </c>
      <c r="FM820" s="9" t="n">
        <f aca="true">IFERROR(SUMPRODUCT(OFFSET($BJ$31,0,1-MIN(60,COLUMN()-29),1,MIN(60,COLUMN()-29)),OFFSET(FM819,0,-MIN(60,COLUMN()-29),1,MIN(60,COLUMN()-29))),0)</f>
        <v>30.66269888</v>
      </c>
      <c r="FN820" s="9" t="n">
        <f aca="true">IFERROR(SUMPRODUCT(OFFSET($BJ$31,0,1-MIN(60,COLUMN()-29),1,MIN(60,COLUMN()-29)),OFFSET(FN819,0,-MIN(60,COLUMN()-29),1,MIN(60,COLUMN()-29))),0)</f>
        <v>30.21796624</v>
      </c>
      <c r="FO820" s="9" t="n">
        <f aca="true">IFERROR(SUMPRODUCT(OFFSET($BJ$31,0,1-MIN(60,COLUMN()-29),1,MIN(60,COLUMN()-29)),OFFSET(FO819,0,-MIN(60,COLUMN()-29),1,MIN(60,COLUMN()-29))),0)</f>
        <v>29.717908</v>
      </c>
      <c r="FP820" s="9" t="n">
        <f aca="true">IFERROR(SUMPRODUCT(OFFSET($BJ$31,0,1-MIN(60,COLUMN()-29),1,MIN(60,COLUMN()-29)),OFFSET(FP819,0,-MIN(60,COLUMN()-29),1,MIN(60,COLUMN()-29))),0)</f>
        <v>28.11400768</v>
      </c>
    </row>
    <row r="821" customFormat="false" ht="15" hidden="false" customHeight="false" outlineLevel="2" collapsed="false">
      <c r="B821" s="90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237"/>
      <c r="AD821" s="237"/>
      <c r="AE821" s="237"/>
      <c r="AF821" s="237"/>
      <c r="AG821" s="237"/>
      <c r="AH821" s="237"/>
      <c r="AI821" s="237"/>
      <c r="AJ821" s="237"/>
      <c r="AK821" s="237"/>
      <c r="AL821" s="237"/>
      <c r="AM821" s="237"/>
      <c r="AN821" s="237"/>
      <c r="AO821" s="237"/>
      <c r="AP821" s="237"/>
      <c r="AQ821" s="237"/>
      <c r="AR821" s="237"/>
      <c r="AS821" s="237"/>
      <c r="AT821" s="237"/>
      <c r="AU821" s="237"/>
      <c r="AV821" s="237"/>
      <c r="AW821" s="237"/>
      <c r="AX821" s="237"/>
      <c r="AY821" s="237"/>
      <c r="AZ821" s="237"/>
      <c r="BA821" s="237"/>
      <c r="BB821" s="237"/>
      <c r="BC821" s="237"/>
      <c r="BD821" s="237"/>
      <c r="BE821" s="237"/>
      <c r="BF821" s="237"/>
      <c r="BG821" s="237"/>
      <c r="BH821" s="237"/>
      <c r="BI821" s="237"/>
      <c r="BJ821" s="237"/>
      <c r="BK821" s="237"/>
      <c r="BL821" s="237"/>
      <c r="BM821" s="237"/>
      <c r="BN821" s="237"/>
      <c r="BO821" s="237"/>
      <c r="BP821" s="237"/>
      <c r="BQ821" s="237"/>
      <c r="BR821" s="237"/>
      <c r="BS821" s="237"/>
      <c r="BT821" s="237"/>
      <c r="BU821" s="237"/>
      <c r="BV821" s="237"/>
      <c r="BW821" s="237"/>
      <c r="BX821" s="237"/>
      <c r="BY821" s="237"/>
      <c r="BZ821" s="237"/>
      <c r="CA821" s="237"/>
      <c r="CB821" s="237"/>
      <c r="CC821" s="237"/>
      <c r="CD821" s="237"/>
      <c r="CE821" s="237"/>
      <c r="CF821" s="237"/>
      <c r="CG821" s="237"/>
      <c r="CH821" s="237"/>
      <c r="CI821" s="237"/>
      <c r="CJ821" s="237"/>
      <c r="CK821" s="237"/>
      <c r="CL821" s="237"/>
      <c r="CM821" s="237"/>
      <c r="CN821" s="237"/>
      <c r="CO821" s="237"/>
      <c r="CP821" s="237"/>
      <c r="CQ821" s="237"/>
      <c r="CR821" s="237"/>
      <c r="CS821" s="237"/>
      <c r="CT821" s="237"/>
      <c r="CU821" s="237"/>
      <c r="CV821" s="237"/>
      <c r="CW821" s="237"/>
      <c r="CX821" s="237"/>
      <c r="CY821" s="237"/>
      <c r="CZ821" s="237"/>
      <c r="DA821" s="237"/>
      <c r="DB821" s="237"/>
      <c r="DC821" s="237"/>
      <c r="DD821" s="237"/>
      <c r="DE821" s="237"/>
      <c r="DF821" s="237"/>
      <c r="DG821" s="237"/>
      <c r="DH821" s="237"/>
      <c r="DI821" s="237"/>
      <c r="DJ821" s="237"/>
      <c r="DK821" s="237"/>
      <c r="DL821" s="237"/>
      <c r="DM821" s="237"/>
      <c r="DN821" s="237"/>
      <c r="DO821" s="237"/>
      <c r="DP821" s="237"/>
      <c r="DQ821" s="237"/>
      <c r="DR821" s="237"/>
      <c r="DS821" s="237"/>
      <c r="DT821" s="237"/>
      <c r="DU821" s="237"/>
      <c r="DV821" s="237"/>
      <c r="DW821" s="237"/>
      <c r="DX821" s="237"/>
      <c r="DY821" s="237"/>
      <c r="DZ821" s="237"/>
      <c r="EA821" s="237"/>
      <c r="EB821" s="237"/>
      <c r="EC821" s="237"/>
      <c r="ED821" s="237"/>
      <c r="EE821" s="237"/>
      <c r="EF821" s="237"/>
      <c r="EG821" s="237"/>
      <c r="EH821" s="237"/>
      <c r="EI821" s="237"/>
      <c r="EJ821" s="237"/>
      <c r="EK821" s="237"/>
      <c r="EL821" s="237"/>
      <c r="EM821" s="237"/>
      <c r="EN821" s="237"/>
      <c r="EO821" s="237"/>
      <c r="EP821" s="237"/>
      <c r="EQ821" s="237"/>
      <c r="ER821" s="237"/>
      <c r="ES821" s="9"/>
      <c r="ET821" s="9"/>
      <c r="EU821" s="9"/>
      <c r="EV821" s="9"/>
      <c r="EW821" s="9"/>
      <c r="EX821" s="9"/>
      <c r="EY821" s="9"/>
      <c r="EZ821" s="9"/>
      <c r="FA821" s="9"/>
      <c r="FB821" s="9"/>
      <c r="FC821" s="9"/>
      <c r="FD821" s="9"/>
      <c r="FE821" s="9"/>
      <c r="FF821" s="9"/>
      <c r="FG821" s="9"/>
      <c r="FH821" s="9"/>
      <c r="FI821" s="9"/>
      <c r="FJ821" s="9"/>
      <c r="FK821" s="9"/>
      <c r="FL821" s="9"/>
      <c r="FM821" s="9"/>
      <c r="FN821" s="9"/>
      <c r="FO821" s="9"/>
      <c r="FP821" s="9"/>
    </row>
    <row r="822" customFormat="false" ht="15" hidden="false" customHeight="false" outlineLevel="2" collapsed="false">
      <c r="B822" s="240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237"/>
      <c r="AD822" s="237"/>
      <c r="AE822" s="237"/>
      <c r="AF822" s="237"/>
      <c r="AG822" s="237"/>
      <c r="AH822" s="237"/>
      <c r="AI822" s="237"/>
      <c r="AJ822" s="237"/>
      <c r="AK822" s="237"/>
      <c r="AL822" s="237"/>
      <c r="AM822" s="237"/>
      <c r="AN822" s="237"/>
      <c r="AO822" s="237"/>
      <c r="AP822" s="237"/>
      <c r="AQ822" s="237"/>
      <c r="AR822" s="237"/>
      <c r="AS822" s="237"/>
      <c r="AT822" s="237"/>
      <c r="AU822" s="237"/>
      <c r="AV822" s="237"/>
      <c r="AW822" s="237"/>
      <c r="AX822" s="237"/>
      <c r="AY822" s="237"/>
      <c r="AZ822" s="237"/>
      <c r="BA822" s="237"/>
      <c r="BB822" s="237"/>
      <c r="BC822" s="237"/>
      <c r="BD822" s="237"/>
      <c r="BE822" s="237"/>
      <c r="BF822" s="237"/>
      <c r="BG822" s="237"/>
      <c r="BH822" s="237"/>
      <c r="BI822" s="237"/>
      <c r="BJ822" s="237"/>
      <c r="BK822" s="237"/>
      <c r="BL822" s="237"/>
      <c r="BM822" s="237"/>
      <c r="BN822" s="237"/>
      <c r="BO822" s="237"/>
      <c r="BP822" s="237"/>
      <c r="BQ822" s="237"/>
      <c r="BR822" s="237"/>
      <c r="BS822" s="237"/>
      <c r="BT822" s="237"/>
      <c r="BU822" s="237"/>
      <c r="BV822" s="237"/>
      <c r="BW822" s="237"/>
      <c r="BX822" s="237"/>
      <c r="BY822" s="237"/>
      <c r="BZ822" s="237"/>
      <c r="CA822" s="237"/>
      <c r="CB822" s="237"/>
      <c r="CC822" s="237"/>
      <c r="CD822" s="237"/>
      <c r="CE822" s="237"/>
      <c r="CF822" s="237"/>
      <c r="CG822" s="237"/>
      <c r="CH822" s="237"/>
      <c r="CI822" s="237"/>
      <c r="CJ822" s="237"/>
      <c r="CK822" s="237"/>
      <c r="CL822" s="237"/>
      <c r="CM822" s="237"/>
      <c r="CN822" s="237"/>
      <c r="CO822" s="237"/>
      <c r="CP822" s="237"/>
      <c r="CQ822" s="237"/>
      <c r="CR822" s="237"/>
      <c r="CS822" s="237"/>
      <c r="CT822" s="237"/>
      <c r="CU822" s="237"/>
      <c r="CV822" s="237"/>
      <c r="CW822" s="237"/>
      <c r="CX822" s="237"/>
      <c r="CY822" s="237"/>
      <c r="CZ822" s="237"/>
      <c r="DA822" s="237"/>
      <c r="DB822" s="237"/>
      <c r="DC822" s="237"/>
      <c r="DD822" s="237"/>
      <c r="DE822" s="237"/>
      <c r="DF822" s="237"/>
      <c r="DG822" s="237"/>
      <c r="DH822" s="237"/>
      <c r="DI822" s="237"/>
      <c r="DJ822" s="237"/>
      <c r="DK822" s="237"/>
      <c r="DL822" s="237"/>
      <c r="DM822" s="237"/>
      <c r="DN822" s="237"/>
      <c r="DO822" s="237"/>
      <c r="DP822" s="237"/>
      <c r="DQ822" s="237"/>
      <c r="DR822" s="237"/>
      <c r="DS822" s="237"/>
      <c r="DT822" s="237"/>
      <c r="DU822" s="237"/>
      <c r="DV822" s="237"/>
      <c r="DW822" s="237"/>
      <c r="DX822" s="237"/>
      <c r="DY822" s="237"/>
      <c r="DZ822" s="237"/>
      <c r="EA822" s="237"/>
      <c r="EB822" s="237"/>
      <c r="EC822" s="237"/>
      <c r="ED822" s="237"/>
      <c r="EE822" s="237"/>
      <c r="EF822" s="237"/>
      <c r="EG822" s="237"/>
      <c r="EH822" s="237"/>
      <c r="EI822" s="237"/>
      <c r="EJ822" s="237"/>
      <c r="EK822" s="237"/>
      <c r="EL822" s="237"/>
      <c r="EM822" s="237"/>
      <c r="EN822" s="237"/>
      <c r="EO822" s="237"/>
      <c r="EP822" s="237"/>
      <c r="EQ822" s="237"/>
      <c r="ER822" s="237"/>
      <c r="ES822" s="9"/>
      <c r="ET822" s="9"/>
      <c r="EU822" s="9"/>
      <c r="EV822" s="9"/>
      <c r="EW822" s="9"/>
      <c r="EX822" s="9"/>
      <c r="EY822" s="9"/>
      <c r="EZ822" s="9"/>
      <c r="FA822" s="9"/>
      <c r="FB822" s="9"/>
      <c r="FC822" s="9"/>
      <c r="FD822" s="9"/>
      <c r="FE822" s="9"/>
      <c r="FF822" s="9"/>
      <c r="FG822" s="9"/>
      <c r="FH822" s="9"/>
      <c r="FI822" s="9"/>
      <c r="FJ822" s="9"/>
      <c r="FK822" s="9"/>
      <c r="FL822" s="9"/>
      <c r="FM822" s="9"/>
      <c r="FN822" s="9"/>
      <c r="FO822" s="9"/>
      <c r="FP822" s="9"/>
    </row>
    <row r="823" customFormat="false" ht="15" hidden="false" customHeight="false" outlineLevel="2" collapsed="false">
      <c r="B823" s="21" t="s">
        <v>955</v>
      </c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  <c r="AP823" s="21"/>
      <c r="AQ823" s="21"/>
      <c r="AR823" s="21"/>
      <c r="AS823" s="21"/>
      <c r="AT823" s="21"/>
      <c r="AU823" s="21"/>
      <c r="AV823" s="21"/>
      <c r="AW823" s="21"/>
      <c r="AX823" s="21"/>
      <c r="AY823" s="21"/>
      <c r="AZ823" s="21"/>
      <c r="BA823" s="21"/>
      <c r="BB823" s="21"/>
      <c r="BC823" s="21"/>
      <c r="BD823" s="21"/>
      <c r="BE823" s="21"/>
      <c r="BF823" s="21"/>
      <c r="BG823" s="21"/>
      <c r="BH823" s="21"/>
      <c r="BI823" s="21"/>
      <c r="BJ823" s="21"/>
      <c r="BK823" s="21"/>
      <c r="BL823" s="21"/>
      <c r="BM823" s="21"/>
      <c r="BN823" s="21"/>
      <c r="BO823" s="21"/>
      <c r="BP823" s="21"/>
      <c r="BQ823" s="21"/>
      <c r="BR823" s="21"/>
      <c r="BS823" s="21"/>
      <c r="BT823" s="21"/>
      <c r="BU823" s="21"/>
      <c r="BV823" s="21"/>
      <c r="BW823" s="21"/>
      <c r="BX823" s="21"/>
      <c r="BY823" s="21"/>
      <c r="BZ823" s="21"/>
      <c r="CA823" s="21"/>
      <c r="CB823" s="21"/>
      <c r="CC823" s="21"/>
      <c r="CD823" s="21"/>
      <c r="CE823" s="21"/>
      <c r="CF823" s="21"/>
      <c r="CG823" s="21"/>
      <c r="CH823" s="21"/>
      <c r="CI823" s="21"/>
      <c r="CJ823" s="21"/>
      <c r="CK823" s="21"/>
      <c r="CL823" s="21"/>
      <c r="CM823" s="21"/>
      <c r="CN823" s="21"/>
      <c r="CO823" s="21"/>
      <c r="CP823" s="21"/>
      <c r="CQ823" s="21"/>
      <c r="CR823" s="21"/>
      <c r="CS823" s="21"/>
      <c r="CT823" s="21"/>
      <c r="CU823" s="21"/>
      <c r="CV823" s="21"/>
      <c r="CW823" s="21"/>
      <c r="CX823" s="21"/>
      <c r="CY823" s="21"/>
      <c r="CZ823" s="21"/>
      <c r="DA823" s="21"/>
      <c r="DB823" s="21"/>
      <c r="DC823" s="21"/>
      <c r="DD823" s="21"/>
      <c r="DE823" s="21"/>
      <c r="DF823" s="21"/>
      <c r="DG823" s="21"/>
      <c r="DH823" s="21"/>
      <c r="DI823" s="21"/>
      <c r="DJ823" s="21"/>
      <c r="DK823" s="21"/>
      <c r="DL823" s="21"/>
      <c r="DM823" s="21"/>
      <c r="DN823" s="21"/>
      <c r="DO823" s="21"/>
      <c r="DP823" s="21"/>
      <c r="DQ823" s="21"/>
      <c r="DR823" s="21"/>
      <c r="DS823" s="21"/>
      <c r="DT823" s="21"/>
      <c r="DU823" s="21"/>
      <c r="DV823" s="21"/>
      <c r="DW823" s="21"/>
      <c r="DX823" s="21"/>
      <c r="DY823" s="21"/>
      <c r="DZ823" s="21"/>
      <c r="EA823" s="21"/>
      <c r="EB823" s="21"/>
      <c r="EC823" s="21"/>
      <c r="ED823" s="21"/>
      <c r="EE823" s="21"/>
      <c r="EF823" s="21"/>
      <c r="EG823" s="21"/>
      <c r="EH823" s="21"/>
      <c r="EI823" s="21"/>
      <c r="EJ823" s="21"/>
      <c r="EK823" s="21"/>
      <c r="EL823" s="21"/>
      <c r="EM823" s="21"/>
      <c r="EN823" s="21"/>
      <c r="EO823" s="21"/>
      <c r="EP823" s="21"/>
      <c r="EQ823" s="21"/>
      <c r="ER823" s="21"/>
      <c r="ES823" s="9"/>
      <c r="ET823" s="9"/>
      <c r="EU823" s="9"/>
      <c r="EV823" s="9"/>
      <c r="EW823" s="9"/>
      <c r="EX823" s="9"/>
      <c r="EY823" s="9"/>
      <c r="EZ823" s="9"/>
      <c r="FA823" s="9"/>
      <c r="FB823" s="9"/>
      <c r="FC823" s="9"/>
      <c r="FD823" s="9"/>
      <c r="FE823" s="9"/>
      <c r="FF823" s="9"/>
      <c r="FG823" s="9"/>
      <c r="FH823" s="9"/>
      <c r="FI823" s="9"/>
      <c r="FJ823" s="9"/>
      <c r="FK823" s="9"/>
      <c r="FL823" s="9"/>
      <c r="FM823" s="9"/>
      <c r="FN823" s="9"/>
      <c r="FO823" s="9"/>
      <c r="FP823" s="9"/>
    </row>
    <row r="824" customFormat="false" ht="15" hidden="false" customHeight="false" outlineLevel="2" collapsed="false">
      <c r="B824" s="9" t="s">
        <v>872</v>
      </c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234" t="n">
        <f aca="false">('⑫ Roll-out Plan'!G87-2025)*12+'⑫ Roll-out Plan'!F87</f>
        <v>123</v>
      </c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9"/>
      <c r="CS824" s="9"/>
      <c r="CT824" s="9"/>
      <c r="CU824" s="9"/>
      <c r="CV824" s="9"/>
      <c r="CW824" s="9"/>
      <c r="CX824" s="9"/>
      <c r="CY824" s="9"/>
      <c r="CZ824" s="9"/>
      <c r="DA824" s="9"/>
      <c r="DB824" s="9"/>
      <c r="DC824" s="9"/>
      <c r="DD824" s="9"/>
      <c r="DE824" s="9"/>
      <c r="DF824" s="9"/>
      <c r="DG824" s="9"/>
      <c r="DH824" s="9"/>
      <c r="DI824" s="9"/>
      <c r="DJ824" s="9"/>
      <c r="DK824" s="9"/>
      <c r="DL824" s="9"/>
      <c r="DM824" s="9"/>
      <c r="DN824" s="9"/>
      <c r="DO824" s="9"/>
      <c r="DP824" s="9"/>
      <c r="DQ824" s="9"/>
      <c r="DR824" s="9"/>
      <c r="DS824" s="9"/>
      <c r="DT824" s="9"/>
      <c r="DU824" s="9"/>
      <c r="DV824" s="9"/>
      <c r="DW824" s="9"/>
      <c r="DX824" s="9"/>
      <c r="DY824" s="9"/>
      <c r="DZ824" s="9"/>
      <c r="EA824" s="9"/>
      <c r="EB824" s="9"/>
      <c r="EC824" s="9"/>
      <c r="ED824" s="9"/>
      <c r="EE824" s="9"/>
      <c r="EF824" s="9"/>
      <c r="EG824" s="9"/>
      <c r="EH824" s="9"/>
      <c r="EI824" s="9"/>
      <c r="EJ824" s="9"/>
      <c r="EK824" s="9"/>
      <c r="EL824" s="9"/>
      <c r="EM824" s="9"/>
      <c r="EN824" s="9"/>
      <c r="EO824" s="9"/>
      <c r="EP824" s="9"/>
      <c r="EQ824" s="9"/>
      <c r="ER824" s="9"/>
      <c r="ES824" s="9"/>
      <c r="ET824" s="9"/>
      <c r="EU824" s="9"/>
      <c r="EV824" s="9"/>
      <c r="EW824" s="9"/>
      <c r="EX824" s="9"/>
      <c r="EY824" s="9"/>
      <c r="EZ824" s="9"/>
      <c r="FA824" s="9"/>
      <c r="FB824" s="9"/>
      <c r="FC824" s="9"/>
      <c r="FD824" s="9"/>
      <c r="FE824" s="9"/>
      <c r="FF824" s="9"/>
      <c r="FG824" s="9"/>
      <c r="FH824" s="9"/>
      <c r="FI824" s="9"/>
      <c r="FJ824" s="9"/>
      <c r="FK824" s="9"/>
      <c r="FL824" s="9"/>
      <c r="FM824" s="9"/>
      <c r="FN824" s="9"/>
      <c r="FO824" s="9"/>
      <c r="FP824" s="9"/>
    </row>
    <row r="825" customFormat="false" ht="15" hidden="false" customHeight="false" outlineLevel="2" collapsed="false">
      <c r="B825" s="9" t="s">
        <v>873</v>
      </c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235" t="n">
        <f aca="false">VLOOKUP("B",$B$14:$C$18,2,FALSE())</f>
        <v>185</v>
      </c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9"/>
      <c r="CS825" s="9"/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9"/>
      <c r="DJ825" s="9"/>
      <c r="DK825" s="9"/>
      <c r="DL825" s="9"/>
      <c r="DM825" s="9"/>
      <c r="DN825" s="9"/>
      <c r="DO825" s="9"/>
      <c r="DP825" s="9"/>
      <c r="DQ825" s="9"/>
      <c r="DR825" s="9"/>
      <c r="DS825" s="9"/>
      <c r="DT825" s="9"/>
      <c r="DU825" s="9"/>
      <c r="DV825" s="9"/>
      <c r="DW825" s="9"/>
      <c r="DX825" s="9"/>
      <c r="DY825" s="9"/>
      <c r="DZ825" s="9"/>
      <c r="EA825" s="9"/>
      <c r="EB825" s="9"/>
      <c r="EC825" s="9"/>
      <c r="ED825" s="9"/>
      <c r="EE825" s="9"/>
      <c r="EF825" s="9"/>
      <c r="EG825" s="9"/>
      <c r="EH825" s="9"/>
      <c r="EI825" s="9"/>
      <c r="EJ825" s="9"/>
      <c r="EK825" s="9"/>
      <c r="EL825" s="9"/>
      <c r="EM825" s="9"/>
      <c r="EN825" s="9"/>
      <c r="EO825" s="9"/>
      <c r="EP825" s="9"/>
      <c r="EQ825" s="9"/>
      <c r="ER825" s="9"/>
      <c r="ES825" s="9"/>
      <c r="ET825" s="9"/>
      <c r="EU825" s="9"/>
      <c r="EV825" s="9"/>
      <c r="EW825" s="9"/>
      <c r="EX825" s="9"/>
      <c r="EY825" s="9"/>
      <c r="EZ825" s="9"/>
      <c r="FA825" s="9"/>
      <c r="FB825" s="9"/>
      <c r="FC825" s="9"/>
      <c r="FD825" s="9"/>
      <c r="FE825" s="9"/>
      <c r="FF825" s="9"/>
      <c r="FG825" s="9"/>
      <c r="FH825" s="9"/>
      <c r="FI825" s="9"/>
      <c r="FJ825" s="9"/>
      <c r="FK825" s="9"/>
      <c r="FL825" s="9"/>
      <c r="FM825" s="9"/>
      <c r="FN825" s="9"/>
      <c r="FO825" s="9"/>
      <c r="FP825" s="9"/>
    </row>
    <row r="826" customFormat="false" ht="15" hidden="false" customHeight="false" outlineLevel="2" collapsed="false">
      <c r="B826" s="9" t="s">
        <v>799</v>
      </c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63" t="n">
        <f aca="false">IF(AC$35&gt;=$AC$824,AC$35-$AC$824+1,0)</f>
        <v>0</v>
      </c>
      <c r="AD826" s="63" t="n">
        <f aca="false">IF(AD$35&gt;=$AC$824,AD$35-$AC$824+1,0)</f>
        <v>0</v>
      </c>
      <c r="AE826" s="63" t="n">
        <f aca="false">IF(AE$35&gt;=$AC$824,AE$35-$AC$824+1,0)</f>
        <v>0</v>
      </c>
      <c r="AF826" s="63" t="n">
        <f aca="false">IF(AF$35&gt;=$AC$824,AF$35-$AC$824+1,0)</f>
        <v>0</v>
      </c>
      <c r="AG826" s="63" t="n">
        <f aca="false">IF(AG$35&gt;=$AC$824,AG$35-$AC$824+1,0)</f>
        <v>0</v>
      </c>
      <c r="AH826" s="63" t="n">
        <f aca="false">IF(AH$35&gt;=$AC$824,AH$35-$AC$824+1,0)</f>
        <v>0</v>
      </c>
      <c r="AI826" s="63" t="n">
        <f aca="false">IF(AI$35&gt;=$AC$824,AI$35-$AC$824+1,0)</f>
        <v>0</v>
      </c>
      <c r="AJ826" s="63" t="n">
        <f aca="false">IF(AJ$35&gt;=$AC$824,AJ$35-$AC$824+1,0)</f>
        <v>0</v>
      </c>
      <c r="AK826" s="63" t="n">
        <f aca="false">IF(AK$35&gt;=$AC$824,AK$35-$AC$824+1,0)</f>
        <v>0</v>
      </c>
      <c r="AL826" s="63" t="n">
        <f aca="false">IF(AL$35&gt;=$AC$824,AL$35-$AC$824+1,0)</f>
        <v>0</v>
      </c>
      <c r="AM826" s="63" t="n">
        <f aca="false">IF(AM$35&gt;=$AC$824,AM$35-$AC$824+1,0)</f>
        <v>0</v>
      </c>
      <c r="AN826" s="63" t="n">
        <f aca="false">IF(AN$35&gt;=$AC$824,AN$35-$AC$824+1,0)</f>
        <v>0</v>
      </c>
      <c r="AO826" s="63" t="n">
        <f aca="false">IF(AO$35&gt;=$AC$824,AO$35-$AC$824+1,0)</f>
        <v>0</v>
      </c>
      <c r="AP826" s="63" t="n">
        <f aca="false">IF(AP$35&gt;=$AC$824,AP$35-$AC$824+1,0)</f>
        <v>0</v>
      </c>
      <c r="AQ826" s="63" t="n">
        <f aca="false">IF(AQ$35&gt;=$AC$824,AQ$35-$AC$824+1,0)</f>
        <v>0</v>
      </c>
      <c r="AR826" s="63" t="n">
        <f aca="false">IF(AR$35&gt;=$AC$824,AR$35-$AC$824+1,0)</f>
        <v>0</v>
      </c>
      <c r="AS826" s="63" t="n">
        <f aca="false">IF(AS$35&gt;=$AC$824,AS$35-$AC$824+1,0)</f>
        <v>0</v>
      </c>
      <c r="AT826" s="63" t="n">
        <f aca="false">IF(AT$35&gt;=$AC$824,AT$35-$AC$824+1,0)</f>
        <v>0</v>
      </c>
      <c r="AU826" s="63" t="n">
        <f aca="false">IF(AU$35&gt;=$AC$824,AU$35-$AC$824+1,0)</f>
        <v>0</v>
      </c>
      <c r="AV826" s="63" t="n">
        <f aca="false">IF(AV$35&gt;=$AC$824,AV$35-$AC$824+1,0)</f>
        <v>0</v>
      </c>
      <c r="AW826" s="63" t="n">
        <f aca="false">IF(AW$35&gt;=$AC$824,AW$35-$AC$824+1,0)</f>
        <v>0</v>
      </c>
      <c r="AX826" s="63" t="n">
        <f aca="false">IF(AX$35&gt;=$AC$824,AX$35-$AC$824+1,0)</f>
        <v>0</v>
      </c>
      <c r="AY826" s="63" t="n">
        <f aca="false">IF(AY$35&gt;=$AC$824,AY$35-$AC$824+1,0)</f>
        <v>0</v>
      </c>
      <c r="AZ826" s="63" t="n">
        <f aca="false">IF(AZ$35&gt;=$AC$824,AZ$35-$AC$824+1,0)</f>
        <v>0</v>
      </c>
      <c r="BA826" s="63" t="n">
        <f aca="false">IF(BA$35&gt;=$AC$824,BA$35-$AC$824+1,0)</f>
        <v>0</v>
      </c>
      <c r="BB826" s="63" t="n">
        <f aca="false">IF(BB$35&gt;=$AC$824,BB$35-$AC$824+1,0)</f>
        <v>0</v>
      </c>
      <c r="BC826" s="63" t="n">
        <f aca="false">IF(BC$35&gt;=$AC$824,BC$35-$AC$824+1,0)</f>
        <v>0</v>
      </c>
      <c r="BD826" s="63" t="n">
        <f aca="false">IF(BD$35&gt;=$AC$824,BD$35-$AC$824+1,0)</f>
        <v>0</v>
      </c>
      <c r="BE826" s="63" t="n">
        <f aca="false">IF(BE$35&gt;=$AC$824,BE$35-$AC$824+1,0)</f>
        <v>0</v>
      </c>
      <c r="BF826" s="63" t="n">
        <f aca="false">IF(BF$35&gt;=$AC$824,BF$35-$AC$824+1,0)</f>
        <v>0</v>
      </c>
      <c r="BG826" s="63" t="n">
        <f aca="false">IF(BG$35&gt;=$AC$824,BG$35-$AC$824+1,0)</f>
        <v>0</v>
      </c>
      <c r="BH826" s="63" t="n">
        <f aca="false">IF(BH$35&gt;=$AC$824,BH$35-$AC$824+1,0)</f>
        <v>0</v>
      </c>
      <c r="BI826" s="63" t="n">
        <f aca="false">IF(BI$35&gt;=$AC$824,BI$35-$AC$824+1,0)</f>
        <v>0</v>
      </c>
      <c r="BJ826" s="63" t="n">
        <f aca="false">IF(BJ$35&gt;=$AC$824,BJ$35-$AC$824+1,0)</f>
        <v>0</v>
      </c>
      <c r="BK826" s="63" t="n">
        <f aca="false">IF(BK$35&gt;=$AC$824,BK$35-$AC$824+1,0)</f>
        <v>0</v>
      </c>
      <c r="BL826" s="63" t="n">
        <f aca="false">IF(BL$35&gt;=$AC$824,BL$35-$AC$824+1,0)</f>
        <v>0</v>
      </c>
      <c r="BM826" s="63" t="n">
        <f aca="false">IF(BM$35&gt;=$AC$824,BM$35-$AC$824+1,0)</f>
        <v>0</v>
      </c>
      <c r="BN826" s="63" t="n">
        <f aca="false">IF(BN$35&gt;=$AC$824,BN$35-$AC$824+1,0)</f>
        <v>0</v>
      </c>
      <c r="BO826" s="63" t="n">
        <f aca="false">IF(BO$35&gt;=$AC$824,BO$35-$AC$824+1,0)</f>
        <v>0</v>
      </c>
      <c r="BP826" s="63" t="n">
        <f aca="false">IF(BP$35&gt;=$AC$824,BP$35-$AC$824+1,0)</f>
        <v>0</v>
      </c>
      <c r="BQ826" s="63" t="n">
        <f aca="false">IF(BQ$35&gt;=$AC$824,BQ$35-$AC$824+1,0)</f>
        <v>0</v>
      </c>
      <c r="BR826" s="63" t="n">
        <f aca="false">IF(BR$35&gt;=$AC$824,BR$35-$AC$824+1,0)</f>
        <v>0</v>
      </c>
      <c r="BS826" s="63" t="n">
        <f aca="false">IF(BS$35&gt;=$AC$824,BS$35-$AC$824+1,0)</f>
        <v>0</v>
      </c>
      <c r="BT826" s="63" t="n">
        <f aca="false">IF(BT$35&gt;=$AC$824,BT$35-$AC$824+1,0)</f>
        <v>0</v>
      </c>
      <c r="BU826" s="63" t="n">
        <f aca="false">IF(BU$35&gt;=$AC$824,BU$35-$AC$824+1,0)</f>
        <v>0</v>
      </c>
      <c r="BV826" s="63" t="n">
        <f aca="false">IF(BV$35&gt;=$AC$824,BV$35-$AC$824+1,0)</f>
        <v>0</v>
      </c>
      <c r="BW826" s="63" t="n">
        <f aca="false">IF(BW$35&gt;=$AC$824,BW$35-$AC$824+1,0)</f>
        <v>0</v>
      </c>
      <c r="BX826" s="63" t="n">
        <f aca="false">IF(BX$35&gt;=$AC$824,BX$35-$AC$824+1,0)</f>
        <v>0</v>
      </c>
      <c r="BY826" s="63" t="n">
        <f aca="false">IF(BY$35&gt;=$AC$824,BY$35-$AC$824+1,0)</f>
        <v>0</v>
      </c>
      <c r="BZ826" s="63" t="n">
        <f aca="false">IF(BZ$35&gt;=$AC$824,BZ$35-$AC$824+1,0)</f>
        <v>0</v>
      </c>
      <c r="CA826" s="63" t="n">
        <f aca="false">IF(CA$35&gt;=$AC$824,CA$35-$AC$824+1,0)</f>
        <v>0</v>
      </c>
      <c r="CB826" s="63" t="n">
        <f aca="false">IF(CB$35&gt;=$AC$824,CB$35-$AC$824+1,0)</f>
        <v>0</v>
      </c>
      <c r="CC826" s="63" t="n">
        <f aca="false">IF(CC$35&gt;=$AC$824,CC$35-$AC$824+1,0)</f>
        <v>0</v>
      </c>
      <c r="CD826" s="63" t="n">
        <f aca="false">IF(CD$35&gt;=$AC$824,CD$35-$AC$824+1,0)</f>
        <v>0</v>
      </c>
      <c r="CE826" s="63" t="n">
        <f aca="false">IF(CE$35&gt;=$AC$824,CE$35-$AC$824+1,0)</f>
        <v>0</v>
      </c>
      <c r="CF826" s="63" t="n">
        <f aca="false">IF(CF$35&gt;=$AC$824,CF$35-$AC$824+1,0)</f>
        <v>0</v>
      </c>
      <c r="CG826" s="63" t="n">
        <f aca="false">IF(CG$35&gt;=$AC$824,CG$35-$AC$824+1,0)</f>
        <v>0</v>
      </c>
      <c r="CH826" s="63" t="n">
        <f aca="false">IF(CH$35&gt;=$AC$824,CH$35-$AC$824+1,0)</f>
        <v>0</v>
      </c>
      <c r="CI826" s="63" t="n">
        <f aca="false">IF(CI$35&gt;=$AC$824,CI$35-$AC$824+1,0)</f>
        <v>0</v>
      </c>
      <c r="CJ826" s="63" t="n">
        <f aca="false">IF(CJ$35&gt;=$AC$824,CJ$35-$AC$824+1,0)</f>
        <v>0</v>
      </c>
      <c r="CK826" s="63" t="n">
        <f aca="false">IF(CK$35&gt;=$AC$824,CK$35-$AC$824+1,0)</f>
        <v>0</v>
      </c>
      <c r="CL826" s="63" t="n">
        <f aca="false">IF(CL$35&gt;=$AC$824,CL$35-$AC$824+1,0)</f>
        <v>0</v>
      </c>
      <c r="CM826" s="63" t="n">
        <f aca="false">IF(CM$35&gt;=$AC$824,CM$35-$AC$824+1,0)</f>
        <v>0</v>
      </c>
      <c r="CN826" s="63" t="n">
        <f aca="false">IF(CN$35&gt;=$AC$824,CN$35-$AC$824+1,0)</f>
        <v>0</v>
      </c>
      <c r="CO826" s="63" t="n">
        <f aca="false">IF(CO$35&gt;=$AC$824,CO$35-$AC$824+1,0)</f>
        <v>0</v>
      </c>
      <c r="CP826" s="63" t="n">
        <f aca="false">IF(CP$35&gt;=$AC$824,CP$35-$AC$824+1,0)</f>
        <v>0</v>
      </c>
      <c r="CQ826" s="63" t="n">
        <f aca="false">IF(CQ$35&gt;=$AC$824,CQ$35-$AC$824+1,0)</f>
        <v>0</v>
      </c>
      <c r="CR826" s="63" t="n">
        <f aca="false">IF(CR$35&gt;=$AC$824,CR$35-$AC$824+1,0)</f>
        <v>0</v>
      </c>
      <c r="CS826" s="63" t="n">
        <f aca="false">IF(CS$35&gt;=$AC$824,CS$35-$AC$824+1,0)</f>
        <v>0</v>
      </c>
      <c r="CT826" s="63" t="n">
        <f aca="false">IF(CT$35&gt;=$AC$824,CT$35-$AC$824+1,0)</f>
        <v>0</v>
      </c>
      <c r="CU826" s="63" t="n">
        <f aca="false">IF(CU$35&gt;=$AC$824,CU$35-$AC$824+1,0)</f>
        <v>0</v>
      </c>
      <c r="CV826" s="63" t="n">
        <f aca="false">IF(CV$35&gt;=$AC$824,CV$35-$AC$824+1,0)</f>
        <v>0</v>
      </c>
      <c r="CW826" s="63" t="n">
        <f aca="false">IF(CW$35&gt;=$AC$824,CW$35-$AC$824+1,0)</f>
        <v>0</v>
      </c>
      <c r="CX826" s="63" t="n">
        <f aca="false">IF(CX$35&gt;=$AC$824,CX$35-$AC$824+1,0)</f>
        <v>0</v>
      </c>
      <c r="CY826" s="63" t="n">
        <f aca="false">IF(CY$35&gt;=$AC$824,CY$35-$AC$824+1,0)</f>
        <v>0</v>
      </c>
      <c r="CZ826" s="63" t="n">
        <f aca="false">IF(CZ$35&gt;=$AC$824,CZ$35-$AC$824+1,0)</f>
        <v>0</v>
      </c>
      <c r="DA826" s="63" t="n">
        <f aca="false">IF(DA$35&gt;=$AC$824,DA$35-$AC$824+1,0)</f>
        <v>0</v>
      </c>
      <c r="DB826" s="63" t="n">
        <f aca="false">IF(DB$35&gt;=$AC$824,DB$35-$AC$824+1,0)</f>
        <v>0</v>
      </c>
      <c r="DC826" s="63" t="n">
        <f aca="false">IF(DC$35&gt;=$AC$824,DC$35-$AC$824+1,0)</f>
        <v>0</v>
      </c>
      <c r="DD826" s="63" t="n">
        <f aca="false">IF(DD$35&gt;=$AC$824,DD$35-$AC$824+1,0)</f>
        <v>0</v>
      </c>
      <c r="DE826" s="63" t="n">
        <f aca="false">IF(DE$35&gt;=$AC$824,DE$35-$AC$824+1,0)</f>
        <v>0</v>
      </c>
      <c r="DF826" s="63" t="n">
        <f aca="false">IF(DF$35&gt;=$AC$824,DF$35-$AC$824+1,0)</f>
        <v>0</v>
      </c>
      <c r="DG826" s="63" t="n">
        <f aca="false">IF(DG$35&gt;=$AC$824,DG$35-$AC$824+1,0)</f>
        <v>0</v>
      </c>
      <c r="DH826" s="63" t="n">
        <f aca="false">IF(DH$35&gt;=$AC$824,DH$35-$AC$824+1,0)</f>
        <v>0</v>
      </c>
      <c r="DI826" s="63" t="n">
        <f aca="false">IF(DI$35&gt;=$AC$824,DI$35-$AC$824+1,0)</f>
        <v>0</v>
      </c>
      <c r="DJ826" s="63" t="n">
        <f aca="false">IF(DJ$35&gt;=$AC$824,DJ$35-$AC$824+1,0)</f>
        <v>0</v>
      </c>
      <c r="DK826" s="63" t="n">
        <f aca="false">IF(DK$35&gt;=$AC$824,DK$35-$AC$824+1,0)</f>
        <v>0</v>
      </c>
      <c r="DL826" s="63" t="n">
        <f aca="false">IF(DL$35&gt;=$AC$824,DL$35-$AC$824+1,0)</f>
        <v>0</v>
      </c>
      <c r="DM826" s="63" t="n">
        <f aca="false">IF(DM$35&gt;=$AC$824,DM$35-$AC$824+1,0)</f>
        <v>0</v>
      </c>
      <c r="DN826" s="63" t="n">
        <f aca="false">IF(DN$35&gt;=$AC$824,DN$35-$AC$824+1,0)</f>
        <v>0</v>
      </c>
      <c r="DO826" s="63" t="n">
        <f aca="false">IF(DO$35&gt;=$AC$824,DO$35-$AC$824+1,0)</f>
        <v>0</v>
      </c>
      <c r="DP826" s="63" t="n">
        <f aca="false">IF(DP$35&gt;=$AC$824,DP$35-$AC$824+1,0)</f>
        <v>0</v>
      </c>
      <c r="DQ826" s="63" t="n">
        <f aca="false">IF(DQ$35&gt;=$AC$824,DQ$35-$AC$824+1,0)</f>
        <v>0</v>
      </c>
      <c r="DR826" s="63" t="n">
        <f aca="false">IF(DR$35&gt;=$AC$824,DR$35-$AC$824+1,0)</f>
        <v>0</v>
      </c>
      <c r="DS826" s="63" t="n">
        <f aca="false">IF(DS$35&gt;=$AC$824,DS$35-$AC$824+1,0)</f>
        <v>0</v>
      </c>
      <c r="DT826" s="63" t="n">
        <f aca="false">IF(DT$35&gt;=$AC$824,DT$35-$AC$824+1,0)</f>
        <v>0</v>
      </c>
      <c r="DU826" s="63" t="n">
        <f aca="false">IF(DU$35&gt;=$AC$824,DU$35-$AC$824+1,0)</f>
        <v>0</v>
      </c>
      <c r="DV826" s="63" t="n">
        <f aca="false">IF(DV$35&gt;=$AC$824,DV$35-$AC$824+1,0)</f>
        <v>0</v>
      </c>
      <c r="DW826" s="63" t="n">
        <f aca="false">IF(DW$35&gt;=$AC$824,DW$35-$AC$824+1,0)</f>
        <v>0</v>
      </c>
      <c r="DX826" s="63" t="n">
        <f aca="false">IF(DX$35&gt;=$AC$824,DX$35-$AC$824+1,0)</f>
        <v>0</v>
      </c>
      <c r="DY826" s="63" t="n">
        <f aca="false">IF(DY$35&gt;=$AC$824,DY$35-$AC$824+1,0)</f>
        <v>0</v>
      </c>
      <c r="DZ826" s="63" t="n">
        <f aca="false">IF(DZ$35&gt;=$AC$824,DZ$35-$AC$824+1,0)</f>
        <v>0</v>
      </c>
      <c r="EA826" s="63" t="n">
        <f aca="false">IF(EA$35&gt;=$AC$824,EA$35-$AC$824+1,0)</f>
        <v>0</v>
      </c>
      <c r="EB826" s="63" t="n">
        <f aca="false">IF(EB$35&gt;=$AC$824,EB$35-$AC$824+1,0)</f>
        <v>0</v>
      </c>
      <c r="EC826" s="63" t="n">
        <f aca="false">IF(EC$35&gt;=$AC$824,EC$35-$AC$824+1,0)</f>
        <v>0</v>
      </c>
      <c r="ED826" s="63" t="n">
        <f aca="false">IF(ED$35&gt;=$AC$824,ED$35-$AC$824+1,0)</f>
        <v>0</v>
      </c>
      <c r="EE826" s="63" t="n">
        <f aca="false">IF(EE$35&gt;=$AC$824,EE$35-$AC$824+1,0)</f>
        <v>0</v>
      </c>
      <c r="EF826" s="63" t="n">
        <f aca="false">IF(EF$35&gt;=$AC$824,EF$35-$AC$824+1,0)</f>
        <v>0</v>
      </c>
      <c r="EG826" s="63" t="n">
        <f aca="false">IF(EG$35&gt;=$AC$824,EG$35-$AC$824+1,0)</f>
        <v>0</v>
      </c>
      <c r="EH826" s="63" t="n">
        <f aca="false">IF(EH$35&gt;=$AC$824,EH$35-$AC$824+1,0)</f>
        <v>0</v>
      </c>
      <c r="EI826" s="63" t="n">
        <f aca="false">IF(EI$35&gt;=$AC$824,EI$35-$AC$824+1,0)</f>
        <v>0</v>
      </c>
      <c r="EJ826" s="63" t="n">
        <f aca="false">IF(EJ$35&gt;=$AC$824,EJ$35-$AC$824+1,0)</f>
        <v>0</v>
      </c>
      <c r="EK826" s="63" t="n">
        <f aca="false">IF(EK$35&gt;=$AC$824,EK$35-$AC$824+1,0)</f>
        <v>0</v>
      </c>
      <c r="EL826" s="63" t="n">
        <f aca="false">IF(EL$35&gt;=$AC$824,EL$35-$AC$824+1,0)</f>
        <v>0</v>
      </c>
      <c r="EM826" s="63" t="n">
        <f aca="false">IF(EM$35&gt;=$AC$824,EM$35-$AC$824+1,0)</f>
        <v>0</v>
      </c>
      <c r="EN826" s="63" t="n">
        <f aca="false">IF(EN$35&gt;=$AC$824,EN$35-$AC$824+1,0)</f>
        <v>0</v>
      </c>
      <c r="EO826" s="63" t="n">
        <f aca="false">IF(EO$35&gt;=$AC$824,EO$35-$AC$824+1,0)</f>
        <v>0</v>
      </c>
      <c r="EP826" s="63" t="n">
        <f aca="false">IF(EP$35&gt;=$AC$824,EP$35-$AC$824+1,0)</f>
        <v>0</v>
      </c>
      <c r="EQ826" s="63" t="n">
        <f aca="false">IF(EQ$35&gt;=$AC$824,EQ$35-$AC$824+1,0)</f>
        <v>0</v>
      </c>
      <c r="ER826" s="63" t="n">
        <f aca="false">IF(ER$35&gt;=$AC$824,ER$35-$AC$824+1,0)</f>
        <v>0</v>
      </c>
      <c r="ES826" s="9" t="n">
        <f aca="false">IF(ES$35&gt;=$AC$824,ES$35-$AC$824+1,0)</f>
        <v>0</v>
      </c>
      <c r="ET826" s="9" t="n">
        <f aca="false">IF(ET$35&gt;=$AC$824,ET$35-$AC$824+1,0)</f>
        <v>0</v>
      </c>
      <c r="EU826" s="9" t="n">
        <f aca="false">IF(EU$35&gt;=$AC$824,EU$35-$AC$824+1,0)</f>
        <v>1</v>
      </c>
      <c r="EV826" s="9" t="n">
        <f aca="false">IF(EV$35&gt;=$AC$824,EV$35-$AC$824+1,0)</f>
        <v>2</v>
      </c>
      <c r="EW826" s="9" t="n">
        <f aca="false">IF(EW$35&gt;=$AC$824,EW$35-$AC$824+1,0)</f>
        <v>3</v>
      </c>
      <c r="EX826" s="9" t="n">
        <f aca="false">IF(EX$35&gt;=$AC$824,EX$35-$AC$824+1,0)</f>
        <v>4</v>
      </c>
      <c r="EY826" s="9" t="n">
        <f aca="false">IF(EY$35&gt;=$AC$824,EY$35-$AC$824+1,0)</f>
        <v>5</v>
      </c>
      <c r="EZ826" s="9" t="n">
        <f aca="false">IF(EZ$35&gt;=$AC$824,EZ$35-$AC$824+1,0)</f>
        <v>6</v>
      </c>
      <c r="FA826" s="9" t="n">
        <f aca="false">IF(FA$35&gt;=$AC$824,FA$35-$AC$824+1,0)</f>
        <v>7</v>
      </c>
      <c r="FB826" s="9" t="n">
        <f aca="false">IF(FB$35&gt;=$AC$824,FB$35-$AC$824+1,0)</f>
        <v>8</v>
      </c>
      <c r="FC826" s="9" t="n">
        <f aca="false">IF(FC$35&gt;=$AC$824,FC$35-$AC$824+1,0)</f>
        <v>9</v>
      </c>
      <c r="FD826" s="9" t="n">
        <f aca="false">IF(FD$35&gt;=$AC$824,FD$35-$AC$824+1,0)</f>
        <v>10</v>
      </c>
      <c r="FE826" s="9" t="n">
        <f aca="false">IF(FE$35&gt;=$AC$824,FE$35-$AC$824+1,0)</f>
        <v>11</v>
      </c>
      <c r="FF826" s="9" t="n">
        <f aca="false">IF(FF$35&gt;=$AC$824,FF$35-$AC$824+1,0)</f>
        <v>12</v>
      </c>
      <c r="FG826" s="9" t="n">
        <f aca="false">IF(FG$35&gt;=$AC$824,FG$35-$AC$824+1,0)</f>
        <v>13</v>
      </c>
      <c r="FH826" s="9" t="n">
        <f aca="false">IF(FH$35&gt;=$AC$824,FH$35-$AC$824+1,0)</f>
        <v>14</v>
      </c>
      <c r="FI826" s="9" t="n">
        <f aca="false">IF(FI$35&gt;=$AC$824,FI$35-$AC$824+1,0)</f>
        <v>15</v>
      </c>
      <c r="FJ826" s="9" t="n">
        <f aca="false">IF(FJ$35&gt;=$AC$824,FJ$35-$AC$824+1,0)</f>
        <v>16</v>
      </c>
      <c r="FK826" s="9" t="n">
        <f aca="false">IF(FK$35&gt;=$AC$824,FK$35-$AC$824+1,0)</f>
        <v>17</v>
      </c>
      <c r="FL826" s="9" t="n">
        <f aca="false">IF(FL$35&gt;=$AC$824,FL$35-$AC$824+1,0)</f>
        <v>18</v>
      </c>
      <c r="FM826" s="9" t="n">
        <f aca="false">IF(FM$35&gt;=$AC$824,FM$35-$AC$824+1,0)</f>
        <v>19</v>
      </c>
      <c r="FN826" s="9" t="n">
        <f aca="false">IF(FN$35&gt;=$AC$824,FN$35-$AC$824+1,0)</f>
        <v>20</v>
      </c>
      <c r="FO826" s="9" t="n">
        <f aca="false">IF(FO$35&gt;=$AC$824,FO$35-$AC$824+1,0)</f>
        <v>21</v>
      </c>
      <c r="FP826" s="9" t="n">
        <f aca="false">IF(FP$35&gt;=$AC$824,FP$35-$AC$824+1,0)</f>
        <v>22</v>
      </c>
    </row>
    <row r="827" customFormat="false" ht="15" hidden="false" customHeight="false" outlineLevel="2" collapsed="false">
      <c r="B827" s="9" t="s">
        <v>874</v>
      </c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236" t="n">
        <f aca="false" t="array" ref="AC827:AC827">IF(AC826=0,0,IF(AC826/'🎚️ Escenario'!$C$11&gt;=36,$AL$23,INDEX($C$23:$AL$23,MAX(1,ROUNDUP(AC826/'🎚️ Escenario'!$C$11,0)))))</f>
        <v>0</v>
      </c>
      <c r="AD827" s="236" t="n">
        <f aca="false" t="array" ref="AD827:AD827">IF(AD826=0,0,IF(AD826/'🎚️ Escenario'!$C$11&gt;=36,$AL$23,INDEX($C$23:$AL$23,MAX(1,ROUNDUP(AD826/'🎚️ Escenario'!$C$11,0)))))</f>
        <v>0</v>
      </c>
      <c r="AE827" s="236" t="n">
        <f aca="false" t="array" ref="AE827:AE827">IF(AE826=0,0,IF(AE826/'🎚️ Escenario'!$C$11&gt;=36,$AL$23,INDEX($C$23:$AL$23,MAX(1,ROUNDUP(AE826/'🎚️ Escenario'!$C$11,0)))))</f>
        <v>0</v>
      </c>
      <c r="AF827" s="236" t="n">
        <f aca="false" t="array" ref="AF827:AF827">IF(AF826=0,0,IF(AF826/'🎚️ Escenario'!$C$11&gt;=36,$AL$23,INDEX($C$23:$AL$23,MAX(1,ROUNDUP(AF826/'🎚️ Escenario'!$C$11,0)))))</f>
        <v>0</v>
      </c>
      <c r="AG827" s="236" t="n">
        <f aca="false" t="array" ref="AG827:AG827">IF(AG826=0,0,IF(AG826/'🎚️ Escenario'!$C$11&gt;=36,$AL$23,INDEX($C$23:$AL$23,MAX(1,ROUNDUP(AG826/'🎚️ Escenario'!$C$11,0)))))</f>
        <v>0</v>
      </c>
      <c r="AH827" s="236" t="n">
        <f aca="false" t="array" ref="AH827:AH827">IF(AH826=0,0,IF(AH826/'🎚️ Escenario'!$C$11&gt;=36,$AL$23,INDEX($C$23:$AL$23,MAX(1,ROUNDUP(AH826/'🎚️ Escenario'!$C$11,0)))))</f>
        <v>0</v>
      </c>
      <c r="AI827" s="236" t="n">
        <f aca="false" t="array" ref="AI827:AI827">IF(AI826=0,0,IF(AI826/'🎚️ Escenario'!$C$11&gt;=36,$AL$23,INDEX($C$23:$AL$23,MAX(1,ROUNDUP(AI826/'🎚️ Escenario'!$C$11,0)))))</f>
        <v>0</v>
      </c>
      <c r="AJ827" s="236" t="n">
        <f aca="false" t="array" ref="AJ827:AJ827">IF(AJ826=0,0,IF(AJ826/'🎚️ Escenario'!$C$11&gt;=36,$AL$23,INDEX($C$23:$AL$23,MAX(1,ROUNDUP(AJ826/'🎚️ Escenario'!$C$11,0)))))</f>
        <v>0</v>
      </c>
      <c r="AK827" s="236" t="n">
        <f aca="false" t="array" ref="AK827:AK827">IF(AK826=0,0,IF(AK826/'🎚️ Escenario'!$C$11&gt;=36,$AL$23,INDEX($C$23:$AL$23,MAX(1,ROUNDUP(AK826/'🎚️ Escenario'!$C$11,0)))))</f>
        <v>0</v>
      </c>
      <c r="AL827" s="236" t="n">
        <f aca="false" t="array" ref="AL827:AL827">IF(AL826=0,0,IF(AL826/'🎚️ Escenario'!$C$11&gt;=36,$AL$23,INDEX($C$23:$AL$23,MAX(1,ROUNDUP(AL826/'🎚️ Escenario'!$C$11,0)))))</f>
        <v>0</v>
      </c>
      <c r="AM827" s="236" t="n">
        <f aca="false" t="array" ref="AM827:AM827">IF(AM826=0,0,IF(AM826/'🎚️ Escenario'!$C$11&gt;=36,$AL$23,INDEX($C$23:$AL$23,MAX(1,ROUNDUP(AM826/'🎚️ Escenario'!$C$11,0)))))</f>
        <v>0</v>
      </c>
      <c r="AN827" s="236" t="n">
        <f aca="false" t="array" ref="AN827:AN827">IF(AN826=0,0,IF(AN826/'🎚️ Escenario'!$C$11&gt;=36,$AL$23,INDEX($C$23:$AL$23,MAX(1,ROUNDUP(AN826/'🎚️ Escenario'!$C$11,0)))))</f>
        <v>0</v>
      </c>
      <c r="AO827" s="236" t="n">
        <f aca="false" t="array" ref="AO827:AO827">IF(AO826=0,0,IF(AO826/'🎚️ Escenario'!$C$11&gt;=36,$AL$23,INDEX($C$23:$AL$23,MAX(1,ROUNDUP(AO826/'🎚️ Escenario'!$C$11,0)))))</f>
        <v>0</v>
      </c>
      <c r="AP827" s="236" t="n">
        <f aca="false" t="array" ref="AP827:AP827">IF(AP826=0,0,IF(AP826/'🎚️ Escenario'!$C$11&gt;=36,$AL$23,INDEX($C$23:$AL$23,MAX(1,ROUNDUP(AP826/'🎚️ Escenario'!$C$11,0)))))</f>
        <v>0</v>
      </c>
      <c r="AQ827" s="236" t="n">
        <f aca="false" t="array" ref="AQ827:AQ827">IF(AQ826=0,0,IF(AQ826/'🎚️ Escenario'!$C$11&gt;=36,$AL$23,INDEX($C$23:$AL$23,MAX(1,ROUNDUP(AQ826/'🎚️ Escenario'!$C$11,0)))))</f>
        <v>0</v>
      </c>
      <c r="AR827" s="236" t="n">
        <f aca="false" t="array" ref="AR827:AR827">IF(AR826=0,0,IF(AR826/'🎚️ Escenario'!$C$11&gt;=36,$AL$23,INDEX($C$23:$AL$23,MAX(1,ROUNDUP(AR826/'🎚️ Escenario'!$C$11,0)))))</f>
        <v>0</v>
      </c>
      <c r="AS827" s="236" t="n">
        <f aca="false" t="array" ref="AS827:AS827">IF(AS826=0,0,IF(AS826/'🎚️ Escenario'!$C$11&gt;=36,$AL$23,INDEX($C$23:$AL$23,MAX(1,ROUNDUP(AS826/'🎚️ Escenario'!$C$11,0)))))</f>
        <v>0</v>
      </c>
      <c r="AT827" s="236" t="n">
        <f aca="false" t="array" ref="AT827:AT827">IF(AT826=0,0,IF(AT826/'🎚️ Escenario'!$C$11&gt;=36,$AL$23,INDEX($C$23:$AL$23,MAX(1,ROUNDUP(AT826/'🎚️ Escenario'!$C$11,0)))))</f>
        <v>0</v>
      </c>
      <c r="AU827" s="236" t="n">
        <f aca="false" t="array" ref="AU827:AU827">IF(AU826=0,0,IF(AU826/'🎚️ Escenario'!$C$11&gt;=36,$AL$23,INDEX($C$23:$AL$23,MAX(1,ROUNDUP(AU826/'🎚️ Escenario'!$C$11,0)))))</f>
        <v>0</v>
      </c>
      <c r="AV827" s="236" t="n">
        <f aca="false" t="array" ref="AV827:AV827">IF(AV826=0,0,IF(AV826/'🎚️ Escenario'!$C$11&gt;=36,$AL$23,INDEX($C$23:$AL$23,MAX(1,ROUNDUP(AV826/'🎚️ Escenario'!$C$11,0)))))</f>
        <v>0</v>
      </c>
      <c r="AW827" s="236" t="n">
        <f aca="false" t="array" ref="AW827:AW827">IF(AW826=0,0,IF(AW826/'🎚️ Escenario'!$C$11&gt;=36,$AL$23,INDEX($C$23:$AL$23,MAX(1,ROUNDUP(AW826/'🎚️ Escenario'!$C$11,0)))))</f>
        <v>0</v>
      </c>
      <c r="AX827" s="236" t="n">
        <f aca="false" t="array" ref="AX827:AX827">IF(AX826=0,0,IF(AX826/'🎚️ Escenario'!$C$11&gt;=36,$AL$23,INDEX($C$23:$AL$23,MAX(1,ROUNDUP(AX826/'🎚️ Escenario'!$C$11,0)))))</f>
        <v>0</v>
      </c>
      <c r="AY827" s="236" t="n">
        <f aca="false" t="array" ref="AY827:AY827">IF(AY826=0,0,IF(AY826/'🎚️ Escenario'!$C$11&gt;=36,$AL$23,INDEX($C$23:$AL$23,MAX(1,ROUNDUP(AY826/'🎚️ Escenario'!$C$11,0)))))</f>
        <v>0</v>
      </c>
      <c r="AZ827" s="236" t="n">
        <f aca="false" t="array" ref="AZ827:AZ827">IF(AZ826=0,0,IF(AZ826/'🎚️ Escenario'!$C$11&gt;=36,$AL$23,INDEX($C$23:$AL$23,MAX(1,ROUNDUP(AZ826/'🎚️ Escenario'!$C$11,0)))))</f>
        <v>0</v>
      </c>
      <c r="BA827" s="236" t="n">
        <f aca="false" t="array" ref="BA827:BA827">IF(BA826=0,0,IF(BA826/'🎚️ Escenario'!$C$11&gt;=36,$AL$23,INDEX($C$23:$AL$23,MAX(1,ROUNDUP(BA826/'🎚️ Escenario'!$C$11,0)))))</f>
        <v>0</v>
      </c>
      <c r="BB827" s="236" t="n">
        <f aca="false" t="array" ref="BB827:BB827">IF(BB826=0,0,IF(BB826/'🎚️ Escenario'!$C$11&gt;=36,$AL$23,INDEX($C$23:$AL$23,MAX(1,ROUNDUP(BB826/'🎚️ Escenario'!$C$11,0)))))</f>
        <v>0</v>
      </c>
      <c r="BC827" s="236" t="n">
        <f aca="false" t="array" ref="BC827:BC827">IF(BC826=0,0,IF(BC826/'🎚️ Escenario'!$C$11&gt;=36,$AL$23,INDEX($C$23:$AL$23,MAX(1,ROUNDUP(BC826/'🎚️ Escenario'!$C$11,0)))))</f>
        <v>0</v>
      </c>
      <c r="BD827" s="236" t="n">
        <f aca="false" t="array" ref="BD827:BD827">IF(BD826=0,0,IF(BD826/'🎚️ Escenario'!$C$11&gt;=36,$AL$23,INDEX($C$23:$AL$23,MAX(1,ROUNDUP(BD826/'🎚️ Escenario'!$C$11,0)))))</f>
        <v>0</v>
      </c>
      <c r="BE827" s="236" t="n">
        <f aca="false" t="array" ref="BE827:BE827">IF(BE826=0,0,IF(BE826/'🎚️ Escenario'!$C$11&gt;=36,$AL$23,INDEX($C$23:$AL$23,MAX(1,ROUNDUP(BE826/'🎚️ Escenario'!$C$11,0)))))</f>
        <v>0</v>
      </c>
      <c r="BF827" s="236" t="n">
        <f aca="false" t="array" ref="BF827:BF827">IF(BF826=0,0,IF(BF826/'🎚️ Escenario'!$C$11&gt;=36,$AL$23,INDEX($C$23:$AL$23,MAX(1,ROUNDUP(BF826/'🎚️ Escenario'!$C$11,0)))))</f>
        <v>0</v>
      </c>
      <c r="BG827" s="236" t="n">
        <f aca="false" t="array" ref="BG827:BG827">IF(BG826=0,0,IF(BG826/'🎚️ Escenario'!$C$11&gt;=36,$AL$23,INDEX($C$23:$AL$23,MAX(1,ROUNDUP(BG826/'🎚️ Escenario'!$C$11,0)))))</f>
        <v>0</v>
      </c>
      <c r="BH827" s="236" t="n">
        <f aca="false" t="array" ref="BH827:BH827">IF(BH826=0,0,IF(BH826/'🎚️ Escenario'!$C$11&gt;=36,$AL$23,INDEX($C$23:$AL$23,MAX(1,ROUNDUP(BH826/'🎚️ Escenario'!$C$11,0)))))</f>
        <v>0</v>
      </c>
      <c r="BI827" s="236" t="n">
        <f aca="false" t="array" ref="BI827:BI827">IF(BI826=0,0,IF(BI826/'🎚️ Escenario'!$C$11&gt;=36,$AL$23,INDEX($C$23:$AL$23,MAX(1,ROUNDUP(BI826/'🎚️ Escenario'!$C$11,0)))))</f>
        <v>0</v>
      </c>
      <c r="BJ827" s="236" t="n">
        <f aca="false" t="array" ref="BJ827:BJ827">IF(BJ826=0,0,IF(BJ826/'🎚️ Escenario'!$C$11&gt;=36,$AL$23,INDEX($C$23:$AL$23,MAX(1,ROUNDUP(BJ826/'🎚️ Escenario'!$C$11,0)))))</f>
        <v>0</v>
      </c>
      <c r="BK827" s="236" t="n">
        <f aca="false" t="array" ref="BK827:BK827">IF(BK826=0,0,IF(BK826/'🎚️ Escenario'!$C$11&gt;=36,$AL$23,INDEX($C$23:$AL$23,MAX(1,ROUNDUP(BK826/'🎚️ Escenario'!$C$11,0)))))</f>
        <v>0</v>
      </c>
      <c r="BL827" s="236" t="n">
        <f aca="false" t="array" ref="BL827:BL827">IF(BL826=0,0,IF(BL826/'🎚️ Escenario'!$C$11&gt;=36,$AL$23,INDEX($C$23:$AL$23,MAX(1,ROUNDUP(BL826/'🎚️ Escenario'!$C$11,0)))))</f>
        <v>0</v>
      </c>
      <c r="BM827" s="236" t="n">
        <f aca="false" t="array" ref="BM827:BM827">IF(BM826=0,0,IF(BM826/'🎚️ Escenario'!$C$11&gt;=36,$AL$23,INDEX($C$23:$AL$23,MAX(1,ROUNDUP(BM826/'🎚️ Escenario'!$C$11,0)))))</f>
        <v>0</v>
      </c>
      <c r="BN827" s="236" t="n">
        <f aca="false" t="array" ref="BN827:BN827">IF(BN826=0,0,IF(BN826/'🎚️ Escenario'!$C$11&gt;=36,$AL$23,INDEX($C$23:$AL$23,MAX(1,ROUNDUP(BN826/'🎚️ Escenario'!$C$11,0)))))</f>
        <v>0</v>
      </c>
      <c r="BO827" s="236" t="n">
        <f aca="false" t="array" ref="BO827:BO827">IF(BO826=0,0,IF(BO826/'🎚️ Escenario'!$C$11&gt;=36,$AL$23,INDEX($C$23:$AL$23,MAX(1,ROUNDUP(BO826/'🎚️ Escenario'!$C$11,0)))))</f>
        <v>0</v>
      </c>
      <c r="BP827" s="236" t="n">
        <f aca="false" t="array" ref="BP827:BP827">IF(BP826=0,0,IF(BP826/'🎚️ Escenario'!$C$11&gt;=36,$AL$23,INDEX($C$23:$AL$23,MAX(1,ROUNDUP(BP826/'🎚️ Escenario'!$C$11,0)))))</f>
        <v>0</v>
      </c>
      <c r="BQ827" s="236" t="n">
        <f aca="false" t="array" ref="BQ827:BQ827">IF(BQ826=0,0,IF(BQ826/'🎚️ Escenario'!$C$11&gt;=36,$AL$23,INDEX($C$23:$AL$23,MAX(1,ROUNDUP(BQ826/'🎚️ Escenario'!$C$11,0)))))</f>
        <v>0</v>
      </c>
      <c r="BR827" s="236" t="n">
        <f aca="false" t="array" ref="BR827:BR827">IF(BR826=0,0,IF(BR826/'🎚️ Escenario'!$C$11&gt;=36,$AL$23,INDEX($C$23:$AL$23,MAX(1,ROUNDUP(BR826/'🎚️ Escenario'!$C$11,0)))))</f>
        <v>0</v>
      </c>
      <c r="BS827" s="236" t="n">
        <f aca="false" t="array" ref="BS827:BS827">IF(BS826=0,0,IF(BS826/'🎚️ Escenario'!$C$11&gt;=36,$AL$23,INDEX($C$23:$AL$23,MAX(1,ROUNDUP(BS826/'🎚️ Escenario'!$C$11,0)))))</f>
        <v>0</v>
      </c>
      <c r="BT827" s="236" t="n">
        <f aca="false" t="array" ref="BT827:BT827">IF(BT826=0,0,IF(BT826/'🎚️ Escenario'!$C$11&gt;=36,$AL$23,INDEX($C$23:$AL$23,MAX(1,ROUNDUP(BT826/'🎚️ Escenario'!$C$11,0)))))</f>
        <v>0</v>
      </c>
      <c r="BU827" s="236" t="n">
        <f aca="false" t="array" ref="BU827:BU827">IF(BU826=0,0,IF(BU826/'🎚️ Escenario'!$C$11&gt;=36,$AL$23,INDEX($C$23:$AL$23,MAX(1,ROUNDUP(BU826/'🎚️ Escenario'!$C$11,0)))))</f>
        <v>0</v>
      </c>
      <c r="BV827" s="236" t="n">
        <f aca="false" t="array" ref="BV827:BV827">IF(BV826=0,0,IF(BV826/'🎚️ Escenario'!$C$11&gt;=36,$AL$23,INDEX($C$23:$AL$23,MAX(1,ROUNDUP(BV826/'🎚️ Escenario'!$C$11,0)))))</f>
        <v>0</v>
      </c>
      <c r="BW827" s="236" t="n">
        <f aca="false" t="array" ref="BW827:BW827">IF(BW826=0,0,IF(BW826/'🎚️ Escenario'!$C$11&gt;=36,$AL$23,INDEX($C$23:$AL$23,MAX(1,ROUNDUP(BW826/'🎚️ Escenario'!$C$11,0)))))</f>
        <v>0</v>
      </c>
      <c r="BX827" s="236" t="n">
        <f aca="false" t="array" ref="BX827:BX827">IF(BX826=0,0,IF(BX826/'🎚️ Escenario'!$C$11&gt;=36,$AL$23,INDEX($C$23:$AL$23,MAX(1,ROUNDUP(BX826/'🎚️ Escenario'!$C$11,0)))))</f>
        <v>0</v>
      </c>
      <c r="BY827" s="236" t="n">
        <f aca="false" t="array" ref="BY827:BY827">IF(BY826=0,0,IF(BY826/'🎚️ Escenario'!$C$11&gt;=36,$AL$23,INDEX($C$23:$AL$23,MAX(1,ROUNDUP(BY826/'🎚️ Escenario'!$C$11,0)))))</f>
        <v>0</v>
      </c>
      <c r="BZ827" s="236" t="n">
        <f aca="false" t="array" ref="BZ827:BZ827">IF(BZ826=0,0,IF(BZ826/'🎚️ Escenario'!$C$11&gt;=36,$AL$23,INDEX($C$23:$AL$23,MAX(1,ROUNDUP(BZ826/'🎚️ Escenario'!$C$11,0)))))</f>
        <v>0</v>
      </c>
      <c r="CA827" s="236" t="n">
        <f aca="false" t="array" ref="CA827:CA827">IF(CA826=0,0,IF(CA826/'🎚️ Escenario'!$C$11&gt;=36,$AL$23,INDEX($C$23:$AL$23,MAX(1,ROUNDUP(CA826/'🎚️ Escenario'!$C$11,0)))))</f>
        <v>0</v>
      </c>
      <c r="CB827" s="236" t="n">
        <f aca="false" t="array" ref="CB827:CB827">IF(CB826=0,0,IF(CB826/'🎚️ Escenario'!$C$11&gt;=36,$AL$23,INDEX($C$23:$AL$23,MAX(1,ROUNDUP(CB826/'🎚️ Escenario'!$C$11,0)))))</f>
        <v>0</v>
      </c>
      <c r="CC827" s="236" t="n">
        <f aca="false" t="array" ref="CC827:CC827">IF(CC826=0,0,IF(CC826/'🎚️ Escenario'!$C$11&gt;=36,$AL$23,INDEX($C$23:$AL$23,MAX(1,ROUNDUP(CC826/'🎚️ Escenario'!$C$11,0)))))</f>
        <v>0</v>
      </c>
      <c r="CD827" s="236" t="n">
        <f aca="false" t="array" ref="CD827:CD827">IF(CD826=0,0,IF(CD826/'🎚️ Escenario'!$C$11&gt;=36,$AL$23,INDEX($C$23:$AL$23,MAX(1,ROUNDUP(CD826/'🎚️ Escenario'!$C$11,0)))))</f>
        <v>0</v>
      </c>
      <c r="CE827" s="236" t="n">
        <f aca="false" t="array" ref="CE827:CE827">IF(CE826=0,0,IF(CE826/'🎚️ Escenario'!$C$11&gt;=36,$AL$23,INDEX($C$23:$AL$23,MAX(1,ROUNDUP(CE826/'🎚️ Escenario'!$C$11,0)))))</f>
        <v>0</v>
      </c>
      <c r="CF827" s="236" t="n">
        <f aca="false" t="array" ref="CF827:CF827">IF(CF826=0,0,IF(CF826/'🎚️ Escenario'!$C$11&gt;=36,$AL$23,INDEX($C$23:$AL$23,MAX(1,ROUNDUP(CF826/'🎚️ Escenario'!$C$11,0)))))</f>
        <v>0</v>
      </c>
      <c r="CG827" s="236" t="n">
        <f aca="false" t="array" ref="CG827:CG827">IF(CG826=0,0,IF(CG826/'🎚️ Escenario'!$C$11&gt;=36,$AL$23,INDEX($C$23:$AL$23,MAX(1,ROUNDUP(CG826/'🎚️ Escenario'!$C$11,0)))))</f>
        <v>0</v>
      </c>
      <c r="CH827" s="236" t="n">
        <f aca="false" t="array" ref="CH827:CH827">IF(CH826=0,0,IF(CH826/'🎚️ Escenario'!$C$11&gt;=36,$AL$23,INDEX($C$23:$AL$23,MAX(1,ROUNDUP(CH826/'🎚️ Escenario'!$C$11,0)))))</f>
        <v>0</v>
      </c>
      <c r="CI827" s="236" t="n">
        <f aca="false" t="array" ref="CI827:CI827">IF(CI826=0,0,IF(CI826/'🎚️ Escenario'!$C$11&gt;=36,$AL$23,INDEX($C$23:$AL$23,MAX(1,ROUNDUP(CI826/'🎚️ Escenario'!$C$11,0)))))</f>
        <v>0</v>
      </c>
      <c r="CJ827" s="236" t="n">
        <f aca="false" t="array" ref="CJ827:CJ827">IF(CJ826=0,0,IF(CJ826/'🎚️ Escenario'!$C$11&gt;=36,$AL$23,INDEX($C$23:$AL$23,MAX(1,ROUNDUP(CJ826/'🎚️ Escenario'!$C$11,0)))))</f>
        <v>0</v>
      </c>
      <c r="CK827" s="236" t="n">
        <f aca="false" t="array" ref="CK827:CK827">IF(CK826=0,0,IF(CK826/'🎚️ Escenario'!$C$11&gt;=36,$AL$23,INDEX($C$23:$AL$23,MAX(1,ROUNDUP(CK826/'🎚️ Escenario'!$C$11,0)))))</f>
        <v>0</v>
      </c>
      <c r="CL827" s="236" t="n">
        <f aca="false" t="array" ref="CL827:CL827">IF(CL826=0,0,IF(CL826/'🎚️ Escenario'!$C$11&gt;=36,$AL$23,INDEX($C$23:$AL$23,MAX(1,ROUNDUP(CL826/'🎚️ Escenario'!$C$11,0)))))</f>
        <v>0</v>
      </c>
      <c r="CM827" s="236" t="n">
        <f aca="false" t="array" ref="CM827:CM827">IF(CM826=0,0,IF(CM826/'🎚️ Escenario'!$C$11&gt;=36,$AL$23,INDEX($C$23:$AL$23,MAX(1,ROUNDUP(CM826/'🎚️ Escenario'!$C$11,0)))))</f>
        <v>0</v>
      </c>
      <c r="CN827" s="236" t="n">
        <f aca="false" t="array" ref="CN827:CN827">IF(CN826=0,0,IF(CN826/'🎚️ Escenario'!$C$11&gt;=36,$AL$23,INDEX($C$23:$AL$23,MAX(1,ROUNDUP(CN826/'🎚️ Escenario'!$C$11,0)))))</f>
        <v>0</v>
      </c>
      <c r="CO827" s="236" t="n">
        <f aca="false" t="array" ref="CO827:CO827">IF(CO826=0,0,IF(CO826/'🎚️ Escenario'!$C$11&gt;=36,$AL$23,INDEX($C$23:$AL$23,MAX(1,ROUNDUP(CO826/'🎚️ Escenario'!$C$11,0)))))</f>
        <v>0</v>
      </c>
      <c r="CP827" s="236" t="n">
        <f aca="false" t="array" ref="CP827:CP827">IF(CP826=0,0,IF(CP826/'🎚️ Escenario'!$C$11&gt;=36,$AL$23,INDEX($C$23:$AL$23,MAX(1,ROUNDUP(CP826/'🎚️ Escenario'!$C$11,0)))))</f>
        <v>0</v>
      </c>
      <c r="CQ827" s="236" t="n">
        <f aca="false" t="array" ref="CQ827:CQ827">IF(CQ826=0,0,IF(CQ826/'🎚️ Escenario'!$C$11&gt;=36,$AL$23,INDEX($C$23:$AL$23,MAX(1,ROUNDUP(CQ826/'🎚️ Escenario'!$C$11,0)))))</f>
        <v>0</v>
      </c>
      <c r="CR827" s="236" t="n">
        <f aca="false" t="array" ref="CR827:CR827">IF(CR826=0,0,IF(CR826/'🎚️ Escenario'!$C$11&gt;=36,$AL$23,INDEX($C$23:$AL$23,MAX(1,ROUNDUP(CR826/'🎚️ Escenario'!$C$11,0)))))</f>
        <v>0</v>
      </c>
      <c r="CS827" s="236" t="n">
        <f aca="false" t="array" ref="CS827:CS827">IF(CS826=0,0,IF(CS826/'🎚️ Escenario'!$C$11&gt;=36,$AL$23,INDEX($C$23:$AL$23,MAX(1,ROUNDUP(CS826/'🎚️ Escenario'!$C$11,0)))))</f>
        <v>0</v>
      </c>
      <c r="CT827" s="236" t="n">
        <f aca="false" t="array" ref="CT827:CT827">IF(CT826=0,0,IF(CT826/'🎚️ Escenario'!$C$11&gt;=36,$AL$23,INDEX($C$23:$AL$23,MAX(1,ROUNDUP(CT826/'🎚️ Escenario'!$C$11,0)))))</f>
        <v>0</v>
      </c>
      <c r="CU827" s="236" t="n">
        <f aca="false" t="array" ref="CU827:CU827">IF(CU826=0,0,IF(CU826/'🎚️ Escenario'!$C$11&gt;=36,$AL$23,INDEX($C$23:$AL$23,MAX(1,ROUNDUP(CU826/'🎚️ Escenario'!$C$11,0)))))</f>
        <v>0</v>
      </c>
      <c r="CV827" s="236" t="n">
        <f aca="false" t="array" ref="CV827:CV827">IF(CV826=0,0,IF(CV826/'🎚️ Escenario'!$C$11&gt;=36,$AL$23,INDEX($C$23:$AL$23,MAX(1,ROUNDUP(CV826/'🎚️ Escenario'!$C$11,0)))))</f>
        <v>0</v>
      </c>
      <c r="CW827" s="236" t="n">
        <f aca="false" t="array" ref="CW827:CW827">IF(CW826=0,0,IF(CW826/'🎚️ Escenario'!$C$11&gt;=36,$AL$23,INDEX($C$23:$AL$23,MAX(1,ROUNDUP(CW826/'🎚️ Escenario'!$C$11,0)))))</f>
        <v>0</v>
      </c>
      <c r="CX827" s="236" t="n">
        <f aca="false" t="array" ref="CX827:CX827">IF(CX826=0,0,IF(CX826/'🎚️ Escenario'!$C$11&gt;=36,$AL$23,INDEX($C$23:$AL$23,MAX(1,ROUNDUP(CX826/'🎚️ Escenario'!$C$11,0)))))</f>
        <v>0</v>
      </c>
      <c r="CY827" s="236" t="n">
        <f aca="false" t="array" ref="CY827:CY827">IF(CY826=0,0,IF(CY826/'🎚️ Escenario'!$C$11&gt;=36,$AL$23,INDEX($C$23:$AL$23,MAX(1,ROUNDUP(CY826/'🎚️ Escenario'!$C$11,0)))))</f>
        <v>0</v>
      </c>
      <c r="CZ827" s="236" t="n">
        <f aca="false" t="array" ref="CZ827:CZ827">IF(CZ826=0,0,IF(CZ826/'🎚️ Escenario'!$C$11&gt;=36,$AL$23,INDEX($C$23:$AL$23,MAX(1,ROUNDUP(CZ826/'🎚️ Escenario'!$C$11,0)))))</f>
        <v>0</v>
      </c>
      <c r="DA827" s="236" t="n">
        <f aca="false" t="array" ref="DA827:DA827">IF(DA826=0,0,IF(DA826/'🎚️ Escenario'!$C$11&gt;=36,$AL$23,INDEX($C$23:$AL$23,MAX(1,ROUNDUP(DA826/'🎚️ Escenario'!$C$11,0)))))</f>
        <v>0</v>
      </c>
      <c r="DB827" s="236" t="n">
        <f aca="false" t="array" ref="DB827:DB827">IF(DB826=0,0,IF(DB826/'🎚️ Escenario'!$C$11&gt;=36,$AL$23,INDEX($C$23:$AL$23,MAX(1,ROUNDUP(DB826/'🎚️ Escenario'!$C$11,0)))))</f>
        <v>0</v>
      </c>
      <c r="DC827" s="236" t="n">
        <f aca="false" t="array" ref="DC827:DC827">IF(DC826=0,0,IF(DC826/'🎚️ Escenario'!$C$11&gt;=36,$AL$23,INDEX($C$23:$AL$23,MAX(1,ROUNDUP(DC826/'🎚️ Escenario'!$C$11,0)))))</f>
        <v>0</v>
      </c>
      <c r="DD827" s="236" t="n">
        <f aca="false" t="array" ref="DD827:DD827">IF(DD826=0,0,IF(DD826/'🎚️ Escenario'!$C$11&gt;=36,$AL$23,INDEX($C$23:$AL$23,MAX(1,ROUNDUP(DD826/'🎚️ Escenario'!$C$11,0)))))</f>
        <v>0</v>
      </c>
      <c r="DE827" s="236" t="n">
        <f aca="false" t="array" ref="DE827:DE827">IF(DE826=0,0,IF(DE826/'🎚️ Escenario'!$C$11&gt;=36,$AL$23,INDEX($C$23:$AL$23,MAX(1,ROUNDUP(DE826/'🎚️ Escenario'!$C$11,0)))))</f>
        <v>0</v>
      </c>
      <c r="DF827" s="236" t="n">
        <f aca="false" t="array" ref="DF827:DF827">IF(DF826=0,0,IF(DF826/'🎚️ Escenario'!$C$11&gt;=36,$AL$23,INDEX($C$23:$AL$23,MAX(1,ROUNDUP(DF826/'🎚️ Escenario'!$C$11,0)))))</f>
        <v>0</v>
      </c>
      <c r="DG827" s="236" t="n">
        <f aca="false" t="array" ref="DG827:DG827">IF(DG826=0,0,IF(DG826/'🎚️ Escenario'!$C$11&gt;=36,$AL$23,INDEX($C$23:$AL$23,MAX(1,ROUNDUP(DG826/'🎚️ Escenario'!$C$11,0)))))</f>
        <v>0</v>
      </c>
      <c r="DH827" s="236" t="n">
        <f aca="false" t="array" ref="DH827:DH827">IF(DH826=0,0,IF(DH826/'🎚️ Escenario'!$C$11&gt;=36,$AL$23,INDEX($C$23:$AL$23,MAX(1,ROUNDUP(DH826/'🎚️ Escenario'!$C$11,0)))))</f>
        <v>0</v>
      </c>
      <c r="DI827" s="236" t="n">
        <f aca="false" t="array" ref="DI827:DI827">IF(DI826=0,0,IF(DI826/'🎚️ Escenario'!$C$11&gt;=36,$AL$23,INDEX($C$23:$AL$23,MAX(1,ROUNDUP(DI826/'🎚️ Escenario'!$C$11,0)))))</f>
        <v>0</v>
      </c>
      <c r="DJ827" s="236" t="n">
        <f aca="false" t="array" ref="DJ827:DJ827">IF(DJ826=0,0,IF(DJ826/'🎚️ Escenario'!$C$11&gt;=36,$AL$23,INDEX($C$23:$AL$23,MAX(1,ROUNDUP(DJ826/'🎚️ Escenario'!$C$11,0)))))</f>
        <v>0</v>
      </c>
      <c r="DK827" s="236" t="n">
        <f aca="false" t="array" ref="DK827:DK827">IF(DK826=0,0,IF(DK826/'🎚️ Escenario'!$C$11&gt;=36,$AL$23,INDEX($C$23:$AL$23,MAX(1,ROUNDUP(DK826/'🎚️ Escenario'!$C$11,0)))))</f>
        <v>0</v>
      </c>
      <c r="DL827" s="236" t="n">
        <f aca="false" t="array" ref="DL827:DL827">IF(DL826=0,0,IF(DL826/'🎚️ Escenario'!$C$11&gt;=36,$AL$23,INDEX($C$23:$AL$23,MAX(1,ROUNDUP(DL826/'🎚️ Escenario'!$C$11,0)))))</f>
        <v>0</v>
      </c>
      <c r="DM827" s="236" t="n">
        <f aca="false" t="array" ref="DM827:DM827">IF(DM826=0,0,IF(DM826/'🎚️ Escenario'!$C$11&gt;=36,$AL$23,INDEX($C$23:$AL$23,MAX(1,ROUNDUP(DM826/'🎚️ Escenario'!$C$11,0)))))</f>
        <v>0</v>
      </c>
      <c r="DN827" s="236" t="n">
        <f aca="false" t="array" ref="DN827:DN827">IF(DN826=0,0,IF(DN826/'🎚️ Escenario'!$C$11&gt;=36,$AL$23,INDEX($C$23:$AL$23,MAX(1,ROUNDUP(DN826/'🎚️ Escenario'!$C$11,0)))))</f>
        <v>0</v>
      </c>
      <c r="DO827" s="236" t="n">
        <f aca="false" t="array" ref="DO827:DO827">IF(DO826=0,0,IF(DO826/'🎚️ Escenario'!$C$11&gt;=36,$AL$23,INDEX($C$23:$AL$23,MAX(1,ROUNDUP(DO826/'🎚️ Escenario'!$C$11,0)))))</f>
        <v>0</v>
      </c>
      <c r="DP827" s="236" t="n">
        <f aca="false" t="array" ref="DP827:DP827">IF(DP826=0,0,IF(DP826/'🎚️ Escenario'!$C$11&gt;=36,$AL$23,INDEX($C$23:$AL$23,MAX(1,ROUNDUP(DP826/'🎚️ Escenario'!$C$11,0)))))</f>
        <v>0</v>
      </c>
      <c r="DQ827" s="236" t="n">
        <f aca="false" t="array" ref="DQ827:DQ827">IF(DQ826=0,0,IF(DQ826/'🎚️ Escenario'!$C$11&gt;=36,$AL$23,INDEX($C$23:$AL$23,MAX(1,ROUNDUP(DQ826/'🎚️ Escenario'!$C$11,0)))))</f>
        <v>0</v>
      </c>
      <c r="DR827" s="236" t="n">
        <f aca="false" t="array" ref="DR827:DR827">IF(DR826=0,0,IF(DR826/'🎚️ Escenario'!$C$11&gt;=36,$AL$23,INDEX($C$23:$AL$23,MAX(1,ROUNDUP(DR826/'🎚️ Escenario'!$C$11,0)))))</f>
        <v>0</v>
      </c>
      <c r="DS827" s="236" t="n">
        <f aca="false" t="array" ref="DS827:DS827">IF(DS826=0,0,IF(DS826/'🎚️ Escenario'!$C$11&gt;=36,$AL$23,INDEX($C$23:$AL$23,MAX(1,ROUNDUP(DS826/'🎚️ Escenario'!$C$11,0)))))</f>
        <v>0</v>
      </c>
      <c r="DT827" s="236" t="n">
        <f aca="false" t="array" ref="DT827:DT827">IF(DT826=0,0,IF(DT826/'🎚️ Escenario'!$C$11&gt;=36,$AL$23,INDEX($C$23:$AL$23,MAX(1,ROUNDUP(DT826/'🎚️ Escenario'!$C$11,0)))))</f>
        <v>0</v>
      </c>
      <c r="DU827" s="236" t="n">
        <f aca="false" t="array" ref="DU827:DU827">IF(DU826=0,0,IF(DU826/'🎚️ Escenario'!$C$11&gt;=36,$AL$23,INDEX($C$23:$AL$23,MAX(1,ROUNDUP(DU826/'🎚️ Escenario'!$C$11,0)))))</f>
        <v>0</v>
      </c>
      <c r="DV827" s="236" t="n">
        <f aca="false" t="array" ref="DV827:DV827">IF(DV826=0,0,IF(DV826/'🎚️ Escenario'!$C$11&gt;=36,$AL$23,INDEX($C$23:$AL$23,MAX(1,ROUNDUP(DV826/'🎚️ Escenario'!$C$11,0)))))</f>
        <v>0</v>
      </c>
      <c r="DW827" s="236" t="n">
        <f aca="false" t="array" ref="DW827:DW827">IF(DW826=0,0,IF(DW826/'🎚️ Escenario'!$C$11&gt;=36,$AL$23,INDEX($C$23:$AL$23,MAX(1,ROUNDUP(DW826/'🎚️ Escenario'!$C$11,0)))))</f>
        <v>0</v>
      </c>
      <c r="DX827" s="236" t="n">
        <f aca="false" t="array" ref="DX827:DX827">IF(DX826=0,0,IF(DX826/'🎚️ Escenario'!$C$11&gt;=36,$AL$23,INDEX($C$23:$AL$23,MAX(1,ROUNDUP(DX826/'🎚️ Escenario'!$C$11,0)))))</f>
        <v>0</v>
      </c>
      <c r="DY827" s="236" t="n">
        <f aca="false" t="array" ref="DY827:DY827">IF(DY826=0,0,IF(DY826/'🎚️ Escenario'!$C$11&gt;=36,$AL$23,INDEX($C$23:$AL$23,MAX(1,ROUNDUP(DY826/'🎚️ Escenario'!$C$11,0)))))</f>
        <v>0</v>
      </c>
      <c r="DZ827" s="236" t="n">
        <f aca="false" t="array" ref="DZ827:DZ827">IF(DZ826=0,0,IF(DZ826/'🎚️ Escenario'!$C$11&gt;=36,$AL$23,INDEX($C$23:$AL$23,MAX(1,ROUNDUP(DZ826/'🎚️ Escenario'!$C$11,0)))))</f>
        <v>0</v>
      </c>
      <c r="EA827" s="236" t="n">
        <f aca="false" t="array" ref="EA827:EA827">IF(EA826=0,0,IF(EA826/'🎚️ Escenario'!$C$11&gt;=36,$AL$23,INDEX($C$23:$AL$23,MAX(1,ROUNDUP(EA826/'🎚️ Escenario'!$C$11,0)))))</f>
        <v>0</v>
      </c>
      <c r="EB827" s="236" t="n">
        <f aca="false" t="array" ref="EB827:EB827">IF(EB826=0,0,IF(EB826/'🎚️ Escenario'!$C$11&gt;=36,$AL$23,INDEX($C$23:$AL$23,MAX(1,ROUNDUP(EB826/'🎚️ Escenario'!$C$11,0)))))</f>
        <v>0</v>
      </c>
      <c r="EC827" s="236" t="n">
        <f aca="false" t="array" ref="EC827:EC827">IF(EC826=0,0,IF(EC826/'🎚️ Escenario'!$C$11&gt;=36,$AL$23,INDEX($C$23:$AL$23,MAX(1,ROUNDUP(EC826/'🎚️ Escenario'!$C$11,0)))))</f>
        <v>0</v>
      </c>
      <c r="ED827" s="236" t="n">
        <f aca="false" t="array" ref="ED827:ED827">IF(ED826=0,0,IF(ED826/'🎚️ Escenario'!$C$11&gt;=36,$AL$23,INDEX($C$23:$AL$23,MAX(1,ROUNDUP(ED826/'🎚️ Escenario'!$C$11,0)))))</f>
        <v>0</v>
      </c>
      <c r="EE827" s="236" t="n">
        <f aca="false" t="array" ref="EE827:EE827">IF(EE826=0,0,IF(EE826/'🎚️ Escenario'!$C$11&gt;=36,$AL$23,INDEX($C$23:$AL$23,MAX(1,ROUNDUP(EE826/'🎚️ Escenario'!$C$11,0)))))</f>
        <v>0</v>
      </c>
      <c r="EF827" s="236" t="n">
        <f aca="false" t="array" ref="EF827:EF827">IF(EF826=0,0,IF(EF826/'🎚️ Escenario'!$C$11&gt;=36,$AL$23,INDEX($C$23:$AL$23,MAX(1,ROUNDUP(EF826/'🎚️ Escenario'!$C$11,0)))))</f>
        <v>0</v>
      </c>
      <c r="EG827" s="236" t="n">
        <f aca="false" t="array" ref="EG827:EG827">IF(EG826=0,0,IF(EG826/'🎚️ Escenario'!$C$11&gt;=36,$AL$23,INDEX($C$23:$AL$23,MAX(1,ROUNDUP(EG826/'🎚️ Escenario'!$C$11,0)))))</f>
        <v>0</v>
      </c>
      <c r="EH827" s="236" t="n">
        <f aca="false" t="array" ref="EH827:EH827">IF(EH826=0,0,IF(EH826/'🎚️ Escenario'!$C$11&gt;=36,$AL$23,INDEX($C$23:$AL$23,MAX(1,ROUNDUP(EH826/'🎚️ Escenario'!$C$11,0)))))</f>
        <v>0</v>
      </c>
      <c r="EI827" s="236" t="n">
        <f aca="false" t="array" ref="EI827:EI827">IF(EI826=0,0,IF(EI826/'🎚️ Escenario'!$C$11&gt;=36,$AL$23,INDEX($C$23:$AL$23,MAX(1,ROUNDUP(EI826/'🎚️ Escenario'!$C$11,0)))))</f>
        <v>0</v>
      </c>
      <c r="EJ827" s="236" t="n">
        <f aca="false" t="array" ref="EJ827:EJ827">IF(EJ826=0,0,IF(EJ826/'🎚️ Escenario'!$C$11&gt;=36,$AL$23,INDEX($C$23:$AL$23,MAX(1,ROUNDUP(EJ826/'🎚️ Escenario'!$C$11,0)))))</f>
        <v>0</v>
      </c>
      <c r="EK827" s="236" t="n">
        <f aca="false" t="array" ref="EK827:EK827">IF(EK826=0,0,IF(EK826/'🎚️ Escenario'!$C$11&gt;=36,$AL$23,INDEX($C$23:$AL$23,MAX(1,ROUNDUP(EK826/'🎚️ Escenario'!$C$11,0)))))</f>
        <v>0</v>
      </c>
      <c r="EL827" s="236" t="n">
        <f aca="false" t="array" ref="EL827:EL827">IF(EL826=0,0,IF(EL826/'🎚️ Escenario'!$C$11&gt;=36,$AL$23,INDEX($C$23:$AL$23,MAX(1,ROUNDUP(EL826/'🎚️ Escenario'!$C$11,0)))))</f>
        <v>0</v>
      </c>
      <c r="EM827" s="236" t="n">
        <f aca="false" t="array" ref="EM827:EM827">IF(EM826=0,0,IF(EM826/'🎚️ Escenario'!$C$11&gt;=36,$AL$23,INDEX($C$23:$AL$23,MAX(1,ROUNDUP(EM826/'🎚️ Escenario'!$C$11,0)))))</f>
        <v>0</v>
      </c>
      <c r="EN827" s="236" t="n">
        <f aca="false" t="array" ref="EN827:EN827">IF(EN826=0,0,IF(EN826/'🎚️ Escenario'!$C$11&gt;=36,$AL$23,INDEX($C$23:$AL$23,MAX(1,ROUNDUP(EN826/'🎚️ Escenario'!$C$11,0)))))</f>
        <v>0</v>
      </c>
      <c r="EO827" s="236" t="n">
        <f aca="false" t="array" ref="EO827:EO827">IF(EO826=0,0,IF(EO826/'🎚️ Escenario'!$C$11&gt;=36,$AL$23,INDEX($C$23:$AL$23,MAX(1,ROUNDUP(EO826/'🎚️ Escenario'!$C$11,0)))))</f>
        <v>0</v>
      </c>
      <c r="EP827" s="236" t="n">
        <f aca="false" t="array" ref="EP827:EP827">IF(EP826=0,0,IF(EP826/'🎚️ Escenario'!$C$11&gt;=36,$AL$23,INDEX($C$23:$AL$23,MAX(1,ROUNDUP(EP826/'🎚️ Escenario'!$C$11,0)))))</f>
        <v>0</v>
      </c>
      <c r="EQ827" s="236" t="n">
        <f aca="false" t="array" ref="EQ827:EQ827">IF(EQ826=0,0,IF(EQ826/'🎚️ Escenario'!$C$11&gt;=36,$AL$23,INDEX($C$23:$AL$23,MAX(1,ROUNDUP(EQ826/'🎚️ Escenario'!$C$11,0)))))</f>
        <v>0</v>
      </c>
      <c r="ER827" s="236" t="n">
        <f aca="false" t="array" ref="ER827:ER827">IF(ER826=0,0,IF(ER826/'🎚️ Escenario'!$C$11&gt;=36,$AL$23,INDEX($C$23:$AL$23,MAX(1,ROUNDUP(ER826/'🎚️ Escenario'!$C$11,0)))))</f>
        <v>0</v>
      </c>
      <c r="ES827" s="9" t="n">
        <f aca="false" t="array" ref="ES827:ES827">IF(ES826=0,0,IF(ES826/'🎚️ Escenario'!$C$11&gt;=36,$AL$23,INDEX($C$23:$AL$23,MAX(1,ROUNDUP(ES826/'🎚️ Escenario'!$C$11,0)))))</f>
        <v>0</v>
      </c>
      <c r="ET827" s="9" t="n">
        <f aca="false" t="array" ref="ET827:ET827">IF(ET826=0,0,IF(ET826/'🎚️ Escenario'!$C$11&gt;=36,$AL$23,INDEX($C$23:$AL$23,MAX(1,ROUNDUP(ET826/'🎚️ Escenario'!$C$11,0)))))</f>
        <v>0</v>
      </c>
      <c r="EU827" s="9" t="n">
        <f aca="false" t="array" ref="EU827:EU827">IF(EU826=0,0,IF(EU826/'🎚️ Escenario'!$C$11&gt;=36,$AL$23,INDEX($C$23:$AL$23,MAX(1,ROUNDUP(EU826/'🎚️ Escenario'!$C$11,0)))))</f>
        <v>0.2</v>
      </c>
      <c r="EV827" s="9" t="n">
        <f aca="false" t="array" ref="EV827:EV827">IF(EV826=0,0,IF(EV826/'🎚️ Escenario'!$C$11&gt;=36,$AL$23,INDEX($C$23:$AL$23,MAX(1,ROUNDUP(EV826/'🎚️ Escenario'!$C$11,0)))))</f>
        <v>0.22</v>
      </c>
      <c r="EW827" s="9" t="n">
        <f aca="false" t="array" ref="EW827:EW827">IF(EW826=0,0,IF(EW826/'🎚️ Escenario'!$C$11&gt;=36,$AL$23,INDEX($C$23:$AL$23,MAX(1,ROUNDUP(EW826/'🎚️ Escenario'!$C$11,0)))))</f>
        <v>0.24</v>
      </c>
      <c r="EX827" s="9" t="n">
        <f aca="false" t="array" ref="EX827:EX827">IF(EX826=0,0,IF(EX826/'🎚️ Escenario'!$C$11&gt;=36,$AL$23,INDEX($C$23:$AL$23,MAX(1,ROUNDUP(EX826/'🎚️ Escenario'!$C$11,0)))))</f>
        <v>0.27</v>
      </c>
      <c r="EY827" s="9" t="n">
        <f aca="false" t="array" ref="EY827:EY827">IF(EY826=0,0,IF(EY826/'🎚️ Escenario'!$C$11&gt;=36,$AL$23,INDEX($C$23:$AL$23,MAX(1,ROUNDUP(EY826/'🎚️ Escenario'!$C$11,0)))))</f>
        <v>0.27</v>
      </c>
      <c r="EZ827" s="9" t="n">
        <f aca="false" t="array" ref="EZ827:EZ827">IF(EZ826=0,0,IF(EZ826/'🎚️ Escenario'!$C$11&gt;=36,$AL$23,INDEX($C$23:$AL$23,MAX(1,ROUNDUP(EZ826/'🎚️ Escenario'!$C$11,0)))))</f>
        <v>0.31</v>
      </c>
      <c r="FA827" s="9" t="n">
        <f aca="false" t="array" ref="FA827:FA827">IF(FA826=0,0,IF(FA826/'🎚️ Escenario'!$C$11&gt;=36,$AL$23,INDEX($C$23:$AL$23,MAX(1,ROUNDUP(FA826/'🎚️ Escenario'!$C$11,0)))))</f>
        <v>0.35</v>
      </c>
      <c r="FB827" s="9" t="n">
        <f aca="false" t="array" ref="FB827:FB827">IF(FB826=0,0,IF(FB826/'🎚️ Escenario'!$C$11&gt;=36,$AL$23,INDEX($C$23:$AL$23,MAX(1,ROUNDUP(FB826/'🎚️ Escenario'!$C$11,0)))))</f>
        <v>0.39</v>
      </c>
      <c r="FC827" s="9" t="n">
        <f aca="false" t="array" ref="FC827:FC827">IF(FC826=0,0,IF(FC826/'🎚️ Escenario'!$C$11&gt;=36,$AL$23,INDEX($C$23:$AL$23,MAX(1,ROUNDUP(FC826/'🎚️ Escenario'!$C$11,0)))))</f>
        <v>0.44</v>
      </c>
      <c r="FD827" s="9" t="n">
        <f aca="false" t="array" ref="FD827:FD827">IF(FD826=0,0,IF(FD826/'🎚️ Escenario'!$C$11&gt;=36,$AL$23,INDEX($C$23:$AL$23,MAX(1,ROUNDUP(FD826/'🎚️ Escenario'!$C$11,0)))))</f>
        <v>0.44</v>
      </c>
      <c r="FE827" s="9" t="n">
        <f aca="false" t="array" ref="FE827:FE827">IF(FE826=0,0,IF(FE826/'🎚️ Escenario'!$C$11&gt;=36,$AL$23,INDEX($C$23:$AL$23,MAX(1,ROUNDUP(FE826/'🎚️ Escenario'!$C$11,0)))))</f>
        <v>0.48</v>
      </c>
      <c r="FF827" s="9" t="n">
        <f aca="false" t="array" ref="FF827:FF827">IF(FF826=0,0,IF(FF826/'🎚️ Escenario'!$C$11&gt;=36,$AL$23,INDEX($C$23:$AL$23,MAX(1,ROUNDUP(FF826/'🎚️ Escenario'!$C$11,0)))))</f>
        <v>0.52</v>
      </c>
      <c r="FG827" s="9" t="n">
        <f aca="false" t="array" ref="FG827:FG827">IF(FG826=0,0,IF(FG826/'🎚️ Escenario'!$C$11&gt;=36,$AL$23,INDEX($C$23:$AL$23,MAX(1,ROUNDUP(FG826/'🎚️ Escenario'!$C$11,0)))))</f>
        <v>0.56</v>
      </c>
      <c r="FH827" s="9" t="n">
        <f aca="false" t="array" ref="FH827:FH827">IF(FH826=0,0,IF(FH826/'🎚️ Escenario'!$C$11&gt;=36,$AL$23,INDEX($C$23:$AL$23,MAX(1,ROUNDUP(FH826/'🎚️ Escenario'!$C$11,0)))))</f>
        <v>0.6</v>
      </c>
      <c r="FI827" s="9" t="n">
        <f aca="false" t="array" ref="FI827:FI827">IF(FI826=0,0,IF(FI826/'🎚️ Escenario'!$C$11&gt;=36,$AL$23,INDEX($C$23:$AL$23,MAX(1,ROUNDUP(FI826/'🎚️ Escenario'!$C$11,0)))))</f>
        <v>0.6</v>
      </c>
      <c r="FJ827" s="9" t="n">
        <f aca="false" t="array" ref="FJ827:FJ827">IF(FJ826=0,0,IF(FJ826/'🎚️ Escenario'!$C$11&gt;=36,$AL$23,INDEX($C$23:$AL$23,MAX(1,ROUNDUP(FJ826/'🎚️ Escenario'!$C$11,0)))))</f>
        <v>0.63</v>
      </c>
      <c r="FK827" s="9" t="n">
        <f aca="false" t="array" ref="FK827:FK827">IF(FK826=0,0,IF(FK826/'🎚️ Escenario'!$C$11&gt;=36,$AL$23,INDEX($C$23:$AL$23,MAX(1,ROUNDUP(FK826/'🎚️ Escenario'!$C$11,0)))))</f>
        <v>0.66</v>
      </c>
      <c r="FL827" s="9" t="n">
        <f aca="false" t="array" ref="FL827:FL827">IF(FL826=0,0,IF(FL826/'🎚️ Escenario'!$C$11&gt;=36,$AL$23,INDEX($C$23:$AL$23,MAX(1,ROUNDUP(FL826/'🎚️ Escenario'!$C$11,0)))))</f>
        <v>0.69</v>
      </c>
      <c r="FM827" s="9" t="n">
        <f aca="false" t="array" ref="FM827:FM827">IF(FM826=0,0,IF(FM826/'🎚️ Escenario'!$C$11&gt;=36,$AL$23,INDEX($C$23:$AL$23,MAX(1,ROUNDUP(FM826/'🎚️ Escenario'!$C$11,0)))))</f>
        <v>0.71</v>
      </c>
      <c r="FN827" s="9" t="n">
        <f aca="false" t="array" ref="FN827:FN827">IF(FN826=0,0,IF(FN826/'🎚️ Escenario'!$C$11&gt;=36,$AL$23,INDEX($C$23:$AL$23,MAX(1,ROUNDUP(FN826/'🎚️ Escenario'!$C$11,0)))))</f>
        <v>0.71</v>
      </c>
      <c r="FO827" s="9" t="n">
        <f aca="false" t="array" ref="FO827:FO827">IF(FO826=0,0,IF(FO826/'🎚️ Escenario'!$C$11&gt;=36,$AL$23,INDEX($C$23:$AL$23,MAX(1,ROUNDUP(FO826/'🎚️ Escenario'!$C$11,0)))))</f>
        <v>0.73</v>
      </c>
      <c r="FP827" s="9" t="n">
        <f aca="false" t="array" ref="FP827:FP827">IF(FP826=0,0,IF(FP826/'🎚️ Escenario'!$C$11&gt;=36,$AL$23,INDEX($C$23:$AL$23,MAX(1,ROUNDUP(FP826/'🎚️ Escenario'!$C$11,0)))))</f>
        <v>0.75</v>
      </c>
    </row>
    <row r="828" customFormat="false" ht="15" hidden="false" customHeight="false" outlineLevel="2" collapsed="false">
      <c r="B828" s="9" t="s">
        <v>875</v>
      </c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237" t="n">
        <f aca="false">IF(AC826=0,0,IF(AC826&lt;=12*'🎚️ Escenario'!$C$11,1,1+$C$6))</f>
        <v>0</v>
      </c>
      <c r="AD828" s="237" t="n">
        <f aca="false">IF(AD826=0,0,IF(AD826&lt;=12*'🎚️ Escenario'!$C$11,1,1+$C$6))</f>
        <v>0</v>
      </c>
      <c r="AE828" s="237" t="n">
        <f aca="false">IF(AE826=0,0,IF(AE826&lt;=12*'🎚️ Escenario'!$C$11,1,1+$C$6))</f>
        <v>0</v>
      </c>
      <c r="AF828" s="237" t="n">
        <f aca="false">IF(AF826=0,0,IF(AF826&lt;=12*'🎚️ Escenario'!$C$11,1,1+$C$6))</f>
        <v>0</v>
      </c>
      <c r="AG828" s="237" t="n">
        <f aca="false">IF(AG826=0,0,IF(AG826&lt;=12*'🎚️ Escenario'!$C$11,1,1+$C$6))</f>
        <v>0</v>
      </c>
      <c r="AH828" s="237" t="n">
        <f aca="false">IF(AH826=0,0,IF(AH826&lt;=12*'🎚️ Escenario'!$C$11,1,1+$C$6))</f>
        <v>0</v>
      </c>
      <c r="AI828" s="237" t="n">
        <f aca="false">IF(AI826=0,0,IF(AI826&lt;=12*'🎚️ Escenario'!$C$11,1,1+$C$6))</f>
        <v>0</v>
      </c>
      <c r="AJ828" s="237" t="n">
        <f aca="false">IF(AJ826=0,0,IF(AJ826&lt;=12*'🎚️ Escenario'!$C$11,1,1+$C$6))</f>
        <v>0</v>
      </c>
      <c r="AK828" s="237" t="n">
        <f aca="false">IF(AK826=0,0,IF(AK826&lt;=12*'🎚️ Escenario'!$C$11,1,1+$C$6))</f>
        <v>0</v>
      </c>
      <c r="AL828" s="237" t="n">
        <f aca="false">IF(AL826=0,0,IF(AL826&lt;=12*'🎚️ Escenario'!$C$11,1,1+$C$6))</f>
        <v>0</v>
      </c>
      <c r="AM828" s="237" t="n">
        <f aca="false">IF(AM826=0,0,IF(AM826&lt;=12*'🎚️ Escenario'!$C$11,1,1+$C$6))</f>
        <v>0</v>
      </c>
      <c r="AN828" s="237" t="n">
        <f aca="false">IF(AN826=0,0,IF(AN826&lt;=12*'🎚️ Escenario'!$C$11,1,1+$C$6))</f>
        <v>0</v>
      </c>
      <c r="AO828" s="237" t="n">
        <f aca="false">IF(AO826=0,0,IF(AO826&lt;=12*'🎚️ Escenario'!$C$11,1,1+$C$6))</f>
        <v>0</v>
      </c>
      <c r="AP828" s="237" t="n">
        <f aca="false">IF(AP826=0,0,IF(AP826&lt;=12*'🎚️ Escenario'!$C$11,1,1+$C$6))</f>
        <v>0</v>
      </c>
      <c r="AQ828" s="237" t="n">
        <f aca="false">IF(AQ826=0,0,IF(AQ826&lt;=12*'🎚️ Escenario'!$C$11,1,1+$C$6))</f>
        <v>0</v>
      </c>
      <c r="AR828" s="237" t="n">
        <f aca="false">IF(AR826=0,0,IF(AR826&lt;=12*'🎚️ Escenario'!$C$11,1,1+$C$6))</f>
        <v>0</v>
      </c>
      <c r="AS828" s="237" t="n">
        <f aca="false">IF(AS826=0,0,IF(AS826&lt;=12*'🎚️ Escenario'!$C$11,1,1+$C$6))</f>
        <v>0</v>
      </c>
      <c r="AT828" s="237" t="n">
        <f aca="false">IF(AT826=0,0,IF(AT826&lt;=12*'🎚️ Escenario'!$C$11,1,1+$C$6))</f>
        <v>0</v>
      </c>
      <c r="AU828" s="237" t="n">
        <f aca="false">IF(AU826=0,0,IF(AU826&lt;=12*'🎚️ Escenario'!$C$11,1,1+$C$6))</f>
        <v>0</v>
      </c>
      <c r="AV828" s="237" t="n">
        <f aca="false">IF(AV826=0,0,IF(AV826&lt;=12*'🎚️ Escenario'!$C$11,1,1+$C$6))</f>
        <v>0</v>
      </c>
      <c r="AW828" s="237" t="n">
        <f aca="false">IF(AW826=0,0,IF(AW826&lt;=12*'🎚️ Escenario'!$C$11,1,1+$C$6))</f>
        <v>0</v>
      </c>
      <c r="AX828" s="237" t="n">
        <f aca="false">IF(AX826=0,0,IF(AX826&lt;=12*'🎚️ Escenario'!$C$11,1,1+$C$6))</f>
        <v>0</v>
      </c>
      <c r="AY828" s="237" t="n">
        <f aca="false">IF(AY826=0,0,IF(AY826&lt;=12*'🎚️ Escenario'!$C$11,1,1+$C$6))</f>
        <v>0</v>
      </c>
      <c r="AZ828" s="237" t="n">
        <f aca="false">IF(AZ826=0,0,IF(AZ826&lt;=12*'🎚️ Escenario'!$C$11,1,1+$C$6))</f>
        <v>0</v>
      </c>
      <c r="BA828" s="237" t="n">
        <f aca="false">IF(BA826=0,0,IF(BA826&lt;=12*'🎚️ Escenario'!$C$11,1,1+$C$6))</f>
        <v>0</v>
      </c>
      <c r="BB828" s="237" t="n">
        <f aca="false">IF(BB826=0,0,IF(BB826&lt;=12*'🎚️ Escenario'!$C$11,1,1+$C$6))</f>
        <v>0</v>
      </c>
      <c r="BC828" s="237" t="n">
        <f aca="false">IF(BC826=0,0,IF(BC826&lt;=12*'🎚️ Escenario'!$C$11,1,1+$C$6))</f>
        <v>0</v>
      </c>
      <c r="BD828" s="237" t="n">
        <f aca="false">IF(BD826=0,0,IF(BD826&lt;=12*'🎚️ Escenario'!$C$11,1,1+$C$6))</f>
        <v>0</v>
      </c>
      <c r="BE828" s="237" t="n">
        <f aca="false">IF(BE826=0,0,IF(BE826&lt;=12*'🎚️ Escenario'!$C$11,1,1+$C$6))</f>
        <v>0</v>
      </c>
      <c r="BF828" s="237" t="n">
        <f aca="false">IF(BF826=0,0,IF(BF826&lt;=12*'🎚️ Escenario'!$C$11,1,1+$C$6))</f>
        <v>0</v>
      </c>
      <c r="BG828" s="237" t="n">
        <f aca="false">IF(BG826=0,0,IF(BG826&lt;=12*'🎚️ Escenario'!$C$11,1,1+$C$6))</f>
        <v>0</v>
      </c>
      <c r="BH828" s="237" t="n">
        <f aca="false">IF(BH826=0,0,IF(BH826&lt;=12*'🎚️ Escenario'!$C$11,1,1+$C$6))</f>
        <v>0</v>
      </c>
      <c r="BI828" s="237" t="n">
        <f aca="false">IF(BI826=0,0,IF(BI826&lt;=12*'🎚️ Escenario'!$C$11,1,1+$C$6))</f>
        <v>0</v>
      </c>
      <c r="BJ828" s="237" t="n">
        <f aca="false">IF(BJ826=0,0,IF(BJ826&lt;=12*'🎚️ Escenario'!$C$11,1,1+$C$6))</f>
        <v>0</v>
      </c>
      <c r="BK828" s="237" t="n">
        <f aca="false">IF(BK826=0,0,IF(BK826&lt;=12*'🎚️ Escenario'!$C$11,1,1+$C$6))</f>
        <v>0</v>
      </c>
      <c r="BL828" s="237" t="n">
        <f aca="false">IF(BL826=0,0,IF(BL826&lt;=12*'🎚️ Escenario'!$C$11,1,1+$C$6))</f>
        <v>0</v>
      </c>
      <c r="BM828" s="237" t="n">
        <f aca="false">IF(BM826=0,0,IF(BM826&lt;=12*'🎚️ Escenario'!$C$11,1,1+$C$6))</f>
        <v>0</v>
      </c>
      <c r="BN828" s="237" t="n">
        <f aca="false">IF(BN826=0,0,IF(BN826&lt;=12*'🎚️ Escenario'!$C$11,1,1+$C$6))</f>
        <v>0</v>
      </c>
      <c r="BO828" s="237" t="n">
        <f aca="false">IF(BO826=0,0,IF(BO826&lt;=12*'🎚️ Escenario'!$C$11,1,1+$C$6))</f>
        <v>0</v>
      </c>
      <c r="BP828" s="237" t="n">
        <f aca="false">IF(BP826=0,0,IF(BP826&lt;=12*'🎚️ Escenario'!$C$11,1,1+$C$6))</f>
        <v>0</v>
      </c>
      <c r="BQ828" s="237" t="n">
        <f aca="false">IF(BQ826=0,0,IF(BQ826&lt;=12*'🎚️ Escenario'!$C$11,1,1+$C$6))</f>
        <v>0</v>
      </c>
      <c r="BR828" s="237" t="n">
        <f aca="false">IF(BR826=0,0,IF(BR826&lt;=12*'🎚️ Escenario'!$C$11,1,1+$C$6))</f>
        <v>0</v>
      </c>
      <c r="BS828" s="237" t="n">
        <f aca="false">IF(BS826=0,0,IF(BS826&lt;=12*'🎚️ Escenario'!$C$11,1,1+$C$6))</f>
        <v>0</v>
      </c>
      <c r="BT828" s="237" t="n">
        <f aca="false">IF(BT826=0,0,IF(BT826&lt;=12*'🎚️ Escenario'!$C$11,1,1+$C$6))</f>
        <v>0</v>
      </c>
      <c r="BU828" s="237" t="n">
        <f aca="false">IF(BU826=0,0,IF(BU826&lt;=12*'🎚️ Escenario'!$C$11,1,1+$C$6))</f>
        <v>0</v>
      </c>
      <c r="BV828" s="237" t="n">
        <f aca="false">IF(BV826=0,0,IF(BV826&lt;=12*'🎚️ Escenario'!$C$11,1,1+$C$6))</f>
        <v>0</v>
      </c>
      <c r="BW828" s="237" t="n">
        <f aca="false">IF(BW826=0,0,IF(BW826&lt;=12*'🎚️ Escenario'!$C$11,1,1+$C$6))</f>
        <v>0</v>
      </c>
      <c r="BX828" s="237" t="n">
        <f aca="false">IF(BX826=0,0,IF(BX826&lt;=12*'🎚️ Escenario'!$C$11,1,1+$C$6))</f>
        <v>0</v>
      </c>
      <c r="BY828" s="237" t="n">
        <f aca="false">IF(BY826=0,0,IF(BY826&lt;=12*'🎚️ Escenario'!$C$11,1,1+$C$6))</f>
        <v>0</v>
      </c>
      <c r="BZ828" s="237" t="n">
        <f aca="false">IF(BZ826=0,0,IF(BZ826&lt;=12*'🎚️ Escenario'!$C$11,1,1+$C$6))</f>
        <v>0</v>
      </c>
      <c r="CA828" s="237" t="n">
        <f aca="false">IF(CA826=0,0,IF(CA826&lt;=12*'🎚️ Escenario'!$C$11,1,1+$C$6))</f>
        <v>0</v>
      </c>
      <c r="CB828" s="237" t="n">
        <f aca="false">IF(CB826=0,0,IF(CB826&lt;=12*'🎚️ Escenario'!$C$11,1,1+$C$6))</f>
        <v>0</v>
      </c>
      <c r="CC828" s="237" t="n">
        <f aca="false">IF(CC826=0,0,IF(CC826&lt;=12*'🎚️ Escenario'!$C$11,1,1+$C$6))</f>
        <v>0</v>
      </c>
      <c r="CD828" s="237" t="n">
        <f aca="false">IF(CD826=0,0,IF(CD826&lt;=12*'🎚️ Escenario'!$C$11,1,1+$C$6))</f>
        <v>0</v>
      </c>
      <c r="CE828" s="237" t="n">
        <f aca="false">IF(CE826=0,0,IF(CE826&lt;=12*'🎚️ Escenario'!$C$11,1,1+$C$6))</f>
        <v>0</v>
      </c>
      <c r="CF828" s="237" t="n">
        <f aca="false">IF(CF826=0,0,IF(CF826&lt;=12*'🎚️ Escenario'!$C$11,1,1+$C$6))</f>
        <v>0</v>
      </c>
      <c r="CG828" s="237" t="n">
        <f aca="false">IF(CG826=0,0,IF(CG826&lt;=12*'🎚️ Escenario'!$C$11,1,1+$C$6))</f>
        <v>0</v>
      </c>
      <c r="CH828" s="237" t="n">
        <f aca="false">IF(CH826=0,0,IF(CH826&lt;=12*'🎚️ Escenario'!$C$11,1,1+$C$6))</f>
        <v>0</v>
      </c>
      <c r="CI828" s="237" t="n">
        <f aca="false">IF(CI826=0,0,IF(CI826&lt;=12*'🎚️ Escenario'!$C$11,1,1+$C$6))</f>
        <v>0</v>
      </c>
      <c r="CJ828" s="237" t="n">
        <f aca="false">IF(CJ826=0,0,IF(CJ826&lt;=12*'🎚️ Escenario'!$C$11,1,1+$C$6))</f>
        <v>0</v>
      </c>
      <c r="CK828" s="237" t="n">
        <f aca="false">IF(CK826=0,0,IF(CK826&lt;=12*'🎚️ Escenario'!$C$11,1,1+$C$6))</f>
        <v>0</v>
      </c>
      <c r="CL828" s="237" t="n">
        <f aca="false">IF(CL826=0,0,IF(CL826&lt;=12*'🎚️ Escenario'!$C$11,1,1+$C$6))</f>
        <v>0</v>
      </c>
      <c r="CM828" s="237" t="n">
        <f aca="false">IF(CM826=0,0,IF(CM826&lt;=12*'🎚️ Escenario'!$C$11,1,1+$C$6))</f>
        <v>0</v>
      </c>
      <c r="CN828" s="237" t="n">
        <f aca="false">IF(CN826=0,0,IF(CN826&lt;=12*'🎚️ Escenario'!$C$11,1,1+$C$6))</f>
        <v>0</v>
      </c>
      <c r="CO828" s="237" t="n">
        <f aca="false">IF(CO826=0,0,IF(CO826&lt;=12*'🎚️ Escenario'!$C$11,1,1+$C$6))</f>
        <v>0</v>
      </c>
      <c r="CP828" s="237" t="n">
        <f aca="false">IF(CP826=0,0,IF(CP826&lt;=12*'🎚️ Escenario'!$C$11,1,1+$C$6))</f>
        <v>0</v>
      </c>
      <c r="CQ828" s="237" t="n">
        <f aca="false">IF(CQ826=0,0,IF(CQ826&lt;=12*'🎚️ Escenario'!$C$11,1,1+$C$6))</f>
        <v>0</v>
      </c>
      <c r="CR828" s="237" t="n">
        <f aca="false">IF(CR826=0,0,IF(CR826&lt;=12*'🎚️ Escenario'!$C$11,1,1+$C$6))</f>
        <v>0</v>
      </c>
      <c r="CS828" s="237" t="n">
        <f aca="false">IF(CS826=0,0,IF(CS826&lt;=12*'🎚️ Escenario'!$C$11,1,1+$C$6))</f>
        <v>0</v>
      </c>
      <c r="CT828" s="237" t="n">
        <f aca="false">IF(CT826=0,0,IF(CT826&lt;=12*'🎚️ Escenario'!$C$11,1,1+$C$6))</f>
        <v>0</v>
      </c>
      <c r="CU828" s="237" t="n">
        <f aca="false">IF(CU826=0,0,IF(CU826&lt;=12*'🎚️ Escenario'!$C$11,1,1+$C$6))</f>
        <v>0</v>
      </c>
      <c r="CV828" s="237" t="n">
        <f aca="false">IF(CV826=0,0,IF(CV826&lt;=12*'🎚️ Escenario'!$C$11,1,1+$C$6))</f>
        <v>0</v>
      </c>
      <c r="CW828" s="237" t="n">
        <f aca="false">IF(CW826=0,0,IF(CW826&lt;=12*'🎚️ Escenario'!$C$11,1,1+$C$6))</f>
        <v>0</v>
      </c>
      <c r="CX828" s="237" t="n">
        <f aca="false">IF(CX826=0,0,IF(CX826&lt;=12*'🎚️ Escenario'!$C$11,1,1+$C$6))</f>
        <v>0</v>
      </c>
      <c r="CY828" s="237" t="n">
        <f aca="false">IF(CY826=0,0,IF(CY826&lt;=12*'🎚️ Escenario'!$C$11,1,1+$C$6))</f>
        <v>0</v>
      </c>
      <c r="CZ828" s="237" t="n">
        <f aca="false">IF(CZ826=0,0,IF(CZ826&lt;=12*'🎚️ Escenario'!$C$11,1,1+$C$6))</f>
        <v>0</v>
      </c>
      <c r="DA828" s="237" t="n">
        <f aca="false">IF(DA826=0,0,IF(DA826&lt;=12*'🎚️ Escenario'!$C$11,1,1+$C$6))</f>
        <v>0</v>
      </c>
      <c r="DB828" s="237" t="n">
        <f aca="false">IF(DB826=0,0,IF(DB826&lt;=12*'🎚️ Escenario'!$C$11,1,1+$C$6))</f>
        <v>0</v>
      </c>
      <c r="DC828" s="237" t="n">
        <f aca="false">IF(DC826=0,0,IF(DC826&lt;=12*'🎚️ Escenario'!$C$11,1,1+$C$6))</f>
        <v>0</v>
      </c>
      <c r="DD828" s="237" t="n">
        <f aca="false">IF(DD826=0,0,IF(DD826&lt;=12*'🎚️ Escenario'!$C$11,1,1+$C$6))</f>
        <v>0</v>
      </c>
      <c r="DE828" s="237" t="n">
        <f aca="false">IF(DE826=0,0,IF(DE826&lt;=12*'🎚️ Escenario'!$C$11,1,1+$C$6))</f>
        <v>0</v>
      </c>
      <c r="DF828" s="237" t="n">
        <f aca="false">IF(DF826=0,0,IF(DF826&lt;=12*'🎚️ Escenario'!$C$11,1,1+$C$6))</f>
        <v>0</v>
      </c>
      <c r="DG828" s="237" t="n">
        <f aca="false">IF(DG826=0,0,IF(DG826&lt;=12*'🎚️ Escenario'!$C$11,1,1+$C$6))</f>
        <v>0</v>
      </c>
      <c r="DH828" s="237" t="n">
        <f aca="false">IF(DH826=0,0,IF(DH826&lt;=12*'🎚️ Escenario'!$C$11,1,1+$C$6))</f>
        <v>0</v>
      </c>
      <c r="DI828" s="237" t="n">
        <f aca="false">IF(DI826=0,0,IF(DI826&lt;=12*'🎚️ Escenario'!$C$11,1,1+$C$6))</f>
        <v>0</v>
      </c>
      <c r="DJ828" s="237" t="n">
        <f aca="false">IF(DJ826=0,0,IF(DJ826&lt;=12*'🎚️ Escenario'!$C$11,1,1+$C$6))</f>
        <v>0</v>
      </c>
      <c r="DK828" s="237" t="n">
        <f aca="false">IF(DK826=0,0,IF(DK826&lt;=12*'🎚️ Escenario'!$C$11,1,1+$C$6))</f>
        <v>0</v>
      </c>
      <c r="DL828" s="237" t="n">
        <f aca="false">IF(DL826=0,0,IF(DL826&lt;=12*'🎚️ Escenario'!$C$11,1,1+$C$6))</f>
        <v>0</v>
      </c>
      <c r="DM828" s="237" t="n">
        <f aca="false">IF(DM826=0,0,IF(DM826&lt;=12*'🎚️ Escenario'!$C$11,1,1+$C$6))</f>
        <v>0</v>
      </c>
      <c r="DN828" s="237" t="n">
        <f aca="false">IF(DN826=0,0,IF(DN826&lt;=12*'🎚️ Escenario'!$C$11,1,1+$C$6))</f>
        <v>0</v>
      </c>
      <c r="DO828" s="237" t="n">
        <f aca="false">IF(DO826=0,0,IF(DO826&lt;=12*'🎚️ Escenario'!$C$11,1,1+$C$6))</f>
        <v>0</v>
      </c>
      <c r="DP828" s="237" t="n">
        <f aca="false">IF(DP826=0,0,IF(DP826&lt;=12*'🎚️ Escenario'!$C$11,1,1+$C$6))</f>
        <v>0</v>
      </c>
      <c r="DQ828" s="237" t="n">
        <f aca="false">IF(DQ826=0,0,IF(DQ826&lt;=12*'🎚️ Escenario'!$C$11,1,1+$C$6))</f>
        <v>0</v>
      </c>
      <c r="DR828" s="237" t="n">
        <f aca="false">IF(DR826=0,0,IF(DR826&lt;=12*'🎚️ Escenario'!$C$11,1,1+$C$6))</f>
        <v>0</v>
      </c>
      <c r="DS828" s="237" t="n">
        <f aca="false">IF(DS826=0,0,IF(DS826&lt;=12*'🎚️ Escenario'!$C$11,1,1+$C$6))</f>
        <v>0</v>
      </c>
      <c r="DT828" s="237" t="n">
        <f aca="false">IF(DT826=0,0,IF(DT826&lt;=12*'🎚️ Escenario'!$C$11,1,1+$C$6))</f>
        <v>0</v>
      </c>
      <c r="DU828" s="237" t="n">
        <f aca="false">IF(DU826=0,0,IF(DU826&lt;=12*'🎚️ Escenario'!$C$11,1,1+$C$6))</f>
        <v>0</v>
      </c>
      <c r="DV828" s="237" t="n">
        <f aca="false">IF(DV826=0,0,IF(DV826&lt;=12*'🎚️ Escenario'!$C$11,1,1+$C$6))</f>
        <v>0</v>
      </c>
      <c r="DW828" s="237" t="n">
        <f aca="false">IF(DW826=0,0,IF(DW826&lt;=12*'🎚️ Escenario'!$C$11,1,1+$C$6))</f>
        <v>0</v>
      </c>
      <c r="DX828" s="237" t="n">
        <f aca="false">IF(DX826=0,0,IF(DX826&lt;=12*'🎚️ Escenario'!$C$11,1,1+$C$6))</f>
        <v>0</v>
      </c>
      <c r="DY828" s="237" t="n">
        <f aca="false">IF(DY826=0,0,IF(DY826&lt;=12*'🎚️ Escenario'!$C$11,1,1+$C$6))</f>
        <v>0</v>
      </c>
      <c r="DZ828" s="237" t="n">
        <f aca="false">IF(DZ826=0,0,IF(DZ826&lt;=12*'🎚️ Escenario'!$C$11,1,1+$C$6))</f>
        <v>0</v>
      </c>
      <c r="EA828" s="237" t="n">
        <f aca="false">IF(EA826=0,0,IF(EA826&lt;=12*'🎚️ Escenario'!$C$11,1,1+$C$6))</f>
        <v>0</v>
      </c>
      <c r="EB828" s="237" t="n">
        <f aca="false">IF(EB826=0,0,IF(EB826&lt;=12*'🎚️ Escenario'!$C$11,1,1+$C$6))</f>
        <v>0</v>
      </c>
      <c r="EC828" s="237" t="n">
        <f aca="false">IF(EC826=0,0,IF(EC826&lt;=12*'🎚️ Escenario'!$C$11,1,1+$C$6))</f>
        <v>0</v>
      </c>
      <c r="ED828" s="237" t="n">
        <f aca="false">IF(ED826=0,0,IF(ED826&lt;=12*'🎚️ Escenario'!$C$11,1,1+$C$6))</f>
        <v>0</v>
      </c>
      <c r="EE828" s="237" t="n">
        <f aca="false">IF(EE826=0,0,IF(EE826&lt;=12*'🎚️ Escenario'!$C$11,1,1+$C$6))</f>
        <v>0</v>
      </c>
      <c r="EF828" s="237" t="n">
        <f aca="false">IF(EF826=0,0,IF(EF826&lt;=12*'🎚️ Escenario'!$C$11,1,1+$C$6))</f>
        <v>0</v>
      </c>
      <c r="EG828" s="237" t="n">
        <f aca="false">IF(EG826=0,0,IF(EG826&lt;=12*'🎚️ Escenario'!$C$11,1,1+$C$6))</f>
        <v>0</v>
      </c>
      <c r="EH828" s="237" t="n">
        <f aca="false">IF(EH826=0,0,IF(EH826&lt;=12*'🎚️ Escenario'!$C$11,1,1+$C$6))</f>
        <v>0</v>
      </c>
      <c r="EI828" s="237" t="n">
        <f aca="false">IF(EI826=0,0,IF(EI826&lt;=12*'🎚️ Escenario'!$C$11,1,1+$C$6))</f>
        <v>0</v>
      </c>
      <c r="EJ828" s="237" t="n">
        <f aca="false">IF(EJ826=0,0,IF(EJ826&lt;=12*'🎚️ Escenario'!$C$11,1,1+$C$6))</f>
        <v>0</v>
      </c>
      <c r="EK828" s="237" t="n">
        <f aca="false">IF(EK826=0,0,IF(EK826&lt;=12*'🎚️ Escenario'!$C$11,1,1+$C$6))</f>
        <v>0</v>
      </c>
      <c r="EL828" s="237" t="n">
        <f aca="false">IF(EL826=0,0,IF(EL826&lt;=12*'🎚️ Escenario'!$C$11,1,1+$C$6))</f>
        <v>0</v>
      </c>
      <c r="EM828" s="237" t="n">
        <f aca="false">IF(EM826=0,0,IF(EM826&lt;=12*'🎚️ Escenario'!$C$11,1,1+$C$6))</f>
        <v>0</v>
      </c>
      <c r="EN828" s="237" t="n">
        <f aca="false">IF(EN826=0,0,IF(EN826&lt;=12*'🎚️ Escenario'!$C$11,1,1+$C$6))</f>
        <v>0</v>
      </c>
      <c r="EO828" s="237" t="n">
        <f aca="false">IF(EO826=0,0,IF(EO826&lt;=12*'🎚️ Escenario'!$C$11,1,1+$C$6))</f>
        <v>0</v>
      </c>
      <c r="EP828" s="237" t="n">
        <f aca="false">IF(EP826=0,0,IF(EP826&lt;=12*'🎚️ Escenario'!$C$11,1,1+$C$6))</f>
        <v>0</v>
      </c>
      <c r="EQ828" s="237" t="n">
        <f aca="false">IF(EQ826=0,0,IF(EQ826&lt;=12*'🎚️ Escenario'!$C$11,1,1+$C$6))</f>
        <v>0</v>
      </c>
      <c r="ER828" s="237" t="n">
        <f aca="false">IF(ER826=0,0,IF(ER826&lt;=12*'🎚️ Escenario'!$C$11,1,1+$C$6))</f>
        <v>0</v>
      </c>
      <c r="ES828" s="9" t="n">
        <f aca="false">IF(ES826=0,0,IF(ES826&lt;=12*'🎚️ Escenario'!$C$11,1,1+$C$6))</f>
        <v>0</v>
      </c>
      <c r="ET828" s="9" t="n">
        <f aca="false">IF(ET826=0,0,IF(ET826&lt;=12*'🎚️ Escenario'!$C$11,1,1+$C$6))</f>
        <v>0</v>
      </c>
      <c r="EU828" s="9" t="n">
        <f aca="false">IF(EU826=0,0,IF(EU826&lt;=12*'🎚️ Escenario'!$C$11,1,1+$C$6))</f>
        <v>1</v>
      </c>
      <c r="EV828" s="9" t="n">
        <f aca="false">IF(EV826=0,0,IF(EV826&lt;=12*'🎚️ Escenario'!$C$11,1,1+$C$6))</f>
        <v>1</v>
      </c>
      <c r="EW828" s="9" t="n">
        <f aca="false">IF(EW826=0,0,IF(EW826&lt;=12*'🎚️ Escenario'!$C$11,1,1+$C$6))</f>
        <v>1</v>
      </c>
      <c r="EX828" s="9" t="n">
        <f aca="false">IF(EX826=0,0,IF(EX826&lt;=12*'🎚️ Escenario'!$C$11,1,1+$C$6))</f>
        <v>1</v>
      </c>
      <c r="EY828" s="9" t="n">
        <f aca="false">IF(EY826=0,0,IF(EY826&lt;=12*'🎚️ Escenario'!$C$11,1,1+$C$6))</f>
        <v>1</v>
      </c>
      <c r="EZ828" s="9" t="n">
        <f aca="false">IF(EZ826=0,0,IF(EZ826&lt;=12*'🎚️ Escenario'!$C$11,1,1+$C$6))</f>
        <v>1</v>
      </c>
      <c r="FA828" s="9" t="n">
        <f aca="false">IF(FA826=0,0,IF(FA826&lt;=12*'🎚️ Escenario'!$C$11,1,1+$C$6))</f>
        <v>1</v>
      </c>
      <c r="FB828" s="9" t="n">
        <f aca="false">IF(FB826=0,0,IF(FB826&lt;=12*'🎚️ Escenario'!$C$11,1,1+$C$6))</f>
        <v>1</v>
      </c>
      <c r="FC828" s="9" t="n">
        <f aca="false">IF(FC826=0,0,IF(FC826&lt;=12*'🎚️ Escenario'!$C$11,1,1+$C$6))</f>
        <v>1</v>
      </c>
      <c r="FD828" s="9" t="n">
        <f aca="false">IF(FD826=0,0,IF(FD826&lt;=12*'🎚️ Escenario'!$C$11,1,1+$C$6))</f>
        <v>1</v>
      </c>
      <c r="FE828" s="9" t="n">
        <f aca="false">IF(FE826=0,0,IF(FE826&lt;=12*'🎚️ Escenario'!$C$11,1,1+$C$6))</f>
        <v>1</v>
      </c>
      <c r="FF828" s="9" t="n">
        <f aca="false">IF(FF826=0,0,IF(FF826&lt;=12*'🎚️ Escenario'!$C$11,1,1+$C$6))</f>
        <v>1</v>
      </c>
      <c r="FG828" s="9" t="n">
        <f aca="false">IF(FG826=0,0,IF(FG826&lt;=12*'🎚️ Escenario'!$C$11,1,1+$C$6))</f>
        <v>1</v>
      </c>
      <c r="FH828" s="9" t="n">
        <f aca="false">IF(FH826=0,0,IF(FH826&lt;=12*'🎚️ Escenario'!$C$11,1,1+$C$6))</f>
        <v>1</v>
      </c>
      <c r="FI828" s="9" t="n">
        <f aca="false">IF(FI826=0,0,IF(FI826&lt;=12*'🎚️ Escenario'!$C$11,1,1+$C$6))</f>
        <v>1</v>
      </c>
      <c r="FJ828" s="238" t="n">
        <f aca="false">IF(FJ826=0,0,IF(FJ826&lt;=12*'🎚️ Escenario'!$C$11,1,1+$C$6))</f>
        <v>1.2</v>
      </c>
      <c r="FK828" s="238" t="n">
        <f aca="false">IF(FK826=0,0,IF(FK826&lt;=12*'🎚️ Escenario'!$C$11,1,1+$C$6))</f>
        <v>1.2</v>
      </c>
      <c r="FL828" s="238" t="n">
        <f aca="false">IF(FL826=0,0,IF(FL826&lt;=12*'🎚️ Escenario'!$C$11,1,1+$C$6))</f>
        <v>1.2</v>
      </c>
      <c r="FM828" s="238" t="n">
        <f aca="false">IF(FM826=0,0,IF(FM826&lt;=12*'🎚️ Escenario'!$C$11,1,1+$C$6))</f>
        <v>1.2</v>
      </c>
      <c r="FN828" s="238" t="n">
        <f aca="false">IF(FN826=0,0,IF(FN826&lt;=12*'🎚️ Escenario'!$C$11,1,1+$C$6))</f>
        <v>1.2</v>
      </c>
      <c r="FO828" s="238" t="n">
        <f aca="false">IF(FO826=0,0,IF(FO826&lt;=12*'🎚️ Escenario'!$C$11,1,1+$C$6))</f>
        <v>1.2</v>
      </c>
      <c r="FP828" s="238" t="n">
        <f aca="false">IF(FP826=0,0,IF(FP826&lt;=12*'🎚️ Escenario'!$C$11,1,1+$C$6))</f>
        <v>1.2</v>
      </c>
    </row>
    <row r="829" customFormat="false" ht="15" hidden="false" customHeight="false" outlineLevel="2" collapsed="false">
      <c r="B829" s="9" t="s">
        <v>876</v>
      </c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36" t="n">
        <f aca="false">AC827*$AC$825*AC828*AC$38*'⑫ Roll-out Plan'!$O$87</f>
        <v>0</v>
      </c>
      <c r="AD829" s="36" t="n">
        <f aca="false">AD827*$AC$825*AD828*AD$38*'⑫ Roll-out Plan'!$O$87</f>
        <v>0</v>
      </c>
      <c r="AE829" s="36" t="n">
        <f aca="false">AE827*$AC$825*AE828*AE$38*'⑫ Roll-out Plan'!$O$87</f>
        <v>0</v>
      </c>
      <c r="AF829" s="36" t="n">
        <f aca="false">AF827*$AC$825*AF828*AF$38*'⑫ Roll-out Plan'!$O$87</f>
        <v>0</v>
      </c>
      <c r="AG829" s="36" t="n">
        <f aca="false">AG827*$AC$825*AG828*AG$38*'⑫ Roll-out Plan'!$O$87</f>
        <v>0</v>
      </c>
      <c r="AH829" s="36" t="n">
        <f aca="false">AH827*$AC$825*AH828*AH$38*'⑫ Roll-out Plan'!$O$87</f>
        <v>0</v>
      </c>
      <c r="AI829" s="36" t="n">
        <f aca="false">AI827*$AC$825*AI828*AI$38*'⑫ Roll-out Plan'!$O$87</f>
        <v>0</v>
      </c>
      <c r="AJ829" s="36" t="n">
        <f aca="false">AJ827*$AC$825*AJ828*AJ$38*'⑫ Roll-out Plan'!$O$87</f>
        <v>0</v>
      </c>
      <c r="AK829" s="36" t="n">
        <f aca="false">AK827*$AC$825*AK828*AK$38*'⑫ Roll-out Plan'!$O$87</f>
        <v>0</v>
      </c>
      <c r="AL829" s="36" t="n">
        <f aca="false">AL827*$AC$825*AL828*AL$38*'⑫ Roll-out Plan'!$O$87</f>
        <v>0</v>
      </c>
      <c r="AM829" s="36" t="n">
        <f aca="false">AM827*$AC$825*AM828*AM$38*'⑫ Roll-out Plan'!$O$87</f>
        <v>0</v>
      </c>
      <c r="AN829" s="36" t="n">
        <f aca="false">AN827*$AC$825*AN828*AN$38*'⑫ Roll-out Plan'!$O$87</f>
        <v>0</v>
      </c>
      <c r="AO829" s="36" t="n">
        <f aca="false">AO827*$AC$825*AO828*AO$38*'⑫ Roll-out Plan'!$O$87</f>
        <v>0</v>
      </c>
      <c r="AP829" s="36" t="n">
        <f aca="false">AP827*$AC$825*AP828*AP$38*'⑫ Roll-out Plan'!$O$87</f>
        <v>0</v>
      </c>
      <c r="AQ829" s="36" t="n">
        <f aca="false">AQ827*$AC$825*AQ828*AQ$38*'⑫ Roll-out Plan'!$O$87</f>
        <v>0</v>
      </c>
      <c r="AR829" s="36" t="n">
        <f aca="false">AR827*$AC$825*AR828*AR$38*'⑫ Roll-out Plan'!$O$87</f>
        <v>0</v>
      </c>
      <c r="AS829" s="36" t="n">
        <f aca="false">AS827*$AC$825*AS828*AS$38*'⑫ Roll-out Plan'!$O$87</f>
        <v>0</v>
      </c>
      <c r="AT829" s="36" t="n">
        <f aca="false">AT827*$AC$825*AT828*AT$38*'⑫ Roll-out Plan'!$O$87</f>
        <v>0</v>
      </c>
      <c r="AU829" s="36" t="n">
        <f aca="false">AU827*$AC$825*AU828*AU$38*'⑫ Roll-out Plan'!$O$87</f>
        <v>0</v>
      </c>
      <c r="AV829" s="36" t="n">
        <f aca="false">AV827*$AC$825*AV828*AV$38*'⑫ Roll-out Plan'!$O$87</f>
        <v>0</v>
      </c>
      <c r="AW829" s="36" t="n">
        <f aca="false">AW827*$AC$825*AW828*AW$38*'⑫ Roll-out Plan'!$O$87</f>
        <v>0</v>
      </c>
      <c r="AX829" s="36" t="n">
        <f aca="false">AX827*$AC$825*AX828*AX$38*'⑫ Roll-out Plan'!$O$87</f>
        <v>0</v>
      </c>
      <c r="AY829" s="36" t="n">
        <f aca="false">AY827*$AC$825*AY828*AY$38*'⑫ Roll-out Plan'!$O$87</f>
        <v>0</v>
      </c>
      <c r="AZ829" s="36" t="n">
        <f aca="false">AZ827*$AC$825*AZ828*AZ$38*'⑫ Roll-out Plan'!$O$87</f>
        <v>0</v>
      </c>
      <c r="BA829" s="36" t="n">
        <f aca="false">BA827*$AC$825*BA828*BA$38*'⑫ Roll-out Plan'!$O$87</f>
        <v>0</v>
      </c>
      <c r="BB829" s="36" t="n">
        <f aca="false">BB827*$AC$825*BB828*BB$38*'⑫ Roll-out Plan'!$O$87</f>
        <v>0</v>
      </c>
      <c r="BC829" s="36" t="n">
        <f aca="false">BC827*$AC$825*BC828*BC$38*'⑫ Roll-out Plan'!$O$87</f>
        <v>0</v>
      </c>
      <c r="BD829" s="36" t="n">
        <f aca="false">BD827*$AC$825*BD828*BD$38*'⑫ Roll-out Plan'!$O$87</f>
        <v>0</v>
      </c>
      <c r="BE829" s="36" t="n">
        <f aca="false">BE827*$AC$825*BE828*BE$38*'⑫ Roll-out Plan'!$O$87</f>
        <v>0</v>
      </c>
      <c r="BF829" s="36" t="n">
        <f aca="false">BF827*$AC$825*BF828*BF$38*'⑫ Roll-out Plan'!$O$87</f>
        <v>0</v>
      </c>
      <c r="BG829" s="36" t="n">
        <f aca="false">BG827*$AC$825*BG828*BG$38*'⑫ Roll-out Plan'!$O$87</f>
        <v>0</v>
      </c>
      <c r="BH829" s="36" t="n">
        <f aca="false">BH827*$AC$825*BH828*BH$38*'⑫ Roll-out Plan'!$O$87</f>
        <v>0</v>
      </c>
      <c r="BI829" s="36" t="n">
        <f aca="false">BI827*$AC$825*BI828*BI$38*'⑫ Roll-out Plan'!$O$87</f>
        <v>0</v>
      </c>
      <c r="BJ829" s="36" t="n">
        <f aca="false">BJ827*$AC$825*BJ828*BJ$38*'⑫ Roll-out Plan'!$O$87</f>
        <v>0</v>
      </c>
      <c r="BK829" s="36" t="n">
        <f aca="false">BK827*$AC$825*BK828*BK$38*'⑫ Roll-out Plan'!$O$87</f>
        <v>0</v>
      </c>
      <c r="BL829" s="36" t="n">
        <f aca="false">BL827*$AC$825*BL828*BL$38*'⑫ Roll-out Plan'!$O$87</f>
        <v>0</v>
      </c>
      <c r="BM829" s="36" t="n">
        <f aca="false">BM827*$AC$825*BM828*BM$38*'⑫ Roll-out Plan'!$O$87</f>
        <v>0</v>
      </c>
      <c r="BN829" s="36" t="n">
        <f aca="false">BN827*$AC$825*BN828*BN$38*'⑫ Roll-out Plan'!$O$87</f>
        <v>0</v>
      </c>
      <c r="BO829" s="36" t="n">
        <f aca="false">BO827*$AC$825*BO828*BO$38*'⑫ Roll-out Plan'!$O$87</f>
        <v>0</v>
      </c>
      <c r="BP829" s="36" t="n">
        <f aca="false">BP827*$AC$825*BP828*BP$38*'⑫ Roll-out Plan'!$O$87</f>
        <v>0</v>
      </c>
      <c r="BQ829" s="36" t="n">
        <f aca="false">BQ827*$AC$825*BQ828*BQ$38*'⑫ Roll-out Plan'!$O$87</f>
        <v>0</v>
      </c>
      <c r="BR829" s="36" t="n">
        <f aca="false">BR827*$AC$825*BR828*BR$38*'⑫ Roll-out Plan'!$O$87</f>
        <v>0</v>
      </c>
      <c r="BS829" s="36" t="n">
        <f aca="false">BS827*$AC$825*BS828*BS$38*'⑫ Roll-out Plan'!$O$87</f>
        <v>0</v>
      </c>
      <c r="BT829" s="36" t="n">
        <f aca="false">BT827*$AC$825*BT828*BT$38*'⑫ Roll-out Plan'!$O$87</f>
        <v>0</v>
      </c>
      <c r="BU829" s="36" t="n">
        <f aca="false">BU827*$AC$825*BU828*BU$38*'⑫ Roll-out Plan'!$O$87</f>
        <v>0</v>
      </c>
      <c r="BV829" s="36" t="n">
        <f aca="false">BV827*$AC$825*BV828*BV$38*'⑫ Roll-out Plan'!$O$87</f>
        <v>0</v>
      </c>
      <c r="BW829" s="36" t="n">
        <f aca="false">BW827*$AC$825*BW828*BW$38*'⑫ Roll-out Plan'!$O$87</f>
        <v>0</v>
      </c>
      <c r="BX829" s="36" t="n">
        <f aca="false">BX827*$AC$825*BX828*BX$38*'⑫ Roll-out Plan'!$O$87</f>
        <v>0</v>
      </c>
      <c r="BY829" s="36" t="n">
        <f aca="false">BY827*$AC$825*BY828*BY$38*'⑫ Roll-out Plan'!$O$87</f>
        <v>0</v>
      </c>
      <c r="BZ829" s="36" t="n">
        <f aca="false">BZ827*$AC$825*BZ828*BZ$38*'⑫ Roll-out Plan'!$O$87</f>
        <v>0</v>
      </c>
      <c r="CA829" s="36" t="n">
        <f aca="false">CA827*$AC$825*CA828*CA$38*'⑫ Roll-out Plan'!$O$87</f>
        <v>0</v>
      </c>
      <c r="CB829" s="36" t="n">
        <f aca="false">CB827*$AC$825*CB828*CB$38*'⑫ Roll-out Plan'!$O$87</f>
        <v>0</v>
      </c>
      <c r="CC829" s="36" t="n">
        <f aca="false">CC827*$AC$825*CC828*CC$38*'⑫ Roll-out Plan'!$O$87</f>
        <v>0</v>
      </c>
      <c r="CD829" s="36" t="n">
        <f aca="false">CD827*$AC$825*CD828*CD$38*'⑫ Roll-out Plan'!$O$87</f>
        <v>0</v>
      </c>
      <c r="CE829" s="36" t="n">
        <f aca="false">CE827*$AC$825*CE828*CE$38*'⑫ Roll-out Plan'!$O$87</f>
        <v>0</v>
      </c>
      <c r="CF829" s="36" t="n">
        <f aca="false">CF827*$AC$825*CF828*CF$38*'⑫ Roll-out Plan'!$O$87</f>
        <v>0</v>
      </c>
      <c r="CG829" s="36" t="n">
        <f aca="false">CG827*$AC$825*CG828*CG$38*'⑫ Roll-out Plan'!$O$87</f>
        <v>0</v>
      </c>
      <c r="CH829" s="36" t="n">
        <f aca="false">CH827*$AC$825*CH828*CH$38*'⑫ Roll-out Plan'!$O$87</f>
        <v>0</v>
      </c>
      <c r="CI829" s="36" t="n">
        <f aca="false">CI827*$AC$825*CI828*CI$38*'⑫ Roll-out Plan'!$O$87</f>
        <v>0</v>
      </c>
      <c r="CJ829" s="36" t="n">
        <f aca="false">CJ827*$AC$825*CJ828*CJ$38*'⑫ Roll-out Plan'!$O$87</f>
        <v>0</v>
      </c>
      <c r="CK829" s="36" t="n">
        <f aca="false">CK827*$AC$825*CK828*CK$38*'⑫ Roll-out Plan'!$O$87</f>
        <v>0</v>
      </c>
      <c r="CL829" s="36" t="n">
        <f aca="false">CL827*$AC$825*CL828*CL$38*'⑫ Roll-out Plan'!$O$87</f>
        <v>0</v>
      </c>
      <c r="CM829" s="36" t="n">
        <f aca="false">CM827*$AC$825*CM828*CM$38*'⑫ Roll-out Plan'!$O$87</f>
        <v>0</v>
      </c>
      <c r="CN829" s="36" t="n">
        <f aca="false">CN827*$AC$825*CN828*CN$38*'⑫ Roll-out Plan'!$O$87</f>
        <v>0</v>
      </c>
      <c r="CO829" s="36" t="n">
        <f aca="false">CO827*$AC$825*CO828*CO$38*'⑫ Roll-out Plan'!$O$87</f>
        <v>0</v>
      </c>
      <c r="CP829" s="36" t="n">
        <f aca="false">CP827*$AC$825*CP828*CP$38*'⑫ Roll-out Plan'!$O$87</f>
        <v>0</v>
      </c>
      <c r="CQ829" s="36" t="n">
        <f aca="false">CQ827*$AC$825*CQ828*CQ$38*'⑫ Roll-out Plan'!$O$87</f>
        <v>0</v>
      </c>
      <c r="CR829" s="36" t="n">
        <f aca="false">CR827*$AC$825*CR828*CR$38*'⑫ Roll-out Plan'!$O$87</f>
        <v>0</v>
      </c>
      <c r="CS829" s="36" t="n">
        <f aca="false">CS827*$AC$825*CS828*CS$38*'⑫ Roll-out Plan'!$O$87</f>
        <v>0</v>
      </c>
      <c r="CT829" s="36" t="n">
        <f aca="false">CT827*$AC$825*CT828*CT$38*'⑫ Roll-out Plan'!$O$87</f>
        <v>0</v>
      </c>
      <c r="CU829" s="36" t="n">
        <f aca="false">CU827*$AC$825*CU828*CU$38*'⑫ Roll-out Plan'!$O$87</f>
        <v>0</v>
      </c>
      <c r="CV829" s="36" t="n">
        <f aca="false">CV827*$AC$825*CV828*CV$38*'⑫ Roll-out Plan'!$O$87</f>
        <v>0</v>
      </c>
      <c r="CW829" s="36" t="n">
        <f aca="false">CW827*$AC$825*CW828*CW$38*'⑫ Roll-out Plan'!$O$87</f>
        <v>0</v>
      </c>
      <c r="CX829" s="36" t="n">
        <f aca="false">CX827*$AC$825*CX828*CX$38*'⑫ Roll-out Plan'!$O$87</f>
        <v>0</v>
      </c>
      <c r="CY829" s="36" t="n">
        <f aca="false">CY827*$AC$825*CY828*CY$38*'⑫ Roll-out Plan'!$O$87</f>
        <v>0</v>
      </c>
      <c r="CZ829" s="36" t="n">
        <f aca="false">CZ827*$AC$825*CZ828*CZ$38*'⑫ Roll-out Plan'!$O$87</f>
        <v>0</v>
      </c>
      <c r="DA829" s="36" t="n">
        <f aca="false">DA827*$AC$825*DA828*DA$38*'⑫ Roll-out Plan'!$O$87</f>
        <v>0</v>
      </c>
      <c r="DB829" s="36" t="n">
        <f aca="false">DB827*$AC$825*DB828*DB$38*'⑫ Roll-out Plan'!$O$87</f>
        <v>0</v>
      </c>
      <c r="DC829" s="36" t="n">
        <f aca="false">DC827*$AC$825*DC828*DC$38*'⑫ Roll-out Plan'!$O$87</f>
        <v>0</v>
      </c>
      <c r="DD829" s="36" t="n">
        <f aca="false">DD827*$AC$825*DD828*DD$38*'⑫ Roll-out Plan'!$O$87</f>
        <v>0</v>
      </c>
      <c r="DE829" s="36" t="n">
        <f aca="false">DE827*$AC$825*DE828*DE$38*'⑫ Roll-out Plan'!$O$87</f>
        <v>0</v>
      </c>
      <c r="DF829" s="36" t="n">
        <f aca="false">DF827*$AC$825*DF828*DF$38*'⑫ Roll-out Plan'!$O$87</f>
        <v>0</v>
      </c>
      <c r="DG829" s="36" t="n">
        <f aca="false">DG827*$AC$825*DG828*DG$38*'⑫ Roll-out Plan'!$O$87</f>
        <v>0</v>
      </c>
      <c r="DH829" s="36" t="n">
        <f aca="false">DH827*$AC$825*DH828*DH$38*'⑫ Roll-out Plan'!$O$87</f>
        <v>0</v>
      </c>
      <c r="DI829" s="36" t="n">
        <f aca="false">DI827*$AC$825*DI828*DI$38*'⑫ Roll-out Plan'!$O$87</f>
        <v>0</v>
      </c>
      <c r="DJ829" s="36" t="n">
        <f aca="false">DJ827*$AC$825*DJ828*DJ$38*'⑫ Roll-out Plan'!$O$87</f>
        <v>0</v>
      </c>
      <c r="DK829" s="36" t="n">
        <f aca="false">DK827*$AC$825*DK828*DK$38*'⑫ Roll-out Plan'!$O$87</f>
        <v>0</v>
      </c>
      <c r="DL829" s="36" t="n">
        <f aca="false">DL827*$AC$825*DL828*DL$38*'⑫ Roll-out Plan'!$O$87</f>
        <v>0</v>
      </c>
      <c r="DM829" s="36" t="n">
        <f aca="false">DM827*$AC$825*DM828*DM$38*'⑫ Roll-out Plan'!$O$87</f>
        <v>0</v>
      </c>
      <c r="DN829" s="36" t="n">
        <f aca="false">DN827*$AC$825*DN828*DN$38*'⑫ Roll-out Plan'!$O$87</f>
        <v>0</v>
      </c>
      <c r="DO829" s="36" t="n">
        <f aca="false">DO827*$AC$825*DO828*DO$38*'⑫ Roll-out Plan'!$O$87</f>
        <v>0</v>
      </c>
      <c r="DP829" s="36" t="n">
        <f aca="false">DP827*$AC$825*DP828*DP$38*'⑫ Roll-out Plan'!$O$87</f>
        <v>0</v>
      </c>
      <c r="DQ829" s="36" t="n">
        <f aca="false">DQ827*$AC$825*DQ828*DQ$38*'⑫ Roll-out Plan'!$O$87</f>
        <v>0</v>
      </c>
      <c r="DR829" s="36" t="n">
        <f aca="false">DR827*$AC$825*DR828*DR$38*'⑫ Roll-out Plan'!$O$87</f>
        <v>0</v>
      </c>
      <c r="DS829" s="36" t="n">
        <f aca="false">DS827*$AC$825*DS828*DS$38*'⑫ Roll-out Plan'!$O$87</f>
        <v>0</v>
      </c>
      <c r="DT829" s="36" t="n">
        <f aca="false">DT827*$AC$825*DT828*DT$38*'⑫ Roll-out Plan'!$O$87</f>
        <v>0</v>
      </c>
      <c r="DU829" s="36" t="n">
        <f aca="false">DU827*$AC$825*DU828*DU$38*'⑫ Roll-out Plan'!$O$87</f>
        <v>0</v>
      </c>
      <c r="DV829" s="36" t="n">
        <f aca="false">DV827*$AC$825*DV828*DV$38*'⑫ Roll-out Plan'!$O$87</f>
        <v>0</v>
      </c>
      <c r="DW829" s="36" t="n">
        <f aca="false">DW827*$AC$825*DW828*DW$38*'⑫ Roll-out Plan'!$O$87</f>
        <v>0</v>
      </c>
      <c r="DX829" s="36" t="n">
        <f aca="false">DX827*$AC$825*DX828*DX$38*'⑫ Roll-out Plan'!$O$87</f>
        <v>0</v>
      </c>
      <c r="DY829" s="36" t="n">
        <f aca="false">DY827*$AC$825*DY828*DY$38*'⑫ Roll-out Plan'!$O$87</f>
        <v>0</v>
      </c>
      <c r="DZ829" s="36" t="n">
        <f aca="false">DZ827*$AC$825*DZ828*DZ$38*'⑫ Roll-out Plan'!$O$87</f>
        <v>0</v>
      </c>
      <c r="EA829" s="36" t="n">
        <f aca="false">EA827*$AC$825*EA828*EA$38*'⑫ Roll-out Plan'!$O$87</f>
        <v>0</v>
      </c>
      <c r="EB829" s="36" t="n">
        <f aca="false">EB827*$AC$825*EB828*EB$38*'⑫ Roll-out Plan'!$O$87</f>
        <v>0</v>
      </c>
      <c r="EC829" s="36" t="n">
        <f aca="false">EC827*$AC$825*EC828*EC$38*'⑫ Roll-out Plan'!$O$87</f>
        <v>0</v>
      </c>
      <c r="ED829" s="36" t="n">
        <f aca="false">ED827*$AC$825*ED828*ED$38*'⑫ Roll-out Plan'!$O$87</f>
        <v>0</v>
      </c>
      <c r="EE829" s="36" t="n">
        <f aca="false">EE827*$AC$825*EE828*EE$38*'⑫ Roll-out Plan'!$O$87</f>
        <v>0</v>
      </c>
      <c r="EF829" s="36" t="n">
        <f aca="false">EF827*$AC$825*EF828*EF$38*'⑫ Roll-out Plan'!$O$87</f>
        <v>0</v>
      </c>
      <c r="EG829" s="36" t="n">
        <f aca="false">EG827*$AC$825*EG828*EG$38*'⑫ Roll-out Plan'!$O$87</f>
        <v>0</v>
      </c>
      <c r="EH829" s="36" t="n">
        <f aca="false">EH827*$AC$825*EH828*EH$38*'⑫ Roll-out Plan'!$O$87</f>
        <v>0</v>
      </c>
      <c r="EI829" s="36" t="n">
        <f aca="false">EI827*$AC$825*EI828*EI$38*'⑫ Roll-out Plan'!$O$87</f>
        <v>0</v>
      </c>
      <c r="EJ829" s="36" t="n">
        <f aca="false">EJ827*$AC$825*EJ828*EJ$38*'⑫ Roll-out Plan'!$O$87</f>
        <v>0</v>
      </c>
      <c r="EK829" s="36" t="n">
        <f aca="false">EK827*$AC$825*EK828*EK$38*'⑫ Roll-out Plan'!$O$87</f>
        <v>0</v>
      </c>
      <c r="EL829" s="36" t="n">
        <f aca="false">EL827*$AC$825*EL828*EL$38*'⑫ Roll-out Plan'!$O$87</f>
        <v>0</v>
      </c>
      <c r="EM829" s="36" t="n">
        <f aca="false">EM827*$AC$825*EM828*EM$38*'⑫ Roll-out Plan'!$O$87</f>
        <v>0</v>
      </c>
      <c r="EN829" s="36" t="n">
        <f aca="false">EN827*$AC$825*EN828*EN$38*'⑫ Roll-out Plan'!$O$87</f>
        <v>0</v>
      </c>
      <c r="EO829" s="36" t="n">
        <f aca="false">EO827*$AC$825*EO828*EO$38*'⑫ Roll-out Plan'!$O$87</f>
        <v>0</v>
      </c>
      <c r="EP829" s="36" t="n">
        <f aca="false">EP827*$AC$825*EP828*EP$38*'⑫ Roll-out Plan'!$O$87</f>
        <v>0</v>
      </c>
      <c r="EQ829" s="36" t="n">
        <f aca="false">EQ827*$AC$825*EQ828*EQ$38*'⑫ Roll-out Plan'!$O$87</f>
        <v>0</v>
      </c>
      <c r="ER829" s="36" t="n">
        <f aca="false">ER827*$AC$825*ER828*ER$38*'⑫ Roll-out Plan'!$O$87</f>
        <v>0</v>
      </c>
      <c r="ES829" s="9" t="n">
        <f aca="false">ES827*$AC$825*ES828*ES$38*'⑫ Roll-out Plan'!$O$87</f>
        <v>0</v>
      </c>
      <c r="ET829" s="9" t="n">
        <f aca="false">ET827*$AC$825*ET828*ET$38*'⑫ Roll-out Plan'!$O$87</f>
        <v>0</v>
      </c>
      <c r="EU829" s="9" t="n">
        <f aca="false">EU827*$AC$825*EU828*EU$38*'⑫ Roll-out Plan'!$O$87</f>
        <v>42.92</v>
      </c>
      <c r="EV829" s="9" t="n">
        <f aca="false">EV827*$AC$825*EV828*EV$38*'⑫ Roll-out Plan'!$O$87</f>
        <v>44.77</v>
      </c>
      <c r="EW829" s="9" t="n">
        <f aca="false">EW827*$AC$825*EW828*EW$38*'⑫ Roll-out Plan'!$O$87</f>
        <v>40.848</v>
      </c>
      <c r="EX829" s="9" t="n">
        <f aca="false">EX827*$AC$825*EX828*EX$38*'⑫ Roll-out Plan'!$O$87</f>
        <v>39.96</v>
      </c>
      <c r="EY829" s="9" t="n">
        <f aca="false">EY827*$AC$825*EY828*EY$38*'⑫ Roll-out Plan'!$O$87</f>
        <v>41.958</v>
      </c>
      <c r="EZ829" s="9" t="n">
        <f aca="false">EZ827*$AC$825*EZ828*EZ$38*'⑫ Roll-out Plan'!$O$87</f>
        <v>81.437</v>
      </c>
      <c r="FA829" s="9" t="n">
        <f aca="false">FA827*$AC$825*FA828*FA$38*'⑫ Roll-out Plan'!$O$87</f>
        <v>75.11</v>
      </c>
      <c r="FB829" s="9" t="n">
        <f aca="false">FB827*$AC$825*FB828*FB$38*'⑫ Roll-out Plan'!$O$87</f>
        <v>69.264</v>
      </c>
      <c r="FC829" s="9" t="n">
        <f aca="false">FC827*$AC$825*FC828*FC$38*'⑫ Roll-out Plan'!$O$87</f>
        <v>58.608</v>
      </c>
      <c r="FD829" s="9" t="n">
        <f aca="false">FD827*$AC$825*FD828*FD$38*'⑫ Roll-out Plan'!$O$87</f>
        <v>83.028</v>
      </c>
      <c r="FE829" s="9" t="n">
        <f aca="false">FE827*$AC$825*FE828*FE$38*'⑫ Roll-out Plan'!$O$87</f>
        <v>95.904</v>
      </c>
      <c r="FF829" s="9" t="n">
        <f aca="false">FF827*$AC$825*FF828*FF$38*'⑫ Roll-out Plan'!$O$87</f>
        <v>78.884</v>
      </c>
      <c r="FG829" s="9" t="n">
        <f aca="false">FG827*$AC$825*FG828*FG$38*'⑫ Roll-out Plan'!$O$87</f>
        <v>120.176</v>
      </c>
      <c r="FH829" s="9" t="n">
        <f aca="false">FH827*$AC$825*FH828*FH$38*'⑫ Roll-out Plan'!$O$87</f>
        <v>122.1</v>
      </c>
      <c r="FI829" s="9" t="n">
        <f aca="false">FI827*$AC$825*FI828*FI$38*'⑫ Roll-out Plan'!$O$87</f>
        <v>102.12</v>
      </c>
      <c r="FJ829" s="9" t="n">
        <f aca="false">FJ827*$AC$825*FJ828*FJ$38*'⑫ Roll-out Plan'!$O$87</f>
        <v>111.888</v>
      </c>
      <c r="FK829" s="9" t="n">
        <f aca="false">FK827*$AC$825*FK828*FK$38*'⑫ Roll-out Plan'!$O$87</f>
        <v>123.0768</v>
      </c>
      <c r="FL829" s="9" t="n">
        <f aca="false">FL827*$AC$825*FL828*FL$38*'⑫ Roll-out Plan'!$O$87</f>
        <v>217.5156</v>
      </c>
      <c r="FM829" s="9" t="n">
        <f aca="false">FM827*$AC$825*FM828*FM$38*'⑫ Roll-out Plan'!$O$87</f>
        <v>182.8392</v>
      </c>
      <c r="FN829" s="9" t="n">
        <f aca="false">FN827*$AC$825*FN828*FN$38*'⑫ Roll-out Plan'!$O$87</f>
        <v>151.3152</v>
      </c>
      <c r="FO829" s="9" t="n">
        <f aca="false">FO827*$AC$825*FO828*FO$38*'⑫ Roll-out Plan'!$O$87</f>
        <v>116.6832</v>
      </c>
      <c r="FP829" s="9" t="n">
        <f aca="false">FP827*$AC$825*FP828*FP$38*'⑫ Roll-out Plan'!$O$87</f>
        <v>169.83</v>
      </c>
    </row>
    <row r="830" customFormat="false" ht="15" hidden="false" customHeight="false" outlineLevel="2" collapsed="false">
      <c r="B830" s="9" t="s">
        <v>877</v>
      </c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112" t="n">
        <f aca="true">IFERROR(SUMPRODUCT(OFFSET($BJ$31,0,1-MIN(60,COLUMN()-29),1,MIN(60,COLUMN()-29)),OFFSET(AC829,0,-MIN(60,COLUMN()-29),1,MIN(60,COLUMN()-29))),0)</f>
        <v>0</v>
      </c>
      <c r="AD830" s="112" t="n">
        <f aca="true">IFERROR(SUMPRODUCT(OFFSET($BJ$31,0,1-MIN(60,COLUMN()-29),1,MIN(60,COLUMN()-29)),OFFSET(AD829,0,-MIN(60,COLUMN()-29),1,MIN(60,COLUMN()-29))),0)</f>
        <v>0</v>
      </c>
      <c r="AE830" s="112" t="n">
        <f aca="true">IFERROR(SUMPRODUCT(OFFSET($BJ$31,0,1-MIN(60,COLUMN()-29),1,MIN(60,COLUMN()-29)),OFFSET(AE829,0,-MIN(60,COLUMN()-29),1,MIN(60,COLUMN()-29))),0)</f>
        <v>0</v>
      </c>
      <c r="AF830" s="112" t="n">
        <f aca="true">IFERROR(SUMPRODUCT(OFFSET($BJ$31,0,1-MIN(60,COLUMN()-29),1,MIN(60,COLUMN()-29)),OFFSET(AF829,0,-MIN(60,COLUMN()-29),1,MIN(60,COLUMN()-29))),0)</f>
        <v>0</v>
      </c>
      <c r="AG830" s="112" t="n">
        <f aca="true">IFERROR(SUMPRODUCT(OFFSET($BJ$31,0,1-MIN(60,COLUMN()-29),1,MIN(60,COLUMN()-29)),OFFSET(AG829,0,-MIN(60,COLUMN()-29),1,MIN(60,COLUMN()-29))),0)</f>
        <v>0</v>
      </c>
      <c r="AH830" s="112" t="n">
        <f aca="true">IFERROR(SUMPRODUCT(OFFSET($BJ$31,0,1-MIN(60,COLUMN()-29),1,MIN(60,COLUMN()-29)),OFFSET(AH829,0,-MIN(60,COLUMN()-29),1,MIN(60,COLUMN()-29))),0)</f>
        <v>0</v>
      </c>
      <c r="AI830" s="112" t="n">
        <f aca="true">IFERROR(SUMPRODUCT(OFFSET($BJ$31,0,1-MIN(60,COLUMN()-29),1,MIN(60,COLUMN()-29)),OFFSET(AI829,0,-MIN(60,COLUMN()-29),1,MIN(60,COLUMN()-29))),0)</f>
        <v>0</v>
      </c>
      <c r="AJ830" s="112" t="n">
        <f aca="true">IFERROR(SUMPRODUCT(OFFSET($BJ$31,0,1-MIN(60,COLUMN()-29),1,MIN(60,COLUMN()-29)),OFFSET(AJ829,0,-MIN(60,COLUMN()-29),1,MIN(60,COLUMN()-29))),0)</f>
        <v>0</v>
      </c>
      <c r="AK830" s="112" t="n">
        <f aca="true">IFERROR(SUMPRODUCT(OFFSET($BJ$31,0,1-MIN(60,COLUMN()-29),1,MIN(60,COLUMN()-29)),OFFSET(AK829,0,-MIN(60,COLUMN()-29),1,MIN(60,COLUMN()-29))),0)</f>
        <v>0</v>
      </c>
      <c r="AL830" s="112" t="n">
        <f aca="true">IFERROR(SUMPRODUCT(OFFSET($BJ$31,0,1-MIN(60,COLUMN()-29),1,MIN(60,COLUMN()-29)),OFFSET(AL829,0,-MIN(60,COLUMN()-29),1,MIN(60,COLUMN()-29))),0)</f>
        <v>0</v>
      </c>
      <c r="AM830" s="112" t="n">
        <f aca="true">IFERROR(SUMPRODUCT(OFFSET($BJ$31,0,1-MIN(60,COLUMN()-29),1,MIN(60,COLUMN()-29)),OFFSET(AM829,0,-MIN(60,COLUMN()-29),1,MIN(60,COLUMN()-29))),0)</f>
        <v>0</v>
      </c>
      <c r="AN830" s="239" t="n">
        <f aca="true">IFERROR(SUMPRODUCT(OFFSET($BJ$31,0,1-MIN(60,COLUMN()-29),1,MIN(60,COLUMN()-29)),OFFSET(AN829,0,-MIN(60,COLUMN()-29),1,MIN(60,COLUMN()-29))),0)</f>
        <v>0</v>
      </c>
      <c r="AO830" s="112" t="n">
        <f aca="true">IFERROR(SUMPRODUCT(OFFSET($BJ$31,0,1-MIN(60,COLUMN()-29),1,MIN(60,COLUMN()-29)),OFFSET(AO829,0,-MIN(60,COLUMN()-29),1,MIN(60,COLUMN()-29))),0)</f>
        <v>0</v>
      </c>
      <c r="AP830" s="112" t="n">
        <f aca="true">IFERROR(SUMPRODUCT(OFFSET($BJ$31,0,1-MIN(60,COLUMN()-29),1,MIN(60,COLUMN()-29)),OFFSET(AP829,0,-MIN(60,COLUMN()-29),1,MIN(60,COLUMN()-29))),0)</f>
        <v>0</v>
      </c>
      <c r="AQ830" s="112" t="n">
        <f aca="true">IFERROR(SUMPRODUCT(OFFSET($BJ$31,0,1-MIN(60,COLUMN()-29),1,MIN(60,COLUMN()-29)),OFFSET(AQ829,0,-MIN(60,COLUMN()-29),1,MIN(60,COLUMN()-29))),0)</f>
        <v>0</v>
      </c>
      <c r="AR830" s="112" t="n">
        <f aca="true">IFERROR(SUMPRODUCT(OFFSET($BJ$31,0,1-MIN(60,COLUMN()-29),1,MIN(60,COLUMN()-29)),OFFSET(AR829,0,-MIN(60,COLUMN()-29),1,MIN(60,COLUMN()-29))),0)</f>
        <v>0</v>
      </c>
      <c r="AS830" s="112" t="n">
        <f aca="true">IFERROR(SUMPRODUCT(OFFSET($BJ$31,0,1-MIN(60,COLUMN()-29),1,MIN(60,COLUMN()-29)),OFFSET(AS829,0,-MIN(60,COLUMN()-29),1,MIN(60,COLUMN()-29))),0)</f>
        <v>0</v>
      </c>
      <c r="AT830" s="112" t="n">
        <f aca="true">IFERROR(SUMPRODUCT(OFFSET($BJ$31,0,1-MIN(60,COLUMN()-29),1,MIN(60,COLUMN()-29)),OFFSET(AT829,0,-MIN(60,COLUMN()-29),1,MIN(60,COLUMN()-29))),0)</f>
        <v>0</v>
      </c>
      <c r="AU830" s="112" t="n">
        <f aca="true">IFERROR(SUMPRODUCT(OFFSET($BJ$31,0,1-MIN(60,COLUMN()-29),1,MIN(60,COLUMN()-29)),OFFSET(AU829,0,-MIN(60,COLUMN()-29),1,MIN(60,COLUMN()-29))),0)</f>
        <v>0</v>
      </c>
      <c r="AV830" s="112" t="n">
        <f aca="true">IFERROR(SUMPRODUCT(OFFSET($BJ$31,0,1-MIN(60,COLUMN()-29),1,MIN(60,COLUMN()-29)),OFFSET(AV829,0,-MIN(60,COLUMN()-29),1,MIN(60,COLUMN()-29))),0)</f>
        <v>0</v>
      </c>
      <c r="AW830" s="112" t="n">
        <f aca="true">IFERROR(SUMPRODUCT(OFFSET($BJ$31,0,1-MIN(60,COLUMN()-29),1,MIN(60,COLUMN()-29)),OFFSET(AW829,0,-MIN(60,COLUMN()-29),1,MIN(60,COLUMN()-29))),0)</f>
        <v>0</v>
      </c>
      <c r="AX830" s="112" t="n">
        <f aca="true">IFERROR(SUMPRODUCT(OFFSET($BJ$31,0,1-MIN(60,COLUMN()-29),1,MIN(60,COLUMN()-29)),OFFSET(AX829,0,-MIN(60,COLUMN()-29),1,MIN(60,COLUMN()-29))),0)</f>
        <v>0</v>
      </c>
      <c r="AY830" s="112" t="n">
        <f aca="true">IFERROR(SUMPRODUCT(OFFSET($BJ$31,0,1-MIN(60,COLUMN()-29),1,MIN(60,COLUMN()-29)),OFFSET(AY829,0,-MIN(60,COLUMN()-29),1,MIN(60,COLUMN()-29))),0)</f>
        <v>0</v>
      </c>
      <c r="AZ830" s="112" t="n">
        <f aca="true">IFERROR(SUMPRODUCT(OFFSET($BJ$31,0,1-MIN(60,COLUMN()-29),1,MIN(60,COLUMN()-29)),OFFSET(AZ829,0,-MIN(60,COLUMN()-29),1,MIN(60,COLUMN()-29))),0)</f>
        <v>0</v>
      </c>
      <c r="BA830" s="112" t="n">
        <f aca="true">IFERROR(SUMPRODUCT(OFFSET($BJ$31,0,1-MIN(60,COLUMN()-29),1,MIN(60,COLUMN()-29)),OFFSET(BA829,0,-MIN(60,COLUMN()-29),1,MIN(60,COLUMN()-29))),0)</f>
        <v>0</v>
      </c>
      <c r="BB830" s="112" t="n">
        <f aca="true">IFERROR(SUMPRODUCT(OFFSET($BJ$31,0,1-MIN(60,COLUMN()-29),1,MIN(60,COLUMN()-29)),OFFSET(BB829,0,-MIN(60,COLUMN()-29),1,MIN(60,COLUMN()-29))),0)</f>
        <v>0</v>
      </c>
      <c r="BC830" s="112" t="n">
        <f aca="true">IFERROR(SUMPRODUCT(OFFSET($BJ$31,0,1-MIN(60,COLUMN()-29),1,MIN(60,COLUMN()-29)),OFFSET(BC829,0,-MIN(60,COLUMN()-29),1,MIN(60,COLUMN()-29))),0)</f>
        <v>0</v>
      </c>
      <c r="BD830" s="112" t="n">
        <f aca="true">IFERROR(SUMPRODUCT(OFFSET($BJ$31,0,1-MIN(60,COLUMN()-29),1,MIN(60,COLUMN()-29)),OFFSET(BD829,0,-MIN(60,COLUMN()-29),1,MIN(60,COLUMN()-29))),0)</f>
        <v>0</v>
      </c>
      <c r="BE830" s="112" t="n">
        <f aca="true">IFERROR(SUMPRODUCT(OFFSET($BJ$31,0,1-MIN(60,COLUMN()-29),1,MIN(60,COLUMN()-29)),OFFSET(BE829,0,-MIN(60,COLUMN()-29),1,MIN(60,COLUMN()-29))),0)</f>
        <v>0</v>
      </c>
      <c r="BF830" s="112" t="n">
        <f aca="true">IFERROR(SUMPRODUCT(OFFSET($BJ$31,0,1-MIN(60,COLUMN()-29),1,MIN(60,COLUMN()-29)),OFFSET(BF829,0,-MIN(60,COLUMN()-29),1,MIN(60,COLUMN()-29))),0)</f>
        <v>0</v>
      </c>
      <c r="BG830" s="112" t="n">
        <f aca="true">IFERROR(SUMPRODUCT(OFFSET($BJ$31,0,1-MIN(60,COLUMN()-29),1,MIN(60,COLUMN()-29)),OFFSET(BG829,0,-MIN(60,COLUMN()-29),1,MIN(60,COLUMN()-29))),0)</f>
        <v>0</v>
      </c>
      <c r="BH830" s="112" t="n">
        <f aca="true">IFERROR(SUMPRODUCT(OFFSET($BJ$31,0,1-MIN(60,COLUMN()-29),1,MIN(60,COLUMN()-29)),OFFSET(BH829,0,-MIN(60,COLUMN()-29),1,MIN(60,COLUMN()-29))),0)</f>
        <v>0</v>
      </c>
      <c r="BI830" s="112" t="n">
        <f aca="true">IFERROR(SUMPRODUCT(OFFSET($BJ$31,0,1-MIN(60,COLUMN()-29),1,MIN(60,COLUMN()-29)),OFFSET(BI829,0,-MIN(60,COLUMN()-29),1,MIN(60,COLUMN()-29))),0)</f>
        <v>0</v>
      </c>
      <c r="BJ830" s="112" t="n">
        <f aca="true">IFERROR(SUMPRODUCT(OFFSET($BJ$31,0,1-MIN(60,COLUMN()-29),1,MIN(60,COLUMN()-29)),OFFSET(BJ829,0,-MIN(60,COLUMN()-29),1,MIN(60,COLUMN()-29))),0)</f>
        <v>0</v>
      </c>
      <c r="BK830" s="112" t="n">
        <f aca="true">IFERROR(SUMPRODUCT(OFFSET($BJ$31,0,1-MIN(60,COLUMN()-29),1,MIN(60,COLUMN()-29)),OFFSET(BK829,0,-MIN(60,COLUMN()-29),1,MIN(60,COLUMN()-29))),0)</f>
        <v>0</v>
      </c>
      <c r="BL830" s="112" t="n">
        <f aca="true">IFERROR(SUMPRODUCT(OFFSET($BJ$31,0,1-MIN(60,COLUMN()-29),1,MIN(60,COLUMN()-29)),OFFSET(BL829,0,-MIN(60,COLUMN()-29),1,MIN(60,COLUMN()-29))),0)</f>
        <v>0</v>
      </c>
      <c r="BM830" s="112" t="n">
        <f aca="true">IFERROR(SUMPRODUCT(OFFSET($BJ$31,0,1-MIN(60,COLUMN()-29),1,MIN(60,COLUMN()-29)),OFFSET(BM829,0,-MIN(60,COLUMN()-29),1,MIN(60,COLUMN()-29))),0)</f>
        <v>0</v>
      </c>
      <c r="BN830" s="112" t="n">
        <f aca="true">IFERROR(SUMPRODUCT(OFFSET($BJ$31,0,1-MIN(60,COLUMN()-29),1,MIN(60,COLUMN()-29)),OFFSET(BN829,0,-MIN(60,COLUMN()-29),1,MIN(60,COLUMN()-29))),0)</f>
        <v>0</v>
      </c>
      <c r="BO830" s="112" t="n">
        <f aca="true">IFERROR(SUMPRODUCT(OFFSET($BJ$31,0,1-MIN(60,COLUMN()-29),1,MIN(60,COLUMN()-29)),OFFSET(BO829,0,-MIN(60,COLUMN()-29),1,MIN(60,COLUMN()-29))),0)</f>
        <v>0</v>
      </c>
      <c r="BP830" s="112" t="n">
        <f aca="true">IFERROR(SUMPRODUCT(OFFSET($BJ$31,0,1-MIN(60,COLUMN()-29),1,MIN(60,COLUMN()-29)),OFFSET(BP829,0,-MIN(60,COLUMN()-29),1,MIN(60,COLUMN()-29))),0)</f>
        <v>0</v>
      </c>
      <c r="BQ830" s="112" t="n">
        <f aca="true">IFERROR(SUMPRODUCT(OFFSET($BJ$31,0,1-MIN(60,COLUMN()-29),1,MIN(60,COLUMN()-29)),OFFSET(BQ829,0,-MIN(60,COLUMN()-29),1,MIN(60,COLUMN()-29))),0)</f>
        <v>0</v>
      </c>
      <c r="BR830" s="112" t="n">
        <f aca="true">IFERROR(SUMPRODUCT(OFFSET($BJ$31,0,1-MIN(60,COLUMN()-29),1,MIN(60,COLUMN()-29)),OFFSET(BR829,0,-MIN(60,COLUMN()-29),1,MIN(60,COLUMN()-29))),0)</f>
        <v>0</v>
      </c>
      <c r="BS830" s="112" t="n">
        <f aca="true">IFERROR(SUMPRODUCT(OFFSET($BJ$31,0,1-MIN(60,COLUMN()-29),1,MIN(60,COLUMN()-29)),OFFSET(BS829,0,-MIN(60,COLUMN()-29),1,MIN(60,COLUMN()-29))),0)</f>
        <v>0</v>
      </c>
      <c r="BT830" s="112" t="n">
        <f aca="true">IFERROR(SUMPRODUCT(OFFSET($BJ$31,0,1-MIN(60,COLUMN()-29),1,MIN(60,COLUMN()-29)),OFFSET(BT829,0,-MIN(60,COLUMN()-29),1,MIN(60,COLUMN()-29))),0)</f>
        <v>0</v>
      </c>
      <c r="BU830" s="112" t="n">
        <f aca="true">IFERROR(SUMPRODUCT(OFFSET($BJ$31,0,1-MIN(60,COLUMN()-29),1,MIN(60,COLUMN()-29)),OFFSET(BU829,0,-MIN(60,COLUMN()-29),1,MIN(60,COLUMN()-29))),0)</f>
        <v>0</v>
      </c>
      <c r="BV830" s="112" t="n">
        <f aca="true">IFERROR(SUMPRODUCT(OFFSET($BJ$31,0,1-MIN(60,COLUMN()-29),1,MIN(60,COLUMN()-29)),OFFSET(BV829,0,-MIN(60,COLUMN()-29),1,MIN(60,COLUMN()-29))),0)</f>
        <v>0</v>
      </c>
      <c r="BW830" s="112" t="n">
        <f aca="true">IFERROR(SUMPRODUCT(OFFSET($BJ$31,0,1-MIN(60,COLUMN()-29),1,MIN(60,COLUMN()-29)),OFFSET(BW829,0,-MIN(60,COLUMN()-29),1,MIN(60,COLUMN()-29))),0)</f>
        <v>0</v>
      </c>
      <c r="BX830" s="112" t="n">
        <f aca="true">IFERROR(SUMPRODUCT(OFFSET($BJ$31,0,1-MIN(60,COLUMN()-29),1,MIN(60,COLUMN()-29)),OFFSET(BX829,0,-MIN(60,COLUMN()-29),1,MIN(60,COLUMN()-29))),0)</f>
        <v>0</v>
      </c>
      <c r="BY830" s="112" t="n">
        <f aca="true">IFERROR(SUMPRODUCT(OFFSET($BJ$31,0,1-MIN(60,COLUMN()-29),1,MIN(60,COLUMN()-29)),OFFSET(BY829,0,-MIN(60,COLUMN()-29),1,MIN(60,COLUMN()-29))),0)</f>
        <v>0</v>
      </c>
      <c r="BZ830" s="112" t="n">
        <f aca="true">IFERROR(SUMPRODUCT(OFFSET($BJ$31,0,1-MIN(60,COLUMN()-29),1,MIN(60,COLUMN()-29)),OFFSET(BZ829,0,-MIN(60,COLUMN()-29),1,MIN(60,COLUMN()-29))),0)</f>
        <v>0</v>
      </c>
      <c r="CA830" s="112" t="n">
        <f aca="true">IFERROR(SUMPRODUCT(OFFSET($BJ$31,0,1-MIN(60,COLUMN()-29),1,MIN(60,COLUMN()-29)),OFFSET(CA829,0,-MIN(60,COLUMN()-29),1,MIN(60,COLUMN()-29))),0)</f>
        <v>0</v>
      </c>
      <c r="CB830" s="112" t="n">
        <f aca="true">IFERROR(SUMPRODUCT(OFFSET($BJ$31,0,1-MIN(60,COLUMN()-29),1,MIN(60,COLUMN()-29)),OFFSET(CB829,0,-MIN(60,COLUMN()-29),1,MIN(60,COLUMN()-29))),0)</f>
        <v>0</v>
      </c>
      <c r="CC830" s="112" t="n">
        <f aca="true">IFERROR(SUMPRODUCT(OFFSET($BJ$31,0,1-MIN(60,COLUMN()-29),1,MIN(60,COLUMN()-29)),OFFSET(CC829,0,-MIN(60,COLUMN()-29),1,MIN(60,COLUMN()-29))),0)</f>
        <v>0</v>
      </c>
      <c r="CD830" s="112" t="n">
        <f aca="true">IFERROR(SUMPRODUCT(OFFSET($BJ$31,0,1-MIN(60,COLUMN()-29),1,MIN(60,COLUMN()-29)),OFFSET(CD829,0,-MIN(60,COLUMN()-29),1,MIN(60,COLUMN()-29))),0)</f>
        <v>0</v>
      </c>
      <c r="CE830" s="112" t="n">
        <f aca="true">IFERROR(SUMPRODUCT(OFFSET($BJ$31,0,1-MIN(60,COLUMN()-29),1,MIN(60,COLUMN()-29)),OFFSET(CE829,0,-MIN(60,COLUMN()-29),1,MIN(60,COLUMN()-29))),0)</f>
        <v>0</v>
      </c>
      <c r="CF830" s="112" t="n">
        <f aca="true">IFERROR(SUMPRODUCT(OFFSET($BJ$31,0,1-MIN(60,COLUMN()-29),1,MIN(60,COLUMN()-29)),OFFSET(CF829,0,-MIN(60,COLUMN()-29),1,MIN(60,COLUMN()-29))),0)</f>
        <v>0</v>
      </c>
      <c r="CG830" s="112" t="n">
        <f aca="true">IFERROR(SUMPRODUCT(OFFSET($BJ$31,0,1-MIN(60,COLUMN()-29),1,MIN(60,COLUMN()-29)),OFFSET(CG829,0,-MIN(60,COLUMN()-29),1,MIN(60,COLUMN()-29))),0)</f>
        <v>0</v>
      </c>
      <c r="CH830" s="112" t="n">
        <f aca="true">IFERROR(SUMPRODUCT(OFFSET($BJ$31,0,1-MIN(60,COLUMN()-29),1,MIN(60,COLUMN()-29)),OFFSET(CH829,0,-MIN(60,COLUMN()-29),1,MIN(60,COLUMN()-29))),0)</f>
        <v>0</v>
      </c>
      <c r="CI830" s="112" t="n">
        <f aca="true">IFERROR(SUMPRODUCT(OFFSET($BJ$31,0,1-MIN(60,COLUMN()-29),1,MIN(60,COLUMN()-29)),OFFSET(CI829,0,-MIN(60,COLUMN()-29),1,MIN(60,COLUMN()-29))),0)</f>
        <v>0</v>
      </c>
      <c r="CJ830" s="112" t="n">
        <f aca="true">IFERROR(SUMPRODUCT(OFFSET($BJ$31,0,1-MIN(60,COLUMN()-29),1,MIN(60,COLUMN()-29)),OFFSET(CJ829,0,-MIN(60,COLUMN()-29),1,MIN(60,COLUMN()-29))),0)</f>
        <v>0</v>
      </c>
      <c r="CK830" s="112" t="n">
        <f aca="true">IFERROR(SUMPRODUCT(OFFSET($BJ$31,0,1-MIN(60,COLUMN()-29),1,MIN(60,COLUMN()-29)),OFFSET(CK829,0,-MIN(60,COLUMN()-29),1,MIN(60,COLUMN()-29))),0)</f>
        <v>0</v>
      </c>
      <c r="CL830" s="112" t="n">
        <f aca="true">IFERROR(SUMPRODUCT(OFFSET($BJ$31,0,1-MIN(60,COLUMN()-29),1,MIN(60,COLUMN()-29)),OFFSET(CL829,0,-MIN(60,COLUMN()-29),1,MIN(60,COLUMN()-29))),0)</f>
        <v>0</v>
      </c>
      <c r="CM830" s="112" t="n">
        <f aca="true">IFERROR(SUMPRODUCT(OFFSET($BJ$31,0,1-MIN(60,COLUMN()-29),1,MIN(60,COLUMN()-29)),OFFSET(CM829,0,-MIN(60,COLUMN()-29),1,MIN(60,COLUMN()-29))),0)</f>
        <v>0</v>
      </c>
      <c r="CN830" s="112" t="n">
        <f aca="true">IFERROR(SUMPRODUCT(OFFSET($BJ$31,0,1-MIN(60,COLUMN()-29),1,MIN(60,COLUMN()-29)),OFFSET(CN829,0,-MIN(60,COLUMN()-29),1,MIN(60,COLUMN()-29))),0)</f>
        <v>0</v>
      </c>
      <c r="CO830" s="112" t="n">
        <f aca="true">IFERROR(SUMPRODUCT(OFFSET($BJ$31,0,1-MIN(60,COLUMN()-29),1,MIN(60,COLUMN()-29)),OFFSET(CO829,0,-MIN(60,COLUMN()-29),1,MIN(60,COLUMN()-29))),0)</f>
        <v>0</v>
      </c>
      <c r="CP830" s="112" t="n">
        <f aca="true">IFERROR(SUMPRODUCT(OFFSET($BJ$31,0,1-MIN(60,COLUMN()-29),1,MIN(60,COLUMN()-29)),OFFSET(CP829,0,-MIN(60,COLUMN()-29),1,MIN(60,COLUMN()-29))),0)</f>
        <v>0</v>
      </c>
      <c r="CQ830" s="112" t="n">
        <f aca="true">IFERROR(SUMPRODUCT(OFFSET($BJ$31,0,1-MIN(60,COLUMN()-29),1,MIN(60,COLUMN()-29)),OFFSET(CQ829,0,-MIN(60,COLUMN()-29),1,MIN(60,COLUMN()-29))),0)</f>
        <v>0</v>
      </c>
      <c r="CR830" s="112" t="n">
        <f aca="true">IFERROR(SUMPRODUCT(OFFSET($BJ$31,0,1-MIN(60,COLUMN()-29),1,MIN(60,COLUMN()-29)),OFFSET(CR829,0,-MIN(60,COLUMN()-29),1,MIN(60,COLUMN()-29))),0)</f>
        <v>0</v>
      </c>
      <c r="CS830" s="112" t="n">
        <f aca="true">IFERROR(SUMPRODUCT(OFFSET($BJ$31,0,1-MIN(60,COLUMN()-29),1,MIN(60,COLUMN()-29)),OFFSET(CS829,0,-MIN(60,COLUMN()-29),1,MIN(60,COLUMN()-29))),0)</f>
        <v>0</v>
      </c>
      <c r="CT830" s="112" t="n">
        <f aca="true">IFERROR(SUMPRODUCT(OFFSET($BJ$31,0,1-MIN(60,COLUMN()-29),1,MIN(60,COLUMN()-29)),OFFSET(CT829,0,-MIN(60,COLUMN()-29),1,MIN(60,COLUMN()-29))),0)</f>
        <v>0</v>
      </c>
      <c r="CU830" s="112" t="n">
        <f aca="true">IFERROR(SUMPRODUCT(OFFSET($BJ$31,0,1-MIN(60,COLUMN()-29),1,MIN(60,COLUMN()-29)),OFFSET(CU829,0,-MIN(60,COLUMN()-29),1,MIN(60,COLUMN()-29))),0)</f>
        <v>0</v>
      </c>
      <c r="CV830" s="112" t="n">
        <f aca="true">IFERROR(SUMPRODUCT(OFFSET($BJ$31,0,1-MIN(60,COLUMN()-29),1,MIN(60,COLUMN()-29)),OFFSET(CV829,0,-MIN(60,COLUMN()-29),1,MIN(60,COLUMN()-29))),0)</f>
        <v>0</v>
      </c>
      <c r="CW830" s="112" t="n">
        <f aca="true">IFERROR(SUMPRODUCT(OFFSET($BJ$31,0,1-MIN(60,COLUMN()-29),1,MIN(60,COLUMN()-29)),OFFSET(CW829,0,-MIN(60,COLUMN()-29),1,MIN(60,COLUMN()-29))),0)</f>
        <v>0</v>
      </c>
      <c r="CX830" s="112" t="n">
        <f aca="true">IFERROR(SUMPRODUCT(OFFSET($BJ$31,0,1-MIN(60,COLUMN()-29),1,MIN(60,COLUMN()-29)),OFFSET(CX829,0,-MIN(60,COLUMN()-29),1,MIN(60,COLUMN()-29))),0)</f>
        <v>0</v>
      </c>
      <c r="CY830" s="112" t="n">
        <f aca="true">IFERROR(SUMPRODUCT(OFFSET($BJ$31,0,1-MIN(60,COLUMN()-29),1,MIN(60,COLUMN()-29)),OFFSET(CY829,0,-MIN(60,COLUMN()-29),1,MIN(60,COLUMN()-29))),0)</f>
        <v>0</v>
      </c>
      <c r="CZ830" s="112" t="n">
        <f aca="true">IFERROR(SUMPRODUCT(OFFSET($BJ$31,0,1-MIN(60,COLUMN()-29),1,MIN(60,COLUMN()-29)),OFFSET(CZ829,0,-MIN(60,COLUMN()-29),1,MIN(60,COLUMN()-29))),0)</f>
        <v>0</v>
      </c>
      <c r="DA830" s="112" t="n">
        <f aca="true">IFERROR(SUMPRODUCT(OFFSET($BJ$31,0,1-MIN(60,COLUMN()-29),1,MIN(60,COLUMN()-29)),OFFSET(DA829,0,-MIN(60,COLUMN()-29),1,MIN(60,COLUMN()-29))),0)</f>
        <v>0</v>
      </c>
      <c r="DB830" s="112" t="n">
        <f aca="true">IFERROR(SUMPRODUCT(OFFSET($BJ$31,0,1-MIN(60,COLUMN()-29),1,MIN(60,COLUMN()-29)),OFFSET(DB829,0,-MIN(60,COLUMN()-29),1,MIN(60,COLUMN()-29))),0)</f>
        <v>0</v>
      </c>
      <c r="DC830" s="112" t="n">
        <f aca="true">IFERROR(SUMPRODUCT(OFFSET($BJ$31,0,1-MIN(60,COLUMN()-29),1,MIN(60,COLUMN()-29)),OFFSET(DC829,0,-MIN(60,COLUMN()-29),1,MIN(60,COLUMN()-29))),0)</f>
        <v>0</v>
      </c>
      <c r="DD830" s="112" t="n">
        <f aca="true">IFERROR(SUMPRODUCT(OFFSET($BJ$31,0,1-MIN(60,COLUMN()-29),1,MIN(60,COLUMN()-29)),OFFSET(DD829,0,-MIN(60,COLUMN()-29),1,MIN(60,COLUMN()-29))),0)</f>
        <v>0</v>
      </c>
      <c r="DE830" s="112" t="n">
        <f aca="true">IFERROR(SUMPRODUCT(OFFSET($BJ$31,0,1-MIN(60,COLUMN()-29),1,MIN(60,COLUMN()-29)),OFFSET(DE829,0,-MIN(60,COLUMN()-29),1,MIN(60,COLUMN()-29))),0)</f>
        <v>0</v>
      </c>
      <c r="DF830" s="112" t="n">
        <f aca="true">IFERROR(SUMPRODUCT(OFFSET($BJ$31,0,1-MIN(60,COLUMN()-29),1,MIN(60,COLUMN()-29)),OFFSET(DF829,0,-MIN(60,COLUMN()-29),1,MIN(60,COLUMN()-29))),0)</f>
        <v>0</v>
      </c>
      <c r="DG830" s="112" t="n">
        <f aca="true">IFERROR(SUMPRODUCT(OFFSET($BJ$31,0,1-MIN(60,COLUMN()-29),1,MIN(60,COLUMN()-29)),OFFSET(DG829,0,-MIN(60,COLUMN()-29),1,MIN(60,COLUMN()-29))),0)</f>
        <v>0</v>
      </c>
      <c r="DH830" s="112" t="n">
        <f aca="true">IFERROR(SUMPRODUCT(OFFSET($BJ$31,0,1-MIN(60,COLUMN()-29),1,MIN(60,COLUMN()-29)),OFFSET(DH829,0,-MIN(60,COLUMN()-29),1,MIN(60,COLUMN()-29))),0)</f>
        <v>0</v>
      </c>
      <c r="DI830" s="112" t="n">
        <f aca="true">IFERROR(SUMPRODUCT(OFFSET($BJ$31,0,1-MIN(60,COLUMN()-29),1,MIN(60,COLUMN()-29)),OFFSET(DI829,0,-MIN(60,COLUMN()-29),1,MIN(60,COLUMN()-29))),0)</f>
        <v>0</v>
      </c>
      <c r="DJ830" s="112" t="n">
        <f aca="true">IFERROR(SUMPRODUCT(OFFSET($BJ$31,0,1-MIN(60,COLUMN()-29),1,MIN(60,COLUMN()-29)),OFFSET(DJ829,0,-MIN(60,COLUMN()-29),1,MIN(60,COLUMN()-29))),0)</f>
        <v>0</v>
      </c>
      <c r="DK830" s="112" t="n">
        <f aca="true">IFERROR(SUMPRODUCT(OFFSET($BJ$31,0,1-MIN(60,COLUMN()-29),1,MIN(60,COLUMN()-29)),OFFSET(DK829,0,-MIN(60,COLUMN()-29),1,MIN(60,COLUMN()-29))),0)</f>
        <v>0</v>
      </c>
      <c r="DL830" s="112" t="n">
        <f aca="true">IFERROR(SUMPRODUCT(OFFSET($BJ$31,0,1-MIN(60,COLUMN()-29),1,MIN(60,COLUMN()-29)),OFFSET(DL829,0,-MIN(60,COLUMN()-29),1,MIN(60,COLUMN()-29))),0)</f>
        <v>0</v>
      </c>
      <c r="DM830" s="112" t="n">
        <f aca="true">IFERROR(SUMPRODUCT(OFFSET($BJ$31,0,1-MIN(60,COLUMN()-29),1,MIN(60,COLUMN()-29)),OFFSET(DM829,0,-MIN(60,COLUMN()-29),1,MIN(60,COLUMN()-29))),0)</f>
        <v>0</v>
      </c>
      <c r="DN830" s="112" t="n">
        <f aca="true">IFERROR(SUMPRODUCT(OFFSET($BJ$31,0,1-MIN(60,COLUMN()-29),1,MIN(60,COLUMN()-29)),OFFSET(DN829,0,-MIN(60,COLUMN()-29),1,MIN(60,COLUMN()-29))),0)</f>
        <v>0</v>
      </c>
      <c r="DO830" s="112" t="n">
        <f aca="true">IFERROR(SUMPRODUCT(OFFSET($BJ$31,0,1-MIN(60,COLUMN()-29),1,MIN(60,COLUMN()-29)),OFFSET(DO829,0,-MIN(60,COLUMN()-29),1,MIN(60,COLUMN()-29))),0)</f>
        <v>0</v>
      </c>
      <c r="DP830" s="112" t="n">
        <f aca="true">IFERROR(SUMPRODUCT(OFFSET($BJ$31,0,1-MIN(60,COLUMN()-29),1,MIN(60,COLUMN()-29)),OFFSET(DP829,0,-MIN(60,COLUMN()-29),1,MIN(60,COLUMN()-29))),0)</f>
        <v>0</v>
      </c>
      <c r="DQ830" s="112" t="n">
        <f aca="true">IFERROR(SUMPRODUCT(OFFSET($BJ$31,0,1-MIN(60,COLUMN()-29),1,MIN(60,COLUMN()-29)),OFFSET(DQ829,0,-MIN(60,COLUMN()-29),1,MIN(60,COLUMN()-29))),0)</f>
        <v>0</v>
      </c>
      <c r="DR830" s="112" t="n">
        <f aca="true">IFERROR(SUMPRODUCT(OFFSET($BJ$31,0,1-MIN(60,COLUMN()-29),1,MIN(60,COLUMN()-29)),OFFSET(DR829,0,-MIN(60,COLUMN()-29),1,MIN(60,COLUMN()-29))),0)</f>
        <v>0</v>
      </c>
      <c r="DS830" s="112" t="n">
        <f aca="true">IFERROR(SUMPRODUCT(OFFSET($BJ$31,0,1-MIN(60,COLUMN()-29),1,MIN(60,COLUMN()-29)),OFFSET(DS829,0,-MIN(60,COLUMN()-29),1,MIN(60,COLUMN()-29))),0)</f>
        <v>0</v>
      </c>
      <c r="DT830" s="112" t="n">
        <f aca="true">IFERROR(SUMPRODUCT(OFFSET($BJ$31,0,1-MIN(60,COLUMN()-29),1,MIN(60,COLUMN()-29)),OFFSET(DT829,0,-MIN(60,COLUMN()-29),1,MIN(60,COLUMN()-29))),0)</f>
        <v>0</v>
      </c>
      <c r="DU830" s="112" t="n">
        <f aca="true">IFERROR(SUMPRODUCT(OFFSET($BJ$31,0,1-MIN(60,COLUMN()-29),1,MIN(60,COLUMN()-29)),OFFSET(DU829,0,-MIN(60,COLUMN()-29),1,MIN(60,COLUMN()-29))),0)</f>
        <v>0</v>
      </c>
      <c r="DV830" s="112" t="n">
        <f aca="true">IFERROR(SUMPRODUCT(OFFSET($BJ$31,0,1-MIN(60,COLUMN()-29),1,MIN(60,COLUMN()-29)),OFFSET(DV829,0,-MIN(60,COLUMN()-29),1,MIN(60,COLUMN()-29))),0)</f>
        <v>0</v>
      </c>
      <c r="DW830" s="112" t="n">
        <f aca="true">IFERROR(SUMPRODUCT(OFFSET($BJ$31,0,1-MIN(60,COLUMN()-29),1,MIN(60,COLUMN()-29)),OFFSET(DW829,0,-MIN(60,COLUMN()-29),1,MIN(60,COLUMN()-29))),0)</f>
        <v>0</v>
      </c>
      <c r="DX830" s="112" t="n">
        <f aca="true">IFERROR(SUMPRODUCT(OFFSET($BJ$31,0,1-MIN(60,COLUMN()-29),1,MIN(60,COLUMN()-29)),OFFSET(DX829,0,-MIN(60,COLUMN()-29),1,MIN(60,COLUMN()-29))),0)</f>
        <v>0</v>
      </c>
      <c r="DY830" s="112" t="n">
        <f aca="true">IFERROR(SUMPRODUCT(OFFSET($BJ$31,0,1-MIN(60,COLUMN()-29),1,MIN(60,COLUMN()-29)),OFFSET(DY829,0,-MIN(60,COLUMN()-29),1,MIN(60,COLUMN()-29))),0)</f>
        <v>0</v>
      </c>
      <c r="DZ830" s="112" t="n">
        <f aca="true">IFERROR(SUMPRODUCT(OFFSET($BJ$31,0,1-MIN(60,COLUMN()-29),1,MIN(60,COLUMN()-29)),OFFSET(DZ829,0,-MIN(60,COLUMN()-29),1,MIN(60,COLUMN()-29))),0)</f>
        <v>0</v>
      </c>
      <c r="EA830" s="112" t="n">
        <f aca="true">IFERROR(SUMPRODUCT(OFFSET($BJ$31,0,1-MIN(60,COLUMN()-29),1,MIN(60,COLUMN()-29)),OFFSET(EA829,0,-MIN(60,COLUMN()-29),1,MIN(60,COLUMN()-29))),0)</f>
        <v>0</v>
      </c>
      <c r="EB830" s="112" t="n">
        <f aca="true">IFERROR(SUMPRODUCT(OFFSET($BJ$31,0,1-MIN(60,COLUMN()-29),1,MIN(60,COLUMN()-29)),OFFSET(EB829,0,-MIN(60,COLUMN()-29),1,MIN(60,COLUMN()-29))),0)</f>
        <v>0</v>
      </c>
      <c r="EC830" s="112" t="n">
        <f aca="true">IFERROR(SUMPRODUCT(OFFSET($BJ$31,0,1-MIN(60,COLUMN()-29),1,MIN(60,COLUMN()-29)),OFFSET(EC829,0,-MIN(60,COLUMN()-29),1,MIN(60,COLUMN()-29))),0)</f>
        <v>0</v>
      </c>
      <c r="ED830" s="112" t="n">
        <f aca="true">IFERROR(SUMPRODUCT(OFFSET($BJ$31,0,1-MIN(60,COLUMN()-29),1,MIN(60,COLUMN()-29)),OFFSET(ED829,0,-MIN(60,COLUMN()-29),1,MIN(60,COLUMN()-29))),0)</f>
        <v>0</v>
      </c>
      <c r="EE830" s="112" t="n">
        <f aca="true">IFERROR(SUMPRODUCT(OFFSET($BJ$31,0,1-MIN(60,COLUMN()-29),1,MIN(60,COLUMN()-29)),OFFSET(EE829,0,-MIN(60,COLUMN()-29),1,MIN(60,COLUMN()-29))),0)</f>
        <v>0</v>
      </c>
      <c r="EF830" s="112" t="n">
        <f aca="true">IFERROR(SUMPRODUCT(OFFSET($BJ$31,0,1-MIN(60,COLUMN()-29),1,MIN(60,COLUMN()-29)),OFFSET(EF829,0,-MIN(60,COLUMN()-29),1,MIN(60,COLUMN()-29))),0)</f>
        <v>0</v>
      </c>
      <c r="EG830" s="112" t="n">
        <f aca="true">IFERROR(SUMPRODUCT(OFFSET($BJ$31,0,1-MIN(60,COLUMN()-29),1,MIN(60,COLUMN()-29)),OFFSET(EG829,0,-MIN(60,COLUMN()-29),1,MIN(60,COLUMN()-29))),0)</f>
        <v>0</v>
      </c>
      <c r="EH830" s="112" t="n">
        <f aca="true">IFERROR(SUMPRODUCT(OFFSET($BJ$31,0,1-MIN(60,COLUMN()-29),1,MIN(60,COLUMN()-29)),OFFSET(EH829,0,-MIN(60,COLUMN()-29),1,MIN(60,COLUMN()-29))),0)</f>
        <v>0</v>
      </c>
      <c r="EI830" s="112" t="n">
        <f aca="true">IFERROR(SUMPRODUCT(OFFSET($BJ$31,0,1-MIN(60,COLUMN()-29),1,MIN(60,COLUMN()-29)),OFFSET(EI829,0,-MIN(60,COLUMN()-29),1,MIN(60,COLUMN()-29))),0)</f>
        <v>0</v>
      </c>
      <c r="EJ830" s="112" t="n">
        <f aca="true">IFERROR(SUMPRODUCT(OFFSET($BJ$31,0,1-MIN(60,COLUMN()-29),1,MIN(60,COLUMN()-29)),OFFSET(EJ829,0,-MIN(60,COLUMN()-29),1,MIN(60,COLUMN()-29))),0)</f>
        <v>0</v>
      </c>
      <c r="EK830" s="112" t="n">
        <f aca="true">IFERROR(SUMPRODUCT(OFFSET($BJ$31,0,1-MIN(60,COLUMN()-29),1,MIN(60,COLUMN()-29)),OFFSET(EK829,0,-MIN(60,COLUMN()-29),1,MIN(60,COLUMN()-29))),0)</f>
        <v>0</v>
      </c>
      <c r="EL830" s="112" t="n">
        <f aca="true">IFERROR(SUMPRODUCT(OFFSET($BJ$31,0,1-MIN(60,COLUMN()-29),1,MIN(60,COLUMN()-29)),OFFSET(EL829,0,-MIN(60,COLUMN()-29),1,MIN(60,COLUMN()-29))),0)</f>
        <v>0</v>
      </c>
      <c r="EM830" s="112" t="n">
        <f aca="true">IFERROR(SUMPRODUCT(OFFSET($BJ$31,0,1-MIN(60,COLUMN()-29),1,MIN(60,COLUMN()-29)),OFFSET(EM829,0,-MIN(60,COLUMN()-29),1,MIN(60,COLUMN()-29))),0)</f>
        <v>0</v>
      </c>
      <c r="EN830" s="112" t="n">
        <f aca="true">IFERROR(SUMPRODUCT(OFFSET($BJ$31,0,1-MIN(60,COLUMN()-29),1,MIN(60,COLUMN()-29)),OFFSET(EN829,0,-MIN(60,COLUMN()-29),1,MIN(60,COLUMN()-29))),0)</f>
        <v>0</v>
      </c>
      <c r="EO830" s="112" t="n">
        <f aca="true">IFERROR(SUMPRODUCT(OFFSET($BJ$31,0,1-MIN(60,COLUMN()-29),1,MIN(60,COLUMN()-29)),OFFSET(EO829,0,-MIN(60,COLUMN()-29),1,MIN(60,COLUMN()-29))),0)</f>
        <v>0</v>
      </c>
      <c r="EP830" s="112" t="n">
        <f aca="true">IFERROR(SUMPRODUCT(OFFSET($BJ$31,0,1-MIN(60,COLUMN()-29),1,MIN(60,COLUMN()-29)),OFFSET(EP829,0,-MIN(60,COLUMN()-29),1,MIN(60,COLUMN()-29))),0)</f>
        <v>0</v>
      </c>
      <c r="EQ830" s="112" t="n">
        <f aca="true">IFERROR(SUMPRODUCT(OFFSET($BJ$31,0,1-MIN(60,COLUMN()-29),1,MIN(60,COLUMN()-29)),OFFSET(EQ829,0,-MIN(60,COLUMN()-29),1,MIN(60,COLUMN()-29))),0)</f>
        <v>0</v>
      </c>
      <c r="ER830" s="112" t="n">
        <f aca="true">IFERROR(SUMPRODUCT(OFFSET($BJ$31,0,1-MIN(60,COLUMN()-29),1,MIN(60,COLUMN()-29)),OFFSET(ER829,0,-MIN(60,COLUMN()-29),1,MIN(60,COLUMN()-29))),0)</f>
        <v>0</v>
      </c>
      <c r="ES830" s="9" t="n">
        <f aca="true">IFERROR(SUMPRODUCT(OFFSET($BJ$31,0,1-MIN(60,COLUMN()-29),1,MIN(60,COLUMN()-29)),OFFSET(ES829,0,-MIN(60,COLUMN()-29),1,MIN(60,COLUMN()-29))),0)</f>
        <v>0</v>
      </c>
      <c r="ET830" s="9" t="n">
        <f aca="true">IFERROR(SUMPRODUCT(OFFSET($BJ$31,0,1-MIN(60,COLUMN()-29),1,MIN(60,COLUMN()-29)),OFFSET(ET829,0,-MIN(60,COLUMN()-29),1,MIN(60,COLUMN()-29))),0)</f>
        <v>0</v>
      </c>
      <c r="EU830" s="9" t="n">
        <f aca="true">IFERROR(SUMPRODUCT(OFFSET($BJ$31,0,1-MIN(60,COLUMN()-29),1,MIN(60,COLUMN()-29)),OFFSET(EU829,0,-MIN(60,COLUMN()-29),1,MIN(60,COLUMN()-29))),0)</f>
        <v>0</v>
      </c>
      <c r="EV830" s="9" t="n">
        <f aca="true">IFERROR(SUMPRODUCT(OFFSET($BJ$31,0,1-MIN(60,COLUMN()-29),1,MIN(60,COLUMN()-29)),OFFSET(EV829,0,-MIN(60,COLUMN()-29),1,MIN(60,COLUMN()-29))),0)</f>
        <v>5.49376</v>
      </c>
      <c r="EW830" s="9" t="n">
        <f aca="true">IFERROR(SUMPRODUCT(OFFSET($BJ$31,0,1-MIN(60,COLUMN()-29),1,MIN(60,COLUMN()-29)),OFFSET(EW829,0,-MIN(60,COLUMN()-29),1,MIN(60,COLUMN()-29))),0)</f>
        <v>6.485952</v>
      </c>
      <c r="EX830" s="9" t="n">
        <f aca="true">IFERROR(SUMPRODUCT(OFFSET($BJ$31,0,1-MIN(60,COLUMN()-29),1,MIN(60,COLUMN()-29)),OFFSET(EX829,0,-MIN(60,COLUMN()-29),1,MIN(60,COLUMN()-29))),0)</f>
        <v>6.977904</v>
      </c>
      <c r="EY830" s="9" t="n">
        <f aca="true">IFERROR(SUMPRODUCT(OFFSET($BJ$31,0,1-MIN(60,COLUMN()-29),1,MIN(60,COLUMN()-29)),OFFSET(EY829,0,-MIN(60,COLUMN()-29),1,MIN(60,COLUMN()-29))),0)</f>
        <v>7.3860288</v>
      </c>
      <c r="EZ830" s="9" t="n">
        <f aca="true">IFERROR(SUMPRODUCT(OFFSET($BJ$31,0,1-MIN(60,COLUMN()-29),1,MIN(60,COLUMN()-29)),OFFSET(EZ829,0,-MIN(60,COLUMN()-29),1,MIN(60,COLUMN()-29))),0)</f>
        <v>7.9740032</v>
      </c>
      <c r="FA830" s="9" t="n">
        <f aca="true">IFERROR(SUMPRODUCT(OFFSET($BJ$31,0,1-MIN(60,COLUMN()-29),1,MIN(60,COLUMN()-29)),OFFSET(FA829,0,-MIN(60,COLUMN()-29),1,MIN(60,COLUMN()-29))),0)</f>
        <v>13.2161632</v>
      </c>
      <c r="FB830" s="9" t="n">
        <f aca="true">IFERROR(SUMPRODUCT(OFFSET($BJ$31,0,1-MIN(60,COLUMN()-29),1,MIN(60,COLUMN()-29)),OFFSET(FB829,0,-MIN(60,COLUMN()-29),1,MIN(60,COLUMN()-29))),0)</f>
        <v>13.7924752</v>
      </c>
      <c r="FC830" s="9" t="n">
        <f aca="true">IFERROR(SUMPRODUCT(OFFSET($BJ$31,0,1-MIN(60,COLUMN()-29),1,MIN(60,COLUMN()-29)),OFFSET(FC829,0,-MIN(60,COLUMN()-29),1,MIN(60,COLUMN()-29))),0)</f>
        <v>14.0510016</v>
      </c>
      <c r="FD830" s="9" t="n">
        <f aca="true">IFERROR(SUMPRODUCT(OFFSET($BJ$31,0,1-MIN(60,COLUMN()-29),1,MIN(60,COLUMN()-29)),OFFSET(FD829,0,-MIN(60,COLUMN()-29),1,MIN(60,COLUMN()-29))),0)</f>
        <v>13.3208288</v>
      </c>
      <c r="FE830" s="9" t="n">
        <f aca="true">IFERROR(SUMPRODUCT(OFFSET($BJ$31,0,1-MIN(60,COLUMN()-29),1,MIN(60,COLUMN()-29)),OFFSET(FE829,0,-MIN(60,COLUMN()-29),1,MIN(60,COLUMN()-29))),0)</f>
        <v>17.1758144</v>
      </c>
      <c r="FF830" s="9" t="n">
        <f aca="true">IFERROR(SUMPRODUCT(OFFSET($BJ$31,0,1-MIN(60,COLUMN()-29),1,MIN(60,COLUMN()-29)),OFFSET(FF829,0,-MIN(60,COLUMN()-29),1,MIN(60,COLUMN()-29))),0)</f>
        <v>19.2289296</v>
      </c>
      <c r="FG830" s="9" t="n">
        <f aca="true">IFERROR(SUMPRODUCT(OFFSET($BJ$31,0,1-MIN(60,COLUMN()-29),1,MIN(60,COLUMN()-29)),OFFSET(FG829,0,-MIN(60,COLUMN()-29),1,MIN(60,COLUMN()-29))),0)</f>
        <v>19.3381536</v>
      </c>
      <c r="FH830" s="9" t="n">
        <f aca="true">IFERROR(SUMPRODUCT(OFFSET($BJ$31,0,1-MIN(60,COLUMN()-29),1,MIN(60,COLUMN()-29)),OFFSET(FH829,0,-MIN(60,COLUMN()-29),1,MIN(60,COLUMN()-29))),0)</f>
        <v>26.4349904</v>
      </c>
      <c r="FI830" s="9" t="n">
        <f aca="true">IFERROR(SUMPRODUCT(OFFSET($BJ$31,0,1-MIN(60,COLUMN()-29),1,MIN(60,COLUMN()-29)),OFFSET(FI829,0,-MIN(60,COLUMN()-29),1,MIN(60,COLUMN()-29))),0)</f>
        <v>28.1014112</v>
      </c>
      <c r="FJ830" s="9" t="n">
        <f aca="true">IFERROR(SUMPRODUCT(OFFSET($BJ$31,0,1-MIN(60,COLUMN()-29),1,MIN(60,COLUMN()-29)),OFFSET(FJ829,0,-MIN(60,COLUMN()-29),1,MIN(60,COLUMN()-29))),0)</f>
        <v>27.306888</v>
      </c>
      <c r="FK830" s="9" t="n">
        <f aca="true">IFERROR(SUMPRODUCT(OFFSET($BJ$31,0,1-MIN(60,COLUMN()-29),1,MIN(60,COLUMN()-29)),OFFSET(FK829,0,-MIN(60,COLUMN()-29),1,MIN(60,COLUMN()-29))),0)</f>
        <v>29.3172608</v>
      </c>
      <c r="FL830" s="9" t="n">
        <f aca="true">IFERROR(SUMPRODUCT(OFFSET($BJ$31,0,1-MIN(60,COLUMN()-29),1,MIN(60,COLUMN()-29)),OFFSET(FL829,0,-MIN(60,COLUMN()-29),1,MIN(60,COLUMN()-29))),0)</f>
        <v>33.2778592</v>
      </c>
      <c r="FM830" s="9" t="n">
        <f aca="true">IFERROR(SUMPRODUCT(OFFSET($BJ$31,0,1-MIN(60,COLUMN()-29),1,MIN(60,COLUMN()-29)),OFFSET(FM829,0,-MIN(60,COLUMN()-29),1,MIN(60,COLUMN()-29))),0)</f>
        <v>48.07520408</v>
      </c>
      <c r="FN830" s="9" t="n">
        <f aca="true">IFERROR(SUMPRODUCT(OFFSET($BJ$31,0,1-MIN(60,COLUMN()-29),1,MIN(60,COLUMN()-29)),OFFSET(FN829,0,-MIN(60,COLUMN()-29),1,MIN(60,COLUMN()-29))),0)</f>
        <v>47.86676088</v>
      </c>
      <c r="FO830" s="9" t="n">
        <f aca="true">IFERROR(SUMPRODUCT(OFFSET($BJ$31,0,1-MIN(60,COLUMN()-29),1,MIN(60,COLUMN()-29)),OFFSET(FO829,0,-MIN(60,COLUMN()-29),1,MIN(60,COLUMN()-29))),0)</f>
        <v>46.914742</v>
      </c>
      <c r="FP830" s="9" t="n">
        <f aca="true">IFERROR(SUMPRODUCT(OFFSET($BJ$31,0,1-MIN(60,COLUMN()-29),1,MIN(60,COLUMN()-29)),OFFSET(FP829,0,-MIN(60,COLUMN()-29),1,MIN(60,COLUMN()-29))),0)</f>
        <v>44.04318976</v>
      </c>
    </row>
    <row r="831" customFormat="false" ht="15" hidden="false" customHeight="false" outlineLevel="2" collapsed="false">
      <c r="B831" s="90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237"/>
      <c r="AD831" s="237"/>
      <c r="AE831" s="237"/>
      <c r="AF831" s="237"/>
      <c r="AG831" s="237"/>
      <c r="AH831" s="237"/>
      <c r="AI831" s="237"/>
      <c r="AJ831" s="237"/>
      <c r="AK831" s="237"/>
      <c r="AL831" s="237"/>
      <c r="AM831" s="237"/>
      <c r="AN831" s="237"/>
      <c r="AO831" s="237"/>
      <c r="AP831" s="237"/>
      <c r="AQ831" s="237"/>
      <c r="AR831" s="237"/>
      <c r="AS831" s="237"/>
      <c r="AT831" s="237"/>
      <c r="AU831" s="237"/>
      <c r="AV831" s="237"/>
      <c r="AW831" s="237"/>
      <c r="AX831" s="237"/>
      <c r="AY831" s="237"/>
      <c r="AZ831" s="237"/>
      <c r="BA831" s="237"/>
      <c r="BB831" s="237"/>
      <c r="BC831" s="237"/>
      <c r="BD831" s="237"/>
      <c r="BE831" s="237"/>
      <c r="BF831" s="237"/>
      <c r="BG831" s="237"/>
      <c r="BH831" s="237"/>
      <c r="BI831" s="237"/>
      <c r="BJ831" s="237"/>
      <c r="BK831" s="237"/>
      <c r="BL831" s="237"/>
      <c r="BM831" s="237"/>
      <c r="BN831" s="237"/>
      <c r="BO831" s="237"/>
      <c r="BP831" s="237"/>
      <c r="BQ831" s="237"/>
      <c r="BR831" s="237"/>
      <c r="BS831" s="237"/>
      <c r="BT831" s="237"/>
      <c r="BU831" s="237"/>
      <c r="BV831" s="237"/>
      <c r="BW831" s="237"/>
      <c r="BX831" s="237"/>
      <c r="BY831" s="237"/>
      <c r="BZ831" s="237"/>
      <c r="CA831" s="237"/>
      <c r="CB831" s="237"/>
      <c r="CC831" s="237"/>
      <c r="CD831" s="237"/>
      <c r="CE831" s="237"/>
      <c r="CF831" s="237"/>
      <c r="CG831" s="237"/>
      <c r="CH831" s="237"/>
      <c r="CI831" s="237"/>
      <c r="CJ831" s="237"/>
      <c r="CK831" s="237"/>
      <c r="CL831" s="237"/>
      <c r="CM831" s="237"/>
      <c r="CN831" s="237"/>
      <c r="CO831" s="237"/>
      <c r="CP831" s="237"/>
      <c r="CQ831" s="237"/>
      <c r="CR831" s="237"/>
      <c r="CS831" s="237"/>
      <c r="CT831" s="237"/>
      <c r="CU831" s="237"/>
      <c r="CV831" s="237"/>
      <c r="CW831" s="237"/>
      <c r="CX831" s="237"/>
      <c r="CY831" s="237"/>
      <c r="CZ831" s="237"/>
      <c r="DA831" s="237"/>
      <c r="DB831" s="237"/>
      <c r="DC831" s="237"/>
      <c r="DD831" s="237"/>
      <c r="DE831" s="237"/>
      <c r="DF831" s="237"/>
      <c r="DG831" s="237"/>
      <c r="DH831" s="237"/>
      <c r="DI831" s="237"/>
      <c r="DJ831" s="237"/>
      <c r="DK831" s="237"/>
      <c r="DL831" s="237"/>
      <c r="DM831" s="237"/>
      <c r="DN831" s="237"/>
      <c r="DO831" s="237"/>
      <c r="DP831" s="237"/>
      <c r="DQ831" s="237"/>
      <c r="DR831" s="237"/>
      <c r="DS831" s="237"/>
      <c r="DT831" s="237"/>
      <c r="DU831" s="237"/>
      <c r="DV831" s="237"/>
      <c r="DW831" s="237"/>
      <c r="DX831" s="237"/>
      <c r="DY831" s="237"/>
      <c r="DZ831" s="237"/>
      <c r="EA831" s="237"/>
      <c r="EB831" s="237"/>
      <c r="EC831" s="237"/>
      <c r="ED831" s="237"/>
      <c r="EE831" s="237"/>
      <c r="EF831" s="237"/>
      <c r="EG831" s="237"/>
      <c r="EH831" s="237"/>
      <c r="EI831" s="237"/>
      <c r="EJ831" s="237"/>
      <c r="EK831" s="237"/>
      <c r="EL831" s="237"/>
      <c r="EM831" s="237"/>
      <c r="EN831" s="237"/>
      <c r="EO831" s="237"/>
      <c r="EP831" s="237"/>
      <c r="EQ831" s="237"/>
      <c r="ER831" s="237"/>
      <c r="ES831" s="9"/>
      <c r="ET831" s="9"/>
      <c r="EU831" s="9"/>
      <c r="EV831" s="9"/>
      <c r="EW831" s="9"/>
      <c r="EX831" s="9"/>
      <c r="EY831" s="9"/>
      <c r="EZ831" s="9"/>
      <c r="FA831" s="9"/>
      <c r="FB831" s="9"/>
      <c r="FC831" s="9"/>
      <c r="FD831" s="9"/>
      <c r="FE831" s="9"/>
      <c r="FF831" s="9"/>
      <c r="FG831" s="9"/>
      <c r="FH831" s="9"/>
      <c r="FI831" s="9"/>
      <c r="FJ831" s="9"/>
      <c r="FK831" s="9"/>
      <c r="FL831" s="9"/>
      <c r="FM831" s="9"/>
      <c r="FN831" s="9"/>
      <c r="FO831" s="9"/>
      <c r="FP831" s="9"/>
    </row>
    <row r="832" customFormat="false" ht="15" hidden="false" customHeight="false" outlineLevel="2" collapsed="false">
      <c r="B832" s="240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237"/>
      <c r="AD832" s="237"/>
      <c r="AE832" s="237"/>
      <c r="AF832" s="237"/>
      <c r="AG832" s="237"/>
      <c r="AH832" s="237"/>
      <c r="AI832" s="237"/>
      <c r="AJ832" s="237"/>
      <c r="AK832" s="237"/>
      <c r="AL832" s="237"/>
      <c r="AM832" s="237"/>
      <c r="AN832" s="237"/>
      <c r="AO832" s="237"/>
      <c r="AP832" s="237"/>
      <c r="AQ832" s="237"/>
      <c r="AR832" s="237"/>
      <c r="AS832" s="237"/>
      <c r="AT832" s="237"/>
      <c r="AU832" s="237"/>
      <c r="AV832" s="237"/>
      <c r="AW832" s="237"/>
      <c r="AX832" s="237"/>
      <c r="AY832" s="237"/>
      <c r="AZ832" s="237"/>
      <c r="BA832" s="237"/>
      <c r="BB832" s="237"/>
      <c r="BC832" s="237"/>
      <c r="BD832" s="237"/>
      <c r="BE832" s="237"/>
      <c r="BF832" s="237"/>
      <c r="BG832" s="237"/>
      <c r="BH832" s="237"/>
      <c r="BI832" s="237"/>
      <c r="BJ832" s="237"/>
      <c r="BK832" s="237"/>
      <c r="BL832" s="237"/>
      <c r="BM832" s="237"/>
      <c r="BN832" s="237"/>
      <c r="BO832" s="237"/>
      <c r="BP832" s="237"/>
      <c r="BQ832" s="237"/>
      <c r="BR832" s="237"/>
      <c r="BS832" s="237"/>
      <c r="BT832" s="237"/>
      <c r="BU832" s="237"/>
      <c r="BV832" s="237"/>
      <c r="BW832" s="237"/>
      <c r="BX832" s="237"/>
      <c r="BY832" s="237"/>
      <c r="BZ832" s="237"/>
      <c r="CA832" s="237"/>
      <c r="CB832" s="237"/>
      <c r="CC832" s="237"/>
      <c r="CD832" s="237"/>
      <c r="CE832" s="237"/>
      <c r="CF832" s="237"/>
      <c r="CG832" s="237"/>
      <c r="CH832" s="237"/>
      <c r="CI832" s="237"/>
      <c r="CJ832" s="237"/>
      <c r="CK832" s="237"/>
      <c r="CL832" s="237"/>
      <c r="CM832" s="237"/>
      <c r="CN832" s="237"/>
      <c r="CO832" s="237"/>
      <c r="CP832" s="237"/>
      <c r="CQ832" s="237"/>
      <c r="CR832" s="237"/>
      <c r="CS832" s="237"/>
      <c r="CT832" s="237"/>
      <c r="CU832" s="237"/>
      <c r="CV832" s="237"/>
      <c r="CW832" s="237"/>
      <c r="CX832" s="237"/>
      <c r="CY832" s="237"/>
      <c r="CZ832" s="237"/>
      <c r="DA832" s="237"/>
      <c r="DB832" s="237"/>
      <c r="DC832" s="237"/>
      <c r="DD832" s="237"/>
      <c r="DE832" s="237"/>
      <c r="DF832" s="237"/>
      <c r="DG832" s="237"/>
      <c r="DH832" s="237"/>
      <c r="DI832" s="237"/>
      <c r="DJ832" s="237"/>
      <c r="DK832" s="237"/>
      <c r="DL832" s="237"/>
      <c r="DM832" s="237"/>
      <c r="DN832" s="237"/>
      <c r="DO832" s="237"/>
      <c r="DP832" s="237"/>
      <c r="DQ832" s="237"/>
      <c r="DR832" s="237"/>
      <c r="DS832" s="237"/>
      <c r="DT832" s="237"/>
      <c r="DU832" s="237"/>
      <c r="DV832" s="237"/>
      <c r="DW832" s="237"/>
      <c r="DX832" s="237"/>
      <c r="DY832" s="237"/>
      <c r="DZ832" s="237"/>
      <c r="EA832" s="237"/>
      <c r="EB832" s="237"/>
      <c r="EC832" s="237"/>
      <c r="ED832" s="237"/>
      <c r="EE832" s="237"/>
      <c r="EF832" s="237"/>
      <c r="EG832" s="237"/>
      <c r="EH832" s="237"/>
      <c r="EI832" s="237"/>
      <c r="EJ832" s="237"/>
      <c r="EK832" s="237"/>
      <c r="EL832" s="237"/>
      <c r="EM832" s="237"/>
      <c r="EN832" s="237"/>
      <c r="EO832" s="237"/>
      <c r="EP832" s="237"/>
      <c r="EQ832" s="237"/>
      <c r="ER832" s="237"/>
      <c r="ES832" s="9"/>
      <c r="ET832" s="9"/>
      <c r="EU832" s="9"/>
      <c r="EV832" s="9"/>
      <c r="EW832" s="9"/>
      <c r="EX832" s="9"/>
      <c r="EY832" s="9"/>
      <c r="EZ832" s="9"/>
      <c r="FA832" s="9"/>
      <c r="FB832" s="9"/>
      <c r="FC832" s="9"/>
      <c r="FD832" s="9"/>
      <c r="FE832" s="9"/>
      <c r="FF832" s="9"/>
      <c r="FG832" s="9"/>
      <c r="FH832" s="9"/>
      <c r="FI832" s="9"/>
      <c r="FJ832" s="9"/>
      <c r="FK832" s="9"/>
      <c r="FL832" s="9"/>
      <c r="FM832" s="9"/>
      <c r="FN832" s="9"/>
      <c r="FO832" s="9"/>
      <c r="FP832" s="9"/>
    </row>
    <row r="833" customFormat="false" ht="15" hidden="false" customHeight="false" outlineLevel="2" collapsed="false">
      <c r="B833" s="21" t="s">
        <v>956</v>
      </c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  <c r="AP833" s="21"/>
      <c r="AQ833" s="21"/>
      <c r="AR833" s="21"/>
      <c r="AS833" s="21"/>
      <c r="AT833" s="21"/>
      <c r="AU833" s="21"/>
      <c r="AV833" s="21"/>
      <c r="AW833" s="21"/>
      <c r="AX833" s="21"/>
      <c r="AY833" s="21"/>
      <c r="AZ833" s="21"/>
      <c r="BA833" s="21"/>
      <c r="BB833" s="21"/>
      <c r="BC833" s="21"/>
      <c r="BD833" s="21"/>
      <c r="BE833" s="21"/>
      <c r="BF833" s="21"/>
      <c r="BG833" s="21"/>
      <c r="BH833" s="21"/>
      <c r="BI833" s="21"/>
      <c r="BJ833" s="21"/>
      <c r="BK833" s="21"/>
      <c r="BL833" s="21"/>
      <c r="BM833" s="21"/>
      <c r="BN833" s="21"/>
      <c r="BO833" s="21"/>
      <c r="BP833" s="21"/>
      <c r="BQ833" s="21"/>
      <c r="BR833" s="21"/>
      <c r="BS833" s="21"/>
      <c r="BT833" s="21"/>
      <c r="BU833" s="21"/>
      <c r="BV833" s="21"/>
      <c r="BW833" s="21"/>
      <c r="BX833" s="21"/>
      <c r="BY833" s="21"/>
      <c r="BZ833" s="21"/>
      <c r="CA833" s="21"/>
      <c r="CB833" s="21"/>
      <c r="CC833" s="21"/>
      <c r="CD833" s="21"/>
      <c r="CE833" s="21"/>
      <c r="CF833" s="21"/>
      <c r="CG833" s="21"/>
      <c r="CH833" s="21"/>
      <c r="CI833" s="21"/>
      <c r="CJ833" s="21"/>
      <c r="CK833" s="21"/>
      <c r="CL833" s="21"/>
      <c r="CM833" s="21"/>
      <c r="CN833" s="21"/>
      <c r="CO833" s="21"/>
      <c r="CP833" s="21"/>
      <c r="CQ833" s="21"/>
      <c r="CR833" s="21"/>
      <c r="CS833" s="21"/>
      <c r="CT833" s="21"/>
      <c r="CU833" s="21"/>
      <c r="CV833" s="21"/>
      <c r="CW833" s="21"/>
      <c r="CX833" s="21"/>
      <c r="CY833" s="21"/>
      <c r="CZ833" s="21"/>
      <c r="DA833" s="21"/>
      <c r="DB833" s="21"/>
      <c r="DC833" s="21"/>
      <c r="DD833" s="21"/>
      <c r="DE833" s="21"/>
      <c r="DF833" s="21"/>
      <c r="DG833" s="21"/>
      <c r="DH833" s="21"/>
      <c r="DI833" s="21"/>
      <c r="DJ833" s="21"/>
      <c r="DK833" s="21"/>
      <c r="DL833" s="21"/>
      <c r="DM833" s="21"/>
      <c r="DN833" s="21"/>
      <c r="DO833" s="21"/>
      <c r="DP833" s="21"/>
      <c r="DQ833" s="21"/>
      <c r="DR833" s="21"/>
      <c r="DS833" s="21"/>
      <c r="DT833" s="21"/>
      <c r="DU833" s="21"/>
      <c r="DV833" s="21"/>
      <c r="DW833" s="21"/>
      <c r="DX833" s="21"/>
      <c r="DY833" s="21"/>
      <c r="DZ833" s="21"/>
      <c r="EA833" s="21"/>
      <c r="EB833" s="21"/>
      <c r="EC833" s="21"/>
      <c r="ED833" s="21"/>
      <c r="EE833" s="21"/>
      <c r="EF833" s="21"/>
      <c r="EG833" s="21"/>
      <c r="EH833" s="21"/>
      <c r="EI833" s="21"/>
      <c r="EJ833" s="21"/>
      <c r="EK833" s="21"/>
      <c r="EL833" s="21"/>
      <c r="EM833" s="21"/>
      <c r="EN833" s="21"/>
      <c r="EO833" s="21"/>
      <c r="EP833" s="21"/>
      <c r="EQ833" s="21"/>
      <c r="ER833" s="21"/>
      <c r="ES833" s="9"/>
      <c r="ET833" s="9"/>
      <c r="EU833" s="9"/>
      <c r="EV833" s="9"/>
      <c r="EW833" s="9"/>
      <c r="EX833" s="9"/>
      <c r="EY833" s="9"/>
      <c r="EZ833" s="9"/>
      <c r="FA833" s="9"/>
      <c r="FB833" s="9"/>
      <c r="FC833" s="9"/>
      <c r="FD833" s="9"/>
      <c r="FE833" s="9"/>
      <c r="FF833" s="9"/>
      <c r="FG833" s="9"/>
      <c r="FH833" s="9"/>
      <c r="FI833" s="9"/>
      <c r="FJ833" s="9"/>
      <c r="FK833" s="9"/>
      <c r="FL833" s="9"/>
      <c r="FM833" s="9"/>
      <c r="FN833" s="9"/>
      <c r="FO833" s="9"/>
      <c r="FP833" s="9"/>
    </row>
    <row r="834" customFormat="false" ht="15" hidden="false" customHeight="false" outlineLevel="2" collapsed="false">
      <c r="B834" s="9" t="s">
        <v>872</v>
      </c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234" t="n">
        <f aca="false">('⑫ Roll-out Plan'!G88-2025)*12+'⑫ Roll-out Plan'!F88</f>
        <v>136</v>
      </c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  <c r="CO834" s="9"/>
      <c r="CP834" s="9"/>
      <c r="CQ834" s="9"/>
      <c r="CR834" s="9"/>
      <c r="CS834" s="9"/>
      <c r="CT834" s="9"/>
      <c r="CU834" s="9"/>
      <c r="CV834" s="9"/>
      <c r="CW834" s="9"/>
      <c r="CX834" s="9"/>
      <c r="CY834" s="9"/>
      <c r="CZ834" s="9"/>
      <c r="DA834" s="9"/>
      <c r="DB834" s="9"/>
      <c r="DC834" s="9"/>
      <c r="DD834" s="9"/>
      <c r="DE834" s="9"/>
      <c r="DF834" s="9"/>
      <c r="DG834" s="9"/>
      <c r="DH834" s="9"/>
      <c r="DI834" s="9"/>
      <c r="DJ834" s="9"/>
      <c r="DK834" s="9"/>
      <c r="DL834" s="9"/>
      <c r="DM834" s="9"/>
      <c r="DN834" s="9"/>
      <c r="DO834" s="9"/>
      <c r="DP834" s="9"/>
      <c r="DQ834" s="9"/>
      <c r="DR834" s="9"/>
      <c r="DS834" s="9"/>
      <c r="DT834" s="9"/>
      <c r="DU834" s="9"/>
      <c r="DV834" s="9"/>
      <c r="DW834" s="9"/>
      <c r="DX834" s="9"/>
      <c r="DY834" s="9"/>
      <c r="DZ834" s="9"/>
      <c r="EA834" s="9"/>
      <c r="EB834" s="9"/>
      <c r="EC834" s="9"/>
      <c r="ED834" s="9"/>
      <c r="EE834" s="9"/>
      <c r="EF834" s="9"/>
      <c r="EG834" s="9"/>
      <c r="EH834" s="9"/>
      <c r="EI834" s="9"/>
      <c r="EJ834" s="9"/>
      <c r="EK834" s="9"/>
      <c r="EL834" s="9"/>
      <c r="EM834" s="9"/>
      <c r="EN834" s="9"/>
      <c r="EO834" s="9"/>
      <c r="EP834" s="9"/>
      <c r="EQ834" s="9"/>
      <c r="ER834" s="9"/>
      <c r="ES834" s="9"/>
      <c r="ET834" s="9"/>
      <c r="EU834" s="9"/>
      <c r="EV834" s="9"/>
      <c r="EW834" s="9"/>
      <c r="EX834" s="9"/>
      <c r="EY834" s="9"/>
      <c r="EZ834" s="9"/>
      <c r="FA834" s="9"/>
      <c r="FB834" s="9"/>
      <c r="FC834" s="9"/>
      <c r="FD834" s="9"/>
      <c r="FE834" s="9"/>
      <c r="FF834" s="9"/>
      <c r="FG834" s="9"/>
      <c r="FH834" s="9"/>
      <c r="FI834" s="9"/>
      <c r="FJ834" s="9"/>
      <c r="FK834" s="9"/>
      <c r="FL834" s="9"/>
      <c r="FM834" s="9"/>
      <c r="FN834" s="9"/>
      <c r="FO834" s="9"/>
      <c r="FP834" s="9"/>
    </row>
    <row r="835" customFormat="false" ht="15" hidden="false" customHeight="false" outlineLevel="2" collapsed="false">
      <c r="B835" s="9" t="s">
        <v>873</v>
      </c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235" t="n">
        <f aca="false">VLOOKUP("A",$B$14:$C$18,2,FALSE())</f>
        <v>210</v>
      </c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9"/>
      <c r="CN835" s="9"/>
      <c r="CO835" s="9"/>
      <c r="CP835" s="9"/>
      <c r="CQ835" s="9"/>
      <c r="CR835" s="9"/>
      <c r="CS835" s="9"/>
      <c r="CT835" s="9"/>
      <c r="CU835" s="9"/>
      <c r="CV835" s="9"/>
      <c r="CW835" s="9"/>
      <c r="CX835" s="9"/>
      <c r="CY835" s="9"/>
      <c r="CZ835" s="9"/>
      <c r="DA835" s="9"/>
      <c r="DB835" s="9"/>
      <c r="DC835" s="9"/>
      <c r="DD835" s="9"/>
      <c r="DE835" s="9"/>
      <c r="DF835" s="9"/>
      <c r="DG835" s="9"/>
      <c r="DH835" s="9"/>
      <c r="DI835" s="9"/>
      <c r="DJ835" s="9"/>
      <c r="DK835" s="9"/>
      <c r="DL835" s="9"/>
      <c r="DM835" s="9"/>
      <c r="DN835" s="9"/>
      <c r="DO835" s="9"/>
      <c r="DP835" s="9"/>
      <c r="DQ835" s="9"/>
      <c r="DR835" s="9"/>
      <c r="DS835" s="9"/>
      <c r="DT835" s="9"/>
      <c r="DU835" s="9"/>
      <c r="DV835" s="9"/>
      <c r="DW835" s="9"/>
      <c r="DX835" s="9"/>
      <c r="DY835" s="9"/>
      <c r="DZ835" s="9"/>
      <c r="EA835" s="9"/>
      <c r="EB835" s="9"/>
      <c r="EC835" s="9"/>
      <c r="ED835" s="9"/>
      <c r="EE835" s="9"/>
      <c r="EF835" s="9"/>
      <c r="EG835" s="9"/>
      <c r="EH835" s="9"/>
      <c r="EI835" s="9"/>
      <c r="EJ835" s="9"/>
      <c r="EK835" s="9"/>
      <c r="EL835" s="9"/>
      <c r="EM835" s="9"/>
      <c r="EN835" s="9"/>
      <c r="EO835" s="9"/>
      <c r="EP835" s="9"/>
      <c r="EQ835" s="9"/>
      <c r="ER835" s="9"/>
      <c r="ES835" s="9"/>
      <c r="ET835" s="9"/>
      <c r="EU835" s="9"/>
      <c r="EV835" s="9"/>
      <c r="EW835" s="9"/>
      <c r="EX835" s="9"/>
      <c r="EY835" s="9"/>
      <c r="EZ835" s="9"/>
      <c r="FA835" s="9"/>
      <c r="FB835" s="9"/>
      <c r="FC835" s="9"/>
      <c r="FD835" s="9"/>
      <c r="FE835" s="9"/>
      <c r="FF835" s="9"/>
      <c r="FG835" s="9"/>
      <c r="FH835" s="9"/>
      <c r="FI835" s="9"/>
      <c r="FJ835" s="9"/>
      <c r="FK835" s="9"/>
      <c r="FL835" s="9"/>
      <c r="FM835" s="9"/>
      <c r="FN835" s="9"/>
      <c r="FO835" s="9"/>
      <c r="FP835" s="9"/>
    </row>
    <row r="836" customFormat="false" ht="15" hidden="false" customHeight="false" outlineLevel="2" collapsed="false">
      <c r="B836" s="9" t="s">
        <v>799</v>
      </c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63" t="n">
        <f aca="false">IF(AC$35&gt;=$AC$834,AC$35-$AC$834+1,0)</f>
        <v>0</v>
      </c>
      <c r="AD836" s="63" t="n">
        <f aca="false">IF(AD$35&gt;=$AC$834,AD$35-$AC$834+1,0)</f>
        <v>0</v>
      </c>
      <c r="AE836" s="63" t="n">
        <f aca="false">IF(AE$35&gt;=$AC$834,AE$35-$AC$834+1,0)</f>
        <v>0</v>
      </c>
      <c r="AF836" s="63" t="n">
        <f aca="false">IF(AF$35&gt;=$AC$834,AF$35-$AC$834+1,0)</f>
        <v>0</v>
      </c>
      <c r="AG836" s="63" t="n">
        <f aca="false">IF(AG$35&gt;=$AC$834,AG$35-$AC$834+1,0)</f>
        <v>0</v>
      </c>
      <c r="AH836" s="63" t="n">
        <f aca="false">IF(AH$35&gt;=$AC$834,AH$35-$AC$834+1,0)</f>
        <v>0</v>
      </c>
      <c r="AI836" s="63" t="n">
        <f aca="false">IF(AI$35&gt;=$AC$834,AI$35-$AC$834+1,0)</f>
        <v>0</v>
      </c>
      <c r="AJ836" s="63" t="n">
        <f aca="false">IF(AJ$35&gt;=$AC$834,AJ$35-$AC$834+1,0)</f>
        <v>0</v>
      </c>
      <c r="AK836" s="63" t="n">
        <f aca="false">IF(AK$35&gt;=$AC$834,AK$35-$AC$834+1,0)</f>
        <v>0</v>
      </c>
      <c r="AL836" s="63" t="n">
        <f aca="false">IF(AL$35&gt;=$AC$834,AL$35-$AC$834+1,0)</f>
        <v>0</v>
      </c>
      <c r="AM836" s="63" t="n">
        <f aca="false">IF(AM$35&gt;=$AC$834,AM$35-$AC$834+1,0)</f>
        <v>0</v>
      </c>
      <c r="AN836" s="63" t="n">
        <f aca="false">IF(AN$35&gt;=$AC$834,AN$35-$AC$834+1,0)</f>
        <v>0</v>
      </c>
      <c r="AO836" s="63" t="n">
        <f aca="false">IF(AO$35&gt;=$AC$834,AO$35-$AC$834+1,0)</f>
        <v>0</v>
      </c>
      <c r="AP836" s="63" t="n">
        <f aca="false">IF(AP$35&gt;=$AC$834,AP$35-$AC$834+1,0)</f>
        <v>0</v>
      </c>
      <c r="AQ836" s="63" t="n">
        <f aca="false">IF(AQ$35&gt;=$AC$834,AQ$35-$AC$834+1,0)</f>
        <v>0</v>
      </c>
      <c r="AR836" s="63" t="n">
        <f aca="false">IF(AR$35&gt;=$AC$834,AR$35-$AC$834+1,0)</f>
        <v>0</v>
      </c>
      <c r="AS836" s="63" t="n">
        <f aca="false">IF(AS$35&gt;=$AC$834,AS$35-$AC$834+1,0)</f>
        <v>0</v>
      </c>
      <c r="AT836" s="63" t="n">
        <f aca="false">IF(AT$35&gt;=$AC$834,AT$35-$AC$834+1,0)</f>
        <v>0</v>
      </c>
      <c r="AU836" s="63" t="n">
        <f aca="false">IF(AU$35&gt;=$AC$834,AU$35-$AC$834+1,0)</f>
        <v>0</v>
      </c>
      <c r="AV836" s="63" t="n">
        <f aca="false">IF(AV$35&gt;=$AC$834,AV$35-$AC$834+1,0)</f>
        <v>0</v>
      </c>
      <c r="AW836" s="63" t="n">
        <f aca="false">IF(AW$35&gt;=$AC$834,AW$35-$AC$834+1,0)</f>
        <v>0</v>
      </c>
      <c r="AX836" s="63" t="n">
        <f aca="false">IF(AX$35&gt;=$AC$834,AX$35-$AC$834+1,0)</f>
        <v>0</v>
      </c>
      <c r="AY836" s="63" t="n">
        <f aca="false">IF(AY$35&gt;=$AC$834,AY$35-$AC$834+1,0)</f>
        <v>0</v>
      </c>
      <c r="AZ836" s="63" t="n">
        <f aca="false">IF(AZ$35&gt;=$AC$834,AZ$35-$AC$834+1,0)</f>
        <v>0</v>
      </c>
      <c r="BA836" s="63" t="n">
        <f aca="false">IF(BA$35&gt;=$AC$834,BA$35-$AC$834+1,0)</f>
        <v>0</v>
      </c>
      <c r="BB836" s="63" t="n">
        <f aca="false">IF(BB$35&gt;=$AC$834,BB$35-$AC$834+1,0)</f>
        <v>0</v>
      </c>
      <c r="BC836" s="63" t="n">
        <f aca="false">IF(BC$35&gt;=$AC$834,BC$35-$AC$834+1,0)</f>
        <v>0</v>
      </c>
      <c r="BD836" s="63" t="n">
        <f aca="false">IF(BD$35&gt;=$AC$834,BD$35-$AC$834+1,0)</f>
        <v>0</v>
      </c>
      <c r="BE836" s="63" t="n">
        <f aca="false">IF(BE$35&gt;=$AC$834,BE$35-$AC$834+1,0)</f>
        <v>0</v>
      </c>
      <c r="BF836" s="63" t="n">
        <f aca="false">IF(BF$35&gt;=$AC$834,BF$35-$AC$834+1,0)</f>
        <v>0</v>
      </c>
      <c r="BG836" s="63" t="n">
        <f aca="false">IF(BG$35&gt;=$AC$834,BG$35-$AC$834+1,0)</f>
        <v>0</v>
      </c>
      <c r="BH836" s="63" t="n">
        <f aca="false">IF(BH$35&gt;=$AC$834,BH$35-$AC$834+1,0)</f>
        <v>0</v>
      </c>
      <c r="BI836" s="63" t="n">
        <f aca="false">IF(BI$35&gt;=$AC$834,BI$35-$AC$834+1,0)</f>
        <v>0</v>
      </c>
      <c r="BJ836" s="63" t="n">
        <f aca="false">IF(BJ$35&gt;=$AC$834,BJ$35-$AC$834+1,0)</f>
        <v>0</v>
      </c>
      <c r="BK836" s="63" t="n">
        <f aca="false">IF(BK$35&gt;=$AC$834,BK$35-$AC$834+1,0)</f>
        <v>0</v>
      </c>
      <c r="BL836" s="63" t="n">
        <f aca="false">IF(BL$35&gt;=$AC$834,BL$35-$AC$834+1,0)</f>
        <v>0</v>
      </c>
      <c r="BM836" s="63" t="n">
        <f aca="false">IF(BM$35&gt;=$AC$834,BM$35-$AC$834+1,0)</f>
        <v>0</v>
      </c>
      <c r="BN836" s="63" t="n">
        <f aca="false">IF(BN$35&gt;=$AC$834,BN$35-$AC$834+1,0)</f>
        <v>0</v>
      </c>
      <c r="BO836" s="63" t="n">
        <f aca="false">IF(BO$35&gt;=$AC$834,BO$35-$AC$834+1,0)</f>
        <v>0</v>
      </c>
      <c r="BP836" s="63" t="n">
        <f aca="false">IF(BP$35&gt;=$AC$834,BP$35-$AC$834+1,0)</f>
        <v>0</v>
      </c>
      <c r="BQ836" s="63" t="n">
        <f aca="false">IF(BQ$35&gt;=$AC$834,BQ$35-$AC$834+1,0)</f>
        <v>0</v>
      </c>
      <c r="BR836" s="63" t="n">
        <f aca="false">IF(BR$35&gt;=$AC$834,BR$35-$AC$834+1,0)</f>
        <v>0</v>
      </c>
      <c r="BS836" s="63" t="n">
        <f aca="false">IF(BS$35&gt;=$AC$834,BS$35-$AC$834+1,0)</f>
        <v>0</v>
      </c>
      <c r="BT836" s="63" t="n">
        <f aca="false">IF(BT$35&gt;=$AC$834,BT$35-$AC$834+1,0)</f>
        <v>0</v>
      </c>
      <c r="BU836" s="63" t="n">
        <f aca="false">IF(BU$35&gt;=$AC$834,BU$35-$AC$834+1,0)</f>
        <v>0</v>
      </c>
      <c r="BV836" s="63" t="n">
        <f aca="false">IF(BV$35&gt;=$AC$834,BV$35-$AC$834+1,0)</f>
        <v>0</v>
      </c>
      <c r="BW836" s="63" t="n">
        <f aca="false">IF(BW$35&gt;=$AC$834,BW$35-$AC$834+1,0)</f>
        <v>0</v>
      </c>
      <c r="BX836" s="63" t="n">
        <f aca="false">IF(BX$35&gt;=$AC$834,BX$35-$AC$834+1,0)</f>
        <v>0</v>
      </c>
      <c r="BY836" s="63" t="n">
        <f aca="false">IF(BY$35&gt;=$AC$834,BY$35-$AC$834+1,0)</f>
        <v>0</v>
      </c>
      <c r="BZ836" s="63" t="n">
        <f aca="false">IF(BZ$35&gt;=$AC$834,BZ$35-$AC$834+1,0)</f>
        <v>0</v>
      </c>
      <c r="CA836" s="63" t="n">
        <f aca="false">IF(CA$35&gt;=$AC$834,CA$35-$AC$834+1,0)</f>
        <v>0</v>
      </c>
      <c r="CB836" s="63" t="n">
        <f aca="false">IF(CB$35&gt;=$AC$834,CB$35-$AC$834+1,0)</f>
        <v>0</v>
      </c>
      <c r="CC836" s="63" t="n">
        <f aca="false">IF(CC$35&gt;=$AC$834,CC$35-$AC$834+1,0)</f>
        <v>0</v>
      </c>
      <c r="CD836" s="63" t="n">
        <f aca="false">IF(CD$35&gt;=$AC$834,CD$35-$AC$834+1,0)</f>
        <v>0</v>
      </c>
      <c r="CE836" s="63" t="n">
        <f aca="false">IF(CE$35&gt;=$AC$834,CE$35-$AC$834+1,0)</f>
        <v>0</v>
      </c>
      <c r="CF836" s="63" t="n">
        <f aca="false">IF(CF$35&gt;=$AC$834,CF$35-$AC$834+1,0)</f>
        <v>0</v>
      </c>
      <c r="CG836" s="63" t="n">
        <f aca="false">IF(CG$35&gt;=$AC$834,CG$35-$AC$834+1,0)</f>
        <v>0</v>
      </c>
      <c r="CH836" s="63" t="n">
        <f aca="false">IF(CH$35&gt;=$AC$834,CH$35-$AC$834+1,0)</f>
        <v>0</v>
      </c>
      <c r="CI836" s="63" t="n">
        <f aca="false">IF(CI$35&gt;=$AC$834,CI$35-$AC$834+1,0)</f>
        <v>0</v>
      </c>
      <c r="CJ836" s="63" t="n">
        <f aca="false">IF(CJ$35&gt;=$AC$834,CJ$35-$AC$834+1,0)</f>
        <v>0</v>
      </c>
      <c r="CK836" s="63" t="n">
        <f aca="false">IF(CK$35&gt;=$AC$834,CK$35-$AC$834+1,0)</f>
        <v>0</v>
      </c>
      <c r="CL836" s="63" t="n">
        <f aca="false">IF(CL$35&gt;=$AC$834,CL$35-$AC$834+1,0)</f>
        <v>0</v>
      </c>
      <c r="CM836" s="63" t="n">
        <f aca="false">IF(CM$35&gt;=$AC$834,CM$35-$AC$834+1,0)</f>
        <v>0</v>
      </c>
      <c r="CN836" s="63" t="n">
        <f aca="false">IF(CN$35&gt;=$AC$834,CN$35-$AC$834+1,0)</f>
        <v>0</v>
      </c>
      <c r="CO836" s="63" t="n">
        <f aca="false">IF(CO$35&gt;=$AC$834,CO$35-$AC$834+1,0)</f>
        <v>0</v>
      </c>
      <c r="CP836" s="63" t="n">
        <f aca="false">IF(CP$35&gt;=$AC$834,CP$35-$AC$834+1,0)</f>
        <v>0</v>
      </c>
      <c r="CQ836" s="63" t="n">
        <f aca="false">IF(CQ$35&gt;=$AC$834,CQ$35-$AC$834+1,0)</f>
        <v>0</v>
      </c>
      <c r="CR836" s="63" t="n">
        <f aca="false">IF(CR$35&gt;=$AC$834,CR$35-$AC$834+1,0)</f>
        <v>0</v>
      </c>
      <c r="CS836" s="63" t="n">
        <f aca="false">IF(CS$35&gt;=$AC$834,CS$35-$AC$834+1,0)</f>
        <v>0</v>
      </c>
      <c r="CT836" s="63" t="n">
        <f aca="false">IF(CT$35&gt;=$AC$834,CT$35-$AC$834+1,0)</f>
        <v>0</v>
      </c>
      <c r="CU836" s="63" t="n">
        <f aca="false">IF(CU$35&gt;=$AC$834,CU$35-$AC$834+1,0)</f>
        <v>0</v>
      </c>
      <c r="CV836" s="63" t="n">
        <f aca="false">IF(CV$35&gt;=$AC$834,CV$35-$AC$834+1,0)</f>
        <v>0</v>
      </c>
      <c r="CW836" s="63" t="n">
        <f aca="false">IF(CW$35&gt;=$AC$834,CW$35-$AC$834+1,0)</f>
        <v>0</v>
      </c>
      <c r="CX836" s="63" t="n">
        <f aca="false">IF(CX$35&gt;=$AC$834,CX$35-$AC$834+1,0)</f>
        <v>0</v>
      </c>
      <c r="CY836" s="63" t="n">
        <f aca="false">IF(CY$35&gt;=$AC$834,CY$35-$AC$834+1,0)</f>
        <v>0</v>
      </c>
      <c r="CZ836" s="63" t="n">
        <f aca="false">IF(CZ$35&gt;=$AC$834,CZ$35-$AC$834+1,0)</f>
        <v>0</v>
      </c>
      <c r="DA836" s="63" t="n">
        <f aca="false">IF(DA$35&gt;=$AC$834,DA$35-$AC$834+1,0)</f>
        <v>0</v>
      </c>
      <c r="DB836" s="63" t="n">
        <f aca="false">IF(DB$35&gt;=$AC$834,DB$35-$AC$834+1,0)</f>
        <v>0</v>
      </c>
      <c r="DC836" s="63" t="n">
        <f aca="false">IF(DC$35&gt;=$AC$834,DC$35-$AC$834+1,0)</f>
        <v>0</v>
      </c>
      <c r="DD836" s="63" t="n">
        <f aca="false">IF(DD$35&gt;=$AC$834,DD$35-$AC$834+1,0)</f>
        <v>0</v>
      </c>
      <c r="DE836" s="63" t="n">
        <f aca="false">IF(DE$35&gt;=$AC$834,DE$35-$AC$834+1,0)</f>
        <v>0</v>
      </c>
      <c r="DF836" s="63" t="n">
        <f aca="false">IF(DF$35&gt;=$AC$834,DF$35-$AC$834+1,0)</f>
        <v>0</v>
      </c>
      <c r="DG836" s="63" t="n">
        <f aca="false">IF(DG$35&gt;=$AC$834,DG$35-$AC$834+1,0)</f>
        <v>0</v>
      </c>
      <c r="DH836" s="63" t="n">
        <f aca="false">IF(DH$35&gt;=$AC$834,DH$35-$AC$834+1,0)</f>
        <v>0</v>
      </c>
      <c r="DI836" s="63" t="n">
        <f aca="false">IF(DI$35&gt;=$AC$834,DI$35-$AC$834+1,0)</f>
        <v>0</v>
      </c>
      <c r="DJ836" s="63" t="n">
        <f aca="false">IF(DJ$35&gt;=$AC$834,DJ$35-$AC$834+1,0)</f>
        <v>0</v>
      </c>
      <c r="DK836" s="63" t="n">
        <f aca="false">IF(DK$35&gt;=$AC$834,DK$35-$AC$834+1,0)</f>
        <v>0</v>
      </c>
      <c r="DL836" s="63" t="n">
        <f aca="false">IF(DL$35&gt;=$AC$834,DL$35-$AC$834+1,0)</f>
        <v>0</v>
      </c>
      <c r="DM836" s="63" t="n">
        <f aca="false">IF(DM$35&gt;=$AC$834,DM$35-$AC$834+1,0)</f>
        <v>0</v>
      </c>
      <c r="DN836" s="63" t="n">
        <f aca="false">IF(DN$35&gt;=$AC$834,DN$35-$AC$834+1,0)</f>
        <v>0</v>
      </c>
      <c r="DO836" s="63" t="n">
        <f aca="false">IF(DO$35&gt;=$AC$834,DO$35-$AC$834+1,0)</f>
        <v>0</v>
      </c>
      <c r="DP836" s="63" t="n">
        <f aca="false">IF(DP$35&gt;=$AC$834,DP$35-$AC$834+1,0)</f>
        <v>0</v>
      </c>
      <c r="DQ836" s="63" t="n">
        <f aca="false">IF(DQ$35&gt;=$AC$834,DQ$35-$AC$834+1,0)</f>
        <v>0</v>
      </c>
      <c r="DR836" s="63" t="n">
        <f aca="false">IF(DR$35&gt;=$AC$834,DR$35-$AC$834+1,0)</f>
        <v>0</v>
      </c>
      <c r="DS836" s="63" t="n">
        <f aca="false">IF(DS$35&gt;=$AC$834,DS$35-$AC$834+1,0)</f>
        <v>0</v>
      </c>
      <c r="DT836" s="63" t="n">
        <f aca="false">IF(DT$35&gt;=$AC$834,DT$35-$AC$834+1,0)</f>
        <v>0</v>
      </c>
      <c r="DU836" s="63" t="n">
        <f aca="false">IF(DU$35&gt;=$AC$834,DU$35-$AC$834+1,0)</f>
        <v>0</v>
      </c>
      <c r="DV836" s="63" t="n">
        <f aca="false">IF(DV$35&gt;=$AC$834,DV$35-$AC$834+1,0)</f>
        <v>0</v>
      </c>
      <c r="DW836" s="63" t="n">
        <f aca="false">IF(DW$35&gt;=$AC$834,DW$35-$AC$834+1,0)</f>
        <v>0</v>
      </c>
      <c r="DX836" s="63" t="n">
        <f aca="false">IF(DX$35&gt;=$AC$834,DX$35-$AC$834+1,0)</f>
        <v>0</v>
      </c>
      <c r="DY836" s="63" t="n">
        <f aca="false">IF(DY$35&gt;=$AC$834,DY$35-$AC$834+1,0)</f>
        <v>0</v>
      </c>
      <c r="DZ836" s="63" t="n">
        <f aca="false">IF(DZ$35&gt;=$AC$834,DZ$35-$AC$834+1,0)</f>
        <v>0</v>
      </c>
      <c r="EA836" s="63" t="n">
        <f aca="false">IF(EA$35&gt;=$AC$834,EA$35-$AC$834+1,0)</f>
        <v>0</v>
      </c>
      <c r="EB836" s="63" t="n">
        <f aca="false">IF(EB$35&gt;=$AC$834,EB$35-$AC$834+1,0)</f>
        <v>0</v>
      </c>
      <c r="EC836" s="63" t="n">
        <f aca="false">IF(EC$35&gt;=$AC$834,EC$35-$AC$834+1,0)</f>
        <v>0</v>
      </c>
      <c r="ED836" s="63" t="n">
        <f aca="false">IF(ED$35&gt;=$AC$834,ED$35-$AC$834+1,0)</f>
        <v>0</v>
      </c>
      <c r="EE836" s="63" t="n">
        <f aca="false">IF(EE$35&gt;=$AC$834,EE$35-$AC$834+1,0)</f>
        <v>0</v>
      </c>
      <c r="EF836" s="63" t="n">
        <f aca="false">IF(EF$35&gt;=$AC$834,EF$35-$AC$834+1,0)</f>
        <v>0</v>
      </c>
      <c r="EG836" s="63" t="n">
        <f aca="false">IF(EG$35&gt;=$AC$834,EG$35-$AC$834+1,0)</f>
        <v>0</v>
      </c>
      <c r="EH836" s="63" t="n">
        <f aca="false">IF(EH$35&gt;=$AC$834,EH$35-$AC$834+1,0)</f>
        <v>0</v>
      </c>
      <c r="EI836" s="63" t="n">
        <f aca="false">IF(EI$35&gt;=$AC$834,EI$35-$AC$834+1,0)</f>
        <v>0</v>
      </c>
      <c r="EJ836" s="63" t="n">
        <f aca="false">IF(EJ$35&gt;=$AC$834,EJ$35-$AC$834+1,0)</f>
        <v>0</v>
      </c>
      <c r="EK836" s="63" t="n">
        <f aca="false">IF(EK$35&gt;=$AC$834,EK$35-$AC$834+1,0)</f>
        <v>0</v>
      </c>
      <c r="EL836" s="63" t="n">
        <f aca="false">IF(EL$35&gt;=$AC$834,EL$35-$AC$834+1,0)</f>
        <v>0</v>
      </c>
      <c r="EM836" s="63" t="n">
        <f aca="false">IF(EM$35&gt;=$AC$834,EM$35-$AC$834+1,0)</f>
        <v>0</v>
      </c>
      <c r="EN836" s="63" t="n">
        <f aca="false">IF(EN$35&gt;=$AC$834,EN$35-$AC$834+1,0)</f>
        <v>0</v>
      </c>
      <c r="EO836" s="63" t="n">
        <f aca="false">IF(EO$35&gt;=$AC$834,EO$35-$AC$834+1,0)</f>
        <v>0</v>
      </c>
      <c r="EP836" s="63" t="n">
        <f aca="false">IF(EP$35&gt;=$AC$834,EP$35-$AC$834+1,0)</f>
        <v>0</v>
      </c>
      <c r="EQ836" s="63" t="n">
        <f aca="false">IF(EQ$35&gt;=$AC$834,EQ$35-$AC$834+1,0)</f>
        <v>0</v>
      </c>
      <c r="ER836" s="63" t="n">
        <f aca="false">IF(ER$35&gt;=$AC$834,ER$35-$AC$834+1,0)</f>
        <v>0</v>
      </c>
      <c r="ES836" s="9" t="n">
        <f aca="false">IF(ES$35&gt;=$AC$834,ES$35-$AC$834+1,0)</f>
        <v>0</v>
      </c>
      <c r="ET836" s="9" t="n">
        <f aca="false">IF(ET$35&gt;=$AC$834,ET$35-$AC$834+1,0)</f>
        <v>0</v>
      </c>
      <c r="EU836" s="9" t="n">
        <f aca="false">IF(EU$35&gt;=$AC$834,EU$35-$AC$834+1,0)</f>
        <v>0</v>
      </c>
      <c r="EV836" s="9" t="n">
        <f aca="false">IF(EV$35&gt;=$AC$834,EV$35-$AC$834+1,0)</f>
        <v>0</v>
      </c>
      <c r="EW836" s="9" t="n">
        <f aca="false">IF(EW$35&gt;=$AC$834,EW$35-$AC$834+1,0)</f>
        <v>0</v>
      </c>
      <c r="EX836" s="9" t="n">
        <f aca="false">IF(EX$35&gt;=$AC$834,EX$35-$AC$834+1,0)</f>
        <v>0</v>
      </c>
      <c r="EY836" s="9" t="n">
        <f aca="false">IF(EY$35&gt;=$AC$834,EY$35-$AC$834+1,0)</f>
        <v>0</v>
      </c>
      <c r="EZ836" s="9" t="n">
        <f aca="false">IF(EZ$35&gt;=$AC$834,EZ$35-$AC$834+1,0)</f>
        <v>0</v>
      </c>
      <c r="FA836" s="9" t="n">
        <f aca="false">IF(FA$35&gt;=$AC$834,FA$35-$AC$834+1,0)</f>
        <v>0</v>
      </c>
      <c r="FB836" s="9" t="n">
        <f aca="false">IF(FB$35&gt;=$AC$834,FB$35-$AC$834+1,0)</f>
        <v>0</v>
      </c>
      <c r="FC836" s="9" t="n">
        <f aca="false">IF(FC$35&gt;=$AC$834,FC$35-$AC$834+1,0)</f>
        <v>0</v>
      </c>
      <c r="FD836" s="9" t="n">
        <f aca="false">IF(FD$35&gt;=$AC$834,FD$35-$AC$834+1,0)</f>
        <v>0</v>
      </c>
      <c r="FE836" s="9" t="n">
        <f aca="false">IF(FE$35&gt;=$AC$834,FE$35-$AC$834+1,0)</f>
        <v>0</v>
      </c>
      <c r="FF836" s="9" t="n">
        <f aca="false">IF(FF$35&gt;=$AC$834,FF$35-$AC$834+1,0)</f>
        <v>0</v>
      </c>
      <c r="FG836" s="9" t="n">
        <f aca="false">IF(FG$35&gt;=$AC$834,FG$35-$AC$834+1,0)</f>
        <v>0</v>
      </c>
      <c r="FH836" s="9" t="n">
        <f aca="false">IF(FH$35&gt;=$AC$834,FH$35-$AC$834+1,0)</f>
        <v>1</v>
      </c>
      <c r="FI836" s="9" t="n">
        <f aca="false">IF(FI$35&gt;=$AC$834,FI$35-$AC$834+1,0)</f>
        <v>2</v>
      </c>
      <c r="FJ836" s="9" t="n">
        <f aca="false">IF(FJ$35&gt;=$AC$834,FJ$35-$AC$834+1,0)</f>
        <v>3</v>
      </c>
      <c r="FK836" s="9" t="n">
        <f aca="false">IF(FK$35&gt;=$AC$834,FK$35-$AC$834+1,0)</f>
        <v>4</v>
      </c>
      <c r="FL836" s="9" t="n">
        <f aca="false">IF(FL$35&gt;=$AC$834,FL$35-$AC$834+1,0)</f>
        <v>5</v>
      </c>
      <c r="FM836" s="9" t="n">
        <f aca="false">IF(FM$35&gt;=$AC$834,FM$35-$AC$834+1,0)</f>
        <v>6</v>
      </c>
      <c r="FN836" s="9" t="n">
        <f aca="false">IF(FN$35&gt;=$AC$834,FN$35-$AC$834+1,0)</f>
        <v>7</v>
      </c>
      <c r="FO836" s="9" t="n">
        <f aca="false">IF(FO$35&gt;=$AC$834,FO$35-$AC$834+1,0)</f>
        <v>8</v>
      </c>
      <c r="FP836" s="9" t="n">
        <f aca="false">IF(FP$35&gt;=$AC$834,FP$35-$AC$834+1,0)</f>
        <v>9</v>
      </c>
    </row>
    <row r="837" customFormat="false" ht="15" hidden="false" customHeight="false" outlineLevel="2" collapsed="false">
      <c r="B837" s="9" t="s">
        <v>874</v>
      </c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236" t="n">
        <f aca="false" t="array" ref="AC837:AC837">IF(AC836=0,0,IF(AC836/'🎚️ Escenario'!$C$11&gt;=36,$AL$23,INDEX($C$23:$AL$23,MAX(1,ROUNDUP(AC836/'🎚️ Escenario'!$C$11,0)))))</f>
        <v>0</v>
      </c>
      <c r="AD837" s="236" t="n">
        <f aca="false" t="array" ref="AD837:AD837">IF(AD836=0,0,IF(AD836/'🎚️ Escenario'!$C$11&gt;=36,$AL$23,INDEX($C$23:$AL$23,MAX(1,ROUNDUP(AD836/'🎚️ Escenario'!$C$11,0)))))</f>
        <v>0</v>
      </c>
      <c r="AE837" s="236" t="n">
        <f aca="false" t="array" ref="AE837:AE837">IF(AE836=0,0,IF(AE836/'🎚️ Escenario'!$C$11&gt;=36,$AL$23,INDEX($C$23:$AL$23,MAX(1,ROUNDUP(AE836/'🎚️ Escenario'!$C$11,0)))))</f>
        <v>0</v>
      </c>
      <c r="AF837" s="236" t="n">
        <f aca="false" t="array" ref="AF837:AF837">IF(AF836=0,0,IF(AF836/'🎚️ Escenario'!$C$11&gt;=36,$AL$23,INDEX($C$23:$AL$23,MAX(1,ROUNDUP(AF836/'🎚️ Escenario'!$C$11,0)))))</f>
        <v>0</v>
      </c>
      <c r="AG837" s="236" t="n">
        <f aca="false" t="array" ref="AG837:AG837">IF(AG836=0,0,IF(AG836/'🎚️ Escenario'!$C$11&gt;=36,$AL$23,INDEX($C$23:$AL$23,MAX(1,ROUNDUP(AG836/'🎚️ Escenario'!$C$11,0)))))</f>
        <v>0</v>
      </c>
      <c r="AH837" s="236" t="n">
        <f aca="false" t="array" ref="AH837:AH837">IF(AH836=0,0,IF(AH836/'🎚️ Escenario'!$C$11&gt;=36,$AL$23,INDEX($C$23:$AL$23,MAX(1,ROUNDUP(AH836/'🎚️ Escenario'!$C$11,0)))))</f>
        <v>0</v>
      </c>
      <c r="AI837" s="236" t="n">
        <f aca="false" t="array" ref="AI837:AI837">IF(AI836=0,0,IF(AI836/'🎚️ Escenario'!$C$11&gt;=36,$AL$23,INDEX($C$23:$AL$23,MAX(1,ROUNDUP(AI836/'🎚️ Escenario'!$C$11,0)))))</f>
        <v>0</v>
      </c>
      <c r="AJ837" s="236" t="n">
        <f aca="false" t="array" ref="AJ837:AJ837">IF(AJ836=0,0,IF(AJ836/'🎚️ Escenario'!$C$11&gt;=36,$AL$23,INDEX($C$23:$AL$23,MAX(1,ROUNDUP(AJ836/'🎚️ Escenario'!$C$11,0)))))</f>
        <v>0</v>
      </c>
      <c r="AK837" s="236" t="n">
        <f aca="false" t="array" ref="AK837:AK837">IF(AK836=0,0,IF(AK836/'🎚️ Escenario'!$C$11&gt;=36,$AL$23,INDEX($C$23:$AL$23,MAX(1,ROUNDUP(AK836/'🎚️ Escenario'!$C$11,0)))))</f>
        <v>0</v>
      </c>
      <c r="AL837" s="236" t="n">
        <f aca="false" t="array" ref="AL837:AL837">IF(AL836=0,0,IF(AL836/'🎚️ Escenario'!$C$11&gt;=36,$AL$23,INDEX($C$23:$AL$23,MAX(1,ROUNDUP(AL836/'🎚️ Escenario'!$C$11,0)))))</f>
        <v>0</v>
      </c>
      <c r="AM837" s="236" t="n">
        <f aca="false" t="array" ref="AM837:AM837">IF(AM836=0,0,IF(AM836/'🎚️ Escenario'!$C$11&gt;=36,$AL$23,INDEX($C$23:$AL$23,MAX(1,ROUNDUP(AM836/'🎚️ Escenario'!$C$11,0)))))</f>
        <v>0</v>
      </c>
      <c r="AN837" s="236" t="n">
        <f aca="false" t="array" ref="AN837:AN837">IF(AN836=0,0,IF(AN836/'🎚️ Escenario'!$C$11&gt;=36,$AL$23,INDEX($C$23:$AL$23,MAX(1,ROUNDUP(AN836/'🎚️ Escenario'!$C$11,0)))))</f>
        <v>0</v>
      </c>
      <c r="AO837" s="236" t="n">
        <f aca="false" t="array" ref="AO837:AO837">IF(AO836=0,0,IF(AO836/'🎚️ Escenario'!$C$11&gt;=36,$AL$23,INDEX($C$23:$AL$23,MAX(1,ROUNDUP(AO836/'🎚️ Escenario'!$C$11,0)))))</f>
        <v>0</v>
      </c>
      <c r="AP837" s="236" t="n">
        <f aca="false" t="array" ref="AP837:AP837">IF(AP836=0,0,IF(AP836/'🎚️ Escenario'!$C$11&gt;=36,$AL$23,INDEX($C$23:$AL$23,MAX(1,ROUNDUP(AP836/'🎚️ Escenario'!$C$11,0)))))</f>
        <v>0</v>
      </c>
      <c r="AQ837" s="236" t="n">
        <f aca="false" t="array" ref="AQ837:AQ837">IF(AQ836=0,0,IF(AQ836/'🎚️ Escenario'!$C$11&gt;=36,$AL$23,INDEX($C$23:$AL$23,MAX(1,ROUNDUP(AQ836/'🎚️ Escenario'!$C$11,0)))))</f>
        <v>0</v>
      </c>
      <c r="AR837" s="236" t="n">
        <f aca="false" t="array" ref="AR837:AR837">IF(AR836=0,0,IF(AR836/'🎚️ Escenario'!$C$11&gt;=36,$AL$23,INDEX($C$23:$AL$23,MAX(1,ROUNDUP(AR836/'🎚️ Escenario'!$C$11,0)))))</f>
        <v>0</v>
      </c>
      <c r="AS837" s="236" t="n">
        <f aca="false" t="array" ref="AS837:AS837">IF(AS836=0,0,IF(AS836/'🎚️ Escenario'!$C$11&gt;=36,$AL$23,INDEX($C$23:$AL$23,MAX(1,ROUNDUP(AS836/'🎚️ Escenario'!$C$11,0)))))</f>
        <v>0</v>
      </c>
      <c r="AT837" s="236" t="n">
        <f aca="false" t="array" ref="AT837:AT837">IF(AT836=0,0,IF(AT836/'🎚️ Escenario'!$C$11&gt;=36,$AL$23,INDEX($C$23:$AL$23,MAX(1,ROUNDUP(AT836/'🎚️ Escenario'!$C$11,0)))))</f>
        <v>0</v>
      </c>
      <c r="AU837" s="236" t="n">
        <f aca="false" t="array" ref="AU837:AU837">IF(AU836=0,0,IF(AU836/'🎚️ Escenario'!$C$11&gt;=36,$AL$23,INDEX($C$23:$AL$23,MAX(1,ROUNDUP(AU836/'🎚️ Escenario'!$C$11,0)))))</f>
        <v>0</v>
      </c>
      <c r="AV837" s="236" t="n">
        <f aca="false" t="array" ref="AV837:AV837">IF(AV836=0,0,IF(AV836/'🎚️ Escenario'!$C$11&gt;=36,$AL$23,INDEX($C$23:$AL$23,MAX(1,ROUNDUP(AV836/'🎚️ Escenario'!$C$11,0)))))</f>
        <v>0</v>
      </c>
      <c r="AW837" s="236" t="n">
        <f aca="false" t="array" ref="AW837:AW837">IF(AW836=0,0,IF(AW836/'🎚️ Escenario'!$C$11&gt;=36,$AL$23,INDEX($C$23:$AL$23,MAX(1,ROUNDUP(AW836/'🎚️ Escenario'!$C$11,0)))))</f>
        <v>0</v>
      </c>
      <c r="AX837" s="236" t="n">
        <f aca="false" t="array" ref="AX837:AX837">IF(AX836=0,0,IF(AX836/'🎚️ Escenario'!$C$11&gt;=36,$AL$23,INDEX($C$23:$AL$23,MAX(1,ROUNDUP(AX836/'🎚️ Escenario'!$C$11,0)))))</f>
        <v>0</v>
      </c>
      <c r="AY837" s="236" t="n">
        <f aca="false" t="array" ref="AY837:AY837">IF(AY836=0,0,IF(AY836/'🎚️ Escenario'!$C$11&gt;=36,$AL$23,INDEX($C$23:$AL$23,MAX(1,ROUNDUP(AY836/'🎚️ Escenario'!$C$11,0)))))</f>
        <v>0</v>
      </c>
      <c r="AZ837" s="236" t="n">
        <f aca="false" t="array" ref="AZ837:AZ837">IF(AZ836=0,0,IF(AZ836/'🎚️ Escenario'!$C$11&gt;=36,$AL$23,INDEX($C$23:$AL$23,MAX(1,ROUNDUP(AZ836/'🎚️ Escenario'!$C$11,0)))))</f>
        <v>0</v>
      </c>
      <c r="BA837" s="236" t="n">
        <f aca="false" t="array" ref="BA837:BA837">IF(BA836=0,0,IF(BA836/'🎚️ Escenario'!$C$11&gt;=36,$AL$23,INDEX($C$23:$AL$23,MAX(1,ROUNDUP(BA836/'🎚️ Escenario'!$C$11,0)))))</f>
        <v>0</v>
      </c>
      <c r="BB837" s="236" t="n">
        <f aca="false" t="array" ref="BB837:BB837">IF(BB836=0,0,IF(BB836/'🎚️ Escenario'!$C$11&gt;=36,$AL$23,INDEX($C$23:$AL$23,MAX(1,ROUNDUP(BB836/'🎚️ Escenario'!$C$11,0)))))</f>
        <v>0</v>
      </c>
      <c r="BC837" s="236" t="n">
        <f aca="false" t="array" ref="BC837:BC837">IF(BC836=0,0,IF(BC836/'🎚️ Escenario'!$C$11&gt;=36,$AL$23,INDEX($C$23:$AL$23,MAX(1,ROUNDUP(BC836/'🎚️ Escenario'!$C$11,0)))))</f>
        <v>0</v>
      </c>
      <c r="BD837" s="236" t="n">
        <f aca="false" t="array" ref="BD837:BD837">IF(BD836=0,0,IF(BD836/'🎚️ Escenario'!$C$11&gt;=36,$AL$23,INDEX($C$23:$AL$23,MAX(1,ROUNDUP(BD836/'🎚️ Escenario'!$C$11,0)))))</f>
        <v>0</v>
      </c>
      <c r="BE837" s="236" t="n">
        <f aca="false" t="array" ref="BE837:BE837">IF(BE836=0,0,IF(BE836/'🎚️ Escenario'!$C$11&gt;=36,$AL$23,INDEX($C$23:$AL$23,MAX(1,ROUNDUP(BE836/'🎚️ Escenario'!$C$11,0)))))</f>
        <v>0</v>
      </c>
      <c r="BF837" s="236" t="n">
        <f aca="false" t="array" ref="BF837:BF837">IF(BF836=0,0,IF(BF836/'🎚️ Escenario'!$C$11&gt;=36,$AL$23,INDEX($C$23:$AL$23,MAX(1,ROUNDUP(BF836/'🎚️ Escenario'!$C$11,0)))))</f>
        <v>0</v>
      </c>
      <c r="BG837" s="236" t="n">
        <f aca="false" t="array" ref="BG837:BG837">IF(BG836=0,0,IF(BG836/'🎚️ Escenario'!$C$11&gt;=36,$AL$23,INDEX($C$23:$AL$23,MAX(1,ROUNDUP(BG836/'🎚️ Escenario'!$C$11,0)))))</f>
        <v>0</v>
      </c>
      <c r="BH837" s="236" t="n">
        <f aca="false" t="array" ref="BH837:BH837">IF(BH836=0,0,IF(BH836/'🎚️ Escenario'!$C$11&gt;=36,$AL$23,INDEX($C$23:$AL$23,MAX(1,ROUNDUP(BH836/'🎚️ Escenario'!$C$11,0)))))</f>
        <v>0</v>
      </c>
      <c r="BI837" s="236" t="n">
        <f aca="false" t="array" ref="BI837:BI837">IF(BI836=0,0,IF(BI836/'🎚️ Escenario'!$C$11&gt;=36,$AL$23,INDEX($C$23:$AL$23,MAX(1,ROUNDUP(BI836/'🎚️ Escenario'!$C$11,0)))))</f>
        <v>0</v>
      </c>
      <c r="BJ837" s="236" t="n">
        <f aca="false" t="array" ref="BJ837:BJ837">IF(BJ836=0,0,IF(BJ836/'🎚️ Escenario'!$C$11&gt;=36,$AL$23,INDEX($C$23:$AL$23,MAX(1,ROUNDUP(BJ836/'🎚️ Escenario'!$C$11,0)))))</f>
        <v>0</v>
      </c>
      <c r="BK837" s="236" t="n">
        <f aca="false" t="array" ref="BK837:BK837">IF(BK836=0,0,IF(BK836/'🎚️ Escenario'!$C$11&gt;=36,$AL$23,INDEX($C$23:$AL$23,MAX(1,ROUNDUP(BK836/'🎚️ Escenario'!$C$11,0)))))</f>
        <v>0</v>
      </c>
      <c r="BL837" s="236" t="n">
        <f aca="false" t="array" ref="BL837:BL837">IF(BL836=0,0,IF(BL836/'🎚️ Escenario'!$C$11&gt;=36,$AL$23,INDEX($C$23:$AL$23,MAX(1,ROUNDUP(BL836/'🎚️ Escenario'!$C$11,0)))))</f>
        <v>0</v>
      </c>
      <c r="BM837" s="236" t="n">
        <f aca="false" t="array" ref="BM837:BM837">IF(BM836=0,0,IF(BM836/'🎚️ Escenario'!$C$11&gt;=36,$AL$23,INDEX($C$23:$AL$23,MAX(1,ROUNDUP(BM836/'🎚️ Escenario'!$C$11,0)))))</f>
        <v>0</v>
      </c>
      <c r="BN837" s="236" t="n">
        <f aca="false" t="array" ref="BN837:BN837">IF(BN836=0,0,IF(BN836/'🎚️ Escenario'!$C$11&gt;=36,$AL$23,INDEX($C$23:$AL$23,MAX(1,ROUNDUP(BN836/'🎚️ Escenario'!$C$11,0)))))</f>
        <v>0</v>
      </c>
      <c r="BO837" s="236" t="n">
        <f aca="false" t="array" ref="BO837:BO837">IF(BO836=0,0,IF(BO836/'🎚️ Escenario'!$C$11&gt;=36,$AL$23,INDEX($C$23:$AL$23,MAX(1,ROUNDUP(BO836/'🎚️ Escenario'!$C$11,0)))))</f>
        <v>0</v>
      </c>
      <c r="BP837" s="236" t="n">
        <f aca="false" t="array" ref="BP837:BP837">IF(BP836=0,0,IF(BP836/'🎚️ Escenario'!$C$11&gt;=36,$AL$23,INDEX($C$23:$AL$23,MAX(1,ROUNDUP(BP836/'🎚️ Escenario'!$C$11,0)))))</f>
        <v>0</v>
      </c>
      <c r="BQ837" s="236" t="n">
        <f aca="false" t="array" ref="BQ837:BQ837">IF(BQ836=0,0,IF(BQ836/'🎚️ Escenario'!$C$11&gt;=36,$AL$23,INDEX($C$23:$AL$23,MAX(1,ROUNDUP(BQ836/'🎚️ Escenario'!$C$11,0)))))</f>
        <v>0</v>
      </c>
      <c r="BR837" s="236" t="n">
        <f aca="false" t="array" ref="BR837:BR837">IF(BR836=0,0,IF(BR836/'🎚️ Escenario'!$C$11&gt;=36,$AL$23,INDEX($C$23:$AL$23,MAX(1,ROUNDUP(BR836/'🎚️ Escenario'!$C$11,0)))))</f>
        <v>0</v>
      </c>
      <c r="BS837" s="236" t="n">
        <f aca="false" t="array" ref="BS837:BS837">IF(BS836=0,0,IF(BS836/'🎚️ Escenario'!$C$11&gt;=36,$AL$23,INDEX($C$23:$AL$23,MAX(1,ROUNDUP(BS836/'🎚️ Escenario'!$C$11,0)))))</f>
        <v>0</v>
      </c>
      <c r="BT837" s="236" t="n">
        <f aca="false" t="array" ref="BT837:BT837">IF(BT836=0,0,IF(BT836/'🎚️ Escenario'!$C$11&gt;=36,$AL$23,INDEX($C$23:$AL$23,MAX(1,ROUNDUP(BT836/'🎚️ Escenario'!$C$11,0)))))</f>
        <v>0</v>
      </c>
      <c r="BU837" s="236" t="n">
        <f aca="false" t="array" ref="BU837:BU837">IF(BU836=0,0,IF(BU836/'🎚️ Escenario'!$C$11&gt;=36,$AL$23,INDEX($C$23:$AL$23,MAX(1,ROUNDUP(BU836/'🎚️ Escenario'!$C$11,0)))))</f>
        <v>0</v>
      </c>
      <c r="BV837" s="236" t="n">
        <f aca="false" t="array" ref="BV837:BV837">IF(BV836=0,0,IF(BV836/'🎚️ Escenario'!$C$11&gt;=36,$AL$23,INDEX($C$23:$AL$23,MAX(1,ROUNDUP(BV836/'🎚️ Escenario'!$C$11,0)))))</f>
        <v>0</v>
      </c>
      <c r="BW837" s="236" t="n">
        <f aca="false" t="array" ref="BW837:BW837">IF(BW836=0,0,IF(BW836/'🎚️ Escenario'!$C$11&gt;=36,$AL$23,INDEX($C$23:$AL$23,MAX(1,ROUNDUP(BW836/'🎚️ Escenario'!$C$11,0)))))</f>
        <v>0</v>
      </c>
      <c r="BX837" s="236" t="n">
        <f aca="false" t="array" ref="BX837:BX837">IF(BX836=0,0,IF(BX836/'🎚️ Escenario'!$C$11&gt;=36,$AL$23,INDEX($C$23:$AL$23,MAX(1,ROUNDUP(BX836/'🎚️ Escenario'!$C$11,0)))))</f>
        <v>0</v>
      </c>
      <c r="BY837" s="236" t="n">
        <f aca="false" t="array" ref="BY837:BY837">IF(BY836=0,0,IF(BY836/'🎚️ Escenario'!$C$11&gt;=36,$AL$23,INDEX($C$23:$AL$23,MAX(1,ROUNDUP(BY836/'🎚️ Escenario'!$C$11,0)))))</f>
        <v>0</v>
      </c>
      <c r="BZ837" s="236" t="n">
        <f aca="false" t="array" ref="BZ837:BZ837">IF(BZ836=0,0,IF(BZ836/'🎚️ Escenario'!$C$11&gt;=36,$AL$23,INDEX($C$23:$AL$23,MAX(1,ROUNDUP(BZ836/'🎚️ Escenario'!$C$11,0)))))</f>
        <v>0</v>
      </c>
      <c r="CA837" s="236" t="n">
        <f aca="false" t="array" ref="CA837:CA837">IF(CA836=0,0,IF(CA836/'🎚️ Escenario'!$C$11&gt;=36,$AL$23,INDEX($C$23:$AL$23,MAX(1,ROUNDUP(CA836/'🎚️ Escenario'!$C$11,0)))))</f>
        <v>0</v>
      </c>
      <c r="CB837" s="236" t="n">
        <f aca="false" t="array" ref="CB837:CB837">IF(CB836=0,0,IF(CB836/'🎚️ Escenario'!$C$11&gt;=36,$AL$23,INDEX($C$23:$AL$23,MAX(1,ROUNDUP(CB836/'🎚️ Escenario'!$C$11,0)))))</f>
        <v>0</v>
      </c>
      <c r="CC837" s="236" t="n">
        <f aca="false" t="array" ref="CC837:CC837">IF(CC836=0,0,IF(CC836/'🎚️ Escenario'!$C$11&gt;=36,$AL$23,INDEX($C$23:$AL$23,MAX(1,ROUNDUP(CC836/'🎚️ Escenario'!$C$11,0)))))</f>
        <v>0</v>
      </c>
      <c r="CD837" s="236" t="n">
        <f aca="false" t="array" ref="CD837:CD837">IF(CD836=0,0,IF(CD836/'🎚️ Escenario'!$C$11&gt;=36,$AL$23,INDEX($C$23:$AL$23,MAX(1,ROUNDUP(CD836/'🎚️ Escenario'!$C$11,0)))))</f>
        <v>0</v>
      </c>
      <c r="CE837" s="236" t="n">
        <f aca="false" t="array" ref="CE837:CE837">IF(CE836=0,0,IF(CE836/'🎚️ Escenario'!$C$11&gt;=36,$AL$23,INDEX($C$23:$AL$23,MAX(1,ROUNDUP(CE836/'🎚️ Escenario'!$C$11,0)))))</f>
        <v>0</v>
      </c>
      <c r="CF837" s="236" t="n">
        <f aca="false" t="array" ref="CF837:CF837">IF(CF836=0,0,IF(CF836/'🎚️ Escenario'!$C$11&gt;=36,$AL$23,INDEX($C$23:$AL$23,MAX(1,ROUNDUP(CF836/'🎚️ Escenario'!$C$11,0)))))</f>
        <v>0</v>
      </c>
      <c r="CG837" s="236" t="n">
        <f aca="false" t="array" ref="CG837:CG837">IF(CG836=0,0,IF(CG836/'🎚️ Escenario'!$C$11&gt;=36,$AL$23,INDEX($C$23:$AL$23,MAX(1,ROUNDUP(CG836/'🎚️ Escenario'!$C$11,0)))))</f>
        <v>0</v>
      </c>
      <c r="CH837" s="236" t="n">
        <f aca="false" t="array" ref="CH837:CH837">IF(CH836=0,0,IF(CH836/'🎚️ Escenario'!$C$11&gt;=36,$AL$23,INDEX($C$23:$AL$23,MAX(1,ROUNDUP(CH836/'🎚️ Escenario'!$C$11,0)))))</f>
        <v>0</v>
      </c>
      <c r="CI837" s="236" t="n">
        <f aca="false" t="array" ref="CI837:CI837">IF(CI836=0,0,IF(CI836/'🎚️ Escenario'!$C$11&gt;=36,$AL$23,INDEX($C$23:$AL$23,MAX(1,ROUNDUP(CI836/'🎚️ Escenario'!$C$11,0)))))</f>
        <v>0</v>
      </c>
      <c r="CJ837" s="236" t="n">
        <f aca="false" t="array" ref="CJ837:CJ837">IF(CJ836=0,0,IF(CJ836/'🎚️ Escenario'!$C$11&gt;=36,$AL$23,INDEX($C$23:$AL$23,MAX(1,ROUNDUP(CJ836/'🎚️ Escenario'!$C$11,0)))))</f>
        <v>0</v>
      </c>
      <c r="CK837" s="236" t="n">
        <f aca="false" t="array" ref="CK837:CK837">IF(CK836=0,0,IF(CK836/'🎚️ Escenario'!$C$11&gt;=36,$AL$23,INDEX($C$23:$AL$23,MAX(1,ROUNDUP(CK836/'🎚️ Escenario'!$C$11,0)))))</f>
        <v>0</v>
      </c>
      <c r="CL837" s="236" t="n">
        <f aca="false" t="array" ref="CL837:CL837">IF(CL836=0,0,IF(CL836/'🎚️ Escenario'!$C$11&gt;=36,$AL$23,INDEX($C$23:$AL$23,MAX(1,ROUNDUP(CL836/'🎚️ Escenario'!$C$11,0)))))</f>
        <v>0</v>
      </c>
      <c r="CM837" s="236" t="n">
        <f aca="false" t="array" ref="CM837:CM837">IF(CM836=0,0,IF(CM836/'🎚️ Escenario'!$C$11&gt;=36,$AL$23,INDEX($C$23:$AL$23,MAX(1,ROUNDUP(CM836/'🎚️ Escenario'!$C$11,0)))))</f>
        <v>0</v>
      </c>
      <c r="CN837" s="236" t="n">
        <f aca="false" t="array" ref="CN837:CN837">IF(CN836=0,0,IF(CN836/'🎚️ Escenario'!$C$11&gt;=36,$AL$23,INDEX($C$23:$AL$23,MAX(1,ROUNDUP(CN836/'🎚️ Escenario'!$C$11,0)))))</f>
        <v>0</v>
      </c>
      <c r="CO837" s="236" t="n">
        <f aca="false" t="array" ref="CO837:CO837">IF(CO836=0,0,IF(CO836/'🎚️ Escenario'!$C$11&gt;=36,$AL$23,INDEX($C$23:$AL$23,MAX(1,ROUNDUP(CO836/'🎚️ Escenario'!$C$11,0)))))</f>
        <v>0</v>
      </c>
      <c r="CP837" s="236" t="n">
        <f aca="false" t="array" ref="CP837:CP837">IF(CP836=0,0,IF(CP836/'🎚️ Escenario'!$C$11&gt;=36,$AL$23,INDEX($C$23:$AL$23,MAX(1,ROUNDUP(CP836/'🎚️ Escenario'!$C$11,0)))))</f>
        <v>0</v>
      </c>
      <c r="CQ837" s="236" t="n">
        <f aca="false" t="array" ref="CQ837:CQ837">IF(CQ836=0,0,IF(CQ836/'🎚️ Escenario'!$C$11&gt;=36,$AL$23,INDEX($C$23:$AL$23,MAX(1,ROUNDUP(CQ836/'🎚️ Escenario'!$C$11,0)))))</f>
        <v>0</v>
      </c>
      <c r="CR837" s="236" t="n">
        <f aca="false" t="array" ref="CR837:CR837">IF(CR836=0,0,IF(CR836/'🎚️ Escenario'!$C$11&gt;=36,$AL$23,INDEX($C$23:$AL$23,MAX(1,ROUNDUP(CR836/'🎚️ Escenario'!$C$11,0)))))</f>
        <v>0</v>
      </c>
      <c r="CS837" s="236" t="n">
        <f aca="false" t="array" ref="CS837:CS837">IF(CS836=0,0,IF(CS836/'🎚️ Escenario'!$C$11&gt;=36,$AL$23,INDEX($C$23:$AL$23,MAX(1,ROUNDUP(CS836/'🎚️ Escenario'!$C$11,0)))))</f>
        <v>0</v>
      </c>
      <c r="CT837" s="236" t="n">
        <f aca="false" t="array" ref="CT837:CT837">IF(CT836=0,0,IF(CT836/'🎚️ Escenario'!$C$11&gt;=36,$AL$23,INDEX($C$23:$AL$23,MAX(1,ROUNDUP(CT836/'🎚️ Escenario'!$C$11,0)))))</f>
        <v>0</v>
      </c>
      <c r="CU837" s="236" t="n">
        <f aca="false" t="array" ref="CU837:CU837">IF(CU836=0,0,IF(CU836/'🎚️ Escenario'!$C$11&gt;=36,$AL$23,INDEX($C$23:$AL$23,MAX(1,ROUNDUP(CU836/'🎚️ Escenario'!$C$11,0)))))</f>
        <v>0</v>
      </c>
      <c r="CV837" s="236" t="n">
        <f aca="false" t="array" ref="CV837:CV837">IF(CV836=0,0,IF(CV836/'🎚️ Escenario'!$C$11&gt;=36,$AL$23,INDEX($C$23:$AL$23,MAX(1,ROUNDUP(CV836/'🎚️ Escenario'!$C$11,0)))))</f>
        <v>0</v>
      </c>
      <c r="CW837" s="236" t="n">
        <f aca="false" t="array" ref="CW837:CW837">IF(CW836=0,0,IF(CW836/'🎚️ Escenario'!$C$11&gt;=36,$AL$23,INDEX($C$23:$AL$23,MAX(1,ROUNDUP(CW836/'🎚️ Escenario'!$C$11,0)))))</f>
        <v>0</v>
      </c>
      <c r="CX837" s="236" t="n">
        <f aca="false" t="array" ref="CX837:CX837">IF(CX836=0,0,IF(CX836/'🎚️ Escenario'!$C$11&gt;=36,$AL$23,INDEX($C$23:$AL$23,MAX(1,ROUNDUP(CX836/'🎚️ Escenario'!$C$11,0)))))</f>
        <v>0</v>
      </c>
      <c r="CY837" s="236" t="n">
        <f aca="false" t="array" ref="CY837:CY837">IF(CY836=0,0,IF(CY836/'🎚️ Escenario'!$C$11&gt;=36,$AL$23,INDEX($C$23:$AL$23,MAX(1,ROUNDUP(CY836/'🎚️ Escenario'!$C$11,0)))))</f>
        <v>0</v>
      </c>
      <c r="CZ837" s="236" t="n">
        <f aca="false" t="array" ref="CZ837:CZ837">IF(CZ836=0,0,IF(CZ836/'🎚️ Escenario'!$C$11&gt;=36,$AL$23,INDEX($C$23:$AL$23,MAX(1,ROUNDUP(CZ836/'🎚️ Escenario'!$C$11,0)))))</f>
        <v>0</v>
      </c>
      <c r="DA837" s="236" t="n">
        <f aca="false" t="array" ref="DA837:DA837">IF(DA836=0,0,IF(DA836/'🎚️ Escenario'!$C$11&gt;=36,$AL$23,INDEX($C$23:$AL$23,MAX(1,ROUNDUP(DA836/'🎚️ Escenario'!$C$11,0)))))</f>
        <v>0</v>
      </c>
      <c r="DB837" s="236" t="n">
        <f aca="false" t="array" ref="DB837:DB837">IF(DB836=0,0,IF(DB836/'🎚️ Escenario'!$C$11&gt;=36,$AL$23,INDEX($C$23:$AL$23,MAX(1,ROUNDUP(DB836/'🎚️ Escenario'!$C$11,0)))))</f>
        <v>0</v>
      </c>
      <c r="DC837" s="236" t="n">
        <f aca="false" t="array" ref="DC837:DC837">IF(DC836=0,0,IF(DC836/'🎚️ Escenario'!$C$11&gt;=36,$AL$23,INDEX($C$23:$AL$23,MAX(1,ROUNDUP(DC836/'🎚️ Escenario'!$C$11,0)))))</f>
        <v>0</v>
      </c>
      <c r="DD837" s="236" t="n">
        <f aca="false" t="array" ref="DD837:DD837">IF(DD836=0,0,IF(DD836/'🎚️ Escenario'!$C$11&gt;=36,$AL$23,INDEX($C$23:$AL$23,MAX(1,ROUNDUP(DD836/'🎚️ Escenario'!$C$11,0)))))</f>
        <v>0</v>
      </c>
      <c r="DE837" s="236" t="n">
        <f aca="false" t="array" ref="DE837:DE837">IF(DE836=0,0,IF(DE836/'🎚️ Escenario'!$C$11&gt;=36,$AL$23,INDEX($C$23:$AL$23,MAX(1,ROUNDUP(DE836/'🎚️ Escenario'!$C$11,0)))))</f>
        <v>0</v>
      </c>
      <c r="DF837" s="236" t="n">
        <f aca="false" t="array" ref="DF837:DF837">IF(DF836=0,0,IF(DF836/'🎚️ Escenario'!$C$11&gt;=36,$AL$23,INDEX($C$23:$AL$23,MAX(1,ROUNDUP(DF836/'🎚️ Escenario'!$C$11,0)))))</f>
        <v>0</v>
      </c>
      <c r="DG837" s="236" t="n">
        <f aca="false" t="array" ref="DG837:DG837">IF(DG836=0,0,IF(DG836/'🎚️ Escenario'!$C$11&gt;=36,$AL$23,INDEX($C$23:$AL$23,MAX(1,ROUNDUP(DG836/'🎚️ Escenario'!$C$11,0)))))</f>
        <v>0</v>
      </c>
      <c r="DH837" s="236" t="n">
        <f aca="false" t="array" ref="DH837:DH837">IF(DH836=0,0,IF(DH836/'🎚️ Escenario'!$C$11&gt;=36,$AL$23,INDEX($C$23:$AL$23,MAX(1,ROUNDUP(DH836/'🎚️ Escenario'!$C$11,0)))))</f>
        <v>0</v>
      </c>
      <c r="DI837" s="236" t="n">
        <f aca="false" t="array" ref="DI837:DI837">IF(DI836=0,0,IF(DI836/'🎚️ Escenario'!$C$11&gt;=36,$AL$23,INDEX($C$23:$AL$23,MAX(1,ROUNDUP(DI836/'🎚️ Escenario'!$C$11,0)))))</f>
        <v>0</v>
      </c>
      <c r="DJ837" s="236" t="n">
        <f aca="false" t="array" ref="DJ837:DJ837">IF(DJ836=0,0,IF(DJ836/'🎚️ Escenario'!$C$11&gt;=36,$AL$23,INDEX($C$23:$AL$23,MAX(1,ROUNDUP(DJ836/'🎚️ Escenario'!$C$11,0)))))</f>
        <v>0</v>
      </c>
      <c r="DK837" s="236" t="n">
        <f aca="false" t="array" ref="DK837:DK837">IF(DK836=0,0,IF(DK836/'🎚️ Escenario'!$C$11&gt;=36,$AL$23,INDEX($C$23:$AL$23,MAX(1,ROUNDUP(DK836/'🎚️ Escenario'!$C$11,0)))))</f>
        <v>0</v>
      </c>
      <c r="DL837" s="236" t="n">
        <f aca="false" t="array" ref="DL837:DL837">IF(DL836=0,0,IF(DL836/'🎚️ Escenario'!$C$11&gt;=36,$AL$23,INDEX($C$23:$AL$23,MAX(1,ROUNDUP(DL836/'🎚️ Escenario'!$C$11,0)))))</f>
        <v>0</v>
      </c>
      <c r="DM837" s="236" t="n">
        <f aca="false" t="array" ref="DM837:DM837">IF(DM836=0,0,IF(DM836/'🎚️ Escenario'!$C$11&gt;=36,$AL$23,INDEX($C$23:$AL$23,MAX(1,ROUNDUP(DM836/'🎚️ Escenario'!$C$11,0)))))</f>
        <v>0</v>
      </c>
      <c r="DN837" s="236" t="n">
        <f aca="false" t="array" ref="DN837:DN837">IF(DN836=0,0,IF(DN836/'🎚️ Escenario'!$C$11&gt;=36,$AL$23,INDEX($C$23:$AL$23,MAX(1,ROUNDUP(DN836/'🎚️ Escenario'!$C$11,0)))))</f>
        <v>0</v>
      </c>
      <c r="DO837" s="236" t="n">
        <f aca="false" t="array" ref="DO837:DO837">IF(DO836=0,0,IF(DO836/'🎚️ Escenario'!$C$11&gt;=36,$AL$23,INDEX($C$23:$AL$23,MAX(1,ROUNDUP(DO836/'🎚️ Escenario'!$C$11,0)))))</f>
        <v>0</v>
      </c>
      <c r="DP837" s="236" t="n">
        <f aca="false" t="array" ref="DP837:DP837">IF(DP836=0,0,IF(DP836/'🎚️ Escenario'!$C$11&gt;=36,$AL$23,INDEX($C$23:$AL$23,MAX(1,ROUNDUP(DP836/'🎚️ Escenario'!$C$11,0)))))</f>
        <v>0</v>
      </c>
      <c r="DQ837" s="236" t="n">
        <f aca="false" t="array" ref="DQ837:DQ837">IF(DQ836=0,0,IF(DQ836/'🎚️ Escenario'!$C$11&gt;=36,$AL$23,INDEX($C$23:$AL$23,MAX(1,ROUNDUP(DQ836/'🎚️ Escenario'!$C$11,0)))))</f>
        <v>0</v>
      </c>
      <c r="DR837" s="236" t="n">
        <f aca="false" t="array" ref="DR837:DR837">IF(DR836=0,0,IF(DR836/'🎚️ Escenario'!$C$11&gt;=36,$AL$23,INDEX($C$23:$AL$23,MAX(1,ROUNDUP(DR836/'🎚️ Escenario'!$C$11,0)))))</f>
        <v>0</v>
      </c>
      <c r="DS837" s="236" t="n">
        <f aca="false" t="array" ref="DS837:DS837">IF(DS836=0,0,IF(DS836/'🎚️ Escenario'!$C$11&gt;=36,$AL$23,INDEX($C$23:$AL$23,MAX(1,ROUNDUP(DS836/'🎚️ Escenario'!$C$11,0)))))</f>
        <v>0</v>
      </c>
      <c r="DT837" s="236" t="n">
        <f aca="false" t="array" ref="DT837:DT837">IF(DT836=0,0,IF(DT836/'🎚️ Escenario'!$C$11&gt;=36,$AL$23,INDEX($C$23:$AL$23,MAX(1,ROUNDUP(DT836/'🎚️ Escenario'!$C$11,0)))))</f>
        <v>0</v>
      </c>
      <c r="DU837" s="236" t="n">
        <f aca="false" t="array" ref="DU837:DU837">IF(DU836=0,0,IF(DU836/'🎚️ Escenario'!$C$11&gt;=36,$AL$23,INDEX($C$23:$AL$23,MAX(1,ROUNDUP(DU836/'🎚️ Escenario'!$C$11,0)))))</f>
        <v>0</v>
      </c>
      <c r="DV837" s="236" t="n">
        <f aca="false" t="array" ref="DV837:DV837">IF(DV836=0,0,IF(DV836/'🎚️ Escenario'!$C$11&gt;=36,$AL$23,INDEX($C$23:$AL$23,MAX(1,ROUNDUP(DV836/'🎚️ Escenario'!$C$11,0)))))</f>
        <v>0</v>
      </c>
      <c r="DW837" s="236" t="n">
        <f aca="false" t="array" ref="DW837:DW837">IF(DW836=0,0,IF(DW836/'🎚️ Escenario'!$C$11&gt;=36,$AL$23,INDEX($C$23:$AL$23,MAX(1,ROUNDUP(DW836/'🎚️ Escenario'!$C$11,0)))))</f>
        <v>0</v>
      </c>
      <c r="DX837" s="236" t="n">
        <f aca="false" t="array" ref="DX837:DX837">IF(DX836=0,0,IF(DX836/'🎚️ Escenario'!$C$11&gt;=36,$AL$23,INDEX($C$23:$AL$23,MAX(1,ROUNDUP(DX836/'🎚️ Escenario'!$C$11,0)))))</f>
        <v>0</v>
      </c>
      <c r="DY837" s="236" t="n">
        <f aca="false" t="array" ref="DY837:DY837">IF(DY836=0,0,IF(DY836/'🎚️ Escenario'!$C$11&gt;=36,$AL$23,INDEX($C$23:$AL$23,MAX(1,ROUNDUP(DY836/'🎚️ Escenario'!$C$11,0)))))</f>
        <v>0</v>
      </c>
      <c r="DZ837" s="236" t="n">
        <f aca="false" t="array" ref="DZ837:DZ837">IF(DZ836=0,0,IF(DZ836/'🎚️ Escenario'!$C$11&gt;=36,$AL$23,INDEX($C$23:$AL$23,MAX(1,ROUNDUP(DZ836/'🎚️ Escenario'!$C$11,0)))))</f>
        <v>0</v>
      </c>
      <c r="EA837" s="236" t="n">
        <f aca="false" t="array" ref="EA837:EA837">IF(EA836=0,0,IF(EA836/'🎚️ Escenario'!$C$11&gt;=36,$AL$23,INDEX($C$23:$AL$23,MAX(1,ROUNDUP(EA836/'🎚️ Escenario'!$C$11,0)))))</f>
        <v>0</v>
      </c>
      <c r="EB837" s="236" t="n">
        <f aca="false" t="array" ref="EB837:EB837">IF(EB836=0,0,IF(EB836/'🎚️ Escenario'!$C$11&gt;=36,$AL$23,INDEX($C$23:$AL$23,MAX(1,ROUNDUP(EB836/'🎚️ Escenario'!$C$11,0)))))</f>
        <v>0</v>
      </c>
      <c r="EC837" s="236" t="n">
        <f aca="false" t="array" ref="EC837:EC837">IF(EC836=0,0,IF(EC836/'🎚️ Escenario'!$C$11&gt;=36,$AL$23,INDEX($C$23:$AL$23,MAX(1,ROUNDUP(EC836/'🎚️ Escenario'!$C$11,0)))))</f>
        <v>0</v>
      </c>
      <c r="ED837" s="236" t="n">
        <f aca="false" t="array" ref="ED837:ED837">IF(ED836=0,0,IF(ED836/'🎚️ Escenario'!$C$11&gt;=36,$AL$23,INDEX($C$23:$AL$23,MAX(1,ROUNDUP(ED836/'🎚️ Escenario'!$C$11,0)))))</f>
        <v>0</v>
      </c>
      <c r="EE837" s="236" t="n">
        <f aca="false" t="array" ref="EE837:EE837">IF(EE836=0,0,IF(EE836/'🎚️ Escenario'!$C$11&gt;=36,$AL$23,INDEX($C$23:$AL$23,MAX(1,ROUNDUP(EE836/'🎚️ Escenario'!$C$11,0)))))</f>
        <v>0</v>
      </c>
      <c r="EF837" s="236" t="n">
        <f aca="false" t="array" ref="EF837:EF837">IF(EF836=0,0,IF(EF836/'🎚️ Escenario'!$C$11&gt;=36,$AL$23,INDEX($C$23:$AL$23,MAX(1,ROUNDUP(EF836/'🎚️ Escenario'!$C$11,0)))))</f>
        <v>0</v>
      </c>
      <c r="EG837" s="236" t="n">
        <f aca="false" t="array" ref="EG837:EG837">IF(EG836=0,0,IF(EG836/'🎚️ Escenario'!$C$11&gt;=36,$AL$23,INDEX($C$23:$AL$23,MAX(1,ROUNDUP(EG836/'🎚️ Escenario'!$C$11,0)))))</f>
        <v>0</v>
      </c>
      <c r="EH837" s="236" t="n">
        <f aca="false" t="array" ref="EH837:EH837">IF(EH836=0,0,IF(EH836/'🎚️ Escenario'!$C$11&gt;=36,$AL$23,INDEX($C$23:$AL$23,MAX(1,ROUNDUP(EH836/'🎚️ Escenario'!$C$11,0)))))</f>
        <v>0</v>
      </c>
      <c r="EI837" s="236" t="n">
        <f aca="false" t="array" ref="EI837:EI837">IF(EI836=0,0,IF(EI836/'🎚️ Escenario'!$C$11&gt;=36,$AL$23,INDEX($C$23:$AL$23,MAX(1,ROUNDUP(EI836/'🎚️ Escenario'!$C$11,0)))))</f>
        <v>0</v>
      </c>
      <c r="EJ837" s="236" t="n">
        <f aca="false" t="array" ref="EJ837:EJ837">IF(EJ836=0,0,IF(EJ836/'🎚️ Escenario'!$C$11&gt;=36,$AL$23,INDEX($C$23:$AL$23,MAX(1,ROUNDUP(EJ836/'🎚️ Escenario'!$C$11,0)))))</f>
        <v>0</v>
      </c>
      <c r="EK837" s="236" t="n">
        <f aca="false" t="array" ref="EK837:EK837">IF(EK836=0,0,IF(EK836/'🎚️ Escenario'!$C$11&gt;=36,$AL$23,INDEX($C$23:$AL$23,MAX(1,ROUNDUP(EK836/'🎚️ Escenario'!$C$11,0)))))</f>
        <v>0</v>
      </c>
      <c r="EL837" s="236" t="n">
        <f aca="false" t="array" ref="EL837:EL837">IF(EL836=0,0,IF(EL836/'🎚️ Escenario'!$C$11&gt;=36,$AL$23,INDEX($C$23:$AL$23,MAX(1,ROUNDUP(EL836/'🎚️ Escenario'!$C$11,0)))))</f>
        <v>0</v>
      </c>
      <c r="EM837" s="236" t="n">
        <f aca="false" t="array" ref="EM837:EM837">IF(EM836=0,0,IF(EM836/'🎚️ Escenario'!$C$11&gt;=36,$AL$23,INDEX($C$23:$AL$23,MAX(1,ROUNDUP(EM836/'🎚️ Escenario'!$C$11,0)))))</f>
        <v>0</v>
      </c>
      <c r="EN837" s="236" t="n">
        <f aca="false" t="array" ref="EN837:EN837">IF(EN836=0,0,IF(EN836/'🎚️ Escenario'!$C$11&gt;=36,$AL$23,INDEX($C$23:$AL$23,MAX(1,ROUNDUP(EN836/'🎚️ Escenario'!$C$11,0)))))</f>
        <v>0</v>
      </c>
      <c r="EO837" s="236" t="n">
        <f aca="false" t="array" ref="EO837:EO837">IF(EO836=0,0,IF(EO836/'🎚️ Escenario'!$C$11&gt;=36,$AL$23,INDEX($C$23:$AL$23,MAX(1,ROUNDUP(EO836/'🎚️ Escenario'!$C$11,0)))))</f>
        <v>0</v>
      </c>
      <c r="EP837" s="236" t="n">
        <f aca="false" t="array" ref="EP837:EP837">IF(EP836=0,0,IF(EP836/'🎚️ Escenario'!$C$11&gt;=36,$AL$23,INDEX($C$23:$AL$23,MAX(1,ROUNDUP(EP836/'🎚️ Escenario'!$C$11,0)))))</f>
        <v>0</v>
      </c>
      <c r="EQ837" s="236" t="n">
        <f aca="false" t="array" ref="EQ837:EQ837">IF(EQ836=0,0,IF(EQ836/'🎚️ Escenario'!$C$11&gt;=36,$AL$23,INDEX($C$23:$AL$23,MAX(1,ROUNDUP(EQ836/'🎚️ Escenario'!$C$11,0)))))</f>
        <v>0</v>
      </c>
      <c r="ER837" s="236" t="n">
        <f aca="false" t="array" ref="ER837:ER837">IF(ER836=0,0,IF(ER836/'🎚️ Escenario'!$C$11&gt;=36,$AL$23,INDEX($C$23:$AL$23,MAX(1,ROUNDUP(ER836/'🎚️ Escenario'!$C$11,0)))))</f>
        <v>0</v>
      </c>
      <c r="ES837" s="9" t="n">
        <f aca="false" t="array" ref="ES837:ES837">IF(ES836=0,0,IF(ES836/'🎚️ Escenario'!$C$11&gt;=36,$AL$23,INDEX($C$23:$AL$23,MAX(1,ROUNDUP(ES836/'🎚️ Escenario'!$C$11,0)))))</f>
        <v>0</v>
      </c>
      <c r="ET837" s="9" t="n">
        <f aca="false" t="array" ref="ET837:ET837">IF(ET836=0,0,IF(ET836/'🎚️ Escenario'!$C$11&gt;=36,$AL$23,INDEX($C$23:$AL$23,MAX(1,ROUNDUP(ET836/'🎚️ Escenario'!$C$11,0)))))</f>
        <v>0</v>
      </c>
      <c r="EU837" s="9" t="n">
        <f aca="false" t="array" ref="EU837:EU837">IF(EU836=0,0,IF(EU836/'🎚️ Escenario'!$C$11&gt;=36,$AL$23,INDEX($C$23:$AL$23,MAX(1,ROUNDUP(EU836/'🎚️ Escenario'!$C$11,0)))))</f>
        <v>0</v>
      </c>
      <c r="EV837" s="9" t="n">
        <f aca="false" t="array" ref="EV837:EV837">IF(EV836=0,0,IF(EV836/'🎚️ Escenario'!$C$11&gt;=36,$AL$23,INDEX($C$23:$AL$23,MAX(1,ROUNDUP(EV836/'🎚️ Escenario'!$C$11,0)))))</f>
        <v>0</v>
      </c>
      <c r="EW837" s="9" t="n">
        <f aca="false" t="array" ref="EW837:EW837">IF(EW836=0,0,IF(EW836/'🎚️ Escenario'!$C$11&gt;=36,$AL$23,INDEX($C$23:$AL$23,MAX(1,ROUNDUP(EW836/'🎚️ Escenario'!$C$11,0)))))</f>
        <v>0</v>
      </c>
      <c r="EX837" s="9" t="n">
        <f aca="false" t="array" ref="EX837:EX837">IF(EX836=0,0,IF(EX836/'🎚️ Escenario'!$C$11&gt;=36,$AL$23,INDEX($C$23:$AL$23,MAX(1,ROUNDUP(EX836/'🎚️ Escenario'!$C$11,0)))))</f>
        <v>0</v>
      </c>
      <c r="EY837" s="9" t="n">
        <f aca="false" t="array" ref="EY837:EY837">IF(EY836=0,0,IF(EY836/'🎚️ Escenario'!$C$11&gt;=36,$AL$23,INDEX($C$23:$AL$23,MAX(1,ROUNDUP(EY836/'🎚️ Escenario'!$C$11,0)))))</f>
        <v>0</v>
      </c>
      <c r="EZ837" s="9" t="n">
        <f aca="false" t="array" ref="EZ837:EZ837">IF(EZ836=0,0,IF(EZ836/'🎚️ Escenario'!$C$11&gt;=36,$AL$23,INDEX($C$23:$AL$23,MAX(1,ROUNDUP(EZ836/'🎚️ Escenario'!$C$11,0)))))</f>
        <v>0</v>
      </c>
      <c r="FA837" s="9" t="n">
        <f aca="false" t="array" ref="FA837:FA837">IF(FA836=0,0,IF(FA836/'🎚️ Escenario'!$C$11&gt;=36,$AL$23,INDEX($C$23:$AL$23,MAX(1,ROUNDUP(FA836/'🎚️ Escenario'!$C$11,0)))))</f>
        <v>0</v>
      </c>
      <c r="FB837" s="9" t="n">
        <f aca="false" t="array" ref="FB837:FB837">IF(FB836=0,0,IF(FB836/'🎚️ Escenario'!$C$11&gt;=36,$AL$23,INDEX($C$23:$AL$23,MAX(1,ROUNDUP(FB836/'🎚️ Escenario'!$C$11,0)))))</f>
        <v>0</v>
      </c>
      <c r="FC837" s="9" t="n">
        <f aca="false" t="array" ref="FC837:FC837">IF(FC836=0,0,IF(FC836/'🎚️ Escenario'!$C$11&gt;=36,$AL$23,INDEX($C$23:$AL$23,MAX(1,ROUNDUP(FC836/'🎚️ Escenario'!$C$11,0)))))</f>
        <v>0</v>
      </c>
      <c r="FD837" s="9" t="n">
        <f aca="false" t="array" ref="FD837:FD837">IF(FD836=0,0,IF(FD836/'🎚️ Escenario'!$C$11&gt;=36,$AL$23,INDEX($C$23:$AL$23,MAX(1,ROUNDUP(FD836/'🎚️ Escenario'!$C$11,0)))))</f>
        <v>0</v>
      </c>
      <c r="FE837" s="9" t="n">
        <f aca="false" t="array" ref="FE837:FE837">IF(FE836=0,0,IF(FE836/'🎚️ Escenario'!$C$11&gt;=36,$AL$23,INDEX($C$23:$AL$23,MAX(1,ROUNDUP(FE836/'🎚️ Escenario'!$C$11,0)))))</f>
        <v>0</v>
      </c>
      <c r="FF837" s="9" t="n">
        <f aca="false" t="array" ref="FF837:FF837">IF(FF836=0,0,IF(FF836/'🎚️ Escenario'!$C$11&gt;=36,$AL$23,INDEX($C$23:$AL$23,MAX(1,ROUNDUP(FF836/'🎚️ Escenario'!$C$11,0)))))</f>
        <v>0</v>
      </c>
      <c r="FG837" s="9" t="n">
        <f aca="false" t="array" ref="FG837:FG837">IF(FG836=0,0,IF(FG836/'🎚️ Escenario'!$C$11&gt;=36,$AL$23,INDEX($C$23:$AL$23,MAX(1,ROUNDUP(FG836/'🎚️ Escenario'!$C$11,0)))))</f>
        <v>0</v>
      </c>
      <c r="FH837" s="9" t="n">
        <f aca="false" t="array" ref="FH837:FH837">IF(FH836=0,0,IF(FH836/'🎚️ Escenario'!$C$11&gt;=36,$AL$23,INDEX($C$23:$AL$23,MAX(1,ROUNDUP(FH836/'🎚️ Escenario'!$C$11,0)))))</f>
        <v>0.2</v>
      </c>
      <c r="FI837" s="9" t="n">
        <f aca="false" t="array" ref="FI837:FI837">IF(FI836=0,0,IF(FI836/'🎚️ Escenario'!$C$11&gt;=36,$AL$23,INDEX($C$23:$AL$23,MAX(1,ROUNDUP(FI836/'🎚️ Escenario'!$C$11,0)))))</f>
        <v>0.22</v>
      </c>
      <c r="FJ837" s="9" t="n">
        <f aca="false" t="array" ref="FJ837:FJ837">IF(FJ836=0,0,IF(FJ836/'🎚️ Escenario'!$C$11&gt;=36,$AL$23,INDEX($C$23:$AL$23,MAX(1,ROUNDUP(FJ836/'🎚️ Escenario'!$C$11,0)))))</f>
        <v>0.24</v>
      </c>
      <c r="FK837" s="9" t="n">
        <f aca="false" t="array" ref="FK837:FK837">IF(FK836=0,0,IF(FK836/'🎚️ Escenario'!$C$11&gt;=36,$AL$23,INDEX($C$23:$AL$23,MAX(1,ROUNDUP(FK836/'🎚️ Escenario'!$C$11,0)))))</f>
        <v>0.27</v>
      </c>
      <c r="FL837" s="9" t="n">
        <f aca="false" t="array" ref="FL837:FL837">IF(FL836=0,0,IF(FL836/'🎚️ Escenario'!$C$11&gt;=36,$AL$23,INDEX($C$23:$AL$23,MAX(1,ROUNDUP(FL836/'🎚️ Escenario'!$C$11,0)))))</f>
        <v>0.27</v>
      </c>
      <c r="FM837" s="9" t="n">
        <f aca="false" t="array" ref="FM837:FM837">IF(FM836=0,0,IF(FM836/'🎚️ Escenario'!$C$11&gt;=36,$AL$23,INDEX($C$23:$AL$23,MAX(1,ROUNDUP(FM836/'🎚️ Escenario'!$C$11,0)))))</f>
        <v>0.31</v>
      </c>
      <c r="FN837" s="9" t="n">
        <f aca="false" t="array" ref="FN837:FN837">IF(FN836=0,0,IF(FN836/'🎚️ Escenario'!$C$11&gt;=36,$AL$23,INDEX($C$23:$AL$23,MAX(1,ROUNDUP(FN836/'🎚️ Escenario'!$C$11,0)))))</f>
        <v>0.35</v>
      </c>
      <c r="FO837" s="9" t="n">
        <f aca="false" t="array" ref="FO837:FO837">IF(FO836=0,0,IF(FO836/'🎚️ Escenario'!$C$11&gt;=36,$AL$23,INDEX($C$23:$AL$23,MAX(1,ROUNDUP(FO836/'🎚️ Escenario'!$C$11,0)))))</f>
        <v>0.39</v>
      </c>
      <c r="FP837" s="9" t="n">
        <f aca="false" t="array" ref="FP837:FP837">IF(FP836=0,0,IF(FP836/'🎚️ Escenario'!$C$11&gt;=36,$AL$23,INDEX($C$23:$AL$23,MAX(1,ROUNDUP(FP836/'🎚️ Escenario'!$C$11,0)))))</f>
        <v>0.44</v>
      </c>
    </row>
    <row r="838" customFormat="false" ht="15" hidden="false" customHeight="false" outlineLevel="2" collapsed="false">
      <c r="B838" s="9" t="s">
        <v>875</v>
      </c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237" t="n">
        <f aca="false">IF(AC836=0,0,IF(AC836&lt;=12*'🎚️ Escenario'!$C$11,1,1+$C$6))</f>
        <v>0</v>
      </c>
      <c r="AD838" s="237" t="n">
        <f aca="false">IF(AD836=0,0,IF(AD836&lt;=12*'🎚️ Escenario'!$C$11,1,1+$C$6))</f>
        <v>0</v>
      </c>
      <c r="AE838" s="237" t="n">
        <f aca="false">IF(AE836=0,0,IF(AE836&lt;=12*'🎚️ Escenario'!$C$11,1,1+$C$6))</f>
        <v>0</v>
      </c>
      <c r="AF838" s="237" t="n">
        <f aca="false">IF(AF836=0,0,IF(AF836&lt;=12*'🎚️ Escenario'!$C$11,1,1+$C$6))</f>
        <v>0</v>
      </c>
      <c r="AG838" s="237" t="n">
        <f aca="false">IF(AG836=0,0,IF(AG836&lt;=12*'🎚️ Escenario'!$C$11,1,1+$C$6))</f>
        <v>0</v>
      </c>
      <c r="AH838" s="237" t="n">
        <f aca="false">IF(AH836=0,0,IF(AH836&lt;=12*'🎚️ Escenario'!$C$11,1,1+$C$6))</f>
        <v>0</v>
      </c>
      <c r="AI838" s="237" t="n">
        <f aca="false">IF(AI836=0,0,IF(AI836&lt;=12*'🎚️ Escenario'!$C$11,1,1+$C$6))</f>
        <v>0</v>
      </c>
      <c r="AJ838" s="237" t="n">
        <f aca="false">IF(AJ836=0,0,IF(AJ836&lt;=12*'🎚️ Escenario'!$C$11,1,1+$C$6))</f>
        <v>0</v>
      </c>
      <c r="AK838" s="237" t="n">
        <f aca="false">IF(AK836=0,0,IF(AK836&lt;=12*'🎚️ Escenario'!$C$11,1,1+$C$6))</f>
        <v>0</v>
      </c>
      <c r="AL838" s="237" t="n">
        <f aca="false">IF(AL836=0,0,IF(AL836&lt;=12*'🎚️ Escenario'!$C$11,1,1+$C$6))</f>
        <v>0</v>
      </c>
      <c r="AM838" s="237" t="n">
        <f aca="false">IF(AM836=0,0,IF(AM836&lt;=12*'🎚️ Escenario'!$C$11,1,1+$C$6))</f>
        <v>0</v>
      </c>
      <c r="AN838" s="237" t="n">
        <f aca="false">IF(AN836=0,0,IF(AN836&lt;=12*'🎚️ Escenario'!$C$11,1,1+$C$6))</f>
        <v>0</v>
      </c>
      <c r="AO838" s="237" t="n">
        <f aca="false">IF(AO836=0,0,IF(AO836&lt;=12*'🎚️ Escenario'!$C$11,1,1+$C$6))</f>
        <v>0</v>
      </c>
      <c r="AP838" s="237" t="n">
        <f aca="false">IF(AP836=0,0,IF(AP836&lt;=12*'🎚️ Escenario'!$C$11,1,1+$C$6))</f>
        <v>0</v>
      </c>
      <c r="AQ838" s="237" t="n">
        <f aca="false">IF(AQ836=0,0,IF(AQ836&lt;=12*'🎚️ Escenario'!$C$11,1,1+$C$6))</f>
        <v>0</v>
      </c>
      <c r="AR838" s="237" t="n">
        <f aca="false">IF(AR836=0,0,IF(AR836&lt;=12*'🎚️ Escenario'!$C$11,1,1+$C$6))</f>
        <v>0</v>
      </c>
      <c r="AS838" s="237" t="n">
        <f aca="false">IF(AS836=0,0,IF(AS836&lt;=12*'🎚️ Escenario'!$C$11,1,1+$C$6))</f>
        <v>0</v>
      </c>
      <c r="AT838" s="237" t="n">
        <f aca="false">IF(AT836=0,0,IF(AT836&lt;=12*'🎚️ Escenario'!$C$11,1,1+$C$6))</f>
        <v>0</v>
      </c>
      <c r="AU838" s="237" t="n">
        <f aca="false">IF(AU836=0,0,IF(AU836&lt;=12*'🎚️ Escenario'!$C$11,1,1+$C$6))</f>
        <v>0</v>
      </c>
      <c r="AV838" s="237" t="n">
        <f aca="false">IF(AV836=0,0,IF(AV836&lt;=12*'🎚️ Escenario'!$C$11,1,1+$C$6))</f>
        <v>0</v>
      </c>
      <c r="AW838" s="237" t="n">
        <f aca="false">IF(AW836=0,0,IF(AW836&lt;=12*'🎚️ Escenario'!$C$11,1,1+$C$6))</f>
        <v>0</v>
      </c>
      <c r="AX838" s="237" t="n">
        <f aca="false">IF(AX836=0,0,IF(AX836&lt;=12*'🎚️ Escenario'!$C$11,1,1+$C$6))</f>
        <v>0</v>
      </c>
      <c r="AY838" s="237" t="n">
        <f aca="false">IF(AY836=0,0,IF(AY836&lt;=12*'🎚️ Escenario'!$C$11,1,1+$C$6))</f>
        <v>0</v>
      </c>
      <c r="AZ838" s="237" t="n">
        <f aca="false">IF(AZ836=0,0,IF(AZ836&lt;=12*'🎚️ Escenario'!$C$11,1,1+$C$6))</f>
        <v>0</v>
      </c>
      <c r="BA838" s="237" t="n">
        <f aca="false">IF(BA836=0,0,IF(BA836&lt;=12*'🎚️ Escenario'!$C$11,1,1+$C$6))</f>
        <v>0</v>
      </c>
      <c r="BB838" s="237" t="n">
        <f aca="false">IF(BB836=0,0,IF(BB836&lt;=12*'🎚️ Escenario'!$C$11,1,1+$C$6))</f>
        <v>0</v>
      </c>
      <c r="BC838" s="237" t="n">
        <f aca="false">IF(BC836=0,0,IF(BC836&lt;=12*'🎚️ Escenario'!$C$11,1,1+$C$6))</f>
        <v>0</v>
      </c>
      <c r="BD838" s="237" t="n">
        <f aca="false">IF(BD836=0,0,IF(BD836&lt;=12*'🎚️ Escenario'!$C$11,1,1+$C$6))</f>
        <v>0</v>
      </c>
      <c r="BE838" s="237" t="n">
        <f aca="false">IF(BE836=0,0,IF(BE836&lt;=12*'🎚️ Escenario'!$C$11,1,1+$C$6))</f>
        <v>0</v>
      </c>
      <c r="BF838" s="237" t="n">
        <f aca="false">IF(BF836=0,0,IF(BF836&lt;=12*'🎚️ Escenario'!$C$11,1,1+$C$6))</f>
        <v>0</v>
      </c>
      <c r="BG838" s="237" t="n">
        <f aca="false">IF(BG836=0,0,IF(BG836&lt;=12*'🎚️ Escenario'!$C$11,1,1+$C$6))</f>
        <v>0</v>
      </c>
      <c r="BH838" s="237" t="n">
        <f aca="false">IF(BH836=0,0,IF(BH836&lt;=12*'🎚️ Escenario'!$C$11,1,1+$C$6))</f>
        <v>0</v>
      </c>
      <c r="BI838" s="237" t="n">
        <f aca="false">IF(BI836=0,0,IF(BI836&lt;=12*'🎚️ Escenario'!$C$11,1,1+$C$6))</f>
        <v>0</v>
      </c>
      <c r="BJ838" s="237" t="n">
        <f aca="false">IF(BJ836=0,0,IF(BJ836&lt;=12*'🎚️ Escenario'!$C$11,1,1+$C$6))</f>
        <v>0</v>
      </c>
      <c r="BK838" s="237" t="n">
        <f aca="false">IF(BK836=0,0,IF(BK836&lt;=12*'🎚️ Escenario'!$C$11,1,1+$C$6))</f>
        <v>0</v>
      </c>
      <c r="BL838" s="237" t="n">
        <f aca="false">IF(BL836=0,0,IF(BL836&lt;=12*'🎚️ Escenario'!$C$11,1,1+$C$6))</f>
        <v>0</v>
      </c>
      <c r="BM838" s="237" t="n">
        <f aca="false">IF(BM836=0,0,IF(BM836&lt;=12*'🎚️ Escenario'!$C$11,1,1+$C$6))</f>
        <v>0</v>
      </c>
      <c r="BN838" s="237" t="n">
        <f aca="false">IF(BN836=0,0,IF(BN836&lt;=12*'🎚️ Escenario'!$C$11,1,1+$C$6))</f>
        <v>0</v>
      </c>
      <c r="BO838" s="237" t="n">
        <f aca="false">IF(BO836=0,0,IF(BO836&lt;=12*'🎚️ Escenario'!$C$11,1,1+$C$6))</f>
        <v>0</v>
      </c>
      <c r="BP838" s="237" t="n">
        <f aca="false">IF(BP836=0,0,IF(BP836&lt;=12*'🎚️ Escenario'!$C$11,1,1+$C$6))</f>
        <v>0</v>
      </c>
      <c r="BQ838" s="237" t="n">
        <f aca="false">IF(BQ836=0,0,IF(BQ836&lt;=12*'🎚️ Escenario'!$C$11,1,1+$C$6))</f>
        <v>0</v>
      </c>
      <c r="BR838" s="237" t="n">
        <f aca="false">IF(BR836=0,0,IF(BR836&lt;=12*'🎚️ Escenario'!$C$11,1,1+$C$6))</f>
        <v>0</v>
      </c>
      <c r="BS838" s="237" t="n">
        <f aca="false">IF(BS836=0,0,IF(BS836&lt;=12*'🎚️ Escenario'!$C$11,1,1+$C$6))</f>
        <v>0</v>
      </c>
      <c r="BT838" s="237" t="n">
        <f aca="false">IF(BT836=0,0,IF(BT836&lt;=12*'🎚️ Escenario'!$C$11,1,1+$C$6))</f>
        <v>0</v>
      </c>
      <c r="BU838" s="237" t="n">
        <f aca="false">IF(BU836=0,0,IF(BU836&lt;=12*'🎚️ Escenario'!$C$11,1,1+$C$6))</f>
        <v>0</v>
      </c>
      <c r="BV838" s="237" t="n">
        <f aca="false">IF(BV836=0,0,IF(BV836&lt;=12*'🎚️ Escenario'!$C$11,1,1+$C$6))</f>
        <v>0</v>
      </c>
      <c r="BW838" s="237" t="n">
        <f aca="false">IF(BW836=0,0,IF(BW836&lt;=12*'🎚️ Escenario'!$C$11,1,1+$C$6))</f>
        <v>0</v>
      </c>
      <c r="BX838" s="237" t="n">
        <f aca="false">IF(BX836=0,0,IF(BX836&lt;=12*'🎚️ Escenario'!$C$11,1,1+$C$6))</f>
        <v>0</v>
      </c>
      <c r="BY838" s="237" t="n">
        <f aca="false">IF(BY836=0,0,IF(BY836&lt;=12*'🎚️ Escenario'!$C$11,1,1+$C$6))</f>
        <v>0</v>
      </c>
      <c r="BZ838" s="237" t="n">
        <f aca="false">IF(BZ836=0,0,IF(BZ836&lt;=12*'🎚️ Escenario'!$C$11,1,1+$C$6))</f>
        <v>0</v>
      </c>
      <c r="CA838" s="237" t="n">
        <f aca="false">IF(CA836=0,0,IF(CA836&lt;=12*'🎚️ Escenario'!$C$11,1,1+$C$6))</f>
        <v>0</v>
      </c>
      <c r="CB838" s="237" t="n">
        <f aca="false">IF(CB836=0,0,IF(CB836&lt;=12*'🎚️ Escenario'!$C$11,1,1+$C$6))</f>
        <v>0</v>
      </c>
      <c r="CC838" s="237" t="n">
        <f aca="false">IF(CC836=0,0,IF(CC836&lt;=12*'🎚️ Escenario'!$C$11,1,1+$C$6))</f>
        <v>0</v>
      </c>
      <c r="CD838" s="237" t="n">
        <f aca="false">IF(CD836=0,0,IF(CD836&lt;=12*'🎚️ Escenario'!$C$11,1,1+$C$6))</f>
        <v>0</v>
      </c>
      <c r="CE838" s="237" t="n">
        <f aca="false">IF(CE836=0,0,IF(CE836&lt;=12*'🎚️ Escenario'!$C$11,1,1+$C$6))</f>
        <v>0</v>
      </c>
      <c r="CF838" s="237" t="n">
        <f aca="false">IF(CF836=0,0,IF(CF836&lt;=12*'🎚️ Escenario'!$C$11,1,1+$C$6))</f>
        <v>0</v>
      </c>
      <c r="CG838" s="237" t="n">
        <f aca="false">IF(CG836=0,0,IF(CG836&lt;=12*'🎚️ Escenario'!$C$11,1,1+$C$6))</f>
        <v>0</v>
      </c>
      <c r="CH838" s="237" t="n">
        <f aca="false">IF(CH836=0,0,IF(CH836&lt;=12*'🎚️ Escenario'!$C$11,1,1+$C$6))</f>
        <v>0</v>
      </c>
      <c r="CI838" s="237" t="n">
        <f aca="false">IF(CI836=0,0,IF(CI836&lt;=12*'🎚️ Escenario'!$C$11,1,1+$C$6))</f>
        <v>0</v>
      </c>
      <c r="CJ838" s="237" t="n">
        <f aca="false">IF(CJ836=0,0,IF(CJ836&lt;=12*'🎚️ Escenario'!$C$11,1,1+$C$6))</f>
        <v>0</v>
      </c>
      <c r="CK838" s="237" t="n">
        <f aca="false">IF(CK836=0,0,IF(CK836&lt;=12*'🎚️ Escenario'!$C$11,1,1+$C$6))</f>
        <v>0</v>
      </c>
      <c r="CL838" s="237" t="n">
        <f aca="false">IF(CL836=0,0,IF(CL836&lt;=12*'🎚️ Escenario'!$C$11,1,1+$C$6))</f>
        <v>0</v>
      </c>
      <c r="CM838" s="237" t="n">
        <f aca="false">IF(CM836=0,0,IF(CM836&lt;=12*'🎚️ Escenario'!$C$11,1,1+$C$6))</f>
        <v>0</v>
      </c>
      <c r="CN838" s="237" t="n">
        <f aca="false">IF(CN836=0,0,IF(CN836&lt;=12*'🎚️ Escenario'!$C$11,1,1+$C$6))</f>
        <v>0</v>
      </c>
      <c r="CO838" s="237" t="n">
        <f aca="false">IF(CO836=0,0,IF(CO836&lt;=12*'🎚️ Escenario'!$C$11,1,1+$C$6))</f>
        <v>0</v>
      </c>
      <c r="CP838" s="237" t="n">
        <f aca="false">IF(CP836=0,0,IF(CP836&lt;=12*'🎚️ Escenario'!$C$11,1,1+$C$6))</f>
        <v>0</v>
      </c>
      <c r="CQ838" s="237" t="n">
        <f aca="false">IF(CQ836=0,0,IF(CQ836&lt;=12*'🎚️ Escenario'!$C$11,1,1+$C$6))</f>
        <v>0</v>
      </c>
      <c r="CR838" s="237" t="n">
        <f aca="false">IF(CR836=0,0,IF(CR836&lt;=12*'🎚️ Escenario'!$C$11,1,1+$C$6))</f>
        <v>0</v>
      </c>
      <c r="CS838" s="237" t="n">
        <f aca="false">IF(CS836=0,0,IF(CS836&lt;=12*'🎚️ Escenario'!$C$11,1,1+$C$6))</f>
        <v>0</v>
      </c>
      <c r="CT838" s="237" t="n">
        <f aca="false">IF(CT836=0,0,IF(CT836&lt;=12*'🎚️ Escenario'!$C$11,1,1+$C$6))</f>
        <v>0</v>
      </c>
      <c r="CU838" s="237" t="n">
        <f aca="false">IF(CU836=0,0,IF(CU836&lt;=12*'🎚️ Escenario'!$C$11,1,1+$C$6))</f>
        <v>0</v>
      </c>
      <c r="CV838" s="237" t="n">
        <f aca="false">IF(CV836=0,0,IF(CV836&lt;=12*'🎚️ Escenario'!$C$11,1,1+$C$6))</f>
        <v>0</v>
      </c>
      <c r="CW838" s="237" t="n">
        <f aca="false">IF(CW836=0,0,IF(CW836&lt;=12*'🎚️ Escenario'!$C$11,1,1+$C$6))</f>
        <v>0</v>
      </c>
      <c r="CX838" s="237" t="n">
        <f aca="false">IF(CX836=0,0,IF(CX836&lt;=12*'🎚️ Escenario'!$C$11,1,1+$C$6))</f>
        <v>0</v>
      </c>
      <c r="CY838" s="237" t="n">
        <f aca="false">IF(CY836=0,0,IF(CY836&lt;=12*'🎚️ Escenario'!$C$11,1,1+$C$6))</f>
        <v>0</v>
      </c>
      <c r="CZ838" s="237" t="n">
        <f aca="false">IF(CZ836=0,0,IF(CZ836&lt;=12*'🎚️ Escenario'!$C$11,1,1+$C$6))</f>
        <v>0</v>
      </c>
      <c r="DA838" s="237" t="n">
        <f aca="false">IF(DA836=0,0,IF(DA836&lt;=12*'🎚️ Escenario'!$C$11,1,1+$C$6))</f>
        <v>0</v>
      </c>
      <c r="DB838" s="237" t="n">
        <f aca="false">IF(DB836=0,0,IF(DB836&lt;=12*'🎚️ Escenario'!$C$11,1,1+$C$6))</f>
        <v>0</v>
      </c>
      <c r="DC838" s="237" t="n">
        <f aca="false">IF(DC836=0,0,IF(DC836&lt;=12*'🎚️ Escenario'!$C$11,1,1+$C$6))</f>
        <v>0</v>
      </c>
      <c r="DD838" s="237" t="n">
        <f aca="false">IF(DD836=0,0,IF(DD836&lt;=12*'🎚️ Escenario'!$C$11,1,1+$C$6))</f>
        <v>0</v>
      </c>
      <c r="DE838" s="237" t="n">
        <f aca="false">IF(DE836=0,0,IF(DE836&lt;=12*'🎚️ Escenario'!$C$11,1,1+$C$6))</f>
        <v>0</v>
      </c>
      <c r="DF838" s="237" t="n">
        <f aca="false">IF(DF836=0,0,IF(DF836&lt;=12*'🎚️ Escenario'!$C$11,1,1+$C$6))</f>
        <v>0</v>
      </c>
      <c r="DG838" s="237" t="n">
        <f aca="false">IF(DG836=0,0,IF(DG836&lt;=12*'🎚️ Escenario'!$C$11,1,1+$C$6))</f>
        <v>0</v>
      </c>
      <c r="DH838" s="237" t="n">
        <f aca="false">IF(DH836=0,0,IF(DH836&lt;=12*'🎚️ Escenario'!$C$11,1,1+$C$6))</f>
        <v>0</v>
      </c>
      <c r="DI838" s="237" t="n">
        <f aca="false">IF(DI836=0,0,IF(DI836&lt;=12*'🎚️ Escenario'!$C$11,1,1+$C$6))</f>
        <v>0</v>
      </c>
      <c r="DJ838" s="237" t="n">
        <f aca="false">IF(DJ836=0,0,IF(DJ836&lt;=12*'🎚️ Escenario'!$C$11,1,1+$C$6))</f>
        <v>0</v>
      </c>
      <c r="DK838" s="237" t="n">
        <f aca="false">IF(DK836=0,0,IF(DK836&lt;=12*'🎚️ Escenario'!$C$11,1,1+$C$6))</f>
        <v>0</v>
      </c>
      <c r="DL838" s="237" t="n">
        <f aca="false">IF(DL836=0,0,IF(DL836&lt;=12*'🎚️ Escenario'!$C$11,1,1+$C$6))</f>
        <v>0</v>
      </c>
      <c r="DM838" s="237" t="n">
        <f aca="false">IF(DM836=0,0,IF(DM836&lt;=12*'🎚️ Escenario'!$C$11,1,1+$C$6))</f>
        <v>0</v>
      </c>
      <c r="DN838" s="237" t="n">
        <f aca="false">IF(DN836=0,0,IF(DN836&lt;=12*'🎚️ Escenario'!$C$11,1,1+$C$6))</f>
        <v>0</v>
      </c>
      <c r="DO838" s="237" t="n">
        <f aca="false">IF(DO836=0,0,IF(DO836&lt;=12*'🎚️ Escenario'!$C$11,1,1+$C$6))</f>
        <v>0</v>
      </c>
      <c r="DP838" s="237" t="n">
        <f aca="false">IF(DP836=0,0,IF(DP836&lt;=12*'🎚️ Escenario'!$C$11,1,1+$C$6))</f>
        <v>0</v>
      </c>
      <c r="DQ838" s="237" t="n">
        <f aca="false">IF(DQ836=0,0,IF(DQ836&lt;=12*'🎚️ Escenario'!$C$11,1,1+$C$6))</f>
        <v>0</v>
      </c>
      <c r="DR838" s="237" t="n">
        <f aca="false">IF(DR836=0,0,IF(DR836&lt;=12*'🎚️ Escenario'!$C$11,1,1+$C$6))</f>
        <v>0</v>
      </c>
      <c r="DS838" s="237" t="n">
        <f aca="false">IF(DS836=0,0,IF(DS836&lt;=12*'🎚️ Escenario'!$C$11,1,1+$C$6))</f>
        <v>0</v>
      </c>
      <c r="DT838" s="237" t="n">
        <f aca="false">IF(DT836=0,0,IF(DT836&lt;=12*'🎚️ Escenario'!$C$11,1,1+$C$6))</f>
        <v>0</v>
      </c>
      <c r="DU838" s="237" t="n">
        <f aca="false">IF(DU836=0,0,IF(DU836&lt;=12*'🎚️ Escenario'!$C$11,1,1+$C$6))</f>
        <v>0</v>
      </c>
      <c r="DV838" s="237" t="n">
        <f aca="false">IF(DV836=0,0,IF(DV836&lt;=12*'🎚️ Escenario'!$C$11,1,1+$C$6))</f>
        <v>0</v>
      </c>
      <c r="DW838" s="237" t="n">
        <f aca="false">IF(DW836=0,0,IF(DW836&lt;=12*'🎚️ Escenario'!$C$11,1,1+$C$6))</f>
        <v>0</v>
      </c>
      <c r="DX838" s="237" t="n">
        <f aca="false">IF(DX836=0,0,IF(DX836&lt;=12*'🎚️ Escenario'!$C$11,1,1+$C$6))</f>
        <v>0</v>
      </c>
      <c r="DY838" s="237" t="n">
        <f aca="false">IF(DY836=0,0,IF(DY836&lt;=12*'🎚️ Escenario'!$C$11,1,1+$C$6))</f>
        <v>0</v>
      </c>
      <c r="DZ838" s="237" t="n">
        <f aca="false">IF(DZ836=0,0,IF(DZ836&lt;=12*'🎚️ Escenario'!$C$11,1,1+$C$6))</f>
        <v>0</v>
      </c>
      <c r="EA838" s="237" t="n">
        <f aca="false">IF(EA836=0,0,IF(EA836&lt;=12*'🎚️ Escenario'!$C$11,1,1+$C$6))</f>
        <v>0</v>
      </c>
      <c r="EB838" s="237" t="n">
        <f aca="false">IF(EB836=0,0,IF(EB836&lt;=12*'🎚️ Escenario'!$C$11,1,1+$C$6))</f>
        <v>0</v>
      </c>
      <c r="EC838" s="237" t="n">
        <f aca="false">IF(EC836=0,0,IF(EC836&lt;=12*'🎚️ Escenario'!$C$11,1,1+$C$6))</f>
        <v>0</v>
      </c>
      <c r="ED838" s="237" t="n">
        <f aca="false">IF(ED836=0,0,IF(ED836&lt;=12*'🎚️ Escenario'!$C$11,1,1+$C$6))</f>
        <v>0</v>
      </c>
      <c r="EE838" s="237" t="n">
        <f aca="false">IF(EE836=0,0,IF(EE836&lt;=12*'🎚️ Escenario'!$C$11,1,1+$C$6))</f>
        <v>0</v>
      </c>
      <c r="EF838" s="237" t="n">
        <f aca="false">IF(EF836=0,0,IF(EF836&lt;=12*'🎚️ Escenario'!$C$11,1,1+$C$6))</f>
        <v>0</v>
      </c>
      <c r="EG838" s="237" t="n">
        <f aca="false">IF(EG836=0,0,IF(EG836&lt;=12*'🎚️ Escenario'!$C$11,1,1+$C$6))</f>
        <v>0</v>
      </c>
      <c r="EH838" s="237" t="n">
        <f aca="false">IF(EH836=0,0,IF(EH836&lt;=12*'🎚️ Escenario'!$C$11,1,1+$C$6))</f>
        <v>0</v>
      </c>
      <c r="EI838" s="237" t="n">
        <f aca="false">IF(EI836=0,0,IF(EI836&lt;=12*'🎚️ Escenario'!$C$11,1,1+$C$6))</f>
        <v>0</v>
      </c>
      <c r="EJ838" s="237" t="n">
        <f aca="false">IF(EJ836=0,0,IF(EJ836&lt;=12*'🎚️ Escenario'!$C$11,1,1+$C$6))</f>
        <v>0</v>
      </c>
      <c r="EK838" s="237" t="n">
        <f aca="false">IF(EK836=0,0,IF(EK836&lt;=12*'🎚️ Escenario'!$C$11,1,1+$C$6))</f>
        <v>0</v>
      </c>
      <c r="EL838" s="237" t="n">
        <f aca="false">IF(EL836=0,0,IF(EL836&lt;=12*'🎚️ Escenario'!$C$11,1,1+$C$6))</f>
        <v>0</v>
      </c>
      <c r="EM838" s="237" t="n">
        <f aca="false">IF(EM836=0,0,IF(EM836&lt;=12*'🎚️ Escenario'!$C$11,1,1+$C$6))</f>
        <v>0</v>
      </c>
      <c r="EN838" s="237" t="n">
        <f aca="false">IF(EN836=0,0,IF(EN836&lt;=12*'🎚️ Escenario'!$C$11,1,1+$C$6))</f>
        <v>0</v>
      </c>
      <c r="EO838" s="237" t="n">
        <f aca="false">IF(EO836=0,0,IF(EO836&lt;=12*'🎚️ Escenario'!$C$11,1,1+$C$6))</f>
        <v>0</v>
      </c>
      <c r="EP838" s="237" t="n">
        <f aca="false">IF(EP836=0,0,IF(EP836&lt;=12*'🎚️ Escenario'!$C$11,1,1+$C$6))</f>
        <v>0</v>
      </c>
      <c r="EQ838" s="237" t="n">
        <f aca="false">IF(EQ836=0,0,IF(EQ836&lt;=12*'🎚️ Escenario'!$C$11,1,1+$C$6))</f>
        <v>0</v>
      </c>
      <c r="ER838" s="237" t="n">
        <f aca="false">IF(ER836=0,0,IF(ER836&lt;=12*'🎚️ Escenario'!$C$11,1,1+$C$6))</f>
        <v>0</v>
      </c>
      <c r="ES838" s="9" t="n">
        <f aca="false">IF(ES836=0,0,IF(ES836&lt;=12*'🎚️ Escenario'!$C$11,1,1+$C$6))</f>
        <v>0</v>
      </c>
      <c r="ET838" s="9" t="n">
        <f aca="false">IF(ET836=0,0,IF(ET836&lt;=12*'🎚️ Escenario'!$C$11,1,1+$C$6))</f>
        <v>0</v>
      </c>
      <c r="EU838" s="9" t="n">
        <f aca="false">IF(EU836=0,0,IF(EU836&lt;=12*'🎚️ Escenario'!$C$11,1,1+$C$6))</f>
        <v>0</v>
      </c>
      <c r="EV838" s="9" t="n">
        <f aca="false">IF(EV836=0,0,IF(EV836&lt;=12*'🎚️ Escenario'!$C$11,1,1+$C$6))</f>
        <v>0</v>
      </c>
      <c r="EW838" s="9" t="n">
        <f aca="false">IF(EW836=0,0,IF(EW836&lt;=12*'🎚️ Escenario'!$C$11,1,1+$C$6))</f>
        <v>0</v>
      </c>
      <c r="EX838" s="9" t="n">
        <f aca="false">IF(EX836=0,0,IF(EX836&lt;=12*'🎚️ Escenario'!$C$11,1,1+$C$6))</f>
        <v>0</v>
      </c>
      <c r="EY838" s="9" t="n">
        <f aca="false">IF(EY836=0,0,IF(EY836&lt;=12*'🎚️ Escenario'!$C$11,1,1+$C$6))</f>
        <v>0</v>
      </c>
      <c r="EZ838" s="9" t="n">
        <f aca="false">IF(EZ836=0,0,IF(EZ836&lt;=12*'🎚️ Escenario'!$C$11,1,1+$C$6))</f>
        <v>0</v>
      </c>
      <c r="FA838" s="9" t="n">
        <f aca="false">IF(FA836=0,0,IF(FA836&lt;=12*'🎚️ Escenario'!$C$11,1,1+$C$6))</f>
        <v>0</v>
      </c>
      <c r="FB838" s="9" t="n">
        <f aca="false">IF(FB836=0,0,IF(FB836&lt;=12*'🎚️ Escenario'!$C$11,1,1+$C$6))</f>
        <v>0</v>
      </c>
      <c r="FC838" s="9" t="n">
        <f aca="false">IF(FC836=0,0,IF(FC836&lt;=12*'🎚️ Escenario'!$C$11,1,1+$C$6))</f>
        <v>0</v>
      </c>
      <c r="FD838" s="9" t="n">
        <f aca="false">IF(FD836=0,0,IF(FD836&lt;=12*'🎚️ Escenario'!$C$11,1,1+$C$6))</f>
        <v>0</v>
      </c>
      <c r="FE838" s="9" t="n">
        <f aca="false">IF(FE836=0,0,IF(FE836&lt;=12*'🎚️ Escenario'!$C$11,1,1+$C$6))</f>
        <v>0</v>
      </c>
      <c r="FF838" s="9" t="n">
        <f aca="false">IF(FF836=0,0,IF(FF836&lt;=12*'🎚️ Escenario'!$C$11,1,1+$C$6))</f>
        <v>0</v>
      </c>
      <c r="FG838" s="9" t="n">
        <f aca="false">IF(FG836=0,0,IF(FG836&lt;=12*'🎚️ Escenario'!$C$11,1,1+$C$6))</f>
        <v>0</v>
      </c>
      <c r="FH838" s="9" t="n">
        <f aca="false">IF(FH836=0,0,IF(FH836&lt;=12*'🎚️ Escenario'!$C$11,1,1+$C$6))</f>
        <v>1</v>
      </c>
      <c r="FI838" s="9" t="n">
        <f aca="false">IF(FI836=0,0,IF(FI836&lt;=12*'🎚️ Escenario'!$C$11,1,1+$C$6))</f>
        <v>1</v>
      </c>
      <c r="FJ838" s="9" t="n">
        <f aca="false">IF(FJ836=0,0,IF(FJ836&lt;=12*'🎚️ Escenario'!$C$11,1,1+$C$6))</f>
        <v>1</v>
      </c>
      <c r="FK838" s="9" t="n">
        <f aca="false">IF(FK836=0,0,IF(FK836&lt;=12*'🎚️ Escenario'!$C$11,1,1+$C$6))</f>
        <v>1</v>
      </c>
      <c r="FL838" s="9" t="n">
        <f aca="false">IF(FL836=0,0,IF(FL836&lt;=12*'🎚️ Escenario'!$C$11,1,1+$C$6))</f>
        <v>1</v>
      </c>
      <c r="FM838" s="9" t="n">
        <f aca="false">IF(FM836=0,0,IF(FM836&lt;=12*'🎚️ Escenario'!$C$11,1,1+$C$6))</f>
        <v>1</v>
      </c>
      <c r="FN838" s="9" t="n">
        <f aca="false">IF(FN836=0,0,IF(FN836&lt;=12*'🎚️ Escenario'!$C$11,1,1+$C$6))</f>
        <v>1</v>
      </c>
      <c r="FO838" s="9" t="n">
        <f aca="false">IF(FO836=0,0,IF(FO836&lt;=12*'🎚️ Escenario'!$C$11,1,1+$C$6))</f>
        <v>1</v>
      </c>
      <c r="FP838" s="9" t="n">
        <f aca="false">IF(FP836=0,0,IF(FP836&lt;=12*'🎚️ Escenario'!$C$11,1,1+$C$6))</f>
        <v>1</v>
      </c>
    </row>
    <row r="839" customFormat="false" ht="15" hidden="false" customHeight="false" outlineLevel="2" collapsed="false">
      <c r="B839" s="9" t="s">
        <v>876</v>
      </c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36" t="n">
        <f aca="false">AC837*$AC$835*AC838*AC$38*'⑫ Roll-out Plan'!$O$88</f>
        <v>0</v>
      </c>
      <c r="AD839" s="36" t="n">
        <f aca="false">AD837*$AC$835*AD838*AD$38*'⑫ Roll-out Plan'!$O$88</f>
        <v>0</v>
      </c>
      <c r="AE839" s="36" t="n">
        <f aca="false">AE837*$AC$835*AE838*AE$38*'⑫ Roll-out Plan'!$O$88</f>
        <v>0</v>
      </c>
      <c r="AF839" s="36" t="n">
        <f aca="false">AF837*$AC$835*AF838*AF$38*'⑫ Roll-out Plan'!$O$88</f>
        <v>0</v>
      </c>
      <c r="AG839" s="36" t="n">
        <f aca="false">AG837*$AC$835*AG838*AG$38*'⑫ Roll-out Plan'!$O$88</f>
        <v>0</v>
      </c>
      <c r="AH839" s="36" t="n">
        <f aca="false">AH837*$AC$835*AH838*AH$38*'⑫ Roll-out Plan'!$O$88</f>
        <v>0</v>
      </c>
      <c r="AI839" s="36" t="n">
        <f aca="false">AI837*$AC$835*AI838*AI$38*'⑫ Roll-out Plan'!$O$88</f>
        <v>0</v>
      </c>
      <c r="AJ839" s="36" t="n">
        <f aca="false">AJ837*$AC$835*AJ838*AJ$38*'⑫ Roll-out Plan'!$O$88</f>
        <v>0</v>
      </c>
      <c r="AK839" s="36" t="n">
        <f aca="false">AK837*$AC$835*AK838*AK$38*'⑫ Roll-out Plan'!$O$88</f>
        <v>0</v>
      </c>
      <c r="AL839" s="36" t="n">
        <f aca="false">AL837*$AC$835*AL838*AL$38*'⑫ Roll-out Plan'!$O$88</f>
        <v>0</v>
      </c>
      <c r="AM839" s="36" t="n">
        <f aca="false">AM837*$AC$835*AM838*AM$38*'⑫ Roll-out Plan'!$O$88</f>
        <v>0</v>
      </c>
      <c r="AN839" s="36" t="n">
        <f aca="false">AN837*$AC$835*AN838*AN$38*'⑫ Roll-out Plan'!$O$88</f>
        <v>0</v>
      </c>
      <c r="AO839" s="36" t="n">
        <f aca="false">AO837*$AC$835*AO838*AO$38*'⑫ Roll-out Plan'!$O$88</f>
        <v>0</v>
      </c>
      <c r="AP839" s="36" t="n">
        <f aca="false">AP837*$AC$835*AP838*AP$38*'⑫ Roll-out Plan'!$O$88</f>
        <v>0</v>
      </c>
      <c r="AQ839" s="36" t="n">
        <f aca="false">AQ837*$AC$835*AQ838*AQ$38*'⑫ Roll-out Plan'!$O$88</f>
        <v>0</v>
      </c>
      <c r="AR839" s="36" t="n">
        <f aca="false">AR837*$AC$835*AR838*AR$38*'⑫ Roll-out Plan'!$O$88</f>
        <v>0</v>
      </c>
      <c r="AS839" s="36" t="n">
        <f aca="false">AS837*$AC$835*AS838*AS$38*'⑫ Roll-out Plan'!$O$88</f>
        <v>0</v>
      </c>
      <c r="AT839" s="36" t="n">
        <f aca="false">AT837*$AC$835*AT838*AT$38*'⑫ Roll-out Plan'!$O$88</f>
        <v>0</v>
      </c>
      <c r="AU839" s="36" t="n">
        <f aca="false">AU837*$AC$835*AU838*AU$38*'⑫ Roll-out Plan'!$O$88</f>
        <v>0</v>
      </c>
      <c r="AV839" s="36" t="n">
        <f aca="false">AV837*$AC$835*AV838*AV$38*'⑫ Roll-out Plan'!$O$88</f>
        <v>0</v>
      </c>
      <c r="AW839" s="36" t="n">
        <f aca="false">AW837*$AC$835*AW838*AW$38*'⑫ Roll-out Plan'!$O$88</f>
        <v>0</v>
      </c>
      <c r="AX839" s="36" t="n">
        <f aca="false">AX837*$AC$835*AX838*AX$38*'⑫ Roll-out Plan'!$O$88</f>
        <v>0</v>
      </c>
      <c r="AY839" s="36" t="n">
        <f aca="false">AY837*$AC$835*AY838*AY$38*'⑫ Roll-out Plan'!$O$88</f>
        <v>0</v>
      </c>
      <c r="AZ839" s="36" t="n">
        <f aca="false">AZ837*$AC$835*AZ838*AZ$38*'⑫ Roll-out Plan'!$O$88</f>
        <v>0</v>
      </c>
      <c r="BA839" s="36" t="n">
        <f aca="false">BA837*$AC$835*BA838*BA$38*'⑫ Roll-out Plan'!$O$88</f>
        <v>0</v>
      </c>
      <c r="BB839" s="36" t="n">
        <f aca="false">BB837*$AC$835*BB838*BB$38*'⑫ Roll-out Plan'!$O$88</f>
        <v>0</v>
      </c>
      <c r="BC839" s="36" t="n">
        <f aca="false">BC837*$AC$835*BC838*BC$38*'⑫ Roll-out Plan'!$O$88</f>
        <v>0</v>
      </c>
      <c r="BD839" s="36" t="n">
        <f aca="false">BD837*$AC$835*BD838*BD$38*'⑫ Roll-out Plan'!$O$88</f>
        <v>0</v>
      </c>
      <c r="BE839" s="36" t="n">
        <f aca="false">BE837*$AC$835*BE838*BE$38*'⑫ Roll-out Plan'!$O$88</f>
        <v>0</v>
      </c>
      <c r="BF839" s="36" t="n">
        <f aca="false">BF837*$AC$835*BF838*BF$38*'⑫ Roll-out Plan'!$O$88</f>
        <v>0</v>
      </c>
      <c r="BG839" s="36" t="n">
        <f aca="false">BG837*$AC$835*BG838*BG$38*'⑫ Roll-out Plan'!$O$88</f>
        <v>0</v>
      </c>
      <c r="BH839" s="36" t="n">
        <f aca="false">BH837*$AC$835*BH838*BH$38*'⑫ Roll-out Plan'!$O$88</f>
        <v>0</v>
      </c>
      <c r="BI839" s="36" t="n">
        <f aca="false">BI837*$AC$835*BI838*BI$38*'⑫ Roll-out Plan'!$O$88</f>
        <v>0</v>
      </c>
      <c r="BJ839" s="36" t="n">
        <f aca="false">BJ837*$AC$835*BJ838*BJ$38*'⑫ Roll-out Plan'!$O$88</f>
        <v>0</v>
      </c>
      <c r="BK839" s="36" t="n">
        <f aca="false">BK837*$AC$835*BK838*BK$38*'⑫ Roll-out Plan'!$O$88</f>
        <v>0</v>
      </c>
      <c r="BL839" s="36" t="n">
        <f aca="false">BL837*$AC$835*BL838*BL$38*'⑫ Roll-out Plan'!$O$88</f>
        <v>0</v>
      </c>
      <c r="BM839" s="36" t="n">
        <f aca="false">BM837*$AC$835*BM838*BM$38*'⑫ Roll-out Plan'!$O$88</f>
        <v>0</v>
      </c>
      <c r="BN839" s="36" t="n">
        <f aca="false">BN837*$AC$835*BN838*BN$38*'⑫ Roll-out Plan'!$O$88</f>
        <v>0</v>
      </c>
      <c r="BO839" s="36" t="n">
        <f aca="false">BO837*$AC$835*BO838*BO$38*'⑫ Roll-out Plan'!$O$88</f>
        <v>0</v>
      </c>
      <c r="BP839" s="36" t="n">
        <f aca="false">BP837*$AC$835*BP838*BP$38*'⑫ Roll-out Plan'!$O$88</f>
        <v>0</v>
      </c>
      <c r="BQ839" s="36" t="n">
        <f aca="false">BQ837*$AC$835*BQ838*BQ$38*'⑫ Roll-out Plan'!$O$88</f>
        <v>0</v>
      </c>
      <c r="BR839" s="36" t="n">
        <f aca="false">BR837*$AC$835*BR838*BR$38*'⑫ Roll-out Plan'!$O$88</f>
        <v>0</v>
      </c>
      <c r="BS839" s="36" t="n">
        <f aca="false">BS837*$AC$835*BS838*BS$38*'⑫ Roll-out Plan'!$O$88</f>
        <v>0</v>
      </c>
      <c r="BT839" s="36" t="n">
        <f aca="false">BT837*$AC$835*BT838*BT$38*'⑫ Roll-out Plan'!$O$88</f>
        <v>0</v>
      </c>
      <c r="BU839" s="36" t="n">
        <f aca="false">BU837*$AC$835*BU838*BU$38*'⑫ Roll-out Plan'!$O$88</f>
        <v>0</v>
      </c>
      <c r="BV839" s="36" t="n">
        <f aca="false">BV837*$AC$835*BV838*BV$38*'⑫ Roll-out Plan'!$O$88</f>
        <v>0</v>
      </c>
      <c r="BW839" s="36" t="n">
        <f aca="false">BW837*$AC$835*BW838*BW$38*'⑫ Roll-out Plan'!$O$88</f>
        <v>0</v>
      </c>
      <c r="BX839" s="36" t="n">
        <f aca="false">BX837*$AC$835*BX838*BX$38*'⑫ Roll-out Plan'!$O$88</f>
        <v>0</v>
      </c>
      <c r="BY839" s="36" t="n">
        <f aca="false">BY837*$AC$835*BY838*BY$38*'⑫ Roll-out Plan'!$O$88</f>
        <v>0</v>
      </c>
      <c r="BZ839" s="36" t="n">
        <f aca="false">BZ837*$AC$835*BZ838*BZ$38*'⑫ Roll-out Plan'!$O$88</f>
        <v>0</v>
      </c>
      <c r="CA839" s="36" t="n">
        <f aca="false">CA837*$AC$835*CA838*CA$38*'⑫ Roll-out Plan'!$O$88</f>
        <v>0</v>
      </c>
      <c r="CB839" s="36" t="n">
        <f aca="false">CB837*$AC$835*CB838*CB$38*'⑫ Roll-out Plan'!$O$88</f>
        <v>0</v>
      </c>
      <c r="CC839" s="36" t="n">
        <f aca="false">CC837*$AC$835*CC838*CC$38*'⑫ Roll-out Plan'!$O$88</f>
        <v>0</v>
      </c>
      <c r="CD839" s="36" t="n">
        <f aca="false">CD837*$AC$835*CD838*CD$38*'⑫ Roll-out Plan'!$O$88</f>
        <v>0</v>
      </c>
      <c r="CE839" s="36" t="n">
        <f aca="false">CE837*$AC$835*CE838*CE$38*'⑫ Roll-out Plan'!$O$88</f>
        <v>0</v>
      </c>
      <c r="CF839" s="36" t="n">
        <f aca="false">CF837*$AC$835*CF838*CF$38*'⑫ Roll-out Plan'!$O$88</f>
        <v>0</v>
      </c>
      <c r="CG839" s="36" t="n">
        <f aca="false">CG837*$AC$835*CG838*CG$38*'⑫ Roll-out Plan'!$O$88</f>
        <v>0</v>
      </c>
      <c r="CH839" s="36" t="n">
        <f aca="false">CH837*$AC$835*CH838*CH$38*'⑫ Roll-out Plan'!$O$88</f>
        <v>0</v>
      </c>
      <c r="CI839" s="36" t="n">
        <f aca="false">CI837*$AC$835*CI838*CI$38*'⑫ Roll-out Plan'!$O$88</f>
        <v>0</v>
      </c>
      <c r="CJ839" s="36" t="n">
        <f aca="false">CJ837*$AC$835*CJ838*CJ$38*'⑫ Roll-out Plan'!$O$88</f>
        <v>0</v>
      </c>
      <c r="CK839" s="36" t="n">
        <f aca="false">CK837*$AC$835*CK838*CK$38*'⑫ Roll-out Plan'!$O$88</f>
        <v>0</v>
      </c>
      <c r="CL839" s="36" t="n">
        <f aca="false">CL837*$AC$835*CL838*CL$38*'⑫ Roll-out Plan'!$O$88</f>
        <v>0</v>
      </c>
      <c r="CM839" s="36" t="n">
        <f aca="false">CM837*$AC$835*CM838*CM$38*'⑫ Roll-out Plan'!$O$88</f>
        <v>0</v>
      </c>
      <c r="CN839" s="36" t="n">
        <f aca="false">CN837*$AC$835*CN838*CN$38*'⑫ Roll-out Plan'!$O$88</f>
        <v>0</v>
      </c>
      <c r="CO839" s="36" t="n">
        <f aca="false">CO837*$AC$835*CO838*CO$38*'⑫ Roll-out Plan'!$O$88</f>
        <v>0</v>
      </c>
      <c r="CP839" s="36" t="n">
        <f aca="false">CP837*$AC$835*CP838*CP$38*'⑫ Roll-out Plan'!$O$88</f>
        <v>0</v>
      </c>
      <c r="CQ839" s="36" t="n">
        <f aca="false">CQ837*$AC$835*CQ838*CQ$38*'⑫ Roll-out Plan'!$O$88</f>
        <v>0</v>
      </c>
      <c r="CR839" s="36" t="n">
        <f aca="false">CR837*$AC$835*CR838*CR$38*'⑫ Roll-out Plan'!$O$88</f>
        <v>0</v>
      </c>
      <c r="CS839" s="36" t="n">
        <f aca="false">CS837*$AC$835*CS838*CS$38*'⑫ Roll-out Plan'!$O$88</f>
        <v>0</v>
      </c>
      <c r="CT839" s="36" t="n">
        <f aca="false">CT837*$AC$835*CT838*CT$38*'⑫ Roll-out Plan'!$O$88</f>
        <v>0</v>
      </c>
      <c r="CU839" s="36" t="n">
        <f aca="false">CU837*$AC$835*CU838*CU$38*'⑫ Roll-out Plan'!$O$88</f>
        <v>0</v>
      </c>
      <c r="CV839" s="36" t="n">
        <f aca="false">CV837*$AC$835*CV838*CV$38*'⑫ Roll-out Plan'!$O$88</f>
        <v>0</v>
      </c>
      <c r="CW839" s="36" t="n">
        <f aca="false">CW837*$AC$835*CW838*CW$38*'⑫ Roll-out Plan'!$O$88</f>
        <v>0</v>
      </c>
      <c r="CX839" s="36" t="n">
        <f aca="false">CX837*$AC$835*CX838*CX$38*'⑫ Roll-out Plan'!$O$88</f>
        <v>0</v>
      </c>
      <c r="CY839" s="36" t="n">
        <f aca="false">CY837*$AC$835*CY838*CY$38*'⑫ Roll-out Plan'!$O$88</f>
        <v>0</v>
      </c>
      <c r="CZ839" s="36" t="n">
        <f aca="false">CZ837*$AC$835*CZ838*CZ$38*'⑫ Roll-out Plan'!$O$88</f>
        <v>0</v>
      </c>
      <c r="DA839" s="36" t="n">
        <f aca="false">DA837*$AC$835*DA838*DA$38*'⑫ Roll-out Plan'!$O$88</f>
        <v>0</v>
      </c>
      <c r="DB839" s="36" t="n">
        <f aca="false">DB837*$AC$835*DB838*DB$38*'⑫ Roll-out Plan'!$O$88</f>
        <v>0</v>
      </c>
      <c r="DC839" s="36" t="n">
        <f aca="false">DC837*$AC$835*DC838*DC$38*'⑫ Roll-out Plan'!$O$88</f>
        <v>0</v>
      </c>
      <c r="DD839" s="36" t="n">
        <f aca="false">DD837*$AC$835*DD838*DD$38*'⑫ Roll-out Plan'!$O$88</f>
        <v>0</v>
      </c>
      <c r="DE839" s="36" t="n">
        <f aca="false">DE837*$AC$835*DE838*DE$38*'⑫ Roll-out Plan'!$O$88</f>
        <v>0</v>
      </c>
      <c r="DF839" s="36" t="n">
        <f aca="false">DF837*$AC$835*DF838*DF$38*'⑫ Roll-out Plan'!$O$88</f>
        <v>0</v>
      </c>
      <c r="DG839" s="36" t="n">
        <f aca="false">DG837*$AC$835*DG838*DG$38*'⑫ Roll-out Plan'!$O$88</f>
        <v>0</v>
      </c>
      <c r="DH839" s="36" t="n">
        <f aca="false">DH837*$AC$835*DH838*DH$38*'⑫ Roll-out Plan'!$O$88</f>
        <v>0</v>
      </c>
      <c r="DI839" s="36" t="n">
        <f aca="false">DI837*$AC$835*DI838*DI$38*'⑫ Roll-out Plan'!$O$88</f>
        <v>0</v>
      </c>
      <c r="DJ839" s="36" t="n">
        <f aca="false">DJ837*$AC$835*DJ838*DJ$38*'⑫ Roll-out Plan'!$O$88</f>
        <v>0</v>
      </c>
      <c r="DK839" s="36" t="n">
        <f aca="false">DK837*$AC$835*DK838*DK$38*'⑫ Roll-out Plan'!$O$88</f>
        <v>0</v>
      </c>
      <c r="DL839" s="36" t="n">
        <f aca="false">DL837*$AC$835*DL838*DL$38*'⑫ Roll-out Plan'!$O$88</f>
        <v>0</v>
      </c>
      <c r="DM839" s="36" t="n">
        <f aca="false">DM837*$AC$835*DM838*DM$38*'⑫ Roll-out Plan'!$O$88</f>
        <v>0</v>
      </c>
      <c r="DN839" s="36" t="n">
        <f aca="false">DN837*$AC$835*DN838*DN$38*'⑫ Roll-out Plan'!$O$88</f>
        <v>0</v>
      </c>
      <c r="DO839" s="36" t="n">
        <f aca="false">DO837*$AC$835*DO838*DO$38*'⑫ Roll-out Plan'!$O$88</f>
        <v>0</v>
      </c>
      <c r="DP839" s="36" t="n">
        <f aca="false">DP837*$AC$835*DP838*DP$38*'⑫ Roll-out Plan'!$O$88</f>
        <v>0</v>
      </c>
      <c r="DQ839" s="36" t="n">
        <f aca="false">DQ837*$AC$835*DQ838*DQ$38*'⑫ Roll-out Plan'!$O$88</f>
        <v>0</v>
      </c>
      <c r="DR839" s="36" t="n">
        <f aca="false">DR837*$AC$835*DR838*DR$38*'⑫ Roll-out Plan'!$O$88</f>
        <v>0</v>
      </c>
      <c r="DS839" s="36" t="n">
        <f aca="false">DS837*$AC$835*DS838*DS$38*'⑫ Roll-out Plan'!$O$88</f>
        <v>0</v>
      </c>
      <c r="DT839" s="36" t="n">
        <f aca="false">DT837*$AC$835*DT838*DT$38*'⑫ Roll-out Plan'!$O$88</f>
        <v>0</v>
      </c>
      <c r="DU839" s="36" t="n">
        <f aca="false">DU837*$AC$835*DU838*DU$38*'⑫ Roll-out Plan'!$O$88</f>
        <v>0</v>
      </c>
      <c r="DV839" s="36" t="n">
        <f aca="false">DV837*$AC$835*DV838*DV$38*'⑫ Roll-out Plan'!$O$88</f>
        <v>0</v>
      </c>
      <c r="DW839" s="36" t="n">
        <f aca="false">DW837*$AC$835*DW838*DW$38*'⑫ Roll-out Plan'!$O$88</f>
        <v>0</v>
      </c>
      <c r="DX839" s="36" t="n">
        <f aca="false">DX837*$AC$835*DX838*DX$38*'⑫ Roll-out Plan'!$O$88</f>
        <v>0</v>
      </c>
      <c r="DY839" s="36" t="n">
        <f aca="false">DY837*$AC$835*DY838*DY$38*'⑫ Roll-out Plan'!$O$88</f>
        <v>0</v>
      </c>
      <c r="DZ839" s="36" t="n">
        <f aca="false">DZ837*$AC$835*DZ838*DZ$38*'⑫ Roll-out Plan'!$O$88</f>
        <v>0</v>
      </c>
      <c r="EA839" s="36" t="n">
        <f aca="false">EA837*$AC$835*EA838*EA$38*'⑫ Roll-out Plan'!$O$88</f>
        <v>0</v>
      </c>
      <c r="EB839" s="36" t="n">
        <f aca="false">EB837*$AC$835*EB838*EB$38*'⑫ Roll-out Plan'!$O$88</f>
        <v>0</v>
      </c>
      <c r="EC839" s="36" t="n">
        <f aca="false">EC837*$AC$835*EC838*EC$38*'⑫ Roll-out Plan'!$O$88</f>
        <v>0</v>
      </c>
      <c r="ED839" s="36" t="n">
        <f aca="false">ED837*$AC$835*ED838*ED$38*'⑫ Roll-out Plan'!$O$88</f>
        <v>0</v>
      </c>
      <c r="EE839" s="36" t="n">
        <f aca="false">EE837*$AC$835*EE838*EE$38*'⑫ Roll-out Plan'!$O$88</f>
        <v>0</v>
      </c>
      <c r="EF839" s="36" t="n">
        <f aca="false">EF837*$AC$835*EF838*EF$38*'⑫ Roll-out Plan'!$O$88</f>
        <v>0</v>
      </c>
      <c r="EG839" s="36" t="n">
        <f aca="false">EG837*$AC$835*EG838*EG$38*'⑫ Roll-out Plan'!$O$88</f>
        <v>0</v>
      </c>
      <c r="EH839" s="36" t="n">
        <f aca="false">EH837*$AC$835*EH838*EH$38*'⑫ Roll-out Plan'!$O$88</f>
        <v>0</v>
      </c>
      <c r="EI839" s="36" t="n">
        <f aca="false">EI837*$AC$835*EI838*EI$38*'⑫ Roll-out Plan'!$O$88</f>
        <v>0</v>
      </c>
      <c r="EJ839" s="36" t="n">
        <f aca="false">EJ837*$AC$835*EJ838*EJ$38*'⑫ Roll-out Plan'!$O$88</f>
        <v>0</v>
      </c>
      <c r="EK839" s="36" t="n">
        <f aca="false">EK837*$AC$835*EK838*EK$38*'⑫ Roll-out Plan'!$O$88</f>
        <v>0</v>
      </c>
      <c r="EL839" s="36" t="n">
        <f aca="false">EL837*$AC$835*EL838*EL$38*'⑫ Roll-out Plan'!$O$88</f>
        <v>0</v>
      </c>
      <c r="EM839" s="36" t="n">
        <f aca="false">EM837*$AC$835*EM838*EM$38*'⑫ Roll-out Plan'!$O$88</f>
        <v>0</v>
      </c>
      <c r="EN839" s="36" t="n">
        <f aca="false">EN837*$AC$835*EN838*EN$38*'⑫ Roll-out Plan'!$O$88</f>
        <v>0</v>
      </c>
      <c r="EO839" s="36" t="n">
        <f aca="false">EO837*$AC$835*EO838*EO$38*'⑫ Roll-out Plan'!$O$88</f>
        <v>0</v>
      </c>
      <c r="EP839" s="36" t="n">
        <f aca="false">EP837*$AC$835*EP838*EP$38*'⑫ Roll-out Plan'!$O$88</f>
        <v>0</v>
      </c>
      <c r="EQ839" s="36" t="n">
        <f aca="false">EQ837*$AC$835*EQ838*EQ$38*'⑫ Roll-out Plan'!$O$88</f>
        <v>0</v>
      </c>
      <c r="ER839" s="36" t="n">
        <f aca="false">ER837*$AC$835*ER838*ER$38*'⑫ Roll-out Plan'!$O$88</f>
        <v>0</v>
      </c>
      <c r="ES839" s="9" t="n">
        <f aca="false">ES837*$AC$835*ES838*ES$38*'⑫ Roll-out Plan'!$O$88</f>
        <v>0</v>
      </c>
      <c r="ET839" s="9" t="n">
        <f aca="false">ET837*$AC$835*ET838*ET$38*'⑫ Roll-out Plan'!$O$88</f>
        <v>0</v>
      </c>
      <c r="EU839" s="9" t="n">
        <f aca="false">EU837*$AC$835*EU838*EU$38*'⑫ Roll-out Plan'!$O$88</f>
        <v>0</v>
      </c>
      <c r="EV839" s="9" t="n">
        <f aca="false">EV837*$AC$835*EV838*EV$38*'⑫ Roll-out Plan'!$O$88</f>
        <v>0</v>
      </c>
      <c r="EW839" s="9" t="n">
        <f aca="false">EW837*$AC$835*EW838*EW$38*'⑫ Roll-out Plan'!$O$88</f>
        <v>0</v>
      </c>
      <c r="EX839" s="9" t="n">
        <f aca="false">EX837*$AC$835*EX838*EX$38*'⑫ Roll-out Plan'!$O$88</f>
        <v>0</v>
      </c>
      <c r="EY839" s="9" t="n">
        <f aca="false">EY837*$AC$835*EY838*EY$38*'⑫ Roll-out Plan'!$O$88</f>
        <v>0</v>
      </c>
      <c r="EZ839" s="9" t="n">
        <f aca="false">EZ837*$AC$835*EZ838*EZ$38*'⑫ Roll-out Plan'!$O$88</f>
        <v>0</v>
      </c>
      <c r="FA839" s="9" t="n">
        <f aca="false">FA837*$AC$835*FA838*FA$38*'⑫ Roll-out Plan'!$O$88</f>
        <v>0</v>
      </c>
      <c r="FB839" s="9" t="n">
        <f aca="false">FB837*$AC$835*FB838*FB$38*'⑫ Roll-out Plan'!$O$88</f>
        <v>0</v>
      </c>
      <c r="FC839" s="9" t="n">
        <f aca="false">FC837*$AC$835*FC838*FC$38*'⑫ Roll-out Plan'!$O$88</f>
        <v>0</v>
      </c>
      <c r="FD839" s="9" t="n">
        <f aca="false">FD837*$AC$835*FD838*FD$38*'⑫ Roll-out Plan'!$O$88</f>
        <v>0</v>
      </c>
      <c r="FE839" s="9" t="n">
        <f aca="false">FE837*$AC$835*FE838*FE$38*'⑫ Roll-out Plan'!$O$88</f>
        <v>0</v>
      </c>
      <c r="FF839" s="9" t="n">
        <f aca="false">FF837*$AC$835*FF838*FF$38*'⑫ Roll-out Plan'!$O$88</f>
        <v>0</v>
      </c>
      <c r="FG839" s="9" t="n">
        <f aca="false">FG837*$AC$835*FG838*FG$38*'⑫ Roll-out Plan'!$O$88</f>
        <v>0</v>
      </c>
      <c r="FH839" s="9" t="n">
        <f aca="false">FH837*$AC$835*FH838*FH$38*'⑫ Roll-out Plan'!$O$88</f>
        <v>46.2</v>
      </c>
      <c r="FI839" s="9" t="n">
        <f aca="false">FI837*$AC$835*FI838*FI$38*'⑫ Roll-out Plan'!$O$88</f>
        <v>42.504</v>
      </c>
      <c r="FJ839" s="9" t="n">
        <f aca="false">FJ837*$AC$835*FJ838*FJ$38*'⑫ Roll-out Plan'!$O$88</f>
        <v>40.32</v>
      </c>
      <c r="FK839" s="9" t="n">
        <f aca="false">FK837*$AC$835*FK838*FK$38*'⑫ Roll-out Plan'!$O$88</f>
        <v>47.628</v>
      </c>
      <c r="FL839" s="9" t="n">
        <f aca="false">FL837*$AC$835*FL838*FL$38*'⑫ Roll-out Plan'!$O$88</f>
        <v>80.514</v>
      </c>
      <c r="FM839" s="9" t="n">
        <f aca="false">FM837*$AC$835*FM838*FM$38*'⑫ Roll-out Plan'!$O$88</f>
        <v>75.516</v>
      </c>
      <c r="FN839" s="9" t="n">
        <f aca="false">FN837*$AC$835*FN838*FN$38*'⑫ Roll-out Plan'!$O$88</f>
        <v>70.56</v>
      </c>
      <c r="FO839" s="9" t="n">
        <f aca="false">FO837*$AC$835*FO838*FO$38*'⑫ Roll-out Plan'!$O$88</f>
        <v>58.968</v>
      </c>
      <c r="FP839" s="9" t="n">
        <f aca="false">FP837*$AC$835*FP838*FP$38*'⑫ Roll-out Plan'!$O$88</f>
        <v>94.248</v>
      </c>
    </row>
    <row r="840" customFormat="false" ht="15" hidden="false" customHeight="false" outlineLevel="2" collapsed="false">
      <c r="B840" s="9" t="s">
        <v>877</v>
      </c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112" t="n">
        <f aca="true">IFERROR(SUMPRODUCT(OFFSET($BJ$31,0,1-MIN(60,COLUMN()-29),1,MIN(60,COLUMN()-29)),OFFSET(AC839,0,-MIN(60,COLUMN()-29),1,MIN(60,COLUMN()-29))),0)</f>
        <v>0</v>
      </c>
      <c r="AD840" s="112" t="n">
        <f aca="true">IFERROR(SUMPRODUCT(OFFSET($BJ$31,0,1-MIN(60,COLUMN()-29),1,MIN(60,COLUMN()-29)),OFFSET(AD839,0,-MIN(60,COLUMN()-29),1,MIN(60,COLUMN()-29))),0)</f>
        <v>0</v>
      </c>
      <c r="AE840" s="112" t="n">
        <f aca="true">IFERROR(SUMPRODUCT(OFFSET($BJ$31,0,1-MIN(60,COLUMN()-29),1,MIN(60,COLUMN()-29)),OFFSET(AE839,0,-MIN(60,COLUMN()-29),1,MIN(60,COLUMN()-29))),0)</f>
        <v>0</v>
      </c>
      <c r="AF840" s="112" t="n">
        <f aca="true">IFERROR(SUMPRODUCT(OFFSET($BJ$31,0,1-MIN(60,COLUMN()-29),1,MIN(60,COLUMN()-29)),OFFSET(AF839,0,-MIN(60,COLUMN()-29),1,MIN(60,COLUMN()-29))),0)</f>
        <v>0</v>
      </c>
      <c r="AG840" s="112" t="n">
        <f aca="true">IFERROR(SUMPRODUCT(OFFSET($BJ$31,0,1-MIN(60,COLUMN()-29),1,MIN(60,COLUMN()-29)),OFFSET(AG839,0,-MIN(60,COLUMN()-29),1,MIN(60,COLUMN()-29))),0)</f>
        <v>0</v>
      </c>
      <c r="AH840" s="112" t="n">
        <f aca="true">IFERROR(SUMPRODUCT(OFFSET($BJ$31,0,1-MIN(60,COLUMN()-29),1,MIN(60,COLUMN()-29)),OFFSET(AH839,0,-MIN(60,COLUMN()-29),1,MIN(60,COLUMN()-29))),0)</f>
        <v>0</v>
      </c>
      <c r="AI840" s="112" t="n">
        <f aca="true">IFERROR(SUMPRODUCT(OFFSET($BJ$31,0,1-MIN(60,COLUMN()-29),1,MIN(60,COLUMN()-29)),OFFSET(AI839,0,-MIN(60,COLUMN()-29),1,MIN(60,COLUMN()-29))),0)</f>
        <v>0</v>
      </c>
      <c r="AJ840" s="112" t="n">
        <f aca="true">IFERROR(SUMPRODUCT(OFFSET($BJ$31,0,1-MIN(60,COLUMN()-29),1,MIN(60,COLUMN()-29)),OFFSET(AJ839,0,-MIN(60,COLUMN()-29),1,MIN(60,COLUMN()-29))),0)</f>
        <v>0</v>
      </c>
      <c r="AK840" s="112" t="n">
        <f aca="true">IFERROR(SUMPRODUCT(OFFSET($BJ$31,0,1-MIN(60,COLUMN()-29),1,MIN(60,COLUMN()-29)),OFFSET(AK839,0,-MIN(60,COLUMN()-29),1,MIN(60,COLUMN()-29))),0)</f>
        <v>0</v>
      </c>
      <c r="AL840" s="112" t="n">
        <f aca="true">IFERROR(SUMPRODUCT(OFFSET($BJ$31,0,1-MIN(60,COLUMN()-29),1,MIN(60,COLUMN()-29)),OFFSET(AL839,0,-MIN(60,COLUMN()-29),1,MIN(60,COLUMN()-29))),0)</f>
        <v>0</v>
      </c>
      <c r="AM840" s="112" t="n">
        <f aca="true">IFERROR(SUMPRODUCT(OFFSET($BJ$31,0,1-MIN(60,COLUMN()-29),1,MIN(60,COLUMN()-29)),OFFSET(AM839,0,-MIN(60,COLUMN()-29),1,MIN(60,COLUMN()-29))),0)</f>
        <v>0</v>
      </c>
      <c r="AN840" s="239" t="n">
        <f aca="true">IFERROR(SUMPRODUCT(OFFSET($BJ$31,0,1-MIN(60,COLUMN()-29),1,MIN(60,COLUMN()-29)),OFFSET(AN839,0,-MIN(60,COLUMN()-29),1,MIN(60,COLUMN()-29))),0)</f>
        <v>0</v>
      </c>
      <c r="AO840" s="112" t="n">
        <f aca="true">IFERROR(SUMPRODUCT(OFFSET($BJ$31,0,1-MIN(60,COLUMN()-29),1,MIN(60,COLUMN()-29)),OFFSET(AO839,0,-MIN(60,COLUMN()-29),1,MIN(60,COLUMN()-29))),0)</f>
        <v>0</v>
      </c>
      <c r="AP840" s="112" t="n">
        <f aca="true">IFERROR(SUMPRODUCT(OFFSET($BJ$31,0,1-MIN(60,COLUMN()-29),1,MIN(60,COLUMN()-29)),OFFSET(AP839,0,-MIN(60,COLUMN()-29),1,MIN(60,COLUMN()-29))),0)</f>
        <v>0</v>
      </c>
      <c r="AQ840" s="112" t="n">
        <f aca="true">IFERROR(SUMPRODUCT(OFFSET($BJ$31,0,1-MIN(60,COLUMN()-29),1,MIN(60,COLUMN()-29)),OFFSET(AQ839,0,-MIN(60,COLUMN()-29),1,MIN(60,COLUMN()-29))),0)</f>
        <v>0</v>
      </c>
      <c r="AR840" s="112" t="n">
        <f aca="true">IFERROR(SUMPRODUCT(OFFSET($BJ$31,0,1-MIN(60,COLUMN()-29),1,MIN(60,COLUMN()-29)),OFFSET(AR839,0,-MIN(60,COLUMN()-29),1,MIN(60,COLUMN()-29))),0)</f>
        <v>0</v>
      </c>
      <c r="AS840" s="112" t="n">
        <f aca="true">IFERROR(SUMPRODUCT(OFFSET($BJ$31,0,1-MIN(60,COLUMN()-29),1,MIN(60,COLUMN()-29)),OFFSET(AS839,0,-MIN(60,COLUMN()-29),1,MIN(60,COLUMN()-29))),0)</f>
        <v>0</v>
      </c>
      <c r="AT840" s="112" t="n">
        <f aca="true">IFERROR(SUMPRODUCT(OFFSET($BJ$31,0,1-MIN(60,COLUMN()-29),1,MIN(60,COLUMN()-29)),OFFSET(AT839,0,-MIN(60,COLUMN()-29),1,MIN(60,COLUMN()-29))),0)</f>
        <v>0</v>
      </c>
      <c r="AU840" s="112" t="n">
        <f aca="true">IFERROR(SUMPRODUCT(OFFSET($BJ$31,0,1-MIN(60,COLUMN()-29),1,MIN(60,COLUMN()-29)),OFFSET(AU839,0,-MIN(60,COLUMN()-29),1,MIN(60,COLUMN()-29))),0)</f>
        <v>0</v>
      </c>
      <c r="AV840" s="112" t="n">
        <f aca="true">IFERROR(SUMPRODUCT(OFFSET($BJ$31,0,1-MIN(60,COLUMN()-29),1,MIN(60,COLUMN()-29)),OFFSET(AV839,0,-MIN(60,COLUMN()-29),1,MIN(60,COLUMN()-29))),0)</f>
        <v>0</v>
      </c>
      <c r="AW840" s="112" t="n">
        <f aca="true">IFERROR(SUMPRODUCT(OFFSET($BJ$31,0,1-MIN(60,COLUMN()-29),1,MIN(60,COLUMN()-29)),OFFSET(AW839,0,-MIN(60,COLUMN()-29),1,MIN(60,COLUMN()-29))),0)</f>
        <v>0</v>
      </c>
      <c r="AX840" s="112" t="n">
        <f aca="true">IFERROR(SUMPRODUCT(OFFSET($BJ$31,0,1-MIN(60,COLUMN()-29),1,MIN(60,COLUMN()-29)),OFFSET(AX839,0,-MIN(60,COLUMN()-29),1,MIN(60,COLUMN()-29))),0)</f>
        <v>0</v>
      </c>
      <c r="AY840" s="112" t="n">
        <f aca="true">IFERROR(SUMPRODUCT(OFFSET($BJ$31,0,1-MIN(60,COLUMN()-29),1,MIN(60,COLUMN()-29)),OFFSET(AY839,0,-MIN(60,COLUMN()-29),1,MIN(60,COLUMN()-29))),0)</f>
        <v>0</v>
      </c>
      <c r="AZ840" s="112" t="n">
        <f aca="true">IFERROR(SUMPRODUCT(OFFSET($BJ$31,0,1-MIN(60,COLUMN()-29),1,MIN(60,COLUMN()-29)),OFFSET(AZ839,0,-MIN(60,COLUMN()-29),1,MIN(60,COLUMN()-29))),0)</f>
        <v>0</v>
      </c>
      <c r="BA840" s="112" t="n">
        <f aca="true">IFERROR(SUMPRODUCT(OFFSET($BJ$31,0,1-MIN(60,COLUMN()-29),1,MIN(60,COLUMN()-29)),OFFSET(BA839,0,-MIN(60,COLUMN()-29),1,MIN(60,COLUMN()-29))),0)</f>
        <v>0</v>
      </c>
      <c r="BB840" s="112" t="n">
        <f aca="true">IFERROR(SUMPRODUCT(OFFSET($BJ$31,0,1-MIN(60,COLUMN()-29),1,MIN(60,COLUMN()-29)),OFFSET(BB839,0,-MIN(60,COLUMN()-29),1,MIN(60,COLUMN()-29))),0)</f>
        <v>0</v>
      </c>
      <c r="BC840" s="112" t="n">
        <f aca="true">IFERROR(SUMPRODUCT(OFFSET($BJ$31,0,1-MIN(60,COLUMN()-29),1,MIN(60,COLUMN()-29)),OFFSET(BC839,0,-MIN(60,COLUMN()-29),1,MIN(60,COLUMN()-29))),0)</f>
        <v>0</v>
      </c>
      <c r="BD840" s="112" t="n">
        <f aca="true">IFERROR(SUMPRODUCT(OFFSET($BJ$31,0,1-MIN(60,COLUMN()-29),1,MIN(60,COLUMN()-29)),OFFSET(BD839,0,-MIN(60,COLUMN()-29),1,MIN(60,COLUMN()-29))),0)</f>
        <v>0</v>
      </c>
      <c r="BE840" s="112" t="n">
        <f aca="true">IFERROR(SUMPRODUCT(OFFSET($BJ$31,0,1-MIN(60,COLUMN()-29),1,MIN(60,COLUMN()-29)),OFFSET(BE839,0,-MIN(60,COLUMN()-29),1,MIN(60,COLUMN()-29))),0)</f>
        <v>0</v>
      </c>
      <c r="BF840" s="112" t="n">
        <f aca="true">IFERROR(SUMPRODUCT(OFFSET($BJ$31,0,1-MIN(60,COLUMN()-29),1,MIN(60,COLUMN()-29)),OFFSET(BF839,0,-MIN(60,COLUMN()-29),1,MIN(60,COLUMN()-29))),0)</f>
        <v>0</v>
      </c>
      <c r="BG840" s="112" t="n">
        <f aca="true">IFERROR(SUMPRODUCT(OFFSET($BJ$31,0,1-MIN(60,COLUMN()-29),1,MIN(60,COLUMN()-29)),OFFSET(BG839,0,-MIN(60,COLUMN()-29),1,MIN(60,COLUMN()-29))),0)</f>
        <v>0</v>
      </c>
      <c r="BH840" s="112" t="n">
        <f aca="true">IFERROR(SUMPRODUCT(OFFSET($BJ$31,0,1-MIN(60,COLUMN()-29),1,MIN(60,COLUMN()-29)),OFFSET(BH839,0,-MIN(60,COLUMN()-29),1,MIN(60,COLUMN()-29))),0)</f>
        <v>0</v>
      </c>
      <c r="BI840" s="112" t="n">
        <f aca="true">IFERROR(SUMPRODUCT(OFFSET($BJ$31,0,1-MIN(60,COLUMN()-29),1,MIN(60,COLUMN()-29)),OFFSET(BI839,0,-MIN(60,COLUMN()-29),1,MIN(60,COLUMN()-29))),0)</f>
        <v>0</v>
      </c>
      <c r="BJ840" s="112" t="n">
        <f aca="true">IFERROR(SUMPRODUCT(OFFSET($BJ$31,0,1-MIN(60,COLUMN()-29),1,MIN(60,COLUMN()-29)),OFFSET(BJ839,0,-MIN(60,COLUMN()-29),1,MIN(60,COLUMN()-29))),0)</f>
        <v>0</v>
      </c>
      <c r="BK840" s="112" t="n">
        <f aca="true">IFERROR(SUMPRODUCT(OFFSET($BJ$31,0,1-MIN(60,COLUMN()-29),1,MIN(60,COLUMN()-29)),OFFSET(BK839,0,-MIN(60,COLUMN()-29),1,MIN(60,COLUMN()-29))),0)</f>
        <v>0</v>
      </c>
      <c r="BL840" s="112" t="n">
        <f aca="true">IFERROR(SUMPRODUCT(OFFSET($BJ$31,0,1-MIN(60,COLUMN()-29),1,MIN(60,COLUMN()-29)),OFFSET(BL839,0,-MIN(60,COLUMN()-29),1,MIN(60,COLUMN()-29))),0)</f>
        <v>0</v>
      </c>
      <c r="BM840" s="112" t="n">
        <f aca="true">IFERROR(SUMPRODUCT(OFFSET($BJ$31,0,1-MIN(60,COLUMN()-29),1,MIN(60,COLUMN()-29)),OFFSET(BM839,0,-MIN(60,COLUMN()-29),1,MIN(60,COLUMN()-29))),0)</f>
        <v>0</v>
      </c>
      <c r="BN840" s="112" t="n">
        <f aca="true">IFERROR(SUMPRODUCT(OFFSET($BJ$31,0,1-MIN(60,COLUMN()-29),1,MIN(60,COLUMN()-29)),OFFSET(BN839,0,-MIN(60,COLUMN()-29),1,MIN(60,COLUMN()-29))),0)</f>
        <v>0</v>
      </c>
      <c r="BO840" s="112" t="n">
        <f aca="true">IFERROR(SUMPRODUCT(OFFSET($BJ$31,0,1-MIN(60,COLUMN()-29),1,MIN(60,COLUMN()-29)),OFFSET(BO839,0,-MIN(60,COLUMN()-29),1,MIN(60,COLUMN()-29))),0)</f>
        <v>0</v>
      </c>
      <c r="BP840" s="112" t="n">
        <f aca="true">IFERROR(SUMPRODUCT(OFFSET($BJ$31,0,1-MIN(60,COLUMN()-29),1,MIN(60,COLUMN()-29)),OFFSET(BP839,0,-MIN(60,COLUMN()-29),1,MIN(60,COLUMN()-29))),0)</f>
        <v>0</v>
      </c>
      <c r="BQ840" s="112" t="n">
        <f aca="true">IFERROR(SUMPRODUCT(OFFSET($BJ$31,0,1-MIN(60,COLUMN()-29),1,MIN(60,COLUMN()-29)),OFFSET(BQ839,0,-MIN(60,COLUMN()-29),1,MIN(60,COLUMN()-29))),0)</f>
        <v>0</v>
      </c>
      <c r="BR840" s="112" t="n">
        <f aca="true">IFERROR(SUMPRODUCT(OFFSET($BJ$31,0,1-MIN(60,COLUMN()-29),1,MIN(60,COLUMN()-29)),OFFSET(BR839,0,-MIN(60,COLUMN()-29),1,MIN(60,COLUMN()-29))),0)</f>
        <v>0</v>
      </c>
      <c r="BS840" s="112" t="n">
        <f aca="true">IFERROR(SUMPRODUCT(OFFSET($BJ$31,0,1-MIN(60,COLUMN()-29),1,MIN(60,COLUMN()-29)),OFFSET(BS839,0,-MIN(60,COLUMN()-29),1,MIN(60,COLUMN()-29))),0)</f>
        <v>0</v>
      </c>
      <c r="BT840" s="112" t="n">
        <f aca="true">IFERROR(SUMPRODUCT(OFFSET($BJ$31,0,1-MIN(60,COLUMN()-29),1,MIN(60,COLUMN()-29)),OFFSET(BT839,0,-MIN(60,COLUMN()-29),1,MIN(60,COLUMN()-29))),0)</f>
        <v>0</v>
      </c>
      <c r="BU840" s="112" t="n">
        <f aca="true">IFERROR(SUMPRODUCT(OFFSET($BJ$31,0,1-MIN(60,COLUMN()-29),1,MIN(60,COLUMN()-29)),OFFSET(BU839,0,-MIN(60,COLUMN()-29),1,MIN(60,COLUMN()-29))),0)</f>
        <v>0</v>
      </c>
      <c r="BV840" s="112" t="n">
        <f aca="true">IFERROR(SUMPRODUCT(OFFSET($BJ$31,0,1-MIN(60,COLUMN()-29),1,MIN(60,COLUMN()-29)),OFFSET(BV839,0,-MIN(60,COLUMN()-29),1,MIN(60,COLUMN()-29))),0)</f>
        <v>0</v>
      </c>
      <c r="BW840" s="112" t="n">
        <f aca="true">IFERROR(SUMPRODUCT(OFFSET($BJ$31,0,1-MIN(60,COLUMN()-29),1,MIN(60,COLUMN()-29)),OFFSET(BW839,0,-MIN(60,COLUMN()-29),1,MIN(60,COLUMN()-29))),0)</f>
        <v>0</v>
      </c>
      <c r="BX840" s="112" t="n">
        <f aca="true">IFERROR(SUMPRODUCT(OFFSET($BJ$31,0,1-MIN(60,COLUMN()-29),1,MIN(60,COLUMN()-29)),OFFSET(BX839,0,-MIN(60,COLUMN()-29),1,MIN(60,COLUMN()-29))),0)</f>
        <v>0</v>
      </c>
      <c r="BY840" s="112" t="n">
        <f aca="true">IFERROR(SUMPRODUCT(OFFSET($BJ$31,0,1-MIN(60,COLUMN()-29),1,MIN(60,COLUMN()-29)),OFFSET(BY839,0,-MIN(60,COLUMN()-29),1,MIN(60,COLUMN()-29))),0)</f>
        <v>0</v>
      </c>
      <c r="BZ840" s="112" t="n">
        <f aca="true">IFERROR(SUMPRODUCT(OFFSET($BJ$31,0,1-MIN(60,COLUMN()-29),1,MIN(60,COLUMN()-29)),OFFSET(BZ839,0,-MIN(60,COLUMN()-29),1,MIN(60,COLUMN()-29))),0)</f>
        <v>0</v>
      </c>
      <c r="CA840" s="112" t="n">
        <f aca="true">IFERROR(SUMPRODUCT(OFFSET($BJ$31,0,1-MIN(60,COLUMN()-29),1,MIN(60,COLUMN()-29)),OFFSET(CA839,0,-MIN(60,COLUMN()-29),1,MIN(60,COLUMN()-29))),0)</f>
        <v>0</v>
      </c>
      <c r="CB840" s="112" t="n">
        <f aca="true">IFERROR(SUMPRODUCT(OFFSET($BJ$31,0,1-MIN(60,COLUMN()-29),1,MIN(60,COLUMN()-29)),OFFSET(CB839,0,-MIN(60,COLUMN()-29),1,MIN(60,COLUMN()-29))),0)</f>
        <v>0</v>
      </c>
      <c r="CC840" s="112" t="n">
        <f aca="true">IFERROR(SUMPRODUCT(OFFSET($BJ$31,0,1-MIN(60,COLUMN()-29),1,MIN(60,COLUMN()-29)),OFFSET(CC839,0,-MIN(60,COLUMN()-29),1,MIN(60,COLUMN()-29))),0)</f>
        <v>0</v>
      </c>
      <c r="CD840" s="112" t="n">
        <f aca="true">IFERROR(SUMPRODUCT(OFFSET($BJ$31,0,1-MIN(60,COLUMN()-29),1,MIN(60,COLUMN()-29)),OFFSET(CD839,0,-MIN(60,COLUMN()-29),1,MIN(60,COLUMN()-29))),0)</f>
        <v>0</v>
      </c>
      <c r="CE840" s="112" t="n">
        <f aca="true">IFERROR(SUMPRODUCT(OFFSET($BJ$31,0,1-MIN(60,COLUMN()-29),1,MIN(60,COLUMN()-29)),OFFSET(CE839,0,-MIN(60,COLUMN()-29),1,MIN(60,COLUMN()-29))),0)</f>
        <v>0</v>
      </c>
      <c r="CF840" s="112" t="n">
        <f aca="true">IFERROR(SUMPRODUCT(OFFSET($BJ$31,0,1-MIN(60,COLUMN()-29),1,MIN(60,COLUMN()-29)),OFFSET(CF839,0,-MIN(60,COLUMN()-29),1,MIN(60,COLUMN()-29))),0)</f>
        <v>0</v>
      </c>
      <c r="CG840" s="112" t="n">
        <f aca="true">IFERROR(SUMPRODUCT(OFFSET($BJ$31,0,1-MIN(60,COLUMN()-29),1,MIN(60,COLUMN()-29)),OFFSET(CG839,0,-MIN(60,COLUMN()-29),1,MIN(60,COLUMN()-29))),0)</f>
        <v>0</v>
      </c>
      <c r="CH840" s="112" t="n">
        <f aca="true">IFERROR(SUMPRODUCT(OFFSET($BJ$31,0,1-MIN(60,COLUMN()-29),1,MIN(60,COLUMN()-29)),OFFSET(CH839,0,-MIN(60,COLUMN()-29),1,MIN(60,COLUMN()-29))),0)</f>
        <v>0</v>
      </c>
      <c r="CI840" s="112" t="n">
        <f aca="true">IFERROR(SUMPRODUCT(OFFSET($BJ$31,0,1-MIN(60,COLUMN()-29),1,MIN(60,COLUMN()-29)),OFFSET(CI839,0,-MIN(60,COLUMN()-29),1,MIN(60,COLUMN()-29))),0)</f>
        <v>0</v>
      </c>
      <c r="CJ840" s="112" t="n">
        <f aca="true">IFERROR(SUMPRODUCT(OFFSET($BJ$31,0,1-MIN(60,COLUMN()-29),1,MIN(60,COLUMN()-29)),OFFSET(CJ839,0,-MIN(60,COLUMN()-29),1,MIN(60,COLUMN()-29))),0)</f>
        <v>0</v>
      </c>
      <c r="CK840" s="112" t="n">
        <f aca="true">IFERROR(SUMPRODUCT(OFFSET($BJ$31,0,1-MIN(60,COLUMN()-29),1,MIN(60,COLUMN()-29)),OFFSET(CK839,0,-MIN(60,COLUMN()-29),1,MIN(60,COLUMN()-29))),0)</f>
        <v>0</v>
      </c>
      <c r="CL840" s="112" t="n">
        <f aca="true">IFERROR(SUMPRODUCT(OFFSET($BJ$31,0,1-MIN(60,COLUMN()-29),1,MIN(60,COLUMN()-29)),OFFSET(CL839,0,-MIN(60,COLUMN()-29),1,MIN(60,COLUMN()-29))),0)</f>
        <v>0</v>
      </c>
      <c r="CM840" s="112" t="n">
        <f aca="true">IFERROR(SUMPRODUCT(OFFSET($BJ$31,0,1-MIN(60,COLUMN()-29),1,MIN(60,COLUMN()-29)),OFFSET(CM839,0,-MIN(60,COLUMN()-29),1,MIN(60,COLUMN()-29))),0)</f>
        <v>0</v>
      </c>
      <c r="CN840" s="112" t="n">
        <f aca="true">IFERROR(SUMPRODUCT(OFFSET($BJ$31,0,1-MIN(60,COLUMN()-29),1,MIN(60,COLUMN()-29)),OFFSET(CN839,0,-MIN(60,COLUMN()-29),1,MIN(60,COLUMN()-29))),0)</f>
        <v>0</v>
      </c>
      <c r="CO840" s="112" t="n">
        <f aca="true">IFERROR(SUMPRODUCT(OFFSET($BJ$31,0,1-MIN(60,COLUMN()-29),1,MIN(60,COLUMN()-29)),OFFSET(CO839,0,-MIN(60,COLUMN()-29),1,MIN(60,COLUMN()-29))),0)</f>
        <v>0</v>
      </c>
      <c r="CP840" s="112" t="n">
        <f aca="true">IFERROR(SUMPRODUCT(OFFSET($BJ$31,0,1-MIN(60,COLUMN()-29),1,MIN(60,COLUMN()-29)),OFFSET(CP839,0,-MIN(60,COLUMN()-29),1,MIN(60,COLUMN()-29))),0)</f>
        <v>0</v>
      </c>
      <c r="CQ840" s="112" t="n">
        <f aca="true">IFERROR(SUMPRODUCT(OFFSET($BJ$31,0,1-MIN(60,COLUMN()-29),1,MIN(60,COLUMN()-29)),OFFSET(CQ839,0,-MIN(60,COLUMN()-29),1,MIN(60,COLUMN()-29))),0)</f>
        <v>0</v>
      </c>
      <c r="CR840" s="112" t="n">
        <f aca="true">IFERROR(SUMPRODUCT(OFFSET($BJ$31,0,1-MIN(60,COLUMN()-29),1,MIN(60,COLUMN()-29)),OFFSET(CR839,0,-MIN(60,COLUMN()-29),1,MIN(60,COLUMN()-29))),0)</f>
        <v>0</v>
      </c>
      <c r="CS840" s="112" t="n">
        <f aca="true">IFERROR(SUMPRODUCT(OFFSET($BJ$31,0,1-MIN(60,COLUMN()-29),1,MIN(60,COLUMN()-29)),OFFSET(CS839,0,-MIN(60,COLUMN()-29),1,MIN(60,COLUMN()-29))),0)</f>
        <v>0</v>
      </c>
      <c r="CT840" s="112" t="n">
        <f aca="true">IFERROR(SUMPRODUCT(OFFSET($BJ$31,0,1-MIN(60,COLUMN()-29),1,MIN(60,COLUMN()-29)),OFFSET(CT839,0,-MIN(60,COLUMN()-29),1,MIN(60,COLUMN()-29))),0)</f>
        <v>0</v>
      </c>
      <c r="CU840" s="112" t="n">
        <f aca="true">IFERROR(SUMPRODUCT(OFFSET($BJ$31,0,1-MIN(60,COLUMN()-29),1,MIN(60,COLUMN()-29)),OFFSET(CU839,0,-MIN(60,COLUMN()-29),1,MIN(60,COLUMN()-29))),0)</f>
        <v>0</v>
      </c>
      <c r="CV840" s="112" t="n">
        <f aca="true">IFERROR(SUMPRODUCT(OFFSET($BJ$31,0,1-MIN(60,COLUMN()-29),1,MIN(60,COLUMN()-29)),OFFSET(CV839,0,-MIN(60,COLUMN()-29),1,MIN(60,COLUMN()-29))),0)</f>
        <v>0</v>
      </c>
      <c r="CW840" s="112" t="n">
        <f aca="true">IFERROR(SUMPRODUCT(OFFSET($BJ$31,0,1-MIN(60,COLUMN()-29),1,MIN(60,COLUMN()-29)),OFFSET(CW839,0,-MIN(60,COLUMN()-29),1,MIN(60,COLUMN()-29))),0)</f>
        <v>0</v>
      </c>
      <c r="CX840" s="112" t="n">
        <f aca="true">IFERROR(SUMPRODUCT(OFFSET($BJ$31,0,1-MIN(60,COLUMN()-29),1,MIN(60,COLUMN()-29)),OFFSET(CX839,0,-MIN(60,COLUMN()-29),1,MIN(60,COLUMN()-29))),0)</f>
        <v>0</v>
      </c>
      <c r="CY840" s="112" t="n">
        <f aca="true">IFERROR(SUMPRODUCT(OFFSET($BJ$31,0,1-MIN(60,COLUMN()-29),1,MIN(60,COLUMN()-29)),OFFSET(CY839,0,-MIN(60,COLUMN()-29),1,MIN(60,COLUMN()-29))),0)</f>
        <v>0</v>
      </c>
      <c r="CZ840" s="112" t="n">
        <f aca="true">IFERROR(SUMPRODUCT(OFFSET($BJ$31,0,1-MIN(60,COLUMN()-29),1,MIN(60,COLUMN()-29)),OFFSET(CZ839,0,-MIN(60,COLUMN()-29),1,MIN(60,COLUMN()-29))),0)</f>
        <v>0</v>
      </c>
      <c r="DA840" s="112" t="n">
        <f aca="true">IFERROR(SUMPRODUCT(OFFSET($BJ$31,0,1-MIN(60,COLUMN()-29),1,MIN(60,COLUMN()-29)),OFFSET(DA839,0,-MIN(60,COLUMN()-29),1,MIN(60,COLUMN()-29))),0)</f>
        <v>0</v>
      </c>
      <c r="DB840" s="112" t="n">
        <f aca="true">IFERROR(SUMPRODUCT(OFFSET($BJ$31,0,1-MIN(60,COLUMN()-29),1,MIN(60,COLUMN()-29)),OFFSET(DB839,0,-MIN(60,COLUMN()-29),1,MIN(60,COLUMN()-29))),0)</f>
        <v>0</v>
      </c>
      <c r="DC840" s="112" t="n">
        <f aca="true">IFERROR(SUMPRODUCT(OFFSET($BJ$31,0,1-MIN(60,COLUMN()-29),1,MIN(60,COLUMN()-29)),OFFSET(DC839,0,-MIN(60,COLUMN()-29),1,MIN(60,COLUMN()-29))),0)</f>
        <v>0</v>
      </c>
      <c r="DD840" s="112" t="n">
        <f aca="true">IFERROR(SUMPRODUCT(OFFSET($BJ$31,0,1-MIN(60,COLUMN()-29),1,MIN(60,COLUMN()-29)),OFFSET(DD839,0,-MIN(60,COLUMN()-29),1,MIN(60,COLUMN()-29))),0)</f>
        <v>0</v>
      </c>
      <c r="DE840" s="112" t="n">
        <f aca="true">IFERROR(SUMPRODUCT(OFFSET($BJ$31,0,1-MIN(60,COLUMN()-29),1,MIN(60,COLUMN()-29)),OFFSET(DE839,0,-MIN(60,COLUMN()-29),1,MIN(60,COLUMN()-29))),0)</f>
        <v>0</v>
      </c>
      <c r="DF840" s="112" t="n">
        <f aca="true">IFERROR(SUMPRODUCT(OFFSET($BJ$31,0,1-MIN(60,COLUMN()-29),1,MIN(60,COLUMN()-29)),OFFSET(DF839,0,-MIN(60,COLUMN()-29),1,MIN(60,COLUMN()-29))),0)</f>
        <v>0</v>
      </c>
      <c r="DG840" s="112" t="n">
        <f aca="true">IFERROR(SUMPRODUCT(OFFSET($BJ$31,0,1-MIN(60,COLUMN()-29),1,MIN(60,COLUMN()-29)),OFFSET(DG839,0,-MIN(60,COLUMN()-29),1,MIN(60,COLUMN()-29))),0)</f>
        <v>0</v>
      </c>
      <c r="DH840" s="112" t="n">
        <f aca="true">IFERROR(SUMPRODUCT(OFFSET($BJ$31,0,1-MIN(60,COLUMN()-29),1,MIN(60,COLUMN()-29)),OFFSET(DH839,0,-MIN(60,COLUMN()-29),1,MIN(60,COLUMN()-29))),0)</f>
        <v>0</v>
      </c>
      <c r="DI840" s="112" t="n">
        <f aca="true">IFERROR(SUMPRODUCT(OFFSET($BJ$31,0,1-MIN(60,COLUMN()-29),1,MIN(60,COLUMN()-29)),OFFSET(DI839,0,-MIN(60,COLUMN()-29),1,MIN(60,COLUMN()-29))),0)</f>
        <v>0</v>
      </c>
      <c r="DJ840" s="112" t="n">
        <f aca="true">IFERROR(SUMPRODUCT(OFFSET($BJ$31,0,1-MIN(60,COLUMN()-29),1,MIN(60,COLUMN()-29)),OFFSET(DJ839,0,-MIN(60,COLUMN()-29),1,MIN(60,COLUMN()-29))),0)</f>
        <v>0</v>
      </c>
      <c r="DK840" s="112" t="n">
        <f aca="true">IFERROR(SUMPRODUCT(OFFSET($BJ$31,0,1-MIN(60,COLUMN()-29),1,MIN(60,COLUMN()-29)),OFFSET(DK839,0,-MIN(60,COLUMN()-29),1,MIN(60,COLUMN()-29))),0)</f>
        <v>0</v>
      </c>
      <c r="DL840" s="112" t="n">
        <f aca="true">IFERROR(SUMPRODUCT(OFFSET($BJ$31,0,1-MIN(60,COLUMN()-29),1,MIN(60,COLUMN()-29)),OFFSET(DL839,0,-MIN(60,COLUMN()-29),1,MIN(60,COLUMN()-29))),0)</f>
        <v>0</v>
      </c>
      <c r="DM840" s="112" t="n">
        <f aca="true">IFERROR(SUMPRODUCT(OFFSET($BJ$31,0,1-MIN(60,COLUMN()-29),1,MIN(60,COLUMN()-29)),OFFSET(DM839,0,-MIN(60,COLUMN()-29),1,MIN(60,COLUMN()-29))),0)</f>
        <v>0</v>
      </c>
      <c r="DN840" s="112" t="n">
        <f aca="true">IFERROR(SUMPRODUCT(OFFSET($BJ$31,0,1-MIN(60,COLUMN()-29),1,MIN(60,COLUMN()-29)),OFFSET(DN839,0,-MIN(60,COLUMN()-29),1,MIN(60,COLUMN()-29))),0)</f>
        <v>0</v>
      </c>
      <c r="DO840" s="112" t="n">
        <f aca="true">IFERROR(SUMPRODUCT(OFFSET($BJ$31,0,1-MIN(60,COLUMN()-29),1,MIN(60,COLUMN()-29)),OFFSET(DO839,0,-MIN(60,COLUMN()-29),1,MIN(60,COLUMN()-29))),0)</f>
        <v>0</v>
      </c>
      <c r="DP840" s="112" t="n">
        <f aca="true">IFERROR(SUMPRODUCT(OFFSET($BJ$31,0,1-MIN(60,COLUMN()-29),1,MIN(60,COLUMN()-29)),OFFSET(DP839,0,-MIN(60,COLUMN()-29),1,MIN(60,COLUMN()-29))),0)</f>
        <v>0</v>
      </c>
      <c r="DQ840" s="112" t="n">
        <f aca="true">IFERROR(SUMPRODUCT(OFFSET($BJ$31,0,1-MIN(60,COLUMN()-29),1,MIN(60,COLUMN()-29)),OFFSET(DQ839,0,-MIN(60,COLUMN()-29),1,MIN(60,COLUMN()-29))),0)</f>
        <v>0</v>
      </c>
      <c r="DR840" s="112" t="n">
        <f aca="true">IFERROR(SUMPRODUCT(OFFSET($BJ$31,0,1-MIN(60,COLUMN()-29),1,MIN(60,COLUMN()-29)),OFFSET(DR839,0,-MIN(60,COLUMN()-29),1,MIN(60,COLUMN()-29))),0)</f>
        <v>0</v>
      </c>
      <c r="DS840" s="112" t="n">
        <f aca="true">IFERROR(SUMPRODUCT(OFFSET($BJ$31,0,1-MIN(60,COLUMN()-29),1,MIN(60,COLUMN()-29)),OFFSET(DS839,0,-MIN(60,COLUMN()-29),1,MIN(60,COLUMN()-29))),0)</f>
        <v>0</v>
      </c>
      <c r="DT840" s="112" t="n">
        <f aca="true">IFERROR(SUMPRODUCT(OFFSET($BJ$31,0,1-MIN(60,COLUMN()-29),1,MIN(60,COLUMN()-29)),OFFSET(DT839,0,-MIN(60,COLUMN()-29),1,MIN(60,COLUMN()-29))),0)</f>
        <v>0</v>
      </c>
      <c r="DU840" s="112" t="n">
        <f aca="true">IFERROR(SUMPRODUCT(OFFSET($BJ$31,0,1-MIN(60,COLUMN()-29),1,MIN(60,COLUMN()-29)),OFFSET(DU839,0,-MIN(60,COLUMN()-29),1,MIN(60,COLUMN()-29))),0)</f>
        <v>0</v>
      </c>
      <c r="DV840" s="112" t="n">
        <f aca="true">IFERROR(SUMPRODUCT(OFFSET($BJ$31,0,1-MIN(60,COLUMN()-29),1,MIN(60,COLUMN()-29)),OFFSET(DV839,0,-MIN(60,COLUMN()-29),1,MIN(60,COLUMN()-29))),0)</f>
        <v>0</v>
      </c>
      <c r="DW840" s="112" t="n">
        <f aca="true">IFERROR(SUMPRODUCT(OFFSET($BJ$31,0,1-MIN(60,COLUMN()-29),1,MIN(60,COLUMN()-29)),OFFSET(DW839,0,-MIN(60,COLUMN()-29),1,MIN(60,COLUMN()-29))),0)</f>
        <v>0</v>
      </c>
      <c r="DX840" s="112" t="n">
        <f aca="true">IFERROR(SUMPRODUCT(OFFSET($BJ$31,0,1-MIN(60,COLUMN()-29),1,MIN(60,COLUMN()-29)),OFFSET(DX839,0,-MIN(60,COLUMN()-29),1,MIN(60,COLUMN()-29))),0)</f>
        <v>0</v>
      </c>
      <c r="DY840" s="112" t="n">
        <f aca="true">IFERROR(SUMPRODUCT(OFFSET($BJ$31,0,1-MIN(60,COLUMN()-29),1,MIN(60,COLUMN()-29)),OFFSET(DY839,0,-MIN(60,COLUMN()-29),1,MIN(60,COLUMN()-29))),0)</f>
        <v>0</v>
      </c>
      <c r="DZ840" s="112" t="n">
        <f aca="true">IFERROR(SUMPRODUCT(OFFSET($BJ$31,0,1-MIN(60,COLUMN()-29),1,MIN(60,COLUMN()-29)),OFFSET(DZ839,0,-MIN(60,COLUMN()-29),1,MIN(60,COLUMN()-29))),0)</f>
        <v>0</v>
      </c>
      <c r="EA840" s="112" t="n">
        <f aca="true">IFERROR(SUMPRODUCT(OFFSET($BJ$31,0,1-MIN(60,COLUMN()-29),1,MIN(60,COLUMN()-29)),OFFSET(EA839,0,-MIN(60,COLUMN()-29),1,MIN(60,COLUMN()-29))),0)</f>
        <v>0</v>
      </c>
      <c r="EB840" s="112" t="n">
        <f aca="true">IFERROR(SUMPRODUCT(OFFSET($BJ$31,0,1-MIN(60,COLUMN()-29),1,MIN(60,COLUMN()-29)),OFFSET(EB839,0,-MIN(60,COLUMN()-29),1,MIN(60,COLUMN()-29))),0)</f>
        <v>0</v>
      </c>
      <c r="EC840" s="112" t="n">
        <f aca="true">IFERROR(SUMPRODUCT(OFFSET($BJ$31,0,1-MIN(60,COLUMN()-29),1,MIN(60,COLUMN()-29)),OFFSET(EC839,0,-MIN(60,COLUMN()-29),1,MIN(60,COLUMN()-29))),0)</f>
        <v>0</v>
      </c>
      <c r="ED840" s="112" t="n">
        <f aca="true">IFERROR(SUMPRODUCT(OFFSET($BJ$31,0,1-MIN(60,COLUMN()-29),1,MIN(60,COLUMN()-29)),OFFSET(ED839,0,-MIN(60,COLUMN()-29),1,MIN(60,COLUMN()-29))),0)</f>
        <v>0</v>
      </c>
      <c r="EE840" s="112" t="n">
        <f aca="true">IFERROR(SUMPRODUCT(OFFSET($BJ$31,0,1-MIN(60,COLUMN()-29),1,MIN(60,COLUMN()-29)),OFFSET(EE839,0,-MIN(60,COLUMN()-29),1,MIN(60,COLUMN()-29))),0)</f>
        <v>0</v>
      </c>
      <c r="EF840" s="112" t="n">
        <f aca="true">IFERROR(SUMPRODUCT(OFFSET($BJ$31,0,1-MIN(60,COLUMN()-29),1,MIN(60,COLUMN()-29)),OFFSET(EF839,0,-MIN(60,COLUMN()-29),1,MIN(60,COLUMN()-29))),0)</f>
        <v>0</v>
      </c>
      <c r="EG840" s="112" t="n">
        <f aca="true">IFERROR(SUMPRODUCT(OFFSET($BJ$31,0,1-MIN(60,COLUMN()-29),1,MIN(60,COLUMN()-29)),OFFSET(EG839,0,-MIN(60,COLUMN()-29),1,MIN(60,COLUMN()-29))),0)</f>
        <v>0</v>
      </c>
      <c r="EH840" s="112" t="n">
        <f aca="true">IFERROR(SUMPRODUCT(OFFSET($BJ$31,0,1-MIN(60,COLUMN()-29),1,MIN(60,COLUMN()-29)),OFFSET(EH839,0,-MIN(60,COLUMN()-29),1,MIN(60,COLUMN()-29))),0)</f>
        <v>0</v>
      </c>
      <c r="EI840" s="112" t="n">
        <f aca="true">IFERROR(SUMPRODUCT(OFFSET($BJ$31,0,1-MIN(60,COLUMN()-29),1,MIN(60,COLUMN()-29)),OFFSET(EI839,0,-MIN(60,COLUMN()-29),1,MIN(60,COLUMN()-29))),0)</f>
        <v>0</v>
      </c>
      <c r="EJ840" s="112" t="n">
        <f aca="true">IFERROR(SUMPRODUCT(OFFSET($BJ$31,0,1-MIN(60,COLUMN()-29),1,MIN(60,COLUMN()-29)),OFFSET(EJ839,0,-MIN(60,COLUMN()-29),1,MIN(60,COLUMN()-29))),0)</f>
        <v>0</v>
      </c>
      <c r="EK840" s="112" t="n">
        <f aca="true">IFERROR(SUMPRODUCT(OFFSET($BJ$31,0,1-MIN(60,COLUMN()-29),1,MIN(60,COLUMN()-29)),OFFSET(EK839,0,-MIN(60,COLUMN()-29),1,MIN(60,COLUMN()-29))),0)</f>
        <v>0</v>
      </c>
      <c r="EL840" s="112" t="n">
        <f aca="true">IFERROR(SUMPRODUCT(OFFSET($BJ$31,0,1-MIN(60,COLUMN()-29),1,MIN(60,COLUMN()-29)),OFFSET(EL839,0,-MIN(60,COLUMN()-29),1,MIN(60,COLUMN()-29))),0)</f>
        <v>0</v>
      </c>
      <c r="EM840" s="112" t="n">
        <f aca="true">IFERROR(SUMPRODUCT(OFFSET($BJ$31,0,1-MIN(60,COLUMN()-29),1,MIN(60,COLUMN()-29)),OFFSET(EM839,0,-MIN(60,COLUMN()-29),1,MIN(60,COLUMN()-29))),0)</f>
        <v>0</v>
      </c>
      <c r="EN840" s="112" t="n">
        <f aca="true">IFERROR(SUMPRODUCT(OFFSET($BJ$31,0,1-MIN(60,COLUMN()-29),1,MIN(60,COLUMN()-29)),OFFSET(EN839,0,-MIN(60,COLUMN()-29),1,MIN(60,COLUMN()-29))),0)</f>
        <v>0</v>
      </c>
      <c r="EO840" s="112" t="n">
        <f aca="true">IFERROR(SUMPRODUCT(OFFSET($BJ$31,0,1-MIN(60,COLUMN()-29),1,MIN(60,COLUMN()-29)),OFFSET(EO839,0,-MIN(60,COLUMN()-29),1,MIN(60,COLUMN()-29))),0)</f>
        <v>0</v>
      </c>
      <c r="EP840" s="112" t="n">
        <f aca="true">IFERROR(SUMPRODUCT(OFFSET($BJ$31,0,1-MIN(60,COLUMN()-29),1,MIN(60,COLUMN()-29)),OFFSET(EP839,0,-MIN(60,COLUMN()-29),1,MIN(60,COLUMN()-29))),0)</f>
        <v>0</v>
      </c>
      <c r="EQ840" s="112" t="n">
        <f aca="true">IFERROR(SUMPRODUCT(OFFSET($BJ$31,0,1-MIN(60,COLUMN()-29),1,MIN(60,COLUMN()-29)),OFFSET(EQ839,0,-MIN(60,COLUMN()-29),1,MIN(60,COLUMN()-29))),0)</f>
        <v>0</v>
      </c>
      <c r="ER840" s="112" t="n">
        <f aca="true">IFERROR(SUMPRODUCT(OFFSET($BJ$31,0,1-MIN(60,COLUMN()-29),1,MIN(60,COLUMN()-29)),OFFSET(ER839,0,-MIN(60,COLUMN()-29),1,MIN(60,COLUMN()-29))),0)</f>
        <v>0</v>
      </c>
      <c r="ES840" s="9" t="n">
        <f aca="true">IFERROR(SUMPRODUCT(OFFSET($BJ$31,0,1-MIN(60,COLUMN()-29),1,MIN(60,COLUMN()-29)),OFFSET(ES839,0,-MIN(60,COLUMN()-29),1,MIN(60,COLUMN()-29))),0)</f>
        <v>0</v>
      </c>
      <c r="ET840" s="9" t="n">
        <f aca="true">IFERROR(SUMPRODUCT(OFFSET($BJ$31,0,1-MIN(60,COLUMN()-29),1,MIN(60,COLUMN()-29)),OFFSET(ET839,0,-MIN(60,COLUMN()-29),1,MIN(60,COLUMN()-29))),0)</f>
        <v>0</v>
      </c>
      <c r="EU840" s="9" t="n">
        <f aca="true">IFERROR(SUMPRODUCT(OFFSET($BJ$31,0,1-MIN(60,COLUMN()-29),1,MIN(60,COLUMN()-29)),OFFSET(EU839,0,-MIN(60,COLUMN()-29),1,MIN(60,COLUMN()-29))),0)</f>
        <v>0</v>
      </c>
      <c r="EV840" s="9" t="n">
        <f aca="true">IFERROR(SUMPRODUCT(OFFSET($BJ$31,0,1-MIN(60,COLUMN()-29),1,MIN(60,COLUMN()-29)),OFFSET(EV839,0,-MIN(60,COLUMN()-29),1,MIN(60,COLUMN()-29))),0)</f>
        <v>0</v>
      </c>
      <c r="EW840" s="9" t="n">
        <f aca="true">IFERROR(SUMPRODUCT(OFFSET($BJ$31,0,1-MIN(60,COLUMN()-29),1,MIN(60,COLUMN()-29)),OFFSET(EW839,0,-MIN(60,COLUMN()-29),1,MIN(60,COLUMN()-29))),0)</f>
        <v>0</v>
      </c>
      <c r="EX840" s="9" t="n">
        <f aca="true">IFERROR(SUMPRODUCT(OFFSET($BJ$31,0,1-MIN(60,COLUMN()-29),1,MIN(60,COLUMN()-29)),OFFSET(EX839,0,-MIN(60,COLUMN()-29),1,MIN(60,COLUMN()-29))),0)</f>
        <v>0</v>
      </c>
      <c r="EY840" s="9" t="n">
        <f aca="true">IFERROR(SUMPRODUCT(OFFSET($BJ$31,0,1-MIN(60,COLUMN()-29),1,MIN(60,COLUMN()-29)),OFFSET(EY839,0,-MIN(60,COLUMN()-29),1,MIN(60,COLUMN()-29))),0)</f>
        <v>0</v>
      </c>
      <c r="EZ840" s="9" t="n">
        <f aca="true">IFERROR(SUMPRODUCT(OFFSET($BJ$31,0,1-MIN(60,COLUMN()-29),1,MIN(60,COLUMN()-29)),OFFSET(EZ839,0,-MIN(60,COLUMN()-29),1,MIN(60,COLUMN()-29))),0)</f>
        <v>0</v>
      </c>
      <c r="FA840" s="9" t="n">
        <f aca="true">IFERROR(SUMPRODUCT(OFFSET($BJ$31,0,1-MIN(60,COLUMN()-29),1,MIN(60,COLUMN()-29)),OFFSET(FA839,0,-MIN(60,COLUMN()-29),1,MIN(60,COLUMN()-29))),0)</f>
        <v>0</v>
      </c>
      <c r="FB840" s="9" t="n">
        <f aca="true">IFERROR(SUMPRODUCT(OFFSET($BJ$31,0,1-MIN(60,COLUMN()-29),1,MIN(60,COLUMN()-29)),OFFSET(FB839,0,-MIN(60,COLUMN()-29),1,MIN(60,COLUMN()-29))),0)</f>
        <v>0</v>
      </c>
      <c r="FC840" s="9" t="n">
        <f aca="true">IFERROR(SUMPRODUCT(OFFSET($BJ$31,0,1-MIN(60,COLUMN()-29),1,MIN(60,COLUMN()-29)),OFFSET(FC839,0,-MIN(60,COLUMN()-29),1,MIN(60,COLUMN()-29))),0)</f>
        <v>0</v>
      </c>
      <c r="FD840" s="9" t="n">
        <f aca="true">IFERROR(SUMPRODUCT(OFFSET($BJ$31,0,1-MIN(60,COLUMN()-29),1,MIN(60,COLUMN()-29)),OFFSET(FD839,0,-MIN(60,COLUMN()-29),1,MIN(60,COLUMN()-29))),0)</f>
        <v>0</v>
      </c>
      <c r="FE840" s="9" t="n">
        <f aca="true">IFERROR(SUMPRODUCT(OFFSET($BJ$31,0,1-MIN(60,COLUMN()-29),1,MIN(60,COLUMN()-29)),OFFSET(FE839,0,-MIN(60,COLUMN()-29),1,MIN(60,COLUMN()-29))),0)</f>
        <v>0</v>
      </c>
      <c r="FF840" s="9" t="n">
        <f aca="true">IFERROR(SUMPRODUCT(OFFSET($BJ$31,0,1-MIN(60,COLUMN()-29),1,MIN(60,COLUMN()-29)),OFFSET(FF839,0,-MIN(60,COLUMN()-29),1,MIN(60,COLUMN()-29))),0)</f>
        <v>0</v>
      </c>
      <c r="FG840" s="9" t="n">
        <f aca="true">IFERROR(SUMPRODUCT(OFFSET($BJ$31,0,1-MIN(60,COLUMN()-29),1,MIN(60,COLUMN()-29)),OFFSET(FG839,0,-MIN(60,COLUMN()-29),1,MIN(60,COLUMN()-29))),0)</f>
        <v>0</v>
      </c>
      <c r="FH840" s="9" t="n">
        <f aca="true">IFERROR(SUMPRODUCT(OFFSET($BJ$31,0,1-MIN(60,COLUMN()-29),1,MIN(60,COLUMN()-29)),OFFSET(FH839,0,-MIN(60,COLUMN()-29),1,MIN(60,COLUMN()-29))),0)</f>
        <v>0</v>
      </c>
      <c r="FI840" s="9" t="n">
        <f aca="true">IFERROR(SUMPRODUCT(OFFSET($BJ$31,0,1-MIN(60,COLUMN()-29),1,MIN(60,COLUMN()-29)),OFFSET(FI839,0,-MIN(60,COLUMN()-29),1,MIN(60,COLUMN()-29))),0)</f>
        <v>5.9136</v>
      </c>
      <c r="FJ840" s="9" t="n">
        <f aca="true">IFERROR(SUMPRODUCT(OFFSET($BJ$31,0,1-MIN(60,COLUMN()-29),1,MIN(60,COLUMN()-29)),OFFSET(FJ839,0,-MIN(60,COLUMN()-29),1,MIN(60,COLUMN()-29))),0)</f>
        <v>6.253632</v>
      </c>
      <c r="FK840" s="9" t="n">
        <f aca="true">IFERROR(SUMPRODUCT(OFFSET($BJ$31,0,1-MIN(60,COLUMN()-29),1,MIN(60,COLUMN()-29)),OFFSET(FK839,0,-MIN(60,COLUMN()-29),1,MIN(60,COLUMN()-29))),0)</f>
        <v>6.9439104</v>
      </c>
      <c r="FL840" s="9" t="n">
        <f aca="true">IFERROR(SUMPRODUCT(OFFSET($BJ$31,0,1-MIN(60,COLUMN()-29),1,MIN(60,COLUMN()-29)),OFFSET(FL839,0,-MIN(60,COLUMN()-29),1,MIN(60,COLUMN()-29))),0)</f>
        <v>8.3494656</v>
      </c>
      <c r="FM840" s="9" t="n">
        <f aca="true">IFERROR(SUMPRODUCT(OFFSET($BJ$31,0,1-MIN(60,COLUMN()-29),1,MIN(60,COLUMN()-29)),OFFSET(FM839,0,-MIN(60,COLUMN()-29),1,MIN(60,COLUMN()-29))),0)</f>
        <v>13.034784</v>
      </c>
      <c r="FN840" s="9" t="n">
        <f aca="true">IFERROR(SUMPRODUCT(OFFSET($BJ$31,0,1-MIN(60,COLUMN()-29),1,MIN(60,COLUMN()-29)),OFFSET(FN839,0,-MIN(60,COLUMN()-29),1,MIN(60,COLUMN()-29))),0)</f>
        <v>13.295856</v>
      </c>
      <c r="FO840" s="9" t="n">
        <f aca="true">IFERROR(SUMPRODUCT(OFFSET($BJ$31,0,1-MIN(60,COLUMN()-29),1,MIN(60,COLUMN()-29)),OFFSET(FO839,0,-MIN(60,COLUMN()-29),1,MIN(60,COLUMN()-29))),0)</f>
        <v>14.1042048</v>
      </c>
      <c r="FP840" s="9" t="n">
        <f aca="true">IFERROR(SUMPRODUCT(OFFSET($BJ$31,0,1-MIN(60,COLUMN()-29),1,MIN(60,COLUMN()-29)),OFFSET(FP839,0,-MIN(60,COLUMN()-29),1,MIN(60,COLUMN()-29))),0)</f>
        <v>13.0644864</v>
      </c>
    </row>
    <row r="841" customFormat="false" ht="15" hidden="false" customHeight="false" outlineLevel="2" collapsed="false">
      <c r="B841" s="90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237"/>
      <c r="AD841" s="237"/>
      <c r="AE841" s="237"/>
      <c r="AF841" s="237"/>
      <c r="AG841" s="237"/>
      <c r="AH841" s="237"/>
      <c r="AI841" s="237"/>
      <c r="AJ841" s="237"/>
      <c r="AK841" s="237"/>
      <c r="AL841" s="237"/>
      <c r="AM841" s="237"/>
      <c r="AN841" s="237"/>
      <c r="AO841" s="237"/>
      <c r="AP841" s="237"/>
      <c r="AQ841" s="237"/>
      <c r="AR841" s="237"/>
      <c r="AS841" s="237"/>
      <c r="AT841" s="237"/>
      <c r="AU841" s="237"/>
      <c r="AV841" s="237"/>
      <c r="AW841" s="237"/>
      <c r="AX841" s="237"/>
      <c r="AY841" s="237"/>
      <c r="AZ841" s="237"/>
      <c r="BA841" s="237"/>
      <c r="BB841" s="237"/>
      <c r="BC841" s="237"/>
      <c r="BD841" s="237"/>
      <c r="BE841" s="237"/>
      <c r="BF841" s="237"/>
      <c r="BG841" s="237"/>
      <c r="BH841" s="237"/>
      <c r="BI841" s="237"/>
      <c r="BJ841" s="237"/>
      <c r="BK841" s="237"/>
      <c r="BL841" s="237"/>
      <c r="BM841" s="237"/>
      <c r="BN841" s="237"/>
      <c r="BO841" s="237"/>
      <c r="BP841" s="237"/>
      <c r="BQ841" s="237"/>
      <c r="BR841" s="237"/>
      <c r="BS841" s="237"/>
      <c r="BT841" s="237"/>
      <c r="BU841" s="237"/>
      <c r="BV841" s="237"/>
      <c r="BW841" s="237"/>
      <c r="BX841" s="237"/>
      <c r="BY841" s="237"/>
      <c r="BZ841" s="237"/>
      <c r="CA841" s="237"/>
      <c r="CB841" s="237"/>
      <c r="CC841" s="237"/>
      <c r="CD841" s="237"/>
      <c r="CE841" s="237"/>
      <c r="CF841" s="237"/>
      <c r="CG841" s="237"/>
      <c r="CH841" s="237"/>
      <c r="CI841" s="237"/>
      <c r="CJ841" s="237"/>
      <c r="CK841" s="237"/>
      <c r="CL841" s="237"/>
      <c r="CM841" s="237"/>
      <c r="CN841" s="237"/>
      <c r="CO841" s="237"/>
      <c r="CP841" s="237"/>
      <c r="CQ841" s="237"/>
      <c r="CR841" s="237"/>
      <c r="CS841" s="237"/>
      <c r="CT841" s="237"/>
      <c r="CU841" s="237"/>
      <c r="CV841" s="237"/>
      <c r="CW841" s="237"/>
      <c r="CX841" s="237"/>
      <c r="CY841" s="237"/>
      <c r="CZ841" s="237"/>
      <c r="DA841" s="237"/>
      <c r="DB841" s="237"/>
      <c r="DC841" s="237"/>
      <c r="DD841" s="237"/>
      <c r="DE841" s="237"/>
      <c r="DF841" s="237"/>
      <c r="DG841" s="237"/>
      <c r="DH841" s="237"/>
      <c r="DI841" s="237"/>
      <c r="DJ841" s="237"/>
      <c r="DK841" s="237"/>
      <c r="DL841" s="237"/>
      <c r="DM841" s="237"/>
      <c r="DN841" s="237"/>
      <c r="DO841" s="237"/>
      <c r="DP841" s="237"/>
      <c r="DQ841" s="237"/>
      <c r="DR841" s="237"/>
      <c r="DS841" s="237"/>
      <c r="DT841" s="237"/>
      <c r="DU841" s="237"/>
      <c r="DV841" s="237"/>
      <c r="DW841" s="237"/>
      <c r="DX841" s="237"/>
      <c r="DY841" s="237"/>
      <c r="DZ841" s="237"/>
      <c r="EA841" s="237"/>
      <c r="EB841" s="237"/>
      <c r="EC841" s="237"/>
      <c r="ED841" s="237"/>
      <c r="EE841" s="237"/>
      <c r="EF841" s="237"/>
      <c r="EG841" s="237"/>
      <c r="EH841" s="237"/>
      <c r="EI841" s="237"/>
      <c r="EJ841" s="237"/>
      <c r="EK841" s="237"/>
      <c r="EL841" s="237"/>
      <c r="EM841" s="237"/>
      <c r="EN841" s="237"/>
      <c r="EO841" s="237"/>
      <c r="EP841" s="237"/>
      <c r="EQ841" s="237"/>
      <c r="ER841" s="237"/>
      <c r="ES841" s="9"/>
      <c r="ET841" s="9"/>
      <c r="EU841" s="9"/>
      <c r="EV841" s="9"/>
      <c r="EW841" s="9"/>
      <c r="EX841" s="9"/>
      <c r="EY841" s="9"/>
      <c r="EZ841" s="9"/>
      <c r="FA841" s="9"/>
      <c r="FB841" s="9"/>
      <c r="FC841" s="9"/>
      <c r="FD841" s="9"/>
      <c r="FE841" s="9"/>
      <c r="FF841" s="9"/>
      <c r="FG841" s="9"/>
      <c r="FH841" s="9"/>
      <c r="FI841" s="9"/>
      <c r="FJ841" s="9"/>
      <c r="FK841" s="9"/>
      <c r="FL841" s="9"/>
      <c r="FM841" s="9"/>
      <c r="FN841" s="9"/>
      <c r="FO841" s="9"/>
      <c r="FP841" s="9"/>
    </row>
    <row r="842" customFormat="false" ht="15" hidden="false" customHeight="false" outlineLevel="2" collapsed="false">
      <c r="B842" s="240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237"/>
      <c r="AD842" s="237"/>
      <c r="AE842" s="237"/>
      <c r="AF842" s="237"/>
      <c r="AG842" s="237"/>
      <c r="AH842" s="237"/>
      <c r="AI842" s="237"/>
      <c r="AJ842" s="237"/>
      <c r="AK842" s="237"/>
      <c r="AL842" s="237"/>
      <c r="AM842" s="237"/>
      <c r="AN842" s="237"/>
      <c r="AO842" s="237"/>
      <c r="AP842" s="237"/>
      <c r="AQ842" s="237"/>
      <c r="AR842" s="237"/>
      <c r="AS842" s="237"/>
      <c r="AT842" s="237"/>
      <c r="AU842" s="237"/>
      <c r="AV842" s="237"/>
      <c r="AW842" s="237"/>
      <c r="AX842" s="237"/>
      <c r="AY842" s="237"/>
      <c r="AZ842" s="237"/>
      <c r="BA842" s="237"/>
      <c r="BB842" s="237"/>
      <c r="BC842" s="237"/>
      <c r="BD842" s="237"/>
      <c r="BE842" s="237"/>
      <c r="BF842" s="237"/>
      <c r="BG842" s="237"/>
      <c r="BH842" s="237"/>
      <c r="BI842" s="237"/>
      <c r="BJ842" s="237"/>
      <c r="BK842" s="237"/>
      <c r="BL842" s="237"/>
      <c r="BM842" s="237"/>
      <c r="BN842" s="237"/>
      <c r="BO842" s="237"/>
      <c r="BP842" s="237"/>
      <c r="BQ842" s="237"/>
      <c r="BR842" s="237"/>
      <c r="BS842" s="237"/>
      <c r="BT842" s="237"/>
      <c r="BU842" s="237"/>
      <c r="BV842" s="237"/>
      <c r="BW842" s="237"/>
      <c r="BX842" s="237"/>
      <c r="BY842" s="237"/>
      <c r="BZ842" s="237"/>
      <c r="CA842" s="237"/>
      <c r="CB842" s="237"/>
      <c r="CC842" s="237"/>
      <c r="CD842" s="237"/>
      <c r="CE842" s="237"/>
      <c r="CF842" s="237"/>
      <c r="CG842" s="237"/>
      <c r="CH842" s="237"/>
      <c r="CI842" s="237"/>
      <c r="CJ842" s="237"/>
      <c r="CK842" s="237"/>
      <c r="CL842" s="237"/>
      <c r="CM842" s="237"/>
      <c r="CN842" s="237"/>
      <c r="CO842" s="237"/>
      <c r="CP842" s="237"/>
      <c r="CQ842" s="237"/>
      <c r="CR842" s="237"/>
      <c r="CS842" s="237"/>
      <c r="CT842" s="237"/>
      <c r="CU842" s="237"/>
      <c r="CV842" s="237"/>
      <c r="CW842" s="237"/>
      <c r="CX842" s="237"/>
      <c r="CY842" s="237"/>
      <c r="CZ842" s="237"/>
      <c r="DA842" s="237"/>
      <c r="DB842" s="237"/>
      <c r="DC842" s="237"/>
      <c r="DD842" s="237"/>
      <c r="DE842" s="237"/>
      <c r="DF842" s="237"/>
      <c r="DG842" s="237"/>
      <c r="DH842" s="237"/>
      <c r="DI842" s="237"/>
      <c r="DJ842" s="237"/>
      <c r="DK842" s="237"/>
      <c r="DL842" s="237"/>
      <c r="DM842" s="237"/>
      <c r="DN842" s="237"/>
      <c r="DO842" s="237"/>
      <c r="DP842" s="237"/>
      <c r="DQ842" s="237"/>
      <c r="DR842" s="237"/>
      <c r="DS842" s="237"/>
      <c r="DT842" s="237"/>
      <c r="DU842" s="237"/>
      <c r="DV842" s="237"/>
      <c r="DW842" s="237"/>
      <c r="DX842" s="237"/>
      <c r="DY842" s="237"/>
      <c r="DZ842" s="237"/>
      <c r="EA842" s="237"/>
      <c r="EB842" s="237"/>
      <c r="EC842" s="237"/>
      <c r="ED842" s="237"/>
      <c r="EE842" s="237"/>
      <c r="EF842" s="237"/>
      <c r="EG842" s="237"/>
      <c r="EH842" s="237"/>
      <c r="EI842" s="237"/>
      <c r="EJ842" s="237"/>
      <c r="EK842" s="237"/>
      <c r="EL842" s="237"/>
      <c r="EM842" s="237"/>
      <c r="EN842" s="237"/>
      <c r="EO842" s="237"/>
      <c r="EP842" s="237"/>
      <c r="EQ842" s="237"/>
      <c r="ER842" s="237"/>
      <c r="ES842" s="9"/>
      <c r="ET842" s="9"/>
      <c r="EU842" s="9"/>
      <c r="EV842" s="9"/>
      <c r="EW842" s="9"/>
      <c r="EX842" s="9"/>
      <c r="EY842" s="9"/>
      <c r="EZ842" s="9"/>
      <c r="FA842" s="9"/>
      <c r="FB842" s="9"/>
      <c r="FC842" s="9"/>
      <c r="FD842" s="9"/>
      <c r="FE842" s="9"/>
      <c r="FF842" s="9"/>
      <c r="FG842" s="9"/>
      <c r="FH842" s="9"/>
      <c r="FI842" s="9"/>
      <c r="FJ842" s="9"/>
      <c r="FK842" s="9"/>
      <c r="FL842" s="9"/>
      <c r="FM842" s="9"/>
      <c r="FN842" s="9"/>
      <c r="FO842" s="9"/>
      <c r="FP842" s="9"/>
    </row>
    <row r="843" customFormat="false" ht="15" hidden="false" customHeight="false" outlineLevel="2" collapsed="false">
      <c r="B843" s="21" t="s">
        <v>957</v>
      </c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  <c r="AP843" s="21"/>
      <c r="AQ843" s="21"/>
      <c r="AR843" s="21"/>
      <c r="AS843" s="21"/>
      <c r="AT843" s="21"/>
      <c r="AU843" s="21"/>
      <c r="AV843" s="21"/>
      <c r="AW843" s="21"/>
      <c r="AX843" s="21"/>
      <c r="AY843" s="21"/>
      <c r="AZ843" s="21"/>
      <c r="BA843" s="21"/>
      <c r="BB843" s="21"/>
      <c r="BC843" s="21"/>
      <c r="BD843" s="21"/>
      <c r="BE843" s="21"/>
      <c r="BF843" s="21"/>
      <c r="BG843" s="21"/>
      <c r="BH843" s="21"/>
      <c r="BI843" s="21"/>
      <c r="BJ843" s="21"/>
      <c r="BK843" s="21"/>
      <c r="BL843" s="21"/>
      <c r="BM843" s="21"/>
      <c r="BN843" s="21"/>
      <c r="BO843" s="21"/>
      <c r="BP843" s="21"/>
      <c r="BQ843" s="21"/>
      <c r="BR843" s="21"/>
      <c r="BS843" s="21"/>
      <c r="BT843" s="21"/>
      <c r="BU843" s="21"/>
      <c r="BV843" s="21"/>
      <c r="BW843" s="21"/>
      <c r="BX843" s="21"/>
      <c r="BY843" s="21"/>
      <c r="BZ843" s="21"/>
      <c r="CA843" s="21"/>
      <c r="CB843" s="21"/>
      <c r="CC843" s="21"/>
      <c r="CD843" s="21"/>
      <c r="CE843" s="21"/>
      <c r="CF843" s="21"/>
      <c r="CG843" s="21"/>
      <c r="CH843" s="21"/>
      <c r="CI843" s="21"/>
      <c r="CJ843" s="21"/>
      <c r="CK843" s="21"/>
      <c r="CL843" s="21"/>
      <c r="CM843" s="21"/>
      <c r="CN843" s="21"/>
      <c r="CO843" s="21"/>
      <c r="CP843" s="21"/>
      <c r="CQ843" s="21"/>
      <c r="CR843" s="21"/>
      <c r="CS843" s="21"/>
      <c r="CT843" s="21"/>
      <c r="CU843" s="21"/>
      <c r="CV843" s="21"/>
      <c r="CW843" s="21"/>
      <c r="CX843" s="21"/>
      <c r="CY843" s="21"/>
      <c r="CZ843" s="21"/>
      <c r="DA843" s="21"/>
      <c r="DB843" s="21"/>
      <c r="DC843" s="21"/>
      <c r="DD843" s="21"/>
      <c r="DE843" s="21"/>
      <c r="DF843" s="21"/>
      <c r="DG843" s="21"/>
      <c r="DH843" s="21"/>
      <c r="DI843" s="21"/>
      <c r="DJ843" s="21"/>
      <c r="DK843" s="21"/>
      <c r="DL843" s="21"/>
      <c r="DM843" s="21"/>
      <c r="DN843" s="21"/>
      <c r="DO843" s="21"/>
      <c r="DP843" s="21"/>
      <c r="DQ843" s="21"/>
      <c r="DR843" s="21"/>
      <c r="DS843" s="21"/>
      <c r="DT843" s="21"/>
      <c r="DU843" s="21"/>
      <c r="DV843" s="21"/>
      <c r="DW843" s="21"/>
      <c r="DX843" s="21"/>
      <c r="DY843" s="21"/>
      <c r="DZ843" s="21"/>
      <c r="EA843" s="21"/>
      <c r="EB843" s="21"/>
      <c r="EC843" s="21"/>
      <c r="ED843" s="21"/>
      <c r="EE843" s="21"/>
      <c r="EF843" s="21"/>
      <c r="EG843" s="21"/>
      <c r="EH843" s="21"/>
      <c r="EI843" s="21"/>
      <c r="EJ843" s="21"/>
      <c r="EK843" s="21"/>
      <c r="EL843" s="21"/>
      <c r="EM843" s="21"/>
      <c r="EN843" s="21"/>
      <c r="EO843" s="21"/>
      <c r="EP843" s="21"/>
      <c r="EQ843" s="21"/>
      <c r="ER843" s="21"/>
      <c r="ES843" s="9"/>
      <c r="ET843" s="9"/>
      <c r="EU843" s="9"/>
      <c r="EV843" s="9"/>
      <c r="EW843" s="9"/>
      <c r="EX843" s="9"/>
      <c r="EY843" s="9"/>
      <c r="EZ843" s="9"/>
      <c r="FA843" s="9"/>
      <c r="FB843" s="9"/>
      <c r="FC843" s="9"/>
      <c r="FD843" s="9"/>
      <c r="FE843" s="9"/>
      <c r="FF843" s="9"/>
      <c r="FG843" s="9"/>
      <c r="FH843" s="9"/>
      <c r="FI843" s="9"/>
      <c r="FJ843" s="9"/>
      <c r="FK843" s="9"/>
      <c r="FL843" s="9"/>
      <c r="FM843" s="9"/>
      <c r="FN843" s="9"/>
      <c r="FO843" s="9"/>
      <c r="FP843" s="9"/>
    </row>
    <row r="844" customFormat="false" ht="15" hidden="false" customHeight="false" outlineLevel="2" collapsed="false">
      <c r="B844" s="9" t="s">
        <v>872</v>
      </c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234" t="n">
        <f aca="false">('⑫ Roll-out Plan'!G89-2025)*12+'⑫ Roll-out Plan'!F89</f>
        <v>137</v>
      </c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9"/>
      <c r="CN844" s="9"/>
      <c r="CO844" s="9"/>
      <c r="CP844" s="9"/>
      <c r="CQ844" s="9"/>
      <c r="CR844" s="9"/>
      <c r="CS844" s="9"/>
      <c r="CT844" s="9"/>
      <c r="CU844" s="9"/>
      <c r="CV844" s="9"/>
      <c r="CW844" s="9"/>
      <c r="CX844" s="9"/>
      <c r="CY844" s="9"/>
      <c r="CZ844" s="9"/>
      <c r="DA844" s="9"/>
      <c r="DB844" s="9"/>
      <c r="DC844" s="9"/>
      <c r="DD844" s="9"/>
      <c r="DE844" s="9"/>
      <c r="DF844" s="9"/>
      <c r="DG844" s="9"/>
      <c r="DH844" s="9"/>
      <c r="DI844" s="9"/>
      <c r="DJ844" s="9"/>
      <c r="DK844" s="9"/>
      <c r="DL844" s="9"/>
      <c r="DM844" s="9"/>
      <c r="DN844" s="9"/>
      <c r="DO844" s="9"/>
      <c r="DP844" s="9"/>
      <c r="DQ844" s="9"/>
      <c r="DR844" s="9"/>
      <c r="DS844" s="9"/>
      <c r="DT844" s="9"/>
      <c r="DU844" s="9"/>
      <c r="DV844" s="9"/>
      <c r="DW844" s="9"/>
      <c r="DX844" s="9"/>
      <c r="DY844" s="9"/>
      <c r="DZ844" s="9"/>
      <c r="EA844" s="9"/>
      <c r="EB844" s="9"/>
      <c r="EC844" s="9"/>
      <c r="ED844" s="9"/>
      <c r="EE844" s="9"/>
      <c r="EF844" s="9"/>
      <c r="EG844" s="9"/>
      <c r="EH844" s="9"/>
      <c r="EI844" s="9"/>
      <c r="EJ844" s="9"/>
      <c r="EK844" s="9"/>
      <c r="EL844" s="9"/>
      <c r="EM844" s="9"/>
      <c r="EN844" s="9"/>
      <c r="EO844" s="9"/>
      <c r="EP844" s="9"/>
      <c r="EQ844" s="9"/>
      <c r="ER844" s="9"/>
      <c r="ES844" s="9"/>
      <c r="ET844" s="9"/>
      <c r="EU844" s="9"/>
      <c r="EV844" s="9"/>
      <c r="EW844" s="9"/>
      <c r="EX844" s="9"/>
      <c r="EY844" s="9"/>
      <c r="EZ844" s="9"/>
      <c r="FA844" s="9"/>
      <c r="FB844" s="9"/>
      <c r="FC844" s="9"/>
      <c r="FD844" s="9"/>
      <c r="FE844" s="9"/>
      <c r="FF844" s="9"/>
      <c r="FG844" s="9"/>
      <c r="FH844" s="9"/>
      <c r="FI844" s="9"/>
      <c r="FJ844" s="9"/>
      <c r="FK844" s="9"/>
      <c r="FL844" s="9"/>
      <c r="FM844" s="9"/>
      <c r="FN844" s="9"/>
      <c r="FO844" s="9"/>
      <c r="FP844" s="9"/>
    </row>
    <row r="845" customFormat="false" ht="15" hidden="false" customHeight="false" outlineLevel="2" collapsed="false">
      <c r="B845" s="9" t="s">
        <v>873</v>
      </c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235" t="n">
        <f aca="false">VLOOKUP("B",$B$14:$C$18,2,FALSE())</f>
        <v>185</v>
      </c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  <c r="CA845" s="9"/>
      <c r="CB845" s="9"/>
      <c r="CC845" s="9"/>
      <c r="CD845" s="9"/>
      <c r="CE845" s="9"/>
      <c r="CF845" s="9"/>
      <c r="CG845" s="9"/>
      <c r="CH845" s="9"/>
      <c r="CI845" s="9"/>
      <c r="CJ845" s="9"/>
      <c r="CK845" s="9"/>
      <c r="CL845" s="9"/>
      <c r="CM845" s="9"/>
      <c r="CN845" s="9"/>
      <c r="CO845" s="9"/>
      <c r="CP845" s="9"/>
      <c r="CQ845" s="9"/>
      <c r="CR845" s="9"/>
      <c r="CS845" s="9"/>
      <c r="CT845" s="9"/>
      <c r="CU845" s="9"/>
      <c r="CV845" s="9"/>
      <c r="CW845" s="9"/>
      <c r="CX845" s="9"/>
      <c r="CY845" s="9"/>
      <c r="CZ845" s="9"/>
      <c r="DA845" s="9"/>
      <c r="DB845" s="9"/>
      <c r="DC845" s="9"/>
      <c r="DD845" s="9"/>
      <c r="DE845" s="9"/>
      <c r="DF845" s="9"/>
      <c r="DG845" s="9"/>
      <c r="DH845" s="9"/>
      <c r="DI845" s="9"/>
      <c r="DJ845" s="9"/>
      <c r="DK845" s="9"/>
      <c r="DL845" s="9"/>
      <c r="DM845" s="9"/>
      <c r="DN845" s="9"/>
      <c r="DO845" s="9"/>
      <c r="DP845" s="9"/>
      <c r="DQ845" s="9"/>
      <c r="DR845" s="9"/>
      <c r="DS845" s="9"/>
      <c r="DT845" s="9"/>
      <c r="DU845" s="9"/>
      <c r="DV845" s="9"/>
      <c r="DW845" s="9"/>
      <c r="DX845" s="9"/>
      <c r="DY845" s="9"/>
      <c r="DZ845" s="9"/>
      <c r="EA845" s="9"/>
      <c r="EB845" s="9"/>
      <c r="EC845" s="9"/>
      <c r="ED845" s="9"/>
      <c r="EE845" s="9"/>
      <c r="EF845" s="9"/>
      <c r="EG845" s="9"/>
      <c r="EH845" s="9"/>
      <c r="EI845" s="9"/>
      <c r="EJ845" s="9"/>
      <c r="EK845" s="9"/>
      <c r="EL845" s="9"/>
      <c r="EM845" s="9"/>
      <c r="EN845" s="9"/>
      <c r="EO845" s="9"/>
      <c r="EP845" s="9"/>
      <c r="EQ845" s="9"/>
      <c r="ER845" s="9"/>
      <c r="ES845" s="9"/>
      <c r="ET845" s="9"/>
      <c r="EU845" s="9"/>
      <c r="EV845" s="9"/>
      <c r="EW845" s="9"/>
      <c r="EX845" s="9"/>
      <c r="EY845" s="9"/>
      <c r="EZ845" s="9"/>
      <c r="FA845" s="9"/>
      <c r="FB845" s="9"/>
      <c r="FC845" s="9"/>
      <c r="FD845" s="9"/>
      <c r="FE845" s="9"/>
      <c r="FF845" s="9"/>
      <c r="FG845" s="9"/>
      <c r="FH845" s="9"/>
      <c r="FI845" s="9"/>
      <c r="FJ845" s="9"/>
      <c r="FK845" s="9"/>
      <c r="FL845" s="9"/>
      <c r="FM845" s="9"/>
      <c r="FN845" s="9"/>
      <c r="FO845" s="9"/>
      <c r="FP845" s="9"/>
    </row>
    <row r="846" customFormat="false" ht="15" hidden="false" customHeight="false" outlineLevel="2" collapsed="false">
      <c r="B846" s="9" t="s">
        <v>799</v>
      </c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63" t="n">
        <f aca="false">IF(AC$35&gt;=$AC$844,AC$35-$AC$844+1,0)</f>
        <v>0</v>
      </c>
      <c r="AD846" s="63" t="n">
        <f aca="false">IF(AD$35&gt;=$AC$844,AD$35-$AC$844+1,0)</f>
        <v>0</v>
      </c>
      <c r="AE846" s="63" t="n">
        <f aca="false">IF(AE$35&gt;=$AC$844,AE$35-$AC$844+1,0)</f>
        <v>0</v>
      </c>
      <c r="AF846" s="63" t="n">
        <f aca="false">IF(AF$35&gt;=$AC$844,AF$35-$AC$844+1,0)</f>
        <v>0</v>
      </c>
      <c r="AG846" s="63" t="n">
        <f aca="false">IF(AG$35&gt;=$AC$844,AG$35-$AC$844+1,0)</f>
        <v>0</v>
      </c>
      <c r="AH846" s="63" t="n">
        <f aca="false">IF(AH$35&gt;=$AC$844,AH$35-$AC$844+1,0)</f>
        <v>0</v>
      </c>
      <c r="AI846" s="63" t="n">
        <f aca="false">IF(AI$35&gt;=$AC$844,AI$35-$AC$844+1,0)</f>
        <v>0</v>
      </c>
      <c r="AJ846" s="63" t="n">
        <f aca="false">IF(AJ$35&gt;=$AC$844,AJ$35-$AC$844+1,0)</f>
        <v>0</v>
      </c>
      <c r="AK846" s="63" t="n">
        <f aca="false">IF(AK$35&gt;=$AC$844,AK$35-$AC$844+1,0)</f>
        <v>0</v>
      </c>
      <c r="AL846" s="63" t="n">
        <f aca="false">IF(AL$35&gt;=$AC$844,AL$35-$AC$844+1,0)</f>
        <v>0</v>
      </c>
      <c r="AM846" s="63" t="n">
        <f aca="false">IF(AM$35&gt;=$AC$844,AM$35-$AC$844+1,0)</f>
        <v>0</v>
      </c>
      <c r="AN846" s="63" t="n">
        <f aca="false">IF(AN$35&gt;=$AC$844,AN$35-$AC$844+1,0)</f>
        <v>0</v>
      </c>
      <c r="AO846" s="63" t="n">
        <f aca="false">IF(AO$35&gt;=$AC$844,AO$35-$AC$844+1,0)</f>
        <v>0</v>
      </c>
      <c r="AP846" s="63" t="n">
        <f aca="false">IF(AP$35&gt;=$AC$844,AP$35-$AC$844+1,0)</f>
        <v>0</v>
      </c>
      <c r="AQ846" s="63" t="n">
        <f aca="false">IF(AQ$35&gt;=$AC$844,AQ$35-$AC$844+1,0)</f>
        <v>0</v>
      </c>
      <c r="AR846" s="63" t="n">
        <f aca="false">IF(AR$35&gt;=$AC$844,AR$35-$AC$844+1,0)</f>
        <v>0</v>
      </c>
      <c r="AS846" s="63" t="n">
        <f aca="false">IF(AS$35&gt;=$AC$844,AS$35-$AC$844+1,0)</f>
        <v>0</v>
      </c>
      <c r="AT846" s="63" t="n">
        <f aca="false">IF(AT$35&gt;=$AC$844,AT$35-$AC$844+1,0)</f>
        <v>0</v>
      </c>
      <c r="AU846" s="63" t="n">
        <f aca="false">IF(AU$35&gt;=$AC$844,AU$35-$AC$844+1,0)</f>
        <v>0</v>
      </c>
      <c r="AV846" s="63" t="n">
        <f aca="false">IF(AV$35&gt;=$AC$844,AV$35-$AC$844+1,0)</f>
        <v>0</v>
      </c>
      <c r="AW846" s="63" t="n">
        <f aca="false">IF(AW$35&gt;=$AC$844,AW$35-$AC$844+1,0)</f>
        <v>0</v>
      </c>
      <c r="AX846" s="63" t="n">
        <f aca="false">IF(AX$35&gt;=$AC$844,AX$35-$AC$844+1,0)</f>
        <v>0</v>
      </c>
      <c r="AY846" s="63" t="n">
        <f aca="false">IF(AY$35&gt;=$AC$844,AY$35-$AC$844+1,0)</f>
        <v>0</v>
      </c>
      <c r="AZ846" s="63" t="n">
        <f aca="false">IF(AZ$35&gt;=$AC$844,AZ$35-$AC$844+1,0)</f>
        <v>0</v>
      </c>
      <c r="BA846" s="63" t="n">
        <f aca="false">IF(BA$35&gt;=$AC$844,BA$35-$AC$844+1,0)</f>
        <v>0</v>
      </c>
      <c r="BB846" s="63" t="n">
        <f aca="false">IF(BB$35&gt;=$AC$844,BB$35-$AC$844+1,0)</f>
        <v>0</v>
      </c>
      <c r="BC846" s="63" t="n">
        <f aca="false">IF(BC$35&gt;=$AC$844,BC$35-$AC$844+1,0)</f>
        <v>0</v>
      </c>
      <c r="BD846" s="63" t="n">
        <f aca="false">IF(BD$35&gt;=$AC$844,BD$35-$AC$844+1,0)</f>
        <v>0</v>
      </c>
      <c r="BE846" s="63" t="n">
        <f aca="false">IF(BE$35&gt;=$AC$844,BE$35-$AC$844+1,0)</f>
        <v>0</v>
      </c>
      <c r="BF846" s="63" t="n">
        <f aca="false">IF(BF$35&gt;=$AC$844,BF$35-$AC$844+1,0)</f>
        <v>0</v>
      </c>
      <c r="BG846" s="63" t="n">
        <f aca="false">IF(BG$35&gt;=$AC$844,BG$35-$AC$844+1,0)</f>
        <v>0</v>
      </c>
      <c r="BH846" s="63" t="n">
        <f aca="false">IF(BH$35&gt;=$AC$844,BH$35-$AC$844+1,0)</f>
        <v>0</v>
      </c>
      <c r="BI846" s="63" t="n">
        <f aca="false">IF(BI$35&gt;=$AC$844,BI$35-$AC$844+1,0)</f>
        <v>0</v>
      </c>
      <c r="BJ846" s="63" t="n">
        <f aca="false">IF(BJ$35&gt;=$AC$844,BJ$35-$AC$844+1,0)</f>
        <v>0</v>
      </c>
      <c r="BK846" s="63" t="n">
        <f aca="false">IF(BK$35&gt;=$AC$844,BK$35-$AC$844+1,0)</f>
        <v>0</v>
      </c>
      <c r="BL846" s="63" t="n">
        <f aca="false">IF(BL$35&gt;=$AC$844,BL$35-$AC$844+1,0)</f>
        <v>0</v>
      </c>
      <c r="BM846" s="63" t="n">
        <f aca="false">IF(BM$35&gt;=$AC$844,BM$35-$AC$844+1,0)</f>
        <v>0</v>
      </c>
      <c r="BN846" s="63" t="n">
        <f aca="false">IF(BN$35&gt;=$AC$844,BN$35-$AC$844+1,0)</f>
        <v>0</v>
      </c>
      <c r="BO846" s="63" t="n">
        <f aca="false">IF(BO$35&gt;=$AC$844,BO$35-$AC$844+1,0)</f>
        <v>0</v>
      </c>
      <c r="BP846" s="63" t="n">
        <f aca="false">IF(BP$35&gt;=$AC$844,BP$35-$AC$844+1,0)</f>
        <v>0</v>
      </c>
      <c r="BQ846" s="63" t="n">
        <f aca="false">IF(BQ$35&gt;=$AC$844,BQ$35-$AC$844+1,0)</f>
        <v>0</v>
      </c>
      <c r="BR846" s="63" t="n">
        <f aca="false">IF(BR$35&gt;=$AC$844,BR$35-$AC$844+1,0)</f>
        <v>0</v>
      </c>
      <c r="BS846" s="63" t="n">
        <f aca="false">IF(BS$35&gt;=$AC$844,BS$35-$AC$844+1,0)</f>
        <v>0</v>
      </c>
      <c r="BT846" s="63" t="n">
        <f aca="false">IF(BT$35&gt;=$AC$844,BT$35-$AC$844+1,0)</f>
        <v>0</v>
      </c>
      <c r="BU846" s="63" t="n">
        <f aca="false">IF(BU$35&gt;=$AC$844,BU$35-$AC$844+1,0)</f>
        <v>0</v>
      </c>
      <c r="BV846" s="63" t="n">
        <f aca="false">IF(BV$35&gt;=$AC$844,BV$35-$AC$844+1,0)</f>
        <v>0</v>
      </c>
      <c r="BW846" s="63" t="n">
        <f aca="false">IF(BW$35&gt;=$AC$844,BW$35-$AC$844+1,0)</f>
        <v>0</v>
      </c>
      <c r="BX846" s="63" t="n">
        <f aca="false">IF(BX$35&gt;=$AC$844,BX$35-$AC$844+1,0)</f>
        <v>0</v>
      </c>
      <c r="BY846" s="63" t="n">
        <f aca="false">IF(BY$35&gt;=$AC$844,BY$35-$AC$844+1,0)</f>
        <v>0</v>
      </c>
      <c r="BZ846" s="63" t="n">
        <f aca="false">IF(BZ$35&gt;=$AC$844,BZ$35-$AC$844+1,0)</f>
        <v>0</v>
      </c>
      <c r="CA846" s="63" t="n">
        <f aca="false">IF(CA$35&gt;=$AC$844,CA$35-$AC$844+1,0)</f>
        <v>0</v>
      </c>
      <c r="CB846" s="63" t="n">
        <f aca="false">IF(CB$35&gt;=$AC$844,CB$35-$AC$844+1,0)</f>
        <v>0</v>
      </c>
      <c r="CC846" s="63" t="n">
        <f aca="false">IF(CC$35&gt;=$AC$844,CC$35-$AC$844+1,0)</f>
        <v>0</v>
      </c>
      <c r="CD846" s="63" t="n">
        <f aca="false">IF(CD$35&gt;=$AC$844,CD$35-$AC$844+1,0)</f>
        <v>0</v>
      </c>
      <c r="CE846" s="63" t="n">
        <f aca="false">IF(CE$35&gt;=$AC$844,CE$35-$AC$844+1,0)</f>
        <v>0</v>
      </c>
      <c r="CF846" s="63" t="n">
        <f aca="false">IF(CF$35&gt;=$AC$844,CF$35-$AC$844+1,0)</f>
        <v>0</v>
      </c>
      <c r="CG846" s="63" t="n">
        <f aca="false">IF(CG$35&gt;=$AC$844,CG$35-$AC$844+1,0)</f>
        <v>0</v>
      </c>
      <c r="CH846" s="63" t="n">
        <f aca="false">IF(CH$35&gt;=$AC$844,CH$35-$AC$844+1,0)</f>
        <v>0</v>
      </c>
      <c r="CI846" s="63" t="n">
        <f aca="false">IF(CI$35&gt;=$AC$844,CI$35-$AC$844+1,0)</f>
        <v>0</v>
      </c>
      <c r="CJ846" s="63" t="n">
        <f aca="false">IF(CJ$35&gt;=$AC$844,CJ$35-$AC$844+1,0)</f>
        <v>0</v>
      </c>
      <c r="CK846" s="63" t="n">
        <f aca="false">IF(CK$35&gt;=$AC$844,CK$35-$AC$844+1,0)</f>
        <v>0</v>
      </c>
      <c r="CL846" s="63" t="n">
        <f aca="false">IF(CL$35&gt;=$AC$844,CL$35-$AC$844+1,0)</f>
        <v>0</v>
      </c>
      <c r="CM846" s="63" t="n">
        <f aca="false">IF(CM$35&gt;=$AC$844,CM$35-$AC$844+1,0)</f>
        <v>0</v>
      </c>
      <c r="CN846" s="63" t="n">
        <f aca="false">IF(CN$35&gt;=$AC$844,CN$35-$AC$844+1,0)</f>
        <v>0</v>
      </c>
      <c r="CO846" s="63" t="n">
        <f aca="false">IF(CO$35&gt;=$AC$844,CO$35-$AC$844+1,0)</f>
        <v>0</v>
      </c>
      <c r="CP846" s="63" t="n">
        <f aca="false">IF(CP$35&gt;=$AC$844,CP$35-$AC$844+1,0)</f>
        <v>0</v>
      </c>
      <c r="CQ846" s="63" t="n">
        <f aca="false">IF(CQ$35&gt;=$AC$844,CQ$35-$AC$844+1,0)</f>
        <v>0</v>
      </c>
      <c r="CR846" s="63" t="n">
        <f aca="false">IF(CR$35&gt;=$AC$844,CR$35-$AC$844+1,0)</f>
        <v>0</v>
      </c>
      <c r="CS846" s="63" t="n">
        <f aca="false">IF(CS$35&gt;=$AC$844,CS$35-$AC$844+1,0)</f>
        <v>0</v>
      </c>
      <c r="CT846" s="63" t="n">
        <f aca="false">IF(CT$35&gt;=$AC$844,CT$35-$AC$844+1,0)</f>
        <v>0</v>
      </c>
      <c r="CU846" s="63" t="n">
        <f aca="false">IF(CU$35&gt;=$AC$844,CU$35-$AC$844+1,0)</f>
        <v>0</v>
      </c>
      <c r="CV846" s="63" t="n">
        <f aca="false">IF(CV$35&gt;=$AC$844,CV$35-$AC$844+1,0)</f>
        <v>0</v>
      </c>
      <c r="CW846" s="63" t="n">
        <f aca="false">IF(CW$35&gt;=$AC$844,CW$35-$AC$844+1,0)</f>
        <v>0</v>
      </c>
      <c r="CX846" s="63" t="n">
        <f aca="false">IF(CX$35&gt;=$AC$844,CX$35-$AC$844+1,0)</f>
        <v>0</v>
      </c>
      <c r="CY846" s="63" t="n">
        <f aca="false">IF(CY$35&gt;=$AC$844,CY$35-$AC$844+1,0)</f>
        <v>0</v>
      </c>
      <c r="CZ846" s="63" t="n">
        <f aca="false">IF(CZ$35&gt;=$AC$844,CZ$35-$AC$844+1,0)</f>
        <v>0</v>
      </c>
      <c r="DA846" s="63" t="n">
        <f aca="false">IF(DA$35&gt;=$AC$844,DA$35-$AC$844+1,0)</f>
        <v>0</v>
      </c>
      <c r="DB846" s="63" t="n">
        <f aca="false">IF(DB$35&gt;=$AC$844,DB$35-$AC$844+1,0)</f>
        <v>0</v>
      </c>
      <c r="DC846" s="63" t="n">
        <f aca="false">IF(DC$35&gt;=$AC$844,DC$35-$AC$844+1,0)</f>
        <v>0</v>
      </c>
      <c r="DD846" s="63" t="n">
        <f aca="false">IF(DD$35&gt;=$AC$844,DD$35-$AC$844+1,0)</f>
        <v>0</v>
      </c>
      <c r="DE846" s="63" t="n">
        <f aca="false">IF(DE$35&gt;=$AC$844,DE$35-$AC$844+1,0)</f>
        <v>0</v>
      </c>
      <c r="DF846" s="63" t="n">
        <f aca="false">IF(DF$35&gt;=$AC$844,DF$35-$AC$844+1,0)</f>
        <v>0</v>
      </c>
      <c r="DG846" s="63" t="n">
        <f aca="false">IF(DG$35&gt;=$AC$844,DG$35-$AC$844+1,0)</f>
        <v>0</v>
      </c>
      <c r="DH846" s="63" t="n">
        <f aca="false">IF(DH$35&gt;=$AC$844,DH$35-$AC$844+1,0)</f>
        <v>0</v>
      </c>
      <c r="DI846" s="63" t="n">
        <f aca="false">IF(DI$35&gt;=$AC$844,DI$35-$AC$844+1,0)</f>
        <v>0</v>
      </c>
      <c r="DJ846" s="63" t="n">
        <f aca="false">IF(DJ$35&gt;=$AC$844,DJ$35-$AC$844+1,0)</f>
        <v>0</v>
      </c>
      <c r="DK846" s="63" t="n">
        <f aca="false">IF(DK$35&gt;=$AC$844,DK$35-$AC$844+1,0)</f>
        <v>0</v>
      </c>
      <c r="DL846" s="63" t="n">
        <f aca="false">IF(DL$35&gt;=$AC$844,DL$35-$AC$844+1,0)</f>
        <v>0</v>
      </c>
      <c r="DM846" s="63" t="n">
        <f aca="false">IF(DM$35&gt;=$AC$844,DM$35-$AC$844+1,0)</f>
        <v>0</v>
      </c>
      <c r="DN846" s="63" t="n">
        <f aca="false">IF(DN$35&gt;=$AC$844,DN$35-$AC$844+1,0)</f>
        <v>0</v>
      </c>
      <c r="DO846" s="63" t="n">
        <f aca="false">IF(DO$35&gt;=$AC$844,DO$35-$AC$844+1,0)</f>
        <v>0</v>
      </c>
      <c r="DP846" s="63" t="n">
        <f aca="false">IF(DP$35&gt;=$AC$844,DP$35-$AC$844+1,0)</f>
        <v>0</v>
      </c>
      <c r="DQ846" s="63" t="n">
        <f aca="false">IF(DQ$35&gt;=$AC$844,DQ$35-$AC$844+1,0)</f>
        <v>0</v>
      </c>
      <c r="DR846" s="63" t="n">
        <f aca="false">IF(DR$35&gt;=$AC$844,DR$35-$AC$844+1,0)</f>
        <v>0</v>
      </c>
      <c r="DS846" s="63" t="n">
        <f aca="false">IF(DS$35&gt;=$AC$844,DS$35-$AC$844+1,0)</f>
        <v>0</v>
      </c>
      <c r="DT846" s="63" t="n">
        <f aca="false">IF(DT$35&gt;=$AC$844,DT$35-$AC$844+1,0)</f>
        <v>0</v>
      </c>
      <c r="DU846" s="63" t="n">
        <f aca="false">IF(DU$35&gt;=$AC$844,DU$35-$AC$844+1,0)</f>
        <v>0</v>
      </c>
      <c r="DV846" s="63" t="n">
        <f aca="false">IF(DV$35&gt;=$AC$844,DV$35-$AC$844+1,0)</f>
        <v>0</v>
      </c>
      <c r="DW846" s="63" t="n">
        <f aca="false">IF(DW$35&gt;=$AC$844,DW$35-$AC$844+1,0)</f>
        <v>0</v>
      </c>
      <c r="DX846" s="63" t="n">
        <f aca="false">IF(DX$35&gt;=$AC$844,DX$35-$AC$844+1,0)</f>
        <v>0</v>
      </c>
      <c r="DY846" s="63" t="n">
        <f aca="false">IF(DY$35&gt;=$AC$844,DY$35-$AC$844+1,0)</f>
        <v>0</v>
      </c>
      <c r="DZ846" s="63" t="n">
        <f aca="false">IF(DZ$35&gt;=$AC$844,DZ$35-$AC$844+1,0)</f>
        <v>0</v>
      </c>
      <c r="EA846" s="63" t="n">
        <f aca="false">IF(EA$35&gt;=$AC$844,EA$35-$AC$844+1,0)</f>
        <v>0</v>
      </c>
      <c r="EB846" s="63" t="n">
        <f aca="false">IF(EB$35&gt;=$AC$844,EB$35-$AC$844+1,0)</f>
        <v>0</v>
      </c>
      <c r="EC846" s="63" t="n">
        <f aca="false">IF(EC$35&gt;=$AC$844,EC$35-$AC$844+1,0)</f>
        <v>0</v>
      </c>
      <c r="ED846" s="63" t="n">
        <f aca="false">IF(ED$35&gt;=$AC$844,ED$35-$AC$844+1,0)</f>
        <v>0</v>
      </c>
      <c r="EE846" s="63" t="n">
        <f aca="false">IF(EE$35&gt;=$AC$844,EE$35-$AC$844+1,0)</f>
        <v>0</v>
      </c>
      <c r="EF846" s="63" t="n">
        <f aca="false">IF(EF$35&gt;=$AC$844,EF$35-$AC$844+1,0)</f>
        <v>0</v>
      </c>
      <c r="EG846" s="63" t="n">
        <f aca="false">IF(EG$35&gt;=$AC$844,EG$35-$AC$844+1,0)</f>
        <v>0</v>
      </c>
      <c r="EH846" s="63" t="n">
        <f aca="false">IF(EH$35&gt;=$AC$844,EH$35-$AC$844+1,0)</f>
        <v>0</v>
      </c>
      <c r="EI846" s="63" t="n">
        <f aca="false">IF(EI$35&gt;=$AC$844,EI$35-$AC$844+1,0)</f>
        <v>0</v>
      </c>
      <c r="EJ846" s="63" t="n">
        <f aca="false">IF(EJ$35&gt;=$AC$844,EJ$35-$AC$844+1,0)</f>
        <v>0</v>
      </c>
      <c r="EK846" s="63" t="n">
        <f aca="false">IF(EK$35&gt;=$AC$844,EK$35-$AC$844+1,0)</f>
        <v>0</v>
      </c>
      <c r="EL846" s="63" t="n">
        <f aca="false">IF(EL$35&gt;=$AC$844,EL$35-$AC$844+1,0)</f>
        <v>0</v>
      </c>
      <c r="EM846" s="63" t="n">
        <f aca="false">IF(EM$35&gt;=$AC$844,EM$35-$AC$844+1,0)</f>
        <v>0</v>
      </c>
      <c r="EN846" s="63" t="n">
        <f aca="false">IF(EN$35&gt;=$AC$844,EN$35-$AC$844+1,0)</f>
        <v>0</v>
      </c>
      <c r="EO846" s="63" t="n">
        <f aca="false">IF(EO$35&gt;=$AC$844,EO$35-$AC$844+1,0)</f>
        <v>0</v>
      </c>
      <c r="EP846" s="63" t="n">
        <f aca="false">IF(EP$35&gt;=$AC$844,EP$35-$AC$844+1,0)</f>
        <v>0</v>
      </c>
      <c r="EQ846" s="63" t="n">
        <f aca="false">IF(EQ$35&gt;=$AC$844,EQ$35-$AC$844+1,0)</f>
        <v>0</v>
      </c>
      <c r="ER846" s="63" t="n">
        <f aca="false">IF(ER$35&gt;=$AC$844,ER$35-$AC$844+1,0)</f>
        <v>0</v>
      </c>
      <c r="ES846" s="9" t="n">
        <f aca="false">IF(ES$35&gt;=$AC$844,ES$35-$AC$844+1,0)</f>
        <v>0</v>
      </c>
      <c r="ET846" s="9" t="n">
        <f aca="false">IF(ET$35&gt;=$AC$844,ET$35-$AC$844+1,0)</f>
        <v>0</v>
      </c>
      <c r="EU846" s="9" t="n">
        <f aca="false">IF(EU$35&gt;=$AC$844,EU$35-$AC$844+1,0)</f>
        <v>0</v>
      </c>
      <c r="EV846" s="9" t="n">
        <f aca="false">IF(EV$35&gt;=$AC$844,EV$35-$AC$844+1,0)</f>
        <v>0</v>
      </c>
      <c r="EW846" s="9" t="n">
        <f aca="false">IF(EW$35&gt;=$AC$844,EW$35-$AC$844+1,0)</f>
        <v>0</v>
      </c>
      <c r="EX846" s="9" t="n">
        <f aca="false">IF(EX$35&gt;=$AC$844,EX$35-$AC$844+1,0)</f>
        <v>0</v>
      </c>
      <c r="EY846" s="9" t="n">
        <f aca="false">IF(EY$35&gt;=$AC$844,EY$35-$AC$844+1,0)</f>
        <v>0</v>
      </c>
      <c r="EZ846" s="9" t="n">
        <f aca="false">IF(EZ$35&gt;=$AC$844,EZ$35-$AC$844+1,0)</f>
        <v>0</v>
      </c>
      <c r="FA846" s="9" t="n">
        <f aca="false">IF(FA$35&gt;=$AC$844,FA$35-$AC$844+1,0)</f>
        <v>0</v>
      </c>
      <c r="FB846" s="9" t="n">
        <f aca="false">IF(FB$35&gt;=$AC$844,FB$35-$AC$844+1,0)</f>
        <v>0</v>
      </c>
      <c r="FC846" s="9" t="n">
        <f aca="false">IF(FC$35&gt;=$AC$844,FC$35-$AC$844+1,0)</f>
        <v>0</v>
      </c>
      <c r="FD846" s="9" t="n">
        <f aca="false">IF(FD$35&gt;=$AC$844,FD$35-$AC$844+1,0)</f>
        <v>0</v>
      </c>
      <c r="FE846" s="9" t="n">
        <f aca="false">IF(FE$35&gt;=$AC$844,FE$35-$AC$844+1,0)</f>
        <v>0</v>
      </c>
      <c r="FF846" s="9" t="n">
        <f aca="false">IF(FF$35&gt;=$AC$844,FF$35-$AC$844+1,0)</f>
        <v>0</v>
      </c>
      <c r="FG846" s="9" t="n">
        <f aca="false">IF(FG$35&gt;=$AC$844,FG$35-$AC$844+1,0)</f>
        <v>0</v>
      </c>
      <c r="FH846" s="9" t="n">
        <f aca="false">IF(FH$35&gt;=$AC$844,FH$35-$AC$844+1,0)</f>
        <v>0</v>
      </c>
      <c r="FI846" s="9" t="n">
        <f aca="false">IF(FI$35&gt;=$AC$844,FI$35-$AC$844+1,0)</f>
        <v>1</v>
      </c>
      <c r="FJ846" s="9" t="n">
        <f aca="false">IF(FJ$35&gt;=$AC$844,FJ$35-$AC$844+1,0)</f>
        <v>2</v>
      </c>
      <c r="FK846" s="9" t="n">
        <f aca="false">IF(FK$35&gt;=$AC$844,FK$35-$AC$844+1,0)</f>
        <v>3</v>
      </c>
      <c r="FL846" s="9" t="n">
        <f aca="false">IF(FL$35&gt;=$AC$844,FL$35-$AC$844+1,0)</f>
        <v>4</v>
      </c>
      <c r="FM846" s="9" t="n">
        <f aca="false">IF(FM$35&gt;=$AC$844,FM$35-$AC$844+1,0)</f>
        <v>5</v>
      </c>
      <c r="FN846" s="9" t="n">
        <f aca="false">IF(FN$35&gt;=$AC$844,FN$35-$AC$844+1,0)</f>
        <v>6</v>
      </c>
      <c r="FO846" s="9" t="n">
        <f aca="false">IF(FO$35&gt;=$AC$844,FO$35-$AC$844+1,0)</f>
        <v>7</v>
      </c>
      <c r="FP846" s="9" t="n">
        <f aca="false">IF(FP$35&gt;=$AC$844,FP$35-$AC$844+1,0)</f>
        <v>8</v>
      </c>
    </row>
    <row r="847" customFormat="false" ht="15" hidden="false" customHeight="false" outlineLevel="2" collapsed="false">
      <c r="B847" s="9" t="s">
        <v>874</v>
      </c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236" t="n">
        <f aca="false" t="array" ref="AC847:AC847">IF(AC846=0,0,IF(AC846/'🎚️ Escenario'!$C$11&gt;=36,$AL$23,INDEX($C$23:$AL$23,MAX(1,ROUNDUP(AC846/'🎚️ Escenario'!$C$11,0)))))</f>
        <v>0</v>
      </c>
      <c r="AD847" s="236" t="n">
        <f aca="false" t="array" ref="AD847:AD847">IF(AD846=0,0,IF(AD846/'🎚️ Escenario'!$C$11&gt;=36,$AL$23,INDEX($C$23:$AL$23,MAX(1,ROUNDUP(AD846/'🎚️ Escenario'!$C$11,0)))))</f>
        <v>0</v>
      </c>
      <c r="AE847" s="236" t="n">
        <f aca="false" t="array" ref="AE847:AE847">IF(AE846=0,0,IF(AE846/'🎚️ Escenario'!$C$11&gt;=36,$AL$23,INDEX($C$23:$AL$23,MAX(1,ROUNDUP(AE846/'🎚️ Escenario'!$C$11,0)))))</f>
        <v>0</v>
      </c>
      <c r="AF847" s="236" t="n">
        <f aca="false" t="array" ref="AF847:AF847">IF(AF846=0,0,IF(AF846/'🎚️ Escenario'!$C$11&gt;=36,$AL$23,INDEX($C$23:$AL$23,MAX(1,ROUNDUP(AF846/'🎚️ Escenario'!$C$11,0)))))</f>
        <v>0</v>
      </c>
      <c r="AG847" s="236" t="n">
        <f aca="false" t="array" ref="AG847:AG847">IF(AG846=0,0,IF(AG846/'🎚️ Escenario'!$C$11&gt;=36,$AL$23,INDEX($C$23:$AL$23,MAX(1,ROUNDUP(AG846/'🎚️ Escenario'!$C$11,0)))))</f>
        <v>0</v>
      </c>
      <c r="AH847" s="236" t="n">
        <f aca="false" t="array" ref="AH847:AH847">IF(AH846=0,0,IF(AH846/'🎚️ Escenario'!$C$11&gt;=36,$AL$23,INDEX($C$23:$AL$23,MAX(1,ROUNDUP(AH846/'🎚️ Escenario'!$C$11,0)))))</f>
        <v>0</v>
      </c>
      <c r="AI847" s="236" t="n">
        <f aca="false" t="array" ref="AI847:AI847">IF(AI846=0,0,IF(AI846/'🎚️ Escenario'!$C$11&gt;=36,$AL$23,INDEX($C$23:$AL$23,MAX(1,ROUNDUP(AI846/'🎚️ Escenario'!$C$11,0)))))</f>
        <v>0</v>
      </c>
      <c r="AJ847" s="236" t="n">
        <f aca="false" t="array" ref="AJ847:AJ847">IF(AJ846=0,0,IF(AJ846/'🎚️ Escenario'!$C$11&gt;=36,$AL$23,INDEX($C$23:$AL$23,MAX(1,ROUNDUP(AJ846/'🎚️ Escenario'!$C$11,0)))))</f>
        <v>0</v>
      </c>
      <c r="AK847" s="236" t="n">
        <f aca="false" t="array" ref="AK847:AK847">IF(AK846=0,0,IF(AK846/'🎚️ Escenario'!$C$11&gt;=36,$AL$23,INDEX($C$23:$AL$23,MAX(1,ROUNDUP(AK846/'🎚️ Escenario'!$C$11,0)))))</f>
        <v>0</v>
      </c>
      <c r="AL847" s="236" t="n">
        <f aca="false" t="array" ref="AL847:AL847">IF(AL846=0,0,IF(AL846/'🎚️ Escenario'!$C$11&gt;=36,$AL$23,INDEX($C$23:$AL$23,MAX(1,ROUNDUP(AL846/'🎚️ Escenario'!$C$11,0)))))</f>
        <v>0</v>
      </c>
      <c r="AM847" s="236" t="n">
        <f aca="false" t="array" ref="AM847:AM847">IF(AM846=0,0,IF(AM846/'🎚️ Escenario'!$C$11&gt;=36,$AL$23,INDEX($C$23:$AL$23,MAX(1,ROUNDUP(AM846/'🎚️ Escenario'!$C$11,0)))))</f>
        <v>0</v>
      </c>
      <c r="AN847" s="236" t="n">
        <f aca="false" t="array" ref="AN847:AN847">IF(AN846=0,0,IF(AN846/'🎚️ Escenario'!$C$11&gt;=36,$AL$23,INDEX($C$23:$AL$23,MAX(1,ROUNDUP(AN846/'🎚️ Escenario'!$C$11,0)))))</f>
        <v>0</v>
      </c>
      <c r="AO847" s="236" t="n">
        <f aca="false" t="array" ref="AO847:AO847">IF(AO846=0,0,IF(AO846/'🎚️ Escenario'!$C$11&gt;=36,$AL$23,INDEX($C$23:$AL$23,MAX(1,ROUNDUP(AO846/'🎚️ Escenario'!$C$11,0)))))</f>
        <v>0</v>
      </c>
      <c r="AP847" s="236" t="n">
        <f aca="false" t="array" ref="AP847:AP847">IF(AP846=0,0,IF(AP846/'🎚️ Escenario'!$C$11&gt;=36,$AL$23,INDEX($C$23:$AL$23,MAX(1,ROUNDUP(AP846/'🎚️ Escenario'!$C$11,0)))))</f>
        <v>0</v>
      </c>
      <c r="AQ847" s="236" t="n">
        <f aca="false" t="array" ref="AQ847:AQ847">IF(AQ846=0,0,IF(AQ846/'🎚️ Escenario'!$C$11&gt;=36,$AL$23,INDEX($C$23:$AL$23,MAX(1,ROUNDUP(AQ846/'🎚️ Escenario'!$C$11,0)))))</f>
        <v>0</v>
      </c>
      <c r="AR847" s="236" t="n">
        <f aca="false" t="array" ref="AR847:AR847">IF(AR846=0,0,IF(AR846/'🎚️ Escenario'!$C$11&gt;=36,$AL$23,INDEX($C$23:$AL$23,MAX(1,ROUNDUP(AR846/'🎚️ Escenario'!$C$11,0)))))</f>
        <v>0</v>
      </c>
      <c r="AS847" s="236" t="n">
        <f aca="false" t="array" ref="AS847:AS847">IF(AS846=0,0,IF(AS846/'🎚️ Escenario'!$C$11&gt;=36,$AL$23,INDEX($C$23:$AL$23,MAX(1,ROUNDUP(AS846/'🎚️ Escenario'!$C$11,0)))))</f>
        <v>0</v>
      </c>
      <c r="AT847" s="236" t="n">
        <f aca="false" t="array" ref="AT847:AT847">IF(AT846=0,0,IF(AT846/'🎚️ Escenario'!$C$11&gt;=36,$AL$23,INDEX($C$23:$AL$23,MAX(1,ROUNDUP(AT846/'🎚️ Escenario'!$C$11,0)))))</f>
        <v>0</v>
      </c>
      <c r="AU847" s="236" t="n">
        <f aca="false" t="array" ref="AU847:AU847">IF(AU846=0,0,IF(AU846/'🎚️ Escenario'!$C$11&gt;=36,$AL$23,INDEX($C$23:$AL$23,MAX(1,ROUNDUP(AU846/'🎚️ Escenario'!$C$11,0)))))</f>
        <v>0</v>
      </c>
      <c r="AV847" s="236" t="n">
        <f aca="false" t="array" ref="AV847:AV847">IF(AV846=0,0,IF(AV846/'🎚️ Escenario'!$C$11&gt;=36,$AL$23,INDEX($C$23:$AL$23,MAX(1,ROUNDUP(AV846/'🎚️ Escenario'!$C$11,0)))))</f>
        <v>0</v>
      </c>
      <c r="AW847" s="236" t="n">
        <f aca="false" t="array" ref="AW847:AW847">IF(AW846=0,0,IF(AW846/'🎚️ Escenario'!$C$11&gt;=36,$AL$23,INDEX($C$23:$AL$23,MAX(1,ROUNDUP(AW846/'🎚️ Escenario'!$C$11,0)))))</f>
        <v>0</v>
      </c>
      <c r="AX847" s="236" t="n">
        <f aca="false" t="array" ref="AX847:AX847">IF(AX846=0,0,IF(AX846/'🎚️ Escenario'!$C$11&gt;=36,$AL$23,INDEX($C$23:$AL$23,MAX(1,ROUNDUP(AX846/'🎚️ Escenario'!$C$11,0)))))</f>
        <v>0</v>
      </c>
      <c r="AY847" s="236" t="n">
        <f aca="false" t="array" ref="AY847:AY847">IF(AY846=0,0,IF(AY846/'🎚️ Escenario'!$C$11&gt;=36,$AL$23,INDEX($C$23:$AL$23,MAX(1,ROUNDUP(AY846/'🎚️ Escenario'!$C$11,0)))))</f>
        <v>0</v>
      </c>
      <c r="AZ847" s="236" t="n">
        <f aca="false" t="array" ref="AZ847:AZ847">IF(AZ846=0,0,IF(AZ846/'🎚️ Escenario'!$C$11&gt;=36,$AL$23,INDEX($C$23:$AL$23,MAX(1,ROUNDUP(AZ846/'🎚️ Escenario'!$C$11,0)))))</f>
        <v>0</v>
      </c>
      <c r="BA847" s="236" t="n">
        <f aca="false" t="array" ref="BA847:BA847">IF(BA846=0,0,IF(BA846/'🎚️ Escenario'!$C$11&gt;=36,$AL$23,INDEX($C$23:$AL$23,MAX(1,ROUNDUP(BA846/'🎚️ Escenario'!$C$11,0)))))</f>
        <v>0</v>
      </c>
      <c r="BB847" s="236" t="n">
        <f aca="false" t="array" ref="BB847:BB847">IF(BB846=0,0,IF(BB846/'🎚️ Escenario'!$C$11&gt;=36,$AL$23,INDEX($C$23:$AL$23,MAX(1,ROUNDUP(BB846/'🎚️ Escenario'!$C$11,0)))))</f>
        <v>0</v>
      </c>
      <c r="BC847" s="236" t="n">
        <f aca="false" t="array" ref="BC847:BC847">IF(BC846=0,0,IF(BC846/'🎚️ Escenario'!$C$11&gt;=36,$AL$23,INDEX($C$23:$AL$23,MAX(1,ROUNDUP(BC846/'🎚️ Escenario'!$C$11,0)))))</f>
        <v>0</v>
      </c>
      <c r="BD847" s="236" t="n">
        <f aca="false" t="array" ref="BD847:BD847">IF(BD846=0,0,IF(BD846/'🎚️ Escenario'!$C$11&gt;=36,$AL$23,INDEX($C$23:$AL$23,MAX(1,ROUNDUP(BD846/'🎚️ Escenario'!$C$11,0)))))</f>
        <v>0</v>
      </c>
      <c r="BE847" s="236" t="n">
        <f aca="false" t="array" ref="BE847:BE847">IF(BE846=0,0,IF(BE846/'🎚️ Escenario'!$C$11&gt;=36,$AL$23,INDEX($C$23:$AL$23,MAX(1,ROUNDUP(BE846/'🎚️ Escenario'!$C$11,0)))))</f>
        <v>0</v>
      </c>
      <c r="BF847" s="236" t="n">
        <f aca="false" t="array" ref="BF847:BF847">IF(BF846=0,0,IF(BF846/'🎚️ Escenario'!$C$11&gt;=36,$AL$23,INDEX($C$23:$AL$23,MAX(1,ROUNDUP(BF846/'🎚️ Escenario'!$C$11,0)))))</f>
        <v>0</v>
      </c>
      <c r="BG847" s="236" t="n">
        <f aca="false" t="array" ref="BG847:BG847">IF(BG846=0,0,IF(BG846/'🎚️ Escenario'!$C$11&gt;=36,$AL$23,INDEX($C$23:$AL$23,MAX(1,ROUNDUP(BG846/'🎚️ Escenario'!$C$11,0)))))</f>
        <v>0</v>
      </c>
      <c r="BH847" s="236" t="n">
        <f aca="false" t="array" ref="BH847:BH847">IF(BH846=0,0,IF(BH846/'🎚️ Escenario'!$C$11&gt;=36,$AL$23,INDEX($C$23:$AL$23,MAX(1,ROUNDUP(BH846/'🎚️ Escenario'!$C$11,0)))))</f>
        <v>0</v>
      </c>
      <c r="BI847" s="236" t="n">
        <f aca="false" t="array" ref="BI847:BI847">IF(BI846=0,0,IF(BI846/'🎚️ Escenario'!$C$11&gt;=36,$AL$23,INDEX($C$23:$AL$23,MAX(1,ROUNDUP(BI846/'🎚️ Escenario'!$C$11,0)))))</f>
        <v>0</v>
      </c>
      <c r="BJ847" s="236" t="n">
        <f aca="false" t="array" ref="BJ847:BJ847">IF(BJ846=0,0,IF(BJ846/'🎚️ Escenario'!$C$11&gt;=36,$AL$23,INDEX($C$23:$AL$23,MAX(1,ROUNDUP(BJ846/'🎚️ Escenario'!$C$11,0)))))</f>
        <v>0</v>
      </c>
      <c r="BK847" s="236" t="n">
        <f aca="false" t="array" ref="BK847:BK847">IF(BK846=0,0,IF(BK846/'🎚️ Escenario'!$C$11&gt;=36,$AL$23,INDEX($C$23:$AL$23,MAX(1,ROUNDUP(BK846/'🎚️ Escenario'!$C$11,0)))))</f>
        <v>0</v>
      </c>
      <c r="BL847" s="236" t="n">
        <f aca="false" t="array" ref="BL847:BL847">IF(BL846=0,0,IF(BL846/'🎚️ Escenario'!$C$11&gt;=36,$AL$23,INDEX($C$23:$AL$23,MAX(1,ROUNDUP(BL846/'🎚️ Escenario'!$C$11,0)))))</f>
        <v>0</v>
      </c>
      <c r="BM847" s="236" t="n">
        <f aca="false" t="array" ref="BM847:BM847">IF(BM846=0,0,IF(BM846/'🎚️ Escenario'!$C$11&gt;=36,$AL$23,INDEX($C$23:$AL$23,MAX(1,ROUNDUP(BM846/'🎚️ Escenario'!$C$11,0)))))</f>
        <v>0</v>
      </c>
      <c r="BN847" s="236" t="n">
        <f aca="false" t="array" ref="BN847:BN847">IF(BN846=0,0,IF(BN846/'🎚️ Escenario'!$C$11&gt;=36,$AL$23,INDEX($C$23:$AL$23,MAX(1,ROUNDUP(BN846/'🎚️ Escenario'!$C$11,0)))))</f>
        <v>0</v>
      </c>
      <c r="BO847" s="236" t="n">
        <f aca="false" t="array" ref="BO847:BO847">IF(BO846=0,0,IF(BO846/'🎚️ Escenario'!$C$11&gt;=36,$AL$23,INDEX($C$23:$AL$23,MAX(1,ROUNDUP(BO846/'🎚️ Escenario'!$C$11,0)))))</f>
        <v>0</v>
      </c>
      <c r="BP847" s="236" t="n">
        <f aca="false" t="array" ref="BP847:BP847">IF(BP846=0,0,IF(BP846/'🎚️ Escenario'!$C$11&gt;=36,$AL$23,INDEX($C$23:$AL$23,MAX(1,ROUNDUP(BP846/'🎚️ Escenario'!$C$11,0)))))</f>
        <v>0</v>
      </c>
      <c r="BQ847" s="236" t="n">
        <f aca="false" t="array" ref="BQ847:BQ847">IF(BQ846=0,0,IF(BQ846/'🎚️ Escenario'!$C$11&gt;=36,$AL$23,INDEX($C$23:$AL$23,MAX(1,ROUNDUP(BQ846/'🎚️ Escenario'!$C$11,0)))))</f>
        <v>0</v>
      </c>
      <c r="BR847" s="236" t="n">
        <f aca="false" t="array" ref="BR847:BR847">IF(BR846=0,0,IF(BR846/'🎚️ Escenario'!$C$11&gt;=36,$AL$23,INDEX($C$23:$AL$23,MAX(1,ROUNDUP(BR846/'🎚️ Escenario'!$C$11,0)))))</f>
        <v>0</v>
      </c>
      <c r="BS847" s="236" t="n">
        <f aca="false" t="array" ref="BS847:BS847">IF(BS846=0,0,IF(BS846/'🎚️ Escenario'!$C$11&gt;=36,$AL$23,INDEX($C$23:$AL$23,MAX(1,ROUNDUP(BS846/'🎚️ Escenario'!$C$11,0)))))</f>
        <v>0</v>
      </c>
      <c r="BT847" s="236" t="n">
        <f aca="false" t="array" ref="BT847:BT847">IF(BT846=0,0,IF(BT846/'🎚️ Escenario'!$C$11&gt;=36,$AL$23,INDEX($C$23:$AL$23,MAX(1,ROUNDUP(BT846/'🎚️ Escenario'!$C$11,0)))))</f>
        <v>0</v>
      </c>
      <c r="BU847" s="236" t="n">
        <f aca="false" t="array" ref="BU847:BU847">IF(BU846=0,0,IF(BU846/'🎚️ Escenario'!$C$11&gt;=36,$AL$23,INDEX($C$23:$AL$23,MAX(1,ROUNDUP(BU846/'🎚️ Escenario'!$C$11,0)))))</f>
        <v>0</v>
      </c>
      <c r="BV847" s="236" t="n">
        <f aca="false" t="array" ref="BV847:BV847">IF(BV846=0,0,IF(BV846/'🎚️ Escenario'!$C$11&gt;=36,$AL$23,INDEX($C$23:$AL$23,MAX(1,ROUNDUP(BV846/'🎚️ Escenario'!$C$11,0)))))</f>
        <v>0</v>
      </c>
      <c r="BW847" s="236" t="n">
        <f aca="false" t="array" ref="BW847:BW847">IF(BW846=0,0,IF(BW846/'🎚️ Escenario'!$C$11&gt;=36,$AL$23,INDEX($C$23:$AL$23,MAX(1,ROUNDUP(BW846/'🎚️ Escenario'!$C$11,0)))))</f>
        <v>0</v>
      </c>
      <c r="BX847" s="236" t="n">
        <f aca="false" t="array" ref="BX847:BX847">IF(BX846=0,0,IF(BX846/'🎚️ Escenario'!$C$11&gt;=36,$AL$23,INDEX($C$23:$AL$23,MAX(1,ROUNDUP(BX846/'🎚️ Escenario'!$C$11,0)))))</f>
        <v>0</v>
      </c>
      <c r="BY847" s="236" t="n">
        <f aca="false" t="array" ref="BY847:BY847">IF(BY846=0,0,IF(BY846/'🎚️ Escenario'!$C$11&gt;=36,$AL$23,INDEX($C$23:$AL$23,MAX(1,ROUNDUP(BY846/'🎚️ Escenario'!$C$11,0)))))</f>
        <v>0</v>
      </c>
      <c r="BZ847" s="236" t="n">
        <f aca="false" t="array" ref="BZ847:BZ847">IF(BZ846=0,0,IF(BZ846/'🎚️ Escenario'!$C$11&gt;=36,$AL$23,INDEX($C$23:$AL$23,MAX(1,ROUNDUP(BZ846/'🎚️ Escenario'!$C$11,0)))))</f>
        <v>0</v>
      </c>
      <c r="CA847" s="236" t="n">
        <f aca="false" t="array" ref="CA847:CA847">IF(CA846=0,0,IF(CA846/'🎚️ Escenario'!$C$11&gt;=36,$AL$23,INDEX($C$23:$AL$23,MAX(1,ROUNDUP(CA846/'🎚️ Escenario'!$C$11,0)))))</f>
        <v>0</v>
      </c>
      <c r="CB847" s="236" t="n">
        <f aca="false" t="array" ref="CB847:CB847">IF(CB846=0,0,IF(CB846/'🎚️ Escenario'!$C$11&gt;=36,$AL$23,INDEX($C$23:$AL$23,MAX(1,ROUNDUP(CB846/'🎚️ Escenario'!$C$11,0)))))</f>
        <v>0</v>
      </c>
      <c r="CC847" s="236" t="n">
        <f aca="false" t="array" ref="CC847:CC847">IF(CC846=0,0,IF(CC846/'🎚️ Escenario'!$C$11&gt;=36,$AL$23,INDEX($C$23:$AL$23,MAX(1,ROUNDUP(CC846/'🎚️ Escenario'!$C$11,0)))))</f>
        <v>0</v>
      </c>
      <c r="CD847" s="236" t="n">
        <f aca="false" t="array" ref="CD847:CD847">IF(CD846=0,0,IF(CD846/'🎚️ Escenario'!$C$11&gt;=36,$AL$23,INDEX($C$23:$AL$23,MAX(1,ROUNDUP(CD846/'🎚️ Escenario'!$C$11,0)))))</f>
        <v>0</v>
      </c>
      <c r="CE847" s="236" t="n">
        <f aca="false" t="array" ref="CE847:CE847">IF(CE846=0,0,IF(CE846/'🎚️ Escenario'!$C$11&gt;=36,$AL$23,INDEX($C$23:$AL$23,MAX(1,ROUNDUP(CE846/'🎚️ Escenario'!$C$11,0)))))</f>
        <v>0</v>
      </c>
      <c r="CF847" s="236" t="n">
        <f aca="false" t="array" ref="CF847:CF847">IF(CF846=0,0,IF(CF846/'🎚️ Escenario'!$C$11&gt;=36,$AL$23,INDEX($C$23:$AL$23,MAX(1,ROUNDUP(CF846/'🎚️ Escenario'!$C$11,0)))))</f>
        <v>0</v>
      </c>
      <c r="CG847" s="236" t="n">
        <f aca="false" t="array" ref="CG847:CG847">IF(CG846=0,0,IF(CG846/'🎚️ Escenario'!$C$11&gt;=36,$AL$23,INDEX($C$23:$AL$23,MAX(1,ROUNDUP(CG846/'🎚️ Escenario'!$C$11,0)))))</f>
        <v>0</v>
      </c>
      <c r="CH847" s="236" t="n">
        <f aca="false" t="array" ref="CH847:CH847">IF(CH846=0,0,IF(CH846/'🎚️ Escenario'!$C$11&gt;=36,$AL$23,INDEX($C$23:$AL$23,MAX(1,ROUNDUP(CH846/'🎚️ Escenario'!$C$11,0)))))</f>
        <v>0</v>
      </c>
      <c r="CI847" s="236" t="n">
        <f aca="false" t="array" ref="CI847:CI847">IF(CI846=0,0,IF(CI846/'🎚️ Escenario'!$C$11&gt;=36,$AL$23,INDEX($C$23:$AL$23,MAX(1,ROUNDUP(CI846/'🎚️ Escenario'!$C$11,0)))))</f>
        <v>0</v>
      </c>
      <c r="CJ847" s="236" t="n">
        <f aca="false" t="array" ref="CJ847:CJ847">IF(CJ846=0,0,IF(CJ846/'🎚️ Escenario'!$C$11&gt;=36,$AL$23,INDEX($C$23:$AL$23,MAX(1,ROUNDUP(CJ846/'🎚️ Escenario'!$C$11,0)))))</f>
        <v>0</v>
      </c>
      <c r="CK847" s="236" t="n">
        <f aca="false" t="array" ref="CK847:CK847">IF(CK846=0,0,IF(CK846/'🎚️ Escenario'!$C$11&gt;=36,$AL$23,INDEX($C$23:$AL$23,MAX(1,ROUNDUP(CK846/'🎚️ Escenario'!$C$11,0)))))</f>
        <v>0</v>
      </c>
      <c r="CL847" s="236" t="n">
        <f aca="false" t="array" ref="CL847:CL847">IF(CL846=0,0,IF(CL846/'🎚️ Escenario'!$C$11&gt;=36,$AL$23,INDEX($C$23:$AL$23,MAX(1,ROUNDUP(CL846/'🎚️ Escenario'!$C$11,0)))))</f>
        <v>0</v>
      </c>
      <c r="CM847" s="236" t="n">
        <f aca="false" t="array" ref="CM847:CM847">IF(CM846=0,0,IF(CM846/'🎚️ Escenario'!$C$11&gt;=36,$AL$23,INDEX($C$23:$AL$23,MAX(1,ROUNDUP(CM846/'🎚️ Escenario'!$C$11,0)))))</f>
        <v>0</v>
      </c>
      <c r="CN847" s="236" t="n">
        <f aca="false" t="array" ref="CN847:CN847">IF(CN846=0,0,IF(CN846/'🎚️ Escenario'!$C$11&gt;=36,$AL$23,INDEX($C$23:$AL$23,MAX(1,ROUNDUP(CN846/'🎚️ Escenario'!$C$11,0)))))</f>
        <v>0</v>
      </c>
      <c r="CO847" s="236" t="n">
        <f aca="false" t="array" ref="CO847:CO847">IF(CO846=0,0,IF(CO846/'🎚️ Escenario'!$C$11&gt;=36,$AL$23,INDEX($C$23:$AL$23,MAX(1,ROUNDUP(CO846/'🎚️ Escenario'!$C$11,0)))))</f>
        <v>0</v>
      </c>
      <c r="CP847" s="236" t="n">
        <f aca="false" t="array" ref="CP847:CP847">IF(CP846=0,0,IF(CP846/'🎚️ Escenario'!$C$11&gt;=36,$AL$23,INDEX($C$23:$AL$23,MAX(1,ROUNDUP(CP846/'🎚️ Escenario'!$C$11,0)))))</f>
        <v>0</v>
      </c>
      <c r="CQ847" s="236" t="n">
        <f aca="false" t="array" ref="CQ847:CQ847">IF(CQ846=0,0,IF(CQ846/'🎚️ Escenario'!$C$11&gt;=36,$AL$23,INDEX($C$23:$AL$23,MAX(1,ROUNDUP(CQ846/'🎚️ Escenario'!$C$11,0)))))</f>
        <v>0</v>
      </c>
      <c r="CR847" s="236" t="n">
        <f aca="false" t="array" ref="CR847:CR847">IF(CR846=0,0,IF(CR846/'🎚️ Escenario'!$C$11&gt;=36,$AL$23,INDEX($C$23:$AL$23,MAX(1,ROUNDUP(CR846/'🎚️ Escenario'!$C$11,0)))))</f>
        <v>0</v>
      </c>
      <c r="CS847" s="236" t="n">
        <f aca="false" t="array" ref="CS847:CS847">IF(CS846=0,0,IF(CS846/'🎚️ Escenario'!$C$11&gt;=36,$AL$23,INDEX($C$23:$AL$23,MAX(1,ROUNDUP(CS846/'🎚️ Escenario'!$C$11,0)))))</f>
        <v>0</v>
      </c>
      <c r="CT847" s="236" t="n">
        <f aca="false" t="array" ref="CT847:CT847">IF(CT846=0,0,IF(CT846/'🎚️ Escenario'!$C$11&gt;=36,$AL$23,INDEX($C$23:$AL$23,MAX(1,ROUNDUP(CT846/'🎚️ Escenario'!$C$11,0)))))</f>
        <v>0</v>
      </c>
      <c r="CU847" s="236" t="n">
        <f aca="false" t="array" ref="CU847:CU847">IF(CU846=0,0,IF(CU846/'🎚️ Escenario'!$C$11&gt;=36,$AL$23,INDEX($C$23:$AL$23,MAX(1,ROUNDUP(CU846/'🎚️ Escenario'!$C$11,0)))))</f>
        <v>0</v>
      </c>
      <c r="CV847" s="236" t="n">
        <f aca="false" t="array" ref="CV847:CV847">IF(CV846=0,0,IF(CV846/'🎚️ Escenario'!$C$11&gt;=36,$AL$23,INDEX($C$23:$AL$23,MAX(1,ROUNDUP(CV846/'🎚️ Escenario'!$C$11,0)))))</f>
        <v>0</v>
      </c>
      <c r="CW847" s="236" t="n">
        <f aca="false" t="array" ref="CW847:CW847">IF(CW846=0,0,IF(CW846/'🎚️ Escenario'!$C$11&gt;=36,$AL$23,INDEX($C$23:$AL$23,MAX(1,ROUNDUP(CW846/'🎚️ Escenario'!$C$11,0)))))</f>
        <v>0</v>
      </c>
      <c r="CX847" s="236" t="n">
        <f aca="false" t="array" ref="CX847:CX847">IF(CX846=0,0,IF(CX846/'🎚️ Escenario'!$C$11&gt;=36,$AL$23,INDEX($C$23:$AL$23,MAX(1,ROUNDUP(CX846/'🎚️ Escenario'!$C$11,0)))))</f>
        <v>0</v>
      </c>
      <c r="CY847" s="236" t="n">
        <f aca="false" t="array" ref="CY847:CY847">IF(CY846=0,0,IF(CY846/'🎚️ Escenario'!$C$11&gt;=36,$AL$23,INDEX($C$23:$AL$23,MAX(1,ROUNDUP(CY846/'🎚️ Escenario'!$C$11,0)))))</f>
        <v>0</v>
      </c>
      <c r="CZ847" s="236" t="n">
        <f aca="false" t="array" ref="CZ847:CZ847">IF(CZ846=0,0,IF(CZ846/'🎚️ Escenario'!$C$11&gt;=36,$AL$23,INDEX($C$23:$AL$23,MAX(1,ROUNDUP(CZ846/'🎚️ Escenario'!$C$11,0)))))</f>
        <v>0</v>
      </c>
      <c r="DA847" s="236" t="n">
        <f aca="false" t="array" ref="DA847:DA847">IF(DA846=0,0,IF(DA846/'🎚️ Escenario'!$C$11&gt;=36,$AL$23,INDEX($C$23:$AL$23,MAX(1,ROUNDUP(DA846/'🎚️ Escenario'!$C$11,0)))))</f>
        <v>0</v>
      </c>
      <c r="DB847" s="236" t="n">
        <f aca="false" t="array" ref="DB847:DB847">IF(DB846=0,0,IF(DB846/'🎚️ Escenario'!$C$11&gt;=36,$AL$23,INDEX($C$23:$AL$23,MAX(1,ROUNDUP(DB846/'🎚️ Escenario'!$C$11,0)))))</f>
        <v>0</v>
      </c>
      <c r="DC847" s="236" t="n">
        <f aca="false" t="array" ref="DC847:DC847">IF(DC846=0,0,IF(DC846/'🎚️ Escenario'!$C$11&gt;=36,$AL$23,INDEX($C$23:$AL$23,MAX(1,ROUNDUP(DC846/'🎚️ Escenario'!$C$11,0)))))</f>
        <v>0</v>
      </c>
      <c r="DD847" s="236" t="n">
        <f aca="false" t="array" ref="DD847:DD847">IF(DD846=0,0,IF(DD846/'🎚️ Escenario'!$C$11&gt;=36,$AL$23,INDEX($C$23:$AL$23,MAX(1,ROUNDUP(DD846/'🎚️ Escenario'!$C$11,0)))))</f>
        <v>0</v>
      </c>
      <c r="DE847" s="236" t="n">
        <f aca="false" t="array" ref="DE847:DE847">IF(DE846=0,0,IF(DE846/'🎚️ Escenario'!$C$11&gt;=36,$AL$23,INDEX($C$23:$AL$23,MAX(1,ROUNDUP(DE846/'🎚️ Escenario'!$C$11,0)))))</f>
        <v>0</v>
      </c>
      <c r="DF847" s="236" t="n">
        <f aca="false" t="array" ref="DF847:DF847">IF(DF846=0,0,IF(DF846/'🎚️ Escenario'!$C$11&gt;=36,$AL$23,INDEX($C$23:$AL$23,MAX(1,ROUNDUP(DF846/'🎚️ Escenario'!$C$11,0)))))</f>
        <v>0</v>
      </c>
      <c r="DG847" s="236" t="n">
        <f aca="false" t="array" ref="DG847:DG847">IF(DG846=0,0,IF(DG846/'🎚️ Escenario'!$C$11&gt;=36,$AL$23,INDEX($C$23:$AL$23,MAX(1,ROUNDUP(DG846/'🎚️ Escenario'!$C$11,0)))))</f>
        <v>0</v>
      </c>
      <c r="DH847" s="236" t="n">
        <f aca="false" t="array" ref="DH847:DH847">IF(DH846=0,0,IF(DH846/'🎚️ Escenario'!$C$11&gt;=36,$AL$23,INDEX($C$23:$AL$23,MAX(1,ROUNDUP(DH846/'🎚️ Escenario'!$C$11,0)))))</f>
        <v>0</v>
      </c>
      <c r="DI847" s="236" t="n">
        <f aca="false" t="array" ref="DI847:DI847">IF(DI846=0,0,IF(DI846/'🎚️ Escenario'!$C$11&gt;=36,$AL$23,INDEX($C$23:$AL$23,MAX(1,ROUNDUP(DI846/'🎚️ Escenario'!$C$11,0)))))</f>
        <v>0</v>
      </c>
      <c r="DJ847" s="236" t="n">
        <f aca="false" t="array" ref="DJ847:DJ847">IF(DJ846=0,0,IF(DJ846/'🎚️ Escenario'!$C$11&gt;=36,$AL$23,INDEX($C$23:$AL$23,MAX(1,ROUNDUP(DJ846/'🎚️ Escenario'!$C$11,0)))))</f>
        <v>0</v>
      </c>
      <c r="DK847" s="236" t="n">
        <f aca="false" t="array" ref="DK847:DK847">IF(DK846=0,0,IF(DK846/'🎚️ Escenario'!$C$11&gt;=36,$AL$23,INDEX($C$23:$AL$23,MAX(1,ROUNDUP(DK846/'🎚️ Escenario'!$C$11,0)))))</f>
        <v>0</v>
      </c>
      <c r="DL847" s="236" t="n">
        <f aca="false" t="array" ref="DL847:DL847">IF(DL846=0,0,IF(DL846/'🎚️ Escenario'!$C$11&gt;=36,$AL$23,INDEX($C$23:$AL$23,MAX(1,ROUNDUP(DL846/'🎚️ Escenario'!$C$11,0)))))</f>
        <v>0</v>
      </c>
      <c r="DM847" s="236" t="n">
        <f aca="false" t="array" ref="DM847:DM847">IF(DM846=0,0,IF(DM846/'🎚️ Escenario'!$C$11&gt;=36,$AL$23,INDEX($C$23:$AL$23,MAX(1,ROUNDUP(DM846/'🎚️ Escenario'!$C$11,0)))))</f>
        <v>0</v>
      </c>
      <c r="DN847" s="236" t="n">
        <f aca="false" t="array" ref="DN847:DN847">IF(DN846=0,0,IF(DN846/'🎚️ Escenario'!$C$11&gt;=36,$AL$23,INDEX($C$23:$AL$23,MAX(1,ROUNDUP(DN846/'🎚️ Escenario'!$C$11,0)))))</f>
        <v>0</v>
      </c>
      <c r="DO847" s="236" t="n">
        <f aca="false" t="array" ref="DO847:DO847">IF(DO846=0,0,IF(DO846/'🎚️ Escenario'!$C$11&gt;=36,$AL$23,INDEX($C$23:$AL$23,MAX(1,ROUNDUP(DO846/'🎚️ Escenario'!$C$11,0)))))</f>
        <v>0</v>
      </c>
      <c r="DP847" s="236" t="n">
        <f aca="false" t="array" ref="DP847:DP847">IF(DP846=0,0,IF(DP846/'🎚️ Escenario'!$C$11&gt;=36,$AL$23,INDEX($C$23:$AL$23,MAX(1,ROUNDUP(DP846/'🎚️ Escenario'!$C$11,0)))))</f>
        <v>0</v>
      </c>
      <c r="DQ847" s="236" t="n">
        <f aca="false" t="array" ref="DQ847:DQ847">IF(DQ846=0,0,IF(DQ846/'🎚️ Escenario'!$C$11&gt;=36,$AL$23,INDEX($C$23:$AL$23,MAX(1,ROUNDUP(DQ846/'🎚️ Escenario'!$C$11,0)))))</f>
        <v>0</v>
      </c>
      <c r="DR847" s="236" t="n">
        <f aca="false" t="array" ref="DR847:DR847">IF(DR846=0,0,IF(DR846/'🎚️ Escenario'!$C$11&gt;=36,$AL$23,INDEX($C$23:$AL$23,MAX(1,ROUNDUP(DR846/'🎚️ Escenario'!$C$11,0)))))</f>
        <v>0</v>
      </c>
      <c r="DS847" s="236" t="n">
        <f aca="false" t="array" ref="DS847:DS847">IF(DS846=0,0,IF(DS846/'🎚️ Escenario'!$C$11&gt;=36,$AL$23,INDEX($C$23:$AL$23,MAX(1,ROUNDUP(DS846/'🎚️ Escenario'!$C$11,0)))))</f>
        <v>0</v>
      </c>
      <c r="DT847" s="236" t="n">
        <f aca="false" t="array" ref="DT847:DT847">IF(DT846=0,0,IF(DT846/'🎚️ Escenario'!$C$11&gt;=36,$AL$23,INDEX($C$23:$AL$23,MAX(1,ROUNDUP(DT846/'🎚️ Escenario'!$C$11,0)))))</f>
        <v>0</v>
      </c>
      <c r="DU847" s="236" t="n">
        <f aca="false" t="array" ref="DU847:DU847">IF(DU846=0,0,IF(DU846/'🎚️ Escenario'!$C$11&gt;=36,$AL$23,INDEX($C$23:$AL$23,MAX(1,ROUNDUP(DU846/'🎚️ Escenario'!$C$11,0)))))</f>
        <v>0</v>
      </c>
      <c r="DV847" s="236" t="n">
        <f aca="false" t="array" ref="DV847:DV847">IF(DV846=0,0,IF(DV846/'🎚️ Escenario'!$C$11&gt;=36,$AL$23,INDEX($C$23:$AL$23,MAX(1,ROUNDUP(DV846/'🎚️ Escenario'!$C$11,0)))))</f>
        <v>0</v>
      </c>
      <c r="DW847" s="236" t="n">
        <f aca="false" t="array" ref="DW847:DW847">IF(DW846=0,0,IF(DW846/'🎚️ Escenario'!$C$11&gt;=36,$AL$23,INDEX($C$23:$AL$23,MAX(1,ROUNDUP(DW846/'🎚️ Escenario'!$C$11,0)))))</f>
        <v>0</v>
      </c>
      <c r="DX847" s="236" t="n">
        <f aca="false" t="array" ref="DX847:DX847">IF(DX846=0,0,IF(DX846/'🎚️ Escenario'!$C$11&gt;=36,$AL$23,INDEX($C$23:$AL$23,MAX(1,ROUNDUP(DX846/'🎚️ Escenario'!$C$11,0)))))</f>
        <v>0</v>
      </c>
      <c r="DY847" s="236" t="n">
        <f aca="false" t="array" ref="DY847:DY847">IF(DY846=0,0,IF(DY846/'🎚️ Escenario'!$C$11&gt;=36,$AL$23,INDEX($C$23:$AL$23,MAX(1,ROUNDUP(DY846/'🎚️ Escenario'!$C$11,0)))))</f>
        <v>0</v>
      </c>
      <c r="DZ847" s="236" t="n">
        <f aca="false" t="array" ref="DZ847:DZ847">IF(DZ846=0,0,IF(DZ846/'🎚️ Escenario'!$C$11&gt;=36,$AL$23,INDEX($C$23:$AL$23,MAX(1,ROUNDUP(DZ846/'🎚️ Escenario'!$C$11,0)))))</f>
        <v>0</v>
      </c>
      <c r="EA847" s="236" t="n">
        <f aca="false" t="array" ref="EA847:EA847">IF(EA846=0,0,IF(EA846/'🎚️ Escenario'!$C$11&gt;=36,$AL$23,INDEX($C$23:$AL$23,MAX(1,ROUNDUP(EA846/'🎚️ Escenario'!$C$11,0)))))</f>
        <v>0</v>
      </c>
      <c r="EB847" s="236" t="n">
        <f aca="false" t="array" ref="EB847:EB847">IF(EB846=0,0,IF(EB846/'🎚️ Escenario'!$C$11&gt;=36,$AL$23,INDEX($C$23:$AL$23,MAX(1,ROUNDUP(EB846/'🎚️ Escenario'!$C$11,0)))))</f>
        <v>0</v>
      </c>
      <c r="EC847" s="236" t="n">
        <f aca="false" t="array" ref="EC847:EC847">IF(EC846=0,0,IF(EC846/'🎚️ Escenario'!$C$11&gt;=36,$AL$23,INDEX($C$23:$AL$23,MAX(1,ROUNDUP(EC846/'🎚️ Escenario'!$C$11,0)))))</f>
        <v>0</v>
      </c>
      <c r="ED847" s="236" t="n">
        <f aca="false" t="array" ref="ED847:ED847">IF(ED846=0,0,IF(ED846/'🎚️ Escenario'!$C$11&gt;=36,$AL$23,INDEX($C$23:$AL$23,MAX(1,ROUNDUP(ED846/'🎚️ Escenario'!$C$11,0)))))</f>
        <v>0</v>
      </c>
      <c r="EE847" s="236" t="n">
        <f aca="false" t="array" ref="EE847:EE847">IF(EE846=0,0,IF(EE846/'🎚️ Escenario'!$C$11&gt;=36,$AL$23,INDEX($C$23:$AL$23,MAX(1,ROUNDUP(EE846/'🎚️ Escenario'!$C$11,0)))))</f>
        <v>0</v>
      </c>
      <c r="EF847" s="236" t="n">
        <f aca="false" t="array" ref="EF847:EF847">IF(EF846=0,0,IF(EF846/'🎚️ Escenario'!$C$11&gt;=36,$AL$23,INDEX($C$23:$AL$23,MAX(1,ROUNDUP(EF846/'🎚️ Escenario'!$C$11,0)))))</f>
        <v>0</v>
      </c>
      <c r="EG847" s="236" t="n">
        <f aca="false" t="array" ref="EG847:EG847">IF(EG846=0,0,IF(EG846/'🎚️ Escenario'!$C$11&gt;=36,$AL$23,INDEX($C$23:$AL$23,MAX(1,ROUNDUP(EG846/'🎚️ Escenario'!$C$11,0)))))</f>
        <v>0</v>
      </c>
      <c r="EH847" s="236" t="n">
        <f aca="false" t="array" ref="EH847:EH847">IF(EH846=0,0,IF(EH846/'🎚️ Escenario'!$C$11&gt;=36,$AL$23,INDEX($C$23:$AL$23,MAX(1,ROUNDUP(EH846/'🎚️ Escenario'!$C$11,0)))))</f>
        <v>0</v>
      </c>
      <c r="EI847" s="236" t="n">
        <f aca="false" t="array" ref="EI847:EI847">IF(EI846=0,0,IF(EI846/'🎚️ Escenario'!$C$11&gt;=36,$AL$23,INDEX($C$23:$AL$23,MAX(1,ROUNDUP(EI846/'🎚️ Escenario'!$C$11,0)))))</f>
        <v>0</v>
      </c>
      <c r="EJ847" s="236" t="n">
        <f aca="false" t="array" ref="EJ847:EJ847">IF(EJ846=0,0,IF(EJ846/'🎚️ Escenario'!$C$11&gt;=36,$AL$23,INDEX($C$23:$AL$23,MAX(1,ROUNDUP(EJ846/'🎚️ Escenario'!$C$11,0)))))</f>
        <v>0</v>
      </c>
      <c r="EK847" s="236" t="n">
        <f aca="false" t="array" ref="EK847:EK847">IF(EK846=0,0,IF(EK846/'🎚️ Escenario'!$C$11&gt;=36,$AL$23,INDEX($C$23:$AL$23,MAX(1,ROUNDUP(EK846/'🎚️ Escenario'!$C$11,0)))))</f>
        <v>0</v>
      </c>
      <c r="EL847" s="236" t="n">
        <f aca="false" t="array" ref="EL847:EL847">IF(EL846=0,0,IF(EL846/'🎚️ Escenario'!$C$11&gt;=36,$AL$23,INDEX($C$23:$AL$23,MAX(1,ROUNDUP(EL846/'🎚️ Escenario'!$C$11,0)))))</f>
        <v>0</v>
      </c>
      <c r="EM847" s="236" t="n">
        <f aca="false" t="array" ref="EM847:EM847">IF(EM846=0,0,IF(EM846/'🎚️ Escenario'!$C$11&gt;=36,$AL$23,INDEX($C$23:$AL$23,MAX(1,ROUNDUP(EM846/'🎚️ Escenario'!$C$11,0)))))</f>
        <v>0</v>
      </c>
      <c r="EN847" s="236" t="n">
        <f aca="false" t="array" ref="EN847:EN847">IF(EN846=0,0,IF(EN846/'🎚️ Escenario'!$C$11&gt;=36,$AL$23,INDEX($C$23:$AL$23,MAX(1,ROUNDUP(EN846/'🎚️ Escenario'!$C$11,0)))))</f>
        <v>0</v>
      </c>
      <c r="EO847" s="236" t="n">
        <f aca="false" t="array" ref="EO847:EO847">IF(EO846=0,0,IF(EO846/'🎚️ Escenario'!$C$11&gt;=36,$AL$23,INDEX($C$23:$AL$23,MAX(1,ROUNDUP(EO846/'🎚️ Escenario'!$C$11,0)))))</f>
        <v>0</v>
      </c>
      <c r="EP847" s="236" t="n">
        <f aca="false" t="array" ref="EP847:EP847">IF(EP846=0,0,IF(EP846/'🎚️ Escenario'!$C$11&gt;=36,$AL$23,INDEX($C$23:$AL$23,MAX(1,ROUNDUP(EP846/'🎚️ Escenario'!$C$11,0)))))</f>
        <v>0</v>
      </c>
      <c r="EQ847" s="236" t="n">
        <f aca="false" t="array" ref="EQ847:EQ847">IF(EQ846=0,0,IF(EQ846/'🎚️ Escenario'!$C$11&gt;=36,$AL$23,INDEX($C$23:$AL$23,MAX(1,ROUNDUP(EQ846/'🎚️ Escenario'!$C$11,0)))))</f>
        <v>0</v>
      </c>
      <c r="ER847" s="236" t="n">
        <f aca="false" t="array" ref="ER847:ER847">IF(ER846=0,0,IF(ER846/'🎚️ Escenario'!$C$11&gt;=36,$AL$23,INDEX($C$23:$AL$23,MAX(1,ROUNDUP(ER846/'🎚️ Escenario'!$C$11,0)))))</f>
        <v>0</v>
      </c>
      <c r="ES847" s="9" t="n">
        <f aca="false" t="array" ref="ES847:ES847">IF(ES846=0,0,IF(ES846/'🎚️ Escenario'!$C$11&gt;=36,$AL$23,INDEX($C$23:$AL$23,MAX(1,ROUNDUP(ES846/'🎚️ Escenario'!$C$11,0)))))</f>
        <v>0</v>
      </c>
      <c r="ET847" s="9" t="n">
        <f aca="false" t="array" ref="ET847:ET847">IF(ET846=0,0,IF(ET846/'🎚️ Escenario'!$C$11&gt;=36,$AL$23,INDEX($C$23:$AL$23,MAX(1,ROUNDUP(ET846/'🎚️ Escenario'!$C$11,0)))))</f>
        <v>0</v>
      </c>
      <c r="EU847" s="9" t="n">
        <f aca="false" t="array" ref="EU847:EU847">IF(EU846=0,0,IF(EU846/'🎚️ Escenario'!$C$11&gt;=36,$AL$23,INDEX($C$23:$AL$23,MAX(1,ROUNDUP(EU846/'🎚️ Escenario'!$C$11,0)))))</f>
        <v>0</v>
      </c>
      <c r="EV847" s="9" t="n">
        <f aca="false" t="array" ref="EV847:EV847">IF(EV846=0,0,IF(EV846/'🎚️ Escenario'!$C$11&gt;=36,$AL$23,INDEX($C$23:$AL$23,MAX(1,ROUNDUP(EV846/'🎚️ Escenario'!$C$11,0)))))</f>
        <v>0</v>
      </c>
      <c r="EW847" s="9" t="n">
        <f aca="false" t="array" ref="EW847:EW847">IF(EW846=0,0,IF(EW846/'🎚️ Escenario'!$C$11&gt;=36,$AL$23,INDEX($C$23:$AL$23,MAX(1,ROUNDUP(EW846/'🎚️ Escenario'!$C$11,0)))))</f>
        <v>0</v>
      </c>
      <c r="EX847" s="9" t="n">
        <f aca="false" t="array" ref="EX847:EX847">IF(EX846=0,0,IF(EX846/'🎚️ Escenario'!$C$11&gt;=36,$AL$23,INDEX($C$23:$AL$23,MAX(1,ROUNDUP(EX846/'🎚️ Escenario'!$C$11,0)))))</f>
        <v>0</v>
      </c>
      <c r="EY847" s="9" t="n">
        <f aca="false" t="array" ref="EY847:EY847">IF(EY846=0,0,IF(EY846/'🎚️ Escenario'!$C$11&gt;=36,$AL$23,INDEX($C$23:$AL$23,MAX(1,ROUNDUP(EY846/'🎚️ Escenario'!$C$11,0)))))</f>
        <v>0</v>
      </c>
      <c r="EZ847" s="9" t="n">
        <f aca="false" t="array" ref="EZ847:EZ847">IF(EZ846=0,0,IF(EZ846/'🎚️ Escenario'!$C$11&gt;=36,$AL$23,INDEX($C$23:$AL$23,MAX(1,ROUNDUP(EZ846/'🎚️ Escenario'!$C$11,0)))))</f>
        <v>0</v>
      </c>
      <c r="FA847" s="9" t="n">
        <f aca="false" t="array" ref="FA847:FA847">IF(FA846=0,0,IF(FA846/'🎚️ Escenario'!$C$11&gt;=36,$AL$23,INDEX($C$23:$AL$23,MAX(1,ROUNDUP(FA846/'🎚️ Escenario'!$C$11,0)))))</f>
        <v>0</v>
      </c>
      <c r="FB847" s="9" t="n">
        <f aca="false" t="array" ref="FB847:FB847">IF(FB846=0,0,IF(FB846/'🎚️ Escenario'!$C$11&gt;=36,$AL$23,INDEX($C$23:$AL$23,MAX(1,ROUNDUP(FB846/'🎚️ Escenario'!$C$11,0)))))</f>
        <v>0</v>
      </c>
      <c r="FC847" s="9" t="n">
        <f aca="false" t="array" ref="FC847:FC847">IF(FC846=0,0,IF(FC846/'🎚️ Escenario'!$C$11&gt;=36,$AL$23,INDEX($C$23:$AL$23,MAX(1,ROUNDUP(FC846/'🎚️ Escenario'!$C$11,0)))))</f>
        <v>0</v>
      </c>
      <c r="FD847" s="9" t="n">
        <f aca="false" t="array" ref="FD847:FD847">IF(FD846=0,0,IF(FD846/'🎚️ Escenario'!$C$11&gt;=36,$AL$23,INDEX($C$23:$AL$23,MAX(1,ROUNDUP(FD846/'🎚️ Escenario'!$C$11,0)))))</f>
        <v>0</v>
      </c>
      <c r="FE847" s="9" t="n">
        <f aca="false" t="array" ref="FE847:FE847">IF(FE846=0,0,IF(FE846/'🎚️ Escenario'!$C$11&gt;=36,$AL$23,INDEX($C$23:$AL$23,MAX(1,ROUNDUP(FE846/'🎚️ Escenario'!$C$11,0)))))</f>
        <v>0</v>
      </c>
      <c r="FF847" s="9" t="n">
        <f aca="false" t="array" ref="FF847:FF847">IF(FF846=0,0,IF(FF846/'🎚️ Escenario'!$C$11&gt;=36,$AL$23,INDEX($C$23:$AL$23,MAX(1,ROUNDUP(FF846/'🎚️ Escenario'!$C$11,0)))))</f>
        <v>0</v>
      </c>
      <c r="FG847" s="9" t="n">
        <f aca="false" t="array" ref="FG847:FG847">IF(FG846=0,0,IF(FG846/'🎚️ Escenario'!$C$11&gt;=36,$AL$23,INDEX($C$23:$AL$23,MAX(1,ROUNDUP(FG846/'🎚️ Escenario'!$C$11,0)))))</f>
        <v>0</v>
      </c>
      <c r="FH847" s="9" t="n">
        <f aca="false" t="array" ref="FH847:FH847">IF(FH846=0,0,IF(FH846/'🎚️ Escenario'!$C$11&gt;=36,$AL$23,INDEX($C$23:$AL$23,MAX(1,ROUNDUP(FH846/'🎚️ Escenario'!$C$11,0)))))</f>
        <v>0</v>
      </c>
      <c r="FI847" s="9" t="n">
        <f aca="false" t="array" ref="FI847:FI847">IF(FI846=0,0,IF(FI846/'🎚️ Escenario'!$C$11&gt;=36,$AL$23,INDEX($C$23:$AL$23,MAX(1,ROUNDUP(FI846/'🎚️ Escenario'!$C$11,0)))))</f>
        <v>0.2</v>
      </c>
      <c r="FJ847" s="9" t="n">
        <f aca="false" t="array" ref="FJ847:FJ847">IF(FJ846=0,0,IF(FJ846/'🎚️ Escenario'!$C$11&gt;=36,$AL$23,INDEX($C$23:$AL$23,MAX(1,ROUNDUP(FJ846/'🎚️ Escenario'!$C$11,0)))))</f>
        <v>0.22</v>
      </c>
      <c r="FK847" s="9" t="n">
        <f aca="false" t="array" ref="FK847:FK847">IF(FK846=0,0,IF(FK846/'🎚️ Escenario'!$C$11&gt;=36,$AL$23,INDEX($C$23:$AL$23,MAX(1,ROUNDUP(FK846/'🎚️ Escenario'!$C$11,0)))))</f>
        <v>0.24</v>
      </c>
      <c r="FL847" s="9" t="n">
        <f aca="false" t="array" ref="FL847:FL847">IF(FL846=0,0,IF(FL846/'🎚️ Escenario'!$C$11&gt;=36,$AL$23,INDEX($C$23:$AL$23,MAX(1,ROUNDUP(FL846/'🎚️ Escenario'!$C$11,0)))))</f>
        <v>0.27</v>
      </c>
      <c r="FM847" s="9" t="n">
        <f aca="false" t="array" ref="FM847:FM847">IF(FM846=0,0,IF(FM846/'🎚️ Escenario'!$C$11&gt;=36,$AL$23,INDEX($C$23:$AL$23,MAX(1,ROUNDUP(FM846/'🎚️ Escenario'!$C$11,0)))))</f>
        <v>0.27</v>
      </c>
      <c r="FN847" s="9" t="n">
        <f aca="false" t="array" ref="FN847:FN847">IF(FN846=0,0,IF(FN846/'🎚️ Escenario'!$C$11&gt;=36,$AL$23,INDEX($C$23:$AL$23,MAX(1,ROUNDUP(FN846/'🎚️ Escenario'!$C$11,0)))))</f>
        <v>0.31</v>
      </c>
      <c r="FO847" s="9" t="n">
        <f aca="false" t="array" ref="FO847:FO847">IF(FO846=0,0,IF(FO846/'🎚️ Escenario'!$C$11&gt;=36,$AL$23,INDEX($C$23:$AL$23,MAX(1,ROUNDUP(FO846/'🎚️ Escenario'!$C$11,0)))))</f>
        <v>0.35</v>
      </c>
      <c r="FP847" s="9" t="n">
        <f aca="false" t="array" ref="FP847:FP847">IF(FP846=0,0,IF(FP846/'🎚️ Escenario'!$C$11&gt;=36,$AL$23,INDEX($C$23:$AL$23,MAX(1,ROUNDUP(FP846/'🎚️ Escenario'!$C$11,0)))))</f>
        <v>0.39</v>
      </c>
    </row>
    <row r="848" customFormat="false" ht="15" hidden="false" customHeight="false" outlineLevel="2" collapsed="false">
      <c r="B848" s="9" t="s">
        <v>875</v>
      </c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237" t="n">
        <f aca="false">IF(AC846=0,0,IF(AC846&lt;=12*'🎚️ Escenario'!$C$11,1,1+$C$6))</f>
        <v>0</v>
      </c>
      <c r="AD848" s="237" t="n">
        <f aca="false">IF(AD846=0,0,IF(AD846&lt;=12*'🎚️ Escenario'!$C$11,1,1+$C$6))</f>
        <v>0</v>
      </c>
      <c r="AE848" s="237" t="n">
        <f aca="false">IF(AE846=0,0,IF(AE846&lt;=12*'🎚️ Escenario'!$C$11,1,1+$C$6))</f>
        <v>0</v>
      </c>
      <c r="AF848" s="237" t="n">
        <f aca="false">IF(AF846=0,0,IF(AF846&lt;=12*'🎚️ Escenario'!$C$11,1,1+$C$6))</f>
        <v>0</v>
      </c>
      <c r="AG848" s="237" t="n">
        <f aca="false">IF(AG846=0,0,IF(AG846&lt;=12*'🎚️ Escenario'!$C$11,1,1+$C$6))</f>
        <v>0</v>
      </c>
      <c r="AH848" s="237" t="n">
        <f aca="false">IF(AH846=0,0,IF(AH846&lt;=12*'🎚️ Escenario'!$C$11,1,1+$C$6))</f>
        <v>0</v>
      </c>
      <c r="AI848" s="237" t="n">
        <f aca="false">IF(AI846=0,0,IF(AI846&lt;=12*'🎚️ Escenario'!$C$11,1,1+$C$6))</f>
        <v>0</v>
      </c>
      <c r="AJ848" s="237" t="n">
        <f aca="false">IF(AJ846=0,0,IF(AJ846&lt;=12*'🎚️ Escenario'!$C$11,1,1+$C$6))</f>
        <v>0</v>
      </c>
      <c r="AK848" s="237" t="n">
        <f aca="false">IF(AK846=0,0,IF(AK846&lt;=12*'🎚️ Escenario'!$C$11,1,1+$C$6))</f>
        <v>0</v>
      </c>
      <c r="AL848" s="237" t="n">
        <f aca="false">IF(AL846=0,0,IF(AL846&lt;=12*'🎚️ Escenario'!$C$11,1,1+$C$6))</f>
        <v>0</v>
      </c>
      <c r="AM848" s="237" t="n">
        <f aca="false">IF(AM846=0,0,IF(AM846&lt;=12*'🎚️ Escenario'!$C$11,1,1+$C$6))</f>
        <v>0</v>
      </c>
      <c r="AN848" s="237" t="n">
        <f aca="false">IF(AN846=0,0,IF(AN846&lt;=12*'🎚️ Escenario'!$C$11,1,1+$C$6))</f>
        <v>0</v>
      </c>
      <c r="AO848" s="237" t="n">
        <f aca="false">IF(AO846=0,0,IF(AO846&lt;=12*'🎚️ Escenario'!$C$11,1,1+$C$6))</f>
        <v>0</v>
      </c>
      <c r="AP848" s="237" t="n">
        <f aca="false">IF(AP846=0,0,IF(AP846&lt;=12*'🎚️ Escenario'!$C$11,1,1+$C$6))</f>
        <v>0</v>
      </c>
      <c r="AQ848" s="237" t="n">
        <f aca="false">IF(AQ846=0,0,IF(AQ846&lt;=12*'🎚️ Escenario'!$C$11,1,1+$C$6))</f>
        <v>0</v>
      </c>
      <c r="AR848" s="237" t="n">
        <f aca="false">IF(AR846=0,0,IF(AR846&lt;=12*'🎚️ Escenario'!$C$11,1,1+$C$6))</f>
        <v>0</v>
      </c>
      <c r="AS848" s="237" t="n">
        <f aca="false">IF(AS846=0,0,IF(AS846&lt;=12*'🎚️ Escenario'!$C$11,1,1+$C$6))</f>
        <v>0</v>
      </c>
      <c r="AT848" s="237" t="n">
        <f aca="false">IF(AT846=0,0,IF(AT846&lt;=12*'🎚️ Escenario'!$C$11,1,1+$C$6))</f>
        <v>0</v>
      </c>
      <c r="AU848" s="237" t="n">
        <f aca="false">IF(AU846=0,0,IF(AU846&lt;=12*'🎚️ Escenario'!$C$11,1,1+$C$6))</f>
        <v>0</v>
      </c>
      <c r="AV848" s="237" t="n">
        <f aca="false">IF(AV846=0,0,IF(AV846&lt;=12*'🎚️ Escenario'!$C$11,1,1+$C$6))</f>
        <v>0</v>
      </c>
      <c r="AW848" s="237" t="n">
        <f aca="false">IF(AW846=0,0,IF(AW846&lt;=12*'🎚️ Escenario'!$C$11,1,1+$C$6))</f>
        <v>0</v>
      </c>
      <c r="AX848" s="237" t="n">
        <f aca="false">IF(AX846=0,0,IF(AX846&lt;=12*'🎚️ Escenario'!$C$11,1,1+$C$6))</f>
        <v>0</v>
      </c>
      <c r="AY848" s="237" t="n">
        <f aca="false">IF(AY846=0,0,IF(AY846&lt;=12*'🎚️ Escenario'!$C$11,1,1+$C$6))</f>
        <v>0</v>
      </c>
      <c r="AZ848" s="237" t="n">
        <f aca="false">IF(AZ846=0,0,IF(AZ846&lt;=12*'🎚️ Escenario'!$C$11,1,1+$C$6))</f>
        <v>0</v>
      </c>
      <c r="BA848" s="237" t="n">
        <f aca="false">IF(BA846=0,0,IF(BA846&lt;=12*'🎚️ Escenario'!$C$11,1,1+$C$6))</f>
        <v>0</v>
      </c>
      <c r="BB848" s="237" t="n">
        <f aca="false">IF(BB846=0,0,IF(BB846&lt;=12*'🎚️ Escenario'!$C$11,1,1+$C$6))</f>
        <v>0</v>
      </c>
      <c r="BC848" s="237" t="n">
        <f aca="false">IF(BC846=0,0,IF(BC846&lt;=12*'🎚️ Escenario'!$C$11,1,1+$C$6))</f>
        <v>0</v>
      </c>
      <c r="BD848" s="237" t="n">
        <f aca="false">IF(BD846=0,0,IF(BD846&lt;=12*'🎚️ Escenario'!$C$11,1,1+$C$6))</f>
        <v>0</v>
      </c>
      <c r="BE848" s="237" t="n">
        <f aca="false">IF(BE846=0,0,IF(BE846&lt;=12*'🎚️ Escenario'!$C$11,1,1+$C$6))</f>
        <v>0</v>
      </c>
      <c r="BF848" s="237" t="n">
        <f aca="false">IF(BF846=0,0,IF(BF846&lt;=12*'🎚️ Escenario'!$C$11,1,1+$C$6))</f>
        <v>0</v>
      </c>
      <c r="BG848" s="237" t="n">
        <f aca="false">IF(BG846=0,0,IF(BG846&lt;=12*'🎚️ Escenario'!$C$11,1,1+$C$6))</f>
        <v>0</v>
      </c>
      <c r="BH848" s="237" t="n">
        <f aca="false">IF(BH846=0,0,IF(BH846&lt;=12*'🎚️ Escenario'!$C$11,1,1+$C$6))</f>
        <v>0</v>
      </c>
      <c r="BI848" s="237" t="n">
        <f aca="false">IF(BI846=0,0,IF(BI846&lt;=12*'🎚️ Escenario'!$C$11,1,1+$C$6))</f>
        <v>0</v>
      </c>
      <c r="BJ848" s="237" t="n">
        <f aca="false">IF(BJ846=0,0,IF(BJ846&lt;=12*'🎚️ Escenario'!$C$11,1,1+$C$6))</f>
        <v>0</v>
      </c>
      <c r="BK848" s="237" t="n">
        <f aca="false">IF(BK846=0,0,IF(BK846&lt;=12*'🎚️ Escenario'!$C$11,1,1+$C$6))</f>
        <v>0</v>
      </c>
      <c r="BL848" s="237" t="n">
        <f aca="false">IF(BL846=0,0,IF(BL846&lt;=12*'🎚️ Escenario'!$C$11,1,1+$C$6))</f>
        <v>0</v>
      </c>
      <c r="BM848" s="237" t="n">
        <f aca="false">IF(BM846=0,0,IF(BM846&lt;=12*'🎚️ Escenario'!$C$11,1,1+$C$6))</f>
        <v>0</v>
      </c>
      <c r="BN848" s="237" t="n">
        <f aca="false">IF(BN846=0,0,IF(BN846&lt;=12*'🎚️ Escenario'!$C$11,1,1+$C$6))</f>
        <v>0</v>
      </c>
      <c r="BO848" s="237" t="n">
        <f aca="false">IF(BO846=0,0,IF(BO846&lt;=12*'🎚️ Escenario'!$C$11,1,1+$C$6))</f>
        <v>0</v>
      </c>
      <c r="BP848" s="237" t="n">
        <f aca="false">IF(BP846=0,0,IF(BP846&lt;=12*'🎚️ Escenario'!$C$11,1,1+$C$6))</f>
        <v>0</v>
      </c>
      <c r="BQ848" s="237" t="n">
        <f aca="false">IF(BQ846=0,0,IF(BQ846&lt;=12*'🎚️ Escenario'!$C$11,1,1+$C$6))</f>
        <v>0</v>
      </c>
      <c r="BR848" s="237" t="n">
        <f aca="false">IF(BR846=0,0,IF(BR846&lt;=12*'🎚️ Escenario'!$C$11,1,1+$C$6))</f>
        <v>0</v>
      </c>
      <c r="BS848" s="237" t="n">
        <f aca="false">IF(BS846=0,0,IF(BS846&lt;=12*'🎚️ Escenario'!$C$11,1,1+$C$6))</f>
        <v>0</v>
      </c>
      <c r="BT848" s="237" t="n">
        <f aca="false">IF(BT846=0,0,IF(BT846&lt;=12*'🎚️ Escenario'!$C$11,1,1+$C$6))</f>
        <v>0</v>
      </c>
      <c r="BU848" s="237" t="n">
        <f aca="false">IF(BU846=0,0,IF(BU846&lt;=12*'🎚️ Escenario'!$C$11,1,1+$C$6))</f>
        <v>0</v>
      </c>
      <c r="BV848" s="237" t="n">
        <f aca="false">IF(BV846=0,0,IF(BV846&lt;=12*'🎚️ Escenario'!$C$11,1,1+$C$6))</f>
        <v>0</v>
      </c>
      <c r="BW848" s="237" t="n">
        <f aca="false">IF(BW846=0,0,IF(BW846&lt;=12*'🎚️ Escenario'!$C$11,1,1+$C$6))</f>
        <v>0</v>
      </c>
      <c r="BX848" s="237" t="n">
        <f aca="false">IF(BX846=0,0,IF(BX846&lt;=12*'🎚️ Escenario'!$C$11,1,1+$C$6))</f>
        <v>0</v>
      </c>
      <c r="BY848" s="237" t="n">
        <f aca="false">IF(BY846=0,0,IF(BY846&lt;=12*'🎚️ Escenario'!$C$11,1,1+$C$6))</f>
        <v>0</v>
      </c>
      <c r="BZ848" s="237" t="n">
        <f aca="false">IF(BZ846=0,0,IF(BZ846&lt;=12*'🎚️ Escenario'!$C$11,1,1+$C$6))</f>
        <v>0</v>
      </c>
      <c r="CA848" s="237" t="n">
        <f aca="false">IF(CA846=0,0,IF(CA846&lt;=12*'🎚️ Escenario'!$C$11,1,1+$C$6))</f>
        <v>0</v>
      </c>
      <c r="CB848" s="237" t="n">
        <f aca="false">IF(CB846=0,0,IF(CB846&lt;=12*'🎚️ Escenario'!$C$11,1,1+$C$6))</f>
        <v>0</v>
      </c>
      <c r="CC848" s="237" t="n">
        <f aca="false">IF(CC846=0,0,IF(CC846&lt;=12*'🎚️ Escenario'!$C$11,1,1+$C$6))</f>
        <v>0</v>
      </c>
      <c r="CD848" s="237" t="n">
        <f aca="false">IF(CD846=0,0,IF(CD846&lt;=12*'🎚️ Escenario'!$C$11,1,1+$C$6))</f>
        <v>0</v>
      </c>
      <c r="CE848" s="237" t="n">
        <f aca="false">IF(CE846=0,0,IF(CE846&lt;=12*'🎚️ Escenario'!$C$11,1,1+$C$6))</f>
        <v>0</v>
      </c>
      <c r="CF848" s="237" t="n">
        <f aca="false">IF(CF846=0,0,IF(CF846&lt;=12*'🎚️ Escenario'!$C$11,1,1+$C$6))</f>
        <v>0</v>
      </c>
      <c r="CG848" s="237" t="n">
        <f aca="false">IF(CG846=0,0,IF(CG846&lt;=12*'🎚️ Escenario'!$C$11,1,1+$C$6))</f>
        <v>0</v>
      </c>
      <c r="CH848" s="237" t="n">
        <f aca="false">IF(CH846=0,0,IF(CH846&lt;=12*'🎚️ Escenario'!$C$11,1,1+$C$6))</f>
        <v>0</v>
      </c>
      <c r="CI848" s="237" t="n">
        <f aca="false">IF(CI846=0,0,IF(CI846&lt;=12*'🎚️ Escenario'!$C$11,1,1+$C$6))</f>
        <v>0</v>
      </c>
      <c r="CJ848" s="237" t="n">
        <f aca="false">IF(CJ846=0,0,IF(CJ846&lt;=12*'🎚️ Escenario'!$C$11,1,1+$C$6))</f>
        <v>0</v>
      </c>
      <c r="CK848" s="237" t="n">
        <f aca="false">IF(CK846=0,0,IF(CK846&lt;=12*'🎚️ Escenario'!$C$11,1,1+$C$6))</f>
        <v>0</v>
      </c>
      <c r="CL848" s="237" t="n">
        <f aca="false">IF(CL846=0,0,IF(CL846&lt;=12*'🎚️ Escenario'!$C$11,1,1+$C$6))</f>
        <v>0</v>
      </c>
      <c r="CM848" s="237" t="n">
        <f aca="false">IF(CM846=0,0,IF(CM846&lt;=12*'🎚️ Escenario'!$C$11,1,1+$C$6))</f>
        <v>0</v>
      </c>
      <c r="CN848" s="237" t="n">
        <f aca="false">IF(CN846=0,0,IF(CN846&lt;=12*'🎚️ Escenario'!$C$11,1,1+$C$6))</f>
        <v>0</v>
      </c>
      <c r="CO848" s="237" t="n">
        <f aca="false">IF(CO846=0,0,IF(CO846&lt;=12*'🎚️ Escenario'!$C$11,1,1+$C$6))</f>
        <v>0</v>
      </c>
      <c r="CP848" s="237" t="n">
        <f aca="false">IF(CP846=0,0,IF(CP846&lt;=12*'🎚️ Escenario'!$C$11,1,1+$C$6))</f>
        <v>0</v>
      </c>
      <c r="CQ848" s="237" t="n">
        <f aca="false">IF(CQ846=0,0,IF(CQ846&lt;=12*'🎚️ Escenario'!$C$11,1,1+$C$6))</f>
        <v>0</v>
      </c>
      <c r="CR848" s="237" t="n">
        <f aca="false">IF(CR846=0,0,IF(CR846&lt;=12*'🎚️ Escenario'!$C$11,1,1+$C$6))</f>
        <v>0</v>
      </c>
      <c r="CS848" s="237" t="n">
        <f aca="false">IF(CS846=0,0,IF(CS846&lt;=12*'🎚️ Escenario'!$C$11,1,1+$C$6))</f>
        <v>0</v>
      </c>
      <c r="CT848" s="237" t="n">
        <f aca="false">IF(CT846=0,0,IF(CT846&lt;=12*'🎚️ Escenario'!$C$11,1,1+$C$6))</f>
        <v>0</v>
      </c>
      <c r="CU848" s="237" t="n">
        <f aca="false">IF(CU846=0,0,IF(CU846&lt;=12*'🎚️ Escenario'!$C$11,1,1+$C$6))</f>
        <v>0</v>
      </c>
      <c r="CV848" s="237" t="n">
        <f aca="false">IF(CV846=0,0,IF(CV846&lt;=12*'🎚️ Escenario'!$C$11,1,1+$C$6))</f>
        <v>0</v>
      </c>
      <c r="CW848" s="237" t="n">
        <f aca="false">IF(CW846=0,0,IF(CW846&lt;=12*'🎚️ Escenario'!$C$11,1,1+$C$6))</f>
        <v>0</v>
      </c>
      <c r="CX848" s="237" t="n">
        <f aca="false">IF(CX846=0,0,IF(CX846&lt;=12*'🎚️ Escenario'!$C$11,1,1+$C$6))</f>
        <v>0</v>
      </c>
      <c r="CY848" s="237" t="n">
        <f aca="false">IF(CY846=0,0,IF(CY846&lt;=12*'🎚️ Escenario'!$C$11,1,1+$C$6))</f>
        <v>0</v>
      </c>
      <c r="CZ848" s="237" t="n">
        <f aca="false">IF(CZ846=0,0,IF(CZ846&lt;=12*'🎚️ Escenario'!$C$11,1,1+$C$6))</f>
        <v>0</v>
      </c>
      <c r="DA848" s="237" t="n">
        <f aca="false">IF(DA846=0,0,IF(DA846&lt;=12*'🎚️ Escenario'!$C$11,1,1+$C$6))</f>
        <v>0</v>
      </c>
      <c r="DB848" s="237" t="n">
        <f aca="false">IF(DB846=0,0,IF(DB846&lt;=12*'🎚️ Escenario'!$C$11,1,1+$C$6))</f>
        <v>0</v>
      </c>
      <c r="DC848" s="237" t="n">
        <f aca="false">IF(DC846=0,0,IF(DC846&lt;=12*'🎚️ Escenario'!$C$11,1,1+$C$6))</f>
        <v>0</v>
      </c>
      <c r="DD848" s="237" t="n">
        <f aca="false">IF(DD846=0,0,IF(DD846&lt;=12*'🎚️ Escenario'!$C$11,1,1+$C$6))</f>
        <v>0</v>
      </c>
      <c r="DE848" s="237" t="n">
        <f aca="false">IF(DE846=0,0,IF(DE846&lt;=12*'🎚️ Escenario'!$C$11,1,1+$C$6))</f>
        <v>0</v>
      </c>
      <c r="DF848" s="237" t="n">
        <f aca="false">IF(DF846=0,0,IF(DF846&lt;=12*'🎚️ Escenario'!$C$11,1,1+$C$6))</f>
        <v>0</v>
      </c>
      <c r="DG848" s="237" t="n">
        <f aca="false">IF(DG846=0,0,IF(DG846&lt;=12*'🎚️ Escenario'!$C$11,1,1+$C$6))</f>
        <v>0</v>
      </c>
      <c r="DH848" s="237" t="n">
        <f aca="false">IF(DH846=0,0,IF(DH846&lt;=12*'🎚️ Escenario'!$C$11,1,1+$C$6))</f>
        <v>0</v>
      </c>
      <c r="DI848" s="237" t="n">
        <f aca="false">IF(DI846=0,0,IF(DI846&lt;=12*'🎚️ Escenario'!$C$11,1,1+$C$6))</f>
        <v>0</v>
      </c>
      <c r="DJ848" s="237" t="n">
        <f aca="false">IF(DJ846=0,0,IF(DJ846&lt;=12*'🎚️ Escenario'!$C$11,1,1+$C$6))</f>
        <v>0</v>
      </c>
      <c r="DK848" s="237" t="n">
        <f aca="false">IF(DK846=0,0,IF(DK846&lt;=12*'🎚️ Escenario'!$C$11,1,1+$C$6))</f>
        <v>0</v>
      </c>
      <c r="DL848" s="237" t="n">
        <f aca="false">IF(DL846=0,0,IF(DL846&lt;=12*'🎚️ Escenario'!$C$11,1,1+$C$6))</f>
        <v>0</v>
      </c>
      <c r="DM848" s="237" t="n">
        <f aca="false">IF(DM846=0,0,IF(DM846&lt;=12*'🎚️ Escenario'!$C$11,1,1+$C$6))</f>
        <v>0</v>
      </c>
      <c r="DN848" s="237" t="n">
        <f aca="false">IF(DN846=0,0,IF(DN846&lt;=12*'🎚️ Escenario'!$C$11,1,1+$C$6))</f>
        <v>0</v>
      </c>
      <c r="DO848" s="237" t="n">
        <f aca="false">IF(DO846=0,0,IF(DO846&lt;=12*'🎚️ Escenario'!$C$11,1,1+$C$6))</f>
        <v>0</v>
      </c>
      <c r="DP848" s="237" t="n">
        <f aca="false">IF(DP846=0,0,IF(DP846&lt;=12*'🎚️ Escenario'!$C$11,1,1+$C$6))</f>
        <v>0</v>
      </c>
      <c r="DQ848" s="237" t="n">
        <f aca="false">IF(DQ846=0,0,IF(DQ846&lt;=12*'🎚️ Escenario'!$C$11,1,1+$C$6))</f>
        <v>0</v>
      </c>
      <c r="DR848" s="237" t="n">
        <f aca="false">IF(DR846=0,0,IF(DR846&lt;=12*'🎚️ Escenario'!$C$11,1,1+$C$6))</f>
        <v>0</v>
      </c>
      <c r="DS848" s="237" t="n">
        <f aca="false">IF(DS846=0,0,IF(DS846&lt;=12*'🎚️ Escenario'!$C$11,1,1+$C$6))</f>
        <v>0</v>
      </c>
      <c r="DT848" s="237" t="n">
        <f aca="false">IF(DT846=0,0,IF(DT846&lt;=12*'🎚️ Escenario'!$C$11,1,1+$C$6))</f>
        <v>0</v>
      </c>
      <c r="DU848" s="237" t="n">
        <f aca="false">IF(DU846=0,0,IF(DU846&lt;=12*'🎚️ Escenario'!$C$11,1,1+$C$6))</f>
        <v>0</v>
      </c>
      <c r="DV848" s="237" t="n">
        <f aca="false">IF(DV846=0,0,IF(DV846&lt;=12*'🎚️ Escenario'!$C$11,1,1+$C$6))</f>
        <v>0</v>
      </c>
      <c r="DW848" s="237" t="n">
        <f aca="false">IF(DW846=0,0,IF(DW846&lt;=12*'🎚️ Escenario'!$C$11,1,1+$C$6))</f>
        <v>0</v>
      </c>
      <c r="DX848" s="237" t="n">
        <f aca="false">IF(DX846=0,0,IF(DX846&lt;=12*'🎚️ Escenario'!$C$11,1,1+$C$6))</f>
        <v>0</v>
      </c>
      <c r="DY848" s="237" t="n">
        <f aca="false">IF(DY846=0,0,IF(DY846&lt;=12*'🎚️ Escenario'!$C$11,1,1+$C$6))</f>
        <v>0</v>
      </c>
      <c r="DZ848" s="237" t="n">
        <f aca="false">IF(DZ846=0,0,IF(DZ846&lt;=12*'🎚️ Escenario'!$C$11,1,1+$C$6))</f>
        <v>0</v>
      </c>
      <c r="EA848" s="237" t="n">
        <f aca="false">IF(EA846=0,0,IF(EA846&lt;=12*'🎚️ Escenario'!$C$11,1,1+$C$6))</f>
        <v>0</v>
      </c>
      <c r="EB848" s="237" t="n">
        <f aca="false">IF(EB846=0,0,IF(EB846&lt;=12*'🎚️ Escenario'!$C$11,1,1+$C$6))</f>
        <v>0</v>
      </c>
      <c r="EC848" s="237" t="n">
        <f aca="false">IF(EC846=0,0,IF(EC846&lt;=12*'🎚️ Escenario'!$C$11,1,1+$C$6))</f>
        <v>0</v>
      </c>
      <c r="ED848" s="237" t="n">
        <f aca="false">IF(ED846=0,0,IF(ED846&lt;=12*'🎚️ Escenario'!$C$11,1,1+$C$6))</f>
        <v>0</v>
      </c>
      <c r="EE848" s="237" t="n">
        <f aca="false">IF(EE846=0,0,IF(EE846&lt;=12*'🎚️ Escenario'!$C$11,1,1+$C$6))</f>
        <v>0</v>
      </c>
      <c r="EF848" s="237" t="n">
        <f aca="false">IF(EF846=0,0,IF(EF846&lt;=12*'🎚️ Escenario'!$C$11,1,1+$C$6))</f>
        <v>0</v>
      </c>
      <c r="EG848" s="237" t="n">
        <f aca="false">IF(EG846=0,0,IF(EG846&lt;=12*'🎚️ Escenario'!$C$11,1,1+$C$6))</f>
        <v>0</v>
      </c>
      <c r="EH848" s="237" t="n">
        <f aca="false">IF(EH846=0,0,IF(EH846&lt;=12*'🎚️ Escenario'!$C$11,1,1+$C$6))</f>
        <v>0</v>
      </c>
      <c r="EI848" s="237" t="n">
        <f aca="false">IF(EI846=0,0,IF(EI846&lt;=12*'🎚️ Escenario'!$C$11,1,1+$C$6))</f>
        <v>0</v>
      </c>
      <c r="EJ848" s="237" t="n">
        <f aca="false">IF(EJ846=0,0,IF(EJ846&lt;=12*'🎚️ Escenario'!$C$11,1,1+$C$6))</f>
        <v>0</v>
      </c>
      <c r="EK848" s="237" t="n">
        <f aca="false">IF(EK846=0,0,IF(EK846&lt;=12*'🎚️ Escenario'!$C$11,1,1+$C$6))</f>
        <v>0</v>
      </c>
      <c r="EL848" s="237" t="n">
        <f aca="false">IF(EL846=0,0,IF(EL846&lt;=12*'🎚️ Escenario'!$C$11,1,1+$C$6))</f>
        <v>0</v>
      </c>
      <c r="EM848" s="237" t="n">
        <f aca="false">IF(EM846=0,0,IF(EM846&lt;=12*'🎚️ Escenario'!$C$11,1,1+$C$6))</f>
        <v>0</v>
      </c>
      <c r="EN848" s="237" t="n">
        <f aca="false">IF(EN846=0,0,IF(EN846&lt;=12*'🎚️ Escenario'!$C$11,1,1+$C$6))</f>
        <v>0</v>
      </c>
      <c r="EO848" s="237" t="n">
        <f aca="false">IF(EO846=0,0,IF(EO846&lt;=12*'🎚️ Escenario'!$C$11,1,1+$C$6))</f>
        <v>0</v>
      </c>
      <c r="EP848" s="237" t="n">
        <f aca="false">IF(EP846=0,0,IF(EP846&lt;=12*'🎚️ Escenario'!$C$11,1,1+$C$6))</f>
        <v>0</v>
      </c>
      <c r="EQ848" s="237" t="n">
        <f aca="false">IF(EQ846=0,0,IF(EQ846&lt;=12*'🎚️ Escenario'!$C$11,1,1+$C$6))</f>
        <v>0</v>
      </c>
      <c r="ER848" s="237" t="n">
        <f aca="false">IF(ER846=0,0,IF(ER846&lt;=12*'🎚️ Escenario'!$C$11,1,1+$C$6))</f>
        <v>0</v>
      </c>
      <c r="ES848" s="9" t="n">
        <f aca="false">IF(ES846=0,0,IF(ES846&lt;=12*'🎚️ Escenario'!$C$11,1,1+$C$6))</f>
        <v>0</v>
      </c>
      <c r="ET848" s="9" t="n">
        <f aca="false">IF(ET846=0,0,IF(ET846&lt;=12*'🎚️ Escenario'!$C$11,1,1+$C$6))</f>
        <v>0</v>
      </c>
      <c r="EU848" s="9" t="n">
        <f aca="false">IF(EU846=0,0,IF(EU846&lt;=12*'🎚️ Escenario'!$C$11,1,1+$C$6))</f>
        <v>0</v>
      </c>
      <c r="EV848" s="9" t="n">
        <f aca="false">IF(EV846=0,0,IF(EV846&lt;=12*'🎚️ Escenario'!$C$11,1,1+$C$6))</f>
        <v>0</v>
      </c>
      <c r="EW848" s="9" t="n">
        <f aca="false">IF(EW846=0,0,IF(EW846&lt;=12*'🎚️ Escenario'!$C$11,1,1+$C$6))</f>
        <v>0</v>
      </c>
      <c r="EX848" s="9" t="n">
        <f aca="false">IF(EX846=0,0,IF(EX846&lt;=12*'🎚️ Escenario'!$C$11,1,1+$C$6))</f>
        <v>0</v>
      </c>
      <c r="EY848" s="9" t="n">
        <f aca="false">IF(EY846=0,0,IF(EY846&lt;=12*'🎚️ Escenario'!$C$11,1,1+$C$6))</f>
        <v>0</v>
      </c>
      <c r="EZ848" s="9" t="n">
        <f aca="false">IF(EZ846=0,0,IF(EZ846&lt;=12*'🎚️ Escenario'!$C$11,1,1+$C$6))</f>
        <v>0</v>
      </c>
      <c r="FA848" s="9" t="n">
        <f aca="false">IF(FA846=0,0,IF(FA846&lt;=12*'🎚️ Escenario'!$C$11,1,1+$C$6))</f>
        <v>0</v>
      </c>
      <c r="FB848" s="9" t="n">
        <f aca="false">IF(FB846=0,0,IF(FB846&lt;=12*'🎚️ Escenario'!$C$11,1,1+$C$6))</f>
        <v>0</v>
      </c>
      <c r="FC848" s="9" t="n">
        <f aca="false">IF(FC846=0,0,IF(FC846&lt;=12*'🎚️ Escenario'!$C$11,1,1+$C$6))</f>
        <v>0</v>
      </c>
      <c r="FD848" s="9" t="n">
        <f aca="false">IF(FD846=0,0,IF(FD846&lt;=12*'🎚️ Escenario'!$C$11,1,1+$C$6))</f>
        <v>0</v>
      </c>
      <c r="FE848" s="9" t="n">
        <f aca="false">IF(FE846=0,0,IF(FE846&lt;=12*'🎚️ Escenario'!$C$11,1,1+$C$6))</f>
        <v>0</v>
      </c>
      <c r="FF848" s="9" t="n">
        <f aca="false">IF(FF846=0,0,IF(FF846&lt;=12*'🎚️ Escenario'!$C$11,1,1+$C$6))</f>
        <v>0</v>
      </c>
      <c r="FG848" s="9" t="n">
        <f aca="false">IF(FG846=0,0,IF(FG846&lt;=12*'🎚️ Escenario'!$C$11,1,1+$C$6))</f>
        <v>0</v>
      </c>
      <c r="FH848" s="9" t="n">
        <f aca="false">IF(FH846=0,0,IF(FH846&lt;=12*'🎚️ Escenario'!$C$11,1,1+$C$6))</f>
        <v>0</v>
      </c>
      <c r="FI848" s="9" t="n">
        <f aca="false">IF(FI846=0,0,IF(FI846&lt;=12*'🎚️ Escenario'!$C$11,1,1+$C$6))</f>
        <v>1</v>
      </c>
      <c r="FJ848" s="9" t="n">
        <f aca="false">IF(FJ846=0,0,IF(FJ846&lt;=12*'🎚️ Escenario'!$C$11,1,1+$C$6))</f>
        <v>1</v>
      </c>
      <c r="FK848" s="9" t="n">
        <f aca="false">IF(FK846=0,0,IF(FK846&lt;=12*'🎚️ Escenario'!$C$11,1,1+$C$6))</f>
        <v>1</v>
      </c>
      <c r="FL848" s="9" t="n">
        <f aca="false">IF(FL846=0,0,IF(FL846&lt;=12*'🎚️ Escenario'!$C$11,1,1+$C$6))</f>
        <v>1</v>
      </c>
      <c r="FM848" s="9" t="n">
        <f aca="false">IF(FM846=0,0,IF(FM846&lt;=12*'🎚️ Escenario'!$C$11,1,1+$C$6))</f>
        <v>1</v>
      </c>
      <c r="FN848" s="9" t="n">
        <f aca="false">IF(FN846=0,0,IF(FN846&lt;=12*'🎚️ Escenario'!$C$11,1,1+$C$6))</f>
        <v>1</v>
      </c>
      <c r="FO848" s="9" t="n">
        <f aca="false">IF(FO846=0,0,IF(FO846&lt;=12*'🎚️ Escenario'!$C$11,1,1+$C$6))</f>
        <v>1</v>
      </c>
      <c r="FP848" s="9" t="n">
        <f aca="false">IF(FP846=0,0,IF(FP846&lt;=12*'🎚️ Escenario'!$C$11,1,1+$C$6))</f>
        <v>1</v>
      </c>
    </row>
    <row r="849" customFormat="false" ht="15" hidden="false" customHeight="false" outlineLevel="2" collapsed="false">
      <c r="B849" s="9" t="s">
        <v>876</v>
      </c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36" t="n">
        <f aca="false">AC847*$AC$845*AC848*AC$38*'⑫ Roll-out Plan'!$O$89</f>
        <v>0</v>
      </c>
      <c r="AD849" s="36" t="n">
        <f aca="false">AD847*$AC$845*AD848*AD$38*'⑫ Roll-out Plan'!$O$89</f>
        <v>0</v>
      </c>
      <c r="AE849" s="36" t="n">
        <f aca="false">AE847*$AC$845*AE848*AE$38*'⑫ Roll-out Plan'!$O$89</f>
        <v>0</v>
      </c>
      <c r="AF849" s="36" t="n">
        <f aca="false">AF847*$AC$845*AF848*AF$38*'⑫ Roll-out Plan'!$O$89</f>
        <v>0</v>
      </c>
      <c r="AG849" s="36" t="n">
        <f aca="false">AG847*$AC$845*AG848*AG$38*'⑫ Roll-out Plan'!$O$89</f>
        <v>0</v>
      </c>
      <c r="AH849" s="36" t="n">
        <f aca="false">AH847*$AC$845*AH848*AH$38*'⑫ Roll-out Plan'!$O$89</f>
        <v>0</v>
      </c>
      <c r="AI849" s="36" t="n">
        <f aca="false">AI847*$AC$845*AI848*AI$38*'⑫ Roll-out Plan'!$O$89</f>
        <v>0</v>
      </c>
      <c r="AJ849" s="36" t="n">
        <f aca="false">AJ847*$AC$845*AJ848*AJ$38*'⑫ Roll-out Plan'!$O$89</f>
        <v>0</v>
      </c>
      <c r="AK849" s="36" t="n">
        <f aca="false">AK847*$AC$845*AK848*AK$38*'⑫ Roll-out Plan'!$O$89</f>
        <v>0</v>
      </c>
      <c r="AL849" s="36" t="n">
        <f aca="false">AL847*$AC$845*AL848*AL$38*'⑫ Roll-out Plan'!$O$89</f>
        <v>0</v>
      </c>
      <c r="AM849" s="36" t="n">
        <f aca="false">AM847*$AC$845*AM848*AM$38*'⑫ Roll-out Plan'!$O$89</f>
        <v>0</v>
      </c>
      <c r="AN849" s="36" t="n">
        <f aca="false">AN847*$AC$845*AN848*AN$38*'⑫ Roll-out Plan'!$O$89</f>
        <v>0</v>
      </c>
      <c r="AO849" s="36" t="n">
        <f aca="false">AO847*$AC$845*AO848*AO$38*'⑫ Roll-out Plan'!$O$89</f>
        <v>0</v>
      </c>
      <c r="AP849" s="36" t="n">
        <f aca="false">AP847*$AC$845*AP848*AP$38*'⑫ Roll-out Plan'!$O$89</f>
        <v>0</v>
      </c>
      <c r="AQ849" s="36" t="n">
        <f aca="false">AQ847*$AC$845*AQ848*AQ$38*'⑫ Roll-out Plan'!$O$89</f>
        <v>0</v>
      </c>
      <c r="AR849" s="36" t="n">
        <f aca="false">AR847*$AC$845*AR848*AR$38*'⑫ Roll-out Plan'!$O$89</f>
        <v>0</v>
      </c>
      <c r="AS849" s="36" t="n">
        <f aca="false">AS847*$AC$845*AS848*AS$38*'⑫ Roll-out Plan'!$O$89</f>
        <v>0</v>
      </c>
      <c r="AT849" s="36" t="n">
        <f aca="false">AT847*$AC$845*AT848*AT$38*'⑫ Roll-out Plan'!$O$89</f>
        <v>0</v>
      </c>
      <c r="AU849" s="36" t="n">
        <f aca="false">AU847*$AC$845*AU848*AU$38*'⑫ Roll-out Plan'!$O$89</f>
        <v>0</v>
      </c>
      <c r="AV849" s="36" t="n">
        <f aca="false">AV847*$AC$845*AV848*AV$38*'⑫ Roll-out Plan'!$O$89</f>
        <v>0</v>
      </c>
      <c r="AW849" s="36" t="n">
        <f aca="false">AW847*$AC$845*AW848*AW$38*'⑫ Roll-out Plan'!$O$89</f>
        <v>0</v>
      </c>
      <c r="AX849" s="36" t="n">
        <f aca="false">AX847*$AC$845*AX848*AX$38*'⑫ Roll-out Plan'!$O$89</f>
        <v>0</v>
      </c>
      <c r="AY849" s="36" t="n">
        <f aca="false">AY847*$AC$845*AY848*AY$38*'⑫ Roll-out Plan'!$O$89</f>
        <v>0</v>
      </c>
      <c r="AZ849" s="36" t="n">
        <f aca="false">AZ847*$AC$845*AZ848*AZ$38*'⑫ Roll-out Plan'!$O$89</f>
        <v>0</v>
      </c>
      <c r="BA849" s="36" t="n">
        <f aca="false">BA847*$AC$845*BA848*BA$38*'⑫ Roll-out Plan'!$O$89</f>
        <v>0</v>
      </c>
      <c r="BB849" s="36" t="n">
        <f aca="false">BB847*$AC$845*BB848*BB$38*'⑫ Roll-out Plan'!$O$89</f>
        <v>0</v>
      </c>
      <c r="BC849" s="36" t="n">
        <f aca="false">BC847*$AC$845*BC848*BC$38*'⑫ Roll-out Plan'!$O$89</f>
        <v>0</v>
      </c>
      <c r="BD849" s="36" t="n">
        <f aca="false">BD847*$AC$845*BD848*BD$38*'⑫ Roll-out Plan'!$O$89</f>
        <v>0</v>
      </c>
      <c r="BE849" s="36" t="n">
        <f aca="false">BE847*$AC$845*BE848*BE$38*'⑫ Roll-out Plan'!$O$89</f>
        <v>0</v>
      </c>
      <c r="BF849" s="36" t="n">
        <f aca="false">BF847*$AC$845*BF848*BF$38*'⑫ Roll-out Plan'!$O$89</f>
        <v>0</v>
      </c>
      <c r="BG849" s="36" t="n">
        <f aca="false">BG847*$AC$845*BG848*BG$38*'⑫ Roll-out Plan'!$O$89</f>
        <v>0</v>
      </c>
      <c r="BH849" s="36" t="n">
        <f aca="false">BH847*$AC$845*BH848*BH$38*'⑫ Roll-out Plan'!$O$89</f>
        <v>0</v>
      </c>
      <c r="BI849" s="36" t="n">
        <f aca="false">BI847*$AC$845*BI848*BI$38*'⑫ Roll-out Plan'!$O$89</f>
        <v>0</v>
      </c>
      <c r="BJ849" s="36" t="n">
        <f aca="false">BJ847*$AC$845*BJ848*BJ$38*'⑫ Roll-out Plan'!$O$89</f>
        <v>0</v>
      </c>
      <c r="BK849" s="36" t="n">
        <f aca="false">BK847*$AC$845*BK848*BK$38*'⑫ Roll-out Plan'!$O$89</f>
        <v>0</v>
      </c>
      <c r="BL849" s="36" t="n">
        <f aca="false">BL847*$AC$845*BL848*BL$38*'⑫ Roll-out Plan'!$O$89</f>
        <v>0</v>
      </c>
      <c r="BM849" s="36" t="n">
        <f aca="false">BM847*$AC$845*BM848*BM$38*'⑫ Roll-out Plan'!$O$89</f>
        <v>0</v>
      </c>
      <c r="BN849" s="36" t="n">
        <f aca="false">BN847*$AC$845*BN848*BN$38*'⑫ Roll-out Plan'!$O$89</f>
        <v>0</v>
      </c>
      <c r="BO849" s="36" t="n">
        <f aca="false">BO847*$AC$845*BO848*BO$38*'⑫ Roll-out Plan'!$O$89</f>
        <v>0</v>
      </c>
      <c r="BP849" s="36" t="n">
        <f aca="false">BP847*$AC$845*BP848*BP$38*'⑫ Roll-out Plan'!$O$89</f>
        <v>0</v>
      </c>
      <c r="BQ849" s="36" t="n">
        <f aca="false">BQ847*$AC$845*BQ848*BQ$38*'⑫ Roll-out Plan'!$O$89</f>
        <v>0</v>
      </c>
      <c r="BR849" s="36" t="n">
        <f aca="false">BR847*$AC$845*BR848*BR$38*'⑫ Roll-out Plan'!$O$89</f>
        <v>0</v>
      </c>
      <c r="BS849" s="36" t="n">
        <f aca="false">BS847*$AC$845*BS848*BS$38*'⑫ Roll-out Plan'!$O$89</f>
        <v>0</v>
      </c>
      <c r="BT849" s="36" t="n">
        <f aca="false">BT847*$AC$845*BT848*BT$38*'⑫ Roll-out Plan'!$O$89</f>
        <v>0</v>
      </c>
      <c r="BU849" s="36" t="n">
        <f aca="false">BU847*$AC$845*BU848*BU$38*'⑫ Roll-out Plan'!$O$89</f>
        <v>0</v>
      </c>
      <c r="BV849" s="36" t="n">
        <f aca="false">BV847*$AC$845*BV848*BV$38*'⑫ Roll-out Plan'!$O$89</f>
        <v>0</v>
      </c>
      <c r="BW849" s="36" t="n">
        <f aca="false">BW847*$AC$845*BW848*BW$38*'⑫ Roll-out Plan'!$O$89</f>
        <v>0</v>
      </c>
      <c r="BX849" s="36" t="n">
        <f aca="false">BX847*$AC$845*BX848*BX$38*'⑫ Roll-out Plan'!$O$89</f>
        <v>0</v>
      </c>
      <c r="BY849" s="36" t="n">
        <f aca="false">BY847*$AC$845*BY848*BY$38*'⑫ Roll-out Plan'!$O$89</f>
        <v>0</v>
      </c>
      <c r="BZ849" s="36" t="n">
        <f aca="false">BZ847*$AC$845*BZ848*BZ$38*'⑫ Roll-out Plan'!$O$89</f>
        <v>0</v>
      </c>
      <c r="CA849" s="36" t="n">
        <f aca="false">CA847*$AC$845*CA848*CA$38*'⑫ Roll-out Plan'!$O$89</f>
        <v>0</v>
      </c>
      <c r="CB849" s="36" t="n">
        <f aca="false">CB847*$AC$845*CB848*CB$38*'⑫ Roll-out Plan'!$O$89</f>
        <v>0</v>
      </c>
      <c r="CC849" s="36" t="n">
        <f aca="false">CC847*$AC$845*CC848*CC$38*'⑫ Roll-out Plan'!$O$89</f>
        <v>0</v>
      </c>
      <c r="CD849" s="36" t="n">
        <f aca="false">CD847*$AC$845*CD848*CD$38*'⑫ Roll-out Plan'!$O$89</f>
        <v>0</v>
      </c>
      <c r="CE849" s="36" t="n">
        <f aca="false">CE847*$AC$845*CE848*CE$38*'⑫ Roll-out Plan'!$O$89</f>
        <v>0</v>
      </c>
      <c r="CF849" s="36" t="n">
        <f aca="false">CF847*$AC$845*CF848*CF$38*'⑫ Roll-out Plan'!$O$89</f>
        <v>0</v>
      </c>
      <c r="CG849" s="36" t="n">
        <f aca="false">CG847*$AC$845*CG848*CG$38*'⑫ Roll-out Plan'!$O$89</f>
        <v>0</v>
      </c>
      <c r="CH849" s="36" t="n">
        <f aca="false">CH847*$AC$845*CH848*CH$38*'⑫ Roll-out Plan'!$O$89</f>
        <v>0</v>
      </c>
      <c r="CI849" s="36" t="n">
        <f aca="false">CI847*$AC$845*CI848*CI$38*'⑫ Roll-out Plan'!$O$89</f>
        <v>0</v>
      </c>
      <c r="CJ849" s="36" t="n">
        <f aca="false">CJ847*$AC$845*CJ848*CJ$38*'⑫ Roll-out Plan'!$O$89</f>
        <v>0</v>
      </c>
      <c r="CK849" s="36" t="n">
        <f aca="false">CK847*$AC$845*CK848*CK$38*'⑫ Roll-out Plan'!$O$89</f>
        <v>0</v>
      </c>
      <c r="CL849" s="36" t="n">
        <f aca="false">CL847*$AC$845*CL848*CL$38*'⑫ Roll-out Plan'!$O$89</f>
        <v>0</v>
      </c>
      <c r="CM849" s="36" t="n">
        <f aca="false">CM847*$AC$845*CM848*CM$38*'⑫ Roll-out Plan'!$O$89</f>
        <v>0</v>
      </c>
      <c r="CN849" s="36" t="n">
        <f aca="false">CN847*$AC$845*CN848*CN$38*'⑫ Roll-out Plan'!$O$89</f>
        <v>0</v>
      </c>
      <c r="CO849" s="36" t="n">
        <f aca="false">CO847*$AC$845*CO848*CO$38*'⑫ Roll-out Plan'!$O$89</f>
        <v>0</v>
      </c>
      <c r="CP849" s="36" t="n">
        <f aca="false">CP847*$AC$845*CP848*CP$38*'⑫ Roll-out Plan'!$O$89</f>
        <v>0</v>
      </c>
      <c r="CQ849" s="36" t="n">
        <f aca="false">CQ847*$AC$845*CQ848*CQ$38*'⑫ Roll-out Plan'!$O$89</f>
        <v>0</v>
      </c>
      <c r="CR849" s="36" t="n">
        <f aca="false">CR847*$AC$845*CR848*CR$38*'⑫ Roll-out Plan'!$O$89</f>
        <v>0</v>
      </c>
      <c r="CS849" s="36" t="n">
        <f aca="false">CS847*$AC$845*CS848*CS$38*'⑫ Roll-out Plan'!$O$89</f>
        <v>0</v>
      </c>
      <c r="CT849" s="36" t="n">
        <f aca="false">CT847*$AC$845*CT848*CT$38*'⑫ Roll-out Plan'!$O$89</f>
        <v>0</v>
      </c>
      <c r="CU849" s="36" t="n">
        <f aca="false">CU847*$AC$845*CU848*CU$38*'⑫ Roll-out Plan'!$O$89</f>
        <v>0</v>
      </c>
      <c r="CV849" s="36" t="n">
        <f aca="false">CV847*$AC$845*CV848*CV$38*'⑫ Roll-out Plan'!$O$89</f>
        <v>0</v>
      </c>
      <c r="CW849" s="36" t="n">
        <f aca="false">CW847*$AC$845*CW848*CW$38*'⑫ Roll-out Plan'!$O$89</f>
        <v>0</v>
      </c>
      <c r="CX849" s="36" t="n">
        <f aca="false">CX847*$AC$845*CX848*CX$38*'⑫ Roll-out Plan'!$O$89</f>
        <v>0</v>
      </c>
      <c r="CY849" s="36" t="n">
        <f aca="false">CY847*$AC$845*CY848*CY$38*'⑫ Roll-out Plan'!$O$89</f>
        <v>0</v>
      </c>
      <c r="CZ849" s="36" t="n">
        <f aca="false">CZ847*$AC$845*CZ848*CZ$38*'⑫ Roll-out Plan'!$O$89</f>
        <v>0</v>
      </c>
      <c r="DA849" s="36" t="n">
        <f aca="false">DA847*$AC$845*DA848*DA$38*'⑫ Roll-out Plan'!$O$89</f>
        <v>0</v>
      </c>
      <c r="DB849" s="36" t="n">
        <f aca="false">DB847*$AC$845*DB848*DB$38*'⑫ Roll-out Plan'!$O$89</f>
        <v>0</v>
      </c>
      <c r="DC849" s="36" t="n">
        <f aca="false">DC847*$AC$845*DC848*DC$38*'⑫ Roll-out Plan'!$O$89</f>
        <v>0</v>
      </c>
      <c r="DD849" s="36" t="n">
        <f aca="false">DD847*$AC$845*DD848*DD$38*'⑫ Roll-out Plan'!$O$89</f>
        <v>0</v>
      </c>
      <c r="DE849" s="36" t="n">
        <f aca="false">DE847*$AC$845*DE848*DE$38*'⑫ Roll-out Plan'!$O$89</f>
        <v>0</v>
      </c>
      <c r="DF849" s="36" t="n">
        <f aca="false">DF847*$AC$845*DF848*DF$38*'⑫ Roll-out Plan'!$O$89</f>
        <v>0</v>
      </c>
      <c r="DG849" s="36" t="n">
        <f aca="false">DG847*$AC$845*DG848*DG$38*'⑫ Roll-out Plan'!$O$89</f>
        <v>0</v>
      </c>
      <c r="DH849" s="36" t="n">
        <f aca="false">DH847*$AC$845*DH848*DH$38*'⑫ Roll-out Plan'!$O$89</f>
        <v>0</v>
      </c>
      <c r="DI849" s="36" t="n">
        <f aca="false">DI847*$AC$845*DI848*DI$38*'⑫ Roll-out Plan'!$O$89</f>
        <v>0</v>
      </c>
      <c r="DJ849" s="36" t="n">
        <f aca="false">DJ847*$AC$845*DJ848*DJ$38*'⑫ Roll-out Plan'!$O$89</f>
        <v>0</v>
      </c>
      <c r="DK849" s="36" t="n">
        <f aca="false">DK847*$AC$845*DK848*DK$38*'⑫ Roll-out Plan'!$O$89</f>
        <v>0</v>
      </c>
      <c r="DL849" s="36" t="n">
        <f aca="false">DL847*$AC$845*DL848*DL$38*'⑫ Roll-out Plan'!$O$89</f>
        <v>0</v>
      </c>
      <c r="DM849" s="36" t="n">
        <f aca="false">DM847*$AC$845*DM848*DM$38*'⑫ Roll-out Plan'!$O$89</f>
        <v>0</v>
      </c>
      <c r="DN849" s="36" t="n">
        <f aca="false">DN847*$AC$845*DN848*DN$38*'⑫ Roll-out Plan'!$O$89</f>
        <v>0</v>
      </c>
      <c r="DO849" s="36" t="n">
        <f aca="false">DO847*$AC$845*DO848*DO$38*'⑫ Roll-out Plan'!$O$89</f>
        <v>0</v>
      </c>
      <c r="DP849" s="36" t="n">
        <f aca="false">DP847*$AC$845*DP848*DP$38*'⑫ Roll-out Plan'!$O$89</f>
        <v>0</v>
      </c>
      <c r="DQ849" s="36" t="n">
        <f aca="false">DQ847*$AC$845*DQ848*DQ$38*'⑫ Roll-out Plan'!$O$89</f>
        <v>0</v>
      </c>
      <c r="DR849" s="36" t="n">
        <f aca="false">DR847*$AC$845*DR848*DR$38*'⑫ Roll-out Plan'!$O$89</f>
        <v>0</v>
      </c>
      <c r="DS849" s="36" t="n">
        <f aca="false">DS847*$AC$845*DS848*DS$38*'⑫ Roll-out Plan'!$O$89</f>
        <v>0</v>
      </c>
      <c r="DT849" s="36" t="n">
        <f aca="false">DT847*$AC$845*DT848*DT$38*'⑫ Roll-out Plan'!$O$89</f>
        <v>0</v>
      </c>
      <c r="DU849" s="36" t="n">
        <f aca="false">DU847*$AC$845*DU848*DU$38*'⑫ Roll-out Plan'!$O$89</f>
        <v>0</v>
      </c>
      <c r="DV849" s="36" t="n">
        <f aca="false">DV847*$AC$845*DV848*DV$38*'⑫ Roll-out Plan'!$O$89</f>
        <v>0</v>
      </c>
      <c r="DW849" s="36" t="n">
        <f aca="false">DW847*$AC$845*DW848*DW$38*'⑫ Roll-out Plan'!$O$89</f>
        <v>0</v>
      </c>
      <c r="DX849" s="36" t="n">
        <f aca="false">DX847*$AC$845*DX848*DX$38*'⑫ Roll-out Plan'!$O$89</f>
        <v>0</v>
      </c>
      <c r="DY849" s="36" t="n">
        <f aca="false">DY847*$AC$845*DY848*DY$38*'⑫ Roll-out Plan'!$O$89</f>
        <v>0</v>
      </c>
      <c r="DZ849" s="36" t="n">
        <f aca="false">DZ847*$AC$845*DZ848*DZ$38*'⑫ Roll-out Plan'!$O$89</f>
        <v>0</v>
      </c>
      <c r="EA849" s="36" t="n">
        <f aca="false">EA847*$AC$845*EA848*EA$38*'⑫ Roll-out Plan'!$O$89</f>
        <v>0</v>
      </c>
      <c r="EB849" s="36" t="n">
        <f aca="false">EB847*$AC$845*EB848*EB$38*'⑫ Roll-out Plan'!$O$89</f>
        <v>0</v>
      </c>
      <c r="EC849" s="36" t="n">
        <f aca="false">EC847*$AC$845*EC848*EC$38*'⑫ Roll-out Plan'!$O$89</f>
        <v>0</v>
      </c>
      <c r="ED849" s="36" t="n">
        <f aca="false">ED847*$AC$845*ED848*ED$38*'⑫ Roll-out Plan'!$O$89</f>
        <v>0</v>
      </c>
      <c r="EE849" s="36" t="n">
        <f aca="false">EE847*$AC$845*EE848*EE$38*'⑫ Roll-out Plan'!$O$89</f>
        <v>0</v>
      </c>
      <c r="EF849" s="36" t="n">
        <f aca="false">EF847*$AC$845*EF848*EF$38*'⑫ Roll-out Plan'!$O$89</f>
        <v>0</v>
      </c>
      <c r="EG849" s="36" t="n">
        <f aca="false">EG847*$AC$845*EG848*EG$38*'⑫ Roll-out Plan'!$O$89</f>
        <v>0</v>
      </c>
      <c r="EH849" s="36" t="n">
        <f aca="false">EH847*$AC$845*EH848*EH$38*'⑫ Roll-out Plan'!$O$89</f>
        <v>0</v>
      </c>
      <c r="EI849" s="36" t="n">
        <f aca="false">EI847*$AC$845*EI848*EI$38*'⑫ Roll-out Plan'!$O$89</f>
        <v>0</v>
      </c>
      <c r="EJ849" s="36" t="n">
        <f aca="false">EJ847*$AC$845*EJ848*EJ$38*'⑫ Roll-out Plan'!$O$89</f>
        <v>0</v>
      </c>
      <c r="EK849" s="36" t="n">
        <f aca="false">EK847*$AC$845*EK848*EK$38*'⑫ Roll-out Plan'!$O$89</f>
        <v>0</v>
      </c>
      <c r="EL849" s="36" t="n">
        <f aca="false">EL847*$AC$845*EL848*EL$38*'⑫ Roll-out Plan'!$O$89</f>
        <v>0</v>
      </c>
      <c r="EM849" s="36" t="n">
        <f aca="false">EM847*$AC$845*EM848*EM$38*'⑫ Roll-out Plan'!$O$89</f>
        <v>0</v>
      </c>
      <c r="EN849" s="36" t="n">
        <f aca="false">EN847*$AC$845*EN848*EN$38*'⑫ Roll-out Plan'!$O$89</f>
        <v>0</v>
      </c>
      <c r="EO849" s="36" t="n">
        <f aca="false">EO847*$AC$845*EO848*EO$38*'⑫ Roll-out Plan'!$O$89</f>
        <v>0</v>
      </c>
      <c r="EP849" s="36" t="n">
        <f aca="false">EP847*$AC$845*EP848*EP$38*'⑫ Roll-out Plan'!$O$89</f>
        <v>0</v>
      </c>
      <c r="EQ849" s="36" t="n">
        <f aca="false">EQ847*$AC$845*EQ848*EQ$38*'⑫ Roll-out Plan'!$O$89</f>
        <v>0</v>
      </c>
      <c r="ER849" s="36" t="n">
        <f aca="false">ER847*$AC$845*ER848*ER$38*'⑫ Roll-out Plan'!$O$89</f>
        <v>0</v>
      </c>
      <c r="ES849" s="9" t="n">
        <f aca="false">ES847*$AC$845*ES848*ES$38*'⑫ Roll-out Plan'!$O$89</f>
        <v>0</v>
      </c>
      <c r="ET849" s="9" t="n">
        <f aca="false">ET847*$AC$845*ET848*ET$38*'⑫ Roll-out Plan'!$O$89</f>
        <v>0</v>
      </c>
      <c r="EU849" s="9" t="n">
        <f aca="false">EU847*$AC$845*EU848*EU$38*'⑫ Roll-out Plan'!$O$89</f>
        <v>0</v>
      </c>
      <c r="EV849" s="9" t="n">
        <f aca="false">EV847*$AC$845*EV848*EV$38*'⑫ Roll-out Plan'!$O$89</f>
        <v>0</v>
      </c>
      <c r="EW849" s="9" t="n">
        <f aca="false">EW847*$AC$845*EW848*EW$38*'⑫ Roll-out Plan'!$O$89</f>
        <v>0</v>
      </c>
      <c r="EX849" s="9" t="n">
        <f aca="false">EX847*$AC$845*EX848*EX$38*'⑫ Roll-out Plan'!$O$89</f>
        <v>0</v>
      </c>
      <c r="EY849" s="9" t="n">
        <f aca="false">EY847*$AC$845*EY848*EY$38*'⑫ Roll-out Plan'!$O$89</f>
        <v>0</v>
      </c>
      <c r="EZ849" s="9" t="n">
        <f aca="false">EZ847*$AC$845*EZ848*EZ$38*'⑫ Roll-out Plan'!$O$89</f>
        <v>0</v>
      </c>
      <c r="FA849" s="9" t="n">
        <f aca="false">FA847*$AC$845*FA848*FA$38*'⑫ Roll-out Plan'!$O$89</f>
        <v>0</v>
      </c>
      <c r="FB849" s="9" t="n">
        <f aca="false">FB847*$AC$845*FB848*FB$38*'⑫ Roll-out Plan'!$O$89</f>
        <v>0</v>
      </c>
      <c r="FC849" s="9" t="n">
        <f aca="false">FC847*$AC$845*FC848*FC$38*'⑫ Roll-out Plan'!$O$89</f>
        <v>0</v>
      </c>
      <c r="FD849" s="9" t="n">
        <f aca="false">FD847*$AC$845*FD848*FD$38*'⑫ Roll-out Plan'!$O$89</f>
        <v>0</v>
      </c>
      <c r="FE849" s="9" t="n">
        <f aca="false">FE847*$AC$845*FE848*FE$38*'⑫ Roll-out Plan'!$O$89</f>
        <v>0</v>
      </c>
      <c r="FF849" s="9" t="n">
        <f aca="false">FF847*$AC$845*FF848*FF$38*'⑫ Roll-out Plan'!$O$89</f>
        <v>0</v>
      </c>
      <c r="FG849" s="9" t="n">
        <f aca="false">FG847*$AC$845*FG848*FG$38*'⑫ Roll-out Plan'!$O$89</f>
        <v>0</v>
      </c>
      <c r="FH849" s="9" t="n">
        <f aca="false">FH847*$AC$845*FH848*FH$38*'⑫ Roll-out Plan'!$O$89</f>
        <v>0</v>
      </c>
      <c r="FI849" s="9" t="n">
        <f aca="false">FI847*$AC$845*FI848*FI$38*'⑫ Roll-out Plan'!$O$89</f>
        <v>34.04</v>
      </c>
      <c r="FJ849" s="9" t="n">
        <f aca="false">FJ847*$AC$845*FJ848*FJ$38*'⑫ Roll-out Plan'!$O$89</f>
        <v>32.56</v>
      </c>
      <c r="FK849" s="9" t="n">
        <f aca="false">FK847*$AC$845*FK848*FK$38*'⑫ Roll-out Plan'!$O$89</f>
        <v>37.296</v>
      </c>
      <c r="FL849" s="9" t="n">
        <f aca="false">FL847*$AC$845*FL848*FL$38*'⑫ Roll-out Plan'!$O$89</f>
        <v>70.929</v>
      </c>
      <c r="FM849" s="9" t="n">
        <f aca="false">FM847*$AC$845*FM848*FM$38*'⑫ Roll-out Plan'!$O$89</f>
        <v>57.942</v>
      </c>
      <c r="FN849" s="9" t="n">
        <f aca="false">FN847*$AC$845*FN848*FN$38*'⑫ Roll-out Plan'!$O$89</f>
        <v>55.056</v>
      </c>
      <c r="FO849" s="9" t="n">
        <f aca="false">FO847*$AC$845*FO848*FO$38*'⑫ Roll-out Plan'!$O$89</f>
        <v>46.62</v>
      </c>
      <c r="FP849" s="9" t="n">
        <f aca="false">FP847*$AC$845*FP848*FP$38*'⑫ Roll-out Plan'!$O$89</f>
        <v>73.593</v>
      </c>
    </row>
    <row r="850" customFormat="false" ht="15" hidden="false" customHeight="false" outlineLevel="2" collapsed="false">
      <c r="B850" s="9" t="s">
        <v>877</v>
      </c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112" t="n">
        <f aca="true">IFERROR(SUMPRODUCT(OFFSET($BJ$31,0,1-MIN(60,COLUMN()-29),1,MIN(60,COLUMN()-29)),OFFSET(AC849,0,-MIN(60,COLUMN()-29),1,MIN(60,COLUMN()-29))),0)</f>
        <v>0</v>
      </c>
      <c r="AD850" s="112" t="n">
        <f aca="true">IFERROR(SUMPRODUCT(OFFSET($BJ$31,0,1-MIN(60,COLUMN()-29),1,MIN(60,COLUMN()-29)),OFFSET(AD849,0,-MIN(60,COLUMN()-29),1,MIN(60,COLUMN()-29))),0)</f>
        <v>0</v>
      </c>
      <c r="AE850" s="112" t="n">
        <f aca="true">IFERROR(SUMPRODUCT(OFFSET($BJ$31,0,1-MIN(60,COLUMN()-29),1,MIN(60,COLUMN()-29)),OFFSET(AE849,0,-MIN(60,COLUMN()-29),1,MIN(60,COLUMN()-29))),0)</f>
        <v>0</v>
      </c>
      <c r="AF850" s="112" t="n">
        <f aca="true">IFERROR(SUMPRODUCT(OFFSET($BJ$31,0,1-MIN(60,COLUMN()-29),1,MIN(60,COLUMN()-29)),OFFSET(AF849,0,-MIN(60,COLUMN()-29),1,MIN(60,COLUMN()-29))),0)</f>
        <v>0</v>
      </c>
      <c r="AG850" s="112" t="n">
        <f aca="true">IFERROR(SUMPRODUCT(OFFSET($BJ$31,0,1-MIN(60,COLUMN()-29),1,MIN(60,COLUMN()-29)),OFFSET(AG849,0,-MIN(60,COLUMN()-29),1,MIN(60,COLUMN()-29))),0)</f>
        <v>0</v>
      </c>
      <c r="AH850" s="112" t="n">
        <f aca="true">IFERROR(SUMPRODUCT(OFFSET($BJ$31,0,1-MIN(60,COLUMN()-29),1,MIN(60,COLUMN()-29)),OFFSET(AH849,0,-MIN(60,COLUMN()-29),1,MIN(60,COLUMN()-29))),0)</f>
        <v>0</v>
      </c>
      <c r="AI850" s="112" t="n">
        <f aca="true">IFERROR(SUMPRODUCT(OFFSET($BJ$31,0,1-MIN(60,COLUMN()-29),1,MIN(60,COLUMN()-29)),OFFSET(AI849,0,-MIN(60,COLUMN()-29),1,MIN(60,COLUMN()-29))),0)</f>
        <v>0</v>
      </c>
      <c r="AJ850" s="112" t="n">
        <f aca="true">IFERROR(SUMPRODUCT(OFFSET($BJ$31,0,1-MIN(60,COLUMN()-29),1,MIN(60,COLUMN()-29)),OFFSET(AJ849,0,-MIN(60,COLUMN()-29),1,MIN(60,COLUMN()-29))),0)</f>
        <v>0</v>
      </c>
      <c r="AK850" s="112" t="n">
        <f aca="true">IFERROR(SUMPRODUCT(OFFSET($BJ$31,0,1-MIN(60,COLUMN()-29),1,MIN(60,COLUMN()-29)),OFFSET(AK849,0,-MIN(60,COLUMN()-29),1,MIN(60,COLUMN()-29))),0)</f>
        <v>0</v>
      </c>
      <c r="AL850" s="112" t="n">
        <f aca="true">IFERROR(SUMPRODUCT(OFFSET($BJ$31,0,1-MIN(60,COLUMN()-29),1,MIN(60,COLUMN()-29)),OFFSET(AL849,0,-MIN(60,COLUMN()-29),1,MIN(60,COLUMN()-29))),0)</f>
        <v>0</v>
      </c>
      <c r="AM850" s="112" t="n">
        <f aca="true">IFERROR(SUMPRODUCT(OFFSET($BJ$31,0,1-MIN(60,COLUMN()-29),1,MIN(60,COLUMN()-29)),OFFSET(AM849,0,-MIN(60,COLUMN()-29),1,MIN(60,COLUMN()-29))),0)</f>
        <v>0</v>
      </c>
      <c r="AN850" s="239" t="n">
        <f aca="true">IFERROR(SUMPRODUCT(OFFSET($BJ$31,0,1-MIN(60,COLUMN()-29),1,MIN(60,COLUMN()-29)),OFFSET(AN849,0,-MIN(60,COLUMN()-29),1,MIN(60,COLUMN()-29))),0)</f>
        <v>0</v>
      </c>
      <c r="AO850" s="112" t="n">
        <f aca="true">IFERROR(SUMPRODUCT(OFFSET($BJ$31,0,1-MIN(60,COLUMN()-29),1,MIN(60,COLUMN()-29)),OFFSET(AO849,0,-MIN(60,COLUMN()-29),1,MIN(60,COLUMN()-29))),0)</f>
        <v>0</v>
      </c>
      <c r="AP850" s="112" t="n">
        <f aca="true">IFERROR(SUMPRODUCT(OFFSET($BJ$31,0,1-MIN(60,COLUMN()-29),1,MIN(60,COLUMN()-29)),OFFSET(AP849,0,-MIN(60,COLUMN()-29),1,MIN(60,COLUMN()-29))),0)</f>
        <v>0</v>
      </c>
      <c r="AQ850" s="112" t="n">
        <f aca="true">IFERROR(SUMPRODUCT(OFFSET($BJ$31,0,1-MIN(60,COLUMN()-29),1,MIN(60,COLUMN()-29)),OFFSET(AQ849,0,-MIN(60,COLUMN()-29),1,MIN(60,COLUMN()-29))),0)</f>
        <v>0</v>
      </c>
      <c r="AR850" s="112" t="n">
        <f aca="true">IFERROR(SUMPRODUCT(OFFSET($BJ$31,0,1-MIN(60,COLUMN()-29),1,MIN(60,COLUMN()-29)),OFFSET(AR849,0,-MIN(60,COLUMN()-29),1,MIN(60,COLUMN()-29))),0)</f>
        <v>0</v>
      </c>
      <c r="AS850" s="112" t="n">
        <f aca="true">IFERROR(SUMPRODUCT(OFFSET($BJ$31,0,1-MIN(60,COLUMN()-29),1,MIN(60,COLUMN()-29)),OFFSET(AS849,0,-MIN(60,COLUMN()-29),1,MIN(60,COLUMN()-29))),0)</f>
        <v>0</v>
      </c>
      <c r="AT850" s="112" t="n">
        <f aca="true">IFERROR(SUMPRODUCT(OFFSET($BJ$31,0,1-MIN(60,COLUMN()-29),1,MIN(60,COLUMN()-29)),OFFSET(AT849,0,-MIN(60,COLUMN()-29),1,MIN(60,COLUMN()-29))),0)</f>
        <v>0</v>
      </c>
      <c r="AU850" s="112" t="n">
        <f aca="true">IFERROR(SUMPRODUCT(OFFSET($BJ$31,0,1-MIN(60,COLUMN()-29),1,MIN(60,COLUMN()-29)),OFFSET(AU849,0,-MIN(60,COLUMN()-29),1,MIN(60,COLUMN()-29))),0)</f>
        <v>0</v>
      </c>
      <c r="AV850" s="112" t="n">
        <f aca="true">IFERROR(SUMPRODUCT(OFFSET($BJ$31,0,1-MIN(60,COLUMN()-29),1,MIN(60,COLUMN()-29)),OFFSET(AV849,0,-MIN(60,COLUMN()-29),1,MIN(60,COLUMN()-29))),0)</f>
        <v>0</v>
      </c>
      <c r="AW850" s="112" t="n">
        <f aca="true">IFERROR(SUMPRODUCT(OFFSET($BJ$31,0,1-MIN(60,COLUMN()-29),1,MIN(60,COLUMN()-29)),OFFSET(AW849,0,-MIN(60,COLUMN()-29),1,MIN(60,COLUMN()-29))),0)</f>
        <v>0</v>
      </c>
      <c r="AX850" s="112" t="n">
        <f aca="true">IFERROR(SUMPRODUCT(OFFSET($BJ$31,0,1-MIN(60,COLUMN()-29),1,MIN(60,COLUMN()-29)),OFFSET(AX849,0,-MIN(60,COLUMN()-29),1,MIN(60,COLUMN()-29))),0)</f>
        <v>0</v>
      </c>
      <c r="AY850" s="112" t="n">
        <f aca="true">IFERROR(SUMPRODUCT(OFFSET($BJ$31,0,1-MIN(60,COLUMN()-29),1,MIN(60,COLUMN()-29)),OFFSET(AY849,0,-MIN(60,COLUMN()-29),1,MIN(60,COLUMN()-29))),0)</f>
        <v>0</v>
      </c>
      <c r="AZ850" s="112" t="n">
        <f aca="true">IFERROR(SUMPRODUCT(OFFSET($BJ$31,0,1-MIN(60,COLUMN()-29),1,MIN(60,COLUMN()-29)),OFFSET(AZ849,0,-MIN(60,COLUMN()-29),1,MIN(60,COLUMN()-29))),0)</f>
        <v>0</v>
      </c>
      <c r="BA850" s="112" t="n">
        <f aca="true">IFERROR(SUMPRODUCT(OFFSET($BJ$31,0,1-MIN(60,COLUMN()-29),1,MIN(60,COLUMN()-29)),OFFSET(BA849,0,-MIN(60,COLUMN()-29),1,MIN(60,COLUMN()-29))),0)</f>
        <v>0</v>
      </c>
      <c r="BB850" s="112" t="n">
        <f aca="true">IFERROR(SUMPRODUCT(OFFSET($BJ$31,0,1-MIN(60,COLUMN()-29),1,MIN(60,COLUMN()-29)),OFFSET(BB849,0,-MIN(60,COLUMN()-29),1,MIN(60,COLUMN()-29))),0)</f>
        <v>0</v>
      </c>
      <c r="BC850" s="112" t="n">
        <f aca="true">IFERROR(SUMPRODUCT(OFFSET($BJ$31,0,1-MIN(60,COLUMN()-29),1,MIN(60,COLUMN()-29)),OFFSET(BC849,0,-MIN(60,COLUMN()-29),1,MIN(60,COLUMN()-29))),0)</f>
        <v>0</v>
      </c>
      <c r="BD850" s="112" t="n">
        <f aca="true">IFERROR(SUMPRODUCT(OFFSET($BJ$31,0,1-MIN(60,COLUMN()-29),1,MIN(60,COLUMN()-29)),OFFSET(BD849,0,-MIN(60,COLUMN()-29),1,MIN(60,COLUMN()-29))),0)</f>
        <v>0</v>
      </c>
      <c r="BE850" s="112" t="n">
        <f aca="true">IFERROR(SUMPRODUCT(OFFSET($BJ$31,0,1-MIN(60,COLUMN()-29),1,MIN(60,COLUMN()-29)),OFFSET(BE849,0,-MIN(60,COLUMN()-29),1,MIN(60,COLUMN()-29))),0)</f>
        <v>0</v>
      </c>
      <c r="BF850" s="112" t="n">
        <f aca="true">IFERROR(SUMPRODUCT(OFFSET($BJ$31,0,1-MIN(60,COLUMN()-29),1,MIN(60,COLUMN()-29)),OFFSET(BF849,0,-MIN(60,COLUMN()-29),1,MIN(60,COLUMN()-29))),0)</f>
        <v>0</v>
      </c>
      <c r="BG850" s="112" t="n">
        <f aca="true">IFERROR(SUMPRODUCT(OFFSET($BJ$31,0,1-MIN(60,COLUMN()-29),1,MIN(60,COLUMN()-29)),OFFSET(BG849,0,-MIN(60,COLUMN()-29),1,MIN(60,COLUMN()-29))),0)</f>
        <v>0</v>
      </c>
      <c r="BH850" s="112" t="n">
        <f aca="true">IFERROR(SUMPRODUCT(OFFSET($BJ$31,0,1-MIN(60,COLUMN()-29),1,MIN(60,COLUMN()-29)),OFFSET(BH849,0,-MIN(60,COLUMN()-29),1,MIN(60,COLUMN()-29))),0)</f>
        <v>0</v>
      </c>
      <c r="BI850" s="112" t="n">
        <f aca="true">IFERROR(SUMPRODUCT(OFFSET($BJ$31,0,1-MIN(60,COLUMN()-29),1,MIN(60,COLUMN()-29)),OFFSET(BI849,0,-MIN(60,COLUMN()-29),1,MIN(60,COLUMN()-29))),0)</f>
        <v>0</v>
      </c>
      <c r="BJ850" s="112" t="n">
        <f aca="true">IFERROR(SUMPRODUCT(OFFSET($BJ$31,0,1-MIN(60,COLUMN()-29),1,MIN(60,COLUMN()-29)),OFFSET(BJ849,0,-MIN(60,COLUMN()-29),1,MIN(60,COLUMN()-29))),0)</f>
        <v>0</v>
      </c>
      <c r="BK850" s="112" t="n">
        <f aca="true">IFERROR(SUMPRODUCT(OFFSET($BJ$31,0,1-MIN(60,COLUMN()-29),1,MIN(60,COLUMN()-29)),OFFSET(BK849,0,-MIN(60,COLUMN()-29),1,MIN(60,COLUMN()-29))),0)</f>
        <v>0</v>
      </c>
      <c r="BL850" s="112" t="n">
        <f aca="true">IFERROR(SUMPRODUCT(OFFSET($BJ$31,0,1-MIN(60,COLUMN()-29),1,MIN(60,COLUMN()-29)),OFFSET(BL849,0,-MIN(60,COLUMN()-29),1,MIN(60,COLUMN()-29))),0)</f>
        <v>0</v>
      </c>
      <c r="BM850" s="112" t="n">
        <f aca="true">IFERROR(SUMPRODUCT(OFFSET($BJ$31,0,1-MIN(60,COLUMN()-29),1,MIN(60,COLUMN()-29)),OFFSET(BM849,0,-MIN(60,COLUMN()-29),1,MIN(60,COLUMN()-29))),0)</f>
        <v>0</v>
      </c>
      <c r="BN850" s="112" t="n">
        <f aca="true">IFERROR(SUMPRODUCT(OFFSET($BJ$31,0,1-MIN(60,COLUMN()-29),1,MIN(60,COLUMN()-29)),OFFSET(BN849,0,-MIN(60,COLUMN()-29),1,MIN(60,COLUMN()-29))),0)</f>
        <v>0</v>
      </c>
      <c r="BO850" s="112" t="n">
        <f aca="true">IFERROR(SUMPRODUCT(OFFSET($BJ$31,0,1-MIN(60,COLUMN()-29),1,MIN(60,COLUMN()-29)),OFFSET(BO849,0,-MIN(60,COLUMN()-29),1,MIN(60,COLUMN()-29))),0)</f>
        <v>0</v>
      </c>
      <c r="BP850" s="112" t="n">
        <f aca="true">IFERROR(SUMPRODUCT(OFFSET($BJ$31,0,1-MIN(60,COLUMN()-29),1,MIN(60,COLUMN()-29)),OFFSET(BP849,0,-MIN(60,COLUMN()-29),1,MIN(60,COLUMN()-29))),0)</f>
        <v>0</v>
      </c>
      <c r="BQ850" s="112" t="n">
        <f aca="true">IFERROR(SUMPRODUCT(OFFSET($BJ$31,0,1-MIN(60,COLUMN()-29),1,MIN(60,COLUMN()-29)),OFFSET(BQ849,0,-MIN(60,COLUMN()-29),1,MIN(60,COLUMN()-29))),0)</f>
        <v>0</v>
      </c>
      <c r="BR850" s="112" t="n">
        <f aca="true">IFERROR(SUMPRODUCT(OFFSET($BJ$31,0,1-MIN(60,COLUMN()-29),1,MIN(60,COLUMN()-29)),OFFSET(BR849,0,-MIN(60,COLUMN()-29),1,MIN(60,COLUMN()-29))),0)</f>
        <v>0</v>
      </c>
      <c r="BS850" s="112" t="n">
        <f aca="true">IFERROR(SUMPRODUCT(OFFSET($BJ$31,0,1-MIN(60,COLUMN()-29),1,MIN(60,COLUMN()-29)),OFFSET(BS849,0,-MIN(60,COLUMN()-29),1,MIN(60,COLUMN()-29))),0)</f>
        <v>0</v>
      </c>
      <c r="BT850" s="112" t="n">
        <f aca="true">IFERROR(SUMPRODUCT(OFFSET($BJ$31,0,1-MIN(60,COLUMN()-29),1,MIN(60,COLUMN()-29)),OFFSET(BT849,0,-MIN(60,COLUMN()-29),1,MIN(60,COLUMN()-29))),0)</f>
        <v>0</v>
      </c>
      <c r="BU850" s="112" t="n">
        <f aca="true">IFERROR(SUMPRODUCT(OFFSET($BJ$31,0,1-MIN(60,COLUMN()-29),1,MIN(60,COLUMN()-29)),OFFSET(BU849,0,-MIN(60,COLUMN()-29),1,MIN(60,COLUMN()-29))),0)</f>
        <v>0</v>
      </c>
      <c r="BV850" s="112" t="n">
        <f aca="true">IFERROR(SUMPRODUCT(OFFSET($BJ$31,0,1-MIN(60,COLUMN()-29),1,MIN(60,COLUMN()-29)),OFFSET(BV849,0,-MIN(60,COLUMN()-29),1,MIN(60,COLUMN()-29))),0)</f>
        <v>0</v>
      </c>
      <c r="BW850" s="112" t="n">
        <f aca="true">IFERROR(SUMPRODUCT(OFFSET($BJ$31,0,1-MIN(60,COLUMN()-29),1,MIN(60,COLUMN()-29)),OFFSET(BW849,0,-MIN(60,COLUMN()-29),1,MIN(60,COLUMN()-29))),0)</f>
        <v>0</v>
      </c>
      <c r="BX850" s="112" t="n">
        <f aca="true">IFERROR(SUMPRODUCT(OFFSET($BJ$31,0,1-MIN(60,COLUMN()-29),1,MIN(60,COLUMN()-29)),OFFSET(BX849,0,-MIN(60,COLUMN()-29),1,MIN(60,COLUMN()-29))),0)</f>
        <v>0</v>
      </c>
      <c r="BY850" s="112" t="n">
        <f aca="true">IFERROR(SUMPRODUCT(OFFSET($BJ$31,0,1-MIN(60,COLUMN()-29),1,MIN(60,COLUMN()-29)),OFFSET(BY849,0,-MIN(60,COLUMN()-29),1,MIN(60,COLUMN()-29))),0)</f>
        <v>0</v>
      </c>
      <c r="BZ850" s="112" t="n">
        <f aca="true">IFERROR(SUMPRODUCT(OFFSET($BJ$31,0,1-MIN(60,COLUMN()-29),1,MIN(60,COLUMN()-29)),OFFSET(BZ849,0,-MIN(60,COLUMN()-29),1,MIN(60,COLUMN()-29))),0)</f>
        <v>0</v>
      </c>
      <c r="CA850" s="112" t="n">
        <f aca="true">IFERROR(SUMPRODUCT(OFFSET($BJ$31,0,1-MIN(60,COLUMN()-29),1,MIN(60,COLUMN()-29)),OFFSET(CA849,0,-MIN(60,COLUMN()-29),1,MIN(60,COLUMN()-29))),0)</f>
        <v>0</v>
      </c>
      <c r="CB850" s="112" t="n">
        <f aca="true">IFERROR(SUMPRODUCT(OFFSET($BJ$31,0,1-MIN(60,COLUMN()-29),1,MIN(60,COLUMN()-29)),OFFSET(CB849,0,-MIN(60,COLUMN()-29),1,MIN(60,COLUMN()-29))),0)</f>
        <v>0</v>
      </c>
      <c r="CC850" s="112" t="n">
        <f aca="true">IFERROR(SUMPRODUCT(OFFSET($BJ$31,0,1-MIN(60,COLUMN()-29),1,MIN(60,COLUMN()-29)),OFFSET(CC849,0,-MIN(60,COLUMN()-29),1,MIN(60,COLUMN()-29))),0)</f>
        <v>0</v>
      </c>
      <c r="CD850" s="112" t="n">
        <f aca="true">IFERROR(SUMPRODUCT(OFFSET($BJ$31,0,1-MIN(60,COLUMN()-29),1,MIN(60,COLUMN()-29)),OFFSET(CD849,0,-MIN(60,COLUMN()-29),1,MIN(60,COLUMN()-29))),0)</f>
        <v>0</v>
      </c>
      <c r="CE850" s="112" t="n">
        <f aca="true">IFERROR(SUMPRODUCT(OFFSET($BJ$31,0,1-MIN(60,COLUMN()-29),1,MIN(60,COLUMN()-29)),OFFSET(CE849,0,-MIN(60,COLUMN()-29),1,MIN(60,COLUMN()-29))),0)</f>
        <v>0</v>
      </c>
      <c r="CF850" s="112" t="n">
        <f aca="true">IFERROR(SUMPRODUCT(OFFSET($BJ$31,0,1-MIN(60,COLUMN()-29),1,MIN(60,COLUMN()-29)),OFFSET(CF849,0,-MIN(60,COLUMN()-29),1,MIN(60,COLUMN()-29))),0)</f>
        <v>0</v>
      </c>
      <c r="CG850" s="112" t="n">
        <f aca="true">IFERROR(SUMPRODUCT(OFFSET($BJ$31,0,1-MIN(60,COLUMN()-29),1,MIN(60,COLUMN()-29)),OFFSET(CG849,0,-MIN(60,COLUMN()-29),1,MIN(60,COLUMN()-29))),0)</f>
        <v>0</v>
      </c>
      <c r="CH850" s="112" t="n">
        <f aca="true">IFERROR(SUMPRODUCT(OFFSET($BJ$31,0,1-MIN(60,COLUMN()-29),1,MIN(60,COLUMN()-29)),OFFSET(CH849,0,-MIN(60,COLUMN()-29),1,MIN(60,COLUMN()-29))),0)</f>
        <v>0</v>
      </c>
      <c r="CI850" s="112" t="n">
        <f aca="true">IFERROR(SUMPRODUCT(OFFSET($BJ$31,0,1-MIN(60,COLUMN()-29),1,MIN(60,COLUMN()-29)),OFFSET(CI849,0,-MIN(60,COLUMN()-29),1,MIN(60,COLUMN()-29))),0)</f>
        <v>0</v>
      </c>
      <c r="CJ850" s="112" t="n">
        <f aca="true">IFERROR(SUMPRODUCT(OFFSET($BJ$31,0,1-MIN(60,COLUMN()-29),1,MIN(60,COLUMN()-29)),OFFSET(CJ849,0,-MIN(60,COLUMN()-29),1,MIN(60,COLUMN()-29))),0)</f>
        <v>0</v>
      </c>
      <c r="CK850" s="112" t="n">
        <f aca="true">IFERROR(SUMPRODUCT(OFFSET($BJ$31,0,1-MIN(60,COLUMN()-29),1,MIN(60,COLUMN()-29)),OFFSET(CK849,0,-MIN(60,COLUMN()-29),1,MIN(60,COLUMN()-29))),0)</f>
        <v>0</v>
      </c>
      <c r="CL850" s="112" t="n">
        <f aca="true">IFERROR(SUMPRODUCT(OFFSET($BJ$31,0,1-MIN(60,COLUMN()-29),1,MIN(60,COLUMN()-29)),OFFSET(CL849,0,-MIN(60,COLUMN()-29),1,MIN(60,COLUMN()-29))),0)</f>
        <v>0</v>
      </c>
      <c r="CM850" s="112" t="n">
        <f aca="true">IFERROR(SUMPRODUCT(OFFSET($BJ$31,0,1-MIN(60,COLUMN()-29),1,MIN(60,COLUMN()-29)),OFFSET(CM849,0,-MIN(60,COLUMN()-29),1,MIN(60,COLUMN()-29))),0)</f>
        <v>0</v>
      </c>
      <c r="CN850" s="112" t="n">
        <f aca="true">IFERROR(SUMPRODUCT(OFFSET($BJ$31,0,1-MIN(60,COLUMN()-29),1,MIN(60,COLUMN()-29)),OFFSET(CN849,0,-MIN(60,COLUMN()-29),1,MIN(60,COLUMN()-29))),0)</f>
        <v>0</v>
      </c>
      <c r="CO850" s="112" t="n">
        <f aca="true">IFERROR(SUMPRODUCT(OFFSET($BJ$31,0,1-MIN(60,COLUMN()-29),1,MIN(60,COLUMN()-29)),OFFSET(CO849,0,-MIN(60,COLUMN()-29),1,MIN(60,COLUMN()-29))),0)</f>
        <v>0</v>
      </c>
      <c r="CP850" s="112" t="n">
        <f aca="true">IFERROR(SUMPRODUCT(OFFSET($BJ$31,0,1-MIN(60,COLUMN()-29),1,MIN(60,COLUMN()-29)),OFFSET(CP849,0,-MIN(60,COLUMN()-29),1,MIN(60,COLUMN()-29))),0)</f>
        <v>0</v>
      </c>
      <c r="CQ850" s="112" t="n">
        <f aca="true">IFERROR(SUMPRODUCT(OFFSET($BJ$31,0,1-MIN(60,COLUMN()-29),1,MIN(60,COLUMN()-29)),OFFSET(CQ849,0,-MIN(60,COLUMN()-29),1,MIN(60,COLUMN()-29))),0)</f>
        <v>0</v>
      </c>
      <c r="CR850" s="112" t="n">
        <f aca="true">IFERROR(SUMPRODUCT(OFFSET($BJ$31,0,1-MIN(60,COLUMN()-29),1,MIN(60,COLUMN()-29)),OFFSET(CR849,0,-MIN(60,COLUMN()-29),1,MIN(60,COLUMN()-29))),0)</f>
        <v>0</v>
      </c>
      <c r="CS850" s="112" t="n">
        <f aca="true">IFERROR(SUMPRODUCT(OFFSET($BJ$31,0,1-MIN(60,COLUMN()-29),1,MIN(60,COLUMN()-29)),OFFSET(CS849,0,-MIN(60,COLUMN()-29),1,MIN(60,COLUMN()-29))),0)</f>
        <v>0</v>
      </c>
      <c r="CT850" s="112" t="n">
        <f aca="true">IFERROR(SUMPRODUCT(OFFSET($BJ$31,0,1-MIN(60,COLUMN()-29),1,MIN(60,COLUMN()-29)),OFFSET(CT849,0,-MIN(60,COLUMN()-29),1,MIN(60,COLUMN()-29))),0)</f>
        <v>0</v>
      </c>
      <c r="CU850" s="112" t="n">
        <f aca="true">IFERROR(SUMPRODUCT(OFFSET($BJ$31,0,1-MIN(60,COLUMN()-29),1,MIN(60,COLUMN()-29)),OFFSET(CU849,0,-MIN(60,COLUMN()-29),1,MIN(60,COLUMN()-29))),0)</f>
        <v>0</v>
      </c>
      <c r="CV850" s="112" t="n">
        <f aca="true">IFERROR(SUMPRODUCT(OFFSET($BJ$31,0,1-MIN(60,COLUMN()-29),1,MIN(60,COLUMN()-29)),OFFSET(CV849,0,-MIN(60,COLUMN()-29),1,MIN(60,COLUMN()-29))),0)</f>
        <v>0</v>
      </c>
      <c r="CW850" s="112" t="n">
        <f aca="true">IFERROR(SUMPRODUCT(OFFSET($BJ$31,0,1-MIN(60,COLUMN()-29),1,MIN(60,COLUMN()-29)),OFFSET(CW849,0,-MIN(60,COLUMN()-29),1,MIN(60,COLUMN()-29))),0)</f>
        <v>0</v>
      </c>
      <c r="CX850" s="112" t="n">
        <f aca="true">IFERROR(SUMPRODUCT(OFFSET($BJ$31,0,1-MIN(60,COLUMN()-29),1,MIN(60,COLUMN()-29)),OFFSET(CX849,0,-MIN(60,COLUMN()-29),1,MIN(60,COLUMN()-29))),0)</f>
        <v>0</v>
      </c>
      <c r="CY850" s="112" t="n">
        <f aca="true">IFERROR(SUMPRODUCT(OFFSET($BJ$31,0,1-MIN(60,COLUMN()-29),1,MIN(60,COLUMN()-29)),OFFSET(CY849,0,-MIN(60,COLUMN()-29),1,MIN(60,COLUMN()-29))),0)</f>
        <v>0</v>
      </c>
      <c r="CZ850" s="112" t="n">
        <f aca="true">IFERROR(SUMPRODUCT(OFFSET($BJ$31,0,1-MIN(60,COLUMN()-29),1,MIN(60,COLUMN()-29)),OFFSET(CZ849,0,-MIN(60,COLUMN()-29),1,MIN(60,COLUMN()-29))),0)</f>
        <v>0</v>
      </c>
      <c r="DA850" s="112" t="n">
        <f aca="true">IFERROR(SUMPRODUCT(OFFSET($BJ$31,0,1-MIN(60,COLUMN()-29),1,MIN(60,COLUMN()-29)),OFFSET(DA849,0,-MIN(60,COLUMN()-29),1,MIN(60,COLUMN()-29))),0)</f>
        <v>0</v>
      </c>
      <c r="DB850" s="112" t="n">
        <f aca="true">IFERROR(SUMPRODUCT(OFFSET($BJ$31,0,1-MIN(60,COLUMN()-29),1,MIN(60,COLUMN()-29)),OFFSET(DB849,0,-MIN(60,COLUMN()-29),1,MIN(60,COLUMN()-29))),0)</f>
        <v>0</v>
      </c>
      <c r="DC850" s="112" t="n">
        <f aca="true">IFERROR(SUMPRODUCT(OFFSET($BJ$31,0,1-MIN(60,COLUMN()-29),1,MIN(60,COLUMN()-29)),OFFSET(DC849,0,-MIN(60,COLUMN()-29),1,MIN(60,COLUMN()-29))),0)</f>
        <v>0</v>
      </c>
      <c r="DD850" s="112" t="n">
        <f aca="true">IFERROR(SUMPRODUCT(OFFSET($BJ$31,0,1-MIN(60,COLUMN()-29),1,MIN(60,COLUMN()-29)),OFFSET(DD849,0,-MIN(60,COLUMN()-29),1,MIN(60,COLUMN()-29))),0)</f>
        <v>0</v>
      </c>
      <c r="DE850" s="112" t="n">
        <f aca="true">IFERROR(SUMPRODUCT(OFFSET($BJ$31,0,1-MIN(60,COLUMN()-29),1,MIN(60,COLUMN()-29)),OFFSET(DE849,0,-MIN(60,COLUMN()-29),1,MIN(60,COLUMN()-29))),0)</f>
        <v>0</v>
      </c>
      <c r="DF850" s="112" t="n">
        <f aca="true">IFERROR(SUMPRODUCT(OFFSET($BJ$31,0,1-MIN(60,COLUMN()-29),1,MIN(60,COLUMN()-29)),OFFSET(DF849,0,-MIN(60,COLUMN()-29),1,MIN(60,COLUMN()-29))),0)</f>
        <v>0</v>
      </c>
      <c r="DG850" s="112" t="n">
        <f aca="true">IFERROR(SUMPRODUCT(OFFSET($BJ$31,0,1-MIN(60,COLUMN()-29),1,MIN(60,COLUMN()-29)),OFFSET(DG849,0,-MIN(60,COLUMN()-29),1,MIN(60,COLUMN()-29))),0)</f>
        <v>0</v>
      </c>
      <c r="DH850" s="112" t="n">
        <f aca="true">IFERROR(SUMPRODUCT(OFFSET($BJ$31,0,1-MIN(60,COLUMN()-29),1,MIN(60,COLUMN()-29)),OFFSET(DH849,0,-MIN(60,COLUMN()-29),1,MIN(60,COLUMN()-29))),0)</f>
        <v>0</v>
      </c>
      <c r="DI850" s="112" t="n">
        <f aca="true">IFERROR(SUMPRODUCT(OFFSET($BJ$31,0,1-MIN(60,COLUMN()-29),1,MIN(60,COLUMN()-29)),OFFSET(DI849,0,-MIN(60,COLUMN()-29),1,MIN(60,COLUMN()-29))),0)</f>
        <v>0</v>
      </c>
      <c r="DJ850" s="112" t="n">
        <f aca="true">IFERROR(SUMPRODUCT(OFFSET($BJ$31,0,1-MIN(60,COLUMN()-29),1,MIN(60,COLUMN()-29)),OFFSET(DJ849,0,-MIN(60,COLUMN()-29),1,MIN(60,COLUMN()-29))),0)</f>
        <v>0</v>
      </c>
      <c r="DK850" s="112" t="n">
        <f aca="true">IFERROR(SUMPRODUCT(OFFSET($BJ$31,0,1-MIN(60,COLUMN()-29),1,MIN(60,COLUMN()-29)),OFFSET(DK849,0,-MIN(60,COLUMN()-29),1,MIN(60,COLUMN()-29))),0)</f>
        <v>0</v>
      </c>
      <c r="DL850" s="112" t="n">
        <f aca="true">IFERROR(SUMPRODUCT(OFFSET($BJ$31,0,1-MIN(60,COLUMN()-29),1,MIN(60,COLUMN()-29)),OFFSET(DL849,0,-MIN(60,COLUMN()-29),1,MIN(60,COLUMN()-29))),0)</f>
        <v>0</v>
      </c>
      <c r="DM850" s="112" t="n">
        <f aca="true">IFERROR(SUMPRODUCT(OFFSET($BJ$31,0,1-MIN(60,COLUMN()-29),1,MIN(60,COLUMN()-29)),OFFSET(DM849,0,-MIN(60,COLUMN()-29),1,MIN(60,COLUMN()-29))),0)</f>
        <v>0</v>
      </c>
      <c r="DN850" s="112" t="n">
        <f aca="true">IFERROR(SUMPRODUCT(OFFSET($BJ$31,0,1-MIN(60,COLUMN()-29),1,MIN(60,COLUMN()-29)),OFFSET(DN849,0,-MIN(60,COLUMN()-29),1,MIN(60,COLUMN()-29))),0)</f>
        <v>0</v>
      </c>
      <c r="DO850" s="112" t="n">
        <f aca="true">IFERROR(SUMPRODUCT(OFFSET($BJ$31,0,1-MIN(60,COLUMN()-29),1,MIN(60,COLUMN()-29)),OFFSET(DO849,0,-MIN(60,COLUMN()-29),1,MIN(60,COLUMN()-29))),0)</f>
        <v>0</v>
      </c>
      <c r="DP850" s="112" t="n">
        <f aca="true">IFERROR(SUMPRODUCT(OFFSET($BJ$31,0,1-MIN(60,COLUMN()-29),1,MIN(60,COLUMN()-29)),OFFSET(DP849,0,-MIN(60,COLUMN()-29),1,MIN(60,COLUMN()-29))),0)</f>
        <v>0</v>
      </c>
      <c r="DQ850" s="112" t="n">
        <f aca="true">IFERROR(SUMPRODUCT(OFFSET($BJ$31,0,1-MIN(60,COLUMN()-29),1,MIN(60,COLUMN()-29)),OFFSET(DQ849,0,-MIN(60,COLUMN()-29),1,MIN(60,COLUMN()-29))),0)</f>
        <v>0</v>
      </c>
      <c r="DR850" s="112" t="n">
        <f aca="true">IFERROR(SUMPRODUCT(OFFSET($BJ$31,0,1-MIN(60,COLUMN()-29),1,MIN(60,COLUMN()-29)),OFFSET(DR849,0,-MIN(60,COLUMN()-29),1,MIN(60,COLUMN()-29))),0)</f>
        <v>0</v>
      </c>
      <c r="DS850" s="112" t="n">
        <f aca="true">IFERROR(SUMPRODUCT(OFFSET($BJ$31,0,1-MIN(60,COLUMN()-29),1,MIN(60,COLUMN()-29)),OFFSET(DS849,0,-MIN(60,COLUMN()-29),1,MIN(60,COLUMN()-29))),0)</f>
        <v>0</v>
      </c>
      <c r="DT850" s="112" t="n">
        <f aca="true">IFERROR(SUMPRODUCT(OFFSET($BJ$31,0,1-MIN(60,COLUMN()-29),1,MIN(60,COLUMN()-29)),OFFSET(DT849,0,-MIN(60,COLUMN()-29),1,MIN(60,COLUMN()-29))),0)</f>
        <v>0</v>
      </c>
      <c r="DU850" s="112" t="n">
        <f aca="true">IFERROR(SUMPRODUCT(OFFSET($BJ$31,0,1-MIN(60,COLUMN()-29),1,MIN(60,COLUMN()-29)),OFFSET(DU849,0,-MIN(60,COLUMN()-29),1,MIN(60,COLUMN()-29))),0)</f>
        <v>0</v>
      </c>
      <c r="DV850" s="112" t="n">
        <f aca="true">IFERROR(SUMPRODUCT(OFFSET($BJ$31,0,1-MIN(60,COLUMN()-29),1,MIN(60,COLUMN()-29)),OFFSET(DV849,0,-MIN(60,COLUMN()-29),1,MIN(60,COLUMN()-29))),0)</f>
        <v>0</v>
      </c>
      <c r="DW850" s="112" t="n">
        <f aca="true">IFERROR(SUMPRODUCT(OFFSET($BJ$31,0,1-MIN(60,COLUMN()-29),1,MIN(60,COLUMN()-29)),OFFSET(DW849,0,-MIN(60,COLUMN()-29),1,MIN(60,COLUMN()-29))),0)</f>
        <v>0</v>
      </c>
      <c r="DX850" s="112" t="n">
        <f aca="true">IFERROR(SUMPRODUCT(OFFSET($BJ$31,0,1-MIN(60,COLUMN()-29),1,MIN(60,COLUMN()-29)),OFFSET(DX849,0,-MIN(60,COLUMN()-29),1,MIN(60,COLUMN()-29))),0)</f>
        <v>0</v>
      </c>
      <c r="DY850" s="112" t="n">
        <f aca="true">IFERROR(SUMPRODUCT(OFFSET($BJ$31,0,1-MIN(60,COLUMN()-29),1,MIN(60,COLUMN()-29)),OFFSET(DY849,0,-MIN(60,COLUMN()-29),1,MIN(60,COLUMN()-29))),0)</f>
        <v>0</v>
      </c>
      <c r="DZ850" s="112" t="n">
        <f aca="true">IFERROR(SUMPRODUCT(OFFSET($BJ$31,0,1-MIN(60,COLUMN()-29),1,MIN(60,COLUMN()-29)),OFFSET(DZ849,0,-MIN(60,COLUMN()-29),1,MIN(60,COLUMN()-29))),0)</f>
        <v>0</v>
      </c>
      <c r="EA850" s="112" t="n">
        <f aca="true">IFERROR(SUMPRODUCT(OFFSET($BJ$31,0,1-MIN(60,COLUMN()-29),1,MIN(60,COLUMN()-29)),OFFSET(EA849,0,-MIN(60,COLUMN()-29),1,MIN(60,COLUMN()-29))),0)</f>
        <v>0</v>
      </c>
      <c r="EB850" s="112" t="n">
        <f aca="true">IFERROR(SUMPRODUCT(OFFSET($BJ$31,0,1-MIN(60,COLUMN()-29),1,MIN(60,COLUMN()-29)),OFFSET(EB849,0,-MIN(60,COLUMN()-29),1,MIN(60,COLUMN()-29))),0)</f>
        <v>0</v>
      </c>
      <c r="EC850" s="112" t="n">
        <f aca="true">IFERROR(SUMPRODUCT(OFFSET($BJ$31,0,1-MIN(60,COLUMN()-29),1,MIN(60,COLUMN()-29)),OFFSET(EC849,0,-MIN(60,COLUMN()-29),1,MIN(60,COLUMN()-29))),0)</f>
        <v>0</v>
      </c>
      <c r="ED850" s="112" t="n">
        <f aca="true">IFERROR(SUMPRODUCT(OFFSET($BJ$31,0,1-MIN(60,COLUMN()-29),1,MIN(60,COLUMN()-29)),OFFSET(ED849,0,-MIN(60,COLUMN()-29),1,MIN(60,COLUMN()-29))),0)</f>
        <v>0</v>
      </c>
      <c r="EE850" s="112" t="n">
        <f aca="true">IFERROR(SUMPRODUCT(OFFSET($BJ$31,0,1-MIN(60,COLUMN()-29),1,MIN(60,COLUMN()-29)),OFFSET(EE849,0,-MIN(60,COLUMN()-29),1,MIN(60,COLUMN()-29))),0)</f>
        <v>0</v>
      </c>
      <c r="EF850" s="112" t="n">
        <f aca="true">IFERROR(SUMPRODUCT(OFFSET($BJ$31,0,1-MIN(60,COLUMN()-29),1,MIN(60,COLUMN()-29)),OFFSET(EF849,0,-MIN(60,COLUMN()-29),1,MIN(60,COLUMN()-29))),0)</f>
        <v>0</v>
      </c>
      <c r="EG850" s="112" t="n">
        <f aca="true">IFERROR(SUMPRODUCT(OFFSET($BJ$31,0,1-MIN(60,COLUMN()-29),1,MIN(60,COLUMN()-29)),OFFSET(EG849,0,-MIN(60,COLUMN()-29),1,MIN(60,COLUMN()-29))),0)</f>
        <v>0</v>
      </c>
      <c r="EH850" s="112" t="n">
        <f aca="true">IFERROR(SUMPRODUCT(OFFSET($BJ$31,0,1-MIN(60,COLUMN()-29),1,MIN(60,COLUMN()-29)),OFFSET(EH849,0,-MIN(60,COLUMN()-29),1,MIN(60,COLUMN()-29))),0)</f>
        <v>0</v>
      </c>
      <c r="EI850" s="112" t="n">
        <f aca="true">IFERROR(SUMPRODUCT(OFFSET($BJ$31,0,1-MIN(60,COLUMN()-29),1,MIN(60,COLUMN()-29)),OFFSET(EI849,0,-MIN(60,COLUMN()-29),1,MIN(60,COLUMN()-29))),0)</f>
        <v>0</v>
      </c>
      <c r="EJ850" s="112" t="n">
        <f aca="true">IFERROR(SUMPRODUCT(OFFSET($BJ$31,0,1-MIN(60,COLUMN()-29),1,MIN(60,COLUMN()-29)),OFFSET(EJ849,0,-MIN(60,COLUMN()-29),1,MIN(60,COLUMN()-29))),0)</f>
        <v>0</v>
      </c>
      <c r="EK850" s="112" t="n">
        <f aca="true">IFERROR(SUMPRODUCT(OFFSET($BJ$31,0,1-MIN(60,COLUMN()-29),1,MIN(60,COLUMN()-29)),OFFSET(EK849,0,-MIN(60,COLUMN()-29),1,MIN(60,COLUMN()-29))),0)</f>
        <v>0</v>
      </c>
      <c r="EL850" s="112" t="n">
        <f aca="true">IFERROR(SUMPRODUCT(OFFSET($BJ$31,0,1-MIN(60,COLUMN()-29),1,MIN(60,COLUMN()-29)),OFFSET(EL849,0,-MIN(60,COLUMN()-29),1,MIN(60,COLUMN()-29))),0)</f>
        <v>0</v>
      </c>
      <c r="EM850" s="112" t="n">
        <f aca="true">IFERROR(SUMPRODUCT(OFFSET($BJ$31,0,1-MIN(60,COLUMN()-29),1,MIN(60,COLUMN()-29)),OFFSET(EM849,0,-MIN(60,COLUMN()-29),1,MIN(60,COLUMN()-29))),0)</f>
        <v>0</v>
      </c>
      <c r="EN850" s="112" t="n">
        <f aca="true">IFERROR(SUMPRODUCT(OFFSET($BJ$31,0,1-MIN(60,COLUMN()-29),1,MIN(60,COLUMN()-29)),OFFSET(EN849,0,-MIN(60,COLUMN()-29),1,MIN(60,COLUMN()-29))),0)</f>
        <v>0</v>
      </c>
      <c r="EO850" s="112" t="n">
        <f aca="true">IFERROR(SUMPRODUCT(OFFSET($BJ$31,0,1-MIN(60,COLUMN()-29),1,MIN(60,COLUMN()-29)),OFFSET(EO849,0,-MIN(60,COLUMN()-29),1,MIN(60,COLUMN()-29))),0)</f>
        <v>0</v>
      </c>
      <c r="EP850" s="112" t="n">
        <f aca="true">IFERROR(SUMPRODUCT(OFFSET($BJ$31,0,1-MIN(60,COLUMN()-29),1,MIN(60,COLUMN()-29)),OFFSET(EP849,0,-MIN(60,COLUMN()-29),1,MIN(60,COLUMN()-29))),0)</f>
        <v>0</v>
      </c>
      <c r="EQ850" s="112" t="n">
        <f aca="true">IFERROR(SUMPRODUCT(OFFSET($BJ$31,0,1-MIN(60,COLUMN()-29),1,MIN(60,COLUMN()-29)),OFFSET(EQ849,0,-MIN(60,COLUMN()-29),1,MIN(60,COLUMN()-29))),0)</f>
        <v>0</v>
      </c>
      <c r="ER850" s="112" t="n">
        <f aca="true">IFERROR(SUMPRODUCT(OFFSET($BJ$31,0,1-MIN(60,COLUMN()-29),1,MIN(60,COLUMN()-29)),OFFSET(ER849,0,-MIN(60,COLUMN()-29),1,MIN(60,COLUMN()-29))),0)</f>
        <v>0</v>
      </c>
      <c r="ES850" s="9" t="n">
        <f aca="true">IFERROR(SUMPRODUCT(OFFSET($BJ$31,0,1-MIN(60,COLUMN()-29),1,MIN(60,COLUMN()-29)),OFFSET(ES849,0,-MIN(60,COLUMN()-29),1,MIN(60,COLUMN()-29))),0)</f>
        <v>0</v>
      </c>
      <c r="ET850" s="9" t="n">
        <f aca="true">IFERROR(SUMPRODUCT(OFFSET($BJ$31,0,1-MIN(60,COLUMN()-29),1,MIN(60,COLUMN()-29)),OFFSET(ET849,0,-MIN(60,COLUMN()-29),1,MIN(60,COLUMN()-29))),0)</f>
        <v>0</v>
      </c>
      <c r="EU850" s="9" t="n">
        <f aca="true">IFERROR(SUMPRODUCT(OFFSET($BJ$31,0,1-MIN(60,COLUMN()-29),1,MIN(60,COLUMN()-29)),OFFSET(EU849,0,-MIN(60,COLUMN()-29),1,MIN(60,COLUMN()-29))),0)</f>
        <v>0</v>
      </c>
      <c r="EV850" s="9" t="n">
        <f aca="true">IFERROR(SUMPRODUCT(OFFSET($BJ$31,0,1-MIN(60,COLUMN()-29),1,MIN(60,COLUMN()-29)),OFFSET(EV849,0,-MIN(60,COLUMN()-29),1,MIN(60,COLUMN()-29))),0)</f>
        <v>0</v>
      </c>
      <c r="EW850" s="9" t="n">
        <f aca="true">IFERROR(SUMPRODUCT(OFFSET($BJ$31,0,1-MIN(60,COLUMN()-29),1,MIN(60,COLUMN()-29)),OFFSET(EW849,0,-MIN(60,COLUMN()-29),1,MIN(60,COLUMN()-29))),0)</f>
        <v>0</v>
      </c>
      <c r="EX850" s="9" t="n">
        <f aca="true">IFERROR(SUMPRODUCT(OFFSET($BJ$31,0,1-MIN(60,COLUMN()-29),1,MIN(60,COLUMN()-29)),OFFSET(EX849,0,-MIN(60,COLUMN()-29),1,MIN(60,COLUMN()-29))),0)</f>
        <v>0</v>
      </c>
      <c r="EY850" s="9" t="n">
        <f aca="true">IFERROR(SUMPRODUCT(OFFSET($BJ$31,0,1-MIN(60,COLUMN()-29),1,MIN(60,COLUMN()-29)),OFFSET(EY849,0,-MIN(60,COLUMN()-29),1,MIN(60,COLUMN()-29))),0)</f>
        <v>0</v>
      </c>
      <c r="EZ850" s="9" t="n">
        <f aca="true">IFERROR(SUMPRODUCT(OFFSET($BJ$31,0,1-MIN(60,COLUMN()-29),1,MIN(60,COLUMN()-29)),OFFSET(EZ849,0,-MIN(60,COLUMN()-29),1,MIN(60,COLUMN()-29))),0)</f>
        <v>0</v>
      </c>
      <c r="FA850" s="9" t="n">
        <f aca="true">IFERROR(SUMPRODUCT(OFFSET($BJ$31,0,1-MIN(60,COLUMN()-29),1,MIN(60,COLUMN()-29)),OFFSET(FA849,0,-MIN(60,COLUMN()-29),1,MIN(60,COLUMN()-29))),0)</f>
        <v>0</v>
      </c>
      <c r="FB850" s="9" t="n">
        <f aca="true">IFERROR(SUMPRODUCT(OFFSET($BJ$31,0,1-MIN(60,COLUMN()-29),1,MIN(60,COLUMN()-29)),OFFSET(FB849,0,-MIN(60,COLUMN()-29),1,MIN(60,COLUMN()-29))),0)</f>
        <v>0</v>
      </c>
      <c r="FC850" s="9" t="n">
        <f aca="true">IFERROR(SUMPRODUCT(OFFSET($BJ$31,0,1-MIN(60,COLUMN()-29),1,MIN(60,COLUMN()-29)),OFFSET(FC849,0,-MIN(60,COLUMN()-29),1,MIN(60,COLUMN()-29))),0)</f>
        <v>0</v>
      </c>
      <c r="FD850" s="9" t="n">
        <f aca="true">IFERROR(SUMPRODUCT(OFFSET($BJ$31,0,1-MIN(60,COLUMN()-29),1,MIN(60,COLUMN()-29)),OFFSET(FD849,0,-MIN(60,COLUMN()-29),1,MIN(60,COLUMN()-29))),0)</f>
        <v>0</v>
      </c>
      <c r="FE850" s="9" t="n">
        <f aca="true">IFERROR(SUMPRODUCT(OFFSET($BJ$31,0,1-MIN(60,COLUMN()-29),1,MIN(60,COLUMN()-29)),OFFSET(FE849,0,-MIN(60,COLUMN()-29),1,MIN(60,COLUMN()-29))),0)</f>
        <v>0</v>
      </c>
      <c r="FF850" s="9" t="n">
        <f aca="true">IFERROR(SUMPRODUCT(OFFSET($BJ$31,0,1-MIN(60,COLUMN()-29),1,MIN(60,COLUMN()-29)),OFFSET(FF849,0,-MIN(60,COLUMN()-29),1,MIN(60,COLUMN()-29))),0)</f>
        <v>0</v>
      </c>
      <c r="FG850" s="9" t="n">
        <f aca="true">IFERROR(SUMPRODUCT(OFFSET($BJ$31,0,1-MIN(60,COLUMN()-29),1,MIN(60,COLUMN()-29)),OFFSET(FG849,0,-MIN(60,COLUMN()-29),1,MIN(60,COLUMN()-29))),0)</f>
        <v>0</v>
      </c>
      <c r="FH850" s="9" t="n">
        <f aca="true">IFERROR(SUMPRODUCT(OFFSET($BJ$31,0,1-MIN(60,COLUMN()-29),1,MIN(60,COLUMN()-29)),OFFSET(FH849,0,-MIN(60,COLUMN()-29),1,MIN(60,COLUMN()-29))),0)</f>
        <v>0</v>
      </c>
      <c r="FI850" s="9" t="n">
        <f aca="true">IFERROR(SUMPRODUCT(OFFSET($BJ$31,0,1-MIN(60,COLUMN()-29),1,MIN(60,COLUMN()-29)),OFFSET(FI849,0,-MIN(60,COLUMN()-29),1,MIN(60,COLUMN()-29))),0)</f>
        <v>0</v>
      </c>
      <c r="FJ850" s="9" t="n">
        <f aca="true">IFERROR(SUMPRODUCT(OFFSET($BJ$31,0,1-MIN(60,COLUMN()-29),1,MIN(60,COLUMN()-29)),OFFSET(FJ849,0,-MIN(60,COLUMN()-29),1,MIN(60,COLUMN()-29))),0)</f>
        <v>4.35712</v>
      </c>
      <c r="FK850" s="9" t="n">
        <f aca="true">IFERROR(SUMPRODUCT(OFFSET($BJ$31,0,1-MIN(60,COLUMN()-29),1,MIN(60,COLUMN()-29)),OFFSET(FK849,0,-MIN(60,COLUMN()-29),1,MIN(60,COLUMN()-29))),0)</f>
        <v>4.766784</v>
      </c>
      <c r="FL850" s="9" t="n">
        <f aca="true">IFERROR(SUMPRODUCT(OFFSET($BJ$31,0,1-MIN(60,COLUMN()-29),1,MIN(60,COLUMN()-29)),OFFSET(FL849,0,-MIN(60,COLUMN()-29),1,MIN(60,COLUMN()-29))),0)</f>
        <v>6.10944</v>
      </c>
      <c r="FM850" s="9" t="n">
        <f aca="true">IFERROR(SUMPRODUCT(OFFSET($BJ$31,0,1-MIN(60,COLUMN()-29),1,MIN(60,COLUMN()-29)),OFFSET(FM849,0,-MIN(60,COLUMN()-29),1,MIN(60,COLUMN()-29))),0)</f>
        <v>10.9003776</v>
      </c>
      <c r="FN850" s="9" t="n">
        <f aca="true">IFERROR(SUMPRODUCT(OFFSET($BJ$31,0,1-MIN(60,COLUMN()-29),1,MIN(60,COLUMN()-29)),OFFSET(FN849,0,-MIN(60,COLUMN()-29),1,MIN(60,COLUMN()-29))),0)</f>
        <v>10.2439088</v>
      </c>
      <c r="FO850" s="9" t="n">
        <f aca="true">IFERROR(SUMPRODUCT(OFFSET($BJ$31,0,1-MIN(60,COLUMN()-29),1,MIN(60,COLUMN()-29)),OFFSET(FO849,0,-MIN(60,COLUMN()-29),1,MIN(60,COLUMN()-29))),0)</f>
        <v>10.6091136</v>
      </c>
      <c r="FP850" s="9" t="n">
        <f aca="true">IFERROR(SUMPRODUCT(OFFSET($BJ$31,0,1-MIN(60,COLUMN()-29),1,MIN(60,COLUMN()-29)),OFFSET(FP849,0,-MIN(60,COLUMN()-29),1,MIN(60,COLUMN()-29))),0)</f>
        <v>10.2011072</v>
      </c>
    </row>
    <row r="851" customFormat="false" ht="15" hidden="false" customHeight="false" outlineLevel="2" collapsed="false">
      <c r="B851" s="90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237"/>
      <c r="AD851" s="237"/>
      <c r="AE851" s="237"/>
      <c r="AF851" s="237"/>
      <c r="AG851" s="237"/>
      <c r="AH851" s="237"/>
      <c r="AI851" s="237"/>
      <c r="AJ851" s="237"/>
      <c r="AK851" s="237"/>
      <c r="AL851" s="237"/>
      <c r="AM851" s="237"/>
      <c r="AN851" s="237"/>
      <c r="AO851" s="237"/>
      <c r="AP851" s="237"/>
      <c r="AQ851" s="237"/>
      <c r="AR851" s="237"/>
      <c r="AS851" s="237"/>
      <c r="AT851" s="237"/>
      <c r="AU851" s="237"/>
      <c r="AV851" s="237"/>
      <c r="AW851" s="237"/>
      <c r="AX851" s="237"/>
      <c r="AY851" s="237"/>
      <c r="AZ851" s="237"/>
      <c r="BA851" s="237"/>
      <c r="BB851" s="237"/>
      <c r="BC851" s="237"/>
      <c r="BD851" s="237"/>
      <c r="BE851" s="237"/>
      <c r="BF851" s="237"/>
      <c r="BG851" s="237"/>
      <c r="BH851" s="237"/>
      <c r="BI851" s="237"/>
      <c r="BJ851" s="237"/>
      <c r="BK851" s="237"/>
      <c r="BL851" s="237"/>
      <c r="BM851" s="237"/>
      <c r="BN851" s="237"/>
      <c r="BO851" s="237"/>
      <c r="BP851" s="237"/>
      <c r="BQ851" s="237"/>
      <c r="BR851" s="237"/>
      <c r="BS851" s="237"/>
      <c r="BT851" s="237"/>
      <c r="BU851" s="237"/>
      <c r="BV851" s="237"/>
      <c r="BW851" s="237"/>
      <c r="BX851" s="237"/>
      <c r="BY851" s="237"/>
      <c r="BZ851" s="237"/>
      <c r="CA851" s="237"/>
      <c r="CB851" s="237"/>
      <c r="CC851" s="237"/>
      <c r="CD851" s="237"/>
      <c r="CE851" s="237"/>
      <c r="CF851" s="237"/>
      <c r="CG851" s="237"/>
      <c r="CH851" s="237"/>
      <c r="CI851" s="237"/>
      <c r="CJ851" s="237"/>
      <c r="CK851" s="237"/>
      <c r="CL851" s="237"/>
      <c r="CM851" s="237"/>
      <c r="CN851" s="237"/>
      <c r="CO851" s="237"/>
      <c r="CP851" s="237"/>
      <c r="CQ851" s="237"/>
      <c r="CR851" s="237"/>
      <c r="CS851" s="237"/>
      <c r="CT851" s="237"/>
      <c r="CU851" s="237"/>
      <c r="CV851" s="237"/>
      <c r="CW851" s="237"/>
      <c r="CX851" s="237"/>
      <c r="CY851" s="237"/>
      <c r="CZ851" s="237"/>
      <c r="DA851" s="237"/>
      <c r="DB851" s="237"/>
      <c r="DC851" s="237"/>
      <c r="DD851" s="237"/>
      <c r="DE851" s="237"/>
      <c r="DF851" s="237"/>
      <c r="DG851" s="237"/>
      <c r="DH851" s="237"/>
      <c r="DI851" s="237"/>
      <c r="DJ851" s="237"/>
      <c r="DK851" s="237"/>
      <c r="DL851" s="237"/>
      <c r="DM851" s="237"/>
      <c r="DN851" s="237"/>
      <c r="DO851" s="237"/>
      <c r="DP851" s="237"/>
      <c r="DQ851" s="237"/>
      <c r="DR851" s="237"/>
      <c r="DS851" s="237"/>
      <c r="DT851" s="237"/>
      <c r="DU851" s="237"/>
      <c r="DV851" s="237"/>
      <c r="DW851" s="237"/>
      <c r="DX851" s="237"/>
      <c r="DY851" s="237"/>
      <c r="DZ851" s="237"/>
      <c r="EA851" s="237"/>
      <c r="EB851" s="237"/>
      <c r="EC851" s="237"/>
      <c r="ED851" s="237"/>
      <c r="EE851" s="237"/>
      <c r="EF851" s="237"/>
      <c r="EG851" s="237"/>
      <c r="EH851" s="237"/>
      <c r="EI851" s="237"/>
      <c r="EJ851" s="237"/>
      <c r="EK851" s="237"/>
      <c r="EL851" s="237"/>
      <c r="EM851" s="237"/>
      <c r="EN851" s="237"/>
      <c r="EO851" s="237"/>
      <c r="EP851" s="237"/>
      <c r="EQ851" s="237"/>
      <c r="ER851" s="237"/>
      <c r="ES851" s="9"/>
      <c r="ET851" s="9"/>
      <c r="EU851" s="9"/>
      <c r="EV851" s="9"/>
      <c r="EW851" s="9"/>
      <c r="EX851" s="9"/>
      <c r="EY851" s="9"/>
      <c r="EZ851" s="9"/>
      <c r="FA851" s="9"/>
      <c r="FB851" s="9"/>
      <c r="FC851" s="9"/>
      <c r="FD851" s="9"/>
      <c r="FE851" s="9"/>
      <c r="FF851" s="9"/>
      <c r="FG851" s="9"/>
      <c r="FH851" s="9"/>
      <c r="FI851" s="9"/>
      <c r="FJ851" s="9"/>
      <c r="FK851" s="9"/>
      <c r="FL851" s="9"/>
      <c r="FM851" s="9"/>
      <c r="FN851" s="9"/>
      <c r="FO851" s="9"/>
      <c r="FP851" s="9"/>
    </row>
    <row r="852" customFormat="false" ht="15" hidden="false" customHeight="false" outlineLevel="2" collapsed="false">
      <c r="B852" s="240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237"/>
      <c r="AD852" s="237"/>
      <c r="AE852" s="237"/>
      <c r="AF852" s="237"/>
      <c r="AG852" s="237"/>
      <c r="AH852" s="237"/>
      <c r="AI852" s="237"/>
      <c r="AJ852" s="237"/>
      <c r="AK852" s="237"/>
      <c r="AL852" s="237"/>
      <c r="AM852" s="237"/>
      <c r="AN852" s="237"/>
      <c r="AO852" s="237"/>
      <c r="AP852" s="237"/>
      <c r="AQ852" s="237"/>
      <c r="AR852" s="237"/>
      <c r="AS852" s="237"/>
      <c r="AT852" s="237"/>
      <c r="AU852" s="237"/>
      <c r="AV852" s="237"/>
      <c r="AW852" s="237"/>
      <c r="AX852" s="237"/>
      <c r="AY852" s="237"/>
      <c r="AZ852" s="237"/>
      <c r="BA852" s="237"/>
      <c r="BB852" s="237"/>
      <c r="BC852" s="237"/>
      <c r="BD852" s="237"/>
      <c r="BE852" s="237"/>
      <c r="BF852" s="237"/>
      <c r="BG852" s="237"/>
      <c r="BH852" s="237"/>
      <c r="BI852" s="237"/>
      <c r="BJ852" s="237"/>
      <c r="BK852" s="237"/>
      <c r="BL852" s="237"/>
      <c r="BM852" s="237"/>
      <c r="BN852" s="237"/>
      <c r="BO852" s="237"/>
      <c r="BP852" s="237"/>
      <c r="BQ852" s="237"/>
      <c r="BR852" s="237"/>
      <c r="BS852" s="237"/>
      <c r="BT852" s="237"/>
      <c r="BU852" s="237"/>
      <c r="BV852" s="237"/>
      <c r="BW852" s="237"/>
      <c r="BX852" s="237"/>
      <c r="BY852" s="237"/>
      <c r="BZ852" s="237"/>
      <c r="CA852" s="237"/>
      <c r="CB852" s="237"/>
      <c r="CC852" s="237"/>
      <c r="CD852" s="237"/>
      <c r="CE852" s="237"/>
      <c r="CF852" s="237"/>
      <c r="CG852" s="237"/>
      <c r="CH852" s="237"/>
      <c r="CI852" s="237"/>
      <c r="CJ852" s="237"/>
      <c r="CK852" s="237"/>
      <c r="CL852" s="237"/>
      <c r="CM852" s="237"/>
      <c r="CN852" s="237"/>
      <c r="CO852" s="237"/>
      <c r="CP852" s="237"/>
      <c r="CQ852" s="237"/>
      <c r="CR852" s="237"/>
      <c r="CS852" s="237"/>
      <c r="CT852" s="237"/>
      <c r="CU852" s="237"/>
      <c r="CV852" s="237"/>
      <c r="CW852" s="237"/>
      <c r="CX852" s="237"/>
      <c r="CY852" s="237"/>
      <c r="CZ852" s="237"/>
      <c r="DA852" s="237"/>
      <c r="DB852" s="237"/>
      <c r="DC852" s="237"/>
      <c r="DD852" s="237"/>
      <c r="DE852" s="237"/>
      <c r="DF852" s="237"/>
      <c r="DG852" s="237"/>
      <c r="DH852" s="237"/>
      <c r="DI852" s="237"/>
      <c r="DJ852" s="237"/>
      <c r="DK852" s="237"/>
      <c r="DL852" s="237"/>
      <c r="DM852" s="237"/>
      <c r="DN852" s="237"/>
      <c r="DO852" s="237"/>
      <c r="DP852" s="237"/>
      <c r="DQ852" s="237"/>
      <c r="DR852" s="237"/>
      <c r="DS852" s="237"/>
      <c r="DT852" s="237"/>
      <c r="DU852" s="237"/>
      <c r="DV852" s="237"/>
      <c r="DW852" s="237"/>
      <c r="DX852" s="237"/>
      <c r="DY852" s="237"/>
      <c r="DZ852" s="237"/>
      <c r="EA852" s="237"/>
      <c r="EB852" s="237"/>
      <c r="EC852" s="237"/>
      <c r="ED852" s="237"/>
      <c r="EE852" s="237"/>
      <c r="EF852" s="237"/>
      <c r="EG852" s="237"/>
      <c r="EH852" s="237"/>
      <c r="EI852" s="237"/>
      <c r="EJ852" s="237"/>
      <c r="EK852" s="237"/>
      <c r="EL852" s="237"/>
      <c r="EM852" s="237"/>
      <c r="EN852" s="237"/>
      <c r="EO852" s="237"/>
      <c r="EP852" s="237"/>
      <c r="EQ852" s="237"/>
      <c r="ER852" s="237"/>
      <c r="ES852" s="9"/>
      <c r="ET852" s="9"/>
      <c r="EU852" s="9"/>
      <c r="EV852" s="9"/>
      <c r="EW852" s="9"/>
      <c r="EX852" s="9"/>
      <c r="EY852" s="9"/>
      <c r="EZ852" s="9"/>
      <c r="FA852" s="9"/>
      <c r="FB852" s="9"/>
      <c r="FC852" s="9"/>
      <c r="FD852" s="9"/>
      <c r="FE852" s="9"/>
      <c r="FF852" s="9"/>
      <c r="FG852" s="9"/>
      <c r="FH852" s="9"/>
      <c r="FI852" s="9"/>
      <c r="FJ852" s="9"/>
      <c r="FK852" s="9"/>
      <c r="FL852" s="9"/>
      <c r="FM852" s="9"/>
      <c r="FN852" s="9"/>
      <c r="FO852" s="9"/>
      <c r="FP852" s="9"/>
    </row>
    <row r="853" customFormat="false" ht="15" hidden="false" customHeight="false" outlineLevel="2" collapsed="false">
      <c r="B853" s="21" t="s">
        <v>958</v>
      </c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  <c r="AP853" s="21"/>
      <c r="AQ853" s="21"/>
      <c r="AR853" s="21"/>
      <c r="AS853" s="21"/>
      <c r="AT853" s="21"/>
      <c r="AU853" s="21"/>
      <c r="AV853" s="21"/>
      <c r="AW853" s="21"/>
      <c r="AX853" s="21"/>
      <c r="AY853" s="21"/>
      <c r="AZ853" s="21"/>
      <c r="BA853" s="21"/>
      <c r="BB853" s="21"/>
      <c r="BC853" s="21"/>
      <c r="BD853" s="21"/>
      <c r="BE853" s="21"/>
      <c r="BF853" s="21"/>
      <c r="BG853" s="21"/>
      <c r="BH853" s="21"/>
      <c r="BI853" s="21"/>
      <c r="BJ853" s="21"/>
      <c r="BK853" s="21"/>
      <c r="BL853" s="21"/>
      <c r="BM853" s="21"/>
      <c r="BN853" s="21"/>
      <c r="BO853" s="21"/>
      <c r="BP853" s="21"/>
      <c r="BQ853" s="21"/>
      <c r="BR853" s="21"/>
      <c r="BS853" s="21"/>
      <c r="BT853" s="21"/>
      <c r="BU853" s="21"/>
      <c r="BV853" s="21"/>
      <c r="BW853" s="21"/>
      <c r="BX853" s="21"/>
      <c r="BY853" s="21"/>
      <c r="BZ853" s="21"/>
      <c r="CA853" s="21"/>
      <c r="CB853" s="21"/>
      <c r="CC853" s="21"/>
      <c r="CD853" s="21"/>
      <c r="CE853" s="21"/>
      <c r="CF853" s="21"/>
      <c r="CG853" s="21"/>
      <c r="CH853" s="21"/>
      <c r="CI853" s="21"/>
      <c r="CJ853" s="21"/>
      <c r="CK853" s="21"/>
      <c r="CL853" s="21"/>
      <c r="CM853" s="21"/>
      <c r="CN853" s="21"/>
      <c r="CO853" s="21"/>
      <c r="CP853" s="21"/>
      <c r="CQ853" s="21"/>
      <c r="CR853" s="21"/>
      <c r="CS853" s="21"/>
      <c r="CT853" s="21"/>
      <c r="CU853" s="21"/>
      <c r="CV853" s="21"/>
      <c r="CW853" s="21"/>
      <c r="CX853" s="21"/>
      <c r="CY853" s="21"/>
      <c r="CZ853" s="21"/>
      <c r="DA853" s="21"/>
      <c r="DB853" s="21"/>
      <c r="DC853" s="21"/>
      <c r="DD853" s="21"/>
      <c r="DE853" s="21"/>
      <c r="DF853" s="21"/>
      <c r="DG853" s="21"/>
      <c r="DH853" s="21"/>
      <c r="DI853" s="21"/>
      <c r="DJ853" s="21"/>
      <c r="DK853" s="21"/>
      <c r="DL853" s="21"/>
      <c r="DM853" s="21"/>
      <c r="DN853" s="21"/>
      <c r="DO853" s="21"/>
      <c r="DP853" s="21"/>
      <c r="DQ853" s="21"/>
      <c r="DR853" s="21"/>
      <c r="DS853" s="21"/>
      <c r="DT853" s="21"/>
      <c r="DU853" s="21"/>
      <c r="DV853" s="21"/>
      <c r="DW853" s="21"/>
      <c r="DX853" s="21"/>
      <c r="DY853" s="21"/>
      <c r="DZ853" s="21"/>
      <c r="EA853" s="21"/>
      <c r="EB853" s="21"/>
      <c r="EC853" s="21"/>
      <c r="ED853" s="21"/>
      <c r="EE853" s="21"/>
      <c r="EF853" s="21"/>
      <c r="EG853" s="21"/>
      <c r="EH853" s="21"/>
      <c r="EI853" s="21"/>
      <c r="EJ853" s="21"/>
      <c r="EK853" s="21"/>
      <c r="EL853" s="21"/>
      <c r="EM853" s="21"/>
      <c r="EN853" s="21"/>
      <c r="EO853" s="21"/>
      <c r="EP853" s="21"/>
      <c r="EQ853" s="21"/>
      <c r="ER853" s="21"/>
      <c r="ES853" s="9"/>
      <c r="ET853" s="9"/>
      <c r="EU853" s="9"/>
      <c r="EV853" s="9"/>
      <c r="EW853" s="9"/>
      <c r="EX853" s="9"/>
      <c r="EY853" s="9"/>
      <c r="EZ853" s="9"/>
      <c r="FA853" s="9"/>
      <c r="FB853" s="9"/>
      <c r="FC853" s="9"/>
      <c r="FD853" s="9"/>
      <c r="FE853" s="9"/>
      <c r="FF853" s="9"/>
      <c r="FG853" s="9"/>
      <c r="FH853" s="9"/>
      <c r="FI853" s="9"/>
      <c r="FJ853" s="9"/>
      <c r="FK853" s="9"/>
      <c r="FL853" s="9"/>
      <c r="FM853" s="9"/>
      <c r="FN853" s="9"/>
      <c r="FO853" s="9"/>
      <c r="FP853" s="9"/>
    </row>
    <row r="854" customFormat="false" ht="15" hidden="false" customHeight="false" outlineLevel="2" collapsed="false">
      <c r="B854" s="9" t="s">
        <v>872</v>
      </c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234" t="n">
        <f aca="false">('⑫ Roll-out Plan'!G90-2025)*12+'⑫ Roll-out Plan'!F90</f>
        <v>138</v>
      </c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  <c r="CX854" s="9"/>
      <c r="CY854" s="9"/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9"/>
      <c r="DK854" s="9"/>
      <c r="DL854" s="9"/>
      <c r="DM854" s="9"/>
      <c r="DN854" s="9"/>
      <c r="DO854" s="9"/>
      <c r="DP854" s="9"/>
      <c r="DQ854" s="9"/>
      <c r="DR854" s="9"/>
      <c r="DS854" s="9"/>
      <c r="DT854" s="9"/>
      <c r="DU854" s="9"/>
      <c r="DV854" s="9"/>
      <c r="DW854" s="9"/>
      <c r="DX854" s="9"/>
      <c r="DY854" s="9"/>
      <c r="DZ854" s="9"/>
      <c r="EA854" s="9"/>
      <c r="EB854" s="9"/>
      <c r="EC854" s="9"/>
      <c r="ED854" s="9"/>
      <c r="EE854" s="9"/>
      <c r="EF854" s="9"/>
      <c r="EG854" s="9"/>
      <c r="EH854" s="9"/>
      <c r="EI854" s="9"/>
      <c r="EJ854" s="9"/>
      <c r="EK854" s="9"/>
      <c r="EL854" s="9"/>
      <c r="EM854" s="9"/>
      <c r="EN854" s="9"/>
      <c r="EO854" s="9"/>
      <c r="EP854" s="9"/>
      <c r="EQ854" s="9"/>
      <c r="ER854" s="9"/>
      <c r="ES854" s="9"/>
      <c r="ET854" s="9"/>
      <c r="EU854" s="9"/>
      <c r="EV854" s="9"/>
      <c r="EW854" s="9"/>
      <c r="EX854" s="9"/>
      <c r="EY854" s="9"/>
      <c r="EZ854" s="9"/>
      <c r="FA854" s="9"/>
      <c r="FB854" s="9"/>
      <c r="FC854" s="9"/>
      <c r="FD854" s="9"/>
      <c r="FE854" s="9"/>
      <c r="FF854" s="9"/>
      <c r="FG854" s="9"/>
      <c r="FH854" s="9"/>
      <c r="FI854" s="9"/>
      <c r="FJ854" s="9"/>
      <c r="FK854" s="9"/>
      <c r="FL854" s="9"/>
      <c r="FM854" s="9"/>
      <c r="FN854" s="9"/>
      <c r="FO854" s="9"/>
      <c r="FP854" s="9"/>
    </row>
    <row r="855" customFormat="false" ht="15" hidden="false" customHeight="false" outlineLevel="2" collapsed="false">
      <c r="B855" s="9" t="s">
        <v>873</v>
      </c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235" t="n">
        <f aca="false">VLOOKUP("C",$B$14:$C$18,2,FALSE())</f>
        <v>110</v>
      </c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  <c r="CO855" s="9"/>
      <c r="CP855" s="9"/>
      <c r="CQ855" s="9"/>
      <c r="CR855" s="9"/>
      <c r="CS855" s="9"/>
      <c r="CT855" s="9"/>
      <c r="CU855" s="9"/>
      <c r="CV855" s="9"/>
      <c r="CW855" s="9"/>
      <c r="CX855" s="9"/>
      <c r="CY855" s="9"/>
      <c r="CZ855" s="9"/>
      <c r="DA855" s="9"/>
      <c r="DB855" s="9"/>
      <c r="DC855" s="9"/>
      <c r="DD855" s="9"/>
      <c r="DE855" s="9"/>
      <c r="DF855" s="9"/>
      <c r="DG855" s="9"/>
      <c r="DH855" s="9"/>
      <c r="DI855" s="9"/>
      <c r="DJ855" s="9"/>
      <c r="DK855" s="9"/>
      <c r="DL855" s="9"/>
      <c r="DM855" s="9"/>
      <c r="DN855" s="9"/>
      <c r="DO855" s="9"/>
      <c r="DP855" s="9"/>
      <c r="DQ855" s="9"/>
      <c r="DR855" s="9"/>
      <c r="DS855" s="9"/>
      <c r="DT855" s="9"/>
      <c r="DU855" s="9"/>
      <c r="DV855" s="9"/>
      <c r="DW855" s="9"/>
      <c r="DX855" s="9"/>
      <c r="DY855" s="9"/>
      <c r="DZ855" s="9"/>
      <c r="EA855" s="9"/>
      <c r="EB855" s="9"/>
      <c r="EC855" s="9"/>
      <c r="ED855" s="9"/>
      <c r="EE855" s="9"/>
      <c r="EF855" s="9"/>
      <c r="EG855" s="9"/>
      <c r="EH855" s="9"/>
      <c r="EI855" s="9"/>
      <c r="EJ855" s="9"/>
      <c r="EK855" s="9"/>
      <c r="EL855" s="9"/>
      <c r="EM855" s="9"/>
      <c r="EN855" s="9"/>
      <c r="EO855" s="9"/>
      <c r="EP855" s="9"/>
      <c r="EQ855" s="9"/>
      <c r="ER855" s="9"/>
      <c r="ES855" s="9"/>
      <c r="ET855" s="9"/>
      <c r="EU855" s="9"/>
      <c r="EV855" s="9"/>
      <c r="EW855" s="9"/>
      <c r="EX855" s="9"/>
      <c r="EY855" s="9"/>
      <c r="EZ855" s="9"/>
      <c r="FA855" s="9"/>
      <c r="FB855" s="9"/>
      <c r="FC855" s="9"/>
      <c r="FD855" s="9"/>
      <c r="FE855" s="9"/>
      <c r="FF855" s="9"/>
      <c r="FG855" s="9"/>
      <c r="FH855" s="9"/>
      <c r="FI855" s="9"/>
      <c r="FJ855" s="9"/>
      <c r="FK855" s="9"/>
      <c r="FL855" s="9"/>
      <c r="FM855" s="9"/>
      <c r="FN855" s="9"/>
      <c r="FO855" s="9"/>
      <c r="FP855" s="9"/>
    </row>
    <row r="856" customFormat="false" ht="15" hidden="false" customHeight="false" outlineLevel="2" collapsed="false">
      <c r="B856" s="9" t="s">
        <v>799</v>
      </c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63" t="n">
        <f aca="false">IF(AC$35&gt;=$AC$854,AC$35-$AC$854+1,0)</f>
        <v>0</v>
      </c>
      <c r="AD856" s="63" t="n">
        <f aca="false">IF(AD$35&gt;=$AC$854,AD$35-$AC$854+1,0)</f>
        <v>0</v>
      </c>
      <c r="AE856" s="63" t="n">
        <f aca="false">IF(AE$35&gt;=$AC$854,AE$35-$AC$854+1,0)</f>
        <v>0</v>
      </c>
      <c r="AF856" s="63" t="n">
        <f aca="false">IF(AF$35&gt;=$AC$854,AF$35-$AC$854+1,0)</f>
        <v>0</v>
      </c>
      <c r="AG856" s="63" t="n">
        <f aca="false">IF(AG$35&gt;=$AC$854,AG$35-$AC$854+1,0)</f>
        <v>0</v>
      </c>
      <c r="AH856" s="63" t="n">
        <f aca="false">IF(AH$35&gt;=$AC$854,AH$35-$AC$854+1,0)</f>
        <v>0</v>
      </c>
      <c r="AI856" s="63" t="n">
        <f aca="false">IF(AI$35&gt;=$AC$854,AI$35-$AC$854+1,0)</f>
        <v>0</v>
      </c>
      <c r="AJ856" s="63" t="n">
        <f aca="false">IF(AJ$35&gt;=$AC$854,AJ$35-$AC$854+1,0)</f>
        <v>0</v>
      </c>
      <c r="AK856" s="63" t="n">
        <f aca="false">IF(AK$35&gt;=$AC$854,AK$35-$AC$854+1,0)</f>
        <v>0</v>
      </c>
      <c r="AL856" s="63" t="n">
        <f aca="false">IF(AL$35&gt;=$AC$854,AL$35-$AC$854+1,0)</f>
        <v>0</v>
      </c>
      <c r="AM856" s="63" t="n">
        <f aca="false">IF(AM$35&gt;=$AC$854,AM$35-$AC$854+1,0)</f>
        <v>0</v>
      </c>
      <c r="AN856" s="63" t="n">
        <f aca="false">IF(AN$35&gt;=$AC$854,AN$35-$AC$854+1,0)</f>
        <v>0</v>
      </c>
      <c r="AO856" s="63" t="n">
        <f aca="false">IF(AO$35&gt;=$AC$854,AO$35-$AC$854+1,0)</f>
        <v>0</v>
      </c>
      <c r="AP856" s="63" t="n">
        <f aca="false">IF(AP$35&gt;=$AC$854,AP$35-$AC$854+1,0)</f>
        <v>0</v>
      </c>
      <c r="AQ856" s="63" t="n">
        <f aca="false">IF(AQ$35&gt;=$AC$854,AQ$35-$AC$854+1,0)</f>
        <v>0</v>
      </c>
      <c r="AR856" s="63" t="n">
        <f aca="false">IF(AR$35&gt;=$AC$854,AR$35-$AC$854+1,0)</f>
        <v>0</v>
      </c>
      <c r="AS856" s="63" t="n">
        <f aca="false">IF(AS$35&gt;=$AC$854,AS$35-$AC$854+1,0)</f>
        <v>0</v>
      </c>
      <c r="AT856" s="63" t="n">
        <f aca="false">IF(AT$35&gt;=$AC$854,AT$35-$AC$854+1,0)</f>
        <v>0</v>
      </c>
      <c r="AU856" s="63" t="n">
        <f aca="false">IF(AU$35&gt;=$AC$854,AU$35-$AC$854+1,0)</f>
        <v>0</v>
      </c>
      <c r="AV856" s="63" t="n">
        <f aca="false">IF(AV$35&gt;=$AC$854,AV$35-$AC$854+1,0)</f>
        <v>0</v>
      </c>
      <c r="AW856" s="63" t="n">
        <f aca="false">IF(AW$35&gt;=$AC$854,AW$35-$AC$854+1,0)</f>
        <v>0</v>
      </c>
      <c r="AX856" s="63" t="n">
        <f aca="false">IF(AX$35&gt;=$AC$854,AX$35-$AC$854+1,0)</f>
        <v>0</v>
      </c>
      <c r="AY856" s="63" t="n">
        <f aca="false">IF(AY$35&gt;=$AC$854,AY$35-$AC$854+1,0)</f>
        <v>0</v>
      </c>
      <c r="AZ856" s="63" t="n">
        <f aca="false">IF(AZ$35&gt;=$AC$854,AZ$35-$AC$854+1,0)</f>
        <v>0</v>
      </c>
      <c r="BA856" s="63" t="n">
        <f aca="false">IF(BA$35&gt;=$AC$854,BA$35-$AC$854+1,0)</f>
        <v>0</v>
      </c>
      <c r="BB856" s="63" t="n">
        <f aca="false">IF(BB$35&gt;=$AC$854,BB$35-$AC$854+1,0)</f>
        <v>0</v>
      </c>
      <c r="BC856" s="63" t="n">
        <f aca="false">IF(BC$35&gt;=$AC$854,BC$35-$AC$854+1,0)</f>
        <v>0</v>
      </c>
      <c r="BD856" s="63" t="n">
        <f aca="false">IF(BD$35&gt;=$AC$854,BD$35-$AC$854+1,0)</f>
        <v>0</v>
      </c>
      <c r="BE856" s="63" t="n">
        <f aca="false">IF(BE$35&gt;=$AC$854,BE$35-$AC$854+1,0)</f>
        <v>0</v>
      </c>
      <c r="BF856" s="63" t="n">
        <f aca="false">IF(BF$35&gt;=$AC$854,BF$35-$AC$854+1,0)</f>
        <v>0</v>
      </c>
      <c r="BG856" s="63" t="n">
        <f aca="false">IF(BG$35&gt;=$AC$854,BG$35-$AC$854+1,0)</f>
        <v>0</v>
      </c>
      <c r="BH856" s="63" t="n">
        <f aca="false">IF(BH$35&gt;=$AC$854,BH$35-$AC$854+1,0)</f>
        <v>0</v>
      </c>
      <c r="BI856" s="63" t="n">
        <f aca="false">IF(BI$35&gt;=$AC$854,BI$35-$AC$854+1,0)</f>
        <v>0</v>
      </c>
      <c r="BJ856" s="63" t="n">
        <f aca="false">IF(BJ$35&gt;=$AC$854,BJ$35-$AC$854+1,0)</f>
        <v>0</v>
      </c>
      <c r="BK856" s="63" t="n">
        <f aca="false">IF(BK$35&gt;=$AC$854,BK$35-$AC$854+1,0)</f>
        <v>0</v>
      </c>
      <c r="BL856" s="63" t="n">
        <f aca="false">IF(BL$35&gt;=$AC$854,BL$35-$AC$854+1,0)</f>
        <v>0</v>
      </c>
      <c r="BM856" s="63" t="n">
        <f aca="false">IF(BM$35&gt;=$AC$854,BM$35-$AC$854+1,0)</f>
        <v>0</v>
      </c>
      <c r="BN856" s="63" t="n">
        <f aca="false">IF(BN$35&gt;=$AC$854,BN$35-$AC$854+1,0)</f>
        <v>0</v>
      </c>
      <c r="BO856" s="63" t="n">
        <f aca="false">IF(BO$35&gt;=$AC$854,BO$35-$AC$854+1,0)</f>
        <v>0</v>
      </c>
      <c r="BP856" s="63" t="n">
        <f aca="false">IF(BP$35&gt;=$AC$854,BP$35-$AC$854+1,0)</f>
        <v>0</v>
      </c>
      <c r="BQ856" s="63" t="n">
        <f aca="false">IF(BQ$35&gt;=$AC$854,BQ$35-$AC$854+1,0)</f>
        <v>0</v>
      </c>
      <c r="BR856" s="63" t="n">
        <f aca="false">IF(BR$35&gt;=$AC$854,BR$35-$AC$854+1,0)</f>
        <v>0</v>
      </c>
      <c r="BS856" s="63" t="n">
        <f aca="false">IF(BS$35&gt;=$AC$854,BS$35-$AC$854+1,0)</f>
        <v>0</v>
      </c>
      <c r="BT856" s="63" t="n">
        <f aca="false">IF(BT$35&gt;=$AC$854,BT$35-$AC$854+1,0)</f>
        <v>0</v>
      </c>
      <c r="BU856" s="63" t="n">
        <f aca="false">IF(BU$35&gt;=$AC$854,BU$35-$AC$854+1,0)</f>
        <v>0</v>
      </c>
      <c r="BV856" s="63" t="n">
        <f aca="false">IF(BV$35&gt;=$AC$854,BV$35-$AC$854+1,0)</f>
        <v>0</v>
      </c>
      <c r="BW856" s="63" t="n">
        <f aca="false">IF(BW$35&gt;=$AC$854,BW$35-$AC$854+1,0)</f>
        <v>0</v>
      </c>
      <c r="BX856" s="63" t="n">
        <f aca="false">IF(BX$35&gt;=$AC$854,BX$35-$AC$854+1,0)</f>
        <v>0</v>
      </c>
      <c r="BY856" s="63" t="n">
        <f aca="false">IF(BY$35&gt;=$AC$854,BY$35-$AC$854+1,0)</f>
        <v>0</v>
      </c>
      <c r="BZ856" s="63" t="n">
        <f aca="false">IF(BZ$35&gt;=$AC$854,BZ$35-$AC$854+1,0)</f>
        <v>0</v>
      </c>
      <c r="CA856" s="63" t="n">
        <f aca="false">IF(CA$35&gt;=$AC$854,CA$35-$AC$854+1,0)</f>
        <v>0</v>
      </c>
      <c r="CB856" s="63" t="n">
        <f aca="false">IF(CB$35&gt;=$AC$854,CB$35-$AC$854+1,0)</f>
        <v>0</v>
      </c>
      <c r="CC856" s="63" t="n">
        <f aca="false">IF(CC$35&gt;=$AC$854,CC$35-$AC$854+1,0)</f>
        <v>0</v>
      </c>
      <c r="CD856" s="63" t="n">
        <f aca="false">IF(CD$35&gt;=$AC$854,CD$35-$AC$854+1,0)</f>
        <v>0</v>
      </c>
      <c r="CE856" s="63" t="n">
        <f aca="false">IF(CE$35&gt;=$AC$854,CE$35-$AC$854+1,0)</f>
        <v>0</v>
      </c>
      <c r="CF856" s="63" t="n">
        <f aca="false">IF(CF$35&gt;=$AC$854,CF$35-$AC$854+1,0)</f>
        <v>0</v>
      </c>
      <c r="CG856" s="63" t="n">
        <f aca="false">IF(CG$35&gt;=$AC$854,CG$35-$AC$854+1,0)</f>
        <v>0</v>
      </c>
      <c r="CH856" s="63" t="n">
        <f aca="false">IF(CH$35&gt;=$AC$854,CH$35-$AC$854+1,0)</f>
        <v>0</v>
      </c>
      <c r="CI856" s="63" t="n">
        <f aca="false">IF(CI$35&gt;=$AC$854,CI$35-$AC$854+1,0)</f>
        <v>0</v>
      </c>
      <c r="CJ856" s="63" t="n">
        <f aca="false">IF(CJ$35&gt;=$AC$854,CJ$35-$AC$854+1,0)</f>
        <v>0</v>
      </c>
      <c r="CK856" s="63" t="n">
        <f aca="false">IF(CK$35&gt;=$AC$854,CK$35-$AC$854+1,0)</f>
        <v>0</v>
      </c>
      <c r="CL856" s="63" t="n">
        <f aca="false">IF(CL$35&gt;=$AC$854,CL$35-$AC$854+1,0)</f>
        <v>0</v>
      </c>
      <c r="CM856" s="63" t="n">
        <f aca="false">IF(CM$35&gt;=$AC$854,CM$35-$AC$854+1,0)</f>
        <v>0</v>
      </c>
      <c r="CN856" s="63" t="n">
        <f aca="false">IF(CN$35&gt;=$AC$854,CN$35-$AC$854+1,0)</f>
        <v>0</v>
      </c>
      <c r="CO856" s="63" t="n">
        <f aca="false">IF(CO$35&gt;=$AC$854,CO$35-$AC$854+1,0)</f>
        <v>0</v>
      </c>
      <c r="CP856" s="63" t="n">
        <f aca="false">IF(CP$35&gt;=$AC$854,CP$35-$AC$854+1,0)</f>
        <v>0</v>
      </c>
      <c r="CQ856" s="63" t="n">
        <f aca="false">IF(CQ$35&gt;=$AC$854,CQ$35-$AC$854+1,0)</f>
        <v>0</v>
      </c>
      <c r="CR856" s="63" t="n">
        <f aca="false">IF(CR$35&gt;=$AC$854,CR$35-$AC$854+1,0)</f>
        <v>0</v>
      </c>
      <c r="CS856" s="63" t="n">
        <f aca="false">IF(CS$35&gt;=$AC$854,CS$35-$AC$854+1,0)</f>
        <v>0</v>
      </c>
      <c r="CT856" s="63" t="n">
        <f aca="false">IF(CT$35&gt;=$AC$854,CT$35-$AC$854+1,0)</f>
        <v>0</v>
      </c>
      <c r="CU856" s="63" t="n">
        <f aca="false">IF(CU$35&gt;=$AC$854,CU$35-$AC$854+1,0)</f>
        <v>0</v>
      </c>
      <c r="CV856" s="63" t="n">
        <f aca="false">IF(CV$35&gt;=$AC$854,CV$35-$AC$854+1,0)</f>
        <v>0</v>
      </c>
      <c r="CW856" s="63" t="n">
        <f aca="false">IF(CW$35&gt;=$AC$854,CW$35-$AC$854+1,0)</f>
        <v>0</v>
      </c>
      <c r="CX856" s="63" t="n">
        <f aca="false">IF(CX$35&gt;=$AC$854,CX$35-$AC$854+1,0)</f>
        <v>0</v>
      </c>
      <c r="CY856" s="63" t="n">
        <f aca="false">IF(CY$35&gt;=$AC$854,CY$35-$AC$854+1,0)</f>
        <v>0</v>
      </c>
      <c r="CZ856" s="63" t="n">
        <f aca="false">IF(CZ$35&gt;=$AC$854,CZ$35-$AC$854+1,0)</f>
        <v>0</v>
      </c>
      <c r="DA856" s="63" t="n">
        <f aca="false">IF(DA$35&gt;=$AC$854,DA$35-$AC$854+1,0)</f>
        <v>0</v>
      </c>
      <c r="DB856" s="63" t="n">
        <f aca="false">IF(DB$35&gt;=$AC$854,DB$35-$AC$854+1,0)</f>
        <v>0</v>
      </c>
      <c r="DC856" s="63" t="n">
        <f aca="false">IF(DC$35&gt;=$AC$854,DC$35-$AC$854+1,0)</f>
        <v>0</v>
      </c>
      <c r="DD856" s="63" t="n">
        <f aca="false">IF(DD$35&gt;=$AC$854,DD$35-$AC$854+1,0)</f>
        <v>0</v>
      </c>
      <c r="DE856" s="63" t="n">
        <f aca="false">IF(DE$35&gt;=$AC$854,DE$35-$AC$854+1,0)</f>
        <v>0</v>
      </c>
      <c r="DF856" s="63" t="n">
        <f aca="false">IF(DF$35&gt;=$AC$854,DF$35-$AC$854+1,0)</f>
        <v>0</v>
      </c>
      <c r="DG856" s="63" t="n">
        <f aca="false">IF(DG$35&gt;=$AC$854,DG$35-$AC$854+1,0)</f>
        <v>0</v>
      </c>
      <c r="DH856" s="63" t="n">
        <f aca="false">IF(DH$35&gt;=$AC$854,DH$35-$AC$854+1,0)</f>
        <v>0</v>
      </c>
      <c r="DI856" s="63" t="n">
        <f aca="false">IF(DI$35&gt;=$AC$854,DI$35-$AC$854+1,0)</f>
        <v>0</v>
      </c>
      <c r="DJ856" s="63" t="n">
        <f aca="false">IF(DJ$35&gt;=$AC$854,DJ$35-$AC$854+1,0)</f>
        <v>0</v>
      </c>
      <c r="DK856" s="63" t="n">
        <f aca="false">IF(DK$35&gt;=$AC$854,DK$35-$AC$854+1,0)</f>
        <v>0</v>
      </c>
      <c r="DL856" s="63" t="n">
        <f aca="false">IF(DL$35&gt;=$AC$854,DL$35-$AC$854+1,0)</f>
        <v>0</v>
      </c>
      <c r="DM856" s="63" t="n">
        <f aca="false">IF(DM$35&gt;=$AC$854,DM$35-$AC$854+1,0)</f>
        <v>0</v>
      </c>
      <c r="DN856" s="63" t="n">
        <f aca="false">IF(DN$35&gt;=$AC$854,DN$35-$AC$854+1,0)</f>
        <v>0</v>
      </c>
      <c r="DO856" s="63" t="n">
        <f aca="false">IF(DO$35&gt;=$AC$854,DO$35-$AC$854+1,0)</f>
        <v>0</v>
      </c>
      <c r="DP856" s="63" t="n">
        <f aca="false">IF(DP$35&gt;=$AC$854,DP$35-$AC$854+1,0)</f>
        <v>0</v>
      </c>
      <c r="DQ856" s="63" t="n">
        <f aca="false">IF(DQ$35&gt;=$AC$854,DQ$35-$AC$854+1,0)</f>
        <v>0</v>
      </c>
      <c r="DR856" s="63" t="n">
        <f aca="false">IF(DR$35&gt;=$AC$854,DR$35-$AC$854+1,0)</f>
        <v>0</v>
      </c>
      <c r="DS856" s="63" t="n">
        <f aca="false">IF(DS$35&gt;=$AC$854,DS$35-$AC$854+1,0)</f>
        <v>0</v>
      </c>
      <c r="DT856" s="63" t="n">
        <f aca="false">IF(DT$35&gt;=$AC$854,DT$35-$AC$854+1,0)</f>
        <v>0</v>
      </c>
      <c r="DU856" s="63" t="n">
        <f aca="false">IF(DU$35&gt;=$AC$854,DU$35-$AC$854+1,0)</f>
        <v>0</v>
      </c>
      <c r="DV856" s="63" t="n">
        <f aca="false">IF(DV$35&gt;=$AC$854,DV$35-$AC$854+1,0)</f>
        <v>0</v>
      </c>
      <c r="DW856" s="63" t="n">
        <f aca="false">IF(DW$35&gt;=$AC$854,DW$35-$AC$854+1,0)</f>
        <v>0</v>
      </c>
      <c r="DX856" s="63" t="n">
        <f aca="false">IF(DX$35&gt;=$AC$854,DX$35-$AC$854+1,0)</f>
        <v>0</v>
      </c>
      <c r="DY856" s="63" t="n">
        <f aca="false">IF(DY$35&gt;=$AC$854,DY$35-$AC$854+1,0)</f>
        <v>0</v>
      </c>
      <c r="DZ856" s="63" t="n">
        <f aca="false">IF(DZ$35&gt;=$AC$854,DZ$35-$AC$854+1,0)</f>
        <v>0</v>
      </c>
      <c r="EA856" s="63" t="n">
        <f aca="false">IF(EA$35&gt;=$AC$854,EA$35-$AC$854+1,0)</f>
        <v>0</v>
      </c>
      <c r="EB856" s="63" t="n">
        <f aca="false">IF(EB$35&gt;=$AC$854,EB$35-$AC$854+1,0)</f>
        <v>0</v>
      </c>
      <c r="EC856" s="63" t="n">
        <f aca="false">IF(EC$35&gt;=$AC$854,EC$35-$AC$854+1,0)</f>
        <v>0</v>
      </c>
      <c r="ED856" s="63" t="n">
        <f aca="false">IF(ED$35&gt;=$AC$854,ED$35-$AC$854+1,0)</f>
        <v>0</v>
      </c>
      <c r="EE856" s="63" t="n">
        <f aca="false">IF(EE$35&gt;=$AC$854,EE$35-$AC$854+1,0)</f>
        <v>0</v>
      </c>
      <c r="EF856" s="63" t="n">
        <f aca="false">IF(EF$35&gt;=$AC$854,EF$35-$AC$854+1,0)</f>
        <v>0</v>
      </c>
      <c r="EG856" s="63" t="n">
        <f aca="false">IF(EG$35&gt;=$AC$854,EG$35-$AC$854+1,0)</f>
        <v>0</v>
      </c>
      <c r="EH856" s="63" t="n">
        <f aca="false">IF(EH$35&gt;=$AC$854,EH$35-$AC$854+1,0)</f>
        <v>0</v>
      </c>
      <c r="EI856" s="63" t="n">
        <f aca="false">IF(EI$35&gt;=$AC$854,EI$35-$AC$854+1,0)</f>
        <v>0</v>
      </c>
      <c r="EJ856" s="63" t="n">
        <f aca="false">IF(EJ$35&gt;=$AC$854,EJ$35-$AC$854+1,0)</f>
        <v>0</v>
      </c>
      <c r="EK856" s="63" t="n">
        <f aca="false">IF(EK$35&gt;=$AC$854,EK$35-$AC$854+1,0)</f>
        <v>0</v>
      </c>
      <c r="EL856" s="63" t="n">
        <f aca="false">IF(EL$35&gt;=$AC$854,EL$35-$AC$854+1,0)</f>
        <v>0</v>
      </c>
      <c r="EM856" s="63" t="n">
        <f aca="false">IF(EM$35&gt;=$AC$854,EM$35-$AC$854+1,0)</f>
        <v>0</v>
      </c>
      <c r="EN856" s="63" t="n">
        <f aca="false">IF(EN$35&gt;=$AC$854,EN$35-$AC$854+1,0)</f>
        <v>0</v>
      </c>
      <c r="EO856" s="63" t="n">
        <f aca="false">IF(EO$35&gt;=$AC$854,EO$35-$AC$854+1,0)</f>
        <v>0</v>
      </c>
      <c r="EP856" s="63" t="n">
        <f aca="false">IF(EP$35&gt;=$AC$854,EP$35-$AC$854+1,0)</f>
        <v>0</v>
      </c>
      <c r="EQ856" s="63" t="n">
        <f aca="false">IF(EQ$35&gt;=$AC$854,EQ$35-$AC$854+1,0)</f>
        <v>0</v>
      </c>
      <c r="ER856" s="63" t="n">
        <f aca="false">IF(ER$35&gt;=$AC$854,ER$35-$AC$854+1,0)</f>
        <v>0</v>
      </c>
      <c r="ES856" s="9" t="n">
        <f aca="false">IF(ES$35&gt;=$AC$854,ES$35-$AC$854+1,0)</f>
        <v>0</v>
      </c>
      <c r="ET856" s="9" t="n">
        <f aca="false">IF(ET$35&gt;=$AC$854,ET$35-$AC$854+1,0)</f>
        <v>0</v>
      </c>
      <c r="EU856" s="9" t="n">
        <f aca="false">IF(EU$35&gt;=$AC$854,EU$35-$AC$854+1,0)</f>
        <v>0</v>
      </c>
      <c r="EV856" s="9" t="n">
        <f aca="false">IF(EV$35&gt;=$AC$854,EV$35-$AC$854+1,0)</f>
        <v>0</v>
      </c>
      <c r="EW856" s="9" t="n">
        <f aca="false">IF(EW$35&gt;=$AC$854,EW$35-$AC$854+1,0)</f>
        <v>0</v>
      </c>
      <c r="EX856" s="9" t="n">
        <f aca="false">IF(EX$35&gt;=$AC$854,EX$35-$AC$854+1,0)</f>
        <v>0</v>
      </c>
      <c r="EY856" s="9" t="n">
        <f aca="false">IF(EY$35&gt;=$AC$854,EY$35-$AC$854+1,0)</f>
        <v>0</v>
      </c>
      <c r="EZ856" s="9" t="n">
        <f aca="false">IF(EZ$35&gt;=$AC$854,EZ$35-$AC$854+1,0)</f>
        <v>0</v>
      </c>
      <c r="FA856" s="9" t="n">
        <f aca="false">IF(FA$35&gt;=$AC$854,FA$35-$AC$854+1,0)</f>
        <v>0</v>
      </c>
      <c r="FB856" s="9" t="n">
        <f aca="false">IF(FB$35&gt;=$AC$854,FB$35-$AC$854+1,0)</f>
        <v>0</v>
      </c>
      <c r="FC856" s="9" t="n">
        <f aca="false">IF(FC$35&gt;=$AC$854,FC$35-$AC$854+1,0)</f>
        <v>0</v>
      </c>
      <c r="FD856" s="9" t="n">
        <f aca="false">IF(FD$35&gt;=$AC$854,FD$35-$AC$854+1,0)</f>
        <v>0</v>
      </c>
      <c r="FE856" s="9" t="n">
        <f aca="false">IF(FE$35&gt;=$AC$854,FE$35-$AC$854+1,0)</f>
        <v>0</v>
      </c>
      <c r="FF856" s="9" t="n">
        <f aca="false">IF(FF$35&gt;=$AC$854,FF$35-$AC$854+1,0)</f>
        <v>0</v>
      </c>
      <c r="FG856" s="9" t="n">
        <f aca="false">IF(FG$35&gt;=$AC$854,FG$35-$AC$854+1,0)</f>
        <v>0</v>
      </c>
      <c r="FH856" s="9" t="n">
        <f aca="false">IF(FH$35&gt;=$AC$854,FH$35-$AC$854+1,0)</f>
        <v>0</v>
      </c>
      <c r="FI856" s="9" t="n">
        <f aca="false">IF(FI$35&gt;=$AC$854,FI$35-$AC$854+1,0)</f>
        <v>0</v>
      </c>
      <c r="FJ856" s="9" t="n">
        <f aca="false">IF(FJ$35&gt;=$AC$854,FJ$35-$AC$854+1,0)</f>
        <v>1</v>
      </c>
      <c r="FK856" s="9" t="n">
        <f aca="false">IF(FK$35&gt;=$AC$854,FK$35-$AC$854+1,0)</f>
        <v>2</v>
      </c>
      <c r="FL856" s="9" t="n">
        <f aca="false">IF(FL$35&gt;=$AC$854,FL$35-$AC$854+1,0)</f>
        <v>3</v>
      </c>
      <c r="FM856" s="9" t="n">
        <f aca="false">IF(FM$35&gt;=$AC$854,FM$35-$AC$854+1,0)</f>
        <v>4</v>
      </c>
      <c r="FN856" s="9" t="n">
        <f aca="false">IF(FN$35&gt;=$AC$854,FN$35-$AC$854+1,0)</f>
        <v>5</v>
      </c>
      <c r="FO856" s="9" t="n">
        <f aca="false">IF(FO$35&gt;=$AC$854,FO$35-$AC$854+1,0)</f>
        <v>6</v>
      </c>
      <c r="FP856" s="9" t="n">
        <f aca="false">IF(FP$35&gt;=$AC$854,FP$35-$AC$854+1,0)</f>
        <v>7</v>
      </c>
    </row>
    <row r="857" customFormat="false" ht="15" hidden="false" customHeight="false" outlineLevel="2" collapsed="false">
      <c r="B857" s="9" t="s">
        <v>874</v>
      </c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236" t="n">
        <f aca="false" t="array" ref="AC857:AC857">IF(AC856=0,0,IF(AC856/'🎚️ Escenario'!$C$11&gt;=36,$AL$23,INDEX($C$23:$AL$23,MAX(1,ROUNDUP(AC856/'🎚️ Escenario'!$C$11,0)))))</f>
        <v>0</v>
      </c>
      <c r="AD857" s="236" t="n">
        <f aca="false" t="array" ref="AD857:AD857">IF(AD856=0,0,IF(AD856/'🎚️ Escenario'!$C$11&gt;=36,$AL$23,INDEX($C$23:$AL$23,MAX(1,ROUNDUP(AD856/'🎚️ Escenario'!$C$11,0)))))</f>
        <v>0</v>
      </c>
      <c r="AE857" s="236" t="n">
        <f aca="false" t="array" ref="AE857:AE857">IF(AE856=0,0,IF(AE856/'🎚️ Escenario'!$C$11&gt;=36,$AL$23,INDEX($C$23:$AL$23,MAX(1,ROUNDUP(AE856/'🎚️ Escenario'!$C$11,0)))))</f>
        <v>0</v>
      </c>
      <c r="AF857" s="236" t="n">
        <f aca="false" t="array" ref="AF857:AF857">IF(AF856=0,0,IF(AF856/'🎚️ Escenario'!$C$11&gt;=36,$AL$23,INDEX($C$23:$AL$23,MAX(1,ROUNDUP(AF856/'🎚️ Escenario'!$C$11,0)))))</f>
        <v>0</v>
      </c>
      <c r="AG857" s="236" t="n">
        <f aca="false" t="array" ref="AG857:AG857">IF(AG856=0,0,IF(AG856/'🎚️ Escenario'!$C$11&gt;=36,$AL$23,INDEX($C$23:$AL$23,MAX(1,ROUNDUP(AG856/'🎚️ Escenario'!$C$11,0)))))</f>
        <v>0</v>
      </c>
      <c r="AH857" s="236" t="n">
        <f aca="false" t="array" ref="AH857:AH857">IF(AH856=0,0,IF(AH856/'🎚️ Escenario'!$C$11&gt;=36,$AL$23,INDEX($C$23:$AL$23,MAX(1,ROUNDUP(AH856/'🎚️ Escenario'!$C$11,0)))))</f>
        <v>0</v>
      </c>
      <c r="AI857" s="236" t="n">
        <f aca="false" t="array" ref="AI857:AI857">IF(AI856=0,0,IF(AI856/'🎚️ Escenario'!$C$11&gt;=36,$AL$23,INDEX($C$23:$AL$23,MAX(1,ROUNDUP(AI856/'🎚️ Escenario'!$C$11,0)))))</f>
        <v>0</v>
      </c>
      <c r="AJ857" s="236" t="n">
        <f aca="false" t="array" ref="AJ857:AJ857">IF(AJ856=0,0,IF(AJ856/'🎚️ Escenario'!$C$11&gt;=36,$AL$23,INDEX($C$23:$AL$23,MAX(1,ROUNDUP(AJ856/'🎚️ Escenario'!$C$11,0)))))</f>
        <v>0</v>
      </c>
      <c r="AK857" s="236" t="n">
        <f aca="false" t="array" ref="AK857:AK857">IF(AK856=0,0,IF(AK856/'🎚️ Escenario'!$C$11&gt;=36,$AL$23,INDEX($C$23:$AL$23,MAX(1,ROUNDUP(AK856/'🎚️ Escenario'!$C$11,0)))))</f>
        <v>0</v>
      </c>
      <c r="AL857" s="236" t="n">
        <f aca="false" t="array" ref="AL857:AL857">IF(AL856=0,0,IF(AL856/'🎚️ Escenario'!$C$11&gt;=36,$AL$23,INDEX($C$23:$AL$23,MAX(1,ROUNDUP(AL856/'🎚️ Escenario'!$C$11,0)))))</f>
        <v>0</v>
      </c>
      <c r="AM857" s="236" t="n">
        <f aca="false" t="array" ref="AM857:AM857">IF(AM856=0,0,IF(AM856/'🎚️ Escenario'!$C$11&gt;=36,$AL$23,INDEX($C$23:$AL$23,MAX(1,ROUNDUP(AM856/'🎚️ Escenario'!$C$11,0)))))</f>
        <v>0</v>
      </c>
      <c r="AN857" s="236" t="n">
        <f aca="false" t="array" ref="AN857:AN857">IF(AN856=0,0,IF(AN856/'🎚️ Escenario'!$C$11&gt;=36,$AL$23,INDEX($C$23:$AL$23,MAX(1,ROUNDUP(AN856/'🎚️ Escenario'!$C$11,0)))))</f>
        <v>0</v>
      </c>
      <c r="AO857" s="236" t="n">
        <f aca="false" t="array" ref="AO857:AO857">IF(AO856=0,0,IF(AO856/'🎚️ Escenario'!$C$11&gt;=36,$AL$23,INDEX($C$23:$AL$23,MAX(1,ROUNDUP(AO856/'🎚️ Escenario'!$C$11,0)))))</f>
        <v>0</v>
      </c>
      <c r="AP857" s="236" t="n">
        <f aca="false" t="array" ref="AP857:AP857">IF(AP856=0,0,IF(AP856/'🎚️ Escenario'!$C$11&gt;=36,$AL$23,INDEX($C$23:$AL$23,MAX(1,ROUNDUP(AP856/'🎚️ Escenario'!$C$11,0)))))</f>
        <v>0</v>
      </c>
      <c r="AQ857" s="236" t="n">
        <f aca="false" t="array" ref="AQ857:AQ857">IF(AQ856=0,0,IF(AQ856/'🎚️ Escenario'!$C$11&gt;=36,$AL$23,INDEX($C$23:$AL$23,MAX(1,ROUNDUP(AQ856/'🎚️ Escenario'!$C$11,0)))))</f>
        <v>0</v>
      </c>
      <c r="AR857" s="236" t="n">
        <f aca="false" t="array" ref="AR857:AR857">IF(AR856=0,0,IF(AR856/'🎚️ Escenario'!$C$11&gt;=36,$AL$23,INDEX($C$23:$AL$23,MAX(1,ROUNDUP(AR856/'🎚️ Escenario'!$C$11,0)))))</f>
        <v>0</v>
      </c>
      <c r="AS857" s="236" t="n">
        <f aca="false" t="array" ref="AS857:AS857">IF(AS856=0,0,IF(AS856/'🎚️ Escenario'!$C$11&gt;=36,$AL$23,INDEX($C$23:$AL$23,MAX(1,ROUNDUP(AS856/'🎚️ Escenario'!$C$11,0)))))</f>
        <v>0</v>
      </c>
      <c r="AT857" s="236" t="n">
        <f aca="false" t="array" ref="AT857:AT857">IF(AT856=0,0,IF(AT856/'🎚️ Escenario'!$C$11&gt;=36,$AL$23,INDEX($C$23:$AL$23,MAX(1,ROUNDUP(AT856/'🎚️ Escenario'!$C$11,0)))))</f>
        <v>0</v>
      </c>
      <c r="AU857" s="236" t="n">
        <f aca="false" t="array" ref="AU857:AU857">IF(AU856=0,0,IF(AU856/'🎚️ Escenario'!$C$11&gt;=36,$AL$23,INDEX($C$23:$AL$23,MAX(1,ROUNDUP(AU856/'🎚️ Escenario'!$C$11,0)))))</f>
        <v>0</v>
      </c>
      <c r="AV857" s="236" t="n">
        <f aca="false" t="array" ref="AV857:AV857">IF(AV856=0,0,IF(AV856/'🎚️ Escenario'!$C$11&gt;=36,$AL$23,INDEX($C$23:$AL$23,MAX(1,ROUNDUP(AV856/'🎚️ Escenario'!$C$11,0)))))</f>
        <v>0</v>
      </c>
      <c r="AW857" s="236" t="n">
        <f aca="false" t="array" ref="AW857:AW857">IF(AW856=0,0,IF(AW856/'🎚️ Escenario'!$C$11&gt;=36,$AL$23,INDEX($C$23:$AL$23,MAX(1,ROUNDUP(AW856/'🎚️ Escenario'!$C$11,0)))))</f>
        <v>0</v>
      </c>
      <c r="AX857" s="236" t="n">
        <f aca="false" t="array" ref="AX857:AX857">IF(AX856=0,0,IF(AX856/'🎚️ Escenario'!$C$11&gt;=36,$AL$23,INDEX($C$23:$AL$23,MAX(1,ROUNDUP(AX856/'🎚️ Escenario'!$C$11,0)))))</f>
        <v>0</v>
      </c>
      <c r="AY857" s="236" t="n">
        <f aca="false" t="array" ref="AY857:AY857">IF(AY856=0,0,IF(AY856/'🎚️ Escenario'!$C$11&gt;=36,$AL$23,INDEX($C$23:$AL$23,MAX(1,ROUNDUP(AY856/'🎚️ Escenario'!$C$11,0)))))</f>
        <v>0</v>
      </c>
      <c r="AZ857" s="236" t="n">
        <f aca="false" t="array" ref="AZ857:AZ857">IF(AZ856=0,0,IF(AZ856/'🎚️ Escenario'!$C$11&gt;=36,$AL$23,INDEX($C$23:$AL$23,MAX(1,ROUNDUP(AZ856/'🎚️ Escenario'!$C$11,0)))))</f>
        <v>0</v>
      </c>
      <c r="BA857" s="236" t="n">
        <f aca="false" t="array" ref="BA857:BA857">IF(BA856=0,0,IF(BA856/'🎚️ Escenario'!$C$11&gt;=36,$AL$23,INDEX($C$23:$AL$23,MAX(1,ROUNDUP(BA856/'🎚️ Escenario'!$C$11,0)))))</f>
        <v>0</v>
      </c>
      <c r="BB857" s="236" t="n">
        <f aca="false" t="array" ref="BB857:BB857">IF(BB856=0,0,IF(BB856/'🎚️ Escenario'!$C$11&gt;=36,$AL$23,INDEX($C$23:$AL$23,MAX(1,ROUNDUP(BB856/'🎚️ Escenario'!$C$11,0)))))</f>
        <v>0</v>
      </c>
      <c r="BC857" s="236" t="n">
        <f aca="false" t="array" ref="BC857:BC857">IF(BC856=0,0,IF(BC856/'🎚️ Escenario'!$C$11&gt;=36,$AL$23,INDEX($C$23:$AL$23,MAX(1,ROUNDUP(BC856/'🎚️ Escenario'!$C$11,0)))))</f>
        <v>0</v>
      </c>
      <c r="BD857" s="236" t="n">
        <f aca="false" t="array" ref="BD857:BD857">IF(BD856=0,0,IF(BD856/'🎚️ Escenario'!$C$11&gt;=36,$AL$23,INDEX($C$23:$AL$23,MAX(1,ROUNDUP(BD856/'🎚️ Escenario'!$C$11,0)))))</f>
        <v>0</v>
      </c>
      <c r="BE857" s="236" t="n">
        <f aca="false" t="array" ref="BE857:BE857">IF(BE856=0,0,IF(BE856/'🎚️ Escenario'!$C$11&gt;=36,$AL$23,INDEX($C$23:$AL$23,MAX(1,ROUNDUP(BE856/'🎚️ Escenario'!$C$11,0)))))</f>
        <v>0</v>
      </c>
      <c r="BF857" s="236" t="n">
        <f aca="false" t="array" ref="BF857:BF857">IF(BF856=0,0,IF(BF856/'🎚️ Escenario'!$C$11&gt;=36,$AL$23,INDEX($C$23:$AL$23,MAX(1,ROUNDUP(BF856/'🎚️ Escenario'!$C$11,0)))))</f>
        <v>0</v>
      </c>
      <c r="BG857" s="236" t="n">
        <f aca="false" t="array" ref="BG857:BG857">IF(BG856=0,0,IF(BG856/'🎚️ Escenario'!$C$11&gt;=36,$AL$23,INDEX($C$23:$AL$23,MAX(1,ROUNDUP(BG856/'🎚️ Escenario'!$C$11,0)))))</f>
        <v>0</v>
      </c>
      <c r="BH857" s="236" t="n">
        <f aca="false" t="array" ref="BH857:BH857">IF(BH856=0,0,IF(BH856/'🎚️ Escenario'!$C$11&gt;=36,$AL$23,INDEX($C$23:$AL$23,MAX(1,ROUNDUP(BH856/'🎚️ Escenario'!$C$11,0)))))</f>
        <v>0</v>
      </c>
      <c r="BI857" s="236" t="n">
        <f aca="false" t="array" ref="BI857:BI857">IF(BI856=0,0,IF(BI856/'🎚️ Escenario'!$C$11&gt;=36,$AL$23,INDEX($C$23:$AL$23,MAX(1,ROUNDUP(BI856/'🎚️ Escenario'!$C$11,0)))))</f>
        <v>0</v>
      </c>
      <c r="BJ857" s="236" t="n">
        <f aca="false" t="array" ref="BJ857:BJ857">IF(BJ856=0,0,IF(BJ856/'🎚️ Escenario'!$C$11&gt;=36,$AL$23,INDEX($C$23:$AL$23,MAX(1,ROUNDUP(BJ856/'🎚️ Escenario'!$C$11,0)))))</f>
        <v>0</v>
      </c>
      <c r="BK857" s="236" t="n">
        <f aca="false" t="array" ref="BK857:BK857">IF(BK856=0,0,IF(BK856/'🎚️ Escenario'!$C$11&gt;=36,$AL$23,INDEX($C$23:$AL$23,MAX(1,ROUNDUP(BK856/'🎚️ Escenario'!$C$11,0)))))</f>
        <v>0</v>
      </c>
      <c r="BL857" s="236" t="n">
        <f aca="false" t="array" ref="BL857:BL857">IF(BL856=0,0,IF(BL856/'🎚️ Escenario'!$C$11&gt;=36,$AL$23,INDEX($C$23:$AL$23,MAX(1,ROUNDUP(BL856/'🎚️ Escenario'!$C$11,0)))))</f>
        <v>0</v>
      </c>
      <c r="BM857" s="236" t="n">
        <f aca="false" t="array" ref="BM857:BM857">IF(BM856=0,0,IF(BM856/'🎚️ Escenario'!$C$11&gt;=36,$AL$23,INDEX($C$23:$AL$23,MAX(1,ROUNDUP(BM856/'🎚️ Escenario'!$C$11,0)))))</f>
        <v>0</v>
      </c>
      <c r="BN857" s="236" t="n">
        <f aca="false" t="array" ref="BN857:BN857">IF(BN856=0,0,IF(BN856/'🎚️ Escenario'!$C$11&gt;=36,$AL$23,INDEX($C$23:$AL$23,MAX(1,ROUNDUP(BN856/'🎚️ Escenario'!$C$11,0)))))</f>
        <v>0</v>
      </c>
      <c r="BO857" s="236" t="n">
        <f aca="false" t="array" ref="BO857:BO857">IF(BO856=0,0,IF(BO856/'🎚️ Escenario'!$C$11&gt;=36,$AL$23,INDEX($C$23:$AL$23,MAX(1,ROUNDUP(BO856/'🎚️ Escenario'!$C$11,0)))))</f>
        <v>0</v>
      </c>
      <c r="BP857" s="236" t="n">
        <f aca="false" t="array" ref="BP857:BP857">IF(BP856=0,0,IF(BP856/'🎚️ Escenario'!$C$11&gt;=36,$AL$23,INDEX($C$23:$AL$23,MAX(1,ROUNDUP(BP856/'🎚️ Escenario'!$C$11,0)))))</f>
        <v>0</v>
      </c>
      <c r="BQ857" s="236" t="n">
        <f aca="false" t="array" ref="BQ857:BQ857">IF(BQ856=0,0,IF(BQ856/'🎚️ Escenario'!$C$11&gt;=36,$AL$23,INDEX($C$23:$AL$23,MAX(1,ROUNDUP(BQ856/'🎚️ Escenario'!$C$11,0)))))</f>
        <v>0</v>
      </c>
      <c r="BR857" s="236" t="n">
        <f aca="false" t="array" ref="BR857:BR857">IF(BR856=0,0,IF(BR856/'🎚️ Escenario'!$C$11&gt;=36,$AL$23,INDEX($C$23:$AL$23,MAX(1,ROUNDUP(BR856/'🎚️ Escenario'!$C$11,0)))))</f>
        <v>0</v>
      </c>
      <c r="BS857" s="236" t="n">
        <f aca="false" t="array" ref="BS857:BS857">IF(BS856=0,0,IF(BS856/'🎚️ Escenario'!$C$11&gt;=36,$AL$23,INDEX($C$23:$AL$23,MAX(1,ROUNDUP(BS856/'🎚️ Escenario'!$C$11,0)))))</f>
        <v>0</v>
      </c>
      <c r="BT857" s="236" t="n">
        <f aca="false" t="array" ref="BT857:BT857">IF(BT856=0,0,IF(BT856/'🎚️ Escenario'!$C$11&gt;=36,$AL$23,INDEX($C$23:$AL$23,MAX(1,ROUNDUP(BT856/'🎚️ Escenario'!$C$11,0)))))</f>
        <v>0</v>
      </c>
      <c r="BU857" s="236" t="n">
        <f aca="false" t="array" ref="BU857:BU857">IF(BU856=0,0,IF(BU856/'🎚️ Escenario'!$C$11&gt;=36,$AL$23,INDEX($C$23:$AL$23,MAX(1,ROUNDUP(BU856/'🎚️ Escenario'!$C$11,0)))))</f>
        <v>0</v>
      </c>
      <c r="BV857" s="236" t="n">
        <f aca="false" t="array" ref="BV857:BV857">IF(BV856=0,0,IF(BV856/'🎚️ Escenario'!$C$11&gt;=36,$AL$23,INDEX($C$23:$AL$23,MAX(1,ROUNDUP(BV856/'🎚️ Escenario'!$C$11,0)))))</f>
        <v>0</v>
      </c>
      <c r="BW857" s="236" t="n">
        <f aca="false" t="array" ref="BW857:BW857">IF(BW856=0,0,IF(BW856/'🎚️ Escenario'!$C$11&gt;=36,$AL$23,INDEX($C$23:$AL$23,MAX(1,ROUNDUP(BW856/'🎚️ Escenario'!$C$11,0)))))</f>
        <v>0</v>
      </c>
      <c r="BX857" s="236" t="n">
        <f aca="false" t="array" ref="BX857:BX857">IF(BX856=0,0,IF(BX856/'🎚️ Escenario'!$C$11&gt;=36,$AL$23,INDEX($C$23:$AL$23,MAX(1,ROUNDUP(BX856/'🎚️ Escenario'!$C$11,0)))))</f>
        <v>0</v>
      </c>
      <c r="BY857" s="236" t="n">
        <f aca="false" t="array" ref="BY857:BY857">IF(BY856=0,0,IF(BY856/'🎚️ Escenario'!$C$11&gt;=36,$AL$23,INDEX($C$23:$AL$23,MAX(1,ROUNDUP(BY856/'🎚️ Escenario'!$C$11,0)))))</f>
        <v>0</v>
      </c>
      <c r="BZ857" s="236" t="n">
        <f aca="false" t="array" ref="BZ857:BZ857">IF(BZ856=0,0,IF(BZ856/'🎚️ Escenario'!$C$11&gt;=36,$AL$23,INDEX($C$23:$AL$23,MAX(1,ROUNDUP(BZ856/'🎚️ Escenario'!$C$11,0)))))</f>
        <v>0</v>
      </c>
      <c r="CA857" s="236" t="n">
        <f aca="false" t="array" ref="CA857:CA857">IF(CA856=0,0,IF(CA856/'🎚️ Escenario'!$C$11&gt;=36,$AL$23,INDEX($C$23:$AL$23,MAX(1,ROUNDUP(CA856/'🎚️ Escenario'!$C$11,0)))))</f>
        <v>0</v>
      </c>
      <c r="CB857" s="236" t="n">
        <f aca="false" t="array" ref="CB857:CB857">IF(CB856=0,0,IF(CB856/'🎚️ Escenario'!$C$11&gt;=36,$AL$23,INDEX($C$23:$AL$23,MAX(1,ROUNDUP(CB856/'🎚️ Escenario'!$C$11,0)))))</f>
        <v>0</v>
      </c>
      <c r="CC857" s="236" t="n">
        <f aca="false" t="array" ref="CC857:CC857">IF(CC856=0,0,IF(CC856/'🎚️ Escenario'!$C$11&gt;=36,$AL$23,INDEX($C$23:$AL$23,MAX(1,ROUNDUP(CC856/'🎚️ Escenario'!$C$11,0)))))</f>
        <v>0</v>
      </c>
      <c r="CD857" s="236" t="n">
        <f aca="false" t="array" ref="CD857:CD857">IF(CD856=0,0,IF(CD856/'🎚️ Escenario'!$C$11&gt;=36,$AL$23,INDEX($C$23:$AL$23,MAX(1,ROUNDUP(CD856/'🎚️ Escenario'!$C$11,0)))))</f>
        <v>0</v>
      </c>
      <c r="CE857" s="236" t="n">
        <f aca="false" t="array" ref="CE857:CE857">IF(CE856=0,0,IF(CE856/'🎚️ Escenario'!$C$11&gt;=36,$AL$23,INDEX($C$23:$AL$23,MAX(1,ROUNDUP(CE856/'🎚️ Escenario'!$C$11,0)))))</f>
        <v>0</v>
      </c>
      <c r="CF857" s="236" t="n">
        <f aca="false" t="array" ref="CF857:CF857">IF(CF856=0,0,IF(CF856/'🎚️ Escenario'!$C$11&gt;=36,$AL$23,INDEX($C$23:$AL$23,MAX(1,ROUNDUP(CF856/'🎚️ Escenario'!$C$11,0)))))</f>
        <v>0</v>
      </c>
      <c r="CG857" s="236" t="n">
        <f aca="false" t="array" ref="CG857:CG857">IF(CG856=0,0,IF(CG856/'🎚️ Escenario'!$C$11&gt;=36,$AL$23,INDEX($C$23:$AL$23,MAX(1,ROUNDUP(CG856/'🎚️ Escenario'!$C$11,0)))))</f>
        <v>0</v>
      </c>
      <c r="CH857" s="236" t="n">
        <f aca="false" t="array" ref="CH857:CH857">IF(CH856=0,0,IF(CH856/'🎚️ Escenario'!$C$11&gt;=36,$AL$23,INDEX($C$23:$AL$23,MAX(1,ROUNDUP(CH856/'🎚️ Escenario'!$C$11,0)))))</f>
        <v>0</v>
      </c>
      <c r="CI857" s="236" t="n">
        <f aca="false" t="array" ref="CI857:CI857">IF(CI856=0,0,IF(CI856/'🎚️ Escenario'!$C$11&gt;=36,$AL$23,INDEX($C$23:$AL$23,MAX(1,ROUNDUP(CI856/'🎚️ Escenario'!$C$11,0)))))</f>
        <v>0</v>
      </c>
      <c r="CJ857" s="236" t="n">
        <f aca="false" t="array" ref="CJ857:CJ857">IF(CJ856=0,0,IF(CJ856/'🎚️ Escenario'!$C$11&gt;=36,$AL$23,INDEX($C$23:$AL$23,MAX(1,ROUNDUP(CJ856/'🎚️ Escenario'!$C$11,0)))))</f>
        <v>0</v>
      </c>
      <c r="CK857" s="236" t="n">
        <f aca="false" t="array" ref="CK857:CK857">IF(CK856=0,0,IF(CK856/'🎚️ Escenario'!$C$11&gt;=36,$AL$23,INDEX($C$23:$AL$23,MAX(1,ROUNDUP(CK856/'🎚️ Escenario'!$C$11,0)))))</f>
        <v>0</v>
      </c>
      <c r="CL857" s="236" t="n">
        <f aca="false" t="array" ref="CL857:CL857">IF(CL856=0,0,IF(CL856/'🎚️ Escenario'!$C$11&gt;=36,$AL$23,INDEX($C$23:$AL$23,MAX(1,ROUNDUP(CL856/'🎚️ Escenario'!$C$11,0)))))</f>
        <v>0</v>
      </c>
      <c r="CM857" s="236" t="n">
        <f aca="false" t="array" ref="CM857:CM857">IF(CM856=0,0,IF(CM856/'🎚️ Escenario'!$C$11&gt;=36,$AL$23,INDEX($C$23:$AL$23,MAX(1,ROUNDUP(CM856/'🎚️ Escenario'!$C$11,0)))))</f>
        <v>0</v>
      </c>
      <c r="CN857" s="236" t="n">
        <f aca="false" t="array" ref="CN857:CN857">IF(CN856=0,0,IF(CN856/'🎚️ Escenario'!$C$11&gt;=36,$AL$23,INDEX($C$23:$AL$23,MAX(1,ROUNDUP(CN856/'🎚️ Escenario'!$C$11,0)))))</f>
        <v>0</v>
      </c>
      <c r="CO857" s="236" t="n">
        <f aca="false" t="array" ref="CO857:CO857">IF(CO856=0,0,IF(CO856/'🎚️ Escenario'!$C$11&gt;=36,$AL$23,INDEX($C$23:$AL$23,MAX(1,ROUNDUP(CO856/'🎚️ Escenario'!$C$11,0)))))</f>
        <v>0</v>
      </c>
      <c r="CP857" s="236" t="n">
        <f aca="false" t="array" ref="CP857:CP857">IF(CP856=0,0,IF(CP856/'🎚️ Escenario'!$C$11&gt;=36,$AL$23,INDEX($C$23:$AL$23,MAX(1,ROUNDUP(CP856/'🎚️ Escenario'!$C$11,0)))))</f>
        <v>0</v>
      </c>
      <c r="CQ857" s="236" t="n">
        <f aca="false" t="array" ref="CQ857:CQ857">IF(CQ856=0,0,IF(CQ856/'🎚️ Escenario'!$C$11&gt;=36,$AL$23,INDEX($C$23:$AL$23,MAX(1,ROUNDUP(CQ856/'🎚️ Escenario'!$C$11,0)))))</f>
        <v>0</v>
      </c>
      <c r="CR857" s="236" t="n">
        <f aca="false" t="array" ref="CR857:CR857">IF(CR856=0,0,IF(CR856/'🎚️ Escenario'!$C$11&gt;=36,$AL$23,INDEX($C$23:$AL$23,MAX(1,ROUNDUP(CR856/'🎚️ Escenario'!$C$11,0)))))</f>
        <v>0</v>
      </c>
      <c r="CS857" s="236" t="n">
        <f aca="false" t="array" ref="CS857:CS857">IF(CS856=0,0,IF(CS856/'🎚️ Escenario'!$C$11&gt;=36,$AL$23,INDEX($C$23:$AL$23,MAX(1,ROUNDUP(CS856/'🎚️ Escenario'!$C$11,0)))))</f>
        <v>0</v>
      </c>
      <c r="CT857" s="236" t="n">
        <f aca="false" t="array" ref="CT857:CT857">IF(CT856=0,0,IF(CT856/'🎚️ Escenario'!$C$11&gt;=36,$AL$23,INDEX($C$23:$AL$23,MAX(1,ROUNDUP(CT856/'🎚️ Escenario'!$C$11,0)))))</f>
        <v>0</v>
      </c>
      <c r="CU857" s="236" t="n">
        <f aca="false" t="array" ref="CU857:CU857">IF(CU856=0,0,IF(CU856/'🎚️ Escenario'!$C$11&gt;=36,$AL$23,INDEX($C$23:$AL$23,MAX(1,ROUNDUP(CU856/'🎚️ Escenario'!$C$11,0)))))</f>
        <v>0</v>
      </c>
      <c r="CV857" s="236" t="n">
        <f aca="false" t="array" ref="CV857:CV857">IF(CV856=0,0,IF(CV856/'🎚️ Escenario'!$C$11&gt;=36,$AL$23,INDEX($C$23:$AL$23,MAX(1,ROUNDUP(CV856/'🎚️ Escenario'!$C$11,0)))))</f>
        <v>0</v>
      </c>
      <c r="CW857" s="236" t="n">
        <f aca="false" t="array" ref="CW857:CW857">IF(CW856=0,0,IF(CW856/'🎚️ Escenario'!$C$11&gt;=36,$AL$23,INDEX($C$23:$AL$23,MAX(1,ROUNDUP(CW856/'🎚️ Escenario'!$C$11,0)))))</f>
        <v>0</v>
      </c>
      <c r="CX857" s="236" t="n">
        <f aca="false" t="array" ref="CX857:CX857">IF(CX856=0,0,IF(CX856/'🎚️ Escenario'!$C$11&gt;=36,$AL$23,INDEX($C$23:$AL$23,MAX(1,ROUNDUP(CX856/'🎚️ Escenario'!$C$11,0)))))</f>
        <v>0</v>
      </c>
      <c r="CY857" s="236" t="n">
        <f aca="false" t="array" ref="CY857:CY857">IF(CY856=0,0,IF(CY856/'🎚️ Escenario'!$C$11&gt;=36,$AL$23,INDEX($C$23:$AL$23,MAX(1,ROUNDUP(CY856/'🎚️ Escenario'!$C$11,0)))))</f>
        <v>0</v>
      </c>
      <c r="CZ857" s="236" t="n">
        <f aca="false" t="array" ref="CZ857:CZ857">IF(CZ856=0,0,IF(CZ856/'🎚️ Escenario'!$C$11&gt;=36,$AL$23,INDEX($C$23:$AL$23,MAX(1,ROUNDUP(CZ856/'🎚️ Escenario'!$C$11,0)))))</f>
        <v>0</v>
      </c>
      <c r="DA857" s="236" t="n">
        <f aca="false" t="array" ref="DA857:DA857">IF(DA856=0,0,IF(DA856/'🎚️ Escenario'!$C$11&gt;=36,$AL$23,INDEX($C$23:$AL$23,MAX(1,ROUNDUP(DA856/'🎚️ Escenario'!$C$11,0)))))</f>
        <v>0</v>
      </c>
      <c r="DB857" s="236" t="n">
        <f aca="false" t="array" ref="DB857:DB857">IF(DB856=0,0,IF(DB856/'🎚️ Escenario'!$C$11&gt;=36,$AL$23,INDEX($C$23:$AL$23,MAX(1,ROUNDUP(DB856/'🎚️ Escenario'!$C$11,0)))))</f>
        <v>0</v>
      </c>
      <c r="DC857" s="236" t="n">
        <f aca="false" t="array" ref="DC857:DC857">IF(DC856=0,0,IF(DC856/'🎚️ Escenario'!$C$11&gt;=36,$AL$23,INDEX($C$23:$AL$23,MAX(1,ROUNDUP(DC856/'🎚️ Escenario'!$C$11,0)))))</f>
        <v>0</v>
      </c>
      <c r="DD857" s="236" t="n">
        <f aca="false" t="array" ref="DD857:DD857">IF(DD856=0,0,IF(DD856/'🎚️ Escenario'!$C$11&gt;=36,$AL$23,INDEX($C$23:$AL$23,MAX(1,ROUNDUP(DD856/'🎚️ Escenario'!$C$11,0)))))</f>
        <v>0</v>
      </c>
      <c r="DE857" s="236" t="n">
        <f aca="false" t="array" ref="DE857:DE857">IF(DE856=0,0,IF(DE856/'🎚️ Escenario'!$C$11&gt;=36,$AL$23,INDEX($C$23:$AL$23,MAX(1,ROUNDUP(DE856/'🎚️ Escenario'!$C$11,0)))))</f>
        <v>0</v>
      </c>
      <c r="DF857" s="236" t="n">
        <f aca="false" t="array" ref="DF857:DF857">IF(DF856=0,0,IF(DF856/'🎚️ Escenario'!$C$11&gt;=36,$AL$23,INDEX($C$23:$AL$23,MAX(1,ROUNDUP(DF856/'🎚️ Escenario'!$C$11,0)))))</f>
        <v>0</v>
      </c>
      <c r="DG857" s="236" t="n">
        <f aca="false" t="array" ref="DG857:DG857">IF(DG856=0,0,IF(DG856/'🎚️ Escenario'!$C$11&gt;=36,$AL$23,INDEX($C$23:$AL$23,MAX(1,ROUNDUP(DG856/'🎚️ Escenario'!$C$11,0)))))</f>
        <v>0</v>
      </c>
      <c r="DH857" s="236" t="n">
        <f aca="false" t="array" ref="DH857:DH857">IF(DH856=0,0,IF(DH856/'🎚️ Escenario'!$C$11&gt;=36,$AL$23,INDEX($C$23:$AL$23,MAX(1,ROUNDUP(DH856/'🎚️ Escenario'!$C$11,0)))))</f>
        <v>0</v>
      </c>
      <c r="DI857" s="236" t="n">
        <f aca="false" t="array" ref="DI857:DI857">IF(DI856=0,0,IF(DI856/'🎚️ Escenario'!$C$11&gt;=36,$AL$23,INDEX($C$23:$AL$23,MAX(1,ROUNDUP(DI856/'🎚️ Escenario'!$C$11,0)))))</f>
        <v>0</v>
      </c>
      <c r="DJ857" s="236" t="n">
        <f aca="false" t="array" ref="DJ857:DJ857">IF(DJ856=0,0,IF(DJ856/'🎚️ Escenario'!$C$11&gt;=36,$AL$23,INDEX($C$23:$AL$23,MAX(1,ROUNDUP(DJ856/'🎚️ Escenario'!$C$11,0)))))</f>
        <v>0</v>
      </c>
      <c r="DK857" s="236" t="n">
        <f aca="false" t="array" ref="DK857:DK857">IF(DK856=0,0,IF(DK856/'🎚️ Escenario'!$C$11&gt;=36,$AL$23,INDEX($C$23:$AL$23,MAX(1,ROUNDUP(DK856/'🎚️ Escenario'!$C$11,0)))))</f>
        <v>0</v>
      </c>
      <c r="DL857" s="236" t="n">
        <f aca="false" t="array" ref="DL857:DL857">IF(DL856=0,0,IF(DL856/'🎚️ Escenario'!$C$11&gt;=36,$AL$23,INDEX($C$23:$AL$23,MAX(1,ROUNDUP(DL856/'🎚️ Escenario'!$C$11,0)))))</f>
        <v>0</v>
      </c>
      <c r="DM857" s="236" t="n">
        <f aca="false" t="array" ref="DM857:DM857">IF(DM856=0,0,IF(DM856/'🎚️ Escenario'!$C$11&gt;=36,$AL$23,INDEX($C$23:$AL$23,MAX(1,ROUNDUP(DM856/'🎚️ Escenario'!$C$11,0)))))</f>
        <v>0</v>
      </c>
      <c r="DN857" s="236" t="n">
        <f aca="false" t="array" ref="DN857:DN857">IF(DN856=0,0,IF(DN856/'🎚️ Escenario'!$C$11&gt;=36,$AL$23,INDEX($C$23:$AL$23,MAX(1,ROUNDUP(DN856/'🎚️ Escenario'!$C$11,0)))))</f>
        <v>0</v>
      </c>
      <c r="DO857" s="236" t="n">
        <f aca="false" t="array" ref="DO857:DO857">IF(DO856=0,0,IF(DO856/'🎚️ Escenario'!$C$11&gt;=36,$AL$23,INDEX($C$23:$AL$23,MAX(1,ROUNDUP(DO856/'🎚️ Escenario'!$C$11,0)))))</f>
        <v>0</v>
      </c>
      <c r="DP857" s="236" t="n">
        <f aca="false" t="array" ref="DP857:DP857">IF(DP856=0,0,IF(DP856/'🎚️ Escenario'!$C$11&gt;=36,$AL$23,INDEX($C$23:$AL$23,MAX(1,ROUNDUP(DP856/'🎚️ Escenario'!$C$11,0)))))</f>
        <v>0</v>
      </c>
      <c r="DQ857" s="236" t="n">
        <f aca="false" t="array" ref="DQ857:DQ857">IF(DQ856=0,0,IF(DQ856/'🎚️ Escenario'!$C$11&gt;=36,$AL$23,INDEX($C$23:$AL$23,MAX(1,ROUNDUP(DQ856/'🎚️ Escenario'!$C$11,0)))))</f>
        <v>0</v>
      </c>
      <c r="DR857" s="236" t="n">
        <f aca="false" t="array" ref="DR857:DR857">IF(DR856=0,0,IF(DR856/'🎚️ Escenario'!$C$11&gt;=36,$AL$23,INDEX($C$23:$AL$23,MAX(1,ROUNDUP(DR856/'🎚️ Escenario'!$C$11,0)))))</f>
        <v>0</v>
      </c>
      <c r="DS857" s="236" t="n">
        <f aca="false" t="array" ref="DS857:DS857">IF(DS856=0,0,IF(DS856/'🎚️ Escenario'!$C$11&gt;=36,$AL$23,INDEX($C$23:$AL$23,MAX(1,ROUNDUP(DS856/'🎚️ Escenario'!$C$11,0)))))</f>
        <v>0</v>
      </c>
      <c r="DT857" s="236" t="n">
        <f aca="false" t="array" ref="DT857:DT857">IF(DT856=0,0,IF(DT856/'🎚️ Escenario'!$C$11&gt;=36,$AL$23,INDEX($C$23:$AL$23,MAX(1,ROUNDUP(DT856/'🎚️ Escenario'!$C$11,0)))))</f>
        <v>0</v>
      </c>
      <c r="DU857" s="236" t="n">
        <f aca="false" t="array" ref="DU857:DU857">IF(DU856=0,0,IF(DU856/'🎚️ Escenario'!$C$11&gt;=36,$AL$23,INDEX($C$23:$AL$23,MAX(1,ROUNDUP(DU856/'🎚️ Escenario'!$C$11,0)))))</f>
        <v>0</v>
      </c>
      <c r="DV857" s="236" t="n">
        <f aca="false" t="array" ref="DV857:DV857">IF(DV856=0,0,IF(DV856/'🎚️ Escenario'!$C$11&gt;=36,$AL$23,INDEX($C$23:$AL$23,MAX(1,ROUNDUP(DV856/'🎚️ Escenario'!$C$11,0)))))</f>
        <v>0</v>
      </c>
      <c r="DW857" s="236" t="n">
        <f aca="false" t="array" ref="DW857:DW857">IF(DW856=0,0,IF(DW856/'🎚️ Escenario'!$C$11&gt;=36,$AL$23,INDEX($C$23:$AL$23,MAX(1,ROUNDUP(DW856/'🎚️ Escenario'!$C$11,0)))))</f>
        <v>0</v>
      </c>
      <c r="DX857" s="236" t="n">
        <f aca="false" t="array" ref="DX857:DX857">IF(DX856=0,0,IF(DX856/'🎚️ Escenario'!$C$11&gt;=36,$AL$23,INDEX($C$23:$AL$23,MAX(1,ROUNDUP(DX856/'🎚️ Escenario'!$C$11,0)))))</f>
        <v>0</v>
      </c>
      <c r="DY857" s="236" t="n">
        <f aca="false" t="array" ref="DY857:DY857">IF(DY856=0,0,IF(DY856/'🎚️ Escenario'!$C$11&gt;=36,$AL$23,INDEX($C$23:$AL$23,MAX(1,ROUNDUP(DY856/'🎚️ Escenario'!$C$11,0)))))</f>
        <v>0</v>
      </c>
      <c r="DZ857" s="236" t="n">
        <f aca="false" t="array" ref="DZ857:DZ857">IF(DZ856=0,0,IF(DZ856/'🎚️ Escenario'!$C$11&gt;=36,$AL$23,INDEX($C$23:$AL$23,MAX(1,ROUNDUP(DZ856/'🎚️ Escenario'!$C$11,0)))))</f>
        <v>0</v>
      </c>
      <c r="EA857" s="236" t="n">
        <f aca="false" t="array" ref="EA857:EA857">IF(EA856=0,0,IF(EA856/'🎚️ Escenario'!$C$11&gt;=36,$AL$23,INDEX($C$23:$AL$23,MAX(1,ROUNDUP(EA856/'🎚️ Escenario'!$C$11,0)))))</f>
        <v>0</v>
      </c>
      <c r="EB857" s="236" t="n">
        <f aca="false" t="array" ref="EB857:EB857">IF(EB856=0,0,IF(EB856/'🎚️ Escenario'!$C$11&gt;=36,$AL$23,INDEX($C$23:$AL$23,MAX(1,ROUNDUP(EB856/'🎚️ Escenario'!$C$11,0)))))</f>
        <v>0</v>
      </c>
      <c r="EC857" s="236" t="n">
        <f aca="false" t="array" ref="EC857:EC857">IF(EC856=0,0,IF(EC856/'🎚️ Escenario'!$C$11&gt;=36,$AL$23,INDEX($C$23:$AL$23,MAX(1,ROUNDUP(EC856/'🎚️ Escenario'!$C$11,0)))))</f>
        <v>0</v>
      </c>
      <c r="ED857" s="236" t="n">
        <f aca="false" t="array" ref="ED857:ED857">IF(ED856=0,0,IF(ED856/'🎚️ Escenario'!$C$11&gt;=36,$AL$23,INDEX($C$23:$AL$23,MAX(1,ROUNDUP(ED856/'🎚️ Escenario'!$C$11,0)))))</f>
        <v>0</v>
      </c>
      <c r="EE857" s="236" t="n">
        <f aca="false" t="array" ref="EE857:EE857">IF(EE856=0,0,IF(EE856/'🎚️ Escenario'!$C$11&gt;=36,$AL$23,INDEX($C$23:$AL$23,MAX(1,ROUNDUP(EE856/'🎚️ Escenario'!$C$11,0)))))</f>
        <v>0</v>
      </c>
      <c r="EF857" s="236" t="n">
        <f aca="false" t="array" ref="EF857:EF857">IF(EF856=0,0,IF(EF856/'🎚️ Escenario'!$C$11&gt;=36,$AL$23,INDEX($C$23:$AL$23,MAX(1,ROUNDUP(EF856/'🎚️ Escenario'!$C$11,0)))))</f>
        <v>0</v>
      </c>
      <c r="EG857" s="236" t="n">
        <f aca="false" t="array" ref="EG857:EG857">IF(EG856=0,0,IF(EG856/'🎚️ Escenario'!$C$11&gt;=36,$AL$23,INDEX($C$23:$AL$23,MAX(1,ROUNDUP(EG856/'🎚️ Escenario'!$C$11,0)))))</f>
        <v>0</v>
      </c>
      <c r="EH857" s="236" t="n">
        <f aca="false" t="array" ref="EH857:EH857">IF(EH856=0,0,IF(EH856/'🎚️ Escenario'!$C$11&gt;=36,$AL$23,INDEX($C$23:$AL$23,MAX(1,ROUNDUP(EH856/'🎚️ Escenario'!$C$11,0)))))</f>
        <v>0</v>
      </c>
      <c r="EI857" s="236" t="n">
        <f aca="false" t="array" ref="EI857:EI857">IF(EI856=0,0,IF(EI856/'🎚️ Escenario'!$C$11&gt;=36,$AL$23,INDEX($C$23:$AL$23,MAX(1,ROUNDUP(EI856/'🎚️ Escenario'!$C$11,0)))))</f>
        <v>0</v>
      </c>
      <c r="EJ857" s="236" t="n">
        <f aca="false" t="array" ref="EJ857:EJ857">IF(EJ856=0,0,IF(EJ856/'🎚️ Escenario'!$C$11&gt;=36,$AL$23,INDEX($C$23:$AL$23,MAX(1,ROUNDUP(EJ856/'🎚️ Escenario'!$C$11,0)))))</f>
        <v>0</v>
      </c>
      <c r="EK857" s="236" t="n">
        <f aca="false" t="array" ref="EK857:EK857">IF(EK856=0,0,IF(EK856/'🎚️ Escenario'!$C$11&gt;=36,$AL$23,INDEX($C$23:$AL$23,MAX(1,ROUNDUP(EK856/'🎚️ Escenario'!$C$11,0)))))</f>
        <v>0</v>
      </c>
      <c r="EL857" s="236" t="n">
        <f aca="false" t="array" ref="EL857:EL857">IF(EL856=0,0,IF(EL856/'🎚️ Escenario'!$C$11&gt;=36,$AL$23,INDEX($C$23:$AL$23,MAX(1,ROUNDUP(EL856/'🎚️ Escenario'!$C$11,0)))))</f>
        <v>0</v>
      </c>
      <c r="EM857" s="236" t="n">
        <f aca="false" t="array" ref="EM857:EM857">IF(EM856=0,0,IF(EM856/'🎚️ Escenario'!$C$11&gt;=36,$AL$23,INDEX($C$23:$AL$23,MAX(1,ROUNDUP(EM856/'🎚️ Escenario'!$C$11,0)))))</f>
        <v>0</v>
      </c>
      <c r="EN857" s="236" t="n">
        <f aca="false" t="array" ref="EN857:EN857">IF(EN856=0,0,IF(EN856/'🎚️ Escenario'!$C$11&gt;=36,$AL$23,INDEX($C$23:$AL$23,MAX(1,ROUNDUP(EN856/'🎚️ Escenario'!$C$11,0)))))</f>
        <v>0</v>
      </c>
      <c r="EO857" s="236" t="n">
        <f aca="false" t="array" ref="EO857:EO857">IF(EO856=0,0,IF(EO856/'🎚️ Escenario'!$C$11&gt;=36,$AL$23,INDEX($C$23:$AL$23,MAX(1,ROUNDUP(EO856/'🎚️ Escenario'!$C$11,0)))))</f>
        <v>0</v>
      </c>
      <c r="EP857" s="236" t="n">
        <f aca="false" t="array" ref="EP857:EP857">IF(EP856=0,0,IF(EP856/'🎚️ Escenario'!$C$11&gt;=36,$AL$23,INDEX($C$23:$AL$23,MAX(1,ROUNDUP(EP856/'🎚️ Escenario'!$C$11,0)))))</f>
        <v>0</v>
      </c>
      <c r="EQ857" s="236" t="n">
        <f aca="false" t="array" ref="EQ857:EQ857">IF(EQ856=0,0,IF(EQ856/'🎚️ Escenario'!$C$11&gt;=36,$AL$23,INDEX($C$23:$AL$23,MAX(1,ROUNDUP(EQ856/'🎚️ Escenario'!$C$11,0)))))</f>
        <v>0</v>
      </c>
      <c r="ER857" s="236" t="n">
        <f aca="false" t="array" ref="ER857:ER857">IF(ER856=0,0,IF(ER856/'🎚️ Escenario'!$C$11&gt;=36,$AL$23,INDEX($C$23:$AL$23,MAX(1,ROUNDUP(ER856/'🎚️ Escenario'!$C$11,0)))))</f>
        <v>0</v>
      </c>
      <c r="ES857" s="9" t="n">
        <f aca="false" t="array" ref="ES857:ES857">IF(ES856=0,0,IF(ES856/'🎚️ Escenario'!$C$11&gt;=36,$AL$23,INDEX($C$23:$AL$23,MAX(1,ROUNDUP(ES856/'🎚️ Escenario'!$C$11,0)))))</f>
        <v>0</v>
      </c>
      <c r="ET857" s="9" t="n">
        <f aca="false" t="array" ref="ET857:ET857">IF(ET856=0,0,IF(ET856/'🎚️ Escenario'!$C$11&gt;=36,$AL$23,INDEX($C$23:$AL$23,MAX(1,ROUNDUP(ET856/'🎚️ Escenario'!$C$11,0)))))</f>
        <v>0</v>
      </c>
      <c r="EU857" s="9" t="n">
        <f aca="false" t="array" ref="EU857:EU857">IF(EU856=0,0,IF(EU856/'🎚️ Escenario'!$C$11&gt;=36,$AL$23,INDEX($C$23:$AL$23,MAX(1,ROUNDUP(EU856/'🎚️ Escenario'!$C$11,0)))))</f>
        <v>0</v>
      </c>
      <c r="EV857" s="9" t="n">
        <f aca="false" t="array" ref="EV857:EV857">IF(EV856=0,0,IF(EV856/'🎚️ Escenario'!$C$11&gt;=36,$AL$23,INDEX($C$23:$AL$23,MAX(1,ROUNDUP(EV856/'🎚️ Escenario'!$C$11,0)))))</f>
        <v>0</v>
      </c>
      <c r="EW857" s="9" t="n">
        <f aca="false" t="array" ref="EW857:EW857">IF(EW856=0,0,IF(EW856/'🎚️ Escenario'!$C$11&gt;=36,$AL$23,INDEX($C$23:$AL$23,MAX(1,ROUNDUP(EW856/'🎚️ Escenario'!$C$11,0)))))</f>
        <v>0</v>
      </c>
      <c r="EX857" s="9" t="n">
        <f aca="false" t="array" ref="EX857:EX857">IF(EX856=0,0,IF(EX856/'🎚️ Escenario'!$C$11&gt;=36,$AL$23,INDEX($C$23:$AL$23,MAX(1,ROUNDUP(EX856/'🎚️ Escenario'!$C$11,0)))))</f>
        <v>0</v>
      </c>
      <c r="EY857" s="9" t="n">
        <f aca="false" t="array" ref="EY857:EY857">IF(EY856=0,0,IF(EY856/'🎚️ Escenario'!$C$11&gt;=36,$AL$23,INDEX($C$23:$AL$23,MAX(1,ROUNDUP(EY856/'🎚️ Escenario'!$C$11,0)))))</f>
        <v>0</v>
      </c>
      <c r="EZ857" s="9" t="n">
        <f aca="false" t="array" ref="EZ857:EZ857">IF(EZ856=0,0,IF(EZ856/'🎚️ Escenario'!$C$11&gt;=36,$AL$23,INDEX($C$23:$AL$23,MAX(1,ROUNDUP(EZ856/'🎚️ Escenario'!$C$11,0)))))</f>
        <v>0</v>
      </c>
      <c r="FA857" s="9" t="n">
        <f aca="false" t="array" ref="FA857:FA857">IF(FA856=0,0,IF(FA856/'🎚️ Escenario'!$C$11&gt;=36,$AL$23,INDEX($C$23:$AL$23,MAX(1,ROUNDUP(FA856/'🎚️ Escenario'!$C$11,0)))))</f>
        <v>0</v>
      </c>
      <c r="FB857" s="9" t="n">
        <f aca="false" t="array" ref="FB857:FB857">IF(FB856=0,0,IF(FB856/'🎚️ Escenario'!$C$11&gt;=36,$AL$23,INDEX($C$23:$AL$23,MAX(1,ROUNDUP(FB856/'🎚️ Escenario'!$C$11,0)))))</f>
        <v>0</v>
      </c>
      <c r="FC857" s="9" t="n">
        <f aca="false" t="array" ref="FC857:FC857">IF(FC856=0,0,IF(FC856/'🎚️ Escenario'!$C$11&gt;=36,$AL$23,INDEX($C$23:$AL$23,MAX(1,ROUNDUP(FC856/'🎚️ Escenario'!$C$11,0)))))</f>
        <v>0</v>
      </c>
      <c r="FD857" s="9" t="n">
        <f aca="false" t="array" ref="FD857:FD857">IF(FD856=0,0,IF(FD856/'🎚️ Escenario'!$C$11&gt;=36,$AL$23,INDEX($C$23:$AL$23,MAX(1,ROUNDUP(FD856/'🎚️ Escenario'!$C$11,0)))))</f>
        <v>0</v>
      </c>
      <c r="FE857" s="9" t="n">
        <f aca="false" t="array" ref="FE857:FE857">IF(FE856=0,0,IF(FE856/'🎚️ Escenario'!$C$11&gt;=36,$AL$23,INDEX($C$23:$AL$23,MAX(1,ROUNDUP(FE856/'🎚️ Escenario'!$C$11,0)))))</f>
        <v>0</v>
      </c>
      <c r="FF857" s="9" t="n">
        <f aca="false" t="array" ref="FF857:FF857">IF(FF856=0,0,IF(FF856/'🎚️ Escenario'!$C$11&gt;=36,$AL$23,INDEX($C$23:$AL$23,MAX(1,ROUNDUP(FF856/'🎚️ Escenario'!$C$11,0)))))</f>
        <v>0</v>
      </c>
      <c r="FG857" s="9" t="n">
        <f aca="false" t="array" ref="FG857:FG857">IF(FG856=0,0,IF(FG856/'🎚️ Escenario'!$C$11&gt;=36,$AL$23,INDEX($C$23:$AL$23,MAX(1,ROUNDUP(FG856/'🎚️ Escenario'!$C$11,0)))))</f>
        <v>0</v>
      </c>
      <c r="FH857" s="9" t="n">
        <f aca="false" t="array" ref="FH857:FH857">IF(FH856=0,0,IF(FH856/'🎚️ Escenario'!$C$11&gt;=36,$AL$23,INDEX($C$23:$AL$23,MAX(1,ROUNDUP(FH856/'🎚️ Escenario'!$C$11,0)))))</f>
        <v>0</v>
      </c>
      <c r="FI857" s="9" t="n">
        <f aca="false" t="array" ref="FI857:FI857">IF(FI856=0,0,IF(FI856/'🎚️ Escenario'!$C$11&gt;=36,$AL$23,INDEX($C$23:$AL$23,MAX(1,ROUNDUP(FI856/'🎚️ Escenario'!$C$11,0)))))</f>
        <v>0</v>
      </c>
      <c r="FJ857" s="9" t="n">
        <f aca="false" t="array" ref="FJ857:FJ857">IF(FJ856=0,0,IF(FJ856/'🎚️ Escenario'!$C$11&gt;=36,$AL$23,INDEX($C$23:$AL$23,MAX(1,ROUNDUP(FJ856/'🎚️ Escenario'!$C$11,0)))))</f>
        <v>0.2</v>
      </c>
      <c r="FK857" s="9" t="n">
        <f aca="false" t="array" ref="FK857:FK857">IF(FK856=0,0,IF(FK856/'🎚️ Escenario'!$C$11&gt;=36,$AL$23,INDEX($C$23:$AL$23,MAX(1,ROUNDUP(FK856/'🎚️ Escenario'!$C$11,0)))))</f>
        <v>0.22</v>
      </c>
      <c r="FL857" s="9" t="n">
        <f aca="false" t="array" ref="FL857:FL857">IF(FL856=0,0,IF(FL856/'🎚️ Escenario'!$C$11&gt;=36,$AL$23,INDEX($C$23:$AL$23,MAX(1,ROUNDUP(FL856/'🎚️ Escenario'!$C$11,0)))))</f>
        <v>0.24</v>
      </c>
      <c r="FM857" s="9" t="n">
        <f aca="false" t="array" ref="FM857:FM857">IF(FM856=0,0,IF(FM856/'🎚️ Escenario'!$C$11&gt;=36,$AL$23,INDEX($C$23:$AL$23,MAX(1,ROUNDUP(FM856/'🎚️ Escenario'!$C$11,0)))))</f>
        <v>0.27</v>
      </c>
      <c r="FN857" s="9" t="n">
        <f aca="false" t="array" ref="FN857:FN857">IF(FN856=0,0,IF(FN856/'🎚️ Escenario'!$C$11&gt;=36,$AL$23,INDEX($C$23:$AL$23,MAX(1,ROUNDUP(FN856/'🎚️ Escenario'!$C$11,0)))))</f>
        <v>0.27</v>
      </c>
      <c r="FO857" s="9" t="n">
        <f aca="false" t="array" ref="FO857:FO857">IF(FO856=0,0,IF(FO856/'🎚️ Escenario'!$C$11&gt;=36,$AL$23,INDEX($C$23:$AL$23,MAX(1,ROUNDUP(FO856/'🎚️ Escenario'!$C$11,0)))))</f>
        <v>0.31</v>
      </c>
      <c r="FP857" s="9" t="n">
        <f aca="false" t="array" ref="FP857:FP857">IF(FP856=0,0,IF(FP856/'🎚️ Escenario'!$C$11&gt;=36,$AL$23,INDEX($C$23:$AL$23,MAX(1,ROUNDUP(FP856/'🎚️ Escenario'!$C$11,0)))))</f>
        <v>0.35</v>
      </c>
    </row>
    <row r="858" customFormat="false" ht="15" hidden="false" customHeight="false" outlineLevel="2" collapsed="false">
      <c r="B858" s="9" t="s">
        <v>875</v>
      </c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237" t="n">
        <f aca="false">IF(AC856=0,0,IF(AC856&lt;=12*'🎚️ Escenario'!$C$11,1,1+$C$6))</f>
        <v>0</v>
      </c>
      <c r="AD858" s="237" t="n">
        <f aca="false">IF(AD856=0,0,IF(AD856&lt;=12*'🎚️ Escenario'!$C$11,1,1+$C$6))</f>
        <v>0</v>
      </c>
      <c r="AE858" s="237" t="n">
        <f aca="false">IF(AE856=0,0,IF(AE856&lt;=12*'🎚️ Escenario'!$C$11,1,1+$C$6))</f>
        <v>0</v>
      </c>
      <c r="AF858" s="237" t="n">
        <f aca="false">IF(AF856=0,0,IF(AF856&lt;=12*'🎚️ Escenario'!$C$11,1,1+$C$6))</f>
        <v>0</v>
      </c>
      <c r="AG858" s="237" t="n">
        <f aca="false">IF(AG856=0,0,IF(AG856&lt;=12*'🎚️ Escenario'!$C$11,1,1+$C$6))</f>
        <v>0</v>
      </c>
      <c r="AH858" s="237" t="n">
        <f aca="false">IF(AH856=0,0,IF(AH856&lt;=12*'🎚️ Escenario'!$C$11,1,1+$C$6))</f>
        <v>0</v>
      </c>
      <c r="AI858" s="237" t="n">
        <f aca="false">IF(AI856=0,0,IF(AI856&lt;=12*'🎚️ Escenario'!$C$11,1,1+$C$6))</f>
        <v>0</v>
      </c>
      <c r="AJ858" s="237" t="n">
        <f aca="false">IF(AJ856=0,0,IF(AJ856&lt;=12*'🎚️ Escenario'!$C$11,1,1+$C$6))</f>
        <v>0</v>
      </c>
      <c r="AK858" s="237" t="n">
        <f aca="false">IF(AK856=0,0,IF(AK856&lt;=12*'🎚️ Escenario'!$C$11,1,1+$C$6))</f>
        <v>0</v>
      </c>
      <c r="AL858" s="237" t="n">
        <f aca="false">IF(AL856=0,0,IF(AL856&lt;=12*'🎚️ Escenario'!$C$11,1,1+$C$6))</f>
        <v>0</v>
      </c>
      <c r="AM858" s="237" t="n">
        <f aca="false">IF(AM856=0,0,IF(AM856&lt;=12*'🎚️ Escenario'!$C$11,1,1+$C$6))</f>
        <v>0</v>
      </c>
      <c r="AN858" s="237" t="n">
        <f aca="false">IF(AN856=0,0,IF(AN856&lt;=12*'🎚️ Escenario'!$C$11,1,1+$C$6))</f>
        <v>0</v>
      </c>
      <c r="AO858" s="237" t="n">
        <f aca="false">IF(AO856=0,0,IF(AO856&lt;=12*'🎚️ Escenario'!$C$11,1,1+$C$6))</f>
        <v>0</v>
      </c>
      <c r="AP858" s="237" t="n">
        <f aca="false">IF(AP856=0,0,IF(AP856&lt;=12*'🎚️ Escenario'!$C$11,1,1+$C$6))</f>
        <v>0</v>
      </c>
      <c r="AQ858" s="237" t="n">
        <f aca="false">IF(AQ856=0,0,IF(AQ856&lt;=12*'🎚️ Escenario'!$C$11,1,1+$C$6))</f>
        <v>0</v>
      </c>
      <c r="AR858" s="237" t="n">
        <f aca="false">IF(AR856=0,0,IF(AR856&lt;=12*'🎚️ Escenario'!$C$11,1,1+$C$6))</f>
        <v>0</v>
      </c>
      <c r="AS858" s="237" t="n">
        <f aca="false">IF(AS856=0,0,IF(AS856&lt;=12*'🎚️ Escenario'!$C$11,1,1+$C$6))</f>
        <v>0</v>
      </c>
      <c r="AT858" s="237" t="n">
        <f aca="false">IF(AT856=0,0,IF(AT856&lt;=12*'🎚️ Escenario'!$C$11,1,1+$C$6))</f>
        <v>0</v>
      </c>
      <c r="AU858" s="237" t="n">
        <f aca="false">IF(AU856=0,0,IF(AU856&lt;=12*'🎚️ Escenario'!$C$11,1,1+$C$6))</f>
        <v>0</v>
      </c>
      <c r="AV858" s="237" t="n">
        <f aca="false">IF(AV856=0,0,IF(AV856&lt;=12*'🎚️ Escenario'!$C$11,1,1+$C$6))</f>
        <v>0</v>
      </c>
      <c r="AW858" s="237" t="n">
        <f aca="false">IF(AW856=0,0,IF(AW856&lt;=12*'🎚️ Escenario'!$C$11,1,1+$C$6))</f>
        <v>0</v>
      </c>
      <c r="AX858" s="237" t="n">
        <f aca="false">IF(AX856=0,0,IF(AX856&lt;=12*'🎚️ Escenario'!$C$11,1,1+$C$6))</f>
        <v>0</v>
      </c>
      <c r="AY858" s="237" t="n">
        <f aca="false">IF(AY856=0,0,IF(AY856&lt;=12*'🎚️ Escenario'!$C$11,1,1+$C$6))</f>
        <v>0</v>
      </c>
      <c r="AZ858" s="237" t="n">
        <f aca="false">IF(AZ856=0,0,IF(AZ856&lt;=12*'🎚️ Escenario'!$C$11,1,1+$C$6))</f>
        <v>0</v>
      </c>
      <c r="BA858" s="237" t="n">
        <f aca="false">IF(BA856=0,0,IF(BA856&lt;=12*'🎚️ Escenario'!$C$11,1,1+$C$6))</f>
        <v>0</v>
      </c>
      <c r="BB858" s="237" t="n">
        <f aca="false">IF(BB856=0,0,IF(BB856&lt;=12*'🎚️ Escenario'!$C$11,1,1+$C$6))</f>
        <v>0</v>
      </c>
      <c r="BC858" s="237" t="n">
        <f aca="false">IF(BC856=0,0,IF(BC856&lt;=12*'🎚️ Escenario'!$C$11,1,1+$C$6))</f>
        <v>0</v>
      </c>
      <c r="BD858" s="237" t="n">
        <f aca="false">IF(BD856=0,0,IF(BD856&lt;=12*'🎚️ Escenario'!$C$11,1,1+$C$6))</f>
        <v>0</v>
      </c>
      <c r="BE858" s="237" t="n">
        <f aca="false">IF(BE856=0,0,IF(BE856&lt;=12*'🎚️ Escenario'!$C$11,1,1+$C$6))</f>
        <v>0</v>
      </c>
      <c r="BF858" s="237" t="n">
        <f aca="false">IF(BF856=0,0,IF(BF856&lt;=12*'🎚️ Escenario'!$C$11,1,1+$C$6))</f>
        <v>0</v>
      </c>
      <c r="BG858" s="237" t="n">
        <f aca="false">IF(BG856=0,0,IF(BG856&lt;=12*'🎚️ Escenario'!$C$11,1,1+$C$6))</f>
        <v>0</v>
      </c>
      <c r="BH858" s="237" t="n">
        <f aca="false">IF(BH856=0,0,IF(BH856&lt;=12*'🎚️ Escenario'!$C$11,1,1+$C$6))</f>
        <v>0</v>
      </c>
      <c r="BI858" s="237" t="n">
        <f aca="false">IF(BI856=0,0,IF(BI856&lt;=12*'🎚️ Escenario'!$C$11,1,1+$C$6))</f>
        <v>0</v>
      </c>
      <c r="BJ858" s="237" t="n">
        <f aca="false">IF(BJ856=0,0,IF(BJ856&lt;=12*'🎚️ Escenario'!$C$11,1,1+$C$6))</f>
        <v>0</v>
      </c>
      <c r="BK858" s="237" t="n">
        <f aca="false">IF(BK856=0,0,IF(BK856&lt;=12*'🎚️ Escenario'!$C$11,1,1+$C$6))</f>
        <v>0</v>
      </c>
      <c r="BL858" s="237" t="n">
        <f aca="false">IF(BL856=0,0,IF(BL856&lt;=12*'🎚️ Escenario'!$C$11,1,1+$C$6))</f>
        <v>0</v>
      </c>
      <c r="BM858" s="237" t="n">
        <f aca="false">IF(BM856=0,0,IF(BM856&lt;=12*'🎚️ Escenario'!$C$11,1,1+$C$6))</f>
        <v>0</v>
      </c>
      <c r="BN858" s="237" t="n">
        <f aca="false">IF(BN856=0,0,IF(BN856&lt;=12*'🎚️ Escenario'!$C$11,1,1+$C$6))</f>
        <v>0</v>
      </c>
      <c r="BO858" s="237" t="n">
        <f aca="false">IF(BO856=0,0,IF(BO856&lt;=12*'🎚️ Escenario'!$C$11,1,1+$C$6))</f>
        <v>0</v>
      </c>
      <c r="BP858" s="237" t="n">
        <f aca="false">IF(BP856=0,0,IF(BP856&lt;=12*'🎚️ Escenario'!$C$11,1,1+$C$6))</f>
        <v>0</v>
      </c>
      <c r="BQ858" s="237" t="n">
        <f aca="false">IF(BQ856=0,0,IF(BQ856&lt;=12*'🎚️ Escenario'!$C$11,1,1+$C$6))</f>
        <v>0</v>
      </c>
      <c r="BR858" s="237" t="n">
        <f aca="false">IF(BR856=0,0,IF(BR856&lt;=12*'🎚️ Escenario'!$C$11,1,1+$C$6))</f>
        <v>0</v>
      </c>
      <c r="BS858" s="237" t="n">
        <f aca="false">IF(BS856=0,0,IF(BS856&lt;=12*'🎚️ Escenario'!$C$11,1,1+$C$6))</f>
        <v>0</v>
      </c>
      <c r="BT858" s="237" t="n">
        <f aca="false">IF(BT856=0,0,IF(BT856&lt;=12*'🎚️ Escenario'!$C$11,1,1+$C$6))</f>
        <v>0</v>
      </c>
      <c r="BU858" s="237" t="n">
        <f aca="false">IF(BU856=0,0,IF(BU856&lt;=12*'🎚️ Escenario'!$C$11,1,1+$C$6))</f>
        <v>0</v>
      </c>
      <c r="BV858" s="237" t="n">
        <f aca="false">IF(BV856=0,0,IF(BV856&lt;=12*'🎚️ Escenario'!$C$11,1,1+$C$6))</f>
        <v>0</v>
      </c>
      <c r="BW858" s="237" t="n">
        <f aca="false">IF(BW856=0,0,IF(BW856&lt;=12*'🎚️ Escenario'!$C$11,1,1+$C$6))</f>
        <v>0</v>
      </c>
      <c r="BX858" s="237" t="n">
        <f aca="false">IF(BX856=0,0,IF(BX856&lt;=12*'🎚️ Escenario'!$C$11,1,1+$C$6))</f>
        <v>0</v>
      </c>
      <c r="BY858" s="237" t="n">
        <f aca="false">IF(BY856=0,0,IF(BY856&lt;=12*'🎚️ Escenario'!$C$11,1,1+$C$6))</f>
        <v>0</v>
      </c>
      <c r="BZ858" s="237" t="n">
        <f aca="false">IF(BZ856=0,0,IF(BZ856&lt;=12*'🎚️ Escenario'!$C$11,1,1+$C$6))</f>
        <v>0</v>
      </c>
      <c r="CA858" s="237" t="n">
        <f aca="false">IF(CA856=0,0,IF(CA856&lt;=12*'🎚️ Escenario'!$C$11,1,1+$C$6))</f>
        <v>0</v>
      </c>
      <c r="CB858" s="237" t="n">
        <f aca="false">IF(CB856=0,0,IF(CB856&lt;=12*'🎚️ Escenario'!$C$11,1,1+$C$6))</f>
        <v>0</v>
      </c>
      <c r="CC858" s="237" t="n">
        <f aca="false">IF(CC856=0,0,IF(CC856&lt;=12*'🎚️ Escenario'!$C$11,1,1+$C$6))</f>
        <v>0</v>
      </c>
      <c r="CD858" s="237" t="n">
        <f aca="false">IF(CD856=0,0,IF(CD856&lt;=12*'🎚️ Escenario'!$C$11,1,1+$C$6))</f>
        <v>0</v>
      </c>
      <c r="CE858" s="237" t="n">
        <f aca="false">IF(CE856=0,0,IF(CE856&lt;=12*'🎚️ Escenario'!$C$11,1,1+$C$6))</f>
        <v>0</v>
      </c>
      <c r="CF858" s="237" t="n">
        <f aca="false">IF(CF856=0,0,IF(CF856&lt;=12*'🎚️ Escenario'!$C$11,1,1+$C$6))</f>
        <v>0</v>
      </c>
      <c r="CG858" s="237" t="n">
        <f aca="false">IF(CG856=0,0,IF(CG856&lt;=12*'🎚️ Escenario'!$C$11,1,1+$C$6))</f>
        <v>0</v>
      </c>
      <c r="CH858" s="237" t="n">
        <f aca="false">IF(CH856=0,0,IF(CH856&lt;=12*'🎚️ Escenario'!$C$11,1,1+$C$6))</f>
        <v>0</v>
      </c>
      <c r="CI858" s="237" t="n">
        <f aca="false">IF(CI856=0,0,IF(CI856&lt;=12*'🎚️ Escenario'!$C$11,1,1+$C$6))</f>
        <v>0</v>
      </c>
      <c r="CJ858" s="237" t="n">
        <f aca="false">IF(CJ856=0,0,IF(CJ856&lt;=12*'🎚️ Escenario'!$C$11,1,1+$C$6))</f>
        <v>0</v>
      </c>
      <c r="CK858" s="237" t="n">
        <f aca="false">IF(CK856=0,0,IF(CK856&lt;=12*'🎚️ Escenario'!$C$11,1,1+$C$6))</f>
        <v>0</v>
      </c>
      <c r="CL858" s="237" t="n">
        <f aca="false">IF(CL856=0,0,IF(CL856&lt;=12*'🎚️ Escenario'!$C$11,1,1+$C$6))</f>
        <v>0</v>
      </c>
      <c r="CM858" s="237" t="n">
        <f aca="false">IF(CM856=0,0,IF(CM856&lt;=12*'🎚️ Escenario'!$C$11,1,1+$C$6))</f>
        <v>0</v>
      </c>
      <c r="CN858" s="237" t="n">
        <f aca="false">IF(CN856=0,0,IF(CN856&lt;=12*'🎚️ Escenario'!$C$11,1,1+$C$6))</f>
        <v>0</v>
      </c>
      <c r="CO858" s="237" t="n">
        <f aca="false">IF(CO856=0,0,IF(CO856&lt;=12*'🎚️ Escenario'!$C$11,1,1+$C$6))</f>
        <v>0</v>
      </c>
      <c r="CP858" s="237" t="n">
        <f aca="false">IF(CP856=0,0,IF(CP856&lt;=12*'🎚️ Escenario'!$C$11,1,1+$C$6))</f>
        <v>0</v>
      </c>
      <c r="CQ858" s="237" t="n">
        <f aca="false">IF(CQ856=0,0,IF(CQ856&lt;=12*'🎚️ Escenario'!$C$11,1,1+$C$6))</f>
        <v>0</v>
      </c>
      <c r="CR858" s="237" t="n">
        <f aca="false">IF(CR856=0,0,IF(CR856&lt;=12*'🎚️ Escenario'!$C$11,1,1+$C$6))</f>
        <v>0</v>
      </c>
      <c r="CS858" s="237" t="n">
        <f aca="false">IF(CS856=0,0,IF(CS856&lt;=12*'🎚️ Escenario'!$C$11,1,1+$C$6))</f>
        <v>0</v>
      </c>
      <c r="CT858" s="237" t="n">
        <f aca="false">IF(CT856=0,0,IF(CT856&lt;=12*'🎚️ Escenario'!$C$11,1,1+$C$6))</f>
        <v>0</v>
      </c>
      <c r="CU858" s="237" t="n">
        <f aca="false">IF(CU856=0,0,IF(CU856&lt;=12*'🎚️ Escenario'!$C$11,1,1+$C$6))</f>
        <v>0</v>
      </c>
      <c r="CV858" s="237" t="n">
        <f aca="false">IF(CV856=0,0,IF(CV856&lt;=12*'🎚️ Escenario'!$C$11,1,1+$C$6))</f>
        <v>0</v>
      </c>
      <c r="CW858" s="237" t="n">
        <f aca="false">IF(CW856=0,0,IF(CW856&lt;=12*'🎚️ Escenario'!$C$11,1,1+$C$6))</f>
        <v>0</v>
      </c>
      <c r="CX858" s="237" t="n">
        <f aca="false">IF(CX856=0,0,IF(CX856&lt;=12*'🎚️ Escenario'!$C$11,1,1+$C$6))</f>
        <v>0</v>
      </c>
      <c r="CY858" s="237" t="n">
        <f aca="false">IF(CY856=0,0,IF(CY856&lt;=12*'🎚️ Escenario'!$C$11,1,1+$C$6))</f>
        <v>0</v>
      </c>
      <c r="CZ858" s="237" t="n">
        <f aca="false">IF(CZ856=0,0,IF(CZ856&lt;=12*'🎚️ Escenario'!$C$11,1,1+$C$6))</f>
        <v>0</v>
      </c>
      <c r="DA858" s="237" t="n">
        <f aca="false">IF(DA856=0,0,IF(DA856&lt;=12*'🎚️ Escenario'!$C$11,1,1+$C$6))</f>
        <v>0</v>
      </c>
      <c r="DB858" s="237" t="n">
        <f aca="false">IF(DB856=0,0,IF(DB856&lt;=12*'🎚️ Escenario'!$C$11,1,1+$C$6))</f>
        <v>0</v>
      </c>
      <c r="DC858" s="237" t="n">
        <f aca="false">IF(DC856=0,0,IF(DC856&lt;=12*'🎚️ Escenario'!$C$11,1,1+$C$6))</f>
        <v>0</v>
      </c>
      <c r="DD858" s="237" t="n">
        <f aca="false">IF(DD856=0,0,IF(DD856&lt;=12*'🎚️ Escenario'!$C$11,1,1+$C$6))</f>
        <v>0</v>
      </c>
      <c r="DE858" s="237" t="n">
        <f aca="false">IF(DE856=0,0,IF(DE856&lt;=12*'🎚️ Escenario'!$C$11,1,1+$C$6))</f>
        <v>0</v>
      </c>
      <c r="DF858" s="237" t="n">
        <f aca="false">IF(DF856=0,0,IF(DF856&lt;=12*'🎚️ Escenario'!$C$11,1,1+$C$6))</f>
        <v>0</v>
      </c>
      <c r="DG858" s="237" t="n">
        <f aca="false">IF(DG856=0,0,IF(DG856&lt;=12*'🎚️ Escenario'!$C$11,1,1+$C$6))</f>
        <v>0</v>
      </c>
      <c r="DH858" s="237" t="n">
        <f aca="false">IF(DH856=0,0,IF(DH856&lt;=12*'🎚️ Escenario'!$C$11,1,1+$C$6))</f>
        <v>0</v>
      </c>
      <c r="DI858" s="237" t="n">
        <f aca="false">IF(DI856=0,0,IF(DI856&lt;=12*'🎚️ Escenario'!$C$11,1,1+$C$6))</f>
        <v>0</v>
      </c>
      <c r="DJ858" s="237" t="n">
        <f aca="false">IF(DJ856=0,0,IF(DJ856&lt;=12*'🎚️ Escenario'!$C$11,1,1+$C$6))</f>
        <v>0</v>
      </c>
      <c r="DK858" s="237" t="n">
        <f aca="false">IF(DK856=0,0,IF(DK856&lt;=12*'🎚️ Escenario'!$C$11,1,1+$C$6))</f>
        <v>0</v>
      </c>
      <c r="DL858" s="237" t="n">
        <f aca="false">IF(DL856=0,0,IF(DL856&lt;=12*'🎚️ Escenario'!$C$11,1,1+$C$6))</f>
        <v>0</v>
      </c>
      <c r="DM858" s="237" t="n">
        <f aca="false">IF(DM856=0,0,IF(DM856&lt;=12*'🎚️ Escenario'!$C$11,1,1+$C$6))</f>
        <v>0</v>
      </c>
      <c r="DN858" s="237" t="n">
        <f aca="false">IF(DN856=0,0,IF(DN856&lt;=12*'🎚️ Escenario'!$C$11,1,1+$C$6))</f>
        <v>0</v>
      </c>
      <c r="DO858" s="237" t="n">
        <f aca="false">IF(DO856=0,0,IF(DO856&lt;=12*'🎚️ Escenario'!$C$11,1,1+$C$6))</f>
        <v>0</v>
      </c>
      <c r="DP858" s="237" t="n">
        <f aca="false">IF(DP856=0,0,IF(DP856&lt;=12*'🎚️ Escenario'!$C$11,1,1+$C$6))</f>
        <v>0</v>
      </c>
      <c r="DQ858" s="237" t="n">
        <f aca="false">IF(DQ856=0,0,IF(DQ856&lt;=12*'🎚️ Escenario'!$C$11,1,1+$C$6))</f>
        <v>0</v>
      </c>
      <c r="DR858" s="237" t="n">
        <f aca="false">IF(DR856=0,0,IF(DR856&lt;=12*'🎚️ Escenario'!$C$11,1,1+$C$6))</f>
        <v>0</v>
      </c>
      <c r="DS858" s="237" t="n">
        <f aca="false">IF(DS856=0,0,IF(DS856&lt;=12*'🎚️ Escenario'!$C$11,1,1+$C$6))</f>
        <v>0</v>
      </c>
      <c r="DT858" s="237" t="n">
        <f aca="false">IF(DT856=0,0,IF(DT856&lt;=12*'🎚️ Escenario'!$C$11,1,1+$C$6))</f>
        <v>0</v>
      </c>
      <c r="DU858" s="237" t="n">
        <f aca="false">IF(DU856=0,0,IF(DU856&lt;=12*'🎚️ Escenario'!$C$11,1,1+$C$6))</f>
        <v>0</v>
      </c>
      <c r="DV858" s="237" t="n">
        <f aca="false">IF(DV856=0,0,IF(DV856&lt;=12*'🎚️ Escenario'!$C$11,1,1+$C$6))</f>
        <v>0</v>
      </c>
      <c r="DW858" s="237" t="n">
        <f aca="false">IF(DW856=0,0,IF(DW856&lt;=12*'🎚️ Escenario'!$C$11,1,1+$C$6))</f>
        <v>0</v>
      </c>
      <c r="DX858" s="237" t="n">
        <f aca="false">IF(DX856=0,0,IF(DX856&lt;=12*'🎚️ Escenario'!$C$11,1,1+$C$6))</f>
        <v>0</v>
      </c>
      <c r="DY858" s="237" t="n">
        <f aca="false">IF(DY856=0,0,IF(DY856&lt;=12*'🎚️ Escenario'!$C$11,1,1+$C$6))</f>
        <v>0</v>
      </c>
      <c r="DZ858" s="237" t="n">
        <f aca="false">IF(DZ856=0,0,IF(DZ856&lt;=12*'🎚️ Escenario'!$C$11,1,1+$C$6))</f>
        <v>0</v>
      </c>
      <c r="EA858" s="237" t="n">
        <f aca="false">IF(EA856=0,0,IF(EA856&lt;=12*'🎚️ Escenario'!$C$11,1,1+$C$6))</f>
        <v>0</v>
      </c>
      <c r="EB858" s="237" t="n">
        <f aca="false">IF(EB856=0,0,IF(EB856&lt;=12*'🎚️ Escenario'!$C$11,1,1+$C$6))</f>
        <v>0</v>
      </c>
      <c r="EC858" s="237" t="n">
        <f aca="false">IF(EC856=0,0,IF(EC856&lt;=12*'🎚️ Escenario'!$C$11,1,1+$C$6))</f>
        <v>0</v>
      </c>
      <c r="ED858" s="237" t="n">
        <f aca="false">IF(ED856=0,0,IF(ED856&lt;=12*'🎚️ Escenario'!$C$11,1,1+$C$6))</f>
        <v>0</v>
      </c>
      <c r="EE858" s="237" t="n">
        <f aca="false">IF(EE856=0,0,IF(EE856&lt;=12*'🎚️ Escenario'!$C$11,1,1+$C$6))</f>
        <v>0</v>
      </c>
      <c r="EF858" s="237" t="n">
        <f aca="false">IF(EF856=0,0,IF(EF856&lt;=12*'🎚️ Escenario'!$C$11,1,1+$C$6))</f>
        <v>0</v>
      </c>
      <c r="EG858" s="237" t="n">
        <f aca="false">IF(EG856=0,0,IF(EG856&lt;=12*'🎚️ Escenario'!$C$11,1,1+$C$6))</f>
        <v>0</v>
      </c>
      <c r="EH858" s="237" t="n">
        <f aca="false">IF(EH856=0,0,IF(EH856&lt;=12*'🎚️ Escenario'!$C$11,1,1+$C$6))</f>
        <v>0</v>
      </c>
      <c r="EI858" s="237" t="n">
        <f aca="false">IF(EI856=0,0,IF(EI856&lt;=12*'🎚️ Escenario'!$C$11,1,1+$C$6))</f>
        <v>0</v>
      </c>
      <c r="EJ858" s="237" t="n">
        <f aca="false">IF(EJ856=0,0,IF(EJ856&lt;=12*'🎚️ Escenario'!$C$11,1,1+$C$6))</f>
        <v>0</v>
      </c>
      <c r="EK858" s="237" t="n">
        <f aca="false">IF(EK856=0,0,IF(EK856&lt;=12*'🎚️ Escenario'!$C$11,1,1+$C$6))</f>
        <v>0</v>
      </c>
      <c r="EL858" s="237" t="n">
        <f aca="false">IF(EL856=0,0,IF(EL856&lt;=12*'🎚️ Escenario'!$C$11,1,1+$C$6))</f>
        <v>0</v>
      </c>
      <c r="EM858" s="237" t="n">
        <f aca="false">IF(EM856=0,0,IF(EM856&lt;=12*'🎚️ Escenario'!$C$11,1,1+$C$6))</f>
        <v>0</v>
      </c>
      <c r="EN858" s="237" t="n">
        <f aca="false">IF(EN856=0,0,IF(EN856&lt;=12*'🎚️ Escenario'!$C$11,1,1+$C$6))</f>
        <v>0</v>
      </c>
      <c r="EO858" s="237" t="n">
        <f aca="false">IF(EO856=0,0,IF(EO856&lt;=12*'🎚️ Escenario'!$C$11,1,1+$C$6))</f>
        <v>0</v>
      </c>
      <c r="EP858" s="237" t="n">
        <f aca="false">IF(EP856=0,0,IF(EP856&lt;=12*'🎚️ Escenario'!$C$11,1,1+$C$6))</f>
        <v>0</v>
      </c>
      <c r="EQ858" s="237" t="n">
        <f aca="false">IF(EQ856=0,0,IF(EQ856&lt;=12*'🎚️ Escenario'!$C$11,1,1+$C$6))</f>
        <v>0</v>
      </c>
      <c r="ER858" s="237" t="n">
        <f aca="false">IF(ER856=0,0,IF(ER856&lt;=12*'🎚️ Escenario'!$C$11,1,1+$C$6))</f>
        <v>0</v>
      </c>
      <c r="ES858" s="9" t="n">
        <f aca="false">IF(ES856=0,0,IF(ES856&lt;=12*'🎚️ Escenario'!$C$11,1,1+$C$6))</f>
        <v>0</v>
      </c>
      <c r="ET858" s="9" t="n">
        <f aca="false">IF(ET856=0,0,IF(ET856&lt;=12*'🎚️ Escenario'!$C$11,1,1+$C$6))</f>
        <v>0</v>
      </c>
      <c r="EU858" s="9" t="n">
        <f aca="false">IF(EU856=0,0,IF(EU856&lt;=12*'🎚️ Escenario'!$C$11,1,1+$C$6))</f>
        <v>0</v>
      </c>
      <c r="EV858" s="9" t="n">
        <f aca="false">IF(EV856=0,0,IF(EV856&lt;=12*'🎚️ Escenario'!$C$11,1,1+$C$6))</f>
        <v>0</v>
      </c>
      <c r="EW858" s="9" t="n">
        <f aca="false">IF(EW856=0,0,IF(EW856&lt;=12*'🎚️ Escenario'!$C$11,1,1+$C$6))</f>
        <v>0</v>
      </c>
      <c r="EX858" s="9" t="n">
        <f aca="false">IF(EX856=0,0,IF(EX856&lt;=12*'🎚️ Escenario'!$C$11,1,1+$C$6))</f>
        <v>0</v>
      </c>
      <c r="EY858" s="9" t="n">
        <f aca="false">IF(EY856=0,0,IF(EY856&lt;=12*'🎚️ Escenario'!$C$11,1,1+$C$6))</f>
        <v>0</v>
      </c>
      <c r="EZ858" s="9" t="n">
        <f aca="false">IF(EZ856=0,0,IF(EZ856&lt;=12*'🎚️ Escenario'!$C$11,1,1+$C$6))</f>
        <v>0</v>
      </c>
      <c r="FA858" s="9" t="n">
        <f aca="false">IF(FA856=0,0,IF(FA856&lt;=12*'🎚️ Escenario'!$C$11,1,1+$C$6))</f>
        <v>0</v>
      </c>
      <c r="FB858" s="9" t="n">
        <f aca="false">IF(FB856=0,0,IF(FB856&lt;=12*'🎚️ Escenario'!$C$11,1,1+$C$6))</f>
        <v>0</v>
      </c>
      <c r="FC858" s="9" t="n">
        <f aca="false">IF(FC856=0,0,IF(FC856&lt;=12*'🎚️ Escenario'!$C$11,1,1+$C$6))</f>
        <v>0</v>
      </c>
      <c r="FD858" s="9" t="n">
        <f aca="false">IF(FD856=0,0,IF(FD856&lt;=12*'🎚️ Escenario'!$C$11,1,1+$C$6))</f>
        <v>0</v>
      </c>
      <c r="FE858" s="9" t="n">
        <f aca="false">IF(FE856=0,0,IF(FE856&lt;=12*'🎚️ Escenario'!$C$11,1,1+$C$6))</f>
        <v>0</v>
      </c>
      <c r="FF858" s="9" t="n">
        <f aca="false">IF(FF856=0,0,IF(FF856&lt;=12*'🎚️ Escenario'!$C$11,1,1+$C$6))</f>
        <v>0</v>
      </c>
      <c r="FG858" s="9" t="n">
        <f aca="false">IF(FG856=0,0,IF(FG856&lt;=12*'🎚️ Escenario'!$C$11,1,1+$C$6))</f>
        <v>0</v>
      </c>
      <c r="FH858" s="9" t="n">
        <f aca="false">IF(FH856=0,0,IF(FH856&lt;=12*'🎚️ Escenario'!$C$11,1,1+$C$6))</f>
        <v>0</v>
      </c>
      <c r="FI858" s="9" t="n">
        <f aca="false">IF(FI856=0,0,IF(FI856&lt;=12*'🎚️ Escenario'!$C$11,1,1+$C$6))</f>
        <v>0</v>
      </c>
      <c r="FJ858" s="9" t="n">
        <f aca="false">IF(FJ856=0,0,IF(FJ856&lt;=12*'🎚️ Escenario'!$C$11,1,1+$C$6))</f>
        <v>1</v>
      </c>
      <c r="FK858" s="9" t="n">
        <f aca="false">IF(FK856=0,0,IF(FK856&lt;=12*'🎚️ Escenario'!$C$11,1,1+$C$6))</f>
        <v>1</v>
      </c>
      <c r="FL858" s="9" t="n">
        <f aca="false">IF(FL856=0,0,IF(FL856&lt;=12*'🎚️ Escenario'!$C$11,1,1+$C$6))</f>
        <v>1</v>
      </c>
      <c r="FM858" s="9" t="n">
        <f aca="false">IF(FM856=0,0,IF(FM856&lt;=12*'🎚️ Escenario'!$C$11,1,1+$C$6))</f>
        <v>1</v>
      </c>
      <c r="FN858" s="9" t="n">
        <f aca="false">IF(FN856=0,0,IF(FN856&lt;=12*'🎚️ Escenario'!$C$11,1,1+$C$6))</f>
        <v>1</v>
      </c>
      <c r="FO858" s="9" t="n">
        <f aca="false">IF(FO856=0,0,IF(FO856&lt;=12*'🎚️ Escenario'!$C$11,1,1+$C$6))</f>
        <v>1</v>
      </c>
      <c r="FP858" s="9" t="n">
        <f aca="false">IF(FP856=0,0,IF(FP856&lt;=12*'🎚️ Escenario'!$C$11,1,1+$C$6))</f>
        <v>1</v>
      </c>
    </row>
    <row r="859" customFormat="false" ht="15" hidden="false" customHeight="false" outlineLevel="2" collapsed="false">
      <c r="B859" s="9" t="s">
        <v>876</v>
      </c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36" t="n">
        <f aca="false">AC857*$AC$855*AC858*AC$38*'⑫ Roll-out Plan'!$O$90</f>
        <v>0</v>
      </c>
      <c r="AD859" s="36" t="n">
        <f aca="false">AD857*$AC$855*AD858*AD$38*'⑫ Roll-out Plan'!$O$90</f>
        <v>0</v>
      </c>
      <c r="AE859" s="36" t="n">
        <f aca="false">AE857*$AC$855*AE858*AE$38*'⑫ Roll-out Plan'!$O$90</f>
        <v>0</v>
      </c>
      <c r="AF859" s="36" t="n">
        <f aca="false">AF857*$AC$855*AF858*AF$38*'⑫ Roll-out Plan'!$O$90</f>
        <v>0</v>
      </c>
      <c r="AG859" s="36" t="n">
        <f aca="false">AG857*$AC$855*AG858*AG$38*'⑫ Roll-out Plan'!$O$90</f>
        <v>0</v>
      </c>
      <c r="AH859" s="36" t="n">
        <f aca="false">AH857*$AC$855*AH858*AH$38*'⑫ Roll-out Plan'!$O$90</f>
        <v>0</v>
      </c>
      <c r="AI859" s="36" t="n">
        <f aca="false">AI857*$AC$855*AI858*AI$38*'⑫ Roll-out Plan'!$O$90</f>
        <v>0</v>
      </c>
      <c r="AJ859" s="36" t="n">
        <f aca="false">AJ857*$AC$855*AJ858*AJ$38*'⑫ Roll-out Plan'!$O$90</f>
        <v>0</v>
      </c>
      <c r="AK859" s="36" t="n">
        <f aca="false">AK857*$AC$855*AK858*AK$38*'⑫ Roll-out Plan'!$O$90</f>
        <v>0</v>
      </c>
      <c r="AL859" s="36" t="n">
        <f aca="false">AL857*$AC$855*AL858*AL$38*'⑫ Roll-out Plan'!$O$90</f>
        <v>0</v>
      </c>
      <c r="AM859" s="36" t="n">
        <f aca="false">AM857*$AC$855*AM858*AM$38*'⑫ Roll-out Plan'!$O$90</f>
        <v>0</v>
      </c>
      <c r="AN859" s="36" t="n">
        <f aca="false">AN857*$AC$855*AN858*AN$38*'⑫ Roll-out Plan'!$O$90</f>
        <v>0</v>
      </c>
      <c r="AO859" s="36" t="n">
        <f aca="false">AO857*$AC$855*AO858*AO$38*'⑫ Roll-out Plan'!$O$90</f>
        <v>0</v>
      </c>
      <c r="AP859" s="36" t="n">
        <f aca="false">AP857*$AC$855*AP858*AP$38*'⑫ Roll-out Plan'!$O$90</f>
        <v>0</v>
      </c>
      <c r="AQ859" s="36" t="n">
        <f aca="false">AQ857*$AC$855*AQ858*AQ$38*'⑫ Roll-out Plan'!$O$90</f>
        <v>0</v>
      </c>
      <c r="AR859" s="36" t="n">
        <f aca="false">AR857*$AC$855*AR858*AR$38*'⑫ Roll-out Plan'!$O$90</f>
        <v>0</v>
      </c>
      <c r="AS859" s="36" t="n">
        <f aca="false">AS857*$AC$855*AS858*AS$38*'⑫ Roll-out Plan'!$O$90</f>
        <v>0</v>
      </c>
      <c r="AT859" s="36" t="n">
        <f aca="false">AT857*$AC$855*AT858*AT$38*'⑫ Roll-out Plan'!$O$90</f>
        <v>0</v>
      </c>
      <c r="AU859" s="36" t="n">
        <f aca="false">AU857*$AC$855*AU858*AU$38*'⑫ Roll-out Plan'!$O$90</f>
        <v>0</v>
      </c>
      <c r="AV859" s="36" t="n">
        <f aca="false">AV857*$AC$855*AV858*AV$38*'⑫ Roll-out Plan'!$O$90</f>
        <v>0</v>
      </c>
      <c r="AW859" s="36" t="n">
        <f aca="false">AW857*$AC$855*AW858*AW$38*'⑫ Roll-out Plan'!$O$90</f>
        <v>0</v>
      </c>
      <c r="AX859" s="36" t="n">
        <f aca="false">AX857*$AC$855*AX858*AX$38*'⑫ Roll-out Plan'!$O$90</f>
        <v>0</v>
      </c>
      <c r="AY859" s="36" t="n">
        <f aca="false">AY857*$AC$855*AY858*AY$38*'⑫ Roll-out Plan'!$O$90</f>
        <v>0</v>
      </c>
      <c r="AZ859" s="36" t="n">
        <f aca="false">AZ857*$AC$855*AZ858*AZ$38*'⑫ Roll-out Plan'!$O$90</f>
        <v>0</v>
      </c>
      <c r="BA859" s="36" t="n">
        <f aca="false">BA857*$AC$855*BA858*BA$38*'⑫ Roll-out Plan'!$O$90</f>
        <v>0</v>
      </c>
      <c r="BB859" s="36" t="n">
        <f aca="false">BB857*$AC$855*BB858*BB$38*'⑫ Roll-out Plan'!$O$90</f>
        <v>0</v>
      </c>
      <c r="BC859" s="36" t="n">
        <f aca="false">BC857*$AC$855*BC858*BC$38*'⑫ Roll-out Plan'!$O$90</f>
        <v>0</v>
      </c>
      <c r="BD859" s="36" t="n">
        <f aca="false">BD857*$AC$855*BD858*BD$38*'⑫ Roll-out Plan'!$O$90</f>
        <v>0</v>
      </c>
      <c r="BE859" s="36" t="n">
        <f aca="false">BE857*$AC$855*BE858*BE$38*'⑫ Roll-out Plan'!$O$90</f>
        <v>0</v>
      </c>
      <c r="BF859" s="36" t="n">
        <f aca="false">BF857*$AC$855*BF858*BF$38*'⑫ Roll-out Plan'!$O$90</f>
        <v>0</v>
      </c>
      <c r="BG859" s="36" t="n">
        <f aca="false">BG857*$AC$855*BG858*BG$38*'⑫ Roll-out Plan'!$O$90</f>
        <v>0</v>
      </c>
      <c r="BH859" s="36" t="n">
        <f aca="false">BH857*$AC$855*BH858*BH$38*'⑫ Roll-out Plan'!$O$90</f>
        <v>0</v>
      </c>
      <c r="BI859" s="36" t="n">
        <f aca="false">BI857*$AC$855*BI858*BI$38*'⑫ Roll-out Plan'!$O$90</f>
        <v>0</v>
      </c>
      <c r="BJ859" s="36" t="n">
        <f aca="false">BJ857*$AC$855*BJ858*BJ$38*'⑫ Roll-out Plan'!$O$90</f>
        <v>0</v>
      </c>
      <c r="BK859" s="36" t="n">
        <f aca="false">BK857*$AC$855*BK858*BK$38*'⑫ Roll-out Plan'!$O$90</f>
        <v>0</v>
      </c>
      <c r="BL859" s="36" t="n">
        <f aca="false">BL857*$AC$855*BL858*BL$38*'⑫ Roll-out Plan'!$O$90</f>
        <v>0</v>
      </c>
      <c r="BM859" s="36" t="n">
        <f aca="false">BM857*$AC$855*BM858*BM$38*'⑫ Roll-out Plan'!$O$90</f>
        <v>0</v>
      </c>
      <c r="BN859" s="36" t="n">
        <f aca="false">BN857*$AC$855*BN858*BN$38*'⑫ Roll-out Plan'!$O$90</f>
        <v>0</v>
      </c>
      <c r="BO859" s="36" t="n">
        <f aca="false">BO857*$AC$855*BO858*BO$38*'⑫ Roll-out Plan'!$O$90</f>
        <v>0</v>
      </c>
      <c r="BP859" s="36" t="n">
        <f aca="false">BP857*$AC$855*BP858*BP$38*'⑫ Roll-out Plan'!$O$90</f>
        <v>0</v>
      </c>
      <c r="BQ859" s="36" t="n">
        <f aca="false">BQ857*$AC$855*BQ858*BQ$38*'⑫ Roll-out Plan'!$O$90</f>
        <v>0</v>
      </c>
      <c r="BR859" s="36" t="n">
        <f aca="false">BR857*$AC$855*BR858*BR$38*'⑫ Roll-out Plan'!$O$90</f>
        <v>0</v>
      </c>
      <c r="BS859" s="36" t="n">
        <f aca="false">BS857*$AC$855*BS858*BS$38*'⑫ Roll-out Plan'!$O$90</f>
        <v>0</v>
      </c>
      <c r="BT859" s="36" t="n">
        <f aca="false">BT857*$AC$855*BT858*BT$38*'⑫ Roll-out Plan'!$O$90</f>
        <v>0</v>
      </c>
      <c r="BU859" s="36" t="n">
        <f aca="false">BU857*$AC$855*BU858*BU$38*'⑫ Roll-out Plan'!$O$90</f>
        <v>0</v>
      </c>
      <c r="BV859" s="36" t="n">
        <f aca="false">BV857*$AC$855*BV858*BV$38*'⑫ Roll-out Plan'!$O$90</f>
        <v>0</v>
      </c>
      <c r="BW859" s="36" t="n">
        <f aca="false">BW857*$AC$855*BW858*BW$38*'⑫ Roll-out Plan'!$O$90</f>
        <v>0</v>
      </c>
      <c r="BX859" s="36" t="n">
        <f aca="false">BX857*$AC$855*BX858*BX$38*'⑫ Roll-out Plan'!$O$90</f>
        <v>0</v>
      </c>
      <c r="BY859" s="36" t="n">
        <f aca="false">BY857*$AC$855*BY858*BY$38*'⑫ Roll-out Plan'!$O$90</f>
        <v>0</v>
      </c>
      <c r="BZ859" s="36" t="n">
        <f aca="false">BZ857*$AC$855*BZ858*BZ$38*'⑫ Roll-out Plan'!$O$90</f>
        <v>0</v>
      </c>
      <c r="CA859" s="36" t="n">
        <f aca="false">CA857*$AC$855*CA858*CA$38*'⑫ Roll-out Plan'!$O$90</f>
        <v>0</v>
      </c>
      <c r="CB859" s="36" t="n">
        <f aca="false">CB857*$AC$855*CB858*CB$38*'⑫ Roll-out Plan'!$O$90</f>
        <v>0</v>
      </c>
      <c r="CC859" s="36" t="n">
        <f aca="false">CC857*$AC$855*CC858*CC$38*'⑫ Roll-out Plan'!$O$90</f>
        <v>0</v>
      </c>
      <c r="CD859" s="36" t="n">
        <f aca="false">CD857*$AC$855*CD858*CD$38*'⑫ Roll-out Plan'!$O$90</f>
        <v>0</v>
      </c>
      <c r="CE859" s="36" t="n">
        <f aca="false">CE857*$AC$855*CE858*CE$38*'⑫ Roll-out Plan'!$O$90</f>
        <v>0</v>
      </c>
      <c r="CF859" s="36" t="n">
        <f aca="false">CF857*$AC$855*CF858*CF$38*'⑫ Roll-out Plan'!$O$90</f>
        <v>0</v>
      </c>
      <c r="CG859" s="36" t="n">
        <f aca="false">CG857*$AC$855*CG858*CG$38*'⑫ Roll-out Plan'!$O$90</f>
        <v>0</v>
      </c>
      <c r="CH859" s="36" t="n">
        <f aca="false">CH857*$AC$855*CH858*CH$38*'⑫ Roll-out Plan'!$O$90</f>
        <v>0</v>
      </c>
      <c r="CI859" s="36" t="n">
        <f aca="false">CI857*$AC$855*CI858*CI$38*'⑫ Roll-out Plan'!$O$90</f>
        <v>0</v>
      </c>
      <c r="CJ859" s="36" t="n">
        <f aca="false">CJ857*$AC$855*CJ858*CJ$38*'⑫ Roll-out Plan'!$O$90</f>
        <v>0</v>
      </c>
      <c r="CK859" s="36" t="n">
        <f aca="false">CK857*$AC$855*CK858*CK$38*'⑫ Roll-out Plan'!$O$90</f>
        <v>0</v>
      </c>
      <c r="CL859" s="36" t="n">
        <f aca="false">CL857*$AC$855*CL858*CL$38*'⑫ Roll-out Plan'!$O$90</f>
        <v>0</v>
      </c>
      <c r="CM859" s="36" t="n">
        <f aca="false">CM857*$AC$855*CM858*CM$38*'⑫ Roll-out Plan'!$O$90</f>
        <v>0</v>
      </c>
      <c r="CN859" s="36" t="n">
        <f aca="false">CN857*$AC$855*CN858*CN$38*'⑫ Roll-out Plan'!$O$90</f>
        <v>0</v>
      </c>
      <c r="CO859" s="36" t="n">
        <f aca="false">CO857*$AC$855*CO858*CO$38*'⑫ Roll-out Plan'!$O$90</f>
        <v>0</v>
      </c>
      <c r="CP859" s="36" t="n">
        <f aca="false">CP857*$AC$855*CP858*CP$38*'⑫ Roll-out Plan'!$O$90</f>
        <v>0</v>
      </c>
      <c r="CQ859" s="36" t="n">
        <f aca="false">CQ857*$AC$855*CQ858*CQ$38*'⑫ Roll-out Plan'!$O$90</f>
        <v>0</v>
      </c>
      <c r="CR859" s="36" t="n">
        <f aca="false">CR857*$AC$855*CR858*CR$38*'⑫ Roll-out Plan'!$O$90</f>
        <v>0</v>
      </c>
      <c r="CS859" s="36" t="n">
        <f aca="false">CS857*$AC$855*CS858*CS$38*'⑫ Roll-out Plan'!$O$90</f>
        <v>0</v>
      </c>
      <c r="CT859" s="36" t="n">
        <f aca="false">CT857*$AC$855*CT858*CT$38*'⑫ Roll-out Plan'!$O$90</f>
        <v>0</v>
      </c>
      <c r="CU859" s="36" t="n">
        <f aca="false">CU857*$AC$855*CU858*CU$38*'⑫ Roll-out Plan'!$O$90</f>
        <v>0</v>
      </c>
      <c r="CV859" s="36" t="n">
        <f aca="false">CV857*$AC$855*CV858*CV$38*'⑫ Roll-out Plan'!$O$90</f>
        <v>0</v>
      </c>
      <c r="CW859" s="36" t="n">
        <f aca="false">CW857*$AC$855*CW858*CW$38*'⑫ Roll-out Plan'!$O$90</f>
        <v>0</v>
      </c>
      <c r="CX859" s="36" t="n">
        <f aca="false">CX857*$AC$855*CX858*CX$38*'⑫ Roll-out Plan'!$O$90</f>
        <v>0</v>
      </c>
      <c r="CY859" s="36" t="n">
        <f aca="false">CY857*$AC$855*CY858*CY$38*'⑫ Roll-out Plan'!$O$90</f>
        <v>0</v>
      </c>
      <c r="CZ859" s="36" t="n">
        <f aca="false">CZ857*$AC$855*CZ858*CZ$38*'⑫ Roll-out Plan'!$O$90</f>
        <v>0</v>
      </c>
      <c r="DA859" s="36" t="n">
        <f aca="false">DA857*$AC$855*DA858*DA$38*'⑫ Roll-out Plan'!$O$90</f>
        <v>0</v>
      </c>
      <c r="DB859" s="36" t="n">
        <f aca="false">DB857*$AC$855*DB858*DB$38*'⑫ Roll-out Plan'!$O$90</f>
        <v>0</v>
      </c>
      <c r="DC859" s="36" t="n">
        <f aca="false">DC857*$AC$855*DC858*DC$38*'⑫ Roll-out Plan'!$O$90</f>
        <v>0</v>
      </c>
      <c r="DD859" s="36" t="n">
        <f aca="false">DD857*$AC$855*DD858*DD$38*'⑫ Roll-out Plan'!$O$90</f>
        <v>0</v>
      </c>
      <c r="DE859" s="36" t="n">
        <f aca="false">DE857*$AC$855*DE858*DE$38*'⑫ Roll-out Plan'!$O$90</f>
        <v>0</v>
      </c>
      <c r="DF859" s="36" t="n">
        <f aca="false">DF857*$AC$855*DF858*DF$38*'⑫ Roll-out Plan'!$O$90</f>
        <v>0</v>
      </c>
      <c r="DG859" s="36" t="n">
        <f aca="false">DG857*$AC$855*DG858*DG$38*'⑫ Roll-out Plan'!$O$90</f>
        <v>0</v>
      </c>
      <c r="DH859" s="36" t="n">
        <f aca="false">DH857*$AC$855*DH858*DH$38*'⑫ Roll-out Plan'!$O$90</f>
        <v>0</v>
      </c>
      <c r="DI859" s="36" t="n">
        <f aca="false">DI857*$AC$855*DI858*DI$38*'⑫ Roll-out Plan'!$O$90</f>
        <v>0</v>
      </c>
      <c r="DJ859" s="36" t="n">
        <f aca="false">DJ857*$AC$855*DJ858*DJ$38*'⑫ Roll-out Plan'!$O$90</f>
        <v>0</v>
      </c>
      <c r="DK859" s="36" t="n">
        <f aca="false">DK857*$AC$855*DK858*DK$38*'⑫ Roll-out Plan'!$O$90</f>
        <v>0</v>
      </c>
      <c r="DL859" s="36" t="n">
        <f aca="false">DL857*$AC$855*DL858*DL$38*'⑫ Roll-out Plan'!$O$90</f>
        <v>0</v>
      </c>
      <c r="DM859" s="36" t="n">
        <f aca="false">DM857*$AC$855*DM858*DM$38*'⑫ Roll-out Plan'!$O$90</f>
        <v>0</v>
      </c>
      <c r="DN859" s="36" t="n">
        <f aca="false">DN857*$AC$855*DN858*DN$38*'⑫ Roll-out Plan'!$O$90</f>
        <v>0</v>
      </c>
      <c r="DO859" s="36" t="n">
        <f aca="false">DO857*$AC$855*DO858*DO$38*'⑫ Roll-out Plan'!$O$90</f>
        <v>0</v>
      </c>
      <c r="DP859" s="36" t="n">
        <f aca="false">DP857*$AC$855*DP858*DP$38*'⑫ Roll-out Plan'!$O$90</f>
        <v>0</v>
      </c>
      <c r="DQ859" s="36" t="n">
        <f aca="false">DQ857*$AC$855*DQ858*DQ$38*'⑫ Roll-out Plan'!$O$90</f>
        <v>0</v>
      </c>
      <c r="DR859" s="36" t="n">
        <f aca="false">DR857*$AC$855*DR858*DR$38*'⑫ Roll-out Plan'!$O$90</f>
        <v>0</v>
      </c>
      <c r="DS859" s="36" t="n">
        <f aca="false">DS857*$AC$855*DS858*DS$38*'⑫ Roll-out Plan'!$O$90</f>
        <v>0</v>
      </c>
      <c r="DT859" s="36" t="n">
        <f aca="false">DT857*$AC$855*DT858*DT$38*'⑫ Roll-out Plan'!$O$90</f>
        <v>0</v>
      </c>
      <c r="DU859" s="36" t="n">
        <f aca="false">DU857*$AC$855*DU858*DU$38*'⑫ Roll-out Plan'!$O$90</f>
        <v>0</v>
      </c>
      <c r="DV859" s="36" t="n">
        <f aca="false">DV857*$AC$855*DV858*DV$38*'⑫ Roll-out Plan'!$O$90</f>
        <v>0</v>
      </c>
      <c r="DW859" s="36" t="n">
        <f aca="false">DW857*$AC$855*DW858*DW$38*'⑫ Roll-out Plan'!$O$90</f>
        <v>0</v>
      </c>
      <c r="DX859" s="36" t="n">
        <f aca="false">DX857*$AC$855*DX858*DX$38*'⑫ Roll-out Plan'!$O$90</f>
        <v>0</v>
      </c>
      <c r="DY859" s="36" t="n">
        <f aca="false">DY857*$AC$855*DY858*DY$38*'⑫ Roll-out Plan'!$O$90</f>
        <v>0</v>
      </c>
      <c r="DZ859" s="36" t="n">
        <f aca="false">DZ857*$AC$855*DZ858*DZ$38*'⑫ Roll-out Plan'!$O$90</f>
        <v>0</v>
      </c>
      <c r="EA859" s="36" t="n">
        <f aca="false">EA857*$AC$855*EA858*EA$38*'⑫ Roll-out Plan'!$O$90</f>
        <v>0</v>
      </c>
      <c r="EB859" s="36" t="n">
        <f aca="false">EB857*$AC$855*EB858*EB$38*'⑫ Roll-out Plan'!$O$90</f>
        <v>0</v>
      </c>
      <c r="EC859" s="36" t="n">
        <f aca="false">EC857*$AC$855*EC858*EC$38*'⑫ Roll-out Plan'!$O$90</f>
        <v>0</v>
      </c>
      <c r="ED859" s="36" t="n">
        <f aca="false">ED857*$AC$855*ED858*ED$38*'⑫ Roll-out Plan'!$O$90</f>
        <v>0</v>
      </c>
      <c r="EE859" s="36" t="n">
        <f aca="false">EE857*$AC$855*EE858*EE$38*'⑫ Roll-out Plan'!$O$90</f>
        <v>0</v>
      </c>
      <c r="EF859" s="36" t="n">
        <f aca="false">EF857*$AC$855*EF858*EF$38*'⑫ Roll-out Plan'!$O$90</f>
        <v>0</v>
      </c>
      <c r="EG859" s="36" t="n">
        <f aca="false">EG857*$AC$855*EG858*EG$38*'⑫ Roll-out Plan'!$O$90</f>
        <v>0</v>
      </c>
      <c r="EH859" s="36" t="n">
        <f aca="false">EH857*$AC$855*EH858*EH$38*'⑫ Roll-out Plan'!$O$90</f>
        <v>0</v>
      </c>
      <c r="EI859" s="36" t="n">
        <f aca="false">EI857*$AC$855*EI858*EI$38*'⑫ Roll-out Plan'!$O$90</f>
        <v>0</v>
      </c>
      <c r="EJ859" s="36" t="n">
        <f aca="false">EJ857*$AC$855*EJ858*EJ$38*'⑫ Roll-out Plan'!$O$90</f>
        <v>0</v>
      </c>
      <c r="EK859" s="36" t="n">
        <f aca="false">EK857*$AC$855*EK858*EK$38*'⑫ Roll-out Plan'!$O$90</f>
        <v>0</v>
      </c>
      <c r="EL859" s="36" t="n">
        <f aca="false">EL857*$AC$855*EL858*EL$38*'⑫ Roll-out Plan'!$O$90</f>
        <v>0</v>
      </c>
      <c r="EM859" s="36" t="n">
        <f aca="false">EM857*$AC$855*EM858*EM$38*'⑫ Roll-out Plan'!$O$90</f>
        <v>0</v>
      </c>
      <c r="EN859" s="36" t="n">
        <f aca="false">EN857*$AC$855*EN858*EN$38*'⑫ Roll-out Plan'!$O$90</f>
        <v>0</v>
      </c>
      <c r="EO859" s="36" t="n">
        <f aca="false">EO857*$AC$855*EO858*EO$38*'⑫ Roll-out Plan'!$O$90</f>
        <v>0</v>
      </c>
      <c r="EP859" s="36" t="n">
        <f aca="false">EP857*$AC$855*EP858*EP$38*'⑫ Roll-out Plan'!$O$90</f>
        <v>0</v>
      </c>
      <c r="EQ859" s="36" t="n">
        <f aca="false">EQ857*$AC$855*EQ858*EQ$38*'⑫ Roll-out Plan'!$O$90</f>
        <v>0</v>
      </c>
      <c r="ER859" s="36" t="n">
        <f aca="false">ER857*$AC$855*ER858*ER$38*'⑫ Roll-out Plan'!$O$90</f>
        <v>0</v>
      </c>
      <c r="ES859" s="9" t="n">
        <f aca="false">ES857*$AC$855*ES858*ES$38*'⑫ Roll-out Plan'!$O$90</f>
        <v>0</v>
      </c>
      <c r="ET859" s="9" t="n">
        <f aca="false">ET857*$AC$855*ET858*ET$38*'⑫ Roll-out Plan'!$O$90</f>
        <v>0</v>
      </c>
      <c r="EU859" s="9" t="n">
        <f aca="false">EU857*$AC$855*EU858*EU$38*'⑫ Roll-out Plan'!$O$90</f>
        <v>0</v>
      </c>
      <c r="EV859" s="9" t="n">
        <f aca="false">EV857*$AC$855*EV858*EV$38*'⑫ Roll-out Plan'!$O$90</f>
        <v>0</v>
      </c>
      <c r="EW859" s="9" t="n">
        <f aca="false">EW857*$AC$855*EW858*EW$38*'⑫ Roll-out Plan'!$O$90</f>
        <v>0</v>
      </c>
      <c r="EX859" s="9" t="n">
        <f aca="false">EX857*$AC$855*EX858*EX$38*'⑫ Roll-out Plan'!$O$90</f>
        <v>0</v>
      </c>
      <c r="EY859" s="9" t="n">
        <f aca="false">EY857*$AC$855*EY858*EY$38*'⑫ Roll-out Plan'!$O$90</f>
        <v>0</v>
      </c>
      <c r="EZ859" s="9" t="n">
        <f aca="false">EZ857*$AC$855*EZ858*EZ$38*'⑫ Roll-out Plan'!$O$90</f>
        <v>0</v>
      </c>
      <c r="FA859" s="9" t="n">
        <f aca="false">FA857*$AC$855*FA858*FA$38*'⑫ Roll-out Plan'!$O$90</f>
        <v>0</v>
      </c>
      <c r="FB859" s="9" t="n">
        <f aca="false">FB857*$AC$855*FB858*FB$38*'⑫ Roll-out Plan'!$O$90</f>
        <v>0</v>
      </c>
      <c r="FC859" s="9" t="n">
        <f aca="false">FC857*$AC$855*FC858*FC$38*'⑫ Roll-out Plan'!$O$90</f>
        <v>0</v>
      </c>
      <c r="FD859" s="9" t="n">
        <f aca="false">FD857*$AC$855*FD858*FD$38*'⑫ Roll-out Plan'!$O$90</f>
        <v>0</v>
      </c>
      <c r="FE859" s="9" t="n">
        <f aca="false">FE857*$AC$855*FE858*FE$38*'⑫ Roll-out Plan'!$O$90</f>
        <v>0</v>
      </c>
      <c r="FF859" s="9" t="n">
        <f aca="false">FF857*$AC$855*FF858*FF$38*'⑫ Roll-out Plan'!$O$90</f>
        <v>0</v>
      </c>
      <c r="FG859" s="9" t="n">
        <f aca="false">FG857*$AC$855*FG858*FG$38*'⑫ Roll-out Plan'!$O$90</f>
        <v>0</v>
      </c>
      <c r="FH859" s="9" t="n">
        <f aca="false">FH857*$AC$855*FH858*FH$38*'⑫ Roll-out Plan'!$O$90</f>
        <v>0</v>
      </c>
      <c r="FI859" s="9" t="n">
        <f aca="false">FI857*$AC$855*FI858*FI$38*'⑫ Roll-out Plan'!$O$90</f>
        <v>0</v>
      </c>
      <c r="FJ859" s="9" t="n">
        <f aca="false">FJ857*$AC$855*FJ858*FJ$38*'⑫ Roll-out Plan'!$O$90</f>
        <v>17.6</v>
      </c>
      <c r="FK859" s="9" t="n">
        <f aca="false">FK857*$AC$855*FK858*FK$38*'⑫ Roll-out Plan'!$O$90</f>
        <v>20.328</v>
      </c>
      <c r="FL859" s="9" t="n">
        <f aca="false">FL857*$AC$855*FL858*FL$38*'⑫ Roll-out Plan'!$O$90</f>
        <v>37.488</v>
      </c>
      <c r="FM859" s="9" t="n">
        <f aca="false">FM857*$AC$855*FM858*FM$38*'⑫ Roll-out Plan'!$O$90</f>
        <v>34.452</v>
      </c>
      <c r="FN859" s="9" t="n">
        <f aca="false">FN857*$AC$855*FN858*FN$38*'⑫ Roll-out Plan'!$O$90</f>
        <v>28.512</v>
      </c>
      <c r="FO859" s="9" t="n">
        <f aca="false">FO857*$AC$855*FO858*FO$38*'⑫ Roll-out Plan'!$O$90</f>
        <v>24.552</v>
      </c>
      <c r="FP859" s="9" t="n">
        <f aca="false">FP857*$AC$855*FP858*FP$38*'⑫ Roll-out Plan'!$O$90</f>
        <v>39.27</v>
      </c>
    </row>
    <row r="860" customFormat="false" ht="15" hidden="false" customHeight="false" outlineLevel="2" collapsed="false">
      <c r="B860" s="9" t="s">
        <v>877</v>
      </c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112" t="n">
        <f aca="true">IFERROR(SUMPRODUCT(OFFSET($BJ$31,0,1-MIN(60,COLUMN()-29),1,MIN(60,COLUMN()-29)),OFFSET(AC859,0,-MIN(60,COLUMN()-29),1,MIN(60,COLUMN()-29))),0)</f>
        <v>0</v>
      </c>
      <c r="AD860" s="112" t="n">
        <f aca="true">IFERROR(SUMPRODUCT(OFFSET($BJ$31,0,1-MIN(60,COLUMN()-29),1,MIN(60,COLUMN()-29)),OFFSET(AD859,0,-MIN(60,COLUMN()-29),1,MIN(60,COLUMN()-29))),0)</f>
        <v>0</v>
      </c>
      <c r="AE860" s="112" t="n">
        <f aca="true">IFERROR(SUMPRODUCT(OFFSET($BJ$31,0,1-MIN(60,COLUMN()-29),1,MIN(60,COLUMN()-29)),OFFSET(AE859,0,-MIN(60,COLUMN()-29),1,MIN(60,COLUMN()-29))),0)</f>
        <v>0</v>
      </c>
      <c r="AF860" s="112" t="n">
        <f aca="true">IFERROR(SUMPRODUCT(OFFSET($BJ$31,0,1-MIN(60,COLUMN()-29),1,MIN(60,COLUMN()-29)),OFFSET(AF859,0,-MIN(60,COLUMN()-29),1,MIN(60,COLUMN()-29))),0)</f>
        <v>0</v>
      </c>
      <c r="AG860" s="112" t="n">
        <f aca="true">IFERROR(SUMPRODUCT(OFFSET($BJ$31,0,1-MIN(60,COLUMN()-29),1,MIN(60,COLUMN()-29)),OFFSET(AG859,0,-MIN(60,COLUMN()-29),1,MIN(60,COLUMN()-29))),0)</f>
        <v>0</v>
      </c>
      <c r="AH860" s="112" t="n">
        <f aca="true">IFERROR(SUMPRODUCT(OFFSET($BJ$31,0,1-MIN(60,COLUMN()-29),1,MIN(60,COLUMN()-29)),OFFSET(AH859,0,-MIN(60,COLUMN()-29),1,MIN(60,COLUMN()-29))),0)</f>
        <v>0</v>
      </c>
      <c r="AI860" s="112" t="n">
        <f aca="true">IFERROR(SUMPRODUCT(OFFSET($BJ$31,0,1-MIN(60,COLUMN()-29),1,MIN(60,COLUMN()-29)),OFFSET(AI859,0,-MIN(60,COLUMN()-29),1,MIN(60,COLUMN()-29))),0)</f>
        <v>0</v>
      </c>
      <c r="AJ860" s="112" t="n">
        <f aca="true">IFERROR(SUMPRODUCT(OFFSET($BJ$31,0,1-MIN(60,COLUMN()-29),1,MIN(60,COLUMN()-29)),OFFSET(AJ859,0,-MIN(60,COLUMN()-29),1,MIN(60,COLUMN()-29))),0)</f>
        <v>0</v>
      </c>
      <c r="AK860" s="112" t="n">
        <f aca="true">IFERROR(SUMPRODUCT(OFFSET($BJ$31,0,1-MIN(60,COLUMN()-29),1,MIN(60,COLUMN()-29)),OFFSET(AK859,0,-MIN(60,COLUMN()-29),1,MIN(60,COLUMN()-29))),0)</f>
        <v>0</v>
      </c>
      <c r="AL860" s="112" t="n">
        <f aca="true">IFERROR(SUMPRODUCT(OFFSET($BJ$31,0,1-MIN(60,COLUMN()-29),1,MIN(60,COLUMN()-29)),OFFSET(AL859,0,-MIN(60,COLUMN()-29),1,MIN(60,COLUMN()-29))),0)</f>
        <v>0</v>
      </c>
      <c r="AM860" s="112" t="n">
        <f aca="true">IFERROR(SUMPRODUCT(OFFSET($BJ$31,0,1-MIN(60,COLUMN()-29),1,MIN(60,COLUMN()-29)),OFFSET(AM859,0,-MIN(60,COLUMN()-29),1,MIN(60,COLUMN()-29))),0)</f>
        <v>0</v>
      </c>
      <c r="AN860" s="239" t="n">
        <f aca="true">IFERROR(SUMPRODUCT(OFFSET($BJ$31,0,1-MIN(60,COLUMN()-29),1,MIN(60,COLUMN()-29)),OFFSET(AN859,0,-MIN(60,COLUMN()-29),1,MIN(60,COLUMN()-29))),0)</f>
        <v>0</v>
      </c>
      <c r="AO860" s="112" t="n">
        <f aca="true">IFERROR(SUMPRODUCT(OFFSET($BJ$31,0,1-MIN(60,COLUMN()-29),1,MIN(60,COLUMN()-29)),OFFSET(AO859,0,-MIN(60,COLUMN()-29),1,MIN(60,COLUMN()-29))),0)</f>
        <v>0</v>
      </c>
      <c r="AP860" s="112" t="n">
        <f aca="true">IFERROR(SUMPRODUCT(OFFSET($BJ$31,0,1-MIN(60,COLUMN()-29),1,MIN(60,COLUMN()-29)),OFFSET(AP859,0,-MIN(60,COLUMN()-29),1,MIN(60,COLUMN()-29))),0)</f>
        <v>0</v>
      </c>
      <c r="AQ860" s="112" t="n">
        <f aca="true">IFERROR(SUMPRODUCT(OFFSET($BJ$31,0,1-MIN(60,COLUMN()-29),1,MIN(60,COLUMN()-29)),OFFSET(AQ859,0,-MIN(60,COLUMN()-29),1,MIN(60,COLUMN()-29))),0)</f>
        <v>0</v>
      </c>
      <c r="AR860" s="112" t="n">
        <f aca="true">IFERROR(SUMPRODUCT(OFFSET($BJ$31,0,1-MIN(60,COLUMN()-29),1,MIN(60,COLUMN()-29)),OFFSET(AR859,0,-MIN(60,COLUMN()-29),1,MIN(60,COLUMN()-29))),0)</f>
        <v>0</v>
      </c>
      <c r="AS860" s="112" t="n">
        <f aca="true">IFERROR(SUMPRODUCT(OFFSET($BJ$31,0,1-MIN(60,COLUMN()-29),1,MIN(60,COLUMN()-29)),OFFSET(AS859,0,-MIN(60,COLUMN()-29),1,MIN(60,COLUMN()-29))),0)</f>
        <v>0</v>
      </c>
      <c r="AT860" s="112" t="n">
        <f aca="true">IFERROR(SUMPRODUCT(OFFSET($BJ$31,0,1-MIN(60,COLUMN()-29),1,MIN(60,COLUMN()-29)),OFFSET(AT859,0,-MIN(60,COLUMN()-29),1,MIN(60,COLUMN()-29))),0)</f>
        <v>0</v>
      </c>
      <c r="AU860" s="112" t="n">
        <f aca="true">IFERROR(SUMPRODUCT(OFFSET($BJ$31,0,1-MIN(60,COLUMN()-29),1,MIN(60,COLUMN()-29)),OFFSET(AU859,0,-MIN(60,COLUMN()-29),1,MIN(60,COLUMN()-29))),0)</f>
        <v>0</v>
      </c>
      <c r="AV860" s="112" t="n">
        <f aca="true">IFERROR(SUMPRODUCT(OFFSET($BJ$31,0,1-MIN(60,COLUMN()-29),1,MIN(60,COLUMN()-29)),OFFSET(AV859,0,-MIN(60,COLUMN()-29),1,MIN(60,COLUMN()-29))),0)</f>
        <v>0</v>
      </c>
      <c r="AW860" s="112" t="n">
        <f aca="true">IFERROR(SUMPRODUCT(OFFSET($BJ$31,0,1-MIN(60,COLUMN()-29),1,MIN(60,COLUMN()-29)),OFFSET(AW859,0,-MIN(60,COLUMN()-29),1,MIN(60,COLUMN()-29))),0)</f>
        <v>0</v>
      </c>
      <c r="AX860" s="112" t="n">
        <f aca="true">IFERROR(SUMPRODUCT(OFFSET($BJ$31,0,1-MIN(60,COLUMN()-29),1,MIN(60,COLUMN()-29)),OFFSET(AX859,0,-MIN(60,COLUMN()-29),1,MIN(60,COLUMN()-29))),0)</f>
        <v>0</v>
      </c>
      <c r="AY860" s="112" t="n">
        <f aca="true">IFERROR(SUMPRODUCT(OFFSET($BJ$31,0,1-MIN(60,COLUMN()-29),1,MIN(60,COLUMN()-29)),OFFSET(AY859,0,-MIN(60,COLUMN()-29),1,MIN(60,COLUMN()-29))),0)</f>
        <v>0</v>
      </c>
      <c r="AZ860" s="112" t="n">
        <f aca="true">IFERROR(SUMPRODUCT(OFFSET($BJ$31,0,1-MIN(60,COLUMN()-29),1,MIN(60,COLUMN()-29)),OFFSET(AZ859,0,-MIN(60,COLUMN()-29),1,MIN(60,COLUMN()-29))),0)</f>
        <v>0</v>
      </c>
      <c r="BA860" s="112" t="n">
        <f aca="true">IFERROR(SUMPRODUCT(OFFSET($BJ$31,0,1-MIN(60,COLUMN()-29),1,MIN(60,COLUMN()-29)),OFFSET(BA859,0,-MIN(60,COLUMN()-29),1,MIN(60,COLUMN()-29))),0)</f>
        <v>0</v>
      </c>
      <c r="BB860" s="112" t="n">
        <f aca="true">IFERROR(SUMPRODUCT(OFFSET($BJ$31,0,1-MIN(60,COLUMN()-29),1,MIN(60,COLUMN()-29)),OFFSET(BB859,0,-MIN(60,COLUMN()-29),1,MIN(60,COLUMN()-29))),0)</f>
        <v>0</v>
      </c>
      <c r="BC860" s="112" t="n">
        <f aca="true">IFERROR(SUMPRODUCT(OFFSET($BJ$31,0,1-MIN(60,COLUMN()-29),1,MIN(60,COLUMN()-29)),OFFSET(BC859,0,-MIN(60,COLUMN()-29),1,MIN(60,COLUMN()-29))),0)</f>
        <v>0</v>
      </c>
      <c r="BD860" s="112" t="n">
        <f aca="true">IFERROR(SUMPRODUCT(OFFSET($BJ$31,0,1-MIN(60,COLUMN()-29),1,MIN(60,COLUMN()-29)),OFFSET(BD859,0,-MIN(60,COLUMN()-29),1,MIN(60,COLUMN()-29))),0)</f>
        <v>0</v>
      </c>
      <c r="BE860" s="112" t="n">
        <f aca="true">IFERROR(SUMPRODUCT(OFFSET($BJ$31,0,1-MIN(60,COLUMN()-29),1,MIN(60,COLUMN()-29)),OFFSET(BE859,0,-MIN(60,COLUMN()-29),1,MIN(60,COLUMN()-29))),0)</f>
        <v>0</v>
      </c>
      <c r="BF860" s="112" t="n">
        <f aca="true">IFERROR(SUMPRODUCT(OFFSET($BJ$31,0,1-MIN(60,COLUMN()-29),1,MIN(60,COLUMN()-29)),OFFSET(BF859,0,-MIN(60,COLUMN()-29),1,MIN(60,COLUMN()-29))),0)</f>
        <v>0</v>
      </c>
      <c r="BG860" s="112" t="n">
        <f aca="true">IFERROR(SUMPRODUCT(OFFSET($BJ$31,0,1-MIN(60,COLUMN()-29),1,MIN(60,COLUMN()-29)),OFFSET(BG859,0,-MIN(60,COLUMN()-29),1,MIN(60,COLUMN()-29))),0)</f>
        <v>0</v>
      </c>
      <c r="BH860" s="112" t="n">
        <f aca="true">IFERROR(SUMPRODUCT(OFFSET($BJ$31,0,1-MIN(60,COLUMN()-29),1,MIN(60,COLUMN()-29)),OFFSET(BH859,0,-MIN(60,COLUMN()-29),1,MIN(60,COLUMN()-29))),0)</f>
        <v>0</v>
      </c>
      <c r="BI860" s="112" t="n">
        <f aca="true">IFERROR(SUMPRODUCT(OFFSET($BJ$31,0,1-MIN(60,COLUMN()-29),1,MIN(60,COLUMN()-29)),OFFSET(BI859,0,-MIN(60,COLUMN()-29),1,MIN(60,COLUMN()-29))),0)</f>
        <v>0</v>
      </c>
      <c r="BJ860" s="112" t="n">
        <f aca="true">IFERROR(SUMPRODUCT(OFFSET($BJ$31,0,1-MIN(60,COLUMN()-29),1,MIN(60,COLUMN()-29)),OFFSET(BJ859,0,-MIN(60,COLUMN()-29),1,MIN(60,COLUMN()-29))),0)</f>
        <v>0</v>
      </c>
      <c r="BK860" s="112" t="n">
        <f aca="true">IFERROR(SUMPRODUCT(OFFSET($BJ$31,0,1-MIN(60,COLUMN()-29),1,MIN(60,COLUMN()-29)),OFFSET(BK859,0,-MIN(60,COLUMN()-29),1,MIN(60,COLUMN()-29))),0)</f>
        <v>0</v>
      </c>
      <c r="BL860" s="112" t="n">
        <f aca="true">IFERROR(SUMPRODUCT(OFFSET($BJ$31,0,1-MIN(60,COLUMN()-29),1,MIN(60,COLUMN()-29)),OFFSET(BL859,0,-MIN(60,COLUMN()-29),1,MIN(60,COLUMN()-29))),0)</f>
        <v>0</v>
      </c>
      <c r="BM860" s="112" t="n">
        <f aca="true">IFERROR(SUMPRODUCT(OFFSET($BJ$31,0,1-MIN(60,COLUMN()-29),1,MIN(60,COLUMN()-29)),OFFSET(BM859,0,-MIN(60,COLUMN()-29),1,MIN(60,COLUMN()-29))),0)</f>
        <v>0</v>
      </c>
      <c r="BN860" s="112" t="n">
        <f aca="true">IFERROR(SUMPRODUCT(OFFSET($BJ$31,0,1-MIN(60,COLUMN()-29),1,MIN(60,COLUMN()-29)),OFFSET(BN859,0,-MIN(60,COLUMN()-29),1,MIN(60,COLUMN()-29))),0)</f>
        <v>0</v>
      </c>
      <c r="BO860" s="112" t="n">
        <f aca="true">IFERROR(SUMPRODUCT(OFFSET($BJ$31,0,1-MIN(60,COLUMN()-29),1,MIN(60,COLUMN()-29)),OFFSET(BO859,0,-MIN(60,COLUMN()-29),1,MIN(60,COLUMN()-29))),0)</f>
        <v>0</v>
      </c>
      <c r="BP860" s="112" t="n">
        <f aca="true">IFERROR(SUMPRODUCT(OFFSET($BJ$31,0,1-MIN(60,COLUMN()-29),1,MIN(60,COLUMN()-29)),OFFSET(BP859,0,-MIN(60,COLUMN()-29),1,MIN(60,COLUMN()-29))),0)</f>
        <v>0</v>
      </c>
      <c r="BQ860" s="112" t="n">
        <f aca="true">IFERROR(SUMPRODUCT(OFFSET($BJ$31,0,1-MIN(60,COLUMN()-29),1,MIN(60,COLUMN()-29)),OFFSET(BQ859,0,-MIN(60,COLUMN()-29),1,MIN(60,COLUMN()-29))),0)</f>
        <v>0</v>
      </c>
      <c r="BR860" s="112" t="n">
        <f aca="true">IFERROR(SUMPRODUCT(OFFSET($BJ$31,0,1-MIN(60,COLUMN()-29),1,MIN(60,COLUMN()-29)),OFFSET(BR859,0,-MIN(60,COLUMN()-29),1,MIN(60,COLUMN()-29))),0)</f>
        <v>0</v>
      </c>
      <c r="BS860" s="112" t="n">
        <f aca="true">IFERROR(SUMPRODUCT(OFFSET($BJ$31,0,1-MIN(60,COLUMN()-29),1,MIN(60,COLUMN()-29)),OFFSET(BS859,0,-MIN(60,COLUMN()-29),1,MIN(60,COLUMN()-29))),0)</f>
        <v>0</v>
      </c>
      <c r="BT860" s="112" t="n">
        <f aca="true">IFERROR(SUMPRODUCT(OFFSET($BJ$31,0,1-MIN(60,COLUMN()-29),1,MIN(60,COLUMN()-29)),OFFSET(BT859,0,-MIN(60,COLUMN()-29),1,MIN(60,COLUMN()-29))),0)</f>
        <v>0</v>
      </c>
      <c r="BU860" s="112" t="n">
        <f aca="true">IFERROR(SUMPRODUCT(OFFSET($BJ$31,0,1-MIN(60,COLUMN()-29),1,MIN(60,COLUMN()-29)),OFFSET(BU859,0,-MIN(60,COLUMN()-29),1,MIN(60,COLUMN()-29))),0)</f>
        <v>0</v>
      </c>
      <c r="BV860" s="112" t="n">
        <f aca="true">IFERROR(SUMPRODUCT(OFFSET($BJ$31,0,1-MIN(60,COLUMN()-29),1,MIN(60,COLUMN()-29)),OFFSET(BV859,0,-MIN(60,COLUMN()-29),1,MIN(60,COLUMN()-29))),0)</f>
        <v>0</v>
      </c>
      <c r="BW860" s="112" t="n">
        <f aca="true">IFERROR(SUMPRODUCT(OFFSET($BJ$31,0,1-MIN(60,COLUMN()-29),1,MIN(60,COLUMN()-29)),OFFSET(BW859,0,-MIN(60,COLUMN()-29),1,MIN(60,COLUMN()-29))),0)</f>
        <v>0</v>
      </c>
      <c r="BX860" s="112" t="n">
        <f aca="true">IFERROR(SUMPRODUCT(OFFSET($BJ$31,0,1-MIN(60,COLUMN()-29),1,MIN(60,COLUMN()-29)),OFFSET(BX859,0,-MIN(60,COLUMN()-29),1,MIN(60,COLUMN()-29))),0)</f>
        <v>0</v>
      </c>
      <c r="BY860" s="112" t="n">
        <f aca="true">IFERROR(SUMPRODUCT(OFFSET($BJ$31,0,1-MIN(60,COLUMN()-29),1,MIN(60,COLUMN()-29)),OFFSET(BY859,0,-MIN(60,COLUMN()-29),1,MIN(60,COLUMN()-29))),0)</f>
        <v>0</v>
      </c>
      <c r="BZ860" s="112" t="n">
        <f aca="true">IFERROR(SUMPRODUCT(OFFSET($BJ$31,0,1-MIN(60,COLUMN()-29),1,MIN(60,COLUMN()-29)),OFFSET(BZ859,0,-MIN(60,COLUMN()-29),1,MIN(60,COLUMN()-29))),0)</f>
        <v>0</v>
      </c>
      <c r="CA860" s="112" t="n">
        <f aca="true">IFERROR(SUMPRODUCT(OFFSET($BJ$31,0,1-MIN(60,COLUMN()-29),1,MIN(60,COLUMN()-29)),OFFSET(CA859,0,-MIN(60,COLUMN()-29),1,MIN(60,COLUMN()-29))),0)</f>
        <v>0</v>
      </c>
      <c r="CB860" s="112" t="n">
        <f aca="true">IFERROR(SUMPRODUCT(OFFSET($BJ$31,0,1-MIN(60,COLUMN()-29),1,MIN(60,COLUMN()-29)),OFFSET(CB859,0,-MIN(60,COLUMN()-29),1,MIN(60,COLUMN()-29))),0)</f>
        <v>0</v>
      </c>
      <c r="CC860" s="112" t="n">
        <f aca="true">IFERROR(SUMPRODUCT(OFFSET($BJ$31,0,1-MIN(60,COLUMN()-29),1,MIN(60,COLUMN()-29)),OFFSET(CC859,0,-MIN(60,COLUMN()-29),1,MIN(60,COLUMN()-29))),0)</f>
        <v>0</v>
      </c>
      <c r="CD860" s="112" t="n">
        <f aca="true">IFERROR(SUMPRODUCT(OFFSET($BJ$31,0,1-MIN(60,COLUMN()-29),1,MIN(60,COLUMN()-29)),OFFSET(CD859,0,-MIN(60,COLUMN()-29),1,MIN(60,COLUMN()-29))),0)</f>
        <v>0</v>
      </c>
      <c r="CE860" s="112" t="n">
        <f aca="true">IFERROR(SUMPRODUCT(OFFSET($BJ$31,0,1-MIN(60,COLUMN()-29),1,MIN(60,COLUMN()-29)),OFFSET(CE859,0,-MIN(60,COLUMN()-29),1,MIN(60,COLUMN()-29))),0)</f>
        <v>0</v>
      </c>
      <c r="CF860" s="112" t="n">
        <f aca="true">IFERROR(SUMPRODUCT(OFFSET($BJ$31,0,1-MIN(60,COLUMN()-29),1,MIN(60,COLUMN()-29)),OFFSET(CF859,0,-MIN(60,COLUMN()-29),1,MIN(60,COLUMN()-29))),0)</f>
        <v>0</v>
      </c>
      <c r="CG860" s="112" t="n">
        <f aca="true">IFERROR(SUMPRODUCT(OFFSET($BJ$31,0,1-MIN(60,COLUMN()-29),1,MIN(60,COLUMN()-29)),OFFSET(CG859,0,-MIN(60,COLUMN()-29),1,MIN(60,COLUMN()-29))),0)</f>
        <v>0</v>
      </c>
      <c r="CH860" s="112" t="n">
        <f aca="true">IFERROR(SUMPRODUCT(OFFSET($BJ$31,0,1-MIN(60,COLUMN()-29),1,MIN(60,COLUMN()-29)),OFFSET(CH859,0,-MIN(60,COLUMN()-29),1,MIN(60,COLUMN()-29))),0)</f>
        <v>0</v>
      </c>
      <c r="CI860" s="112" t="n">
        <f aca="true">IFERROR(SUMPRODUCT(OFFSET($BJ$31,0,1-MIN(60,COLUMN()-29),1,MIN(60,COLUMN()-29)),OFFSET(CI859,0,-MIN(60,COLUMN()-29),1,MIN(60,COLUMN()-29))),0)</f>
        <v>0</v>
      </c>
      <c r="CJ860" s="112" t="n">
        <f aca="true">IFERROR(SUMPRODUCT(OFFSET($BJ$31,0,1-MIN(60,COLUMN()-29),1,MIN(60,COLUMN()-29)),OFFSET(CJ859,0,-MIN(60,COLUMN()-29),1,MIN(60,COLUMN()-29))),0)</f>
        <v>0</v>
      </c>
      <c r="CK860" s="112" t="n">
        <f aca="true">IFERROR(SUMPRODUCT(OFFSET($BJ$31,0,1-MIN(60,COLUMN()-29),1,MIN(60,COLUMN()-29)),OFFSET(CK859,0,-MIN(60,COLUMN()-29),1,MIN(60,COLUMN()-29))),0)</f>
        <v>0</v>
      </c>
      <c r="CL860" s="112" t="n">
        <f aca="true">IFERROR(SUMPRODUCT(OFFSET($BJ$31,0,1-MIN(60,COLUMN()-29),1,MIN(60,COLUMN()-29)),OFFSET(CL859,0,-MIN(60,COLUMN()-29),1,MIN(60,COLUMN()-29))),0)</f>
        <v>0</v>
      </c>
      <c r="CM860" s="112" t="n">
        <f aca="true">IFERROR(SUMPRODUCT(OFFSET($BJ$31,0,1-MIN(60,COLUMN()-29),1,MIN(60,COLUMN()-29)),OFFSET(CM859,0,-MIN(60,COLUMN()-29),1,MIN(60,COLUMN()-29))),0)</f>
        <v>0</v>
      </c>
      <c r="CN860" s="112" t="n">
        <f aca="true">IFERROR(SUMPRODUCT(OFFSET($BJ$31,0,1-MIN(60,COLUMN()-29),1,MIN(60,COLUMN()-29)),OFFSET(CN859,0,-MIN(60,COLUMN()-29),1,MIN(60,COLUMN()-29))),0)</f>
        <v>0</v>
      </c>
      <c r="CO860" s="112" t="n">
        <f aca="true">IFERROR(SUMPRODUCT(OFFSET($BJ$31,0,1-MIN(60,COLUMN()-29),1,MIN(60,COLUMN()-29)),OFFSET(CO859,0,-MIN(60,COLUMN()-29),1,MIN(60,COLUMN()-29))),0)</f>
        <v>0</v>
      </c>
      <c r="CP860" s="112" t="n">
        <f aca="true">IFERROR(SUMPRODUCT(OFFSET($BJ$31,0,1-MIN(60,COLUMN()-29),1,MIN(60,COLUMN()-29)),OFFSET(CP859,0,-MIN(60,COLUMN()-29),1,MIN(60,COLUMN()-29))),0)</f>
        <v>0</v>
      </c>
      <c r="CQ860" s="112" t="n">
        <f aca="true">IFERROR(SUMPRODUCT(OFFSET($BJ$31,0,1-MIN(60,COLUMN()-29),1,MIN(60,COLUMN()-29)),OFFSET(CQ859,0,-MIN(60,COLUMN()-29),1,MIN(60,COLUMN()-29))),0)</f>
        <v>0</v>
      </c>
      <c r="CR860" s="112" t="n">
        <f aca="true">IFERROR(SUMPRODUCT(OFFSET($BJ$31,0,1-MIN(60,COLUMN()-29),1,MIN(60,COLUMN()-29)),OFFSET(CR859,0,-MIN(60,COLUMN()-29),1,MIN(60,COLUMN()-29))),0)</f>
        <v>0</v>
      </c>
      <c r="CS860" s="112" t="n">
        <f aca="true">IFERROR(SUMPRODUCT(OFFSET($BJ$31,0,1-MIN(60,COLUMN()-29),1,MIN(60,COLUMN()-29)),OFFSET(CS859,0,-MIN(60,COLUMN()-29),1,MIN(60,COLUMN()-29))),0)</f>
        <v>0</v>
      </c>
      <c r="CT860" s="112" t="n">
        <f aca="true">IFERROR(SUMPRODUCT(OFFSET($BJ$31,0,1-MIN(60,COLUMN()-29),1,MIN(60,COLUMN()-29)),OFFSET(CT859,0,-MIN(60,COLUMN()-29),1,MIN(60,COLUMN()-29))),0)</f>
        <v>0</v>
      </c>
      <c r="CU860" s="112" t="n">
        <f aca="true">IFERROR(SUMPRODUCT(OFFSET($BJ$31,0,1-MIN(60,COLUMN()-29),1,MIN(60,COLUMN()-29)),OFFSET(CU859,0,-MIN(60,COLUMN()-29),1,MIN(60,COLUMN()-29))),0)</f>
        <v>0</v>
      </c>
      <c r="CV860" s="112" t="n">
        <f aca="true">IFERROR(SUMPRODUCT(OFFSET($BJ$31,0,1-MIN(60,COLUMN()-29),1,MIN(60,COLUMN()-29)),OFFSET(CV859,0,-MIN(60,COLUMN()-29),1,MIN(60,COLUMN()-29))),0)</f>
        <v>0</v>
      </c>
      <c r="CW860" s="112" t="n">
        <f aca="true">IFERROR(SUMPRODUCT(OFFSET($BJ$31,0,1-MIN(60,COLUMN()-29),1,MIN(60,COLUMN()-29)),OFFSET(CW859,0,-MIN(60,COLUMN()-29),1,MIN(60,COLUMN()-29))),0)</f>
        <v>0</v>
      </c>
      <c r="CX860" s="112" t="n">
        <f aca="true">IFERROR(SUMPRODUCT(OFFSET($BJ$31,0,1-MIN(60,COLUMN()-29),1,MIN(60,COLUMN()-29)),OFFSET(CX859,0,-MIN(60,COLUMN()-29),1,MIN(60,COLUMN()-29))),0)</f>
        <v>0</v>
      </c>
      <c r="CY860" s="112" t="n">
        <f aca="true">IFERROR(SUMPRODUCT(OFFSET($BJ$31,0,1-MIN(60,COLUMN()-29),1,MIN(60,COLUMN()-29)),OFFSET(CY859,0,-MIN(60,COLUMN()-29),1,MIN(60,COLUMN()-29))),0)</f>
        <v>0</v>
      </c>
      <c r="CZ860" s="112" t="n">
        <f aca="true">IFERROR(SUMPRODUCT(OFFSET($BJ$31,0,1-MIN(60,COLUMN()-29),1,MIN(60,COLUMN()-29)),OFFSET(CZ859,0,-MIN(60,COLUMN()-29),1,MIN(60,COLUMN()-29))),0)</f>
        <v>0</v>
      </c>
      <c r="DA860" s="112" t="n">
        <f aca="true">IFERROR(SUMPRODUCT(OFFSET($BJ$31,0,1-MIN(60,COLUMN()-29),1,MIN(60,COLUMN()-29)),OFFSET(DA859,0,-MIN(60,COLUMN()-29),1,MIN(60,COLUMN()-29))),0)</f>
        <v>0</v>
      </c>
      <c r="DB860" s="112" t="n">
        <f aca="true">IFERROR(SUMPRODUCT(OFFSET($BJ$31,0,1-MIN(60,COLUMN()-29),1,MIN(60,COLUMN()-29)),OFFSET(DB859,0,-MIN(60,COLUMN()-29),1,MIN(60,COLUMN()-29))),0)</f>
        <v>0</v>
      </c>
      <c r="DC860" s="112" t="n">
        <f aca="true">IFERROR(SUMPRODUCT(OFFSET($BJ$31,0,1-MIN(60,COLUMN()-29),1,MIN(60,COLUMN()-29)),OFFSET(DC859,0,-MIN(60,COLUMN()-29),1,MIN(60,COLUMN()-29))),0)</f>
        <v>0</v>
      </c>
      <c r="DD860" s="112" t="n">
        <f aca="true">IFERROR(SUMPRODUCT(OFFSET($BJ$31,0,1-MIN(60,COLUMN()-29),1,MIN(60,COLUMN()-29)),OFFSET(DD859,0,-MIN(60,COLUMN()-29),1,MIN(60,COLUMN()-29))),0)</f>
        <v>0</v>
      </c>
      <c r="DE860" s="112" t="n">
        <f aca="true">IFERROR(SUMPRODUCT(OFFSET($BJ$31,0,1-MIN(60,COLUMN()-29),1,MIN(60,COLUMN()-29)),OFFSET(DE859,0,-MIN(60,COLUMN()-29),1,MIN(60,COLUMN()-29))),0)</f>
        <v>0</v>
      </c>
      <c r="DF860" s="112" t="n">
        <f aca="true">IFERROR(SUMPRODUCT(OFFSET($BJ$31,0,1-MIN(60,COLUMN()-29),1,MIN(60,COLUMN()-29)),OFFSET(DF859,0,-MIN(60,COLUMN()-29),1,MIN(60,COLUMN()-29))),0)</f>
        <v>0</v>
      </c>
      <c r="DG860" s="112" t="n">
        <f aca="true">IFERROR(SUMPRODUCT(OFFSET($BJ$31,0,1-MIN(60,COLUMN()-29),1,MIN(60,COLUMN()-29)),OFFSET(DG859,0,-MIN(60,COLUMN()-29),1,MIN(60,COLUMN()-29))),0)</f>
        <v>0</v>
      </c>
      <c r="DH860" s="112" t="n">
        <f aca="true">IFERROR(SUMPRODUCT(OFFSET($BJ$31,0,1-MIN(60,COLUMN()-29),1,MIN(60,COLUMN()-29)),OFFSET(DH859,0,-MIN(60,COLUMN()-29),1,MIN(60,COLUMN()-29))),0)</f>
        <v>0</v>
      </c>
      <c r="DI860" s="112" t="n">
        <f aca="true">IFERROR(SUMPRODUCT(OFFSET($BJ$31,0,1-MIN(60,COLUMN()-29),1,MIN(60,COLUMN()-29)),OFFSET(DI859,0,-MIN(60,COLUMN()-29),1,MIN(60,COLUMN()-29))),0)</f>
        <v>0</v>
      </c>
      <c r="DJ860" s="112" t="n">
        <f aca="true">IFERROR(SUMPRODUCT(OFFSET($BJ$31,0,1-MIN(60,COLUMN()-29),1,MIN(60,COLUMN()-29)),OFFSET(DJ859,0,-MIN(60,COLUMN()-29),1,MIN(60,COLUMN()-29))),0)</f>
        <v>0</v>
      </c>
      <c r="DK860" s="112" t="n">
        <f aca="true">IFERROR(SUMPRODUCT(OFFSET($BJ$31,0,1-MIN(60,COLUMN()-29),1,MIN(60,COLUMN()-29)),OFFSET(DK859,0,-MIN(60,COLUMN()-29),1,MIN(60,COLUMN()-29))),0)</f>
        <v>0</v>
      </c>
      <c r="DL860" s="112" t="n">
        <f aca="true">IFERROR(SUMPRODUCT(OFFSET($BJ$31,0,1-MIN(60,COLUMN()-29),1,MIN(60,COLUMN()-29)),OFFSET(DL859,0,-MIN(60,COLUMN()-29),1,MIN(60,COLUMN()-29))),0)</f>
        <v>0</v>
      </c>
      <c r="DM860" s="112" t="n">
        <f aca="true">IFERROR(SUMPRODUCT(OFFSET($BJ$31,0,1-MIN(60,COLUMN()-29),1,MIN(60,COLUMN()-29)),OFFSET(DM859,0,-MIN(60,COLUMN()-29),1,MIN(60,COLUMN()-29))),0)</f>
        <v>0</v>
      </c>
      <c r="DN860" s="112" t="n">
        <f aca="true">IFERROR(SUMPRODUCT(OFFSET($BJ$31,0,1-MIN(60,COLUMN()-29),1,MIN(60,COLUMN()-29)),OFFSET(DN859,0,-MIN(60,COLUMN()-29),1,MIN(60,COLUMN()-29))),0)</f>
        <v>0</v>
      </c>
      <c r="DO860" s="112" t="n">
        <f aca="true">IFERROR(SUMPRODUCT(OFFSET($BJ$31,0,1-MIN(60,COLUMN()-29),1,MIN(60,COLUMN()-29)),OFFSET(DO859,0,-MIN(60,COLUMN()-29),1,MIN(60,COLUMN()-29))),0)</f>
        <v>0</v>
      </c>
      <c r="DP860" s="112" t="n">
        <f aca="true">IFERROR(SUMPRODUCT(OFFSET($BJ$31,0,1-MIN(60,COLUMN()-29),1,MIN(60,COLUMN()-29)),OFFSET(DP859,0,-MIN(60,COLUMN()-29),1,MIN(60,COLUMN()-29))),0)</f>
        <v>0</v>
      </c>
      <c r="DQ860" s="112" t="n">
        <f aca="true">IFERROR(SUMPRODUCT(OFFSET($BJ$31,0,1-MIN(60,COLUMN()-29),1,MIN(60,COLUMN()-29)),OFFSET(DQ859,0,-MIN(60,COLUMN()-29),1,MIN(60,COLUMN()-29))),0)</f>
        <v>0</v>
      </c>
      <c r="DR860" s="112" t="n">
        <f aca="true">IFERROR(SUMPRODUCT(OFFSET($BJ$31,0,1-MIN(60,COLUMN()-29),1,MIN(60,COLUMN()-29)),OFFSET(DR859,0,-MIN(60,COLUMN()-29),1,MIN(60,COLUMN()-29))),0)</f>
        <v>0</v>
      </c>
      <c r="DS860" s="112" t="n">
        <f aca="true">IFERROR(SUMPRODUCT(OFFSET($BJ$31,0,1-MIN(60,COLUMN()-29),1,MIN(60,COLUMN()-29)),OFFSET(DS859,0,-MIN(60,COLUMN()-29),1,MIN(60,COLUMN()-29))),0)</f>
        <v>0</v>
      </c>
      <c r="DT860" s="112" t="n">
        <f aca="true">IFERROR(SUMPRODUCT(OFFSET($BJ$31,0,1-MIN(60,COLUMN()-29),1,MIN(60,COLUMN()-29)),OFFSET(DT859,0,-MIN(60,COLUMN()-29),1,MIN(60,COLUMN()-29))),0)</f>
        <v>0</v>
      </c>
      <c r="DU860" s="112" t="n">
        <f aca="true">IFERROR(SUMPRODUCT(OFFSET($BJ$31,0,1-MIN(60,COLUMN()-29),1,MIN(60,COLUMN()-29)),OFFSET(DU859,0,-MIN(60,COLUMN()-29),1,MIN(60,COLUMN()-29))),0)</f>
        <v>0</v>
      </c>
      <c r="DV860" s="112" t="n">
        <f aca="true">IFERROR(SUMPRODUCT(OFFSET($BJ$31,0,1-MIN(60,COLUMN()-29),1,MIN(60,COLUMN()-29)),OFFSET(DV859,0,-MIN(60,COLUMN()-29),1,MIN(60,COLUMN()-29))),0)</f>
        <v>0</v>
      </c>
      <c r="DW860" s="112" t="n">
        <f aca="true">IFERROR(SUMPRODUCT(OFFSET($BJ$31,0,1-MIN(60,COLUMN()-29),1,MIN(60,COLUMN()-29)),OFFSET(DW859,0,-MIN(60,COLUMN()-29),1,MIN(60,COLUMN()-29))),0)</f>
        <v>0</v>
      </c>
      <c r="DX860" s="112" t="n">
        <f aca="true">IFERROR(SUMPRODUCT(OFFSET($BJ$31,0,1-MIN(60,COLUMN()-29),1,MIN(60,COLUMN()-29)),OFFSET(DX859,0,-MIN(60,COLUMN()-29),1,MIN(60,COLUMN()-29))),0)</f>
        <v>0</v>
      </c>
      <c r="DY860" s="112" t="n">
        <f aca="true">IFERROR(SUMPRODUCT(OFFSET($BJ$31,0,1-MIN(60,COLUMN()-29),1,MIN(60,COLUMN()-29)),OFFSET(DY859,0,-MIN(60,COLUMN()-29),1,MIN(60,COLUMN()-29))),0)</f>
        <v>0</v>
      </c>
      <c r="DZ860" s="112" t="n">
        <f aca="true">IFERROR(SUMPRODUCT(OFFSET($BJ$31,0,1-MIN(60,COLUMN()-29),1,MIN(60,COLUMN()-29)),OFFSET(DZ859,0,-MIN(60,COLUMN()-29),1,MIN(60,COLUMN()-29))),0)</f>
        <v>0</v>
      </c>
      <c r="EA860" s="112" t="n">
        <f aca="true">IFERROR(SUMPRODUCT(OFFSET($BJ$31,0,1-MIN(60,COLUMN()-29),1,MIN(60,COLUMN()-29)),OFFSET(EA859,0,-MIN(60,COLUMN()-29),1,MIN(60,COLUMN()-29))),0)</f>
        <v>0</v>
      </c>
      <c r="EB860" s="112" t="n">
        <f aca="true">IFERROR(SUMPRODUCT(OFFSET($BJ$31,0,1-MIN(60,COLUMN()-29),1,MIN(60,COLUMN()-29)),OFFSET(EB859,0,-MIN(60,COLUMN()-29),1,MIN(60,COLUMN()-29))),0)</f>
        <v>0</v>
      </c>
      <c r="EC860" s="112" t="n">
        <f aca="true">IFERROR(SUMPRODUCT(OFFSET($BJ$31,0,1-MIN(60,COLUMN()-29),1,MIN(60,COLUMN()-29)),OFFSET(EC859,0,-MIN(60,COLUMN()-29),1,MIN(60,COLUMN()-29))),0)</f>
        <v>0</v>
      </c>
      <c r="ED860" s="112" t="n">
        <f aca="true">IFERROR(SUMPRODUCT(OFFSET($BJ$31,0,1-MIN(60,COLUMN()-29),1,MIN(60,COLUMN()-29)),OFFSET(ED859,0,-MIN(60,COLUMN()-29),1,MIN(60,COLUMN()-29))),0)</f>
        <v>0</v>
      </c>
      <c r="EE860" s="112" t="n">
        <f aca="true">IFERROR(SUMPRODUCT(OFFSET($BJ$31,0,1-MIN(60,COLUMN()-29),1,MIN(60,COLUMN()-29)),OFFSET(EE859,0,-MIN(60,COLUMN()-29),1,MIN(60,COLUMN()-29))),0)</f>
        <v>0</v>
      </c>
      <c r="EF860" s="112" t="n">
        <f aca="true">IFERROR(SUMPRODUCT(OFFSET($BJ$31,0,1-MIN(60,COLUMN()-29),1,MIN(60,COLUMN()-29)),OFFSET(EF859,0,-MIN(60,COLUMN()-29),1,MIN(60,COLUMN()-29))),0)</f>
        <v>0</v>
      </c>
      <c r="EG860" s="112" t="n">
        <f aca="true">IFERROR(SUMPRODUCT(OFFSET($BJ$31,0,1-MIN(60,COLUMN()-29),1,MIN(60,COLUMN()-29)),OFFSET(EG859,0,-MIN(60,COLUMN()-29),1,MIN(60,COLUMN()-29))),0)</f>
        <v>0</v>
      </c>
      <c r="EH860" s="112" t="n">
        <f aca="true">IFERROR(SUMPRODUCT(OFFSET($BJ$31,0,1-MIN(60,COLUMN()-29),1,MIN(60,COLUMN()-29)),OFFSET(EH859,0,-MIN(60,COLUMN()-29),1,MIN(60,COLUMN()-29))),0)</f>
        <v>0</v>
      </c>
      <c r="EI860" s="112" t="n">
        <f aca="true">IFERROR(SUMPRODUCT(OFFSET($BJ$31,0,1-MIN(60,COLUMN()-29),1,MIN(60,COLUMN()-29)),OFFSET(EI859,0,-MIN(60,COLUMN()-29),1,MIN(60,COLUMN()-29))),0)</f>
        <v>0</v>
      </c>
      <c r="EJ860" s="112" t="n">
        <f aca="true">IFERROR(SUMPRODUCT(OFFSET($BJ$31,0,1-MIN(60,COLUMN()-29),1,MIN(60,COLUMN()-29)),OFFSET(EJ859,0,-MIN(60,COLUMN()-29),1,MIN(60,COLUMN()-29))),0)</f>
        <v>0</v>
      </c>
      <c r="EK860" s="112" t="n">
        <f aca="true">IFERROR(SUMPRODUCT(OFFSET($BJ$31,0,1-MIN(60,COLUMN()-29),1,MIN(60,COLUMN()-29)),OFFSET(EK859,0,-MIN(60,COLUMN()-29),1,MIN(60,COLUMN()-29))),0)</f>
        <v>0</v>
      </c>
      <c r="EL860" s="112" t="n">
        <f aca="true">IFERROR(SUMPRODUCT(OFFSET($BJ$31,0,1-MIN(60,COLUMN()-29),1,MIN(60,COLUMN()-29)),OFFSET(EL859,0,-MIN(60,COLUMN()-29),1,MIN(60,COLUMN()-29))),0)</f>
        <v>0</v>
      </c>
      <c r="EM860" s="112" t="n">
        <f aca="true">IFERROR(SUMPRODUCT(OFFSET($BJ$31,0,1-MIN(60,COLUMN()-29),1,MIN(60,COLUMN()-29)),OFFSET(EM859,0,-MIN(60,COLUMN()-29),1,MIN(60,COLUMN()-29))),0)</f>
        <v>0</v>
      </c>
      <c r="EN860" s="112" t="n">
        <f aca="true">IFERROR(SUMPRODUCT(OFFSET($BJ$31,0,1-MIN(60,COLUMN()-29),1,MIN(60,COLUMN()-29)),OFFSET(EN859,0,-MIN(60,COLUMN()-29),1,MIN(60,COLUMN()-29))),0)</f>
        <v>0</v>
      </c>
      <c r="EO860" s="112" t="n">
        <f aca="true">IFERROR(SUMPRODUCT(OFFSET($BJ$31,0,1-MIN(60,COLUMN()-29),1,MIN(60,COLUMN()-29)),OFFSET(EO859,0,-MIN(60,COLUMN()-29),1,MIN(60,COLUMN()-29))),0)</f>
        <v>0</v>
      </c>
      <c r="EP860" s="112" t="n">
        <f aca="true">IFERROR(SUMPRODUCT(OFFSET($BJ$31,0,1-MIN(60,COLUMN()-29),1,MIN(60,COLUMN()-29)),OFFSET(EP859,0,-MIN(60,COLUMN()-29),1,MIN(60,COLUMN()-29))),0)</f>
        <v>0</v>
      </c>
      <c r="EQ860" s="112" t="n">
        <f aca="true">IFERROR(SUMPRODUCT(OFFSET($BJ$31,0,1-MIN(60,COLUMN()-29),1,MIN(60,COLUMN()-29)),OFFSET(EQ859,0,-MIN(60,COLUMN()-29),1,MIN(60,COLUMN()-29))),0)</f>
        <v>0</v>
      </c>
      <c r="ER860" s="112" t="n">
        <f aca="true">IFERROR(SUMPRODUCT(OFFSET($BJ$31,0,1-MIN(60,COLUMN()-29),1,MIN(60,COLUMN()-29)),OFFSET(ER859,0,-MIN(60,COLUMN()-29),1,MIN(60,COLUMN()-29))),0)</f>
        <v>0</v>
      </c>
      <c r="ES860" s="9" t="n">
        <f aca="true">IFERROR(SUMPRODUCT(OFFSET($BJ$31,0,1-MIN(60,COLUMN()-29),1,MIN(60,COLUMN()-29)),OFFSET(ES859,0,-MIN(60,COLUMN()-29),1,MIN(60,COLUMN()-29))),0)</f>
        <v>0</v>
      </c>
      <c r="ET860" s="9" t="n">
        <f aca="true">IFERROR(SUMPRODUCT(OFFSET($BJ$31,0,1-MIN(60,COLUMN()-29),1,MIN(60,COLUMN()-29)),OFFSET(ET859,0,-MIN(60,COLUMN()-29),1,MIN(60,COLUMN()-29))),0)</f>
        <v>0</v>
      </c>
      <c r="EU860" s="9" t="n">
        <f aca="true">IFERROR(SUMPRODUCT(OFFSET($BJ$31,0,1-MIN(60,COLUMN()-29),1,MIN(60,COLUMN()-29)),OFFSET(EU859,0,-MIN(60,COLUMN()-29),1,MIN(60,COLUMN()-29))),0)</f>
        <v>0</v>
      </c>
      <c r="EV860" s="9" t="n">
        <f aca="true">IFERROR(SUMPRODUCT(OFFSET($BJ$31,0,1-MIN(60,COLUMN()-29),1,MIN(60,COLUMN()-29)),OFFSET(EV859,0,-MIN(60,COLUMN()-29),1,MIN(60,COLUMN()-29))),0)</f>
        <v>0</v>
      </c>
      <c r="EW860" s="9" t="n">
        <f aca="true">IFERROR(SUMPRODUCT(OFFSET($BJ$31,0,1-MIN(60,COLUMN()-29),1,MIN(60,COLUMN()-29)),OFFSET(EW859,0,-MIN(60,COLUMN()-29),1,MIN(60,COLUMN()-29))),0)</f>
        <v>0</v>
      </c>
      <c r="EX860" s="9" t="n">
        <f aca="true">IFERROR(SUMPRODUCT(OFFSET($BJ$31,0,1-MIN(60,COLUMN()-29),1,MIN(60,COLUMN()-29)),OFFSET(EX859,0,-MIN(60,COLUMN()-29),1,MIN(60,COLUMN()-29))),0)</f>
        <v>0</v>
      </c>
      <c r="EY860" s="9" t="n">
        <f aca="true">IFERROR(SUMPRODUCT(OFFSET($BJ$31,0,1-MIN(60,COLUMN()-29),1,MIN(60,COLUMN()-29)),OFFSET(EY859,0,-MIN(60,COLUMN()-29),1,MIN(60,COLUMN()-29))),0)</f>
        <v>0</v>
      </c>
      <c r="EZ860" s="9" t="n">
        <f aca="true">IFERROR(SUMPRODUCT(OFFSET($BJ$31,0,1-MIN(60,COLUMN()-29),1,MIN(60,COLUMN()-29)),OFFSET(EZ859,0,-MIN(60,COLUMN()-29),1,MIN(60,COLUMN()-29))),0)</f>
        <v>0</v>
      </c>
      <c r="FA860" s="9" t="n">
        <f aca="true">IFERROR(SUMPRODUCT(OFFSET($BJ$31,0,1-MIN(60,COLUMN()-29),1,MIN(60,COLUMN()-29)),OFFSET(FA859,0,-MIN(60,COLUMN()-29),1,MIN(60,COLUMN()-29))),0)</f>
        <v>0</v>
      </c>
      <c r="FB860" s="9" t="n">
        <f aca="true">IFERROR(SUMPRODUCT(OFFSET($BJ$31,0,1-MIN(60,COLUMN()-29),1,MIN(60,COLUMN()-29)),OFFSET(FB859,0,-MIN(60,COLUMN()-29),1,MIN(60,COLUMN()-29))),0)</f>
        <v>0</v>
      </c>
      <c r="FC860" s="9" t="n">
        <f aca="true">IFERROR(SUMPRODUCT(OFFSET($BJ$31,0,1-MIN(60,COLUMN()-29),1,MIN(60,COLUMN()-29)),OFFSET(FC859,0,-MIN(60,COLUMN()-29),1,MIN(60,COLUMN()-29))),0)</f>
        <v>0</v>
      </c>
      <c r="FD860" s="9" t="n">
        <f aca="true">IFERROR(SUMPRODUCT(OFFSET($BJ$31,0,1-MIN(60,COLUMN()-29),1,MIN(60,COLUMN()-29)),OFFSET(FD859,0,-MIN(60,COLUMN()-29),1,MIN(60,COLUMN()-29))),0)</f>
        <v>0</v>
      </c>
      <c r="FE860" s="9" t="n">
        <f aca="true">IFERROR(SUMPRODUCT(OFFSET($BJ$31,0,1-MIN(60,COLUMN()-29),1,MIN(60,COLUMN()-29)),OFFSET(FE859,0,-MIN(60,COLUMN()-29),1,MIN(60,COLUMN()-29))),0)</f>
        <v>0</v>
      </c>
      <c r="FF860" s="9" t="n">
        <f aca="true">IFERROR(SUMPRODUCT(OFFSET($BJ$31,0,1-MIN(60,COLUMN()-29),1,MIN(60,COLUMN()-29)),OFFSET(FF859,0,-MIN(60,COLUMN()-29),1,MIN(60,COLUMN()-29))),0)</f>
        <v>0</v>
      </c>
      <c r="FG860" s="9" t="n">
        <f aca="true">IFERROR(SUMPRODUCT(OFFSET($BJ$31,0,1-MIN(60,COLUMN()-29),1,MIN(60,COLUMN()-29)),OFFSET(FG859,0,-MIN(60,COLUMN()-29),1,MIN(60,COLUMN()-29))),0)</f>
        <v>0</v>
      </c>
      <c r="FH860" s="9" t="n">
        <f aca="true">IFERROR(SUMPRODUCT(OFFSET($BJ$31,0,1-MIN(60,COLUMN()-29),1,MIN(60,COLUMN()-29)),OFFSET(FH859,0,-MIN(60,COLUMN()-29),1,MIN(60,COLUMN()-29))),0)</f>
        <v>0</v>
      </c>
      <c r="FI860" s="9" t="n">
        <f aca="true">IFERROR(SUMPRODUCT(OFFSET($BJ$31,0,1-MIN(60,COLUMN()-29),1,MIN(60,COLUMN()-29)),OFFSET(FI859,0,-MIN(60,COLUMN()-29),1,MIN(60,COLUMN()-29))),0)</f>
        <v>0</v>
      </c>
      <c r="FJ860" s="9" t="n">
        <f aca="true">IFERROR(SUMPRODUCT(OFFSET($BJ$31,0,1-MIN(60,COLUMN()-29),1,MIN(60,COLUMN()-29)),OFFSET(FJ859,0,-MIN(60,COLUMN()-29),1,MIN(60,COLUMN()-29))),0)</f>
        <v>0</v>
      </c>
      <c r="FK860" s="9" t="n">
        <f aca="true">IFERROR(SUMPRODUCT(OFFSET($BJ$31,0,1-MIN(60,COLUMN()-29),1,MIN(60,COLUMN()-29)),OFFSET(FK859,0,-MIN(60,COLUMN()-29),1,MIN(60,COLUMN()-29))),0)</f>
        <v>2.2528</v>
      </c>
      <c r="FL860" s="9" t="n">
        <f aca="true">IFERROR(SUMPRODUCT(OFFSET($BJ$31,0,1-MIN(60,COLUMN()-29),1,MIN(60,COLUMN()-29)),OFFSET(FL859,0,-MIN(60,COLUMN()-29),1,MIN(60,COLUMN()-29))),0)</f>
        <v>2.911744</v>
      </c>
      <c r="FM860" s="9" t="n">
        <f aca="true">IFERROR(SUMPRODUCT(OFFSET($BJ$31,0,1-MIN(60,COLUMN()-29),1,MIN(60,COLUMN()-29)),OFFSET(FM859,0,-MIN(60,COLUMN()-29),1,MIN(60,COLUMN()-29))),0)</f>
        <v>5.5504768</v>
      </c>
      <c r="FN860" s="9" t="n">
        <f aca="true">IFERROR(SUMPRODUCT(OFFSET($BJ$31,0,1-MIN(60,COLUMN()-29),1,MIN(60,COLUMN()-29)),OFFSET(FN859,0,-MIN(60,COLUMN()-29),1,MIN(60,COLUMN()-29))),0)</f>
        <v>5.750272</v>
      </c>
      <c r="FO860" s="9" t="n">
        <f aca="true">IFERROR(SUMPRODUCT(OFFSET($BJ$31,0,1-MIN(60,COLUMN()-29),1,MIN(60,COLUMN()-29)),OFFSET(FO859,0,-MIN(60,COLUMN()-29),1,MIN(60,COLUMN()-29))),0)</f>
        <v>5.5247808</v>
      </c>
      <c r="FP860" s="9" t="n">
        <f aca="true">IFERROR(SUMPRODUCT(OFFSET($BJ$31,0,1-MIN(60,COLUMN()-29),1,MIN(60,COLUMN()-29)),OFFSET(FP859,0,-MIN(60,COLUMN()-29),1,MIN(60,COLUMN()-29))),0)</f>
        <v>5.1756672</v>
      </c>
    </row>
    <row r="861" customFormat="false" ht="15" hidden="false" customHeight="false" outlineLevel="2" collapsed="false">
      <c r="B861" s="90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237"/>
      <c r="AD861" s="237"/>
      <c r="AE861" s="237"/>
      <c r="AF861" s="237"/>
      <c r="AG861" s="237"/>
      <c r="AH861" s="237"/>
      <c r="AI861" s="237"/>
      <c r="AJ861" s="237"/>
      <c r="AK861" s="237"/>
      <c r="AL861" s="237"/>
      <c r="AM861" s="237"/>
      <c r="AN861" s="237"/>
      <c r="AO861" s="237"/>
      <c r="AP861" s="237"/>
      <c r="AQ861" s="237"/>
      <c r="AR861" s="237"/>
      <c r="AS861" s="237"/>
      <c r="AT861" s="237"/>
      <c r="AU861" s="237"/>
      <c r="AV861" s="237"/>
      <c r="AW861" s="237"/>
      <c r="AX861" s="237"/>
      <c r="AY861" s="237"/>
      <c r="AZ861" s="237"/>
      <c r="BA861" s="237"/>
      <c r="BB861" s="237"/>
      <c r="BC861" s="237"/>
      <c r="BD861" s="237"/>
      <c r="BE861" s="237"/>
      <c r="BF861" s="237"/>
      <c r="BG861" s="237"/>
      <c r="BH861" s="237"/>
      <c r="BI861" s="237"/>
      <c r="BJ861" s="237"/>
      <c r="BK861" s="237"/>
      <c r="BL861" s="237"/>
      <c r="BM861" s="237"/>
      <c r="BN861" s="237"/>
      <c r="BO861" s="237"/>
      <c r="BP861" s="237"/>
      <c r="BQ861" s="237"/>
      <c r="BR861" s="237"/>
      <c r="BS861" s="237"/>
      <c r="BT861" s="237"/>
      <c r="BU861" s="237"/>
      <c r="BV861" s="237"/>
      <c r="BW861" s="237"/>
      <c r="BX861" s="237"/>
      <c r="BY861" s="237"/>
      <c r="BZ861" s="237"/>
      <c r="CA861" s="237"/>
      <c r="CB861" s="237"/>
      <c r="CC861" s="237"/>
      <c r="CD861" s="237"/>
      <c r="CE861" s="237"/>
      <c r="CF861" s="237"/>
      <c r="CG861" s="237"/>
      <c r="CH861" s="237"/>
      <c r="CI861" s="237"/>
      <c r="CJ861" s="237"/>
      <c r="CK861" s="237"/>
      <c r="CL861" s="237"/>
      <c r="CM861" s="237"/>
      <c r="CN861" s="237"/>
      <c r="CO861" s="237"/>
      <c r="CP861" s="237"/>
      <c r="CQ861" s="237"/>
      <c r="CR861" s="237"/>
      <c r="CS861" s="237"/>
      <c r="CT861" s="237"/>
      <c r="CU861" s="237"/>
      <c r="CV861" s="237"/>
      <c r="CW861" s="237"/>
      <c r="CX861" s="237"/>
      <c r="CY861" s="237"/>
      <c r="CZ861" s="237"/>
      <c r="DA861" s="237"/>
      <c r="DB861" s="237"/>
      <c r="DC861" s="237"/>
      <c r="DD861" s="237"/>
      <c r="DE861" s="237"/>
      <c r="DF861" s="237"/>
      <c r="DG861" s="237"/>
      <c r="DH861" s="237"/>
      <c r="DI861" s="237"/>
      <c r="DJ861" s="237"/>
      <c r="DK861" s="237"/>
      <c r="DL861" s="237"/>
      <c r="DM861" s="237"/>
      <c r="DN861" s="237"/>
      <c r="DO861" s="237"/>
      <c r="DP861" s="237"/>
      <c r="DQ861" s="237"/>
      <c r="DR861" s="237"/>
      <c r="DS861" s="237"/>
      <c r="DT861" s="237"/>
      <c r="DU861" s="237"/>
      <c r="DV861" s="237"/>
      <c r="DW861" s="237"/>
      <c r="DX861" s="237"/>
      <c r="DY861" s="237"/>
      <c r="DZ861" s="237"/>
      <c r="EA861" s="237"/>
      <c r="EB861" s="237"/>
      <c r="EC861" s="237"/>
      <c r="ED861" s="237"/>
      <c r="EE861" s="237"/>
      <c r="EF861" s="237"/>
      <c r="EG861" s="237"/>
      <c r="EH861" s="237"/>
      <c r="EI861" s="237"/>
      <c r="EJ861" s="237"/>
      <c r="EK861" s="237"/>
      <c r="EL861" s="237"/>
      <c r="EM861" s="237"/>
      <c r="EN861" s="237"/>
      <c r="EO861" s="237"/>
      <c r="EP861" s="237"/>
      <c r="EQ861" s="237"/>
      <c r="ER861" s="237"/>
      <c r="ES861" s="9"/>
      <c r="ET861" s="9"/>
      <c r="EU861" s="9"/>
      <c r="EV861" s="9"/>
      <c r="EW861" s="9"/>
      <c r="EX861" s="9"/>
      <c r="EY861" s="9"/>
      <c r="EZ861" s="9"/>
      <c r="FA861" s="9"/>
      <c r="FB861" s="9"/>
      <c r="FC861" s="9"/>
      <c r="FD861" s="9"/>
      <c r="FE861" s="9"/>
      <c r="FF861" s="9"/>
      <c r="FG861" s="9"/>
      <c r="FH861" s="9"/>
      <c r="FI861" s="9"/>
      <c r="FJ861" s="9"/>
      <c r="FK861" s="9"/>
      <c r="FL861" s="9"/>
      <c r="FM861" s="9"/>
      <c r="FN861" s="9"/>
      <c r="FO861" s="9"/>
      <c r="FP861" s="9"/>
    </row>
    <row r="862" customFormat="false" ht="15" hidden="false" customHeight="false" outlineLevel="2" collapsed="false">
      <c r="B862" s="240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237"/>
      <c r="AD862" s="237"/>
      <c r="AE862" s="237"/>
      <c r="AF862" s="237"/>
      <c r="AG862" s="237"/>
      <c r="AH862" s="237"/>
      <c r="AI862" s="237"/>
      <c r="AJ862" s="237"/>
      <c r="AK862" s="237"/>
      <c r="AL862" s="237"/>
      <c r="AM862" s="237"/>
      <c r="AN862" s="237"/>
      <c r="AO862" s="237"/>
      <c r="AP862" s="237"/>
      <c r="AQ862" s="237"/>
      <c r="AR862" s="237"/>
      <c r="AS862" s="237"/>
      <c r="AT862" s="237"/>
      <c r="AU862" s="237"/>
      <c r="AV862" s="237"/>
      <c r="AW862" s="237"/>
      <c r="AX862" s="237"/>
      <c r="AY862" s="237"/>
      <c r="AZ862" s="237"/>
      <c r="BA862" s="237"/>
      <c r="BB862" s="237"/>
      <c r="BC862" s="237"/>
      <c r="BD862" s="237"/>
      <c r="BE862" s="237"/>
      <c r="BF862" s="237"/>
      <c r="BG862" s="237"/>
      <c r="BH862" s="237"/>
      <c r="BI862" s="237"/>
      <c r="BJ862" s="237"/>
      <c r="BK862" s="237"/>
      <c r="BL862" s="237"/>
      <c r="BM862" s="237"/>
      <c r="BN862" s="237"/>
      <c r="BO862" s="237"/>
      <c r="BP862" s="237"/>
      <c r="BQ862" s="237"/>
      <c r="BR862" s="237"/>
      <c r="BS862" s="237"/>
      <c r="BT862" s="237"/>
      <c r="BU862" s="237"/>
      <c r="BV862" s="237"/>
      <c r="BW862" s="237"/>
      <c r="BX862" s="237"/>
      <c r="BY862" s="237"/>
      <c r="BZ862" s="237"/>
      <c r="CA862" s="237"/>
      <c r="CB862" s="237"/>
      <c r="CC862" s="237"/>
      <c r="CD862" s="237"/>
      <c r="CE862" s="237"/>
      <c r="CF862" s="237"/>
      <c r="CG862" s="237"/>
      <c r="CH862" s="237"/>
      <c r="CI862" s="237"/>
      <c r="CJ862" s="237"/>
      <c r="CK862" s="237"/>
      <c r="CL862" s="237"/>
      <c r="CM862" s="237"/>
      <c r="CN862" s="237"/>
      <c r="CO862" s="237"/>
      <c r="CP862" s="237"/>
      <c r="CQ862" s="237"/>
      <c r="CR862" s="237"/>
      <c r="CS862" s="237"/>
      <c r="CT862" s="237"/>
      <c r="CU862" s="237"/>
      <c r="CV862" s="237"/>
      <c r="CW862" s="237"/>
      <c r="CX862" s="237"/>
      <c r="CY862" s="237"/>
      <c r="CZ862" s="237"/>
      <c r="DA862" s="237"/>
      <c r="DB862" s="237"/>
      <c r="DC862" s="237"/>
      <c r="DD862" s="237"/>
      <c r="DE862" s="237"/>
      <c r="DF862" s="237"/>
      <c r="DG862" s="237"/>
      <c r="DH862" s="237"/>
      <c r="DI862" s="237"/>
      <c r="DJ862" s="237"/>
      <c r="DK862" s="237"/>
      <c r="DL862" s="237"/>
      <c r="DM862" s="237"/>
      <c r="DN862" s="237"/>
      <c r="DO862" s="237"/>
      <c r="DP862" s="237"/>
      <c r="DQ862" s="237"/>
      <c r="DR862" s="237"/>
      <c r="DS862" s="237"/>
      <c r="DT862" s="237"/>
      <c r="DU862" s="237"/>
      <c r="DV862" s="237"/>
      <c r="DW862" s="237"/>
      <c r="DX862" s="237"/>
      <c r="DY862" s="237"/>
      <c r="DZ862" s="237"/>
      <c r="EA862" s="237"/>
      <c r="EB862" s="237"/>
      <c r="EC862" s="237"/>
      <c r="ED862" s="237"/>
      <c r="EE862" s="237"/>
      <c r="EF862" s="237"/>
      <c r="EG862" s="237"/>
      <c r="EH862" s="237"/>
      <c r="EI862" s="237"/>
      <c r="EJ862" s="237"/>
      <c r="EK862" s="237"/>
      <c r="EL862" s="237"/>
      <c r="EM862" s="237"/>
      <c r="EN862" s="237"/>
      <c r="EO862" s="237"/>
      <c r="EP862" s="237"/>
      <c r="EQ862" s="237"/>
      <c r="ER862" s="237"/>
      <c r="ES862" s="9"/>
      <c r="ET862" s="9"/>
      <c r="EU862" s="9"/>
      <c r="EV862" s="9"/>
      <c r="EW862" s="9"/>
      <c r="EX862" s="9"/>
      <c r="EY862" s="9"/>
      <c r="EZ862" s="9"/>
      <c r="FA862" s="9"/>
      <c r="FB862" s="9"/>
      <c r="FC862" s="9"/>
      <c r="FD862" s="9"/>
      <c r="FE862" s="9"/>
      <c r="FF862" s="9"/>
      <c r="FG862" s="9"/>
      <c r="FH862" s="9"/>
      <c r="FI862" s="9"/>
      <c r="FJ862" s="9"/>
      <c r="FK862" s="9"/>
      <c r="FL862" s="9"/>
      <c r="FM862" s="9"/>
      <c r="FN862" s="9"/>
      <c r="FO862" s="9"/>
      <c r="FP862" s="9"/>
    </row>
    <row r="863" customFormat="false" ht="15" hidden="false" customHeight="false" outlineLevel="2" collapsed="false">
      <c r="B863" s="21" t="s">
        <v>959</v>
      </c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  <c r="AP863" s="21"/>
      <c r="AQ863" s="21"/>
      <c r="AR863" s="21"/>
      <c r="AS863" s="21"/>
      <c r="AT863" s="21"/>
      <c r="AU863" s="21"/>
      <c r="AV863" s="21"/>
      <c r="AW863" s="21"/>
      <c r="AX863" s="21"/>
      <c r="AY863" s="21"/>
      <c r="AZ863" s="21"/>
      <c r="BA863" s="21"/>
      <c r="BB863" s="21"/>
      <c r="BC863" s="21"/>
      <c r="BD863" s="21"/>
      <c r="BE863" s="21"/>
      <c r="BF863" s="21"/>
      <c r="BG863" s="21"/>
      <c r="BH863" s="21"/>
      <c r="BI863" s="21"/>
      <c r="BJ863" s="21"/>
      <c r="BK863" s="21"/>
      <c r="BL863" s="21"/>
      <c r="BM863" s="21"/>
      <c r="BN863" s="21"/>
      <c r="BO863" s="21"/>
      <c r="BP863" s="21"/>
      <c r="BQ863" s="21"/>
      <c r="BR863" s="21"/>
      <c r="BS863" s="21"/>
      <c r="BT863" s="21"/>
      <c r="BU863" s="21"/>
      <c r="BV863" s="21"/>
      <c r="BW863" s="21"/>
      <c r="BX863" s="21"/>
      <c r="BY863" s="21"/>
      <c r="BZ863" s="21"/>
      <c r="CA863" s="21"/>
      <c r="CB863" s="21"/>
      <c r="CC863" s="21"/>
      <c r="CD863" s="21"/>
      <c r="CE863" s="21"/>
      <c r="CF863" s="21"/>
      <c r="CG863" s="21"/>
      <c r="CH863" s="21"/>
      <c r="CI863" s="21"/>
      <c r="CJ863" s="21"/>
      <c r="CK863" s="21"/>
      <c r="CL863" s="21"/>
      <c r="CM863" s="21"/>
      <c r="CN863" s="21"/>
      <c r="CO863" s="21"/>
      <c r="CP863" s="21"/>
      <c r="CQ863" s="21"/>
      <c r="CR863" s="21"/>
      <c r="CS863" s="21"/>
      <c r="CT863" s="21"/>
      <c r="CU863" s="21"/>
      <c r="CV863" s="21"/>
      <c r="CW863" s="21"/>
      <c r="CX863" s="21"/>
      <c r="CY863" s="21"/>
      <c r="CZ863" s="21"/>
      <c r="DA863" s="21"/>
      <c r="DB863" s="21"/>
      <c r="DC863" s="21"/>
      <c r="DD863" s="21"/>
      <c r="DE863" s="21"/>
      <c r="DF863" s="21"/>
      <c r="DG863" s="21"/>
      <c r="DH863" s="21"/>
      <c r="DI863" s="21"/>
      <c r="DJ863" s="21"/>
      <c r="DK863" s="21"/>
      <c r="DL863" s="21"/>
      <c r="DM863" s="21"/>
      <c r="DN863" s="21"/>
      <c r="DO863" s="21"/>
      <c r="DP863" s="21"/>
      <c r="DQ863" s="21"/>
      <c r="DR863" s="21"/>
      <c r="DS863" s="21"/>
      <c r="DT863" s="21"/>
      <c r="DU863" s="21"/>
      <c r="DV863" s="21"/>
      <c r="DW863" s="21"/>
      <c r="DX863" s="21"/>
      <c r="DY863" s="21"/>
      <c r="DZ863" s="21"/>
      <c r="EA863" s="21"/>
      <c r="EB863" s="21"/>
      <c r="EC863" s="21"/>
      <c r="ED863" s="21"/>
      <c r="EE863" s="21"/>
      <c r="EF863" s="21"/>
      <c r="EG863" s="21"/>
      <c r="EH863" s="21"/>
      <c r="EI863" s="21"/>
      <c r="EJ863" s="21"/>
      <c r="EK863" s="21"/>
      <c r="EL863" s="21"/>
      <c r="EM863" s="21"/>
      <c r="EN863" s="21"/>
      <c r="EO863" s="21"/>
      <c r="EP863" s="21"/>
      <c r="EQ863" s="21"/>
      <c r="ER863" s="21"/>
      <c r="ES863" s="9"/>
      <c r="ET863" s="9"/>
      <c r="EU863" s="9"/>
      <c r="EV863" s="9"/>
      <c r="EW863" s="9"/>
      <c r="EX863" s="9"/>
      <c r="EY863" s="9"/>
      <c r="EZ863" s="9"/>
      <c r="FA863" s="9"/>
      <c r="FB863" s="9"/>
      <c r="FC863" s="9"/>
      <c r="FD863" s="9"/>
      <c r="FE863" s="9"/>
      <c r="FF863" s="9"/>
      <c r="FG863" s="9"/>
      <c r="FH863" s="9"/>
      <c r="FI863" s="9"/>
      <c r="FJ863" s="9"/>
      <c r="FK863" s="9"/>
      <c r="FL863" s="9"/>
      <c r="FM863" s="9"/>
      <c r="FN863" s="9"/>
      <c r="FO863" s="9"/>
      <c r="FP863" s="9"/>
    </row>
    <row r="864" customFormat="false" ht="15" hidden="false" customHeight="false" outlineLevel="2" collapsed="false">
      <c r="B864" s="9" t="s">
        <v>872</v>
      </c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234" t="n">
        <f aca="false">('⑫ Roll-out Plan'!G91-2025)*12+'⑫ Roll-out Plan'!F91</f>
        <v>139</v>
      </c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  <c r="CA864" s="9"/>
      <c r="CB864" s="9"/>
      <c r="CC864" s="9"/>
      <c r="CD864" s="9"/>
      <c r="CE864" s="9"/>
      <c r="CF864" s="9"/>
      <c r="CG864" s="9"/>
      <c r="CH864" s="9"/>
      <c r="CI864" s="9"/>
      <c r="CJ864" s="9"/>
      <c r="CK864" s="9"/>
      <c r="CL864" s="9"/>
      <c r="CM864" s="9"/>
      <c r="CN864" s="9"/>
      <c r="CO864" s="9"/>
      <c r="CP864" s="9"/>
      <c r="CQ864" s="9"/>
      <c r="CR864" s="9"/>
      <c r="CS864" s="9"/>
      <c r="CT864" s="9"/>
      <c r="CU864" s="9"/>
      <c r="CV864" s="9"/>
      <c r="CW864" s="9"/>
      <c r="CX864" s="9"/>
      <c r="CY864" s="9"/>
      <c r="CZ864" s="9"/>
      <c r="DA864" s="9"/>
      <c r="DB864" s="9"/>
      <c r="DC864" s="9"/>
      <c r="DD864" s="9"/>
      <c r="DE864" s="9"/>
      <c r="DF864" s="9"/>
      <c r="DG864" s="9"/>
      <c r="DH864" s="9"/>
      <c r="DI864" s="9"/>
      <c r="DJ864" s="9"/>
      <c r="DK864" s="9"/>
      <c r="DL864" s="9"/>
      <c r="DM864" s="9"/>
      <c r="DN864" s="9"/>
      <c r="DO864" s="9"/>
      <c r="DP864" s="9"/>
      <c r="DQ864" s="9"/>
      <c r="DR864" s="9"/>
      <c r="DS864" s="9"/>
      <c r="DT864" s="9"/>
      <c r="DU864" s="9"/>
      <c r="DV864" s="9"/>
      <c r="DW864" s="9"/>
      <c r="DX864" s="9"/>
      <c r="DY864" s="9"/>
      <c r="DZ864" s="9"/>
      <c r="EA864" s="9"/>
      <c r="EB864" s="9"/>
      <c r="EC864" s="9"/>
      <c r="ED864" s="9"/>
      <c r="EE864" s="9"/>
      <c r="EF864" s="9"/>
      <c r="EG864" s="9"/>
      <c r="EH864" s="9"/>
      <c r="EI864" s="9"/>
      <c r="EJ864" s="9"/>
      <c r="EK864" s="9"/>
      <c r="EL864" s="9"/>
      <c r="EM864" s="9"/>
      <c r="EN864" s="9"/>
      <c r="EO864" s="9"/>
      <c r="EP864" s="9"/>
      <c r="EQ864" s="9"/>
      <c r="ER864" s="9"/>
      <c r="ES864" s="9"/>
      <c r="ET864" s="9"/>
      <c r="EU864" s="9"/>
      <c r="EV864" s="9"/>
      <c r="EW864" s="9"/>
      <c r="EX864" s="9"/>
      <c r="EY864" s="9"/>
      <c r="EZ864" s="9"/>
      <c r="FA864" s="9"/>
      <c r="FB864" s="9"/>
      <c r="FC864" s="9"/>
      <c r="FD864" s="9"/>
      <c r="FE864" s="9"/>
      <c r="FF864" s="9"/>
      <c r="FG864" s="9"/>
      <c r="FH864" s="9"/>
      <c r="FI864" s="9"/>
      <c r="FJ864" s="9"/>
      <c r="FK864" s="9"/>
      <c r="FL864" s="9"/>
      <c r="FM864" s="9"/>
      <c r="FN864" s="9"/>
      <c r="FO864" s="9"/>
      <c r="FP864" s="9"/>
    </row>
    <row r="865" customFormat="false" ht="15" hidden="false" customHeight="false" outlineLevel="2" collapsed="false">
      <c r="B865" s="9" t="s">
        <v>873</v>
      </c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235" t="n">
        <f aca="false">VLOOKUP("B",$B$14:$C$18,2,FALSE())</f>
        <v>185</v>
      </c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  <c r="CA865" s="9"/>
      <c r="CB865" s="9"/>
      <c r="CC865" s="9"/>
      <c r="CD865" s="9"/>
      <c r="CE865" s="9"/>
      <c r="CF865" s="9"/>
      <c r="CG865" s="9"/>
      <c r="CH865" s="9"/>
      <c r="CI865" s="9"/>
      <c r="CJ865" s="9"/>
      <c r="CK865" s="9"/>
      <c r="CL865" s="9"/>
      <c r="CM865" s="9"/>
      <c r="CN865" s="9"/>
      <c r="CO865" s="9"/>
      <c r="CP865" s="9"/>
      <c r="CQ865" s="9"/>
      <c r="CR865" s="9"/>
      <c r="CS865" s="9"/>
      <c r="CT865" s="9"/>
      <c r="CU865" s="9"/>
      <c r="CV865" s="9"/>
      <c r="CW865" s="9"/>
      <c r="CX865" s="9"/>
      <c r="CY865" s="9"/>
      <c r="CZ865" s="9"/>
      <c r="DA865" s="9"/>
      <c r="DB865" s="9"/>
      <c r="DC865" s="9"/>
      <c r="DD865" s="9"/>
      <c r="DE865" s="9"/>
      <c r="DF865" s="9"/>
      <c r="DG865" s="9"/>
      <c r="DH865" s="9"/>
      <c r="DI865" s="9"/>
      <c r="DJ865" s="9"/>
      <c r="DK865" s="9"/>
      <c r="DL865" s="9"/>
      <c r="DM865" s="9"/>
      <c r="DN865" s="9"/>
      <c r="DO865" s="9"/>
      <c r="DP865" s="9"/>
      <c r="DQ865" s="9"/>
      <c r="DR865" s="9"/>
      <c r="DS865" s="9"/>
      <c r="DT865" s="9"/>
      <c r="DU865" s="9"/>
      <c r="DV865" s="9"/>
      <c r="DW865" s="9"/>
      <c r="DX865" s="9"/>
      <c r="DY865" s="9"/>
      <c r="DZ865" s="9"/>
      <c r="EA865" s="9"/>
      <c r="EB865" s="9"/>
      <c r="EC865" s="9"/>
      <c r="ED865" s="9"/>
      <c r="EE865" s="9"/>
      <c r="EF865" s="9"/>
      <c r="EG865" s="9"/>
      <c r="EH865" s="9"/>
      <c r="EI865" s="9"/>
      <c r="EJ865" s="9"/>
      <c r="EK865" s="9"/>
      <c r="EL865" s="9"/>
      <c r="EM865" s="9"/>
      <c r="EN865" s="9"/>
      <c r="EO865" s="9"/>
      <c r="EP865" s="9"/>
      <c r="EQ865" s="9"/>
      <c r="ER865" s="9"/>
      <c r="ES865" s="9"/>
      <c r="ET865" s="9"/>
      <c r="EU865" s="9"/>
      <c r="EV865" s="9"/>
      <c r="EW865" s="9"/>
      <c r="EX865" s="9"/>
      <c r="EY865" s="9"/>
      <c r="EZ865" s="9"/>
      <c r="FA865" s="9"/>
      <c r="FB865" s="9"/>
      <c r="FC865" s="9"/>
      <c r="FD865" s="9"/>
      <c r="FE865" s="9"/>
      <c r="FF865" s="9"/>
      <c r="FG865" s="9"/>
      <c r="FH865" s="9"/>
      <c r="FI865" s="9"/>
      <c r="FJ865" s="9"/>
      <c r="FK865" s="9"/>
      <c r="FL865" s="9"/>
      <c r="FM865" s="9"/>
      <c r="FN865" s="9"/>
      <c r="FO865" s="9"/>
      <c r="FP865" s="9"/>
    </row>
    <row r="866" customFormat="false" ht="15" hidden="false" customHeight="false" outlineLevel="2" collapsed="false">
      <c r="B866" s="9" t="s">
        <v>799</v>
      </c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63" t="n">
        <f aca="false">IF(AC$35&gt;=$AC$864,AC$35-$AC$864+1,0)</f>
        <v>0</v>
      </c>
      <c r="AD866" s="63" t="n">
        <f aca="false">IF(AD$35&gt;=$AC$864,AD$35-$AC$864+1,0)</f>
        <v>0</v>
      </c>
      <c r="AE866" s="63" t="n">
        <f aca="false">IF(AE$35&gt;=$AC$864,AE$35-$AC$864+1,0)</f>
        <v>0</v>
      </c>
      <c r="AF866" s="63" t="n">
        <f aca="false">IF(AF$35&gt;=$AC$864,AF$35-$AC$864+1,0)</f>
        <v>0</v>
      </c>
      <c r="AG866" s="63" t="n">
        <f aca="false">IF(AG$35&gt;=$AC$864,AG$35-$AC$864+1,0)</f>
        <v>0</v>
      </c>
      <c r="AH866" s="63" t="n">
        <f aca="false">IF(AH$35&gt;=$AC$864,AH$35-$AC$864+1,0)</f>
        <v>0</v>
      </c>
      <c r="AI866" s="63" t="n">
        <f aca="false">IF(AI$35&gt;=$AC$864,AI$35-$AC$864+1,0)</f>
        <v>0</v>
      </c>
      <c r="AJ866" s="63" t="n">
        <f aca="false">IF(AJ$35&gt;=$AC$864,AJ$35-$AC$864+1,0)</f>
        <v>0</v>
      </c>
      <c r="AK866" s="63" t="n">
        <f aca="false">IF(AK$35&gt;=$AC$864,AK$35-$AC$864+1,0)</f>
        <v>0</v>
      </c>
      <c r="AL866" s="63" t="n">
        <f aca="false">IF(AL$35&gt;=$AC$864,AL$35-$AC$864+1,0)</f>
        <v>0</v>
      </c>
      <c r="AM866" s="63" t="n">
        <f aca="false">IF(AM$35&gt;=$AC$864,AM$35-$AC$864+1,0)</f>
        <v>0</v>
      </c>
      <c r="AN866" s="63" t="n">
        <f aca="false">IF(AN$35&gt;=$AC$864,AN$35-$AC$864+1,0)</f>
        <v>0</v>
      </c>
      <c r="AO866" s="63" t="n">
        <f aca="false">IF(AO$35&gt;=$AC$864,AO$35-$AC$864+1,0)</f>
        <v>0</v>
      </c>
      <c r="AP866" s="63" t="n">
        <f aca="false">IF(AP$35&gt;=$AC$864,AP$35-$AC$864+1,0)</f>
        <v>0</v>
      </c>
      <c r="AQ866" s="63" t="n">
        <f aca="false">IF(AQ$35&gt;=$AC$864,AQ$35-$AC$864+1,0)</f>
        <v>0</v>
      </c>
      <c r="AR866" s="63" t="n">
        <f aca="false">IF(AR$35&gt;=$AC$864,AR$35-$AC$864+1,0)</f>
        <v>0</v>
      </c>
      <c r="AS866" s="63" t="n">
        <f aca="false">IF(AS$35&gt;=$AC$864,AS$35-$AC$864+1,0)</f>
        <v>0</v>
      </c>
      <c r="AT866" s="63" t="n">
        <f aca="false">IF(AT$35&gt;=$AC$864,AT$35-$AC$864+1,0)</f>
        <v>0</v>
      </c>
      <c r="AU866" s="63" t="n">
        <f aca="false">IF(AU$35&gt;=$AC$864,AU$35-$AC$864+1,0)</f>
        <v>0</v>
      </c>
      <c r="AV866" s="63" t="n">
        <f aca="false">IF(AV$35&gt;=$AC$864,AV$35-$AC$864+1,0)</f>
        <v>0</v>
      </c>
      <c r="AW866" s="63" t="n">
        <f aca="false">IF(AW$35&gt;=$AC$864,AW$35-$AC$864+1,0)</f>
        <v>0</v>
      </c>
      <c r="AX866" s="63" t="n">
        <f aca="false">IF(AX$35&gt;=$AC$864,AX$35-$AC$864+1,0)</f>
        <v>0</v>
      </c>
      <c r="AY866" s="63" t="n">
        <f aca="false">IF(AY$35&gt;=$AC$864,AY$35-$AC$864+1,0)</f>
        <v>0</v>
      </c>
      <c r="AZ866" s="63" t="n">
        <f aca="false">IF(AZ$35&gt;=$AC$864,AZ$35-$AC$864+1,0)</f>
        <v>0</v>
      </c>
      <c r="BA866" s="63" t="n">
        <f aca="false">IF(BA$35&gt;=$AC$864,BA$35-$AC$864+1,0)</f>
        <v>0</v>
      </c>
      <c r="BB866" s="63" t="n">
        <f aca="false">IF(BB$35&gt;=$AC$864,BB$35-$AC$864+1,0)</f>
        <v>0</v>
      </c>
      <c r="BC866" s="63" t="n">
        <f aca="false">IF(BC$35&gt;=$AC$864,BC$35-$AC$864+1,0)</f>
        <v>0</v>
      </c>
      <c r="BD866" s="63" t="n">
        <f aca="false">IF(BD$35&gt;=$AC$864,BD$35-$AC$864+1,0)</f>
        <v>0</v>
      </c>
      <c r="BE866" s="63" t="n">
        <f aca="false">IF(BE$35&gt;=$AC$864,BE$35-$AC$864+1,0)</f>
        <v>0</v>
      </c>
      <c r="BF866" s="63" t="n">
        <f aca="false">IF(BF$35&gt;=$AC$864,BF$35-$AC$864+1,0)</f>
        <v>0</v>
      </c>
      <c r="BG866" s="63" t="n">
        <f aca="false">IF(BG$35&gt;=$AC$864,BG$35-$AC$864+1,0)</f>
        <v>0</v>
      </c>
      <c r="BH866" s="63" t="n">
        <f aca="false">IF(BH$35&gt;=$AC$864,BH$35-$AC$864+1,0)</f>
        <v>0</v>
      </c>
      <c r="BI866" s="63" t="n">
        <f aca="false">IF(BI$35&gt;=$AC$864,BI$35-$AC$864+1,0)</f>
        <v>0</v>
      </c>
      <c r="BJ866" s="63" t="n">
        <f aca="false">IF(BJ$35&gt;=$AC$864,BJ$35-$AC$864+1,0)</f>
        <v>0</v>
      </c>
      <c r="BK866" s="63" t="n">
        <f aca="false">IF(BK$35&gt;=$AC$864,BK$35-$AC$864+1,0)</f>
        <v>0</v>
      </c>
      <c r="BL866" s="63" t="n">
        <f aca="false">IF(BL$35&gt;=$AC$864,BL$35-$AC$864+1,0)</f>
        <v>0</v>
      </c>
      <c r="BM866" s="63" t="n">
        <f aca="false">IF(BM$35&gt;=$AC$864,BM$35-$AC$864+1,0)</f>
        <v>0</v>
      </c>
      <c r="BN866" s="63" t="n">
        <f aca="false">IF(BN$35&gt;=$AC$864,BN$35-$AC$864+1,0)</f>
        <v>0</v>
      </c>
      <c r="BO866" s="63" t="n">
        <f aca="false">IF(BO$35&gt;=$AC$864,BO$35-$AC$864+1,0)</f>
        <v>0</v>
      </c>
      <c r="BP866" s="63" t="n">
        <f aca="false">IF(BP$35&gt;=$AC$864,BP$35-$AC$864+1,0)</f>
        <v>0</v>
      </c>
      <c r="BQ866" s="63" t="n">
        <f aca="false">IF(BQ$35&gt;=$AC$864,BQ$35-$AC$864+1,0)</f>
        <v>0</v>
      </c>
      <c r="BR866" s="63" t="n">
        <f aca="false">IF(BR$35&gt;=$AC$864,BR$35-$AC$864+1,0)</f>
        <v>0</v>
      </c>
      <c r="BS866" s="63" t="n">
        <f aca="false">IF(BS$35&gt;=$AC$864,BS$35-$AC$864+1,0)</f>
        <v>0</v>
      </c>
      <c r="BT866" s="63" t="n">
        <f aca="false">IF(BT$35&gt;=$AC$864,BT$35-$AC$864+1,0)</f>
        <v>0</v>
      </c>
      <c r="BU866" s="63" t="n">
        <f aca="false">IF(BU$35&gt;=$AC$864,BU$35-$AC$864+1,0)</f>
        <v>0</v>
      </c>
      <c r="BV866" s="63" t="n">
        <f aca="false">IF(BV$35&gt;=$AC$864,BV$35-$AC$864+1,0)</f>
        <v>0</v>
      </c>
      <c r="BW866" s="63" t="n">
        <f aca="false">IF(BW$35&gt;=$AC$864,BW$35-$AC$864+1,0)</f>
        <v>0</v>
      </c>
      <c r="BX866" s="63" t="n">
        <f aca="false">IF(BX$35&gt;=$AC$864,BX$35-$AC$864+1,0)</f>
        <v>0</v>
      </c>
      <c r="BY866" s="63" t="n">
        <f aca="false">IF(BY$35&gt;=$AC$864,BY$35-$AC$864+1,0)</f>
        <v>0</v>
      </c>
      <c r="BZ866" s="63" t="n">
        <f aca="false">IF(BZ$35&gt;=$AC$864,BZ$35-$AC$864+1,0)</f>
        <v>0</v>
      </c>
      <c r="CA866" s="63" t="n">
        <f aca="false">IF(CA$35&gt;=$AC$864,CA$35-$AC$864+1,0)</f>
        <v>0</v>
      </c>
      <c r="CB866" s="63" t="n">
        <f aca="false">IF(CB$35&gt;=$AC$864,CB$35-$AC$864+1,0)</f>
        <v>0</v>
      </c>
      <c r="CC866" s="63" t="n">
        <f aca="false">IF(CC$35&gt;=$AC$864,CC$35-$AC$864+1,0)</f>
        <v>0</v>
      </c>
      <c r="CD866" s="63" t="n">
        <f aca="false">IF(CD$35&gt;=$AC$864,CD$35-$AC$864+1,0)</f>
        <v>0</v>
      </c>
      <c r="CE866" s="63" t="n">
        <f aca="false">IF(CE$35&gt;=$AC$864,CE$35-$AC$864+1,0)</f>
        <v>0</v>
      </c>
      <c r="CF866" s="63" t="n">
        <f aca="false">IF(CF$35&gt;=$AC$864,CF$35-$AC$864+1,0)</f>
        <v>0</v>
      </c>
      <c r="CG866" s="63" t="n">
        <f aca="false">IF(CG$35&gt;=$AC$864,CG$35-$AC$864+1,0)</f>
        <v>0</v>
      </c>
      <c r="CH866" s="63" t="n">
        <f aca="false">IF(CH$35&gt;=$AC$864,CH$35-$AC$864+1,0)</f>
        <v>0</v>
      </c>
      <c r="CI866" s="63" t="n">
        <f aca="false">IF(CI$35&gt;=$AC$864,CI$35-$AC$864+1,0)</f>
        <v>0</v>
      </c>
      <c r="CJ866" s="63" t="n">
        <f aca="false">IF(CJ$35&gt;=$AC$864,CJ$35-$AC$864+1,0)</f>
        <v>0</v>
      </c>
      <c r="CK866" s="63" t="n">
        <f aca="false">IF(CK$35&gt;=$AC$864,CK$35-$AC$864+1,0)</f>
        <v>0</v>
      </c>
      <c r="CL866" s="63" t="n">
        <f aca="false">IF(CL$35&gt;=$AC$864,CL$35-$AC$864+1,0)</f>
        <v>0</v>
      </c>
      <c r="CM866" s="63" t="n">
        <f aca="false">IF(CM$35&gt;=$AC$864,CM$35-$AC$864+1,0)</f>
        <v>0</v>
      </c>
      <c r="CN866" s="63" t="n">
        <f aca="false">IF(CN$35&gt;=$AC$864,CN$35-$AC$864+1,0)</f>
        <v>0</v>
      </c>
      <c r="CO866" s="63" t="n">
        <f aca="false">IF(CO$35&gt;=$AC$864,CO$35-$AC$864+1,0)</f>
        <v>0</v>
      </c>
      <c r="CP866" s="63" t="n">
        <f aca="false">IF(CP$35&gt;=$AC$864,CP$35-$AC$864+1,0)</f>
        <v>0</v>
      </c>
      <c r="CQ866" s="63" t="n">
        <f aca="false">IF(CQ$35&gt;=$AC$864,CQ$35-$AC$864+1,0)</f>
        <v>0</v>
      </c>
      <c r="CR866" s="63" t="n">
        <f aca="false">IF(CR$35&gt;=$AC$864,CR$35-$AC$864+1,0)</f>
        <v>0</v>
      </c>
      <c r="CS866" s="63" t="n">
        <f aca="false">IF(CS$35&gt;=$AC$864,CS$35-$AC$864+1,0)</f>
        <v>0</v>
      </c>
      <c r="CT866" s="63" t="n">
        <f aca="false">IF(CT$35&gt;=$AC$864,CT$35-$AC$864+1,0)</f>
        <v>0</v>
      </c>
      <c r="CU866" s="63" t="n">
        <f aca="false">IF(CU$35&gt;=$AC$864,CU$35-$AC$864+1,0)</f>
        <v>0</v>
      </c>
      <c r="CV866" s="63" t="n">
        <f aca="false">IF(CV$35&gt;=$AC$864,CV$35-$AC$864+1,0)</f>
        <v>0</v>
      </c>
      <c r="CW866" s="63" t="n">
        <f aca="false">IF(CW$35&gt;=$AC$864,CW$35-$AC$864+1,0)</f>
        <v>0</v>
      </c>
      <c r="CX866" s="63" t="n">
        <f aca="false">IF(CX$35&gt;=$AC$864,CX$35-$AC$864+1,0)</f>
        <v>0</v>
      </c>
      <c r="CY866" s="63" t="n">
        <f aca="false">IF(CY$35&gt;=$AC$864,CY$35-$AC$864+1,0)</f>
        <v>0</v>
      </c>
      <c r="CZ866" s="63" t="n">
        <f aca="false">IF(CZ$35&gt;=$AC$864,CZ$35-$AC$864+1,0)</f>
        <v>0</v>
      </c>
      <c r="DA866" s="63" t="n">
        <f aca="false">IF(DA$35&gt;=$AC$864,DA$35-$AC$864+1,0)</f>
        <v>0</v>
      </c>
      <c r="DB866" s="63" t="n">
        <f aca="false">IF(DB$35&gt;=$AC$864,DB$35-$AC$864+1,0)</f>
        <v>0</v>
      </c>
      <c r="DC866" s="63" t="n">
        <f aca="false">IF(DC$35&gt;=$AC$864,DC$35-$AC$864+1,0)</f>
        <v>0</v>
      </c>
      <c r="DD866" s="63" t="n">
        <f aca="false">IF(DD$35&gt;=$AC$864,DD$35-$AC$864+1,0)</f>
        <v>0</v>
      </c>
      <c r="DE866" s="63" t="n">
        <f aca="false">IF(DE$35&gt;=$AC$864,DE$35-$AC$864+1,0)</f>
        <v>0</v>
      </c>
      <c r="DF866" s="63" t="n">
        <f aca="false">IF(DF$35&gt;=$AC$864,DF$35-$AC$864+1,0)</f>
        <v>0</v>
      </c>
      <c r="DG866" s="63" t="n">
        <f aca="false">IF(DG$35&gt;=$AC$864,DG$35-$AC$864+1,0)</f>
        <v>0</v>
      </c>
      <c r="DH866" s="63" t="n">
        <f aca="false">IF(DH$35&gt;=$AC$864,DH$35-$AC$864+1,0)</f>
        <v>0</v>
      </c>
      <c r="DI866" s="63" t="n">
        <f aca="false">IF(DI$35&gt;=$AC$864,DI$35-$AC$864+1,0)</f>
        <v>0</v>
      </c>
      <c r="DJ866" s="63" t="n">
        <f aca="false">IF(DJ$35&gt;=$AC$864,DJ$35-$AC$864+1,0)</f>
        <v>0</v>
      </c>
      <c r="DK866" s="63" t="n">
        <f aca="false">IF(DK$35&gt;=$AC$864,DK$35-$AC$864+1,0)</f>
        <v>0</v>
      </c>
      <c r="DL866" s="63" t="n">
        <f aca="false">IF(DL$35&gt;=$AC$864,DL$35-$AC$864+1,0)</f>
        <v>0</v>
      </c>
      <c r="DM866" s="63" t="n">
        <f aca="false">IF(DM$35&gt;=$AC$864,DM$35-$AC$864+1,0)</f>
        <v>0</v>
      </c>
      <c r="DN866" s="63" t="n">
        <f aca="false">IF(DN$35&gt;=$AC$864,DN$35-$AC$864+1,0)</f>
        <v>0</v>
      </c>
      <c r="DO866" s="63" t="n">
        <f aca="false">IF(DO$35&gt;=$AC$864,DO$35-$AC$864+1,0)</f>
        <v>0</v>
      </c>
      <c r="DP866" s="63" t="n">
        <f aca="false">IF(DP$35&gt;=$AC$864,DP$35-$AC$864+1,0)</f>
        <v>0</v>
      </c>
      <c r="DQ866" s="63" t="n">
        <f aca="false">IF(DQ$35&gt;=$AC$864,DQ$35-$AC$864+1,0)</f>
        <v>0</v>
      </c>
      <c r="DR866" s="63" t="n">
        <f aca="false">IF(DR$35&gt;=$AC$864,DR$35-$AC$864+1,0)</f>
        <v>0</v>
      </c>
      <c r="DS866" s="63" t="n">
        <f aca="false">IF(DS$35&gt;=$AC$864,DS$35-$AC$864+1,0)</f>
        <v>0</v>
      </c>
      <c r="DT866" s="63" t="n">
        <f aca="false">IF(DT$35&gt;=$AC$864,DT$35-$AC$864+1,0)</f>
        <v>0</v>
      </c>
      <c r="DU866" s="63" t="n">
        <f aca="false">IF(DU$35&gt;=$AC$864,DU$35-$AC$864+1,0)</f>
        <v>0</v>
      </c>
      <c r="DV866" s="63" t="n">
        <f aca="false">IF(DV$35&gt;=$AC$864,DV$35-$AC$864+1,0)</f>
        <v>0</v>
      </c>
      <c r="DW866" s="63" t="n">
        <f aca="false">IF(DW$35&gt;=$AC$864,DW$35-$AC$864+1,0)</f>
        <v>0</v>
      </c>
      <c r="DX866" s="63" t="n">
        <f aca="false">IF(DX$35&gt;=$AC$864,DX$35-$AC$864+1,0)</f>
        <v>0</v>
      </c>
      <c r="DY866" s="63" t="n">
        <f aca="false">IF(DY$35&gt;=$AC$864,DY$35-$AC$864+1,0)</f>
        <v>0</v>
      </c>
      <c r="DZ866" s="63" t="n">
        <f aca="false">IF(DZ$35&gt;=$AC$864,DZ$35-$AC$864+1,0)</f>
        <v>0</v>
      </c>
      <c r="EA866" s="63" t="n">
        <f aca="false">IF(EA$35&gt;=$AC$864,EA$35-$AC$864+1,0)</f>
        <v>0</v>
      </c>
      <c r="EB866" s="63" t="n">
        <f aca="false">IF(EB$35&gt;=$AC$864,EB$35-$AC$864+1,0)</f>
        <v>0</v>
      </c>
      <c r="EC866" s="63" t="n">
        <f aca="false">IF(EC$35&gt;=$AC$864,EC$35-$AC$864+1,0)</f>
        <v>0</v>
      </c>
      <c r="ED866" s="63" t="n">
        <f aca="false">IF(ED$35&gt;=$AC$864,ED$35-$AC$864+1,0)</f>
        <v>0</v>
      </c>
      <c r="EE866" s="63" t="n">
        <f aca="false">IF(EE$35&gt;=$AC$864,EE$35-$AC$864+1,0)</f>
        <v>0</v>
      </c>
      <c r="EF866" s="63" t="n">
        <f aca="false">IF(EF$35&gt;=$AC$864,EF$35-$AC$864+1,0)</f>
        <v>0</v>
      </c>
      <c r="EG866" s="63" t="n">
        <f aca="false">IF(EG$35&gt;=$AC$864,EG$35-$AC$864+1,0)</f>
        <v>0</v>
      </c>
      <c r="EH866" s="63" t="n">
        <f aca="false">IF(EH$35&gt;=$AC$864,EH$35-$AC$864+1,0)</f>
        <v>0</v>
      </c>
      <c r="EI866" s="63" t="n">
        <f aca="false">IF(EI$35&gt;=$AC$864,EI$35-$AC$864+1,0)</f>
        <v>0</v>
      </c>
      <c r="EJ866" s="63" t="n">
        <f aca="false">IF(EJ$35&gt;=$AC$864,EJ$35-$AC$864+1,0)</f>
        <v>0</v>
      </c>
      <c r="EK866" s="63" t="n">
        <f aca="false">IF(EK$35&gt;=$AC$864,EK$35-$AC$864+1,0)</f>
        <v>0</v>
      </c>
      <c r="EL866" s="63" t="n">
        <f aca="false">IF(EL$35&gt;=$AC$864,EL$35-$AC$864+1,0)</f>
        <v>0</v>
      </c>
      <c r="EM866" s="63" t="n">
        <f aca="false">IF(EM$35&gt;=$AC$864,EM$35-$AC$864+1,0)</f>
        <v>0</v>
      </c>
      <c r="EN866" s="63" t="n">
        <f aca="false">IF(EN$35&gt;=$AC$864,EN$35-$AC$864+1,0)</f>
        <v>0</v>
      </c>
      <c r="EO866" s="63" t="n">
        <f aca="false">IF(EO$35&gt;=$AC$864,EO$35-$AC$864+1,0)</f>
        <v>0</v>
      </c>
      <c r="EP866" s="63" t="n">
        <f aca="false">IF(EP$35&gt;=$AC$864,EP$35-$AC$864+1,0)</f>
        <v>0</v>
      </c>
      <c r="EQ866" s="63" t="n">
        <f aca="false">IF(EQ$35&gt;=$AC$864,EQ$35-$AC$864+1,0)</f>
        <v>0</v>
      </c>
      <c r="ER866" s="63" t="n">
        <f aca="false">IF(ER$35&gt;=$AC$864,ER$35-$AC$864+1,0)</f>
        <v>0</v>
      </c>
      <c r="ES866" s="9" t="n">
        <f aca="false">IF(ES$35&gt;=$AC$864,ES$35-$AC$864+1,0)</f>
        <v>0</v>
      </c>
      <c r="ET866" s="9" t="n">
        <f aca="false">IF(ET$35&gt;=$AC$864,ET$35-$AC$864+1,0)</f>
        <v>0</v>
      </c>
      <c r="EU866" s="9" t="n">
        <f aca="false">IF(EU$35&gt;=$AC$864,EU$35-$AC$864+1,0)</f>
        <v>0</v>
      </c>
      <c r="EV866" s="9" t="n">
        <f aca="false">IF(EV$35&gt;=$AC$864,EV$35-$AC$864+1,0)</f>
        <v>0</v>
      </c>
      <c r="EW866" s="9" t="n">
        <f aca="false">IF(EW$35&gt;=$AC$864,EW$35-$AC$864+1,0)</f>
        <v>0</v>
      </c>
      <c r="EX866" s="9" t="n">
        <f aca="false">IF(EX$35&gt;=$AC$864,EX$35-$AC$864+1,0)</f>
        <v>0</v>
      </c>
      <c r="EY866" s="9" t="n">
        <f aca="false">IF(EY$35&gt;=$AC$864,EY$35-$AC$864+1,0)</f>
        <v>0</v>
      </c>
      <c r="EZ866" s="9" t="n">
        <f aca="false">IF(EZ$35&gt;=$AC$864,EZ$35-$AC$864+1,0)</f>
        <v>0</v>
      </c>
      <c r="FA866" s="9" t="n">
        <f aca="false">IF(FA$35&gt;=$AC$864,FA$35-$AC$864+1,0)</f>
        <v>0</v>
      </c>
      <c r="FB866" s="9" t="n">
        <f aca="false">IF(FB$35&gt;=$AC$864,FB$35-$AC$864+1,0)</f>
        <v>0</v>
      </c>
      <c r="FC866" s="9" t="n">
        <f aca="false">IF(FC$35&gt;=$AC$864,FC$35-$AC$864+1,0)</f>
        <v>0</v>
      </c>
      <c r="FD866" s="9" t="n">
        <f aca="false">IF(FD$35&gt;=$AC$864,FD$35-$AC$864+1,0)</f>
        <v>0</v>
      </c>
      <c r="FE866" s="9" t="n">
        <f aca="false">IF(FE$35&gt;=$AC$864,FE$35-$AC$864+1,0)</f>
        <v>0</v>
      </c>
      <c r="FF866" s="9" t="n">
        <f aca="false">IF(FF$35&gt;=$AC$864,FF$35-$AC$864+1,0)</f>
        <v>0</v>
      </c>
      <c r="FG866" s="9" t="n">
        <f aca="false">IF(FG$35&gt;=$AC$864,FG$35-$AC$864+1,0)</f>
        <v>0</v>
      </c>
      <c r="FH866" s="9" t="n">
        <f aca="false">IF(FH$35&gt;=$AC$864,FH$35-$AC$864+1,0)</f>
        <v>0</v>
      </c>
      <c r="FI866" s="9" t="n">
        <f aca="false">IF(FI$35&gt;=$AC$864,FI$35-$AC$864+1,0)</f>
        <v>0</v>
      </c>
      <c r="FJ866" s="9" t="n">
        <f aca="false">IF(FJ$35&gt;=$AC$864,FJ$35-$AC$864+1,0)</f>
        <v>0</v>
      </c>
      <c r="FK866" s="9" t="n">
        <f aca="false">IF(FK$35&gt;=$AC$864,FK$35-$AC$864+1,0)</f>
        <v>1</v>
      </c>
      <c r="FL866" s="9" t="n">
        <f aca="false">IF(FL$35&gt;=$AC$864,FL$35-$AC$864+1,0)</f>
        <v>2</v>
      </c>
      <c r="FM866" s="9" t="n">
        <f aca="false">IF(FM$35&gt;=$AC$864,FM$35-$AC$864+1,0)</f>
        <v>3</v>
      </c>
      <c r="FN866" s="9" t="n">
        <f aca="false">IF(FN$35&gt;=$AC$864,FN$35-$AC$864+1,0)</f>
        <v>4</v>
      </c>
      <c r="FO866" s="9" t="n">
        <f aca="false">IF(FO$35&gt;=$AC$864,FO$35-$AC$864+1,0)</f>
        <v>5</v>
      </c>
      <c r="FP866" s="9" t="n">
        <f aca="false">IF(FP$35&gt;=$AC$864,FP$35-$AC$864+1,0)</f>
        <v>6</v>
      </c>
    </row>
    <row r="867" customFormat="false" ht="15" hidden="false" customHeight="false" outlineLevel="2" collapsed="false">
      <c r="B867" s="9" t="s">
        <v>874</v>
      </c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236" t="n">
        <f aca="false" t="array" ref="AC867:AC867">IF(AC866=0,0,IF(AC866/'🎚️ Escenario'!$C$11&gt;=36,$AL$23,INDEX($C$23:$AL$23,MAX(1,ROUNDUP(AC866/'🎚️ Escenario'!$C$11,0)))))</f>
        <v>0</v>
      </c>
      <c r="AD867" s="236" t="n">
        <f aca="false" t="array" ref="AD867:AD867">IF(AD866=0,0,IF(AD866/'🎚️ Escenario'!$C$11&gt;=36,$AL$23,INDEX($C$23:$AL$23,MAX(1,ROUNDUP(AD866/'🎚️ Escenario'!$C$11,0)))))</f>
        <v>0</v>
      </c>
      <c r="AE867" s="236" t="n">
        <f aca="false" t="array" ref="AE867:AE867">IF(AE866=0,0,IF(AE866/'🎚️ Escenario'!$C$11&gt;=36,$AL$23,INDEX($C$23:$AL$23,MAX(1,ROUNDUP(AE866/'🎚️ Escenario'!$C$11,0)))))</f>
        <v>0</v>
      </c>
      <c r="AF867" s="236" t="n">
        <f aca="false" t="array" ref="AF867:AF867">IF(AF866=0,0,IF(AF866/'🎚️ Escenario'!$C$11&gt;=36,$AL$23,INDEX($C$23:$AL$23,MAX(1,ROUNDUP(AF866/'🎚️ Escenario'!$C$11,0)))))</f>
        <v>0</v>
      </c>
      <c r="AG867" s="236" t="n">
        <f aca="false" t="array" ref="AG867:AG867">IF(AG866=0,0,IF(AG866/'🎚️ Escenario'!$C$11&gt;=36,$AL$23,INDEX($C$23:$AL$23,MAX(1,ROUNDUP(AG866/'🎚️ Escenario'!$C$11,0)))))</f>
        <v>0</v>
      </c>
      <c r="AH867" s="236" t="n">
        <f aca="false" t="array" ref="AH867:AH867">IF(AH866=0,0,IF(AH866/'🎚️ Escenario'!$C$11&gt;=36,$AL$23,INDEX($C$23:$AL$23,MAX(1,ROUNDUP(AH866/'🎚️ Escenario'!$C$11,0)))))</f>
        <v>0</v>
      </c>
      <c r="AI867" s="236" t="n">
        <f aca="false" t="array" ref="AI867:AI867">IF(AI866=0,0,IF(AI866/'🎚️ Escenario'!$C$11&gt;=36,$AL$23,INDEX($C$23:$AL$23,MAX(1,ROUNDUP(AI866/'🎚️ Escenario'!$C$11,0)))))</f>
        <v>0</v>
      </c>
      <c r="AJ867" s="236" t="n">
        <f aca="false" t="array" ref="AJ867:AJ867">IF(AJ866=0,0,IF(AJ866/'🎚️ Escenario'!$C$11&gt;=36,$AL$23,INDEX($C$23:$AL$23,MAX(1,ROUNDUP(AJ866/'🎚️ Escenario'!$C$11,0)))))</f>
        <v>0</v>
      </c>
      <c r="AK867" s="236" t="n">
        <f aca="false" t="array" ref="AK867:AK867">IF(AK866=0,0,IF(AK866/'🎚️ Escenario'!$C$11&gt;=36,$AL$23,INDEX($C$23:$AL$23,MAX(1,ROUNDUP(AK866/'🎚️ Escenario'!$C$11,0)))))</f>
        <v>0</v>
      </c>
      <c r="AL867" s="236" t="n">
        <f aca="false" t="array" ref="AL867:AL867">IF(AL866=0,0,IF(AL866/'🎚️ Escenario'!$C$11&gt;=36,$AL$23,INDEX($C$23:$AL$23,MAX(1,ROUNDUP(AL866/'🎚️ Escenario'!$C$11,0)))))</f>
        <v>0</v>
      </c>
      <c r="AM867" s="236" t="n">
        <f aca="false" t="array" ref="AM867:AM867">IF(AM866=0,0,IF(AM866/'🎚️ Escenario'!$C$11&gt;=36,$AL$23,INDEX($C$23:$AL$23,MAX(1,ROUNDUP(AM866/'🎚️ Escenario'!$C$11,0)))))</f>
        <v>0</v>
      </c>
      <c r="AN867" s="236" t="n">
        <f aca="false" t="array" ref="AN867:AN867">IF(AN866=0,0,IF(AN866/'🎚️ Escenario'!$C$11&gt;=36,$AL$23,INDEX($C$23:$AL$23,MAX(1,ROUNDUP(AN866/'🎚️ Escenario'!$C$11,0)))))</f>
        <v>0</v>
      </c>
      <c r="AO867" s="236" t="n">
        <f aca="false" t="array" ref="AO867:AO867">IF(AO866=0,0,IF(AO866/'🎚️ Escenario'!$C$11&gt;=36,$AL$23,INDEX($C$23:$AL$23,MAX(1,ROUNDUP(AO866/'🎚️ Escenario'!$C$11,0)))))</f>
        <v>0</v>
      </c>
      <c r="AP867" s="236" t="n">
        <f aca="false" t="array" ref="AP867:AP867">IF(AP866=0,0,IF(AP866/'🎚️ Escenario'!$C$11&gt;=36,$AL$23,INDEX($C$23:$AL$23,MAX(1,ROUNDUP(AP866/'🎚️ Escenario'!$C$11,0)))))</f>
        <v>0</v>
      </c>
      <c r="AQ867" s="236" t="n">
        <f aca="false" t="array" ref="AQ867:AQ867">IF(AQ866=0,0,IF(AQ866/'🎚️ Escenario'!$C$11&gt;=36,$AL$23,INDEX($C$23:$AL$23,MAX(1,ROUNDUP(AQ866/'🎚️ Escenario'!$C$11,0)))))</f>
        <v>0</v>
      </c>
      <c r="AR867" s="236" t="n">
        <f aca="false" t="array" ref="AR867:AR867">IF(AR866=0,0,IF(AR866/'🎚️ Escenario'!$C$11&gt;=36,$AL$23,INDEX($C$23:$AL$23,MAX(1,ROUNDUP(AR866/'🎚️ Escenario'!$C$11,0)))))</f>
        <v>0</v>
      </c>
      <c r="AS867" s="236" t="n">
        <f aca="false" t="array" ref="AS867:AS867">IF(AS866=0,0,IF(AS866/'🎚️ Escenario'!$C$11&gt;=36,$AL$23,INDEX($C$23:$AL$23,MAX(1,ROUNDUP(AS866/'🎚️ Escenario'!$C$11,0)))))</f>
        <v>0</v>
      </c>
      <c r="AT867" s="236" t="n">
        <f aca="false" t="array" ref="AT867:AT867">IF(AT866=0,0,IF(AT866/'🎚️ Escenario'!$C$11&gt;=36,$AL$23,INDEX($C$23:$AL$23,MAX(1,ROUNDUP(AT866/'🎚️ Escenario'!$C$11,0)))))</f>
        <v>0</v>
      </c>
      <c r="AU867" s="236" t="n">
        <f aca="false" t="array" ref="AU867:AU867">IF(AU866=0,0,IF(AU866/'🎚️ Escenario'!$C$11&gt;=36,$AL$23,INDEX($C$23:$AL$23,MAX(1,ROUNDUP(AU866/'🎚️ Escenario'!$C$11,0)))))</f>
        <v>0</v>
      </c>
      <c r="AV867" s="236" t="n">
        <f aca="false" t="array" ref="AV867:AV867">IF(AV866=0,0,IF(AV866/'🎚️ Escenario'!$C$11&gt;=36,$AL$23,INDEX($C$23:$AL$23,MAX(1,ROUNDUP(AV866/'🎚️ Escenario'!$C$11,0)))))</f>
        <v>0</v>
      </c>
      <c r="AW867" s="236" t="n">
        <f aca="false" t="array" ref="AW867:AW867">IF(AW866=0,0,IF(AW866/'🎚️ Escenario'!$C$11&gt;=36,$AL$23,INDEX($C$23:$AL$23,MAX(1,ROUNDUP(AW866/'🎚️ Escenario'!$C$11,0)))))</f>
        <v>0</v>
      </c>
      <c r="AX867" s="236" t="n">
        <f aca="false" t="array" ref="AX867:AX867">IF(AX866=0,0,IF(AX866/'🎚️ Escenario'!$C$11&gt;=36,$AL$23,INDEX($C$23:$AL$23,MAX(1,ROUNDUP(AX866/'🎚️ Escenario'!$C$11,0)))))</f>
        <v>0</v>
      </c>
      <c r="AY867" s="236" t="n">
        <f aca="false" t="array" ref="AY867:AY867">IF(AY866=0,0,IF(AY866/'🎚️ Escenario'!$C$11&gt;=36,$AL$23,INDEX($C$23:$AL$23,MAX(1,ROUNDUP(AY866/'🎚️ Escenario'!$C$11,0)))))</f>
        <v>0</v>
      </c>
      <c r="AZ867" s="236" t="n">
        <f aca="false" t="array" ref="AZ867:AZ867">IF(AZ866=0,0,IF(AZ866/'🎚️ Escenario'!$C$11&gt;=36,$AL$23,INDEX($C$23:$AL$23,MAX(1,ROUNDUP(AZ866/'🎚️ Escenario'!$C$11,0)))))</f>
        <v>0</v>
      </c>
      <c r="BA867" s="236" t="n">
        <f aca="false" t="array" ref="BA867:BA867">IF(BA866=0,0,IF(BA866/'🎚️ Escenario'!$C$11&gt;=36,$AL$23,INDEX($C$23:$AL$23,MAX(1,ROUNDUP(BA866/'🎚️ Escenario'!$C$11,0)))))</f>
        <v>0</v>
      </c>
      <c r="BB867" s="236" t="n">
        <f aca="false" t="array" ref="BB867:BB867">IF(BB866=0,0,IF(BB866/'🎚️ Escenario'!$C$11&gt;=36,$AL$23,INDEX($C$23:$AL$23,MAX(1,ROUNDUP(BB866/'🎚️ Escenario'!$C$11,0)))))</f>
        <v>0</v>
      </c>
      <c r="BC867" s="236" t="n">
        <f aca="false" t="array" ref="BC867:BC867">IF(BC866=0,0,IF(BC866/'🎚️ Escenario'!$C$11&gt;=36,$AL$23,INDEX($C$23:$AL$23,MAX(1,ROUNDUP(BC866/'🎚️ Escenario'!$C$11,0)))))</f>
        <v>0</v>
      </c>
      <c r="BD867" s="236" t="n">
        <f aca="false" t="array" ref="BD867:BD867">IF(BD866=0,0,IF(BD866/'🎚️ Escenario'!$C$11&gt;=36,$AL$23,INDEX($C$23:$AL$23,MAX(1,ROUNDUP(BD866/'🎚️ Escenario'!$C$11,0)))))</f>
        <v>0</v>
      </c>
      <c r="BE867" s="236" t="n">
        <f aca="false" t="array" ref="BE867:BE867">IF(BE866=0,0,IF(BE866/'🎚️ Escenario'!$C$11&gt;=36,$AL$23,INDEX($C$23:$AL$23,MAX(1,ROUNDUP(BE866/'🎚️ Escenario'!$C$11,0)))))</f>
        <v>0</v>
      </c>
      <c r="BF867" s="236" t="n">
        <f aca="false" t="array" ref="BF867:BF867">IF(BF866=0,0,IF(BF866/'🎚️ Escenario'!$C$11&gt;=36,$AL$23,INDEX($C$23:$AL$23,MAX(1,ROUNDUP(BF866/'🎚️ Escenario'!$C$11,0)))))</f>
        <v>0</v>
      </c>
      <c r="BG867" s="236" t="n">
        <f aca="false" t="array" ref="BG867:BG867">IF(BG866=0,0,IF(BG866/'🎚️ Escenario'!$C$11&gt;=36,$AL$23,INDEX($C$23:$AL$23,MAX(1,ROUNDUP(BG866/'🎚️ Escenario'!$C$11,0)))))</f>
        <v>0</v>
      </c>
      <c r="BH867" s="236" t="n">
        <f aca="false" t="array" ref="BH867:BH867">IF(BH866=0,0,IF(BH866/'🎚️ Escenario'!$C$11&gt;=36,$AL$23,INDEX($C$23:$AL$23,MAX(1,ROUNDUP(BH866/'🎚️ Escenario'!$C$11,0)))))</f>
        <v>0</v>
      </c>
      <c r="BI867" s="236" t="n">
        <f aca="false" t="array" ref="BI867:BI867">IF(BI866=0,0,IF(BI866/'🎚️ Escenario'!$C$11&gt;=36,$AL$23,INDEX($C$23:$AL$23,MAX(1,ROUNDUP(BI866/'🎚️ Escenario'!$C$11,0)))))</f>
        <v>0</v>
      </c>
      <c r="BJ867" s="236" t="n">
        <f aca="false" t="array" ref="BJ867:BJ867">IF(BJ866=0,0,IF(BJ866/'🎚️ Escenario'!$C$11&gt;=36,$AL$23,INDEX($C$23:$AL$23,MAX(1,ROUNDUP(BJ866/'🎚️ Escenario'!$C$11,0)))))</f>
        <v>0</v>
      </c>
      <c r="BK867" s="236" t="n">
        <f aca="false" t="array" ref="BK867:BK867">IF(BK866=0,0,IF(BK866/'🎚️ Escenario'!$C$11&gt;=36,$AL$23,INDEX($C$23:$AL$23,MAX(1,ROUNDUP(BK866/'🎚️ Escenario'!$C$11,0)))))</f>
        <v>0</v>
      </c>
      <c r="BL867" s="236" t="n">
        <f aca="false" t="array" ref="BL867:BL867">IF(BL866=0,0,IF(BL866/'🎚️ Escenario'!$C$11&gt;=36,$AL$23,INDEX($C$23:$AL$23,MAX(1,ROUNDUP(BL866/'🎚️ Escenario'!$C$11,0)))))</f>
        <v>0</v>
      </c>
      <c r="BM867" s="236" t="n">
        <f aca="false" t="array" ref="BM867:BM867">IF(BM866=0,0,IF(BM866/'🎚️ Escenario'!$C$11&gt;=36,$AL$23,INDEX($C$23:$AL$23,MAX(1,ROUNDUP(BM866/'🎚️ Escenario'!$C$11,0)))))</f>
        <v>0</v>
      </c>
      <c r="BN867" s="236" t="n">
        <f aca="false" t="array" ref="BN867:BN867">IF(BN866=0,0,IF(BN866/'🎚️ Escenario'!$C$11&gt;=36,$AL$23,INDEX($C$23:$AL$23,MAX(1,ROUNDUP(BN866/'🎚️ Escenario'!$C$11,0)))))</f>
        <v>0</v>
      </c>
      <c r="BO867" s="236" t="n">
        <f aca="false" t="array" ref="BO867:BO867">IF(BO866=0,0,IF(BO866/'🎚️ Escenario'!$C$11&gt;=36,$AL$23,INDEX($C$23:$AL$23,MAX(1,ROUNDUP(BO866/'🎚️ Escenario'!$C$11,0)))))</f>
        <v>0</v>
      </c>
      <c r="BP867" s="236" t="n">
        <f aca="false" t="array" ref="BP867:BP867">IF(BP866=0,0,IF(BP866/'🎚️ Escenario'!$C$11&gt;=36,$AL$23,INDEX($C$23:$AL$23,MAX(1,ROUNDUP(BP866/'🎚️ Escenario'!$C$11,0)))))</f>
        <v>0</v>
      </c>
      <c r="BQ867" s="236" t="n">
        <f aca="false" t="array" ref="BQ867:BQ867">IF(BQ866=0,0,IF(BQ866/'🎚️ Escenario'!$C$11&gt;=36,$AL$23,INDEX($C$23:$AL$23,MAX(1,ROUNDUP(BQ866/'🎚️ Escenario'!$C$11,0)))))</f>
        <v>0</v>
      </c>
      <c r="BR867" s="236" t="n">
        <f aca="false" t="array" ref="BR867:BR867">IF(BR866=0,0,IF(BR866/'🎚️ Escenario'!$C$11&gt;=36,$AL$23,INDEX($C$23:$AL$23,MAX(1,ROUNDUP(BR866/'🎚️ Escenario'!$C$11,0)))))</f>
        <v>0</v>
      </c>
      <c r="BS867" s="236" t="n">
        <f aca="false" t="array" ref="BS867:BS867">IF(BS866=0,0,IF(BS866/'🎚️ Escenario'!$C$11&gt;=36,$AL$23,INDEX($C$23:$AL$23,MAX(1,ROUNDUP(BS866/'🎚️ Escenario'!$C$11,0)))))</f>
        <v>0</v>
      </c>
      <c r="BT867" s="236" t="n">
        <f aca="false" t="array" ref="BT867:BT867">IF(BT866=0,0,IF(BT866/'🎚️ Escenario'!$C$11&gt;=36,$AL$23,INDEX($C$23:$AL$23,MAX(1,ROUNDUP(BT866/'🎚️ Escenario'!$C$11,0)))))</f>
        <v>0</v>
      </c>
      <c r="BU867" s="236" t="n">
        <f aca="false" t="array" ref="BU867:BU867">IF(BU866=0,0,IF(BU866/'🎚️ Escenario'!$C$11&gt;=36,$AL$23,INDEX($C$23:$AL$23,MAX(1,ROUNDUP(BU866/'🎚️ Escenario'!$C$11,0)))))</f>
        <v>0</v>
      </c>
      <c r="BV867" s="236" t="n">
        <f aca="false" t="array" ref="BV867:BV867">IF(BV866=0,0,IF(BV866/'🎚️ Escenario'!$C$11&gt;=36,$AL$23,INDEX($C$23:$AL$23,MAX(1,ROUNDUP(BV866/'🎚️ Escenario'!$C$11,0)))))</f>
        <v>0</v>
      </c>
      <c r="BW867" s="236" t="n">
        <f aca="false" t="array" ref="BW867:BW867">IF(BW866=0,0,IF(BW866/'🎚️ Escenario'!$C$11&gt;=36,$AL$23,INDEX($C$23:$AL$23,MAX(1,ROUNDUP(BW866/'🎚️ Escenario'!$C$11,0)))))</f>
        <v>0</v>
      </c>
      <c r="BX867" s="236" t="n">
        <f aca="false" t="array" ref="BX867:BX867">IF(BX866=0,0,IF(BX866/'🎚️ Escenario'!$C$11&gt;=36,$AL$23,INDEX($C$23:$AL$23,MAX(1,ROUNDUP(BX866/'🎚️ Escenario'!$C$11,0)))))</f>
        <v>0</v>
      </c>
      <c r="BY867" s="236" t="n">
        <f aca="false" t="array" ref="BY867:BY867">IF(BY866=0,0,IF(BY866/'🎚️ Escenario'!$C$11&gt;=36,$AL$23,INDEX($C$23:$AL$23,MAX(1,ROUNDUP(BY866/'🎚️ Escenario'!$C$11,0)))))</f>
        <v>0</v>
      </c>
      <c r="BZ867" s="236" t="n">
        <f aca="false" t="array" ref="BZ867:BZ867">IF(BZ866=0,0,IF(BZ866/'🎚️ Escenario'!$C$11&gt;=36,$AL$23,INDEX($C$23:$AL$23,MAX(1,ROUNDUP(BZ866/'🎚️ Escenario'!$C$11,0)))))</f>
        <v>0</v>
      </c>
      <c r="CA867" s="236" t="n">
        <f aca="false" t="array" ref="CA867:CA867">IF(CA866=0,0,IF(CA866/'🎚️ Escenario'!$C$11&gt;=36,$AL$23,INDEX($C$23:$AL$23,MAX(1,ROUNDUP(CA866/'🎚️ Escenario'!$C$11,0)))))</f>
        <v>0</v>
      </c>
      <c r="CB867" s="236" t="n">
        <f aca="false" t="array" ref="CB867:CB867">IF(CB866=0,0,IF(CB866/'🎚️ Escenario'!$C$11&gt;=36,$AL$23,INDEX($C$23:$AL$23,MAX(1,ROUNDUP(CB866/'🎚️ Escenario'!$C$11,0)))))</f>
        <v>0</v>
      </c>
      <c r="CC867" s="236" t="n">
        <f aca="false" t="array" ref="CC867:CC867">IF(CC866=0,0,IF(CC866/'🎚️ Escenario'!$C$11&gt;=36,$AL$23,INDEX($C$23:$AL$23,MAX(1,ROUNDUP(CC866/'🎚️ Escenario'!$C$11,0)))))</f>
        <v>0</v>
      </c>
      <c r="CD867" s="236" t="n">
        <f aca="false" t="array" ref="CD867:CD867">IF(CD866=0,0,IF(CD866/'🎚️ Escenario'!$C$11&gt;=36,$AL$23,INDEX($C$23:$AL$23,MAX(1,ROUNDUP(CD866/'🎚️ Escenario'!$C$11,0)))))</f>
        <v>0</v>
      </c>
      <c r="CE867" s="236" t="n">
        <f aca="false" t="array" ref="CE867:CE867">IF(CE866=0,0,IF(CE866/'🎚️ Escenario'!$C$11&gt;=36,$AL$23,INDEX($C$23:$AL$23,MAX(1,ROUNDUP(CE866/'🎚️ Escenario'!$C$11,0)))))</f>
        <v>0</v>
      </c>
      <c r="CF867" s="236" t="n">
        <f aca="false" t="array" ref="CF867:CF867">IF(CF866=0,0,IF(CF866/'🎚️ Escenario'!$C$11&gt;=36,$AL$23,INDEX($C$23:$AL$23,MAX(1,ROUNDUP(CF866/'🎚️ Escenario'!$C$11,0)))))</f>
        <v>0</v>
      </c>
      <c r="CG867" s="236" t="n">
        <f aca="false" t="array" ref="CG867:CG867">IF(CG866=0,0,IF(CG866/'🎚️ Escenario'!$C$11&gt;=36,$AL$23,INDEX($C$23:$AL$23,MAX(1,ROUNDUP(CG866/'🎚️ Escenario'!$C$11,0)))))</f>
        <v>0</v>
      </c>
      <c r="CH867" s="236" t="n">
        <f aca="false" t="array" ref="CH867:CH867">IF(CH866=0,0,IF(CH866/'🎚️ Escenario'!$C$11&gt;=36,$AL$23,INDEX($C$23:$AL$23,MAX(1,ROUNDUP(CH866/'🎚️ Escenario'!$C$11,0)))))</f>
        <v>0</v>
      </c>
      <c r="CI867" s="236" t="n">
        <f aca="false" t="array" ref="CI867:CI867">IF(CI866=0,0,IF(CI866/'🎚️ Escenario'!$C$11&gt;=36,$AL$23,INDEX($C$23:$AL$23,MAX(1,ROUNDUP(CI866/'🎚️ Escenario'!$C$11,0)))))</f>
        <v>0</v>
      </c>
      <c r="CJ867" s="236" t="n">
        <f aca="false" t="array" ref="CJ867:CJ867">IF(CJ866=0,0,IF(CJ866/'🎚️ Escenario'!$C$11&gt;=36,$AL$23,INDEX($C$23:$AL$23,MAX(1,ROUNDUP(CJ866/'🎚️ Escenario'!$C$11,0)))))</f>
        <v>0</v>
      </c>
      <c r="CK867" s="236" t="n">
        <f aca="false" t="array" ref="CK867:CK867">IF(CK866=0,0,IF(CK866/'🎚️ Escenario'!$C$11&gt;=36,$AL$23,INDEX($C$23:$AL$23,MAX(1,ROUNDUP(CK866/'🎚️ Escenario'!$C$11,0)))))</f>
        <v>0</v>
      </c>
      <c r="CL867" s="236" t="n">
        <f aca="false" t="array" ref="CL867:CL867">IF(CL866=0,0,IF(CL866/'🎚️ Escenario'!$C$11&gt;=36,$AL$23,INDEX($C$23:$AL$23,MAX(1,ROUNDUP(CL866/'🎚️ Escenario'!$C$11,0)))))</f>
        <v>0</v>
      </c>
      <c r="CM867" s="236" t="n">
        <f aca="false" t="array" ref="CM867:CM867">IF(CM866=0,0,IF(CM866/'🎚️ Escenario'!$C$11&gt;=36,$AL$23,INDEX($C$23:$AL$23,MAX(1,ROUNDUP(CM866/'🎚️ Escenario'!$C$11,0)))))</f>
        <v>0</v>
      </c>
      <c r="CN867" s="236" t="n">
        <f aca="false" t="array" ref="CN867:CN867">IF(CN866=0,0,IF(CN866/'🎚️ Escenario'!$C$11&gt;=36,$AL$23,INDEX($C$23:$AL$23,MAX(1,ROUNDUP(CN866/'🎚️ Escenario'!$C$11,0)))))</f>
        <v>0</v>
      </c>
      <c r="CO867" s="236" t="n">
        <f aca="false" t="array" ref="CO867:CO867">IF(CO866=0,0,IF(CO866/'🎚️ Escenario'!$C$11&gt;=36,$AL$23,INDEX($C$23:$AL$23,MAX(1,ROUNDUP(CO866/'🎚️ Escenario'!$C$11,0)))))</f>
        <v>0</v>
      </c>
      <c r="CP867" s="236" t="n">
        <f aca="false" t="array" ref="CP867:CP867">IF(CP866=0,0,IF(CP866/'🎚️ Escenario'!$C$11&gt;=36,$AL$23,INDEX($C$23:$AL$23,MAX(1,ROUNDUP(CP866/'🎚️ Escenario'!$C$11,0)))))</f>
        <v>0</v>
      </c>
      <c r="CQ867" s="236" t="n">
        <f aca="false" t="array" ref="CQ867:CQ867">IF(CQ866=0,0,IF(CQ866/'🎚️ Escenario'!$C$11&gt;=36,$AL$23,INDEX($C$23:$AL$23,MAX(1,ROUNDUP(CQ866/'🎚️ Escenario'!$C$11,0)))))</f>
        <v>0</v>
      </c>
      <c r="CR867" s="236" t="n">
        <f aca="false" t="array" ref="CR867:CR867">IF(CR866=0,0,IF(CR866/'🎚️ Escenario'!$C$11&gt;=36,$AL$23,INDEX($C$23:$AL$23,MAX(1,ROUNDUP(CR866/'🎚️ Escenario'!$C$11,0)))))</f>
        <v>0</v>
      </c>
      <c r="CS867" s="236" t="n">
        <f aca="false" t="array" ref="CS867:CS867">IF(CS866=0,0,IF(CS866/'🎚️ Escenario'!$C$11&gt;=36,$AL$23,INDEX($C$23:$AL$23,MAX(1,ROUNDUP(CS866/'🎚️ Escenario'!$C$11,0)))))</f>
        <v>0</v>
      </c>
      <c r="CT867" s="236" t="n">
        <f aca="false" t="array" ref="CT867:CT867">IF(CT866=0,0,IF(CT866/'🎚️ Escenario'!$C$11&gt;=36,$AL$23,INDEX($C$23:$AL$23,MAX(1,ROUNDUP(CT866/'🎚️ Escenario'!$C$11,0)))))</f>
        <v>0</v>
      </c>
      <c r="CU867" s="236" t="n">
        <f aca="false" t="array" ref="CU867:CU867">IF(CU866=0,0,IF(CU866/'🎚️ Escenario'!$C$11&gt;=36,$AL$23,INDEX($C$23:$AL$23,MAX(1,ROUNDUP(CU866/'🎚️ Escenario'!$C$11,0)))))</f>
        <v>0</v>
      </c>
      <c r="CV867" s="236" t="n">
        <f aca="false" t="array" ref="CV867:CV867">IF(CV866=0,0,IF(CV866/'🎚️ Escenario'!$C$11&gt;=36,$AL$23,INDEX($C$23:$AL$23,MAX(1,ROUNDUP(CV866/'🎚️ Escenario'!$C$11,0)))))</f>
        <v>0</v>
      </c>
      <c r="CW867" s="236" t="n">
        <f aca="false" t="array" ref="CW867:CW867">IF(CW866=0,0,IF(CW866/'🎚️ Escenario'!$C$11&gt;=36,$AL$23,INDEX($C$23:$AL$23,MAX(1,ROUNDUP(CW866/'🎚️ Escenario'!$C$11,0)))))</f>
        <v>0</v>
      </c>
      <c r="CX867" s="236" t="n">
        <f aca="false" t="array" ref="CX867:CX867">IF(CX866=0,0,IF(CX866/'🎚️ Escenario'!$C$11&gt;=36,$AL$23,INDEX($C$23:$AL$23,MAX(1,ROUNDUP(CX866/'🎚️ Escenario'!$C$11,0)))))</f>
        <v>0</v>
      </c>
      <c r="CY867" s="236" t="n">
        <f aca="false" t="array" ref="CY867:CY867">IF(CY866=0,0,IF(CY866/'🎚️ Escenario'!$C$11&gt;=36,$AL$23,INDEX($C$23:$AL$23,MAX(1,ROUNDUP(CY866/'🎚️ Escenario'!$C$11,0)))))</f>
        <v>0</v>
      </c>
      <c r="CZ867" s="236" t="n">
        <f aca="false" t="array" ref="CZ867:CZ867">IF(CZ866=0,0,IF(CZ866/'🎚️ Escenario'!$C$11&gt;=36,$AL$23,INDEX($C$23:$AL$23,MAX(1,ROUNDUP(CZ866/'🎚️ Escenario'!$C$11,0)))))</f>
        <v>0</v>
      </c>
      <c r="DA867" s="236" t="n">
        <f aca="false" t="array" ref="DA867:DA867">IF(DA866=0,0,IF(DA866/'🎚️ Escenario'!$C$11&gt;=36,$AL$23,INDEX($C$23:$AL$23,MAX(1,ROUNDUP(DA866/'🎚️ Escenario'!$C$11,0)))))</f>
        <v>0</v>
      </c>
      <c r="DB867" s="236" t="n">
        <f aca="false" t="array" ref="DB867:DB867">IF(DB866=0,0,IF(DB866/'🎚️ Escenario'!$C$11&gt;=36,$AL$23,INDEX($C$23:$AL$23,MAX(1,ROUNDUP(DB866/'🎚️ Escenario'!$C$11,0)))))</f>
        <v>0</v>
      </c>
      <c r="DC867" s="236" t="n">
        <f aca="false" t="array" ref="DC867:DC867">IF(DC866=0,0,IF(DC866/'🎚️ Escenario'!$C$11&gt;=36,$AL$23,INDEX($C$23:$AL$23,MAX(1,ROUNDUP(DC866/'🎚️ Escenario'!$C$11,0)))))</f>
        <v>0</v>
      </c>
      <c r="DD867" s="236" t="n">
        <f aca="false" t="array" ref="DD867:DD867">IF(DD866=0,0,IF(DD866/'🎚️ Escenario'!$C$11&gt;=36,$AL$23,INDEX($C$23:$AL$23,MAX(1,ROUNDUP(DD866/'🎚️ Escenario'!$C$11,0)))))</f>
        <v>0</v>
      </c>
      <c r="DE867" s="236" t="n">
        <f aca="false" t="array" ref="DE867:DE867">IF(DE866=0,0,IF(DE866/'🎚️ Escenario'!$C$11&gt;=36,$AL$23,INDEX($C$23:$AL$23,MAX(1,ROUNDUP(DE866/'🎚️ Escenario'!$C$11,0)))))</f>
        <v>0</v>
      </c>
      <c r="DF867" s="236" t="n">
        <f aca="false" t="array" ref="DF867:DF867">IF(DF866=0,0,IF(DF866/'🎚️ Escenario'!$C$11&gt;=36,$AL$23,INDEX($C$23:$AL$23,MAX(1,ROUNDUP(DF866/'🎚️ Escenario'!$C$11,0)))))</f>
        <v>0</v>
      </c>
      <c r="DG867" s="236" t="n">
        <f aca="false" t="array" ref="DG867:DG867">IF(DG866=0,0,IF(DG866/'🎚️ Escenario'!$C$11&gt;=36,$AL$23,INDEX($C$23:$AL$23,MAX(1,ROUNDUP(DG866/'🎚️ Escenario'!$C$11,0)))))</f>
        <v>0</v>
      </c>
      <c r="DH867" s="236" t="n">
        <f aca="false" t="array" ref="DH867:DH867">IF(DH866=0,0,IF(DH866/'🎚️ Escenario'!$C$11&gt;=36,$AL$23,INDEX($C$23:$AL$23,MAX(1,ROUNDUP(DH866/'🎚️ Escenario'!$C$11,0)))))</f>
        <v>0</v>
      </c>
      <c r="DI867" s="236" t="n">
        <f aca="false" t="array" ref="DI867:DI867">IF(DI866=0,0,IF(DI866/'🎚️ Escenario'!$C$11&gt;=36,$AL$23,INDEX($C$23:$AL$23,MAX(1,ROUNDUP(DI866/'🎚️ Escenario'!$C$11,0)))))</f>
        <v>0</v>
      </c>
      <c r="DJ867" s="236" t="n">
        <f aca="false" t="array" ref="DJ867:DJ867">IF(DJ866=0,0,IF(DJ866/'🎚️ Escenario'!$C$11&gt;=36,$AL$23,INDEX($C$23:$AL$23,MAX(1,ROUNDUP(DJ866/'🎚️ Escenario'!$C$11,0)))))</f>
        <v>0</v>
      </c>
      <c r="DK867" s="236" t="n">
        <f aca="false" t="array" ref="DK867:DK867">IF(DK866=0,0,IF(DK866/'🎚️ Escenario'!$C$11&gt;=36,$AL$23,INDEX($C$23:$AL$23,MAX(1,ROUNDUP(DK866/'🎚️ Escenario'!$C$11,0)))))</f>
        <v>0</v>
      </c>
      <c r="DL867" s="236" t="n">
        <f aca="false" t="array" ref="DL867:DL867">IF(DL866=0,0,IF(DL866/'🎚️ Escenario'!$C$11&gt;=36,$AL$23,INDEX($C$23:$AL$23,MAX(1,ROUNDUP(DL866/'🎚️ Escenario'!$C$11,0)))))</f>
        <v>0</v>
      </c>
      <c r="DM867" s="236" t="n">
        <f aca="false" t="array" ref="DM867:DM867">IF(DM866=0,0,IF(DM866/'🎚️ Escenario'!$C$11&gt;=36,$AL$23,INDEX($C$23:$AL$23,MAX(1,ROUNDUP(DM866/'🎚️ Escenario'!$C$11,0)))))</f>
        <v>0</v>
      </c>
      <c r="DN867" s="236" t="n">
        <f aca="false" t="array" ref="DN867:DN867">IF(DN866=0,0,IF(DN866/'🎚️ Escenario'!$C$11&gt;=36,$AL$23,INDEX($C$23:$AL$23,MAX(1,ROUNDUP(DN866/'🎚️ Escenario'!$C$11,0)))))</f>
        <v>0</v>
      </c>
      <c r="DO867" s="236" t="n">
        <f aca="false" t="array" ref="DO867:DO867">IF(DO866=0,0,IF(DO866/'🎚️ Escenario'!$C$11&gt;=36,$AL$23,INDEX($C$23:$AL$23,MAX(1,ROUNDUP(DO866/'🎚️ Escenario'!$C$11,0)))))</f>
        <v>0</v>
      </c>
      <c r="DP867" s="236" t="n">
        <f aca="false" t="array" ref="DP867:DP867">IF(DP866=0,0,IF(DP866/'🎚️ Escenario'!$C$11&gt;=36,$AL$23,INDEX($C$23:$AL$23,MAX(1,ROUNDUP(DP866/'🎚️ Escenario'!$C$11,0)))))</f>
        <v>0</v>
      </c>
      <c r="DQ867" s="236" t="n">
        <f aca="false" t="array" ref="DQ867:DQ867">IF(DQ866=0,0,IF(DQ866/'🎚️ Escenario'!$C$11&gt;=36,$AL$23,INDEX($C$23:$AL$23,MAX(1,ROUNDUP(DQ866/'🎚️ Escenario'!$C$11,0)))))</f>
        <v>0</v>
      </c>
      <c r="DR867" s="236" t="n">
        <f aca="false" t="array" ref="DR867:DR867">IF(DR866=0,0,IF(DR866/'🎚️ Escenario'!$C$11&gt;=36,$AL$23,INDEX($C$23:$AL$23,MAX(1,ROUNDUP(DR866/'🎚️ Escenario'!$C$11,0)))))</f>
        <v>0</v>
      </c>
      <c r="DS867" s="236" t="n">
        <f aca="false" t="array" ref="DS867:DS867">IF(DS866=0,0,IF(DS866/'🎚️ Escenario'!$C$11&gt;=36,$AL$23,INDEX($C$23:$AL$23,MAX(1,ROUNDUP(DS866/'🎚️ Escenario'!$C$11,0)))))</f>
        <v>0</v>
      </c>
      <c r="DT867" s="236" t="n">
        <f aca="false" t="array" ref="DT867:DT867">IF(DT866=0,0,IF(DT866/'🎚️ Escenario'!$C$11&gt;=36,$AL$23,INDEX($C$23:$AL$23,MAX(1,ROUNDUP(DT866/'🎚️ Escenario'!$C$11,0)))))</f>
        <v>0</v>
      </c>
      <c r="DU867" s="236" t="n">
        <f aca="false" t="array" ref="DU867:DU867">IF(DU866=0,0,IF(DU866/'🎚️ Escenario'!$C$11&gt;=36,$AL$23,INDEX($C$23:$AL$23,MAX(1,ROUNDUP(DU866/'🎚️ Escenario'!$C$11,0)))))</f>
        <v>0</v>
      </c>
      <c r="DV867" s="236" t="n">
        <f aca="false" t="array" ref="DV867:DV867">IF(DV866=0,0,IF(DV866/'🎚️ Escenario'!$C$11&gt;=36,$AL$23,INDEX($C$23:$AL$23,MAX(1,ROUNDUP(DV866/'🎚️ Escenario'!$C$11,0)))))</f>
        <v>0</v>
      </c>
      <c r="DW867" s="236" t="n">
        <f aca="false" t="array" ref="DW867:DW867">IF(DW866=0,0,IF(DW866/'🎚️ Escenario'!$C$11&gt;=36,$AL$23,INDEX($C$23:$AL$23,MAX(1,ROUNDUP(DW866/'🎚️ Escenario'!$C$11,0)))))</f>
        <v>0</v>
      </c>
      <c r="DX867" s="236" t="n">
        <f aca="false" t="array" ref="DX867:DX867">IF(DX866=0,0,IF(DX866/'🎚️ Escenario'!$C$11&gt;=36,$AL$23,INDEX($C$23:$AL$23,MAX(1,ROUNDUP(DX866/'🎚️ Escenario'!$C$11,0)))))</f>
        <v>0</v>
      </c>
      <c r="DY867" s="236" t="n">
        <f aca="false" t="array" ref="DY867:DY867">IF(DY866=0,0,IF(DY866/'🎚️ Escenario'!$C$11&gt;=36,$AL$23,INDEX($C$23:$AL$23,MAX(1,ROUNDUP(DY866/'🎚️ Escenario'!$C$11,0)))))</f>
        <v>0</v>
      </c>
      <c r="DZ867" s="236" t="n">
        <f aca="false" t="array" ref="DZ867:DZ867">IF(DZ866=0,0,IF(DZ866/'🎚️ Escenario'!$C$11&gt;=36,$AL$23,INDEX($C$23:$AL$23,MAX(1,ROUNDUP(DZ866/'🎚️ Escenario'!$C$11,0)))))</f>
        <v>0</v>
      </c>
      <c r="EA867" s="236" t="n">
        <f aca="false" t="array" ref="EA867:EA867">IF(EA866=0,0,IF(EA866/'🎚️ Escenario'!$C$11&gt;=36,$AL$23,INDEX($C$23:$AL$23,MAX(1,ROUNDUP(EA866/'🎚️ Escenario'!$C$11,0)))))</f>
        <v>0</v>
      </c>
      <c r="EB867" s="236" t="n">
        <f aca="false" t="array" ref="EB867:EB867">IF(EB866=0,0,IF(EB866/'🎚️ Escenario'!$C$11&gt;=36,$AL$23,INDEX($C$23:$AL$23,MAX(1,ROUNDUP(EB866/'🎚️ Escenario'!$C$11,0)))))</f>
        <v>0</v>
      </c>
      <c r="EC867" s="236" t="n">
        <f aca="false" t="array" ref="EC867:EC867">IF(EC866=0,0,IF(EC866/'🎚️ Escenario'!$C$11&gt;=36,$AL$23,INDEX($C$23:$AL$23,MAX(1,ROUNDUP(EC866/'🎚️ Escenario'!$C$11,0)))))</f>
        <v>0</v>
      </c>
      <c r="ED867" s="236" t="n">
        <f aca="false" t="array" ref="ED867:ED867">IF(ED866=0,0,IF(ED866/'🎚️ Escenario'!$C$11&gt;=36,$AL$23,INDEX($C$23:$AL$23,MAX(1,ROUNDUP(ED866/'🎚️ Escenario'!$C$11,0)))))</f>
        <v>0</v>
      </c>
      <c r="EE867" s="236" t="n">
        <f aca="false" t="array" ref="EE867:EE867">IF(EE866=0,0,IF(EE866/'🎚️ Escenario'!$C$11&gt;=36,$AL$23,INDEX($C$23:$AL$23,MAX(1,ROUNDUP(EE866/'🎚️ Escenario'!$C$11,0)))))</f>
        <v>0</v>
      </c>
      <c r="EF867" s="236" t="n">
        <f aca="false" t="array" ref="EF867:EF867">IF(EF866=0,0,IF(EF866/'🎚️ Escenario'!$C$11&gt;=36,$AL$23,INDEX($C$23:$AL$23,MAX(1,ROUNDUP(EF866/'🎚️ Escenario'!$C$11,0)))))</f>
        <v>0</v>
      </c>
      <c r="EG867" s="236" t="n">
        <f aca="false" t="array" ref="EG867:EG867">IF(EG866=0,0,IF(EG866/'🎚️ Escenario'!$C$11&gt;=36,$AL$23,INDEX($C$23:$AL$23,MAX(1,ROUNDUP(EG866/'🎚️ Escenario'!$C$11,0)))))</f>
        <v>0</v>
      </c>
      <c r="EH867" s="236" t="n">
        <f aca="false" t="array" ref="EH867:EH867">IF(EH866=0,0,IF(EH866/'🎚️ Escenario'!$C$11&gt;=36,$AL$23,INDEX($C$23:$AL$23,MAX(1,ROUNDUP(EH866/'🎚️ Escenario'!$C$11,0)))))</f>
        <v>0</v>
      </c>
      <c r="EI867" s="236" t="n">
        <f aca="false" t="array" ref="EI867:EI867">IF(EI866=0,0,IF(EI866/'🎚️ Escenario'!$C$11&gt;=36,$AL$23,INDEX($C$23:$AL$23,MAX(1,ROUNDUP(EI866/'🎚️ Escenario'!$C$11,0)))))</f>
        <v>0</v>
      </c>
      <c r="EJ867" s="236" t="n">
        <f aca="false" t="array" ref="EJ867:EJ867">IF(EJ866=0,0,IF(EJ866/'🎚️ Escenario'!$C$11&gt;=36,$AL$23,INDEX($C$23:$AL$23,MAX(1,ROUNDUP(EJ866/'🎚️ Escenario'!$C$11,0)))))</f>
        <v>0</v>
      </c>
      <c r="EK867" s="236" t="n">
        <f aca="false" t="array" ref="EK867:EK867">IF(EK866=0,0,IF(EK866/'🎚️ Escenario'!$C$11&gt;=36,$AL$23,INDEX($C$23:$AL$23,MAX(1,ROUNDUP(EK866/'🎚️ Escenario'!$C$11,0)))))</f>
        <v>0</v>
      </c>
      <c r="EL867" s="236" t="n">
        <f aca="false" t="array" ref="EL867:EL867">IF(EL866=0,0,IF(EL866/'🎚️ Escenario'!$C$11&gt;=36,$AL$23,INDEX($C$23:$AL$23,MAX(1,ROUNDUP(EL866/'🎚️ Escenario'!$C$11,0)))))</f>
        <v>0</v>
      </c>
      <c r="EM867" s="236" t="n">
        <f aca="false" t="array" ref="EM867:EM867">IF(EM866=0,0,IF(EM866/'🎚️ Escenario'!$C$11&gt;=36,$AL$23,INDEX($C$23:$AL$23,MAX(1,ROUNDUP(EM866/'🎚️ Escenario'!$C$11,0)))))</f>
        <v>0</v>
      </c>
      <c r="EN867" s="236" t="n">
        <f aca="false" t="array" ref="EN867:EN867">IF(EN866=0,0,IF(EN866/'🎚️ Escenario'!$C$11&gt;=36,$AL$23,INDEX($C$23:$AL$23,MAX(1,ROUNDUP(EN866/'🎚️ Escenario'!$C$11,0)))))</f>
        <v>0</v>
      </c>
      <c r="EO867" s="236" t="n">
        <f aca="false" t="array" ref="EO867:EO867">IF(EO866=0,0,IF(EO866/'🎚️ Escenario'!$C$11&gt;=36,$AL$23,INDEX($C$23:$AL$23,MAX(1,ROUNDUP(EO866/'🎚️ Escenario'!$C$11,0)))))</f>
        <v>0</v>
      </c>
      <c r="EP867" s="236" t="n">
        <f aca="false" t="array" ref="EP867:EP867">IF(EP866=0,0,IF(EP866/'🎚️ Escenario'!$C$11&gt;=36,$AL$23,INDEX($C$23:$AL$23,MAX(1,ROUNDUP(EP866/'🎚️ Escenario'!$C$11,0)))))</f>
        <v>0</v>
      </c>
      <c r="EQ867" s="236" t="n">
        <f aca="false" t="array" ref="EQ867:EQ867">IF(EQ866=0,0,IF(EQ866/'🎚️ Escenario'!$C$11&gt;=36,$AL$23,INDEX($C$23:$AL$23,MAX(1,ROUNDUP(EQ866/'🎚️ Escenario'!$C$11,0)))))</f>
        <v>0</v>
      </c>
      <c r="ER867" s="236" t="n">
        <f aca="false" t="array" ref="ER867:ER867">IF(ER866=0,0,IF(ER866/'🎚️ Escenario'!$C$11&gt;=36,$AL$23,INDEX($C$23:$AL$23,MAX(1,ROUNDUP(ER866/'🎚️ Escenario'!$C$11,0)))))</f>
        <v>0</v>
      </c>
      <c r="ES867" s="9" t="n">
        <f aca="false" t="array" ref="ES867:ES867">IF(ES866=0,0,IF(ES866/'🎚️ Escenario'!$C$11&gt;=36,$AL$23,INDEX($C$23:$AL$23,MAX(1,ROUNDUP(ES866/'🎚️ Escenario'!$C$11,0)))))</f>
        <v>0</v>
      </c>
      <c r="ET867" s="9" t="n">
        <f aca="false" t="array" ref="ET867:ET867">IF(ET866=0,0,IF(ET866/'🎚️ Escenario'!$C$11&gt;=36,$AL$23,INDEX($C$23:$AL$23,MAX(1,ROUNDUP(ET866/'🎚️ Escenario'!$C$11,0)))))</f>
        <v>0</v>
      </c>
      <c r="EU867" s="9" t="n">
        <f aca="false" t="array" ref="EU867:EU867">IF(EU866=0,0,IF(EU866/'🎚️ Escenario'!$C$11&gt;=36,$AL$23,INDEX($C$23:$AL$23,MAX(1,ROUNDUP(EU866/'🎚️ Escenario'!$C$11,0)))))</f>
        <v>0</v>
      </c>
      <c r="EV867" s="9" t="n">
        <f aca="false" t="array" ref="EV867:EV867">IF(EV866=0,0,IF(EV866/'🎚️ Escenario'!$C$11&gt;=36,$AL$23,INDEX($C$23:$AL$23,MAX(1,ROUNDUP(EV866/'🎚️ Escenario'!$C$11,0)))))</f>
        <v>0</v>
      </c>
      <c r="EW867" s="9" t="n">
        <f aca="false" t="array" ref="EW867:EW867">IF(EW866=0,0,IF(EW866/'🎚️ Escenario'!$C$11&gt;=36,$AL$23,INDEX($C$23:$AL$23,MAX(1,ROUNDUP(EW866/'🎚️ Escenario'!$C$11,0)))))</f>
        <v>0</v>
      </c>
      <c r="EX867" s="9" t="n">
        <f aca="false" t="array" ref="EX867:EX867">IF(EX866=0,0,IF(EX866/'🎚️ Escenario'!$C$11&gt;=36,$AL$23,INDEX($C$23:$AL$23,MAX(1,ROUNDUP(EX866/'🎚️ Escenario'!$C$11,0)))))</f>
        <v>0</v>
      </c>
      <c r="EY867" s="9" t="n">
        <f aca="false" t="array" ref="EY867:EY867">IF(EY866=0,0,IF(EY866/'🎚️ Escenario'!$C$11&gt;=36,$AL$23,INDEX($C$23:$AL$23,MAX(1,ROUNDUP(EY866/'🎚️ Escenario'!$C$11,0)))))</f>
        <v>0</v>
      </c>
      <c r="EZ867" s="9" t="n">
        <f aca="false" t="array" ref="EZ867:EZ867">IF(EZ866=0,0,IF(EZ866/'🎚️ Escenario'!$C$11&gt;=36,$AL$23,INDEX($C$23:$AL$23,MAX(1,ROUNDUP(EZ866/'🎚️ Escenario'!$C$11,0)))))</f>
        <v>0</v>
      </c>
      <c r="FA867" s="9" t="n">
        <f aca="false" t="array" ref="FA867:FA867">IF(FA866=0,0,IF(FA866/'🎚️ Escenario'!$C$11&gt;=36,$AL$23,INDEX($C$23:$AL$23,MAX(1,ROUNDUP(FA866/'🎚️ Escenario'!$C$11,0)))))</f>
        <v>0</v>
      </c>
      <c r="FB867" s="9" t="n">
        <f aca="false" t="array" ref="FB867:FB867">IF(FB866=0,0,IF(FB866/'🎚️ Escenario'!$C$11&gt;=36,$AL$23,INDEX($C$23:$AL$23,MAX(1,ROUNDUP(FB866/'🎚️ Escenario'!$C$11,0)))))</f>
        <v>0</v>
      </c>
      <c r="FC867" s="9" t="n">
        <f aca="false" t="array" ref="FC867:FC867">IF(FC866=0,0,IF(FC866/'🎚️ Escenario'!$C$11&gt;=36,$AL$23,INDEX($C$23:$AL$23,MAX(1,ROUNDUP(FC866/'🎚️ Escenario'!$C$11,0)))))</f>
        <v>0</v>
      </c>
      <c r="FD867" s="9" t="n">
        <f aca="false" t="array" ref="FD867:FD867">IF(FD866=0,0,IF(FD866/'🎚️ Escenario'!$C$11&gt;=36,$AL$23,INDEX($C$23:$AL$23,MAX(1,ROUNDUP(FD866/'🎚️ Escenario'!$C$11,0)))))</f>
        <v>0</v>
      </c>
      <c r="FE867" s="9" t="n">
        <f aca="false" t="array" ref="FE867:FE867">IF(FE866=0,0,IF(FE866/'🎚️ Escenario'!$C$11&gt;=36,$AL$23,INDEX($C$23:$AL$23,MAX(1,ROUNDUP(FE866/'🎚️ Escenario'!$C$11,0)))))</f>
        <v>0</v>
      </c>
      <c r="FF867" s="9" t="n">
        <f aca="false" t="array" ref="FF867:FF867">IF(FF866=0,0,IF(FF866/'🎚️ Escenario'!$C$11&gt;=36,$AL$23,INDEX($C$23:$AL$23,MAX(1,ROUNDUP(FF866/'🎚️ Escenario'!$C$11,0)))))</f>
        <v>0</v>
      </c>
      <c r="FG867" s="9" t="n">
        <f aca="false" t="array" ref="FG867:FG867">IF(FG866=0,0,IF(FG866/'🎚️ Escenario'!$C$11&gt;=36,$AL$23,INDEX($C$23:$AL$23,MAX(1,ROUNDUP(FG866/'🎚️ Escenario'!$C$11,0)))))</f>
        <v>0</v>
      </c>
      <c r="FH867" s="9" t="n">
        <f aca="false" t="array" ref="FH867:FH867">IF(FH866=0,0,IF(FH866/'🎚️ Escenario'!$C$11&gt;=36,$AL$23,INDEX($C$23:$AL$23,MAX(1,ROUNDUP(FH866/'🎚️ Escenario'!$C$11,0)))))</f>
        <v>0</v>
      </c>
      <c r="FI867" s="9" t="n">
        <f aca="false" t="array" ref="FI867:FI867">IF(FI866=0,0,IF(FI866/'🎚️ Escenario'!$C$11&gt;=36,$AL$23,INDEX($C$23:$AL$23,MAX(1,ROUNDUP(FI866/'🎚️ Escenario'!$C$11,0)))))</f>
        <v>0</v>
      </c>
      <c r="FJ867" s="9" t="n">
        <f aca="false" t="array" ref="FJ867:FJ867">IF(FJ866=0,0,IF(FJ866/'🎚️ Escenario'!$C$11&gt;=36,$AL$23,INDEX($C$23:$AL$23,MAX(1,ROUNDUP(FJ866/'🎚️ Escenario'!$C$11,0)))))</f>
        <v>0</v>
      </c>
      <c r="FK867" s="9" t="n">
        <f aca="false" t="array" ref="FK867:FK867">IF(FK866=0,0,IF(FK866/'🎚️ Escenario'!$C$11&gt;=36,$AL$23,INDEX($C$23:$AL$23,MAX(1,ROUNDUP(FK866/'🎚️ Escenario'!$C$11,0)))))</f>
        <v>0.2</v>
      </c>
      <c r="FL867" s="9" t="n">
        <f aca="false" t="array" ref="FL867:FL867">IF(FL866=0,0,IF(FL866/'🎚️ Escenario'!$C$11&gt;=36,$AL$23,INDEX($C$23:$AL$23,MAX(1,ROUNDUP(FL866/'🎚️ Escenario'!$C$11,0)))))</f>
        <v>0.22</v>
      </c>
      <c r="FM867" s="9" t="n">
        <f aca="false" t="array" ref="FM867:FM867">IF(FM866=0,0,IF(FM866/'🎚️ Escenario'!$C$11&gt;=36,$AL$23,INDEX($C$23:$AL$23,MAX(1,ROUNDUP(FM866/'🎚️ Escenario'!$C$11,0)))))</f>
        <v>0.24</v>
      </c>
      <c r="FN867" s="9" t="n">
        <f aca="false" t="array" ref="FN867:FN867">IF(FN866=0,0,IF(FN866/'🎚️ Escenario'!$C$11&gt;=36,$AL$23,INDEX($C$23:$AL$23,MAX(1,ROUNDUP(FN866/'🎚️ Escenario'!$C$11,0)))))</f>
        <v>0.27</v>
      </c>
      <c r="FO867" s="9" t="n">
        <f aca="false" t="array" ref="FO867:FO867">IF(FO866=0,0,IF(FO866/'🎚️ Escenario'!$C$11&gt;=36,$AL$23,INDEX($C$23:$AL$23,MAX(1,ROUNDUP(FO866/'🎚️ Escenario'!$C$11,0)))))</f>
        <v>0.27</v>
      </c>
      <c r="FP867" s="9" t="n">
        <f aca="false" t="array" ref="FP867:FP867">IF(FP866=0,0,IF(FP866/'🎚️ Escenario'!$C$11&gt;=36,$AL$23,INDEX($C$23:$AL$23,MAX(1,ROUNDUP(FP866/'🎚️ Escenario'!$C$11,0)))))</f>
        <v>0.31</v>
      </c>
    </row>
    <row r="868" customFormat="false" ht="15" hidden="false" customHeight="false" outlineLevel="2" collapsed="false">
      <c r="B868" s="9" t="s">
        <v>875</v>
      </c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237" t="n">
        <f aca="false">IF(AC866=0,0,IF(AC866&lt;=12*'🎚️ Escenario'!$C$11,1,1+$C$6))</f>
        <v>0</v>
      </c>
      <c r="AD868" s="237" t="n">
        <f aca="false">IF(AD866=0,0,IF(AD866&lt;=12*'🎚️ Escenario'!$C$11,1,1+$C$6))</f>
        <v>0</v>
      </c>
      <c r="AE868" s="237" t="n">
        <f aca="false">IF(AE866=0,0,IF(AE866&lt;=12*'🎚️ Escenario'!$C$11,1,1+$C$6))</f>
        <v>0</v>
      </c>
      <c r="AF868" s="237" t="n">
        <f aca="false">IF(AF866=0,0,IF(AF866&lt;=12*'🎚️ Escenario'!$C$11,1,1+$C$6))</f>
        <v>0</v>
      </c>
      <c r="AG868" s="237" t="n">
        <f aca="false">IF(AG866=0,0,IF(AG866&lt;=12*'🎚️ Escenario'!$C$11,1,1+$C$6))</f>
        <v>0</v>
      </c>
      <c r="AH868" s="237" t="n">
        <f aca="false">IF(AH866=0,0,IF(AH866&lt;=12*'🎚️ Escenario'!$C$11,1,1+$C$6))</f>
        <v>0</v>
      </c>
      <c r="AI868" s="237" t="n">
        <f aca="false">IF(AI866=0,0,IF(AI866&lt;=12*'🎚️ Escenario'!$C$11,1,1+$C$6))</f>
        <v>0</v>
      </c>
      <c r="AJ868" s="237" t="n">
        <f aca="false">IF(AJ866=0,0,IF(AJ866&lt;=12*'🎚️ Escenario'!$C$11,1,1+$C$6))</f>
        <v>0</v>
      </c>
      <c r="AK868" s="237" t="n">
        <f aca="false">IF(AK866=0,0,IF(AK866&lt;=12*'🎚️ Escenario'!$C$11,1,1+$C$6))</f>
        <v>0</v>
      </c>
      <c r="AL868" s="237" t="n">
        <f aca="false">IF(AL866=0,0,IF(AL866&lt;=12*'🎚️ Escenario'!$C$11,1,1+$C$6))</f>
        <v>0</v>
      </c>
      <c r="AM868" s="237" t="n">
        <f aca="false">IF(AM866=0,0,IF(AM866&lt;=12*'🎚️ Escenario'!$C$11,1,1+$C$6))</f>
        <v>0</v>
      </c>
      <c r="AN868" s="237" t="n">
        <f aca="false">IF(AN866=0,0,IF(AN866&lt;=12*'🎚️ Escenario'!$C$11,1,1+$C$6))</f>
        <v>0</v>
      </c>
      <c r="AO868" s="237" t="n">
        <f aca="false">IF(AO866=0,0,IF(AO866&lt;=12*'🎚️ Escenario'!$C$11,1,1+$C$6))</f>
        <v>0</v>
      </c>
      <c r="AP868" s="237" t="n">
        <f aca="false">IF(AP866=0,0,IF(AP866&lt;=12*'🎚️ Escenario'!$C$11,1,1+$C$6))</f>
        <v>0</v>
      </c>
      <c r="AQ868" s="237" t="n">
        <f aca="false">IF(AQ866=0,0,IF(AQ866&lt;=12*'🎚️ Escenario'!$C$11,1,1+$C$6))</f>
        <v>0</v>
      </c>
      <c r="AR868" s="237" t="n">
        <f aca="false">IF(AR866=0,0,IF(AR866&lt;=12*'🎚️ Escenario'!$C$11,1,1+$C$6))</f>
        <v>0</v>
      </c>
      <c r="AS868" s="237" t="n">
        <f aca="false">IF(AS866=0,0,IF(AS866&lt;=12*'🎚️ Escenario'!$C$11,1,1+$C$6))</f>
        <v>0</v>
      </c>
      <c r="AT868" s="237" t="n">
        <f aca="false">IF(AT866=0,0,IF(AT866&lt;=12*'🎚️ Escenario'!$C$11,1,1+$C$6))</f>
        <v>0</v>
      </c>
      <c r="AU868" s="237" t="n">
        <f aca="false">IF(AU866=0,0,IF(AU866&lt;=12*'🎚️ Escenario'!$C$11,1,1+$C$6))</f>
        <v>0</v>
      </c>
      <c r="AV868" s="237" t="n">
        <f aca="false">IF(AV866=0,0,IF(AV866&lt;=12*'🎚️ Escenario'!$C$11,1,1+$C$6))</f>
        <v>0</v>
      </c>
      <c r="AW868" s="237" t="n">
        <f aca="false">IF(AW866=0,0,IF(AW866&lt;=12*'🎚️ Escenario'!$C$11,1,1+$C$6))</f>
        <v>0</v>
      </c>
      <c r="AX868" s="237" t="n">
        <f aca="false">IF(AX866=0,0,IF(AX866&lt;=12*'🎚️ Escenario'!$C$11,1,1+$C$6))</f>
        <v>0</v>
      </c>
      <c r="AY868" s="237" t="n">
        <f aca="false">IF(AY866=0,0,IF(AY866&lt;=12*'🎚️ Escenario'!$C$11,1,1+$C$6))</f>
        <v>0</v>
      </c>
      <c r="AZ868" s="237" t="n">
        <f aca="false">IF(AZ866=0,0,IF(AZ866&lt;=12*'🎚️ Escenario'!$C$11,1,1+$C$6))</f>
        <v>0</v>
      </c>
      <c r="BA868" s="237" t="n">
        <f aca="false">IF(BA866=0,0,IF(BA866&lt;=12*'🎚️ Escenario'!$C$11,1,1+$C$6))</f>
        <v>0</v>
      </c>
      <c r="BB868" s="237" t="n">
        <f aca="false">IF(BB866=0,0,IF(BB866&lt;=12*'🎚️ Escenario'!$C$11,1,1+$C$6))</f>
        <v>0</v>
      </c>
      <c r="BC868" s="237" t="n">
        <f aca="false">IF(BC866=0,0,IF(BC866&lt;=12*'🎚️ Escenario'!$C$11,1,1+$C$6))</f>
        <v>0</v>
      </c>
      <c r="BD868" s="237" t="n">
        <f aca="false">IF(BD866=0,0,IF(BD866&lt;=12*'🎚️ Escenario'!$C$11,1,1+$C$6))</f>
        <v>0</v>
      </c>
      <c r="BE868" s="237" t="n">
        <f aca="false">IF(BE866=0,0,IF(BE866&lt;=12*'🎚️ Escenario'!$C$11,1,1+$C$6))</f>
        <v>0</v>
      </c>
      <c r="BF868" s="237" t="n">
        <f aca="false">IF(BF866=0,0,IF(BF866&lt;=12*'🎚️ Escenario'!$C$11,1,1+$C$6))</f>
        <v>0</v>
      </c>
      <c r="BG868" s="237" t="n">
        <f aca="false">IF(BG866=0,0,IF(BG866&lt;=12*'🎚️ Escenario'!$C$11,1,1+$C$6))</f>
        <v>0</v>
      </c>
      <c r="BH868" s="237" t="n">
        <f aca="false">IF(BH866=0,0,IF(BH866&lt;=12*'🎚️ Escenario'!$C$11,1,1+$C$6))</f>
        <v>0</v>
      </c>
      <c r="BI868" s="237" t="n">
        <f aca="false">IF(BI866=0,0,IF(BI866&lt;=12*'🎚️ Escenario'!$C$11,1,1+$C$6))</f>
        <v>0</v>
      </c>
      <c r="BJ868" s="237" t="n">
        <f aca="false">IF(BJ866=0,0,IF(BJ866&lt;=12*'🎚️ Escenario'!$C$11,1,1+$C$6))</f>
        <v>0</v>
      </c>
      <c r="BK868" s="237" t="n">
        <f aca="false">IF(BK866=0,0,IF(BK866&lt;=12*'🎚️ Escenario'!$C$11,1,1+$C$6))</f>
        <v>0</v>
      </c>
      <c r="BL868" s="237" t="n">
        <f aca="false">IF(BL866=0,0,IF(BL866&lt;=12*'🎚️ Escenario'!$C$11,1,1+$C$6))</f>
        <v>0</v>
      </c>
      <c r="BM868" s="237" t="n">
        <f aca="false">IF(BM866=0,0,IF(BM866&lt;=12*'🎚️ Escenario'!$C$11,1,1+$C$6))</f>
        <v>0</v>
      </c>
      <c r="BN868" s="237" t="n">
        <f aca="false">IF(BN866=0,0,IF(BN866&lt;=12*'🎚️ Escenario'!$C$11,1,1+$C$6))</f>
        <v>0</v>
      </c>
      <c r="BO868" s="237" t="n">
        <f aca="false">IF(BO866=0,0,IF(BO866&lt;=12*'🎚️ Escenario'!$C$11,1,1+$C$6))</f>
        <v>0</v>
      </c>
      <c r="BP868" s="237" t="n">
        <f aca="false">IF(BP866=0,0,IF(BP866&lt;=12*'🎚️ Escenario'!$C$11,1,1+$C$6))</f>
        <v>0</v>
      </c>
      <c r="BQ868" s="237" t="n">
        <f aca="false">IF(BQ866=0,0,IF(BQ866&lt;=12*'🎚️ Escenario'!$C$11,1,1+$C$6))</f>
        <v>0</v>
      </c>
      <c r="BR868" s="237" t="n">
        <f aca="false">IF(BR866=0,0,IF(BR866&lt;=12*'🎚️ Escenario'!$C$11,1,1+$C$6))</f>
        <v>0</v>
      </c>
      <c r="BS868" s="237" t="n">
        <f aca="false">IF(BS866=0,0,IF(BS866&lt;=12*'🎚️ Escenario'!$C$11,1,1+$C$6))</f>
        <v>0</v>
      </c>
      <c r="BT868" s="237" t="n">
        <f aca="false">IF(BT866=0,0,IF(BT866&lt;=12*'🎚️ Escenario'!$C$11,1,1+$C$6))</f>
        <v>0</v>
      </c>
      <c r="BU868" s="237" t="n">
        <f aca="false">IF(BU866=0,0,IF(BU866&lt;=12*'🎚️ Escenario'!$C$11,1,1+$C$6))</f>
        <v>0</v>
      </c>
      <c r="BV868" s="237" t="n">
        <f aca="false">IF(BV866=0,0,IF(BV866&lt;=12*'🎚️ Escenario'!$C$11,1,1+$C$6))</f>
        <v>0</v>
      </c>
      <c r="BW868" s="237" t="n">
        <f aca="false">IF(BW866=0,0,IF(BW866&lt;=12*'🎚️ Escenario'!$C$11,1,1+$C$6))</f>
        <v>0</v>
      </c>
      <c r="BX868" s="237" t="n">
        <f aca="false">IF(BX866=0,0,IF(BX866&lt;=12*'🎚️ Escenario'!$C$11,1,1+$C$6))</f>
        <v>0</v>
      </c>
      <c r="BY868" s="237" t="n">
        <f aca="false">IF(BY866=0,0,IF(BY866&lt;=12*'🎚️ Escenario'!$C$11,1,1+$C$6))</f>
        <v>0</v>
      </c>
      <c r="BZ868" s="237" t="n">
        <f aca="false">IF(BZ866=0,0,IF(BZ866&lt;=12*'🎚️ Escenario'!$C$11,1,1+$C$6))</f>
        <v>0</v>
      </c>
      <c r="CA868" s="237" t="n">
        <f aca="false">IF(CA866=0,0,IF(CA866&lt;=12*'🎚️ Escenario'!$C$11,1,1+$C$6))</f>
        <v>0</v>
      </c>
      <c r="CB868" s="237" t="n">
        <f aca="false">IF(CB866=0,0,IF(CB866&lt;=12*'🎚️ Escenario'!$C$11,1,1+$C$6))</f>
        <v>0</v>
      </c>
      <c r="CC868" s="237" t="n">
        <f aca="false">IF(CC866=0,0,IF(CC866&lt;=12*'🎚️ Escenario'!$C$11,1,1+$C$6))</f>
        <v>0</v>
      </c>
      <c r="CD868" s="237" t="n">
        <f aca="false">IF(CD866=0,0,IF(CD866&lt;=12*'🎚️ Escenario'!$C$11,1,1+$C$6))</f>
        <v>0</v>
      </c>
      <c r="CE868" s="237" t="n">
        <f aca="false">IF(CE866=0,0,IF(CE866&lt;=12*'🎚️ Escenario'!$C$11,1,1+$C$6))</f>
        <v>0</v>
      </c>
      <c r="CF868" s="237" t="n">
        <f aca="false">IF(CF866=0,0,IF(CF866&lt;=12*'🎚️ Escenario'!$C$11,1,1+$C$6))</f>
        <v>0</v>
      </c>
      <c r="CG868" s="237" t="n">
        <f aca="false">IF(CG866=0,0,IF(CG866&lt;=12*'🎚️ Escenario'!$C$11,1,1+$C$6))</f>
        <v>0</v>
      </c>
      <c r="CH868" s="237" t="n">
        <f aca="false">IF(CH866=0,0,IF(CH866&lt;=12*'🎚️ Escenario'!$C$11,1,1+$C$6))</f>
        <v>0</v>
      </c>
      <c r="CI868" s="237" t="n">
        <f aca="false">IF(CI866=0,0,IF(CI866&lt;=12*'🎚️ Escenario'!$C$11,1,1+$C$6))</f>
        <v>0</v>
      </c>
      <c r="CJ868" s="237" t="n">
        <f aca="false">IF(CJ866=0,0,IF(CJ866&lt;=12*'🎚️ Escenario'!$C$11,1,1+$C$6))</f>
        <v>0</v>
      </c>
      <c r="CK868" s="237" t="n">
        <f aca="false">IF(CK866=0,0,IF(CK866&lt;=12*'🎚️ Escenario'!$C$11,1,1+$C$6))</f>
        <v>0</v>
      </c>
      <c r="CL868" s="237" t="n">
        <f aca="false">IF(CL866=0,0,IF(CL866&lt;=12*'🎚️ Escenario'!$C$11,1,1+$C$6))</f>
        <v>0</v>
      </c>
      <c r="CM868" s="237" t="n">
        <f aca="false">IF(CM866=0,0,IF(CM866&lt;=12*'🎚️ Escenario'!$C$11,1,1+$C$6))</f>
        <v>0</v>
      </c>
      <c r="CN868" s="237" t="n">
        <f aca="false">IF(CN866=0,0,IF(CN866&lt;=12*'🎚️ Escenario'!$C$11,1,1+$C$6))</f>
        <v>0</v>
      </c>
      <c r="CO868" s="237" t="n">
        <f aca="false">IF(CO866=0,0,IF(CO866&lt;=12*'🎚️ Escenario'!$C$11,1,1+$C$6))</f>
        <v>0</v>
      </c>
      <c r="CP868" s="237" t="n">
        <f aca="false">IF(CP866=0,0,IF(CP866&lt;=12*'🎚️ Escenario'!$C$11,1,1+$C$6))</f>
        <v>0</v>
      </c>
      <c r="CQ868" s="237" t="n">
        <f aca="false">IF(CQ866=0,0,IF(CQ866&lt;=12*'🎚️ Escenario'!$C$11,1,1+$C$6))</f>
        <v>0</v>
      </c>
      <c r="CR868" s="237" t="n">
        <f aca="false">IF(CR866=0,0,IF(CR866&lt;=12*'🎚️ Escenario'!$C$11,1,1+$C$6))</f>
        <v>0</v>
      </c>
      <c r="CS868" s="237" t="n">
        <f aca="false">IF(CS866=0,0,IF(CS866&lt;=12*'🎚️ Escenario'!$C$11,1,1+$C$6))</f>
        <v>0</v>
      </c>
      <c r="CT868" s="237" t="n">
        <f aca="false">IF(CT866=0,0,IF(CT866&lt;=12*'🎚️ Escenario'!$C$11,1,1+$C$6))</f>
        <v>0</v>
      </c>
      <c r="CU868" s="237" t="n">
        <f aca="false">IF(CU866=0,0,IF(CU866&lt;=12*'🎚️ Escenario'!$C$11,1,1+$C$6))</f>
        <v>0</v>
      </c>
      <c r="CV868" s="237" t="n">
        <f aca="false">IF(CV866=0,0,IF(CV866&lt;=12*'🎚️ Escenario'!$C$11,1,1+$C$6))</f>
        <v>0</v>
      </c>
      <c r="CW868" s="237" t="n">
        <f aca="false">IF(CW866=0,0,IF(CW866&lt;=12*'🎚️ Escenario'!$C$11,1,1+$C$6))</f>
        <v>0</v>
      </c>
      <c r="CX868" s="237" t="n">
        <f aca="false">IF(CX866=0,0,IF(CX866&lt;=12*'🎚️ Escenario'!$C$11,1,1+$C$6))</f>
        <v>0</v>
      </c>
      <c r="CY868" s="237" t="n">
        <f aca="false">IF(CY866=0,0,IF(CY866&lt;=12*'🎚️ Escenario'!$C$11,1,1+$C$6))</f>
        <v>0</v>
      </c>
      <c r="CZ868" s="237" t="n">
        <f aca="false">IF(CZ866=0,0,IF(CZ866&lt;=12*'🎚️ Escenario'!$C$11,1,1+$C$6))</f>
        <v>0</v>
      </c>
      <c r="DA868" s="237" t="n">
        <f aca="false">IF(DA866=0,0,IF(DA866&lt;=12*'🎚️ Escenario'!$C$11,1,1+$C$6))</f>
        <v>0</v>
      </c>
      <c r="DB868" s="237" t="n">
        <f aca="false">IF(DB866=0,0,IF(DB866&lt;=12*'🎚️ Escenario'!$C$11,1,1+$C$6))</f>
        <v>0</v>
      </c>
      <c r="DC868" s="237" t="n">
        <f aca="false">IF(DC866=0,0,IF(DC866&lt;=12*'🎚️ Escenario'!$C$11,1,1+$C$6))</f>
        <v>0</v>
      </c>
      <c r="DD868" s="237" t="n">
        <f aca="false">IF(DD866=0,0,IF(DD866&lt;=12*'🎚️ Escenario'!$C$11,1,1+$C$6))</f>
        <v>0</v>
      </c>
      <c r="DE868" s="237" t="n">
        <f aca="false">IF(DE866=0,0,IF(DE866&lt;=12*'🎚️ Escenario'!$C$11,1,1+$C$6))</f>
        <v>0</v>
      </c>
      <c r="DF868" s="237" t="n">
        <f aca="false">IF(DF866=0,0,IF(DF866&lt;=12*'🎚️ Escenario'!$C$11,1,1+$C$6))</f>
        <v>0</v>
      </c>
      <c r="DG868" s="237" t="n">
        <f aca="false">IF(DG866=0,0,IF(DG866&lt;=12*'🎚️ Escenario'!$C$11,1,1+$C$6))</f>
        <v>0</v>
      </c>
      <c r="DH868" s="237" t="n">
        <f aca="false">IF(DH866=0,0,IF(DH866&lt;=12*'🎚️ Escenario'!$C$11,1,1+$C$6))</f>
        <v>0</v>
      </c>
      <c r="DI868" s="237" t="n">
        <f aca="false">IF(DI866=0,0,IF(DI866&lt;=12*'🎚️ Escenario'!$C$11,1,1+$C$6))</f>
        <v>0</v>
      </c>
      <c r="DJ868" s="237" t="n">
        <f aca="false">IF(DJ866=0,0,IF(DJ866&lt;=12*'🎚️ Escenario'!$C$11,1,1+$C$6))</f>
        <v>0</v>
      </c>
      <c r="DK868" s="237" t="n">
        <f aca="false">IF(DK866=0,0,IF(DK866&lt;=12*'🎚️ Escenario'!$C$11,1,1+$C$6))</f>
        <v>0</v>
      </c>
      <c r="DL868" s="237" t="n">
        <f aca="false">IF(DL866=0,0,IF(DL866&lt;=12*'🎚️ Escenario'!$C$11,1,1+$C$6))</f>
        <v>0</v>
      </c>
      <c r="DM868" s="237" t="n">
        <f aca="false">IF(DM866=0,0,IF(DM866&lt;=12*'🎚️ Escenario'!$C$11,1,1+$C$6))</f>
        <v>0</v>
      </c>
      <c r="DN868" s="237" t="n">
        <f aca="false">IF(DN866=0,0,IF(DN866&lt;=12*'🎚️ Escenario'!$C$11,1,1+$C$6))</f>
        <v>0</v>
      </c>
      <c r="DO868" s="237" t="n">
        <f aca="false">IF(DO866=0,0,IF(DO866&lt;=12*'🎚️ Escenario'!$C$11,1,1+$C$6))</f>
        <v>0</v>
      </c>
      <c r="DP868" s="237" t="n">
        <f aca="false">IF(DP866=0,0,IF(DP866&lt;=12*'🎚️ Escenario'!$C$11,1,1+$C$6))</f>
        <v>0</v>
      </c>
      <c r="DQ868" s="237" t="n">
        <f aca="false">IF(DQ866=0,0,IF(DQ866&lt;=12*'🎚️ Escenario'!$C$11,1,1+$C$6))</f>
        <v>0</v>
      </c>
      <c r="DR868" s="237" t="n">
        <f aca="false">IF(DR866=0,0,IF(DR866&lt;=12*'🎚️ Escenario'!$C$11,1,1+$C$6))</f>
        <v>0</v>
      </c>
      <c r="DS868" s="237" t="n">
        <f aca="false">IF(DS866=0,0,IF(DS866&lt;=12*'🎚️ Escenario'!$C$11,1,1+$C$6))</f>
        <v>0</v>
      </c>
      <c r="DT868" s="237" t="n">
        <f aca="false">IF(DT866=0,0,IF(DT866&lt;=12*'🎚️ Escenario'!$C$11,1,1+$C$6))</f>
        <v>0</v>
      </c>
      <c r="DU868" s="237" t="n">
        <f aca="false">IF(DU866=0,0,IF(DU866&lt;=12*'🎚️ Escenario'!$C$11,1,1+$C$6))</f>
        <v>0</v>
      </c>
      <c r="DV868" s="237" t="n">
        <f aca="false">IF(DV866=0,0,IF(DV866&lt;=12*'🎚️ Escenario'!$C$11,1,1+$C$6))</f>
        <v>0</v>
      </c>
      <c r="DW868" s="237" t="n">
        <f aca="false">IF(DW866=0,0,IF(DW866&lt;=12*'🎚️ Escenario'!$C$11,1,1+$C$6))</f>
        <v>0</v>
      </c>
      <c r="DX868" s="237" t="n">
        <f aca="false">IF(DX866=0,0,IF(DX866&lt;=12*'🎚️ Escenario'!$C$11,1,1+$C$6))</f>
        <v>0</v>
      </c>
      <c r="DY868" s="237" t="n">
        <f aca="false">IF(DY866=0,0,IF(DY866&lt;=12*'🎚️ Escenario'!$C$11,1,1+$C$6))</f>
        <v>0</v>
      </c>
      <c r="DZ868" s="237" t="n">
        <f aca="false">IF(DZ866=0,0,IF(DZ866&lt;=12*'🎚️ Escenario'!$C$11,1,1+$C$6))</f>
        <v>0</v>
      </c>
      <c r="EA868" s="237" t="n">
        <f aca="false">IF(EA866=0,0,IF(EA866&lt;=12*'🎚️ Escenario'!$C$11,1,1+$C$6))</f>
        <v>0</v>
      </c>
      <c r="EB868" s="237" t="n">
        <f aca="false">IF(EB866=0,0,IF(EB866&lt;=12*'🎚️ Escenario'!$C$11,1,1+$C$6))</f>
        <v>0</v>
      </c>
      <c r="EC868" s="237" t="n">
        <f aca="false">IF(EC866=0,0,IF(EC866&lt;=12*'🎚️ Escenario'!$C$11,1,1+$C$6))</f>
        <v>0</v>
      </c>
      <c r="ED868" s="237" t="n">
        <f aca="false">IF(ED866=0,0,IF(ED866&lt;=12*'🎚️ Escenario'!$C$11,1,1+$C$6))</f>
        <v>0</v>
      </c>
      <c r="EE868" s="237" t="n">
        <f aca="false">IF(EE866=0,0,IF(EE866&lt;=12*'🎚️ Escenario'!$C$11,1,1+$C$6))</f>
        <v>0</v>
      </c>
      <c r="EF868" s="237" t="n">
        <f aca="false">IF(EF866=0,0,IF(EF866&lt;=12*'🎚️ Escenario'!$C$11,1,1+$C$6))</f>
        <v>0</v>
      </c>
      <c r="EG868" s="237" t="n">
        <f aca="false">IF(EG866=0,0,IF(EG866&lt;=12*'🎚️ Escenario'!$C$11,1,1+$C$6))</f>
        <v>0</v>
      </c>
      <c r="EH868" s="237" t="n">
        <f aca="false">IF(EH866=0,0,IF(EH866&lt;=12*'🎚️ Escenario'!$C$11,1,1+$C$6))</f>
        <v>0</v>
      </c>
      <c r="EI868" s="237" t="n">
        <f aca="false">IF(EI866=0,0,IF(EI866&lt;=12*'🎚️ Escenario'!$C$11,1,1+$C$6))</f>
        <v>0</v>
      </c>
      <c r="EJ868" s="237" t="n">
        <f aca="false">IF(EJ866=0,0,IF(EJ866&lt;=12*'🎚️ Escenario'!$C$11,1,1+$C$6))</f>
        <v>0</v>
      </c>
      <c r="EK868" s="237" t="n">
        <f aca="false">IF(EK866=0,0,IF(EK866&lt;=12*'🎚️ Escenario'!$C$11,1,1+$C$6))</f>
        <v>0</v>
      </c>
      <c r="EL868" s="237" t="n">
        <f aca="false">IF(EL866=0,0,IF(EL866&lt;=12*'🎚️ Escenario'!$C$11,1,1+$C$6))</f>
        <v>0</v>
      </c>
      <c r="EM868" s="237" t="n">
        <f aca="false">IF(EM866=0,0,IF(EM866&lt;=12*'🎚️ Escenario'!$C$11,1,1+$C$6))</f>
        <v>0</v>
      </c>
      <c r="EN868" s="237" t="n">
        <f aca="false">IF(EN866=0,0,IF(EN866&lt;=12*'🎚️ Escenario'!$C$11,1,1+$C$6))</f>
        <v>0</v>
      </c>
      <c r="EO868" s="237" t="n">
        <f aca="false">IF(EO866=0,0,IF(EO866&lt;=12*'🎚️ Escenario'!$C$11,1,1+$C$6))</f>
        <v>0</v>
      </c>
      <c r="EP868" s="237" t="n">
        <f aca="false">IF(EP866=0,0,IF(EP866&lt;=12*'🎚️ Escenario'!$C$11,1,1+$C$6))</f>
        <v>0</v>
      </c>
      <c r="EQ868" s="237" t="n">
        <f aca="false">IF(EQ866=0,0,IF(EQ866&lt;=12*'🎚️ Escenario'!$C$11,1,1+$C$6))</f>
        <v>0</v>
      </c>
      <c r="ER868" s="237" t="n">
        <f aca="false">IF(ER866=0,0,IF(ER866&lt;=12*'🎚️ Escenario'!$C$11,1,1+$C$6))</f>
        <v>0</v>
      </c>
      <c r="ES868" s="9" t="n">
        <f aca="false">IF(ES866=0,0,IF(ES866&lt;=12*'🎚️ Escenario'!$C$11,1,1+$C$6))</f>
        <v>0</v>
      </c>
      <c r="ET868" s="9" t="n">
        <f aca="false">IF(ET866=0,0,IF(ET866&lt;=12*'🎚️ Escenario'!$C$11,1,1+$C$6))</f>
        <v>0</v>
      </c>
      <c r="EU868" s="9" t="n">
        <f aca="false">IF(EU866=0,0,IF(EU866&lt;=12*'🎚️ Escenario'!$C$11,1,1+$C$6))</f>
        <v>0</v>
      </c>
      <c r="EV868" s="9" t="n">
        <f aca="false">IF(EV866=0,0,IF(EV866&lt;=12*'🎚️ Escenario'!$C$11,1,1+$C$6))</f>
        <v>0</v>
      </c>
      <c r="EW868" s="9" t="n">
        <f aca="false">IF(EW866=0,0,IF(EW866&lt;=12*'🎚️ Escenario'!$C$11,1,1+$C$6))</f>
        <v>0</v>
      </c>
      <c r="EX868" s="9" t="n">
        <f aca="false">IF(EX866=0,0,IF(EX866&lt;=12*'🎚️ Escenario'!$C$11,1,1+$C$6))</f>
        <v>0</v>
      </c>
      <c r="EY868" s="9" t="n">
        <f aca="false">IF(EY866=0,0,IF(EY866&lt;=12*'🎚️ Escenario'!$C$11,1,1+$C$6))</f>
        <v>0</v>
      </c>
      <c r="EZ868" s="9" t="n">
        <f aca="false">IF(EZ866=0,0,IF(EZ866&lt;=12*'🎚️ Escenario'!$C$11,1,1+$C$6))</f>
        <v>0</v>
      </c>
      <c r="FA868" s="9" t="n">
        <f aca="false">IF(FA866=0,0,IF(FA866&lt;=12*'🎚️ Escenario'!$C$11,1,1+$C$6))</f>
        <v>0</v>
      </c>
      <c r="FB868" s="9" t="n">
        <f aca="false">IF(FB866=0,0,IF(FB866&lt;=12*'🎚️ Escenario'!$C$11,1,1+$C$6))</f>
        <v>0</v>
      </c>
      <c r="FC868" s="9" t="n">
        <f aca="false">IF(FC866=0,0,IF(FC866&lt;=12*'🎚️ Escenario'!$C$11,1,1+$C$6))</f>
        <v>0</v>
      </c>
      <c r="FD868" s="9" t="n">
        <f aca="false">IF(FD866=0,0,IF(FD866&lt;=12*'🎚️ Escenario'!$C$11,1,1+$C$6))</f>
        <v>0</v>
      </c>
      <c r="FE868" s="9" t="n">
        <f aca="false">IF(FE866=0,0,IF(FE866&lt;=12*'🎚️ Escenario'!$C$11,1,1+$C$6))</f>
        <v>0</v>
      </c>
      <c r="FF868" s="9" t="n">
        <f aca="false">IF(FF866=0,0,IF(FF866&lt;=12*'🎚️ Escenario'!$C$11,1,1+$C$6))</f>
        <v>0</v>
      </c>
      <c r="FG868" s="9" t="n">
        <f aca="false">IF(FG866=0,0,IF(FG866&lt;=12*'🎚️ Escenario'!$C$11,1,1+$C$6))</f>
        <v>0</v>
      </c>
      <c r="FH868" s="9" t="n">
        <f aca="false">IF(FH866=0,0,IF(FH866&lt;=12*'🎚️ Escenario'!$C$11,1,1+$C$6))</f>
        <v>0</v>
      </c>
      <c r="FI868" s="9" t="n">
        <f aca="false">IF(FI866=0,0,IF(FI866&lt;=12*'🎚️ Escenario'!$C$11,1,1+$C$6))</f>
        <v>0</v>
      </c>
      <c r="FJ868" s="9" t="n">
        <f aca="false">IF(FJ866=0,0,IF(FJ866&lt;=12*'🎚️ Escenario'!$C$11,1,1+$C$6))</f>
        <v>0</v>
      </c>
      <c r="FK868" s="9" t="n">
        <f aca="false">IF(FK866=0,0,IF(FK866&lt;=12*'🎚️ Escenario'!$C$11,1,1+$C$6))</f>
        <v>1</v>
      </c>
      <c r="FL868" s="9" t="n">
        <f aca="false">IF(FL866=0,0,IF(FL866&lt;=12*'🎚️ Escenario'!$C$11,1,1+$C$6))</f>
        <v>1</v>
      </c>
      <c r="FM868" s="9" t="n">
        <f aca="false">IF(FM866=0,0,IF(FM866&lt;=12*'🎚️ Escenario'!$C$11,1,1+$C$6))</f>
        <v>1</v>
      </c>
      <c r="FN868" s="9" t="n">
        <f aca="false">IF(FN866=0,0,IF(FN866&lt;=12*'🎚️ Escenario'!$C$11,1,1+$C$6))</f>
        <v>1</v>
      </c>
      <c r="FO868" s="9" t="n">
        <f aca="false">IF(FO866=0,0,IF(FO866&lt;=12*'🎚️ Escenario'!$C$11,1,1+$C$6))</f>
        <v>1</v>
      </c>
      <c r="FP868" s="9" t="n">
        <f aca="false">IF(FP866=0,0,IF(FP866&lt;=12*'🎚️ Escenario'!$C$11,1,1+$C$6))</f>
        <v>1</v>
      </c>
    </row>
    <row r="869" customFormat="false" ht="15" hidden="false" customHeight="false" outlineLevel="2" collapsed="false">
      <c r="B869" s="9" t="s">
        <v>876</v>
      </c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36" t="n">
        <f aca="false">AC867*$AC$865*AC868*AC$38*'⑫ Roll-out Plan'!$O$91</f>
        <v>0</v>
      </c>
      <c r="AD869" s="36" t="n">
        <f aca="false">AD867*$AC$865*AD868*AD$38*'⑫ Roll-out Plan'!$O$91</f>
        <v>0</v>
      </c>
      <c r="AE869" s="36" t="n">
        <f aca="false">AE867*$AC$865*AE868*AE$38*'⑫ Roll-out Plan'!$O$91</f>
        <v>0</v>
      </c>
      <c r="AF869" s="36" t="n">
        <f aca="false">AF867*$AC$865*AF868*AF$38*'⑫ Roll-out Plan'!$O$91</f>
        <v>0</v>
      </c>
      <c r="AG869" s="36" t="n">
        <f aca="false">AG867*$AC$865*AG868*AG$38*'⑫ Roll-out Plan'!$O$91</f>
        <v>0</v>
      </c>
      <c r="AH869" s="36" t="n">
        <f aca="false">AH867*$AC$865*AH868*AH$38*'⑫ Roll-out Plan'!$O$91</f>
        <v>0</v>
      </c>
      <c r="AI869" s="36" t="n">
        <f aca="false">AI867*$AC$865*AI868*AI$38*'⑫ Roll-out Plan'!$O$91</f>
        <v>0</v>
      </c>
      <c r="AJ869" s="36" t="n">
        <f aca="false">AJ867*$AC$865*AJ868*AJ$38*'⑫ Roll-out Plan'!$O$91</f>
        <v>0</v>
      </c>
      <c r="AK869" s="36" t="n">
        <f aca="false">AK867*$AC$865*AK868*AK$38*'⑫ Roll-out Plan'!$O$91</f>
        <v>0</v>
      </c>
      <c r="AL869" s="36" t="n">
        <f aca="false">AL867*$AC$865*AL868*AL$38*'⑫ Roll-out Plan'!$O$91</f>
        <v>0</v>
      </c>
      <c r="AM869" s="36" t="n">
        <f aca="false">AM867*$AC$865*AM868*AM$38*'⑫ Roll-out Plan'!$O$91</f>
        <v>0</v>
      </c>
      <c r="AN869" s="36" t="n">
        <f aca="false">AN867*$AC$865*AN868*AN$38*'⑫ Roll-out Plan'!$O$91</f>
        <v>0</v>
      </c>
      <c r="AO869" s="36" t="n">
        <f aca="false">AO867*$AC$865*AO868*AO$38*'⑫ Roll-out Plan'!$O$91</f>
        <v>0</v>
      </c>
      <c r="AP869" s="36" t="n">
        <f aca="false">AP867*$AC$865*AP868*AP$38*'⑫ Roll-out Plan'!$O$91</f>
        <v>0</v>
      </c>
      <c r="AQ869" s="36" t="n">
        <f aca="false">AQ867*$AC$865*AQ868*AQ$38*'⑫ Roll-out Plan'!$O$91</f>
        <v>0</v>
      </c>
      <c r="AR869" s="36" t="n">
        <f aca="false">AR867*$AC$865*AR868*AR$38*'⑫ Roll-out Plan'!$O$91</f>
        <v>0</v>
      </c>
      <c r="AS869" s="36" t="n">
        <f aca="false">AS867*$AC$865*AS868*AS$38*'⑫ Roll-out Plan'!$O$91</f>
        <v>0</v>
      </c>
      <c r="AT869" s="36" t="n">
        <f aca="false">AT867*$AC$865*AT868*AT$38*'⑫ Roll-out Plan'!$O$91</f>
        <v>0</v>
      </c>
      <c r="AU869" s="36" t="n">
        <f aca="false">AU867*$AC$865*AU868*AU$38*'⑫ Roll-out Plan'!$O$91</f>
        <v>0</v>
      </c>
      <c r="AV869" s="36" t="n">
        <f aca="false">AV867*$AC$865*AV868*AV$38*'⑫ Roll-out Plan'!$O$91</f>
        <v>0</v>
      </c>
      <c r="AW869" s="36" t="n">
        <f aca="false">AW867*$AC$865*AW868*AW$38*'⑫ Roll-out Plan'!$O$91</f>
        <v>0</v>
      </c>
      <c r="AX869" s="36" t="n">
        <f aca="false">AX867*$AC$865*AX868*AX$38*'⑫ Roll-out Plan'!$O$91</f>
        <v>0</v>
      </c>
      <c r="AY869" s="36" t="n">
        <f aca="false">AY867*$AC$865*AY868*AY$38*'⑫ Roll-out Plan'!$O$91</f>
        <v>0</v>
      </c>
      <c r="AZ869" s="36" t="n">
        <f aca="false">AZ867*$AC$865*AZ868*AZ$38*'⑫ Roll-out Plan'!$O$91</f>
        <v>0</v>
      </c>
      <c r="BA869" s="36" t="n">
        <f aca="false">BA867*$AC$865*BA868*BA$38*'⑫ Roll-out Plan'!$O$91</f>
        <v>0</v>
      </c>
      <c r="BB869" s="36" t="n">
        <f aca="false">BB867*$AC$865*BB868*BB$38*'⑫ Roll-out Plan'!$O$91</f>
        <v>0</v>
      </c>
      <c r="BC869" s="36" t="n">
        <f aca="false">BC867*$AC$865*BC868*BC$38*'⑫ Roll-out Plan'!$O$91</f>
        <v>0</v>
      </c>
      <c r="BD869" s="36" t="n">
        <f aca="false">BD867*$AC$865*BD868*BD$38*'⑫ Roll-out Plan'!$O$91</f>
        <v>0</v>
      </c>
      <c r="BE869" s="36" t="n">
        <f aca="false">BE867*$AC$865*BE868*BE$38*'⑫ Roll-out Plan'!$O$91</f>
        <v>0</v>
      </c>
      <c r="BF869" s="36" t="n">
        <f aca="false">BF867*$AC$865*BF868*BF$38*'⑫ Roll-out Plan'!$O$91</f>
        <v>0</v>
      </c>
      <c r="BG869" s="36" t="n">
        <f aca="false">BG867*$AC$865*BG868*BG$38*'⑫ Roll-out Plan'!$O$91</f>
        <v>0</v>
      </c>
      <c r="BH869" s="36" t="n">
        <f aca="false">BH867*$AC$865*BH868*BH$38*'⑫ Roll-out Plan'!$O$91</f>
        <v>0</v>
      </c>
      <c r="BI869" s="36" t="n">
        <f aca="false">BI867*$AC$865*BI868*BI$38*'⑫ Roll-out Plan'!$O$91</f>
        <v>0</v>
      </c>
      <c r="BJ869" s="36" t="n">
        <f aca="false">BJ867*$AC$865*BJ868*BJ$38*'⑫ Roll-out Plan'!$O$91</f>
        <v>0</v>
      </c>
      <c r="BK869" s="36" t="n">
        <f aca="false">BK867*$AC$865*BK868*BK$38*'⑫ Roll-out Plan'!$O$91</f>
        <v>0</v>
      </c>
      <c r="BL869" s="36" t="n">
        <f aca="false">BL867*$AC$865*BL868*BL$38*'⑫ Roll-out Plan'!$O$91</f>
        <v>0</v>
      </c>
      <c r="BM869" s="36" t="n">
        <f aca="false">BM867*$AC$865*BM868*BM$38*'⑫ Roll-out Plan'!$O$91</f>
        <v>0</v>
      </c>
      <c r="BN869" s="36" t="n">
        <f aca="false">BN867*$AC$865*BN868*BN$38*'⑫ Roll-out Plan'!$O$91</f>
        <v>0</v>
      </c>
      <c r="BO869" s="36" t="n">
        <f aca="false">BO867*$AC$865*BO868*BO$38*'⑫ Roll-out Plan'!$O$91</f>
        <v>0</v>
      </c>
      <c r="BP869" s="36" t="n">
        <f aca="false">BP867*$AC$865*BP868*BP$38*'⑫ Roll-out Plan'!$O$91</f>
        <v>0</v>
      </c>
      <c r="BQ869" s="36" t="n">
        <f aca="false">BQ867*$AC$865*BQ868*BQ$38*'⑫ Roll-out Plan'!$O$91</f>
        <v>0</v>
      </c>
      <c r="BR869" s="36" t="n">
        <f aca="false">BR867*$AC$865*BR868*BR$38*'⑫ Roll-out Plan'!$O$91</f>
        <v>0</v>
      </c>
      <c r="BS869" s="36" t="n">
        <f aca="false">BS867*$AC$865*BS868*BS$38*'⑫ Roll-out Plan'!$O$91</f>
        <v>0</v>
      </c>
      <c r="BT869" s="36" t="n">
        <f aca="false">BT867*$AC$865*BT868*BT$38*'⑫ Roll-out Plan'!$O$91</f>
        <v>0</v>
      </c>
      <c r="BU869" s="36" t="n">
        <f aca="false">BU867*$AC$865*BU868*BU$38*'⑫ Roll-out Plan'!$O$91</f>
        <v>0</v>
      </c>
      <c r="BV869" s="36" t="n">
        <f aca="false">BV867*$AC$865*BV868*BV$38*'⑫ Roll-out Plan'!$O$91</f>
        <v>0</v>
      </c>
      <c r="BW869" s="36" t="n">
        <f aca="false">BW867*$AC$865*BW868*BW$38*'⑫ Roll-out Plan'!$O$91</f>
        <v>0</v>
      </c>
      <c r="BX869" s="36" t="n">
        <f aca="false">BX867*$AC$865*BX868*BX$38*'⑫ Roll-out Plan'!$O$91</f>
        <v>0</v>
      </c>
      <c r="BY869" s="36" t="n">
        <f aca="false">BY867*$AC$865*BY868*BY$38*'⑫ Roll-out Plan'!$O$91</f>
        <v>0</v>
      </c>
      <c r="BZ869" s="36" t="n">
        <f aca="false">BZ867*$AC$865*BZ868*BZ$38*'⑫ Roll-out Plan'!$O$91</f>
        <v>0</v>
      </c>
      <c r="CA869" s="36" t="n">
        <f aca="false">CA867*$AC$865*CA868*CA$38*'⑫ Roll-out Plan'!$O$91</f>
        <v>0</v>
      </c>
      <c r="CB869" s="36" t="n">
        <f aca="false">CB867*$AC$865*CB868*CB$38*'⑫ Roll-out Plan'!$O$91</f>
        <v>0</v>
      </c>
      <c r="CC869" s="36" t="n">
        <f aca="false">CC867*$AC$865*CC868*CC$38*'⑫ Roll-out Plan'!$O$91</f>
        <v>0</v>
      </c>
      <c r="CD869" s="36" t="n">
        <f aca="false">CD867*$AC$865*CD868*CD$38*'⑫ Roll-out Plan'!$O$91</f>
        <v>0</v>
      </c>
      <c r="CE869" s="36" t="n">
        <f aca="false">CE867*$AC$865*CE868*CE$38*'⑫ Roll-out Plan'!$O$91</f>
        <v>0</v>
      </c>
      <c r="CF869" s="36" t="n">
        <f aca="false">CF867*$AC$865*CF868*CF$38*'⑫ Roll-out Plan'!$O$91</f>
        <v>0</v>
      </c>
      <c r="CG869" s="36" t="n">
        <f aca="false">CG867*$AC$865*CG868*CG$38*'⑫ Roll-out Plan'!$O$91</f>
        <v>0</v>
      </c>
      <c r="CH869" s="36" t="n">
        <f aca="false">CH867*$AC$865*CH868*CH$38*'⑫ Roll-out Plan'!$O$91</f>
        <v>0</v>
      </c>
      <c r="CI869" s="36" t="n">
        <f aca="false">CI867*$AC$865*CI868*CI$38*'⑫ Roll-out Plan'!$O$91</f>
        <v>0</v>
      </c>
      <c r="CJ869" s="36" t="n">
        <f aca="false">CJ867*$AC$865*CJ868*CJ$38*'⑫ Roll-out Plan'!$O$91</f>
        <v>0</v>
      </c>
      <c r="CK869" s="36" t="n">
        <f aca="false">CK867*$AC$865*CK868*CK$38*'⑫ Roll-out Plan'!$O$91</f>
        <v>0</v>
      </c>
      <c r="CL869" s="36" t="n">
        <f aca="false">CL867*$AC$865*CL868*CL$38*'⑫ Roll-out Plan'!$O$91</f>
        <v>0</v>
      </c>
      <c r="CM869" s="36" t="n">
        <f aca="false">CM867*$AC$865*CM868*CM$38*'⑫ Roll-out Plan'!$O$91</f>
        <v>0</v>
      </c>
      <c r="CN869" s="36" t="n">
        <f aca="false">CN867*$AC$865*CN868*CN$38*'⑫ Roll-out Plan'!$O$91</f>
        <v>0</v>
      </c>
      <c r="CO869" s="36" t="n">
        <f aca="false">CO867*$AC$865*CO868*CO$38*'⑫ Roll-out Plan'!$O$91</f>
        <v>0</v>
      </c>
      <c r="CP869" s="36" t="n">
        <f aca="false">CP867*$AC$865*CP868*CP$38*'⑫ Roll-out Plan'!$O$91</f>
        <v>0</v>
      </c>
      <c r="CQ869" s="36" t="n">
        <f aca="false">CQ867*$AC$865*CQ868*CQ$38*'⑫ Roll-out Plan'!$O$91</f>
        <v>0</v>
      </c>
      <c r="CR869" s="36" t="n">
        <f aca="false">CR867*$AC$865*CR868*CR$38*'⑫ Roll-out Plan'!$O$91</f>
        <v>0</v>
      </c>
      <c r="CS869" s="36" t="n">
        <f aca="false">CS867*$AC$865*CS868*CS$38*'⑫ Roll-out Plan'!$O$91</f>
        <v>0</v>
      </c>
      <c r="CT869" s="36" t="n">
        <f aca="false">CT867*$AC$865*CT868*CT$38*'⑫ Roll-out Plan'!$O$91</f>
        <v>0</v>
      </c>
      <c r="CU869" s="36" t="n">
        <f aca="false">CU867*$AC$865*CU868*CU$38*'⑫ Roll-out Plan'!$O$91</f>
        <v>0</v>
      </c>
      <c r="CV869" s="36" t="n">
        <f aca="false">CV867*$AC$865*CV868*CV$38*'⑫ Roll-out Plan'!$O$91</f>
        <v>0</v>
      </c>
      <c r="CW869" s="36" t="n">
        <f aca="false">CW867*$AC$865*CW868*CW$38*'⑫ Roll-out Plan'!$O$91</f>
        <v>0</v>
      </c>
      <c r="CX869" s="36" t="n">
        <f aca="false">CX867*$AC$865*CX868*CX$38*'⑫ Roll-out Plan'!$O$91</f>
        <v>0</v>
      </c>
      <c r="CY869" s="36" t="n">
        <f aca="false">CY867*$AC$865*CY868*CY$38*'⑫ Roll-out Plan'!$O$91</f>
        <v>0</v>
      </c>
      <c r="CZ869" s="36" t="n">
        <f aca="false">CZ867*$AC$865*CZ868*CZ$38*'⑫ Roll-out Plan'!$O$91</f>
        <v>0</v>
      </c>
      <c r="DA869" s="36" t="n">
        <f aca="false">DA867*$AC$865*DA868*DA$38*'⑫ Roll-out Plan'!$O$91</f>
        <v>0</v>
      </c>
      <c r="DB869" s="36" t="n">
        <f aca="false">DB867*$AC$865*DB868*DB$38*'⑫ Roll-out Plan'!$O$91</f>
        <v>0</v>
      </c>
      <c r="DC869" s="36" t="n">
        <f aca="false">DC867*$AC$865*DC868*DC$38*'⑫ Roll-out Plan'!$O$91</f>
        <v>0</v>
      </c>
      <c r="DD869" s="36" t="n">
        <f aca="false">DD867*$AC$865*DD868*DD$38*'⑫ Roll-out Plan'!$O$91</f>
        <v>0</v>
      </c>
      <c r="DE869" s="36" t="n">
        <f aca="false">DE867*$AC$865*DE868*DE$38*'⑫ Roll-out Plan'!$O$91</f>
        <v>0</v>
      </c>
      <c r="DF869" s="36" t="n">
        <f aca="false">DF867*$AC$865*DF868*DF$38*'⑫ Roll-out Plan'!$O$91</f>
        <v>0</v>
      </c>
      <c r="DG869" s="36" t="n">
        <f aca="false">DG867*$AC$865*DG868*DG$38*'⑫ Roll-out Plan'!$O$91</f>
        <v>0</v>
      </c>
      <c r="DH869" s="36" t="n">
        <f aca="false">DH867*$AC$865*DH868*DH$38*'⑫ Roll-out Plan'!$O$91</f>
        <v>0</v>
      </c>
      <c r="DI869" s="36" t="n">
        <f aca="false">DI867*$AC$865*DI868*DI$38*'⑫ Roll-out Plan'!$O$91</f>
        <v>0</v>
      </c>
      <c r="DJ869" s="36" t="n">
        <f aca="false">DJ867*$AC$865*DJ868*DJ$38*'⑫ Roll-out Plan'!$O$91</f>
        <v>0</v>
      </c>
      <c r="DK869" s="36" t="n">
        <f aca="false">DK867*$AC$865*DK868*DK$38*'⑫ Roll-out Plan'!$O$91</f>
        <v>0</v>
      </c>
      <c r="DL869" s="36" t="n">
        <f aca="false">DL867*$AC$865*DL868*DL$38*'⑫ Roll-out Plan'!$O$91</f>
        <v>0</v>
      </c>
      <c r="DM869" s="36" t="n">
        <f aca="false">DM867*$AC$865*DM868*DM$38*'⑫ Roll-out Plan'!$O$91</f>
        <v>0</v>
      </c>
      <c r="DN869" s="36" t="n">
        <f aca="false">DN867*$AC$865*DN868*DN$38*'⑫ Roll-out Plan'!$O$91</f>
        <v>0</v>
      </c>
      <c r="DO869" s="36" t="n">
        <f aca="false">DO867*$AC$865*DO868*DO$38*'⑫ Roll-out Plan'!$O$91</f>
        <v>0</v>
      </c>
      <c r="DP869" s="36" t="n">
        <f aca="false">DP867*$AC$865*DP868*DP$38*'⑫ Roll-out Plan'!$O$91</f>
        <v>0</v>
      </c>
      <c r="DQ869" s="36" t="n">
        <f aca="false">DQ867*$AC$865*DQ868*DQ$38*'⑫ Roll-out Plan'!$O$91</f>
        <v>0</v>
      </c>
      <c r="DR869" s="36" t="n">
        <f aca="false">DR867*$AC$865*DR868*DR$38*'⑫ Roll-out Plan'!$O$91</f>
        <v>0</v>
      </c>
      <c r="DS869" s="36" t="n">
        <f aca="false">DS867*$AC$865*DS868*DS$38*'⑫ Roll-out Plan'!$O$91</f>
        <v>0</v>
      </c>
      <c r="DT869" s="36" t="n">
        <f aca="false">DT867*$AC$865*DT868*DT$38*'⑫ Roll-out Plan'!$O$91</f>
        <v>0</v>
      </c>
      <c r="DU869" s="36" t="n">
        <f aca="false">DU867*$AC$865*DU868*DU$38*'⑫ Roll-out Plan'!$O$91</f>
        <v>0</v>
      </c>
      <c r="DV869" s="36" t="n">
        <f aca="false">DV867*$AC$865*DV868*DV$38*'⑫ Roll-out Plan'!$O$91</f>
        <v>0</v>
      </c>
      <c r="DW869" s="36" t="n">
        <f aca="false">DW867*$AC$865*DW868*DW$38*'⑫ Roll-out Plan'!$O$91</f>
        <v>0</v>
      </c>
      <c r="DX869" s="36" t="n">
        <f aca="false">DX867*$AC$865*DX868*DX$38*'⑫ Roll-out Plan'!$O$91</f>
        <v>0</v>
      </c>
      <c r="DY869" s="36" t="n">
        <f aca="false">DY867*$AC$865*DY868*DY$38*'⑫ Roll-out Plan'!$O$91</f>
        <v>0</v>
      </c>
      <c r="DZ869" s="36" t="n">
        <f aca="false">DZ867*$AC$865*DZ868*DZ$38*'⑫ Roll-out Plan'!$O$91</f>
        <v>0</v>
      </c>
      <c r="EA869" s="36" t="n">
        <f aca="false">EA867*$AC$865*EA868*EA$38*'⑫ Roll-out Plan'!$O$91</f>
        <v>0</v>
      </c>
      <c r="EB869" s="36" t="n">
        <f aca="false">EB867*$AC$865*EB868*EB$38*'⑫ Roll-out Plan'!$O$91</f>
        <v>0</v>
      </c>
      <c r="EC869" s="36" t="n">
        <f aca="false">EC867*$AC$865*EC868*EC$38*'⑫ Roll-out Plan'!$O$91</f>
        <v>0</v>
      </c>
      <c r="ED869" s="36" t="n">
        <f aca="false">ED867*$AC$865*ED868*ED$38*'⑫ Roll-out Plan'!$O$91</f>
        <v>0</v>
      </c>
      <c r="EE869" s="36" t="n">
        <f aca="false">EE867*$AC$865*EE868*EE$38*'⑫ Roll-out Plan'!$O$91</f>
        <v>0</v>
      </c>
      <c r="EF869" s="36" t="n">
        <f aca="false">EF867*$AC$865*EF868*EF$38*'⑫ Roll-out Plan'!$O$91</f>
        <v>0</v>
      </c>
      <c r="EG869" s="36" t="n">
        <f aca="false">EG867*$AC$865*EG868*EG$38*'⑫ Roll-out Plan'!$O$91</f>
        <v>0</v>
      </c>
      <c r="EH869" s="36" t="n">
        <f aca="false">EH867*$AC$865*EH868*EH$38*'⑫ Roll-out Plan'!$O$91</f>
        <v>0</v>
      </c>
      <c r="EI869" s="36" t="n">
        <f aca="false">EI867*$AC$865*EI868*EI$38*'⑫ Roll-out Plan'!$O$91</f>
        <v>0</v>
      </c>
      <c r="EJ869" s="36" t="n">
        <f aca="false">EJ867*$AC$865*EJ868*EJ$38*'⑫ Roll-out Plan'!$O$91</f>
        <v>0</v>
      </c>
      <c r="EK869" s="36" t="n">
        <f aca="false">EK867*$AC$865*EK868*EK$38*'⑫ Roll-out Plan'!$O$91</f>
        <v>0</v>
      </c>
      <c r="EL869" s="36" t="n">
        <f aca="false">EL867*$AC$865*EL868*EL$38*'⑫ Roll-out Plan'!$O$91</f>
        <v>0</v>
      </c>
      <c r="EM869" s="36" t="n">
        <f aca="false">EM867*$AC$865*EM868*EM$38*'⑫ Roll-out Plan'!$O$91</f>
        <v>0</v>
      </c>
      <c r="EN869" s="36" t="n">
        <f aca="false">EN867*$AC$865*EN868*EN$38*'⑫ Roll-out Plan'!$O$91</f>
        <v>0</v>
      </c>
      <c r="EO869" s="36" t="n">
        <f aca="false">EO867*$AC$865*EO868*EO$38*'⑫ Roll-out Plan'!$O$91</f>
        <v>0</v>
      </c>
      <c r="EP869" s="36" t="n">
        <f aca="false">EP867*$AC$865*EP868*EP$38*'⑫ Roll-out Plan'!$O$91</f>
        <v>0</v>
      </c>
      <c r="EQ869" s="36" t="n">
        <f aca="false">EQ867*$AC$865*EQ868*EQ$38*'⑫ Roll-out Plan'!$O$91</f>
        <v>0</v>
      </c>
      <c r="ER869" s="36" t="n">
        <f aca="false">ER867*$AC$865*ER868*ER$38*'⑫ Roll-out Plan'!$O$91</f>
        <v>0</v>
      </c>
      <c r="ES869" s="9" t="n">
        <f aca="false">ES867*$AC$865*ES868*ES$38*'⑫ Roll-out Plan'!$O$91</f>
        <v>0</v>
      </c>
      <c r="ET869" s="9" t="n">
        <f aca="false">ET867*$AC$865*ET868*ET$38*'⑫ Roll-out Plan'!$O$91</f>
        <v>0</v>
      </c>
      <c r="EU869" s="9" t="n">
        <f aca="false">EU867*$AC$865*EU868*EU$38*'⑫ Roll-out Plan'!$O$91</f>
        <v>0</v>
      </c>
      <c r="EV869" s="9" t="n">
        <f aca="false">EV867*$AC$865*EV868*EV$38*'⑫ Roll-out Plan'!$O$91</f>
        <v>0</v>
      </c>
      <c r="EW869" s="9" t="n">
        <f aca="false">EW867*$AC$865*EW868*EW$38*'⑫ Roll-out Plan'!$O$91</f>
        <v>0</v>
      </c>
      <c r="EX869" s="9" t="n">
        <f aca="false">EX867*$AC$865*EX868*EX$38*'⑫ Roll-out Plan'!$O$91</f>
        <v>0</v>
      </c>
      <c r="EY869" s="9" t="n">
        <f aca="false">EY867*$AC$865*EY868*EY$38*'⑫ Roll-out Plan'!$O$91</f>
        <v>0</v>
      </c>
      <c r="EZ869" s="9" t="n">
        <f aca="false">EZ867*$AC$865*EZ868*EZ$38*'⑫ Roll-out Plan'!$O$91</f>
        <v>0</v>
      </c>
      <c r="FA869" s="9" t="n">
        <f aca="false">FA867*$AC$865*FA868*FA$38*'⑫ Roll-out Plan'!$O$91</f>
        <v>0</v>
      </c>
      <c r="FB869" s="9" t="n">
        <f aca="false">FB867*$AC$865*FB868*FB$38*'⑫ Roll-out Plan'!$O$91</f>
        <v>0</v>
      </c>
      <c r="FC869" s="9" t="n">
        <f aca="false">FC867*$AC$865*FC868*FC$38*'⑫ Roll-out Plan'!$O$91</f>
        <v>0</v>
      </c>
      <c r="FD869" s="9" t="n">
        <f aca="false">FD867*$AC$865*FD868*FD$38*'⑫ Roll-out Plan'!$O$91</f>
        <v>0</v>
      </c>
      <c r="FE869" s="9" t="n">
        <f aca="false">FE867*$AC$865*FE868*FE$38*'⑫ Roll-out Plan'!$O$91</f>
        <v>0</v>
      </c>
      <c r="FF869" s="9" t="n">
        <f aca="false">FF867*$AC$865*FF868*FF$38*'⑫ Roll-out Plan'!$O$91</f>
        <v>0</v>
      </c>
      <c r="FG869" s="9" t="n">
        <f aca="false">FG867*$AC$865*FG868*FG$38*'⑫ Roll-out Plan'!$O$91</f>
        <v>0</v>
      </c>
      <c r="FH869" s="9" t="n">
        <f aca="false">FH867*$AC$865*FH868*FH$38*'⑫ Roll-out Plan'!$O$91</f>
        <v>0</v>
      </c>
      <c r="FI869" s="9" t="n">
        <f aca="false">FI867*$AC$865*FI868*FI$38*'⑫ Roll-out Plan'!$O$91</f>
        <v>0</v>
      </c>
      <c r="FJ869" s="9" t="n">
        <f aca="false">FJ867*$AC$865*FJ868*FJ$38*'⑫ Roll-out Plan'!$O$91</f>
        <v>0</v>
      </c>
      <c r="FK869" s="9" t="n">
        <f aca="false">FK867*$AC$865*FK868*FK$38*'⑫ Roll-out Plan'!$O$91</f>
        <v>31.08</v>
      </c>
      <c r="FL869" s="9" t="n">
        <f aca="false">FL867*$AC$865*FL868*FL$38*'⑫ Roll-out Plan'!$O$91</f>
        <v>57.794</v>
      </c>
      <c r="FM869" s="9" t="n">
        <f aca="false">FM867*$AC$865*FM868*FM$38*'⑫ Roll-out Plan'!$O$91</f>
        <v>51.504</v>
      </c>
      <c r="FN869" s="9" t="n">
        <f aca="false">FN867*$AC$865*FN868*FN$38*'⑫ Roll-out Plan'!$O$91</f>
        <v>47.952</v>
      </c>
      <c r="FO869" s="9" t="n">
        <f aca="false">FO867*$AC$865*FO868*FO$38*'⑫ Roll-out Plan'!$O$91</f>
        <v>35.964</v>
      </c>
      <c r="FP869" s="9" t="n">
        <f aca="false">FP867*$AC$865*FP868*FP$38*'⑫ Roll-out Plan'!$O$91</f>
        <v>58.497</v>
      </c>
    </row>
    <row r="870" customFormat="false" ht="15" hidden="false" customHeight="false" outlineLevel="2" collapsed="false">
      <c r="B870" s="9" t="s">
        <v>877</v>
      </c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112" t="n">
        <f aca="true">IFERROR(SUMPRODUCT(OFFSET($BJ$31,0,1-MIN(60,COLUMN()-29),1,MIN(60,COLUMN()-29)),OFFSET(AC869,0,-MIN(60,COLUMN()-29),1,MIN(60,COLUMN()-29))),0)</f>
        <v>0</v>
      </c>
      <c r="AD870" s="112" t="n">
        <f aca="true">IFERROR(SUMPRODUCT(OFFSET($BJ$31,0,1-MIN(60,COLUMN()-29),1,MIN(60,COLUMN()-29)),OFFSET(AD869,0,-MIN(60,COLUMN()-29),1,MIN(60,COLUMN()-29))),0)</f>
        <v>0</v>
      </c>
      <c r="AE870" s="112" t="n">
        <f aca="true">IFERROR(SUMPRODUCT(OFFSET($BJ$31,0,1-MIN(60,COLUMN()-29),1,MIN(60,COLUMN()-29)),OFFSET(AE869,0,-MIN(60,COLUMN()-29),1,MIN(60,COLUMN()-29))),0)</f>
        <v>0</v>
      </c>
      <c r="AF870" s="112" t="n">
        <f aca="true">IFERROR(SUMPRODUCT(OFFSET($BJ$31,0,1-MIN(60,COLUMN()-29),1,MIN(60,COLUMN()-29)),OFFSET(AF869,0,-MIN(60,COLUMN()-29),1,MIN(60,COLUMN()-29))),0)</f>
        <v>0</v>
      </c>
      <c r="AG870" s="112" t="n">
        <f aca="true">IFERROR(SUMPRODUCT(OFFSET($BJ$31,0,1-MIN(60,COLUMN()-29),1,MIN(60,COLUMN()-29)),OFFSET(AG869,0,-MIN(60,COLUMN()-29),1,MIN(60,COLUMN()-29))),0)</f>
        <v>0</v>
      </c>
      <c r="AH870" s="112" t="n">
        <f aca="true">IFERROR(SUMPRODUCT(OFFSET($BJ$31,0,1-MIN(60,COLUMN()-29),1,MIN(60,COLUMN()-29)),OFFSET(AH869,0,-MIN(60,COLUMN()-29),1,MIN(60,COLUMN()-29))),0)</f>
        <v>0</v>
      </c>
      <c r="AI870" s="112" t="n">
        <f aca="true">IFERROR(SUMPRODUCT(OFFSET($BJ$31,0,1-MIN(60,COLUMN()-29),1,MIN(60,COLUMN()-29)),OFFSET(AI869,0,-MIN(60,COLUMN()-29),1,MIN(60,COLUMN()-29))),0)</f>
        <v>0</v>
      </c>
      <c r="AJ870" s="112" t="n">
        <f aca="true">IFERROR(SUMPRODUCT(OFFSET($BJ$31,0,1-MIN(60,COLUMN()-29),1,MIN(60,COLUMN()-29)),OFFSET(AJ869,0,-MIN(60,COLUMN()-29),1,MIN(60,COLUMN()-29))),0)</f>
        <v>0</v>
      </c>
      <c r="AK870" s="112" t="n">
        <f aca="true">IFERROR(SUMPRODUCT(OFFSET($BJ$31,0,1-MIN(60,COLUMN()-29),1,MIN(60,COLUMN()-29)),OFFSET(AK869,0,-MIN(60,COLUMN()-29),1,MIN(60,COLUMN()-29))),0)</f>
        <v>0</v>
      </c>
      <c r="AL870" s="112" t="n">
        <f aca="true">IFERROR(SUMPRODUCT(OFFSET($BJ$31,0,1-MIN(60,COLUMN()-29),1,MIN(60,COLUMN()-29)),OFFSET(AL869,0,-MIN(60,COLUMN()-29),1,MIN(60,COLUMN()-29))),0)</f>
        <v>0</v>
      </c>
      <c r="AM870" s="112" t="n">
        <f aca="true">IFERROR(SUMPRODUCT(OFFSET($BJ$31,0,1-MIN(60,COLUMN()-29),1,MIN(60,COLUMN()-29)),OFFSET(AM869,0,-MIN(60,COLUMN()-29),1,MIN(60,COLUMN()-29))),0)</f>
        <v>0</v>
      </c>
      <c r="AN870" s="239" t="n">
        <f aca="true">IFERROR(SUMPRODUCT(OFFSET($BJ$31,0,1-MIN(60,COLUMN()-29),1,MIN(60,COLUMN()-29)),OFFSET(AN869,0,-MIN(60,COLUMN()-29),1,MIN(60,COLUMN()-29))),0)</f>
        <v>0</v>
      </c>
      <c r="AO870" s="112" t="n">
        <f aca="true">IFERROR(SUMPRODUCT(OFFSET($BJ$31,0,1-MIN(60,COLUMN()-29),1,MIN(60,COLUMN()-29)),OFFSET(AO869,0,-MIN(60,COLUMN()-29),1,MIN(60,COLUMN()-29))),0)</f>
        <v>0</v>
      </c>
      <c r="AP870" s="112" t="n">
        <f aca="true">IFERROR(SUMPRODUCT(OFFSET($BJ$31,0,1-MIN(60,COLUMN()-29),1,MIN(60,COLUMN()-29)),OFFSET(AP869,0,-MIN(60,COLUMN()-29),1,MIN(60,COLUMN()-29))),0)</f>
        <v>0</v>
      </c>
      <c r="AQ870" s="112" t="n">
        <f aca="true">IFERROR(SUMPRODUCT(OFFSET($BJ$31,0,1-MIN(60,COLUMN()-29),1,MIN(60,COLUMN()-29)),OFFSET(AQ869,0,-MIN(60,COLUMN()-29),1,MIN(60,COLUMN()-29))),0)</f>
        <v>0</v>
      </c>
      <c r="AR870" s="112" t="n">
        <f aca="true">IFERROR(SUMPRODUCT(OFFSET($BJ$31,0,1-MIN(60,COLUMN()-29),1,MIN(60,COLUMN()-29)),OFFSET(AR869,0,-MIN(60,COLUMN()-29),1,MIN(60,COLUMN()-29))),0)</f>
        <v>0</v>
      </c>
      <c r="AS870" s="112" t="n">
        <f aca="true">IFERROR(SUMPRODUCT(OFFSET($BJ$31,0,1-MIN(60,COLUMN()-29),1,MIN(60,COLUMN()-29)),OFFSET(AS869,0,-MIN(60,COLUMN()-29),1,MIN(60,COLUMN()-29))),0)</f>
        <v>0</v>
      </c>
      <c r="AT870" s="112" t="n">
        <f aca="true">IFERROR(SUMPRODUCT(OFFSET($BJ$31,0,1-MIN(60,COLUMN()-29),1,MIN(60,COLUMN()-29)),OFFSET(AT869,0,-MIN(60,COLUMN()-29),1,MIN(60,COLUMN()-29))),0)</f>
        <v>0</v>
      </c>
      <c r="AU870" s="112" t="n">
        <f aca="true">IFERROR(SUMPRODUCT(OFFSET($BJ$31,0,1-MIN(60,COLUMN()-29),1,MIN(60,COLUMN()-29)),OFFSET(AU869,0,-MIN(60,COLUMN()-29),1,MIN(60,COLUMN()-29))),0)</f>
        <v>0</v>
      </c>
      <c r="AV870" s="112" t="n">
        <f aca="true">IFERROR(SUMPRODUCT(OFFSET($BJ$31,0,1-MIN(60,COLUMN()-29),1,MIN(60,COLUMN()-29)),OFFSET(AV869,0,-MIN(60,COLUMN()-29),1,MIN(60,COLUMN()-29))),0)</f>
        <v>0</v>
      </c>
      <c r="AW870" s="112" t="n">
        <f aca="true">IFERROR(SUMPRODUCT(OFFSET($BJ$31,0,1-MIN(60,COLUMN()-29),1,MIN(60,COLUMN()-29)),OFFSET(AW869,0,-MIN(60,COLUMN()-29),1,MIN(60,COLUMN()-29))),0)</f>
        <v>0</v>
      </c>
      <c r="AX870" s="112" t="n">
        <f aca="true">IFERROR(SUMPRODUCT(OFFSET($BJ$31,0,1-MIN(60,COLUMN()-29),1,MIN(60,COLUMN()-29)),OFFSET(AX869,0,-MIN(60,COLUMN()-29),1,MIN(60,COLUMN()-29))),0)</f>
        <v>0</v>
      </c>
      <c r="AY870" s="112" t="n">
        <f aca="true">IFERROR(SUMPRODUCT(OFFSET($BJ$31,0,1-MIN(60,COLUMN()-29),1,MIN(60,COLUMN()-29)),OFFSET(AY869,0,-MIN(60,COLUMN()-29),1,MIN(60,COLUMN()-29))),0)</f>
        <v>0</v>
      </c>
      <c r="AZ870" s="112" t="n">
        <f aca="true">IFERROR(SUMPRODUCT(OFFSET($BJ$31,0,1-MIN(60,COLUMN()-29),1,MIN(60,COLUMN()-29)),OFFSET(AZ869,0,-MIN(60,COLUMN()-29),1,MIN(60,COLUMN()-29))),0)</f>
        <v>0</v>
      </c>
      <c r="BA870" s="112" t="n">
        <f aca="true">IFERROR(SUMPRODUCT(OFFSET($BJ$31,0,1-MIN(60,COLUMN()-29),1,MIN(60,COLUMN()-29)),OFFSET(BA869,0,-MIN(60,COLUMN()-29),1,MIN(60,COLUMN()-29))),0)</f>
        <v>0</v>
      </c>
      <c r="BB870" s="112" t="n">
        <f aca="true">IFERROR(SUMPRODUCT(OFFSET($BJ$31,0,1-MIN(60,COLUMN()-29),1,MIN(60,COLUMN()-29)),OFFSET(BB869,0,-MIN(60,COLUMN()-29),1,MIN(60,COLUMN()-29))),0)</f>
        <v>0</v>
      </c>
      <c r="BC870" s="112" t="n">
        <f aca="true">IFERROR(SUMPRODUCT(OFFSET($BJ$31,0,1-MIN(60,COLUMN()-29),1,MIN(60,COLUMN()-29)),OFFSET(BC869,0,-MIN(60,COLUMN()-29),1,MIN(60,COLUMN()-29))),0)</f>
        <v>0</v>
      </c>
      <c r="BD870" s="112" t="n">
        <f aca="true">IFERROR(SUMPRODUCT(OFFSET($BJ$31,0,1-MIN(60,COLUMN()-29),1,MIN(60,COLUMN()-29)),OFFSET(BD869,0,-MIN(60,COLUMN()-29),1,MIN(60,COLUMN()-29))),0)</f>
        <v>0</v>
      </c>
      <c r="BE870" s="112" t="n">
        <f aca="true">IFERROR(SUMPRODUCT(OFFSET($BJ$31,0,1-MIN(60,COLUMN()-29),1,MIN(60,COLUMN()-29)),OFFSET(BE869,0,-MIN(60,COLUMN()-29),1,MIN(60,COLUMN()-29))),0)</f>
        <v>0</v>
      </c>
      <c r="BF870" s="112" t="n">
        <f aca="true">IFERROR(SUMPRODUCT(OFFSET($BJ$31,0,1-MIN(60,COLUMN()-29),1,MIN(60,COLUMN()-29)),OFFSET(BF869,0,-MIN(60,COLUMN()-29),1,MIN(60,COLUMN()-29))),0)</f>
        <v>0</v>
      </c>
      <c r="BG870" s="112" t="n">
        <f aca="true">IFERROR(SUMPRODUCT(OFFSET($BJ$31,0,1-MIN(60,COLUMN()-29),1,MIN(60,COLUMN()-29)),OFFSET(BG869,0,-MIN(60,COLUMN()-29),1,MIN(60,COLUMN()-29))),0)</f>
        <v>0</v>
      </c>
      <c r="BH870" s="112" t="n">
        <f aca="true">IFERROR(SUMPRODUCT(OFFSET($BJ$31,0,1-MIN(60,COLUMN()-29),1,MIN(60,COLUMN()-29)),OFFSET(BH869,0,-MIN(60,COLUMN()-29),1,MIN(60,COLUMN()-29))),0)</f>
        <v>0</v>
      </c>
      <c r="BI870" s="112" t="n">
        <f aca="true">IFERROR(SUMPRODUCT(OFFSET($BJ$31,0,1-MIN(60,COLUMN()-29),1,MIN(60,COLUMN()-29)),OFFSET(BI869,0,-MIN(60,COLUMN()-29),1,MIN(60,COLUMN()-29))),0)</f>
        <v>0</v>
      </c>
      <c r="BJ870" s="112" t="n">
        <f aca="true">IFERROR(SUMPRODUCT(OFFSET($BJ$31,0,1-MIN(60,COLUMN()-29),1,MIN(60,COLUMN()-29)),OFFSET(BJ869,0,-MIN(60,COLUMN()-29),1,MIN(60,COLUMN()-29))),0)</f>
        <v>0</v>
      </c>
      <c r="BK870" s="112" t="n">
        <f aca="true">IFERROR(SUMPRODUCT(OFFSET($BJ$31,0,1-MIN(60,COLUMN()-29),1,MIN(60,COLUMN()-29)),OFFSET(BK869,0,-MIN(60,COLUMN()-29),1,MIN(60,COLUMN()-29))),0)</f>
        <v>0</v>
      </c>
      <c r="BL870" s="112" t="n">
        <f aca="true">IFERROR(SUMPRODUCT(OFFSET($BJ$31,0,1-MIN(60,COLUMN()-29),1,MIN(60,COLUMN()-29)),OFFSET(BL869,0,-MIN(60,COLUMN()-29),1,MIN(60,COLUMN()-29))),0)</f>
        <v>0</v>
      </c>
      <c r="BM870" s="112" t="n">
        <f aca="true">IFERROR(SUMPRODUCT(OFFSET($BJ$31,0,1-MIN(60,COLUMN()-29),1,MIN(60,COLUMN()-29)),OFFSET(BM869,0,-MIN(60,COLUMN()-29),1,MIN(60,COLUMN()-29))),0)</f>
        <v>0</v>
      </c>
      <c r="BN870" s="112" t="n">
        <f aca="true">IFERROR(SUMPRODUCT(OFFSET($BJ$31,0,1-MIN(60,COLUMN()-29),1,MIN(60,COLUMN()-29)),OFFSET(BN869,0,-MIN(60,COLUMN()-29),1,MIN(60,COLUMN()-29))),0)</f>
        <v>0</v>
      </c>
      <c r="BO870" s="112" t="n">
        <f aca="true">IFERROR(SUMPRODUCT(OFFSET($BJ$31,0,1-MIN(60,COLUMN()-29),1,MIN(60,COLUMN()-29)),OFFSET(BO869,0,-MIN(60,COLUMN()-29),1,MIN(60,COLUMN()-29))),0)</f>
        <v>0</v>
      </c>
      <c r="BP870" s="112" t="n">
        <f aca="true">IFERROR(SUMPRODUCT(OFFSET($BJ$31,0,1-MIN(60,COLUMN()-29),1,MIN(60,COLUMN()-29)),OFFSET(BP869,0,-MIN(60,COLUMN()-29),1,MIN(60,COLUMN()-29))),0)</f>
        <v>0</v>
      </c>
      <c r="BQ870" s="112" t="n">
        <f aca="true">IFERROR(SUMPRODUCT(OFFSET($BJ$31,0,1-MIN(60,COLUMN()-29),1,MIN(60,COLUMN()-29)),OFFSET(BQ869,0,-MIN(60,COLUMN()-29),1,MIN(60,COLUMN()-29))),0)</f>
        <v>0</v>
      </c>
      <c r="BR870" s="112" t="n">
        <f aca="true">IFERROR(SUMPRODUCT(OFFSET($BJ$31,0,1-MIN(60,COLUMN()-29),1,MIN(60,COLUMN()-29)),OFFSET(BR869,0,-MIN(60,COLUMN()-29),1,MIN(60,COLUMN()-29))),0)</f>
        <v>0</v>
      </c>
      <c r="BS870" s="112" t="n">
        <f aca="true">IFERROR(SUMPRODUCT(OFFSET($BJ$31,0,1-MIN(60,COLUMN()-29),1,MIN(60,COLUMN()-29)),OFFSET(BS869,0,-MIN(60,COLUMN()-29),1,MIN(60,COLUMN()-29))),0)</f>
        <v>0</v>
      </c>
      <c r="BT870" s="112" t="n">
        <f aca="true">IFERROR(SUMPRODUCT(OFFSET($BJ$31,0,1-MIN(60,COLUMN()-29),1,MIN(60,COLUMN()-29)),OFFSET(BT869,0,-MIN(60,COLUMN()-29),1,MIN(60,COLUMN()-29))),0)</f>
        <v>0</v>
      </c>
      <c r="BU870" s="112" t="n">
        <f aca="true">IFERROR(SUMPRODUCT(OFFSET($BJ$31,0,1-MIN(60,COLUMN()-29),1,MIN(60,COLUMN()-29)),OFFSET(BU869,0,-MIN(60,COLUMN()-29),1,MIN(60,COLUMN()-29))),0)</f>
        <v>0</v>
      </c>
      <c r="BV870" s="112" t="n">
        <f aca="true">IFERROR(SUMPRODUCT(OFFSET($BJ$31,0,1-MIN(60,COLUMN()-29),1,MIN(60,COLUMN()-29)),OFFSET(BV869,0,-MIN(60,COLUMN()-29),1,MIN(60,COLUMN()-29))),0)</f>
        <v>0</v>
      </c>
      <c r="BW870" s="112" t="n">
        <f aca="true">IFERROR(SUMPRODUCT(OFFSET($BJ$31,0,1-MIN(60,COLUMN()-29),1,MIN(60,COLUMN()-29)),OFFSET(BW869,0,-MIN(60,COLUMN()-29),1,MIN(60,COLUMN()-29))),0)</f>
        <v>0</v>
      </c>
      <c r="BX870" s="112" t="n">
        <f aca="true">IFERROR(SUMPRODUCT(OFFSET($BJ$31,0,1-MIN(60,COLUMN()-29),1,MIN(60,COLUMN()-29)),OFFSET(BX869,0,-MIN(60,COLUMN()-29),1,MIN(60,COLUMN()-29))),0)</f>
        <v>0</v>
      </c>
      <c r="BY870" s="112" t="n">
        <f aca="true">IFERROR(SUMPRODUCT(OFFSET($BJ$31,0,1-MIN(60,COLUMN()-29),1,MIN(60,COLUMN()-29)),OFFSET(BY869,0,-MIN(60,COLUMN()-29),1,MIN(60,COLUMN()-29))),0)</f>
        <v>0</v>
      </c>
      <c r="BZ870" s="112" t="n">
        <f aca="true">IFERROR(SUMPRODUCT(OFFSET($BJ$31,0,1-MIN(60,COLUMN()-29),1,MIN(60,COLUMN()-29)),OFFSET(BZ869,0,-MIN(60,COLUMN()-29),1,MIN(60,COLUMN()-29))),0)</f>
        <v>0</v>
      </c>
      <c r="CA870" s="112" t="n">
        <f aca="true">IFERROR(SUMPRODUCT(OFFSET($BJ$31,0,1-MIN(60,COLUMN()-29),1,MIN(60,COLUMN()-29)),OFFSET(CA869,0,-MIN(60,COLUMN()-29),1,MIN(60,COLUMN()-29))),0)</f>
        <v>0</v>
      </c>
      <c r="CB870" s="112" t="n">
        <f aca="true">IFERROR(SUMPRODUCT(OFFSET($BJ$31,0,1-MIN(60,COLUMN()-29),1,MIN(60,COLUMN()-29)),OFFSET(CB869,0,-MIN(60,COLUMN()-29),1,MIN(60,COLUMN()-29))),0)</f>
        <v>0</v>
      </c>
      <c r="CC870" s="112" t="n">
        <f aca="true">IFERROR(SUMPRODUCT(OFFSET($BJ$31,0,1-MIN(60,COLUMN()-29),1,MIN(60,COLUMN()-29)),OFFSET(CC869,0,-MIN(60,COLUMN()-29),1,MIN(60,COLUMN()-29))),0)</f>
        <v>0</v>
      </c>
      <c r="CD870" s="112" t="n">
        <f aca="true">IFERROR(SUMPRODUCT(OFFSET($BJ$31,0,1-MIN(60,COLUMN()-29),1,MIN(60,COLUMN()-29)),OFFSET(CD869,0,-MIN(60,COLUMN()-29),1,MIN(60,COLUMN()-29))),0)</f>
        <v>0</v>
      </c>
      <c r="CE870" s="112" t="n">
        <f aca="true">IFERROR(SUMPRODUCT(OFFSET($BJ$31,0,1-MIN(60,COLUMN()-29),1,MIN(60,COLUMN()-29)),OFFSET(CE869,0,-MIN(60,COLUMN()-29),1,MIN(60,COLUMN()-29))),0)</f>
        <v>0</v>
      </c>
      <c r="CF870" s="112" t="n">
        <f aca="true">IFERROR(SUMPRODUCT(OFFSET($BJ$31,0,1-MIN(60,COLUMN()-29),1,MIN(60,COLUMN()-29)),OFFSET(CF869,0,-MIN(60,COLUMN()-29),1,MIN(60,COLUMN()-29))),0)</f>
        <v>0</v>
      </c>
      <c r="CG870" s="112" t="n">
        <f aca="true">IFERROR(SUMPRODUCT(OFFSET($BJ$31,0,1-MIN(60,COLUMN()-29),1,MIN(60,COLUMN()-29)),OFFSET(CG869,0,-MIN(60,COLUMN()-29),1,MIN(60,COLUMN()-29))),0)</f>
        <v>0</v>
      </c>
      <c r="CH870" s="112" t="n">
        <f aca="true">IFERROR(SUMPRODUCT(OFFSET($BJ$31,0,1-MIN(60,COLUMN()-29),1,MIN(60,COLUMN()-29)),OFFSET(CH869,0,-MIN(60,COLUMN()-29),1,MIN(60,COLUMN()-29))),0)</f>
        <v>0</v>
      </c>
      <c r="CI870" s="112" t="n">
        <f aca="true">IFERROR(SUMPRODUCT(OFFSET($BJ$31,0,1-MIN(60,COLUMN()-29),1,MIN(60,COLUMN()-29)),OFFSET(CI869,0,-MIN(60,COLUMN()-29),1,MIN(60,COLUMN()-29))),0)</f>
        <v>0</v>
      </c>
      <c r="CJ870" s="112" t="n">
        <f aca="true">IFERROR(SUMPRODUCT(OFFSET($BJ$31,0,1-MIN(60,COLUMN()-29),1,MIN(60,COLUMN()-29)),OFFSET(CJ869,0,-MIN(60,COLUMN()-29),1,MIN(60,COLUMN()-29))),0)</f>
        <v>0</v>
      </c>
      <c r="CK870" s="112" t="n">
        <f aca="true">IFERROR(SUMPRODUCT(OFFSET($BJ$31,0,1-MIN(60,COLUMN()-29),1,MIN(60,COLUMN()-29)),OFFSET(CK869,0,-MIN(60,COLUMN()-29),1,MIN(60,COLUMN()-29))),0)</f>
        <v>0</v>
      </c>
      <c r="CL870" s="112" t="n">
        <f aca="true">IFERROR(SUMPRODUCT(OFFSET($BJ$31,0,1-MIN(60,COLUMN()-29),1,MIN(60,COLUMN()-29)),OFFSET(CL869,0,-MIN(60,COLUMN()-29),1,MIN(60,COLUMN()-29))),0)</f>
        <v>0</v>
      </c>
      <c r="CM870" s="112" t="n">
        <f aca="true">IFERROR(SUMPRODUCT(OFFSET($BJ$31,0,1-MIN(60,COLUMN()-29),1,MIN(60,COLUMN()-29)),OFFSET(CM869,0,-MIN(60,COLUMN()-29),1,MIN(60,COLUMN()-29))),0)</f>
        <v>0</v>
      </c>
      <c r="CN870" s="112" t="n">
        <f aca="true">IFERROR(SUMPRODUCT(OFFSET($BJ$31,0,1-MIN(60,COLUMN()-29),1,MIN(60,COLUMN()-29)),OFFSET(CN869,0,-MIN(60,COLUMN()-29),1,MIN(60,COLUMN()-29))),0)</f>
        <v>0</v>
      </c>
      <c r="CO870" s="112" t="n">
        <f aca="true">IFERROR(SUMPRODUCT(OFFSET($BJ$31,0,1-MIN(60,COLUMN()-29),1,MIN(60,COLUMN()-29)),OFFSET(CO869,0,-MIN(60,COLUMN()-29),1,MIN(60,COLUMN()-29))),0)</f>
        <v>0</v>
      </c>
      <c r="CP870" s="112" t="n">
        <f aca="true">IFERROR(SUMPRODUCT(OFFSET($BJ$31,0,1-MIN(60,COLUMN()-29),1,MIN(60,COLUMN()-29)),OFFSET(CP869,0,-MIN(60,COLUMN()-29),1,MIN(60,COLUMN()-29))),0)</f>
        <v>0</v>
      </c>
      <c r="CQ870" s="112" t="n">
        <f aca="true">IFERROR(SUMPRODUCT(OFFSET($BJ$31,0,1-MIN(60,COLUMN()-29),1,MIN(60,COLUMN()-29)),OFFSET(CQ869,0,-MIN(60,COLUMN()-29),1,MIN(60,COLUMN()-29))),0)</f>
        <v>0</v>
      </c>
      <c r="CR870" s="112" t="n">
        <f aca="true">IFERROR(SUMPRODUCT(OFFSET($BJ$31,0,1-MIN(60,COLUMN()-29),1,MIN(60,COLUMN()-29)),OFFSET(CR869,0,-MIN(60,COLUMN()-29),1,MIN(60,COLUMN()-29))),0)</f>
        <v>0</v>
      </c>
      <c r="CS870" s="112" t="n">
        <f aca="true">IFERROR(SUMPRODUCT(OFFSET($BJ$31,0,1-MIN(60,COLUMN()-29),1,MIN(60,COLUMN()-29)),OFFSET(CS869,0,-MIN(60,COLUMN()-29),1,MIN(60,COLUMN()-29))),0)</f>
        <v>0</v>
      </c>
      <c r="CT870" s="112" t="n">
        <f aca="true">IFERROR(SUMPRODUCT(OFFSET($BJ$31,0,1-MIN(60,COLUMN()-29),1,MIN(60,COLUMN()-29)),OFFSET(CT869,0,-MIN(60,COLUMN()-29),1,MIN(60,COLUMN()-29))),0)</f>
        <v>0</v>
      </c>
      <c r="CU870" s="112" t="n">
        <f aca="true">IFERROR(SUMPRODUCT(OFFSET($BJ$31,0,1-MIN(60,COLUMN()-29),1,MIN(60,COLUMN()-29)),OFFSET(CU869,0,-MIN(60,COLUMN()-29),1,MIN(60,COLUMN()-29))),0)</f>
        <v>0</v>
      </c>
      <c r="CV870" s="112" t="n">
        <f aca="true">IFERROR(SUMPRODUCT(OFFSET($BJ$31,0,1-MIN(60,COLUMN()-29),1,MIN(60,COLUMN()-29)),OFFSET(CV869,0,-MIN(60,COLUMN()-29),1,MIN(60,COLUMN()-29))),0)</f>
        <v>0</v>
      </c>
      <c r="CW870" s="112" t="n">
        <f aca="true">IFERROR(SUMPRODUCT(OFFSET($BJ$31,0,1-MIN(60,COLUMN()-29),1,MIN(60,COLUMN()-29)),OFFSET(CW869,0,-MIN(60,COLUMN()-29),1,MIN(60,COLUMN()-29))),0)</f>
        <v>0</v>
      </c>
      <c r="CX870" s="112" t="n">
        <f aca="true">IFERROR(SUMPRODUCT(OFFSET($BJ$31,0,1-MIN(60,COLUMN()-29),1,MIN(60,COLUMN()-29)),OFFSET(CX869,0,-MIN(60,COLUMN()-29),1,MIN(60,COLUMN()-29))),0)</f>
        <v>0</v>
      </c>
      <c r="CY870" s="112" t="n">
        <f aca="true">IFERROR(SUMPRODUCT(OFFSET($BJ$31,0,1-MIN(60,COLUMN()-29),1,MIN(60,COLUMN()-29)),OFFSET(CY869,0,-MIN(60,COLUMN()-29),1,MIN(60,COLUMN()-29))),0)</f>
        <v>0</v>
      </c>
      <c r="CZ870" s="112" t="n">
        <f aca="true">IFERROR(SUMPRODUCT(OFFSET($BJ$31,0,1-MIN(60,COLUMN()-29),1,MIN(60,COLUMN()-29)),OFFSET(CZ869,0,-MIN(60,COLUMN()-29),1,MIN(60,COLUMN()-29))),0)</f>
        <v>0</v>
      </c>
      <c r="DA870" s="112" t="n">
        <f aca="true">IFERROR(SUMPRODUCT(OFFSET($BJ$31,0,1-MIN(60,COLUMN()-29),1,MIN(60,COLUMN()-29)),OFFSET(DA869,0,-MIN(60,COLUMN()-29),1,MIN(60,COLUMN()-29))),0)</f>
        <v>0</v>
      </c>
      <c r="DB870" s="112" t="n">
        <f aca="true">IFERROR(SUMPRODUCT(OFFSET($BJ$31,0,1-MIN(60,COLUMN()-29),1,MIN(60,COLUMN()-29)),OFFSET(DB869,0,-MIN(60,COLUMN()-29),1,MIN(60,COLUMN()-29))),0)</f>
        <v>0</v>
      </c>
      <c r="DC870" s="112" t="n">
        <f aca="true">IFERROR(SUMPRODUCT(OFFSET($BJ$31,0,1-MIN(60,COLUMN()-29),1,MIN(60,COLUMN()-29)),OFFSET(DC869,0,-MIN(60,COLUMN()-29),1,MIN(60,COLUMN()-29))),0)</f>
        <v>0</v>
      </c>
      <c r="DD870" s="112" t="n">
        <f aca="true">IFERROR(SUMPRODUCT(OFFSET($BJ$31,0,1-MIN(60,COLUMN()-29),1,MIN(60,COLUMN()-29)),OFFSET(DD869,0,-MIN(60,COLUMN()-29),1,MIN(60,COLUMN()-29))),0)</f>
        <v>0</v>
      </c>
      <c r="DE870" s="112" t="n">
        <f aca="true">IFERROR(SUMPRODUCT(OFFSET($BJ$31,0,1-MIN(60,COLUMN()-29),1,MIN(60,COLUMN()-29)),OFFSET(DE869,0,-MIN(60,COLUMN()-29),1,MIN(60,COLUMN()-29))),0)</f>
        <v>0</v>
      </c>
      <c r="DF870" s="112" t="n">
        <f aca="true">IFERROR(SUMPRODUCT(OFFSET($BJ$31,0,1-MIN(60,COLUMN()-29),1,MIN(60,COLUMN()-29)),OFFSET(DF869,0,-MIN(60,COLUMN()-29),1,MIN(60,COLUMN()-29))),0)</f>
        <v>0</v>
      </c>
      <c r="DG870" s="112" t="n">
        <f aca="true">IFERROR(SUMPRODUCT(OFFSET($BJ$31,0,1-MIN(60,COLUMN()-29),1,MIN(60,COLUMN()-29)),OFFSET(DG869,0,-MIN(60,COLUMN()-29),1,MIN(60,COLUMN()-29))),0)</f>
        <v>0</v>
      </c>
      <c r="DH870" s="112" t="n">
        <f aca="true">IFERROR(SUMPRODUCT(OFFSET($BJ$31,0,1-MIN(60,COLUMN()-29),1,MIN(60,COLUMN()-29)),OFFSET(DH869,0,-MIN(60,COLUMN()-29),1,MIN(60,COLUMN()-29))),0)</f>
        <v>0</v>
      </c>
      <c r="DI870" s="112" t="n">
        <f aca="true">IFERROR(SUMPRODUCT(OFFSET($BJ$31,0,1-MIN(60,COLUMN()-29),1,MIN(60,COLUMN()-29)),OFFSET(DI869,0,-MIN(60,COLUMN()-29),1,MIN(60,COLUMN()-29))),0)</f>
        <v>0</v>
      </c>
      <c r="DJ870" s="112" t="n">
        <f aca="true">IFERROR(SUMPRODUCT(OFFSET($BJ$31,0,1-MIN(60,COLUMN()-29),1,MIN(60,COLUMN()-29)),OFFSET(DJ869,0,-MIN(60,COLUMN()-29),1,MIN(60,COLUMN()-29))),0)</f>
        <v>0</v>
      </c>
      <c r="DK870" s="112" t="n">
        <f aca="true">IFERROR(SUMPRODUCT(OFFSET($BJ$31,0,1-MIN(60,COLUMN()-29),1,MIN(60,COLUMN()-29)),OFFSET(DK869,0,-MIN(60,COLUMN()-29),1,MIN(60,COLUMN()-29))),0)</f>
        <v>0</v>
      </c>
      <c r="DL870" s="112" t="n">
        <f aca="true">IFERROR(SUMPRODUCT(OFFSET($BJ$31,0,1-MIN(60,COLUMN()-29),1,MIN(60,COLUMN()-29)),OFFSET(DL869,0,-MIN(60,COLUMN()-29),1,MIN(60,COLUMN()-29))),0)</f>
        <v>0</v>
      </c>
      <c r="DM870" s="112" t="n">
        <f aca="true">IFERROR(SUMPRODUCT(OFFSET($BJ$31,0,1-MIN(60,COLUMN()-29),1,MIN(60,COLUMN()-29)),OFFSET(DM869,0,-MIN(60,COLUMN()-29),1,MIN(60,COLUMN()-29))),0)</f>
        <v>0</v>
      </c>
      <c r="DN870" s="112" t="n">
        <f aca="true">IFERROR(SUMPRODUCT(OFFSET($BJ$31,0,1-MIN(60,COLUMN()-29),1,MIN(60,COLUMN()-29)),OFFSET(DN869,0,-MIN(60,COLUMN()-29),1,MIN(60,COLUMN()-29))),0)</f>
        <v>0</v>
      </c>
      <c r="DO870" s="112" t="n">
        <f aca="true">IFERROR(SUMPRODUCT(OFFSET($BJ$31,0,1-MIN(60,COLUMN()-29),1,MIN(60,COLUMN()-29)),OFFSET(DO869,0,-MIN(60,COLUMN()-29),1,MIN(60,COLUMN()-29))),0)</f>
        <v>0</v>
      </c>
      <c r="DP870" s="112" t="n">
        <f aca="true">IFERROR(SUMPRODUCT(OFFSET($BJ$31,0,1-MIN(60,COLUMN()-29),1,MIN(60,COLUMN()-29)),OFFSET(DP869,0,-MIN(60,COLUMN()-29),1,MIN(60,COLUMN()-29))),0)</f>
        <v>0</v>
      </c>
      <c r="DQ870" s="112" t="n">
        <f aca="true">IFERROR(SUMPRODUCT(OFFSET($BJ$31,0,1-MIN(60,COLUMN()-29),1,MIN(60,COLUMN()-29)),OFFSET(DQ869,0,-MIN(60,COLUMN()-29),1,MIN(60,COLUMN()-29))),0)</f>
        <v>0</v>
      </c>
      <c r="DR870" s="112" t="n">
        <f aca="true">IFERROR(SUMPRODUCT(OFFSET($BJ$31,0,1-MIN(60,COLUMN()-29),1,MIN(60,COLUMN()-29)),OFFSET(DR869,0,-MIN(60,COLUMN()-29),1,MIN(60,COLUMN()-29))),0)</f>
        <v>0</v>
      </c>
      <c r="DS870" s="112" t="n">
        <f aca="true">IFERROR(SUMPRODUCT(OFFSET($BJ$31,0,1-MIN(60,COLUMN()-29),1,MIN(60,COLUMN()-29)),OFFSET(DS869,0,-MIN(60,COLUMN()-29),1,MIN(60,COLUMN()-29))),0)</f>
        <v>0</v>
      </c>
      <c r="DT870" s="112" t="n">
        <f aca="true">IFERROR(SUMPRODUCT(OFFSET($BJ$31,0,1-MIN(60,COLUMN()-29),1,MIN(60,COLUMN()-29)),OFFSET(DT869,0,-MIN(60,COLUMN()-29),1,MIN(60,COLUMN()-29))),0)</f>
        <v>0</v>
      </c>
      <c r="DU870" s="112" t="n">
        <f aca="true">IFERROR(SUMPRODUCT(OFFSET($BJ$31,0,1-MIN(60,COLUMN()-29),1,MIN(60,COLUMN()-29)),OFFSET(DU869,0,-MIN(60,COLUMN()-29),1,MIN(60,COLUMN()-29))),0)</f>
        <v>0</v>
      </c>
      <c r="DV870" s="112" t="n">
        <f aca="true">IFERROR(SUMPRODUCT(OFFSET($BJ$31,0,1-MIN(60,COLUMN()-29),1,MIN(60,COLUMN()-29)),OFFSET(DV869,0,-MIN(60,COLUMN()-29),1,MIN(60,COLUMN()-29))),0)</f>
        <v>0</v>
      </c>
      <c r="DW870" s="112" t="n">
        <f aca="true">IFERROR(SUMPRODUCT(OFFSET($BJ$31,0,1-MIN(60,COLUMN()-29),1,MIN(60,COLUMN()-29)),OFFSET(DW869,0,-MIN(60,COLUMN()-29),1,MIN(60,COLUMN()-29))),0)</f>
        <v>0</v>
      </c>
      <c r="DX870" s="112" t="n">
        <f aca="true">IFERROR(SUMPRODUCT(OFFSET($BJ$31,0,1-MIN(60,COLUMN()-29),1,MIN(60,COLUMN()-29)),OFFSET(DX869,0,-MIN(60,COLUMN()-29),1,MIN(60,COLUMN()-29))),0)</f>
        <v>0</v>
      </c>
      <c r="DY870" s="112" t="n">
        <f aca="true">IFERROR(SUMPRODUCT(OFFSET($BJ$31,0,1-MIN(60,COLUMN()-29),1,MIN(60,COLUMN()-29)),OFFSET(DY869,0,-MIN(60,COLUMN()-29),1,MIN(60,COLUMN()-29))),0)</f>
        <v>0</v>
      </c>
      <c r="DZ870" s="112" t="n">
        <f aca="true">IFERROR(SUMPRODUCT(OFFSET($BJ$31,0,1-MIN(60,COLUMN()-29),1,MIN(60,COLUMN()-29)),OFFSET(DZ869,0,-MIN(60,COLUMN()-29),1,MIN(60,COLUMN()-29))),0)</f>
        <v>0</v>
      </c>
      <c r="EA870" s="112" t="n">
        <f aca="true">IFERROR(SUMPRODUCT(OFFSET($BJ$31,0,1-MIN(60,COLUMN()-29),1,MIN(60,COLUMN()-29)),OFFSET(EA869,0,-MIN(60,COLUMN()-29),1,MIN(60,COLUMN()-29))),0)</f>
        <v>0</v>
      </c>
      <c r="EB870" s="112" t="n">
        <f aca="true">IFERROR(SUMPRODUCT(OFFSET($BJ$31,0,1-MIN(60,COLUMN()-29),1,MIN(60,COLUMN()-29)),OFFSET(EB869,0,-MIN(60,COLUMN()-29),1,MIN(60,COLUMN()-29))),0)</f>
        <v>0</v>
      </c>
      <c r="EC870" s="112" t="n">
        <f aca="true">IFERROR(SUMPRODUCT(OFFSET($BJ$31,0,1-MIN(60,COLUMN()-29),1,MIN(60,COLUMN()-29)),OFFSET(EC869,0,-MIN(60,COLUMN()-29),1,MIN(60,COLUMN()-29))),0)</f>
        <v>0</v>
      </c>
      <c r="ED870" s="112" t="n">
        <f aca="true">IFERROR(SUMPRODUCT(OFFSET($BJ$31,0,1-MIN(60,COLUMN()-29),1,MIN(60,COLUMN()-29)),OFFSET(ED869,0,-MIN(60,COLUMN()-29),1,MIN(60,COLUMN()-29))),0)</f>
        <v>0</v>
      </c>
      <c r="EE870" s="112" t="n">
        <f aca="true">IFERROR(SUMPRODUCT(OFFSET($BJ$31,0,1-MIN(60,COLUMN()-29),1,MIN(60,COLUMN()-29)),OFFSET(EE869,0,-MIN(60,COLUMN()-29),1,MIN(60,COLUMN()-29))),0)</f>
        <v>0</v>
      </c>
      <c r="EF870" s="112" t="n">
        <f aca="true">IFERROR(SUMPRODUCT(OFFSET($BJ$31,0,1-MIN(60,COLUMN()-29),1,MIN(60,COLUMN()-29)),OFFSET(EF869,0,-MIN(60,COLUMN()-29),1,MIN(60,COLUMN()-29))),0)</f>
        <v>0</v>
      </c>
      <c r="EG870" s="112" t="n">
        <f aca="true">IFERROR(SUMPRODUCT(OFFSET($BJ$31,0,1-MIN(60,COLUMN()-29),1,MIN(60,COLUMN()-29)),OFFSET(EG869,0,-MIN(60,COLUMN()-29),1,MIN(60,COLUMN()-29))),0)</f>
        <v>0</v>
      </c>
      <c r="EH870" s="112" t="n">
        <f aca="true">IFERROR(SUMPRODUCT(OFFSET($BJ$31,0,1-MIN(60,COLUMN()-29),1,MIN(60,COLUMN()-29)),OFFSET(EH869,0,-MIN(60,COLUMN()-29),1,MIN(60,COLUMN()-29))),0)</f>
        <v>0</v>
      </c>
      <c r="EI870" s="112" t="n">
        <f aca="true">IFERROR(SUMPRODUCT(OFFSET($BJ$31,0,1-MIN(60,COLUMN()-29),1,MIN(60,COLUMN()-29)),OFFSET(EI869,0,-MIN(60,COLUMN()-29),1,MIN(60,COLUMN()-29))),0)</f>
        <v>0</v>
      </c>
      <c r="EJ870" s="112" t="n">
        <f aca="true">IFERROR(SUMPRODUCT(OFFSET($BJ$31,0,1-MIN(60,COLUMN()-29),1,MIN(60,COLUMN()-29)),OFFSET(EJ869,0,-MIN(60,COLUMN()-29),1,MIN(60,COLUMN()-29))),0)</f>
        <v>0</v>
      </c>
      <c r="EK870" s="112" t="n">
        <f aca="true">IFERROR(SUMPRODUCT(OFFSET($BJ$31,0,1-MIN(60,COLUMN()-29),1,MIN(60,COLUMN()-29)),OFFSET(EK869,0,-MIN(60,COLUMN()-29),1,MIN(60,COLUMN()-29))),0)</f>
        <v>0</v>
      </c>
      <c r="EL870" s="112" t="n">
        <f aca="true">IFERROR(SUMPRODUCT(OFFSET($BJ$31,0,1-MIN(60,COLUMN()-29),1,MIN(60,COLUMN()-29)),OFFSET(EL869,0,-MIN(60,COLUMN()-29),1,MIN(60,COLUMN()-29))),0)</f>
        <v>0</v>
      </c>
      <c r="EM870" s="112" t="n">
        <f aca="true">IFERROR(SUMPRODUCT(OFFSET($BJ$31,0,1-MIN(60,COLUMN()-29),1,MIN(60,COLUMN()-29)),OFFSET(EM869,0,-MIN(60,COLUMN()-29),1,MIN(60,COLUMN()-29))),0)</f>
        <v>0</v>
      </c>
      <c r="EN870" s="112" t="n">
        <f aca="true">IFERROR(SUMPRODUCT(OFFSET($BJ$31,0,1-MIN(60,COLUMN()-29),1,MIN(60,COLUMN()-29)),OFFSET(EN869,0,-MIN(60,COLUMN()-29),1,MIN(60,COLUMN()-29))),0)</f>
        <v>0</v>
      </c>
      <c r="EO870" s="112" t="n">
        <f aca="true">IFERROR(SUMPRODUCT(OFFSET($BJ$31,0,1-MIN(60,COLUMN()-29),1,MIN(60,COLUMN()-29)),OFFSET(EO869,0,-MIN(60,COLUMN()-29),1,MIN(60,COLUMN()-29))),0)</f>
        <v>0</v>
      </c>
      <c r="EP870" s="112" t="n">
        <f aca="true">IFERROR(SUMPRODUCT(OFFSET($BJ$31,0,1-MIN(60,COLUMN()-29),1,MIN(60,COLUMN()-29)),OFFSET(EP869,0,-MIN(60,COLUMN()-29),1,MIN(60,COLUMN()-29))),0)</f>
        <v>0</v>
      </c>
      <c r="EQ870" s="112" t="n">
        <f aca="true">IFERROR(SUMPRODUCT(OFFSET($BJ$31,0,1-MIN(60,COLUMN()-29),1,MIN(60,COLUMN()-29)),OFFSET(EQ869,0,-MIN(60,COLUMN()-29),1,MIN(60,COLUMN()-29))),0)</f>
        <v>0</v>
      </c>
      <c r="ER870" s="112" t="n">
        <f aca="true">IFERROR(SUMPRODUCT(OFFSET($BJ$31,0,1-MIN(60,COLUMN()-29),1,MIN(60,COLUMN()-29)),OFFSET(ER869,0,-MIN(60,COLUMN()-29),1,MIN(60,COLUMN()-29))),0)</f>
        <v>0</v>
      </c>
      <c r="ES870" s="9" t="n">
        <f aca="true">IFERROR(SUMPRODUCT(OFFSET($BJ$31,0,1-MIN(60,COLUMN()-29),1,MIN(60,COLUMN()-29)),OFFSET(ES869,0,-MIN(60,COLUMN()-29),1,MIN(60,COLUMN()-29))),0)</f>
        <v>0</v>
      </c>
      <c r="ET870" s="9" t="n">
        <f aca="true">IFERROR(SUMPRODUCT(OFFSET($BJ$31,0,1-MIN(60,COLUMN()-29),1,MIN(60,COLUMN()-29)),OFFSET(ET869,0,-MIN(60,COLUMN()-29),1,MIN(60,COLUMN()-29))),0)</f>
        <v>0</v>
      </c>
      <c r="EU870" s="9" t="n">
        <f aca="true">IFERROR(SUMPRODUCT(OFFSET($BJ$31,0,1-MIN(60,COLUMN()-29),1,MIN(60,COLUMN()-29)),OFFSET(EU869,0,-MIN(60,COLUMN()-29),1,MIN(60,COLUMN()-29))),0)</f>
        <v>0</v>
      </c>
      <c r="EV870" s="9" t="n">
        <f aca="true">IFERROR(SUMPRODUCT(OFFSET($BJ$31,0,1-MIN(60,COLUMN()-29),1,MIN(60,COLUMN()-29)),OFFSET(EV869,0,-MIN(60,COLUMN()-29),1,MIN(60,COLUMN()-29))),0)</f>
        <v>0</v>
      </c>
      <c r="EW870" s="9" t="n">
        <f aca="true">IFERROR(SUMPRODUCT(OFFSET($BJ$31,0,1-MIN(60,COLUMN()-29),1,MIN(60,COLUMN()-29)),OFFSET(EW869,0,-MIN(60,COLUMN()-29),1,MIN(60,COLUMN()-29))),0)</f>
        <v>0</v>
      </c>
      <c r="EX870" s="9" t="n">
        <f aca="true">IFERROR(SUMPRODUCT(OFFSET($BJ$31,0,1-MIN(60,COLUMN()-29),1,MIN(60,COLUMN()-29)),OFFSET(EX869,0,-MIN(60,COLUMN()-29),1,MIN(60,COLUMN()-29))),0)</f>
        <v>0</v>
      </c>
      <c r="EY870" s="9" t="n">
        <f aca="true">IFERROR(SUMPRODUCT(OFFSET($BJ$31,0,1-MIN(60,COLUMN()-29),1,MIN(60,COLUMN()-29)),OFFSET(EY869,0,-MIN(60,COLUMN()-29),1,MIN(60,COLUMN()-29))),0)</f>
        <v>0</v>
      </c>
      <c r="EZ870" s="9" t="n">
        <f aca="true">IFERROR(SUMPRODUCT(OFFSET($BJ$31,0,1-MIN(60,COLUMN()-29),1,MIN(60,COLUMN()-29)),OFFSET(EZ869,0,-MIN(60,COLUMN()-29),1,MIN(60,COLUMN()-29))),0)</f>
        <v>0</v>
      </c>
      <c r="FA870" s="9" t="n">
        <f aca="true">IFERROR(SUMPRODUCT(OFFSET($BJ$31,0,1-MIN(60,COLUMN()-29),1,MIN(60,COLUMN()-29)),OFFSET(FA869,0,-MIN(60,COLUMN()-29),1,MIN(60,COLUMN()-29))),0)</f>
        <v>0</v>
      </c>
      <c r="FB870" s="9" t="n">
        <f aca="true">IFERROR(SUMPRODUCT(OFFSET($BJ$31,0,1-MIN(60,COLUMN()-29),1,MIN(60,COLUMN()-29)),OFFSET(FB869,0,-MIN(60,COLUMN()-29),1,MIN(60,COLUMN()-29))),0)</f>
        <v>0</v>
      </c>
      <c r="FC870" s="9" t="n">
        <f aca="true">IFERROR(SUMPRODUCT(OFFSET($BJ$31,0,1-MIN(60,COLUMN()-29),1,MIN(60,COLUMN()-29)),OFFSET(FC869,0,-MIN(60,COLUMN()-29),1,MIN(60,COLUMN()-29))),0)</f>
        <v>0</v>
      </c>
      <c r="FD870" s="9" t="n">
        <f aca="true">IFERROR(SUMPRODUCT(OFFSET($BJ$31,0,1-MIN(60,COLUMN()-29),1,MIN(60,COLUMN()-29)),OFFSET(FD869,0,-MIN(60,COLUMN()-29),1,MIN(60,COLUMN()-29))),0)</f>
        <v>0</v>
      </c>
      <c r="FE870" s="9" t="n">
        <f aca="true">IFERROR(SUMPRODUCT(OFFSET($BJ$31,0,1-MIN(60,COLUMN()-29),1,MIN(60,COLUMN()-29)),OFFSET(FE869,0,-MIN(60,COLUMN()-29),1,MIN(60,COLUMN()-29))),0)</f>
        <v>0</v>
      </c>
      <c r="FF870" s="9" t="n">
        <f aca="true">IFERROR(SUMPRODUCT(OFFSET($BJ$31,0,1-MIN(60,COLUMN()-29),1,MIN(60,COLUMN()-29)),OFFSET(FF869,0,-MIN(60,COLUMN()-29),1,MIN(60,COLUMN()-29))),0)</f>
        <v>0</v>
      </c>
      <c r="FG870" s="9" t="n">
        <f aca="true">IFERROR(SUMPRODUCT(OFFSET($BJ$31,0,1-MIN(60,COLUMN()-29),1,MIN(60,COLUMN()-29)),OFFSET(FG869,0,-MIN(60,COLUMN()-29),1,MIN(60,COLUMN()-29))),0)</f>
        <v>0</v>
      </c>
      <c r="FH870" s="9" t="n">
        <f aca="true">IFERROR(SUMPRODUCT(OFFSET($BJ$31,0,1-MIN(60,COLUMN()-29),1,MIN(60,COLUMN()-29)),OFFSET(FH869,0,-MIN(60,COLUMN()-29),1,MIN(60,COLUMN()-29))),0)</f>
        <v>0</v>
      </c>
      <c r="FI870" s="9" t="n">
        <f aca="true">IFERROR(SUMPRODUCT(OFFSET($BJ$31,0,1-MIN(60,COLUMN()-29),1,MIN(60,COLUMN()-29)),OFFSET(FI869,0,-MIN(60,COLUMN()-29),1,MIN(60,COLUMN()-29))),0)</f>
        <v>0</v>
      </c>
      <c r="FJ870" s="9" t="n">
        <f aca="true">IFERROR(SUMPRODUCT(OFFSET($BJ$31,0,1-MIN(60,COLUMN()-29),1,MIN(60,COLUMN()-29)),OFFSET(FJ869,0,-MIN(60,COLUMN()-29),1,MIN(60,COLUMN()-29))),0)</f>
        <v>0</v>
      </c>
      <c r="FK870" s="9" t="n">
        <f aca="true">IFERROR(SUMPRODUCT(OFFSET($BJ$31,0,1-MIN(60,COLUMN()-29),1,MIN(60,COLUMN()-29)),OFFSET(FK869,0,-MIN(60,COLUMN()-29),1,MIN(60,COLUMN()-29))),0)</f>
        <v>0</v>
      </c>
      <c r="FL870" s="9" t="n">
        <f aca="true">IFERROR(SUMPRODUCT(OFFSET($BJ$31,0,1-MIN(60,COLUMN()-29),1,MIN(60,COLUMN()-29)),OFFSET(FL869,0,-MIN(60,COLUMN()-29),1,MIN(60,COLUMN()-29))),0)</f>
        <v>3.97824</v>
      </c>
      <c r="FM870" s="9" t="n">
        <f aca="true">IFERROR(SUMPRODUCT(OFFSET($BJ$31,0,1-MIN(60,COLUMN()-29),1,MIN(60,COLUMN()-29)),OFFSET(FM869,0,-MIN(60,COLUMN()-29),1,MIN(60,COLUMN()-29))),0)</f>
        <v>7.94464</v>
      </c>
      <c r="FN870" s="9" t="n">
        <f aca="true">IFERROR(SUMPRODUCT(OFFSET($BJ$31,0,1-MIN(60,COLUMN()-29),1,MIN(60,COLUMN()-29)),OFFSET(FN869,0,-MIN(60,COLUMN()-29),1,MIN(60,COLUMN()-29))),0)</f>
        <v>8.3058784</v>
      </c>
      <c r="FO870" s="9" t="n">
        <f aca="true">IFERROR(SUMPRODUCT(OFFSET($BJ$31,0,1-MIN(60,COLUMN()-29),1,MIN(60,COLUMN()-29)),OFFSET(FO869,0,-MIN(60,COLUMN()-29),1,MIN(60,COLUMN()-29))),0)</f>
        <v>8.736736</v>
      </c>
      <c r="FP870" s="9" t="n">
        <f aca="true">IFERROR(SUMPRODUCT(OFFSET($BJ$31,0,1-MIN(60,COLUMN()-29),1,MIN(60,COLUMN()-29)),OFFSET(FP869,0,-MIN(60,COLUMN()-29),1,MIN(60,COLUMN()-29))),0)</f>
        <v>7.639168</v>
      </c>
    </row>
    <row r="871" customFormat="false" ht="15" hidden="false" customHeight="false" outlineLevel="2" collapsed="false">
      <c r="B871" s="90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237"/>
      <c r="AD871" s="237"/>
      <c r="AE871" s="237"/>
      <c r="AF871" s="237"/>
      <c r="AG871" s="237"/>
      <c r="AH871" s="237"/>
      <c r="AI871" s="237"/>
      <c r="AJ871" s="237"/>
      <c r="AK871" s="237"/>
      <c r="AL871" s="237"/>
      <c r="AM871" s="237"/>
      <c r="AN871" s="237"/>
      <c r="AO871" s="237"/>
      <c r="AP871" s="237"/>
      <c r="AQ871" s="237"/>
      <c r="AR871" s="237"/>
      <c r="AS871" s="237"/>
      <c r="AT871" s="237"/>
      <c r="AU871" s="237"/>
      <c r="AV871" s="237"/>
      <c r="AW871" s="237"/>
      <c r="AX871" s="237"/>
      <c r="AY871" s="237"/>
      <c r="AZ871" s="237"/>
      <c r="BA871" s="237"/>
      <c r="BB871" s="237"/>
      <c r="BC871" s="237"/>
      <c r="BD871" s="237"/>
      <c r="BE871" s="237"/>
      <c r="BF871" s="237"/>
      <c r="BG871" s="237"/>
      <c r="BH871" s="237"/>
      <c r="BI871" s="237"/>
      <c r="BJ871" s="237"/>
      <c r="BK871" s="237"/>
      <c r="BL871" s="237"/>
      <c r="BM871" s="237"/>
      <c r="BN871" s="237"/>
      <c r="BO871" s="237"/>
      <c r="BP871" s="237"/>
      <c r="BQ871" s="237"/>
      <c r="BR871" s="237"/>
      <c r="BS871" s="237"/>
      <c r="BT871" s="237"/>
      <c r="BU871" s="237"/>
      <c r="BV871" s="237"/>
      <c r="BW871" s="237"/>
      <c r="BX871" s="237"/>
      <c r="BY871" s="237"/>
      <c r="BZ871" s="237"/>
      <c r="CA871" s="237"/>
      <c r="CB871" s="237"/>
      <c r="CC871" s="237"/>
      <c r="CD871" s="237"/>
      <c r="CE871" s="237"/>
      <c r="CF871" s="237"/>
      <c r="CG871" s="237"/>
      <c r="CH871" s="237"/>
      <c r="CI871" s="237"/>
      <c r="CJ871" s="237"/>
      <c r="CK871" s="237"/>
      <c r="CL871" s="237"/>
      <c r="CM871" s="237"/>
      <c r="CN871" s="237"/>
      <c r="CO871" s="237"/>
      <c r="CP871" s="237"/>
      <c r="CQ871" s="237"/>
      <c r="CR871" s="237"/>
      <c r="CS871" s="237"/>
      <c r="CT871" s="237"/>
      <c r="CU871" s="237"/>
      <c r="CV871" s="237"/>
      <c r="CW871" s="237"/>
      <c r="CX871" s="237"/>
      <c r="CY871" s="237"/>
      <c r="CZ871" s="237"/>
      <c r="DA871" s="237"/>
      <c r="DB871" s="237"/>
      <c r="DC871" s="237"/>
      <c r="DD871" s="237"/>
      <c r="DE871" s="237"/>
      <c r="DF871" s="237"/>
      <c r="DG871" s="237"/>
      <c r="DH871" s="237"/>
      <c r="DI871" s="237"/>
      <c r="DJ871" s="237"/>
      <c r="DK871" s="237"/>
      <c r="DL871" s="237"/>
      <c r="DM871" s="237"/>
      <c r="DN871" s="237"/>
      <c r="DO871" s="237"/>
      <c r="DP871" s="237"/>
      <c r="DQ871" s="237"/>
      <c r="DR871" s="237"/>
      <c r="DS871" s="237"/>
      <c r="DT871" s="237"/>
      <c r="DU871" s="237"/>
      <c r="DV871" s="237"/>
      <c r="DW871" s="237"/>
      <c r="DX871" s="237"/>
      <c r="DY871" s="237"/>
      <c r="DZ871" s="237"/>
      <c r="EA871" s="237"/>
      <c r="EB871" s="237"/>
      <c r="EC871" s="237"/>
      <c r="ED871" s="237"/>
      <c r="EE871" s="237"/>
      <c r="EF871" s="237"/>
      <c r="EG871" s="237"/>
      <c r="EH871" s="237"/>
      <c r="EI871" s="237"/>
      <c r="EJ871" s="237"/>
      <c r="EK871" s="237"/>
      <c r="EL871" s="237"/>
      <c r="EM871" s="237"/>
      <c r="EN871" s="237"/>
      <c r="EO871" s="237"/>
      <c r="EP871" s="237"/>
      <c r="EQ871" s="237"/>
      <c r="ER871" s="237"/>
      <c r="ES871" s="9"/>
      <c r="ET871" s="9"/>
      <c r="EU871" s="9"/>
      <c r="EV871" s="9"/>
      <c r="EW871" s="9"/>
      <c r="EX871" s="9"/>
      <c r="EY871" s="9"/>
      <c r="EZ871" s="9"/>
      <c r="FA871" s="9"/>
      <c r="FB871" s="9"/>
      <c r="FC871" s="9"/>
      <c r="FD871" s="9"/>
      <c r="FE871" s="9"/>
      <c r="FF871" s="9"/>
      <c r="FG871" s="9"/>
      <c r="FH871" s="9"/>
      <c r="FI871" s="9"/>
      <c r="FJ871" s="9"/>
      <c r="FK871" s="9"/>
      <c r="FL871" s="9"/>
      <c r="FM871" s="9"/>
      <c r="FN871" s="9"/>
      <c r="FO871" s="9"/>
      <c r="FP871" s="9"/>
    </row>
    <row r="872" customFormat="false" ht="15" hidden="false" customHeight="false" outlineLevel="2" collapsed="false">
      <c r="B872" s="240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237"/>
      <c r="AD872" s="237"/>
      <c r="AE872" s="237"/>
      <c r="AF872" s="237"/>
      <c r="AG872" s="237"/>
      <c r="AH872" s="237"/>
      <c r="AI872" s="237"/>
      <c r="AJ872" s="237"/>
      <c r="AK872" s="237"/>
      <c r="AL872" s="237"/>
      <c r="AM872" s="237"/>
      <c r="AN872" s="237"/>
      <c r="AO872" s="237"/>
      <c r="AP872" s="237"/>
      <c r="AQ872" s="237"/>
      <c r="AR872" s="237"/>
      <c r="AS872" s="237"/>
      <c r="AT872" s="237"/>
      <c r="AU872" s="237"/>
      <c r="AV872" s="237"/>
      <c r="AW872" s="237"/>
      <c r="AX872" s="237"/>
      <c r="AY872" s="237"/>
      <c r="AZ872" s="237"/>
      <c r="BA872" s="237"/>
      <c r="BB872" s="237"/>
      <c r="BC872" s="237"/>
      <c r="BD872" s="237"/>
      <c r="BE872" s="237"/>
      <c r="BF872" s="237"/>
      <c r="BG872" s="237"/>
      <c r="BH872" s="237"/>
      <c r="BI872" s="237"/>
      <c r="BJ872" s="237"/>
      <c r="BK872" s="237"/>
      <c r="BL872" s="237"/>
      <c r="BM872" s="237"/>
      <c r="BN872" s="237"/>
      <c r="BO872" s="237"/>
      <c r="BP872" s="237"/>
      <c r="BQ872" s="237"/>
      <c r="BR872" s="237"/>
      <c r="BS872" s="237"/>
      <c r="BT872" s="237"/>
      <c r="BU872" s="237"/>
      <c r="BV872" s="237"/>
      <c r="BW872" s="237"/>
      <c r="BX872" s="237"/>
      <c r="BY872" s="237"/>
      <c r="BZ872" s="237"/>
      <c r="CA872" s="237"/>
      <c r="CB872" s="237"/>
      <c r="CC872" s="237"/>
      <c r="CD872" s="237"/>
      <c r="CE872" s="237"/>
      <c r="CF872" s="237"/>
      <c r="CG872" s="237"/>
      <c r="CH872" s="237"/>
      <c r="CI872" s="237"/>
      <c r="CJ872" s="237"/>
      <c r="CK872" s="237"/>
      <c r="CL872" s="237"/>
      <c r="CM872" s="237"/>
      <c r="CN872" s="237"/>
      <c r="CO872" s="237"/>
      <c r="CP872" s="237"/>
      <c r="CQ872" s="237"/>
      <c r="CR872" s="237"/>
      <c r="CS872" s="237"/>
      <c r="CT872" s="237"/>
      <c r="CU872" s="237"/>
      <c r="CV872" s="237"/>
      <c r="CW872" s="237"/>
      <c r="CX872" s="237"/>
      <c r="CY872" s="237"/>
      <c r="CZ872" s="237"/>
      <c r="DA872" s="237"/>
      <c r="DB872" s="237"/>
      <c r="DC872" s="237"/>
      <c r="DD872" s="237"/>
      <c r="DE872" s="237"/>
      <c r="DF872" s="237"/>
      <c r="DG872" s="237"/>
      <c r="DH872" s="237"/>
      <c r="DI872" s="237"/>
      <c r="DJ872" s="237"/>
      <c r="DK872" s="237"/>
      <c r="DL872" s="237"/>
      <c r="DM872" s="237"/>
      <c r="DN872" s="237"/>
      <c r="DO872" s="237"/>
      <c r="DP872" s="237"/>
      <c r="DQ872" s="237"/>
      <c r="DR872" s="237"/>
      <c r="DS872" s="237"/>
      <c r="DT872" s="237"/>
      <c r="DU872" s="237"/>
      <c r="DV872" s="237"/>
      <c r="DW872" s="237"/>
      <c r="DX872" s="237"/>
      <c r="DY872" s="237"/>
      <c r="DZ872" s="237"/>
      <c r="EA872" s="237"/>
      <c r="EB872" s="237"/>
      <c r="EC872" s="237"/>
      <c r="ED872" s="237"/>
      <c r="EE872" s="237"/>
      <c r="EF872" s="237"/>
      <c r="EG872" s="237"/>
      <c r="EH872" s="237"/>
      <c r="EI872" s="237"/>
      <c r="EJ872" s="237"/>
      <c r="EK872" s="237"/>
      <c r="EL872" s="237"/>
      <c r="EM872" s="237"/>
      <c r="EN872" s="237"/>
      <c r="EO872" s="237"/>
      <c r="EP872" s="237"/>
      <c r="EQ872" s="237"/>
      <c r="ER872" s="237"/>
      <c r="ES872" s="9"/>
      <c r="ET872" s="9"/>
      <c r="EU872" s="9"/>
      <c r="EV872" s="9"/>
      <c r="EW872" s="9"/>
      <c r="EX872" s="9"/>
      <c r="EY872" s="9"/>
      <c r="EZ872" s="9"/>
      <c r="FA872" s="9"/>
      <c r="FB872" s="9"/>
      <c r="FC872" s="9"/>
      <c r="FD872" s="9"/>
      <c r="FE872" s="9"/>
      <c r="FF872" s="9"/>
      <c r="FG872" s="9"/>
      <c r="FH872" s="9"/>
      <c r="FI872" s="9"/>
      <c r="FJ872" s="9"/>
      <c r="FK872" s="9"/>
      <c r="FL872" s="9"/>
      <c r="FM872" s="9"/>
      <c r="FN872" s="9"/>
      <c r="FO872" s="9"/>
      <c r="FP872" s="9"/>
    </row>
    <row r="873" customFormat="false" ht="15" hidden="false" customHeight="false" outlineLevel="2" collapsed="false">
      <c r="B873" s="21" t="s">
        <v>960</v>
      </c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  <c r="AP873" s="21"/>
      <c r="AQ873" s="21"/>
      <c r="AR873" s="21"/>
      <c r="AS873" s="21"/>
      <c r="AT873" s="21"/>
      <c r="AU873" s="21"/>
      <c r="AV873" s="21"/>
      <c r="AW873" s="21"/>
      <c r="AX873" s="21"/>
      <c r="AY873" s="21"/>
      <c r="AZ873" s="21"/>
      <c r="BA873" s="21"/>
      <c r="BB873" s="21"/>
      <c r="BC873" s="21"/>
      <c r="BD873" s="21"/>
      <c r="BE873" s="21"/>
      <c r="BF873" s="21"/>
      <c r="BG873" s="21"/>
      <c r="BH873" s="21"/>
      <c r="BI873" s="21"/>
      <c r="BJ873" s="21"/>
      <c r="BK873" s="21"/>
      <c r="BL873" s="21"/>
      <c r="BM873" s="21"/>
      <c r="BN873" s="21"/>
      <c r="BO873" s="21"/>
      <c r="BP873" s="21"/>
      <c r="BQ873" s="21"/>
      <c r="BR873" s="21"/>
      <c r="BS873" s="21"/>
      <c r="BT873" s="21"/>
      <c r="BU873" s="21"/>
      <c r="BV873" s="21"/>
      <c r="BW873" s="21"/>
      <c r="BX873" s="21"/>
      <c r="BY873" s="21"/>
      <c r="BZ873" s="21"/>
      <c r="CA873" s="21"/>
      <c r="CB873" s="21"/>
      <c r="CC873" s="21"/>
      <c r="CD873" s="21"/>
      <c r="CE873" s="21"/>
      <c r="CF873" s="21"/>
      <c r="CG873" s="21"/>
      <c r="CH873" s="21"/>
      <c r="CI873" s="21"/>
      <c r="CJ873" s="21"/>
      <c r="CK873" s="21"/>
      <c r="CL873" s="21"/>
      <c r="CM873" s="21"/>
      <c r="CN873" s="21"/>
      <c r="CO873" s="21"/>
      <c r="CP873" s="21"/>
      <c r="CQ873" s="21"/>
      <c r="CR873" s="21"/>
      <c r="CS873" s="21"/>
      <c r="CT873" s="21"/>
      <c r="CU873" s="21"/>
      <c r="CV873" s="21"/>
      <c r="CW873" s="21"/>
      <c r="CX873" s="21"/>
      <c r="CY873" s="21"/>
      <c r="CZ873" s="21"/>
      <c r="DA873" s="21"/>
      <c r="DB873" s="21"/>
      <c r="DC873" s="21"/>
      <c r="DD873" s="21"/>
      <c r="DE873" s="21"/>
      <c r="DF873" s="21"/>
      <c r="DG873" s="21"/>
      <c r="DH873" s="21"/>
      <c r="DI873" s="21"/>
      <c r="DJ873" s="21"/>
      <c r="DK873" s="21"/>
      <c r="DL873" s="21"/>
      <c r="DM873" s="21"/>
      <c r="DN873" s="21"/>
      <c r="DO873" s="21"/>
      <c r="DP873" s="21"/>
      <c r="DQ873" s="21"/>
      <c r="DR873" s="21"/>
      <c r="DS873" s="21"/>
      <c r="DT873" s="21"/>
      <c r="DU873" s="21"/>
      <c r="DV873" s="21"/>
      <c r="DW873" s="21"/>
      <c r="DX873" s="21"/>
      <c r="DY873" s="21"/>
      <c r="DZ873" s="21"/>
      <c r="EA873" s="21"/>
      <c r="EB873" s="21"/>
      <c r="EC873" s="21"/>
      <c r="ED873" s="21"/>
      <c r="EE873" s="21"/>
      <c r="EF873" s="21"/>
      <c r="EG873" s="21"/>
      <c r="EH873" s="21"/>
      <c r="EI873" s="21"/>
      <c r="EJ873" s="21"/>
      <c r="EK873" s="21"/>
      <c r="EL873" s="21"/>
      <c r="EM873" s="21"/>
      <c r="EN873" s="21"/>
      <c r="EO873" s="21"/>
      <c r="EP873" s="21"/>
      <c r="EQ873" s="21"/>
      <c r="ER873" s="21"/>
      <c r="ES873" s="9"/>
      <c r="ET873" s="9"/>
      <c r="EU873" s="9"/>
      <c r="EV873" s="9"/>
      <c r="EW873" s="9"/>
      <c r="EX873" s="9"/>
      <c r="EY873" s="9"/>
      <c r="EZ873" s="9"/>
      <c r="FA873" s="9"/>
      <c r="FB873" s="9"/>
      <c r="FC873" s="9"/>
      <c r="FD873" s="9"/>
      <c r="FE873" s="9"/>
      <c r="FF873" s="9"/>
      <c r="FG873" s="9"/>
      <c r="FH873" s="9"/>
      <c r="FI873" s="9"/>
      <c r="FJ873" s="9"/>
      <c r="FK873" s="9"/>
      <c r="FL873" s="9"/>
      <c r="FM873" s="9"/>
      <c r="FN873" s="9"/>
      <c r="FO873" s="9"/>
      <c r="FP873" s="9"/>
    </row>
    <row r="874" customFormat="false" ht="15" hidden="false" customHeight="false" outlineLevel="2" collapsed="false">
      <c r="B874" s="9" t="s">
        <v>872</v>
      </c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234" t="n">
        <f aca="false">('⑫ Roll-out Plan'!G92-2025)*12+'⑫ Roll-out Plan'!F92</f>
        <v>140</v>
      </c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  <c r="CO874" s="9"/>
      <c r="CP874" s="9"/>
      <c r="CQ874" s="9"/>
      <c r="CR874" s="9"/>
      <c r="CS874" s="9"/>
      <c r="CT874" s="9"/>
      <c r="CU874" s="9"/>
      <c r="CV874" s="9"/>
      <c r="CW874" s="9"/>
      <c r="CX874" s="9"/>
      <c r="CY874" s="9"/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9"/>
      <c r="DK874" s="9"/>
      <c r="DL874" s="9"/>
      <c r="DM874" s="9"/>
      <c r="DN874" s="9"/>
      <c r="DO874" s="9"/>
      <c r="DP874" s="9"/>
      <c r="DQ874" s="9"/>
      <c r="DR874" s="9"/>
      <c r="DS874" s="9"/>
      <c r="DT874" s="9"/>
      <c r="DU874" s="9"/>
      <c r="DV874" s="9"/>
      <c r="DW874" s="9"/>
      <c r="DX874" s="9"/>
      <c r="DY874" s="9"/>
      <c r="DZ874" s="9"/>
      <c r="EA874" s="9"/>
      <c r="EB874" s="9"/>
      <c r="EC874" s="9"/>
      <c r="ED874" s="9"/>
      <c r="EE874" s="9"/>
      <c r="EF874" s="9"/>
      <c r="EG874" s="9"/>
      <c r="EH874" s="9"/>
      <c r="EI874" s="9"/>
      <c r="EJ874" s="9"/>
      <c r="EK874" s="9"/>
      <c r="EL874" s="9"/>
      <c r="EM874" s="9"/>
      <c r="EN874" s="9"/>
      <c r="EO874" s="9"/>
      <c r="EP874" s="9"/>
      <c r="EQ874" s="9"/>
      <c r="ER874" s="9"/>
      <c r="ES874" s="9"/>
      <c r="ET874" s="9"/>
      <c r="EU874" s="9"/>
      <c r="EV874" s="9"/>
      <c r="EW874" s="9"/>
      <c r="EX874" s="9"/>
      <c r="EY874" s="9"/>
      <c r="EZ874" s="9"/>
      <c r="FA874" s="9"/>
      <c r="FB874" s="9"/>
      <c r="FC874" s="9"/>
      <c r="FD874" s="9"/>
      <c r="FE874" s="9"/>
      <c r="FF874" s="9"/>
      <c r="FG874" s="9"/>
      <c r="FH874" s="9"/>
      <c r="FI874" s="9"/>
      <c r="FJ874" s="9"/>
      <c r="FK874" s="9"/>
      <c r="FL874" s="9"/>
      <c r="FM874" s="9"/>
      <c r="FN874" s="9"/>
      <c r="FO874" s="9"/>
      <c r="FP874" s="9"/>
    </row>
    <row r="875" customFormat="false" ht="15" hidden="false" customHeight="false" outlineLevel="2" collapsed="false">
      <c r="B875" s="9" t="s">
        <v>873</v>
      </c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235" t="n">
        <f aca="false">VLOOKUP("B",$B$14:$C$18,2,FALSE())</f>
        <v>185</v>
      </c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9"/>
      <c r="CN875" s="9"/>
      <c r="CO875" s="9"/>
      <c r="CP875" s="9"/>
      <c r="CQ875" s="9"/>
      <c r="CR875" s="9"/>
      <c r="CS875" s="9"/>
      <c r="CT875" s="9"/>
      <c r="CU875" s="9"/>
      <c r="CV875" s="9"/>
      <c r="CW875" s="9"/>
      <c r="CX875" s="9"/>
      <c r="CY875" s="9"/>
      <c r="CZ875" s="9"/>
      <c r="DA875" s="9"/>
      <c r="DB875" s="9"/>
      <c r="DC875" s="9"/>
      <c r="DD875" s="9"/>
      <c r="DE875" s="9"/>
      <c r="DF875" s="9"/>
      <c r="DG875" s="9"/>
      <c r="DH875" s="9"/>
      <c r="DI875" s="9"/>
      <c r="DJ875" s="9"/>
      <c r="DK875" s="9"/>
      <c r="DL875" s="9"/>
      <c r="DM875" s="9"/>
      <c r="DN875" s="9"/>
      <c r="DO875" s="9"/>
      <c r="DP875" s="9"/>
      <c r="DQ875" s="9"/>
      <c r="DR875" s="9"/>
      <c r="DS875" s="9"/>
      <c r="DT875" s="9"/>
      <c r="DU875" s="9"/>
      <c r="DV875" s="9"/>
      <c r="DW875" s="9"/>
      <c r="DX875" s="9"/>
      <c r="DY875" s="9"/>
      <c r="DZ875" s="9"/>
      <c r="EA875" s="9"/>
      <c r="EB875" s="9"/>
      <c r="EC875" s="9"/>
      <c r="ED875" s="9"/>
      <c r="EE875" s="9"/>
      <c r="EF875" s="9"/>
      <c r="EG875" s="9"/>
      <c r="EH875" s="9"/>
      <c r="EI875" s="9"/>
      <c r="EJ875" s="9"/>
      <c r="EK875" s="9"/>
      <c r="EL875" s="9"/>
      <c r="EM875" s="9"/>
      <c r="EN875" s="9"/>
      <c r="EO875" s="9"/>
      <c r="EP875" s="9"/>
      <c r="EQ875" s="9"/>
      <c r="ER875" s="9"/>
      <c r="ES875" s="9"/>
      <c r="ET875" s="9"/>
      <c r="EU875" s="9"/>
      <c r="EV875" s="9"/>
      <c r="EW875" s="9"/>
      <c r="EX875" s="9"/>
      <c r="EY875" s="9"/>
      <c r="EZ875" s="9"/>
      <c r="FA875" s="9"/>
      <c r="FB875" s="9"/>
      <c r="FC875" s="9"/>
      <c r="FD875" s="9"/>
      <c r="FE875" s="9"/>
      <c r="FF875" s="9"/>
      <c r="FG875" s="9"/>
      <c r="FH875" s="9"/>
      <c r="FI875" s="9"/>
      <c r="FJ875" s="9"/>
      <c r="FK875" s="9"/>
      <c r="FL875" s="9"/>
      <c r="FM875" s="9"/>
      <c r="FN875" s="9"/>
      <c r="FO875" s="9"/>
      <c r="FP875" s="9"/>
    </row>
    <row r="876" customFormat="false" ht="15" hidden="false" customHeight="false" outlineLevel="2" collapsed="false">
      <c r="B876" s="9" t="s">
        <v>799</v>
      </c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63" t="n">
        <f aca="false">IF(AC$35&gt;=$AC$874,AC$35-$AC$874+1,0)</f>
        <v>0</v>
      </c>
      <c r="AD876" s="63" t="n">
        <f aca="false">IF(AD$35&gt;=$AC$874,AD$35-$AC$874+1,0)</f>
        <v>0</v>
      </c>
      <c r="AE876" s="63" t="n">
        <f aca="false">IF(AE$35&gt;=$AC$874,AE$35-$AC$874+1,0)</f>
        <v>0</v>
      </c>
      <c r="AF876" s="63" t="n">
        <f aca="false">IF(AF$35&gt;=$AC$874,AF$35-$AC$874+1,0)</f>
        <v>0</v>
      </c>
      <c r="AG876" s="63" t="n">
        <f aca="false">IF(AG$35&gt;=$AC$874,AG$35-$AC$874+1,0)</f>
        <v>0</v>
      </c>
      <c r="AH876" s="63" t="n">
        <f aca="false">IF(AH$35&gt;=$AC$874,AH$35-$AC$874+1,0)</f>
        <v>0</v>
      </c>
      <c r="AI876" s="63" t="n">
        <f aca="false">IF(AI$35&gt;=$AC$874,AI$35-$AC$874+1,0)</f>
        <v>0</v>
      </c>
      <c r="AJ876" s="63" t="n">
        <f aca="false">IF(AJ$35&gt;=$AC$874,AJ$35-$AC$874+1,0)</f>
        <v>0</v>
      </c>
      <c r="AK876" s="63" t="n">
        <f aca="false">IF(AK$35&gt;=$AC$874,AK$35-$AC$874+1,0)</f>
        <v>0</v>
      </c>
      <c r="AL876" s="63" t="n">
        <f aca="false">IF(AL$35&gt;=$AC$874,AL$35-$AC$874+1,0)</f>
        <v>0</v>
      </c>
      <c r="AM876" s="63" t="n">
        <f aca="false">IF(AM$35&gt;=$AC$874,AM$35-$AC$874+1,0)</f>
        <v>0</v>
      </c>
      <c r="AN876" s="63" t="n">
        <f aca="false">IF(AN$35&gt;=$AC$874,AN$35-$AC$874+1,0)</f>
        <v>0</v>
      </c>
      <c r="AO876" s="63" t="n">
        <f aca="false">IF(AO$35&gt;=$AC$874,AO$35-$AC$874+1,0)</f>
        <v>0</v>
      </c>
      <c r="AP876" s="63" t="n">
        <f aca="false">IF(AP$35&gt;=$AC$874,AP$35-$AC$874+1,0)</f>
        <v>0</v>
      </c>
      <c r="AQ876" s="63" t="n">
        <f aca="false">IF(AQ$35&gt;=$AC$874,AQ$35-$AC$874+1,0)</f>
        <v>0</v>
      </c>
      <c r="AR876" s="63" t="n">
        <f aca="false">IF(AR$35&gt;=$AC$874,AR$35-$AC$874+1,0)</f>
        <v>0</v>
      </c>
      <c r="AS876" s="63" t="n">
        <f aca="false">IF(AS$35&gt;=$AC$874,AS$35-$AC$874+1,0)</f>
        <v>0</v>
      </c>
      <c r="AT876" s="63" t="n">
        <f aca="false">IF(AT$35&gt;=$AC$874,AT$35-$AC$874+1,0)</f>
        <v>0</v>
      </c>
      <c r="AU876" s="63" t="n">
        <f aca="false">IF(AU$35&gt;=$AC$874,AU$35-$AC$874+1,0)</f>
        <v>0</v>
      </c>
      <c r="AV876" s="63" t="n">
        <f aca="false">IF(AV$35&gt;=$AC$874,AV$35-$AC$874+1,0)</f>
        <v>0</v>
      </c>
      <c r="AW876" s="63" t="n">
        <f aca="false">IF(AW$35&gt;=$AC$874,AW$35-$AC$874+1,0)</f>
        <v>0</v>
      </c>
      <c r="AX876" s="63" t="n">
        <f aca="false">IF(AX$35&gt;=$AC$874,AX$35-$AC$874+1,0)</f>
        <v>0</v>
      </c>
      <c r="AY876" s="63" t="n">
        <f aca="false">IF(AY$35&gt;=$AC$874,AY$35-$AC$874+1,0)</f>
        <v>0</v>
      </c>
      <c r="AZ876" s="63" t="n">
        <f aca="false">IF(AZ$35&gt;=$AC$874,AZ$35-$AC$874+1,0)</f>
        <v>0</v>
      </c>
      <c r="BA876" s="63" t="n">
        <f aca="false">IF(BA$35&gt;=$AC$874,BA$35-$AC$874+1,0)</f>
        <v>0</v>
      </c>
      <c r="BB876" s="63" t="n">
        <f aca="false">IF(BB$35&gt;=$AC$874,BB$35-$AC$874+1,0)</f>
        <v>0</v>
      </c>
      <c r="BC876" s="63" t="n">
        <f aca="false">IF(BC$35&gt;=$AC$874,BC$35-$AC$874+1,0)</f>
        <v>0</v>
      </c>
      <c r="BD876" s="63" t="n">
        <f aca="false">IF(BD$35&gt;=$AC$874,BD$35-$AC$874+1,0)</f>
        <v>0</v>
      </c>
      <c r="BE876" s="63" t="n">
        <f aca="false">IF(BE$35&gt;=$AC$874,BE$35-$AC$874+1,0)</f>
        <v>0</v>
      </c>
      <c r="BF876" s="63" t="n">
        <f aca="false">IF(BF$35&gt;=$AC$874,BF$35-$AC$874+1,0)</f>
        <v>0</v>
      </c>
      <c r="BG876" s="63" t="n">
        <f aca="false">IF(BG$35&gt;=$AC$874,BG$35-$AC$874+1,0)</f>
        <v>0</v>
      </c>
      <c r="BH876" s="63" t="n">
        <f aca="false">IF(BH$35&gt;=$AC$874,BH$35-$AC$874+1,0)</f>
        <v>0</v>
      </c>
      <c r="BI876" s="63" t="n">
        <f aca="false">IF(BI$35&gt;=$AC$874,BI$35-$AC$874+1,0)</f>
        <v>0</v>
      </c>
      <c r="BJ876" s="63" t="n">
        <f aca="false">IF(BJ$35&gt;=$AC$874,BJ$35-$AC$874+1,0)</f>
        <v>0</v>
      </c>
      <c r="BK876" s="63" t="n">
        <f aca="false">IF(BK$35&gt;=$AC$874,BK$35-$AC$874+1,0)</f>
        <v>0</v>
      </c>
      <c r="BL876" s="63" t="n">
        <f aca="false">IF(BL$35&gt;=$AC$874,BL$35-$AC$874+1,0)</f>
        <v>0</v>
      </c>
      <c r="BM876" s="63" t="n">
        <f aca="false">IF(BM$35&gt;=$AC$874,BM$35-$AC$874+1,0)</f>
        <v>0</v>
      </c>
      <c r="BN876" s="63" t="n">
        <f aca="false">IF(BN$35&gt;=$AC$874,BN$35-$AC$874+1,0)</f>
        <v>0</v>
      </c>
      <c r="BO876" s="63" t="n">
        <f aca="false">IF(BO$35&gt;=$AC$874,BO$35-$AC$874+1,0)</f>
        <v>0</v>
      </c>
      <c r="BP876" s="63" t="n">
        <f aca="false">IF(BP$35&gt;=$AC$874,BP$35-$AC$874+1,0)</f>
        <v>0</v>
      </c>
      <c r="BQ876" s="63" t="n">
        <f aca="false">IF(BQ$35&gt;=$AC$874,BQ$35-$AC$874+1,0)</f>
        <v>0</v>
      </c>
      <c r="BR876" s="63" t="n">
        <f aca="false">IF(BR$35&gt;=$AC$874,BR$35-$AC$874+1,0)</f>
        <v>0</v>
      </c>
      <c r="BS876" s="63" t="n">
        <f aca="false">IF(BS$35&gt;=$AC$874,BS$35-$AC$874+1,0)</f>
        <v>0</v>
      </c>
      <c r="BT876" s="63" t="n">
        <f aca="false">IF(BT$35&gt;=$AC$874,BT$35-$AC$874+1,0)</f>
        <v>0</v>
      </c>
      <c r="BU876" s="63" t="n">
        <f aca="false">IF(BU$35&gt;=$AC$874,BU$35-$AC$874+1,0)</f>
        <v>0</v>
      </c>
      <c r="BV876" s="63" t="n">
        <f aca="false">IF(BV$35&gt;=$AC$874,BV$35-$AC$874+1,0)</f>
        <v>0</v>
      </c>
      <c r="BW876" s="63" t="n">
        <f aca="false">IF(BW$35&gt;=$AC$874,BW$35-$AC$874+1,0)</f>
        <v>0</v>
      </c>
      <c r="BX876" s="63" t="n">
        <f aca="false">IF(BX$35&gt;=$AC$874,BX$35-$AC$874+1,0)</f>
        <v>0</v>
      </c>
      <c r="BY876" s="63" t="n">
        <f aca="false">IF(BY$35&gt;=$AC$874,BY$35-$AC$874+1,0)</f>
        <v>0</v>
      </c>
      <c r="BZ876" s="63" t="n">
        <f aca="false">IF(BZ$35&gt;=$AC$874,BZ$35-$AC$874+1,0)</f>
        <v>0</v>
      </c>
      <c r="CA876" s="63" t="n">
        <f aca="false">IF(CA$35&gt;=$AC$874,CA$35-$AC$874+1,0)</f>
        <v>0</v>
      </c>
      <c r="CB876" s="63" t="n">
        <f aca="false">IF(CB$35&gt;=$AC$874,CB$35-$AC$874+1,0)</f>
        <v>0</v>
      </c>
      <c r="CC876" s="63" t="n">
        <f aca="false">IF(CC$35&gt;=$AC$874,CC$35-$AC$874+1,0)</f>
        <v>0</v>
      </c>
      <c r="CD876" s="63" t="n">
        <f aca="false">IF(CD$35&gt;=$AC$874,CD$35-$AC$874+1,0)</f>
        <v>0</v>
      </c>
      <c r="CE876" s="63" t="n">
        <f aca="false">IF(CE$35&gt;=$AC$874,CE$35-$AC$874+1,0)</f>
        <v>0</v>
      </c>
      <c r="CF876" s="63" t="n">
        <f aca="false">IF(CF$35&gt;=$AC$874,CF$35-$AC$874+1,0)</f>
        <v>0</v>
      </c>
      <c r="CG876" s="63" t="n">
        <f aca="false">IF(CG$35&gt;=$AC$874,CG$35-$AC$874+1,0)</f>
        <v>0</v>
      </c>
      <c r="CH876" s="63" t="n">
        <f aca="false">IF(CH$35&gt;=$AC$874,CH$35-$AC$874+1,0)</f>
        <v>0</v>
      </c>
      <c r="CI876" s="63" t="n">
        <f aca="false">IF(CI$35&gt;=$AC$874,CI$35-$AC$874+1,0)</f>
        <v>0</v>
      </c>
      <c r="CJ876" s="63" t="n">
        <f aca="false">IF(CJ$35&gt;=$AC$874,CJ$35-$AC$874+1,0)</f>
        <v>0</v>
      </c>
      <c r="CK876" s="63" t="n">
        <f aca="false">IF(CK$35&gt;=$AC$874,CK$35-$AC$874+1,0)</f>
        <v>0</v>
      </c>
      <c r="CL876" s="63" t="n">
        <f aca="false">IF(CL$35&gt;=$AC$874,CL$35-$AC$874+1,0)</f>
        <v>0</v>
      </c>
      <c r="CM876" s="63" t="n">
        <f aca="false">IF(CM$35&gt;=$AC$874,CM$35-$AC$874+1,0)</f>
        <v>0</v>
      </c>
      <c r="CN876" s="63" t="n">
        <f aca="false">IF(CN$35&gt;=$AC$874,CN$35-$AC$874+1,0)</f>
        <v>0</v>
      </c>
      <c r="CO876" s="63" t="n">
        <f aca="false">IF(CO$35&gt;=$AC$874,CO$35-$AC$874+1,0)</f>
        <v>0</v>
      </c>
      <c r="CP876" s="63" t="n">
        <f aca="false">IF(CP$35&gt;=$AC$874,CP$35-$AC$874+1,0)</f>
        <v>0</v>
      </c>
      <c r="CQ876" s="63" t="n">
        <f aca="false">IF(CQ$35&gt;=$AC$874,CQ$35-$AC$874+1,0)</f>
        <v>0</v>
      </c>
      <c r="CR876" s="63" t="n">
        <f aca="false">IF(CR$35&gt;=$AC$874,CR$35-$AC$874+1,0)</f>
        <v>0</v>
      </c>
      <c r="CS876" s="63" t="n">
        <f aca="false">IF(CS$35&gt;=$AC$874,CS$35-$AC$874+1,0)</f>
        <v>0</v>
      </c>
      <c r="CT876" s="63" t="n">
        <f aca="false">IF(CT$35&gt;=$AC$874,CT$35-$AC$874+1,0)</f>
        <v>0</v>
      </c>
      <c r="CU876" s="63" t="n">
        <f aca="false">IF(CU$35&gt;=$AC$874,CU$35-$AC$874+1,0)</f>
        <v>0</v>
      </c>
      <c r="CV876" s="63" t="n">
        <f aca="false">IF(CV$35&gt;=$AC$874,CV$35-$AC$874+1,0)</f>
        <v>0</v>
      </c>
      <c r="CW876" s="63" t="n">
        <f aca="false">IF(CW$35&gt;=$AC$874,CW$35-$AC$874+1,0)</f>
        <v>0</v>
      </c>
      <c r="CX876" s="63" t="n">
        <f aca="false">IF(CX$35&gt;=$AC$874,CX$35-$AC$874+1,0)</f>
        <v>0</v>
      </c>
      <c r="CY876" s="63" t="n">
        <f aca="false">IF(CY$35&gt;=$AC$874,CY$35-$AC$874+1,0)</f>
        <v>0</v>
      </c>
      <c r="CZ876" s="63" t="n">
        <f aca="false">IF(CZ$35&gt;=$AC$874,CZ$35-$AC$874+1,0)</f>
        <v>0</v>
      </c>
      <c r="DA876" s="63" t="n">
        <f aca="false">IF(DA$35&gt;=$AC$874,DA$35-$AC$874+1,0)</f>
        <v>0</v>
      </c>
      <c r="DB876" s="63" t="n">
        <f aca="false">IF(DB$35&gt;=$AC$874,DB$35-$AC$874+1,0)</f>
        <v>0</v>
      </c>
      <c r="DC876" s="63" t="n">
        <f aca="false">IF(DC$35&gt;=$AC$874,DC$35-$AC$874+1,0)</f>
        <v>0</v>
      </c>
      <c r="DD876" s="63" t="n">
        <f aca="false">IF(DD$35&gt;=$AC$874,DD$35-$AC$874+1,0)</f>
        <v>0</v>
      </c>
      <c r="DE876" s="63" t="n">
        <f aca="false">IF(DE$35&gt;=$AC$874,DE$35-$AC$874+1,0)</f>
        <v>0</v>
      </c>
      <c r="DF876" s="63" t="n">
        <f aca="false">IF(DF$35&gt;=$AC$874,DF$35-$AC$874+1,0)</f>
        <v>0</v>
      </c>
      <c r="DG876" s="63" t="n">
        <f aca="false">IF(DG$35&gt;=$AC$874,DG$35-$AC$874+1,0)</f>
        <v>0</v>
      </c>
      <c r="DH876" s="63" t="n">
        <f aca="false">IF(DH$35&gt;=$AC$874,DH$35-$AC$874+1,0)</f>
        <v>0</v>
      </c>
      <c r="DI876" s="63" t="n">
        <f aca="false">IF(DI$35&gt;=$AC$874,DI$35-$AC$874+1,0)</f>
        <v>0</v>
      </c>
      <c r="DJ876" s="63" t="n">
        <f aca="false">IF(DJ$35&gt;=$AC$874,DJ$35-$AC$874+1,0)</f>
        <v>0</v>
      </c>
      <c r="DK876" s="63" t="n">
        <f aca="false">IF(DK$35&gt;=$AC$874,DK$35-$AC$874+1,0)</f>
        <v>0</v>
      </c>
      <c r="DL876" s="63" t="n">
        <f aca="false">IF(DL$35&gt;=$AC$874,DL$35-$AC$874+1,0)</f>
        <v>0</v>
      </c>
      <c r="DM876" s="63" t="n">
        <f aca="false">IF(DM$35&gt;=$AC$874,DM$35-$AC$874+1,0)</f>
        <v>0</v>
      </c>
      <c r="DN876" s="63" t="n">
        <f aca="false">IF(DN$35&gt;=$AC$874,DN$35-$AC$874+1,0)</f>
        <v>0</v>
      </c>
      <c r="DO876" s="63" t="n">
        <f aca="false">IF(DO$35&gt;=$AC$874,DO$35-$AC$874+1,0)</f>
        <v>0</v>
      </c>
      <c r="DP876" s="63" t="n">
        <f aca="false">IF(DP$35&gt;=$AC$874,DP$35-$AC$874+1,0)</f>
        <v>0</v>
      </c>
      <c r="DQ876" s="63" t="n">
        <f aca="false">IF(DQ$35&gt;=$AC$874,DQ$35-$AC$874+1,0)</f>
        <v>0</v>
      </c>
      <c r="DR876" s="63" t="n">
        <f aca="false">IF(DR$35&gt;=$AC$874,DR$35-$AC$874+1,0)</f>
        <v>0</v>
      </c>
      <c r="DS876" s="63" t="n">
        <f aca="false">IF(DS$35&gt;=$AC$874,DS$35-$AC$874+1,0)</f>
        <v>0</v>
      </c>
      <c r="DT876" s="63" t="n">
        <f aca="false">IF(DT$35&gt;=$AC$874,DT$35-$AC$874+1,0)</f>
        <v>0</v>
      </c>
      <c r="DU876" s="63" t="n">
        <f aca="false">IF(DU$35&gt;=$AC$874,DU$35-$AC$874+1,0)</f>
        <v>0</v>
      </c>
      <c r="DV876" s="63" t="n">
        <f aca="false">IF(DV$35&gt;=$AC$874,DV$35-$AC$874+1,0)</f>
        <v>0</v>
      </c>
      <c r="DW876" s="63" t="n">
        <f aca="false">IF(DW$35&gt;=$AC$874,DW$35-$AC$874+1,0)</f>
        <v>0</v>
      </c>
      <c r="DX876" s="63" t="n">
        <f aca="false">IF(DX$35&gt;=$AC$874,DX$35-$AC$874+1,0)</f>
        <v>0</v>
      </c>
      <c r="DY876" s="63" t="n">
        <f aca="false">IF(DY$35&gt;=$AC$874,DY$35-$AC$874+1,0)</f>
        <v>0</v>
      </c>
      <c r="DZ876" s="63" t="n">
        <f aca="false">IF(DZ$35&gt;=$AC$874,DZ$35-$AC$874+1,0)</f>
        <v>0</v>
      </c>
      <c r="EA876" s="63" t="n">
        <f aca="false">IF(EA$35&gt;=$AC$874,EA$35-$AC$874+1,0)</f>
        <v>0</v>
      </c>
      <c r="EB876" s="63" t="n">
        <f aca="false">IF(EB$35&gt;=$AC$874,EB$35-$AC$874+1,0)</f>
        <v>0</v>
      </c>
      <c r="EC876" s="63" t="n">
        <f aca="false">IF(EC$35&gt;=$AC$874,EC$35-$AC$874+1,0)</f>
        <v>0</v>
      </c>
      <c r="ED876" s="63" t="n">
        <f aca="false">IF(ED$35&gt;=$AC$874,ED$35-$AC$874+1,0)</f>
        <v>0</v>
      </c>
      <c r="EE876" s="63" t="n">
        <f aca="false">IF(EE$35&gt;=$AC$874,EE$35-$AC$874+1,0)</f>
        <v>0</v>
      </c>
      <c r="EF876" s="63" t="n">
        <f aca="false">IF(EF$35&gt;=$AC$874,EF$35-$AC$874+1,0)</f>
        <v>0</v>
      </c>
      <c r="EG876" s="63" t="n">
        <f aca="false">IF(EG$35&gt;=$AC$874,EG$35-$AC$874+1,0)</f>
        <v>0</v>
      </c>
      <c r="EH876" s="63" t="n">
        <f aca="false">IF(EH$35&gt;=$AC$874,EH$35-$AC$874+1,0)</f>
        <v>0</v>
      </c>
      <c r="EI876" s="63" t="n">
        <f aca="false">IF(EI$35&gt;=$AC$874,EI$35-$AC$874+1,0)</f>
        <v>0</v>
      </c>
      <c r="EJ876" s="63" t="n">
        <f aca="false">IF(EJ$35&gt;=$AC$874,EJ$35-$AC$874+1,0)</f>
        <v>0</v>
      </c>
      <c r="EK876" s="63" t="n">
        <f aca="false">IF(EK$35&gt;=$AC$874,EK$35-$AC$874+1,0)</f>
        <v>0</v>
      </c>
      <c r="EL876" s="63" t="n">
        <f aca="false">IF(EL$35&gt;=$AC$874,EL$35-$AC$874+1,0)</f>
        <v>0</v>
      </c>
      <c r="EM876" s="63" t="n">
        <f aca="false">IF(EM$35&gt;=$AC$874,EM$35-$AC$874+1,0)</f>
        <v>0</v>
      </c>
      <c r="EN876" s="63" t="n">
        <f aca="false">IF(EN$35&gt;=$AC$874,EN$35-$AC$874+1,0)</f>
        <v>0</v>
      </c>
      <c r="EO876" s="63" t="n">
        <f aca="false">IF(EO$35&gt;=$AC$874,EO$35-$AC$874+1,0)</f>
        <v>0</v>
      </c>
      <c r="EP876" s="63" t="n">
        <f aca="false">IF(EP$35&gt;=$AC$874,EP$35-$AC$874+1,0)</f>
        <v>0</v>
      </c>
      <c r="EQ876" s="63" t="n">
        <f aca="false">IF(EQ$35&gt;=$AC$874,EQ$35-$AC$874+1,0)</f>
        <v>0</v>
      </c>
      <c r="ER876" s="63" t="n">
        <f aca="false">IF(ER$35&gt;=$AC$874,ER$35-$AC$874+1,0)</f>
        <v>0</v>
      </c>
      <c r="ES876" s="9" t="n">
        <f aca="false">IF(ES$35&gt;=$AC$874,ES$35-$AC$874+1,0)</f>
        <v>0</v>
      </c>
      <c r="ET876" s="9" t="n">
        <f aca="false">IF(ET$35&gt;=$AC$874,ET$35-$AC$874+1,0)</f>
        <v>0</v>
      </c>
      <c r="EU876" s="9" t="n">
        <f aca="false">IF(EU$35&gt;=$AC$874,EU$35-$AC$874+1,0)</f>
        <v>0</v>
      </c>
      <c r="EV876" s="9" t="n">
        <f aca="false">IF(EV$35&gt;=$AC$874,EV$35-$AC$874+1,0)</f>
        <v>0</v>
      </c>
      <c r="EW876" s="9" t="n">
        <f aca="false">IF(EW$35&gt;=$AC$874,EW$35-$AC$874+1,0)</f>
        <v>0</v>
      </c>
      <c r="EX876" s="9" t="n">
        <f aca="false">IF(EX$35&gt;=$AC$874,EX$35-$AC$874+1,0)</f>
        <v>0</v>
      </c>
      <c r="EY876" s="9" t="n">
        <f aca="false">IF(EY$35&gt;=$AC$874,EY$35-$AC$874+1,0)</f>
        <v>0</v>
      </c>
      <c r="EZ876" s="9" t="n">
        <f aca="false">IF(EZ$35&gt;=$AC$874,EZ$35-$AC$874+1,0)</f>
        <v>0</v>
      </c>
      <c r="FA876" s="9" t="n">
        <f aca="false">IF(FA$35&gt;=$AC$874,FA$35-$AC$874+1,0)</f>
        <v>0</v>
      </c>
      <c r="FB876" s="9" t="n">
        <f aca="false">IF(FB$35&gt;=$AC$874,FB$35-$AC$874+1,0)</f>
        <v>0</v>
      </c>
      <c r="FC876" s="9" t="n">
        <f aca="false">IF(FC$35&gt;=$AC$874,FC$35-$AC$874+1,0)</f>
        <v>0</v>
      </c>
      <c r="FD876" s="9" t="n">
        <f aca="false">IF(FD$35&gt;=$AC$874,FD$35-$AC$874+1,0)</f>
        <v>0</v>
      </c>
      <c r="FE876" s="9" t="n">
        <f aca="false">IF(FE$35&gt;=$AC$874,FE$35-$AC$874+1,0)</f>
        <v>0</v>
      </c>
      <c r="FF876" s="9" t="n">
        <f aca="false">IF(FF$35&gt;=$AC$874,FF$35-$AC$874+1,0)</f>
        <v>0</v>
      </c>
      <c r="FG876" s="9" t="n">
        <f aca="false">IF(FG$35&gt;=$AC$874,FG$35-$AC$874+1,0)</f>
        <v>0</v>
      </c>
      <c r="FH876" s="9" t="n">
        <f aca="false">IF(FH$35&gt;=$AC$874,FH$35-$AC$874+1,0)</f>
        <v>0</v>
      </c>
      <c r="FI876" s="9" t="n">
        <f aca="false">IF(FI$35&gt;=$AC$874,FI$35-$AC$874+1,0)</f>
        <v>0</v>
      </c>
      <c r="FJ876" s="9" t="n">
        <f aca="false">IF(FJ$35&gt;=$AC$874,FJ$35-$AC$874+1,0)</f>
        <v>0</v>
      </c>
      <c r="FK876" s="9" t="n">
        <f aca="false">IF(FK$35&gt;=$AC$874,FK$35-$AC$874+1,0)</f>
        <v>0</v>
      </c>
      <c r="FL876" s="9" t="n">
        <f aca="false">IF(FL$35&gt;=$AC$874,FL$35-$AC$874+1,0)</f>
        <v>1</v>
      </c>
      <c r="FM876" s="9" t="n">
        <f aca="false">IF(FM$35&gt;=$AC$874,FM$35-$AC$874+1,0)</f>
        <v>2</v>
      </c>
      <c r="FN876" s="9" t="n">
        <f aca="false">IF(FN$35&gt;=$AC$874,FN$35-$AC$874+1,0)</f>
        <v>3</v>
      </c>
      <c r="FO876" s="9" t="n">
        <f aca="false">IF(FO$35&gt;=$AC$874,FO$35-$AC$874+1,0)</f>
        <v>4</v>
      </c>
      <c r="FP876" s="9" t="n">
        <f aca="false">IF(FP$35&gt;=$AC$874,FP$35-$AC$874+1,0)</f>
        <v>5</v>
      </c>
    </row>
    <row r="877" customFormat="false" ht="15" hidden="false" customHeight="false" outlineLevel="2" collapsed="false">
      <c r="B877" s="9" t="s">
        <v>874</v>
      </c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236" t="n">
        <f aca="false" t="array" ref="AC877:AC877">IF(AC876=0,0,IF(AC876/'🎚️ Escenario'!$C$11&gt;=36,$AL$23,INDEX($C$23:$AL$23,MAX(1,ROUNDUP(AC876/'🎚️ Escenario'!$C$11,0)))))</f>
        <v>0</v>
      </c>
      <c r="AD877" s="236" t="n">
        <f aca="false" t="array" ref="AD877:AD877">IF(AD876=0,0,IF(AD876/'🎚️ Escenario'!$C$11&gt;=36,$AL$23,INDEX($C$23:$AL$23,MAX(1,ROUNDUP(AD876/'🎚️ Escenario'!$C$11,0)))))</f>
        <v>0</v>
      </c>
      <c r="AE877" s="236" t="n">
        <f aca="false" t="array" ref="AE877:AE877">IF(AE876=0,0,IF(AE876/'🎚️ Escenario'!$C$11&gt;=36,$AL$23,INDEX($C$23:$AL$23,MAX(1,ROUNDUP(AE876/'🎚️ Escenario'!$C$11,0)))))</f>
        <v>0</v>
      </c>
      <c r="AF877" s="236" t="n">
        <f aca="false" t="array" ref="AF877:AF877">IF(AF876=0,0,IF(AF876/'🎚️ Escenario'!$C$11&gt;=36,$AL$23,INDEX($C$23:$AL$23,MAX(1,ROUNDUP(AF876/'🎚️ Escenario'!$C$11,0)))))</f>
        <v>0</v>
      </c>
      <c r="AG877" s="236" t="n">
        <f aca="false" t="array" ref="AG877:AG877">IF(AG876=0,0,IF(AG876/'🎚️ Escenario'!$C$11&gt;=36,$AL$23,INDEX($C$23:$AL$23,MAX(1,ROUNDUP(AG876/'🎚️ Escenario'!$C$11,0)))))</f>
        <v>0</v>
      </c>
      <c r="AH877" s="236" t="n">
        <f aca="false" t="array" ref="AH877:AH877">IF(AH876=0,0,IF(AH876/'🎚️ Escenario'!$C$11&gt;=36,$AL$23,INDEX($C$23:$AL$23,MAX(1,ROUNDUP(AH876/'🎚️ Escenario'!$C$11,0)))))</f>
        <v>0</v>
      </c>
      <c r="AI877" s="236" t="n">
        <f aca="false" t="array" ref="AI877:AI877">IF(AI876=0,0,IF(AI876/'🎚️ Escenario'!$C$11&gt;=36,$AL$23,INDEX($C$23:$AL$23,MAX(1,ROUNDUP(AI876/'🎚️ Escenario'!$C$11,0)))))</f>
        <v>0</v>
      </c>
      <c r="AJ877" s="236" t="n">
        <f aca="false" t="array" ref="AJ877:AJ877">IF(AJ876=0,0,IF(AJ876/'🎚️ Escenario'!$C$11&gt;=36,$AL$23,INDEX($C$23:$AL$23,MAX(1,ROUNDUP(AJ876/'🎚️ Escenario'!$C$11,0)))))</f>
        <v>0</v>
      </c>
      <c r="AK877" s="236" t="n">
        <f aca="false" t="array" ref="AK877:AK877">IF(AK876=0,0,IF(AK876/'🎚️ Escenario'!$C$11&gt;=36,$AL$23,INDEX($C$23:$AL$23,MAX(1,ROUNDUP(AK876/'🎚️ Escenario'!$C$11,0)))))</f>
        <v>0</v>
      </c>
      <c r="AL877" s="236" t="n">
        <f aca="false" t="array" ref="AL877:AL877">IF(AL876=0,0,IF(AL876/'🎚️ Escenario'!$C$11&gt;=36,$AL$23,INDEX($C$23:$AL$23,MAX(1,ROUNDUP(AL876/'🎚️ Escenario'!$C$11,0)))))</f>
        <v>0</v>
      </c>
      <c r="AM877" s="236" t="n">
        <f aca="false" t="array" ref="AM877:AM877">IF(AM876=0,0,IF(AM876/'🎚️ Escenario'!$C$11&gt;=36,$AL$23,INDEX($C$23:$AL$23,MAX(1,ROUNDUP(AM876/'🎚️ Escenario'!$C$11,0)))))</f>
        <v>0</v>
      </c>
      <c r="AN877" s="236" t="n">
        <f aca="false" t="array" ref="AN877:AN877">IF(AN876=0,0,IF(AN876/'🎚️ Escenario'!$C$11&gt;=36,$AL$23,INDEX($C$23:$AL$23,MAX(1,ROUNDUP(AN876/'🎚️ Escenario'!$C$11,0)))))</f>
        <v>0</v>
      </c>
      <c r="AO877" s="236" t="n">
        <f aca="false" t="array" ref="AO877:AO877">IF(AO876=0,0,IF(AO876/'🎚️ Escenario'!$C$11&gt;=36,$AL$23,INDEX($C$23:$AL$23,MAX(1,ROUNDUP(AO876/'🎚️ Escenario'!$C$11,0)))))</f>
        <v>0</v>
      </c>
      <c r="AP877" s="236" t="n">
        <f aca="false" t="array" ref="AP877:AP877">IF(AP876=0,0,IF(AP876/'🎚️ Escenario'!$C$11&gt;=36,$AL$23,INDEX($C$23:$AL$23,MAX(1,ROUNDUP(AP876/'🎚️ Escenario'!$C$11,0)))))</f>
        <v>0</v>
      </c>
      <c r="AQ877" s="236" t="n">
        <f aca="false" t="array" ref="AQ877:AQ877">IF(AQ876=0,0,IF(AQ876/'🎚️ Escenario'!$C$11&gt;=36,$AL$23,INDEX($C$23:$AL$23,MAX(1,ROUNDUP(AQ876/'🎚️ Escenario'!$C$11,0)))))</f>
        <v>0</v>
      </c>
      <c r="AR877" s="236" t="n">
        <f aca="false" t="array" ref="AR877:AR877">IF(AR876=0,0,IF(AR876/'🎚️ Escenario'!$C$11&gt;=36,$AL$23,INDEX($C$23:$AL$23,MAX(1,ROUNDUP(AR876/'🎚️ Escenario'!$C$11,0)))))</f>
        <v>0</v>
      </c>
      <c r="AS877" s="236" t="n">
        <f aca="false" t="array" ref="AS877:AS877">IF(AS876=0,0,IF(AS876/'🎚️ Escenario'!$C$11&gt;=36,$AL$23,INDEX($C$23:$AL$23,MAX(1,ROUNDUP(AS876/'🎚️ Escenario'!$C$11,0)))))</f>
        <v>0</v>
      </c>
      <c r="AT877" s="236" t="n">
        <f aca="false" t="array" ref="AT877:AT877">IF(AT876=0,0,IF(AT876/'🎚️ Escenario'!$C$11&gt;=36,$AL$23,INDEX($C$23:$AL$23,MAX(1,ROUNDUP(AT876/'🎚️ Escenario'!$C$11,0)))))</f>
        <v>0</v>
      </c>
      <c r="AU877" s="236" t="n">
        <f aca="false" t="array" ref="AU877:AU877">IF(AU876=0,0,IF(AU876/'🎚️ Escenario'!$C$11&gt;=36,$AL$23,INDEX($C$23:$AL$23,MAX(1,ROUNDUP(AU876/'🎚️ Escenario'!$C$11,0)))))</f>
        <v>0</v>
      </c>
      <c r="AV877" s="236" t="n">
        <f aca="false" t="array" ref="AV877:AV877">IF(AV876=0,0,IF(AV876/'🎚️ Escenario'!$C$11&gt;=36,$AL$23,INDEX($C$23:$AL$23,MAX(1,ROUNDUP(AV876/'🎚️ Escenario'!$C$11,0)))))</f>
        <v>0</v>
      </c>
      <c r="AW877" s="236" t="n">
        <f aca="false" t="array" ref="AW877:AW877">IF(AW876=0,0,IF(AW876/'🎚️ Escenario'!$C$11&gt;=36,$AL$23,INDEX($C$23:$AL$23,MAX(1,ROUNDUP(AW876/'🎚️ Escenario'!$C$11,0)))))</f>
        <v>0</v>
      </c>
      <c r="AX877" s="236" t="n">
        <f aca="false" t="array" ref="AX877:AX877">IF(AX876=0,0,IF(AX876/'🎚️ Escenario'!$C$11&gt;=36,$AL$23,INDEX($C$23:$AL$23,MAX(1,ROUNDUP(AX876/'🎚️ Escenario'!$C$11,0)))))</f>
        <v>0</v>
      </c>
      <c r="AY877" s="236" t="n">
        <f aca="false" t="array" ref="AY877:AY877">IF(AY876=0,0,IF(AY876/'🎚️ Escenario'!$C$11&gt;=36,$AL$23,INDEX($C$23:$AL$23,MAX(1,ROUNDUP(AY876/'🎚️ Escenario'!$C$11,0)))))</f>
        <v>0</v>
      </c>
      <c r="AZ877" s="236" t="n">
        <f aca="false" t="array" ref="AZ877:AZ877">IF(AZ876=0,0,IF(AZ876/'🎚️ Escenario'!$C$11&gt;=36,$AL$23,INDEX($C$23:$AL$23,MAX(1,ROUNDUP(AZ876/'🎚️ Escenario'!$C$11,0)))))</f>
        <v>0</v>
      </c>
      <c r="BA877" s="236" t="n">
        <f aca="false" t="array" ref="BA877:BA877">IF(BA876=0,0,IF(BA876/'🎚️ Escenario'!$C$11&gt;=36,$AL$23,INDEX($C$23:$AL$23,MAX(1,ROUNDUP(BA876/'🎚️ Escenario'!$C$11,0)))))</f>
        <v>0</v>
      </c>
      <c r="BB877" s="236" t="n">
        <f aca="false" t="array" ref="BB877:BB877">IF(BB876=0,0,IF(BB876/'🎚️ Escenario'!$C$11&gt;=36,$AL$23,INDEX($C$23:$AL$23,MAX(1,ROUNDUP(BB876/'🎚️ Escenario'!$C$11,0)))))</f>
        <v>0</v>
      </c>
      <c r="BC877" s="236" t="n">
        <f aca="false" t="array" ref="BC877:BC877">IF(BC876=0,0,IF(BC876/'🎚️ Escenario'!$C$11&gt;=36,$AL$23,INDEX($C$23:$AL$23,MAX(1,ROUNDUP(BC876/'🎚️ Escenario'!$C$11,0)))))</f>
        <v>0</v>
      </c>
      <c r="BD877" s="236" t="n">
        <f aca="false" t="array" ref="BD877:BD877">IF(BD876=0,0,IF(BD876/'🎚️ Escenario'!$C$11&gt;=36,$AL$23,INDEX($C$23:$AL$23,MAX(1,ROUNDUP(BD876/'🎚️ Escenario'!$C$11,0)))))</f>
        <v>0</v>
      </c>
      <c r="BE877" s="236" t="n">
        <f aca="false" t="array" ref="BE877:BE877">IF(BE876=0,0,IF(BE876/'🎚️ Escenario'!$C$11&gt;=36,$AL$23,INDEX($C$23:$AL$23,MAX(1,ROUNDUP(BE876/'🎚️ Escenario'!$C$11,0)))))</f>
        <v>0</v>
      </c>
      <c r="BF877" s="236" t="n">
        <f aca="false" t="array" ref="BF877:BF877">IF(BF876=0,0,IF(BF876/'🎚️ Escenario'!$C$11&gt;=36,$AL$23,INDEX($C$23:$AL$23,MAX(1,ROUNDUP(BF876/'🎚️ Escenario'!$C$11,0)))))</f>
        <v>0</v>
      </c>
      <c r="BG877" s="236" t="n">
        <f aca="false" t="array" ref="BG877:BG877">IF(BG876=0,0,IF(BG876/'🎚️ Escenario'!$C$11&gt;=36,$AL$23,INDEX($C$23:$AL$23,MAX(1,ROUNDUP(BG876/'🎚️ Escenario'!$C$11,0)))))</f>
        <v>0</v>
      </c>
      <c r="BH877" s="236" t="n">
        <f aca="false" t="array" ref="BH877:BH877">IF(BH876=0,0,IF(BH876/'🎚️ Escenario'!$C$11&gt;=36,$AL$23,INDEX($C$23:$AL$23,MAX(1,ROUNDUP(BH876/'🎚️ Escenario'!$C$11,0)))))</f>
        <v>0</v>
      </c>
      <c r="BI877" s="236" t="n">
        <f aca="false" t="array" ref="BI877:BI877">IF(BI876=0,0,IF(BI876/'🎚️ Escenario'!$C$11&gt;=36,$AL$23,INDEX($C$23:$AL$23,MAX(1,ROUNDUP(BI876/'🎚️ Escenario'!$C$11,0)))))</f>
        <v>0</v>
      </c>
      <c r="BJ877" s="236" t="n">
        <f aca="false" t="array" ref="BJ877:BJ877">IF(BJ876=0,0,IF(BJ876/'🎚️ Escenario'!$C$11&gt;=36,$AL$23,INDEX($C$23:$AL$23,MAX(1,ROUNDUP(BJ876/'🎚️ Escenario'!$C$11,0)))))</f>
        <v>0</v>
      </c>
      <c r="BK877" s="236" t="n">
        <f aca="false" t="array" ref="BK877:BK877">IF(BK876=0,0,IF(BK876/'🎚️ Escenario'!$C$11&gt;=36,$AL$23,INDEX($C$23:$AL$23,MAX(1,ROUNDUP(BK876/'🎚️ Escenario'!$C$11,0)))))</f>
        <v>0</v>
      </c>
      <c r="BL877" s="236" t="n">
        <f aca="false" t="array" ref="BL877:BL877">IF(BL876=0,0,IF(BL876/'🎚️ Escenario'!$C$11&gt;=36,$AL$23,INDEX($C$23:$AL$23,MAX(1,ROUNDUP(BL876/'🎚️ Escenario'!$C$11,0)))))</f>
        <v>0</v>
      </c>
      <c r="BM877" s="236" t="n">
        <f aca="false" t="array" ref="BM877:BM877">IF(BM876=0,0,IF(BM876/'🎚️ Escenario'!$C$11&gt;=36,$AL$23,INDEX($C$23:$AL$23,MAX(1,ROUNDUP(BM876/'🎚️ Escenario'!$C$11,0)))))</f>
        <v>0</v>
      </c>
      <c r="BN877" s="236" t="n">
        <f aca="false" t="array" ref="BN877:BN877">IF(BN876=0,0,IF(BN876/'🎚️ Escenario'!$C$11&gt;=36,$AL$23,INDEX($C$23:$AL$23,MAX(1,ROUNDUP(BN876/'🎚️ Escenario'!$C$11,0)))))</f>
        <v>0</v>
      </c>
      <c r="BO877" s="236" t="n">
        <f aca="false" t="array" ref="BO877:BO877">IF(BO876=0,0,IF(BO876/'🎚️ Escenario'!$C$11&gt;=36,$AL$23,INDEX($C$23:$AL$23,MAX(1,ROUNDUP(BO876/'🎚️ Escenario'!$C$11,0)))))</f>
        <v>0</v>
      </c>
      <c r="BP877" s="236" t="n">
        <f aca="false" t="array" ref="BP877:BP877">IF(BP876=0,0,IF(BP876/'🎚️ Escenario'!$C$11&gt;=36,$AL$23,INDEX($C$23:$AL$23,MAX(1,ROUNDUP(BP876/'🎚️ Escenario'!$C$11,0)))))</f>
        <v>0</v>
      </c>
      <c r="BQ877" s="236" t="n">
        <f aca="false" t="array" ref="BQ877:BQ877">IF(BQ876=0,0,IF(BQ876/'🎚️ Escenario'!$C$11&gt;=36,$AL$23,INDEX($C$23:$AL$23,MAX(1,ROUNDUP(BQ876/'🎚️ Escenario'!$C$11,0)))))</f>
        <v>0</v>
      </c>
      <c r="BR877" s="236" t="n">
        <f aca="false" t="array" ref="BR877:BR877">IF(BR876=0,0,IF(BR876/'🎚️ Escenario'!$C$11&gt;=36,$AL$23,INDEX($C$23:$AL$23,MAX(1,ROUNDUP(BR876/'🎚️ Escenario'!$C$11,0)))))</f>
        <v>0</v>
      </c>
      <c r="BS877" s="236" t="n">
        <f aca="false" t="array" ref="BS877:BS877">IF(BS876=0,0,IF(BS876/'🎚️ Escenario'!$C$11&gt;=36,$AL$23,INDEX($C$23:$AL$23,MAX(1,ROUNDUP(BS876/'🎚️ Escenario'!$C$11,0)))))</f>
        <v>0</v>
      </c>
      <c r="BT877" s="236" t="n">
        <f aca="false" t="array" ref="BT877:BT877">IF(BT876=0,0,IF(BT876/'🎚️ Escenario'!$C$11&gt;=36,$AL$23,INDEX($C$23:$AL$23,MAX(1,ROUNDUP(BT876/'🎚️ Escenario'!$C$11,0)))))</f>
        <v>0</v>
      </c>
      <c r="BU877" s="236" t="n">
        <f aca="false" t="array" ref="BU877:BU877">IF(BU876=0,0,IF(BU876/'🎚️ Escenario'!$C$11&gt;=36,$AL$23,INDEX($C$23:$AL$23,MAX(1,ROUNDUP(BU876/'🎚️ Escenario'!$C$11,0)))))</f>
        <v>0</v>
      </c>
      <c r="BV877" s="236" t="n">
        <f aca="false" t="array" ref="BV877:BV877">IF(BV876=0,0,IF(BV876/'🎚️ Escenario'!$C$11&gt;=36,$AL$23,INDEX($C$23:$AL$23,MAX(1,ROUNDUP(BV876/'🎚️ Escenario'!$C$11,0)))))</f>
        <v>0</v>
      </c>
      <c r="BW877" s="236" t="n">
        <f aca="false" t="array" ref="BW877:BW877">IF(BW876=0,0,IF(BW876/'🎚️ Escenario'!$C$11&gt;=36,$AL$23,INDEX($C$23:$AL$23,MAX(1,ROUNDUP(BW876/'🎚️ Escenario'!$C$11,0)))))</f>
        <v>0</v>
      </c>
      <c r="BX877" s="236" t="n">
        <f aca="false" t="array" ref="BX877:BX877">IF(BX876=0,0,IF(BX876/'🎚️ Escenario'!$C$11&gt;=36,$AL$23,INDEX($C$23:$AL$23,MAX(1,ROUNDUP(BX876/'🎚️ Escenario'!$C$11,0)))))</f>
        <v>0</v>
      </c>
      <c r="BY877" s="236" t="n">
        <f aca="false" t="array" ref="BY877:BY877">IF(BY876=0,0,IF(BY876/'🎚️ Escenario'!$C$11&gt;=36,$AL$23,INDEX($C$23:$AL$23,MAX(1,ROUNDUP(BY876/'🎚️ Escenario'!$C$11,0)))))</f>
        <v>0</v>
      </c>
      <c r="BZ877" s="236" t="n">
        <f aca="false" t="array" ref="BZ877:BZ877">IF(BZ876=0,0,IF(BZ876/'🎚️ Escenario'!$C$11&gt;=36,$AL$23,INDEX($C$23:$AL$23,MAX(1,ROUNDUP(BZ876/'🎚️ Escenario'!$C$11,0)))))</f>
        <v>0</v>
      </c>
      <c r="CA877" s="236" t="n">
        <f aca="false" t="array" ref="CA877:CA877">IF(CA876=0,0,IF(CA876/'🎚️ Escenario'!$C$11&gt;=36,$AL$23,INDEX($C$23:$AL$23,MAX(1,ROUNDUP(CA876/'🎚️ Escenario'!$C$11,0)))))</f>
        <v>0</v>
      </c>
      <c r="CB877" s="236" t="n">
        <f aca="false" t="array" ref="CB877:CB877">IF(CB876=0,0,IF(CB876/'🎚️ Escenario'!$C$11&gt;=36,$AL$23,INDEX($C$23:$AL$23,MAX(1,ROUNDUP(CB876/'🎚️ Escenario'!$C$11,0)))))</f>
        <v>0</v>
      </c>
      <c r="CC877" s="236" t="n">
        <f aca="false" t="array" ref="CC877:CC877">IF(CC876=0,0,IF(CC876/'🎚️ Escenario'!$C$11&gt;=36,$AL$23,INDEX($C$23:$AL$23,MAX(1,ROUNDUP(CC876/'🎚️ Escenario'!$C$11,0)))))</f>
        <v>0</v>
      </c>
      <c r="CD877" s="236" t="n">
        <f aca="false" t="array" ref="CD877:CD877">IF(CD876=0,0,IF(CD876/'🎚️ Escenario'!$C$11&gt;=36,$AL$23,INDEX($C$23:$AL$23,MAX(1,ROUNDUP(CD876/'🎚️ Escenario'!$C$11,0)))))</f>
        <v>0</v>
      </c>
      <c r="CE877" s="236" t="n">
        <f aca="false" t="array" ref="CE877:CE877">IF(CE876=0,0,IF(CE876/'🎚️ Escenario'!$C$11&gt;=36,$AL$23,INDEX($C$23:$AL$23,MAX(1,ROUNDUP(CE876/'🎚️ Escenario'!$C$11,0)))))</f>
        <v>0</v>
      </c>
      <c r="CF877" s="236" t="n">
        <f aca="false" t="array" ref="CF877:CF877">IF(CF876=0,0,IF(CF876/'🎚️ Escenario'!$C$11&gt;=36,$AL$23,INDEX($C$23:$AL$23,MAX(1,ROUNDUP(CF876/'🎚️ Escenario'!$C$11,0)))))</f>
        <v>0</v>
      </c>
      <c r="CG877" s="236" t="n">
        <f aca="false" t="array" ref="CG877:CG877">IF(CG876=0,0,IF(CG876/'🎚️ Escenario'!$C$11&gt;=36,$AL$23,INDEX($C$23:$AL$23,MAX(1,ROUNDUP(CG876/'🎚️ Escenario'!$C$11,0)))))</f>
        <v>0</v>
      </c>
      <c r="CH877" s="236" t="n">
        <f aca="false" t="array" ref="CH877:CH877">IF(CH876=0,0,IF(CH876/'🎚️ Escenario'!$C$11&gt;=36,$AL$23,INDEX($C$23:$AL$23,MAX(1,ROUNDUP(CH876/'🎚️ Escenario'!$C$11,0)))))</f>
        <v>0</v>
      </c>
      <c r="CI877" s="236" t="n">
        <f aca="false" t="array" ref="CI877:CI877">IF(CI876=0,0,IF(CI876/'🎚️ Escenario'!$C$11&gt;=36,$AL$23,INDEX($C$23:$AL$23,MAX(1,ROUNDUP(CI876/'🎚️ Escenario'!$C$11,0)))))</f>
        <v>0</v>
      </c>
      <c r="CJ877" s="236" t="n">
        <f aca="false" t="array" ref="CJ877:CJ877">IF(CJ876=0,0,IF(CJ876/'🎚️ Escenario'!$C$11&gt;=36,$AL$23,INDEX($C$23:$AL$23,MAX(1,ROUNDUP(CJ876/'🎚️ Escenario'!$C$11,0)))))</f>
        <v>0</v>
      </c>
      <c r="CK877" s="236" t="n">
        <f aca="false" t="array" ref="CK877:CK877">IF(CK876=0,0,IF(CK876/'🎚️ Escenario'!$C$11&gt;=36,$AL$23,INDEX($C$23:$AL$23,MAX(1,ROUNDUP(CK876/'🎚️ Escenario'!$C$11,0)))))</f>
        <v>0</v>
      </c>
      <c r="CL877" s="236" t="n">
        <f aca="false" t="array" ref="CL877:CL877">IF(CL876=0,0,IF(CL876/'🎚️ Escenario'!$C$11&gt;=36,$AL$23,INDEX($C$23:$AL$23,MAX(1,ROUNDUP(CL876/'🎚️ Escenario'!$C$11,0)))))</f>
        <v>0</v>
      </c>
      <c r="CM877" s="236" t="n">
        <f aca="false" t="array" ref="CM877:CM877">IF(CM876=0,0,IF(CM876/'🎚️ Escenario'!$C$11&gt;=36,$AL$23,INDEX($C$23:$AL$23,MAX(1,ROUNDUP(CM876/'🎚️ Escenario'!$C$11,0)))))</f>
        <v>0</v>
      </c>
      <c r="CN877" s="236" t="n">
        <f aca="false" t="array" ref="CN877:CN877">IF(CN876=0,0,IF(CN876/'🎚️ Escenario'!$C$11&gt;=36,$AL$23,INDEX($C$23:$AL$23,MAX(1,ROUNDUP(CN876/'🎚️ Escenario'!$C$11,0)))))</f>
        <v>0</v>
      </c>
      <c r="CO877" s="236" t="n">
        <f aca="false" t="array" ref="CO877:CO877">IF(CO876=0,0,IF(CO876/'🎚️ Escenario'!$C$11&gt;=36,$AL$23,INDEX($C$23:$AL$23,MAX(1,ROUNDUP(CO876/'🎚️ Escenario'!$C$11,0)))))</f>
        <v>0</v>
      </c>
      <c r="CP877" s="236" t="n">
        <f aca="false" t="array" ref="CP877:CP877">IF(CP876=0,0,IF(CP876/'🎚️ Escenario'!$C$11&gt;=36,$AL$23,INDEX($C$23:$AL$23,MAX(1,ROUNDUP(CP876/'🎚️ Escenario'!$C$11,0)))))</f>
        <v>0</v>
      </c>
      <c r="CQ877" s="236" t="n">
        <f aca="false" t="array" ref="CQ877:CQ877">IF(CQ876=0,0,IF(CQ876/'🎚️ Escenario'!$C$11&gt;=36,$AL$23,INDEX($C$23:$AL$23,MAX(1,ROUNDUP(CQ876/'🎚️ Escenario'!$C$11,0)))))</f>
        <v>0</v>
      </c>
      <c r="CR877" s="236" t="n">
        <f aca="false" t="array" ref="CR877:CR877">IF(CR876=0,0,IF(CR876/'🎚️ Escenario'!$C$11&gt;=36,$AL$23,INDEX($C$23:$AL$23,MAX(1,ROUNDUP(CR876/'🎚️ Escenario'!$C$11,0)))))</f>
        <v>0</v>
      </c>
      <c r="CS877" s="236" t="n">
        <f aca="false" t="array" ref="CS877:CS877">IF(CS876=0,0,IF(CS876/'🎚️ Escenario'!$C$11&gt;=36,$AL$23,INDEX($C$23:$AL$23,MAX(1,ROUNDUP(CS876/'🎚️ Escenario'!$C$11,0)))))</f>
        <v>0</v>
      </c>
      <c r="CT877" s="236" t="n">
        <f aca="false" t="array" ref="CT877:CT877">IF(CT876=0,0,IF(CT876/'🎚️ Escenario'!$C$11&gt;=36,$AL$23,INDEX($C$23:$AL$23,MAX(1,ROUNDUP(CT876/'🎚️ Escenario'!$C$11,0)))))</f>
        <v>0</v>
      </c>
      <c r="CU877" s="236" t="n">
        <f aca="false" t="array" ref="CU877:CU877">IF(CU876=0,0,IF(CU876/'🎚️ Escenario'!$C$11&gt;=36,$AL$23,INDEX($C$23:$AL$23,MAX(1,ROUNDUP(CU876/'🎚️ Escenario'!$C$11,0)))))</f>
        <v>0</v>
      </c>
      <c r="CV877" s="236" t="n">
        <f aca="false" t="array" ref="CV877:CV877">IF(CV876=0,0,IF(CV876/'🎚️ Escenario'!$C$11&gt;=36,$AL$23,INDEX($C$23:$AL$23,MAX(1,ROUNDUP(CV876/'🎚️ Escenario'!$C$11,0)))))</f>
        <v>0</v>
      </c>
      <c r="CW877" s="236" t="n">
        <f aca="false" t="array" ref="CW877:CW877">IF(CW876=0,0,IF(CW876/'🎚️ Escenario'!$C$11&gt;=36,$AL$23,INDEX($C$23:$AL$23,MAX(1,ROUNDUP(CW876/'🎚️ Escenario'!$C$11,0)))))</f>
        <v>0</v>
      </c>
      <c r="CX877" s="236" t="n">
        <f aca="false" t="array" ref="CX877:CX877">IF(CX876=0,0,IF(CX876/'🎚️ Escenario'!$C$11&gt;=36,$AL$23,INDEX($C$23:$AL$23,MAX(1,ROUNDUP(CX876/'🎚️ Escenario'!$C$11,0)))))</f>
        <v>0</v>
      </c>
      <c r="CY877" s="236" t="n">
        <f aca="false" t="array" ref="CY877:CY877">IF(CY876=0,0,IF(CY876/'🎚️ Escenario'!$C$11&gt;=36,$AL$23,INDEX($C$23:$AL$23,MAX(1,ROUNDUP(CY876/'🎚️ Escenario'!$C$11,0)))))</f>
        <v>0</v>
      </c>
      <c r="CZ877" s="236" t="n">
        <f aca="false" t="array" ref="CZ877:CZ877">IF(CZ876=0,0,IF(CZ876/'🎚️ Escenario'!$C$11&gt;=36,$AL$23,INDEX($C$23:$AL$23,MAX(1,ROUNDUP(CZ876/'🎚️ Escenario'!$C$11,0)))))</f>
        <v>0</v>
      </c>
      <c r="DA877" s="236" t="n">
        <f aca="false" t="array" ref="DA877:DA877">IF(DA876=0,0,IF(DA876/'🎚️ Escenario'!$C$11&gt;=36,$AL$23,INDEX($C$23:$AL$23,MAX(1,ROUNDUP(DA876/'🎚️ Escenario'!$C$11,0)))))</f>
        <v>0</v>
      </c>
      <c r="DB877" s="236" t="n">
        <f aca="false" t="array" ref="DB877:DB877">IF(DB876=0,0,IF(DB876/'🎚️ Escenario'!$C$11&gt;=36,$AL$23,INDEX($C$23:$AL$23,MAX(1,ROUNDUP(DB876/'🎚️ Escenario'!$C$11,0)))))</f>
        <v>0</v>
      </c>
      <c r="DC877" s="236" t="n">
        <f aca="false" t="array" ref="DC877:DC877">IF(DC876=0,0,IF(DC876/'🎚️ Escenario'!$C$11&gt;=36,$AL$23,INDEX($C$23:$AL$23,MAX(1,ROUNDUP(DC876/'🎚️ Escenario'!$C$11,0)))))</f>
        <v>0</v>
      </c>
      <c r="DD877" s="236" t="n">
        <f aca="false" t="array" ref="DD877:DD877">IF(DD876=0,0,IF(DD876/'🎚️ Escenario'!$C$11&gt;=36,$AL$23,INDEX($C$23:$AL$23,MAX(1,ROUNDUP(DD876/'🎚️ Escenario'!$C$11,0)))))</f>
        <v>0</v>
      </c>
      <c r="DE877" s="236" t="n">
        <f aca="false" t="array" ref="DE877:DE877">IF(DE876=0,0,IF(DE876/'🎚️ Escenario'!$C$11&gt;=36,$AL$23,INDEX($C$23:$AL$23,MAX(1,ROUNDUP(DE876/'🎚️ Escenario'!$C$11,0)))))</f>
        <v>0</v>
      </c>
      <c r="DF877" s="236" t="n">
        <f aca="false" t="array" ref="DF877:DF877">IF(DF876=0,0,IF(DF876/'🎚️ Escenario'!$C$11&gt;=36,$AL$23,INDEX($C$23:$AL$23,MAX(1,ROUNDUP(DF876/'🎚️ Escenario'!$C$11,0)))))</f>
        <v>0</v>
      </c>
      <c r="DG877" s="236" t="n">
        <f aca="false" t="array" ref="DG877:DG877">IF(DG876=0,0,IF(DG876/'🎚️ Escenario'!$C$11&gt;=36,$AL$23,INDEX($C$23:$AL$23,MAX(1,ROUNDUP(DG876/'🎚️ Escenario'!$C$11,0)))))</f>
        <v>0</v>
      </c>
      <c r="DH877" s="236" t="n">
        <f aca="false" t="array" ref="DH877:DH877">IF(DH876=0,0,IF(DH876/'🎚️ Escenario'!$C$11&gt;=36,$AL$23,INDEX($C$23:$AL$23,MAX(1,ROUNDUP(DH876/'🎚️ Escenario'!$C$11,0)))))</f>
        <v>0</v>
      </c>
      <c r="DI877" s="236" t="n">
        <f aca="false" t="array" ref="DI877:DI877">IF(DI876=0,0,IF(DI876/'🎚️ Escenario'!$C$11&gt;=36,$AL$23,INDEX($C$23:$AL$23,MAX(1,ROUNDUP(DI876/'🎚️ Escenario'!$C$11,0)))))</f>
        <v>0</v>
      </c>
      <c r="DJ877" s="236" t="n">
        <f aca="false" t="array" ref="DJ877:DJ877">IF(DJ876=0,0,IF(DJ876/'🎚️ Escenario'!$C$11&gt;=36,$AL$23,INDEX($C$23:$AL$23,MAX(1,ROUNDUP(DJ876/'🎚️ Escenario'!$C$11,0)))))</f>
        <v>0</v>
      </c>
      <c r="DK877" s="236" t="n">
        <f aca="false" t="array" ref="DK877:DK877">IF(DK876=0,0,IF(DK876/'🎚️ Escenario'!$C$11&gt;=36,$AL$23,INDEX($C$23:$AL$23,MAX(1,ROUNDUP(DK876/'🎚️ Escenario'!$C$11,0)))))</f>
        <v>0</v>
      </c>
      <c r="DL877" s="236" t="n">
        <f aca="false" t="array" ref="DL877:DL877">IF(DL876=0,0,IF(DL876/'🎚️ Escenario'!$C$11&gt;=36,$AL$23,INDEX($C$23:$AL$23,MAX(1,ROUNDUP(DL876/'🎚️ Escenario'!$C$11,0)))))</f>
        <v>0</v>
      </c>
      <c r="DM877" s="236" t="n">
        <f aca="false" t="array" ref="DM877:DM877">IF(DM876=0,0,IF(DM876/'🎚️ Escenario'!$C$11&gt;=36,$AL$23,INDEX($C$23:$AL$23,MAX(1,ROUNDUP(DM876/'🎚️ Escenario'!$C$11,0)))))</f>
        <v>0</v>
      </c>
      <c r="DN877" s="236" t="n">
        <f aca="false" t="array" ref="DN877:DN877">IF(DN876=0,0,IF(DN876/'🎚️ Escenario'!$C$11&gt;=36,$AL$23,INDEX($C$23:$AL$23,MAX(1,ROUNDUP(DN876/'🎚️ Escenario'!$C$11,0)))))</f>
        <v>0</v>
      </c>
      <c r="DO877" s="236" t="n">
        <f aca="false" t="array" ref="DO877:DO877">IF(DO876=0,0,IF(DO876/'🎚️ Escenario'!$C$11&gt;=36,$AL$23,INDEX($C$23:$AL$23,MAX(1,ROUNDUP(DO876/'🎚️ Escenario'!$C$11,0)))))</f>
        <v>0</v>
      </c>
      <c r="DP877" s="236" t="n">
        <f aca="false" t="array" ref="DP877:DP877">IF(DP876=0,0,IF(DP876/'🎚️ Escenario'!$C$11&gt;=36,$AL$23,INDEX($C$23:$AL$23,MAX(1,ROUNDUP(DP876/'🎚️ Escenario'!$C$11,0)))))</f>
        <v>0</v>
      </c>
      <c r="DQ877" s="236" t="n">
        <f aca="false" t="array" ref="DQ877:DQ877">IF(DQ876=0,0,IF(DQ876/'🎚️ Escenario'!$C$11&gt;=36,$AL$23,INDEX($C$23:$AL$23,MAX(1,ROUNDUP(DQ876/'🎚️ Escenario'!$C$11,0)))))</f>
        <v>0</v>
      </c>
      <c r="DR877" s="236" t="n">
        <f aca="false" t="array" ref="DR877:DR877">IF(DR876=0,0,IF(DR876/'🎚️ Escenario'!$C$11&gt;=36,$AL$23,INDEX($C$23:$AL$23,MAX(1,ROUNDUP(DR876/'🎚️ Escenario'!$C$11,0)))))</f>
        <v>0</v>
      </c>
      <c r="DS877" s="236" t="n">
        <f aca="false" t="array" ref="DS877:DS877">IF(DS876=0,0,IF(DS876/'🎚️ Escenario'!$C$11&gt;=36,$AL$23,INDEX($C$23:$AL$23,MAX(1,ROUNDUP(DS876/'🎚️ Escenario'!$C$11,0)))))</f>
        <v>0</v>
      </c>
      <c r="DT877" s="236" t="n">
        <f aca="false" t="array" ref="DT877:DT877">IF(DT876=0,0,IF(DT876/'🎚️ Escenario'!$C$11&gt;=36,$AL$23,INDEX($C$23:$AL$23,MAX(1,ROUNDUP(DT876/'🎚️ Escenario'!$C$11,0)))))</f>
        <v>0</v>
      </c>
      <c r="DU877" s="236" t="n">
        <f aca="false" t="array" ref="DU877:DU877">IF(DU876=0,0,IF(DU876/'🎚️ Escenario'!$C$11&gt;=36,$AL$23,INDEX($C$23:$AL$23,MAX(1,ROUNDUP(DU876/'🎚️ Escenario'!$C$11,0)))))</f>
        <v>0</v>
      </c>
      <c r="DV877" s="236" t="n">
        <f aca="false" t="array" ref="DV877:DV877">IF(DV876=0,0,IF(DV876/'🎚️ Escenario'!$C$11&gt;=36,$AL$23,INDEX($C$23:$AL$23,MAX(1,ROUNDUP(DV876/'🎚️ Escenario'!$C$11,0)))))</f>
        <v>0</v>
      </c>
      <c r="DW877" s="236" t="n">
        <f aca="false" t="array" ref="DW877:DW877">IF(DW876=0,0,IF(DW876/'🎚️ Escenario'!$C$11&gt;=36,$AL$23,INDEX($C$23:$AL$23,MAX(1,ROUNDUP(DW876/'🎚️ Escenario'!$C$11,0)))))</f>
        <v>0</v>
      </c>
      <c r="DX877" s="236" t="n">
        <f aca="false" t="array" ref="DX877:DX877">IF(DX876=0,0,IF(DX876/'🎚️ Escenario'!$C$11&gt;=36,$AL$23,INDEX($C$23:$AL$23,MAX(1,ROUNDUP(DX876/'🎚️ Escenario'!$C$11,0)))))</f>
        <v>0</v>
      </c>
      <c r="DY877" s="236" t="n">
        <f aca="false" t="array" ref="DY877:DY877">IF(DY876=0,0,IF(DY876/'🎚️ Escenario'!$C$11&gt;=36,$AL$23,INDEX($C$23:$AL$23,MAX(1,ROUNDUP(DY876/'🎚️ Escenario'!$C$11,0)))))</f>
        <v>0</v>
      </c>
      <c r="DZ877" s="236" t="n">
        <f aca="false" t="array" ref="DZ877:DZ877">IF(DZ876=0,0,IF(DZ876/'🎚️ Escenario'!$C$11&gt;=36,$AL$23,INDEX($C$23:$AL$23,MAX(1,ROUNDUP(DZ876/'🎚️ Escenario'!$C$11,0)))))</f>
        <v>0</v>
      </c>
      <c r="EA877" s="236" t="n">
        <f aca="false" t="array" ref="EA877:EA877">IF(EA876=0,0,IF(EA876/'🎚️ Escenario'!$C$11&gt;=36,$AL$23,INDEX($C$23:$AL$23,MAX(1,ROUNDUP(EA876/'🎚️ Escenario'!$C$11,0)))))</f>
        <v>0</v>
      </c>
      <c r="EB877" s="236" t="n">
        <f aca="false" t="array" ref="EB877:EB877">IF(EB876=0,0,IF(EB876/'🎚️ Escenario'!$C$11&gt;=36,$AL$23,INDEX($C$23:$AL$23,MAX(1,ROUNDUP(EB876/'🎚️ Escenario'!$C$11,0)))))</f>
        <v>0</v>
      </c>
      <c r="EC877" s="236" t="n">
        <f aca="false" t="array" ref="EC877:EC877">IF(EC876=0,0,IF(EC876/'🎚️ Escenario'!$C$11&gt;=36,$AL$23,INDEX($C$23:$AL$23,MAX(1,ROUNDUP(EC876/'🎚️ Escenario'!$C$11,0)))))</f>
        <v>0</v>
      </c>
      <c r="ED877" s="236" t="n">
        <f aca="false" t="array" ref="ED877:ED877">IF(ED876=0,0,IF(ED876/'🎚️ Escenario'!$C$11&gt;=36,$AL$23,INDEX($C$23:$AL$23,MAX(1,ROUNDUP(ED876/'🎚️ Escenario'!$C$11,0)))))</f>
        <v>0</v>
      </c>
      <c r="EE877" s="236" t="n">
        <f aca="false" t="array" ref="EE877:EE877">IF(EE876=0,0,IF(EE876/'🎚️ Escenario'!$C$11&gt;=36,$AL$23,INDEX($C$23:$AL$23,MAX(1,ROUNDUP(EE876/'🎚️ Escenario'!$C$11,0)))))</f>
        <v>0</v>
      </c>
      <c r="EF877" s="236" t="n">
        <f aca="false" t="array" ref="EF877:EF877">IF(EF876=0,0,IF(EF876/'🎚️ Escenario'!$C$11&gt;=36,$AL$23,INDEX($C$23:$AL$23,MAX(1,ROUNDUP(EF876/'🎚️ Escenario'!$C$11,0)))))</f>
        <v>0</v>
      </c>
      <c r="EG877" s="236" t="n">
        <f aca="false" t="array" ref="EG877:EG877">IF(EG876=0,0,IF(EG876/'🎚️ Escenario'!$C$11&gt;=36,$AL$23,INDEX($C$23:$AL$23,MAX(1,ROUNDUP(EG876/'🎚️ Escenario'!$C$11,0)))))</f>
        <v>0</v>
      </c>
      <c r="EH877" s="236" t="n">
        <f aca="false" t="array" ref="EH877:EH877">IF(EH876=0,0,IF(EH876/'🎚️ Escenario'!$C$11&gt;=36,$AL$23,INDEX($C$23:$AL$23,MAX(1,ROUNDUP(EH876/'🎚️ Escenario'!$C$11,0)))))</f>
        <v>0</v>
      </c>
      <c r="EI877" s="236" t="n">
        <f aca="false" t="array" ref="EI877:EI877">IF(EI876=0,0,IF(EI876/'🎚️ Escenario'!$C$11&gt;=36,$AL$23,INDEX($C$23:$AL$23,MAX(1,ROUNDUP(EI876/'🎚️ Escenario'!$C$11,0)))))</f>
        <v>0</v>
      </c>
      <c r="EJ877" s="236" t="n">
        <f aca="false" t="array" ref="EJ877:EJ877">IF(EJ876=0,0,IF(EJ876/'🎚️ Escenario'!$C$11&gt;=36,$AL$23,INDEX($C$23:$AL$23,MAX(1,ROUNDUP(EJ876/'🎚️ Escenario'!$C$11,0)))))</f>
        <v>0</v>
      </c>
      <c r="EK877" s="236" t="n">
        <f aca="false" t="array" ref="EK877:EK877">IF(EK876=0,0,IF(EK876/'🎚️ Escenario'!$C$11&gt;=36,$AL$23,INDEX($C$23:$AL$23,MAX(1,ROUNDUP(EK876/'🎚️ Escenario'!$C$11,0)))))</f>
        <v>0</v>
      </c>
      <c r="EL877" s="236" t="n">
        <f aca="false" t="array" ref="EL877:EL877">IF(EL876=0,0,IF(EL876/'🎚️ Escenario'!$C$11&gt;=36,$AL$23,INDEX($C$23:$AL$23,MAX(1,ROUNDUP(EL876/'🎚️ Escenario'!$C$11,0)))))</f>
        <v>0</v>
      </c>
      <c r="EM877" s="236" t="n">
        <f aca="false" t="array" ref="EM877:EM877">IF(EM876=0,0,IF(EM876/'🎚️ Escenario'!$C$11&gt;=36,$AL$23,INDEX($C$23:$AL$23,MAX(1,ROUNDUP(EM876/'🎚️ Escenario'!$C$11,0)))))</f>
        <v>0</v>
      </c>
      <c r="EN877" s="236" t="n">
        <f aca="false" t="array" ref="EN877:EN877">IF(EN876=0,0,IF(EN876/'🎚️ Escenario'!$C$11&gt;=36,$AL$23,INDEX($C$23:$AL$23,MAX(1,ROUNDUP(EN876/'🎚️ Escenario'!$C$11,0)))))</f>
        <v>0</v>
      </c>
      <c r="EO877" s="236" t="n">
        <f aca="false" t="array" ref="EO877:EO877">IF(EO876=0,0,IF(EO876/'🎚️ Escenario'!$C$11&gt;=36,$AL$23,INDEX($C$23:$AL$23,MAX(1,ROUNDUP(EO876/'🎚️ Escenario'!$C$11,0)))))</f>
        <v>0</v>
      </c>
      <c r="EP877" s="236" t="n">
        <f aca="false" t="array" ref="EP877:EP877">IF(EP876=0,0,IF(EP876/'🎚️ Escenario'!$C$11&gt;=36,$AL$23,INDEX($C$23:$AL$23,MAX(1,ROUNDUP(EP876/'🎚️ Escenario'!$C$11,0)))))</f>
        <v>0</v>
      </c>
      <c r="EQ877" s="236" t="n">
        <f aca="false" t="array" ref="EQ877:EQ877">IF(EQ876=0,0,IF(EQ876/'🎚️ Escenario'!$C$11&gt;=36,$AL$23,INDEX($C$23:$AL$23,MAX(1,ROUNDUP(EQ876/'🎚️ Escenario'!$C$11,0)))))</f>
        <v>0</v>
      </c>
      <c r="ER877" s="236" t="n">
        <f aca="false" t="array" ref="ER877:ER877">IF(ER876=0,0,IF(ER876/'🎚️ Escenario'!$C$11&gt;=36,$AL$23,INDEX($C$23:$AL$23,MAX(1,ROUNDUP(ER876/'🎚️ Escenario'!$C$11,0)))))</f>
        <v>0</v>
      </c>
      <c r="ES877" s="9" t="n">
        <f aca="false" t="array" ref="ES877:ES877">IF(ES876=0,0,IF(ES876/'🎚️ Escenario'!$C$11&gt;=36,$AL$23,INDEX($C$23:$AL$23,MAX(1,ROUNDUP(ES876/'🎚️ Escenario'!$C$11,0)))))</f>
        <v>0</v>
      </c>
      <c r="ET877" s="9" t="n">
        <f aca="false" t="array" ref="ET877:ET877">IF(ET876=0,0,IF(ET876/'🎚️ Escenario'!$C$11&gt;=36,$AL$23,INDEX($C$23:$AL$23,MAX(1,ROUNDUP(ET876/'🎚️ Escenario'!$C$11,0)))))</f>
        <v>0</v>
      </c>
      <c r="EU877" s="9" t="n">
        <f aca="false" t="array" ref="EU877:EU877">IF(EU876=0,0,IF(EU876/'🎚️ Escenario'!$C$11&gt;=36,$AL$23,INDEX($C$23:$AL$23,MAX(1,ROUNDUP(EU876/'🎚️ Escenario'!$C$11,0)))))</f>
        <v>0</v>
      </c>
      <c r="EV877" s="9" t="n">
        <f aca="false" t="array" ref="EV877:EV877">IF(EV876=0,0,IF(EV876/'🎚️ Escenario'!$C$11&gt;=36,$AL$23,INDEX($C$23:$AL$23,MAX(1,ROUNDUP(EV876/'🎚️ Escenario'!$C$11,0)))))</f>
        <v>0</v>
      </c>
      <c r="EW877" s="9" t="n">
        <f aca="false" t="array" ref="EW877:EW877">IF(EW876=0,0,IF(EW876/'🎚️ Escenario'!$C$11&gt;=36,$AL$23,INDEX($C$23:$AL$23,MAX(1,ROUNDUP(EW876/'🎚️ Escenario'!$C$11,0)))))</f>
        <v>0</v>
      </c>
      <c r="EX877" s="9" t="n">
        <f aca="false" t="array" ref="EX877:EX877">IF(EX876=0,0,IF(EX876/'🎚️ Escenario'!$C$11&gt;=36,$AL$23,INDEX($C$23:$AL$23,MAX(1,ROUNDUP(EX876/'🎚️ Escenario'!$C$11,0)))))</f>
        <v>0</v>
      </c>
      <c r="EY877" s="9" t="n">
        <f aca="false" t="array" ref="EY877:EY877">IF(EY876=0,0,IF(EY876/'🎚️ Escenario'!$C$11&gt;=36,$AL$23,INDEX($C$23:$AL$23,MAX(1,ROUNDUP(EY876/'🎚️ Escenario'!$C$11,0)))))</f>
        <v>0</v>
      </c>
      <c r="EZ877" s="9" t="n">
        <f aca="false" t="array" ref="EZ877:EZ877">IF(EZ876=0,0,IF(EZ876/'🎚️ Escenario'!$C$11&gt;=36,$AL$23,INDEX($C$23:$AL$23,MAX(1,ROUNDUP(EZ876/'🎚️ Escenario'!$C$11,0)))))</f>
        <v>0</v>
      </c>
      <c r="FA877" s="9" t="n">
        <f aca="false" t="array" ref="FA877:FA877">IF(FA876=0,0,IF(FA876/'🎚️ Escenario'!$C$11&gt;=36,$AL$23,INDEX($C$23:$AL$23,MAX(1,ROUNDUP(FA876/'🎚️ Escenario'!$C$11,0)))))</f>
        <v>0</v>
      </c>
      <c r="FB877" s="9" t="n">
        <f aca="false" t="array" ref="FB877:FB877">IF(FB876=0,0,IF(FB876/'🎚️ Escenario'!$C$11&gt;=36,$AL$23,INDEX($C$23:$AL$23,MAX(1,ROUNDUP(FB876/'🎚️ Escenario'!$C$11,0)))))</f>
        <v>0</v>
      </c>
      <c r="FC877" s="9" t="n">
        <f aca="false" t="array" ref="FC877:FC877">IF(FC876=0,0,IF(FC876/'🎚️ Escenario'!$C$11&gt;=36,$AL$23,INDEX($C$23:$AL$23,MAX(1,ROUNDUP(FC876/'🎚️ Escenario'!$C$11,0)))))</f>
        <v>0</v>
      </c>
      <c r="FD877" s="9" t="n">
        <f aca="false" t="array" ref="FD877:FD877">IF(FD876=0,0,IF(FD876/'🎚️ Escenario'!$C$11&gt;=36,$AL$23,INDEX($C$23:$AL$23,MAX(1,ROUNDUP(FD876/'🎚️ Escenario'!$C$11,0)))))</f>
        <v>0</v>
      </c>
      <c r="FE877" s="9" t="n">
        <f aca="false" t="array" ref="FE877:FE877">IF(FE876=0,0,IF(FE876/'🎚️ Escenario'!$C$11&gt;=36,$AL$23,INDEX($C$23:$AL$23,MAX(1,ROUNDUP(FE876/'🎚️ Escenario'!$C$11,0)))))</f>
        <v>0</v>
      </c>
      <c r="FF877" s="9" t="n">
        <f aca="false" t="array" ref="FF877:FF877">IF(FF876=0,0,IF(FF876/'🎚️ Escenario'!$C$11&gt;=36,$AL$23,INDEX($C$23:$AL$23,MAX(1,ROUNDUP(FF876/'🎚️ Escenario'!$C$11,0)))))</f>
        <v>0</v>
      </c>
      <c r="FG877" s="9" t="n">
        <f aca="false" t="array" ref="FG877:FG877">IF(FG876=0,0,IF(FG876/'🎚️ Escenario'!$C$11&gt;=36,$AL$23,INDEX($C$23:$AL$23,MAX(1,ROUNDUP(FG876/'🎚️ Escenario'!$C$11,0)))))</f>
        <v>0</v>
      </c>
      <c r="FH877" s="9" t="n">
        <f aca="false" t="array" ref="FH877:FH877">IF(FH876=0,0,IF(FH876/'🎚️ Escenario'!$C$11&gt;=36,$AL$23,INDEX($C$23:$AL$23,MAX(1,ROUNDUP(FH876/'🎚️ Escenario'!$C$11,0)))))</f>
        <v>0</v>
      </c>
      <c r="FI877" s="9" t="n">
        <f aca="false" t="array" ref="FI877:FI877">IF(FI876=0,0,IF(FI876/'🎚️ Escenario'!$C$11&gt;=36,$AL$23,INDEX($C$23:$AL$23,MAX(1,ROUNDUP(FI876/'🎚️ Escenario'!$C$11,0)))))</f>
        <v>0</v>
      </c>
      <c r="FJ877" s="9" t="n">
        <f aca="false" t="array" ref="FJ877:FJ877">IF(FJ876=0,0,IF(FJ876/'🎚️ Escenario'!$C$11&gt;=36,$AL$23,INDEX($C$23:$AL$23,MAX(1,ROUNDUP(FJ876/'🎚️ Escenario'!$C$11,0)))))</f>
        <v>0</v>
      </c>
      <c r="FK877" s="9" t="n">
        <f aca="false" t="array" ref="FK877:FK877">IF(FK876=0,0,IF(FK876/'🎚️ Escenario'!$C$11&gt;=36,$AL$23,INDEX($C$23:$AL$23,MAX(1,ROUNDUP(FK876/'🎚️ Escenario'!$C$11,0)))))</f>
        <v>0</v>
      </c>
      <c r="FL877" s="9" t="n">
        <f aca="false" t="array" ref="FL877:FL877">IF(FL876=0,0,IF(FL876/'🎚️ Escenario'!$C$11&gt;=36,$AL$23,INDEX($C$23:$AL$23,MAX(1,ROUNDUP(FL876/'🎚️ Escenario'!$C$11,0)))))</f>
        <v>0.2</v>
      </c>
      <c r="FM877" s="9" t="n">
        <f aca="false" t="array" ref="FM877:FM877">IF(FM876=0,0,IF(FM876/'🎚️ Escenario'!$C$11&gt;=36,$AL$23,INDEX($C$23:$AL$23,MAX(1,ROUNDUP(FM876/'🎚️ Escenario'!$C$11,0)))))</f>
        <v>0.22</v>
      </c>
      <c r="FN877" s="9" t="n">
        <f aca="false" t="array" ref="FN877:FN877">IF(FN876=0,0,IF(FN876/'🎚️ Escenario'!$C$11&gt;=36,$AL$23,INDEX($C$23:$AL$23,MAX(1,ROUNDUP(FN876/'🎚️ Escenario'!$C$11,0)))))</f>
        <v>0.24</v>
      </c>
      <c r="FO877" s="9" t="n">
        <f aca="false" t="array" ref="FO877:FO877">IF(FO876=0,0,IF(FO876/'🎚️ Escenario'!$C$11&gt;=36,$AL$23,INDEX($C$23:$AL$23,MAX(1,ROUNDUP(FO876/'🎚️ Escenario'!$C$11,0)))))</f>
        <v>0.27</v>
      </c>
      <c r="FP877" s="9" t="n">
        <f aca="false" t="array" ref="FP877:FP877">IF(FP876=0,0,IF(FP876/'🎚️ Escenario'!$C$11&gt;=36,$AL$23,INDEX($C$23:$AL$23,MAX(1,ROUNDUP(FP876/'🎚️ Escenario'!$C$11,0)))))</f>
        <v>0.27</v>
      </c>
    </row>
    <row r="878" customFormat="false" ht="15" hidden="false" customHeight="false" outlineLevel="2" collapsed="false">
      <c r="B878" s="9" t="s">
        <v>875</v>
      </c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237" t="n">
        <f aca="false">IF(AC876=0,0,IF(AC876&lt;=12*'🎚️ Escenario'!$C$11,1,1+$C$6))</f>
        <v>0</v>
      </c>
      <c r="AD878" s="237" t="n">
        <f aca="false">IF(AD876=0,0,IF(AD876&lt;=12*'🎚️ Escenario'!$C$11,1,1+$C$6))</f>
        <v>0</v>
      </c>
      <c r="AE878" s="237" t="n">
        <f aca="false">IF(AE876=0,0,IF(AE876&lt;=12*'🎚️ Escenario'!$C$11,1,1+$C$6))</f>
        <v>0</v>
      </c>
      <c r="AF878" s="237" t="n">
        <f aca="false">IF(AF876=0,0,IF(AF876&lt;=12*'🎚️ Escenario'!$C$11,1,1+$C$6))</f>
        <v>0</v>
      </c>
      <c r="AG878" s="237" t="n">
        <f aca="false">IF(AG876=0,0,IF(AG876&lt;=12*'🎚️ Escenario'!$C$11,1,1+$C$6))</f>
        <v>0</v>
      </c>
      <c r="AH878" s="237" t="n">
        <f aca="false">IF(AH876=0,0,IF(AH876&lt;=12*'🎚️ Escenario'!$C$11,1,1+$C$6))</f>
        <v>0</v>
      </c>
      <c r="AI878" s="237" t="n">
        <f aca="false">IF(AI876=0,0,IF(AI876&lt;=12*'🎚️ Escenario'!$C$11,1,1+$C$6))</f>
        <v>0</v>
      </c>
      <c r="AJ878" s="237" t="n">
        <f aca="false">IF(AJ876=0,0,IF(AJ876&lt;=12*'🎚️ Escenario'!$C$11,1,1+$C$6))</f>
        <v>0</v>
      </c>
      <c r="AK878" s="237" t="n">
        <f aca="false">IF(AK876=0,0,IF(AK876&lt;=12*'🎚️ Escenario'!$C$11,1,1+$C$6))</f>
        <v>0</v>
      </c>
      <c r="AL878" s="237" t="n">
        <f aca="false">IF(AL876=0,0,IF(AL876&lt;=12*'🎚️ Escenario'!$C$11,1,1+$C$6))</f>
        <v>0</v>
      </c>
      <c r="AM878" s="237" t="n">
        <f aca="false">IF(AM876=0,0,IF(AM876&lt;=12*'🎚️ Escenario'!$C$11,1,1+$C$6))</f>
        <v>0</v>
      </c>
      <c r="AN878" s="237" t="n">
        <f aca="false">IF(AN876=0,0,IF(AN876&lt;=12*'🎚️ Escenario'!$C$11,1,1+$C$6))</f>
        <v>0</v>
      </c>
      <c r="AO878" s="237" t="n">
        <f aca="false">IF(AO876=0,0,IF(AO876&lt;=12*'🎚️ Escenario'!$C$11,1,1+$C$6))</f>
        <v>0</v>
      </c>
      <c r="AP878" s="237" t="n">
        <f aca="false">IF(AP876=0,0,IF(AP876&lt;=12*'🎚️ Escenario'!$C$11,1,1+$C$6))</f>
        <v>0</v>
      </c>
      <c r="AQ878" s="237" t="n">
        <f aca="false">IF(AQ876=0,0,IF(AQ876&lt;=12*'🎚️ Escenario'!$C$11,1,1+$C$6))</f>
        <v>0</v>
      </c>
      <c r="AR878" s="237" t="n">
        <f aca="false">IF(AR876=0,0,IF(AR876&lt;=12*'🎚️ Escenario'!$C$11,1,1+$C$6))</f>
        <v>0</v>
      </c>
      <c r="AS878" s="237" t="n">
        <f aca="false">IF(AS876=0,0,IF(AS876&lt;=12*'🎚️ Escenario'!$C$11,1,1+$C$6))</f>
        <v>0</v>
      </c>
      <c r="AT878" s="237" t="n">
        <f aca="false">IF(AT876=0,0,IF(AT876&lt;=12*'🎚️ Escenario'!$C$11,1,1+$C$6))</f>
        <v>0</v>
      </c>
      <c r="AU878" s="237" t="n">
        <f aca="false">IF(AU876=0,0,IF(AU876&lt;=12*'🎚️ Escenario'!$C$11,1,1+$C$6))</f>
        <v>0</v>
      </c>
      <c r="AV878" s="237" t="n">
        <f aca="false">IF(AV876=0,0,IF(AV876&lt;=12*'🎚️ Escenario'!$C$11,1,1+$C$6))</f>
        <v>0</v>
      </c>
      <c r="AW878" s="237" t="n">
        <f aca="false">IF(AW876=0,0,IF(AW876&lt;=12*'🎚️ Escenario'!$C$11,1,1+$C$6))</f>
        <v>0</v>
      </c>
      <c r="AX878" s="237" t="n">
        <f aca="false">IF(AX876=0,0,IF(AX876&lt;=12*'🎚️ Escenario'!$C$11,1,1+$C$6))</f>
        <v>0</v>
      </c>
      <c r="AY878" s="237" t="n">
        <f aca="false">IF(AY876=0,0,IF(AY876&lt;=12*'🎚️ Escenario'!$C$11,1,1+$C$6))</f>
        <v>0</v>
      </c>
      <c r="AZ878" s="237" t="n">
        <f aca="false">IF(AZ876=0,0,IF(AZ876&lt;=12*'🎚️ Escenario'!$C$11,1,1+$C$6))</f>
        <v>0</v>
      </c>
      <c r="BA878" s="237" t="n">
        <f aca="false">IF(BA876=0,0,IF(BA876&lt;=12*'🎚️ Escenario'!$C$11,1,1+$C$6))</f>
        <v>0</v>
      </c>
      <c r="BB878" s="237" t="n">
        <f aca="false">IF(BB876=0,0,IF(BB876&lt;=12*'🎚️ Escenario'!$C$11,1,1+$C$6))</f>
        <v>0</v>
      </c>
      <c r="BC878" s="237" t="n">
        <f aca="false">IF(BC876=0,0,IF(BC876&lt;=12*'🎚️ Escenario'!$C$11,1,1+$C$6))</f>
        <v>0</v>
      </c>
      <c r="BD878" s="237" t="n">
        <f aca="false">IF(BD876=0,0,IF(BD876&lt;=12*'🎚️ Escenario'!$C$11,1,1+$C$6))</f>
        <v>0</v>
      </c>
      <c r="BE878" s="237" t="n">
        <f aca="false">IF(BE876=0,0,IF(BE876&lt;=12*'🎚️ Escenario'!$C$11,1,1+$C$6))</f>
        <v>0</v>
      </c>
      <c r="BF878" s="237" t="n">
        <f aca="false">IF(BF876=0,0,IF(BF876&lt;=12*'🎚️ Escenario'!$C$11,1,1+$C$6))</f>
        <v>0</v>
      </c>
      <c r="BG878" s="237" t="n">
        <f aca="false">IF(BG876=0,0,IF(BG876&lt;=12*'🎚️ Escenario'!$C$11,1,1+$C$6))</f>
        <v>0</v>
      </c>
      <c r="BH878" s="237" t="n">
        <f aca="false">IF(BH876=0,0,IF(BH876&lt;=12*'🎚️ Escenario'!$C$11,1,1+$C$6))</f>
        <v>0</v>
      </c>
      <c r="BI878" s="237" t="n">
        <f aca="false">IF(BI876=0,0,IF(BI876&lt;=12*'🎚️ Escenario'!$C$11,1,1+$C$6))</f>
        <v>0</v>
      </c>
      <c r="BJ878" s="237" t="n">
        <f aca="false">IF(BJ876=0,0,IF(BJ876&lt;=12*'🎚️ Escenario'!$C$11,1,1+$C$6))</f>
        <v>0</v>
      </c>
      <c r="BK878" s="237" t="n">
        <f aca="false">IF(BK876=0,0,IF(BK876&lt;=12*'🎚️ Escenario'!$C$11,1,1+$C$6))</f>
        <v>0</v>
      </c>
      <c r="BL878" s="237" t="n">
        <f aca="false">IF(BL876=0,0,IF(BL876&lt;=12*'🎚️ Escenario'!$C$11,1,1+$C$6))</f>
        <v>0</v>
      </c>
      <c r="BM878" s="237" t="n">
        <f aca="false">IF(BM876=0,0,IF(BM876&lt;=12*'🎚️ Escenario'!$C$11,1,1+$C$6))</f>
        <v>0</v>
      </c>
      <c r="BN878" s="237" t="n">
        <f aca="false">IF(BN876=0,0,IF(BN876&lt;=12*'🎚️ Escenario'!$C$11,1,1+$C$6))</f>
        <v>0</v>
      </c>
      <c r="BO878" s="237" t="n">
        <f aca="false">IF(BO876=0,0,IF(BO876&lt;=12*'🎚️ Escenario'!$C$11,1,1+$C$6))</f>
        <v>0</v>
      </c>
      <c r="BP878" s="237" t="n">
        <f aca="false">IF(BP876=0,0,IF(BP876&lt;=12*'🎚️ Escenario'!$C$11,1,1+$C$6))</f>
        <v>0</v>
      </c>
      <c r="BQ878" s="237" t="n">
        <f aca="false">IF(BQ876=0,0,IF(BQ876&lt;=12*'🎚️ Escenario'!$C$11,1,1+$C$6))</f>
        <v>0</v>
      </c>
      <c r="BR878" s="237" t="n">
        <f aca="false">IF(BR876=0,0,IF(BR876&lt;=12*'🎚️ Escenario'!$C$11,1,1+$C$6))</f>
        <v>0</v>
      </c>
      <c r="BS878" s="237" t="n">
        <f aca="false">IF(BS876=0,0,IF(BS876&lt;=12*'🎚️ Escenario'!$C$11,1,1+$C$6))</f>
        <v>0</v>
      </c>
      <c r="BT878" s="237" t="n">
        <f aca="false">IF(BT876=0,0,IF(BT876&lt;=12*'🎚️ Escenario'!$C$11,1,1+$C$6))</f>
        <v>0</v>
      </c>
      <c r="BU878" s="237" t="n">
        <f aca="false">IF(BU876=0,0,IF(BU876&lt;=12*'🎚️ Escenario'!$C$11,1,1+$C$6))</f>
        <v>0</v>
      </c>
      <c r="BV878" s="237" t="n">
        <f aca="false">IF(BV876=0,0,IF(BV876&lt;=12*'🎚️ Escenario'!$C$11,1,1+$C$6))</f>
        <v>0</v>
      </c>
      <c r="BW878" s="237" t="n">
        <f aca="false">IF(BW876=0,0,IF(BW876&lt;=12*'🎚️ Escenario'!$C$11,1,1+$C$6))</f>
        <v>0</v>
      </c>
      <c r="BX878" s="237" t="n">
        <f aca="false">IF(BX876=0,0,IF(BX876&lt;=12*'🎚️ Escenario'!$C$11,1,1+$C$6))</f>
        <v>0</v>
      </c>
      <c r="BY878" s="237" t="n">
        <f aca="false">IF(BY876=0,0,IF(BY876&lt;=12*'🎚️ Escenario'!$C$11,1,1+$C$6))</f>
        <v>0</v>
      </c>
      <c r="BZ878" s="237" t="n">
        <f aca="false">IF(BZ876=0,0,IF(BZ876&lt;=12*'🎚️ Escenario'!$C$11,1,1+$C$6))</f>
        <v>0</v>
      </c>
      <c r="CA878" s="237" t="n">
        <f aca="false">IF(CA876=0,0,IF(CA876&lt;=12*'🎚️ Escenario'!$C$11,1,1+$C$6))</f>
        <v>0</v>
      </c>
      <c r="CB878" s="237" t="n">
        <f aca="false">IF(CB876=0,0,IF(CB876&lt;=12*'🎚️ Escenario'!$C$11,1,1+$C$6))</f>
        <v>0</v>
      </c>
      <c r="CC878" s="237" t="n">
        <f aca="false">IF(CC876=0,0,IF(CC876&lt;=12*'🎚️ Escenario'!$C$11,1,1+$C$6))</f>
        <v>0</v>
      </c>
      <c r="CD878" s="237" t="n">
        <f aca="false">IF(CD876=0,0,IF(CD876&lt;=12*'🎚️ Escenario'!$C$11,1,1+$C$6))</f>
        <v>0</v>
      </c>
      <c r="CE878" s="237" t="n">
        <f aca="false">IF(CE876=0,0,IF(CE876&lt;=12*'🎚️ Escenario'!$C$11,1,1+$C$6))</f>
        <v>0</v>
      </c>
      <c r="CF878" s="237" t="n">
        <f aca="false">IF(CF876=0,0,IF(CF876&lt;=12*'🎚️ Escenario'!$C$11,1,1+$C$6))</f>
        <v>0</v>
      </c>
      <c r="CG878" s="237" t="n">
        <f aca="false">IF(CG876=0,0,IF(CG876&lt;=12*'🎚️ Escenario'!$C$11,1,1+$C$6))</f>
        <v>0</v>
      </c>
      <c r="CH878" s="237" t="n">
        <f aca="false">IF(CH876=0,0,IF(CH876&lt;=12*'🎚️ Escenario'!$C$11,1,1+$C$6))</f>
        <v>0</v>
      </c>
      <c r="CI878" s="237" t="n">
        <f aca="false">IF(CI876=0,0,IF(CI876&lt;=12*'🎚️ Escenario'!$C$11,1,1+$C$6))</f>
        <v>0</v>
      </c>
      <c r="CJ878" s="237" t="n">
        <f aca="false">IF(CJ876=0,0,IF(CJ876&lt;=12*'🎚️ Escenario'!$C$11,1,1+$C$6))</f>
        <v>0</v>
      </c>
      <c r="CK878" s="237" t="n">
        <f aca="false">IF(CK876=0,0,IF(CK876&lt;=12*'🎚️ Escenario'!$C$11,1,1+$C$6))</f>
        <v>0</v>
      </c>
      <c r="CL878" s="237" t="n">
        <f aca="false">IF(CL876=0,0,IF(CL876&lt;=12*'🎚️ Escenario'!$C$11,1,1+$C$6))</f>
        <v>0</v>
      </c>
      <c r="CM878" s="237" t="n">
        <f aca="false">IF(CM876=0,0,IF(CM876&lt;=12*'🎚️ Escenario'!$C$11,1,1+$C$6))</f>
        <v>0</v>
      </c>
      <c r="CN878" s="237" t="n">
        <f aca="false">IF(CN876=0,0,IF(CN876&lt;=12*'🎚️ Escenario'!$C$11,1,1+$C$6))</f>
        <v>0</v>
      </c>
      <c r="CO878" s="237" t="n">
        <f aca="false">IF(CO876=0,0,IF(CO876&lt;=12*'🎚️ Escenario'!$C$11,1,1+$C$6))</f>
        <v>0</v>
      </c>
      <c r="CP878" s="237" t="n">
        <f aca="false">IF(CP876=0,0,IF(CP876&lt;=12*'🎚️ Escenario'!$C$11,1,1+$C$6))</f>
        <v>0</v>
      </c>
      <c r="CQ878" s="237" t="n">
        <f aca="false">IF(CQ876=0,0,IF(CQ876&lt;=12*'🎚️ Escenario'!$C$11,1,1+$C$6))</f>
        <v>0</v>
      </c>
      <c r="CR878" s="237" t="n">
        <f aca="false">IF(CR876=0,0,IF(CR876&lt;=12*'🎚️ Escenario'!$C$11,1,1+$C$6))</f>
        <v>0</v>
      </c>
      <c r="CS878" s="237" t="n">
        <f aca="false">IF(CS876=0,0,IF(CS876&lt;=12*'🎚️ Escenario'!$C$11,1,1+$C$6))</f>
        <v>0</v>
      </c>
      <c r="CT878" s="237" t="n">
        <f aca="false">IF(CT876=0,0,IF(CT876&lt;=12*'🎚️ Escenario'!$C$11,1,1+$C$6))</f>
        <v>0</v>
      </c>
      <c r="CU878" s="237" t="n">
        <f aca="false">IF(CU876=0,0,IF(CU876&lt;=12*'🎚️ Escenario'!$C$11,1,1+$C$6))</f>
        <v>0</v>
      </c>
      <c r="CV878" s="237" t="n">
        <f aca="false">IF(CV876=0,0,IF(CV876&lt;=12*'🎚️ Escenario'!$C$11,1,1+$C$6))</f>
        <v>0</v>
      </c>
      <c r="CW878" s="237" t="n">
        <f aca="false">IF(CW876=0,0,IF(CW876&lt;=12*'🎚️ Escenario'!$C$11,1,1+$C$6))</f>
        <v>0</v>
      </c>
      <c r="CX878" s="237" t="n">
        <f aca="false">IF(CX876=0,0,IF(CX876&lt;=12*'🎚️ Escenario'!$C$11,1,1+$C$6))</f>
        <v>0</v>
      </c>
      <c r="CY878" s="237" t="n">
        <f aca="false">IF(CY876=0,0,IF(CY876&lt;=12*'🎚️ Escenario'!$C$11,1,1+$C$6))</f>
        <v>0</v>
      </c>
      <c r="CZ878" s="237" t="n">
        <f aca="false">IF(CZ876=0,0,IF(CZ876&lt;=12*'🎚️ Escenario'!$C$11,1,1+$C$6))</f>
        <v>0</v>
      </c>
      <c r="DA878" s="237" t="n">
        <f aca="false">IF(DA876=0,0,IF(DA876&lt;=12*'🎚️ Escenario'!$C$11,1,1+$C$6))</f>
        <v>0</v>
      </c>
      <c r="DB878" s="237" t="n">
        <f aca="false">IF(DB876=0,0,IF(DB876&lt;=12*'🎚️ Escenario'!$C$11,1,1+$C$6))</f>
        <v>0</v>
      </c>
      <c r="DC878" s="237" t="n">
        <f aca="false">IF(DC876=0,0,IF(DC876&lt;=12*'🎚️ Escenario'!$C$11,1,1+$C$6))</f>
        <v>0</v>
      </c>
      <c r="DD878" s="237" t="n">
        <f aca="false">IF(DD876=0,0,IF(DD876&lt;=12*'🎚️ Escenario'!$C$11,1,1+$C$6))</f>
        <v>0</v>
      </c>
      <c r="DE878" s="237" t="n">
        <f aca="false">IF(DE876=0,0,IF(DE876&lt;=12*'🎚️ Escenario'!$C$11,1,1+$C$6))</f>
        <v>0</v>
      </c>
      <c r="DF878" s="237" t="n">
        <f aca="false">IF(DF876=0,0,IF(DF876&lt;=12*'🎚️ Escenario'!$C$11,1,1+$C$6))</f>
        <v>0</v>
      </c>
      <c r="DG878" s="237" t="n">
        <f aca="false">IF(DG876=0,0,IF(DG876&lt;=12*'🎚️ Escenario'!$C$11,1,1+$C$6))</f>
        <v>0</v>
      </c>
      <c r="DH878" s="237" t="n">
        <f aca="false">IF(DH876=0,0,IF(DH876&lt;=12*'🎚️ Escenario'!$C$11,1,1+$C$6))</f>
        <v>0</v>
      </c>
      <c r="DI878" s="237" t="n">
        <f aca="false">IF(DI876=0,0,IF(DI876&lt;=12*'🎚️ Escenario'!$C$11,1,1+$C$6))</f>
        <v>0</v>
      </c>
      <c r="DJ878" s="237" t="n">
        <f aca="false">IF(DJ876=0,0,IF(DJ876&lt;=12*'🎚️ Escenario'!$C$11,1,1+$C$6))</f>
        <v>0</v>
      </c>
      <c r="DK878" s="237" t="n">
        <f aca="false">IF(DK876=0,0,IF(DK876&lt;=12*'🎚️ Escenario'!$C$11,1,1+$C$6))</f>
        <v>0</v>
      </c>
      <c r="DL878" s="237" t="n">
        <f aca="false">IF(DL876=0,0,IF(DL876&lt;=12*'🎚️ Escenario'!$C$11,1,1+$C$6))</f>
        <v>0</v>
      </c>
      <c r="DM878" s="237" t="n">
        <f aca="false">IF(DM876=0,0,IF(DM876&lt;=12*'🎚️ Escenario'!$C$11,1,1+$C$6))</f>
        <v>0</v>
      </c>
      <c r="DN878" s="237" t="n">
        <f aca="false">IF(DN876=0,0,IF(DN876&lt;=12*'🎚️ Escenario'!$C$11,1,1+$C$6))</f>
        <v>0</v>
      </c>
      <c r="DO878" s="237" t="n">
        <f aca="false">IF(DO876=0,0,IF(DO876&lt;=12*'🎚️ Escenario'!$C$11,1,1+$C$6))</f>
        <v>0</v>
      </c>
      <c r="DP878" s="237" t="n">
        <f aca="false">IF(DP876=0,0,IF(DP876&lt;=12*'🎚️ Escenario'!$C$11,1,1+$C$6))</f>
        <v>0</v>
      </c>
      <c r="DQ878" s="237" t="n">
        <f aca="false">IF(DQ876=0,0,IF(DQ876&lt;=12*'🎚️ Escenario'!$C$11,1,1+$C$6))</f>
        <v>0</v>
      </c>
      <c r="DR878" s="237" t="n">
        <f aca="false">IF(DR876=0,0,IF(DR876&lt;=12*'🎚️ Escenario'!$C$11,1,1+$C$6))</f>
        <v>0</v>
      </c>
      <c r="DS878" s="237" t="n">
        <f aca="false">IF(DS876=0,0,IF(DS876&lt;=12*'🎚️ Escenario'!$C$11,1,1+$C$6))</f>
        <v>0</v>
      </c>
      <c r="DT878" s="237" t="n">
        <f aca="false">IF(DT876=0,0,IF(DT876&lt;=12*'🎚️ Escenario'!$C$11,1,1+$C$6))</f>
        <v>0</v>
      </c>
      <c r="DU878" s="237" t="n">
        <f aca="false">IF(DU876=0,0,IF(DU876&lt;=12*'🎚️ Escenario'!$C$11,1,1+$C$6))</f>
        <v>0</v>
      </c>
      <c r="DV878" s="237" t="n">
        <f aca="false">IF(DV876=0,0,IF(DV876&lt;=12*'🎚️ Escenario'!$C$11,1,1+$C$6))</f>
        <v>0</v>
      </c>
      <c r="DW878" s="237" t="n">
        <f aca="false">IF(DW876=0,0,IF(DW876&lt;=12*'🎚️ Escenario'!$C$11,1,1+$C$6))</f>
        <v>0</v>
      </c>
      <c r="DX878" s="237" t="n">
        <f aca="false">IF(DX876=0,0,IF(DX876&lt;=12*'🎚️ Escenario'!$C$11,1,1+$C$6))</f>
        <v>0</v>
      </c>
      <c r="DY878" s="237" t="n">
        <f aca="false">IF(DY876=0,0,IF(DY876&lt;=12*'🎚️ Escenario'!$C$11,1,1+$C$6))</f>
        <v>0</v>
      </c>
      <c r="DZ878" s="237" t="n">
        <f aca="false">IF(DZ876=0,0,IF(DZ876&lt;=12*'🎚️ Escenario'!$C$11,1,1+$C$6))</f>
        <v>0</v>
      </c>
      <c r="EA878" s="237" t="n">
        <f aca="false">IF(EA876=0,0,IF(EA876&lt;=12*'🎚️ Escenario'!$C$11,1,1+$C$6))</f>
        <v>0</v>
      </c>
      <c r="EB878" s="237" t="n">
        <f aca="false">IF(EB876=0,0,IF(EB876&lt;=12*'🎚️ Escenario'!$C$11,1,1+$C$6))</f>
        <v>0</v>
      </c>
      <c r="EC878" s="237" t="n">
        <f aca="false">IF(EC876=0,0,IF(EC876&lt;=12*'🎚️ Escenario'!$C$11,1,1+$C$6))</f>
        <v>0</v>
      </c>
      <c r="ED878" s="237" t="n">
        <f aca="false">IF(ED876=0,0,IF(ED876&lt;=12*'🎚️ Escenario'!$C$11,1,1+$C$6))</f>
        <v>0</v>
      </c>
      <c r="EE878" s="237" t="n">
        <f aca="false">IF(EE876=0,0,IF(EE876&lt;=12*'🎚️ Escenario'!$C$11,1,1+$C$6))</f>
        <v>0</v>
      </c>
      <c r="EF878" s="237" t="n">
        <f aca="false">IF(EF876=0,0,IF(EF876&lt;=12*'🎚️ Escenario'!$C$11,1,1+$C$6))</f>
        <v>0</v>
      </c>
      <c r="EG878" s="237" t="n">
        <f aca="false">IF(EG876=0,0,IF(EG876&lt;=12*'🎚️ Escenario'!$C$11,1,1+$C$6))</f>
        <v>0</v>
      </c>
      <c r="EH878" s="237" t="n">
        <f aca="false">IF(EH876=0,0,IF(EH876&lt;=12*'🎚️ Escenario'!$C$11,1,1+$C$6))</f>
        <v>0</v>
      </c>
      <c r="EI878" s="237" t="n">
        <f aca="false">IF(EI876=0,0,IF(EI876&lt;=12*'🎚️ Escenario'!$C$11,1,1+$C$6))</f>
        <v>0</v>
      </c>
      <c r="EJ878" s="237" t="n">
        <f aca="false">IF(EJ876=0,0,IF(EJ876&lt;=12*'🎚️ Escenario'!$C$11,1,1+$C$6))</f>
        <v>0</v>
      </c>
      <c r="EK878" s="237" t="n">
        <f aca="false">IF(EK876=0,0,IF(EK876&lt;=12*'🎚️ Escenario'!$C$11,1,1+$C$6))</f>
        <v>0</v>
      </c>
      <c r="EL878" s="237" t="n">
        <f aca="false">IF(EL876=0,0,IF(EL876&lt;=12*'🎚️ Escenario'!$C$11,1,1+$C$6))</f>
        <v>0</v>
      </c>
      <c r="EM878" s="237" t="n">
        <f aca="false">IF(EM876=0,0,IF(EM876&lt;=12*'🎚️ Escenario'!$C$11,1,1+$C$6))</f>
        <v>0</v>
      </c>
      <c r="EN878" s="237" t="n">
        <f aca="false">IF(EN876=0,0,IF(EN876&lt;=12*'🎚️ Escenario'!$C$11,1,1+$C$6))</f>
        <v>0</v>
      </c>
      <c r="EO878" s="237" t="n">
        <f aca="false">IF(EO876=0,0,IF(EO876&lt;=12*'🎚️ Escenario'!$C$11,1,1+$C$6))</f>
        <v>0</v>
      </c>
      <c r="EP878" s="237" t="n">
        <f aca="false">IF(EP876=0,0,IF(EP876&lt;=12*'🎚️ Escenario'!$C$11,1,1+$C$6))</f>
        <v>0</v>
      </c>
      <c r="EQ878" s="237" t="n">
        <f aca="false">IF(EQ876=0,0,IF(EQ876&lt;=12*'🎚️ Escenario'!$C$11,1,1+$C$6))</f>
        <v>0</v>
      </c>
      <c r="ER878" s="237" t="n">
        <f aca="false">IF(ER876=0,0,IF(ER876&lt;=12*'🎚️ Escenario'!$C$11,1,1+$C$6))</f>
        <v>0</v>
      </c>
      <c r="ES878" s="9" t="n">
        <f aca="false">IF(ES876=0,0,IF(ES876&lt;=12*'🎚️ Escenario'!$C$11,1,1+$C$6))</f>
        <v>0</v>
      </c>
      <c r="ET878" s="9" t="n">
        <f aca="false">IF(ET876=0,0,IF(ET876&lt;=12*'🎚️ Escenario'!$C$11,1,1+$C$6))</f>
        <v>0</v>
      </c>
      <c r="EU878" s="9" t="n">
        <f aca="false">IF(EU876=0,0,IF(EU876&lt;=12*'🎚️ Escenario'!$C$11,1,1+$C$6))</f>
        <v>0</v>
      </c>
      <c r="EV878" s="9" t="n">
        <f aca="false">IF(EV876=0,0,IF(EV876&lt;=12*'🎚️ Escenario'!$C$11,1,1+$C$6))</f>
        <v>0</v>
      </c>
      <c r="EW878" s="9" t="n">
        <f aca="false">IF(EW876=0,0,IF(EW876&lt;=12*'🎚️ Escenario'!$C$11,1,1+$C$6))</f>
        <v>0</v>
      </c>
      <c r="EX878" s="9" t="n">
        <f aca="false">IF(EX876=0,0,IF(EX876&lt;=12*'🎚️ Escenario'!$C$11,1,1+$C$6))</f>
        <v>0</v>
      </c>
      <c r="EY878" s="9" t="n">
        <f aca="false">IF(EY876=0,0,IF(EY876&lt;=12*'🎚️ Escenario'!$C$11,1,1+$C$6))</f>
        <v>0</v>
      </c>
      <c r="EZ878" s="9" t="n">
        <f aca="false">IF(EZ876=0,0,IF(EZ876&lt;=12*'🎚️ Escenario'!$C$11,1,1+$C$6))</f>
        <v>0</v>
      </c>
      <c r="FA878" s="9" t="n">
        <f aca="false">IF(FA876=0,0,IF(FA876&lt;=12*'🎚️ Escenario'!$C$11,1,1+$C$6))</f>
        <v>0</v>
      </c>
      <c r="FB878" s="9" t="n">
        <f aca="false">IF(FB876=0,0,IF(FB876&lt;=12*'🎚️ Escenario'!$C$11,1,1+$C$6))</f>
        <v>0</v>
      </c>
      <c r="FC878" s="9" t="n">
        <f aca="false">IF(FC876=0,0,IF(FC876&lt;=12*'🎚️ Escenario'!$C$11,1,1+$C$6))</f>
        <v>0</v>
      </c>
      <c r="FD878" s="9" t="n">
        <f aca="false">IF(FD876=0,0,IF(FD876&lt;=12*'🎚️ Escenario'!$C$11,1,1+$C$6))</f>
        <v>0</v>
      </c>
      <c r="FE878" s="9" t="n">
        <f aca="false">IF(FE876=0,0,IF(FE876&lt;=12*'🎚️ Escenario'!$C$11,1,1+$C$6))</f>
        <v>0</v>
      </c>
      <c r="FF878" s="9" t="n">
        <f aca="false">IF(FF876=0,0,IF(FF876&lt;=12*'🎚️ Escenario'!$C$11,1,1+$C$6))</f>
        <v>0</v>
      </c>
      <c r="FG878" s="9" t="n">
        <f aca="false">IF(FG876=0,0,IF(FG876&lt;=12*'🎚️ Escenario'!$C$11,1,1+$C$6))</f>
        <v>0</v>
      </c>
      <c r="FH878" s="9" t="n">
        <f aca="false">IF(FH876=0,0,IF(FH876&lt;=12*'🎚️ Escenario'!$C$11,1,1+$C$6))</f>
        <v>0</v>
      </c>
      <c r="FI878" s="9" t="n">
        <f aca="false">IF(FI876=0,0,IF(FI876&lt;=12*'🎚️ Escenario'!$C$11,1,1+$C$6))</f>
        <v>0</v>
      </c>
      <c r="FJ878" s="9" t="n">
        <f aca="false">IF(FJ876=0,0,IF(FJ876&lt;=12*'🎚️ Escenario'!$C$11,1,1+$C$6))</f>
        <v>0</v>
      </c>
      <c r="FK878" s="9" t="n">
        <f aca="false">IF(FK876=0,0,IF(FK876&lt;=12*'🎚️ Escenario'!$C$11,1,1+$C$6))</f>
        <v>0</v>
      </c>
      <c r="FL878" s="9" t="n">
        <f aca="false">IF(FL876=0,0,IF(FL876&lt;=12*'🎚️ Escenario'!$C$11,1,1+$C$6))</f>
        <v>1</v>
      </c>
      <c r="FM878" s="9" t="n">
        <f aca="false">IF(FM876=0,0,IF(FM876&lt;=12*'🎚️ Escenario'!$C$11,1,1+$C$6))</f>
        <v>1</v>
      </c>
      <c r="FN878" s="9" t="n">
        <f aca="false">IF(FN876=0,0,IF(FN876&lt;=12*'🎚️ Escenario'!$C$11,1,1+$C$6))</f>
        <v>1</v>
      </c>
      <c r="FO878" s="9" t="n">
        <f aca="false">IF(FO876=0,0,IF(FO876&lt;=12*'🎚️ Escenario'!$C$11,1,1+$C$6))</f>
        <v>1</v>
      </c>
      <c r="FP878" s="9" t="n">
        <f aca="false">IF(FP876=0,0,IF(FP876&lt;=12*'🎚️ Escenario'!$C$11,1,1+$C$6))</f>
        <v>1</v>
      </c>
    </row>
    <row r="879" customFormat="false" ht="15" hidden="false" customHeight="false" outlineLevel="2" collapsed="false">
      <c r="B879" s="9" t="s">
        <v>876</v>
      </c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36" t="n">
        <f aca="false">AC877*$AC$875*AC878*AC$38*'⑫ Roll-out Plan'!$O$92</f>
        <v>0</v>
      </c>
      <c r="AD879" s="36" t="n">
        <f aca="false">AD877*$AC$875*AD878*AD$38*'⑫ Roll-out Plan'!$O$92</f>
        <v>0</v>
      </c>
      <c r="AE879" s="36" t="n">
        <f aca="false">AE877*$AC$875*AE878*AE$38*'⑫ Roll-out Plan'!$O$92</f>
        <v>0</v>
      </c>
      <c r="AF879" s="36" t="n">
        <f aca="false">AF877*$AC$875*AF878*AF$38*'⑫ Roll-out Plan'!$O$92</f>
        <v>0</v>
      </c>
      <c r="AG879" s="36" t="n">
        <f aca="false">AG877*$AC$875*AG878*AG$38*'⑫ Roll-out Plan'!$O$92</f>
        <v>0</v>
      </c>
      <c r="AH879" s="36" t="n">
        <f aca="false">AH877*$AC$875*AH878*AH$38*'⑫ Roll-out Plan'!$O$92</f>
        <v>0</v>
      </c>
      <c r="AI879" s="36" t="n">
        <f aca="false">AI877*$AC$875*AI878*AI$38*'⑫ Roll-out Plan'!$O$92</f>
        <v>0</v>
      </c>
      <c r="AJ879" s="36" t="n">
        <f aca="false">AJ877*$AC$875*AJ878*AJ$38*'⑫ Roll-out Plan'!$O$92</f>
        <v>0</v>
      </c>
      <c r="AK879" s="36" t="n">
        <f aca="false">AK877*$AC$875*AK878*AK$38*'⑫ Roll-out Plan'!$O$92</f>
        <v>0</v>
      </c>
      <c r="AL879" s="36" t="n">
        <f aca="false">AL877*$AC$875*AL878*AL$38*'⑫ Roll-out Plan'!$O$92</f>
        <v>0</v>
      </c>
      <c r="AM879" s="36" t="n">
        <f aca="false">AM877*$AC$875*AM878*AM$38*'⑫ Roll-out Plan'!$O$92</f>
        <v>0</v>
      </c>
      <c r="AN879" s="36" t="n">
        <f aca="false">AN877*$AC$875*AN878*AN$38*'⑫ Roll-out Plan'!$O$92</f>
        <v>0</v>
      </c>
      <c r="AO879" s="36" t="n">
        <f aca="false">AO877*$AC$875*AO878*AO$38*'⑫ Roll-out Plan'!$O$92</f>
        <v>0</v>
      </c>
      <c r="AP879" s="36" t="n">
        <f aca="false">AP877*$AC$875*AP878*AP$38*'⑫ Roll-out Plan'!$O$92</f>
        <v>0</v>
      </c>
      <c r="AQ879" s="36" t="n">
        <f aca="false">AQ877*$AC$875*AQ878*AQ$38*'⑫ Roll-out Plan'!$O$92</f>
        <v>0</v>
      </c>
      <c r="AR879" s="36" t="n">
        <f aca="false">AR877*$AC$875*AR878*AR$38*'⑫ Roll-out Plan'!$O$92</f>
        <v>0</v>
      </c>
      <c r="AS879" s="36" t="n">
        <f aca="false">AS877*$AC$875*AS878*AS$38*'⑫ Roll-out Plan'!$O$92</f>
        <v>0</v>
      </c>
      <c r="AT879" s="36" t="n">
        <f aca="false">AT877*$AC$875*AT878*AT$38*'⑫ Roll-out Plan'!$O$92</f>
        <v>0</v>
      </c>
      <c r="AU879" s="36" t="n">
        <f aca="false">AU877*$AC$875*AU878*AU$38*'⑫ Roll-out Plan'!$O$92</f>
        <v>0</v>
      </c>
      <c r="AV879" s="36" t="n">
        <f aca="false">AV877*$AC$875*AV878*AV$38*'⑫ Roll-out Plan'!$O$92</f>
        <v>0</v>
      </c>
      <c r="AW879" s="36" t="n">
        <f aca="false">AW877*$AC$875*AW878*AW$38*'⑫ Roll-out Plan'!$O$92</f>
        <v>0</v>
      </c>
      <c r="AX879" s="36" t="n">
        <f aca="false">AX877*$AC$875*AX878*AX$38*'⑫ Roll-out Plan'!$O$92</f>
        <v>0</v>
      </c>
      <c r="AY879" s="36" t="n">
        <f aca="false">AY877*$AC$875*AY878*AY$38*'⑫ Roll-out Plan'!$O$92</f>
        <v>0</v>
      </c>
      <c r="AZ879" s="36" t="n">
        <f aca="false">AZ877*$AC$875*AZ878*AZ$38*'⑫ Roll-out Plan'!$O$92</f>
        <v>0</v>
      </c>
      <c r="BA879" s="36" t="n">
        <f aca="false">BA877*$AC$875*BA878*BA$38*'⑫ Roll-out Plan'!$O$92</f>
        <v>0</v>
      </c>
      <c r="BB879" s="36" t="n">
        <f aca="false">BB877*$AC$875*BB878*BB$38*'⑫ Roll-out Plan'!$O$92</f>
        <v>0</v>
      </c>
      <c r="BC879" s="36" t="n">
        <f aca="false">BC877*$AC$875*BC878*BC$38*'⑫ Roll-out Plan'!$O$92</f>
        <v>0</v>
      </c>
      <c r="BD879" s="36" t="n">
        <f aca="false">BD877*$AC$875*BD878*BD$38*'⑫ Roll-out Plan'!$O$92</f>
        <v>0</v>
      </c>
      <c r="BE879" s="36" t="n">
        <f aca="false">BE877*$AC$875*BE878*BE$38*'⑫ Roll-out Plan'!$O$92</f>
        <v>0</v>
      </c>
      <c r="BF879" s="36" t="n">
        <f aca="false">BF877*$AC$875*BF878*BF$38*'⑫ Roll-out Plan'!$O$92</f>
        <v>0</v>
      </c>
      <c r="BG879" s="36" t="n">
        <f aca="false">BG877*$AC$875*BG878*BG$38*'⑫ Roll-out Plan'!$O$92</f>
        <v>0</v>
      </c>
      <c r="BH879" s="36" t="n">
        <f aca="false">BH877*$AC$875*BH878*BH$38*'⑫ Roll-out Plan'!$O$92</f>
        <v>0</v>
      </c>
      <c r="BI879" s="36" t="n">
        <f aca="false">BI877*$AC$875*BI878*BI$38*'⑫ Roll-out Plan'!$O$92</f>
        <v>0</v>
      </c>
      <c r="BJ879" s="36" t="n">
        <f aca="false">BJ877*$AC$875*BJ878*BJ$38*'⑫ Roll-out Plan'!$O$92</f>
        <v>0</v>
      </c>
      <c r="BK879" s="36" t="n">
        <f aca="false">BK877*$AC$875*BK878*BK$38*'⑫ Roll-out Plan'!$O$92</f>
        <v>0</v>
      </c>
      <c r="BL879" s="36" t="n">
        <f aca="false">BL877*$AC$875*BL878*BL$38*'⑫ Roll-out Plan'!$O$92</f>
        <v>0</v>
      </c>
      <c r="BM879" s="36" t="n">
        <f aca="false">BM877*$AC$875*BM878*BM$38*'⑫ Roll-out Plan'!$O$92</f>
        <v>0</v>
      </c>
      <c r="BN879" s="36" t="n">
        <f aca="false">BN877*$AC$875*BN878*BN$38*'⑫ Roll-out Plan'!$O$92</f>
        <v>0</v>
      </c>
      <c r="BO879" s="36" t="n">
        <f aca="false">BO877*$AC$875*BO878*BO$38*'⑫ Roll-out Plan'!$O$92</f>
        <v>0</v>
      </c>
      <c r="BP879" s="36" t="n">
        <f aca="false">BP877*$AC$875*BP878*BP$38*'⑫ Roll-out Plan'!$O$92</f>
        <v>0</v>
      </c>
      <c r="BQ879" s="36" t="n">
        <f aca="false">BQ877*$AC$875*BQ878*BQ$38*'⑫ Roll-out Plan'!$O$92</f>
        <v>0</v>
      </c>
      <c r="BR879" s="36" t="n">
        <f aca="false">BR877*$AC$875*BR878*BR$38*'⑫ Roll-out Plan'!$O$92</f>
        <v>0</v>
      </c>
      <c r="BS879" s="36" t="n">
        <f aca="false">BS877*$AC$875*BS878*BS$38*'⑫ Roll-out Plan'!$O$92</f>
        <v>0</v>
      </c>
      <c r="BT879" s="36" t="n">
        <f aca="false">BT877*$AC$875*BT878*BT$38*'⑫ Roll-out Plan'!$O$92</f>
        <v>0</v>
      </c>
      <c r="BU879" s="36" t="n">
        <f aca="false">BU877*$AC$875*BU878*BU$38*'⑫ Roll-out Plan'!$O$92</f>
        <v>0</v>
      </c>
      <c r="BV879" s="36" t="n">
        <f aca="false">BV877*$AC$875*BV878*BV$38*'⑫ Roll-out Plan'!$O$92</f>
        <v>0</v>
      </c>
      <c r="BW879" s="36" t="n">
        <f aca="false">BW877*$AC$875*BW878*BW$38*'⑫ Roll-out Plan'!$O$92</f>
        <v>0</v>
      </c>
      <c r="BX879" s="36" t="n">
        <f aca="false">BX877*$AC$875*BX878*BX$38*'⑫ Roll-out Plan'!$O$92</f>
        <v>0</v>
      </c>
      <c r="BY879" s="36" t="n">
        <f aca="false">BY877*$AC$875*BY878*BY$38*'⑫ Roll-out Plan'!$O$92</f>
        <v>0</v>
      </c>
      <c r="BZ879" s="36" t="n">
        <f aca="false">BZ877*$AC$875*BZ878*BZ$38*'⑫ Roll-out Plan'!$O$92</f>
        <v>0</v>
      </c>
      <c r="CA879" s="36" t="n">
        <f aca="false">CA877*$AC$875*CA878*CA$38*'⑫ Roll-out Plan'!$O$92</f>
        <v>0</v>
      </c>
      <c r="CB879" s="36" t="n">
        <f aca="false">CB877*$AC$875*CB878*CB$38*'⑫ Roll-out Plan'!$O$92</f>
        <v>0</v>
      </c>
      <c r="CC879" s="36" t="n">
        <f aca="false">CC877*$AC$875*CC878*CC$38*'⑫ Roll-out Plan'!$O$92</f>
        <v>0</v>
      </c>
      <c r="CD879" s="36" t="n">
        <f aca="false">CD877*$AC$875*CD878*CD$38*'⑫ Roll-out Plan'!$O$92</f>
        <v>0</v>
      </c>
      <c r="CE879" s="36" t="n">
        <f aca="false">CE877*$AC$875*CE878*CE$38*'⑫ Roll-out Plan'!$O$92</f>
        <v>0</v>
      </c>
      <c r="CF879" s="36" t="n">
        <f aca="false">CF877*$AC$875*CF878*CF$38*'⑫ Roll-out Plan'!$O$92</f>
        <v>0</v>
      </c>
      <c r="CG879" s="36" t="n">
        <f aca="false">CG877*$AC$875*CG878*CG$38*'⑫ Roll-out Plan'!$O$92</f>
        <v>0</v>
      </c>
      <c r="CH879" s="36" t="n">
        <f aca="false">CH877*$AC$875*CH878*CH$38*'⑫ Roll-out Plan'!$O$92</f>
        <v>0</v>
      </c>
      <c r="CI879" s="36" t="n">
        <f aca="false">CI877*$AC$875*CI878*CI$38*'⑫ Roll-out Plan'!$O$92</f>
        <v>0</v>
      </c>
      <c r="CJ879" s="36" t="n">
        <f aca="false">CJ877*$AC$875*CJ878*CJ$38*'⑫ Roll-out Plan'!$O$92</f>
        <v>0</v>
      </c>
      <c r="CK879" s="36" t="n">
        <f aca="false">CK877*$AC$875*CK878*CK$38*'⑫ Roll-out Plan'!$O$92</f>
        <v>0</v>
      </c>
      <c r="CL879" s="36" t="n">
        <f aca="false">CL877*$AC$875*CL878*CL$38*'⑫ Roll-out Plan'!$O$92</f>
        <v>0</v>
      </c>
      <c r="CM879" s="36" t="n">
        <f aca="false">CM877*$AC$875*CM878*CM$38*'⑫ Roll-out Plan'!$O$92</f>
        <v>0</v>
      </c>
      <c r="CN879" s="36" t="n">
        <f aca="false">CN877*$AC$875*CN878*CN$38*'⑫ Roll-out Plan'!$O$92</f>
        <v>0</v>
      </c>
      <c r="CO879" s="36" t="n">
        <f aca="false">CO877*$AC$875*CO878*CO$38*'⑫ Roll-out Plan'!$O$92</f>
        <v>0</v>
      </c>
      <c r="CP879" s="36" t="n">
        <f aca="false">CP877*$AC$875*CP878*CP$38*'⑫ Roll-out Plan'!$O$92</f>
        <v>0</v>
      </c>
      <c r="CQ879" s="36" t="n">
        <f aca="false">CQ877*$AC$875*CQ878*CQ$38*'⑫ Roll-out Plan'!$O$92</f>
        <v>0</v>
      </c>
      <c r="CR879" s="36" t="n">
        <f aca="false">CR877*$AC$875*CR878*CR$38*'⑫ Roll-out Plan'!$O$92</f>
        <v>0</v>
      </c>
      <c r="CS879" s="36" t="n">
        <f aca="false">CS877*$AC$875*CS878*CS$38*'⑫ Roll-out Plan'!$O$92</f>
        <v>0</v>
      </c>
      <c r="CT879" s="36" t="n">
        <f aca="false">CT877*$AC$875*CT878*CT$38*'⑫ Roll-out Plan'!$O$92</f>
        <v>0</v>
      </c>
      <c r="CU879" s="36" t="n">
        <f aca="false">CU877*$AC$875*CU878*CU$38*'⑫ Roll-out Plan'!$O$92</f>
        <v>0</v>
      </c>
      <c r="CV879" s="36" t="n">
        <f aca="false">CV877*$AC$875*CV878*CV$38*'⑫ Roll-out Plan'!$O$92</f>
        <v>0</v>
      </c>
      <c r="CW879" s="36" t="n">
        <f aca="false">CW877*$AC$875*CW878*CW$38*'⑫ Roll-out Plan'!$O$92</f>
        <v>0</v>
      </c>
      <c r="CX879" s="36" t="n">
        <f aca="false">CX877*$AC$875*CX878*CX$38*'⑫ Roll-out Plan'!$O$92</f>
        <v>0</v>
      </c>
      <c r="CY879" s="36" t="n">
        <f aca="false">CY877*$AC$875*CY878*CY$38*'⑫ Roll-out Plan'!$O$92</f>
        <v>0</v>
      </c>
      <c r="CZ879" s="36" t="n">
        <f aca="false">CZ877*$AC$875*CZ878*CZ$38*'⑫ Roll-out Plan'!$O$92</f>
        <v>0</v>
      </c>
      <c r="DA879" s="36" t="n">
        <f aca="false">DA877*$AC$875*DA878*DA$38*'⑫ Roll-out Plan'!$O$92</f>
        <v>0</v>
      </c>
      <c r="DB879" s="36" t="n">
        <f aca="false">DB877*$AC$875*DB878*DB$38*'⑫ Roll-out Plan'!$O$92</f>
        <v>0</v>
      </c>
      <c r="DC879" s="36" t="n">
        <f aca="false">DC877*$AC$875*DC878*DC$38*'⑫ Roll-out Plan'!$O$92</f>
        <v>0</v>
      </c>
      <c r="DD879" s="36" t="n">
        <f aca="false">DD877*$AC$875*DD878*DD$38*'⑫ Roll-out Plan'!$O$92</f>
        <v>0</v>
      </c>
      <c r="DE879" s="36" t="n">
        <f aca="false">DE877*$AC$875*DE878*DE$38*'⑫ Roll-out Plan'!$O$92</f>
        <v>0</v>
      </c>
      <c r="DF879" s="36" t="n">
        <f aca="false">DF877*$AC$875*DF878*DF$38*'⑫ Roll-out Plan'!$O$92</f>
        <v>0</v>
      </c>
      <c r="DG879" s="36" t="n">
        <f aca="false">DG877*$AC$875*DG878*DG$38*'⑫ Roll-out Plan'!$O$92</f>
        <v>0</v>
      </c>
      <c r="DH879" s="36" t="n">
        <f aca="false">DH877*$AC$875*DH878*DH$38*'⑫ Roll-out Plan'!$O$92</f>
        <v>0</v>
      </c>
      <c r="DI879" s="36" t="n">
        <f aca="false">DI877*$AC$875*DI878*DI$38*'⑫ Roll-out Plan'!$O$92</f>
        <v>0</v>
      </c>
      <c r="DJ879" s="36" t="n">
        <f aca="false">DJ877*$AC$875*DJ878*DJ$38*'⑫ Roll-out Plan'!$O$92</f>
        <v>0</v>
      </c>
      <c r="DK879" s="36" t="n">
        <f aca="false">DK877*$AC$875*DK878*DK$38*'⑫ Roll-out Plan'!$O$92</f>
        <v>0</v>
      </c>
      <c r="DL879" s="36" t="n">
        <f aca="false">DL877*$AC$875*DL878*DL$38*'⑫ Roll-out Plan'!$O$92</f>
        <v>0</v>
      </c>
      <c r="DM879" s="36" t="n">
        <f aca="false">DM877*$AC$875*DM878*DM$38*'⑫ Roll-out Plan'!$O$92</f>
        <v>0</v>
      </c>
      <c r="DN879" s="36" t="n">
        <f aca="false">DN877*$AC$875*DN878*DN$38*'⑫ Roll-out Plan'!$O$92</f>
        <v>0</v>
      </c>
      <c r="DO879" s="36" t="n">
        <f aca="false">DO877*$AC$875*DO878*DO$38*'⑫ Roll-out Plan'!$O$92</f>
        <v>0</v>
      </c>
      <c r="DP879" s="36" t="n">
        <f aca="false">DP877*$AC$875*DP878*DP$38*'⑫ Roll-out Plan'!$O$92</f>
        <v>0</v>
      </c>
      <c r="DQ879" s="36" t="n">
        <f aca="false">DQ877*$AC$875*DQ878*DQ$38*'⑫ Roll-out Plan'!$O$92</f>
        <v>0</v>
      </c>
      <c r="DR879" s="36" t="n">
        <f aca="false">DR877*$AC$875*DR878*DR$38*'⑫ Roll-out Plan'!$O$92</f>
        <v>0</v>
      </c>
      <c r="DS879" s="36" t="n">
        <f aca="false">DS877*$AC$875*DS878*DS$38*'⑫ Roll-out Plan'!$O$92</f>
        <v>0</v>
      </c>
      <c r="DT879" s="36" t="n">
        <f aca="false">DT877*$AC$875*DT878*DT$38*'⑫ Roll-out Plan'!$O$92</f>
        <v>0</v>
      </c>
      <c r="DU879" s="36" t="n">
        <f aca="false">DU877*$AC$875*DU878*DU$38*'⑫ Roll-out Plan'!$O$92</f>
        <v>0</v>
      </c>
      <c r="DV879" s="36" t="n">
        <f aca="false">DV877*$AC$875*DV878*DV$38*'⑫ Roll-out Plan'!$O$92</f>
        <v>0</v>
      </c>
      <c r="DW879" s="36" t="n">
        <f aca="false">DW877*$AC$875*DW878*DW$38*'⑫ Roll-out Plan'!$O$92</f>
        <v>0</v>
      </c>
      <c r="DX879" s="36" t="n">
        <f aca="false">DX877*$AC$875*DX878*DX$38*'⑫ Roll-out Plan'!$O$92</f>
        <v>0</v>
      </c>
      <c r="DY879" s="36" t="n">
        <f aca="false">DY877*$AC$875*DY878*DY$38*'⑫ Roll-out Plan'!$O$92</f>
        <v>0</v>
      </c>
      <c r="DZ879" s="36" t="n">
        <f aca="false">DZ877*$AC$875*DZ878*DZ$38*'⑫ Roll-out Plan'!$O$92</f>
        <v>0</v>
      </c>
      <c r="EA879" s="36" t="n">
        <f aca="false">EA877*$AC$875*EA878*EA$38*'⑫ Roll-out Plan'!$O$92</f>
        <v>0</v>
      </c>
      <c r="EB879" s="36" t="n">
        <f aca="false">EB877*$AC$875*EB878*EB$38*'⑫ Roll-out Plan'!$O$92</f>
        <v>0</v>
      </c>
      <c r="EC879" s="36" t="n">
        <f aca="false">EC877*$AC$875*EC878*EC$38*'⑫ Roll-out Plan'!$O$92</f>
        <v>0</v>
      </c>
      <c r="ED879" s="36" t="n">
        <f aca="false">ED877*$AC$875*ED878*ED$38*'⑫ Roll-out Plan'!$O$92</f>
        <v>0</v>
      </c>
      <c r="EE879" s="36" t="n">
        <f aca="false">EE877*$AC$875*EE878*EE$38*'⑫ Roll-out Plan'!$O$92</f>
        <v>0</v>
      </c>
      <c r="EF879" s="36" t="n">
        <f aca="false">EF877*$AC$875*EF878*EF$38*'⑫ Roll-out Plan'!$O$92</f>
        <v>0</v>
      </c>
      <c r="EG879" s="36" t="n">
        <f aca="false">EG877*$AC$875*EG878*EG$38*'⑫ Roll-out Plan'!$O$92</f>
        <v>0</v>
      </c>
      <c r="EH879" s="36" t="n">
        <f aca="false">EH877*$AC$875*EH878*EH$38*'⑫ Roll-out Plan'!$O$92</f>
        <v>0</v>
      </c>
      <c r="EI879" s="36" t="n">
        <f aca="false">EI877*$AC$875*EI878*EI$38*'⑫ Roll-out Plan'!$O$92</f>
        <v>0</v>
      </c>
      <c r="EJ879" s="36" t="n">
        <f aca="false">EJ877*$AC$875*EJ878*EJ$38*'⑫ Roll-out Plan'!$O$92</f>
        <v>0</v>
      </c>
      <c r="EK879" s="36" t="n">
        <f aca="false">EK877*$AC$875*EK878*EK$38*'⑫ Roll-out Plan'!$O$92</f>
        <v>0</v>
      </c>
      <c r="EL879" s="36" t="n">
        <f aca="false">EL877*$AC$875*EL878*EL$38*'⑫ Roll-out Plan'!$O$92</f>
        <v>0</v>
      </c>
      <c r="EM879" s="36" t="n">
        <f aca="false">EM877*$AC$875*EM878*EM$38*'⑫ Roll-out Plan'!$O$92</f>
        <v>0</v>
      </c>
      <c r="EN879" s="36" t="n">
        <f aca="false">EN877*$AC$875*EN878*EN$38*'⑫ Roll-out Plan'!$O$92</f>
        <v>0</v>
      </c>
      <c r="EO879" s="36" t="n">
        <f aca="false">EO877*$AC$875*EO878*EO$38*'⑫ Roll-out Plan'!$O$92</f>
        <v>0</v>
      </c>
      <c r="EP879" s="36" t="n">
        <f aca="false">EP877*$AC$875*EP878*EP$38*'⑫ Roll-out Plan'!$O$92</f>
        <v>0</v>
      </c>
      <c r="EQ879" s="36" t="n">
        <f aca="false">EQ877*$AC$875*EQ878*EQ$38*'⑫ Roll-out Plan'!$O$92</f>
        <v>0</v>
      </c>
      <c r="ER879" s="36" t="n">
        <f aca="false">ER877*$AC$875*ER878*ER$38*'⑫ Roll-out Plan'!$O$92</f>
        <v>0</v>
      </c>
      <c r="ES879" s="9" t="n">
        <f aca="false">ES877*$AC$875*ES878*ES$38*'⑫ Roll-out Plan'!$O$92</f>
        <v>0</v>
      </c>
      <c r="ET879" s="9" t="n">
        <f aca="false">ET877*$AC$875*ET878*ET$38*'⑫ Roll-out Plan'!$O$92</f>
        <v>0</v>
      </c>
      <c r="EU879" s="9" t="n">
        <f aca="false">EU877*$AC$875*EU878*EU$38*'⑫ Roll-out Plan'!$O$92</f>
        <v>0</v>
      </c>
      <c r="EV879" s="9" t="n">
        <f aca="false">EV877*$AC$875*EV878*EV$38*'⑫ Roll-out Plan'!$O$92</f>
        <v>0</v>
      </c>
      <c r="EW879" s="9" t="n">
        <f aca="false">EW877*$AC$875*EW878*EW$38*'⑫ Roll-out Plan'!$O$92</f>
        <v>0</v>
      </c>
      <c r="EX879" s="9" t="n">
        <f aca="false">EX877*$AC$875*EX878*EX$38*'⑫ Roll-out Plan'!$O$92</f>
        <v>0</v>
      </c>
      <c r="EY879" s="9" t="n">
        <f aca="false">EY877*$AC$875*EY878*EY$38*'⑫ Roll-out Plan'!$O$92</f>
        <v>0</v>
      </c>
      <c r="EZ879" s="9" t="n">
        <f aca="false">EZ877*$AC$875*EZ878*EZ$38*'⑫ Roll-out Plan'!$O$92</f>
        <v>0</v>
      </c>
      <c r="FA879" s="9" t="n">
        <f aca="false">FA877*$AC$875*FA878*FA$38*'⑫ Roll-out Plan'!$O$92</f>
        <v>0</v>
      </c>
      <c r="FB879" s="9" t="n">
        <f aca="false">FB877*$AC$875*FB878*FB$38*'⑫ Roll-out Plan'!$O$92</f>
        <v>0</v>
      </c>
      <c r="FC879" s="9" t="n">
        <f aca="false">FC877*$AC$875*FC878*FC$38*'⑫ Roll-out Plan'!$O$92</f>
        <v>0</v>
      </c>
      <c r="FD879" s="9" t="n">
        <f aca="false">FD877*$AC$875*FD878*FD$38*'⑫ Roll-out Plan'!$O$92</f>
        <v>0</v>
      </c>
      <c r="FE879" s="9" t="n">
        <f aca="false">FE877*$AC$875*FE878*FE$38*'⑫ Roll-out Plan'!$O$92</f>
        <v>0</v>
      </c>
      <c r="FF879" s="9" t="n">
        <f aca="false">FF877*$AC$875*FF878*FF$38*'⑫ Roll-out Plan'!$O$92</f>
        <v>0</v>
      </c>
      <c r="FG879" s="9" t="n">
        <f aca="false">FG877*$AC$875*FG878*FG$38*'⑫ Roll-out Plan'!$O$92</f>
        <v>0</v>
      </c>
      <c r="FH879" s="9" t="n">
        <f aca="false">FH877*$AC$875*FH878*FH$38*'⑫ Roll-out Plan'!$O$92</f>
        <v>0</v>
      </c>
      <c r="FI879" s="9" t="n">
        <f aca="false">FI877*$AC$875*FI878*FI$38*'⑫ Roll-out Plan'!$O$92</f>
        <v>0</v>
      </c>
      <c r="FJ879" s="9" t="n">
        <f aca="false">FJ877*$AC$875*FJ878*FJ$38*'⑫ Roll-out Plan'!$O$92</f>
        <v>0</v>
      </c>
      <c r="FK879" s="9" t="n">
        <f aca="false">FK877*$AC$875*FK878*FK$38*'⑫ Roll-out Plan'!$O$92</f>
        <v>0</v>
      </c>
      <c r="FL879" s="9" t="n">
        <f aca="false">FL877*$AC$875*FL878*FL$38*'⑫ Roll-out Plan'!$O$92</f>
        <v>52.54</v>
      </c>
      <c r="FM879" s="9" t="n">
        <f aca="false">FM877*$AC$875*FM878*FM$38*'⑫ Roll-out Plan'!$O$92</f>
        <v>47.212</v>
      </c>
      <c r="FN879" s="9" t="n">
        <f aca="false">FN877*$AC$875*FN878*FN$38*'⑫ Roll-out Plan'!$O$92</f>
        <v>42.624</v>
      </c>
      <c r="FO879" s="9" t="n">
        <f aca="false">FO877*$AC$875*FO878*FO$38*'⑫ Roll-out Plan'!$O$92</f>
        <v>35.964</v>
      </c>
      <c r="FP879" s="9" t="n">
        <f aca="false">FP877*$AC$875*FP878*FP$38*'⑫ Roll-out Plan'!$O$92</f>
        <v>50.949</v>
      </c>
    </row>
    <row r="880" customFormat="false" ht="15" hidden="false" customHeight="false" outlineLevel="2" collapsed="false">
      <c r="B880" s="9" t="s">
        <v>877</v>
      </c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112" t="n">
        <f aca="true">IFERROR(SUMPRODUCT(OFFSET($BJ$31,0,1-MIN(60,COLUMN()-29),1,MIN(60,COLUMN()-29)),OFFSET(AC879,0,-MIN(60,COLUMN()-29),1,MIN(60,COLUMN()-29))),0)</f>
        <v>0</v>
      </c>
      <c r="AD880" s="112" t="n">
        <f aca="true">IFERROR(SUMPRODUCT(OFFSET($BJ$31,0,1-MIN(60,COLUMN()-29),1,MIN(60,COLUMN()-29)),OFFSET(AD879,0,-MIN(60,COLUMN()-29),1,MIN(60,COLUMN()-29))),0)</f>
        <v>0</v>
      </c>
      <c r="AE880" s="112" t="n">
        <f aca="true">IFERROR(SUMPRODUCT(OFFSET($BJ$31,0,1-MIN(60,COLUMN()-29),1,MIN(60,COLUMN()-29)),OFFSET(AE879,0,-MIN(60,COLUMN()-29),1,MIN(60,COLUMN()-29))),0)</f>
        <v>0</v>
      </c>
      <c r="AF880" s="112" t="n">
        <f aca="true">IFERROR(SUMPRODUCT(OFFSET($BJ$31,0,1-MIN(60,COLUMN()-29),1,MIN(60,COLUMN()-29)),OFFSET(AF879,0,-MIN(60,COLUMN()-29),1,MIN(60,COLUMN()-29))),0)</f>
        <v>0</v>
      </c>
      <c r="AG880" s="112" t="n">
        <f aca="true">IFERROR(SUMPRODUCT(OFFSET($BJ$31,0,1-MIN(60,COLUMN()-29),1,MIN(60,COLUMN()-29)),OFFSET(AG879,0,-MIN(60,COLUMN()-29),1,MIN(60,COLUMN()-29))),0)</f>
        <v>0</v>
      </c>
      <c r="AH880" s="112" t="n">
        <f aca="true">IFERROR(SUMPRODUCT(OFFSET($BJ$31,0,1-MIN(60,COLUMN()-29),1,MIN(60,COLUMN()-29)),OFFSET(AH879,0,-MIN(60,COLUMN()-29),1,MIN(60,COLUMN()-29))),0)</f>
        <v>0</v>
      </c>
      <c r="AI880" s="112" t="n">
        <f aca="true">IFERROR(SUMPRODUCT(OFFSET($BJ$31,0,1-MIN(60,COLUMN()-29),1,MIN(60,COLUMN()-29)),OFFSET(AI879,0,-MIN(60,COLUMN()-29),1,MIN(60,COLUMN()-29))),0)</f>
        <v>0</v>
      </c>
      <c r="AJ880" s="112" t="n">
        <f aca="true">IFERROR(SUMPRODUCT(OFFSET($BJ$31,0,1-MIN(60,COLUMN()-29),1,MIN(60,COLUMN()-29)),OFFSET(AJ879,0,-MIN(60,COLUMN()-29),1,MIN(60,COLUMN()-29))),0)</f>
        <v>0</v>
      </c>
      <c r="AK880" s="112" t="n">
        <f aca="true">IFERROR(SUMPRODUCT(OFFSET($BJ$31,0,1-MIN(60,COLUMN()-29),1,MIN(60,COLUMN()-29)),OFFSET(AK879,0,-MIN(60,COLUMN()-29),1,MIN(60,COLUMN()-29))),0)</f>
        <v>0</v>
      </c>
      <c r="AL880" s="112" t="n">
        <f aca="true">IFERROR(SUMPRODUCT(OFFSET($BJ$31,0,1-MIN(60,COLUMN()-29),1,MIN(60,COLUMN()-29)),OFFSET(AL879,0,-MIN(60,COLUMN()-29),1,MIN(60,COLUMN()-29))),0)</f>
        <v>0</v>
      </c>
      <c r="AM880" s="112" t="n">
        <f aca="true">IFERROR(SUMPRODUCT(OFFSET($BJ$31,0,1-MIN(60,COLUMN()-29),1,MIN(60,COLUMN()-29)),OFFSET(AM879,0,-MIN(60,COLUMN()-29),1,MIN(60,COLUMN()-29))),0)</f>
        <v>0</v>
      </c>
      <c r="AN880" s="239" t="n">
        <f aca="true">IFERROR(SUMPRODUCT(OFFSET($BJ$31,0,1-MIN(60,COLUMN()-29),1,MIN(60,COLUMN()-29)),OFFSET(AN879,0,-MIN(60,COLUMN()-29),1,MIN(60,COLUMN()-29))),0)</f>
        <v>0</v>
      </c>
      <c r="AO880" s="112" t="n">
        <f aca="true">IFERROR(SUMPRODUCT(OFFSET($BJ$31,0,1-MIN(60,COLUMN()-29),1,MIN(60,COLUMN()-29)),OFFSET(AO879,0,-MIN(60,COLUMN()-29),1,MIN(60,COLUMN()-29))),0)</f>
        <v>0</v>
      </c>
      <c r="AP880" s="112" t="n">
        <f aca="true">IFERROR(SUMPRODUCT(OFFSET($BJ$31,0,1-MIN(60,COLUMN()-29),1,MIN(60,COLUMN()-29)),OFFSET(AP879,0,-MIN(60,COLUMN()-29),1,MIN(60,COLUMN()-29))),0)</f>
        <v>0</v>
      </c>
      <c r="AQ880" s="112" t="n">
        <f aca="true">IFERROR(SUMPRODUCT(OFFSET($BJ$31,0,1-MIN(60,COLUMN()-29),1,MIN(60,COLUMN()-29)),OFFSET(AQ879,0,-MIN(60,COLUMN()-29),1,MIN(60,COLUMN()-29))),0)</f>
        <v>0</v>
      </c>
      <c r="AR880" s="112" t="n">
        <f aca="true">IFERROR(SUMPRODUCT(OFFSET($BJ$31,0,1-MIN(60,COLUMN()-29),1,MIN(60,COLUMN()-29)),OFFSET(AR879,0,-MIN(60,COLUMN()-29),1,MIN(60,COLUMN()-29))),0)</f>
        <v>0</v>
      </c>
      <c r="AS880" s="112" t="n">
        <f aca="true">IFERROR(SUMPRODUCT(OFFSET($BJ$31,0,1-MIN(60,COLUMN()-29),1,MIN(60,COLUMN()-29)),OFFSET(AS879,0,-MIN(60,COLUMN()-29),1,MIN(60,COLUMN()-29))),0)</f>
        <v>0</v>
      </c>
      <c r="AT880" s="112" t="n">
        <f aca="true">IFERROR(SUMPRODUCT(OFFSET($BJ$31,0,1-MIN(60,COLUMN()-29),1,MIN(60,COLUMN()-29)),OFFSET(AT879,0,-MIN(60,COLUMN()-29),1,MIN(60,COLUMN()-29))),0)</f>
        <v>0</v>
      </c>
      <c r="AU880" s="112" t="n">
        <f aca="true">IFERROR(SUMPRODUCT(OFFSET($BJ$31,0,1-MIN(60,COLUMN()-29),1,MIN(60,COLUMN()-29)),OFFSET(AU879,0,-MIN(60,COLUMN()-29),1,MIN(60,COLUMN()-29))),0)</f>
        <v>0</v>
      </c>
      <c r="AV880" s="112" t="n">
        <f aca="true">IFERROR(SUMPRODUCT(OFFSET($BJ$31,0,1-MIN(60,COLUMN()-29),1,MIN(60,COLUMN()-29)),OFFSET(AV879,0,-MIN(60,COLUMN()-29),1,MIN(60,COLUMN()-29))),0)</f>
        <v>0</v>
      </c>
      <c r="AW880" s="112" t="n">
        <f aca="true">IFERROR(SUMPRODUCT(OFFSET($BJ$31,0,1-MIN(60,COLUMN()-29),1,MIN(60,COLUMN()-29)),OFFSET(AW879,0,-MIN(60,COLUMN()-29),1,MIN(60,COLUMN()-29))),0)</f>
        <v>0</v>
      </c>
      <c r="AX880" s="112" t="n">
        <f aca="true">IFERROR(SUMPRODUCT(OFFSET($BJ$31,0,1-MIN(60,COLUMN()-29),1,MIN(60,COLUMN()-29)),OFFSET(AX879,0,-MIN(60,COLUMN()-29),1,MIN(60,COLUMN()-29))),0)</f>
        <v>0</v>
      </c>
      <c r="AY880" s="112" t="n">
        <f aca="true">IFERROR(SUMPRODUCT(OFFSET($BJ$31,0,1-MIN(60,COLUMN()-29),1,MIN(60,COLUMN()-29)),OFFSET(AY879,0,-MIN(60,COLUMN()-29),1,MIN(60,COLUMN()-29))),0)</f>
        <v>0</v>
      </c>
      <c r="AZ880" s="112" t="n">
        <f aca="true">IFERROR(SUMPRODUCT(OFFSET($BJ$31,0,1-MIN(60,COLUMN()-29),1,MIN(60,COLUMN()-29)),OFFSET(AZ879,0,-MIN(60,COLUMN()-29),1,MIN(60,COLUMN()-29))),0)</f>
        <v>0</v>
      </c>
      <c r="BA880" s="112" t="n">
        <f aca="true">IFERROR(SUMPRODUCT(OFFSET($BJ$31,0,1-MIN(60,COLUMN()-29),1,MIN(60,COLUMN()-29)),OFFSET(BA879,0,-MIN(60,COLUMN()-29),1,MIN(60,COLUMN()-29))),0)</f>
        <v>0</v>
      </c>
      <c r="BB880" s="112" t="n">
        <f aca="true">IFERROR(SUMPRODUCT(OFFSET($BJ$31,0,1-MIN(60,COLUMN()-29),1,MIN(60,COLUMN()-29)),OFFSET(BB879,0,-MIN(60,COLUMN()-29),1,MIN(60,COLUMN()-29))),0)</f>
        <v>0</v>
      </c>
      <c r="BC880" s="112" t="n">
        <f aca="true">IFERROR(SUMPRODUCT(OFFSET($BJ$31,0,1-MIN(60,COLUMN()-29),1,MIN(60,COLUMN()-29)),OFFSET(BC879,0,-MIN(60,COLUMN()-29),1,MIN(60,COLUMN()-29))),0)</f>
        <v>0</v>
      </c>
      <c r="BD880" s="112" t="n">
        <f aca="true">IFERROR(SUMPRODUCT(OFFSET($BJ$31,0,1-MIN(60,COLUMN()-29),1,MIN(60,COLUMN()-29)),OFFSET(BD879,0,-MIN(60,COLUMN()-29),1,MIN(60,COLUMN()-29))),0)</f>
        <v>0</v>
      </c>
      <c r="BE880" s="112" t="n">
        <f aca="true">IFERROR(SUMPRODUCT(OFFSET($BJ$31,0,1-MIN(60,COLUMN()-29),1,MIN(60,COLUMN()-29)),OFFSET(BE879,0,-MIN(60,COLUMN()-29),1,MIN(60,COLUMN()-29))),0)</f>
        <v>0</v>
      </c>
      <c r="BF880" s="112" t="n">
        <f aca="true">IFERROR(SUMPRODUCT(OFFSET($BJ$31,0,1-MIN(60,COLUMN()-29),1,MIN(60,COLUMN()-29)),OFFSET(BF879,0,-MIN(60,COLUMN()-29),1,MIN(60,COLUMN()-29))),0)</f>
        <v>0</v>
      </c>
      <c r="BG880" s="112" t="n">
        <f aca="true">IFERROR(SUMPRODUCT(OFFSET($BJ$31,0,1-MIN(60,COLUMN()-29),1,MIN(60,COLUMN()-29)),OFFSET(BG879,0,-MIN(60,COLUMN()-29),1,MIN(60,COLUMN()-29))),0)</f>
        <v>0</v>
      </c>
      <c r="BH880" s="112" t="n">
        <f aca="true">IFERROR(SUMPRODUCT(OFFSET($BJ$31,0,1-MIN(60,COLUMN()-29),1,MIN(60,COLUMN()-29)),OFFSET(BH879,0,-MIN(60,COLUMN()-29),1,MIN(60,COLUMN()-29))),0)</f>
        <v>0</v>
      </c>
      <c r="BI880" s="112" t="n">
        <f aca="true">IFERROR(SUMPRODUCT(OFFSET($BJ$31,0,1-MIN(60,COLUMN()-29),1,MIN(60,COLUMN()-29)),OFFSET(BI879,0,-MIN(60,COLUMN()-29),1,MIN(60,COLUMN()-29))),0)</f>
        <v>0</v>
      </c>
      <c r="BJ880" s="112" t="n">
        <f aca="true">IFERROR(SUMPRODUCT(OFFSET($BJ$31,0,1-MIN(60,COLUMN()-29),1,MIN(60,COLUMN()-29)),OFFSET(BJ879,0,-MIN(60,COLUMN()-29),1,MIN(60,COLUMN()-29))),0)</f>
        <v>0</v>
      </c>
      <c r="BK880" s="112" t="n">
        <f aca="true">IFERROR(SUMPRODUCT(OFFSET($BJ$31,0,1-MIN(60,COLUMN()-29),1,MIN(60,COLUMN()-29)),OFFSET(BK879,0,-MIN(60,COLUMN()-29),1,MIN(60,COLUMN()-29))),0)</f>
        <v>0</v>
      </c>
      <c r="BL880" s="112" t="n">
        <f aca="true">IFERROR(SUMPRODUCT(OFFSET($BJ$31,0,1-MIN(60,COLUMN()-29),1,MIN(60,COLUMN()-29)),OFFSET(BL879,0,-MIN(60,COLUMN()-29),1,MIN(60,COLUMN()-29))),0)</f>
        <v>0</v>
      </c>
      <c r="BM880" s="112" t="n">
        <f aca="true">IFERROR(SUMPRODUCT(OFFSET($BJ$31,0,1-MIN(60,COLUMN()-29),1,MIN(60,COLUMN()-29)),OFFSET(BM879,0,-MIN(60,COLUMN()-29),1,MIN(60,COLUMN()-29))),0)</f>
        <v>0</v>
      </c>
      <c r="BN880" s="112" t="n">
        <f aca="true">IFERROR(SUMPRODUCT(OFFSET($BJ$31,0,1-MIN(60,COLUMN()-29),1,MIN(60,COLUMN()-29)),OFFSET(BN879,0,-MIN(60,COLUMN()-29),1,MIN(60,COLUMN()-29))),0)</f>
        <v>0</v>
      </c>
      <c r="BO880" s="112" t="n">
        <f aca="true">IFERROR(SUMPRODUCT(OFFSET($BJ$31,0,1-MIN(60,COLUMN()-29),1,MIN(60,COLUMN()-29)),OFFSET(BO879,0,-MIN(60,COLUMN()-29),1,MIN(60,COLUMN()-29))),0)</f>
        <v>0</v>
      </c>
      <c r="BP880" s="112" t="n">
        <f aca="true">IFERROR(SUMPRODUCT(OFFSET($BJ$31,0,1-MIN(60,COLUMN()-29),1,MIN(60,COLUMN()-29)),OFFSET(BP879,0,-MIN(60,COLUMN()-29),1,MIN(60,COLUMN()-29))),0)</f>
        <v>0</v>
      </c>
      <c r="BQ880" s="112" t="n">
        <f aca="true">IFERROR(SUMPRODUCT(OFFSET($BJ$31,0,1-MIN(60,COLUMN()-29),1,MIN(60,COLUMN()-29)),OFFSET(BQ879,0,-MIN(60,COLUMN()-29),1,MIN(60,COLUMN()-29))),0)</f>
        <v>0</v>
      </c>
      <c r="BR880" s="112" t="n">
        <f aca="true">IFERROR(SUMPRODUCT(OFFSET($BJ$31,0,1-MIN(60,COLUMN()-29),1,MIN(60,COLUMN()-29)),OFFSET(BR879,0,-MIN(60,COLUMN()-29),1,MIN(60,COLUMN()-29))),0)</f>
        <v>0</v>
      </c>
      <c r="BS880" s="112" t="n">
        <f aca="true">IFERROR(SUMPRODUCT(OFFSET($BJ$31,0,1-MIN(60,COLUMN()-29),1,MIN(60,COLUMN()-29)),OFFSET(BS879,0,-MIN(60,COLUMN()-29),1,MIN(60,COLUMN()-29))),0)</f>
        <v>0</v>
      </c>
      <c r="BT880" s="112" t="n">
        <f aca="true">IFERROR(SUMPRODUCT(OFFSET($BJ$31,0,1-MIN(60,COLUMN()-29),1,MIN(60,COLUMN()-29)),OFFSET(BT879,0,-MIN(60,COLUMN()-29),1,MIN(60,COLUMN()-29))),0)</f>
        <v>0</v>
      </c>
      <c r="BU880" s="112" t="n">
        <f aca="true">IFERROR(SUMPRODUCT(OFFSET($BJ$31,0,1-MIN(60,COLUMN()-29),1,MIN(60,COLUMN()-29)),OFFSET(BU879,0,-MIN(60,COLUMN()-29),1,MIN(60,COLUMN()-29))),0)</f>
        <v>0</v>
      </c>
      <c r="BV880" s="112" t="n">
        <f aca="true">IFERROR(SUMPRODUCT(OFFSET($BJ$31,0,1-MIN(60,COLUMN()-29),1,MIN(60,COLUMN()-29)),OFFSET(BV879,0,-MIN(60,COLUMN()-29),1,MIN(60,COLUMN()-29))),0)</f>
        <v>0</v>
      </c>
      <c r="BW880" s="112" t="n">
        <f aca="true">IFERROR(SUMPRODUCT(OFFSET($BJ$31,0,1-MIN(60,COLUMN()-29),1,MIN(60,COLUMN()-29)),OFFSET(BW879,0,-MIN(60,COLUMN()-29),1,MIN(60,COLUMN()-29))),0)</f>
        <v>0</v>
      </c>
      <c r="BX880" s="112" t="n">
        <f aca="true">IFERROR(SUMPRODUCT(OFFSET($BJ$31,0,1-MIN(60,COLUMN()-29),1,MIN(60,COLUMN()-29)),OFFSET(BX879,0,-MIN(60,COLUMN()-29),1,MIN(60,COLUMN()-29))),0)</f>
        <v>0</v>
      </c>
      <c r="BY880" s="112" t="n">
        <f aca="true">IFERROR(SUMPRODUCT(OFFSET($BJ$31,0,1-MIN(60,COLUMN()-29),1,MIN(60,COLUMN()-29)),OFFSET(BY879,0,-MIN(60,COLUMN()-29),1,MIN(60,COLUMN()-29))),0)</f>
        <v>0</v>
      </c>
      <c r="BZ880" s="112" t="n">
        <f aca="true">IFERROR(SUMPRODUCT(OFFSET($BJ$31,0,1-MIN(60,COLUMN()-29),1,MIN(60,COLUMN()-29)),OFFSET(BZ879,0,-MIN(60,COLUMN()-29),1,MIN(60,COLUMN()-29))),0)</f>
        <v>0</v>
      </c>
      <c r="CA880" s="112" t="n">
        <f aca="true">IFERROR(SUMPRODUCT(OFFSET($BJ$31,0,1-MIN(60,COLUMN()-29),1,MIN(60,COLUMN()-29)),OFFSET(CA879,0,-MIN(60,COLUMN()-29),1,MIN(60,COLUMN()-29))),0)</f>
        <v>0</v>
      </c>
      <c r="CB880" s="112" t="n">
        <f aca="true">IFERROR(SUMPRODUCT(OFFSET($BJ$31,0,1-MIN(60,COLUMN()-29),1,MIN(60,COLUMN()-29)),OFFSET(CB879,0,-MIN(60,COLUMN()-29),1,MIN(60,COLUMN()-29))),0)</f>
        <v>0</v>
      </c>
      <c r="CC880" s="112" t="n">
        <f aca="true">IFERROR(SUMPRODUCT(OFFSET($BJ$31,0,1-MIN(60,COLUMN()-29),1,MIN(60,COLUMN()-29)),OFFSET(CC879,0,-MIN(60,COLUMN()-29),1,MIN(60,COLUMN()-29))),0)</f>
        <v>0</v>
      </c>
      <c r="CD880" s="112" t="n">
        <f aca="true">IFERROR(SUMPRODUCT(OFFSET($BJ$31,0,1-MIN(60,COLUMN()-29),1,MIN(60,COLUMN()-29)),OFFSET(CD879,0,-MIN(60,COLUMN()-29),1,MIN(60,COLUMN()-29))),0)</f>
        <v>0</v>
      </c>
      <c r="CE880" s="112" t="n">
        <f aca="true">IFERROR(SUMPRODUCT(OFFSET($BJ$31,0,1-MIN(60,COLUMN()-29),1,MIN(60,COLUMN()-29)),OFFSET(CE879,0,-MIN(60,COLUMN()-29),1,MIN(60,COLUMN()-29))),0)</f>
        <v>0</v>
      </c>
      <c r="CF880" s="112" t="n">
        <f aca="true">IFERROR(SUMPRODUCT(OFFSET($BJ$31,0,1-MIN(60,COLUMN()-29),1,MIN(60,COLUMN()-29)),OFFSET(CF879,0,-MIN(60,COLUMN()-29),1,MIN(60,COLUMN()-29))),0)</f>
        <v>0</v>
      </c>
      <c r="CG880" s="112" t="n">
        <f aca="true">IFERROR(SUMPRODUCT(OFFSET($BJ$31,0,1-MIN(60,COLUMN()-29),1,MIN(60,COLUMN()-29)),OFFSET(CG879,0,-MIN(60,COLUMN()-29),1,MIN(60,COLUMN()-29))),0)</f>
        <v>0</v>
      </c>
      <c r="CH880" s="112" t="n">
        <f aca="true">IFERROR(SUMPRODUCT(OFFSET($BJ$31,0,1-MIN(60,COLUMN()-29),1,MIN(60,COLUMN()-29)),OFFSET(CH879,0,-MIN(60,COLUMN()-29),1,MIN(60,COLUMN()-29))),0)</f>
        <v>0</v>
      </c>
      <c r="CI880" s="112" t="n">
        <f aca="true">IFERROR(SUMPRODUCT(OFFSET($BJ$31,0,1-MIN(60,COLUMN()-29),1,MIN(60,COLUMN()-29)),OFFSET(CI879,0,-MIN(60,COLUMN()-29),1,MIN(60,COLUMN()-29))),0)</f>
        <v>0</v>
      </c>
      <c r="CJ880" s="112" t="n">
        <f aca="true">IFERROR(SUMPRODUCT(OFFSET($BJ$31,0,1-MIN(60,COLUMN()-29),1,MIN(60,COLUMN()-29)),OFFSET(CJ879,0,-MIN(60,COLUMN()-29),1,MIN(60,COLUMN()-29))),0)</f>
        <v>0</v>
      </c>
      <c r="CK880" s="112" t="n">
        <f aca="true">IFERROR(SUMPRODUCT(OFFSET($BJ$31,0,1-MIN(60,COLUMN()-29),1,MIN(60,COLUMN()-29)),OFFSET(CK879,0,-MIN(60,COLUMN()-29),1,MIN(60,COLUMN()-29))),0)</f>
        <v>0</v>
      </c>
      <c r="CL880" s="112" t="n">
        <f aca="true">IFERROR(SUMPRODUCT(OFFSET($BJ$31,0,1-MIN(60,COLUMN()-29),1,MIN(60,COLUMN()-29)),OFFSET(CL879,0,-MIN(60,COLUMN()-29),1,MIN(60,COLUMN()-29))),0)</f>
        <v>0</v>
      </c>
      <c r="CM880" s="112" t="n">
        <f aca="true">IFERROR(SUMPRODUCT(OFFSET($BJ$31,0,1-MIN(60,COLUMN()-29),1,MIN(60,COLUMN()-29)),OFFSET(CM879,0,-MIN(60,COLUMN()-29),1,MIN(60,COLUMN()-29))),0)</f>
        <v>0</v>
      </c>
      <c r="CN880" s="112" t="n">
        <f aca="true">IFERROR(SUMPRODUCT(OFFSET($BJ$31,0,1-MIN(60,COLUMN()-29),1,MIN(60,COLUMN()-29)),OFFSET(CN879,0,-MIN(60,COLUMN()-29),1,MIN(60,COLUMN()-29))),0)</f>
        <v>0</v>
      </c>
      <c r="CO880" s="112" t="n">
        <f aca="true">IFERROR(SUMPRODUCT(OFFSET($BJ$31,0,1-MIN(60,COLUMN()-29),1,MIN(60,COLUMN()-29)),OFFSET(CO879,0,-MIN(60,COLUMN()-29),1,MIN(60,COLUMN()-29))),0)</f>
        <v>0</v>
      </c>
      <c r="CP880" s="112" t="n">
        <f aca="true">IFERROR(SUMPRODUCT(OFFSET($BJ$31,0,1-MIN(60,COLUMN()-29),1,MIN(60,COLUMN()-29)),OFFSET(CP879,0,-MIN(60,COLUMN()-29),1,MIN(60,COLUMN()-29))),0)</f>
        <v>0</v>
      </c>
      <c r="CQ880" s="112" t="n">
        <f aca="true">IFERROR(SUMPRODUCT(OFFSET($BJ$31,0,1-MIN(60,COLUMN()-29),1,MIN(60,COLUMN()-29)),OFFSET(CQ879,0,-MIN(60,COLUMN()-29),1,MIN(60,COLUMN()-29))),0)</f>
        <v>0</v>
      </c>
      <c r="CR880" s="112" t="n">
        <f aca="true">IFERROR(SUMPRODUCT(OFFSET($BJ$31,0,1-MIN(60,COLUMN()-29),1,MIN(60,COLUMN()-29)),OFFSET(CR879,0,-MIN(60,COLUMN()-29),1,MIN(60,COLUMN()-29))),0)</f>
        <v>0</v>
      </c>
      <c r="CS880" s="112" t="n">
        <f aca="true">IFERROR(SUMPRODUCT(OFFSET($BJ$31,0,1-MIN(60,COLUMN()-29),1,MIN(60,COLUMN()-29)),OFFSET(CS879,0,-MIN(60,COLUMN()-29),1,MIN(60,COLUMN()-29))),0)</f>
        <v>0</v>
      </c>
      <c r="CT880" s="112" t="n">
        <f aca="true">IFERROR(SUMPRODUCT(OFFSET($BJ$31,0,1-MIN(60,COLUMN()-29),1,MIN(60,COLUMN()-29)),OFFSET(CT879,0,-MIN(60,COLUMN()-29),1,MIN(60,COLUMN()-29))),0)</f>
        <v>0</v>
      </c>
      <c r="CU880" s="112" t="n">
        <f aca="true">IFERROR(SUMPRODUCT(OFFSET($BJ$31,0,1-MIN(60,COLUMN()-29),1,MIN(60,COLUMN()-29)),OFFSET(CU879,0,-MIN(60,COLUMN()-29),1,MIN(60,COLUMN()-29))),0)</f>
        <v>0</v>
      </c>
      <c r="CV880" s="112" t="n">
        <f aca="true">IFERROR(SUMPRODUCT(OFFSET($BJ$31,0,1-MIN(60,COLUMN()-29),1,MIN(60,COLUMN()-29)),OFFSET(CV879,0,-MIN(60,COLUMN()-29),1,MIN(60,COLUMN()-29))),0)</f>
        <v>0</v>
      </c>
      <c r="CW880" s="112" t="n">
        <f aca="true">IFERROR(SUMPRODUCT(OFFSET($BJ$31,0,1-MIN(60,COLUMN()-29),1,MIN(60,COLUMN()-29)),OFFSET(CW879,0,-MIN(60,COLUMN()-29),1,MIN(60,COLUMN()-29))),0)</f>
        <v>0</v>
      </c>
      <c r="CX880" s="112" t="n">
        <f aca="true">IFERROR(SUMPRODUCT(OFFSET($BJ$31,0,1-MIN(60,COLUMN()-29),1,MIN(60,COLUMN()-29)),OFFSET(CX879,0,-MIN(60,COLUMN()-29),1,MIN(60,COLUMN()-29))),0)</f>
        <v>0</v>
      </c>
      <c r="CY880" s="112" t="n">
        <f aca="true">IFERROR(SUMPRODUCT(OFFSET($BJ$31,0,1-MIN(60,COLUMN()-29),1,MIN(60,COLUMN()-29)),OFFSET(CY879,0,-MIN(60,COLUMN()-29),1,MIN(60,COLUMN()-29))),0)</f>
        <v>0</v>
      </c>
      <c r="CZ880" s="112" t="n">
        <f aca="true">IFERROR(SUMPRODUCT(OFFSET($BJ$31,0,1-MIN(60,COLUMN()-29),1,MIN(60,COLUMN()-29)),OFFSET(CZ879,0,-MIN(60,COLUMN()-29),1,MIN(60,COLUMN()-29))),0)</f>
        <v>0</v>
      </c>
      <c r="DA880" s="112" t="n">
        <f aca="true">IFERROR(SUMPRODUCT(OFFSET($BJ$31,0,1-MIN(60,COLUMN()-29),1,MIN(60,COLUMN()-29)),OFFSET(DA879,0,-MIN(60,COLUMN()-29),1,MIN(60,COLUMN()-29))),0)</f>
        <v>0</v>
      </c>
      <c r="DB880" s="112" t="n">
        <f aca="true">IFERROR(SUMPRODUCT(OFFSET($BJ$31,0,1-MIN(60,COLUMN()-29),1,MIN(60,COLUMN()-29)),OFFSET(DB879,0,-MIN(60,COLUMN()-29),1,MIN(60,COLUMN()-29))),0)</f>
        <v>0</v>
      </c>
      <c r="DC880" s="112" t="n">
        <f aca="true">IFERROR(SUMPRODUCT(OFFSET($BJ$31,0,1-MIN(60,COLUMN()-29),1,MIN(60,COLUMN()-29)),OFFSET(DC879,0,-MIN(60,COLUMN()-29),1,MIN(60,COLUMN()-29))),0)</f>
        <v>0</v>
      </c>
      <c r="DD880" s="112" t="n">
        <f aca="true">IFERROR(SUMPRODUCT(OFFSET($BJ$31,0,1-MIN(60,COLUMN()-29),1,MIN(60,COLUMN()-29)),OFFSET(DD879,0,-MIN(60,COLUMN()-29),1,MIN(60,COLUMN()-29))),0)</f>
        <v>0</v>
      </c>
      <c r="DE880" s="112" t="n">
        <f aca="true">IFERROR(SUMPRODUCT(OFFSET($BJ$31,0,1-MIN(60,COLUMN()-29),1,MIN(60,COLUMN()-29)),OFFSET(DE879,0,-MIN(60,COLUMN()-29),1,MIN(60,COLUMN()-29))),0)</f>
        <v>0</v>
      </c>
      <c r="DF880" s="112" t="n">
        <f aca="true">IFERROR(SUMPRODUCT(OFFSET($BJ$31,0,1-MIN(60,COLUMN()-29),1,MIN(60,COLUMN()-29)),OFFSET(DF879,0,-MIN(60,COLUMN()-29),1,MIN(60,COLUMN()-29))),0)</f>
        <v>0</v>
      </c>
      <c r="DG880" s="112" t="n">
        <f aca="true">IFERROR(SUMPRODUCT(OFFSET($BJ$31,0,1-MIN(60,COLUMN()-29),1,MIN(60,COLUMN()-29)),OFFSET(DG879,0,-MIN(60,COLUMN()-29),1,MIN(60,COLUMN()-29))),0)</f>
        <v>0</v>
      </c>
      <c r="DH880" s="112" t="n">
        <f aca="true">IFERROR(SUMPRODUCT(OFFSET($BJ$31,0,1-MIN(60,COLUMN()-29),1,MIN(60,COLUMN()-29)),OFFSET(DH879,0,-MIN(60,COLUMN()-29),1,MIN(60,COLUMN()-29))),0)</f>
        <v>0</v>
      </c>
      <c r="DI880" s="112" t="n">
        <f aca="true">IFERROR(SUMPRODUCT(OFFSET($BJ$31,0,1-MIN(60,COLUMN()-29),1,MIN(60,COLUMN()-29)),OFFSET(DI879,0,-MIN(60,COLUMN()-29),1,MIN(60,COLUMN()-29))),0)</f>
        <v>0</v>
      </c>
      <c r="DJ880" s="112" t="n">
        <f aca="true">IFERROR(SUMPRODUCT(OFFSET($BJ$31,0,1-MIN(60,COLUMN()-29),1,MIN(60,COLUMN()-29)),OFFSET(DJ879,0,-MIN(60,COLUMN()-29),1,MIN(60,COLUMN()-29))),0)</f>
        <v>0</v>
      </c>
      <c r="DK880" s="112" t="n">
        <f aca="true">IFERROR(SUMPRODUCT(OFFSET($BJ$31,0,1-MIN(60,COLUMN()-29),1,MIN(60,COLUMN()-29)),OFFSET(DK879,0,-MIN(60,COLUMN()-29),1,MIN(60,COLUMN()-29))),0)</f>
        <v>0</v>
      </c>
      <c r="DL880" s="112" t="n">
        <f aca="true">IFERROR(SUMPRODUCT(OFFSET($BJ$31,0,1-MIN(60,COLUMN()-29),1,MIN(60,COLUMN()-29)),OFFSET(DL879,0,-MIN(60,COLUMN()-29),1,MIN(60,COLUMN()-29))),0)</f>
        <v>0</v>
      </c>
      <c r="DM880" s="112" t="n">
        <f aca="true">IFERROR(SUMPRODUCT(OFFSET($BJ$31,0,1-MIN(60,COLUMN()-29),1,MIN(60,COLUMN()-29)),OFFSET(DM879,0,-MIN(60,COLUMN()-29),1,MIN(60,COLUMN()-29))),0)</f>
        <v>0</v>
      </c>
      <c r="DN880" s="112" t="n">
        <f aca="true">IFERROR(SUMPRODUCT(OFFSET($BJ$31,0,1-MIN(60,COLUMN()-29),1,MIN(60,COLUMN()-29)),OFFSET(DN879,0,-MIN(60,COLUMN()-29),1,MIN(60,COLUMN()-29))),0)</f>
        <v>0</v>
      </c>
      <c r="DO880" s="112" t="n">
        <f aca="true">IFERROR(SUMPRODUCT(OFFSET($BJ$31,0,1-MIN(60,COLUMN()-29),1,MIN(60,COLUMN()-29)),OFFSET(DO879,0,-MIN(60,COLUMN()-29),1,MIN(60,COLUMN()-29))),0)</f>
        <v>0</v>
      </c>
      <c r="DP880" s="112" t="n">
        <f aca="true">IFERROR(SUMPRODUCT(OFFSET($BJ$31,0,1-MIN(60,COLUMN()-29),1,MIN(60,COLUMN()-29)),OFFSET(DP879,0,-MIN(60,COLUMN()-29),1,MIN(60,COLUMN()-29))),0)</f>
        <v>0</v>
      </c>
      <c r="DQ880" s="112" t="n">
        <f aca="true">IFERROR(SUMPRODUCT(OFFSET($BJ$31,0,1-MIN(60,COLUMN()-29),1,MIN(60,COLUMN()-29)),OFFSET(DQ879,0,-MIN(60,COLUMN()-29),1,MIN(60,COLUMN()-29))),0)</f>
        <v>0</v>
      </c>
      <c r="DR880" s="112" t="n">
        <f aca="true">IFERROR(SUMPRODUCT(OFFSET($BJ$31,0,1-MIN(60,COLUMN()-29),1,MIN(60,COLUMN()-29)),OFFSET(DR879,0,-MIN(60,COLUMN()-29),1,MIN(60,COLUMN()-29))),0)</f>
        <v>0</v>
      </c>
      <c r="DS880" s="112" t="n">
        <f aca="true">IFERROR(SUMPRODUCT(OFFSET($BJ$31,0,1-MIN(60,COLUMN()-29),1,MIN(60,COLUMN()-29)),OFFSET(DS879,0,-MIN(60,COLUMN()-29),1,MIN(60,COLUMN()-29))),0)</f>
        <v>0</v>
      </c>
      <c r="DT880" s="112" t="n">
        <f aca="true">IFERROR(SUMPRODUCT(OFFSET($BJ$31,0,1-MIN(60,COLUMN()-29),1,MIN(60,COLUMN()-29)),OFFSET(DT879,0,-MIN(60,COLUMN()-29),1,MIN(60,COLUMN()-29))),0)</f>
        <v>0</v>
      </c>
      <c r="DU880" s="112" t="n">
        <f aca="true">IFERROR(SUMPRODUCT(OFFSET($BJ$31,0,1-MIN(60,COLUMN()-29),1,MIN(60,COLUMN()-29)),OFFSET(DU879,0,-MIN(60,COLUMN()-29),1,MIN(60,COLUMN()-29))),0)</f>
        <v>0</v>
      </c>
      <c r="DV880" s="112" t="n">
        <f aca="true">IFERROR(SUMPRODUCT(OFFSET($BJ$31,0,1-MIN(60,COLUMN()-29),1,MIN(60,COLUMN()-29)),OFFSET(DV879,0,-MIN(60,COLUMN()-29),1,MIN(60,COLUMN()-29))),0)</f>
        <v>0</v>
      </c>
      <c r="DW880" s="112" t="n">
        <f aca="true">IFERROR(SUMPRODUCT(OFFSET($BJ$31,0,1-MIN(60,COLUMN()-29),1,MIN(60,COLUMN()-29)),OFFSET(DW879,0,-MIN(60,COLUMN()-29),1,MIN(60,COLUMN()-29))),0)</f>
        <v>0</v>
      </c>
      <c r="DX880" s="112" t="n">
        <f aca="true">IFERROR(SUMPRODUCT(OFFSET($BJ$31,0,1-MIN(60,COLUMN()-29),1,MIN(60,COLUMN()-29)),OFFSET(DX879,0,-MIN(60,COLUMN()-29),1,MIN(60,COLUMN()-29))),0)</f>
        <v>0</v>
      </c>
      <c r="DY880" s="112" t="n">
        <f aca="true">IFERROR(SUMPRODUCT(OFFSET($BJ$31,0,1-MIN(60,COLUMN()-29),1,MIN(60,COLUMN()-29)),OFFSET(DY879,0,-MIN(60,COLUMN()-29),1,MIN(60,COLUMN()-29))),0)</f>
        <v>0</v>
      </c>
      <c r="DZ880" s="112" t="n">
        <f aca="true">IFERROR(SUMPRODUCT(OFFSET($BJ$31,0,1-MIN(60,COLUMN()-29),1,MIN(60,COLUMN()-29)),OFFSET(DZ879,0,-MIN(60,COLUMN()-29),1,MIN(60,COLUMN()-29))),0)</f>
        <v>0</v>
      </c>
      <c r="EA880" s="112" t="n">
        <f aca="true">IFERROR(SUMPRODUCT(OFFSET($BJ$31,0,1-MIN(60,COLUMN()-29),1,MIN(60,COLUMN()-29)),OFFSET(EA879,0,-MIN(60,COLUMN()-29),1,MIN(60,COLUMN()-29))),0)</f>
        <v>0</v>
      </c>
      <c r="EB880" s="112" t="n">
        <f aca="true">IFERROR(SUMPRODUCT(OFFSET($BJ$31,0,1-MIN(60,COLUMN()-29),1,MIN(60,COLUMN()-29)),OFFSET(EB879,0,-MIN(60,COLUMN()-29),1,MIN(60,COLUMN()-29))),0)</f>
        <v>0</v>
      </c>
      <c r="EC880" s="112" t="n">
        <f aca="true">IFERROR(SUMPRODUCT(OFFSET($BJ$31,0,1-MIN(60,COLUMN()-29),1,MIN(60,COLUMN()-29)),OFFSET(EC879,0,-MIN(60,COLUMN()-29),1,MIN(60,COLUMN()-29))),0)</f>
        <v>0</v>
      </c>
      <c r="ED880" s="112" t="n">
        <f aca="true">IFERROR(SUMPRODUCT(OFFSET($BJ$31,0,1-MIN(60,COLUMN()-29),1,MIN(60,COLUMN()-29)),OFFSET(ED879,0,-MIN(60,COLUMN()-29),1,MIN(60,COLUMN()-29))),0)</f>
        <v>0</v>
      </c>
      <c r="EE880" s="112" t="n">
        <f aca="true">IFERROR(SUMPRODUCT(OFFSET($BJ$31,0,1-MIN(60,COLUMN()-29),1,MIN(60,COLUMN()-29)),OFFSET(EE879,0,-MIN(60,COLUMN()-29),1,MIN(60,COLUMN()-29))),0)</f>
        <v>0</v>
      </c>
      <c r="EF880" s="112" t="n">
        <f aca="true">IFERROR(SUMPRODUCT(OFFSET($BJ$31,0,1-MIN(60,COLUMN()-29),1,MIN(60,COLUMN()-29)),OFFSET(EF879,0,-MIN(60,COLUMN()-29),1,MIN(60,COLUMN()-29))),0)</f>
        <v>0</v>
      </c>
      <c r="EG880" s="112" t="n">
        <f aca="true">IFERROR(SUMPRODUCT(OFFSET($BJ$31,0,1-MIN(60,COLUMN()-29),1,MIN(60,COLUMN()-29)),OFFSET(EG879,0,-MIN(60,COLUMN()-29),1,MIN(60,COLUMN()-29))),0)</f>
        <v>0</v>
      </c>
      <c r="EH880" s="112" t="n">
        <f aca="true">IFERROR(SUMPRODUCT(OFFSET($BJ$31,0,1-MIN(60,COLUMN()-29),1,MIN(60,COLUMN()-29)),OFFSET(EH879,0,-MIN(60,COLUMN()-29),1,MIN(60,COLUMN()-29))),0)</f>
        <v>0</v>
      </c>
      <c r="EI880" s="112" t="n">
        <f aca="true">IFERROR(SUMPRODUCT(OFFSET($BJ$31,0,1-MIN(60,COLUMN()-29),1,MIN(60,COLUMN()-29)),OFFSET(EI879,0,-MIN(60,COLUMN()-29),1,MIN(60,COLUMN()-29))),0)</f>
        <v>0</v>
      </c>
      <c r="EJ880" s="112" t="n">
        <f aca="true">IFERROR(SUMPRODUCT(OFFSET($BJ$31,0,1-MIN(60,COLUMN()-29),1,MIN(60,COLUMN()-29)),OFFSET(EJ879,0,-MIN(60,COLUMN()-29),1,MIN(60,COLUMN()-29))),0)</f>
        <v>0</v>
      </c>
      <c r="EK880" s="112" t="n">
        <f aca="true">IFERROR(SUMPRODUCT(OFFSET($BJ$31,0,1-MIN(60,COLUMN()-29),1,MIN(60,COLUMN()-29)),OFFSET(EK879,0,-MIN(60,COLUMN()-29),1,MIN(60,COLUMN()-29))),0)</f>
        <v>0</v>
      </c>
      <c r="EL880" s="112" t="n">
        <f aca="true">IFERROR(SUMPRODUCT(OFFSET($BJ$31,0,1-MIN(60,COLUMN()-29),1,MIN(60,COLUMN()-29)),OFFSET(EL879,0,-MIN(60,COLUMN()-29),1,MIN(60,COLUMN()-29))),0)</f>
        <v>0</v>
      </c>
      <c r="EM880" s="112" t="n">
        <f aca="true">IFERROR(SUMPRODUCT(OFFSET($BJ$31,0,1-MIN(60,COLUMN()-29),1,MIN(60,COLUMN()-29)),OFFSET(EM879,0,-MIN(60,COLUMN()-29),1,MIN(60,COLUMN()-29))),0)</f>
        <v>0</v>
      </c>
      <c r="EN880" s="112" t="n">
        <f aca="true">IFERROR(SUMPRODUCT(OFFSET($BJ$31,0,1-MIN(60,COLUMN()-29),1,MIN(60,COLUMN()-29)),OFFSET(EN879,0,-MIN(60,COLUMN()-29),1,MIN(60,COLUMN()-29))),0)</f>
        <v>0</v>
      </c>
      <c r="EO880" s="112" t="n">
        <f aca="true">IFERROR(SUMPRODUCT(OFFSET($BJ$31,0,1-MIN(60,COLUMN()-29),1,MIN(60,COLUMN()-29)),OFFSET(EO879,0,-MIN(60,COLUMN()-29),1,MIN(60,COLUMN()-29))),0)</f>
        <v>0</v>
      </c>
      <c r="EP880" s="112" t="n">
        <f aca="true">IFERROR(SUMPRODUCT(OFFSET($BJ$31,0,1-MIN(60,COLUMN()-29),1,MIN(60,COLUMN()-29)),OFFSET(EP879,0,-MIN(60,COLUMN()-29),1,MIN(60,COLUMN()-29))),0)</f>
        <v>0</v>
      </c>
      <c r="EQ880" s="112" t="n">
        <f aca="true">IFERROR(SUMPRODUCT(OFFSET($BJ$31,0,1-MIN(60,COLUMN()-29),1,MIN(60,COLUMN()-29)),OFFSET(EQ879,0,-MIN(60,COLUMN()-29),1,MIN(60,COLUMN()-29))),0)</f>
        <v>0</v>
      </c>
      <c r="ER880" s="112" t="n">
        <f aca="true">IFERROR(SUMPRODUCT(OFFSET($BJ$31,0,1-MIN(60,COLUMN()-29),1,MIN(60,COLUMN()-29)),OFFSET(ER879,0,-MIN(60,COLUMN()-29),1,MIN(60,COLUMN()-29))),0)</f>
        <v>0</v>
      </c>
      <c r="ES880" s="9" t="n">
        <f aca="true">IFERROR(SUMPRODUCT(OFFSET($BJ$31,0,1-MIN(60,COLUMN()-29),1,MIN(60,COLUMN()-29)),OFFSET(ES879,0,-MIN(60,COLUMN()-29),1,MIN(60,COLUMN()-29))),0)</f>
        <v>0</v>
      </c>
      <c r="ET880" s="9" t="n">
        <f aca="true">IFERROR(SUMPRODUCT(OFFSET($BJ$31,0,1-MIN(60,COLUMN()-29),1,MIN(60,COLUMN()-29)),OFFSET(ET879,0,-MIN(60,COLUMN()-29),1,MIN(60,COLUMN()-29))),0)</f>
        <v>0</v>
      </c>
      <c r="EU880" s="9" t="n">
        <f aca="true">IFERROR(SUMPRODUCT(OFFSET($BJ$31,0,1-MIN(60,COLUMN()-29),1,MIN(60,COLUMN()-29)),OFFSET(EU879,0,-MIN(60,COLUMN()-29),1,MIN(60,COLUMN()-29))),0)</f>
        <v>0</v>
      </c>
      <c r="EV880" s="9" t="n">
        <f aca="true">IFERROR(SUMPRODUCT(OFFSET($BJ$31,0,1-MIN(60,COLUMN()-29),1,MIN(60,COLUMN()-29)),OFFSET(EV879,0,-MIN(60,COLUMN()-29),1,MIN(60,COLUMN()-29))),0)</f>
        <v>0</v>
      </c>
      <c r="EW880" s="9" t="n">
        <f aca="true">IFERROR(SUMPRODUCT(OFFSET($BJ$31,0,1-MIN(60,COLUMN()-29),1,MIN(60,COLUMN()-29)),OFFSET(EW879,0,-MIN(60,COLUMN()-29),1,MIN(60,COLUMN()-29))),0)</f>
        <v>0</v>
      </c>
      <c r="EX880" s="9" t="n">
        <f aca="true">IFERROR(SUMPRODUCT(OFFSET($BJ$31,0,1-MIN(60,COLUMN()-29),1,MIN(60,COLUMN()-29)),OFFSET(EX879,0,-MIN(60,COLUMN()-29),1,MIN(60,COLUMN()-29))),0)</f>
        <v>0</v>
      </c>
      <c r="EY880" s="9" t="n">
        <f aca="true">IFERROR(SUMPRODUCT(OFFSET($BJ$31,0,1-MIN(60,COLUMN()-29),1,MIN(60,COLUMN()-29)),OFFSET(EY879,0,-MIN(60,COLUMN()-29),1,MIN(60,COLUMN()-29))),0)</f>
        <v>0</v>
      </c>
      <c r="EZ880" s="9" t="n">
        <f aca="true">IFERROR(SUMPRODUCT(OFFSET($BJ$31,0,1-MIN(60,COLUMN()-29),1,MIN(60,COLUMN()-29)),OFFSET(EZ879,0,-MIN(60,COLUMN()-29),1,MIN(60,COLUMN()-29))),0)</f>
        <v>0</v>
      </c>
      <c r="FA880" s="9" t="n">
        <f aca="true">IFERROR(SUMPRODUCT(OFFSET($BJ$31,0,1-MIN(60,COLUMN()-29),1,MIN(60,COLUMN()-29)),OFFSET(FA879,0,-MIN(60,COLUMN()-29),1,MIN(60,COLUMN()-29))),0)</f>
        <v>0</v>
      </c>
      <c r="FB880" s="9" t="n">
        <f aca="true">IFERROR(SUMPRODUCT(OFFSET($BJ$31,0,1-MIN(60,COLUMN()-29),1,MIN(60,COLUMN()-29)),OFFSET(FB879,0,-MIN(60,COLUMN()-29),1,MIN(60,COLUMN()-29))),0)</f>
        <v>0</v>
      </c>
      <c r="FC880" s="9" t="n">
        <f aca="true">IFERROR(SUMPRODUCT(OFFSET($BJ$31,0,1-MIN(60,COLUMN()-29),1,MIN(60,COLUMN()-29)),OFFSET(FC879,0,-MIN(60,COLUMN()-29),1,MIN(60,COLUMN()-29))),0)</f>
        <v>0</v>
      </c>
      <c r="FD880" s="9" t="n">
        <f aca="true">IFERROR(SUMPRODUCT(OFFSET($BJ$31,0,1-MIN(60,COLUMN()-29),1,MIN(60,COLUMN()-29)),OFFSET(FD879,0,-MIN(60,COLUMN()-29),1,MIN(60,COLUMN()-29))),0)</f>
        <v>0</v>
      </c>
      <c r="FE880" s="9" t="n">
        <f aca="true">IFERROR(SUMPRODUCT(OFFSET($BJ$31,0,1-MIN(60,COLUMN()-29),1,MIN(60,COLUMN()-29)),OFFSET(FE879,0,-MIN(60,COLUMN()-29),1,MIN(60,COLUMN()-29))),0)</f>
        <v>0</v>
      </c>
      <c r="FF880" s="9" t="n">
        <f aca="true">IFERROR(SUMPRODUCT(OFFSET($BJ$31,0,1-MIN(60,COLUMN()-29),1,MIN(60,COLUMN()-29)),OFFSET(FF879,0,-MIN(60,COLUMN()-29),1,MIN(60,COLUMN()-29))),0)</f>
        <v>0</v>
      </c>
      <c r="FG880" s="9" t="n">
        <f aca="true">IFERROR(SUMPRODUCT(OFFSET($BJ$31,0,1-MIN(60,COLUMN()-29),1,MIN(60,COLUMN()-29)),OFFSET(FG879,0,-MIN(60,COLUMN()-29),1,MIN(60,COLUMN()-29))),0)</f>
        <v>0</v>
      </c>
      <c r="FH880" s="9" t="n">
        <f aca="true">IFERROR(SUMPRODUCT(OFFSET($BJ$31,0,1-MIN(60,COLUMN()-29),1,MIN(60,COLUMN()-29)),OFFSET(FH879,0,-MIN(60,COLUMN()-29),1,MIN(60,COLUMN()-29))),0)</f>
        <v>0</v>
      </c>
      <c r="FI880" s="9" t="n">
        <f aca="true">IFERROR(SUMPRODUCT(OFFSET($BJ$31,0,1-MIN(60,COLUMN()-29),1,MIN(60,COLUMN()-29)),OFFSET(FI879,0,-MIN(60,COLUMN()-29),1,MIN(60,COLUMN()-29))),0)</f>
        <v>0</v>
      </c>
      <c r="FJ880" s="9" t="n">
        <f aca="true">IFERROR(SUMPRODUCT(OFFSET($BJ$31,0,1-MIN(60,COLUMN()-29),1,MIN(60,COLUMN()-29)),OFFSET(FJ879,0,-MIN(60,COLUMN()-29),1,MIN(60,COLUMN()-29))),0)</f>
        <v>0</v>
      </c>
      <c r="FK880" s="9" t="n">
        <f aca="true">IFERROR(SUMPRODUCT(OFFSET($BJ$31,0,1-MIN(60,COLUMN()-29),1,MIN(60,COLUMN()-29)),OFFSET(FK879,0,-MIN(60,COLUMN()-29),1,MIN(60,COLUMN()-29))),0)</f>
        <v>0</v>
      </c>
      <c r="FL880" s="9" t="n">
        <f aca="true">IFERROR(SUMPRODUCT(OFFSET($BJ$31,0,1-MIN(60,COLUMN()-29),1,MIN(60,COLUMN()-29)),OFFSET(FL879,0,-MIN(60,COLUMN()-29),1,MIN(60,COLUMN()-29))),0)</f>
        <v>0</v>
      </c>
      <c r="FM880" s="9" t="n">
        <f aca="true">IFERROR(SUMPRODUCT(OFFSET($BJ$31,0,1-MIN(60,COLUMN()-29),1,MIN(60,COLUMN()-29)),OFFSET(FM879,0,-MIN(60,COLUMN()-29),1,MIN(60,COLUMN()-29))),0)</f>
        <v>6.72512</v>
      </c>
      <c r="FN880" s="9" t="n">
        <f aca="true">IFERROR(SUMPRODUCT(OFFSET($BJ$31,0,1-MIN(60,COLUMN()-29),1,MIN(60,COLUMN()-29)),OFFSET(FN879,0,-MIN(60,COLUMN()-29),1,MIN(60,COLUMN()-29))),0)</f>
        <v>6.96784</v>
      </c>
      <c r="FO880" s="9" t="n">
        <f aca="true">IFERROR(SUMPRODUCT(OFFSET($BJ$31,0,1-MIN(60,COLUMN()-29),1,MIN(60,COLUMN()-29)),OFFSET(FO879,0,-MIN(60,COLUMN()-29),1,MIN(60,COLUMN()-29))),0)</f>
        <v>7.4636992</v>
      </c>
      <c r="FP880" s="9" t="n">
        <f aca="true">IFERROR(SUMPRODUCT(OFFSET($BJ$31,0,1-MIN(60,COLUMN()-29),1,MIN(60,COLUMN()-29)),OFFSET(FP879,0,-MIN(60,COLUMN()-29),1,MIN(60,COLUMN()-29))),0)</f>
        <v>7.0836352</v>
      </c>
    </row>
    <row r="881" customFormat="false" ht="15" hidden="false" customHeight="false" outlineLevel="2" collapsed="false">
      <c r="B881" s="90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237"/>
      <c r="AD881" s="237"/>
      <c r="AE881" s="237"/>
      <c r="AF881" s="237"/>
      <c r="AG881" s="237"/>
      <c r="AH881" s="237"/>
      <c r="AI881" s="237"/>
      <c r="AJ881" s="237"/>
      <c r="AK881" s="237"/>
      <c r="AL881" s="237"/>
      <c r="AM881" s="237"/>
      <c r="AN881" s="237"/>
      <c r="AO881" s="237"/>
      <c r="AP881" s="237"/>
      <c r="AQ881" s="237"/>
      <c r="AR881" s="237"/>
      <c r="AS881" s="237"/>
      <c r="AT881" s="237"/>
      <c r="AU881" s="237"/>
      <c r="AV881" s="237"/>
      <c r="AW881" s="237"/>
      <c r="AX881" s="237"/>
      <c r="AY881" s="237"/>
      <c r="AZ881" s="237"/>
      <c r="BA881" s="237"/>
      <c r="BB881" s="237"/>
      <c r="BC881" s="237"/>
      <c r="BD881" s="237"/>
      <c r="BE881" s="237"/>
      <c r="BF881" s="237"/>
      <c r="BG881" s="237"/>
      <c r="BH881" s="237"/>
      <c r="BI881" s="237"/>
      <c r="BJ881" s="237"/>
      <c r="BK881" s="237"/>
      <c r="BL881" s="237"/>
      <c r="BM881" s="237"/>
      <c r="BN881" s="237"/>
      <c r="BO881" s="237"/>
      <c r="BP881" s="237"/>
      <c r="BQ881" s="237"/>
      <c r="BR881" s="237"/>
      <c r="BS881" s="237"/>
      <c r="BT881" s="237"/>
      <c r="BU881" s="237"/>
      <c r="BV881" s="237"/>
      <c r="BW881" s="237"/>
      <c r="BX881" s="237"/>
      <c r="BY881" s="237"/>
      <c r="BZ881" s="237"/>
      <c r="CA881" s="237"/>
      <c r="CB881" s="237"/>
      <c r="CC881" s="237"/>
      <c r="CD881" s="237"/>
      <c r="CE881" s="237"/>
      <c r="CF881" s="237"/>
      <c r="CG881" s="237"/>
      <c r="CH881" s="237"/>
      <c r="CI881" s="237"/>
      <c r="CJ881" s="237"/>
      <c r="CK881" s="237"/>
      <c r="CL881" s="237"/>
      <c r="CM881" s="237"/>
      <c r="CN881" s="237"/>
      <c r="CO881" s="237"/>
      <c r="CP881" s="237"/>
      <c r="CQ881" s="237"/>
      <c r="CR881" s="237"/>
      <c r="CS881" s="237"/>
      <c r="CT881" s="237"/>
      <c r="CU881" s="237"/>
      <c r="CV881" s="237"/>
      <c r="CW881" s="237"/>
      <c r="CX881" s="237"/>
      <c r="CY881" s="237"/>
      <c r="CZ881" s="237"/>
      <c r="DA881" s="237"/>
      <c r="DB881" s="237"/>
      <c r="DC881" s="237"/>
      <c r="DD881" s="237"/>
      <c r="DE881" s="237"/>
      <c r="DF881" s="237"/>
      <c r="DG881" s="237"/>
      <c r="DH881" s="237"/>
      <c r="DI881" s="237"/>
      <c r="DJ881" s="237"/>
      <c r="DK881" s="237"/>
      <c r="DL881" s="237"/>
      <c r="DM881" s="237"/>
      <c r="DN881" s="237"/>
      <c r="DO881" s="237"/>
      <c r="DP881" s="237"/>
      <c r="DQ881" s="237"/>
      <c r="DR881" s="237"/>
      <c r="DS881" s="237"/>
      <c r="DT881" s="237"/>
      <c r="DU881" s="237"/>
      <c r="DV881" s="237"/>
      <c r="DW881" s="237"/>
      <c r="DX881" s="237"/>
      <c r="DY881" s="237"/>
      <c r="DZ881" s="237"/>
      <c r="EA881" s="237"/>
      <c r="EB881" s="237"/>
      <c r="EC881" s="237"/>
      <c r="ED881" s="237"/>
      <c r="EE881" s="237"/>
      <c r="EF881" s="237"/>
      <c r="EG881" s="237"/>
      <c r="EH881" s="237"/>
      <c r="EI881" s="237"/>
      <c r="EJ881" s="237"/>
      <c r="EK881" s="237"/>
      <c r="EL881" s="237"/>
      <c r="EM881" s="237"/>
      <c r="EN881" s="237"/>
      <c r="EO881" s="237"/>
      <c r="EP881" s="237"/>
      <c r="EQ881" s="237"/>
      <c r="ER881" s="237"/>
      <c r="ES881" s="9"/>
      <c r="ET881" s="9"/>
      <c r="EU881" s="9"/>
      <c r="EV881" s="9"/>
      <c r="EW881" s="9"/>
      <c r="EX881" s="9"/>
      <c r="EY881" s="9"/>
      <c r="EZ881" s="9"/>
      <c r="FA881" s="9"/>
      <c r="FB881" s="9"/>
      <c r="FC881" s="9"/>
      <c r="FD881" s="9"/>
      <c r="FE881" s="9"/>
      <c r="FF881" s="9"/>
      <c r="FG881" s="9"/>
      <c r="FH881" s="9"/>
      <c r="FI881" s="9"/>
      <c r="FJ881" s="9"/>
      <c r="FK881" s="9"/>
      <c r="FL881" s="9"/>
      <c r="FM881" s="9"/>
      <c r="FN881" s="9"/>
      <c r="FO881" s="9"/>
      <c r="FP881" s="9"/>
    </row>
    <row r="882" customFormat="false" ht="15" hidden="false" customHeight="false" outlineLevel="2" collapsed="false">
      <c r="B882" s="240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237"/>
      <c r="AD882" s="237"/>
      <c r="AE882" s="237"/>
      <c r="AF882" s="237"/>
      <c r="AG882" s="237"/>
      <c r="AH882" s="237"/>
      <c r="AI882" s="237"/>
      <c r="AJ882" s="237"/>
      <c r="AK882" s="237"/>
      <c r="AL882" s="237"/>
      <c r="AM882" s="237"/>
      <c r="AN882" s="237"/>
      <c r="AO882" s="237"/>
      <c r="AP882" s="237"/>
      <c r="AQ882" s="237"/>
      <c r="AR882" s="237"/>
      <c r="AS882" s="237"/>
      <c r="AT882" s="237"/>
      <c r="AU882" s="237"/>
      <c r="AV882" s="237"/>
      <c r="AW882" s="237"/>
      <c r="AX882" s="237"/>
      <c r="AY882" s="237"/>
      <c r="AZ882" s="237"/>
      <c r="BA882" s="237"/>
      <c r="BB882" s="237"/>
      <c r="BC882" s="237"/>
      <c r="BD882" s="237"/>
      <c r="BE882" s="237"/>
      <c r="BF882" s="237"/>
      <c r="BG882" s="237"/>
      <c r="BH882" s="237"/>
      <c r="BI882" s="237"/>
      <c r="BJ882" s="237"/>
      <c r="BK882" s="237"/>
      <c r="BL882" s="237"/>
      <c r="BM882" s="237"/>
      <c r="BN882" s="237"/>
      <c r="BO882" s="237"/>
      <c r="BP882" s="237"/>
      <c r="BQ882" s="237"/>
      <c r="BR882" s="237"/>
      <c r="BS882" s="237"/>
      <c r="BT882" s="237"/>
      <c r="BU882" s="237"/>
      <c r="BV882" s="237"/>
      <c r="BW882" s="237"/>
      <c r="BX882" s="237"/>
      <c r="BY882" s="237"/>
      <c r="BZ882" s="237"/>
      <c r="CA882" s="237"/>
      <c r="CB882" s="237"/>
      <c r="CC882" s="237"/>
      <c r="CD882" s="237"/>
      <c r="CE882" s="237"/>
      <c r="CF882" s="237"/>
      <c r="CG882" s="237"/>
      <c r="CH882" s="237"/>
      <c r="CI882" s="237"/>
      <c r="CJ882" s="237"/>
      <c r="CK882" s="237"/>
      <c r="CL882" s="237"/>
      <c r="CM882" s="237"/>
      <c r="CN882" s="237"/>
      <c r="CO882" s="237"/>
      <c r="CP882" s="237"/>
      <c r="CQ882" s="237"/>
      <c r="CR882" s="237"/>
      <c r="CS882" s="237"/>
      <c r="CT882" s="237"/>
      <c r="CU882" s="237"/>
      <c r="CV882" s="237"/>
      <c r="CW882" s="237"/>
      <c r="CX882" s="237"/>
      <c r="CY882" s="237"/>
      <c r="CZ882" s="237"/>
      <c r="DA882" s="237"/>
      <c r="DB882" s="237"/>
      <c r="DC882" s="237"/>
      <c r="DD882" s="237"/>
      <c r="DE882" s="237"/>
      <c r="DF882" s="237"/>
      <c r="DG882" s="237"/>
      <c r="DH882" s="237"/>
      <c r="DI882" s="237"/>
      <c r="DJ882" s="237"/>
      <c r="DK882" s="237"/>
      <c r="DL882" s="237"/>
      <c r="DM882" s="237"/>
      <c r="DN882" s="237"/>
      <c r="DO882" s="237"/>
      <c r="DP882" s="237"/>
      <c r="DQ882" s="237"/>
      <c r="DR882" s="237"/>
      <c r="DS882" s="237"/>
      <c r="DT882" s="237"/>
      <c r="DU882" s="237"/>
      <c r="DV882" s="237"/>
      <c r="DW882" s="237"/>
      <c r="DX882" s="237"/>
      <c r="DY882" s="237"/>
      <c r="DZ882" s="237"/>
      <c r="EA882" s="237"/>
      <c r="EB882" s="237"/>
      <c r="EC882" s="237"/>
      <c r="ED882" s="237"/>
      <c r="EE882" s="237"/>
      <c r="EF882" s="237"/>
      <c r="EG882" s="237"/>
      <c r="EH882" s="237"/>
      <c r="EI882" s="237"/>
      <c r="EJ882" s="237"/>
      <c r="EK882" s="237"/>
      <c r="EL882" s="237"/>
      <c r="EM882" s="237"/>
      <c r="EN882" s="237"/>
      <c r="EO882" s="237"/>
      <c r="EP882" s="237"/>
      <c r="EQ882" s="237"/>
      <c r="ER882" s="237"/>
      <c r="ES882" s="9"/>
      <c r="ET882" s="9"/>
      <c r="EU882" s="9"/>
      <c r="EV882" s="9"/>
      <c r="EW882" s="9"/>
      <c r="EX882" s="9"/>
      <c r="EY882" s="9"/>
      <c r="EZ882" s="9"/>
      <c r="FA882" s="9"/>
      <c r="FB882" s="9"/>
      <c r="FC882" s="9"/>
      <c r="FD882" s="9"/>
      <c r="FE882" s="9"/>
      <c r="FF882" s="9"/>
      <c r="FG882" s="9"/>
      <c r="FH882" s="9"/>
      <c r="FI882" s="9"/>
      <c r="FJ882" s="9"/>
      <c r="FK882" s="9"/>
      <c r="FL882" s="9"/>
      <c r="FM882" s="9"/>
      <c r="FN882" s="9"/>
      <c r="FO882" s="9"/>
      <c r="FP882" s="9"/>
    </row>
    <row r="883" customFormat="false" ht="15" hidden="false" customHeight="false" outlineLevel="2" collapsed="false">
      <c r="B883" s="21" t="s">
        <v>961</v>
      </c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  <c r="AP883" s="21"/>
      <c r="AQ883" s="21"/>
      <c r="AR883" s="21"/>
      <c r="AS883" s="21"/>
      <c r="AT883" s="21"/>
      <c r="AU883" s="21"/>
      <c r="AV883" s="21"/>
      <c r="AW883" s="21"/>
      <c r="AX883" s="21"/>
      <c r="AY883" s="21"/>
      <c r="AZ883" s="21"/>
      <c r="BA883" s="21"/>
      <c r="BB883" s="21"/>
      <c r="BC883" s="21"/>
      <c r="BD883" s="21"/>
      <c r="BE883" s="21"/>
      <c r="BF883" s="21"/>
      <c r="BG883" s="21"/>
      <c r="BH883" s="21"/>
      <c r="BI883" s="21"/>
      <c r="BJ883" s="21"/>
      <c r="BK883" s="21"/>
      <c r="BL883" s="21"/>
      <c r="BM883" s="21"/>
      <c r="BN883" s="21"/>
      <c r="BO883" s="21"/>
      <c r="BP883" s="21"/>
      <c r="BQ883" s="21"/>
      <c r="BR883" s="21"/>
      <c r="BS883" s="21"/>
      <c r="BT883" s="21"/>
      <c r="BU883" s="21"/>
      <c r="BV883" s="21"/>
      <c r="BW883" s="21"/>
      <c r="BX883" s="21"/>
      <c r="BY883" s="21"/>
      <c r="BZ883" s="21"/>
      <c r="CA883" s="21"/>
      <c r="CB883" s="21"/>
      <c r="CC883" s="21"/>
      <c r="CD883" s="21"/>
      <c r="CE883" s="21"/>
      <c r="CF883" s="21"/>
      <c r="CG883" s="21"/>
      <c r="CH883" s="21"/>
      <c r="CI883" s="21"/>
      <c r="CJ883" s="21"/>
      <c r="CK883" s="21"/>
      <c r="CL883" s="21"/>
      <c r="CM883" s="21"/>
      <c r="CN883" s="21"/>
      <c r="CO883" s="21"/>
      <c r="CP883" s="21"/>
      <c r="CQ883" s="21"/>
      <c r="CR883" s="21"/>
      <c r="CS883" s="21"/>
      <c r="CT883" s="21"/>
      <c r="CU883" s="21"/>
      <c r="CV883" s="21"/>
      <c r="CW883" s="21"/>
      <c r="CX883" s="21"/>
      <c r="CY883" s="21"/>
      <c r="CZ883" s="21"/>
      <c r="DA883" s="21"/>
      <c r="DB883" s="21"/>
      <c r="DC883" s="21"/>
      <c r="DD883" s="21"/>
      <c r="DE883" s="21"/>
      <c r="DF883" s="21"/>
      <c r="DG883" s="21"/>
      <c r="DH883" s="21"/>
      <c r="DI883" s="21"/>
      <c r="DJ883" s="21"/>
      <c r="DK883" s="21"/>
      <c r="DL883" s="21"/>
      <c r="DM883" s="21"/>
      <c r="DN883" s="21"/>
      <c r="DO883" s="21"/>
      <c r="DP883" s="21"/>
      <c r="DQ883" s="21"/>
      <c r="DR883" s="21"/>
      <c r="DS883" s="21"/>
      <c r="DT883" s="21"/>
      <c r="DU883" s="21"/>
      <c r="DV883" s="21"/>
      <c r="DW883" s="21"/>
      <c r="DX883" s="21"/>
      <c r="DY883" s="21"/>
      <c r="DZ883" s="21"/>
      <c r="EA883" s="21"/>
      <c r="EB883" s="21"/>
      <c r="EC883" s="21"/>
      <c r="ED883" s="21"/>
      <c r="EE883" s="21"/>
      <c r="EF883" s="21"/>
      <c r="EG883" s="21"/>
      <c r="EH883" s="21"/>
      <c r="EI883" s="21"/>
      <c r="EJ883" s="21"/>
      <c r="EK883" s="21"/>
      <c r="EL883" s="21"/>
      <c r="EM883" s="21"/>
      <c r="EN883" s="21"/>
      <c r="EO883" s="21"/>
      <c r="EP883" s="21"/>
      <c r="EQ883" s="21"/>
      <c r="ER883" s="21"/>
      <c r="ES883" s="9"/>
      <c r="ET883" s="9"/>
      <c r="EU883" s="9"/>
      <c r="EV883" s="9"/>
      <c r="EW883" s="9"/>
      <c r="EX883" s="9"/>
      <c r="EY883" s="9"/>
      <c r="EZ883" s="9"/>
      <c r="FA883" s="9"/>
      <c r="FB883" s="9"/>
      <c r="FC883" s="9"/>
      <c r="FD883" s="9"/>
      <c r="FE883" s="9"/>
      <c r="FF883" s="9"/>
      <c r="FG883" s="9"/>
      <c r="FH883" s="9"/>
      <c r="FI883" s="9"/>
      <c r="FJ883" s="9"/>
      <c r="FK883" s="9"/>
      <c r="FL883" s="9"/>
      <c r="FM883" s="9"/>
      <c r="FN883" s="9"/>
      <c r="FO883" s="9"/>
      <c r="FP883" s="9"/>
    </row>
    <row r="884" customFormat="false" ht="15" hidden="false" customHeight="false" outlineLevel="2" collapsed="false">
      <c r="B884" s="9" t="s">
        <v>872</v>
      </c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234" t="n">
        <f aca="false">('⑫ Roll-out Plan'!G93-2025)*12+'⑫ Roll-out Plan'!F93</f>
        <v>141</v>
      </c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9"/>
      <c r="CN884" s="9"/>
      <c r="CO884" s="9"/>
      <c r="CP884" s="9"/>
      <c r="CQ884" s="9"/>
      <c r="CR884" s="9"/>
      <c r="CS884" s="9"/>
      <c r="CT884" s="9"/>
      <c r="CU884" s="9"/>
      <c r="CV884" s="9"/>
      <c r="CW884" s="9"/>
      <c r="CX884" s="9"/>
      <c r="CY884" s="9"/>
      <c r="CZ884" s="9"/>
      <c r="DA884" s="9"/>
      <c r="DB884" s="9"/>
      <c r="DC884" s="9"/>
      <c r="DD884" s="9"/>
      <c r="DE884" s="9"/>
      <c r="DF884" s="9"/>
      <c r="DG884" s="9"/>
      <c r="DH884" s="9"/>
      <c r="DI884" s="9"/>
      <c r="DJ884" s="9"/>
      <c r="DK884" s="9"/>
      <c r="DL884" s="9"/>
      <c r="DM884" s="9"/>
      <c r="DN884" s="9"/>
      <c r="DO884" s="9"/>
      <c r="DP884" s="9"/>
      <c r="DQ884" s="9"/>
      <c r="DR884" s="9"/>
      <c r="DS884" s="9"/>
      <c r="DT884" s="9"/>
      <c r="DU884" s="9"/>
      <c r="DV884" s="9"/>
      <c r="DW884" s="9"/>
      <c r="DX884" s="9"/>
      <c r="DY884" s="9"/>
      <c r="DZ884" s="9"/>
      <c r="EA884" s="9"/>
      <c r="EB884" s="9"/>
      <c r="EC884" s="9"/>
      <c r="ED884" s="9"/>
      <c r="EE884" s="9"/>
      <c r="EF884" s="9"/>
      <c r="EG884" s="9"/>
      <c r="EH884" s="9"/>
      <c r="EI884" s="9"/>
      <c r="EJ884" s="9"/>
      <c r="EK884" s="9"/>
      <c r="EL884" s="9"/>
      <c r="EM884" s="9"/>
      <c r="EN884" s="9"/>
      <c r="EO884" s="9"/>
      <c r="EP884" s="9"/>
      <c r="EQ884" s="9"/>
      <c r="ER884" s="9"/>
      <c r="ES884" s="9"/>
      <c r="ET884" s="9"/>
      <c r="EU884" s="9"/>
      <c r="EV884" s="9"/>
      <c r="EW884" s="9"/>
      <c r="EX884" s="9"/>
      <c r="EY884" s="9"/>
      <c r="EZ884" s="9"/>
      <c r="FA884" s="9"/>
      <c r="FB884" s="9"/>
      <c r="FC884" s="9"/>
      <c r="FD884" s="9"/>
      <c r="FE884" s="9"/>
      <c r="FF884" s="9"/>
      <c r="FG884" s="9"/>
      <c r="FH884" s="9"/>
      <c r="FI884" s="9"/>
      <c r="FJ884" s="9"/>
      <c r="FK884" s="9"/>
      <c r="FL884" s="9"/>
      <c r="FM884" s="9"/>
      <c r="FN884" s="9"/>
      <c r="FO884" s="9"/>
      <c r="FP884" s="9"/>
    </row>
    <row r="885" customFormat="false" ht="15" hidden="false" customHeight="false" outlineLevel="2" collapsed="false">
      <c r="B885" s="9" t="s">
        <v>873</v>
      </c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235" t="n">
        <f aca="false">VLOOKUP("C",$B$14:$C$18,2,FALSE())</f>
        <v>110</v>
      </c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  <c r="CA885" s="9"/>
      <c r="CB885" s="9"/>
      <c r="CC885" s="9"/>
      <c r="CD885" s="9"/>
      <c r="CE885" s="9"/>
      <c r="CF885" s="9"/>
      <c r="CG885" s="9"/>
      <c r="CH885" s="9"/>
      <c r="CI885" s="9"/>
      <c r="CJ885" s="9"/>
      <c r="CK885" s="9"/>
      <c r="CL885" s="9"/>
      <c r="CM885" s="9"/>
      <c r="CN885" s="9"/>
      <c r="CO885" s="9"/>
      <c r="CP885" s="9"/>
      <c r="CQ885" s="9"/>
      <c r="CR885" s="9"/>
      <c r="CS885" s="9"/>
      <c r="CT885" s="9"/>
      <c r="CU885" s="9"/>
      <c r="CV885" s="9"/>
      <c r="CW885" s="9"/>
      <c r="CX885" s="9"/>
      <c r="CY885" s="9"/>
      <c r="CZ885" s="9"/>
      <c r="DA885" s="9"/>
      <c r="DB885" s="9"/>
      <c r="DC885" s="9"/>
      <c r="DD885" s="9"/>
      <c r="DE885" s="9"/>
      <c r="DF885" s="9"/>
      <c r="DG885" s="9"/>
      <c r="DH885" s="9"/>
      <c r="DI885" s="9"/>
      <c r="DJ885" s="9"/>
      <c r="DK885" s="9"/>
      <c r="DL885" s="9"/>
      <c r="DM885" s="9"/>
      <c r="DN885" s="9"/>
      <c r="DO885" s="9"/>
      <c r="DP885" s="9"/>
      <c r="DQ885" s="9"/>
      <c r="DR885" s="9"/>
      <c r="DS885" s="9"/>
      <c r="DT885" s="9"/>
      <c r="DU885" s="9"/>
      <c r="DV885" s="9"/>
      <c r="DW885" s="9"/>
      <c r="DX885" s="9"/>
      <c r="DY885" s="9"/>
      <c r="DZ885" s="9"/>
      <c r="EA885" s="9"/>
      <c r="EB885" s="9"/>
      <c r="EC885" s="9"/>
      <c r="ED885" s="9"/>
      <c r="EE885" s="9"/>
      <c r="EF885" s="9"/>
      <c r="EG885" s="9"/>
      <c r="EH885" s="9"/>
      <c r="EI885" s="9"/>
      <c r="EJ885" s="9"/>
      <c r="EK885" s="9"/>
      <c r="EL885" s="9"/>
      <c r="EM885" s="9"/>
      <c r="EN885" s="9"/>
      <c r="EO885" s="9"/>
      <c r="EP885" s="9"/>
      <c r="EQ885" s="9"/>
      <c r="ER885" s="9"/>
      <c r="ES885" s="9"/>
      <c r="ET885" s="9"/>
      <c r="EU885" s="9"/>
      <c r="EV885" s="9"/>
      <c r="EW885" s="9"/>
      <c r="EX885" s="9"/>
      <c r="EY885" s="9"/>
      <c r="EZ885" s="9"/>
      <c r="FA885" s="9"/>
      <c r="FB885" s="9"/>
      <c r="FC885" s="9"/>
      <c r="FD885" s="9"/>
      <c r="FE885" s="9"/>
      <c r="FF885" s="9"/>
      <c r="FG885" s="9"/>
      <c r="FH885" s="9"/>
      <c r="FI885" s="9"/>
      <c r="FJ885" s="9"/>
      <c r="FK885" s="9"/>
      <c r="FL885" s="9"/>
      <c r="FM885" s="9"/>
      <c r="FN885" s="9"/>
      <c r="FO885" s="9"/>
      <c r="FP885" s="9"/>
    </row>
    <row r="886" customFormat="false" ht="15" hidden="false" customHeight="false" outlineLevel="2" collapsed="false">
      <c r="B886" s="9" t="s">
        <v>799</v>
      </c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63" t="n">
        <f aca="false">IF(AC$35&gt;=$AC$884,AC$35-$AC$884+1,0)</f>
        <v>0</v>
      </c>
      <c r="AD886" s="63" t="n">
        <f aca="false">IF(AD$35&gt;=$AC$884,AD$35-$AC$884+1,0)</f>
        <v>0</v>
      </c>
      <c r="AE886" s="63" t="n">
        <f aca="false">IF(AE$35&gt;=$AC$884,AE$35-$AC$884+1,0)</f>
        <v>0</v>
      </c>
      <c r="AF886" s="63" t="n">
        <f aca="false">IF(AF$35&gt;=$AC$884,AF$35-$AC$884+1,0)</f>
        <v>0</v>
      </c>
      <c r="AG886" s="63" t="n">
        <f aca="false">IF(AG$35&gt;=$AC$884,AG$35-$AC$884+1,0)</f>
        <v>0</v>
      </c>
      <c r="AH886" s="63" t="n">
        <f aca="false">IF(AH$35&gt;=$AC$884,AH$35-$AC$884+1,0)</f>
        <v>0</v>
      </c>
      <c r="AI886" s="63" t="n">
        <f aca="false">IF(AI$35&gt;=$AC$884,AI$35-$AC$884+1,0)</f>
        <v>0</v>
      </c>
      <c r="AJ886" s="63" t="n">
        <f aca="false">IF(AJ$35&gt;=$AC$884,AJ$35-$AC$884+1,0)</f>
        <v>0</v>
      </c>
      <c r="AK886" s="63" t="n">
        <f aca="false">IF(AK$35&gt;=$AC$884,AK$35-$AC$884+1,0)</f>
        <v>0</v>
      </c>
      <c r="AL886" s="63" t="n">
        <f aca="false">IF(AL$35&gt;=$AC$884,AL$35-$AC$884+1,0)</f>
        <v>0</v>
      </c>
      <c r="AM886" s="63" t="n">
        <f aca="false">IF(AM$35&gt;=$AC$884,AM$35-$AC$884+1,0)</f>
        <v>0</v>
      </c>
      <c r="AN886" s="63" t="n">
        <f aca="false">IF(AN$35&gt;=$AC$884,AN$35-$AC$884+1,0)</f>
        <v>0</v>
      </c>
      <c r="AO886" s="63" t="n">
        <f aca="false">IF(AO$35&gt;=$AC$884,AO$35-$AC$884+1,0)</f>
        <v>0</v>
      </c>
      <c r="AP886" s="63" t="n">
        <f aca="false">IF(AP$35&gt;=$AC$884,AP$35-$AC$884+1,0)</f>
        <v>0</v>
      </c>
      <c r="AQ886" s="63" t="n">
        <f aca="false">IF(AQ$35&gt;=$AC$884,AQ$35-$AC$884+1,0)</f>
        <v>0</v>
      </c>
      <c r="AR886" s="63" t="n">
        <f aca="false">IF(AR$35&gt;=$AC$884,AR$35-$AC$884+1,0)</f>
        <v>0</v>
      </c>
      <c r="AS886" s="63" t="n">
        <f aca="false">IF(AS$35&gt;=$AC$884,AS$35-$AC$884+1,0)</f>
        <v>0</v>
      </c>
      <c r="AT886" s="63" t="n">
        <f aca="false">IF(AT$35&gt;=$AC$884,AT$35-$AC$884+1,0)</f>
        <v>0</v>
      </c>
      <c r="AU886" s="63" t="n">
        <f aca="false">IF(AU$35&gt;=$AC$884,AU$35-$AC$884+1,0)</f>
        <v>0</v>
      </c>
      <c r="AV886" s="63" t="n">
        <f aca="false">IF(AV$35&gt;=$AC$884,AV$35-$AC$884+1,0)</f>
        <v>0</v>
      </c>
      <c r="AW886" s="63" t="n">
        <f aca="false">IF(AW$35&gt;=$AC$884,AW$35-$AC$884+1,0)</f>
        <v>0</v>
      </c>
      <c r="AX886" s="63" t="n">
        <f aca="false">IF(AX$35&gt;=$AC$884,AX$35-$AC$884+1,0)</f>
        <v>0</v>
      </c>
      <c r="AY886" s="63" t="n">
        <f aca="false">IF(AY$35&gt;=$AC$884,AY$35-$AC$884+1,0)</f>
        <v>0</v>
      </c>
      <c r="AZ886" s="63" t="n">
        <f aca="false">IF(AZ$35&gt;=$AC$884,AZ$35-$AC$884+1,0)</f>
        <v>0</v>
      </c>
      <c r="BA886" s="63" t="n">
        <f aca="false">IF(BA$35&gt;=$AC$884,BA$35-$AC$884+1,0)</f>
        <v>0</v>
      </c>
      <c r="BB886" s="63" t="n">
        <f aca="false">IF(BB$35&gt;=$AC$884,BB$35-$AC$884+1,0)</f>
        <v>0</v>
      </c>
      <c r="BC886" s="63" t="n">
        <f aca="false">IF(BC$35&gt;=$AC$884,BC$35-$AC$884+1,0)</f>
        <v>0</v>
      </c>
      <c r="BD886" s="63" t="n">
        <f aca="false">IF(BD$35&gt;=$AC$884,BD$35-$AC$884+1,0)</f>
        <v>0</v>
      </c>
      <c r="BE886" s="63" t="n">
        <f aca="false">IF(BE$35&gt;=$AC$884,BE$35-$AC$884+1,0)</f>
        <v>0</v>
      </c>
      <c r="BF886" s="63" t="n">
        <f aca="false">IF(BF$35&gt;=$AC$884,BF$35-$AC$884+1,0)</f>
        <v>0</v>
      </c>
      <c r="BG886" s="63" t="n">
        <f aca="false">IF(BG$35&gt;=$AC$884,BG$35-$AC$884+1,0)</f>
        <v>0</v>
      </c>
      <c r="BH886" s="63" t="n">
        <f aca="false">IF(BH$35&gt;=$AC$884,BH$35-$AC$884+1,0)</f>
        <v>0</v>
      </c>
      <c r="BI886" s="63" t="n">
        <f aca="false">IF(BI$35&gt;=$AC$884,BI$35-$AC$884+1,0)</f>
        <v>0</v>
      </c>
      <c r="BJ886" s="63" t="n">
        <f aca="false">IF(BJ$35&gt;=$AC$884,BJ$35-$AC$884+1,0)</f>
        <v>0</v>
      </c>
      <c r="BK886" s="63" t="n">
        <f aca="false">IF(BK$35&gt;=$AC$884,BK$35-$AC$884+1,0)</f>
        <v>0</v>
      </c>
      <c r="BL886" s="63" t="n">
        <f aca="false">IF(BL$35&gt;=$AC$884,BL$35-$AC$884+1,0)</f>
        <v>0</v>
      </c>
      <c r="BM886" s="63" t="n">
        <f aca="false">IF(BM$35&gt;=$AC$884,BM$35-$AC$884+1,0)</f>
        <v>0</v>
      </c>
      <c r="BN886" s="63" t="n">
        <f aca="false">IF(BN$35&gt;=$AC$884,BN$35-$AC$884+1,0)</f>
        <v>0</v>
      </c>
      <c r="BO886" s="63" t="n">
        <f aca="false">IF(BO$35&gt;=$AC$884,BO$35-$AC$884+1,0)</f>
        <v>0</v>
      </c>
      <c r="BP886" s="63" t="n">
        <f aca="false">IF(BP$35&gt;=$AC$884,BP$35-$AC$884+1,0)</f>
        <v>0</v>
      </c>
      <c r="BQ886" s="63" t="n">
        <f aca="false">IF(BQ$35&gt;=$AC$884,BQ$35-$AC$884+1,0)</f>
        <v>0</v>
      </c>
      <c r="BR886" s="63" t="n">
        <f aca="false">IF(BR$35&gt;=$AC$884,BR$35-$AC$884+1,0)</f>
        <v>0</v>
      </c>
      <c r="BS886" s="63" t="n">
        <f aca="false">IF(BS$35&gt;=$AC$884,BS$35-$AC$884+1,0)</f>
        <v>0</v>
      </c>
      <c r="BT886" s="63" t="n">
        <f aca="false">IF(BT$35&gt;=$AC$884,BT$35-$AC$884+1,0)</f>
        <v>0</v>
      </c>
      <c r="BU886" s="63" t="n">
        <f aca="false">IF(BU$35&gt;=$AC$884,BU$35-$AC$884+1,0)</f>
        <v>0</v>
      </c>
      <c r="BV886" s="63" t="n">
        <f aca="false">IF(BV$35&gt;=$AC$884,BV$35-$AC$884+1,0)</f>
        <v>0</v>
      </c>
      <c r="BW886" s="63" t="n">
        <f aca="false">IF(BW$35&gt;=$AC$884,BW$35-$AC$884+1,0)</f>
        <v>0</v>
      </c>
      <c r="BX886" s="63" t="n">
        <f aca="false">IF(BX$35&gt;=$AC$884,BX$35-$AC$884+1,0)</f>
        <v>0</v>
      </c>
      <c r="BY886" s="63" t="n">
        <f aca="false">IF(BY$35&gt;=$AC$884,BY$35-$AC$884+1,0)</f>
        <v>0</v>
      </c>
      <c r="BZ886" s="63" t="n">
        <f aca="false">IF(BZ$35&gt;=$AC$884,BZ$35-$AC$884+1,0)</f>
        <v>0</v>
      </c>
      <c r="CA886" s="63" t="n">
        <f aca="false">IF(CA$35&gt;=$AC$884,CA$35-$AC$884+1,0)</f>
        <v>0</v>
      </c>
      <c r="CB886" s="63" t="n">
        <f aca="false">IF(CB$35&gt;=$AC$884,CB$35-$AC$884+1,0)</f>
        <v>0</v>
      </c>
      <c r="CC886" s="63" t="n">
        <f aca="false">IF(CC$35&gt;=$AC$884,CC$35-$AC$884+1,0)</f>
        <v>0</v>
      </c>
      <c r="CD886" s="63" t="n">
        <f aca="false">IF(CD$35&gt;=$AC$884,CD$35-$AC$884+1,0)</f>
        <v>0</v>
      </c>
      <c r="CE886" s="63" t="n">
        <f aca="false">IF(CE$35&gt;=$AC$884,CE$35-$AC$884+1,0)</f>
        <v>0</v>
      </c>
      <c r="CF886" s="63" t="n">
        <f aca="false">IF(CF$35&gt;=$AC$884,CF$35-$AC$884+1,0)</f>
        <v>0</v>
      </c>
      <c r="CG886" s="63" t="n">
        <f aca="false">IF(CG$35&gt;=$AC$884,CG$35-$AC$884+1,0)</f>
        <v>0</v>
      </c>
      <c r="CH886" s="63" t="n">
        <f aca="false">IF(CH$35&gt;=$AC$884,CH$35-$AC$884+1,0)</f>
        <v>0</v>
      </c>
      <c r="CI886" s="63" t="n">
        <f aca="false">IF(CI$35&gt;=$AC$884,CI$35-$AC$884+1,0)</f>
        <v>0</v>
      </c>
      <c r="CJ886" s="63" t="n">
        <f aca="false">IF(CJ$35&gt;=$AC$884,CJ$35-$AC$884+1,0)</f>
        <v>0</v>
      </c>
      <c r="CK886" s="63" t="n">
        <f aca="false">IF(CK$35&gt;=$AC$884,CK$35-$AC$884+1,0)</f>
        <v>0</v>
      </c>
      <c r="CL886" s="63" t="n">
        <f aca="false">IF(CL$35&gt;=$AC$884,CL$35-$AC$884+1,0)</f>
        <v>0</v>
      </c>
      <c r="CM886" s="63" t="n">
        <f aca="false">IF(CM$35&gt;=$AC$884,CM$35-$AC$884+1,0)</f>
        <v>0</v>
      </c>
      <c r="CN886" s="63" t="n">
        <f aca="false">IF(CN$35&gt;=$AC$884,CN$35-$AC$884+1,0)</f>
        <v>0</v>
      </c>
      <c r="CO886" s="63" t="n">
        <f aca="false">IF(CO$35&gt;=$AC$884,CO$35-$AC$884+1,0)</f>
        <v>0</v>
      </c>
      <c r="CP886" s="63" t="n">
        <f aca="false">IF(CP$35&gt;=$AC$884,CP$35-$AC$884+1,0)</f>
        <v>0</v>
      </c>
      <c r="CQ886" s="63" t="n">
        <f aca="false">IF(CQ$35&gt;=$AC$884,CQ$35-$AC$884+1,0)</f>
        <v>0</v>
      </c>
      <c r="CR886" s="63" t="n">
        <f aca="false">IF(CR$35&gt;=$AC$884,CR$35-$AC$884+1,0)</f>
        <v>0</v>
      </c>
      <c r="CS886" s="63" t="n">
        <f aca="false">IF(CS$35&gt;=$AC$884,CS$35-$AC$884+1,0)</f>
        <v>0</v>
      </c>
      <c r="CT886" s="63" t="n">
        <f aca="false">IF(CT$35&gt;=$AC$884,CT$35-$AC$884+1,0)</f>
        <v>0</v>
      </c>
      <c r="CU886" s="63" t="n">
        <f aca="false">IF(CU$35&gt;=$AC$884,CU$35-$AC$884+1,0)</f>
        <v>0</v>
      </c>
      <c r="CV886" s="63" t="n">
        <f aca="false">IF(CV$35&gt;=$AC$884,CV$35-$AC$884+1,0)</f>
        <v>0</v>
      </c>
      <c r="CW886" s="63" t="n">
        <f aca="false">IF(CW$35&gt;=$AC$884,CW$35-$AC$884+1,0)</f>
        <v>0</v>
      </c>
      <c r="CX886" s="63" t="n">
        <f aca="false">IF(CX$35&gt;=$AC$884,CX$35-$AC$884+1,0)</f>
        <v>0</v>
      </c>
      <c r="CY886" s="63" t="n">
        <f aca="false">IF(CY$35&gt;=$AC$884,CY$35-$AC$884+1,0)</f>
        <v>0</v>
      </c>
      <c r="CZ886" s="63" t="n">
        <f aca="false">IF(CZ$35&gt;=$AC$884,CZ$35-$AC$884+1,0)</f>
        <v>0</v>
      </c>
      <c r="DA886" s="63" t="n">
        <f aca="false">IF(DA$35&gt;=$AC$884,DA$35-$AC$884+1,0)</f>
        <v>0</v>
      </c>
      <c r="DB886" s="63" t="n">
        <f aca="false">IF(DB$35&gt;=$AC$884,DB$35-$AC$884+1,0)</f>
        <v>0</v>
      </c>
      <c r="DC886" s="63" t="n">
        <f aca="false">IF(DC$35&gt;=$AC$884,DC$35-$AC$884+1,0)</f>
        <v>0</v>
      </c>
      <c r="DD886" s="63" t="n">
        <f aca="false">IF(DD$35&gt;=$AC$884,DD$35-$AC$884+1,0)</f>
        <v>0</v>
      </c>
      <c r="DE886" s="63" t="n">
        <f aca="false">IF(DE$35&gt;=$AC$884,DE$35-$AC$884+1,0)</f>
        <v>0</v>
      </c>
      <c r="DF886" s="63" t="n">
        <f aca="false">IF(DF$35&gt;=$AC$884,DF$35-$AC$884+1,0)</f>
        <v>0</v>
      </c>
      <c r="DG886" s="63" t="n">
        <f aca="false">IF(DG$35&gt;=$AC$884,DG$35-$AC$884+1,0)</f>
        <v>0</v>
      </c>
      <c r="DH886" s="63" t="n">
        <f aca="false">IF(DH$35&gt;=$AC$884,DH$35-$AC$884+1,0)</f>
        <v>0</v>
      </c>
      <c r="DI886" s="63" t="n">
        <f aca="false">IF(DI$35&gt;=$AC$884,DI$35-$AC$884+1,0)</f>
        <v>0</v>
      </c>
      <c r="DJ886" s="63" t="n">
        <f aca="false">IF(DJ$35&gt;=$AC$884,DJ$35-$AC$884+1,0)</f>
        <v>0</v>
      </c>
      <c r="DK886" s="63" t="n">
        <f aca="false">IF(DK$35&gt;=$AC$884,DK$35-$AC$884+1,0)</f>
        <v>0</v>
      </c>
      <c r="DL886" s="63" t="n">
        <f aca="false">IF(DL$35&gt;=$AC$884,DL$35-$AC$884+1,0)</f>
        <v>0</v>
      </c>
      <c r="DM886" s="63" t="n">
        <f aca="false">IF(DM$35&gt;=$AC$884,DM$35-$AC$884+1,0)</f>
        <v>0</v>
      </c>
      <c r="DN886" s="63" t="n">
        <f aca="false">IF(DN$35&gt;=$AC$884,DN$35-$AC$884+1,0)</f>
        <v>0</v>
      </c>
      <c r="DO886" s="63" t="n">
        <f aca="false">IF(DO$35&gt;=$AC$884,DO$35-$AC$884+1,0)</f>
        <v>0</v>
      </c>
      <c r="DP886" s="63" t="n">
        <f aca="false">IF(DP$35&gt;=$AC$884,DP$35-$AC$884+1,0)</f>
        <v>0</v>
      </c>
      <c r="DQ886" s="63" t="n">
        <f aca="false">IF(DQ$35&gt;=$AC$884,DQ$35-$AC$884+1,0)</f>
        <v>0</v>
      </c>
      <c r="DR886" s="63" t="n">
        <f aca="false">IF(DR$35&gt;=$AC$884,DR$35-$AC$884+1,0)</f>
        <v>0</v>
      </c>
      <c r="DS886" s="63" t="n">
        <f aca="false">IF(DS$35&gt;=$AC$884,DS$35-$AC$884+1,0)</f>
        <v>0</v>
      </c>
      <c r="DT886" s="63" t="n">
        <f aca="false">IF(DT$35&gt;=$AC$884,DT$35-$AC$884+1,0)</f>
        <v>0</v>
      </c>
      <c r="DU886" s="63" t="n">
        <f aca="false">IF(DU$35&gt;=$AC$884,DU$35-$AC$884+1,0)</f>
        <v>0</v>
      </c>
      <c r="DV886" s="63" t="n">
        <f aca="false">IF(DV$35&gt;=$AC$884,DV$35-$AC$884+1,0)</f>
        <v>0</v>
      </c>
      <c r="DW886" s="63" t="n">
        <f aca="false">IF(DW$35&gt;=$AC$884,DW$35-$AC$884+1,0)</f>
        <v>0</v>
      </c>
      <c r="DX886" s="63" t="n">
        <f aca="false">IF(DX$35&gt;=$AC$884,DX$35-$AC$884+1,0)</f>
        <v>0</v>
      </c>
      <c r="DY886" s="63" t="n">
        <f aca="false">IF(DY$35&gt;=$AC$884,DY$35-$AC$884+1,0)</f>
        <v>0</v>
      </c>
      <c r="DZ886" s="63" t="n">
        <f aca="false">IF(DZ$35&gt;=$AC$884,DZ$35-$AC$884+1,0)</f>
        <v>0</v>
      </c>
      <c r="EA886" s="63" t="n">
        <f aca="false">IF(EA$35&gt;=$AC$884,EA$35-$AC$884+1,0)</f>
        <v>0</v>
      </c>
      <c r="EB886" s="63" t="n">
        <f aca="false">IF(EB$35&gt;=$AC$884,EB$35-$AC$884+1,0)</f>
        <v>0</v>
      </c>
      <c r="EC886" s="63" t="n">
        <f aca="false">IF(EC$35&gt;=$AC$884,EC$35-$AC$884+1,0)</f>
        <v>0</v>
      </c>
      <c r="ED886" s="63" t="n">
        <f aca="false">IF(ED$35&gt;=$AC$884,ED$35-$AC$884+1,0)</f>
        <v>0</v>
      </c>
      <c r="EE886" s="63" t="n">
        <f aca="false">IF(EE$35&gt;=$AC$884,EE$35-$AC$884+1,0)</f>
        <v>0</v>
      </c>
      <c r="EF886" s="63" t="n">
        <f aca="false">IF(EF$35&gt;=$AC$884,EF$35-$AC$884+1,0)</f>
        <v>0</v>
      </c>
      <c r="EG886" s="63" t="n">
        <f aca="false">IF(EG$35&gt;=$AC$884,EG$35-$AC$884+1,0)</f>
        <v>0</v>
      </c>
      <c r="EH886" s="63" t="n">
        <f aca="false">IF(EH$35&gt;=$AC$884,EH$35-$AC$884+1,0)</f>
        <v>0</v>
      </c>
      <c r="EI886" s="63" t="n">
        <f aca="false">IF(EI$35&gt;=$AC$884,EI$35-$AC$884+1,0)</f>
        <v>0</v>
      </c>
      <c r="EJ886" s="63" t="n">
        <f aca="false">IF(EJ$35&gt;=$AC$884,EJ$35-$AC$884+1,0)</f>
        <v>0</v>
      </c>
      <c r="EK886" s="63" t="n">
        <f aca="false">IF(EK$35&gt;=$AC$884,EK$35-$AC$884+1,0)</f>
        <v>0</v>
      </c>
      <c r="EL886" s="63" t="n">
        <f aca="false">IF(EL$35&gt;=$AC$884,EL$35-$AC$884+1,0)</f>
        <v>0</v>
      </c>
      <c r="EM886" s="63" t="n">
        <f aca="false">IF(EM$35&gt;=$AC$884,EM$35-$AC$884+1,0)</f>
        <v>0</v>
      </c>
      <c r="EN886" s="63" t="n">
        <f aca="false">IF(EN$35&gt;=$AC$884,EN$35-$AC$884+1,0)</f>
        <v>0</v>
      </c>
      <c r="EO886" s="63" t="n">
        <f aca="false">IF(EO$35&gt;=$AC$884,EO$35-$AC$884+1,0)</f>
        <v>0</v>
      </c>
      <c r="EP886" s="63" t="n">
        <f aca="false">IF(EP$35&gt;=$AC$884,EP$35-$AC$884+1,0)</f>
        <v>0</v>
      </c>
      <c r="EQ886" s="63" t="n">
        <f aca="false">IF(EQ$35&gt;=$AC$884,EQ$35-$AC$884+1,0)</f>
        <v>0</v>
      </c>
      <c r="ER886" s="63" t="n">
        <f aca="false">IF(ER$35&gt;=$AC$884,ER$35-$AC$884+1,0)</f>
        <v>0</v>
      </c>
      <c r="ES886" s="9" t="n">
        <f aca="false">IF(ES$35&gt;=$AC$884,ES$35-$AC$884+1,0)</f>
        <v>0</v>
      </c>
      <c r="ET886" s="9" t="n">
        <f aca="false">IF(ET$35&gt;=$AC$884,ET$35-$AC$884+1,0)</f>
        <v>0</v>
      </c>
      <c r="EU886" s="9" t="n">
        <f aca="false">IF(EU$35&gt;=$AC$884,EU$35-$AC$884+1,0)</f>
        <v>0</v>
      </c>
      <c r="EV886" s="9" t="n">
        <f aca="false">IF(EV$35&gt;=$AC$884,EV$35-$AC$884+1,0)</f>
        <v>0</v>
      </c>
      <c r="EW886" s="9" t="n">
        <f aca="false">IF(EW$35&gt;=$AC$884,EW$35-$AC$884+1,0)</f>
        <v>0</v>
      </c>
      <c r="EX886" s="9" t="n">
        <f aca="false">IF(EX$35&gt;=$AC$884,EX$35-$AC$884+1,0)</f>
        <v>0</v>
      </c>
      <c r="EY886" s="9" t="n">
        <f aca="false">IF(EY$35&gt;=$AC$884,EY$35-$AC$884+1,0)</f>
        <v>0</v>
      </c>
      <c r="EZ886" s="9" t="n">
        <f aca="false">IF(EZ$35&gt;=$AC$884,EZ$35-$AC$884+1,0)</f>
        <v>0</v>
      </c>
      <c r="FA886" s="9" t="n">
        <f aca="false">IF(FA$35&gt;=$AC$884,FA$35-$AC$884+1,0)</f>
        <v>0</v>
      </c>
      <c r="FB886" s="9" t="n">
        <f aca="false">IF(FB$35&gt;=$AC$884,FB$35-$AC$884+1,0)</f>
        <v>0</v>
      </c>
      <c r="FC886" s="9" t="n">
        <f aca="false">IF(FC$35&gt;=$AC$884,FC$35-$AC$884+1,0)</f>
        <v>0</v>
      </c>
      <c r="FD886" s="9" t="n">
        <f aca="false">IF(FD$35&gt;=$AC$884,FD$35-$AC$884+1,0)</f>
        <v>0</v>
      </c>
      <c r="FE886" s="9" t="n">
        <f aca="false">IF(FE$35&gt;=$AC$884,FE$35-$AC$884+1,0)</f>
        <v>0</v>
      </c>
      <c r="FF886" s="9" t="n">
        <f aca="false">IF(FF$35&gt;=$AC$884,FF$35-$AC$884+1,0)</f>
        <v>0</v>
      </c>
      <c r="FG886" s="9" t="n">
        <f aca="false">IF(FG$35&gt;=$AC$884,FG$35-$AC$884+1,0)</f>
        <v>0</v>
      </c>
      <c r="FH886" s="9" t="n">
        <f aca="false">IF(FH$35&gt;=$AC$884,FH$35-$AC$884+1,0)</f>
        <v>0</v>
      </c>
      <c r="FI886" s="9" t="n">
        <f aca="false">IF(FI$35&gt;=$AC$884,FI$35-$AC$884+1,0)</f>
        <v>0</v>
      </c>
      <c r="FJ886" s="9" t="n">
        <f aca="false">IF(FJ$35&gt;=$AC$884,FJ$35-$AC$884+1,0)</f>
        <v>0</v>
      </c>
      <c r="FK886" s="9" t="n">
        <f aca="false">IF(FK$35&gt;=$AC$884,FK$35-$AC$884+1,0)</f>
        <v>0</v>
      </c>
      <c r="FL886" s="9" t="n">
        <f aca="false">IF(FL$35&gt;=$AC$884,FL$35-$AC$884+1,0)</f>
        <v>0</v>
      </c>
      <c r="FM886" s="9" t="n">
        <f aca="false">IF(FM$35&gt;=$AC$884,FM$35-$AC$884+1,0)</f>
        <v>1</v>
      </c>
      <c r="FN886" s="9" t="n">
        <f aca="false">IF(FN$35&gt;=$AC$884,FN$35-$AC$884+1,0)</f>
        <v>2</v>
      </c>
      <c r="FO886" s="9" t="n">
        <f aca="false">IF(FO$35&gt;=$AC$884,FO$35-$AC$884+1,0)</f>
        <v>3</v>
      </c>
      <c r="FP886" s="9" t="n">
        <f aca="false">IF(FP$35&gt;=$AC$884,FP$35-$AC$884+1,0)</f>
        <v>4</v>
      </c>
    </row>
    <row r="887" customFormat="false" ht="15" hidden="false" customHeight="false" outlineLevel="2" collapsed="false">
      <c r="B887" s="9" t="s">
        <v>874</v>
      </c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236" t="n">
        <f aca="false" t="array" ref="AC887:AC887">IF(AC886=0,0,IF(AC886/'🎚️ Escenario'!$C$11&gt;=36,$AL$23,INDEX($C$23:$AL$23,MAX(1,ROUNDUP(AC886/'🎚️ Escenario'!$C$11,0)))))</f>
        <v>0</v>
      </c>
      <c r="AD887" s="236" t="n">
        <f aca="false" t="array" ref="AD887:AD887">IF(AD886=0,0,IF(AD886/'🎚️ Escenario'!$C$11&gt;=36,$AL$23,INDEX($C$23:$AL$23,MAX(1,ROUNDUP(AD886/'🎚️ Escenario'!$C$11,0)))))</f>
        <v>0</v>
      </c>
      <c r="AE887" s="236" t="n">
        <f aca="false" t="array" ref="AE887:AE887">IF(AE886=0,0,IF(AE886/'🎚️ Escenario'!$C$11&gt;=36,$AL$23,INDEX($C$23:$AL$23,MAX(1,ROUNDUP(AE886/'🎚️ Escenario'!$C$11,0)))))</f>
        <v>0</v>
      </c>
      <c r="AF887" s="236" t="n">
        <f aca="false" t="array" ref="AF887:AF887">IF(AF886=0,0,IF(AF886/'🎚️ Escenario'!$C$11&gt;=36,$AL$23,INDEX($C$23:$AL$23,MAX(1,ROUNDUP(AF886/'🎚️ Escenario'!$C$11,0)))))</f>
        <v>0</v>
      </c>
      <c r="AG887" s="236" t="n">
        <f aca="false" t="array" ref="AG887:AG887">IF(AG886=0,0,IF(AG886/'🎚️ Escenario'!$C$11&gt;=36,$AL$23,INDEX($C$23:$AL$23,MAX(1,ROUNDUP(AG886/'🎚️ Escenario'!$C$11,0)))))</f>
        <v>0</v>
      </c>
      <c r="AH887" s="236" t="n">
        <f aca="false" t="array" ref="AH887:AH887">IF(AH886=0,0,IF(AH886/'🎚️ Escenario'!$C$11&gt;=36,$AL$23,INDEX($C$23:$AL$23,MAX(1,ROUNDUP(AH886/'🎚️ Escenario'!$C$11,0)))))</f>
        <v>0</v>
      </c>
      <c r="AI887" s="236" t="n">
        <f aca="false" t="array" ref="AI887:AI887">IF(AI886=0,0,IF(AI886/'🎚️ Escenario'!$C$11&gt;=36,$AL$23,INDEX($C$23:$AL$23,MAX(1,ROUNDUP(AI886/'🎚️ Escenario'!$C$11,0)))))</f>
        <v>0</v>
      </c>
      <c r="AJ887" s="236" t="n">
        <f aca="false" t="array" ref="AJ887:AJ887">IF(AJ886=0,0,IF(AJ886/'🎚️ Escenario'!$C$11&gt;=36,$AL$23,INDEX($C$23:$AL$23,MAX(1,ROUNDUP(AJ886/'🎚️ Escenario'!$C$11,0)))))</f>
        <v>0</v>
      </c>
      <c r="AK887" s="236" t="n">
        <f aca="false" t="array" ref="AK887:AK887">IF(AK886=0,0,IF(AK886/'🎚️ Escenario'!$C$11&gt;=36,$AL$23,INDEX($C$23:$AL$23,MAX(1,ROUNDUP(AK886/'🎚️ Escenario'!$C$11,0)))))</f>
        <v>0</v>
      </c>
      <c r="AL887" s="236" t="n">
        <f aca="false" t="array" ref="AL887:AL887">IF(AL886=0,0,IF(AL886/'🎚️ Escenario'!$C$11&gt;=36,$AL$23,INDEX($C$23:$AL$23,MAX(1,ROUNDUP(AL886/'🎚️ Escenario'!$C$11,0)))))</f>
        <v>0</v>
      </c>
      <c r="AM887" s="236" t="n">
        <f aca="false" t="array" ref="AM887:AM887">IF(AM886=0,0,IF(AM886/'🎚️ Escenario'!$C$11&gt;=36,$AL$23,INDEX($C$23:$AL$23,MAX(1,ROUNDUP(AM886/'🎚️ Escenario'!$C$11,0)))))</f>
        <v>0</v>
      </c>
      <c r="AN887" s="236" t="n">
        <f aca="false" t="array" ref="AN887:AN887">IF(AN886=0,0,IF(AN886/'🎚️ Escenario'!$C$11&gt;=36,$AL$23,INDEX($C$23:$AL$23,MAX(1,ROUNDUP(AN886/'🎚️ Escenario'!$C$11,0)))))</f>
        <v>0</v>
      </c>
      <c r="AO887" s="236" t="n">
        <f aca="false" t="array" ref="AO887:AO887">IF(AO886=0,0,IF(AO886/'🎚️ Escenario'!$C$11&gt;=36,$AL$23,INDEX($C$23:$AL$23,MAX(1,ROUNDUP(AO886/'🎚️ Escenario'!$C$11,0)))))</f>
        <v>0</v>
      </c>
      <c r="AP887" s="236" t="n">
        <f aca="false" t="array" ref="AP887:AP887">IF(AP886=0,0,IF(AP886/'🎚️ Escenario'!$C$11&gt;=36,$AL$23,INDEX($C$23:$AL$23,MAX(1,ROUNDUP(AP886/'🎚️ Escenario'!$C$11,0)))))</f>
        <v>0</v>
      </c>
      <c r="AQ887" s="236" t="n">
        <f aca="false" t="array" ref="AQ887:AQ887">IF(AQ886=0,0,IF(AQ886/'🎚️ Escenario'!$C$11&gt;=36,$AL$23,INDEX($C$23:$AL$23,MAX(1,ROUNDUP(AQ886/'🎚️ Escenario'!$C$11,0)))))</f>
        <v>0</v>
      </c>
      <c r="AR887" s="236" t="n">
        <f aca="false" t="array" ref="AR887:AR887">IF(AR886=0,0,IF(AR886/'🎚️ Escenario'!$C$11&gt;=36,$AL$23,INDEX($C$23:$AL$23,MAX(1,ROUNDUP(AR886/'🎚️ Escenario'!$C$11,0)))))</f>
        <v>0</v>
      </c>
      <c r="AS887" s="236" t="n">
        <f aca="false" t="array" ref="AS887:AS887">IF(AS886=0,0,IF(AS886/'🎚️ Escenario'!$C$11&gt;=36,$AL$23,INDEX($C$23:$AL$23,MAX(1,ROUNDUP(AS886/'🎚️ Escenario'!$C$11,0)))))</f>
        <v>0</v>
      </c>
      <c r="AT887" s="236" t="n">
        <f aca="false" t="array" ref="AT887:AT887">IF(AT886=0,0,IF(AT886/'🎚️ Escenario'!$C$11&gt;=36,$AL$23,INDEX($C$23:$AL$23,MAX(1,ROUNDUP(AT886/'🎚️ Escenario'!$C$11,0)))))</f>
        <v>0</v>
      </c>
      <c r="AU887" s="236" t="n">
        <f aca="false" t="array" ref="AU887:AU887">IF(AU886=0,0,IF(AU886/'🎚️ Escenario'!$C$11&gt;=36,$AL$23,INDEX($C$23:$AL$23,MAX(1,ROUNDUP(AU886/'🎚️ Escenario'!$C$11,0)))))</f>
        <v>0</v>
      </c>
      <c r="AV887" s="236" t="n">
        <f aca="false" t="array" ref="AV887:AV887">IF(AV886=0,0,IF(AV886/'🎚️ Escenario'!$C$11&gt;=36,$AL$23,INDEX($C$23:$AL$23,MAX(1,ROUNDUP(AV886/'🎚️ Escenario'!$C$11,0)))))</f>
        <v>0</v>
      </c>
      <c r="AW887" s="236" t="n">
        <f aca="false" t="array" ref="AW887:AW887">IF(AW886=0,0,IF(AW886/'🎚️ Escenario'!$C$11&gt;=36,$AL$23,INDEX($C$23:$AL$23,MAX(1,ROUNDUP(AW886/'🎚️ Escenario'!$C$11,0)))))</f>
        <v>0</v>
      </c>
      <c r="AX887" s="236" t="n">
        <f aca="false" t="array" ref="AX887:AX887">IF(AX886=0,0,IF(AX886/'🎚️ Escenario'!$C$11&gt;=36,$AL$23,INDEX($C$23:$AL$23,MAX(1,ROUNDUP(AX886/'🎚️ Escenario'!$C$11,0)))))</f>
        <v>0</v>
      </c>
      <c r="AY887" s="236" t="n">
        <f aca="false" t="array" ref="AY887:AY887">IF(AY886=0,0,IF(AY886/'🎚️ Escenario'!$C$11&gt;=36,$AL$23,INDEX($C$23:$AL$23,MAX(1,ROUNDUP(AY886/'🎚️ Escenario'!$C$11,0)))))</f>
        <v>0</v>
      </c>
      <c r="AZ887" s="236" t="n">
        <f aca="false" t="array" ref="AZ887:AZ887">IF(AZ886=0,0,IF(AZ886/'🎚️ Escenario'!$C$11&gt;=36,$AL$23,INDEX($C$23:$AL$23,MAX(1,ROUNDUP(AZ886/'🎚️ Escenario'!$C$11,0)))))</f>
        <v>0</v>
      </c>
      <c r="BA887" s="236" t="n">
        <f aca="false" t="array" ref="BA887:BA887">IF(BA886=0,0,IF(BA886/'🎚️ Escenario'!$C$11&gt;=36,$AL$23,INDEX($C$23:$AL$23,MAX(1,ROUNDUP(BA886/'🎚️ Escenario'!$C$11,0)))))</f>
        <v>0</v>
      </c>
      <c r="BB887" s="236" t="n">
        <f aca="false" t="array" ref="BB887:BB887">IF(BB886=0,0,IF(BB886/'🎚️ Escenario'!$C$11&gt;=36,$AL$23,INDEX($C$23:$AL$23,MAX(1,ROUNDUP(BB886/'🎚️ Escenario'!$C$11,0)))))</f>
        <v>0</v>
      </c>
      <c r="BC887" s="236" t="n">
        <f aca="false" t="array" ref="BC887:BC887">IF(BC886=0,0,IF(BC886/'🎚️ Escenario'!$C$11&gt;=36,$AL$23,INDEX($C$23:$AL$23,MAX(1,ROUNDUP(BC886/'🎚️ Escenario'!$C$11,0)))))</f>
        <v>0</v>
      </c>
      <c r="BD887" s="236" t="n">
        <f aca="false" t="array" ref="BD887:BD887">IF(BD886=0,0,IF(BD886/'🎚️ Escenario'!$C$11&gt;=36,$AL$23,INDEX($C$23:$AL$23,MAX(1,ROUNDUP(BD886/'🎚️ Escenario'!$C$11,0)))))</f>
        <v>0</v>
      </c>
      <c r="BE887" s="236" t="n">
        <f aca="false" t="array" ref="BE887:BE887">IF(BE886=0,0,IF(BE886/'🎚️ Escenario'!$C$11&gt;=36,$AL$23,INDEX($C$23:$AL$23,MAX(1,ROUNDUP(BE886/'🎚️ Escenario'!$C$11,0)))))</f>
        <v>0</v>
      </c>
      <c r="BF887" s="236" t="n">
        <f aca="false" t="array" ref="BF887:BF887">IF(BF886=0,0,IF(BF886/'🎚️ Escenario'!$C$11&gt;=36,$AL$23,INDEX($C$23:$AL$23,MAX(1,ROUNDUP(BF886/'🎚️ Escenario'!$C$11,0)))))</f>
        <v>0</v>
      </c>
      <c r="BG887" s="236" t="n">
        <f aca="false" t="array" ref="BG887:BG887">IF(BG886=0,0,IF(BG886/'🎚️ Escenario'!$C$11&gt;=36,$AL$23,INDEX($C$23:$AL$23,MAX(1,ROUNDUP(BG886/'🎚️ Escenario'!$C$11,0)))))</f>
        <v>0</v>
      </c>
      <c r="BH887" s="236" t="n">
        <f aca="false" t="array" ref="BH887:BH887">IF(BH886=0,0,IF(BH886/'🎚️ Escenario'!$C$11&gt;=36,$AL$23,INDEX($C$23:$AL$23,MAX(1,ROUNDUP(BH886/'🎚️ Escenario'!$C$11,0)))))</f>
        <v>0</v>
      </c>
      <c r="BI887" s="236" t="n">
        <f aca="false" t="array" ref="BI887:BI887">IF(BI886=0,0,IF(BI886/'🎚️ Escenario'!$C$11&gt;=36,$AL$23,INDEX($C$23:$AL$23,MAX(1,ROUNDUP(BI886/'🎚️ Escenario'!$C$11,0)))))</f>
        <v>0</v>
      </c>
      <c r="BJ887" s="236" t="n">
        <f aca="false" t="array" ref="BJ887:BJ887">IF(BJ886=0,0,IF(BJ886/'🎚️ Escenario'!$C$11&gt;=36,$AL$23,INDEX($C$23:$AL$23,MAX(1,ROUNDUP(BJ886/'🎚️ Escenario'!$C$11,0)))))</f>
        <v>0</v>
      </c>
      <c r="BK887" s="236" t="n">
        <f aca="false" t="array" ref="BK887:BK887">IF(BK886=0,0,IF(BK886/'🎚️ Escenario'!$C$11&gt;=36,$AL$23,INDEX($C$23:$AL$23,MAX(1,ROUNDUP(BK886/'🎚️ Escenario'!$C$11,0)))))</f>
        <v>0</v>
      </c>
      <c r="BL887" s="236" t="n">
        <f aca="false" t="array" ref="BL887:BL887">IF(BL886=0,0,IF(BL886/'🎚️ Escenario'!$C$11&gt;=36,$AL$23,INDEX($C$23:$AL$23,MAX(1,ROUNDUP(BL886/'🎚️ Escenario'!$C$11,0)))))</f>
        <v>0</v>
      </c>
      <c r="BM887" s="236" t="n">
        <f aca="false" t="array" ref="BM887:BM887">IF(BM886=0,0,IF(BM886/'🎚️ Escenario'!$C$11&gt;=36,$AL$23,INDEX($C$23:$AL$23,MAX(1,ROUNDUP(BM886/'🎚️ Escenario'!$C$11,0)))))</f>
        <v>0</v>
      </c>
      <c r="BN887" s="236" t="n">
        <f aca="false" t="array" ref="BN887:BN887">IF(BN886=0,0,IF(BN886/'🎚️ Escenario'!$C$11&gt;=36,$AL$23,INDEX($C$23:$AL$23,MAX(1,ROUNDUP(BN886/'🎚️ Escenario'!$C$11,0)))))</f>
        <v>0</v>
      </c>
      <c r="BO887" s="236" t="n">
        <f aca="false" t="array" ref="BO887:BO887">IF(BO886=0,0,IF(BO886/'🎚️ Escenario'!$C$11&gt;=36,$AL$23,INDEX($C$23:$AL$23,MAX(1,ROUNDUP(BO886/'🎚️ Escenario'!$C$11,0)))))</f>
        <v>0</v>
      </c>
      <c r="BP887" s="236" t="n">
        <f aca="false" t="array" ref="BP887:BP887">IF(BP886=0,0,IF(BP886/'🎚️ Escenario'!$C$11&gt;=36,$AL$23,INDEX($C$23:$AL$23,MAX(1,ROUNDUP(BP886/'🎚️ Escenario'!$C$11,0)))))</f>
        <v>0</v>
      </c>
      <c r="BQ887" s="236" t="n">
        <f aca="false" t="array" ref="BQ887:BQ887">IF(BQ886=0,0,IF(BQ886/'🎚️ Escenario'!$C$11&gt;=36,$AL$23,INDEX($C$23:$AL$23,MAX(1,ROUNDUP(BQ886/'🎚️ Escenario'!$C$11,0)))))</f>
        <v>0</v>
      </c>
      <c r="BR887" s="236" t="n">
        <f aca="false" t="array" ref="BR887:BR887">IF(BR886=0,0,IF(BR886/'🎚️ Escenario'!$C$11&gt;=36,$AL$23,INDEX($C$23:$AL$23,MAX(1,ROUNDUP(BR886/'🎚️ Escenario'!$C$11,0)))))</f>
        <v>0</v>
      </c>
      <c r="BS887" s="236" t="n">
        <f aca="false" t="array" ref="BS887:BS887">IF(BS886=0,0,IF(BS886/'🎚️ Escenario'!$C$11&gt;=36,$AL$23,INDEX($C$23:$AL$23,MAX(1,ROUNDUP(BS886/'🎚️ Escenario'!$C$11,0)))))</f>
        <v>0</v>
      </c>
      <c r="BT887" s="236" t="n">
        <f aca="false" t="array" ref="BT887:BT887">IF(BT886=0,0,IF(BT886/'🎚️ Escenario'!$C$11&gt;=36,$AL$23,INDEX($C$23:$AL$23,MAX(1,ROUNDUP(BT886/'🎚️ Escenario'!$C$11,0)))))</f>
        <v>0</v>
      </c>
      <c r="BU887" s="236" t="n">
        <f aca="false" t="array" ref="BU887:BU887">IF(BU886=0,0,IF(BU886/'🎚️ Escenario'!$C$11&gt;=36,$AL$23,INDEX($C$23:$AL$23,MAX(1,ROUNDUP(BU886/'🎚️ Escenario'!$C$11,0)))))</f>
        <v>0</v>
      </c>
      <c r="BV887" s="236" t="n">
        <f aca="false" t="array" ref="BV887:BV887">IF(BV886=0,0,IF(BV886/'🎚️ Escenario'!$C$11&gt;=36,$AL$23,INDEX($C$23:$AL$23,MAX(1,ROUNDUP(BV886/'🎚️ Escenario'!$C$11,0)))))</f>
        <v>0</v>
      </c>
      <c r="BW887" s="236" t="n">
        <f aca="false" t="array" ref="BW887:BW887">IF(BW886=0,0,IF(BW886/'🎚️ Escenario'!$C$11&gt;=36,$AL$23,INDEX($C$23:$AL$23,MAX(1,ROUNDUP(BW886/'🎚️ Escenario'!$C$11,0)))))</f>
        <v>0</v>
      </c>
      <c r="BX887" s="236" t="n">
        <f aca="false" t="array" ref="BX887:BX887">IF(BX886=0,0,IF(BX886/'🎚️ Escenario'!$C$11&gt;=36,$AL$23,INDEX($C$23:$AL$23,MAX(1,ROUNDUP(BX886/'🎚️ Escenario'!$C$11,0)))))</f>
        <v>0</v>
      </c>
      <c r="BY887" s="236" t="n">
        <f aca="false" t="array" ref="BY887:BY887">IF(BY886=0,0,IF(BY886/'🎚️ Escenario'!$C$11&gt;=36,$AL$23,INDEX($C$23:$AL$23,MAX(1,ROUNDUP(BY886/'🎚️ Escenario'!$C$11,0)))))</f>
        <v>0</v>
      </c>
      <c r="BZ887" s="236" t="n">
        <f aca="false" t="array" ref="BZ887:BZ887">IF(BZ886=0,0,IF(BZ886/'🎚️ Escenario'!$C$11&gt;=36,$AL$23,INDEX($C$23:$AL$23,MAX(1,ROUNDUP(BZ886/'🎚️ Escenario'!$C$11,0)))))</f>
        <v>0</v>
      </c>
      <c r="CA887" s="236" t="n">
        <f aca="false" t="array" ref="CA887:CA887">IF(CA886=0,0,IF(CA886/'🎚️ Escenario'!$C$11&gt;=36,$AL$23,INDEX($C$23:$AL$23,MAX(1,ROUNDUP(CA886/'🎚️ Escenario'!$C$11,0)))))</f>
        <v>0</v>
      </c>
      <c r="CB887" s="236" t="n">
        <f aca="false" t="array" ref="CB887:CB887">IF(CB886=0,0,IF(CB886/'🎚️ Escenario'!$C$11&gt;=36,$AL$23,INDEX($C$23:$AL$23,MAX(1,ROUNDUP(CB886/'🎚️ Escenario'!$C$11,0)))))</f>
        <v>0</v>
      </c>
      <c r="CC887" s="236" t="n">
        <f aca="false" t="array" ref="CC887:CC887">IF(CC886=0,0,IF(CC886/'🎚️ Escenario'!$C$11&gt;=36,$AL$23,INDEX($C$23:$AL$23,MAX(1,ROUNDUP(CC886/'🎚️ Escenario'!$C$11,0)))))</f>
        <v>0</v>
      </c>
      <c r="CD887" s="236" t="n">
        <f aca="false" t="array" ref="CD887:CD887">IF(CD886=0,0,IF(CD886/'🎚️ Escenario'!$C$11&gt;=36,$AL$23,INDEX($C$23:$AL$23,MAX(1,ROUNDUP(CD886/'🎚️ Escenario'!$C$11,0)))))</f>
        <v>0</v>
      </c>
      <c r="CE887" s="236" t="n">
        <f aca="false" t="array" ref="CE887:CE887">IF(CE886=0,0,IF(CE886/'🎚️ Escenario'!$C$11&gt;=36,$AL$23,INDEX($C$23:$AL$23,MAX(1,ROUNDUP(CE886/'🎚️ Escenario'!$C$11,0)))))</f>
        <v>0</v>
      </c>
      <c r="CF887" s="236" t="n">
        <f aca="false" t="array" ref="CF887:CF887">IF(CF886=0,0,IF(CF886/'🎚️ Escenario'!$C$11&gt;=36,$AL$23,INDEX($C$23:$AL$23,MAX(1,ROUNDUP(CF886/'🎚️ Escenario'!$C$11,0)))))</f>
        <v>0</v>
      </c>
      <c r="CG887" s="236" t="n">
        <f aca="false" t="array" ref="CG887:CG887">IF(CG886=0,0,IF(CG886/'🎚️ Escenario'!$C$11&gt;=36,$AL$23,INDEX($C$23:$AL$23,MAX(1,ROUNDUP(CG886/'🎚️ Escenario'!$C$11,0)))))</f>
        <v>0</v>
      </c>
      <c r="CH887" s="236" t="n">
        <f aca="false" t="array" ref="CH887:CH887">IF(CH886=0,0,IF(CH886/'🎚️ Escenario'!$C$11&gt;=36,$AL$23,INDEX($C$23:$AL$23,MAX(1,ROUNDUP(CH886/'🎚️ Escenario'!$C$11,0)))))</f>
        <v>0</v>
      </c>
      <c r="CI887" s="236" t="n">
        <f aca="false" t="array" ref="CI887:CI887">IF(CI886=0,0,IF(CI886/'🎚️ Escenario'!$C$11&gt;=36,$AL$23,INDEX($C$23:$AL$23,MAX(1,ROUNDUP(CI886/'🎚️ Escenario'!$C$11,0)))))</f>
        <v>0</v>
      </c>
      <c r="CJ887" s="236" t="n">
        <f aca="false" t="array" ref="CJ887:CJ887">IF(CJ886=0,0,IF(CJ886/'🎚️ Escenario'!$C$11&gt;=36,$AL$23,INDEX($C$23:$AL$23,MAX(1,ROUNDUP(CJ886/'🎚️ Escenario'!$C$11,0)))))</f>
        <v>0</v>
      </c>
      <c r="CK887" s="236" t="n">
        <f aca="false" t="array" ref="CK887:CK887">IF(CK886=0,0,IF(CK886/'🎚️ Escenario'!$C$11&gt;=36,$AL$23,INDEX($C$23:$AL$23,MAX(1,ROUNDUP(CK886/'🎚️ Escenario'!$C$11,0)))))</f>
        <v>0</v>
      </c>
      <c r="CL887" s="236" t="n">
        <f aca="false" t="array" ref="CL887:CL887">IF(CL886=0,0,IF(CL886/'🎚️ Escenario'!$C$11&gt;=36,$AL$23,INDEX($C$23:$AL$23,MAX(1,ROUNDUP(CL886/'🎚️ Escenario'!$C$11,0)))))</f>
        <v>0</v>
      </c>
      <c r="CM887" s="236" t="n">
        <f aca="false" t="array" ref="CM887:CM887">IF(CM886=0,0,IF(CM886/'🎚️ Escenario'!$C$11&gt;=36,$AL$23,INDEX($C$23:$AL$23,MAX(1,ROUNDUP(CM886/'🎚️ Escenario'!$C$11,0)))))</f>
        <v>0</v>
      </c>
      <c r="CN887" s="236" t="n">
        <f aca="false" t="array" ref="CN887:CN887">IF(CN886=0,0,IF(CN886/'🎚️ Escenario'!$C$11&gt;=36,$AL$23,INDEX($C$23:$AL$23,MAX(1,ROUNDUP(CN886/'🎚️ Escenario'!$C$11,0)))))</f>
        <v>0</v>
      </c>
      <c r="CO887" s="236" t="n">
        <f aca="false" t="array" ref="CO887:CO887">IF(CO886=0,0,IF(CO886/'🎚️ Escenario'!$C$11&gt;=36,$AL$23,INDEX($C$23:$AL$23,MAX(1,ROUNDUP(CO886/'🎚️ Escenario'!$C$11,0)))))</f>
        <v>0</v>
      </c>
      <c r="CP887" s="236" t="n">
        <f aca="false" t="array" ref="CP887:CP887">IF(CP886=0,0,IF(CP886/'🎚️ Escenario'!$C$11&gt;=36,$AL$23,INDEX($C$23:$AL$23,MAX(1,ROUNDUP(CP886/'🎚️ Escenario'!$C$11,0)))))</f>
        <v>0</v>
      </c>
      <c r="CQ887" s="236" t="n">
        <f aca="false" t="array" ref="CQ887:CQ887">IF(CQ886=0,0,IF(CQ886/'🎚️ Escenario'!$C$11&gt;=36,$AL$23,INDEX($C$23:$AL$23,MAX(1,ROUNDUP(CQ886/'🎚️ Escenario'!$C$11,0)))))</f>
        <v>0</v>
      </c>
      <c r="CR887" s="236" t="n">
        <f aca="false" t="array" ref="CR887:CR887">IF(CR886=0,0,IF(CR886/'🎚️ Escenario'!$C$11&gt;=36,$AL$23,INDEX($C$23:$AL$23,MAX(1,ROUNDUP(CR886/'🎚️ Escenario'!$C$11,0)))))</f>
        <v>0</v>
      </c>
      <c r="CS887" s="236" t="n">
        <f aca="false" t="array" ref="CS887:CS887">IF(CS886=0,0,IF(CS886/'🎚️ Escenario'!$C$11&gt;=36,$AL$23,INDEX($C$23:$AL$23,MAX(1,ROUNDUP(CS886/'🎚️ Escenario'!$C$11,0)))))</f>
        <v>0</v>
      </c>
      <c r="CT887" s="236" t="n">
        <f aca="false" t="array" ref="CT887:CT887">IF(CT886=0,0,IF(CT886/'🎚️ Escenario'!$C$11&gt;=36,$AL$23,INDEX($C$23:$AL$23,MAX(1,ROUNDUP(CT886/'🎚️ Escenario'!$C$11,0)))))</f>
        <v>0</v>
      </c>
      <c r="CU887" s="236" t="n">
        <f aca="false" t="array" ref="CU887:CU887">IF(CU886=0,0,IF(CU886/'🎚️ Escenario'!$C$11&gt;=36,$AL$23,INDEX($C$23:$AL$23,MAX(1,ROUNDUP(CU886/'🎚️ Escenario'!$C$11,0)))))</f>
        <v>0</v>
      </c>
      <c r="CV887" s="236" t="n">
        <f aca="false" t="array" ref="CV887:CV887">IF(CV886=0,0,IF(CV886/'🎚️ Escenario'!$C$11&gt;=36,$AL$23,INDEX($C$23:$AL$23,MAX(1,ROUNDUP(CV886/'🎚️ Escenario'!$C$11,0)))))</f>
        <v>0</v>
      </c>
      <c r="CW887" s="236" t="n">
        <f aca="false" t="array" ref="CW887:CW887">IF(CW886=0,0,IF(CW886/'🎚️ Escenario'!$C$11&gt;=36,$AL$23,INDEX($C$23:$AL$23,MAX(1,ROUNDUP(CW886/'🎚️ Escenario'!$C$11,0)))))</f>
        <v>0</v>
      </c>
      <c r="CX887" s="236" t="n">
        <f aca="false" t="array" ref="CX887:CX887">IF(CX886=0,0,IF(CX886/'🎚️ Escenario'!$C$11&gt;=36,$AL$23,INDEX($C$23:$AL$23,MAX(1,ROUNDUP(CX886/'🎚️ Escenario'!$C$11,0)))))</f>
        <v>0</v>
      </c>
      <c r="CY887" s="236" t="n">
        <f aca="false" t="array" ref="CY887:CY887">IF(CY886=0,0,IF(CY886/'🎚️ Escenario'!$C$11&gt;=36,$AL$23,INDEX($C$23:$AL$23,MAX(1,ROUNDUP(CY886/'🎚️ Escenario'!$C$11,0)))))</f>
        <v>0</v>
      </c>
      <c r="CZ887" s="236" t="n">
        <f aca="false" t="array" ref="CZ887:CZ887">IF(CZ886=0,0,IF(CZ886/'🎚️ Escenario'!$C$11&gt;=36,$AL$23,INDEX($C$23:$AL$23,MAX(1,ROUNDUP(CZ886/'🎚️ Escenario'!$C$11,0)))))</f>
        <v>0</v>
      </c>
      <c r="DA887" s="236" t="n">
        <f aca="false" t="array" ref="DA887:DA887">IF(DA886=0,0,IF(DA886/'🎚️ Escenario'!$C$11&gt;=36,$AL$23,INDEX($C$23:$AL$23,MAX(1,ROUNDUP(DA886/'🎚️ Escenario'!$C$11,0)))))</f>
        <v>0</v>
      </c>
      <c r="DB887" s="236" t="n">
        <f aca="false" t="array" ref="DB887:DB887">IF(DB886=0,0,IF(DB886/'🎚️ Escenario'!$C$11&gt;=36,$AL$23,INDEX($C$23:$AL$23,MAX(1,ROUNDUP(DB886/'🎚️ Escenario'!$C$11,0)))))</f>
        <v>0</v>
      </c>
      <c r="DC887" s="236" t="n">
        <f aca="false" t="array" ref="DC887:DC887">IF(DC886=0,0,IF(DC886/'🎚️ Escenario'!$C$11&gt;=36,$AL$23,INDEX($C$23:$AL$23,MAX(1,ROUNDUP(DC886/'🎚️ Escenario'!$C$11,0)))))</f>
        <v>0</v>
      </c>
      <c r="DD887" s="236" t="n">
        <f aca="false" t="array" ref="DD887:DD887">IF(DD886=0,0,IF(DD886/'🎚️ Escenario'!$C$11&gt;=36,$AL$23,INDEX($C$23:$AL$23,MAX(1,ROUNDUP(DD886/'🎚️ Escenario'!$C$11,0)))))</f>
        <v>0</v>
      </c>
      <c r="DE887" s="236" t="n">
        <f aca="false" t="array" ref="DE887:DE887">IF(DE886=0,0,IF(DE886/'🎚️ Escenario'!$C$11&gt;=36,$AL$23,INDEX($C$23:$AL$23,MAX(1,ROUNDUP(DE886/'🎚️ Escenario'!$C$11,0)))))</f>
        <v>0</v>
      </c>
      <c r="DF887" s="236" t="n">
        <f aca="false" t="array" ref="DF887:DF887">IF(DF886=0,0,IF(DF886/'🎚️ Escenario'!$C$11&gt;=36,$AL$23,INDEX($C$23:$AL$23,MAX(1,ROUNDUP(DF886/'🎚️ Escenario'!$C$11,0)))))</f>
        <v>0</v>
      </c>
      <c r="DG887" s="236" t="n">
        <f aca="false" t="array" ref="DG887:DG887">IF(DG886=0,0,IF(DG886/'🎚️ Escenario'!$C$11&gt;=36,$AL$23,INDEX($C$23:$AL$23,MAX(1,ROUNDUP(DG886/'🎚️ Escenario'!$C$11,0)))))</f>
        <v>0</v>
      </c>
      <c r="DH887" s="236" t="n">
        <f aca="false" t="array" ref="DH887:DH887">IF(DH886=0,0,IF(DH886/'🎚️ Escenario'!$C$11&gt;=36,$AL$23,INDEX($C$23:$AL$23,MAX(1,ROUNDUP(DH886/'🎚️ Escenario'!$C$11,0)))))</f>
        <v>0</v>
      </c>
      <c r="DI887" s="236" t="n">
        <f aca="false" t="array" ref="DI887:DI887">IF(DI886=0,0,IF(DI886/'🎚️ Escenario'!$C$11&gt;=36,$AL$23,INDEX($C$23:$AL$23,MAX(1,ROUNDUP(DI886/'🎚️ Escenario'!$C$11,0)))))</f>
        <v>0</v>
      </c>
      <c r="DJ887" s="236" t="n">
        <f aca="false" t="array" ref="DJ887:DJ887">IF(DJ886=0,0,IF(DJ886/'🎚️ Escenario'!$C$11&gt;=36,$AL$23,INDEX($C$23:$AL$23,MAX(1,ROUNDUP(DJ886/'🎚️ Escenario'!$C$11,0)))))</f>
        <v>0</v>
      </c>
      <c r="DK887" s="236" t="n">
        <f aca="false" t="array" ref="DK887:DK887">IF(DK886=0,0,IF(DK886/'🎚️ Escenario'!$C$11&gt;=36,$AL$23,INDEX($C$23:$AL$23,MAX(1,ROUNDUP(DK886/'🎚️ Escenario'!$C$11,0)))))</f>
        <v>0</v>
      </c>
      <c r="DL887" s="236" t="n">
        <f aca="false" t="array" ref="DL887:DL887">IF(DL886=0,0,IF(DL886/'🎚️ Escenario'!$C$11&gt;=36,$AL$23,INDEX($C$23:$AL$23,MAX(1,ROUNDUP(DL886/'🎚️ Escenario'!$C$11,0)))))</f>
        <v>0</v>
      </c>
      <c r="DM887" s="236" t="n">
        <f aca="false" t="array" ref="DM887:DM887">IF(DM886=0,0,IF(DM886/'🎚️ Escenario'!$C$11&gt;=36,$AL$23,INDEX($C$23:$AL$23,MAX(1,ROUNDUP(DM886/'🎚️ Escenario'!$C$11,0)))))</f>
        <v>0</v>
      </c>
      <c r="DN887" s="236" t="n">
        <f aca="false" t="array" ref="DN887:DN887">IF(DN886=0,0,IF(DN886/'🎚️ Escenario'!$C$11&gt;=36,$AL$23,INDEX($C$23:$AL$23,MAX(1,ROUNDUP(DN886/'🎚️ Escenario'!$C$11,0)))))</f>
        <v>0</v>
      </c>
      <c r="DO887" s="236" t="n">
        <f aca="false" t="array" ref="DO887:DO887">IF(DO886=0,0,IF(DO886/'🎚️ Escenario'!$C$11&gt;=36,$AL$23,INDEX($C$23:$AL$23,MAX(1,ROUNDUP(DO886/'🎚️ Escenario'!$C$11,0)))))</f>
        <v>0</v>
      </c>
      <c r="DP887" s="236" t="n">
        <f aca="false" t="array" ref="DP887:DP887">IF(DP886=0,0,IF(DP886/'🎚️ Escenario'!$C$11&gt;=36,$AL$23,INDEX($C$23:$AL$23,MAX(1,ROUNDUP(DP886/'🎚️ Escenario'!$C$11,0)))))</f>
        <v>0</v>
      </c>
      <c r="DQ887" s="236" t="n">
        <f aca="false" t="array" ref="DQ887:DQ887">IF(DQ886=0,0,IF(DQ886/'🎚️ Escenario'!$C$11&gt;=36,$AL$23,INDEX($C$23:$AL$23,MAX(1,ROUNDUP(DQ886/'🎚️ Escenario'!$C$11,0)))))</f>
        <v>0</v>
      </c>
      <c r="DR887" s="236" t="n">
        <f aca="false" t="array" ref="DR887:DR887">IF(DR886=0,0,IF(DR886/'🎚️ Escenario'!$C$11&gt;=36,$AL$23,INDEX($C$23:$AL$23,MAX(1,ROUNDUP(DR886/'🎚️ Escenario'!$C$11,0)))))</f>
        <v>0</v>
      </c>
      <c r="DS887" s="236" t="n">
        <f aca="false" t="array" ref="DS887:DS887">IF(DS886=0,0,IF(DS886/'🎚️ Escenario'!$C$11&gt;=36,$AL$23,INDEX($C$23:$AL$23,MAX(1,ROUNDUP(DS886/'🎚️ Escenario'!$C$11,0)))))</f>
        <v>0</v>
      </c>
      <c r="DT887" s="236" t="n">
        <f aca="false" t="array" ref="DT887:DT887">IF(DT886=0,0,IF(DT886/'🎚️ Escenario'!$C$11&gt;=36,$AL$23,INDEX($C$23:$AL$23,MAX(1,ROUNDUP(DT886/'🎚️ Escenario'!$C$11,0)))))</f>
        <v>0</v>
      </c>
      <c r="DU887" s="236" t="n">
        <f aca="false" t="array" ref="DU887:DU887">IF(DU886=0,0,IF(DU886/'🎚️ Escenario'!$C$11&gt;=36,$AL$23,INDEX($C$23:$AL$23,MAX(1,ROUNDUP(DU886/'🎚️ Escenario'!$C$11,0)))))</f>
        <v>0</v>
      </c>
      <c r="DV887" s="236" t="n">
        <f aca="false" t="array" ref="DV887:DV887">IF(DV886=0,0,IF(DV886/'🎚️ Escenario'!$C$11&gt;=36,$AL$23,INDEX($C$23:$AL$23,MAX(1,ROUNDUP(DV886/'🎚️ Escenario'!$C$11,0)))))</f>
        <v>0</v>
      </c>
      <c r="DW887" s="236" t="n">
        <f aca="false" t="array" ref="DW887:DW887">IF(DW886=0,0,IF(DW886/'🎚️ Escenario'!$C$11&gt;=36,$AL$23,INDEX($C$23:$AL$23,MAX(1,ROUNDUP(DW886/'🎚️ Escenario'!$C$11,0)))))</f>
        <v>0</v>
      </c>
      <c r="DX887" s="236" t="n">
        <f aca="false" t="array" ref="DX887:DX887">IF(DX886=0,0,IF(DX886/'🎚️ Escenario'!$C$11&gt;=36,$AL$23,INDEX($C$23:$AL$23,MAX(1,ROUNDUP(DX886/'🎚️ Escenario'!$C$11,0)))))</f>
        <v>0</v>
      </c>
      <c r="DY887" s="236" t="n">
        <f aca="false" t="array" ref="DY887:DY887">IF(DY886=0,0,IF(DY886/'🎚️ Escenario'!$C$11&gt;=36,$AL$23,INDEX($C$23:$AL$23,MAX(1,ROUNDUP(DY886/'🎚️ Escenario'!$C$11,0)))))</f>
        <v>0</v>
      </c>
      <c r="DZ887" s="236" t="n">
        <f aca="false" t="array" ref="DZ887:DZ887">IF(DZ886=0,0,IF(DZ886/'🎚️ Escenario'!$C$11&gt;=36,$AL$23,INDEX($C$23:$AL$23,MAX(1,ROUNDUP(DZ886/'🎚️ Escenario'!$C$11,0)))))</f>
        <v>0</v>
      </c>
      <c r="EA887" s="236" t="n">
        <f aca="false" t="array" ref="EA887:EA887">IF(EA886=0,0,IF(EA886/'🎚️ Escenario'!$C$11&gt;=36,$AL$23,INDEX($C$23:$AL$23,MAX(1,ROUNDUP(EA886/'🎚️ Escenario'!$C$11,0)))))</f>
        <v>0</v>
      </c>
      <c r="EB887" s="236" t="n">
        <f aca="false" t="array" ref="EB887:EB887">IF(EB886=0,0,IF(EB886/'🎚️ Escenario'!$C$11&gt;=36,$AL$23,INDEX($C$23:$AL$23,MAX(1,ROUNDUP(EB886/'🎚️ Escenario'!$C$11,0)))))</f>
        <v>0</v>
      </c>
      <c r="EC887" s="236" t="n">
        <f aca="false" t="array" ref="EC887:EC887">IF(EC886=0,0,IF(EC886/'🎚️ Escenario'!$C$11&gt;=36,$AL$23,INDEX($C$23:$AL$23,MAX(1,ROUNDUP(EC886/'🎚️ Escenario'!$C$11,0)))))</f>
        <v>0</v>
      </c>
      <c r="ED887" s="236" t="n">
        <f aca="false" t="array" ref="ED887:ED887">IF(ED886=0,0,IF(ED886/'🎚️ Escenario'!$C$11&gt;=36,$AL$23,INDEX($C$23:$AL$23,MAX(1,ROUNDUP(ED886/'🎚️ Escenario'!$C$11,0)))))</f>
        <v>0</v>
      </c>
      <c r="EE887" s="236" t="n">
        <f aca="false" t="array" ref="EE887:EE887">IF(EE886=0,0,IF(EE886/'🎚️ Escenario'!$C$11&gt;=36,$AL$23,INDEX($C$23:$AL$23,MAX(1,ROUNDUP(EE886/'🎚️ Escenario'!$C$11,0)))))</f>
        <v>0</v>
      </c>
      <c r="EF887" s="236" t="n">
        <f aca="false" t="array" ref="EF887:EF887">IF(EF886=0,0,IF(EF886/'🎚️ Escenario'!$C$11&gt;=36,$AL$23,INDEX($C$23:$AL$23,MAX(1,ROUNDUP(EF886/'🎚️ Escenario'!$C$11,0)))))</f>
        <v>0</v>
      </c>
      <c r="EG887" s="236" t="n">
        <f aca="false" t="array" ref="EG887:EG887">IF(EG886=0,0,IF(EG886/'🎚️ Escenario'!$C$11&gt;=36,$AL$23,INDEX($C$23:$AL$23,MAX(1,ROUNDUP(EG886/'🎚️ Escenario'!$C$11,0)))))</f>
        <v>0</v>
      </c>
      <c r="EH887" s="236" t="n">
        <f aca="false" t="array" ref="EH887:EH887">IF(EH886=0,0,IF(EH886/'🎚️ Escenario'!$C$11&gt;=36,$AL$23,INDEX($C$23:$AL$23,MAX(1,ROUNDUP(EH886/'🎚️ Escenario'!$C$11,0)))))</f>
        <v>0</v>
      </c>
      <c r="EI887" s="236" t="n">
        <f aca="false" t="array" ref="EI887:EI887">IF(EI886=0,0,IF(EI886/'🎚️ Escenario'!$C$11&gt;=36,$AL$23,INDEX($C$23:$AL$23,MAX(1,ROUNDUP(EI886/'🎚️ Escenario'!$C$11,0)))))</f>
        <v>0</v>
      </c>
      <c r="EJ887" s="236" t="n">
        <f aca="false" t="array" ref="EJ887:EJ887">IF(EJ886=0,0,IF(EJ886/'🎚️ Escenario'!$C$11&gt;=36,$AL$23,INDEX($C$23:$AL$23,MAX(1,ROUNDUP(EJ886/'🎚️ Escenario'!$C$11,0)))))</f>
        <v>0</v>
      </c>
      <c r="EK887" s="236" t="n">
        <f aca="false" t="array" ref="EK887:EK887">IF(EK886=0,0,IF(EK886/'🎚️ Escenario'!$C$11&gt;=36,$AL$23,INDEX($C$23:$AL$23,MAX(1,ROUNDUP(EK886/'🎚️ Escenario'!$C$11,0)))))</f>
        <v>0</v>
      </c>
      <c r="EL887" s="236" t="n">
        <f aca="false" t="array" ref="EL887:EL887">IF(EL886=0,0,IF(EL886/'🎚️ Escenario'!$C$11&gt;=36,$AL$23,INDEX($C$23:$AL$23,MAX(1,ROUNDUP(EL886/'🎚️ Escenario'!$C$11,0)))))</f>
        <v>0</v>
      </c>
      <c r="EM887" s="236" t="n">
        <f aca="false" t="array" ref="EM887:EM887">IF(EM886=0,0,IF(EM886/'🎚️ Escenario'!$C$11&gt;=36,$AL$23,INDEX($C$23:$AL$23,MAX(1,ROUNDUP(EM886/'🎚️ Escenario'!$C$11,0)))))</f>
        <v>0</v>
      </c>
      <c r="EN887" s="236" t="n">
        <f aca="false" t="array" ref="EN887:EN887">IF(EN886=0,0,IF(EN886/'🎚️ Escenario'!$C$11&gt;=36,$AL$23,INDEX($C$23:$AL$23,MAX(1,ROUNDUP(EN886/'🎚️ Escenario'!$C$11,0)))))</f>
        <v>0</v>
      </c>
      <c r="EO887" s="236" t="n">
        <f aca="false" t="array" ref="EO887:EO887">IF(EO886=0,0,IF(EO886/'🎚️ Escenario'!$C$11&gt;=36,$AL$23,INDEX($C$23:$AL$23,MAX(1,ROUNDUP(EO886/'🎚️ Escenario'!$C$11,0)))))</f>
        <v>0</v>
      </c>
      <c r="EP887" s="236" t="n">
        <f aca="false" t="array" ref="EP887:EP887">IF(EP886=0,0,IF(EP886/'🎚️ Escenario'!$C$11&gt;=36,$AL$23,INDEX($C$23:$AL$23,MAX(1,ROUNDUP(EP886/'🎚️ Escenario'!$C$11,0)))))</f>
        <v>0</v>
      </c>
      <c r="EQ887" s="236" t="n">
        <f aca="false" t="array" ref="EQ887:EQ887">IF(EQ886=0,0,IF(EQ886/'🎚️ Escenario'!$C$11&gt;=36,$AL$23,INDEX($C$23:$AL$23,MAX(1,ROUNDUP(EQ886/'🎚️ Escenario'!$C$11,0)))))</f>
        <v>0</v>
      </c>
      <c r="ER887" s="236" t="n">
        <f aca="false" t="array" ref="ER887:ER887">IF(ER886=0,0,IF(ER886/'🎚️ Escenario'!$C$11&gt;=36,$AL$23,INDEX($C$23:$AL$23,MAX(1,ROUNDUP(ER886/'🎚️ Escenario'!$C$11,0)))))</f>
        <v>0</v>
      </c>
      <c r="ES887" s="9" t="n">
        <f aca="false" t="array" ref="ES887:ES887">IF(ES886=0,0,IF(ES886/'🎚️ Escenario'!$C$11&gt;=36,$AL$23,INDEX($C$23:$AL$23,MAX(1,ROUNDUP(ES886/'🎚️ Escenario'!$C$11,0)))))</f>
        <v>0</v>
      </c>
      <c r="ET887" s="9" t="n">
        <f aca="false" t="array" ref="ET887:ET887">IF(ET886=0,0,IF(ET886/'🎚️ Escenario'!$C$11&gt;=36,$AL$23,INDEX($C$23:$AL$23,MAX(1,ROUNDUP(ET886/'🎚️ Escenario'!$C$11,0)))))</f>
        <v>0</v>
      </c>
      <c r="EU887" s="9" t="n">
        <f aca="false" t="array" ref="EU887:EU887">IF(EU886=0,0,IF(EU886/'🎚️ Escenario'!$C$11&gt;=36,$AL$23,INDEX($C$23:$AL$23,MAX(1,ROUNDUP(EU886/'🎚️ Escenario'!$C$11,0)))))</f>
        <v>0</v>
      </c>
      <c r="EV887" s="9" t="n">
        <f aca="false" t="array" ref="EV887:EV887">IF(EV886=0,0,IF(EV886/'🎚️ Escenario'!$C$11&gt;=36,$AL$23,INDEX($C$23:$AL$23,MAX(1,ROUNDUP(EV886/'🎚️ Escenario'!$C$11,0)))))</f>
        <v>0</v>
      </c>
      <c r="EW887" s="9" t="n">
        <f aca="false" t="array" ref="EW887:EW887">IF(EW886=0,0,IF(EW886/'🎚️ Escenario'!$C$11&gt;=36,$AL$23,INDEX($C$23:$AL$23,MAX(1,ROUNDUP(EW886/'🎚️ Escenario'!$C$11,0)))))</f>
        <v>0</v>
      </c>
      <c r="EX887" s="9" t="n">
        <f aca="false" t="array" ref="EX887:EX887">IF(EX886=0,0,IF(EX886/'🎚️ Escenario'!$C$11&gt;=36,$AL$23,INDEX($C$23:$AL$23,MAX(1,ROUNDUP(EX886/'🎚️ Escenario'!$C$11,0)))))</f>
        <v>0</v>
      </c>
      <c r="EY887" s="9" t="n">
        <f aca="false" t="array" ref="EY887:EY887">IF(EY886=0,0,IF(EY886/'🎚️ Escenario'!$C$11&gt;=36,$AL$23,INDEX($C$23:$AL$23,MAX(1,ROUNDUP(EY886/'🎚️ Escenario'!$C$11,0)))))</f>
        <v>0</v>
      </c>
      <c r="EZ887" s="9" t="n">
        <f aca="false" t="array" ref="EZ887:EZ887">IF(EZ886=0,0,IF(EZ886/'🎚️ Escenario'!$C$11&gt;=36,$AL$23,INDEX($C$23:$AL$23,MAX(1,ROUNDUP(EZ886/'🎚️ Escenario'!$C$11,0)))))</f>
        <v>0</v>
      </c>
      <c r="FA887" s="9" t="n">
        <f aca="false" t="array" ref="FA887:FA887">IF(FA886=0,0,IF(FA886/'🎚️ Escenario'!$C$11&gt;=36,$AL$23,INDEX($C$23:$AL$23,MAX(1,ROUNDUP(FA886/'🎚️ Escenario'!$C$11,0)))))</f>
        <v>0</v>
      </c>
      <c r="FB887" s="9" t="n">
        <f aca="false" t="array" ref="FB887:FB887">IF(FB886=0,0,IF(FB886/'🎚️ Escenario'!$C$11&gt;=36,$AL$23,INDEX($C$23:$AL$23,MAX(1,ROUNDUP(FB886/'🎚️ Escenario'!$C$11,0)))))</f>
        <v>0</v>
      </c>
      <c r="FC887" s="9" t="n">
        <f aca="false" t="array" ref="FC887:FC887">IF(FC886=0,0,IF(FC886/'🎚️ Escenario'!$C$11&gt;=36,$AL$23,INDEX($C$23:$AL$23,MAX(1,ROUNDUP(FC886/'🎚️ Escenario'!$C$11,0)))))</f>
        <v>0</v>
      </c>
      <c r="FD887" s="9" t="n">
        <f aca="false" t="array" ref="FD887:FD887">IF(FD886=0,0,IF(FD886/'🎚️ Escenario'!$C$11&gt;=36,$AL$23,INDEX($C$23:$AL$23,MAX(1,ROUNDUP(FD886/'🎚️ Escenario'!$C$11,0)))))</f>
        <v>0</v>
      </c>
      <c r="FE887" s="9" t="n">
        <f aca="false" t="array" ref="FE887:FE887">IF(FE886=0,0,IF(FE886/'🎚️ Escenario'!$C$11&gt;=36,$AL$23,INDEX($C$23:$AL$23,MAX(1,ROUNDUP(FE886/'🎚️ Escenario'!$C$11,0)))))</f>
        <v>0</v>
      </c>
      <c r="FF887" s="9" t="n">
        <f aca="false" t="array" ref="FF887:FF887">IF(FF886=0,0,IF(FF886/'🎚️ Escenario'!$C$11&gt;=36,$AL$23,INDEX($C$23:$AL$23,MAX(1,ROUNDUP(FF886/'🎚️ Escenario'!$C$11,0)))))</f>
        <v>0</v>
      </c>
      <c r="FG887" s="9" t="n">
        <f aca="false" t="array" ref="FG887:FG887">IF(FG886=0,0,IF(FG886/'🎚️ Escenario'!$C$11&gt;=36,$AL$23,INDEX($C$23:$AL$23,MAX(1,ROUNDUP(FG886/'🎚️ Escenario'!$C$11,0)))))</f>
        <v>0</v>
      </c>
      <c r="FH887" s="9" t="n">
        <f aca="false" t="array" ref="FH887:FH887">IF(FH886=0,0,IF(FH886/'🎚️ Escenario'!$C$11&gt;=36,$AL$23,INDEX($C$23:$AL$23,MAX(1,ROUNDUP(FH886/'🎚️ Escenario'!$C$11,0)))))</f>
        <v>0</v>
      </c>
      <c r="FI887" s="9" t="n">
        <f aca="false" t="array" ref="FI887:FI887">IF(FI886=0,0,IF(FI886/'🎚️ Escenario'!$C$11&gt;=36,$AL$23,INDEX($C$23:$AL$23,MAX(1,ROUNDUP(FI886/'🎚️ Escenario'!$C$11,0)))))</f>
        <v>0</v>
      </c>
      <c r="FJ887" s="9" t="n">
        <f aca="false" t="array" ref="FJ887:FJ887">IF(FJ886=0,0,IF(FJ886/'🎚️ Escenario'!$C$11&gt;=36,$AL$23,INDEX($C$23:$AL$23,MAX(1,ROUNDUP(FJ886/'🎚️ Escenario'!$C$11,0)))))</f>
        <v>0</v>
      </c>
      <c r="FK887" s="9" t="n">
        <f aca="false" t="array" ref="FK887:FK887">IF(FK886=0,0,IF(FK886/'🎚️ Escenario'!$C$11&gt;=36,$AL$23,INDEX($C$23:$AL$23,MAX(1,ROUNDUP(FK886/'🎚️ Escenario'!$C$11,0)))))</f>
        <v>0</v>
      </c>
      <c r="FL887" s="9" t="n">
        <f aca="false" t="array" ref="FL887:FL887">IF(FL886=0,0,IF(FL886/'🎚️ Escenario'!$C$11&gt;=36,$AL$23,INDEX($C$23:$AL$23,MAX(1,ROUNDUP(FL886/'🎚️ Escenario'!$C$11,0)))))</f>
        <v>0</v>
      </c>
      <c r="FM887" s="9" t="n">
        <f aca="false" t="array" ref="FM887:FM887">IF(FM886=0,0,IF(FM886/'🎚️ Escenario'!$C$11&gt;=36,$AL$23,INDEX($C$23:$AL$23,MAX(1,ROUNDUP(FM886/'🎚️ Escenario'!$C$11,0)))))</f>
        <v>0.2</v>
      </c>
      <c r="FN887" s="9" t="n">
        <f aca="false" t="array" ref="FN887:FN887">IF(FN886=0,0,IF(FN886/'🎚️ Escenario'!$C$11&gt;=36,$AL$23,INDEX($C$23:$AL$23,MAX(1,ROUNDUP(FN886/'🎚️ Escenario'!$C$11,0)))))</f>
        <v>0.22</v>
      </c>
      <c r="FO887" s="9" t="n">
        <f aca="false" t="array" ref="FO887:FO887">IF(FO886=0,0,IF(FO886/'🎚️ Escenario'!$C$11&gt;=36,$AL$23,INDEX($C$23:$AL$23,MAX(1,ROUNDUP(FO886/'🎚️ Escenario'!$C$11,0)))))</f>
        <v>0.24</v>
      </c>
      <c r="FP887" s="9" t="n">
        <f aca="false" t="array" ref="FP887:FP887">IF(FP886=0,0,IF(FP886/'🎚️ Escenario'!$C$11&gt;=36,$AL$23,INDEX($C$23:$AL$23,MAX(1,ROUNDUP(FP886/'🎚️ Escenario'!$C$11,0)))))</f>
        <v>0.27</v>
      </c>
    </row>
    <row r="888" customFormat="false" ht="15" hidden="false" customHeight="false" outlineLevel="2" collapsed="false">
      <c r="B888" s="9" t="s">
        <v>875</v>
      </c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237" t="n">
        <f aca="false">IF(AC886=0,0,IF(AC886&lt;=12*'🎚️ Escenario'!$C$11,1,1+$C$6))</f>
        <v>0</v>
      </c>
      <c r="AD888" s="237" t="n">
        <f aca="false">IF(AD886=0,0,IF(AD886&lt;=12*'🎚️ Escenario'!$C$11,1,1+$C$6))</f>
        <v>0</v>
      </c>
      <c r="AE888" s="237" t="n">
        <f aca="false">IF(AE886=0,0,IF(AE886&lt;=12*'🎚️ Escenario'!$C$11,1,1+$C$6))</f>
        <v>0</v>
      </c>
      <c r="AF888" s="237" t="n">
        <f aca="false">IF(AF886=0,0,IF(AF886&lt;=12*'🎚️ Escenario'!$C$11,1,1+$C$6))</f>
        <v>0</v>
      </c>
      <c r="AG888" s="237" t="n">
        <f aca="false">IF(AG886=0,0,IF(AG886&lt;=12*'🎚️ Escenario'!$C$11,1,1+$C$6))</f>
        <v>0</v>
      </c>
      <c r="AH888" s="237" t="n">
        <f aca="false">IF(AH886=0,0,IF(AH886&lt;=12*'🎚️ Escenario'!$C$11,1,1+$C$6))</f>
        <v>0</v>
      </c>
      <c r="AI888" s="237" t="n">
        <f aca="false">IF(AI886=0,0,IF(AI886&lt;=12*'🎚️ Escenario'!$C$11,1,1+$C$6))</f>
        <v>0</v>
      </c>
      <c r="AJ888" s="237" t="n">
        <f aca="false">IF(AJ886=0,0,IF(AJ886&lt;=12*'🎚️ Escenario'!$C$11,1,1+$C$6))</f>
        <v>0</v>
      </c>
      <c r="AK888" s="237" t="n">
        <f aca="false">IF(AK886=0,0,IF(AK886&lt;=12*'🎚️ Escenario'!$C$11,1,1+$C$6))</f>
        <v>0</v>
      </c>
      <c r="AL888" s="237" t="n">
        <f aca="false">IF(AL886=0,0,IF(AL886&lt;=12*'🎚️ Escenario'!$C$11,1,1+$C$6))</f>
        <v>0</v>
      </c>
      <c r="AM888" s="237" t="n">
        <f aca="false">IF(AM886=0,0,IF(AM886&lt;=12*'🎚️ Escenario'!$C$11,1,1+$C$6))</f>
        <v>0</v>
      </c>
      <c r="AN888" s="237" t="n">
        <f aca="false">IF(AN886=0,0,IF(AN886&lt;=12*'🎚️ Escenario'!$C$11,1,1+$C$6))</f>
        <v>0</v>
      </c>
      <c r="AO888" s="237" t="n">
        <f aca="false">IF(AO886=0,0,IF(AO886&lt;=12*'🎚️ Escenario'!$C$11,1,1+$C$6))</f>
        <v>0</v>
      </c>
      <c r="AP888" s="237" t="n">
        <f aca="false">IF(AP886=0,0,IF(AP886&lt;=12*'🎚️ Escenario'!$C$11,1,1+$C$6))</f>
        <v>0</v>
      </c>
      <c r="AQ888" s="237" t="n">
        <f aca="false">IF(AQ886=0,0,IF(AQ886&lt;=12*'🎚️ Escenario'!$C$11,1,1+$C$6))</f>
        <v>0</v>
      </c>
      <c r="AR888" s="237" t="n">
        <f aca="false">IF(AR886=0,0,IF(AR886&lt;=12*'🎚️ Escenario'!$C$11,1,1+$C$6))</f>
        <v>0</v>
      </c>
      <c r="AS888" s="237" t="n">
        <f aca="false">IF(AS886=0,0,IF(AS886&lt;=12*'🎚️ Escenario'!$C$11,1,1+$C$6))</f>
        <v>0</v>
      </c>
      <c r="AT888" s="237" t="n">
        <f aca="false">IF(AT886=0,0,IF(AT886&lt;=12*'🎚️ Escenario'!$C$11,1,1+$C$6))</f>
        <v>0</v>
      </c>
      <c r="AU888" s="237" t="n">
        <f aca="false">IF(AU886=0,0,IF(AU886&lt;=12*'🎚️ Escenario'!$C$11,1,1+$C$6))</f>
        <v>0</v>
      </c>
      <c r="AV888" s="237" t="n">
        <f aca="false">IF(AV886=0,0,IF(AV886&lt;=12*'🎚️ Escenario'!$C$11,1,1+$C$6))</f>
        <v>0</v>
      </c>
      <c r="AW888" s="237" t="n">
        <f aca="false">IF(AW886=0,0,IF(AW886&lt;=12*'🎚️ Escenario'!$C$11,1,1+$C$6))</f>
        <v>0</v>
      </c>
      <c r="AX888" s="237" t="n">
        <f aca="false">IF(AX886=0,0,IF(AX886&lt;=12*'🎚️ Escenario'!$C$11,1,1+$C$6))</f>
        <v>0</v>
      </c>
      <c r="AY888" s="237" t="n">
        <f aca="false">IF(AY886=0,0,IF(AY886&lt;=12*'🎚️ Escenario'!$C$11,1,1+$C$6))</f>
        <v>0</v>
      </c>
      <c r="AZ888" s="237" t="n">
        <f aca="false">IF(AZ886=0,0,IF(AZ886&lt;=12*'🎚️ Escenario'!$C$11,1,1+$C$6))</f>
        <v>0</v>
      </c>
      <c r="BA888" s="237" t="n">
        <f aca="false">IF(BA886=0,0,IF(BA886&lt;=12*'🎚️ Escenario'!$C$11,1,1+$C$6))</f>
        <v>0</v>
      </c>
      <c r="BB888" s="237" t="n">
        <f aca="false">IF(BB886=0,0,IF(BB886&lt;=12*'🎚️ Escenario'!$C$11,1,1+$C$6))</f>
        <v>0</v>
      </c>
      <c r="BC888" s="237" t="n">
        <f aca="false">IF(BC886=0,0,IF(BC886&lt;=12*'🎚️ Escenario'!$C$11,1,1+$C$6))</f>
        <v>0</v>
      </c>
      <c r="BD888" s="237" t="n">
        <f aca="false">IF(BD886=0,0,IF(BD886&lt;=12*'🎚️ Escenario'!$C$11,1,1+$C$6))</f>
        <v>0</v>
      </c>
      <c r="BE888" s="237" t="n">
        <f aca="false">IF(BE886=0,0,IF(BE886&lt;=12*'🎚️ Escenario'!$C$11,1,1+$C$6))</f>
        <v>0</v>
      </c>
      <c r="BF888" s="237" t="n">
        <f aca="false">IF(BF886=0,0,IF(BF886&lt;=12*'🎚️ Escenario'!$C$11,1,1+$C$6))</f>
        <v>0</v>
      </c>
      <c r="BG888" s="237" t="n">
        <f aca="false">IF(BG886=0,0,IF(BG886&lt;=12*'🎚️ Escenario'!$C$11,1,1+$C$6))</f>
        <v>0</v>
      </c>
      <c r="BH888" s="237" t="n">
        <f aca="false">IF(BH886=0,0,IF(BH886&lt;=12*'🎚️ Escenario'!$C$11,1,1+$C$6))</f>
        <v>0</v>
      </c>
      <c r="BI888" s="237" t="n">
        <f aca="false">IF(BI886=0,0,IF(BI886&lt;=12*'🎚️ Escenario'!$C$11,1,1+$C$6))</f>
        <v>0</v>
      </c>
      <c r="BJ888" s="237" t="n">
        <f aca="false">IF(BJ886=0,0,IF(BJ886&lt;=12*'🎚️ Escenario'!$C$11,1,1+$C$6))</f>
        <v>0</v>
      </c>
      <c r="BK888" s="237" t="n">
        <f aca="false">IF(BK886=0,0,IF(BK886&lt;=12*'🎚️ Escenario'!$C$11,1,1+$C$6))</f>
        <v>0</v>
      </c>
      <c r="BL888" s="237" t="n">
        <f aca="false">IF(BL886=0,0,IF(BL886&lt;=12*'🎚️ Escenario'!$C$11,1,1+$C$6))</f>
        <v>0</v>
      </c>
      <c r="BM888" s="237" t="n">
        <f aca="false">IF(BM886=0,0,IF(BM886&lt;=12*'🎚️ Escenario'!$C$11,1,1+$C$6))</f>
        <v>0</v>
      </c>
      <c r="BN888" s="237" t="n">
        <f aca="false">IF(BN886=0,0,IF(BN886&lt;=12*'🎚️ Escenario'!$C$11,1,1+$C$6))</f>
        <v>0</v>
      </c>
      <c r="BO888" s="237" t="n">
        <f aca="false">IF(BO886=0,0,IF(BO886&lt;=12*'🎚️ Escenario'!$C$11,1,1+$C$6))</f>
        <v>0</v>
      </c>
      <c r="BP888" s="237" t="n">
        <f aca="false">IF(BP886=0,0,IF(BP886&lt;=12*'🎚️ Escenario'!$C$11,1,1+$C$6))</f>
        <v>0</v>
      </c>
      <c r="BQ888" s="237" t="n">
        <f aca="false">IF(BQ886=0,0,IF(BQ886&lt;=12*'🎚️ Escenario'!$C$11,1,1+$C$6))</f>
        <v>0</v>
      </c>
      <c r="BR888" s="237" t="n">
        <f aca="false">IF(BR886=0,0,IF(BR886&lt;=12*'🎚️ Escenario'!$C$11,1,1+$C$6))</f>
        <v>0</v>
      </c>
      <c r="BS888" s="237" t="n">
        <f aca="false">IF(BS886=0,0,IF(BS886&lt;=12*'🎚️ Escenario'!$C$11,1,1+$C$6))</f>
        <v>0</v>
      </c>
      <c r="BT888" s="237" t="n">
        <f aca="false">IF(BT886=0,0,IF(BT886&lt;=12*'🎚️ Escenario'!$C$11,1,1+$C$6))</f>
        <v>0</v>
      </c>
      <c r="BU888" s="237" t="n">
        <f aca="false">IF(BU886=0,0,IF(BU886&lt;=12*'🎚️ Escenario'!$C$11,1,1+$C$6))</f>
        <v>0</v>
      </c>
      <c r="BV888" s="237" t="n">
        <f aca="false">IF(BV886=0,0,IF(BV886&lt;=12*'🎚️ Escenario'!$C$11,1,1+$C$6))</f>
        <v>0</v>
      </c>
      <c r="BW888" s="237" t="n">
        <f aca="false">IF(BW886=0,0,IF(BW886&lt;=12*'🎚️ Escenario'!$C$11,1,1+$C$6))</f>
        <v>0</v>
      </c>
      <c r="BX888" s="237" t="n">
        <f aca="false">IF(BX886=0,0,IF(BX886&lt;=12*'🎚️ Escenario'!$C$11,1,1+$C$6))</f>
        <v>0</v>
      </c>
      <c r="BY888" s="237" t="n">
        <f aca="false">IF(BY886=0,0,IF(BY886&lt;=12*'🎚️ Escenario'!$C$11,1,1+$C$6))</f>
        <v>0</v>
      </c>
      <c r="BZ888" s="237" t="n">
        <f aca="false">IF(BZ886=0,0,IF(BZ886&lt;=12*'🎚️ Escenario'!$C$11,1,1+$C$6))</f>
        <v>0</v>
      </c>
      <c r="CA888" s="237" t="n">
        <f aca="false">IF(CA886=0,0,IF(CA886&lt;=12*'🎚️ Escenario'!$C$11,1,1+$C$6))</f>
        <v>0</v>
      </c>
      <c r="CB888" s="237" t="n">
        <f aca="false">IF(CB886=0,0,IF(CB886&lt;=12*'🎚️ Escenario'!$C$11,1,1+$C$6))</f>
        <v>0</v>
      </c>
      <c r="CC888" s="237" t="n">
        <f aca="false">IF(CC886=0,0,IF(CC886&lt;=12*'🎚️ Escenario'!$C$11,1,1+$C$6))</f>
        <v>0</v>
      </c>
      <c r="CD888" s="237" t="n">
        <f aca="false">IF(CD886=0,0,IF(CD886&lt;=12*'🎚️ Escenario'!$C$11,1,1+$C$6))</f>
        <v>0</v>
      </c>
      <c r="CE888" s="237" t="n">
        <f aca="false">IF(CE886=0,0,IF(CE886&lt;=12*'🎚️ Escenario'!$C$11,1,1+$C$6))</f>
        <v>0</v>
      </c>
      <c r="CF888" s="237" t="n">
        <f aca="false">IF(CF886=0,0,IF(CF886&lt;=12*'🎚️ Escenario'!$C$11,1,1+$C$6))</f>
        <v>0</v>
      </c>
      <c r="CG888" s="237" t="n">
        <f aca="false">IF(CG886=0,0,IF(CG886&lt;=12*'🎚️ Escenario'!$C$11,1,1+$C$6))</f>
        <v>0</v>
      </c>
      <c r="CH888" s="237" t="n">
        <f aca="false">IF(CH886=0,0,IF(CH886&lt;=12*'🎚️ Escenario'!$C$11,1,1+$C$6))</f>
        <v>0</v>
      </c>
      <c r="CI888" s="237" t="n">
        <f aca="false">IF(CI886=0,0,IF(CI886&lt;=12*'🎚️ Escenario'!$C$11,1,1+$C$6))</f>
        <v>0</v>
      </c>
      <c r="CJ888" s="237" t="n">
        <f aca="false">IF(CJ886=0,0,IF(CJ886&lt;=12*'🎚️ Escenario'!$C$11,1,1+$C$6))</f>
        <v>0</v>
      </c>
      <c r="CK888" s="237" t="n">
        <f aca="false">IF(CK886=0,0,IF(CK886&lt;=12*'🎚️ Escenario'!$C$11,1,1+$C$6))</f>
        <v>0</v>
      </c>
      <c r="CL888" s="237" t="n">
        <f aca="false">IF(CL886=0,0,IF(CL886&lt;=12*'🎚️ Escenario'!$C$11,1,1+$C$6))</f>
        <v>0</v>
      </c>
      <c r="CM888" s="237" t="n">
        <f aca="false">IF(CM886=0,0,IF(CM886&lt;=12*'🎚️ Escenario'!$C$11,1,1+$C$6))</f>
        <v>0</v>
      </c>
      <c r="CN888" s="237" t="n">
        <f aca="false">IF(CN886=0,0,IF(CN886&lt;=12*'🎚️ Escenario'!$C$11,1,1+$C$6))</f>
        <v>0</v>
      </c>
      <c r="CO888" s="237" t="n">
        <f aca="false">IF(CO886=0,0,IF(CO886&lt;=12*'🎚️ Escenario'!$C$11,1,1+$C$6))</f>
        <v>0</v>
      </c>
      <c r="CP888" s="237" t="n">
        <f aca="false">IF(CP886=0,0,IF(CP886&lt;=12*'🎚️ Escenario'!$C$11,1,1+$C$6))</f>
        <v>0</v>
      </c>
      <c r="CQ888" s="237" t="n">
        <f aca="false">IF(CQ886=0,0,IF(CQ886&lt;=12*'🎚️ Escenario'!$C$11,1,1+$C$6))</f>
        <v>0</v>
      </c>
      <c r="CR888" s="237" t="n">
        <f aca="false">IF(CR886=0,0,IF(CR886&lt;=12*'🎚️ Escenario'!$C$11,1,1+$C$6))</f>
        <v>0</v>
      </c>
      <c r="CS888" s="237" t="n">
        <f aca="false">IF(CS886=0,0,IF(CS886&lt;=12*'🎚️ Escenario'!$C$11,1,1+$C$6))</f>
        <v>0</v>
      </c>
      <c r="CT888" s="237" t="n">
        <f aca="false">IF(CT886=0,0,IF(CT886&lt;=12*'🎚️ Escenario'!$C$11,1,1+$C$6))</f>
        <v>0</v>
      </c>
      <c r="CU888" s="237" t="n">
        <f aca="false">IF(CU886=0,0,IF(CU886&lt;=12*'🎚️ Escenario'!$C$11,1,1+$C$6))</f>
        <v>0</v>
      </c>
      <c r="CV888" s="237" t="n">
        <f aca="false">IF(CV886=0,0,IF(CV886&lt;=12*'🎚️ Escenario'!$C$11,1,1+$C$6))</f>
        <v>0</v>
      </c>
      <c r="CW888" s="237" t="n">
        <f aca="false">IF(CW886=0,0,IF(CW886&lt;=12*'🎚️ Escenario'!$C$11,1,1+$C$6))</f>
        <v>0</v>
      </c>
      <c r="CX888" s="237" t="n">
        <f aca="false">IF(CX886=0,0,IF(CX886&lt;=12*'🎚️ Escenario'!$C$11,1,1+$C$6))</f>
        <v>0</v>
      </c>
      <c r="CY888" s="237" t="n">
        <f aca="false">IF(CY886=0,0,IF(CY886&lt;=12*'🎚️ Escenario'!$C$11,1,1+$C$6))</f>
        <v>0</v>
      </c>
      <c r="CZ888" s="237" t="n">
        <f aca="false">IF(CZ886=0,0,IF(CZ886&lt;=12*'🎚️ Escenario'!$C$11,1,1+$C$6))</f>
        <v>0</v>
      </c>
      <c r="DA888" s="237" t="n">
        <f aca="false">IF(DA886=0,0,IF(DA886&lt;=12*'🎚️ Escenario'!$C$11,1,1+$C$6))</f>
        <v>0</v>
      </c>
      <c r="DB888" s="237" t="n">
        <f aca="false">IF(DB886=0,0,IF(DB886&lt;=12*'🎚️ Escenario'!$C$11,1,1+$C$6))</f>
        <v>0</v>
      </c>
      <c r="DC888" s="237" t="n">
        <f aca="false">IF(DC886=0,0,IF(DC886&lt;=12*'🎚️ Escenario'!$C$11,1,1+$C$6))</f>
        <v>0</v>
      </c>
      <c r="DD888" s="237" t="n">
        <f aca="false">IF(DD886=0,0,IF(DD886&lt;=12*'🎚️ Escenario'!$C$11,1,1+$C$6))</f>
        <v>0</v>
      </c>
      <c r="DE888" s="237" t="n">
        <f aca="false">IF(DE886=0,0,IF(DE886&lt;=12*'🎚️ Escenario'!$C$11,1,1+$C$6))</f>
        <v>0</v>
      </c>
      <c r="DF888" s="237" t="n">
        <f aca="false">IF(DF886=0,0,IF(DF886&lt;=12*'🎚️ Escenario'!$C$11,1,1+$C$6))</f>
        <v>0</v>
      </c>
      <c r="DG888" s="237" t="n">
        <f aca="false">IF(DG886=0,0,IF(DG886&lt;=12*'🎚️ Escenario'!$C$11,1,1+$C$6))</f>
        <v>0</v>
      </c>
      <c r="DH888" s="237" t="n">
        <f aca="false">IF(DH886=0,0,IF(DH886&lt;=12*'🎚️ Escenario'!$C$11,1,1+$C$6))</f>
        <v>0</v>
      </c>
      <c r="DI888" s="237" t="n">
        <f aca="false">IF(DI886=0,0,IF(DI886&lt;=12*'🎚️ Escenario'!$C$11,1,1+$C$6))</f>
        <v>0</v>
      </c>
      <c r="DJ888" s="237" t="n">
        <f aca="false">IF(DJ886=0,0,IF(DJ886&lt;=12*'🎚️ Escenario'!$C$11,1,1+$C$6))</f>
        <v>0</v>
      </c>
      <c r="DK888" s="237" t="n">
        <f aca="false">IF(DK886=0,0,IF(DK886&lt;=12*'🎚️ Escenario'!$C$11,1,1+$C$6))</f>
        <v>0</v>
      </c>
      <c r="DL888" s="237" t="n">
        <f aca="false">IF(DL886=0,0,IF(DL886&lt;=12*'🎚️ Escenario'!$C$11,1,1+$C$6))</f>
        <v>0</v>
      </c>
      <c r="DM888" s="237" t="n">
        <f aca="false">IF(DM886=0,0,IF(DM886&lt;=12*'🎚️ Escenario'!$C$11,1,1+$C$6))</f>
        <v>0</v>
      </c>
      <c r="DN888" s="237" t="n">
        <f aca="false">IF(DN886=0,0,IF(DN886&lt;=12*'🎚️ Escenario'!$C$11,1,1+$C$6))</f>
        <v>0</v>
      </c>
      <c r="DO888" s="237" t="n">
        <f aca="false">IF(DO886=0,0,IF(DO886&lt;=12*'🎚️ Escenario'!$C$11,1,1+$C$6))</f>
        <v>0</v>
      </c>
      <c r="DP888" s="237" t="n">
        <f aca="false">IF(DP886=0,0,IF(DP886&lt;=12*'🎚️ Escenario'!$C$11,1,1+$C$6))</f>
        <v>0</v>
      </c>
      <c r="DQ888" s="237" t="n">
        <f aca="false">IF(DQ886=0,0,IF(DQ886&lt;=12*'🎚️ Escenario'!$C$11,1,1+$C$6))</f>
        <v>0</v>
      </c>
      <c r="DR888" s="237" t="n">
        <f aca="false">IF(DR886=0,0,IF(DR886&lt;=12*'🎚️ Escenario'!$C$11,1,1+$C$6))</f>
        <v>0</v>
      </c>
      <c r="DS888" s="237" t="n">
        <f aca="false">IF(DS886=0,0,IF(DS886&lt;=12*'🎚️ Escenario'!$C$11,1,1+$C$6))</f>
        <v>0</v>
      </c>
      <c r="DT888" s="237" t="n">
        <f aca="false">IF(DT886=0,0,IF(DT886&lt;=12*'🎚️ Escenario'!$C$11,1,1+$C$6))</f>
        <v>0</v>
      </c>
      <c r="DU888" s="237" t="n">
        <f aca="false">IF(DU886=0,0,IF(DU886&lt;=12*'🎚️ Escenario'!$C$11,1,1+$C$6))</f>
        <v>0</v>
      </c>
      <c r="DV888" s="237" t="n">
        <f aca="false">IF(DV886=0,0,IF(DV886&lt;=12*'🎚️ Escenario'!$C$11,1,1+$C$6))</f>
        <v>0</v>
      </c>
      <c r="DW888" s="237" t="n">
        <f aca="false">IF(DW886=0,0,IF(DW886&lt;=12*'🎚️ Escenario'!$C$11,1,1+$C$6))</f>
        <v>0</v>
      </c>
      <c r="DX888" s="237" t="n">
        <f aca="false">IF(DX886=0,0,IF(DX886&lt;=12*'🎚️ Escenario'!$C$11,1,1+$C$6))</f>
        <v>0</v>
      </c>
      <c r="DY888" s="237" t="n">
        <f aca="false">IF(DY886=0,0,IF(DY886&lt;=12*'🎚️ Escenario'!$C$11,1,1+$C$6))</f>
        <v>0</v>
      </c>
      <c r="DZ888" s="237" t="n">
        <f aca="false">IF(DZ886=0,0,IF(DZ886&lt;=12*'🎚️ Escenario'!$C$11,1,1+$C$6))</f>
        <v>0</v>
      </c>
      <c r="EA888" s="237" t="n">
        <f aca="false">IF(EA886=0,0,IF(EA886&lt;=12*'🎚️ Escenario'!$C$11,1,1+$C$6))</f>
        <v>0</v>
      </c>
      <c r="EB888" s="237" t="n">
        <f aca="false">IF(EB886=0,0,IF(EB886&lt;=12*'🎚️ Escenario'!$C$11,1,1+$C$6))</f>
        <v>0</v>
      </c>
      <c r="EC888" s="237" t="n">
        <f aca="false">IF(EC886=0,0,IF(EC886&lt;=12*'🎚️ Escenario'!$C$11,1,1+$C$6))</f>
        <v>0</v>
      </c>
      <c r="ED888" s="237" t="n">
        <f aca="false">IF(ED886=0,0,IF(ED886&lt;=12*'🎚️ Escenario'!$C$11,1,1+$C$6))</f>
        <v>0</v>
      </c>
      <c r="EE888" s="237" t="n">
        <f aca="false">IF(EE886=0,0,IF(EE886&lt;=12*'🎚️ Escenario'!$C$11,1,1+$C$6))</f>
        <v>0</v>
      </c>
      <c r="EF888" s="237" t="n">
        <f aca="false">IF(EF886=0,0,IF(EF886&lt;=12*'🎚️ Escenario'!$C$11,1,1+$C$6))</f>
        <v>0</v>
      </c>
      <c r="EG888" s="237" t="n">
        <f aca="false">IF(EG886=0,0,IF(EG886&lt;=12*'🎚️ Escenario'!$C$11,1,1+$C$6))</f>
        <v>0</v>
      </c>
      <c r="EH888" s="237" t="n">
        <f aca="false">IF(EH886=0,0,IF(EH886&lt;=12*'🎚️ Escenario'!$C$11,1,1+$C$6))</f>
        <v>0</v>
      </c>
      <c r="EI888" s="237" t="n">
        <f aca="false">IF(EI886=0,0,IF(EI886&lt;=12*'🎚️ Escenario'!$C$11,1,1+$C$6))</f>
        <v>0</v>
      </c>
      <c r="EJ888" s="237" t="n">
        <f aca="false">IF(EJ886=0,0,IF(EJ886&lt;=12*'🎚️ Escenario'!$C$11,1,1+$C$6))</f>
        <v>0</v>
      </c>
      <c r="EK888" s="237" t="n">
        <f aca="false">IF(EK886=0,0,IF(EK886&lt;=12*'🎚️ Escenario'!$C$11,1,1+$C$6))</f>
        <v>0</v>
      </c>
      <c r="EL888" s="237" t="n">
        <f aca="false">IF(EL886=0,0,IF(EL886&lt;=12*'🎚️ Escenario'!$C$11,1,1+$C$6))</f>
        <v>0</v>
      </c>
      <c r="EM888" s="237" t="n">
        <f aca="false">IF(EM886=0,0,IF(EM886&lt;=12*'🎚️ Escenario'!$C$11,1,1+$C$6))</f>
        <v>0</v>
      </c>
      <c r="EN888" s="237" t="n">
        <f aca="false">IF(EN886=0,0,IF(EN886&lt;=12*'🎚️ Escenario'!$C$11,1,1+$C$6))</f>
        <v>0</v>
      </c>
      <c r="EO888" s="237" t="n">
        <f aca="false">IF(EO886=0,0,IF(EO886&lt;=12*'🎚️ Escenario'!$C$11,1,1+$C$6))</f>
        <v>0</v>
      </c>
      <c r="EP888" s="237" t="n">
        <f aca="false">IF(EP886=0,0,IF(EP886&lt;=12*'🎚️ Escenario'!$C$11,1,1+$C$6))</f>
        <v>0</v>
      </c>
      <c r="EQ888" s="237" t="n">
        <f aca="false">IF(EQ886=0,0,IF(EQ886&lt;=12*'🎚️ Escenario'!$C$11,1,1+$C$6))</f>
        <v>0</v>
      </c>
      <c r="ER888" s="237" t="n">
        <f aca="false">IF(ER886=0,0,IF(ER886&lt;=12*'🎚️ Escenario'!$C$11,1,1+$C$6))</f>
        <v>0</v>
      </c>
      <c r="ES888" s="9" t="n">
        <f aca="false">IF(ES886=0,0,IF(ES886&lt;=12*'🎚️ Escenario'!$C$11,1,1+$C$6))</f>
        <v>0</v>
      </c>
      <c r="ET888" s="9" t="n">
        <f aca="false">IF(ET886=0,0,IF(ET886&lt;=12*'🎚️ Escenario'!$C$11,1,1+$C$6))</f>
        <v>0</v>
      </c>
      <c r="EU888" s="9" t="n">
        <f aca="false">IF(EU886=0,0,IF(EU886&lt;=12*'🎚️ Escenario'!$C$11,1,1+$C$6))</f>
        <v>0</v>
      </c>
      <c r="EV888" s="9" t="n">
        <f aca="false">IF(EV886=0,0,IF(EV886&lt;=12*'🎚️ Escenario'!$C$11,1,1+$C$6))</f>
        <v>0</v>
      </c>
      <c r="EW888" s="9" t="n">
        <f aca="false">IF(EW886=0,0,IF(EW886&lt;=12*'🎚️ Escenario'!$C$11,1,1+$C$6))</f>
        <v>0</v>
      </c>
      <c r="EX888" s="9" t="n">
        <f aca="false">IF(EX886=0,0,IF(EX886&lt;=12*'🎚️ Escenario'!$C$11,1,1+$C$6))</f>
        <v>0</v>
      </c>
      <c r="EY888" s="9" t="n">
        <f aca="false">IF(EY886=0,0,IF(EY886&lt;=12*'🎚️ Escenario'!$C$11,1,1+$C$6))</f>
        <v>0</v>
      </c>
      <c r="EZ888" s="9" t="n">
        <f aca="false">IF(EZ886=0,0,IF(EZ886&lt;=12*'🎚️ Escenario'!$C$11,1,1+$C$6))</f>
        <v>0</v>
      </c>
      <c r="FA888" s="9" t="n">
        <f aca="false">IF(FA886=0,0,IF(FA886&lt;=12*'🎚️ Escenario'!$C$11,1,1+$C$6))</f>
        <v>0</v>
      </c>
      <c r="FB888" s="9" t="n">
        <f aca="false">IF(FB886=0,0,IF(FB886&lt;=12*'🎚️ Escenario'!$C$11,1,1+$C$6))</f>
        <v>0</v>
      </c>
      <c r="FC888" s="9" t="n">
        <f aca="false">IF(FC886=0,0,IF(FC886&lt;=12*'🎚️ Escenario'!$C$11,1,1+$C$6))</f>
        <v>0</v>
      </c>
      <c r="FD888" s="9" t="n">
        <f aca="false">IF(FD886=0,0,IF(FD886&lt;=12*'🎚️ Escenario'!$C$11,1,1+$C$6))</f>
        <v>0</v>
      </c>
      <c r="FE888" s="9" t="n">
        <f aca="false">IF(FE886=0,0,IF(FE886&lt;=12*'🎚️ Escenario'!$C$11,1,1+$C$6))</f>
        <v>0</v>
      </c>
      <c r="FF888" s="9" t="n">
        <f aca="false">IF(FF886=0,0,IF(FF886&lt;=12*'🎚️ Escenario'!$C$11,1,1+$C$6))</f>
        <v>0</v>
      </c>
      <c r="FG888" s="9" t="n">
        <f aca="false">IF(FG886=0,0,IF(FG886&lt;=12*'🎚️ Escenario'!$C$11,1,1+$C$6))</f>
        <v>0</v>
      </c>
      <c r="FH888" s="9" t="n">
        <f aca="false">IF(FH886=0,0,IF(FH886&lt;=12*'🎚️ Escenario'!$C$11,1,1+$C$6))</f>
        <v>0</v>
      </c>
      <c r="FI888" s="9" t="n">
        <f aca="false">IF(FI886=0,0,IF(FI886&lt;=12*'🎚️ Escenario'!$C$11,1,1+$C$6))</f>
        <v>0</v>
      </c>
      <c r="FJ888" s="9" t="n">
        <f aca="false">IF(FJ886=0,0,IF(FJ886&lt;=12*'🎚️ Escenario'!$C$11,1,1+$C$6))</f>
        <v>0</v>
      </c>
      <c r="FK888" s="9" t="n">
        <f aca="false">IF(FK886=0,0,IF(FK886&lt;=12*'🎚️ Escenario'!$C$11,1,1+$C$6))</f>
        <v>0</v>
      </c>
      <c r="FL888" s="9" t="n">
        <f aca="false">IF(FL886=0,0,IF(FL886&lt;=12*'🎚️ Escenario'!$C$11,1,1+$C$6))</f>
        <v>0</v>
      </c>
      <c r="FM888" s="9" t="n">
        <f aca="false">IF(FM886=0,0,IF(FM886&lt;=12*'🎚️ Escenario'!$C$11,1,1+$C$6))</f>
        <v>1</v>
      </c>
      <c r="FN888" s="9" t="n">
        <f aca="false">IF(FN886=0,0,IF(FN886&lt;=12*'🎚️ Escenario'!$C$11,1,1+$C$6))</f>
        <v>1</v>
      </c>
      <c r="FO888" s="9" t="n">
        <f aca="false">IF(FO886=0,0,IF(FO886&lt;=12*'🎚️ Escenario'!$C$11,1,1+$C$6))</f>
        <v>1</v>
      </c>
      <c r="FP888" s="9" t="n">
        <f aca="false">IF(FP886=0,0,IF(FP886&lt;=12*'🎚️ Escenario'!$C$11,1,1+$C$6))</f>
        <v>1</v>
      </c>
    </row>
    <row r="889" customFormat="false" ht="15" hidden="false" customHeight="false" outlineLevel="2" collapsed="false">
      <c r="B889" s="9" t="s">
        <v>876</v>
      </c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36" t="n">
        <f aca="false">AC887*$AC$885*AC888*AC$38*'⑫ Roll-out Plan'!$O$93</f>
        <v>0</v>
      </c>
      <c r="AD889" s="36" t="n">
        <f aca="false">AD887*$AC$885*AD888*AD$38*'⑫ Roll-out Plan'!$O$93</f>
        <v>0</v>
      </c>
      <c r="AE889" s="36" t="n">
        <f aca="false">AE887*$AC$885*AE888*AE$38*'⑫ Roll-out Plan'!$O$93</f>
        <v>0</v>
      </c>
      <c r="AF889" s="36" t="n">
        <f aca="false">AF887*$AC$885*AF888*AF$38*'⑫ Roll-out Plan'!$O$93</f>
        <v>0</v>
      </c>
      <c r="AG889" s="36" t="n">
        <f aca="false">AG887*$AC$885*AG888*AG$38*'⑫ Roll-out Plan'!$O$93</f>
        <v>0</v>
      </c>
      <c r="AH889" s="36" t="n">
        <f aca="false">AH887*$AC$885*AH888*AH$38*'⑫ Roll-out Plan'!$O$93</f>
        <v>0</v>
      </c>
      <c r="AI889" s="36" t="n">
        <f aca="false">AI887*$AC$885*AI888*AI$38*'⑫ Roll-out Plan'!$O$93</f>
        <v>0</v>
      </c>
      <c r="AJ889" s="36" t="n">
        <f aca="false">AJ887*$AC$885*AJ888*AJ$38*'⑫ Roll-out Plan'!$O$93</f>
        <v>0</v>
      </c>
      <c r="AK889" s="36" t="n">
        <f aca="false">AK887*$AC$885*AK888*AK$38*'⑫ Roll-out Plan'!$O$93</f>
        <v>0</v>
      </c>
      <c r="AL889" s="36" t="n">
        <f aca="false">AL887*$AC$885*AL888*AL$38*'⑫ Roll-out Plan'!$O$93</f>
        <v>0</v>
      </c>
      <c r="AM889" s="36" t="n">
        <f aca="false">AM887*$AC$885*AM888*AM$38*'⑫ Roll-out Plan'!$O$93</f>
        <v>0</v>
      </c>
      <c r="AN889" s="36" t="n">
        <f aca="false">AN887*$AC$885*AN888*AN$38*'⑫ Roll-out Plan'!$O$93</f>
        <v>0</v>
      </c>
      <c r="AO889" s="36" t="n">
        <f aca="false">AO887*$AC$885*AO888*AO$38*'⑫ Roll-out Plan'!$O$93</f>
        <v>0</v>
      </c>
      <c r="AP889" s="36" t="n">
        <f aca="false">AP887*$AC$885*AP888*AP$38*'⑫ Roll-out Plan'!$O$93</f>
        <v>0</v>
      </c>
      <c r="AQ889" s="36" t="n">
        <f aca="false">AQ887*$AC$885*AQ888*AQ$38*'⑫ Roll-out Plan'!$O$93</f>
        <v>0</v>
      </c>
      <c r="AR889" s="36" t="n">
        <f aca="false">AR887*$AC$885*AR888*AR$38*'⑫ Roll-out Plan'!$O$93</f>
        <v>0</v>
      </c>
      <c r="AS889" s="36" t="n">
        <f aca="false">AS887*$AC$885*AS888*AS$38*'⑫ Roll-out Plan'!$O$93</f>
        <v>0</v>
      </c>
      <c r="AT889" s="36" t="n">
        <f aca="false">AT887*$AC$885*AT888*AT$38*'⑫ Roll-out Plan'!$O$93</f>
        <v>0</v>
      </c>
      <c r="AU889" s="36" t="n">
        <f aca="false">AU887*$AC$885*AU888*AU$38*'⑫ Roll-out Plan'!$O$93</f>
        <v>0</v>
      </c>
      <c r="AV889" s="36" t="n">
        <f aca="false">AV887*$AC$885*AV888*AV$38*'⑫ Roll-out Plan'!$O$93</f>
        <v>0</v>
      </c>
      <c r="AW889" s="36" t="n">
        <f aca="false">AW887*$AC$885*AW888*AW$38*'⑫ Roll-out Plan'!$O$93</f>
        <v>0</v>
      </c>
      <c r="AX889" s="36" t="n">
        <f aca="false">AX887*$AC$885*AX888*AX$38*'⑫ Roll-out Plan'!$O$93</f>
        <v>0</v>
      </c>
      <c r="AY889" s="36" t="n">
        <f aca="false">AY887*$AC$885*AY888*AY$38*'⑫ Roll-out Plan'!$O$93</f>
        <v>0</v>
      </c>
      <c r="AZ889" s="36" t="n">
        <f aca="false">AZ887*$AC$885*AZ888*AZ$38*'⑫ Roll-out Plan'!$O$93</f>
        <v>0</v>
      </c>
      <c r="BA889" s="36" t="n">
        <f aca="false">BA887*$AC$885*BA888*BA$38*'⑫ Roll-out Plan'!$O$93</f>
        <v>0</v>
      </c>
      <c r="BB889" s="36" t="n">
        <f aca="false">BB887*$AC$885*BB888*BB$38*'⑫ Roll-out Plan'!$O$93</f>
        <v>0</v>
      </c>
      <c r="BC889" s="36" t="n">
        <f aca="false">BC887*$AC$885*BC888*BC$38*'⑫ Roll-out Plan'!$O$93</f>
        <v>0</v>
      </c>
      <c r="BD889" s="36" t="n">
        <f aca="false">BD887*$AC$885*BD888*BD$38*'⑫ Roll-out Plan'!$O$93</f>
        <v>0</v>
      </c>
      <c r="BE889" s="36" t="n">
        <f aca="false">BE887*$AC$885*BE888*BE$38*'⑫ Roll-out Plan'!$O$93</f>
        <v>0</v>
      </c>
      <c r="BF889" s="36" t="n">
        <f aca="false">BF887*$AC$885*BF888*BF$38*'⑫ Roll-out Plan'!$O$93</f>
        <v>0</v>
      </c>
      <c r="BG889" s="36" t="n">
        <f aca="false">BG887*$AC$885*BG888*BG$38*'⑫ Roll-out Plan'!$O$93</f>
        <v>0</v>
      </c>
      <c r="BH889" s="36" t="n">
        <f aca="false">BH887*$AC$885*BH888*BH$38*'⑫ Roll-out Plan'!$O$93</f>
        <v>0</v>
      </c>
      <c r="BI889" s="36" t="n">
        <f aca="false">BI887*$AC$885*BI888*BI$38*'⑫ Roll-out Plan'!$O$93</f>
        <v>0</v>
      </c>
      <c r="BJ889" s="36" t="n">
        <f aca="false">BJ887*$AC$885*BJ888*BJ$38*'⑫ Roll-out Plan'!$O$93</f>
        <v>0</v>
      </c>
      <c r="BK889" s="36" t="n">
        <f aca="false">BK887*$AC$885*BK888*BK$38*'⑫ Roll-out Plan'!$O$93</f>
        <v>0</v>
      </c>
      <c r="BL889" s="36" t="n">
        <f aca="false">BL887*$AC$885*BL888*BL$38*'⑫ Roll-out Plan'!$O$93</f>
        <v>0</v>
      </c>
      <c r="BM889" s="36" t="n">
        <f aca="false">BM887*$AC$885*BM888*BM$38*'⑫ Roll-out Plan'!$O$93</f>
        <v>0</v>
      </c>
      <c r="BN889" s="36" t="n">
        <f aca="false">BN887*$AC$885*BN888*BN$38*'⑫ Roll-out Plan'!$O$93</f>
        <v>0</v>
      </c>
      <c r="BO889" s="36" t="n">
        <f aca="false">BO887*$AC$885*BO888*BO$38*'⑫ Roll-out Plan'!$O$93</f>
        <v>0</v>
      </c>
      <c r="BP889" s="36" t="n">
        <f aca="false">BP887*$AC$885*BP888*BP$38*'⑫ Roll-out Plan'!$O$93</f>
        <v>0</v>
      </c>
      <c r="BQ889" s="36" t="n">
        <f aca="false">BQ887*$AC$885*BQ888*BQ$38*'⑫ Roll-out Plan'!$O$93</f>
        <v>0</v>
      </c>
      <c r="BR889" s="36" t="n">
        <f aca="false">BR887*$AC$885*BR888*BR$38*'⑫ Roll-out Plan'!$O$93</f>
        <v>0</v>
      </c>
      <c r="BS889" s="36" t="n">
        <f aca="false">BS887*$AC$885*BS888*BS$38*'⑫ Roll-out Plan'!$O$93</f>
        <v>0</v>
      </c>
      <c r="BT889" s="36" t="n">
        <f aca="false">BT887*$AC$885*BT888*BT$38*'⑫ Roll-out Plan'!$O$93</f>
        <v>0</v>
      </c>
      <c r="BU889" s="36" t="n">
        <f aca="false">BU887*$AC$885*BU888*BU$38*'⑫ Roll-out Plan'!$O$93</f>
        <v>0</v>
      </c>
      <c r="BV889" s="36" t="n">
        <f aca="false">BV887*$AC$885*BV888*BV$38*'⑫ Roll-out Plan'!$O$93</f>
        <v>0</v>
      </c>
      <c r="BW889" s="36" t="n">
        <f aca="false">BW887*$AC$885*BW888*BW$38*'⑫ Roll-out Plan'!$O$93</f>
        <v>0</v>
      </c>
      <c r="BX889" s="36" t="n">
        <f aca="false">BX887*$AC$885*BX888*BX$38*'⑫ Roll-out Plan'!$O$93</f>
        <v>0</v>
      </c>
      <c r="BY889" s="36" t="n">
        <f aca="false">BY887*$AC$885*BY888*BY$38*'⑫ Roll-out Plan'!$O$93</f>
        <v>0</v>
      </c>
      <c r="BZ889" s="36" t="n">
        <f aca="false">BZ887*$AC$885*BZ888*BZ$38*'⑫ Roll-out Plan'!$O$93</f>
        <v>0</v>
      </c>
      <c r="CA889" s="36" t="n">
        <f aca="false">CA887*$AC$885*CA888*CA$38*'⑫ Roll-out Plan'!$O$93</f>
        <v>0</v>
      </c>
      <c r="CB889" s="36" t="n">
        <f aca="false">CB887*$AC$885*CB888*CB$38*'⑫ Roll-out Plan'!$O$93</f>
        <v>0</v>
      </c>
      <c r="CC889" s="36" t="n">
        <f aca="false">CC887*$AC$885*CC888*CC$38*'⑫ Roll-out Plan'!$O$93</f>
        <v>0</v>
      </c>
      <c r="CD889" s="36" t="n">
        <f aca="false">CD887*$AC$885*CD888*CD$38*'⑫ Roll-out Plan'!$O$93</f>
        <v>0</v>
      </c>
      <c r="CE889" s="36" t="n">
        <f aca="false">CE887*$AC$885*CE888*CE$38*'⑫ Roll-out Plan'!$O$93</f>
        <v>0</v>
      </c>
      <c r="CF889" s="36" t="n">
        <f aca="false">CF887*$AC$885*CF888*CF$38*'⑫ Roll-out Plan'!$O$93</f>
        <v>0</v>
      </c>
      <c r="CG889" s="36" t="n">
        <f aca="false">CG887*$AC$885*CG888*CG$38*'⑫ Roll-out Plan'!$O$93</f>
        <v>0</v>
      </c>
      <c r="CH889" s="36" t="n">
        <f aca="false">CH887*$AC$885*CH888*CH$38*'⑫ Roll-out Plan'!$O$93</f>
        <v>0</v>
      </c>
      <c r="CI889" s="36" t="n">
        <f aca="false">CI887*$AC$885*CI888*CI$38*'⑫ Roll-out Plan'!$O$93</f>
        <v>0</v>
      </c>
      <c r="CJ889" s="36" t="n">
        <f aca="false">CJ887*$AC$885*CJ888*CJ$38*'⑫ Roll-out Plan'!$O$93</f>
        <v>0</v>
      </c>
      <c r="CK889" s="36" t="n">
        <f aca="false">CK887*$AC$885*CK888*CK$38*'⑫ Roll-out Plan'!$O$93</f>
        <v>0</v>
      </c>
      <c r="CL889" s="36" t="n">
        <f aca="false">CL887*$AC$885*CL888*CL$38*'⑫ Roll-out Plan'!$O$93</f>
        <v>0</v>
      </c>
      <c r="CM889" s="36" t="n">
        <f aca="false">CM887*$AC$885*CM888*CM$38*'⑫ Roll-out Plan'!$O$93</f>
        <v>0</v>
      </c>
      <c r="CN889" s="36" t="n">
        <f aca="false">CN887*$AC$885*CN888*CN$38*'⑫ Roll-out Plan'!$O$93</f>
        <v>0</v>
      </c>
      <c r="CO889" s="36" t="n">
        <f aca="false">CO887*$AC$885*CO888*CO$38*'⑫ Roll-out Plan'!$O$93</f>
        <v>0</v>
      </c>
      <c r="CP889" s="36" t="n">
        <f aca="false">CP887*$AC$885*CP888*CP$38*'⑫ Roll-out Plan'!$O$93</f>
        <v>0</v>
      </c>
      <c r="CQ889" s="36" t="n">
        <f aca="false">CQ887*$AC$885*CQ888*CQ$38*'⑫ Roll-out Plan'!$O$93</f>
        <v>0</v>
      </c>
      <c r="CR889" s="36" t="n">
        <f aca="false">CR887*$AC$885*CR888*CR$38*'⑫ Roll-out Plan'!$O$93</f>
        <v>0</v>
      </c>
      <c r="CS889" s="36" t="n">
        <f aca="false">CS887*$AC$885*CS888*CS$38*'⑫ Roll-out Plan'!$O$93</f>
        <v>0</v>
      </c>
      <c r="CT889" s="36" t="n">
        <f aca="false">CT887*$AC$885*CT888*CT$38*'⑫ Roll-out Plan'!$O$93</f>
        <v>0</v>
      </c>
      <c r="CU889" s="36" t="n">
        <f aca="false">CU887*$AC$885*CU888*CU$38*'⑫ Roll-out Plan'!$O$93</f>
        <v>0</v>
      </c>
      <c r="CV889" s="36" t="n">
        <f aca="false">CV887*$AC$885*CV888*CV$38*'⑫ Roll-out Plan'!$O$93</f>
        <v>0</v>
      </c>
      <c r="CW889" s="36" t="n">
        <f aca="false">CW887*$AC$885*CW888*CW$38*'⑫ Roll-out Plan'!$O$93</f>
        <v>0</v>
      </c>
      <c r="CX889" s="36" t="n">
        <f aca="false">CX887*$AC$885*CX888*CX$38*'⑫ Roll-out Plan'!$O$93</f>
        <v>0</v>
      </c>
      <c r="CY889" s="36" t="n">
        <f aca="false">CY887*$AC$885*CY888*CY$38*'⑫ Roll-out Plan'!$O$93</f>
        <v>0</v>
      </c>
      <c r="CZ889" s="36" t="n">
        <f aca="false">CZ887*$AC$885*CZ888*CZ$38*'⑫ Roll-out Plan'!$O$93</f>
        <v>0</v>
      </c>
      <c r="DA889" s="36" t="n">
        <f aca="false">DA887*$AC$885*DA888*DA$38*'⑫ Roll-out Plan'!$O$93</f>
        <v>0</v>
      </c>
      <c r="DB889" s="36" t="n">
        <f aca="false">DB887*$AC$885*DB888*DB$38*'⑫ Roll-out Plan'!$O$93</f>
        <v>0</v>
      </c>
      <c r="DC889" s="36" t="n">
        <f aca="false">DC887*$AC$885*DC888*DC$38*'⑫ Roll-out Plan'!$O$93</f>
        <v>0</v>
      </c>
      <c r="DD889" s="36" t="n">
        <f aca="false">DD887*$AC$885*DD888*DD$38*'⑫ Roll-out Plan'!$O$93</f>
        <v>0</v>
      </c>
      <c r="DE889" s="36" t="n">
        <f aca="false">DE887*$AC$885*DE888*DE$38*'⑫ Roll-out Plan'!$O$93</f>
        <v>0</v>
      </c>
      <c r="DF889" s="36" t="n">
        <f aca="false">DF887*$AC$885*DF888*DF$38*'⑫ Roll-out Plan'!$O$93</f>
        <v>0</v>
      </c>
      <c r="DG889" s="36" t="n">
        <f aca="false">DG887*$AC$885*DG888*DG$38*'⑫ Roll-out Plan'!$O$93</f>
        <v>0</v>
      </c>
      <c r="DH889" s="36" t="n">
        <f aca="false">DH887*$AC$885*DH888*DH$38*'⑫ Roll-out Plan'!$O$93</f>
        <v>0</v>
      </c>
      <c r="DI889" s="36" t="n">
        <f aca="false">DI887*$AC$885*DI888*DI$38*'⑫ Roll-out Plan'!$O$93</f>
        <v>0</v>
      </c>
      <c r="DJ889" s="36" t="n">
        <f aca="false">DJ887*$AC$885*DJ888*DJ$38*'⑫ Roll-out Plan'!$O$93</f>
        <v>0</v>
      </c>
      <c r="DK889" s="36" t="n">
        <f aca="false">DK887*$AC$885*DK888*DK$38*'⑫ Roll-out Plan'!$O$93</f>
        <v>0</v>
      </c>
      <c r="DL889" s="36" t="n">
        <f aca="false">DL887*$AC$885*DL888*DL$38*'⑫ Roll-out Plan'!$O$93</f>
        <v>0</v>
      </c>
      <c r="DM889" s="36" t="n">
        <f aca="false">DM887*$AC$885*DM888*DM$38*'⑫ Roll-out Plan'!$O$93</f>
        <v>0</v>
      </c>
      <c r="DN889" s="36" t="n">
        <f aca="false">DN887*$AC$885*DN888*DN$38*'⑫ Roll-out Plan'!$O$93</f>
        <v>0</v>
      </c>
      <c r="DO889" s="36" t="n">
        <f aca="false">DO887*$AC$885*DO888*DO$38*'⑫ Roll-out Plan'!$O$93</f>
        <v>0</v>
      </c>
      <c r="DP889" s="36" t="n">
        <f aca="false">DP887*$AC$885*DP888*DP$38*'⑫ Roll-out Plan'!$O$93</f>
        <v>0</v>
      </c>
      <c r="DQ889" s="36" t="n">
        <f aca="false">DQ887*$AC$885*DQ888*DQ$38*'⑫ Roll-out Plan'!$O$93</f>
        <v>0</v>
      </c>
      <c r="DR889" s="36" t="n">
        <f aca="false">DR887*$AC$885*DR888*DR$38*'⑫ Roll-out Plan'!$O$93</f>
        <v>0</v>
      </c>
      <c r="DS889" s="36" t="n">
        <f aca="false">DS887*$AC$885*DS888*DS$38*'⑫ Roll-out Plan'!$O$93</f>
        <v>0</v>
      </c>
      <c r="DT889" s="36" t="n">
        <f aca="false">DT887*$AC$885*DT888*DT$38*'⑫ Roll-out Plan'!$O$93</f>
        <v>0</v>
      </c>
      <c r="DU889" s="36" t="n">
        <f aca="false">DU887*$AC$885*DU888*DU$38*'⑫ Roll-out Plan'!$O$93</f>
        <v>0</v>
      </c>
      <c r="DV889" s="36" t="n">
        <f aca="false">DV887*$AC$885*DV888*DV$38*'⑫ Roll-out Plan'!$O$93</f>
        <v>0</v>
      </c>
      <c r="DW889" s="36" t="n">
        <f aca="false">DW887*$AC$885*DW888*DW$38*'⑫ Roll-out Plan'!$O$93</f>
        <v>0</v>
      </c>
      <c r="DX889" s="36" t="n">
        <f aca="false">DX887*$AC$885*DX888*DX$38*'⑫ Roll-out Plan'!$O$93</f>
        <v>0</v>
      </c>
      <c r="DY889" s="36" t="n">
        <f aca="false">DY887*$AC$885*DY888*DY$38*'⑫ Roll-out Plan'!$O$93</f>
        <v>0</v>
      </c>
      <c r="DZ889" s="36" t="n">
        <f aca="false">DZ887*$AC$885*DZ888*DZ$38*'⑫ Roll-out Plan'!$O$93</f>
        <v>0</v>
      </c>
      <c r="EA889" s="36" t="n">
        <f aca="false">EA887*$AC$885*EA888*EA$38*'⑫ Roll-out Plan'!$O$93</f>
        <v>0</v>
      </c>
      <c r="EB889" s="36" t="n">
        <f aca="false">EB887*$AC$885*EB888*EB$38*'⑫ Roll-out Plan'!$O$93</f>
        <v>0</v>
      </c>
      <c r="EC889" s="36" t="n">
        <f aca="false">EC887*$AC$885*EC888*EC$38*'⑫ Roll-out Plan'!$O$93</f>
        <v>0</v>
      </c>
      <c r="ED889" s="36" t="n">
        <f aca="false">ED887*$AC$885*ED888*ED$38*'⑫ Roll-out Plan'!$O$93</f>
        <v>0</v>
      </c>
      <c r="EE889" s="36" t="n">
        <f aca="false">EE887*$AC$885*EE888*EE$38*'⑫ Roll-out Plan'!$O$93</f>
        <v>0</v>
      </c>
      <c r="EF889" s="36" t="n">
        <f aca="false">EF887*$AC$885*EF888*EF$38*'⑫ Roll-out Plan'!$O$93</f>
        <v>0</v>
      </c>
      <c r="EG889" s="36" t="n">
        <f aca="false">EG887*$AC$885*EG888*EG$38*'⑫ Roll-out Plan'!$O$93</f>
        <v>0</v>
      </c>
      <c r="EH889" s="36" t="n">
        <f aca="false">EH887*$AC$885*EH888*EH$38*'⑫ Roll-out Plan'!$O$93</f>
        <v>0</v>
      </c>
      <c r="EI889" s="36" t="n">
        <f aca="false">EI887*$AC$885*EI888*EI$38*'⑫ Roll-out Plan'!$O$93</f>
        <v>0</v>
      </c>
      <c r="EJ889" s="36" t="n">
        <f aca="false">EJ887*$AC$885*EJ888*EJ$38*'⑫ Roll-out Plan'!$O$93</f>
        <v>0</v>
      </c>
      <c r="EK889" s="36" t="n">
        <f aca="false">EK887*$AC$885*EK888*EK$38*'⑫ Roll-out Plan'!$O$93</f>
        <v>0</v>
      </c>
      <c r="EL889" s="36" t="n">
        <f aca="false">EL887*$AC$885*EL888*EL$38*'⑫ Roll-out Plan'!$O$93</f>
        <v>0</v>
      </c>
      <c r="EM889" s="36" t="n">
        <f aca="false">EM887*$AC$885*EM888*EM$38*'⑫ Roll-out Plan'!$O$93</f>
        <v>0</v>
      </c>
      <c r="EN889" s="36" t="n">
        <f aca="false">EN887*$AC$885*EN888*EN$38*'⑫ Roll-out Plan'!$O$93</f>
        <v>0</v>
      </c>
      <c r="EO889" s="36" t="n">
        <f aca="false">EO887*$AC$885*EO888*EO$38*'⑫ Roll-out Plan'!$O$93</f>
        <v>0</v>
      </c>
      <c r="EP889" s="36" t="n">
        <f aca="false">EP887*$AC$885*EP888*EP$38*'⑫ Roll-out Plan'!$O$93</f>
        <v>0</v>
      </c>
      <c r="EQ889" s="36" t="n">
        <f aca="false">EQ887*$AC$885*EQ888*EQ$38*'⑫ Roll-out Plan'!$O$93</f>
        <v>0</v>
      </c>
      <c r="ER889" s="36" t="n">
        <f aca="false">ER887*$AC$885*ER888*ER$38*'⑫ Roll-out Plan'!$O$93</f>
        <v>0</v>
      </c>
      <c r="ES889" s="9" t="n">
        <f aca="false">ES887*$AC$885*ES888*ES$38*'⑫ Roll-out Plan'!$O$93</f>
        <v>0</v>
      </c>
      <c r="ET889" s="9" t="n">
        <f aca="false">ET887*$AC$885*ET888*ET$38*'⑫ Roll-out Plan'!$O$93</f>
        <v>0</v>
      </c>
      <c r="EU889" s="9" t="n">
        <f aca="false">EU887*$AC$885*EU888*EU$38*'⑫ Roll-out Plan'!$O$93</f>
        <v>0</v>
      </c>
      <c r="EV889" s="9" t="n">
        <f aca="false">EV887*$AC$885*EV888*EV$38*'⑫ Roll-out Plan'!$O$93</f>
        <v>0</v>
      </c>
      <c r="EW889" s="9" t="n">
        <f aca="false">EW887*$AC$885*EW888*EW$38*'⑫ Roll-out Plan'!$O$93</f>
        <v>0</v>
      </c>
      <c r="EX889" s="9" t="n">
        <f aca="false">EX887*$AC$885*EX888*EX$38*'⑫ Roll-out Plan'!$O$93</f>
        <v>0</v>
      </c>
      <c r="EY889" s="9" t="n">
        <f aca="false">EY887*$AC$885*EY888*EY$38*'⑫ Roll-out Plan'!$O$93</f>
        <v>0</v>
      </c>
      <c r="EZ889" s="9" t="n">
        <f aca="false">EZ887*$AC$885*EZ888*EZ$38*'⑫ Roll-out Plan'!$O$93</f>
        <v>0</v>
      </c>
      <c r="FA889" s="9" t="n">
        <f aca="false">FA887*$AC$885*FA888*FA$38*'⑫ Roll-out Plan'!$O$93</f>
        <v>0</v>
      </c>
      <c r="FB889" s="9" t="n">
        <f aca="false">FB887*$AC$885*FB888*FB$38*'⑫ Roll-out Plan'!$O$93</f>
        <v>0</v>
      </c>
      <c r="FC889" s="9" t="n">
        <f aca="false">FC887*$AC$885*FC888*FC$38*'⑫ Roll-out Plan'!$O$93</f>
        <v>0</v>
      </c>
      <c r="FD889" s="9" t="n">
        <f aca="false">FD887*$AC$885*FD888*FD$38*'⑫ Roll-out Plan'!$O$93</f>
        <v>0</v>
      </c>
      <c r="FE889" s="9" t="n">
        <f aca="false">FE887*$AC$885*FE888*FE$38*'⑫ Roll-out Plan'!$O$93</f>
        <v>0</v>
      </c>
      <c r="FF889" s="9" t="n">
        <f aca="false">FF887*$AC$885*FF888*FF$38*'⑫ Roll-out Plan'!$O$93</f>
        <v>0</v>
      </c>
      <c r="FG889" s="9" t="n">
        <f aca="false">FG887*$AC$885*FG888*FG$38*'⑫ Roll-out Plan'!$O$93</f>
        <v>0</v>
      </c>
      <c r="FH889" s="9" t="n">
        <f aca="false">FH887*$AC$885*FH888*FH$38*'⑫ Roll-out Plan'!$O$93</f>
        <v>0</v>
      </c>
      <c r="FI889" s="9" t="n">
        <f aca="false">FI887*$AC$885*FI888*FI$38*'⑫ Roll-out Plan'!$O$93</f>
        <v>0</v>
      </c>
      <c r="FJ889" s="9" t="n">
        <f aca="false">FJ887*$AC$885*FJ888*FJ$38*'⑫ Roll-out Plan'!$O$93</f>
        <v>0</v>
      </c>
      <c r="FK889" s="9" t="n">
        <f aca="false">FK887*$AC$885*FK888*FK$38*'⑫ Roll-out Plan'!$O$93</f>
        <v>0</v>
      </c>
      <c r="FL889" s="9" t="n">
        <f aca="false">FL887*$AC$885*FL888*FL$38*'⑫ Roll-out Plan'!$O$93</f>
        <v>0</v>
      </c>
      <c r="FM889" s="9" t="n">
        <f aca="false">FM887*$AC$885*FM888*FM$38*'⑫ Roll-out Plan'!$O$93</f>
        <v>25.52</v>
      </c>
      <c r="FN889" s="9" t="n">
        <f aca="false">FN887*$AC$885*FN888*FN$38*'⑫ Roll-out Plan'!$O$93</f>
        <v>23.232</v>
      </c>
      <c r="FO889" s="9" t="n">
        <f aca="false">FO887*$AC$885*FO888*FO$38*'⑫ Roll-out Plan'!$O$93</f>
        <v>19.008</v>
      </c>
      <c r="FP889" s="9" t="n">
        <f aca="false">FP887*$AC$885*FP888*FP$38*'⑫ Roll-out Plan'!$O$93</f>
        <v>30.294</v>
      </c>
    </row>
    <row r="890" customFormat="false" ht="15" hidden="false" customHeight="false" outlineLevel="2" collapsed="false">
      <c r="B890" s="9" t="s">
        <v>877</v>
      </c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112" t="n">
        <f aca="true">IFERROR(SUMPRODUCT(OFFSET($BJ$31,0,1-MIN(60,COLUMN()-29),1,MIN(60,COLUMN()-29)),OFFSET(AC889,0,-MIN(60,COLUMN()-29),1,MIN(60,COLUMN()-29))),0)</f>
        <v>0</v>
      </c>
      <c r="AD890" s="112" t="n">
        <f aca="true">IFERROR(SUMPRODUCT(OFFSET($BJ$31,0,1-MIN(60,COLUMN()-29),1,MIN(60,COLUMN()-29)),OFFSET(AD889,0,-MIN(60,COLUMN()-29),1,MIN(60,COLUMN()-29))),0)</f>
        <v>0</v>
      </c>
      <c r="AE890" s="112" t="n">
        <f aca="true">IFERROR(SUMPRODUCT(OFFSET($BJ$31,0,1-MIN(60,COLUMN()-29),1,MIN(60,COLUMN()-29)),OFFSET(AE889,0,-MIN(60,COLUMN()-29),1,MIN(60,COLUMN()-29))),0)</f>
        <v>0</v>
      </c>
      <c r="AF890" s="112" t="n">
        <f aca="true">IFERROR(SUMPRODUCT(OFFSET($BJ$31,0,1-MIN(60,COLUMN()-29),1,MIN(60,COLUMN()-29)),OFFSET(AF889,0,-MIN(60,COLUMN()-29),1,MIN(60,COLUMN()-29))),0)</f>
        <v>0</v>
      </c>
      <c r="AG890" s="112" t="n">
        <f aca="true">IFERROR(SUMPRODUCT(OFFSET($BJ$31,0,1-MIN(60,COLUMN()-29),1,MIN(60,COLUMN()-29)),OFFSET(AG889,0,-MIN(60,COLUMN()-29),1,MIN(60,COLUMN()-29))),0)</f>
        <v>0</v>
      </c>
      <c r="AH890" s="112" t="n">
        <f aca="true">IFERROR(SUMPRODUCT(OFFSET($BJ$31,0,1-MIN(60,COLUMN()-29),1,MIN(60,COLUMN()-29)),OFFSET(AH889,0,-MIN(60,COLUMN()-29),1,MIN(60,COLUMN()-29))),0)</f>
        <v>0</v>
      </c>
      <c r="AI890" s="112" t="n">
        <f aca="true">IFERROR(SUMPRODUCT(OFFSET($BJ$31,0,1-MIN(60,COLUMN()-29),1,MIN(60,COLUMN()-29)),OFFSET(AI889,0,-MIN(60,COLUMN()-29),1,MIN(60,COLUMN()-29))),0)</f>
        <v>0</v>
      </c>
      <c r="AJ890" s="112" t="n">
        <f aca="true">IFERROR(SUMPRODUCT(OFFSET($BJ$31,0,1-MIN(60,COLUMN()-29),1,MIN(60,COLUMN()-29)),OFFSET(AJ889,0,-MIN(60,COLUMN()-29),1,MIN(60,COLUMN()-29))),0)</f>
        <v>0</v>
      </c>
      <c r="AK890" s="112" t="n">
        <f aca="true">IFERROR(SUMPRODUCT(OFFSET($BJ$31,0,1-MIN(60,COLUMN()-29),1,MIN(60,COLUMN()-29)),OFFSET(AK889,0,-MIN(60,COLUMN()-29),1,MIN(60,COLUMN()-29))),0)</f>
        <v>0</v>
      </c>
      <c r="AL890" s="112" t="n">
        <f aca="true">IFERROR(SUMPRODUCT(OFFSET($BJ$31,0,1-MIN(60,COLUMN()-29),1,MIN(60,COLUMN()-29)),OFFSET(AL889,0,-MIN(60,COLUMN()-29),1,MIN(60,COLUMN()-29))),0)</f>
        <v>0</v>
      </c>
      <c r="AM890" s="112" t="n">
        <f aca="true">IFERROR(SUMPRODUCT(OFFSET($BJ$31,0,1-MIN(60,COLUMN()-29),1,MIN(60,COLUMN()-29)),OFFSET(AM889,0,-MIN(60,COLUMN()-29),1,MIN(60,COLUMN()-29))),0)</f>
        <v>0</v>
      </c>
      <c r="AN890" s="239" t="n">
        <f aca="true">IFERROR(SUMPRODUCT(OFFSET($BJ$31,0,1-MIN(60,COLUMN()-29),1,MIN(60,COLUMN()-29)),OFFSET(AN889,0,-MIN(60,COLUMN()-29),1,MIN(60,COLUMN()-29))),0)</f>
        <v>0</v>
      </c>
      <c r="AO890" s="112" t="n">
        <f aca="true">IFERROR(SUMPRODUCT(OFFSET($BJ$31,0,1-MIN(60,COLUMN()-29),1,MIN(60,COLUMN()-29)),OFFSET(AO889,0,-MIN(60,COLUMN()-29),1,MIN(60,COLUMN()-29))),0)</f>
        <v>0</v>
      </c>
      <c r="AP890" s="112" t="n">
        <f aca="true">IFERROR(SUMPRODUCT(OFFSET($BJ$31,0,1-MIN(60,COLUMN()-29),1,MIN(60,COLUMN()-29)),OFFSET(AP889,0,-MIN(60,COLUMN()-29),1,MIN(60,COLUMN()-29))),0)</f>
        <v>0</v>
      </c>
      <c r="AQ890" s="112" t="n">
        <f aca="true">IFERROR(SUMPRODUCT(OFFSET($BJ$31,0,1-MIN(60,COLUMN()-29),1,MIN(60,COLUMN()-29)),OFFSET(AQ889,0,-MIN(60,COLUMN()-29),1,MIN(60,COLUMN()-29))),0)</f>
        <v>0</v>
      </c>
      <c r="AR890" s="112" t="n">
        <f aca="true">IFERROR(SUMPRODUCT(OFFSET($BJ$31,0,1-MIN(60,COLUMN()-29),1,MIN(60,COLUMN()-29)),OFFSET(AR889,0,-MIN(60,COLUMN()-29),1,MIN(60,COLUMN()-29))),0)</f>
        <v>0</v>
      </c>
      <c r="AS890" s="112" t="n">
        <f aca="true">IFERROR(SUMPRODUCT(OFFSET($BJ$31,0,1-MIN(60,COLUMN()-29),1,MIN(60,COLUMN()-29)),OFFSET(AS889,0,-MIN(60,COLUMN()-29),1,MIN(60,COLUMN()-29))),0)</f>
        <v>0</v>
      </c>
      <c r="AT890" s="112" t="n">
        <f aca="true">IFERROR(SUMPRODUCT(OFFSET($BJ$31,0,1-MIN(60,COLUMN()-29),1,MIN(60,COLUMN()-29)),OFFSET(AT889,0,-MIN(60,COLUMN()-29),1,MIN(60,COLUMN()-29))),0)</f>
        <v>0</v>
      </c>
      <c r="AU890" s="112" t="n">
        <f aca="true">IFERROR(SUMPRODUCT(OFFSET($BJ$31,0,1-MIN(60,COLUMN()-29),1,MIN(60,COLUMN()-29)),OFFSET(AU889,0,-MIN(60,COLUMN()-29),1,MIN(60,COLUMN()-29))),0)</f>
        <v>0</v>
      </c>
      <c r="AV890" s="112" t="n">
        <f aca="true">IFERROR(SUMPRODUCT(OFFSET($BJ$31,0,1-MIN(60,COLUMN()-29),1,MIN(60,COLUMN()-29)),OFFSET(AV889,0,-MIN(60,COLUMN()-29),1,MIN(60,COLUMN()-29))),0)</f>
        <v>0</v>
      </c>
      <c r="AW890" s="112" t="n">
        <f aca="true">IFERROR(SUMPRODUCT(OFFSET($BJ$31,0,1-MIN(60,COLUMN()-29),1,MIN(60,COLUMN()-29)),OFFSET(AW889,0,-MIN(60,COLUMN()-29),1,MIN(60,COLUMN()-29))),0)</f>
        <v>0</v>
      </c>
      <c r="AX890" s="112" t="n">
        <f aca="true">IFERROR(SUMPRODUCT(OFFSET($BJ$31,0,1-MIN(60,COLUMN()-29),1,MIN(60,COLUMN()-29)),OFFSET(AX889,0,-MIN(60,COLUMN()-29),1,MIN(60,COLUMN()-29))),0)</f>
        <v>0</v>
      </c>
      <c r="AY890" s="112" t="n">
        <f aca="true">IFERROR(SUMPRODUCT(OFFSET($BJ$31,0,1-MIN(60,COLUMN()-29),1,MIN(60,COLUMN()-29)),OFFSET(AY889,0,-MIN(60,COLUMN()-29),1,MIN(60,COLUMN()-29))),0)</f>
        <v>0</v>
      </c>
      <c r="AZ890" s="112" t="n">
        <f aca="true">IFERROR(SUMPRODUCT(OFFSET($BJ$31,0,1-MIN(60,COLUMN()-29),1,MIN(60,COLUMN()-29)),OFFSET(AZ889,0,-MIN(60,COLUMN()-29),1,MIN(60,COLUMN()-29))),0)</f>
        <v>0</v>
      </c>
      <c r="BA890" s="112" t="n">
        <f aca="true">IFERROR(SUMPRODUCT(OFFSET($BJ$31,0,1-MIN(60,COLUMN()-29),1,MIN(60,COLUMN()-29)),OFFSET(BA889,0,-MIN(60,COLUMN()-29),1,MIN(60,COLUMN()-29))),0)</f>
        <v>0</v>
      </c>
      <c r="BB890" s="112" t="n">
        <f aca="true">IFERROR(SUMPRODUCT(OFFSET($BJ$31,0,1-MIN(60,COLUMN()-29),1,MIN(60,COLUMN()-29)),OFFSET(BB889,0,-MIN(60,COLUMN()-29),1,MIN(60,COLUMN()-29))),0)</f>
        <v>0</v>
      </c>
      <c r="BC890" s="112" t="n">
        <f aca="true">IFERROR(SUMPRODUCT(OFFSET($BJ$31,0,1-MIN(60,COLUMN()-29),1,MIN(60,COLUMN()-29)),OFFSET(BC889,0,-MIN(60,COLUMN()-29),1,MIN(60,COLUMN()-29))),0)</f>
        <v>0</v>
      </c>
      <c r="BD890" s="112" t="n">
        <f aca="true">IFERROR(SUMPRODUCT(OFFSET($BJ$31,0,1-MIN(60,COLUMN()-29),1,MIN(60,COLUMN()-29)),OFFSET(BD889,0,-MIN(60,COLUMN()-29),1,MIN(60,COLUMN()-29))),0)</f>
        <v>0</v>
      </c>
      <c r="BE890" s="112" t="n">
        <f aca="true">IFERROR(SUMPRODUCT(OFFSET($BJ$31,0,1-MIN(60,COLUMN()-29),1,MIN(60,COLUMN()-29)),OFFSET(BE889,0,-MIN(60,COLUMN()-29),1,MIN(60,COLUMN()-29))),0)</f>
        <v>0</v>
      </c>
      <c r="BF890" s="112" t="n">
        <f aca="true">IFERROR(SUMPRODUCT(OFFSET($BJ$31,0,1-MIN(60,COLUMN()-29),1,MIN(60,COLUMN()-29)),OFFSET(BF889,0,-MIN(60,COLUMN()-29),1,MIN(60,COLUMN()-29))),0)</f>
        <v>0</v>
      </c>
      <c r="BG890" s="112" t="n">
        <f aca="true">IFERROR(SUMPRODUCT(OFFSET($BJ$31,0,1-MIN(60,COLUMN()-29),1,MIN(60,COLUMN()-29)),OFFSET(BG889,0,-MIN(60,COLUMN()-29),1,MIN(60,COLUMN()-29))),0)</f>
        <v>0</v>
      </c>
      <c r="BH890" s="112" t="n">
        <f aca="true">IFERROR(SUMPRODUCT(OFFSET($BJ$31,0,1-MIN(60,COLUMN()-29),1,MIN(60,COLUMN()-29)),OFFSET(BH889,0,-MIN(60,COLUMN()-29),1,MIN(60,COLUMN()-29))),0)</f>
        <v>0</v>
      </c>
      <c r="BI890" s="112" t="n">
        <f aca="true">IFERROR(SUMPRODUCT(OFFSET($BJ$31,0,1-MIN(60,COLUMN()-29),1,MIN(60,COLUMN()-29)),OFFSET(BI889,0,-MIN(60,COLUMN()-29),1,MIN(60,COLUMN()-29))),0)</f>
        <v>0</v>
      </c>
      <c r="BJ890" s="112" t="n">
        <f aca="true">IFERROR(SUMPRODUCT(OFFSET($BJ$31,0,1-MIN(60,COLUMN()-29),1,MIN(60,COLUMN()-29)),OFFSET(BJ889,0,-MIN(60,COLUMN()-29),1,MIN(60,COLUMN()-29))),0)</f>
        <v>0</v>
      </c>
      <c r="BK890" s="112" t="n">
        <f aca="true">IFERROR(SUMPRODUCT(OFFSET($BJ$31,0,1-MIN(60,COLUMN()-29),1,MIN(60,COLUMN()-29)),OFFSET(BK889,0,-MIN(60,COLUMN()-29),1,MIN(60,COLUMN()-29))),0)</f>
        <v>0</v>
      </c>
      <c r="BL890" s="112" t="n">
        <f aca="true">IFERROR(SUMPRODUCT(OFFSET($BJ$31,0,1-MIN(60,COLUMN()-29),1,MIN(60,COLUMN()-29)),OFFSET(BL889,0,-MIN(60,COLUMN()-29),1,MIN(60,COLUMN()-29))),0)</f>
        <v>0</v>
      </c>
      <c r="BM890" s="112" t="n">
        <f aca="true">IFERROR(SUMPRODUCT(OFFSET($BJ$31,0,1-MIN(60,COLUMN()-29),1,MIN(60,COLUMN()-29)),OFFSET(BM889,0,-MIN(60,COLUMN()-29),1,MIN(60,COLUMN()-29))),0)</f>
        <v>0</v>
      </c>
      <c r="BN890" s="112" t="n">
        <f aca="true">IFERROR(SUMPRODUCT(OFFSET($BJ$31,0,1-MIN(60,COLUMN()-29),1,MIN(60,COLUMN()-29)),OFFSET(BN889,0,-MIN(60,COLUMN()-29),1,MIN(60,COLUMN()-29))),0)</f>
        <v>0</v>
      </c>
      <c r="BO890" s="112" t="n">
        <f aca="true">IFERROR(SUMPRODUCT(OFFSET($BJ$31,0,1-MIN(60,COLUMN()-29),1,MIN(60,COLUMN()-29)),OFFSET(BO889,0,-MIN(60,COLUMN()-29),1,MIN(60,COLUMN()-29))),0)</f>
        <v>0</v>
      </c>
      <c r="BP890" s="112" t="n">
        <f aca="true">IFERROR(SUMPRODUCT(OFFSET($BJ$31,0,1-MIN(60,COLUMN()-29),1,MIN(60,COLUMN()-29)),OFFSET(BP889,0,-MIN(60,COLUMN()-29),1,MIN(60,COLUMN()-29))),0)</f>
        <v>0</v>
      </c>
      <c r="BQ890" s="112" t="n">
        <f aca="true">IFERROR(SUMPRODUCT(OFFSET($BJ$31,0,1-MIN(60,COLUMN()-29),1,MIN(60,COLUMN()-29)),OFFSET(BQ889,0,-MIN(60,COLUMN()-29),1,MIN(60,COLUMN()-29))),0)</f>
        <v>0</v>
      </c>
      <c r="BR890" s="112" t="n">
        <f aca="true">IFERROR(SUMPRODUCT(OFFSET($BJ$31,0,1-MIN(60,COLUMN()-29),1,MIN(60,COLUMN()-29)),OFFSET(BR889,0,-MIN(60,COLUMN()-29),1,MIN(60,COLUMN()-29))),0)</f>
        <v>0</v>
      </c>
      <c r="BS890" s="112" t="n">
        <f aca="true">IFERROR(SUMPRODUCT(OFFSET($BJ$31,0,1-MIN(60,COLUMN()-29),1,MIN(60,COLUMN()-29)),OFFSET(BS889,0,-MIN(60,COLUMN()-29),1,MIN(60,COLUMN()-29))),0)</f>
        <v>0</v>
      </c>
      <c r="BT890" s="112" t="n">
        <f aca="true">IFERROR(SUMPRODUCT(OFFSET($BJ$31,0,1-MIN(60,COLUMN()-29),1,MIN(60,COLUMN()-29)),OFFSET(BT889,0,-MIN(60,COLUMN()-29),1,MIN(60,COLUMN()-29))),0)</f>
        <v>0</v>
      </c>
      <c r="BU890" s="112" t="n">
        <f aca="true">IFERROR(SUMPRODUCT(OFFSET($BJ$31,0,1-MIN(60,COLUMN()-29),1,MIN(60,COLUMN()-29)),OFFSET(BU889,0,-MIN(60,COLUMN()-29),1,MIN(60,COLUMN()-29))),0)</f>
        <v>0</v>
      </c>
      <c r="BV890" s="112" t="n">
        <f aca="true">IFERROR(SUMPRODUCT(OFFSET($BJ$31,0,1-MIN(60,COLUMN()-29),1,MIN(60,COLUMN()-29)),OFFSET(BV889,0,-MIN(60,COLUMN()-29),1,MIN(60,COLUMN()-29))),0)</f>
        <v>0</v>
      </c>
      <c r="BW890" s="112" t="n">
        <f aca="true">IFERROR(SUMPRODUCT(OFFSET($BJ$31,0,1-MIN(60,COLUMN()-29),1,MIN(60,COLUMN()-29)),OFFSET(BW889,0,-MIN(60,COLUMN()-29),1,MIN(60,COLUMN()-29))),0)</f>
        <v>0</v>
      </c>
      <c r="BX890" s="112" t="n">
        <f aca="true">IFERROR(SUMPRODUCT(OFFSET($BJ$31,0,1-MIN(60,COLUMN()-29),1,MIN(60,COLUMN()-29)),OFFSET(BX889,0,-MIN(60,COLUMN()-29),1,MIN(60,COLUMN()-29))),0)</f>
        <v>0</v>
      </c>
      <c r="BY890" s="112" t="n">
        <f aca="true">IFERROR(SUMPRODUCT(OFFSET($BJ$31,0,1-MIN(60,COLUMN()-29),1,MIN(60,COLUMN()-29)),OFFSET(BY889,0,-MIN(60,COLUMN()-29),1,MIN(60,COLUMN()-29))),0)</f>
        <v>0</v>
      </c>
      <c r="BZ890" s="112" t="n">
        <f aca="true">IFERROR(SUMPRODUCT(OFFSET($BJ$31,0,1-MIN(60,COLUMN()-29),1,MIN(60,COLUMN()-29)),OFFSET(BZ889,0,-MIN(60,COLUMN()-29),1,MIN(60,COLUMN()-29))),0)</f>
        <v>0</v>
      </c>
      <c r="CA890" s="112" t="n">
        <f aca="true">IFERROR(SUMPRODUCT(OFFSET($BJ$31,0,1-MIN(60,COLUMN()-29),1,MIN(60,COLUMN()-29)),OFFSET(CA889,0,-MIN(60,COLUMN()-29),1,MIN(60,COLUMN()-29))),0)</f>
        <v>0</v>
      </c>
      <c r="CB890" s="112" t="n">
        <f aca="true">IFERROR(SUMPRODUCT(OFFSET($BJ$31,0,1-MIN(60,COLUMN()-29),1,MIN(60,COLUMN()-29)),OFFSET(CB889,0,-MIN(60,COLUMN()-29),1,MIN(60,COLUMN()-29))),0)</f>
        <v>0</v>
      </c>
      <c r="CC890" s="112" t="n">
        <f aca="true">IFERROR(SUMPRODUCT(OFFSET($BJ$31,0,1-MIN(60,COLUMN()-29),1,MIN(60,COLUMN()-29)),OFFSET(CC889,0,-MIN(60,COLUMN()-29),1,MIN(60,COLUMN()-29))),0)</f>
        <v>0</v>
      </c>
      <c r="CD890" s="112" t="n">
        <f aca="true">IFERROR(SUMPRODUCT(OFFSET($BJ$31,0,1-MIN(60,COLUMN()-29),1,MIN(60,COLUMN()-29)),OFFSET(CD889,0,-MIN(60,COLUMN()-29),1,MIN(60,COLUMN()-29))),0)</f>
        <v>0</v>
      </c>
      <c r="CE890" s="112" t="n">
        <f aca="true">IFERROR(SUMPRODUCT(OFFSET($BJ$31,0,1-MIN(60,COLUMN()-29),1,MIN(60,COLUMN()-29)),OFFSET(CE889,0,-MIN(60,COLUMN()-29),1,MIN(60,COLUMN()-29))),0)</f>
        <v>0</v>
      </c>
      <c r="CF890" s="112" t="n">
        <f aca="true">IFERROR(SUMPRODUCT(OFFSET($BJ$31,0,1-MIN(60,COLUMN()-29),1,MIN(60,COLUMN()-29)),OFFSET(CF889,0,-MIN(60,COLUMN()-29),1,MIN(60,COLUMN()-29))),0)</f>
        <v>0</v>
      </c>
      <c r="CG890" s="112" t="n">
        <f aca="true">IFERROR(SUMPRODUCT(OFFSET($BJ$31,0,1-MIN(60,COLUMN()-29),1,MIN(60,COLUMN()-29)),OFFSET(CG889,0,-MIN(60,COLUMN()-29),1,MIN(60,COLUMN()-29))),0)</f>
        <v>0</v>
      </c>
      <c r="CH890" s="112" t="n">
        <f aca="true">IFERROR(SUMPRODUCT(OFFSET($BJ$31,0,1-MIN(60,COLUMN()-29),1,MIN(60,COLUMN()-29)),OFFSET(CH889,0,-MIN(60,COLUMN()-29),1,MIN(60,COLUMN()-29))),0)</f>
        <v>0</v>
      </c>
      <c r="CI890" s="112" t="n">
        <f aca="true">IFERROR(SUMPRODUCT(OFFSET($BJ$31,0,1-MIN(60,COLUMN()-29),1,MIN(60,COLUMN()-29)),OFFSET(CI889,0,-MIN(60,COLUMN()-29),1,MIN(60,COLUMN()-29))),0)</f>
        <v>0</v>
      </c>
      <c r="CJ890" s="112" t="n">
        <f aca="true">IFERROR(SUMPRODUCT(OFFSET($BJ$31,0,1-MIN(60,COLUMN()-29),1,MIN(60,COLUMN()-29)),OFFSET(CJ889,0,-MIN(60,COLUMN()-29),1,MIN(60,COLUMN()-29))),0)</f>
        <v>0</v>
      </c>
      <c r="CK890" s="112" t="n">
        <f aca="true">IFERROR(SUMPRODUCT(OFFSET($BJ$31,0,1-MIN(60,COLUMN()-29),1,MIN(60,COLUMN()-29)),OFFSET(CK889,0,-MIN(60,COLUMN()-29),1,MIN(60,COLUMN()-29))),0)</f>
        <v>0</v>
      </c>
      <c r="CL890" s="112" t="n">
        <f aca="true">IFERROR(SUMPRODUCT(OFFSET($BJ$31,0,1-MIN(60,COLUMN()-29),1,MIN(60,COLUMN()-29)),OFFSET(CL889,0,-MIN(60,COLUMN()-29),1,MIN(60,COLUMN()-29))),0)</f>
        <v>0</v>
      </c>
      <c r="CM890" s="112" t="n">
        <f aca="true">IFERROR(SUMPRODUCT(OFFSET($BJ$31,0,1-MIN(60,COLUMN()-29),1,MIN(60,COLUMN()-29)),OFFSET(CM889,0,-MIN(60,COLUMN()-29),1,MIN(60,COLUMN()-29))),0)</f>
        <v>0</v>
      </c>
      <c r="CN890" s="112" t="n">
        <f aca="true">IFERROR(SUMPRODUCT(OFFSET($BJ$31,0,1-MIN(60,COLUMN()-29),1,MIN(60,COLUMN()-29)),OFFSET(CN889,0,-MIN(60,COLUMN()-29),1,MIN(60,COLUMN()-29))),0)</f>
        <v>0</v>
      </c>
      <c r="CO890" s="112" t="n">
        <f aca="true">IFERROR(SUMPRODUCT(OFFSET($BJ$31,0,1-MIN(60,COLUMN()-29),1,MIN(60,COLUMN()-29)),OFFSET(CO889,0,-MIN(60,COLUMN()-29),1,MIN(60,COLUMN()-29))),0)</f>
        <v>0</v>
      </c>
      <c r="CP890" s="112" t="n">
        <f aca="true">IFERROR(SUMPRODUCT(OFFSET($BJ$31,0,1-MIN(60,COLUMN()-29),1,MIN(60,COLUMN()-29)),OFFSET(CP889,0,-MIN(60,COLUMN()-29),1,MIN(60,COLUMN()-29))),0)</f>
        <v>0</v>
      </c>
      <c r="CQ890" s="112" t="n">
        <f aca="true">IFERROR(SUMPRODUCT(OFFSET($BJ$31,0,1-MIN(60,COLUMN()-29),1,MIN(60,COLUMN()-29)),OFFSET(CQ889,0,-MIN(60,COLUMN()-29),1,MIN(60,COLUMN()-29))),0)</f>
        <v>0</v>
      </c>
      <c r="CR890" s="112" t="n">
        <f aca="true">IFERROR(SUMPRODUCT(OFFSET($BJ$31,0,1-MIN(60,COLUMN()-29),1,MIN(60,COLUMN()-29)),OFFSET(CR889,0,-MIN(60,COLUMN()-29),1,MIN(60,COLUMN()-29))),0)</f>
        <v>0</v>
      </c>
      <c r="CS890" s="112" t="n">
        <f aca="true">IFERROR(SUMPRODUCT(OFFSET($BJ$31,0,1-MIN(60,COLUMN()-29),1,MIN(60,COLUMN()-29)),OFFSET(CS889,0,-MIN(60,COLUMN()-29),1,MIN(60,COLUMN()-29))),0)</f>
        <v>0</v>
      </c>
      <c r="CT890" s="112" t="n">
        <f aca="true">IFERROR(SUMPRODUCT(OFFSET($BJ$31,0,1-MIN(60,COLUMN()-29),1,MIN(60,COLUMN()-29)),OFFSET(CT889,0,-MIN(60,COLUMN()-29),1,MIN(60,COLUMN()-29))),0)</f>
        <v>0</v>
      </c>
      <c r="CU890" s="112" t="n">
        <f aca="true">IFERROR(SUMPRODUCT(OFFSET($BJ$31,0,1-MIN(60,COLUMN()-29),1,MIN(60,COLUMN()-29)),OFFSET(CU889,0,-MIN(60,COLUMN()-29),1,MIN(60,COLUMN()-29))),0)</f>
        <v>0</v>
      </c>
      <c r="CV890" s="112" t="n">
        <f aca="true">IFERROR(SUMPRODUCT(OFFSET($BJ$31,0,1-MIN(60,COLUMN()-29),1,MIN(60,COLUMN()-29)),OFFSET(CV889,0,-MIN(60,COLUMN()-29),1,MIN(60,COLUMN()-29))),0)</f>
        <v>0</v>
      </c>
      <c r="CW890" s="112" t="n">
        <f aca="true">IFERROR(SUMPRODUCT(OFFSET($BJ$31,0,1-MIN(60,COLUMN()-29),1,MIN(60,COLUMN()-29)),OFFSET(CW889,0,-MIN(60,COLUMN()-29),1,MIN(60,COLUMN()-29))),0)</f>
        <v>0</v>
      </c>
      <c r="CX890" s="112" t="n">
        <f aca="true">IFERROR(SUMPRODUCT(OFFSET($BJ$31,0,1-MIN(60,COLUMN()-29),1,MIN(60,COLUMN()-29)),OFFSET(CX889,0,-MIN(60,COLUMN()-29),1,MIN(60,COLUMN()-29))),0)</f>
        <v>0</v>
      </c>
      <c r="CY890" s="112" t="n">
        <f aca="true">IFERROR(SUMPRODUCT(OFFSET($BJ$31,0,1-MIN(60,COLUMN()-29),1,MIN(60,COLUMN()-29)),OFFSET(CY889,0,-MIN(60,COLUMN()-29),1,MIN(60,COLUMN()-29))),0)</f>
        <v>0</v>
      </c>
      <c r="CZ890" s="112" t="n">
        <f aca="true">IFERROR(SUMPRODUCT(OFFSET($BJ$31,0,1-MIN(60,COLUMN()-29),1,MIN(60,COLUMN()-29)),OFFSET(CZ889,0,-MIN(60,COLUMN()-29),1,MIN(60,COLUMN()-29))),0)</f>
        <v>0</v>
      </c>
      <c r="DA890" s="112" t="n">
        <f aca="true">IFERROR(SUMPRODUCT(OFFSET($BJ$31,0,1-MIN(60,COLUMN()-29),1,MIN(60,COLUMN()-29)),OFFSET(DA889,0,-MIN(60,COLUMN()-29),1,MIN(60,COLUMN()-29))),0)</f>
        <v>0</v>
      </c>
      <c r="DB890" s="112" t="n">
        <f aca="true">IFERROR(SUMPRODUCT(OFFSET($BJ$31,0,1-MIN(60,COLUMN()-29),1,MIN(60,COLUMN()-29)),OFFSET(DB889,0,-MIN(60,COLUMN()-29),1,MIN(60,COLUMN()-29))),0)</f>
        <v>0</v>
      </c>
      <c r="DC890" s="112" t="n">
        <f aca="true">IFERROR(SUMPRODUCT(OFFSET($BJ$31,0,1-MIN(60,COLUMN()-29),1,MIN(60,COLUMN()-29)),OFFSET(DC889,0,-MIN(60,COLUMN()-29),1,MIN(60,COLUMN()-29))),0)</f>
        <v>0</v>
      </c>
      <c r="DD890" s="112" t="n">
        <f aca="true">IFERROR(SUMPRODUCT(OFFSET($BJ$31,0,1-MIN(60,COLUMN()-29),1,MIN(60,COLUMN()-29)),OFFSET(DD889,0,-MIN(60,COLUMN()-29),1,MIN(60,COLUMN()-29))),0)</f>
        <v>0</v>
      </c>
      <c r="DE890" s="112" t="n">
        <f aca="true">IFERROR(SUMPRODUCT(OFFSET($BJ$31,0,1-MIN(60,COLUMN()-29),1,MIN(60,COLUMN()-29)),OFFSET(DE889,0,-MIN(60,COLUMN()-29),1,MIN(60,COLUMN()-29))),0)</f>
        <v>0</v>
      </c>
      <c r="DF890" s="112" t="n">
        <f aca="true">IFERROR(SUMPRODUCT(OFFSET($BJ$31,0,1-MIN(60,COLUMN()-29),1,MIN(60,COLUMN()-29)),OFFSET(DF889,0,-MIN(60,COLUMN()-29),1,MIN(60,COLUMN()-29))),0)</f>
        <v>0</v>
      </c>
      <c r="DG890" s="112" t="n">
        <f aca="true">IFERROR(SUMPRODUCT(OFFSET($BJ$31,0,1-MIN(60,COLUMN()-29),1,MIN(60,COLUMN()-29)),OFFSET(DG889,0,-MIN(60,COLUMN()-29),1,MIN(60,COLUMN()-29))),0)</f>
        <v>0</v>
      </c>
      <c r="DH890" s="112" t="n">
        <f aca="true">IFERROR(SUMPRODUCT(OFFSET($BJ$31,0,1-MIN(60,COLUMN()-29),1,MIN(60,COLUMN()-29)),OFFSET(DH889,0,-MIN(60,COLUMN()-29),1,MIN(60,COLUMN()-29))),0)</f>
        <v>0</v>
      </c>
      <c r="DI890" s="112" t="n">
        <f aca="true">IFERROR(SUMPRODUCT(OFFSET($BJ$31,0,1-MIN(60,COLUMN()-29),1,MIN(60,COLUMN()-29)),OFFSET(DI889,0,-MIN(60,COLUMN()-29),1,MIN(60,COLUMN()-29))),0)</f>
        <v>0</v>
      </c>
      <c r="DJ890" s="112" t="n">
        <f aca="true">IFERROR(SUMPRODUCT(OFFSET($BJ$31,0,1-MIN(60,COLUMN()-29),1,MIN(60,COLUMN()-29)),OFFSET(DJ889,0,-MIN(60,COLUMN()-29),1,MIN(60,COLUMN()-29))),0)</f>
        <v>0</v>
      </c>
      <c r="DK890" s="112" t="n">
        <f aca="true">IFERROR(SUMPRODUCT(OFFSET($BJ$31,0,1-MIN(60,COLUMN()-29),1,MIN(60,COLUMN()-29)),OFFSET(DK889,0,-MIN(60,COLUMN()-29),1,MIN(60,COLUMN()-29))),0)</f>
        <v>0</v>
      </c>
      <c r="DL890" s="112" t="n">
        <f aca="true">IFERROR(SUMPRODUCT(OFFSET($BJ$31,0,1-MIN(60,COLUMN()-29),1,MIN(60,COLUMN()-29)),OFFSET(DL889,0,-MIN(60,COLUMN()-29),1,MIN(60,COLUMN()-29))),0)</f>
        <v>0</v>
      </c>
      <c r="DM890" s="112" t="n">
        <f aca="true">IFERROR(SUMPRODUCT(OFFSET($BJ$31,0,1-MIN(60,COLUMN()-29),1,MIN(60,COLUMN()-29)),OFFSET(DM889,0,-MIN(60,COLUMN()-29),1,MIN(60,COLUMN()-29))),0)</f>
        <v>0</v>
      </c>
      <c r="DN890" s="112" t="n">
        <f aca="true">IFERROR(SUMPRODUCT(OFFSET($BJ$31,0,1-MIN(60,COLUMN()-29),1,MIN(60,COLUMN()-29)),OFFSET(DN889,0,-MIN(60,COLUMN()-29),1,MIN(60,COLUMN()-29))),0)</f>
        <v>0</v>
      </c>
      <c r="DO890" s="112" t="n">
        <f aca="true">IFERROR(SUMPRODUCT(OFFSET($BJ$31,0,1-MIN(60,COLUMN()-29),1,MIN(60,COLUMN()-29)),OFFSET(DO889,0,-MIN(60,COLUMN()-29),1,MIN(60,COLUMN()-29))),0)</f>
        <v>0</v>
      </c>
      <c r="DP890" s="112" t="n">
        <f aca="true">IFERROR(SUMPRODUCT(OFFSET($BJ$31,0,1-MIN(60,COLUMN()-29),1,MIN(60,COLUMN()-29)),OFFSET(DP889,0,-MIN(60,COLUMN()-29),1,MIN(60,COLUMN()-29))),0)</f>
        <v>0</v>
      </c>
      <c r="DQ890" s="112" t="n">
        <f aca="true">IFERROR(SUMPRODUCT(OFFSET($BJ$31,0,1-MIN(60,COLUMN()-29),1,MIN(60,COLUMN()-29)),OFFSET(DQ889,0,-MIN(60,COLUMN()-29),1,MIN(60,COLUMN()-29))),0)</f>
        <v>0</v>
      </c>
      <c r="DR890" s="112" t="n">
        <f aca="true">IFERROR(SUMPRODUCT(OFFSET($BJ$31,0,1-MIN(60,COLUMN()-29),1,MIN(60,COLUMN()-29)),OFFSET(DR889,0,-MIN(60,COLUMN()-29),1,MIN(60,COLUMN()-29))),0)</f>
        <v>0</v>
      </c>
      <c r="DS890" s="112" t="n">
        <f aca="true">IFERROR(SUMPRODUCT(OFFSET($BJ$31,0,1-MIN(60,COLUMN()-29),1,MIN(60,COLUMN()-29)),OFFSET(DS889,0,-MIN(60,COLUMN()-29),1,MIN(60,COLUMN()-29))),0)</f>
        <v>0</v>
      </c>
      <c r="DT890" s="112" t="n">
        <f aca="true">IFERROR(SUMPRODUCT(OFFSET($BJ$31,0,1-MIN(60,COLUMN()-29),1,MIN(60,COLUMN()-29)),OFFSET(DT889,0,-MIN(60,COLUMN()-29),1,MIN(60,COLUMN()-29))),0)</f>
        <v>0</v>
      </c>
      <c r="DU890" s="112" t="n">
        <f aca="true">IFERROR(SUMPRODUCT(OFFSET($BJ$31,0,1-MIN(60,COLUMN()-29),1,MIN(60,COLUMN()-29)),OFFSET(DU889,0,-MIN(60,COLUMN()-29),1,MIN(60,COLUMN()-29))),0)</f>
        <v>0</v>
      </c>
      <c r="DV890" s="112" t="n">
        <f aca="true">IFERROR(SUMPRODUCT(OFFSET($BJ$31,0,1-MIN(60,COLUMN()-29),1,MIN(60,COLUMN()-29)),OFFSET(DV889,0,-MIN(60,COLUMN()-29),1,MIN(60,COLUMN()-29))),0)</f>
        <v>0</v>
      </c>
      <c r="DW890" s="112" t="n">
        <f aca="true">IFERROR(SUMPRODUCT(OFFSET($BJ$31,0,1-MIN(60,COLUMN()-29),1,MIN(60,COLUMN()-29)),OFFSET(DW889,0,-MIN(60,COLUMN()-29),1,MIN(60,COLUMN()-29))),0)</f>
        <v>0</v>
      </c>
      <c r="DX890" s="112" t="n">
        <f aca="true">IFERROR(SUMPRODUCT(OFFSET($BJ$31,0,1-MIN(60,COLUMN()-29),1,MIN(60,COLUMN()-29)),OFFSET(DX889,0,-MIN(60,COLUMN()-29),1,MIN(60,COLUMN()-29))),0)</f>
        <v>0</v>
      </c>
      <c r="DY890" s="112" t="n">
        <f aca="true">IFERROR(SUMPRODUCT(OFFSET($BJ$31,0,1-MIN(60,COLUMN()-29),1,MIN(60,COLUMN()-29)),OFFSET(DY889,0,-MIN(60,COLUMN()-29),1,MIN(60,COLUMN()-29))),0)</f>
        <v>0</v>
      </c>
      <c r="DZ890" s="112" t="n">
        <f aca="true">IFERROR(SUMPRODUCT(OFFSET($BJ$31,0,1-MIN(60,COLUMN()-29),1,MIN(60,COLUMN()-29)),OFFSET(DZ889,0,-MIN(60,COLUMN()-29),1,MIN(60,COLUMN()-29))),0)</f>
        <v>0</v>
      </c>
      <c r="EA890" s="112" t="n">
        <f aca="true">IFERROR(SUMPRODUCT(OFFSET($BJ$31,0,1-MIN(60,COLUMN()-29),1,MIN(60,COLUMN()-29)),OFFSET(EA889,0,-MIN(60,COLUMN()-29),1,MIN(60,COLUMN()-29))),0)</f>
        <v>0</v>
      </c>
      <c r="EB890" s="112" t="n">
        <f aca="true">IFERROR(SUMPRODUCT(OFFSET($BJ$31,0,1-MIN(60,COLUMN()-29),1,MIN(60,COLUMN()-29)),OFFSET(EB889,0,-MIN(60,COLUMN()-29),1,MIN(60,COLUMN()-29))),0)</f>
        <v>0</v>
      </c>
      <c r="EC890" s="112" t="n">
        <f aca="true">IFERROR(SUMPRODUCT(OFFSET($BJ$31,0,1-MIN(60,COLUMN()-29),1,MIN(60,COLUMN()-29)),OFFSET(EC889,0,-MIN(60,COLUMN()-29),1,MIN(60,COLUMN()-29))),0)</f>
        <v>0</v>
      </c>
      <c r="ED890" s="112" t="n">
        <f aca="true">IFERROR(SUMPRODUCT(OFFSET($BJ$31,0,1-MIN(60,COLUMN()-29),1,MIN(60,COLUMN()-29)),OFFSET(ED889,0,-MIN(60,COLUMN()-29),1,MIN(60,COLUMN()-29))),0)</f>
        <v>0</v>
      </c>
      <c r="EE890" s="112" t="n">
        <f aca="true">IFERROR(SUMPRODUCT(OFFSET($BJ$31,0,1-MIN(60,COLUMN()-29),1,MIN(60,COLUMN()-29)),OFFSET(EE889,0,-MIN(60,COLUMN()-29),1,MIN(60,COLUMN()-29))),0)</f>
        <v>0</v>
      </c>
      <c r="EF890" s="112" t="n">
        <f aca="true">IFERROR(SUMPRODUCT(OFFSET($BJ$31,0,1-MIN(60,COLUMN()-29),1,MIN(60,COLUMN()-29)),OFFSET(EF889,0,-MIN(60,COLUMN()-29),1,MIN(60,COLUMN()-29))),0)</f>
        <v>0</v>
      </c>
      <c r="EG890" s="112" t="n">
        <f aca="true">IFERROR(SUMPRODUCT(OFFSET($BJ$31,0,1-MIN(60,COLUMN()-29),1,MIN(60,COLUMN()-29)),OFFSET(EG889,0,-MIN(60,COLUMN()-29),1,MIN(60,COLUMN()-29))),0)</f>
        <v>0</v>
      </c>
      <c r="EH890" s="112" t="n">
        <f aca="true">IFERROR(SUMPRODUCT(OFFSET($BJ$31,0,1-MIN(60,COLUMN()-29),1,MIN(60,COLUMN()-29)),OFFSET(EH889,0,-MIN(60,COLUMN()-29),1,MIN(60,COLUMN()-29))),0)</f>
        <v>0</v>
      </c>
      <c r="EI890" s="112" t="n">
        <f aca="true">IFERROR(SUMPRODUCT(OFFSET($BJ$31,0,1-MIN(60,COLUMN()-29),1,MIN(60,COLUMN()-29)),OFFSET(EI889,0,-MIN(60,COLUMN()-29),1,MIN(60,COLUMN()-29))),0)</f>
        <v>0</v>
      </c>
      <c r="EJ890" s="112" t="n">
        <f aca="true">IFERROR(SUMPRODUCT(OFFSET($BJ$31,0,1-MIN(60,COLUMN()-29),1,MIN(60,COLUMN()-29)),OFFSET(EJ889,0,-MIN(60,COLUMN()-29),1,MIN(60,COLUMN()-29))),0)</f>
        <v>0</v>
      </c>
      <c r="EK890" s="112" t="n">
        <f aca="true">IFERROR(SUMPRODUCT(OFFSET($BJ$31,0,1-MIN(60,COLUMN()-29),1,MIN(60,COLUMN()-29)),OFFSET(EK889,0,-MIN(60,COLUMN()-29),1,MIN(60,COLUMN()-29))),0)</f>
        <v>0</v>
      </c>
      <c r="EL890" s="112" t="n">
        <f aca="true">IFERROR(SUMPRODUCT(OFFSET($BJ$31,0,1-MIN(60,COLUMN()-29),1,MIN(60,COLUMN()-29)),OFFSET(EL889,0,-MIN(60,COLUMN()-29),1,MIN(60,COLUMN()-29))),0)</f>
        <v>0</v>
      </c>
      <c r="EM890" s="112" t="n">
        <f aca="true">IFERROR(SUMPRODUCT(OFFSET($BJ$31,0,1-MIN(60,COLUMN()-29),1,MIN(60,COLUMN()-29)),OFFSET(EM889,0,-MIN(60,COLUMN()-29),1,MIN(60,COLUMN()-29))),0)</f>
        <v>0</v>
      </c>
      <c r="EN890" s="112" t="n">
        <f aca="true">IFERROR(SUMPRODUCT(OFFSET($BJ$31,0,1-MIN(60,COLUMN()-29),1,MIN(60,COLUMN()-29)),OFFSET(EN889,0,-MIN(60,COLUMN()-29),1,MIN(60,COLUMN()-29))),0)</f>
        <v>0</v>
      </c>
      <c r="EO890" s="112" t="n">
        <f aca="true">IFERROR(SUMPRODUCT(OFFSET($BJ$31,0,1-MIN(60,COLUMN()-29),1,MIN(60,COLUMN()-29)),OFFSET(EO889,0,-MIN(60,COLUMN()-29),1,MIN(60,COLUMN()-29))),0)</f>
        <v>0</v>
      </c>
      <c r="EP890" s="112" t="n">
        <f aca="true">IFERROR(SUMPRODUCT(OFFSET($BJ$31,0,1-MIN(60,COLUMN()-29),1,MIN(60,COLUMN()-29)),OFFSET(EP889,0,-MIN(60,COLUMN()-29),1,MIN(60,COLUMN()-29))),0)</f>
        <v>0</v>
      </c>
      <c r="EQ890" s="112" t="n">
        <f aca="true">IFERROR(SUMPRODUCT(OFFSET($BJ$31,0,1-MIN(60,COLUMN()-29),1,MIN(60,COLUMN()-29)),OFFSET(EQ889,0,-MIN(60,COLUMN()-29),1,MIN(60,COLUMN()-29))),0)</f>
        <v>0</v>
      </c>
      <c r="ER890" s="112" t="n">
        <f aca="true">IFERROR(SUMPRODUCT(OFFSET($BJ$31,0,1-MIN(60,COLUMN()-29),1,MIN(60,COLUMN()-29)),OFFSET(ER889,0,-MIN(60,COLUMN()-29),1,MIN(60,COLUMN()-29))),0)</f>
        <v>0</v>
      </c>
      <c r="ES890" s="9" t="n">
        <f aca="true">IFERROR(SUMPRODUCT(OFFSET($BJ$31,0,1-MIN(60,COLUMN()-29),1,MIN(60,COLUMN()-29)),OFFSET(ES889,0,-MIN(60,COLUMN()-29),1,MIN(60,COLUMN()-29))),0)</f>
        <v>0</v>
      </c>
      <c r="ET890" s="9" t="n">
        <f aca="true">IFERROR(SUMPRODUCT(OFFSET($BJ$31,0,1-MIN(60,COLUMN()-29),1,MIN(60,COLUMN()-29)),OFFSET(ET889,0,-MIN(60,COLUMN()-29),1,MIN(60,COLUMN()-29))),0)</f>
        <v>0</v>
      </c>
      <c r="EU890" s="9" t="n">
        <f aca="true">IFERROR(SUMPRODUCT(OFFSET($BJ$31,0,1-MIN(60,COLUMN()-29),1,MIN(60,COLUMN()-29)),OFFSET(EU889,0,-MIN(60,COLUMN()-29),1,MIN(60,COLUMN()-29))),0)</f>
        <v>0</v>
      </c>
      <c r="EV890" s="9" t="n">
        <f aca="true">IFERROR(SUMPRODUCT(OFFSET($BJ$31,0,1-MIN(60,COLUMN()-29),1,MIN(60,COLUMN()-29)),OFFSET(EV889,0,-MIN(60,COLUMN()-29),1,MIN(60,COLUMN()-29))),0)</f>
        <v>0</v>
      </c>
      <c r="EW890" s="9" t="n">
        <f aca="true">IFERROR(SUMPRODUCT(OFFSET($BJ$31,0,1-MIN(60,COLUMN()-29),1,MIN(60,COLUMN()-29)),OFFSET(EW889,0,-MIN(60,COLUMN()-29),1,MIN(60,COLUMN()-29))),0)</f>
        <v>0</v>
      </c>
      <c r="EX890" s="9" t="n">
        <f aca="true">IFERROR(SUMPRODUCT(OFFSET($BJ$31,0,1-MIN(60,COLUMN()-29),1,MIN(60,COLUMN()-29)),OFFSET(EX889,0,-MIN(60,COLUMN()-29),1,MIN(60,COLUMN()-29))),0)</f>
        <v>0</v>
      </c>
      <c r="EY890" s="9" t="n">
        <f aca="true">IFERROR(SUMPRODUCT(OFFSET($BJ$31,0,1-MIN(60,COLUMN()-29),1,MIN(60,COLUMN()-29)),OFFSET(EY889,0,-MIN(60,COLUMN()-29),1,MIN(60,COLUMN()-29))),0)</f>
        <v>0</v>
      </c>
      <c r="EZ890" s="9" t="n">
        <f aca="true">IFERROR(SUMPRODUCT(OFFSET($BJ$31,0,1-MIN(60,COLUMN()-29),1,MIN(60,COLUMN()-29)),OFFSET(EZ889,0,-MIN(60,COLUMN()-29),1,MIN(60,COLUMN()-29))),0)</f>
        <v>0</v>
      </c>
      <c r="FA890" s="9" t="n">
        <f aca="true">IFERROR(SUMPRODUCT(OFFSET($BJ$31,0,1-MIN(60,COLUMN()-29),1,MIN(60,COLUMN()-29)),OFFSET(FA889,0,-MIN(60,COLUMN()-29),1,MIN(60,COLUMN()-29))),0)</f>
        <v>0</v>
      </c>
      <c r="FB890" s="9" t="n">
        <f aca="true">IFERROR(SUMPRODUCT(OFFSET($BJ$31,0,1-MIN(60,COLUMN()-29),1,MIN(60,COLUMN()-29)),OFFSET(FB889,0,-MIN(60,COLUMN()-29),1,MIN(60,COLUMN()-29))),0)</f>
        <v>0</v>
      </c>
      <c r="FC890" s="9" t="n">
        <f aca="true">IFERROR(SUMPRODUCT(OFFSET($BJ$31,0,1-MIN(60,COLUMN()-29),1,MIN(60,COLUMN()-29)),OFFSET(FC889,0,-MIN(60,COLUMN()-29),1,MIN(60,COLUMN()-29))),0)</f>
        <v>0</v>
      </c>
      <c r="FD890" s="9" t="n">
        <f aca="true">IFERROR(SUMPRODUCT(OFFSET($BJ$31,0,1-MIN(60,COLUMN()-29),1,MIN(60,COLUMN()-29)),OFFSET(FD889,0,-MIN(60,COLUMN()-29),1,MIN(60,COLUMN()-29))),0)</f>
        <v>0</v>
      </c>
      <c r="FE890" s="9" t="n">
        <f aca="true">IFERROR(SUMPRODUCT(OFFSET($BJ$31,0,1-MIN(60,COLUMN()-29),1,MIN(60,COLUMN()-29)),OFFSET(FE889,0,-MIN(60,COLUMN()-29),1,MIN(60,COLUMN()-29))),0)</f>
        <v>0</v>
      </c>
      <c r="FF890" s="9" t="n">
        <f aca="true">IFERROR(SUMPRODUCT(OFFSET($BJ$31,0,1-MIN(60,COLUMN()-29),1,MIN(60,COLUMN()-29)),OFFSET(FF889,0,-MIN(60,COLUMN()-29),1,MIN(60,COLUMN()-29))),0)</f>
        <v>0</v>
      </c>
      <c r="FG890" s="9" t="n">
        <f aca="true">IFERROR(SUMPRODUCT(OFFSET($BJ$31,0,1-MIN(60,COLUMN()-29),1,MIN(60,COLUMN()-29)),OFFSET(FG889,0,-MIN(60,COLUMN()-29),1,MIN(60,COLUMN()-29))),0)</f>
        <v>0</v>
      </c>
      <c r="FH890" s="9" t="n">
        <f aca="true">IFERROR(SUMPRODUCT(OFFSET($BJ$31,0,1-MIN(60,COLUMN()-29),1,MIN(60,COLUMN()-29)),OFFSET(FH889,0,-MIN(60,COLUMN()-29),1,MIN(60,COLUMN()-29))),0)</f>
        <v>0</v>
      </c>
      <c r="FI890" s="9" t="n">
        <f aca="true">IFERROR(SUMPRODUCT(OFFSET($BJ$31,0,1-MIN(60,COLUMN()-29),1,MIN(60,COLUMN()-29)),OFFSET(FI889,0,-MIN(60,COLUMN()-29),1,MIN(60,COLUMN()-29))),0)</f>
        <v>0</v>
      </c>
      <c r="FJ890" s="9" t="n">
        <f aca="true">IFERROR(SUMPRODUCT(OFFSET($BJ$31,0,1-MIN(60,COLUMN()-29),1,MIN(60,COLUMN()-29)),OFFSET(FJ889,0,-MIN(60,COLUMN()-29),1,MIN(60,COLUMN()-29))),0)</f>
        <v>0</v>
      </c>
      <c r="FK890" s="9" t="n">
        <f aca="true">IFERROR(SUMPRODUCT(OFFSET($BJ$31,0,1-MIN(60,COLUMN()-29),1,MIN(60,COLUMN()-29)),OFFSET(FK889,0,-MIN(60,COLUMN()-29),1,MIN(60,COLUMN()-29))),0)</f>
        <v>0</v>
      </c>
      <c r="FL890" s="9" t="n">
        <f aca="true">IFERROR(SUMPRODUCT(OFFSET($BJ$31,0,1-MIN(60,COLUMN()-29),1,MIN(60,COLUMN()-29)),OFFSET(FL889,0,-MIN(60,COLUMN()-29),1,MIN(60,COLUMN()-29))),0)</f>
        <v>0</v>
      </c>
      <c r="FM890" s="9" t="n">
        <f aca="true">IFERROR(SUMPRODUCT(OFFSET($BJ$31,0,1-MIN(60,COLUMN()-29),1,MIN(60,COLUMN()-29)),OFFSET(FM889,0,-MIN(60,COLUMN()-29),1,MIN(60,COLUMN()-29))),0)</f>
        <v>0</v>
      </c>
      <c r="FN890" s="9" t="n">
        <f aca="true">IFERROR(SUMPRODUCT(OFFSET($BJ$31,0,1-MIN(60,COLUMN()-29),1,MIN(60,COLUMN()-29)),OFFSET(FN889,0,-MIN(60,COLUMN()-29),1,MIN(60,COLUMN()-29))),0)</f>
        <v>3.26656</v>
      </c>
      <c r="FO890" s="9" t="n">
        <f aca="true">IFERROR(SUMPRODUCT(OFFSET($BJ$31,0,1-MIN(60,COLUMN()-29),1,MIN(60,COLUMN()-29)),OFFSET(FO889,0,-MIN(60,COLUMN()-29),1,MIN(60,COLUMN()-29))),0)</f>
        <v>3.422848</v>
      </c>
      <c r="FP890" s="9" t="n">
        <f aca="true">IFERROR(SUMPRODUCT(OFFSET($BJ$31,0,1-MIN(60,COLUMN()-29),1,MIN(60,COLUMN()-29)),OFFSET(FP889,0,-MIN(60,COLUMN()-29),1,MIN(60,COLUMN()-29))),0)</f>
        <v>3.4135552</v>
      </c>
    </row>
    <row r="891" customFormat="false" ht="15" hidden="false" customHeight="false" outlineLevel="2" collapsed="false">
      <c r="B891" s="90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237"/>
      <c r="AD891" s="237"/>
      <c r="AE891" s="237"/>
      <c r="AF891" s="237"/>
      <c r="AG891" s="237"/>
      <c r="AH891" s="237"/>
      <c r="AI891" s="237"/>
      <c r="AJ891" s="237"/>
      <c r="AK891" s="237"/>
      <c r="AL891" s="237"/>
      <c r="AM891" s="237"/>
      <c r="AN891" s="237"/>
      <c r="AO891" s="237"/>
      <c r="AP891" s="237"/>
      <c r="AQ891" s="237"/>
      <c r="AR891" s="237"/>
      <c r="AS891" s="237"/>
      <c r="AT891" s="237"/>
      <c r="AU891" s="237"/>
      <c r="AV891" s="237"/>
      <c r="AW891" s="237"/>
      <c r="AX891" s="237"/>
      <c r="AY891" s="237"/>
      <c r="AZ891" s="237"/>
      <c r="BA891" s="237"/>
      <c r="BB891" s="237"/>
      <c r="BC891" s="237"/>
      <c r="BD891" s="237"/>
      <c r="BE891" s="237"/>
      <c r="BF891" s="237"/>
      <c r="BG891" s="237"/>
      <c r="BH891" s="237"/>
      <c r="BI891" s="237"/>
      <c r="BJ891" s="237"/>
      <c r="BK891" s="237"/>
      <c r="BL891" s="237"/>
      <c r="BM891" s="237"/>
      <c r="BN891" s="237"/>
      <c r="BO891" s="237"/>
      <c r="BP891" s="237"/>
      <c r="BQ891" s="237"/>
      <c r="BR891" s="237"/>
      <c r="BS891" s="237"/>
      <c r="BT891" s="237"/>
      <c r="BU891" s="237"/>
      <c r="BV891" s="237"/>
      <c r="BW891" s="237"/>
      <c r="BX891" s="237"/>
      <c r="BY891" s="237"/>
      <c r="BZ891" s="237"/>
      <c r="CA891" s="237"/>
      <c r="CB891" s="237"/>
      <c r="CC891" s="237"/>
      <c r="CD891" s="237"/>
      <c r="CE891" s="237"/>
      <c r="CF891" s="237"/>
      <c r="CG891" s="237"/>
      <c r="CH891" s="237"/>
      <c r="CI891" s="237"/>
      <c r="CJ891" s="237"/>
      <c r="CK891" s="237"/>
      <c r="CL891" s="237"/>
      <c r="CM891" s="237"/>
      <c r="CN891" s="237"/>
      <c r="CO891" s="237"/>
      <c r="CP891" s="237"/>
      <c r="CQ891" s="237"/>
      <c r="CR891" s="237"/>
      <c r="CS891" s="237"/>
      <c r="CT891" s="237"/>
      <c r="CU891" s="237"/>
      <c r="CV891" s="237"/>
      <c r="CW891" s="237"/>
      <c r="CX891" s="237"/>
      <c r="CY891" s="237"/>
      <c r="CZ891" s="237"/>
      <c r="DA891" s="237"/>
      <c r="DB891" s="237"/>
      <c r="DC891" s="237"/>
      <c r="DD891" s="237"/>
      <c r="DE891" s="237"/>
      <c r="DF891" s="237"/>
      <c r="DG891" s="237"/>
      <c r="DH891" s="237"/>
      <c r="DI891" s="237"/>
      <c r="DJ891" s="237"/>
      <c r="DK891" s="237"/>
      <c r="DL891" s="237"/>
      <c r="DM891" s="237"/>
      <c r="DN891" s="237"/>
      <c r="DO891" s="237"/>
      <c r="DP891" s="237"/>
      <c r="DQ891" s="237"/>
      <c r="DR891" s="237"/>
      <c r="DS891" s="237"/>
      <c r="DT891" s="237"/>
      <c r="DU891" s="237"/>
      <c r="DV891" s="237"/>
      <c r="DW891" s="237"/>
      <c r="DX891" s="237"/>
      <c r="DY891" s="237"/>
      <c r="DZ891" s="237"/>
      <c r="EA891" s="237"/>
      <c r="EB891" s="237"/>
      <c r="EC891" s="237"/>
      <c r="ED891" s="237"/>
      <c r="EE891" s="237"/>
      <c r="EF891" s="237"/>
      <c r="EG891" s="237"/>
      <c r="EH891" s="237"/>
      <c r="EI891" s="237"/>
      <c r="EJ891" s="237"/>
      <c r="EK891" s="237"/>
      <c r="EL891" s="237"/>
      <c r="EM891" s="237"/>
      <c r="EN891" s="237"/>
      <c r="EO891" s="237"/>
      <c r="EP891" s="237"/>
      <c r="EQ891" s="237"/>
      <c r="ER891" s="237"/>
      <c r="ES891" s="9"/>
      <c r="ET891" s="9"/>
      <c r="EU891" s="9"/>
      <c r="EV891" s="9"/>
      <c r="EW891" s="9"/>
      <c r="EX891" s="9"/>
      <c r="EY891" s="9"/>
      <c r="EZ891" s="9"/>
      <c r="FA891" s="9"/>
      <c r="FB891" s="9"/>
      <c r="FC891" s="9"/>
      <c r="FD891" s="9"/>
      <c r="FE891" s="9"/>
      <c r="FF891" s="9"/>
      <c r="FG891" s="9"/>
      <c r="FH891" s="9"/>
      <c r="FI891" s="9"/>
      <c r="FJ891" s="9"/>
      <c r="FK891" s="9"/>
      <c r="FL891" s="9"/>
      <c r="FM891" s="9"/>
      <c r="FN891" s="9"/>
      <c r="FO891" s="9"/>
      <c r="FP891" s="9"/>
    </row>
    <row r="892" customFormat="false" ht="15" hidden="false" customHeight="false" outlineLevel="2" collapsed="false">
      <c r="B892" s="240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237"/>
      <c r="AD892" s="237"/>
      <c r="AE892" s="237"/>
      <c r="AF892" s="237"/>
      <c r="AG892" s="237"/>
      <c r="AH892" s="237"/>
      <c r="AI892" s="237"/>
      <c r="AJ892" s="237"/>
      <c r="AK892" s="237"/>
      <c r="AL892" s="237"/>
      <c r="AM892" s="237"/>
      <c r="AN892" s="237"/>
      <c r="AO892" s="237"/>
      <c r="AP892" s="237"/>
      <c r="AQ892" s="237"/>
      <c r="AR892" s="237"/>
      <c r="AS892" s="237"/>
      <c r="AT892" s="237"/>
      <c r="AU892" s="237"/>
      <c r="AV892" s="237"/>
      <c r="AW892" s="237"/>
      <c r="AX892" s="237"/>
      <c r="AY892" s="237"/>
      <c r="AZ892" s="237"/>
      <c r="BA892" s="237"/>
      <c r="BB892" s="237"/>
      <c r="BC892" s="237"/>
      <c r="BD892" s="237"/>
      <c r="BE892" s="237"/>
      <c r="BF892" s="237"/>
      <c r="BG892" s="237"/>
      <c r="BH892" s="237"/>
      <c r="BI892" s="237"/>
      <c r="BJ892" s="237"/>
      <c r="BK892" s="237"/>
      <c r="BL892" s="237"/>
      <c r="BM892" s="237"/>
      <c r="BN892" s="237"/>
      <c r="BO892" s="237"/>
      <c r="BP892" s="237"/>
      <c r="BQ892" s="237"/>
      <c r="BR892" s="237"/>
      <c r="BS892" s="237"/>
      <c r="BT892" s="237"/>
      <c r="BU892" s="237"/>
      <c r="BV892" s="237"/>
      <c r="BW892" s="237"/>
      <c r="BX892" s="237"/>
      <c r="BY892" s="237"/>
      <c r="BZ892" s="237"/>
      <c r="CA892" s="237"/>
      <c r="CB892" s="237"/>
      <c r="CC892" s="237"/>
      <c r="CD892" s="237"/>
      <c r="CE892" s="237"/>
      <c r="CF892" s="237"/>
      <c r="CG892" s="237"/>
      <c r="CH892" s="237"/>
      <c r="CI892" s="237"/>
      <c r="CJ892" s="237"/>
      <c r="CK892" s="237"/>
      <c r="CL892" s="237"/>
      <c r="CM892" s="237"/>
      <c r="CN892" s="237"/>
      <c r="CO892" s="237"/>
      <c r="CP892" s="237"/>
      <c r="CQ892" s="237"/>
      <c r="CR892" s="237"/>
      <c r="CS892" s="237"/>
      <c r="CT892" s="237"/>
      <c r="CU892" s="237"/>
      <c r="CV892" s="237"/>
      <c r="CW892" s="237"/>
      <c r="CX892" s="237"/>
      <c r="CY892" s="237"/>
      <c r="CZ892" s="237"/>
      <c r="DA892" s="237"/>
      <c r="DB892" s="237"/>
      <c r="DC892" s="237"/>
      <c r="DD892" s="237"/>
      <c r="DE892" s="237"/>
      <c r="DF892" s="237"/>
      <c r="DG892" s="237"/>
      <c r="DH892" s="237"/>
      <c r="DI892" s="237"/>
      <c r="DJ892" s="237"/>
      <c r="DK892" s="237"/>
      <c r="DL892" s="237"/>
      <c r="DM892" s="237"/>
      <c r="DN892" s="237"/>
      <c r="DO892" s="237"/>
      <c r="DP892" s="237"/>
      <c r="DQ892" s="237"/>
      <c r="DR892" s="237"/>
      <c r="DS892" s="237"/>
      <c r="DT892" s="237"/>
      <c r="DU892" s="237"/>
      <c r="DV892" s="237"/>
      <c r="DW892" s="237"/>
      <c r="DX892" s="237"/>
      <c r="DY892" s="237"/>
      <c r="DZ892" s="237"/>
      <c r="EA892" s="237"/>
      <c r="EB892" s="237"/>
      <c r="EC892" s="237"/>
      <c r="ED892" s="237"/>
      <c r="EE892" s="237"/>
      <c r="EF892" s="237"/>
      <c r="EG892" s="237"/>
      <c r="EH892" s="237"/>
      <c r="EI892" s="237"/>
      <c r="EJ892" s="237"/>
      <c r="EK892" s="237"/>
      <c r="EL892" s="237"/>
      <c r="EM892" s="237"/>
      <c r="EN892" s="237"/>
      <c r="EO892" s="237"/>
      <c r="EP892" s="237"/>
      <c r="EQ892" s="237"/>
      <c r="ER892" s="237"/>
      <c r="ES892" s="9"/>
      <c r="ET892" s="9"/>
      <c r="EU892" s="9"/>
      <c r="EV892" s="9"/>
      <c r="EW892" s="9"/>
      <c r="EX892" s="9"/>
      <c r="EY892" s="9"/>
      <c r="EZ892" s="9"/>
      <c r="FA892" s="9"/>
      <c r="FB892" s="9"/>
      <c r="FC892" s="9"/>
      <c r="FD892" s="9"/>
      <c r="FE892" s="9"/>
      <c r="FF892" s="9"/>
      <c r="FG892" s="9"/>
      <c r="FH892" s="9"/>
      <c r="FI892" s="9"/>
      <c r="FJ892" s="9"/>
      <c r="FK892" s="9"/>
      <c r="FL892" s="9"/>
      <c r="FM892" s="9"/>
      <c r="FN892" s="9"/>
      <c r="FO892" s="9"/>
      <c r="FP892" s="9"/>
    </row>
    <row r="893" customFormat="false" ht="15" hidden="false" customHeight="false" outlineLevel="2" collapsed="false">
      <c r="B893" s="21" t="s">
        <v>962</v>
      </c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  <c r="AP893" s="21"/>
      <c r="AQ893" s="21"/>
      <c r="AR893" s="21"/>
      <c r="AS893" s="21"/>
      <c r="AT893" s="21"/>
      <c r="AU893" s="21"/>
      <c r="AV893" s="21"/>
      <c r="AW893" s="21"/>
      <c r="AX893" s="21"/>
      <c r="AY893" s="21"/>
      <c r="AZ893" s="21"/>
      <c r="BA893" s="21"/>
      <c r="BB893" s="21"/>
      <c r="BC893" s="21"/>
      <c r="BD893" s="21"/>
      <c r="BE893" s="21"/>
      <c r="BF893" s="21"/>
      <c r="BG893" s="21"/>
      <c r="BH893" s="21"/>
      <c r="BI893" s="21"/>
      <c r="BJ893" s="21"/>
      <c r="BK893" s="21"/>
      <c r="BL893" s="21"/>
      <c r="BM893" s="21"/>
      <c r="BN893" s="21"/>
      <c r="BO893" s="21"/>
      <c r="BP893" s="21"/>
      <c r="BQ893" s="21"/>
      <c r="BR893" s="21"/>
      <c r="BS893" s="21"/>
      <c r="BT893" s="21"/>
      <c r="BU893" s="21"/>
      <c r="BV893" s="21"/>
      <c r="BW893" s="21"/>
      <c r="BX893" s="21"/>
      <c r="BY893" s="21"/>
      <c r="BZ893" s="21"/>
      <c r="CA893" s="21"/>
      <c r="CB893" s="21"/>
      <c r="CC893" s="21"/>
      <c r="CD893" s="21"/>
      <c r="CE893" s="21"/>
      <c r="CF893" s="21"/>
      <c r="CG893" s="21"/>
      <c r="CH893" s="21"/>
      <c r="CI893" s="21"/>
      <c r="CJ893" s="21"/>
      <c r="CK893" s="21"/>
      <c r="CL893" s="21"/>
      <c r="CM893" s="21"/>
      <c r="CN893" s="21"/>
      <c r="CO893" s="21"/>
      <c r="CP893" s="21"/>
      <c r="CQ893" s="21"/>
      <c r="CR893" s="21"/>
      <c r="CS893" s="21"/>
      <c r="CT893" s="21"/>
      <c r="CU893" s="21"/>
      <c r="CV893" s="21"/>
      <c r="CW893" s="21"/>
      <c r="CX893" s="21"/>
      <c r="CY893" s="21"/>
      <c r="CZ893" s="21"/>
      <c r="DA893" s="21"/>
      <c r="DB893" s="21"/>
      <c r="DC893" s="21"/>
      <c r="DD893" s="21"/>
      <c r="DE893" s="21"/>
      <c r="DF893" s="21"/>
      <c r="DG893" s="21"/>
      <c r="DH893" s="21"/>
      <c r="DI893" s="21"/>
      <c r="DJ893" s="21"/>
      <c r="DK893" s="21"/>
      <c r="DL893" s="21"/>
      <c r="DM893" s="21"/>
      <c r="DN893" s="21"/>
      <c r="DO893" s="21"/>
      <c r="DP893" s="21"/>
      <c r="DQ893" s="21"/>
      <c r="DR893" s="21"/>
      <c r="DS893" s="21"/>
      <c r="DT893" s="21"/>
      <c r="DU893" s="21"/>
      <c r="DV893" s="21"/>
      <c r="DW893" s="21"/>
      <c r="DX893" s="21"/>
      <c r="DY893" s="21"/>
      <c r="DZ893" s="21"/>
      <c r="EA893" s="21"/>
      <c r="EB893" s="21"/>
      <c r="EC893" s="21"/>
      <c r="ED893" s="21"/>
      <c r="EE893" s="21"/>
      <c r="EF893" s="21"/>
      <c r="EG893" s="21"/>
      <c r="EH893" s="21"/>
      <c r="EI893" s="21"/>
      <c r="EJ893" s="21"/>
      <c r="EK893" s="21"/>
      <c r="EL893" s="21"/>
      <c r="EM893" s="21"/>
      <c r="EN893" s="21"/>
      <c r="EO893" s="21"/>
      <c r="EP893" s="21"/>
      <c r="EQ893" s="21"/>
      <c r="ER893" s="21"/>
      <c r="ES893" s="9"/>
      <c r="ET893" s="9"/>
      <c r="EU893" s="9"/>
      <c r="EV893" s="9"/>
      <c r="EW893" s="9"/>
      <c r="EX893" s="9"/>
      <c r="EY893" s="9"/>
      <c r="EZ893" s="9"/>
      <c r="FA893" s="9"/>
      <c r="FB893" s="9"/>
      <c r="FC893" s="9"/>
      <c r="FD893" s="9"/>
      <c r="FE893" s="9"/>
      <c r="FF893" s="9"/>
      <c r="FG893" s="9"/>
      <c r="FH893" s="9"/>
      <c r="FI893" s="9"/>
      <c r="FJ893" s="9"/>
      <c r="FK893" s="9"/>
      <c r="FL893" s="9"/>
      <c r="FM893" s="9"/>
      <c r="FN893" s="9"/>
      <c r="FO893" s="9"/>
      <c r="FP893" s="9"/>
    </row>
    <row r="894" customFormat="false" ht="15" hidden="false" customHeight="false" outlineLevel="2" collapsed="false">
      <c r="B894" s="9" t="s">
        <v>872</v>
      </c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234" t="n">
        <f aca="false">('⑫ Roll-out Plan'!G94-2025)*12+'⑫ Roll-out Plan'!F94</f>
        <v>142</v>
      </c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  <c r="CA894" s="9"/>
      <c r="CB894" s="9"/>
      <c r="CC894" s="9"/>
      <c r="CD894" s="9"/>
      <c r="CE894" s="9"/>
      <c r="CF894" s="9"/>
      <c r="CG894" s="9"/>
      <c r="CH894" s="9"/>
      <c r="CI894" s="9"/>
      <c r="CJ894" s="9"/>
      <c r="CK894" s="9"/>
      <c r="CL894" s="9"/>
      <c r="CM894" s="9"/>
      <c r="CN894" s="9"/>
      <c r="CO894" s="9"/>
      <c r="CP894" s="9"/>
      <c r="CQ894" s="9"/>
      <c r="CR894" s="9"/>
      <c r="CS894" s="9"/>
      <c r="CT894" s="9"/>
      <c r="CU894" s="9"/>
      <c r="CV894" s="9"/>
      <c r="CW894" s="9"/>
      <c r="CX894" s="9"/>
      <c r="CY894" s="9"/>
      <c r="CZ894" s="9"/>
      <c r="DA894" s="9"/>
      <c r="DB894" s="9"/>
      <c r="DC894" s="9"/>
      <c r="DD894" s="9"/>
      <c r="DE894" s="9"/>
      <c r="DF894" s="9"/>
      <c r="DG894" s="9"/>
      <c r="DH894" s="9"/>
      <c r="DI894" s="9"/>
      <c r="DJ894" s="9"/>
      <c r="DK894" s="9"/>
      <c r="DL894" s="9"/>
      <c r="DM894" s="9"/>
      <c r="DN894" s="9"/>
      <c r="DO894" s="9"/>
      <c r="DP894" s="9"/>
      <c r="DQ894" s="9"/>
      <c r="DR894" s="9"/>
      <c r="DS894" s="9"/>
      <c r="DT894" s="9"/>
      <c r="DU894" s="9"/>
      <c r="DV894" s="9"/>
      <c r="DW894" s="9"/>
      <c r="DX894" s="9"/>
      <c r="DY894" s="9"/>
      <c r="DZ894" s="9"/>
      <c r="EA894" s="9"/>
      <c r="EB894" s="9"/>
      <c r="EC894" s="9"/>
      <c r="ED894" s="9"/>
      <c r="EE894" s="9"/>
      <c r="EF894" s="9"/>
      <c r="EG894" s="9"/>
      <c r="EH894" s="9"/>
      <c r="EI894" s="9"/>
      <c r="EJ894" s="9"/>
      <c r="EK894" s="9"/>
      <c r="EL894" s="9"/>
      <c r="EM894" s="9"/>
      <c r="EN894" s="9"/>
      <c r="EO894" s="9"/>
      <c r="EP894" s="9"/>
      <c r="EQ894" s="9"/>
      <c r="ER894" s="9"/>
      <c r="ES894" s="9"/>
      <c r="ET894" s="9"/>
      <c r="EU894" s="9"/>
      <c r="EV894" s="9"/>
      <c r="EW894" s="9"/>
      <c r="EX894" s="9"/>
      <c r="EY894" s="9"/>
      <c r="EZ894" s="9"/>
      <c r="FA894" s="9"/>
      <c r="FB894" s="9"/>
      <c r="FC894" s="9"/>
      <c r="FD894" s="9"/>
      <c r="FE894" s="9"/>
      <c r="FF894" s="9"/>
      <c r="FG894" s="9"/>
      <c r="FH894" s="9"/>
      <c r="FI894" s="9"/>
      <c r="FJ894" s="9"/>
      <c r="FK894" s="9"/>
      <c r="FL894" s="9"/>
      <c r="FM894" s="9"/>
      <c r="FN894" s="9"/>
      <c r="FO894" s="9"/>
      <c r="FP894" s="9"/>
    </row>
    <row r="895" customFormat="false" ht="15" hidden="false" customHeight="false" outlineLevel="2" collapsed="false">
      <c r="B895" s="9" t="s">
        <v>873</v>
      </c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235" t="n">
        <f aca="false">VLOOKUP("A",$B$14:$C$18,2,FALSE())</f>
        <v>210</v>
      </c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9"/>
      <c r="CN895" s="9"/>
      <c r="CO895" s="9"/>
      <c r="CP895" s="9"/>
      <c r="CQ895" s="9"/>
      <c r="CR895" s="9"/>
      <c r="CS895" s="9"/>
      <c r="CT895" s="9"/>
      <c r="CU895" s="9"/>
      <c r="CV895" s="9"/>
      <c r="CW895" s="9"/>
      <c r="CX895" s="9"/>
      <c r="CY895" s="9"/>
      <c r="CZ895" s="9"/>
      <c r="DA895" s="9"/>
      <c r="DB895" s="9"/>
      <c r="DC895" s="9"/>
      <c r="DD895" s="9"/>
      <c r="DE895" s="9"/>
      <c r="DF895" s="9"/>
      <c r="DG895" s="9"/>
      <c r="DH895" s="9"/>
      <c r="DI895" s="9"/>
      <c r="DJ895" s="9"/>
      <c r="DK895" s="9"/>
      <c r="DL895" s="9"/>
      <c r="DM895" s="9"/>
      <c r="DN895" s="9"/>
      <c r="DO895" s="9"/>
      <c r="DP895" s="9"/>
      <c r="DQ895" s="9"/>
      <c r="DR895" s="9"/>
      <c r="DS895" s="9"/>
      <c r="DT895" s="9"/>
      <c r="DU895" s="9"/>
      <c r="DV895" s="9"/>
      <c r="DW895" s="9"/>
      <c r="DX895" s="9"/>
      <c r="DY895" s="9"/>
      <c r="DZ895" s="9"/>
      <c r="EA895" s="9"/>
      <c r="EB895" s="9"/>
      <c r="EC895" s="9"/>
      <c r="ED895" s="9"/>
      <c r="EE895" s="9"/>
      <c r="EF895" s="9"/>
      <c r="EG895" s="9"/>
      <c r="EH895" s="9"/>
      <c r="EI895" s="9"/>
      <c r="EJ895" s="9"/>
      <c r="EK895" s="9"/>
      <c r="EL895" s="9"/>
      <c r="EM895" s="9"/>
      <c r="EN895" s="9"/>
      <c r="EO895" s="9"/>
      <c r="EP895" s="9"/>
      <c r="EQ895" s="9"/>
      <c r="ER895" s="9"/>
      <c r="ES895" s="9"/>
      <c r="ET895" s="9"/>
      <c r="EU895" s="9"/>
      <c r="EV895" s="9"/>
      <c r="EW895" s="9"/>
      <c r="EX895" s="9"/>
      <c r="EY895" s="9"/>
      <c r="EZ895" s="9"/>
      <c r="FA895" s="9"/>
      <c r="FB895" s="9"/>
      <c r="FC895" s="9"/>
      <c r="FD895" s="9"/>
      <c r="FE895" s="9"/>
      <c r="FF895" s="9"/>
      <c r="FG895" s="9"/>
      <c r="FH895" s="9"/>
      <c r="FI895" s="9"/>
      <c r="FJ895" s="9"/>
      <c r="FK895" s="9"/>
      <c r="FL895" s="9"/>
      <c r="FM895" s="9"/>
      <c r="FN895" s="9"/>
      <c r="FO895" s="9"/>
      <c r="FP895" s="9"/>
    </row>
    <row r="896" customFormat="false" ht="15" hidden="false" customHeight="false" outlineLevel="2" collapsed="false">
      <c r="B896" s="9" t="s">
        <v>799</v>
      </c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63" t="n">
        <f aca="false">IF(AC$35&gt;=$AC$894,AC$35-$AC$894+1,0)</f>
        <v>0</v>
      </c>
      <c r="AD896" s="63" t="n">
        <f aca="false">IF(AD$35&gt;=$AC$894,AD$35-$AC$894+1,0)</f>
        <v>0</v>
      </c>
      <c r="AE896" s="63" t="n">
        <f aca="false">IF(AE$35&gt;=$AC$894,AE$35-$AC$894+1,0)</f>
        <v>0</v>
      </c>
      <c r="AF896" s="63" t="n">
        <f aca="false">IF(AF$35&gt;=$AC$894,AF$35-$AC$894+1,0)</f>
        <v>0</v>
      </c>
      <c r="AG896" s="63" t="n">
        <f aca="false">IF(AG$35&gt;=$AC$894,AG$35-$AC$894+1,0)</f>
        <v>0</v>
      </c>
      <c r="AH896" s="63" t="n">
        <f aca="false">IF(AH$35&gt;=$AC$894,AH$35-$AC$894+1,0)</f>
        <v>0</v>
      </c>
      <c r="AI896" s="63" t="n">
        <f aca="false">IF(AI$35&gt;=$AC$894,AI$35-$AC$894+1,0)</f>
        <v>0</v>
      </c>
      <c r="AJ896" s="63" t="n">
        <f aca="false">IF(AJ$35&gt;=$AC$894,AJ$35-$AC$894+1,0)</f>
        <v>0</v>
      </c>
      <c r="AK896" s="63" t="n">
        <f aca="false">IF(AK$35&gt;=$AC$894,AK$35-$AC$894+1,0)</f>
        <v>0</v>
      </c>
      <c r="AL896" s="63" t="n">
        <f aca="false">IF(AL$35&gt;=$AC$894,AL$35-$AC$894+1,0)</f>
        <v>0</v>
      </c>
      <c r="AM896" s="63" t="n">
        <f aca="false">IF(AM$35&gt;=$AC$894,AM$35-$AC$894+1,0)</f>
        <v>0</v>
      </c>
      <c r="AN896" s="63" t="n">
        <f aca="false">IF(AN$35&gt;=$AC$894,AN$35-$AC$894+1,0)</f>
        <v>0</v>
      </c>
      <c r="AO896" s="63" t="n">
        <f aca="false">IF(AO$35&gt;=$AC$894,AO$35-$AC$894+1,0)</f>
        <v>0</v>
      </c>
      <c r="AP896" s="63" t="n">
        <f aca="false">IF(AP$35&gt;=$AC$894,AP$35-$AC$894+1,0)</f>
        <v>0</v>
      </c>
      <c r="AQ896" s="63" t="n">
        <f aca="false">IF(AQ$35&gt;=$AC$894,AQ$35-$AC$894+1,0)</f>
        <v>0</v>
      </c>
      <c r="AR896" s="63" t="n">
        <f aca="false">IF(AR$35&gt;=$AC$894,AR$35-$AC$894+1,0)</f>
        <v>0</v>
      </c>
      <c r="AS896" s="63" t="n">
        <f aca="false">IF(AS$35&gt;=$AC$894,AS$35-$AC$894+1,0)</f>
        <v>0</v>
      </c>
      <c r="AT896" s="63" t="n">
        <f aca="false">IF(AT$35&gt;=$AC$894,AT$35-$AC$894+1,0)</f>
        <v>0</v>
      </c>
      <c r="AU896" s="63" t="n">
        <f aca="false">IF(AU$35&gt;=$AC$894,AU$35-$AC$894+1,0)</f>
        <v>0</v>
      </c>
      <c r="AV896" s="63" t="n">
        <f aca="false">IF(AV$35&gt;=$AC$894,AV$35-$AC$894+1,0)</f>
        <v>0</v>
      </c>
      <c r="AW896" s="63" t="n">
        <f aca="false">IF(AW$35&gt;=$AC$894,AW$35-$AC$894+1,0)</f>
        <v>0</v>
      </c>
      <c r="AX896" s="63" t="n">
        <f aca="false">IF(AX$35&gt;=$AC$894,AX$35-$AC$894+1,0)</f>
        <v>0</v>
      </c>
      <c r="AY896" s="63" t="n">
        <f aca="false">IF(AY$35&gt;=$AC$894,AY$35-$AC$894+1,0)</f>
        <v>0</v>
      </c>
      <c r="AZ896" s="63" t="n">
        <f aca="false">IF(AZ$35&gt;=$AC$894,AZ$35-$AC$894+1,0)</f>
        <v>0</v>
      </c>
      <c r="BA896" s="63" t="n">
        <f aca="false">IF(BA$35&gt;=$AC$894,BA$35-$AC$894+1,0)</f>
        <v>0</v>
      </c>
      <c r="BB896" s="63" t="n">
        <f aca="false">IF(BB$35&gt;=$AC$894,BB$35-$AC$894+1,0)</f>
        <v>0</v>
      </c>
      <c r="BC896" s="63" t="n">
        <f aca="false">IF(BC$35&gt;=$AC$894,BC$35-$AC$894+1,0)</f>
        <v>0</v>
      </c>
      <c r="BD896" s="63" t="n">
        <f aca="false">IF(BD$35&gt;=$AC$894,BD$35-$AC$894+1,0)</f>
        <v>0</v>
      </c>
      <c r="BE896" s="63" t="n">
        <f aca="false">IF(BE$35&gt;=$AC$894,BE$35-$AC$894+1,0)</f>
        <v>0</v>
      </c>
      <c r="BF896" s="63" t="n">
        <f aca="false">IF(BF$35&gt;=$AC$894,BF$35-$AC$894+1,0)</f>
        <v>0</v>
      </c>
      <c r="BG896" s="63" t="n">
        <f aca="false">IF(BG$35&gt;=$AC$894,BG$35-$AC$894+1,0)</f>
        <v>0</v>
      </c>
      <c r="BH896" s="63" t="n">
        <f aca="false">IF(BH$35&gt;=$AC$894,BH$35-$AC$894+1,0)</f>
        <v>0</v>
      </c>
      <c r="BI896" s="63" t="n">
        <f aca="false">IF(BI$35&gt;=$AC$894,BI$35-$AC$894+1,0)</f>
        <v>0</v>
      </c>
      <c r="BJ896" s="63" t="n">
        <f aca="false">IF(BJ$35&gt;=$AC$894,BJ$35-$AC$894+1,0)</f>
        <v>0</v>
      </c>
      <c r="BK896" s="63" t="n">
        <f aca="false">IF(BK$35&gt;=$AC$894,BK$35-$AC$894+1,0)</f>
        <v>0</v>
      </c>
      <c r="BL896" s="63" t="n">
        <f aca="false">IF(BL$35&gt;=$AC$894,BL$35-$AC$894+1,0)</f>
        <v>0</v>
      </c>
      <c r="BM896" s="63" t="n">
        <f aca="false">IF(BM$35&gt;=$AC$894,BM$35-$AC$894+1,0)</f>
        <v>0</v>
      </c>
      <c r="BN896" s="63" t="n">
        <f aca="false">IF(BN$35&gt;=$AC$894,BN$35-$AC$894+1,0)</f>
        <v>0</v>
      </c>
      <c r="BO896" s="63" t="n">
        <f aca="false">IF(BO$35&gt;=$AC$894,BO$35-$AC$894+1,0)</f>
        <v>0</v>
      </c>
      <c r="BP896" s="63" t="n">
        <f aca="false">IF(BP$35&gt;=$AC$894,BP$35-$AC$894+1,0)</f>
        <v>0</v>
      </c>
      <c r="BQ896" s="63" t="n">
        <f aca="false">IF(BQ$35&gt;=$AC$894,BQ$35-$AC$894+1,0)</f>
        <v>0</v>
      </c>
      <c r="BR896" s="63" t="n">
        <f aca="false">IF(BR$35&gt;=$AC$894,BR$35-$AC$894+1,0)</f>
        <v>0</v>
      </c>
      <c r="BS896" s="63" t="n">
        <f aca="false">IF(BS$35&gt;=$AC$894,BS$35-$AC$894+1,0)</f>
        <v>0</v>
      </c>
      <c r="BT896" s="63" t="n">
        <f aca="false">IF(BT$35&gt;=$AC$894,BT$35-$AC$894+1,0)</f>
        <v>0</v>
      </c>
      <c r="BU896" s="63" t="n">
        <f aca="false">IF(BU$35&gt;=$AC$894,BU$35-$AC$894+1,0)</f>
        <v>0</v>
      </c>
      <c r="BV896" s="63" t="n">
        <f aca="false">IF(BV$35&gt;=$AC$894,BV$35-$AC$894+1,0)</f>
        <v>0</v>
      </c>
      <c r="BW896" s="63" t="n">
        <f aca="false">IF(BW$35&gt;=$AC$894,BW$35-$AC$894+1,0)</f>
        <v>0</v>
      </c>
      <c r="BX896" s="63" t="n">
        <f aca="false">IF(BX$35&gt;=$AC$894,BX$35-$AC$894+1,0)</f>
        <v>0</v>
      </c>
      <c r="BY896" s="63" t="n">
        <f aca="false">IF(BY$35&gt;=$AC$894,BY$35-$AC$894+1,0)</f>
        <v>0</v>
      </c>
      <c r="BZ896" s="63" t="n">
        <f aca="false">IF(BZ$35&gt;=$AC$894,BZ$35-$AC$894+1,0)</f>
        <v>0</v>
      </c>
      <c r="CA896" s="63" t="n">
        <f aca="false">IF(CA$35&gt;=$AC$894,CA$35-$AC$894+1,0)</f>
        <v>0</v>
      </c>
      <c r="CB896" s="63" t="n">
        <f aca="false">IF(CB$35&gt;=$AC$894,CB$35-$AC$894+1,0)</f>
        <v>0</v>
      </c>
      <c r="CC896" s="63" t="n">
        <f aca="false">IF(CC$35&gt;=$AC$894,CC$35-$AC$894+1,0)</f>
        <v>0</v>
      </c>
      <c r="CD896" s="63" t="n">
        <f aca="false">IF(CD$35&gt;=$AC$894,CD$35-$AC$894+1,0)</f>
        <v>0</v>
      </c>
      <c r="CE896" s="63" t="n">
        <f aca="false">IF(CE$35&gt;=$AC$894,CE$35-$AC$894+1,0)</f>
        <v>0</v>
      </c>
      <c r="CF896" s="63" t="n">
        <f aca="false">IF(CF$35&gt;=$AC$894,CF$35-$AC$894+1,0)</f>
        <v>0</v>
      </c>
      <c r="CG896" s="63" t="n">
        <f aca="false">IF(CG$35&gt;=$AC$894,CG$35-$AC$894+1,0)</f>
        <v>0</v>
      </c>
      <c r="CH896" s="63" t="n">
        <f aca="false">IF(CH$35&gt;=$AC$894,CH$35-$AC$894+1,0)</f>
        <v>0</v>
      </c>
      <c r="CI896" s="63" t="n">
        <f aca="false">IF(CI$35&gt;=$AC$894,CI$35-$AC$894+1,0)</f>
        <v>0</v>
      </c>
      <c r="CJ896" s="63" t="n">
        <f aca="false">IF(CJ$35&gt;=$AC$894,CJ$35-$AC$894+1,0)</f>
        <v>0</v>
      </c>
      <c r="CK896" s="63" t="n">
        <f aca="false">IF(CK$35&gt;=$AC$894,CK$35-$AC$894+1,0)</f>
        <v>0</v>
      </c>
      <c r="CL896" s="63" t="n">
        <f aca="false">IF(CL$35&gt;=$AC$894,CL$35-$AC$894+1,0)</f>
        <v>0</v>
      </c>
      <c r="CM896" s="63" t="n">
        <f aca="false">IF(CM$35&gt;=$AC$894,CM$35-$AC$894+1,0)</f>
        <v>0</v>
      </c>
      <c r="CN896" s="63" t="n">
        <f aca="false">IF(CN$35&gt;=$AC$894,CN$35-$AC$894+1,0)</f>
        <v>0</v>
      </c>
      <c r="CO896" s="63" t="n">
        <f aca="false">IF(CO$35&gt;=$AC$894,CO$35-$AC$894+1,0)</f>
        <v>0</v>
      </c>
      <c r="CP896" s="63" t="n">
        <f aca="false">IF(CP$35&gt;=$AC$894,CP$35-$AC$894+1,0)</f>
        <v>0</v>
      </c>
      <c r="CQ896" s="63" t="n">
        <f aca="false">IF(CQ$35&gt;=$AC$894,CQ$35-$AC$894+1,0)</f>
        <v>0</v>
      </c>
      <c r="CR896" s="63" t="n">
        <f aca="false">IF(CR$35&gt;=$AC$894,CR$35-$AC$894+1,0)</f>
        <v>0</v>
      </c>
      <c r="CS896" s="63" t="n">
        <f aca="false">IF(CS$35&gt;=$AC$894,CS$35-$AC$894+1,0)</f>
        <v>0</v>
      </c>
      <c r="CT896" s="63" t="n">
        <f aca="false">IF(CT$35&gt;=$AC$894,CT$35-$AC$894+1,0)</f>
        <v>0</v>
      </c>
      <c r="CU896" s="63" t="n">
        <f aca="false">IF(CU$35&gt;=$AC$894,CU$35-$AC$894+1,0)</f>
        <v>0</v>
      </c>
      <c r="CV896" s="63" t="n">
        <f aca="false">IF(CV$35&gt;=$AC$894,CV$35-$AC$894+1,0)</f>
        <v>0</v>
      </c>
      <c r="CW896" s="63" t="n">
        <f aca="false">IF(CW$35&gt;=$AC$894,CW$35-$AC$894+1,0)</f>
        <v>0</v>
      </c>
      <c r="CX896" s="63" t="n">
        <f aca="false">IF(CX$35&gt;=$AC$894,CX$35-$AC$894+1,0)</f>
        <v>0</v>
      </c>
      <c r="CY896" s="63" t="n">
        <f aca="false">IF(CY$35&gt;=$AC$894,CY$35-$AC$894+1,0)</f>
        <v>0</v>
      </c>
      <c r="CZ896" s="63" t="n">
        <f aca="false">IF(CZ$35&gt;=$AC$894,CZ$35-$AC$894+1,0)</f>
        <v>0</v>
      </c>
      <c r="DA896" s="63" t="n">
        <f aca="false">IF(DA$35&gt;=$AC$894,DA$35-$AC$894+1,0)</f>
        <v>0</v>
      </c>
      <c r="DB896" s="63" t="n">
        <f aca="false">IF(DB$35&gt;=$AC$894,DB$35-$AC$894+1,0)</f>
        <v>0</v>
      </c>
      <c r="DC896" s="63" t="n">
        <f aca="false">IF(DC$35&gt;=$AC$894,DC$35-$AC$894+1,0)</f>
        <v>0</v>
      </c>
      <c r="DD896" s="63" t="n">
        <f aca="false">IF(DD$35&gt;=$AC$894,DD$35-$AC$894+1,0)</f>
        <v>0</v>
      </c>
      <c r="DE896" s="63" t="n">
        <f aca="false">IF(DE$35&gt;=$AC$894,DE$35-$AC$894+1,0)</f>
        <v>0</v>
      </c>
      <c r="DF896" s="63" t="n">
        <f aca="false">IF(DF$35&gt;=$AC$894,DF$35-$AC$894+1,0)</f>
        <v>0</v>
      </c>
      <c r="DG896" s="63" t="n">
        <f aca="false">IF(DG$35&gt;=$AC$894,DG$35-$AC$894+1,0)</f>
        <v>0</v>
      </c>
      <c r="DH896" s="63" t="n">
        <f aca="false">IF(DH$35&gt;=$AC$894,DH$35-$AC$894+1,0)</f>
        <v>0</v>
      </c>
      <c r="DI896" s="63" t="n">
        <f aca="false">IF(DI$35&gt;=$AC$894,DI$35-$AC$894+1,0)</f>
        <v>0</v>
      </c>
      <c r="DJ896" s="63" t="n">
        <f aca="false">IF(DJ$35&gt;=$AC$894,DJ$35-$AC$894+1,0)</f>
        <v>0</v>
      </c>
      <c r="DK896" s="63" t="n">
        <f aca="false">IF(DK$35&gt;=$AC$894,DK$35-$AC$894+1,0)</f>
        <v>0</v>
      </c>
      <c r="DL896" s="63" t="n">
        <f aca="false">IF(DL$35&gt;=$AC$894,DL$35-$AC$894+1,0)</f>
        <v>0</v>
      </c>
      <c r="DM896" s="63" t="n">
        <f aca="false">IF(DM$35&gt;=$AC$894,DM$35-$AC$894+1,0)</f>
        <v>0</v>
      </c>
      <c r="DN896" s="63" t="n">
        <f aca="false">IF(DN$35&gt;=$AC$894,DN$35-$AC$894+1,0)</f>
        <v>0</v>
      </c>
      <c r="DO896" s="63" t="n">
        <f aca="false">IF(DO$35&gt;=$AC$894,DO$35-$AC$894+1,0)</f>
        <v>0</v>
      </c>
      <c r="DP896" s="63" t="n">
        <f aca="false">IF(DP$35&gt;=$AC$894,DP$35-$AC$894+1,0)</f>
        <v>0</v>
      </c>
      <c r="DQ896" s="63" t="n">
        <f aca="false">IF(DQ$35&gt;=$AC$894,DQ$35-$AC$894+1,0)</f>
        <v>0</v>
      </c>
      <c r="DR896" s="63" t="n">
        <f aca="false">IF(DR$35&gt;=$AC$894,DR$35-$AC$894+1,0)</f>
        <v>0</v>
      </c>
      <c r="DS896" s="63" t="n">
        <f aca="false">IF(DS$35&gt;=$AC$894,DS$35-$AC$894+1,0)</f>
        <v>0</v>
      </c>
      <c r="DT896" s="63" t="n">
        <f aca="false">IF(DT$35&gt;=$AC$894,DT$35-$AC$894+1,0)</f>
        <v>0</v>
      </c>
      <c r="DU896" s="63" t="n">
        <f aca="false">IF(DU$35&gt;=$AC$894,DU$35-$AC$894+1,0)</f>
        <v>0</v>
      </c>
      <c r="DV896" s="63" t="n">
        <f aca="false">IF(DV$35&gt;=$AC$894,DV$35-$AC$894+1,0)</f>
        <v>0</v>
      </c>
      <c r="DW896" s="63" t="n">
        <f aca="false">IF(DW$35&gt;=$AC$894,DW$35-$AC$894+1,0)</f>
        <v>0</v>
      </c>
      <c r="DX896" s="63" t="n">
        <f aca="false">IF(DX$35&gt;=$AC$894,DX$35-$AC$894+1,0)</f>
        <v>0</v>
      </c>
      <c r="DY896" s="63" t="n">
        <f aca="false">IF(DY$35&gt;=$AC$894,DY$35-$AC$894+1,0)</f>
        <v>0</v>
      </c>
      <c r="DZ896" s="63" t="n">
        <f aca="false">IF(DZ$35&gt;=$AC$894,DZ$35-$AC$894+1,0)</f>
        <v>0</v>
      </c>
      <c r="EA896" s="63" t="n">
        <f aca="false">IF(EA$35&gt;=$AC$894,EA$35-$AC$894+1,0)</f>
        <v>0</v>
      </c>
      <c r="EB896" s="63" t="n">
        <f aca="false">IF(EB$35&gt;=$AC$894,EB$35-$AC$894+1,0)</f>
        <v>0</v>
      </c>
      <c r="EC896" s="63" t="n">
        <f aca="false">IF(EC$35&gt;=$AC$894,EC$35-$AC$894+1,0)</f>
        <v>0</v>
      </c>
      <c r="ED896" s="63" t="n">
        <f aca="false">IF(ED$35&gt;=$AC$894,ED$35-$AC$894+1,0)</f>
        <v>0</v>
      </c>
      <c r="EE896" s="63" t="n">
        <f aca="false">IF(EE$35&gt;=$AC$894,EE$35-$AC$894+1,0)</f>
        <v>0</v>
      </c>
      <c r="EF896" s="63" t="n">
        <f aca="false">IF(EF$35&gt;=$AC$894,EF$35-$AC$894+1,0)</f>
        <v>0</v>
      </c>
      <c r="EG896" s="63" t="n">
        <f aca="false">IF(EG$35&gt;=$AC$894,EG$35-$AC$894+1,0)</f>
        <v>0</v>
      </c>
      <c r="EH896" s="63" t="n">
        <f aca="false">IF(EH$35&gt;=$AC$894,EH$35-$AC$894+1,0)</f>
        <v>0</v>
      </c>
      <c r="EI896" s="63" t="n">
        <f aca="false">IF(EI$35&gt;=$AC$894,EI$35-$AC$894+1,0)</f>
        <v>0</v>
      </c>
      <c r="EJ896" s="63" t="n">
        <f aca="false">IF(EJ$35&gt;=$AC$894,EJ$35-$AC$894+1,0)</f>
        <v>0</v>
      </c>
      <c r="EK896" s="63" t="n">
        <f aca="false">IF(EK$35&gt;=$AC$894,EK$35-$AC$894+1,0)</f>
        <v>0</v>
      </c>
      <c r="EL896" s="63" t="n">
        <f aca="false">IF(EL$35&gt;=$AC$894,EL$35-$AC$894+1,0)</f>
        <v>0</v>
      </c>
      <c r="EM896" s="63" t="n">
        <f aca="false">IF(EM$35&gt;=$AC$894,EM$35-$AC$894+1,0)</f>
        <v>0</v>
      </c>
      <c r="EN896" s="63" t="n">
        <f aca="false">IF(EN$35&gt;=$AC$894,EN$35-$AC$894+1,0)</f>
        <v>0</v>
      </c>
      <c r="EO896" s="63" t="n">
        <f aca="false">IF(EO$35&gt;=$AC$894,EO$35-$AC$894+1,0)</f>
        <v>0</v>
      </c>
      <c r="EP896" s="63" t="n">
        <f aca="false">IF(EP$35&gt;=$AC$894,EP$35-$AC$894+1,0)</f>
        <v>0</v>
      </c>
      <c r="EQ896" s="63" t="n">
        <f aca="false">IF(EQ$35&gt;=$AC$894,EQ$35-$AC$894+1,0)</f>
        <v>0</v>
      </c>
      <c r="ER896" s="63" t="n">
        <f aca="false">IF(ER$35&gt;=$AC$894,ER$35-$AC$894+1,0)</f>
        <v>0</v>
      </c>
      <c r="ES896" s="9" t="n">
        <f aca="false">IF(ES$35&gt;=$AC$894,ES$35-$AC$894+1,0)</f>
        <v>0</v>
      </c>
      <c r="ET896" s="9" t="n">
        <f aca="false">IF(ET$35&gt;=$AC$894,ET$35-$AC$894+1,0)</f>
        <v>0</v>
      </c>
      <c r="EU896" s="9" t="n">
        <f aca="false">IF(EU$35&gt;=$AC$894,EU$35-$AC$894+1,0)</f>
        <v>0</v>
      </c>
      <c r="EV896" s="9" t="n">
        <f aca="false">IF(EV$35&gt;=$AC$894,EV$35-$AC$894+1,0)</f>
        <v>0</v>
      </c>
      <c r="EW896" s="9" t="n">
        <f aca="false">IF(EW$35&gt;=$AC$894,EW$35-$AC$894+1,0)</f>
        <v>0</v>
      </c>
      <c r="EX896" s="9" t="n">
        <f aca="false">IF(EX$35&gt;=$AC$894,EX$35-$AC$894+1,0)</f>
        <v>0</v>
      </c>
      <c r="EY896" s="9" t="n">
        <f aca="false">IF(EY$35&gt;=$AC$894,EY$35-$AC$894+1,0)</f>
        <v>0</v>
      </c>
      <c r="EZ896" s="9" t="n">
        <f aca="false">IF(EZ$35&gt;=$AC$894,EZ$35-$AC$894+1,0)</f>
        <v>0</v>
      </c>
      <c r="FA896" s="9" t="n">
        <f aca="false">IF(FA$35&gt;=$AC$894,FA$35-$AC$894+1,0)</f>
        <v>0</v>
      </c>
      <c r="FB896" s="9" t="n">
        <f aca="false">IF(FB$35&gt;=$AC$894,FB$35-$AC$894+1,0)</f>
        <v>0</v>
      </c>
      <c r="FC896" s="9" t="n">
        <f aca="false">IF(FC$35&gt;=$AC$894,FC$35-$AC$894+1,0)</f>
        <v>0</v>
      </c>
      <c r="FD896" s="9" t="n">
        <f aca="false">IF(FD$35&gt;=$AC$894,FD$35-$AC$894+1,0)</f>
        <v>0</v>
      </c>
      <c r="FE896" s="9" t="n">
        <f aca="false">IF(FE$35&gt;=$AC$894,FE$35-$AC$894+1,0)</f>
        <v>0</v>
      </c>
      <c r="FF896" s="9" t="n">
        <f aca="false">IF(FF$35&gt;=$AC$894,FF$35-$AC$894+1,0)</f>
        <v>0</v>
      </c>
      <c r="FG896" s="9" t="n">
        <f aca="false">IF(FG$35&gt;=$AC$894,FG$35-$AC$894+1,0)</f>
        <v>0</v>
      </c>
      <c r="FH896" s="9" t="n">
        <f aca="false">IF(FH$35&gt;=$AC$894,FH$35-$AC$894+1,0)</f>
        <v>0</v>
      </c>
      <c r="FI896" s="9" t="n">
        <f aca="false">IF(FI$35&gt;=$AC$894,FI$35-$AC$894+1,0)</f>
        <v>0</v>
      </c>
      <c r="FJ896" s="9" t="n">
        <f aca="false">IF(FJ$35&gt;=$AC$894,FJ$35-$AC$894+1,0)</f>
        <v>0</v>
      </c>
      <c r="FK896" s="9" t="n">
        <f aca="false">IF(FK$35&gt;=$AC$894,FK$35-$AC$894+1,0)</f>
        <v>0</v>
      </c>
      <c r="FL896" s="9" t="n">
        <f aca="false">IF(FL$35&gt;=$AC$894,FL$35-$AC$894+1,0)</f>
        <v>0</v>
      </c>
      <c r="FM896" s="9" t="n">
        <f aca="false">IF(FM$35&gt;=$AC$894,FM$35-$AC$894+1,0)</f>
        <v>0</v>
      </c>
      <c r="FN896" s="9" t="n">
        <f aca="false">IF(FN$35&gt;=$AC$894,FN$35-$AC$894+1,0)</f>
        <v>1</v>
      </c>
      <c r="FO896" s="9" t="n">
        <f aca="false">IF(FO$35&gt;=$AC$894,FO$35-$AC$894+1,0)</f>
        <v>2</v>
      </c>
      <c r="FP896" s="9" t="n">
        <f aca="false">IF(FP$35&gt;=$AC$894,FP$35-$AC$894+1,0)</f>
        <v>3</v>
      </c>
    </row>
    <row r="897" customFormat="false" ht="15" hidden="false" customHeight="false" outlineLevel="2" collapsed="false">
      <c r="B897" s="9" t="s">
        <v>874</v>
      </c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236" t="n">
        <f aca="false" t="array" ref="AC897:AC897">IF(AC896=0,0,IF(AC896/'🎚️ Escenario'!$C$11&gt;=36,$AL$23,INDEX($C$23:$AL$23,MAX(1,ROUNDUP(AC896/'🎚️ Escenario'!$C$11,0)))))</f>
        <v>0</v>
      </c>
      <c r="AD897" s="236" t="n">
        <f aca="false" t="array" ref="AD897:AD897">IF(AD896=0,0,IF(AD896/'🎚️ Escenario'!$C$11&gt;=36,$AL$23,INDEX($C$23:$AL$23,MAX(1,ROUNDUP(AD896/'🎚️ Escenario'!$C$11,0)))))</f>
        <v>0</v>
      </c>
      <c r="AE897" s="236" t="n">
        <f aca="false" t="array" ref="AE897:AE897">IF(AE896=0,0,IF(AE896/'🎚️ Escenario'!$C$11&gt;=36,$AL$23,INDEX($C$23:$AL$23,MAX(1,ROUNDUP(AE896/'🎚️ Escenario'!$C$11,0)))))</f>
        <v>0</v>
      </c>
      <c r="AF897" s="236" t="n">
        <f aca="false" t="array" ref="AF897:AF897">IF(AF896=0,0,IF(AF896/'🎚️ Escenario'!$C$11&gt;=36,$AL$23,INDEX($C$23:$AL$23,MAX(1,ROUNDUP(AF896/'🎚️ Escenario'!$C$11,0)))))</f>
        <v>0</v>
      </c>
      <c r="AG897" s="236" t="n">
        <f aca="false" t="array" ref="AG897:AG897">IF(AG896=0,0,IF(AG896/'🎚️ Escenario'!$C$11&gt;=36,$AL$23,INDEX($C$23:$AL$23,MAX(1,ROUNDUP(AG896/'🎚️ Escenario'!$C$11,0)))))</f>
        <v>0</v>
      </c>
      <c r="AH897" s="236" t="n">
        <f aca="false" t="array" ref="AH897:AH897">IF(AH896=0,0,IF(AH896/'🎚️ Escenario'!$C$11&gt;=36,$AL$23,INDEX($C$23:$AL$23,MAX(1,ROUNDUP(AH896/'🎚️ Escenario'!$C$11,0)))))</f>
        <v>0</v>
      </c>
      <c r="AI897" s="236" t="n">
        <f aca="false" t="array" ref="AI897:AI897">IF(AI896=0,0,IF(AI896/'🎚️ Escenario'!$C$11&gt;=36,$AL$23,INDEX($C$23:$AL$23,MAX(1,ROUNDUP(AI896/'🎚️ Escenario'!$C$11,0)))))</f>
        <v>0</v>
      </c>
      <c r="AJ897" s="236" t="n">
        <f aca="false" t="array" ref="AJ897:AJ897">IF(AJ896=0,0,IF(AJ896/'🎚️ Escenario'!$C$11&gt;=36,$AL$23,INDEX($C$23:$AL$23,MAX(1,ROUNDUP(AJ896/'🎚️ Escenario'!$C$11,0)))))</f>
        <v>0</v>
      </c>
      <c r="AK897" s="236" t="n">
        <f aca="false" t="array" ref="AK897:AK897">IF(AK896=0,0,IF(AK896/'🎚️ Escenario'!$C$11&gt;=36,$AL$23,INDEX($C$23:$AL$23,MAX(1,ROUNDUP(AK896/'🎚️ Escenario'!$C$11,0)))))</f>
        <v>0</v>
      </c>
      <c r="AL897" s="236" t="n">
        <f aca="false" t="array" ref="AL897:AL897">IF(AL896=0,0,IF(AL896/'🎚️ Escenario'!$C$11&gt;=36,$AL$23,INDEX($C$23:$AL$23,MAX(1,ROUNDUP(AL896/'🎚️ Escenario'!$C$11,0)))))</f>
        <v>0</v>
      </c>
      <c r="AM897" s="236" t="n">
        <f aca="false" t="array" ref="AM897:AM897">IF(AM896=0,0,IF(AM896/'🎚️ Escenario'!$C$11&gt;=36,$AL$23,INDEX($C$23:$AL$23,MAX(1,ROUNDUP(AM896/'🎚️ Escenario'!$C$11,0)))))</f>
        <v>0</v>
      </c>
      <c r="AN897" s="236" t="n">
        <f aca="false" t="array" ref="AN897:AN897">IF(AN896=0,0,IF(AN896/'🎚️ Escenario'!$C$11&gt;=36,$AL$23,INDEX($C$23:$AL$23,MAX(1,ROUNDUP(AN896/'🎚️ Escenario'!$C$11,0)))))</f>
        <v>0</v>
      </c>
      <c r="AO897" s="236" t="n">
        <f aca="false" t="array" ref="AO897:AO897">IF(AO896=0,0,IF(AO896/'🎚️ Escenario'!$C$11&gt;=36,$AL$23,INDEX($C$23:$AL$23,MAX(1,ROUNDUP(AO896/'🎚️ Escenario'!$C$11,0)))))</f>
        <v>0</v>
      </c>
      <c r="AP897" s="236" t="n">
        <f aca="false" t="array" ref="AP897:AP897">IF(AP896=0,0,IF(AP896/'🎚️ Escenario'!$C$11&gt;=36,$AL$23,INDEX($C$23:$AL$23,MAX(1,ROUNDUP(AP896/'🎚️ Escenario'!$C$11,0)))))</f>
        <v>0</v>
      </c>
      <c r="AQ897" s="236" t="n">
        <f aca="false" t="array" ref="AQ897:AQ897">IF(AQ896=0,0,IF(AQ896/'🎚️ Escenario'!$C$11&gt;=36,$AL$23,INDEX($C$23:$AL$23,MAX(1,ROUNDUP(AQ896/'🎚️ Escenario'!$C$11,0)))))</f>
        <v>0</v>
      </c>
      <c r="AR897" s="236" t="n">
        <f aca="false" t="array" ref="AR897:AR897">IF(AR896=0,0,IF(AR896/'🎚️ Escenario'!$C$11&gt;=36,$AL$23,INDEX($C$23:$AL$23,MAX(1,ROUNDUP(AR896/'🎚️ Escenario'!$C$11,0)))))</f>
        <v>0</v>
      </c>
      <c r="AS897" s="236" t="n">
        <f aca="false" t="array" ref="AS897:AS897">IF(AS896=0,0,IF(AS896/'🎚️ Escenario'!$C$11&gt;=36,$AL$23,INDEX($C$23:$AL$23,MAX(1,ROUNDUP(AS896/'🎚️ Escenario'!$C$11,0)))))</f>
        <v>0</v>
      </c>
      <c r="AT897" s="236" t="n">
        <f aca="false" t="array" ref="AT897:AT897">IF(AT896=0,0,IF(AT896/'🎚️ Escenario'!$C$11&gt;=36,$AL$23,INDEX($C$23:$AL$23,MAX(1,ROUNDUP(AT896/'🎚️ Escenario'!$C$11,0)))))</f>
        <v>0</v>
      </c>
      <c r="AU897" s="236" t="n">
        <f aca="false" t="array" ref="AU897:AU897">IF(AU896=0,0,IF(AU896/'🎚️ Escenario'!$C$11&gt;=36,$AL$23,INDEX($C$23:$AL$23,MAX(1,ROUNDUP(AU896/'🎚️ Escenario'!$C$11,0)))))</f>
        <v>0</v>
      </c>
      <c r="AV897" s="236" t="n">
        <f aca="false" t="array" ref="AV897:AV897">IF(AV896=0,0,IF(AV896/'🎚️ Escenario'!$C$11&gt;=36,$AL$23,INDEX($C$23:$AL$23,MAX(1,ROUNDUP(AV896/'🎚️ Escenario'!$C$11,0)))))</f>
        <v>0</v>
      </c>
      <c r="AW897" s="236" t="n">
        <f aca="false" t="array" ref="AW897:AW897">IF(AW896=0,0,IF(AW896/'🎚️ Escenario'!$C$11&gt;=36,$AL$23,INDEX($C$23:$AL$23,MAX(1,ROUNDUP(AW896/'🎚️ Escenario'!$C$11,0)))))</f>
        <v>0</v>
      </c>
      <c r="AX897" s="236" t="n">
        <f aca="false" t="array" ref="AX897:AX897">IF(AX896=0,0,IF(AX896/'🎚️ Escenario'!$C$11&gt;=36,$AL$23,INDEX($C$23:$AL$23,MAX(1,ROUNDUP(AX896/'🎚️ Escenario'!$C$11,0)))))</f>
        <v>0</v>
      </c>
      <c r="AY897" s="236" t="n">
        <f aca="false" t="array" ref="AY897:AY897">IF(AY896=0,0,IF(AY896/'🎚️ Escenario'!$C$11&gt;=36,$AL$23,INDEX($C$23:$AL$23,MAX(1,ROUNDUP(AY896/'🎚️ Escenario'!$C$11,0)))))</f>
        <v>0</v>
      </c>
      <c r="AZ897" s="236" t="n">
        <f aca="false" t="array" ref="AZ897:AZ897">IF(AZ896=0,0,IF(AZ896/'🎚️ Escenario'!$C$11&gt;=36,$AL$23,INDEX($C$23:$AL$23,MAX(1,ROUNDUP(AZ896/'🎚️ Escenario'!$C$11,0)))))</f>
        <v>0</v>
      </c>
      <c r="BA897" s="236" t="n">
        <f aca="false" t="array" ref="BA897:BA897">IF(BA896=0,0,IF(BA896/'🎚️ Escenario'!$C$11&gt;=36,$AL$23,INDEX($C$23:$AL$23,MAX(1,ROUNDUP(BA896/'🎚️ Escenario'!$C$11,0)))))</f>
        <v>0</v>
      </c>
      <c r="BB897" s="236" t="n">
        <f aca="false" t="array" ref="BB897:BB897">IF(BB896=0,0,IF(BB896/'🎚️ Escenario'!$C$11&gt;=36,$AL$23,INDEX($C$23:$AL$23,MAX(1,ROUNDUP(BB896/'🎚️ Escenario'!$C$11,0)))))</f>
        <v>0</v>
      </c>
      <c r="BC897" s="236" t="n">
        <f aca="false" t="array" ref="BC897:BC897">IF(BC896=0,0,IF(BC896/'🎚️ Escenario'!$C$11&gt;=36,$AL$23,INDEX($C$23:$AL$23,MAX(1,ROUNDUP(BC896/'🎚️ Escenario'!$C$11,0)))))</f>
        <v>0</v>
      </c>
      <c r="BD897" s="236" t="n">
        <f aca="false" t="array" ref="BD897:BD897">IF(BD896=0,0,IF(BD896/'🎚️ Escenario'!$C$11&gt;=36,$AL$23,INDEX($C$23:$AL$23,MAX(1,ROUNDUP(BD896/'🎚️ Escenario'!$C$11,0)))))</f>
        <v>0</v>
      </c>
      <c r="BE897" s="236" t="n">
        <f aca="false" t="array" ref="BE897:BE897">IF(BE896=0,0,IF(BE896/'🎚️ Escenario'!$C$11&gt;=36,$AL$23,INDEX($C$23:$AL$23,MAX(1,ROUNDUP(BE896/'🎚️ Escenario'!$C$11,0)))))</f>
        <v>0</v>
      </c>
      <c r="BF897" s="236" t="n">
        <f aca="false" t="array" ref="BF897:BF897">IF(BF896=0,0,IF(BF896/'🎚️ Escenario'!$C$11&gt;=36,$AL$23,INDEX($C$23:$AL$23,MAX(1,ROUNDUP(BF896/'🎚️ Escenario'!$C$11,0)))))</f>
        <v>0</v>
      </c>
      <c r="BG897" s="236" t="n">
        <f aca="false" t="array" ref="BG897:BG897">IF(BG896=0,0,IF(BG896/'🎚️ Escenario'!$C$11&gt;=36,$AL$23,INDEX($C$23:$AL$23,MAX(1,ROUNDUP(BG896/'🎚️ Escenario'!$C$11,0)))))</f>
        <v>0</v>
      </c>
      <c r="BH897" s="236" t="n">
        <f aca="false" t="array" ref="BH897:BH897">IF(BH896=0,0,IF(BH896/'🎚️ Escenario'!$C$11&gt;=36,$AL$23,INDEX($C$23:$AL$23,MAX(1,ROUNDUP(BH896/'🎚️ Escenario'!$C$11,0)))))</f>
        <v>0</v>
      </c>
      <c r="BI897" s="236" t="n">
        <f aca="false" t="array" ref="BI897:BI897">IF(BI896=0,0,IF(BI896/'🎚️ Escenario'!$C$11&gt;=36,$AL$23,INDEX($C$23:$AL$23,MAX(1,ROUNDUP(BI896/'🎚️ Escenario'!$C$11,0)))))</f>
        <v>0</v>
      </c>
      <c r="BJ897" s="236" t="n">
        <f aca="false" t="array" ref="BJ897:BJ897">IF(BJ896=0,0,IF(BJ896/'🎚️ Escenario'!$C$11&gt;=36,$AL$23,INDEX($C$23:$AL$23,MAX(1,ROUNDUP(BJ896/'🎚️ Escenario'!$C$11,0)))))</f>
        <v>0</v>
      </c>
      <c r="BK897" s="236" t="n">
        <f aca="false" t="array" ref="BK897:BK897">IF(BK896=0,0,IF(BK896/'🎚️ Escenario'!$C$11&gt;=36,$AL$23,INDEX($C$23:$AL$23,MAX(1,ROUNDUP(BK896/'🎚️ Escenario'!$C$11,0)))))</f>
        <v>0</v>
      </c>
      <c r="BL897" s="236" t="n">
        <f aca="false" t="array" ref="BL897:BL897">IF(BL896=0,0,IF(BL896/'🎚️ Escenario'!$C$11&gt;=36,$AL$23,INDEX($C$23:$AL$23,MAX(1,ROUNDUP(BL896/'🎚️ Escenario'!$C$11,0)))))</f>
        <v>0</v>
      </c>
      <c r="BM897" s="236" t="n">
        <f aca="false" t="array" ref="BM897:BM897">IF(BM896=0,0,IF(BM896/'🎚️ Escenario'!$C$11&gt;=36,$AL$23,INDEX($C$23:$AL$23,MAX(1,ROUNDUP(BM896/'🎚️ Escenario'!$C$11,0)))))</f>
        <v>0</v>
      </c>
      <c r="BN897" s="236" t="n">
        <f aca="false" t="array" ref="BN897:BN897">IF(BN896=0,0,IF(BN896/'🎚️ Escenario'!$C$11&gt;=36,$AL$23,INDEX($C$23:$AL$23,MAX(1,ROUNDUP(BN896/'🎚️ Escenario'!$C$11,0)))))</f>
        <v>0</v>
      </c>
      <c r="BO897" s="236" t="n">
        <f aca="false" t="array" ref="BO897:BO897">IF(BO896=0,0,IF(BO896/'🎚️ Escenario'!$C$11&gt;=36,$AL$23,INDEX($C$23:$AL$23,MAX(1,ROUNDUP(BO896/'🎚️ Escenario'!$C$11,0)))))</f>
        <v>0</v>
      </c>
      <c r="BP897" s="236" t="n">
        <f aca="false" t="array" ref="BP897:BP897">IF(BP896=0,0,IF(BP896/'🎚️ Escenario'!$C$11&gt;=36,$AL$23,INDEX($C$23:$AL$23,MAX(1,ROUNDUP(BP896/'🎚️ Escenario'!$C$11,0)))))</f>
        <v>0</v>
      </c>
      <c r="BQ897" s="236" t="n">
        <f aca="false" t="array" ref="BQ897:BQ897">IF(BQ896=0,0,IF(BQ896/'🎚️ Escenario'!$C$11&gt;=36,$AL$23,INDEX($C$23:$AL$23,MAX(1,ROUNDUP(BQ896/'🎚️ Escenario'!$C$11,0)))))</f>
        <v>0</v>
      </c>
      <c r="BR897" s="236" t="n">
        <f aca="false" t="array" ref="BR897:BR897">IF(BR896=0,0,IF(BR896/'🎚️ Escenario'!$C$11&gt;=36,$AL$23,INDEX($C$23:$AL$23,MAX(1,ROUNDUP(BR896/'🎚️ Escenario'!$C$11,0)))))</f>
        <v>0</v>
      </c>
      <c r="BS897" s="236" t="n">
        <f aca="false" t="array" ref="BS897:BS897">IF(BS896=0,0,IF(BS896/'🎚️ Escenario'!$C$11&gt;=36,$AL$23,INDEX($C$23:$AL$23,MAX(1,ROUNDUP(BS896/'🎚️ Escenario'!$C$11,0)))))</f>
        <v>0</v>
      </c>
      <c r="BT897" s="236" t="n">
        <f aca="false" t="array" ref="BT897:BT897">IF(BT896=0,0,IF(BT896/'🎚️ Escenario'!$C$11&gt;=36,$AL$23,INDEX($C$23:$AL$23,MAX(1,ROUNDUP(BT896/'🎚️ Escenario'!$C$11,0)))))</f>
        <v>0</v>
      </c>
      <c r="BU897" s="236" t="n">
        <f aca="false" t="array" ref="BU897:BU897">IF(BU896=0,0,IF(BU896/'🎚️ Escenario'!$C$11&gt;=36,$AL$23,INDEX($C$23:$AL$23,MAX(1,ROUNDUP(BU896/'🎚️ Escenario'!$C$11,0)))))</f>
        <v>0</v>
      </c>
      <c r="BV897" s="236" t="n">
        <f aca="false" t="array" ref="BV897:BV897">IF(BV896=0,0,IF(BV896/'🎚️ Escenario'!$C$11&gt;=36,$AL$23,INDEX($C$23:$AL$23,MAX(1,ROUNDUP(BV896/'🎚️ Escenario'!$C$11,0)))))</f>
        <v>0</v>
      </c>
      <c r="BW897" s="236" t="n">
        <f aca="false" t="array" ref="BW897:BW897">IF(BW896=0,0,IF(BW896/'🎚️ Escenario'!$C$11&gt;=36,$AL$23,INDEX($C$23:$AL$23,MAX(1,ROUNDUP(BW896/'🎚️ Escenario'!$C$11,0)))))</f>
        <v>0</v>
      </c>
      <c r="BX897" s="236" t="n">
        <f aca="false" t="array" ref="BX897:BX897">IF(BX896=0,0,IF(BX896/'🎚️ Escenario'!$C$11&gt;=36,$AL$23,INDEX($C$23:$AL$23,MAX(1,ROUNDUP(BX896/'🎚️ Escenario'!$C$11,0)))))</f>
        <v>0</v>
      </c>
      <c r="BY897" s="236" t="n">
        <f aca="false" t="array" ref="BY897:BY897">IF(BY896=0,0,IF(BY896/'🎚️ Escenario'!$C$11&gt;=36,$AL$23,INDEX($C$23:$AL$23,MAX(1,ROUNDUP(BY896/'🎚️ Escenario'!$C$11,0)))))</f>
        <v>0</v>
      </c>
      <c r="BZ897" s="236" t="n">
        <f aca="false" t="array" ref="BZ897:BZ897">IF(BZ896=0,0,IF(BZ896/'🎚️ Escenario'!$C$11&gt;=36,$AL$23,INDEX($C$23:$AL$23,MAX(1,ROUNDUP(BZ896/'🎚️ Escenario'!$C$11,0)))))</f>
        <v>0</v>
      </c>
      <c r="CA897" s="236" t="n">
        <f aca="false" t="array" ref="CA897:CA897">IF(CA896=0,0,IF(CA896/'🎚️ Escenario'!$C$11&gt;=36,$AL$23,INDEX($C$23:$AL$23,MAX(1,ROUNDUP(CA896/'🎚️ Escenario'!$C$11,0)))))</f>
        <v>0</v>
      </c>
      <c r="CB897" s="236" t="n">
        <f aca="false" t="array" ref="CB897:CB897">IF(CB896=0,0,IF(CB896/'🎚️ Escenario'!$C$11&gt;=36,$AL$23,INDEX($C$23:$AL$23,MAX(1,ROUNDUP(CB896/'🎚️ Escenario'!$C$11,0)))))</f>
        <v>0</v>
      </c>
      <c r="CC897" s="236" t="n">
        <f aca="false" t="array" ref="CC897:CC897">IF(CC896=0,0,IF(CC896/'🎚️ Escenario'!$C$11&gt;=36,$AL$23,INDEX($C$23:$AL$23,MAX(1,ROUNDUP(CC896/'🎚️ Escenario'!$C$11,0)))))</f>
        <v>0</v>
      </c>
      <c r="CD897" s="236" t="n">
        <f aca="false" t="array" ref="CD897:CD897">IF(CD896=0,0,IF(CD896/'🎚️ Escenario'!$C$11&gt;=36,$AL$23,INDEX($C$23:$AL$23,MAX(1,ROUNDUP(CD896/'🎚️ Escenario'!$C$11,0)))))</f>
        <v>0</v>
      </c>
      <c r="CE897" s="236" t="n">
        <f aca="false" t="array" ref="CE897:CE897">IF(CE896=0,0,IF(CE896/'🎚️ Escenario'!$C$11&gt;=36,$AL$23,INDEX($C$23:$AL$23,MAX(1,ROUNDUP(CE896/'🎚️ Escenario'!$C$11,0)))))</f>
        <v>0</v>
      </c>
      <c r="CF897" s="236" t="n">
        <f aca="false" t="array" ref="CF897:CF897">IF(CF896=0,0,IF(CF896/'🎚️ Escenario'!$C$11&gt;=36,$AL$23,INDEX($C$23:$AL$23,MAX(1,ROUNDUP(CF896/'🎚️ Escenario'!$C$11,0)))))</f>
        <v>0</v>
      </c>
      <c r="CG897" s="236" t="n">
        <f aca="false" t="array" ref="CG897:CG897">IF(CG896=0,0,IF(CG896/'🎚️ Escenario'!$C$11&gt;=36,$AL$23,INDEX($C$23:$AL$23,MAX(1,ROUNDUP(CG896/'🎚️ Escenario'!$C$11,0)))))</f>
        <v>0</v>
      </c>
      <c r="CH897" s="236" t="n">
        <f aca="false" t="array" ref="CH897:CH897">IF(CH896=0,0,IF(CH896/'🎚️ Escenario'!$C$11&gt;=36,$AL$23,INDEX($C$23:$AL$23,MAX(1,ROUNDUP(CH896/'🎚️ Escenario'!$C$11,0)))))</f>
        <v>0</v>
      </c>
      <c r="CI897" s="236" t="n">
        <f aca="false" t="array" ref="CI897:CI897">IF(CI896=0,0,IF(CI896/'🎚️ Escenario'!$C$11&gt;=36,$AL$23,INDEX($C$23:$AL$23,MAX(1,ROUNDUP(CI896/'🎚️ Escenario'!$C$11,0)))))</f>
        <v>0</v>
      </c>
      <c r="CJ897" s="236" t="n">
        <f aca="false" t="array" ref="CJ897:CJ897">IF(CJ896=0,0,IF(CJ896/'🎚️ Escenario'!$C$11&gt;=36,$AL$23,INDEX($C$23:$AL$23,MAX(1,ROUNDUP(CJ896/'🎚️ Escenario'!$C$11,0)))))</f>
        <v>0</v>
      </c>
      <c r="CK897" s="236" t="n">
        <f aca="false" t="array" ref="CK897:CK897">IF(CK896=0,0,IF(CK896/'🎚️ Escenario'!$C$11&gt;=36,$AL$23,INDEX($C$23:$AL$23,MAX(1,ROUNDUP(CK896/'🎚️ Escenario'!$C$11,0)))))</f>
        <v>0</v>
      </c>
      <c r="CL897" s="236" t="n">
        <f aca="false" t="array" ref="CL897:CL897">IF(CL896=0,0,IF(CL896/'🎚️ Escenario'!$C$11&gt;=36,$AL$23,INDEX($C$23:$AL$23,MAX(1,ROUNDUP(CL896/'🎚️ Escenario'!$C$11,0)))))</f>
        <v>0</v>
      </c>
      <c r="CM897" s="236" t="n">
        <f aca="false" t="array" ref="CM897:CM897">IF(CM896=0,0,IF(CM896/'🎚️ Escenario'!$C$11&gt;=36,$AL$23,INDEX($C$23:$AL$23,MAX(1,ROUNDUP(CM896/'🎚️ Escenario'!$C$11,0)))))</f>
        <v>0</v>
      </c>
      <c r="CN897" s="236" t="n">
        <f aca="false" t="array" ref="CN897:CN897">IF(CN896=0,0,IF(CN896/'🎚️ Escenario'!$C$11&gt;=36,$AL$23,INDEX($C$23:$AL$23,MAX(1,ROUNDUP(CN896/'🎚️ Escenario'!$C$11,0)))))</f>
        <v>0</v>
      </c>
      <c r="CO897" s="236" t="n">
        <f aca="false" t="array" ref="CO897:CO897">IF(CO896=0,0,IF(CO896/'🎚️ Escenario'!$C$11&gt;=36,$AL$23,INDEX($C$23:$AL$23,MAX(1,ROUNDUP(CO896/'🎚️ Escenario'!$C$11,0)))))</f>
        <v>0</v>
      </c>
      <c r="CP897" s="236" t="n">
        <f aca="false" t="array" ref="CP897:CP897">IF(CP896=0,0,IF(CP896/'🎚️ Escenario'!$C$11&gt;=36,$AL$23,INDEX($C$23:$AL$23,MAX(1,ROUNDUP(CP896/'🎚️ Escenario'!$C$11,0)))))</f>
        <v>0</v>
      </c>
      <c r="CQ897" s="236" t="n">
        <f aca="false" t="array" ref="CQ897:CQ897">IF(CQ896=0,0,IF(CQ896/'🎚️ Escenario'!$C$11&gt;=36,$AL$23,INDEX($C$23:$AL$23,MAX(1,ROUNDUP(CQ896/'🎚️ Escenario'!$C$11,0)))))</f>
        <v>0</v>
      </c>
      <c r="CR897" s="236" t="n">
        <f aca="false" t="array" ref="CR897:CR897">IF(CR896=0,0,IF(CR896/'🎚️ Escenario'!$C$11&gt;=36,$AL$23,INDEX($C$23:$AL$23,MAX(1,ROUNDUP(CR896/'🎚️ Escenario'!$C$11,0)))))</f>
        <v>0</v>
      </c>
      <c r="CS897" s="236" t="n">
        <f aca="false" t="array" ref="CS897:CS897">IF(CS896=0,0,IF(CS896/'🎚️ Escenario'!$C$11&gt;=36,$AL$23,INDEX($C$23:$AL$23,MAX(1,ROUNDUP(CS896/'🎚️ Escenario'!$C$11,0)))))</f>
        <v>0</v>
      </c>
      <c r="CT897" s="236" t="n">
        <f aca="false" t="array" ref="CT897:CT897">IF(CT896=0,0,IF(CT896/'🎚️ Escenario'!$C$11&gt;=36,$AL$23,INDEX($C$23:$AL$23,MAX(1,ROUNDUP(CT896/'🎚️ Escenario'!$C$11,0)))))</f>
        <v>0</v>
      </c>
      <c r="CU897" s="236" t="n">
        <f aca="false" t="array" ref="CU897:CU897">IF(CU896=0,0,IF(CU896/'🎚️ Escenario'!$C$11&gt;=36,$AL$23,INDEX($C$23:$AL$23,MAX(1,ROUNDUP(CU896/'🎚️ Escenario'!$C$11,0)))))</f>
        <v>0</v>
      </c>
      <c r="CV897" s="236" t="n">
        <f aca="false" t="array" ref="CV897:CV897">IF(CV896=0,0,IF(CV896/'🎚️ Escenario'!$C$11&gt;=36,$AL$23,INDEX($C$23:$AL$23,MAX(1,ROUNDUP(CV896/'🎚️ Escenario'!$C$11,0)))))</f>
        <v>0</v>
      </c>
      <c r="CW897" s="236" t="n">
        <f aca="false" t="array" ref="CW897:CW897">IF(CW896=0,0,IF(CW896/'🎚️ Escenario'!$C$11&gt;=36,$AL$23,INDEX($C$23:$AL$23,MAX(1,ROUNDUP(CW896/'🎚️ Escenario'!$C$11,0)))))</f>
        <v>0</v>
      </c>
      <c r="CX897" s="236" t="n">
        <f aca="false" t="array" ref="CX897:CX897">IF(CX896=0,0,IF(CX896/'🎚️ Escenario'!$C$11&gt;=36,$AL$23,INDEX($C$23:$AL$23,MAX(1,ROUNDUP(CX896/'🎚️ Escenario'!$C$11,0)))))</f>
        <v>0</v>
      </c>
      <c r="CY897" s="236" t="n">
        <f aca="false" t="array" ref="CY897:CY897">IF(CY896=0,0,IF(CY896/'🎚️ Escenario'!$C$11&gt;=36,$AL$23,INDEX($C$23:$AL$23,MAX(1,ROUNDUP(CY896/'🎚️ Escenario'!$C$11,0)))))</f>
        <v>0</v>
      </c>
      <c r="CZ897" s="236" t="n">
        <f aca="false" t="array" ref="CZ897:CZ897">IF(CZ896=0,0,IF(CZ896/'🎚️ Escenario'!$C$11&gt;=36,$AL$23,INDEX($C$23:$AL$23,MAX(1,ROUNDUP(CZ896/'🎚️ Escenario'!$C$11,0)))))</f>
        <v>0</v>
      </c>
      <c r="DA897" s="236" t="n">
        <f aca="false" t="array" ref="DA897:DA897">IF(DA896=0,0,IF(DA896/'🎚️ Escenario'!$C$11&gt;=36,$AL$23,INDEX($C$23:$AL$23,MAX(1,ROUNDUP(DA896/'🎚️ Escenario'!$C$11,0)))))</f>
        <v>0</v>
      </c>
      <c r="DB897" s="236" t="n">
        <f aca="false" t="array" ref="DB897:DB897">IF(DB896=0,0,IF(DB896/'🎚️ Escenario'!$C$11&gt;=36,$AL$23,INDEX($C$23:$AL$23,MAX(1,ROUNDUP(DB896/'🎚️ Escenario'!$C$11,0)))))</f>
        <v>0</v>
      </c>
      <c r="DC897" s="236" t="n">
        <f aca="false" t="array" ref="DC897:DC897">IF(DC896=0,0,IF(DC896/'🎚️ Escenario'!$C$11&gt;=36,$AL$23,INDEX($C$23:$AL$23,MAX(1,ROUNDUP(DC896/'🎚️ Escenario'!$C$11,0)))))</f>
        <v>0</v>
      </c>
      <c r="DD897" s="236" t="n">
        <f aca="false" t="array" ref="DD897:DD897">IF(DD896=0,0,IF(DD896/'🎚️ Escenario'!$C$11&gt;=36,$AL$23,INDEX($C$23:$AL$23,MAX(1,ROUNDUP(DD896/'🎚️ Escenario'!$C$11,0)))))</f>
        <v>0</v>
      </c>
      <c r="DE897" s="236" t="n">
        <f aca="false" t="array" ref="DE897:DE897">IF(DE896=0,0,IF(DE896/'🎚️ Escenario'!$C$11&gt;=36,$AL$23,INDEX($C$23:$AL$23,MAX(1,ROUNDUP(DE896/'🎚️ Escenario'!$C$11,0)))))</f>
        <v>0</v>
      </c>
      <c r="DF897" s="236" t="n">
        <f aca="false" t="array" ref="DF897:DF897">IF(DF896=0,0,IF(DF896/'🎚️ Escenario'!$C$11&gt;=36,$AL$23,INDEX($C$23:$AL$23,MAX(1,ROUNDUP(DF896/'🎚️ Escenario'!$C$11,0)))))</f>
        <v>0</v>
      </c>
      <c r="DG897" s="236" t="n">
        <f aca="false" t="array" ref="DG897:DG897">IF(DG896=0,0,IF(DG896/'🎚️ Escenario'!$C$11&gt;=36,$AL$23,INDEX($C$23:$AL$23,MAX(1,ROUNDUP(DG896/'🎚️ Escenario'!$C$11,0)))))</f>
        <v>0</v>
      </c>
      <c r="DH897" s="236" t="n">
        <f aca="false" t="array" ref="DH897:DH897">IF(DH896=0,0,IF(DH896/'🎚️ Escenario'!$C$11&gt;=36,$AL$23,INDEX($C$23:$AL$23,MAX(1,ROUNDUP(DH896/'🎚️ Escenario'!$C$11,0)))))</f>
        <v>0</v>
      </c>
      <c r="DI897" s="236" t="n">
        <f aca="false" t="array" ref="DI897:DI897">IF(DI896=0,0,IF(DI896/'🎚️ Escenario'!$C$11&gt;=36,$AL$23,INDEX($C$23:$AL$23,MAX(1,ROUNDUP(DI896/'🎚️ Escenario'!$C$11,0)))))</f>
        <v>0</v>
      </c>
      <c r="DJ897" s="236" t="n">
        <f aca="false" t="array" ref="DJ897:DJ897">IF(DJ896=0,0,IF(DJ896/'🎚️ Escenario'!$C$11&gt;=36,$AL$23,INDEX($C$23:$AL$23,MAX(1,ROUNDUP(DJ896/'🎚️ Escenario'!$C$11,0)))))</f>
        <v>0</v>
      </c>
      <c r="DK897" s="236" t="n">
        <f aca="false" t="array" ref="DK897:DK897">IF(DK896=0,0,IF(DK896/'🎚️ Escenario'!$C$11&gt;=36,$AL$23,INDEX($C$23:$AL$23,MAX(1,ROUNDUP(DK896/'🎚️ Escenario'!$C$11,0)))))</f>
        <v>0</v>
      </c>
      <c r="DL897" s="236" t="n">
        <f aca="false" t="array" ref="DL897:DL897">IF(DL896=0,0,IF(DL896/'🎚️ Escenario'!$C$11&gt;=36,$AL$23,INDEX($C$23:$AL$23,MAX(1,ROUNDUP(DL896/'🎚️ Escenario'!$C$11,0)))))</f>
        <v>0</v>
      </c>
      <c r="DM897" s="236" t="n">
        <f aca="false" t="array" ref="DM897:DM897">IF(DM896=0,0,IF(DM896/'🎚️ Escenario'!$C$11&gt;=36,$AL$23,INDEX($C$23:$AL$23,MAX(1,ROUNDUP(DM896/'🎚️ Escenario'!$C$11,0)))))</f>
        <v>0</v>
      </c>
      <c r="DN897" s="236" t="n">
        <f aca="false" t="array" ref="DN897:DN897">IF(DN896=0,0,IF(DN896/'🎚️ Escenario'!$C$11&gt;=36,$AL$23,INDEX($C$23:$AL$23,MAX(1,ROUNDUP(DN896/'🎚️ Escenario'!$C$11,0)))))</f>
        <v>0</v>
      </c>
      <c r="DO897" s="236" t="n">
        <f aca="false" t="array" ref="DO897:DO897">IF(DO896=0,0,IF(DO896/'🎚️ Escenario'!$C$11&gt;=36,$AL$23,INDEX($C$23:$AL$23,MAX(1,ROUNDUP(DO896/'🎚️ Escenario'!$C$11,0)))))</f>
        <v>0</v>
      </c>
      <c r="DP897" s="236" t="n">
        <f aca="false" t="array" ref="DP897:DP897">IF(DP896=0,0,IF(DP896/'🎚️ Escenario'!$C$11&gt;=36,$AL$23,INDEX($C$23:$AL$23,MAX(1,ROUNDUP(DP896/'🎚️ Escenario'!$C$11,0)))))</f>
        <v>0</v>
      </c>
      <c r="DQ897" s="236" t="n">
        <f aca="false" t="array" ref="DQ897:DQ897">IF(DQ896=0,0,IF(DQ896/'🎚️ Escenario'!$C$11&gt;=36,$AL$23,INDEX($C$23:$AL$23,MAX(1,ROUNDUP(DQ896/'🎚️ Escenario'!$C$11,0)))))</f>
        <v>0</v>
      </c>
      <c r="DR897" s="236" t="n">
        <f aca="false" t="array" ref="DR897:DR897">IF(DR896=0,0,IF(DR896/'🎚️ Escenario'!$C$11&gt;=36,$AL$23,INDEX($C$23:$AL$23,MAX(1,ROUNDUP(DR896/'🎚️ Escenario'!$C$11,0)))))</f>
        <v>0</v>
      </c>
      <c r="DS897" s="236" t="n">
        <f aca="false" t="array" ref="DS897:DS897">IF(DS896=0,0,IF(DS896/'🎚️ Escenario'!$C$11&gt;=36,$AL$23,INDEX($C$23:$AL$23,MAX(1,ROUNDUP(DS896/'🎚️ Escenario'!$C$11,0)))))</f>
        <v>0</v>
      </c>
      <c r="DT897" s="236" t="n">
        <f aca="false" t="array" ref="DT897:DT897">IF(DT896=0,0,IF(DT896/'🎚️ Escenario'!$C$11&gt;=36,$AL$23,INDEX($C$23:$AL$23,MAX(1,ROUNDUP(DT896/'🎚️ Escenario'!$C$11,0)))))</f>
        <v>0</v>
      </c>
      <c r="DU897" s="236" t="n">
        <f aca="false" t="array" ref="DU897:DU897">IF(DU896=0,0,IF(DU896/'🎚️ Escenario'!$C$11&gt;=36,$AL$23,INDEX($C$23:$AL$23,MAX(1,ROUNDUP(DU896/'🎚️ Escenario'!$C$11,0)))))</f>
        <v>0</v>
      </c>
      <c r="DV897" s="236" t="n">
        <f aca="false" t="array" ref="DV897:DV897">IF(DV896=0,0,IF(DV896/'🎚️ Escenario'!$C$11&gt;=36,$AL$23,INDEX($C$23:$AL$23,MAX(1,ROUNDUP(DV896/'🎚️ Escenario'!$C$11,0)))))</f>
        <v>0</v>
      </c>
      <c r="DW897" s="236" t="n">
        <f aca="false" t="array" ref="DW897:DW897">IF(DW896=0,0,IF(DW896/'🎚️ Escenario'!$C$11&gt;=36,$AL$23,INDEX($C$23:$AL$23,MAX(1,ROUNDUP(DW896/'🎚️ Escenario'!$C$11,0)))))</f>
        <v>0</v>
      </c>
      <c r="DX897" s="236" t="n">
        <f aca="false" t="array" ref="DX897:DX897">IF(DX896=0,0,IF(DX896/'🎚️ Escenario'!$C$11&gt;=36,$AL$23,INDEX($C$23:$AL$23,MAX(1,ROUNDUP(DX896/'🎚️ Escenario'!$C$11,0)))))</f>
        <v>0</v>
      </c>
      <c r="DY897" s="236" t="n">
        <f aca="false" t="array" ref="DY897:DY897">IF(DY896=0,0,IF(DY896/'🎚️ Escenario'!$C$11&gt;=36,$AL$23,INDEX($C$23:$AL$23,MAX(1,ROUNDUP(DY896/'🎚️ Escenario'!$C$11,0)))))</f>
        <v>0</v>
      </c>
      <c r="DZ897" s="236" t="n">
        <f aca="false" t="array" ref="DZ897:DZ897">IF(DZ896=0,0,IF(DZ896/'🎚️ Escenario'!$C$11&gt;=36,$AL$23,INDEX($C$23:$AL$23,MAX(1,ROUNDUP(DZ896/'🎚️ Escenario'!$C$11,0)))))</f>
        <v>0</v>
      </c>
      <c r="EA897" s="236" t="n">
        <f aca="false" t="array" ref="EA897:EA897">IF(EA896=0,0,IF(EA896/'🎚️ Escenario'!$C$11&gt;=36,$AL$23,INDEX($C$23:$AL$23,MAX(1,ROUNDUP(EA896/'🎚️ Escenario'!$C$11,0)))))</f>
        <v>0</v>
      </c>
      <c r="EB897" s="236" t="n">
        <f aca="false" t="array" ref="EB897:EB897">IF(EB896=0,0,IF(EB896/'🎚️ Escenario'!$C$11&gt;=36,$AL$23,INDEX($C$23:$AL$23,MAX(1,ROUNDUP(EB896/'🎚️ Escenario'!$C$11,0)))))</f>
        <v>0</v>
      </c>
      <c r="EC897" s="236" t="n">
        <f aca="false" t="array" ref="EC897:EC897">IF(EC896=0,0,IF(EC896/'🎚️ Escenario'!$C$11&gt;=36,$AL$23,INDEX($C$23:$AL$23,MAX(1,ROUNDUP(EC896/'🎚️ Escenario'!$C$11,0)))))</f>
        <v>0</v>
      </c>
      <c r="ED897" s="236" t="n">
        <f aca="false" t="array" ref="ED897:ED897">IF(ED896=0,0,IF(ED896/'🎚️ Escenario'!$C$11&gt;=36,$AL$23,INDEX($C$23:$AL$23,MAX(1,ROUNDUP(ED896/'🎚️ Escenario'!$C$11,0)))))</f>
        <v>0</v>
      </c>
      <c r="EE897" s="236" t="n">
        <f aca="false" t="array" ref="EE897:EE897">IF(EE896=0,0,IF(EE896/'🎚️ Escenario'!$C$11&gt;=36,$AL$23,INDEX($C$23:$AL$23,MAX(1,ROUNDUP(EE896/'🎚️ Escenario'!$C$11,0)))))</f>
        <v>0</v>
      </c>
      <c r="EF897" s="236" t="n">
        <f aca="false" t="array" ref="EF897:EF897">IF(EF896=0,0,IF(EF896/'🎚️ Escenario'!$C$11&gt;=36,$AL$23,INDEX($C$23:$AL$23,MAX(1,ROUNDUP(EF896/'🎚️ Escenario'!$C$11,0)))))</f>
        <v>0</v>
      </c>
      <c r="EG897" s="236" t="n">
        <f aca="false" t="array" ref="EG897:EG897">IF(EG896=0,0,IF(EG896/'🎚️ Escenario'!$C$11&gt;=36,$AL$23,INDEX($C$23:$AL$23,MAX(1,ROUNDUP(EG896/'🎚️ Escenario'!$C$11,0)))))</f>
        <v>0</v>
      </c>
      <c r="EH897" s="236" t="n">
        <f aca="false" t="array" ref="EH897:EH897">IF(EH896=0,0,IF(EH896/'🎚️ Escenario'!$C$11&gt;=36,$AL$23,INDEX($C$23:$AL$23,MAX(1,ROUNDUP(EH896/'🎚️ Escenario'!$C$11,0)))))</f>
        <v>0</v>
      </c>
      <c r="EI897" s="236" t="n">
        <f aca="false" t="array" ref="EI897:EI897">IF(EI896=0,0,IF(EI896/'🎚️ Escenario'!$C$11&gt;=36,$AL$23,INDEX($C$23:$AL$23,MAX(1,ROUNDUP(EI896/'🎚️ Escenario'!$C$11,0)))))</f>
        <v>0</v>
      </c>
      <c r="EJ897" s="236" t="n">
        <f aca="false" t="array" ref="EJ897:EJ897">IF(EJ896=0,0,IF(EJ896/'🎚️ Escenario'!$C$11&gt;=36,$AL$23,INDEX($C$23:$AL$23,MAX(1,ROUNDUP(EJ896/'🎚️ Escenario'!$C$11,0)))))</f>
        <v>0</v>
      </c>
      <c r="EK897" s="236" t="n">
        <f aca="false" t="array" ref="EK897:EK897">IF(EK896=0,0,IF(EK896/'🎚️ Escenario'!$C$11&gt;=36,$AL$23,INDEX($C$23:$AL$23,MAX(1,ROUNDUP(EK896/'🎚️ Escenario'!$C$11,0)))))</f>
        <v>0</v>
      </c>
      <c r="EL897" s="236" t="n">
        <f aca="false" t="array" ref="EL897:EL897">IF(EL896=0,0,IF(EL896/'🎚️ Escenario'!$C$11&gt;=36,$AL$23,INDEX($C$23:$AL$23,MAX(1,ROUNDUP(EL896/'🎚️ Escenario'!$C$11,0)))))</f>
        <v>0</v>
      </c>
      <c r="EM897" s="236" t="n">
        <f aca="false" t="array" ref="EM897:EM897">IF(EM896=0,0,IF(EM896/'🎚️ Escenario'!$C$11&gt;=36,$AL$23,INDEX($C$23:$AL$23,MAX(1,ROUNDUP(EM896/'🎚️ Escenario'!$C$11,0)))))</f>
        <v>0</v>
      </c>
      <c r="EN897" s="236" t="n">
        <f aca="false" t="array" ref="EN897:EN897">IF(EN896=0,0,IF(EN896/'🎚️ Escenario'!$C$11&gt;=36,$AL$23,INDEX($C$23:$AL$23,MAX(1,ROUNDUP(EN896/'🎚️ Escenario'!$C$11,0)))))</f>
        <v>0</v>
      </c>
      <c r="EO897" s="236" t="n">
        <f aca="false" t="array" ref="EO897:EO897">IF(EO896=0,0,IF(EO896/'🎚️ Escenario'!$C$11&gt;=36,$AL$23,INDEX($C$23:$AL$23,MAX(1,ROUNDUP(EO896/'🎚️ Escenario'!$C$11,0)))))</f>
        <v>0</v>
      </c>
      <c r="EP897" s="236" t="n">
        <f aca="false" t="array" ref="EP897:EP897">IF(EP896=0,0,IF(EP896/'🎚️ Escenario'!$C$11&gt;=36,$AL$23,INDEX($C$23:$AL$23,MAX(1,ROUNDUP(EP896/'🎚️ Escenario'!$C$11,0)))))</f>
        <v>0</v>
      </c>
      <c r="EQ897" s="236" t="n">
        <f aca="false" t="array" ref="EQ897:EQ897">IF(EQ896=0,0,IF(EQ896/'🎚️ Escenario'!$C$11&gt;=36,$AL$23,INDEX($C$23:$AL$23,MAX(1,ROUNDUP(EQ896/'🎚️ Escenario'!$C$11,0)))))</f>
        <v>0</v>
      </c>
      <c r="ER897" s="236" t="n">
        <f aca="false" t="array" ref="ER897:ER897">IF(ER896=0,0,IF(ER896/'🎚️ Escenario'!$C$11&gt;=36,$AL$23,INDEX($C$23:$AL$23,MAX(1,ROUNDUP(ER896/'🎚️ Escenario'!$C$11,0)))))</f>
        <v>0</v>
      </c>
      <c r="ES897" s="9" t="n">
        <f aca="false" t="array" ref="ES897:ES897">IF(ES896=0,0,IF(ES896/'🎚️ Escenario'!$C$11&gt;=36,$AL$23,INDEX($C$23:$AL$23,MAX(1,ROUNDUP(ES896/'🎚️ Escenario'!$C$11,0)))))</f>
        <v>0</v>
      </c>
      <c r="ET897" s="9" t="n">
        <f aca="false" t="array" ref="ET897:ET897">IF(ET896=0,0,IF(ET896/'🎚️ Escenario'!$C$11&gt;=36,$AL$23,INDEX($C$23:$AL$23,MAX(1,ROUNDUP(ET896/'🎚️ Escenario'!$C$11,0)))))</f>
        <v>0</v>
      </c>
      <c r="EU897" s="9" t="n">
        <f aca="false" t="array" ref="EU897:EU897">IF(EU896=0,0,IF(EU896/'🎚️ Escenario'!$C$11&gt;=36,$AL$23,INDEX($C$23:$AL$23,MAX(1,ROUNDUP(EU896/'🎚️ Escenario'!$C$11,0)))))</f>
        <v>0</v>
      </c>
      <c r="EV897" s="9" t="n">
        <f aca="false" t="array" ref="EV897:EV897">IF(EV896=0,0,IF(EV896/'🎚️ Escenario'!$C$11&gt;=36,$AL$23,INDEX($C$23:$AL$23,MAX(1,ROUNDUP(EV896/'🎚️ Escenario'!$C$11,0)))))</f>
        <v>0</v>
      </c>
      <c r="EW897" s="9" t="n">
        <f aca="false" t="array" ref="EW897:EW897">IF(EW896=0,0,IF(EW896/'🎚️ Escenario'!$C$11&gt;=36,$AL$23,INDEX($C$23:$AL$23,MAX(1,ROUNDUP(EW896/'🎚️ Escenario'!$C$11,0)))))</f>
        <v>0</v>
      </c>
      <c r="EX897" s="9" t="n">
        <f aca="false" t="array" ref="EX897:EX897">IF(EX896=0,0,IF(EX896/'🎚️ Escenario'!$C$11&gt;=36,$AL$23,INDEX($C$23:$AL$23,MAX(1,ROUNDUP(EX896/'🎚️ Escenario'!$C$11,0)))))</f>
        <v>0</v>
      </c>
      <c r="EY897" s="9" t="n">
        <f aca="false" t="array" ref="EY897:EY897">IF(EY896=0,0,IF(EY896/'🎚️ Escenario'!$C$11&gt;=36,$AL$23,INDEX($C$23:$AL$23,MAX(1,ROUNDUP(EY896/'🎚️ Escenario'!$C$11,0)))))</f>
        <v>0</v>
      </c>
      <c r="EZ897" s="9" t="n">
        <f aca="false" t="array" ref="EZ897:EZ897">IF(EZ896=0,0,IF(EZ896/'🎚️ Escenario'!$C$11&gt;=36,$AL$23,INDEX($C$23:$AL$23,MAX(1,ROUNDUP(EZ896/'🎚️ Escenario'!$C$11,0)))))</f>
        <v>0</v>
      </c>
      <c r="FA897" s="9" t="n">
        <f aca="false" t="array" ref="FA897:FA897">IF(FA896=0,0,IF(FA896/'🎚️ Escenario'!$C$11&gt;=36,$AL$23,INDEX($C$23:$AL$23,MAX(1,ROUNDUP(FA896/'🎚️ Escenario'!$C$11,0)))))</f>
        <v>0</v>
      </c>
      <c r="FB897" s="9" t="n">
        <f aca="false" t="array" ref="FB897:FB897">IF(FB896=0,0,IF(FB896/'🎚️ Escenario'!$C$11&gt;=36,$AL$23,INDEX($C$23:$AL$23,MAX(1,ROUNDUP(FB896/'🎚️ Escenario'!$C$11,0)))))</f>
        <v>0</v>
      </c>
      <c r="FC897" s="9" t="n">
        <f aca="false" t="array" ref="FC897:FC897">IF(FC896=0,0,IF(FC896/'🎚️ Escenario'!$C$11&gt;=36,$AL$23,INDEX($C$23:$AL$23,MAX(1,ROUNDUP(FC896/'🎚️ Escenario'!$C$11,0)))))</f>
        <v>0</v>
      </c>
      <c r="FD897" s="9" t="n">
        <f aca="false" t="array" ref="FD897:FD897">IF(FD896=0,0,IF(FD896/'🎚️ Escenario'!$C$11&gt;=36,$AL$23,INDEX($C$23:$AL$23,MAX(1,ROUNDUP(FD896/'🎚️ Escenario'!$C$11,0)))))</f>
        <v>0</v>
      </c>
      <c r="FE897" s="9" t="n">
        <f aca="false" t="array" ref="FE897:FE897">IF(FE896=0,0,IF(FE896/'🎚️ Escenario'!$C$11&gt;=36,$AL$23,INDEX($C$23:$AL$23,MAX(1,ROUNDUP(FE896/'🎚️ Escenario'!$C$11,0)))))</f>
        <v>0</v>
      </c>
      <c r="FF897" s="9" t="n">
        <f aca="false" t="array" ref="FF897:FF897">IF(FF896=0,0,IF(FF896/'🎚️ Escenario'!$C$11&gt;=36,$AL$23,INDEX($C$23:$AL$23,MAX(1,ROUNDUP(FF896/'🎚️ Escenario'!$C$11,0)))))</f>
        <v>0</v>
      </c>
      <c r="FG897" s="9" t="n">
        <f aca="false" t="array" ref="FG897:FG897">IF(FG896=0,0,IF(FG896/'🎚️ Escenario'!$C$11&gt;=36,$AL$23,INDEX($C$23:$AL$23,MAX(1,ROUNDUP(FG896/'🎚️ Escenario'!$C$11,0)))))</f>
        <v>0</v>
      </c>
      <c r="FH897" s="9" t="n">
        <f aca="false" t="array" ref="FH897:FH897">IF(FH896=0,0,IF(FH896/'🎚️ Escenario'!$C$11&gt;=36,$AL$23,INDEX($C$23:$AL$23,MAX(1,ROUNDUP(FH896/'🎚️ Escenario'!$C$11,0)))))</f>
        <v>0</v>
      </c>
      <c r="FI897" s="9" t="n">
        <f aca="false" t="array" ref="FI897:FI897">IF(FI896=0,0,IF(FI896/'🎚️ Escenario'!$C$11&gt;=36,$AL$23,INDEX($C$23:$AL$23,MAX(1,ROUNDUP(FI896/'🎚️ Escenario'!$C$11,0)))))</f>
        <v>0</v>
      </c>
      <c r="FJ897" s="9" t="n">
        <f aca="false" t="array" ref="FJ897:FJ897">IF(FJ896=0,0,IF(FJ896/'🎚️ Escenario'!$C$11&gt;=36,$AL$23,INDEX($C$23:$AL$23,MAX(1,ROUNDUP(FJ896/'🎚️ Escenario'!$C$11,0)))))</f>
        <v>0</v>
      </c>
      <c r="FK897" s="9" t="n">
        <f aca="false" t="array" ref="FK897:FK897">IF(FK896=0,0,IF(FK896/'🎚️ Escenario'!$C$11&gt;=36,$AL$23,INDEX($C$23:$AL$23,MAX(1,ROUNDUP(FK896/'🎚️ Escenario'!$C$11,0)))))</f>
        <v>0</v>
      </c>
      <c r="FL897" s="9" t="n">
        <f aca="false" t="array" ref="FL897:FL897">IF(FL896=0,0,IF(FL896/'🎚️ Escenario'!$C$11&gt;=36,$AL$23,INDEX($C$23:$AL$23,MAX(1,ROUNDUP(FL896/'🎚️ Escenario'!$C$11,0)))))</f>
        <v>0</v>
      </c>
      <c r="FM897" s="9" t="n">
        <f aca="false" t="array" ref="FM897:FM897">IF(FM896=0,0,IF(FM896/'🎚️ Escenario'!$C$11&gt;=36,$AL$23,INDEX($C$23:$AL$23,MAX(1,ROUNDUP(FM896/'🎚️ Escenario'!$C$11,0)))))</f>
        <v>0</v>
      </c>
      <c r="FN897" s="9" t="n">
        <f aca="false" t="array" ref="FN897:FN897">IF(FN896=0,0,IF(FN896/'🎚️ Escenario'!$C$11&gt;=36,$AL$23,INDEX($C$23:$AL$23,MAX(1,ROUNDUP(FN896/'🎚️ Escenario'!$C$11,0)))))</f>
        <v>0.2</v>
      </c>
      <c r="FO897" s="9" t="n">
        <f aca="false" t="array" ref="FO897:FO897">IF(FO896=0,0,IF(FO896/'🎚️ Escenario'!$C$11&gt;=36,$AL$23,INDEX($C$23:$AL$23,MAX(1,ROUNDUP(FO896/'🎚️ Escenario'!$C$11,0)))))</f>
        <v>0.22</v>
      </c>
      <c r="FP897" s="9" t="n">
        <f aca="false" t="array" ref="FP897:FP897">IF(FP896=0,0,IF(FP896/'🎚️ Escenario'!$C$11&gt;=36,$AL$23,INDEX($C$23:$AL$23,MAX(1,ROUNDUP(FP896/'🎚️ Escenario'!$C$11,0)))))</f>
        <v>0.24</v>
      </c>
    </row>
    <row r="898" customFormat="false" ht="15" hidden="false" customHeight="false" outlineLevel="2" collapsed="false">
      <c r="B898" s="9" t="s">
        <v>875</v>
      </c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237" t="n">
        <f aca="false">IF(AC896=0,0,IF(AC896&lt;=12*'🎚️ Escenario'!$C$11,1,1+$C$6))</f>
        <v>0</v>
      </c>
      <c r="AD898" s="237" t="n">
        <f aca="false">IF(AD896=0,0,IF(AD896&lt;=12*'🎚️ Escenario'!$C$11,1,1+$C$6))</f>
        <v>0</v>
      </c>
      <c r="AE898" s="237" t="n">
        <f aca="false">IF(AE896=0,0,IF(AE896&lt;=12*'🎚️ Escenario'!$C$11,1,1+$C$6))</f>
        <v>0</v>
      </c>
      <c r="AF898" s="237" t="n">
        <f aca="false">IF(AF896=0,0,IF(AF896&lt;=12*'🎚️ Escenario'!$C$11,1,1+$C$6))</f>
        <v>0</v>
      </c>
      <c r="AG898" s="237" t="n">
        <f aca="false">IF(AG896=0,0,IF(AG896&lt;=12*'🎚️ Escenario'!$C$11,1,1+$C$6))</f>
        <v>0</v>
      </c>
      <c r="AH898" s="237" t="n">
        <f aca="false">IF(AH896=0,0,IF(AH896&lt;=12*'🎚️ Escenario'!$C$11,1,1+$C$6))</f>
        <v>0</v>
      </c>
      <c r="AI898" s="237" t="n">
        <f aca="false">IF(AI896=0,0,IF(AI896&lt;=12*'🎚️ Escenario'!$C$11,1,1+$C$6))</f>
        <v>0</v>
      </c>
      <c r="AJ898" s="237" t="n">
        <f aca="false">IF(AJ896=0,0,IF(AJ896&lt;=12*'🎚️ Escenario'!$C$11,1,1+$C$6))</f>
        <v>0</v>
      </c>
      <c r="AK898" s="237" t="n">
        <f aca="false">IF(AK896=0,0,IF(AK896&lt;=12*'🎚️ Escenario'!$C$11,1,1+$C$6))</f>
        <v>0</v>
      </c>
      <c r="AL898" s="237" t="n">
        <f aca="false">IF(AL896=0,0,IF(AL896&lt;=12*'🎚️ Escenario'!$C$11,1,1+$C$6))</f>
        <v>0</v>
      </c>
      <c r="AM898" s="237" t="n">
        <f aca="false">IF(AM896=0,0,IF(AM896&lt;=12*'🎚️ Escenario'!$C$11,1,1+$C$6))</f>
        <v>0</v>
      </c>
      <c r="AN898" s="237" t="n">
        <f aca="false">IF(AN896=0,0,IF(AN896&lt;=12*'🎚️ Escenario'!$C$11,1,1+$C$6))</f>
        <v>0</v>
      </c>
      <c r="AO898" s="237" t="n">
        <f aca="false">IF(AO896=0,0,IF(AO896&lt;=12*'🎚️ Escenario'!$C$11,1,1+$C$6))</f>
        <v>0</v>
      </c>
      <c r="AP898" s="237" t="n">
        <f aca="false">IF(AP896=0,0,IF(AP896&lt;=12*'🎚️ Escenario'!$C$11,1,1+$C$6))</f>
        <v>0</v>
      </c>
      <c r="AQ898" s="237" t="n">
        <f aca="false">IF(AQ896=0,0,IF(AQ896&lt;=12*'🎚️ Escenario'!$C$11,1,1+$C$6))</f>
        <v>0</v>
      </c>
      <c r="AR898" s="237" t="n">
        <f aca="false">IF(AR896=0,0,IF(AR896&lt;=12*'🎚️ Escenario'!$C$11,1,1+$C$6))</f>
        <v>0</v>
      </c>
      <c r="AS898" s="237" t="n">
        <f aca="false">IF(AS896=0,0,IF(AS896&lt;=12*'🎚️ Escenario'!$C$11,1,1+$C$6))</f>
        <v>0</v>
      </c>
      <c r="AT898" s="237" t="n">
        <f aca="false">IF(AT896=0,0,IF(AT896&lt;=12*'🎚️ Escenario'!$C$11,1,1+$C$6))</f>
        <v>0</v>
      </c>
      <c r="AU898" s="237" t="n">
        <f aca="false">IF(AU896=0,0,IF(AU896&lt;=12*'🎚️ Escenario'!$C$11,1,1+$C$6))</f>
        <v>0</v>
      </c>
      <c r="AV898" s="237" t="n">
        <f aca="false">IF(AV896=0,0,IF(AV896&lt;=12*'🎚️ Escenario'!$C$11,1,1+$C$6))</f>
        <v>0</v>
      </c>
      <c r="AW898" s="237" t="n">
        <f aca="false">IF(AW896=0,0,IF(AW896&lt;=12*'🎚️ Escenario'!$C$11,1,1+$C$6))</f>
        <v>0</v>
      </c>
      <c r="AX898" s="237" t="n">
        <f aca="false">IF(AX896=0,0,IF(AX896&lt;=12*'🎚️ Escenario'!$C$11,1,1+$C$6))</f>
        <v>0</v>
      </c>
      <c r="AY898" s="237" t="n">
        <f aca="false">IF(AY896=0,0,IF(AY896&lt;=12*'🎚️ Escenario'!$C$11,1,1+$C$6))</f>
        <v>0</v>
      </c>
      <c r="AZ898" s="237" t="n">
        <f aca="false">IF(AZ896=0,0,IF(AZ896&lt;=12*'🎚️ Escenario'!$C$11,1,1+$C$6))</f>
        <v>0</v>
      </c>
      <c r="BA898" s="237" t="n">
        <f aca="false">IF(BA896=0,0,IF(BA896&lt;=12*'🎚️ Escenario'!$C$11,1,1+$C$6))</f>
        <v>0</v>
      </c>
      <c r="BB898" s="237" t="n">
        <f aca="false">IF(BB896=0,0,IF(BB896&lt;=12*'🎚️ Escenario'!$C$11,1,1+$C$6))</f>
        <v>0</v>
      </c>
      <c r="BC898" s="237" t="n">
        <f aca="false">IF(BC896=0,0,IF(BC896&lt;=12*'🎚️ Escenario'!$C$11,1,1+$C$6))</f>
        <v>0</v>
      </c>
      <c r="BD898" s="237" t="n">
        <f aca="false">IF(BD896=0,0,IF(BD896&lt;=12*'🎚️ Escenario'!$C$11,1,1+$C$6))</f>
        <v>0</v>
      </c>
      <c r="BE898" s="237" t="n">
        <f aca="false">IF(BE896=0,0,IF(BE896&lt;=12*'🎚️ Escenario'!$C$11,1,1+$C$6))</f>
        <v>0</v>
      </c>
      <c r="BF898" s="237" t="n">
        <f aca="false">IF(BF896=0,0,IF(BF896&lt;=12*'🎚️ Escenario'!$C$11,1,1+$C$6))</f>
        <v>0</v>
      </c>
      <c r="BG898" s="237" t="n">
        <f aca="false">IF(BG896=0,0,IF(BG896&lt;=12*'🎚️ Escenario'!$C$11,1,1+$C$6))</f>
        <v>0</v>
      </c>
      <c r="BH898" s="237" t="n">
        <f aca="false">IF(BH896=0,0,IF(BH896&lt;=12*'🎚️ Escenario'!$C$11,1,1+$C$6))</f>
        <v>0</v>
      </c>
      <c r="BI898" s="237" t="n">
        <f aca="false">IF(BI896=0,0,IF(BI896&lt;=12*'🎚️ Escenario'!$C$11,1,1+$C$6))</f>
        <v>0</v>
      </c>
      <c r="BJ898" s="237" t="n">
        <f aca="false">IF(BJ896=0,0,IF(BJ896&lt;=12*'🎚️ Escenario'!$C$11,1,1+$C$6))</f>
        <v>0</v>
      </c>
      <c r="BK898" s="237" t="n">
        <f aca="false">IF(BK896=0,0,IF(BK896&lt;=12*'🎚️ Escenario'!$C$11,1,1+$C$6))</f>
        <v>0</v>
      </c>
      <c r="BL898" s="237" t="n">
        <f aca="false">IF(BL896=0,0,IF(BL896&lt;=12*'🎚️ Escenario'!$C$11,1,1+$C$6))</f>
        <v>0</v>
      </c>
      <c r="BM898" s="237" t="n">
        <f aca="false">IF(BM896=0,0,IF(BM896&lt;=12*'🎚️ Escenario'!$C$11,1,1+$C$6))</f>
        <v>0</v>
      </c>
      <c r="BN898" s="237" t="n">
        <f aca="false">IF(BN896=0,0,IF(BN896&lt;=12*'🎚️ Escenario'!$C$11,1,1+$C$6))</f>
        <v>0</v>
      </c>
      <c r="BO898" s="237" t="n">
        <f aca="false">IF(BO896=0,0,IF(BO896&lt;=12*'🎚️ Escenario'!$C$11,1,1+$C$6))</f>
        <v>0</v>
      </c>
      <c r="BP898" s="237" t="n">
        <f aca="false">IF(BP896=0,0,IF(BP896&lt;=12*'🎚️ Escenario'!$C$11,1,1+$C$6))</f>
        <v>0</v>
      </c>
      <c r="BQ898" s="237" t="n">
        <f aca="false">IF(BQ896=0,0,IF(BQ896&lt;=12*'🎚️ Escenario'!$C$11,1,1+$C$6))</f>
        <v>0</v>
      </c>
      <c r="BR898" s="237" t="n">
        <f aca="false">IF(BR896=0,0,IF(BR896&lt;=12*'🎚️ Escenario'!$C$11,1,1+$C$6))</f>
        <v>0</v>
      </c>
      <c r="BS898" s="237" t="n">
        <f aca="false">IF(BS896=0,0,IF(BS896&lt;=12*'🎚️ Escenario'!$C$11,1,1+$C$6))</f>
        <v>0</v>
      </c>
      <c r="BT898" s="237" t="n">
        <f aca="false">IF(BT896=0,0,IF(BT896&lt;=12*'🎚️ Escenario'!$C$11,1,1+$C$6))</f>
        <v>0</v>
      </c>
      <c r="BU898" s="237" t="n">
        <f aca="false">IF(BU896=0,0,IF(BU896&lt;=12*'🎚️ Escenario'!$C$11,1,1+$C$6))</f>
        <v>0</v>
      </c>
      <c r="BV898" s="237" t="n">
        <f aca="false">IF(BV896=0,0,IF(BV896&lt;=12*'🎚️ Escenario'!$C$11,1,1+$C$6))</f>
        <v>0</v>
      </c>
      <c r="BW898" s="237" t="n">
        <f aca="false">IF(BW896=0,0,IF(BW896&lt;=12*'🎚️ Escenario'!$C$11,1,1+$C$6))</f>
        <v>0</v>
      </c>
      <c r="BX898" s="237" t="n">
        <f aca="false">IF(BX896=0,0,IF(BX896&lt;=12*'🎚️ Escenario'!$C$11,1,1+$C$6))</f>
        <v>0</v>
      </c>
      <c r="BY898" s="237" t="n">
        <f aca="false">IF(BY896=0,0,IF(BY896&lt;=12*'🎚️ Escenario'!$C$11,1,1+$C$6))</f>
        <v>0</v>
      </c>
      <c r="BZ898" s="237" t="n">
        <f aca="false">IF(BZ896=0,0,IF(BZ896&lt;=12*'🎚️ Escenario'!$C$11,1,1+$C$6))</f>
        <v>0</v>
      </c>
      <c r="CA898" s="237" t="n">
        <f aca="false">IF(CA896=0,0,IF(CA896&lt;=12*'🎚️ Escenario'!$C$11,1,1+$C$6))</f>
        <v>0</v>
      </c>
      <c r="CB898" s="237" t="n">
        <f aca="false">IF(CB896=0,0,IF(CB896&lt;=12*'🎚️ Escenario'!$C$11,1,1+$C$6))</f>
        <v>0</v>
      </c>
      <c r="CC898" s="237" t="n">
        <f aca="false">IF(CC896=0,0,IF(CC896&lt;=12*'🎚️ Escenario'!$C$11,1,1+$C$6))</f>
        <v>0</v>
      </c>
      <c r="CD898" s="237" t="n">
        <f aca="false">IF(CD896=0,0,IF(CD896&lt;=12*'🎚️ Escenario'!$C$11,1,1+$C$6))</f>
        <v>0</v>
      </c>
      <c r="CE898" s="237" t="n">
        <f aca="false">IF(CE896=0,0,IF(CE896&lt;=12*'🎚️ Escenario'!$C$11,1,1+$C$6))</f>
        <v>0</v>
      </c>
      <c r="CF898" s="237" t="n">
        <f aca="false">IF(CF896=0,0,IF(CF896&lt;=12*'🎚️ Escenario'!$C$11,1,1+$C$6))</f>
        <v>0</v>
      </c>
      <c r="CG898" s="237" t="n">
        <f aca="false">IF(CG896=0,0,IF(CG896&lt;=12*'🎚️ Escenario'!$C$11,1,1+$C$6))</f>
        <v>0</v>
      </c>
      <c r="CH898" s="237" t="n">
        <f aca="false">IF(CH896=0,0,IF(CH896&lt;=12*'🎚️ Escenario'!$C$11,1,1+$C$6))</f>
        <v>0</v>
      </c>
      <c r="CI898" s="237" t="n">
        <f aca="false">IF(CI896=0,0,IF(CI896&lt;=12*'🎚️ Escenario'!$C$11,1,1+$C$6))</f>
        <v>0</v>
      </c>
      <c r="CJ898" s="237" t="n">
        <f aca="false">IF(CJ896=0,0,IF(CJ896&lt;=12*'🎚️ Escenario'!$C$11,1,1+$C$6))</f>
        <v>0</v>
      </c>
      <c r="CK898" s="237" t="n">
        <f aca="false">IF(CK896=0,0,IF(CK896&lt;=12*'🎚️ Escenario'!$C$11,1,1+$C$6))</f>
        <v>0</v>
      </c>
      <c r="CL898" s="237" t="n">
        <f aca="false">IF(CL896=0,0,IF(CL896&lt;=12*'🎚️ Escenario'!$C$11,1,1+$C$6))</f>
        <v>0</v>
      </c>
      <c r="CM898" s="237" t="n">
        <f aca="false">IF(CM896=0,0,IF(CM896&lt;=12*'🎚️ Escenario'!$C$11,1,1+$C$6))</f>
        <v>0</v>
      </c>
      <c r="CN898" s="237" t="n">
        <f aca="false">IF(CN896=0,0,IF(CN896&lt;=12*'🎚️ Escenario'!$C$11,1,1+$C$6))</f>
        <v>0</v>
      </c>
      <c r="CO898" s="237" t="n">
        <f aca="false">IF(CO896=0,0,IF(CO896&lt;=12*'🎚️ Escenario'!$C$11,1,1+$C$6))</f>
        <v>0</v>
      </c>
      <c r="CP898" s="237" t="n">
        <f aca="false">IF(CP896=0,0,IF(CP896&lt;=12*'🎚️ Escenario'!$C$11,1,1+$C$6))</f>
        <v>0</v>
      </c>
      <c r="CQ898" s="237" t="n">
        <f aca="false">IF(CQ896=0,0,IF(CQ896&lt;=12*'🎚️ Escenario'!$C$11,1,1+$C$6))</f>
        <v>0</v>
      </c>
      <c r="CR898" s="237" t="n">
        <f aca="false">IF(CR896=0,0,IF(CR896&lt;=12*'🎚️ Escenario'!$C$11,1,1+$C$6))</f>
        <v>0</v>
      </c>
      <c r="CS898" s="237" t="n">
        <f aca="false">IF(CS896=0,0,IF(CS896&lt;=12*'🎚️ Escenario'!$C$11,1,1+$C$6))</f>
        <v>0</v>
      </c>
      <c r="CT898" s="237" t="n">
        <f aca="false">IF(CT896=0,0,IF(CT896&lt;=12*'🎚️ Escenario'!$C$11,1,1+$C$6))</f>
        <v>0</v>
      </c>
      <c r="CU898" s="237" t="n">
        <f aca="false">IF(CU896=0,0,IF(CU896&lt;=12*'🎚️ Escenario'!$C$11,1,1+$C$6))</f>
        <v>0</v>
      </c>
      <c r="CV898" s="237" t="n">
        <f aca="false">IF(CV896=0,0,IF(CV896&lt;=12*'🎚️ Escenario'!$C$11,1,1+$C$6))</f>
        <v>0</v>
      </c>
      <c r="CW898" s="237" t="n">
        <f aca="false">IF(CW896=0,0,IF(CW896&lt;=12*'🎚️ Escenario'!$C$11,1,1+$C$6))</f>
        <v>0</v>
      </c>
      <c r="CX898" s="237" t="n">
        <f aca="false">IF(CX896=0,0,IF(CX896&lt;=12*'🎚️ Escenario'!$C$11,1,1+$C$6))</f>
        <v>0</v>
      </c>
      <c r="CY898" s="237" t="n">
        <f aca="false">IF(CY896=0,0,IF(CY896&lt;=12*'🎚️ Escenario'!$C$11,1,1+$C$6))</f>
        <v>0</v>
      </c>
      <c r="CZ898" s="237" t="n">
        <f aca="false">IF(CZ896=0,0,IF(CZ896&lt;=12*'🎚️ Escenario'!$C$11,1,1+$C$6))</f>
        <v>0</v>
      </c>
      <c r="DA898" s="237" t="n">
        <f aca="false">IF(DA896=0,0,IF(DA896&lt;=12*'🎚️ Escenario'!$C$11,1,1+$C$6))</f>
        <v>0</v>
      </c>
      <c r="DB898" s="237" t="n">
        <f aca="false">IF(DB896=0,0,IF(DB896&lt;=12*'🎚️ Escenario'!$C$11,1,1+$C$6))</f>
        <v>0</v>
      </c>
      <c r="DC898" s="237" t="n">
        <f aca="false">IF(DC896=0,0,IF(DC896&lt;=12*'🎚️ Escenario'!$C$11,1,1+$C$6))</f>
        <v>0</v>
      </c>
      <c r="DD898" s="237" t="n">
        <f aca="false">IF(DD896=0,0,IF(DD896&lt;=12*'🎚️ Escenario'!$C$11,1,1+$C$6))</f>
        <v>0</v>
      </c>
      <c r="DE898" s="237" t="n">
        <f aca="false">IF(DE896=0,0,IF(DE896&lt;=12*'🎚️ Escenario'!$C$11,1,1+$C$6))</f>
        <v>0</v>
      </c>
      <c r="DF898" s="237" t="n">
        <f aca="false">IF(DF896=0,0,IF(DF896&lt;=12*'🎚️ Escenario'!$C$11,1,1+$C$6))</f>
        <v>0</v>
      </c>
      <c r="DG898" s="237" t="n">
        <f aca="false">IF(DG896=0,0,IF(DG896&lt;=12*'🎚️ Escenario'!$C$11,1,1+$C$6))</f>
        <v>0</v>
      </c>
      <c r="DH898" s="237" t="n">
        <f aca="false">IF(DH896=0,0,IF(DH896&lt;=12*'🎚️ Escenario'!$C$11,1,1+$C$6))</f>
        <v>0</v>
      </c>
      <c r="DI898" s="237" t="n">
        <f aca="false">IF(DI896=0,0,IF(DI896&lt;=12*'🎚️ Escenario'!$C$11,1,1+$C$6))</f>
        <v>0</v>
      </c>
      <c r="DJ898" s="237" t="n">
        <f aca="false">IF(DJ896=0,0,IF(DJ896&lt;=12*'🎚️ Escenario'!$C$11,1,1+$C$6))</f>
        <v>0</v>
      </c>
      <c r="DK898" s="237" t="n">
        <f aca="false">IF(DK896=0,0,IF(DK896&lt;=12*'🎚️ Escenario'!$C$11,1,1+$C$6))</f>
        <v>0</v>
      </c>
      <c r="DL898" s="237" t="n">
        <f aca="false">IF(DL896=0,0,IF(DL896&lt;=12*'🎚️ Escenario'!$C$11,1,1+$C$6))</f>
        <v>0</v>
      </c>
      <c r="DM898" s="237" t="n">
        <f aca="false">IF(DM896=0,0,IF(DM896&lt;=12*'🎚️ Escenario'!$C$11,1,1+$C$6))</f>
        <v>0</v>
      </c>
      <c r="DN898" s="237" t="n">
        <f aca="false">IF(DN896=0,0,IF(DN896&lt;=12*'🎚️ Escenario'!$C$11,1,1+$C$6))</f>
        <v>0</v>
      </c>
      <c r="DO898" s="237" t="n">
        <f aca="false">IF(DO896=0,0,IF(DO896&lt;=12*'🎚️ Escenario'!$C$11,1,1+$C$6))</f>
        <v>0</v>
      </c>
      <c r="DP898" s="237" t="n">
        <f aca="false">IF(DP896=0,0,IF(DP896&lt;=12*'🎚️ Escenario'!$C$11,1,1+$C$6))</f>
        <v>0</v>
      </c>
      <c r="DQ898" s="237" t="n">
        <f aca="false">IF(DQ896=0,0,IF(DQ896&lt;=12*'🎚️ Escenario'!$C$11,1,1+$C$6))</f>
        <v>0</v>
      </c>
      <c r="DR898" s="237" t="n">
        <f aca="false">IF(DR896=0,0,IF(DR896&lt;=12*'🎚️ Escenario'!$C$11,1,1+$C$6))</f>
        <v>0</v>
      </c>
      <c r="DS898" s="237" t="n">
        <f aca="false">IF(DS896=0,0,IF(DS896&lt;=12*'🎚️ Escenario'!$C$11,1,1+$C$6))</f>
        <v>0</v>
      </c>
      <c r="DT898" s="237" t="n">
        <f aca="false">IF(DT896=0,0,IF(DT896&lt;=12*'🎚️ Escenario'!$C$11,1,1+$C$6))</f>
        <v>0</v>
      </c>
      <c r="DU898" s="237" t="n">
        <f aca="false">IF(DU896=0,0,IF(DU896&lt;=12*'🎚️ Escenario'!$C$11,1,1+$C$6))</f>
        <v>0</v>
      </c>
      <c r="DV898" s="237" t="n">
        <f aca="false">IF(DV896=0,0,IF(DV896&lt;=12*'🎚️ Escenario'!$C$11,1,1+$C$6))</f>
        <v>0</v>
      </c>
      <c r="DW898" s="237" t="n">
        <f aca="false">IF(DW896=0,0,IF(DW896&lt;=12*'🎚️ Escenario'!$C$11,1,1+$C$6))</f>
        <v>0</v>
      </c>
      <c r="DX898" s="237" t="n">
        <f aca="false">IF(DX896=0,0,IF(DX896&lt;=12*'🎚️ Escenario'!$C$11,1,1+$C$6))</f>
        <v>0</v>
      </c>
      <c r="DY898" s="237" t="n">
        <f aca="false">IF(DY896=0,0,IF(DY896&lt;=12*'🎚️ Escenario'!$C$11,1,1+$C$6))</f>
        <v>0</v>
      </c>
      <c r="DZ898" s="237" t="n">
        <f aca="false">IF(DZ896=0,0,IF(DZ896&lt;=12*'🎚️ Escenario'!$C$11,1,1+$C$6))</f>
        <v>0</v>
      </c>
      <c r="EA898" s="237" t="n">
        <f aca="false">IF(EA896=0,0,IF(EA896&lt;=12*'🎚️ Escenario'!$C$11,1,1+$C$6))</f>
        <v>0</v>
      </c>
      <c r="EB898" s="237" t="n">
        <f aca="false">IF(EB896=0,0,IF(EB896&lt;=12*'🎚️ Escenario'!$C$11,1,1+$C$6))</f>
        <v>0</v>
      </c>
      <c r="EC898" s="237" t="n">
        <f aca="false">IF(EC896=0,0,IF(EC896&lt;=12*'🎚️ Escenario'!$C$11,1,1+$C$6))</f>
        <v>0</v>
      </c>
      <c r="ED898" s="237" t="n">
        <f aca="false">IF(ED896=0,0,IF(ED896&lt;=12*'🎚️ Escenario'!$C$11,1,1+$C$6))</f>
        <v>0</v>
      </c>
      <c r="EE898" s="237" t="n">
        <f aca="false">IF(EE896=0,0,IF(EE896&lt;=12*'🎚️ Escenario'!$C$11,1,1+$C$6))</f>
        <v>0</v>
      </c>
      <c r="EF898" s="237" t="n">
        <f aca="false">IF(EF896=0,0,IF(EF896&lt;=12*'🎚️ Escenario'!$C$11,1,1+$C$6))</f>
        <v>0</v>
      </c>
      <c r="EG898" s="237" t="n">
        <f aca="false">IF(EG896=0,0,IF(EG896&lt;=12*'🎚️ Escenario'!$C$11,1,1+$C$6))</f>
        <v>0</v>
      </c>
      <c r="EH898" s="237" t="n">
        <f aca="false">IF(EH896=0,0,IF(EH896&lt;=12*'🎚️ Escenario'!$C$11,1,1+$C$6))</f>
        <v>0</v>
      </c>
      <c r="EI898" s="237" t="n">
        <f aca="false">IF(EI896=0,0,IF(EI896&lt;=12*'🎚️ Escenario'!$C$11,1,1+$C$6))</f>
        <v>0</v>
      </c>
      <c r="EJ898" s="237" t="n">
        <f aca="false">IF(EJ896=0,0,IF(EJ896&lt;=12*'🎚️ Escenario'!$C$11,1,1+$C$6))</f>
        <v>0</v>
      </c>
      <c r="EK898" s="237" t="n">
        <f aca="false">IF(EK896=0,0,IF(EK896&lt;=12*'🎚️ Escenario'!$C$11,1,1+$C$6))</f>
        <v>0</v>
      </c>
      <c r="EL898" s="237" t="n">
        <f aca="false">IF(EL896=0,0,IF(EL896&lt;=12*'🎚️ Escenario'!$C$11,1,1+$C$6))</f>
        <v>0</v>
      </c>
      <c r="EM898" s="237" t="n">
        <f aca="false">IF(EM896=0,0,IF(EM896&lt;=12*'🎚️ Escenario'!$C$11,1,1+$C$6))</f>
        <v>0</v>
      </c>
      <c r="EN898" s="237" t="n">
        <f aca="false">IF(EN896=0,0,IF(EN896&lt;=12*'🎚️ Escenario'!$C$11,1,1+$C$6))</f>
        <v>0</v>
      </c>
      <c r="EO898" s="237" t="n">
        <f aca="false">IF(EO896=0,0,IF(EO896&lt;=12*'🎚️ Escenario'!$C$11,1,1+$C$6))</f>
        <v>0</v>
      </c>
      <c r="EP898" s="237" t="n">
        <f aca="false">IF(EP896=0,0,IF(EP896&lt;=12*'🎚️ Escenario'!$C$11,1,1+$C$6))</f>
        <v>0</v>
      </c>
      <c r="EQ898" s="237" t="n">
        <f aca="false">IF(EQ896=0,0,IF(EQ896&lt;=12*'🎚️ Escenario'!$C$11,1,1+$C$6))</f>
        <v>0</v>
      </c>
      <c r="ER898" s="237" t="n">
        <f aca="false">IF(ER896=0,0,IF(ER896&lt;=12*'🎚️ Escenario'!$C$11,1,1+$C$6))</f>
        <v>0</v>
      </c>
      <c r="ES898" s="9" t="n">
        <f aca="false">IF(ES896=0,0,IF(ES896&lt;=12*'🎚️ Escenario'!$C$11,1,1+$C$6))</f>
        <v>0</v>
      </c>
      <c r="ET898" s="9" t="n">
        <f aca="false">IF(ET896=0,0,IF(ET896&lt;=12*'🎚️ Escenario'!$C$11,1,1+$C$6))</f>
        <v>0</v>
      </c>
      <c r="EU898" s="9" t="n">
        <f aca="false">IF(EU896=0,0,IF(EU896&lt;=12*'🎚️ Escenario'!$C$11,1,1+$C$6))</f>
        <v>0</v>
      </c>
      <c r="EV898" s="9" t="n">
        <f aca="false">IF(EV896=0,0,IF(EV896&lt;=12*'🎚️ Escenario'!$C$11,1,1+$C$6))</f>
        <v>0</v>
      </c>
      <c r="EW898" s="9" t="n">
        <f aca="false">IF(EW896=0,0,IF(EW896&lt;=12*'🎚️ Escenario'!$C$11,1,1+$C$6))</f>
        <v>0</v>
      </c>
      <c r="EX898" s="9" t="n">
        <f aca="false">IF(EX896=0,0,IF(EX896&lt;=12*'🎚️ Escenario'!$C$11,1,1+$C$6))</f>
        <v>0</v>
      </c>
      <c r="EY898" s="9" t="n">
        <f aca="false">IF(EY896=0,0,IF(EY896&lt;=12*'🎚️ Escenario'!$C$11,1,1+$C$6))</f>
        <v>0</v>
      </c>
      <c r="EZ898" s="9" t="n">
        <f aca="false">IF(EZ896=0,0,IF(EZ896&lt;=12*'🎚️ Escenario'!$C$11,1,1+$C$6))</f>
        <v>0</v>
      </c>
      <c r="FA898" s="9" t="n">
        <f aca="false">IF(FA896=0,0,IF(FA896&lt;=12*'🎚️ Escenario'!$C$11,1,1+$C$6))</f>
        <v>0</v>
      </c>
      <c r="FB898" s="9" t="n">
        <f aca="false">IF(FB896=0,0,IF(FB896&lt;=12*'🎚️ Escenario'!$C$11,1,1+$C$6))</f>
        <v>0</v>
      </c>
      <c r="FC898" s="9" t="n">
        <f aca="false">IF(FC896=0,0,IF(FC896&lt;=12*'🎚️ Escenario'!$C$11,1,1+$C$6))</f>
        <v>0</v>
      </c>
      <c r="FD898" s="9" t="n">
        <f aca="false">IF(FD896=0,0,IF(FD896&lt;=12*'🎚️ Escenario'!$C$11,1,1+$C$6))</f>
        <v>0</v>
      </c>
      <c r="FE898" s="9" t="n">
        <f aca="false">IF(FE896=0,0,IF(FE896&lt;=12*'🎚️ Escenario'!$C$11,1,1+$C$6))</f>
        <v>0</v>
      </c>
      <c r="FF898" s="9" t="n">
        <f aca="false">IF(FF896=0,0,IF(FF896&lt;=12*'🎚️ Escenario'!$C$11,1,1+$C$6))</f>
        <v>0</v>
      </c>
      <c r="FG898" s="9" t="n">
        <f aca="false">IF(FG896=0,0,IF(FG896&lt;=12*'🎚️ Escenario'!$C$11,1,1+$C$6))</f>
        <v>0</v>
      </c>
      <c r="FH898" s="9" t="n">
        <f aca="false">IF(FH896=0,0,IF(FH896&lt;=12*'🎚️ Escenario'!$C$11,1,1+$C$6))</f>
        <v>0</v>
      </c>
      <c r="FI898" s="9" t="n">
        <f aca="false">IF(FI896=0,0,IF(FI896&lt;=12*'🎚️ Escenario'!$C$11,1,1+$C$6))</f>
        <v>0</v>
      </c>
      <c r="FJ898" s="9" t="n">
        <f aca="false">IF(FJ896=0,0,IF(FJ896&lt;=12*'🎚️ Escenario'!$C$11,1,1+$C$6))</f>
        <v>0</v>
      </c>
      <c r="FK898" s="9" t="n">
        <f aca="false">IF(FK896=0,0,IF(FK896&lt;=12*'🎚️ Escenario'!$C$11,1,1+$C$6))</f>
        <v>0</v>
      </c>
      <c r="FL898" s="9" t="n">
        <f aca="false">IF(FL896=0,0,IF(FL896&lt;=12*'🎚️ Escenario'!$C$11,1,1+$C$6))</f>
        <v>0</v>
      </c>
      <c r="FM898" s="9" t="n">
        <f aca="false">IF(FM896=0,0,IF(FM896&lt;=12*'🎚️ Escenario'!$C$11,1,1+$C$6))</f>
        <v>0</v>
      </c>
      <c r="FN898" s="9" t="n">
        <f aca="false">IF(FN896=0,0,IF(FN896&lt;=12*'🎚️ Escenario'!$C$11,1,1+$C$6))</f>
        <v>1</v>
      </c>
      <c r="FO898" s="9" t="n">
        <f aca="false">IF(FO896=0,0,IF(FO896&lt;=12*'🎚️ Escenario'!$C$11,1,1+$C$6))</f>
        <v>1</v>
      </c>
      <c r="FP898" s="9" t="n">
        <f aca="false">IF(FP896=0,0,IF(FP896&lt;=12*'🎚️ Escenario'!$C$11,1,1+$C$6))</f>
        <v>1</v>
      </c>
    </row>
    <row r="899" customFormat="false" ht="15" hidden="false" customHeight="false" outlineLevel="2" collapsed="false">
      <c r="B899" s="9" t="s">
        <v>876</v>
      </c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36" t="n">
        <f aca="false">AC897*$AC$895*AC898*AC$38*'⑫ Roll-out Plan'!$O$94</f>
        <v>0</v>
      </c>
      <c r="AD899" s="36" t="n">
        <f aca="false">AD897*$AC$895*AD898*AD$38*'⑫ Roll-out Plan'!$O$94</f>
        <v>0</v>
      </c>
      <c r="AE899" s="36" t="n">
        <f aca="false">AE897*$AC$895*AE898*AE$38*'⑫ Roll-out Plan'!$O$94</f>
        <v>0</v>
      </c>
      <c r="AF899" s="36" t="n">
        <f aca="false">AF897*$AC$895*AF898*AF$38*'⑫ Roll-out Plan'!$O$94</f>
        <v>0</v>
      </c>
      <c r="AG899" s="36" t="n">
        <f aca="false">AG897*$AC$895*AG898*AG$38*'⑫ Roll-out Plan'!$O$94</f>
        <v>0</v>
      </c>
      <c r="AH899" s="36" t="n">
        <f aca="false">AH897*$AC$895*AH898*AH$38*'⑫ Roll-out Plan'!$O$94</f>
        <v>0</v>
      </c>
      <c r="AI899" s="36" t="n">
        <f aca="false">AI897*$AC$895*AI898*AI$38*'⑫ Roll-out Plan'!$O$94</f>
        <v>0</v>
      </c>
      <c r="AJ899" s="36" t="n">
        <f aca="false">AJ897*$AC$895*AJ898*AJ$38*'⑫ Roll-out Plan'!$O$94</f>
        <v>0</v>
      </c>
      <c r="AK899" s="36" t="n">
        <f aca="false">AK897*$AC$895*AK898*AK$38*'⑫ Roll-out Plan'!$O$94</f>
        <v>0</v>
      </c>
      <c r="AL899" s="36" t="n">
        <f aca="false">AL897*$AC$895*AL898*AL$38*'⑫ Roll-out Plan'!$O$94</f>
        <v>0</v>
      </c>
      <c r="AM899" s="36" t="n">
        <f aca="false">AM897*$AC$895*AM898*AM$38*'⑫ Roll-out Plan'!$O$94</f>
        <v>0</v>
      </c>
      <c r="AN899" s="36" t="n">
        <f aca="false">AN897*$AC$895*AN898*AN$38*'⑫ Roll-out Plan'!$O$94</f>
        <v>0</v>
      </c>
      <c r="AO899" s="36" t="n">
        <f aca="false">AO897*$AC$895*AO898*AO$38*'⑫ Roll-out Plan'!$O$94</f>
        <v>0</v>
      </c>
      <c r="AP899" s="36" t="n">
        <f aca="false">AP897*$AC$895*AP898*AP$38*'⑫ Roll-out Plan'!$O$94</f>
        <v>0</v>
      </c>
      <c r="AQ899" s="36" t="n">
        <f aca="false">AQ897*$AC$895*AQ898*AQ$38*'⑫ Roll-out Plan'!$O$94</f>
        <v>0</v>
      </c>
      <c r="AR899" s="36" t="n">
        <f aca="false">AR897*$AC$895*AR898*AR$38*'⑫ Roll-out Plan'!$O$94</f>
        <v>0</v>
      </c>
      <c r="AS899" s="36" t="n">
        <f aca="false">AS897*$AC$895*AS898*AS$38*'⑫ Roll-out Plan'!$O$94</f>
        <v>0</v>
      </c>
      <c r="AT899" s="36" t="n">
        <f aca="false">AT897*$AC$895*AT898*AT$38*'⑫ Roll-out Plan'!$O$94</f>
        <v>0</v>
      </c>
      <c r="AU899" s="36" t="n">
        <f aca="false">AU897*$AC$895*AU898*AU$38*'⑫ Roll-out Plan'!$O$94</f>
        <v>0</v>
      </c>
      <c r="AV899" s="36" t="n">
        <f aca="false">AV897*$AC$895*AV898*AV$38*'⑫ Roll-out Plan'!$O$94</f>
        <v>0</v>
      </c>
      <c r="AW899" s="36" t="n">
        <f aca="false">AW897*$AC$895*AW898*AW$38*'⑫ Roll-out Plan'!$O$94</f>
        <v>0</v>
      </c>
      <c r="AX899" s="36" t="n">
        <f aca="false">AX897*$AC$895*AX898*AX$38*'⑫ Roll-out Plan'!$O$94</f>
        <v>0</v>
      </c>
      <c r="AY899" s="36" t="n">
        <f aca="false">AY897*$AC$895*AY898*AY$38*'⑫ Roll-out Plan'!$O$94</f>
        <v>0</v>
      </c>
      <c r="AZ899" s="36" t="n">
        <f aca="false">AZ897*$AC$895*AZ898*AZ$38*'⑫ Roll-out Plan'!$O$94</f>
        <v>0</v>
      </c>
      <c r="BA899" s="36" t="n">
        <f aca="false">BA897*$AC$895*BA898*BA$38*'⑫ Roll-out Plan'!$O$94</f>
        <v>0</v>
      </c>
      <c r="BB899" s="36" t="n">
        <f aca="false">BB897*$AC$895*BB898*BB$38*'⑫ Roll-out Plan'!$O$94</f>
        <v>0</v>
      </c>
      <c r="BC899" s="36" t="n">
        <f aca="false">BC897*$AC$895*BC898*BC$38*'⑫ Roll-out Plan'!$O$94</f>
        <v>0</v>
      </c>
      <c r="BD899" s="36" t="n">
        <f aca="false">BD897*$AC$895*BD898*BD$38*'⑫ Roll-out Plan'!$O$94</f>
        <v>0</v>
      </c>
      <c r="BE899" s="36" t="n">
        <f aca="false">BE897*$AC$895*BE898*BE$38*'⑫ Roll-out Plan'!$O$94</f>
        <v>0</v>
      </c>
      <c r="BF899" s="36" t="n">
        <f aca="false">BF897*$AC$895*BF898*BF$38*'⑫ Roll-out Plan'!$O$94</f>
        <v>0</v>
      </c>
      <c r="BG899" s="36" t="n">
        <f aca="false">BG897*$AC$895*BG898*BG$38*'⑫ Roll-out Plan'!$O$94</f>
        <v>0</v>
      </c>
      <c r="BH899" s="36" t="n">
        <f aca="false">BH897*$AC$895*BH898*BH$38*'⑫ Roll-out Plan'!$O$94</f>
        <v>0</v>
      </c>
      <c r="BI899" s="36" t="n">
        <f aca="false">BI897*$AC$895*BI898*BI$38*'⑫ Roll-out Plan'!$O$94</f>
        <v>0</v>
      </c>
      <c r="BJ899" s="36" t="n">
        <f aca="false">BJ897*$AC$895*BJ898*BJ$38*'⑫ Roll-out Plan'!$O$94</f>
        <v>0</v>
      </c>
      <c r="BK899" s="36" t="n">
        <f aca="false">BK897*$AC$895*BK898*BK$38*'⑫ Roll-out Plan'!$O$94</f>
        <v>0</v>
      </c>
      <c r="BL899" s="36" t="n">
        <f aca="false">BL897*$AC$895*BL898*BL$38*'⑫ Roll-out Plan'!$O$94</f>
        <v>0</v>
      </c>
      <c r="BM899" s="36" t="n">
        <f aca="false">BM897*$AC$895*BM898*BM$38*'⑫ Roll-out Plan'!$O$94</f>
        <v>0</v>
      </c>
      <c r="BN899" s="36" t="n">
        <f aca="false">BN897*$AC$895*BN898*BN$38*'⑫ Roll-out Plan'!$O$94</f>
        <v>0</v>
      </c>
      <c r="BO899" s="36" t="n">
        <f aca="false">BO897*$AC$895*BO898*BO$38*'⑫ Roll-out Plan'!$O$94</f>
        <v>0</v>
      </c>
      <c r="BP899" s="36" t="n">
        <f aca="false">BP897*$AC$895*BP898*BP$38*'⑫ Roll-out Plan'!$O$94</f>
        <v>0</v>
      </c>
      <c r="BQ899" s="36" t="n">
        <f aca="false">BQ897*$AC$895*BQ898*BQ$38*'⑫ Roll-out Plan'!$O$94</f>
        <v>0</v>
      </c>
      <c r="BR899" s="36" t="n">
        <f aca="false">BR897*$AC$895*BR898*BR$38*'⑫ Roll-out Plan'!$O$94</f>
        <v>0</v>
      </c>
      <c r="BS899" s="36" t="n">
        <f aca="false">BS897*$AC$895*BS898*BS$38*'⑫ Roll-out Plan'!$O$94</f>
        <v>0</v>
      </c>
      <c r="BT899" s="36" t="n">
        <f aca="false">BT897*$AC$895*BT898*BT$38*'⑫ Roll-out Plan'!$O$94</f>
        <v>0</v>
      </c>
      <c r="BU899" s="36" t="n">
        <f aca="false">BU897*$AC$895*BU898*BU$38*'⑫ Roll-out Plan'!$O$94</f>
        <v>0</v>
      </c>
      <c r="BV899" s="36" t="n">
        <f aca="false">BV897*$AC$895*BV898*BV$38*'⑫ Roll-out Plan'!$O$94</f>
        <v>0</v>
      </c>
      <c r="BW899" s="36" t="n">
        <f aca="false">BW897*$AC$895*BW898*BW$38*'⑫ Roll-out Plan'!$O$94</f>
        <v>0</v>
      </c>
      <c r="BX899" s="36" t="n">
        <f aca="false">BX897*$AC$895*BX898*BX$38*'⑫ Roll-out Plan'!$O$94</f>
        <v>0</v>
      </c>
      <c r="BY899" s="36" t="n">
        <f aca="false">BY897*$AC$895*BY898*BY$38*'⑫ Roll-out Plan'!$O$94</f>
        <v>0</v>
      </c>
      <c r="BZ899" s="36" t="n">
        <f aca="false">BZ897*$AC$895*BZ898*BZ$38*'⑫ Roll-out Plan'!$O$94</f>
        <v>0</v>
      </c>
      <c r="CA899" s="36" t="n">
        <f aca="false">CA897*$AC$895*CA898*CA$38*'⑫ Roll-out Plan'!$O$94</f>
        <v>0</v>
      </c>
      <c r="CB899" s="36" t="n">
        <f aca="false">CB897*$AC$895*CB898*CB$38*'⑫ Roll-out Plan'!$O$94</f>
        <v>0</v>
      </c>
      <c r="CC899" s="36" t="n">
        <f aca="false">CC897*$AC$895*CC898*CC$38*'⑫ Roll-out Plan'!$O$94</f>
        <v>0</v>
      </c>
      <c r="CD899" s="36" t="n">
        <f aca="false">CD897*$AC$895*CD898*CD$38*'⑫ Roll-out Plan'!$O$94</f>
        <v>0</v>
      </c>
      <c r="CE899" s="36" t="n">
        <f aca="false">CE897*$AC$895*CE898*CE$38*'⑫ Roll-out Plan'!$O$94</f>
        <v>0</v>
      </c>
      <c r="CF899" s="36" t="n">
        <f aca="false">CF897*$AC$895*CF898*CF$38*'⑫ Roll-out Plan'!$O$94</f>
        <v>0</v>
      </c>
      <c r="CG899" s="36" t="n">
        <f aca="false">CG897*$AC$895*CG898*CG$38*'⑫ Roll-out Plan'!$O$94</f>
        <v>0</v>
      </c>
      <c r="CH899" s="36" t="n">
        <f aca="false">CH897*$AC$895*CH898*CH$38*'⑫ Roll-out Plan'!$O$94</f>
        <v>0</v>
      </c>
      <c r="CI899" s="36" t="n">
        <f aca="false">CI897*$AC$895*CI898*CI$38*'⑫ Roll-out Plan'!$O$94</f>
        <v>0</v>
      </c>
      <c r="CJ899" s="36" t="n">
        <f aca="false">CJ897*$AC$895*CJ898*CJ$38*'⑫ Roll-out Plan'!$O$94</f>
        <v>0</v>
      </c>
      <c r="CK899" s="36" t="n">
        <f aca="false">CK897*$AC$895*CK898*CK$38*'⑫ Roll-out Plan'!$O$94</f>
        <v>0</v>
      </c>
      <c r="CL899" s="36" t="n">
        <f aca="false">CL897*$AC$895*CL898*CL$38*'⑫ Roll-out Plan'!$O$94</f>
        <v>0</v>
      </c>
      <c r="CM899" s="36" t="n">
        <f aca="false">CM897*$AC$895*CM898*CM$38*'⑫ Roll-out Plan'!$O$94</f>
        <v>0</v>
      </c>
      <c r="CN899" s="36" t="n">
        <f aca="false">CN897*$AC$895*CN898*CN$38*'⑫ Roll-out Plan'!$O$94</f>
        <v>0</v>
      </c>
      <c r="CO899" s="36" t="n">
        <f aca="false">CO897*$AC$895*CO898*CO$38*'⑫ Roll-out Plan'!$O$94</f>
        <v>0</v>
      </c>
      <c r="CP899" s="36" t="n">
        <f aca="false">CP897*$AC$895*CP898*CP$38*'⑫ Roll-out Plan'!$O$94</f>
        <v>0</v>
      </c>
      <c r="CQ899" s="36" t="n">
        <f aca="false">CQ897*$AC$895*CQ898*CQ$38*'⑫ Roll-out Plan'!$O$94</f>
        <v>0</v>
      </c>
      <c r="CR899" s="36" t="n">
        <f aca="false">CR897*$AC$895*CR898*CR$38*'⑫ Roll-out Plan'!$O$94</f>
        <v>0</v>
      </c>
      <c r="CS899" s="36" t="n">
        <f aca="false">CS897*$AC$895*CS898*CS$38*'⑫ Roll-out Plan'!$O$94</f>
        <v>0</v>
      </c>
      <c r="CT899" s="36" t="n">
        <f aca="false">CT897*$AC$895*CT898*CT$38*'⑫ Roll-out Plan'!$O$94</f>
        <v>0</v>
      </c>
      <c r="CU899" s="36" t="n">
        <f aca="false">CU897*$AC$895*CU898*CU$38*'⑫ Roll-out Plan'!$O$94</f>
        <v>0</v>
      </c>
      <c r="CV899" s="36" t="n">
        <f aca="false">CV897*$AC$895*CV898*CV$38*'⑫ Roll-out Plan'!$O$94</f>
        <v>0</v>
      </c>
      <c r="CW899" s="36" t="n">
        <f aca="false">CW897*$AC$895*CW898*CW$38*'⑫ Roll-out Plan'!$O$94</f>
        <v>0</v>
      </c>
      <c r="CX899" s="36" t="n">
        <f aca="false">CX897*$AC$895*CX898*CX$38*'⑫ Roll-out Plan'!$O$94</f>
        <v>0</v>
      </c>
      <c r="CY899" s="36" t="n">
        <f aca="false">CY897*$AC$895*CY898*CY$38*'⑫ Roll-out Plan'!$O$94</f>
        <v>0</v>
      </c>
      <c r="CZ899" s="36" t="n">
        <f aca="false">CZ897*$AC$895*CZ898*CZ$38*'⑫ Roll-out Plan'!$O$94</f>
        <v>0</v>
      </c>
      <c r="DA899" s="36" t="n">
        <f aca="false">DA897*$AC$895*DA898*DA$38*'⑫ Roll-out Plan'!$O$94</f>
        <v>0</v>
      </c>
      <c r="DB899" s="36" t="n">
        <f aca="false">DB897*$AC$895*DB898*DB$38*'⑫ Roll-out Plan'!$O$94</f>
        <v>0</v>
      </c>
      <c r="DC899" s="36" t="n">
        <f aca="false">DC897*$AC$895*DC898*DC$38*'⑫ Roll-out Plan'!$O$94</f>
        <v>0</v>
      </c>
      <c r="DD899" s="36" t="n">
        <f aca="false">DD897*$AC$895*DD898*DD$38*'⑫ Roll-out Plan'!$O$94</f>
        <v>0</v>
      </c>
      <c r="DE899" s="36" t="n">
        <f aca="false">DE897*$AC$895*DE898*DE$38*'⑫ Roll-out Plan'!$O$94</f>
        <v>0</v>
      </c>
      <c r="DF899" s="36" t="n">
        <f aca="false">DF897*$AC$895*DF898*DF$38*'⑫ Roll-out Plan'!$O$94</f>
        <v>0</v>
      </c>
      <c r="DG899" s="36" t="n">
        <f aca="false">DG897*$AC$895*DG898*DG$38*'⑫ Roll-out Plan'!$O$94</f>
        <v>0</v>
      </c>
      <c r="DH899" s="36" t="n">
        <f aca="false">DH897*$AC$895*DH898*DH$38*'⑫ Roll-out Plan'!$O$94</f>
        <v>0</v>
      </c>
      <c r="DI899" s="36" t="n">
        <f aca="false">DI897*$AC$895*DI898*DI$38*'⑫ Roll-out Plan'!$O$94</f>
        <v>0</v>
      </c>
      <c r="DJ899" s="36" t="n">
        <f aca="false">DJ897*$AC$895*DJ898*DJ$38*'⑫ Roll-out Plan'!$O$94</f>
        <v>0</v>
      </c>
      <c r="DK899" s="36" t="n">
        <f aca="false">DK897*$AC$895*DK898*DK$38*'⑫ Roll-out Plan'!$O$94</f>
        <v>0</v>
      </c>
      <c r="DL899" s="36" t="n">
        <f aca="false">DL897*$AC$895*DL898*DL$38*'⑫ Roll-out Plan'!$O$94</f>
        <v>0</v>
      </c>
      <c r="DM899" s="36" t="n">
        <f aca="false">DM897*$AC$895*DM898*DM$38*'⑫ Roll-out Plan'!$O$94</f>
        <v>0</v>
      </c>
      <c r="DN899" s="36" t="n">
        <f aca="false">DN897*$AC$895*DN898*DN$38*'⑫ Roll-out Plan'!$O$94</f>
        <v>0</v>
      </c>
      <c r="DO899" s="36" t="n">
        <f aca="false">DO897*$AC$895*DO898*DO$38*'⑫ Roll-out Plan'!$O$94</f>
        <v>0</v>
      </c>
      <c r="DP899" s="36" t="n">
        <f aca="false">DP897*$AC$895*DP898*DP$38*'⑫ Roll-out Plan'!$O$94</f>
        <v>0</v>
      </c>
      <c r="DQ899" s="36" t="n">
        <f aca="false">DQ897*$AC$895*DQ898*DQ$38*'⑫ Roll-out Plan'!$O$94</f>
        <v>0</v>
      </c>
      <c r="DR899" s="36" t="n">
        <f aca="false">DR897*$AC$895*DR898*DR$38*'⑫ Roll-out Plan'!$O$94</f>
        <v>0</v>
      </c>
      <c r="DS899" s="36" t="n">
        <f aca="false">DS897*$AC$895*DS898*DS$38*'⑫ Roll-out Plan'!$O$94</f>
        <v>0</v>
      </c>
      <c r="DT899" s="36" t="n">
        <f aca="false">DT897*$AC$895*DT898*DT$38*'⑫ Roll-out Plan'!$O$94</f>
        <v>0</v>
      </c>
      <c r="DU899" s="36" t="n">
        <f aca="false">DU897*$AC$895*DU898*DU$38*'⑫ Roll-out Plan'!$O$94</f>
        <v>0</v>
      </c>
      <c r="DV899" s="36" t="n">
        <f aca="false">DV897*$AC$895*DV898*DV$38*'⑫ Roll-out Plan'!$O$94</f>
        <v>0</v>
      </c>
      <c r="DW899" s="36" t="n">
        <f aca="false">DW897*$AC$895*DW898*DW$38*'⑫ Roll-out Plan'!$O$94</f>
        <v>0</v>
      </c>
      <c r="DX899" s="36" t="n">
        <f aca="false">DX897*$AC$895*DX898*DX$38*'⑫ Roll-out Plan'!$O$94</f>
        <v>0</v>
      </c>
      <c r="DY899" s="36" t="n">
        <f aca="false">DY897*$AC$895*DY898*DY$38*'⑫ Roll-out Plan'!$O$94</f>
        <v>0</v>
      </c>
      <c r="DZ899" s="36" t="n">
        <f aca="false">DZ897*$AC$895*DZ898*DZ$38*'⑫ Roll-out Plan'!$O$94</f>
        <v>0</v>
      </c>
      <c r="EA899" s="36" t="n">
        <f aca="false">EA897*$AC$895*EA898*EA$38*'⑫ Roll-out Plan'!$O$94</f>
        <v>0</v>
      </c>
      <c r="EB899" s="36" t="n">
        <f aca="false">EB897*$AC$895*EB898*EB$38*'⑫ Roll-out Plan'!$O$94</f>
        <v>0</v>
      </c>
      <c r="EC899" s="36" t="n">
        <f aca="false">EC897*$AC$895*EC898*EC$38*'⑫ Roll-out Plan'!$O$94</f>
        <v>0</v>
      </c>
      <c r="ED899" s="36" t="n">
        <f aca="false">ED897*$AC$895*ED898*ED$38*'⑫ Roll-out Plan'!$O$94</f>
        <v>0</v>
      </c>
      <c r="EE899" s="36" t="n">
        <f aca="false">EE897*$AC$895*EE898*EE$38*'⑫ Roll-out Plan'!$O$94</f>
        <v>0</v>
      </c>
      <c r="EF899" s="36" t="n">
        <f aca="false">EF897*$AC$895*EF898*EF$38*'⑫ Roll-out Plan'!$O$94</f>
        <v>0</v>
      </c>
      <c r="EG899" s="36" t="n">
        <f aca="false">EG897*$AC$895*EG898*EG$38*'⑫ Roll-out Plan'!$O$94</f>
        <v>0</v>
      </c>
      <c r="EH899" s="36" t="n">
        <f aca="false">EH897*$AC$895*EH898*EH$38*'⑫ Roll-out Plan'!$O$94</f>
        <v>0</v>
      </c>
      <c r="EI899" s="36" t="n">
        <f aca="false">EI897*$AC$895*EI898*EI$38*'⑫ Roll-out Plan'!$O$94</f>
        <v>0</v>
      </c>
      <c r="EJ899" s="36" t="n">
        <f aca="false">EJ897*$AC$895*EJ898*EJ$38*'⑫ Roll-out Plan'!$O$94</f>
        <v>0</v>
      </c>
      <c r="EK899" s="36" t="n">
        <f aca="false">EK897*$AC$895*EK898*EK$38*'⑫ Roll-out Plan'!$O$94</f>
        <v>0</v>
      </c>
      <c r="EL899" s="36" t="n">
        <f aca="false">EL897*$AC$895*EL898*EL$38*'⑫ Roll-out Plan'!$O$94</f>
        <v>0</v>
      </c>
      <c r="EM899" s="36" t="n">
        <f aca="false">EM897*$AC$895*EM898*EM$38*'⑫ Roll-out Plan'!$O$94</f>
        <v>0</v>
      </c>
      <c r="EN899" s="36" t="n">
        <f aca="false">EN897*$AC$895*EN898*EN$38*'⑫ Roll-out Plan'!$O$94</f>
        <v>0</v>
      </c>
      <c r="EO899" s="36" t="n">
        <f aca="false">EO897*$AC$895*EO898*EO$38*'⑫ Roll-out Plan'!$O$94</f>
        <v>0</v>
      </c>
      <c r="EP899" s="36" t="n">
        <f aca="false">EP897*$AC$895*EP898*EP$38*'⑫ Roll-out Plan'!$O$94</f>
        <v>0</v>
      </c>
      <c r="EQ899" s="36" t="n">
        <f aca="false">EQ897*$AC$895*EQ898*EQ$38*'⑫ Roll-out Plan'!$O$94</f>
        <v>0</v>
      </c>
      <c r="ER899" s="36" t="n">
        <f aca="false">ER897*$AC$895*ER898*ER$38*'⑫ Roll-out Plan'!$O$94</f>
        <v>0</v>
      </c>
      <c r="ES899" s="9" t="n">
        <f aca="false">ES897*$AC$895*ES898*ES$38*'⑫ Roll-out Plan'!$O$94</f>
        <v>0</v>
      </c>
      <c r="ET899" s="9" t="n">
        <f aca="false">ET897*$AC$895*ET898*ET$38*'⑫ Roll-out Plan'!$O$94</f>
        <v>0</v>
      </c>
      <c r="EU899" s="9" t="n">
        <f aca="false">EU897*$AC$895*EU898*EU$38*'⑫ Roll-out Plan'!$O$94</f>
        <v>0</v>
      </c>
      <c r="EV899" s="9" t="n">
        <f aca="false">EV897*$AC$895*EV898*EV$38*'⑫ Roll-out Plan'!$O$94</f>
        <v>0</v>
      </c>
      <c r="EW899" s="9" t="n">
        <f aca="false">EW897*$AC$895*EW898*EW$38*'⑫ Roll-out Plan'!$O$94</f>
        <v>0</v>
      </c>
      <c r="EX899" s="9" t="n">
        <f aca="false">EX897*$AC$895*EX898*EX$38*'⑫ Roll-out Plan'!$O$94</f>
        <v>0</v>
      </c>
      <c r="EY899" s="9" t="n">
        <f aca="false">EY897*$AC$895*EY898*EY$38*'⑫ Roll-out Plan'!$O$94</f>
        <v>0</v>
      </c>
      <c r="EZ899" s="9" t="n">
        <f aca="false">EZ897*$AC$895*EZ898*EZ$38*'⑫ Roll-out Plan'!$O$94</f>
        <v>0</v>
      </c>
      <c r="FA899" s="9" t="n">
        <f aca="false">FA897*$AC$895*FA898*FA$38*'⑫ Roll-out Plan'!$O$94</f>
        <v>0</v>
      </c>
      <c r="FB899" s="9" t="n">
        <f aca="false">FB897*$AC$895*FB898*FB$38*'⑫ Roll-out Plan'!$O$94</f>
        <v>0</v>
      </c>
      <c r="FC899" s="9" t="n">
        <f aca="false">FC897*$AC$895*FC898*FC$38*'⑫ Roll-out Plan'!$O$94</f>
        <v>0</v>
      </c>
      <c r="FD899" s="9" t="n">
        <f aca="false">FD897*$AC$895*FD898*FD$38*'⑫ Roll-out Plan'!$O$94</f>
        <v>0</v>
      </c>
      <c r="FE899" s="9" t="n">
        <f aca="false">FE897*$AC$895*FE898*FE$38*'⑫ Roll-out Plan'!$O$94</f>
        <v>0</v>
      </c>
      <c r="FF899" s="9" t="n">
        <f aca="false">FF897*$AC$895*FF898*FF$38*'⑫ Roll-out Plan'!$O$94</f>
        <v>0</v>
      </c>
      <c r="FG899" s="9" t="n">
        <f aca="false">FG897*$AC$895*FG898*FG$38*'⑫ Roll-out Plan'!$O$94</f>
        <v>0</v>
      </c>
      <c r="FH899" s="9" t="n">
        <f aca="false">FH897*$AC$895*FH898*FH$38*'⑫ Roll-out Plan'!$O$94</f>
        <v>0</v>
      </c>
      <c r="FI899" s="9" t="n">
        <f aca="false">FI897*$AC$895*FI898*FI$38*'⑫ Roll-out Plan'!$O$94</f>
        <v>0</v>
      </c>
      <c r="FJ899" s="9" t="n">
        <f aca="false">FJ897*$AC$895*FJ898*FJ$38*'⑫ Roll-out Plan'!$O$94</f>
        <v>0</v>
      </c>
      <c r="FK899" s="9" t="n">
        <f aca="false">FK897*$AC$895*FK898*FK$38*'⑫ Roll-out Plan'!$O$94</f>
        <v>0</v>
      </c>
      <c r="FL899" s="9" t="n">
        <f aca="false">FL897*$AC$895*FL898*FL$38*'⑫ Roll-out Plan'!$O$94</f>
        <v>0</v>
      </c>
      <c r="FM899" s="9" t="n">
        <f aca="false">FM897*$AC$895*FM898*FM$38*'⑫ Roll-out Plan'!$O$94</f>
        <v>0</v>
      </c>
      <c r="FN899" s="9" t="n">
        <f aca="false">FN897*$AC$895*FN898*FN$38*'⑫ Roll-out Plan'!$O$94</f>
        <v>40.32</v>
      </c>
      <c r="FO899" s="9" t="n">
        <f aca="false">FO897*$AC$895*FO898*FO$38*'⑫ Roll-out Plan'!$O$94</f>
        <v>33.264</v>
      </c>
      <c r="FP899" s="9" t="n">
        <f aca="false">FP897*$AC$895*FP898*FP$38*'⑫ Roll-out Plan'!$O$94</f>
        <v>51.408</v>
      </c>
    </row>
    <row r="900" customFormat="false" ht="15" hidden="false" customHeight="false" outlineLevel="2" collapsed="false">
      <c r="B900" s="9" t="s">
        <v>877</v>
      </c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112" t="n">
        <f aca="true">IFERROR(SUMPRODUCT(OFFSET($BJ$31,0,1-MIN(60,COLUMN()-29),1,MIN(60,COLUMN()-29)),OFFSET(AC899,0,-MIN(60,COLUMN()-29),1,MIN(60,COLUMN()-29))),0)</f>
        <v>0</v>
      </c>
      <c r="AD900" s="112" t="n">
        <f aca="true">IFERROR(SUMPRODUCT(OFFSET($BJ$31,0,1-MIN(60,COLUMN()-29),1,MIN(60,COLUMN()-29)),OFFSET(AD899,0,-MIN(60,COLUMN()-29),1,MIN(60,COLUMN()-29))),0)</f>
        <v>0</v>
      </c>
      <c r="AE900" s="112" t="n">
        <f aca="true">IFERROR(SUMPRODUCT(OFFSET($BJ$31,0,1-MIN(60,COLUMN()-29),1,MIN(60,COLUMN()-29)),OFFSET(AE899,0,-MIN(60,COLUMN()-29),1,MIN(60,COLUMN()-29))),0)</f>
        <v>0</v>
      </c>
      <c r="AF900" s="112" t="n">
        <f aca="true">IFERROR(SUMPRODUCT(OFFSET($BJ$31,0,1-MIN(60,COLUMN()-29),1,MIN(60,COLUMN()-29)),OFFSET(AF899,0,-MIN(60,COLUMN()-29),1,MIN(60,COLUMN()-29))),0)</f>
        <v>0</v>
      </c>
      <c r="AG900" s="112" t="n">
        <f aca="true">IFERROR(SUMPRODUCT(OFFSET($BJ$31,0,1-MIN(60,COLUMN()-29),1,MIN(60,COLUMN()-29)),OFFSET(AG899,0,-MIN(60,COLUMN()-29),1,MIN(60,COLUMN()-29))),0)</f>
        <v>0</v>
      </c>
      <c r="AH900" s="112" t="n">
        <f aca="true">IFERROR(SUMPRODUCT(OFFSET($BJ$31,0,1-MIN(60,COLUMN()-29),1,MIN(60,COLUMN()-29)),OFFSET(AH899,0,-MIN(60,COLUMN()-29),1,MIN(60,COLUMN()-29))),0)</f>
        <v>0</v>
      </c>
      <c r="AI900" s="112" t="n">
        <f aca="true">IFERROR(SUMPRODUCT(OFFSET($BJ$31,0,1-MIN(60,COLUMN()-29),1,MIN(60,COLUMN()-29)),OFFSET(AI899,0,-MIN(60,COLUMN()-29),1,MIN(60,COLUMN()-29))),0)</f>
        <v>0</v>
      </c>
      <c r="AJ900" s="112" t="n">
        <f aca="true">IFERROR(SUMPRODUCT(OFFSET($BJ$31,0,1-MIN(60,COLUMN()-29),1,MIN(60,COLUMN()-29)),OFFSET(AJ899,0,-MIN(60,COLUMN()-29),1,MIN(60,COLUMN()-29))),0)</f>
        <v>0</v>
      </c>
      <c r="AK900" s="112" t="n">
        <f aca="true">IFERROR(SUMPRODUCT(OFFSET($BJ$31,0,1-MIN(60,COLUMN()-29),1,MIN(60,COLUMN()-29)),OFFSET(AK899,0,-MIN(60,COLUMN()-29),1,MIN(60,COLUMN()-29))),0)</f>
        <v>0</v>
      </c>
      <c r="AL900" s="112" t="n">
        <f aca="true">IFERROR(SUMPRODUCT(OFFSET($BJ$31,0,1-MIN(60,COLUMN()-29),1,MIN(60,COLUMN()-29)),OFFSET(AL899,0,-MIN(60,COLUMN()-29),1,MIN(60,COLUMN()-29))),0)</f>
        <v>0</v>
      </c>
      <c r="AM900" s="112" t="n">
        <f aca="true">IFERROR(SUMPRODUCT(OFFSET($BJ$31,0,1-MIN(60,COLUMN()-29),1,MIN(60,COLUMN()-29)),OFFSET(AM899,0,-MIN(60,COLUMN()-29),1,MIN(60,COLUMN()-29))),0)</f>
        <v>0</v>
      </c>
      <c r="AN900" s="239" t="n">
        <f aca="true">IFERROR(SUMPRODUCT(OFFSET($BJ$31,0,1-MIN(60,COLUMN()-29),1,MIN(60,COLUMN()-29)),OFFSET(AN899,0,-MIN(60,COLUMN()-29),1,MIN(60,COLUMN()-29))),0)</f>
        <v>0</v>
      </c>
      <c r="AO900" s="112" t="n">
        <f aca="true">IFERROR(SUMPRODUCT(OFFSET($BJ$31,0,1-MIN(60,COLUMN()-29),1,MIN(60,COLUMN()-29)),OFFSET(AO899,0,-MIN(60,COLUMN()-29),1,MIN(60,COLUMN()-29))),0)</f>
        <v>0</v>
      </c>
      <c r="AP900" s="112" t="n">
        <f aca="true">IFERROR(SUMPRODUCT(OFFSET($BJ$31,0,1-MIN(60,COLUMN()-29),1,MIN(60,COLUMN()-29)),OFFSET(AP899,0,-MIN(60,COLUMN()-29),1,MIN(60,COLUMN()-29))),0)</f>
        <v>0</v>
      </c>
      <c r="AQ900" s="112" t="n">
        <f aca="true">IFERROR(SUMPRODUCT(OFFSET($BJ$31,0,1-MIN(60,COLUMN()-29),1,MIN(60,COLUMN()-29)),OFFSET(AQ899,0,-MIN(60,COLUMN()-29),1,MIN(60,COLUMN()-29))),0)</f>
        <v>0</v>
      </c>
      <c r="AR900" s="112" t="n">
        <f aca="true">IFERROR(SUMPRODUCT(OFFSET($BJ$31,0,1-MIN(60,COLUMN()-29),1,MIN(60,COLUMN()-29)),OFFSET(AR899,0,-MIN(60,COLUMN()-29),1,MIN(60,COLUMN()-29))),0)</f>
        <v>0</v>
      </c>
      <c r="AS900" s="112" t="n">
        <f aca="true">IFERROR(SUMPRODUCT(OFFSET($BJ$31,0,1-MIN(60,COLUMN()-29),1,MIN(60,COLUMN()-29)),OFFSET(AS899,0,-MIN(60,COLUMN()-29),1,MIN(60,COLUMN()-29))),0)</f>
        <v>0</v>
      </c>
      <c r="AT900" s="112" t="n">
        <f aca="true">IFERROR(SUMPRODUCT(OFFSET($BJ$31,0,1-MIN(60,COLUMN()-29),1,MIN(60,COLUMN()-29)),OFFSET(AT899,0,-MIN(60,COLUMN()-29),1,MIN(60,COLUMN()-29))),0)</f>
        <v>0</v>
      </c>
      <c r="AU900" s="112" t="n">
        <f aca="true">IFERROR(SUMPRODUCT(OFFSET($BJ$31,0,1-MIN(60,COLUMN()-29),1,MIN(60,COLUMN()-29)),OFFSET(AU899,0,-MIN(60,COLUMN()-29),1,MIN(60,COLUMN()-29))),0)</f>
        <v>0</v>
      </c>
      <c r="AV900" s="112" t="n">
        <f aca="true">IFERROR(SUMPRODUCT(OFFSET($BJ$31,0,1-MIN(60,COLUMN()-29),1,MIN(60,COLUMN()-29)),OFFSET(AV899,0,-MIN(60,COLUMN()-29),1,MIN(60,COLUMN()-29))),0)</f>
        <v>0</v>
      </c>
      <c r="AW900" s="112" t="n">
        <f aca="true">IFERROR(SUMPRODUCT(OFFSET($BJ$31,0,1-MIN(60,COLUMN()-29),1,MIN(60,COLUMN()-29)),OFFSET(AW899,0,-MIN(60,COLUMN()-29),1,MIN(60,COLUMN()-29))),0)</f>
        <v>0</v>
      </c>
      <c r="AX900" s="112" t="n">
        <f aca="true">IFERROR(SUMPRODUCT(OFFSET($BJ$31,0,1-MIN(60,COLUMN()-29),1,MIN(60,COLUMN()-29)),OFFSET(AX899,0,-MIN(60,COLUMN()-29),1,MIN(60,COLUMN()-29))),0)</f>
        <v>0</v>
      </c>
      <c r="AY900" s="112" t="n">
        <f aca="true">IFERROR(SUMPRODUCT(OFFSET($BJ$31,0,1-MIN(60,COLUMN()-29),1,MIN(60,COLUMN()-29)),OFFSET(AY899,0,-MIN(60,COLUMN()-29),1,MIN(60,COLUMN()-29))),0)</f>
        <v>0</v>
      </c>
      <c r="AZ900" s="112" t="n">
        <f aca="true">IFERROR(SUMPRODUCT(OFFSET($BJ$31,0,1-MIN(60,COLUMN()-29),1,MIN(60,COLUMN()-29)),OFFSET(AZ899,0,-MIN(60,COLUMN()-29),1,MIN(60,COLUMN()-29))),0)</f>
        <v>0</v>
      </c>
      <c r="BA900" s="112" t="n">
        <f aca="true">IFERROR(SUMPRODUCT(OFFSET($BJ$31,0,1-MIN(60,COLUMN()-29),1,MIN(60,COLUMN()-29)),OFFSET(BA899,0,-MIN(60,COLUMN()-29),1,MIN(60,COLUMN()-29))),0)</f>
        <v>0</v>
      </c>
      <c r="BB900" s="112" t="n">
        <f aca="true">IFERROR(SUMPRODUCT(OFFSET($BJ$31,0,1-MIN(60,COLUMN()-29),1,MIN(60,COLUMN()-29)),OFFSET(BB899,0,-MIN(60,COLUMN()-29),1,MIN(60,COLUMN()-29))),0)</f>
        <v>0</v>
      </c>
      <c r="BC900" s="112" t="n">
        <f aca="true">IFERROR(SUMPRODUCT(OFFSET($BJ$31,0,1-MIN(60,COLUMN()-29),1,MIN(60,COLUMN()-29)),OFFSET(BC899,0,-MIN(60,COLUMN()-29),1,MIN(60,COLUMN()-29))),0)</f>
        <v>0</v>
      </c>
      <c r="BD900" s="112" t="n">
        <f aca="true">IFERROR(SUMPRODUCT(OFFSET($BJ$31,0,1-MIN(60,COLUMN()-29),1,MIN(60,COLUMN()-29)),OFFSET(BD899,0,-MIN(60,COLUMN()-29),1,MIN(60,COLUMN()-29))),0)</f>
        <v>0</v>
      </c>
      <c r="BE900" s="112" t="n">
        <f aca="true">IFERROR(SUMPRODUCT(OFFSET($BJ$31,0,1-MIN(60,COLUMN()-29),1,MIN(60,COLUMN()-29)),OFFSET(BE899,0,-MIN(60,COLUMN()-29),1,MIN(60,COLUMN()-29))),0)</f>
        <v>0</v>
      </c>
      <c r="BF900" s="112" t="n">
        <f aca="true">IFERROR(SUMPRODUCT(OFFSET($BJ$31,0,1-MIN(60,COLUMN()-29),1,MIN(60,COLUMN()-29)),OFFSET(BF899,0,-MIN(60,COLUMN()-29),1,MIN(60,COLUMN()-29))),0)</f>
        <v>0</v>
      </c>
      <c r="BG900" s="112" t="n">
        <f aca="true">IFERROR(SUMPRODUCT(OFFSET($BJ$31,0,1-MIN(60,COLUMN()-29),1,MIN(60,COLUMN()-29)),OFFSET(BG899,0,-MIN(60,COLUMN()-29),1,MIN(60,COLUMN()-29))),0)</f>
        <v>0</v>
      </c>
      <c r="BH900" s="112" t="n">
        <f aca="true">IFERROR(SUMPRODUCT(OFFSET($BJ$31,0,1-MIN(60,COLUMN()-29),1,MIN(60,COLUMN()-29)),OFFSET(BH899,0,-MIN(60,COLUMN()-29),1,MIN(60,COLUMN()-29))),0)</f>
        <v>0</v>
      </c>
      <c r="BI900" s="112" t="n">
        <f aca="true">IFERROR(SUMPRODUCT(OFFSET($BJ$31,0,1-MIN(60,COLUMN()-29),1,MIN(60,COLUMN()-29)),OFFSET(BI899,0,-MIN(60,COLUMN()-29),1,MIN(60,COLUMN()-29))),0)</f>
        <v>0</v>
      </c>
      <c r="BJ900" s="112" t="n">
        <f aca="true">IFERROR(SUMPRODUCT(OFFSET($BJ$31,0,1-MIN(60,COLUMN()-29),1,MIN(60,COLUMN()-29)),OFFSET(BJ899,0,-MIN(60,COLUMN()-29),1,MIN(60,COLUMN()-29))),0)</f>
        <v>0</v>
      </c>
      <c r="BK900" s="112" t="n">
        <f aca="true">IFERROR(SUMPRODUCT(OFFSET($BJ$31,0,1-MIN(60,COLUMN()-29),1,MIN(60,COLUMN()-29)),OFFSET(BK899,0,-MIN(60,COLUMN()-29),1,MIN(60,COLUMN()-29))),0)</f>
        <v>0</v>
      </c>
      <c r="BL900" s="112" t="n">
        <f aca="true">IFERROR(SUMPRODUCT(OFFSET($BJ$31,0,1-MIN(60,COLUMN()-29),1,MIN(60,COLUMN()-29)),OFFSET(BL899,0,-MIN(60,COLUMN()-29),1,MIN(60,COLUMN()-29))),0)</f>
        <v>0</v>
      </c>
      <c r="BM900" s="112" t="n">
        <f aca="true">IFERROR(SUMPRODUCT(OFFSET($BJ$31,0,1-MIN(60,COLUMN()-29),1,MIN(60,COLUMN()-29)),OFFSET(BM899,0,-MIN(60,COLUMN()-29),1,MIN(60,COLUMN()-29))),0)</f>
        <v>0</v>
      </c>
      <c r="BN900" s="112" t="n">
        <f aca="true">IFERROR(SUMPRODUCT(OFFSET($BJ$31,0,1-MIN(60,COLUMN()-29),1,MIN(60,COLUMN()-29)),OFFSET(BN899,0,-MIN(60,COLUMN()-29),1,MIN(60,COLUMN()-29))),0)</f>
        <v>0</v>
      </c>
      <c r="BO900" s="112" t="n">
        <f aca="true">IFERROR(SUMPRODUCT(OFFSET($BJ$31,0,1-MIN(60,COLUMN()-29),1,MIN(60,COLUMN()-29)),OFFSET(BO899,0,-MIN(60,COLUMN()-29),1,MIN(60,COLUMN()-29))),0)</f>
        <v>0</v>
      </c>
      <c r="BP900" s="112" t="n">
        <f aca="true">IFERROR(SUMPRODUCT(OFFSET($BJ$31,0,1-MIN(60,COLUMN()-29),1,MIN(60,COLUMN()-29)),OFFSET(BP899,0,-MIN(60,COLUMN()-29),1,MIN(60,COLUMN()-29))),0)</f>
        <v>0</v>
      </c>
      <c r="BQ900" s="112" t="n">
        <f aca="true">IFERROR(SUMPRODUCT(OFFSET($BJ$31,0,1-MIN(60,COLUMN()-29),1,MIN(60,COLUMN()-29)),OFFSET(BQ899,0,-MIN(60,COLUMN()-29),1,MIN(60,COLUMN()-29))),0)</f>
        <v>0</v>
      </c>
      <c r="BR900" s="112" t="n">
        <f aca="true">IFERROR(SUMPRODUCT(OFFSET($BJ$31,0,1-MIN(60,COLUMN()-29),1,MIN(60,COLUMN()-29)),OFFSET(BR899,0,-MIN(60,COLUMN()-29),1,MIN(60,COLUMN()-29))),0)</f>
        <v>0</v>
      </c>
      <c r="BS900" s="112" t="n">
        <f aca="true">IFERROR(SUMPRODUCT(OFFSET($BJ$31,0,1-MIN(60,COLUMN()-29),1,MIN(60,COLUMN()-29)),OFFSET(BS899,0,-MIN(60,COLUMN()-29),1,MIN(60,COLUMN()-29))),0)</f>
        <v>0</v>
      </c>
      <c r="BT900" s="112" t="n">
        <f aca="true">IFERROR(SUMPRODUCT(OFFSET($BJ$31,0,1-MIN(60,COLUMN()-29),1,MIN(60,COLUMN()-29)),OFFSET(BT899,0,-MIN(60,COLUMN()-29),1,MIN(60,COLUMN()-29))),0)</f>
        <v>0</v>
      </c>
      <c r="BU900" s="112" t="n">
        <f aca="true">IFERROR(SUMPRODUCT(OFFSET($BJ$31,0,1-MIN(60,COLUMN()-29),1,MIN(60,COLUMN()-29)),OFFSET(BU899,0,-MIN(60,COLUMN()-29),1,MIN(60,COLUMN()-29))),0)</f>
        <v>0</v>
      </c>
      <c r="BV900" s="112" t="n">
        <f aca="true">IFERROR(SUMPRODUCT(OFFSET($BJ$31,0,1-MIN(60,COLUMN()-29),1,MIN(60,COLUMN()-29)),OFFSET(BV899,0,-MIN(60,COLUMN()-29),1,MIN(60,COLUMN()-29))),0)</f>
        <v>0</v>
      </c>
      <c r="BW900" s="112" t="n">
        <f aca="true">IFERROR(SUMPRODUCT(OFFSET($BJ$31,0,1-MIN(60,COLUMN()-29),1,MIN(60,COLUMN()-29)),OFFSET(BW899,0,-MIN(60,COLUMN()-29),1,MIN(60,COLUMN()-29))),0)</f>
        <v>0</v>
      </c>
      <c r="BX900" s="112" t="n">
        <f aca="true">IFERROR(SUMPRODUCT(OFFSET($BJ$31,0,1-MIN(60,COLUMN()-29),1,MIN(60,COLUMN()-29)),OFFSET(BX899,0,-MIN(60,COLUMN()-29),1,MIN(60,COLUMN()-29))),0)</f>
        <v>0</v>
      </c>
      <c r="BY900" s="112" t="n">
        <f aca="true">IFERROR(SUMPRODUCT(OFFSET($BJ$31,0,1-MIN(60,COLUMN()-29),1,MIN(60,COLUMN()-29)),OFFSET(BY899,0,-MIN(60,COLUMN()-29),1,MIN(60,COLUMN()-29))),0)</f>
        <v>0</v>
      </c>
      <c r="BZ900" s="112" t="n">
        <f aca="true">IFERROR(SUMPRODUCT(OFFSET($BJ$31,0,1-MIN(60,COLUMN()-29),1,MIN(60,COLUMN()-29)),OFFSET(BZ899,0,-MIN(60,COLUMN()-29),1,MIN(60,COLUMN()-29))),0)</f>
        <v>0</v>
      </c>
      <c r="CA900" s="112" t="n">
        <f aca="true">IFERROR(SUMPRODUCT(OFFSET($BJ$31,0,1-MIN(60,COLUMN()-29),1,MIN(60,COLUMN()-29)),OFFSET(CA899,0,-MIN(60,COLUMN()-29),1,MIN(60,COLUMN()-29))),0)</f>
        <v>0</v>
      </c>
      <c r="CB900" s="112" t="n">
        <f aca="true">IFERROR(SUMPRODUCT(OFFSET($BJ$31,0,1-MIN(60,COLUMN()-29),1,MIN(60,COLUMN()-29)),OFFSET(CB899,0,-MIN(60,COLUMN()-29),1,MIN(60,COLUMN()-29))),0)</f>
        <v>0</v>
      </c>
      <c r="CC900" s="112" t="n">
        <f aca="true">IFERROR(SUMPRODUCT(OFFSET($BJ$31,0,1-MIN(60,COLUMN()-29),1,MIN(60,COLUMN()-29)),OFFSET(CC899,0,-MIN(60,COLUMN()-29),1,MIN(60,COLUMN()-29))),0)</f>
        <v>0</v>
      </c>
      <c r="CD900" s="112" t="n">
        <f aca="true">IFERROR(SUMPRODUCT(OFFSET($BJ$31,0,1-MIN(60,COLUMN()-29),1,MIN(60,COLUMN()-29)),OFFSET(CD899,0,-MIN(60,COLUMN()-29),1,MIN(60,COLUMN()-29))),0)</f>
        <v>0</v>
      </c>
      <c r="CE900" s="112" t="n">
        <f aca="true">IFERROR(SUMPRODUCT(OFFSET($BJ$31,0,1-MIN(60,COLUMN()-29),1,MIN(60,COLUMN()-29)),OFFSET(CE899,0,-MIN(60,COLUMN()-29),1,MIN(60,COLUMN()-29))),0)</f>
        <v>0</v>
      </c>
      <c r="CF900" s="112" t="n">
        <f aca="true">IFERROR(SUMPRODUCT(OFFSET($BJ$31,0,1-MIN(60,COLUMN()-29),1,MIN(60,COLUMN()-29)),OFFSET(CF899,0,-MIN(60,COLUMN()-29),1,MIN(60,COLUMN()-29))),0)</f>
        <v>0</v>
      </c>
      <c r="CG900" s="112" t="n">
        <f aca="true">IFERROR(SUMPRODUCT(OFFSET($BJ$31,0,1-MIN(60,COLUMN()-29),1,MIN(60,COLUMN()-29)),OFFSET(CG899,0,-MIN(60,COLUMN()-29),1,MIN(60,COLUMN()-29))),0)</f>
        <v>0</v>
      </c>
      <c r="CH900" s="112" t="n">
        <f aca="true">IFERROR(SUMPRODUCT(OFFSET($BJ$31,0,1-MIN(60,COLUMN()-29),1,MIN(60,COLUMN()-29)),OFFSET(CH899,0,-MIN(60,COLUMN()-29),1,MIN(60,COLUMN()-29))),0)</f>
        <v>0</v>
      </c>
      <c r="CI900" s="112" t="n">
        <f aca="true">IFERROR(SUMPRODUCT(OFFSET($BJ$31,0,1-MIN(60,COLUMN()-29),1,MIN(60,COLUMN()-29)),OFFSET(CI899,0,-MIN(60,COLUMN()-29),1,MIN(60,COLUMN()-29))),0)</f>
        <v>0</v>
      </c>
      <c r="CJ900" s="112" t="n">
        <f aca="true">IFERROR(SUMPRODUCT(OFFSET($BJ$31,0,1-MIN(60,COLUMN()-29),1,MIN(60,COLUMN()-29)),OFFSET(CJ899,0,-MIN(60,COLUMN()-29),1,MIN(60,COLUMN()-29))),0)</f>
        <v>0</v>
      </c>
      <c r="CK900" s="112" t="n">
        <f aca="true">IFERROR(SUMPRODUCT(OFFSET($BJ$31,0,1-MIN(60,COLUMN()-29),1,MIN(60,COLUMN()-29)),OFFSET(CK899,0,-MIN(60,COLUMN()-29),1,MIN(60,COLUMN()-29))),0)</f>
        <v>0</v>
      </c>
      <c r="CL900" s="112" t="n">
        <f aca="true">IFERROR(SUMPRODUCT(OFFSET($BJ$31,0,1-MIN(60,COLUMN()-29),1,MIN(60,COLUMN()-29)),OFFSET(CL899,0,-MIN(60,COLUMN()-29),1,MIN(60,COLUMN()-29))),0)</f>
        <v>0</v>
      </c>
      <c r="CM900" s="112" t="n">
        <f aca="true">IFERROR(SUMPRODUCT(OFFSET($BJ$31,0,1-MIN(60,COLUMN()-29),1,MIN(60,COLUMN()-29)),OFFSET(CM899,0,-MIN(60,COLUMN()-29),1,MIN(60,COLUMN()-29))),0)</f>
        <v>0</v>
      </c>
      <c r="CN900" s="112" t="n">
        <f aca="true">IFERROR(SUMPRODUCT(OFFSET($BJ$31,0,1-MIN(60,COLUMN()-29),1,MIN(60,COLUMN()-29)),OFFSET(CN899,0,-MIN(60,COLUMN()-29),1,MIN(60,COLUMN()-29))),0)</f>
        <v>0</v>
      </c>
      <c r="CO900" s="112" t="n">
        <f aca="true">IFERROR(SUMPRODUCT(OFFSET($BJ$31,0,1-MIN(60,COLUMN()-29),1,MIN(60,COLUMN()-29)),OFFSET(CO899,0,-MIN(60,COLUMN()-29),1,MIN(60,COLUMN()-29))),0)</f>
        <v>0</v>
      </c>
      <c r="CP900" s="112" t="n">
        <f aca="true">IFERROR(SUMPRODUCT(OFFSET($BJ$31,0,1-MIN(60,COLUMN()-29),1,MIN(60,COLUMN()-29)),OFFSET(CP899,0,-MIN(60,COLUMN()-29),1,MIN(60,COLUMN()-29))),0)</f>
        <v>0</v>
      </c>
      <c r="CQ900" s="112" t="n">
        <f aca="true">IFERROR(SUMPRODUCT(OFFSET($BJ$31,0,1-MIN(60,COLUMN()-29),1,MIN(60,COLUMN()-29)),OFFSET(CQ899,0,-MIN(60,COLUMN()-29),1,MIN(60,COLUMN()-29))),0)</f>
        <v>0</v>
      </c>
      <c r="CR900" s="112" t="n">
        <f aca="true">IFERROR(SUMPRODUCT(OFFSET($BJ$31,0,1-MIN(60,COLUMN()-29),1,MIN(60,COLUMN()-29)),OFFSET(CR899,0,-MIN(60,COLUMN()-29),1,MIN(60,COLUMN()-29))),0)</f>
        <v>0</v>
      </c>
      <c r="CS900" s="112" t="n">
        <f aca="true">IFERROR(SUMPRODUCT(OFFSET($BJ$31,0,1-MIN(60,COLUMN()-29),1,MIN(60,COLUMN()-29)),OFFSET(CS899,0,-MIN(60,COLUMN()-29),1,MIN(60,COLUMN()-29))),0)</f>
        <v>0</v>
      </c>
      <c r="CT900" s="112" t="n">
        <f aca="true">IFERROR(SUMPRODUCT(OFFSET($BJ$31,0,1-MIN(60,COLUMN()-29),1,MIN(60,COLUMN()-29)),OFFSET(CT899,0,-MIN(60,COLUMN()-29),1,MIN(60,COLUMN()-29))),0)</f>
        <v>0</v>
      </c>
      <c r="CU900" s="112" t="n">
        <f aca="true">IFERROR(SUMPRODUCT(OFFSET($BJ$31,0,1-MIN(60,COLUMN()-29),1,MIN(60,COLUMN()-29)),OFFSET(CU899,0,-MIN(60,COLUMN()-29),1,MIN(60,COLUMN()-29))),0)</f>
        <v>0</v>
      </c>
      <c r="CV900" s="112" t="n">
        <f aca="true">IFERROR(SUMPRODUCT(OFFSET($BJ$31,0,1-MIN(60,COLUMN()-29),1,MIN(60,COLUMN()-29)),OFFSET(CV899,0,-MIN(60,COLUMN()-29),1,MIN(60,COLUMN()-29))),0)</f>
        <v>0</v>
      </c>
      <c r="CW900" s="112" t="n">
        <f aca="true">IFERROR(SUMPRODUCT(OFFSET($BJ$31,0,1-MIN(60,COLUMN()-29),1,MIN(60,COLUMN()-29)),OFFSET(CW899,0,-MIN(60,COLUMN()-29),1,MIN(60,COLUMN()-29))),0)</f>
        <v>0</v>
      </c>
      <c r="CX900" s="112" t="n">
        <f aca="true">IFERROR(SUMPRODUCT(OFFSET($BJ$31,0,1-MIN(60,COLUMN()-29),1,MIN(60,COLUMN()-29)),OFFSET(CX899,0,-MIN(60,COLUMN()-29),1,MIN(60,COLUMN()-29))),0)</f>
        <v>0</v>
      </c>
      <c r="CY900" s="112" t="n">
        <f aca="true">IFERROR(SUMPRODUCT(OFFSET($BJ$31,0,1-MIN(60,COLUMN()-29),1,MIN(60,COLUMN()-29)),OFFSET(CY899,0,-MIN(60,COLUMN()-29),1,MIN(60,COLUMN()-29))),0)</f>
        <v>0</v>
      </c>
      <c r="CZ900" s="112" t="n">
        <f aca="true">IFERROR(SUMPRODUCT(OFFSET($BJ$31,0,1-MIN(60,COLUMN()-29),1,MIN(60,COLUMN()-29)),OFFSET(CZ899,0,-MIN(60,COLUMN()-29),1,MIN(60,COLUMN()-29))),0)</f>
        <v>0</v>
      </c>
      <c r="DA900" s="112" t="n">
        <f aca="true">IFERROR(SUMPRODUCT(OFFSET($BJ$31,0,1-MIN(60,COLUMN()-29),1,MIN(60,COLUMN()-29)),OFFSET(DA899,0,-MIN(60,COLUMN()-29),1,MIN(60,COLUMN()-29))),0)</f>
        <v>0</v>
      </c>
      <c r="DB900" s="112" t="n">
        <f aca="true">IFERROR(SUMPRODUCT(OFFSET($BJ$31,0,1-MIN(60,COLUMN()-29),1,MIN(60,COLUMN()-29)),OFFSET(DB899,0,-MIN(60,COLUMN()-29),1,MIN(60,COLUMN()-29))),0)</f>
        <v>0</v>
      </c>
      <c r="DC900" s="112" t="n">
        <f aca="true">IFERROR(SUMPRODUCT(OFFSET($BJ$31,0,1-MIN(60,COLUMN()-29),1,MIN(60,COLUMN()-29)),OFFSET(DC899,0,-MIN(60,COLUMN()-29),1,MIN(60,COLUMN()-29))),0)</f>
        <v>0</v>
      </c>
      <c r="DD900" s="112" t="n">
        <f aca="true">IFERROR(SUMPRODUCT(OFFSET($BJ$31,0,1-MIN(60,COLUMN()-29),1,MIN(60,COLUMN()-29)),OFFSET(DD899,0,-MIN(60,COLUMN()-29),1,MIN(60,COLUMN()-29))),0)</f>
        <v>0</v>
      </c>
      <c r="DE900" s="112" t="n">
        <f aca="true">IFERROR(SUMPRODUCT(OFFSET($BJ$31,0,1-MIN(60,COLUMN()-29),1,MIN(60,COLUMN()-29)),OFFSET(DE899,0,-MIN(60,COLUMN()-29),1,MIN(60,COLUMN()-29))),0)</f>
        <v>0</v>
      </c>
      <c r="DF900" s="112" t="n">
        <f aca="true">IFERROR(SUMPRODUCT(OFFSET($BJ$31,0,1-MIN(60,COLUMN()-29),1,MIN(60,COLUMN()-29)),OFFSET(DF899,0,-MIN(60,COLUMN()-29),1,MIN(60,COLUMN()-29))),0)</f>
        <v>0</v>
      </c>
      <c r="DG900" s="112" t="n">
        <f aca="true">IFERROR(SUMPRODUCT(OFFSET($BJ$31,0,1-MIN(60,COLUMN()-29),1,MIN(60,COLUMN()-29)),OFFSET(DG899,0,-MIN(60,COLUMN()-29),1,MIN(60,COLUMN()-29))),0)</f>
        <v>0</v>
      </c>
      <c r="DH900" s="112" t="n">
        <f aca="true">IFERROR(SUMPRODUCT(OFFSET($BJ$31,0,1-MIN(60,COLUMN()-29),1,MIN(60,COLUMN()-29)),OFFSET(DH899,0,-MIN(60,COLUMN()-29),1,MIN(60,COLUMN()-29))),0)</f>
        <v>0</v>
      </c>
      <c r="DI900" s="112" t="n">
        <f aca="true">IFERROR(SUMPRODUCT(OFFSET($BJ$31,0,1-MIN(60,COLUMN()-29),1,MIN(60,COLUMN()-29)),OFFSET(DI899,0,-MIN(60,COLUMN()-29),1,MIN(60,COLUMN()-29))),0)</f>
        <v>0</v>
      </c>
      <c r="DJ900" s="112" t="n">
        <f aca="true">IFERROR(SUMPRODUCT(OFFSET($BJ$31,0,1-MIN(60,COLUMN()-29),1,MIN(60,COLUMN()-29)),OFFSET(DJ899,0,-MIN(60,COLUMN()-29),1,MIN(60,COLUMN()-29))),0)</f>
        <v>0</v>
      </c>
      <c r="DK900" s="112" t="n">
        <f aca="true">IFERROR(SUMPRODUCT(OFFSET($BJ$31,0,1-MIN(60,COLUMN()-29),1,MIN(60,COLUMN()-29)),OFFSET(DK899,0,-MIN(60,COLUMN()-29),1,MIN(60,COLUMN()-29))),0)</f>
        <v>0</v>
      </c>
      <c r="DL900" s="112" t="n">
        <f aca="true">IFERROR(SUMPRODUCT(OFFSET($BJ$31,0,1-MIN(60,COLUMN()-29),1,MIN(60,COLUMN()-29)),OFFSET(DL899,0,-MIN(60,COLUMN()-29),1,MIN(60,COLUMN()-29))),0)</f>
        <v>0</v>
      </c>
      <c r="DM900" s="112" t="n">
        <f aca="true">IFERROR(SUMPRODUCT(OFFSET($BJ$31,0,1-MIN(60,COLUMN()-29),1,MIN(60,COLUMN()-29)),OFFSET(DM899,0,-MIN(60,COLUMN()-29),1,MIN(60,COLUMN()-29))),0)</f>
        <v>0</v>
      </c>
      <c r="DN900" s="112" t="n">
        <f aca="true">IFERROR(SUMPRODUCT(OFFSET($BJ$31,0,1-MIN(60,COLUMN()-29),1,MIN(60,COLUMN()-29)),OFFSET(DN899,0,-MIN(60,COLUMN()-29),1,MIN(60,COLUMN()-29))),0)</f>
        <v>0</v>
      </c>
      <c r="DO900" s="112" t="n">
        <f aca="true">IFERROR(SUMPRODUCT(OFFSET($BJ$31,0,1-MIN(60,COLUMN()-29),1,MIN(60,COLUMN()-29)),OFFSET(DO899,0,-MIN(60,COLUMN()-29),1,MIN(60,COLUMN()-29))),0)</f>
        <v>0</v>
      </c>
      <c r="DP900" s="112" t="n">
        <f aca="true">IFERROR(SUMPRODUCT(OFFSET($BJ$31,0,1-MIN(60,COLUMN()-29),1,MIN(60,COLUMN()-29)),OFFSET(DP899,0,-MIN(60,COLUMN()-29),1,MIN(60,COLUMN()-29))),0)</f>
        <v>0</v>
      </c>
      <c r="DQ900" s="112" t="n">
        <f aca="true">IFERROR(SUMPRODUCT(OFFSET($BJ$31,0,1-MIN(60,COLUMN()-29),1,MIN(60,COLUMN()-29)),OFFSET(DQ899,0,-MIN(60,COLUMN()-29),1,MIN(60,COLUMN()-29))),0)</f>
        <v>0</v>
      </c>
      <c r="DR900" s="112" t="n">
        <f aca="true">IFERROR(SUMPRODUCT(OFFSET($BJ$31,0,1-MIN(60,COLUMN()-29),1,MIN(60,COLUMN()-29)),OFFSET(DR899,0,-MIN(60,COLUMN()-29),1,MIN(60,COLUMN()-29))),0)</f>
        <v>0</v>
      </c>
      <c r="DS900" s="112" t="n">
        <f aca="true">IFERROR(SUMPRODUCT(OFFSET($BJ$31,0,1-MIN(60,COLUMN()-29),1,MIN(60,COLUMN()-29)),OFFSET(DS899,0,-MIN(60,COLUMN()-29),1,MIN(60,COLUMN()-29))),0)</f>
        <v>0</v>
      </c>
      <c r="DT900" s="112" t="n">
        <f aca="true">IFERROR(SUMPRODUCT(OFFSET($BJ$31,0,1-MIN(60,COLUMN()-29),1,MIN(60,COLUMN()-29)),OFFSET(DT899,0,-MIN(60,COLUMN()-29),1,MIN(60,COLUMN()-29))),0)</f>
        <v>0</v>
      </c>
      <c r="DU900" s="112" t="n">
        <f aca="true">IFERROR(SUMPRODUCT(OFFSET($BJ$31,0,1-MIN(60,COLUMN()-29),1,MIN(60,COLUMN()-29)),OFFSET(DU899,0,-MIN(60,COLUMN()-29),1,MIN(60,COLUMN()-29))),0)</f>
        <v>0</v>
      </c>
      <c r="DV900" s="112" t="n">
        <f aca="true">IFERROR(SUMPRODUCT(OFFSET($BJ$31,0,1-MIN(60,COLUMN()-29),1,MIN(60,COLUMN()-29)),OFFSET(DV899,0,-MIN(60,COLUMN()-29),1,MIN(60,COLUMN()-29))),0)</f>
        <v>0</v>
      </c>
      <c r="DW900" s="112" t="n">
        <f aca="true">IFERROR(SUMPRODUCT(OFFSET($BJ$31,0,1-MIN(60,COLUMN()-29),1,MIN(60,COLUMN()-29)),OFFSET(DW899,0,-MIN(60,COLUMN()-29),1,MIN(60,COLUMN()-29))),0)</f>
        <v>0</v>
      </c>
      <c r="DX900" s="112" t="n">
        <f aca="true">IFERROR(SUMPRODUCT(OFFSET($BJ$31,0,1-MIN(60,COLUMN()-29),1,MIN(60,COLUMN()-29)),OFFSET(DX899,0,-MIN(60,COLUMN()-29),1,MIN(60,COLUMN()-29))),0)</f>
        <v>0</v>
      </c>
      <c r="DY900" s="112" t="n">
        <f aca="true">IFERROR(SUMPRODUCT(OFFSET($BJ$31,0,1-MIN(60,COLUMN()-29),1,MIN(60,COLUMN()-29)),OFFSET(DY899,0,-MIN(60,COLUMN()-29),1,MIN(60,COLUMN()-29))),0)</f>
        <v>0</v>
      </c>
      <c r="DZ900" s="112" t="n">
        <f aca="true">IFERROR(SUMPRODUCT(OFFSET($BJ$31,0,1-MIN(60,COLUMN()-29),1,MIN(60,COLUMN()-29)),OFFSET(DZ899,0,-MIN(60,COLUMN()-29),1,MIN(60,COLUMN()-29))),0)</f>
        <v>0</v>
      </c>
      <c r="EA900" s="112" t="n">
        <f aca="true">IFERROR(SUMPRODUCT(OFFSET($BJ$31,0,1-MIN(60,COLUMN()-29),1,MIN(60,COLUMN()-29)),OFFSET(EA899,0,-MIN(60,COLUMN()-29),1,MIN(60,COLUMN()-29))),0)</f>
        <v>0</v>
      </c>
      <c r="EB900" s="112" t="n">
        <f aca="true">IFERROR(SUMPRODUCT(OFFSET($BJ$31,0,1-MIN(60,COLUMN()-29),1,MIN(60,COLUMN()-29)),OFFSET(EB899,0,-MIN(60,COLUMN()-29),1,MIN(60,COLUMN()-29))),0)</f>
        <v>0</v>
      </c>
      <c r="EC900" s="112" t="n">
        <f aca="true">IFERROR(SUMPRODUCT(OFFSET($BJ$31,0,1-MIN(60,COLUMN()-29),1,MIN(60,COLUMN()-29)),OFFSET(EC899,0,-MIN(60,COLUMN()-29),1,MIN(60,COLUMN()-29))),0)</f>
        <v>0</v>
      </c>
      <c r="ED900" s="112" t="n">
        <f aca="true">IFERROR(SUMPRODUCT(OFFSET($BJ$31,0,1-MIN(60,COLUMN()-29),1,MIN(60,COLUMN()-29)),OFFSET(ED899,0,-MIN(60,COLUMN()-29),1,MIN(60,COLUMN()-29))),0)</f>
        <v>0</v>
      </c>
      <c r="EE900" s="112" t="n">
        <f aca="true">IFERROR(SUMPRODUCT(OFFSET($BJ$31,0,1-MIN(60,COLUMN()-29),1,MIN(60,COLUMN()-29)),OFFSET(EE899,0,-MIN(60,COLUMN()-29),1,MIN(60,COLUMN()-29))),0)</f>
        <v>0</v>
      </c>
      <c r="EF900" s="112" t="n">
        <f aca="true">IFERROR(SUMPRODUCT(OFFSET($BJ$31,0,1-MIN(60,COLUMN()-29),1,MIN(60,COLUMN()-29)),OFFSET(EF899,0,-MIN(60,COLUMN()-29),1,MIN(60,COLUMN()-29))),0)</f>
        <v>0</v>
      </c>
      <c r="EG900" s="112" t="n">
        <f aca="true">IFERROR(SUMPRODUCT(OFFSET($BJ$31,0,1-MIN(60,COLUMN()-29),1,MIN(60,COLUMN()-29)),OFFSET(EG899,0,-MIN(60,COLUMN()-29),1,MIN(60,COLUMN()-29))),0)</f>
        <v>0</v>
      </c>
      <c r="EH900" s="112" t="n">
        <f aca="true">IFERROR(SUMPRODUCT(OFFSET($BJ$31,0,1-MIN(60,COLUMN()-29),1,MIN(60,COLUMN()-29)),OFFSET(EH899,0,-MIN(60,COLUMN()-29),1,MIN(60,COLUMN()-29))),0)</f>
        <v>0</v>
      </c>
      <c r="EI900" s="112" t="n">
        <f aca="true">IFERROR(SUMPRODUCT(OFFSET($BJ$31,0,1-MIN(60,COLUMN()-29),1,MIN(60,COLUMN()-29)),OFFSET(EI899,0,-MIN(60,COLUMN()-29),1,MIN(60,COLUMN()-29))),0)</f>
        <v>0</v>
      </c>
      <c r="EJ900" s="112" t="n">
        <f aca="true">IFERROR(SUMPRODUCT(OFFSET($BJ$31,0,1-MIN(60,COLUMN()-29),1,MIN(60,COLUMN()-29)),OFFSET(EJ899,0,-MIN(60,COLUMN()-29),1,MIN(60,COLUMN()-29))),0)</f>
        <v>0</v>
      </c>
      <c r="EK900" s="112" t="n">
        <f aca="true">IFERROR(SUMPRODUCT(OFFSET($BJ$31,0,1-MIN(60,COLUMN()-29),1,MIN(60,COLUMN()-29)),OFFSET(EK899,0,-MIN(60,COLUMN()-29),1,MIN(60,COLUMN()-29))),0)</f>
        <v>0</v>
      </c>
      <c r="EL900" s="112" t="n">
        <f aca="true">IFERROR(SUMPRODUCT(OFFSET($BJ$31,0,1-MIN(60,COLUMN()-29),1,MIN(60,COLUMN()-29)),OFFSET(EL899,0,-MIN(60,COLUMN()-29),1,MIN(60,COLUMN()-29))),0)</f>
        <v>0</v>
      </c>
      <c r="EM900" s="112" t="n">
        <f aca="true">IFERROR(SUMPRODUCT(OFFSET($BJ$31,0,1-MIN(60,COLUMN()-29),1,MIN(60,COLUMN()-29)),OFFSET(EM899,0,-MIN(60,COLUMN()-29),1,MIN(60,COLUMN()-29))),0)</f>
        <v>0</v>
      </c>
      <c r="EN900" s="112" t="n">
        <f aca="true">IFERROR(SUMPRODUCT(OFFSET($BJ$31,0,1-MIN(60,COLUMN()-29),1,MIN(60,COLUMN()-29)),OFFSET(EN899,0,-MIN(60,COLUMN()-29),1,MIN(60,COLUMN()-29))),0)</f>
        <v>0</v>
      </c>
      <c r="EO900" s="112" t="n">
        <f aca="true">IFERROR(SUMPRODUCT(OFFSET($BJ$31,0,1-MIN(60,COLUMN()-29),1,MIN(60,COLUMN()-29)),OFFSET(EO899,0,-MIN(60,COLUMN()-29),1,MIN(60,COLUMN()-29))),0)</f>
        <v>0</v>
      </c>
      <c r="EP900" s="112" t="n">
        <f aca="true">IFERROR(SUMPRODUCT(OFFSET($BJ$31,0,1-MIN(60,COLUMN()-29),1,MIN(60,COLUMN()-29)),OFFSET(EP899,0,-MIN(60,COLUMN()-29),1,MIN(60,COLUMN()-29))),0)</f>
        <v>0</v>
      </c>
      <c r="EQ900" s="112" t="n">
        <f aca="true">IFERROR(SUMPRODUCT(OFFSET($BJ$31,0,1-MIN(60,COLUMN()-29),1,MIN(60,COLUMN()-29)),OFFSET(EQ899,0,-MIN(60,COLUMN()-29),1,MIN(60,COLUMN()-29))),0)</f>
        <v>0</v>
      </c>
      <c r="ER900" s="112" t="n">
        <f aca="true">IFERROR(SUMPRODUCT(OFFSET($BJ$31,0,1-MIN(60,COLUMN()-29),1,MIN(60,COLUMN()-29)),OFFSET(ER899,0,-MIN(60,COLUMN()-29),1,MIN(60,COLUMN()-29))),0)</f>
        <v>0</v>
      </c>
      <c r="ES900" s="9" t="n">
        <f aca="true">IFERROR(SUMPRODUCT(OFFSET($BJ$31,0,1-MIN(60,COLUMN()-29),1,MIN(60,COLUMN()-29)),OFFSET(ES899,0,-MIN(60,COLUMN()-29),1,MIN(60,COLUMN()-29))),0)</f>
        <v>0</v>
      </c>
      <c r="ET900" s="9" t="n">
        <f aca="true">IFERROR(SUMPRODUCT(OFFSET($BJ$31,0,1-MIN(60,COLUMN()-29),1,MIN(60,COLUMN()-29)),OFFSET(ET899,0,-MIN(60,COLUMN()-29),1,MIN(60,COLUMN()-29))),0)</f>
        <v>0</v>
      </c>
      <c r="EU900" s="9" t="n">
        <f aca="true">IFERROR(SUMPRODUCT(OFFSET($BJ$31,0,1-MIN(60,COLUMN()-29),1,MIN(60,COLUMN()-29)),OFFSET(EU899,0,-MIN(60,COLUMN()-29),1,MIN(60,COLUMN()-29))),0)</f>
        <v>0</v>
      </c>
      <c r="EV900" s="9" t="n">
        <f aca="true">IFERROR(SUMPRODUCT(OFFSET($BJ$31,0,1-MIN(60,COLUMN()-29),1,MIN(60,COLUMN()-29)),OFFSET(EV899,0,-MIN(60,COLUMN()-29),1,MIN(60,COLUMN()-29))),0)</f>
        <v>0</v>
      </c>
      <c r="EW900" s="9" t="n">
        <f aca="true">IFERROR(SUMPRODUCT(OFFSET($BJ$31,0,1-MIN(60,COLUMN()-29),1,MIN(60,COLUMN()-29)),OFFSET(EW899,0,-MIN(60,COLUMN()-29),1,MIN(60,COLUMN()-29))),0)</f>
        <v>0</v>
      </c>
      <c r="EX900" s="9" t="n">
        <f aca="true">IFERROR(SUMPRODUCT(OFFSET($BJ$31,0,1-MIN(60,COLUMN()-29),1,MIN(60,COLUMN()-29)),OFFSET(EX899,0,-MIN(60,COLUMN()-29),1,MIN(60,COLUMN()-29))),0)</f>
        <v>0</v>
      </c>
      <c r="EY900" s="9" t="n">
        <f aca="true">IFERROR(SUMPRODUCT(OFFSET($BJ$31,0,1-MIN(60,COLUMN()-29),1,MIN(60,COLUMN()-29)),OFFSET(EY899,0,-MIN(60,COLUMN()-29),1,MIN(60,COLUMN()-29))),0)</f>
        <v>0</v>
      </c>
      <c r="EZ900" s="9" t="n">
        <f aca="true">IFERROR(SUMPRODUCT(OFFSET($BJ$31,0,1-MIN(60,COLUMN()-29),1,MIN(60,COLUMN()-29)),OFFSET(EZ899,0,-MIN(60,COLUMN()-29),1,MIN(60,COLUMN()-29))),0)</f>
        <v>0</v>
      </c>
      <c r="FA900" s="9" t="n">
        <f aca="true">IFERROR(SUMPRODUCT(OFFSET($BJ$31,0,1-MIN(60,COLUMN()-29),1,MIN(60,COLUMN()-29)),OFFSET(FA899,0,-MIN(60,COLUMN()-29),1,MIN(60,COLUMN()-29))),0)</f>
        <v>0</v>
      </c>
      <c r="FB900" s="9" t="n">
        <f aca="true">IFERROR(SUMPRODUCT(OFFSET($BJ$31,0,1-MIN(60,COLUMN()-29),1,MIN(60,COLUMN()-29)),OFFSET(FB899,0,-MIN(60,COLUMN()-29),1,MIN(60,COLUMN()-29))),0)</f>
        <v>0</v>
      </c>
      <c r="FC900" s="9" t="n">
        <f aca="true">IFERROR(SUMPRODUCT(OFFSET($BJ$31,0,1-MIN(60,COLUMN()-29),1,MIN(60,COLUMN()-29)),OFFSET(FC899,0,-MIN(60,COLUMN()-29),1,MIN(60,COLUMN()-29))),0)</f>
        <v>0</v>
      </c>
      <c r="FD900" s="9" t="n">
        <f aca="true">IFERROR(SUMPRODUCT(OFFSET($BJ$31,0,1-MIN(60,COLUMN()-29),1,MIN(60,COLUMN()-29)),OFFSET(FD899,0,-MIN(60,COLUMN()-29),1,MIN(60,COLUMN()-29))),0)</f>
        <v>0</v>
      </c>
      <c r="FE900" s="9" t="n">
        <f aca="true">IFERROR(SUMPRODUCT(OFFSET($BJ$31,0,1-MIN(60,COLUMN()-29),1,MIN(60,COLUMN()-29)),OFFSET(FE899,0,-MIN(60,COLUMN()-29),1,MIN(60,COLUMN()-29))),0)</f>
        <v>0</v>
      </c>
      <c r="FF900" s="9" t="n">
        <f aca="true">IFERROR(SUMPRODUCT(OFFSET($BJ$31,0,1-MIN(60,COLUMN()-29),1,MIN(60,COLUMN()-29)),OFFSET(FF899,0,-MIN(60,COLUMN()-29),1,MIN(60,COLUMN()-29))),0)</f>
        <v>0</v>
      </c>
      <c r="FG900" s="9" t="n">
        <f aca="true">IFERROR(SUMPRODUCT(OFFSET($BJ$31,0,1-MIN(60,COLUMN()-29),1,MIN(60,COLUMN()-29)),OFFSET(FG899,0,-MIN(60,COLUMN()-29),1,MIN(60,COLUMN()-29))),0)</f>
        <v>0</v>
      </c>
      <c r="FH900" s="9" t="n">
        <f aca="true">IFERROR(SUMPRODUCT(OFFSET($BJ$31,0,1-MIN(60,COLUMN()-29),1,MIN(60,COLUMN()-29)),OFFSET(FH899,0,-MIN(60,COLUMN()-29),1,MIN(60,COLUMN()-29))),0)</f>
        <v>0</v>
      </c>
      <c r="FI900" s="9" t="n">
        <f aca="true">IFERROR(SUMPRODUCT(OFFSET($BJ$31,0,1-MIN(60,COLUMN()-29),1,MIN(60,COLUMN()-29)),OFFSET(FI899,0,-MIN(60,COLUMN()-29),1,MIN(60,COLUMN()-29))),0)</f>
        <v>0</v>
      </c>
      <c r="FJ900" s="9" t="n">
        <f aca="true">IFERROR(SUMPRODUCT(OFFSET($BJ$31,0,1-MIN(60,COLUMN()-29),1,MIN(60,COLUMN()-29)),OFFSET(FJ899,0,-MIN(60,COLUMN()-29),1,MIN(60,COLUMN()-29))),0)</f>
        <v>0</v>
      </c>
      <c r="FK900" s="9" t="n">
        <f aca="true">IFERROR(SUMPRODUCT(OFFSET($BJ$31,0,1-MIN(60,COLUMN()-29),1,MIN(60,COLUMN()-29)),OFFSET(FK899,0,-MIN(60,COLUMN()-29),1,MIN(60,COLUMN()-29))),0)</f>
        <v>0</v>
      </c>
      <c r="FL900" s="9" t="n">
        <f aca="true">IFERROR(SUMPRODUCT(OFFSET($BJ$31,0,1-MIN(60,COLUMN()-29),1,MIN(60,COLUMN()-29)),OFFSET(FL899,0,-MIN(60,COLUMN()-29),1,MIN(60,COLUMN()-29))),0)</f>
        <v>0</v>
      </c>
      <c r="FM900" s="9" t="n">
        <f aca="true">IFERROR(SUMPRODUCT(OFFSET($BJ$31,0,1-MIN(60,COLUMN()-29),1,MIN(60,COLUMN()-29)),OFFSET(FM899,0,-MIN(60,COLUMN()-29),1,MIN(60,COLUMN()-29))),0)</f>
        <v>0</v>
      </c>
      <c r="FN900" s="9" t="n">
        <f aca="true">IFERROR(SUMPRODUCT(OFFSET($BJ$31,0,1-MIN(60,COLUMN()-29),1,MIN(60,COLUMN()-29)),OFFSET(FN899,0,-MIN(60,COLUMN()-29),1,MIN(60,COLUMN()-29))),0)</f>
        <v>0</v>
      </c>
      <c r="FO900" s="9" t="n">
        <f aca="true">IFERROR(SUMPRODUCT(OFFSET($BJ$31,0,1-MIN(60,COLUMN()-29),1,MIN(60,COLUMN()-29)),OFFSET(FO899,0,-MIN(60,COLUMN()-29),1,MIN(60,COLUMN()-29))),0)</f>
        <v>5.16096</v>
      </c>
      <c r="FP900" s="9" t="n">
        <f aca="true">IFERROR(SUMPRODUCT(OFFSET($BJ$31,0,1-MIN(60,COLUMN()-29),1,MIN(60,COLUMN()-29)),OFFSET(FP899,0,-MIN(60,COLUMN()-29),1,MIN(60,COLUMN()-29))),0)</f>
        <v>4.967424</v>
      </c>
    </row>
    <row r="901" customFormat="false" ht="15" hidden="false" customHeight="false" outlineLevel="2" collapsed="false">
      <c r="B901" s="90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237"/>
      <c r="AD901" s="237"/>
      <c r="AE901" s="237"/>
      <c r="AF901" s="237"/>
      <c r="AG901" s="237"/>
      <c r="AH901" s="237"/>
      <c r="AI901" s="237"/>
      <c r="AJ901" s="237"/>
      <c r="AK901" s="237"/>
      <c r="AL901" s="237"/>
      <c r="AM901" s="237"/>
      <c r="AN901" s="237"/>
      <c r="AO901" s="237"/>
      <c r="AP901" s="237"/>
      <c r="AQ901" s="237"/>
      <c r="AR901" s="237"/>
      <c r="AS901" s="237"/>
      <c r="AT901" s="237"/>
      <c r="AU901" s="237"/>
      <c r="AV901" s="237"/>
      <c r="AW901" s="237"/>
      <c r="AX901" s="237"/>
      <c r="AY901" s="237"/>
      <c r="AZ901" s="237"/>
      <c r="BA901" s="237"/>
      <c r="BB901" s="237"/>
      <c r="BC901" s="237"/>
      <c r="BD901" s="237"/>
      <c r="BE901" s="237"/>
      <c r="BF901" s="237"/>
      <c r="BG901" s="237"/>
      <c r="BH901" s="237"/>
      <c r="BI901" s="237"/>
      <c r="BJ901" s="237"/>
      <c r="BK901" s="237"/>
      <c r="BL901" s="237"/>
      <c r="BM901" s="237"/>
      <c r="BN901" s="237"/>
      <c r="BO901" s="237"/>
      <c r="BP901" s="237"/>
      <c r="BQ901" s="237"/>
      <c r="BR901" s="237"/>
      <c r="BS901" s="237"/>
      <c r="BT901" s="237"/>
      <c r="BU901" s="237"/>
      <c r="BV901" s="237"/>
      <c r="BW901" s="237"/>
      <c r="BX901" s="237"/>
      <c r="BY901" s="237"/>
      <c r="BZ901" s="237"/>
      <c r="CA901" s="237"/>
      <c r="CB901" s="237"/>
      <c r="CC901" s="237"/>
      <c r="CD901" s="237"/>
      <c r="CE901" s="237"/>
      <c r="CF901" s="237"/>
      <c r="CG901" s="237"/>
      <c r="CH901" s="237"/>
      <c r="CI901" s="237"/>
      <c r="CJ901" s="237"/>
      <c r="CK901" s="237"/>
      <c r="CL901" s="237"/>
      <c r="CM901" s="237"/>
      <c r="CN901" s="237"/>
      <c r="CO901" s="237"/>
      <c r="CP901" s="237"/>
      <c r="CQ901" s="237"/>
      <c r="CR901" s="237"/>
      <c r="CS901" s="237"/>
      <c r="CT901" s="237"/>
      <c r="CU901" s="237"/>
      <c r="CV901" s="237"/>
      <c r="CW901" s="237"/>
      <c r="CX901" s="237"/>
      <c r="CY901" s="237"/>
      <c r="CZ901" s="237"/>
      <c r="DA901" s="237"/>
      <c r="DB901" s="237"/>
      <c r="DC901" s="237"/>
      <c r="DD901" s="237"/>
      <c r="DE901" s="237"/>
      <c r="DF901" s="237"/>
      <c r="DG901" s="237"/>
      <c r="DH901" s="237"/>
      <c r="DI901" s="237"/>
      <c r="DJ901" s="237"/>
      <c r="DK901" s="237"/>
      <c r="DL901" s="237"/>
      <c r="DM901" s="237"/>
      <c r="DN901" s="237"/>
      <c r="DO901" s="237"/>
      <c r="DP901" s="237"/>
      <c r="DQ901" s="237"/>
      <c r="DR901" s="237"/>
      <c r="DS901" s="237"/>
      <c r="DT901" s="237"/>
      <c r="DU901" s="237"/>
      <c r="DV901" s="237"/>
      <c r="DW901" s="237"/>
      <c r="DX901" s="237"/>
      <c r="DY901" s="237"/>
      <c r="DZ901" s="237"/>
      <c r="EA901" s="237"/>
      <c r="EB901" s="237"/>
      <c r="EC901" s="237"/>
      <c r="ED901" s="237"/>
      <c r="EE901" s="237"/>
      <c r="EF901" s="237"/>
      <c r="EG901" s="237"/>
      <c r="EH901" s="237"/>
      <c r="EI901" s="237"/>
      <c r="EJ901" s="237"/>
      <c r="EK901" s="237"/>
      <c r="EL901" s="237"/>
      <c r="EM901" s="237"/>
      <c r="EN901" s="237"/>
      <c r="EO901" s="237"/>
      <c r="EP901" s="237"/>
      <c r="EQ901" s="237"/>
      <c r="ER901" s="237"/>
      <c r="ES901" s="9"/>
      <c r="ET901" s="9"/>
      <c r="EU901" s="9"/>
      <c r="EV901" s="9"/>
      <c r="EW901" s="9"/>
      <c r="EX901" s="9"/>
      <c r="EY901" s="9"/>
      <c r="EZ901" s="9"/>
      <c r="FA901" s="9"/>
      <c r="FB901" s="9"/>
      <c r="FC901" s="9"/>
      <c r="FD901" s="9"/>
      <c r="FE901" s="9"/>
      <c r="FF901" s="9"/>
      <c r="FG901" s="9"/>
      <c r="FH901" s="9"/>
      <c r="FI901" s="9"/>
      <c r="FJ901" s="9"/>
      <c r="FK901" s="9"/>
      <c r="FL901" s="9"/>
      <c r="FM901" s="9"/>
      <c r="FN901" s="9"/>
      <c r="FO901" s="9"/>
      <c r="FP901" s="9"/>
    </row>
    <row r="902" customFormat="false" ht="15" hidden="false" customHeight="false" outlineLevel="2" collapsed="false">
      <c r="B902" s="240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237"/>
      <c r="AD902" s="237"/>
      <c r="AE902" s="237"/>
      <c r="AF902" s="237"/>
      <c r="AG902" s="237"/>
      <c r="AH902" s="237"/>
      <c r="AI902" s="237"/>
      <c r="AJ902" s="237"/>
      <c r="AK902" s="237"/>
      <c r="AL902" s="237"/>
      <c r="AM902" s="237"/>
      <c r="AN902" s="237"/>
      <c r="AO902" s="237"/>
      <c r="AP902" s="237"/>
      <c r="AQ902" s="237"/>
      <c r="AR902" s="237"/>
      <c r="AS902" s="237"/>
      <c r="AT902" s="237"/>
      <c r="AU902" s="237"/>
      <c r="AV902" s="237"/>
      <c r="AW902" s="237"/>
      <c r="AX902" s="237"/>
      <c r="AY902" s="237"/>
      <c r="AZ902" s="237"/>
      <c r="BA902" s="237"/>
      <c r="BB902" s="237"/>
      <c r="BC902" s="237"/>
      <c r="BD902" s="237"/>
      <c r="BE902" s="237"/>
      <c r="BF902" s="237"/>
      <c r="BG902" s="237"/>
      <c r="BH902" s="237"/>
      <c r="BI902" s="237"/>
      <c r="BJ902" s="237"/>
      <c r="BK902" s="237"/>
      <c r="BL902" s="237"/>
      <c r="BM902" s="237"/>
      <c r="BN902" s="237"/>
      <c r="BO902" s="237"/>
      <c r="BP902" s="237"/>
      <c r="BQ902" s="237"/>
      <c r="BR902" s="237"/>
      <c r="BS902" s="237"/>
      <c r="BT902" s="237"/>
      <c r="BU902" s="237"/>
      <c r="BV902" s="237"/>
      <c r="BW902" s="237"/>
      <c r="BX902" s="237"/>
      <c r="BY902" s="237"/>
      <c r="BZ902" s="237"/>
      <c r="CA902" s="237"/>
      <c r="CB902" s="237"/>
      <c r="CC902" s="237"/>
      <c r="CD902" s="237"/>
      <c r="CE902" s="237"/>
      <c r="CF902" s="237"/>
      <c r="CG902" s="237"/>
      <c r="CH902" s="237"/>
      <c r="CI902" s="237"/>
      <c r="CJ902" s="237"/>
      <c r="CK902" s="237"/>
      <c r="CL902" s="237"/>
      <c r="CM902" s="237"/>
      <c r="CN902" s="237"/>
      <c r="CO902" s="237"/>
      <c r="CP902" s="237"/>
      <c r="CQ902" s="237"/>
      <c r="CR902" s="237"/>
      <c r="CS902" s="237"/>
      <c r="CT902" s="237"/>
      <c r="CU902" s="237"/>
      <c r="CV902" s="237"/>
      <c r="CW902" s="237"/>
      <c r="CX902" s="237"/>
      <c r="CY902" s="237"/>
      <c r="CZ902" s="237"/>
      <c r="DA902" s="237"/>
      <c r="DB902" s="237"/>
      <c r="DC902" s="237"/>
      <c r="DD902" s="237"/>
      <c r="DE902" s="237"/>
      <c r="DF902" s="237"/>
      <c r="DG902" s="237"/>
      <c r="DH902" s="237"/>
      <c r="DI902" s="237"/>
      <c r="DJ902" s="237"/>
      <c r="DK902" s="237"/>
      <c r="DL902" s="237"/>
      <c r="DM902" s="237"/>
      <c r="DN902" s="237"/>
      <c r="DO902" s="237"/>
      <c r="DP902" s="237"/>
      <c r="DQ902" s="237"/>
      <c r="DR902" s="237"/>
      <c r="DS902" s="237"/>
      <c r="DT902" s="237"/>
      <c r="DU902" s="237"/>
      <c r="DV902" s="237"/>
      <c r="DW902" s="237"/>
      <c r="DX902" s="237"/>
      <c r="DY902" s="237"/>
      <c r="DZ902" s="237"/>
      <c r="EA902" s="237"/>
      <c r="EB902" s="237"/>
      <c r="EC902" s="237"/>
      <c r="ED902" s="237"/>
      <c r="EE902" s="237"/>
      <c r="EF902" s="237"/>
      <c r="EG902" s="237"/>
      <c r="EH902" s="237"/>
      <c r="EI902" s="237"/>
      <c r="EJ902" s="237"/>
      <c r="EK902" s="237"/>
      <c r="EL902" s="237"/>
      <c r="EM902" s="237"/>
      <c r="EN902" s="237"/>
      <c r="EO902" s="237"/>
      <c r="EP902" s="237"/>
      <c r="EQ902" s="237"/>
      <c r="ER902" s="237"/>
      <c r="ES902" s="9"/>
      <c r="ET902" s="9"/>
      <c r="EU902" s="9"/>
      <c r="EV902" s="9"/>
      <c r="EW902" s="9"/>
      <c r="EX902" s="9"/>
      <c r="EY902" s="9"/>
      <c r="EZ902" s="9"/>
      <c r="FA902" s="9"/>
      <c r="FB902" s="9"/>
      <c r="FC902" s="9"/>
      <c r="FD902" s="9"/>
      <c r="FE902" s="9"/>
      <c r="FF902" s="9"/>
      <c r="FG902" s="9"/>
      <c r="FH902" s="9"/>
      <c r="FI902" s="9"/>
      <c r="FJ902" s="9"/>
      <c r="FK902" s="9"/>
      <c r="FL902" s="9"/>
      <c r="FM902" s="9"/>
      <c r="FN902" s="9"/>
      <c r="FO902" s="9"/>
      <c r="FP902" s="9"/>
    </row>
    <row r="903" customFormat="false" ht="15" hidden="false" customHeight="false" outlineLevel="2" collapsed="false">
      <c r="B903" s="21" t="s">
        <v>963</v>
      </c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  <c r="AP903" s="21"/>
      <c r="AQ903" s="21"/>
      <c r="AR903" s="21"/>
      <c r="AS903" s="21"/>
      <c r="AT903" s="21"/>
      <c r="AU903" s="21"/>
      <c r="AV903" s="21"/>
      <c r="AW903" s="21"/>
      <c r="AX903" s="21"/>
      <c r="AY903" s="21"/>
      <c r="AZ903" s="21"/>
      <c r="BA903" s="21"/>
      <c r="BB903" s="21"/>
      <c r="BC903" s="21"/>
      <c r="BD903" s="21"/>
      <c r="BE903" s="21"/>
      <c r="BF903" s="21"/>
      <c r="BG903" s="21"/>
      <c r="BH903" s="21"/>
      <c r="BI903" s="21"/>
      <c r="BJ903" s="21"/>
      <c r="BK903" s="21"/>
      <c r="BL903" s="21"/>
      <c r="BM903" s="21"/>
      <c r="BN903" s="21"/>
      <c r="BO903" s="21"/>
      <c r="BP903" s="21"/>
      <c r="BQ903" s="21"/>
      <c r="BR903" s="21"/>
      <c r="BS903" s="21"/>
      <c r="BT903" s="21"/>
      <c r="BU903" s="21"/>
      <c r="BV903" s="21"/>
      <c r="BW903" s="21"/>
      <c r="BX903" s="21"/>
      <c r="BY903" s="21"/>
      <c r="BZ903" s="21"/>
      <c r="CA903" s="21"/>
      <c r="CB903" s="21"/>
      <c r="CC903" s="21"/>
      <c r="CD903" s="21"/>
      <c r="CE903" s="21"/>
      <c r="CF903" s="21"/>
      <c r="CG903" s="21"/>
      <c r="CH903" s="21"/>
      <c r="CI903" s="21"/>
      <c r="CJ903" s="21"/>
      <c r="CK903" s="21"/>
      <c r="CL903" s="21"/>
      <c r="CM903" s="21"/>
      <c r="CN903" s="21"/>
      <c r="CO903" s="21"/>
      <c r="CP903" s="21"/>
      <c r="CQ903" s="21"/>
      <c r="CR903" s="21"/>
      <c r="CS903" s="21"/>
      <c r="CT903" s="21"/>
      <c r="CU903" s="21"/>
      <c r="CV903" s="21"/>
      <c r="CW903" s="21"/>
      <c r="CX903" s="21"/>
      <c r="CY903" s="21"/>
      <c r="CZ903" s="21"/>
      <c r="DA903" s="21"/>
      <c r="DB903" s="21"/>
      <c r="DC903" s="21"/>
      <c r="DD903" s="21"/>
      <c r="DE903" s="21"/>
      <c r="DF903" s="21"/>
      <c r="DG903" s="21"/>
      <c r="DH903" s="21"/>
      <c r="DI903" s="21"/>
      <c r="DJ903" s="21"/>
      <c r="DK903" s="21"/>
      <c r="DL903" s="21"/>
      <c r="DM903" s="21"/>
      <c r="DN903" s="21"/>
      <c r="DO903" s="21"/>
      <c r="DP903" s="21"/>
      <c r="DQ903" s="21"/>
      <c r="DR903" s="21"/>
      <c r="DS903" s="21"/>
      <c r="DT903" s="21"/>
      <c r="DU903" s="21"/>
      <c r="DV903" s="21"/>
      <c r="DW903" s="21"/>
      <c r="DX903" s="21"/>
      <c r="DY903" s="21"/>
      <c r="DZ903" s="21"/>
      <c r="EA903" s="21"/>
      <c r="EB903" s="21"/>
      <c r="EC903" s="21"/>
      <c r="ED903" s="21"/>
      <c r="EE903" s="21"/>
      <c r="EF903" s="21"/>
      <c r="EG903" s="21"/>
      <c r="EH903" s="21"/>
      <c r="EI903" s="21"/>
      <c r="EJ903" s="21"/>
      <c r="EK903" s="21"/>
      <c r="EL903" s="21"/>
      <c r="EM903" s="21"/>
      <c r="EN903" s="21"/>
      <c r="EO903" s="21"/>
      <c r="EP903" s="21"/>
      <c r="EQ903" s="21"/>
      <c r="ER903" s="21"/>
      <c r="ES903" s="9"/>
      <c r="ET903" s="9"/>
      <c r="EU903" s="9"/>
      <c r="EV903" s="9"/>
      <c r="EW903" s="9"/>
      <c r="EX903" s="9"/>
      <c r="EY903" s="9"/>
      <c r="EZ903" s="9"/>
      <c r="FA903" s="9"/>
      <c r="FB903" s="9"/>
      <c r="FC903" s="9"/>
      <c r="FD903" s="9"/>
      <c r="FE903" s="9"/>
      <c r="FF903" s="9"/>
      <c r="FG903" s="9"/>
      <c r="FH903" s="9"/>
      <c r="FI903" s="9"/>
      <c r="FJ903" s="9"/>
      <c r="FK903" s="9"/>
      <c r="FL903" s="9"/>
      <c r="FM903" s="9"/>
      <c r="FN903" s="9"/>
      <c r="FO903" s="9"/>
      <c r="FP903" s="9"/>
    </row>
    <row r="904" customFormat="false" ht="15" hidden="false" customHeight="false" outlineLevel="2" collapsed="false">
      <c r="B904" s="9" t="s">
        <v>872</v>
      </c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234" t="n">
        <f aca="false">('⑫ Roll-out Plan'!G95-2025)*12+'⑫ Roll-out Plan'!F95</f>
        <v>143</v>
      </c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9"/>
      <c r="CN904" s="9"/>
      <c r="CO904" s="9"/>
      <c r="CP904" s="9"/>
      <c r="CQ904" s="9"/>
      <c r="CR904" s="9"/>
      <c r="CS904" s="9"/>
      <c r="CT904" s="9"/>
      <c r="CU904" s="9"/>
      <c r="CV904" s="9"/>
      <c r="CW904" s="9"/>
      <c r="CX904" s="9"/>
      <c r="CY904" s="9"/>
      <c r="CZ904" s="9"/>
      <c r="DA904" s="9"/>
      <c r="DB904" s="9"/>
      <c r="DC904" s="9"/>
      <c r="DD904" s="9"/>
      <c r="DE904" s="9"/>
      <c r="DF904" s="9"/>
      <c r="DG904" s="9"/>
      <c r="DH904" s="9"/>
      <c r="DI904" s="9"/>
      <c r="DJ904" s="9"/>
      <c r="DK904" s="9"/>
      <c r="DL904" s="9"/>
      <c r="DM904" s="9"/>
      <c r="DN904" s="9"/>
      <c r="DO904" s="9"/>
      <c r="DP904" s="9"/>
      <c r="DQ904" s="9"/>
      <c r="DR904" s="9"/>
      <c r="DS904" s="9"/>
      <c r="DT904" s="9"/>
      <c r="DU904" s="9"/>
      <c r="DV904" s="9"/>
      <c r="DW904" s="9"/>
      <c r="DX904" s="9"/>
      <c r="DY904" s="9"/>
      <c r="DZ904" s="9"/>
      <c r="EA904" s="9"/>
      <c r="EB904" s="9"/>
      <c r="EC904" s="9"/>
      <c r="ED904" s="9"/>
      <c r="EE904" s="9"/>
      <c r="EF904" s="9"/>
      <c r="EG904" s="9"/>
      <c r="EH904" s="9"/>
      <c r="EI904" s="9"/>
      <c r="EJ904" s="9"/>
      <c r="EK904" s="9"/>
      <c r="EL904" s="9"/>
      <c r="EM904" s="9"/>
      <c r="EN904" s="9"/>
      <c r="EO904" s="9"/>
      <c r="EP904" s="9"/>
      <c r="EQ904" s="9"/>
      <c r="ER904" s="9"/>
      <c r="ES904" s="9"/>
      <c r="ET904" s="9"/>
      <c r="EU904" s="9"/>
      <c r="EV904" s="9"/>
      <c r="EW904" s="9"/>
      <c r="EX904" s="9"/>
      <c r="EY904" s="9"/>
      <c r="EZ904" s="9"/>
      <c r="FA904" s="9"/>
      <c r="FB904" s="9"/>
      <c r="FC904" s="9"/>
      <c r="FD904" s="9"/>
      <c r="FE904" s="9"/>
      <c r="FF904" s="9"/>
      <c r="FG904" s="9"/>
      <c r="FH904" s="9"/>
      <c r="FI904" s="9"/>
      <c r="FJ904" s="9"/>
      <c r="FK904" s="9"/>
      <c r="FL904" s="9"/>
      <c r="FM904" s="9"/>
      <c r="FN904" s="9"/>
      <c r="FO904" s="9"/>
      <c r="FP904" s="9"/>
    </row>
    <row r="905" customFormat="false" ht="15" hidden="false" customHeight="false" outlineLevel="2" collapsed="false">
      <c r="B905" s="9" t="s">
        <v>873</v>
      </c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235" t="n">
        <f aca="false">VLOOKUP("B",$B$14:$C$18,2,FALSE())</f>
        <v>185</v>
      </c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9"/>
      <c r="BS905" s="9"/>
      <c r="BT905" s="9"/>
      <c r="BU905" s="9"/>
      <c r="BV905" s="9"/>
      <c r="BW905" s="9"/>
      <c r="BX905" s="9"/>
      <c r="BY905" s="9"/>
      <c r="BZ905" s="9"/>
      <c r="CA905" s="9"/>
      <c r="CB905" s="9"/>
      <c r="CC905" s="9"/>
      <c r="CD905" s="9"/>
      <c r="CE905" s="9"/>
      <c r="CF905" s="9"/>
      <c r="CG905" s="9"/>
      <c r="CH905" s="9"/>
      <c r="CI905" s="9"/>
      <c r="CJ905" s="9"/>
      <c r="CK905" s="9"/>
      <c r="CL905" s="9"/>
      <c r="CM905" s="9"/>
      <c r="CN905" s="9"/>
      <c r="CO905" s="9"/>
      <c r="CP905" s="9"/>
      <c r="CQ905" s="9"/>
      <c r="CR905" s="9"/>
      <c r="CS905" s="9"/>
      <c r="CT905" s="9"/>
      <c r="CU905" s="9"/>
      <c r="CV905" s="9"/>
      <c r="CW905" s="9"/>
      <c r="CX905" s="9"/>
      <c r="CY905" s="9"/>
      <c r="CZ905" s="9"/>
      <c r="DA905" s="9"/>
      <c r="DB905" s="9"/>
      <c r="DC905" s="9"/>
      <c r="DD905" s="9"/>
      <c r="DE905" s="9"/>
      <c r="DF905" s="9"/>
      <c r="DG905" s="9"/>
      <c r="DH905" s="9"/>
      <c r="DI905" s="9"/>
      <c r="DJ905" s="9"/>
      <c r="DK905" s="9"/>
      <c r="DL905" s="9"/>
      <c r="DM905" s="9"/>
      <c r="DN905" s="9"/>
      <c r="DO905" s="9"/>
      <c r="DP905" s="9"/>
      <c r="DQ905" s="9"/>
      <c r="DR905" s="9"/>
      <c r="DS905" s="9"/>
      <c r="DT905" s="9"/>
      <c r="DU905" s="9"/>
      <c r="DV905" s="9"/>
      <c r="DW905" s="9"/>
      <c r="DX905" s="9"/>
      <c r="DY905" s="9"/>
      <c r="DZ905" s="9"/>
      <c r="EA905" s="9"/>
      <c r="EB905" s="9"/>
      <c r="EC905" s="9"/>
      <c r="ED905" s="9"/>
      <c r="EE905" s="9"/>
      <c r="EF905" s="9"/>
      <c r="EG905" s="9"/>
      <c r="EH905" s="9"/>
      <c r="EI905" s="9"/>
      <c r="EJ905" s="9"/>
      <c r="EK905" s="9"/>
      <c r="EL905" s="9"/>
      <c r="EM905" s="9"/>
      <c r="EN905" s="9"/>
      <c r="EO905" s="9"/>
      <c r="EP905" s="9"/>
      <c r="EQ905" s="9"/>
      <c r="ER905" s="9"/>
      <c r="ES905" s="9"/>
      <c r="ET905" s="9"/>
      <c r="EU905" s="9"/>
      <c r="EV905" s="9"/>
      <c r="EW905" s="9"/>
      <c r="EX905" s="9"/>
      <c r="EY905" s="9"/>
      <c r="EZ905" s="9"/>
      <c r="FA905" s="9"/>
      <c r="FB905" s="9"/>
      <c r="FC905" s="9"/>
      <c r="FD905" s="9"/>
      <c r="FE905" s="9"/>
      <c r="FF905" s="9"/>
      <c r="FG905" s="9"/>
      <c r="FH905" s="9"/>
      <c r="FI905" s="9"/>
      <c r="FJ905" s="9"/>
      <c r="FK905" s="9"/>
      <c r="FL905" s="9"/>
      <c r="FM905" s="9"/>
      <c r="FN905" s="9"/>
      <c r="FO905" s="9"/>
      <c r="FP905" s="9"/>
    </row>
    <row r="906" customFormat="false" ht="15" hidden="false" customHeight="false" outlineLevel="2" collapsed="false">
      <c r="B906" s="9" t="s">
        <v>799</v>
      </c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63" t="n">
        <f aca="false">IF(AC$35&gt;=$AC$904,AC$35-$AC$904+1,0)</f>
        <v>0</v>
      </c>
      <c r="AD906" s="63" t="n">
        <f aca="false">IF(AD$35&gt;=$AC$904,AD$35-$AC$904+1,0)</f>
        <v>0</v>
      </c>
      <c r="AE906" s="63" t="n">
        <f aca="false">IF(AE$35&gt;=$AC$904,AE$35-$AC$904+1,0)</f>
        <v>0</v>
      </c>
      <c r="AF906" s="63" t="n">
        <f aca="false">IF(AF$35&gt;=$AC$904,AF$35-$AC$904+1,0)</f>
        <v>0</v>
      </c>
      <c r="AG906" s="63" t="n">
        <f aca="false">IF(AG$35&gt;=$AC$904,AG$35-$AC$904+1,0)</f>
        <v>0</v>
      </c>
      <c r="AH906" s="63" t="n">
        <f aca="false">IF(AH$35&gt;=$AC$904,AH$35-$AC$904+1,0)</f>
        <v>0</v>
      </c>
      <c r="AI906" s="63" t="n">
        <f aca="false">IF(AI$35&gt;=$AC$904,AI$35-$AC$904+1,0)</f>
        <v>0</v>
      </c>
      <c r="AJ906" s="63" t="n">
        <f aca="false">IF(AJ$35&gt;=$AC$904,AJ$35-$AC$904+1,0)</f>
        <v>0</v>
      </c>
      <c r="AK906" s="63" t="n">
        <f aca="false">IF(AK$35&gt;=$AC$904,AK$35-$AC$904+1,0)</f>
        <v>0</v>
      </c>
      <c r="AL906" s="63" t="n">
        <f aca="false">IF(AL$35&gt;=$AC$904,AL$35-$AC$904+1,0)</f>
        <v>0</v>
      </c>
      <c r="AM906" s="63" t="n">
        <f aca="false">IF(AM$35&gt;=$AC$904,AM$35-$AC$904+1,0)</f>
        <v>0</v>
      </c>
      <c r="AN906" s="63" t="n">
        <f aca="false">IF(AN$35&gt;=$AC$904,AN$35-$AC$904+1,0)</f>
        <v>0</v>
      </c>
      <c r="AO906" s="63" t="n">
        <f aca="false">IF(AO$35&gt;=$AC$904,AO$35-$AC$904+1,0)</f>
        <v>0</v>
      </c>
      <c r="AP906" s="63" t="n">
        <f aca="false">IF(AP$35&gt;=$AC$904,AP$35-$AC$904+1,0)</f>
        <v>0</v>
      </c>
      <c r="AQ906" s="63" t="n">
        <f aca="false">IF(AQ$35&gt;=$AC$904,AQ$35-$AC$904+1,0)</f>
        <v>0</v>
      </c>
      <c r="AR906" s="63" t="n">
        <f aca="false">IF(AR$35&gt;=$AC$904,AR$35-$AC$904+1,0)</f>
        <v>0</v>
      </c>
      <c r="AS906" s="63" t="n">
        <f aca="false">IF(AS$35&gt;=$AC$904,AS$35-$AC$904+1,0)</f>
        <v>0</v>
      </c>
      <c r="AT906" s="63" t="n">
        <f aca="false">IF(AT$35&gt;=$AC$904,AT$35-$AC$904+1,0)</f>
        <v>0</v>
      </c>
      <c r="AU906" s="63" t="n">
        <f aca="false">IF(AU$35&gt;=$AC$904,AU$35-$AC$904+1,0)</f>
        <v>0</v>
      </c>
      <c r="AV906" s="63" t="n">
        <f aca="false">IF(AV$35&gt;=$AC$904,AV$35-$AC$904+1,0)</f>
        <v>0</v>
      </c>
      <c r="AW906" s="63" t="n">
        <f aca="false">IF(AW$35&gt;=$AC$904,AW$35-$AC$904+1,0)</f>
        <v>0</v>
      </c>
      <c r="AX906" s="63" t="n">
        <f aca="false">IF(AX$35&gt;=$AC$904,AX$35-$AC$904+1,0)</f>
        <v>0</v>
      </c>
      <c r="AY906" s="63" t="n">
        <f aca="false">IF(AY$35&gt;=$AC$904,AY$35-$AC$904+1,0)</f>
        <v>0</v>
      </c>
      <c r="AZ906" s="63" t="n">
        <f aca="false">IF(AZ$35&gt;=$AC$904,AZ$35-$AC$904+1,0)</f>
        <v>0</v>
      </c>
      <c r="BA906" s="63" t="n">
        <f aca="false">IF(BA$35&gt;=$AC$904,BA$35-$AC$904+1,0)</f>
        <v>0</v>
      </c>
      <c r="BB906" s="63" t="n">
        <f aca="false">IF(BB$35&gt;=$AC$904,BB$35-$AC$904+1,0)</f>
        <v>0</v>
      </c>
      <c r="BC906" s="63" t="n">
        <f aca="false">IF(BC$35&gt;=$AC$904,BC$35-$AC$904+1,0)</f>
        <v>0</v>
      </c>
      <c r="BD906" s="63" t="n">
        <f aca="false">IF(BD$35&gt;=$AC$904,BD$35-$AC$904+1,0)</f>
        <v>0</v>
      </c>
      <c r="BE906" s="63" t="n">
        <f aca="false">IF(BE$35&gt;=$AC$904,BE$35-$AC$904+1,0)</f>
        <v>0</v>
      </c>
      <c r="BF906" s="63" t="n">
        <f aca="false">IF(BF$35&gt;=$AC$904,BF$35-$AC$904+1,0)</f>
        <v>0</v>
      </c>
      <c r="BG906" s="63" t="n">
        <f aca="false">IF(BG$35&gt;=$AC$904,BG$35-$AC$904+1,0)</f>
        <v>0</v>
      </c>
      <c r="BH906" s="63" t="n">
        <f aca="false">IF(BH$35&gt;=$AC$904,BH$35-$AC$904+1,0)</f>
        <v>0</v>
      </c>
      <c r="BI906" s="63" t="n">
        <f aca="false">IF(BI$35&gt;=$AC$904,BI$35-$AC$904+1,0)</f>
        <v>0</v>
      </c>
      <c r="BJ906" s="63" t="n">
        <f aca="false">IF(BJ$35&gt;=$AC$904,BJ$35-$AC$904+1,0)</f>
        <v>0</v>
      </c>
      <c r="BK906" s="63" t="n">
        <f aca="false">IF(BK$35&gt;=$AC$904,BK$35-$AC$904+1,0)</f>
        <v>0</v>
      </c>
      <c r="BL906" s="63" t="n">
        <f aca="false">IF(BL$35&gt;=$AC$904,BL$35-$AC$904+1,0)</f>
        <v>0</v>
      </c>
      <c r="BM906" s="63" t="n">
        <f aca="false">IF(BM$35&gt;=$AC$904,BM$35-$AC$904+1,0)</f>
        <v>0</v>
      </c>
      <c r="BN906" s="63" t="n">
        <f aca="false">IF(BN$35&gt;=$AC$904,BN$35-$AC$904+1,0)</f>
        <v>0</v>
      </c>
      <c r="BO906" s="63" t="n">
        <f aca="false">IF(BO$35&gt;=$AC$904,BO$35-$AC$904+1,0)</f>
        <v>0</v>
      </c>
      <c r="BP906" s="63" t="n">
        <f aca="false">IF(BP$35&gt;=$AC$904,BP$35-$AC$904+1,0)</f>
        <v>0</v>
      </c>
      <c r="BQ906" s="63" t="n">
        <f aca="false">IF(BQ$35&gt;=$AC$904,BQ$35-$AC$904+1,0)</f>
        <v>0</v>
      </c>
      <c r="BR906" s="63" t="n">
        <f aca="false">IF(BR$35&gt;=$AC$904,BR$35-$AC$904+1,0)</f>
        <v>0</v>
      </c>
      <c r="BS906" s="63" t="n">
        <f aca="false">IF(BS$35&gt;=$AC$904,BS$35-$AC$904+1,0)</f>
        <v>0</v>
      </c>
      <c r="BT906" s="63" t="n">
        <f aca="false">IF(BT$35&gt;=$AC$904,BT$35-$AC$904+1,0)</f>
        <v>0</v>
      </c>
      <c r="BU906" s="63" t="n">
        <f aca="false">IF(BU$35&gt;=$AC$904,BU$35-$AC$904+1,0)</f>
        <v>0</v>
      </c>
      <c r="BV906" s="63" t="n">
        <f aca="false">IF(BV$35&gt;=$AC$904,BV$35-$AC$904+1,0)</f>
        <v>0</v>
      </c>
      <c r="BW906" s="63" t="n">
        <f aca="false">IF(BW$35&gt;=$AC$904,BW$35-$AC$904+1,0)</f>
        <v>0</v>
      </c>
      <c r="BX906" s="63" t="n">
        <f aca="false">IF(BX$35&gt;=$AC$904,BX$35-$AC$904+1,0)</f>
        <v>0</v>
      </c>
      <c r="BY906" s="63" t="n">
        <f aca="false">IF(BY$35&gt;=$AC$904,BY$35-$AC$904+1,0)</f>
        <v>0</v>
      </c>
      <c r="BZ906" s="63" t="n">
        <f aca="false">IF(BZ$35&gt;=$AC$904,BZ$35-$AC$904+1,0)</f>
        <v>0</v>
      </c>
      <c r="CA906" s="63" t="n">
        <f aca="false">IF(CA$35&gt;=$AC$904,CA$35-$AC$904+1,0)</f>
        <v>0</v>
      </c>
      <c r="CB906" s="63" t="n">
        <f aca="false">IF(CB$35&gt;=$AC$904,CB$35-$AC$904+1,0)</f>
        <v>0</v>
      </c>
      <c r="CC906" s="63" t="n">
        <f aca="false">IF(CC$35&gt;=$AC$904,CC$35-$AC$904+1,0)</f>
        <v>0</v>
      </c>
      <c r="CD906" s="63" t="n">
        <f aca="false">IF(CD$35&gt;=$AC$904,CD$35-$AC$904+1,0)</f>
        <v>0</v>
      </c>
      <c r="CE906" s="63" t="n">
        <f aca="false">IF(CE$35&gt;=$AC$904,CE$35-$AC$904+1,0)</f>
        <v>0</v>
      </c>
      <c r="CF906" s="63" t="n">
        <f aca="false">IF(CF$35&gt;=$AC$904,CF$35-$AC$904+1,0)</f>
        <v>0</v>
      </c>
      <c r="CG906" s="63" t="n">
        <f aca="false">IF(CG$35&gt;=$AC$904,CG$35-$AC$904+1,0)</f>
        <v>0</v>
      </c>
      <c r="CH906" s="63" t="n">
        <f aca="false">IF(CH$35&gt;=$AC$904,CH$35-$AC$904+1,0)</f>
        <v>0</v>
      </c>
      <c r="CI906" s="63" t="n">
        <f aca="false">IF(CI$35&gt;=$AC$904,CI$35-$AC$904+1,0)</f>
        <v>0</v>
      </c>
      <c r="CJ906" s="63" t="n">
        <f aca="false">IF(CJ$35&gt;=$AC$904,CJ$35-$AC$904+1,0)</f>
        <v>0</v>
      </c>
      <c r="CK906" s="63" t="n">
        <f aca="false">IF(CK$35&gt;=$AC$904,CK$35-$AC$904+1,0)</f>
        <v>0</v>
      </c>
      <c r="CL906" s="63" t="n">
        <f aca="false">IF(CL$35&gt;=$AC$904,CL$35-$AC$904+1,0)</f>
        <v>0</v>
      </c>
      <c r="CM906" s="63" t="n">
        <f aca="false">IF(CM$35&gt;=$AC$904,CM$35-$AC$904+1,0)</f>
        <v>0</v>
      </c>
      <c r="CN906" s="63" t="n">
        <f aca="false">IF(CN$35&gt;=$AC$904,CN$35-$AC$904+1,0)</f>
        <v>0</v>
      </c>
      <c r="CO906" s="63" t="n">
        <f aca="false">IF(CO$35&gt;=$AC$904,CO$35-$AC$904+1,0)</f>
        <v>0</v>
      </c>
      <c r="CP906" s="63" t="n">
        <f aca="false">IF(CP$35&gt;=$AC$904,CP$35-$AC$904+1,0)</f>
        <v>0</v>
      </c>
      <c r="CQ906" s="63" t="n">
        <f aca="false">IF(CQ$35&gt;=$AC$904,CQ$35-$AC$904+1,0)</f>
        <v>0</v>
      </c>
      <c r="CR906" s="63" t="n">
        <f aca="false">IF(CR$35&gt;=$AC$904,CR$35-$AC$904+1,0)</f>
        <v>0</v>
      </c>
      <c r="CS906" s="63" t="n">
        <f aca="false">IF(CS$35&gt;=$AC$904,CS$35-$AC$904+1,0)</f>
        <v>0</v>
      </c>
      <c r="CT906" s="63" t="n">
        <f aca="false">IF(CT$35&gt;=$AC$904,CT$35-$AC$904+1,0)</f>
        <v>0</v>
      </c>
      <c r="CU906" s="63" t="n">
        <f aca="false">IF(CU$35&gt;=$AC$904,CU$35-$AC$904+1,0)</f>
        <v>0</v>
      </c>
      <c r="CV906" s="63" t="n">
        <f aca="false">IF(CV$35&gt;=$AC$904,CV$35-$AC$904+1,0)</f>
        <v>0</v>
      </c>
      <c r="CW906" s="63" t="n">
        <f aca="false">IF(CW$35&gt;=$AC$904,CW$35-$AC$904+1,0)</f>
        <v>0</v>
      </c>
      <c r="CX906" s="63" t="n">
        <f aca="false">IF(CX$35&gt;=$AC$904,CX$35-$AC$904+1,0)</f>
        <v>0</v>
      </c>
      <c r="CY906" s="63" t="n">
        <f aca="false">IF(CY$35&gt;=$AC$904,CY$35-$AC$904+1,0)</f>
        <v>0</v>
      </c>
      <c r="CZ906" s="63" t="n">
        <f aca="false">IF(CZ$35&gt;=$AC$904,CZ$35-$AC$904+1,0)</f>
        <v>0</v>
      </c>
      <c r="DA906" s="63" t="n">
        <f aca="false">IF(DA$35&gt;=$AC$904,DA$35-$AC$904+1,0)</f>
        <v>0</v>
      </c>
      <c r="DB906" s="63" t="n">
        <f aca="false">IF(DB$35&gt;=$AC$904,DB$35-$AC$904+1,0)</f>
        <v>0</v>
      </c>
      <c r="DC906" s="63" t="n">
        <f aca="false">IF(DC$35&gt;=$AC$904,DC$35-$AC$904+1,0)</f>
        <v>0</v>
      </c>
      <c r="DD906" s="63" t="n">
        <f aca="false">IF(DD$35&gt;=$AC$904,DD$35-$AC$904+1,0)</f>
        <v>0</v>
      </c>
      <c r="DE906" s="63" t="n">
        <f aca="false">IF(DE$35&gt;=$AC$904,DE$35-$AC$904+1,0)</f>
        <v>0</v>
      </c>
      <c r="DF906" s="63" t="n">
        <f aca="false">IF(DF$35&gt;=$AC$904,DF$35-$AC$904+1,0)</f>
        <v>0</v>
      </c>
      <c r="DG906" s="63" t="n">
        <f aca="false">IF(DG$35&gt;=$AC$904,DG$35-$AC$904+1,0)</f>
        <v>0</v>
      </c>
      <c r="DH906" s="63" t="n">
        <f aca="false">IF(DH$35&gt;=$AC$904,DH$35-$AC$904+1,0)</f>
        <v>0</v>
      </c>
      <c r="DI906" s="63" t="n">
        <f aca="false">IF(DI$35&gt;=$AC$904,DI$35-$AC$904+1,0)</f>
        <v>0</v>
      </c>
      <c r="DJ906" s="63" t="n">
        <f aca="false">IF(DJ$35&gt;=$AC$904,DJ$35-$AC$904+1,0)</f>
        <v>0</v>
      </c>
      <c r="DK906" s="63" t="n">
        <f aca="false">IF(DK$35&gt;=$AC$904,DK$35-$AC$904+1,0)</f>
        <v>0</v>
      </c>
      <c r="DL906" s="63" t="n">
        <f aca="false">IF(DL$35&gt;=$AC$904,DL$35-$AC$904+1,0)</f>
        <v>0</v>
      </c>
      <c r="DM906" s="63" t="n">
        <f aca="false">IF(DM$35&gt;=$AC$904,DM$35-$AC$904+1,0)</f>
        <v>0</v>
      </c>
      <c r="DN906" s="63" t="n">
        <f aca="false">IF(DN$35&gt;=$AC$904,DN$35-$AC$904+1,0)</f>
        <v>0</v>
      </c>
      <c r="DO906" s="63" t="n">
        <f aca="false">IF(DO$35&gt;=$AC$904,DO$35-$AC$904+1,0)</f>
        <v>0</v>
      </c>
      <c r="DP906" s="63" t="n">
        <f aca="false">IF(DP$35&gt;=$AC$904,DP$35-$AC$904+1,0)</f>
        <v>0</v>
      </c>
      <c r="DQ906" s="63" t="n">
        <f aca="false">IF(DQ$35&gt;=$AC$904,DQ$35-$AC$904+1,0)</f>
        <v>0</v>
      </c>
      <c r="DR906" s="63" t="n">
        <f aca="false">IF(DR$35&gt;=$AC$904,DR$35-$AC$904+1,0)</f>
        <v>0</v>
      </c>
      <c r="DS906" s="63" t="n">
        <f aca="false">IF(DS$35&gt;=$AC$904,DS$35-$AC$904+1,0)</f>
        <v>0</v>
      </c>
      <c r="DT906" s="63" t="n">
        <f aca="false">IF(DT$35&gt;=$AC$904,DT$35-$AC$904+1,0)</f>
        <v>0</v>
      </c>
      <c r="DU906" s="63" t="n">
        <f aca="false">IF(DU$35&gt;=$AC$904,DU$35-$AC$904+1,0)</f>
        <v>0</v>
      </c>
      <c r="DV906" s="63" t="n">
        <f aca="false">IF(DV$35&gt;=$AC$904,DV$35-$AC$904+1,0)</f>
        <v>0</v>
      </c>
      <c r="DW906" s="63" t="n">
        <f aca="false">IF(DW$35&gt;=$AC$904,DW$35-$AC$904+1,0)</f>
        <v>0</v>
      </c>
      <c r="DX906" s="63" t="n">
        <f aca="false">IF(DX$35&gt;=$AC$904,DX$35-$AC$904+1,0)</f>
        <v>0</v>
      </c>
      <c r="DY906" s="63" t="n">
        <f aca="false">IF(DY$35&gt;=$AC$904,DY$35-$AC$904+1,0)</f>
        <v>0</v>
      </c>
      <c r="DZ906" s="63" t="n">
        <f aca="false">IF(DZ$35&gt;=$AC$904,DZ$35-$AC$904+1,0)</f>
        <v>0</v>
      </c>
      <c r="EA906" s="63" t="n">
        <f aca="false">IF(EA$35&gt;=$AC$904,EA$35-$AC$904+1,0)</f>
        <v>0</v>
      </c>
      <c r="EB906" s="63" t="n">
        <f aca="false">IF(EB$35&gt;=$AC$904,EB$35-$AC$904+1,0)</f>
        <v>0</v>
      </c>
      <c r="EC906" s="63" t="n">
        <f aca="false">IF(EC$35&gt;=$AC$904,EC$35-$AC$904+1,0)</f>
        <v>0</v>
      </c>
      <c r="ED906" s="63" t="n">
        <f aca="false">IF(ED$35&gt;=$AC$904,ED$35-$AC$904+1,0)</f>
        <v>0</v>
      </c>
      <c r="EE906" s="63" t="n">
        <f aca="false">IF(EE$35&gt;=$AC$904,EE$35-$AC$904+1,0)</f>
        <v>0</v>
      </c>
      <c r="EF906" s="63" t="n">
        <f aca="false">IF(EF$35&gt;=$AC$904,EF$35-$AC$904+1,0)</f>
        <v>0</v>
      </c>
      <c r="EG906" s="63" t="n">
        <f aca="false">IF(EG$35&gt;=$AC$904,EG$35-$AC$904+1,0)</f>
        <v>0</v>
      </c>
      <c r="EH906" s="63" t="n">
        <f aca="false">IF(EH$35&gt;=$AC$904,EH$35-$AC$904+1,0)</f>
        <v>0</v>
      </c>
      <c r="EI906" s="63" t="n">
        <f aca="false">IF(EI$35&gt;=$AC$904,EI$35-$AC$904+1,0)</f>
        <v>0</v>
      </c>
      <c r="EJ906" s="63" t="n">
        <f aca="false">IF(EJ$35&gt;=$AC$904,EJ$35-$AC$904+1,0)</f>
        <v>0</v>
      </c>
      <c r="EK906" s="63" t="n">
        <f aca="false">IF(EK$35&gt;=$AC$904,EK$35-$AC$904+1,0)</f>
        <v>0</v>
      </c>
      <c r="EL906" s="63" t="n">
        <f aca="false">IF(EL$35&gt;=$AC$904,EL$35-$AC$904+1,0)</f>
        <v>0</v>
      </c>
      <c r="EM906" s="63" t="n">
        <f aca="false">IF(EM$35&gt;=$AC$904,EM$35-$AC$904+1,0)</f>
        <v>0</v>
      </c>
      <c r="EN906" s="63" t="n">
        <f aca="false">IF(EN$35&gt;=$AC$904,EN$35-$AC$904+1,0)</f>
        <v>0</v>
      </c>
      <c r="EO906" s="63" t="n">
        <f aca="false">IF(EO$35&gt;=$AC$904,EO$35-$AC$904+1,0)</f>
        <v>0</v>
      </c>
      <c r="EP906" s="63" t="n">
        <f aca="false">IF(EP$35&gt;=$AC$904,EP$35-$AC$904+1,0)</f>
        <v>0</v>
      </c>
      <c r="EQ906" s="63" t="n">
        <f aca="false">IF(EQ$35&gt;=$AC$904,EQ$35-$AC$904+1,0)</f>
        <v>0</v>
      </c>
      <c r="ER906" s="63" t="n">
        <f aca="false">IF(ER$35&gt;=$AC$904,ER$35-$AC$904+1,0)</f>
        <v>0</v>
      </c>
      <c r="ES906" s="9" t="n">
        <f aca="false">IF(ES$35&gt;=$AC$904,ES$35-$AC$904+1,0)</f>
        <v>0</v>
      </c>
      <c r="ET906" s="9" t="n">
        <f aca="false">IF(ET$35&gt;=$AC$904,ET$35-$AC$904+1,0)</f>
        <v>0</v>
      </c>
      <c r="EU906" s="9" t="n">
        <f aca="false">IF(EU$35&gt;=$AC$904,EU$35-$AC$904+1,0)</f>
        <v>0</v>
      </c>
      <c r="EV906" s="9" t="n">
        <f aca="false">IF(EV$35&gt;=$AC$904,EV$35-$AC$904+1,0)</f>
        <v>0</v>
      </c>
      <c r="EW906" s="9" t="n">
        <f aca="false">IF(EW$35&gt;=$AC$904,EW$35-$AC$904+1,0)</f>
        <v>0</v>
      </c>
      <c r="EX906" s="9" t="n">
        <f aca="false">IF(EX$35&gt;=$AC$904,EX$35-$AC$904+1,0)</f>
        <v>0</v>
      </c>
      <c r="EY906" s="9" t="n">
        <f aca="false">IF(EY$35&gt;=$AC$904,EY$35-$AC$904+1,0)</f>
        <v>0</v>
      </c>
      <c r="EZ906" s="9" t="n">
        <f aca="false">IF(EZ$35&gt;=$AC$904,EZ$35-$AC$904+1,0)</f>
        <v>0</v>
      </c>
      <c r="FA906" s="9" t="n">
        <f aca="false">IF(FA$35&gt;=$AC$904,FA$35-$AC$904+1,0)</f>
        <v>0</v>
      </c>
      <c r="FB906" s="9" t="n">
        <f aca="false">IF(FB$35&gt;=$AC$904,FB$35-$AC$904+1,0)</f>
        <v>0</v>
      </c>
      <c r="FC906" s="9" t="n">
        <f aca="false">IF(FC$35&gt;=$AC$904,FC$35-$AC$904+1,0)</f>
        <v>0</v>
      </c>
      <c r="FD906" s="9" t="n">
        <f aca="false">IF(FD$35&gt;=$AC$904,FD$35-$AC$904+1,0)</f>
        <v>0</v>
      </c>
      <c r="FE906" s="9" t="n">
        <f aca="false">IF(FE$35&gt;=$AC$904,FE$35-$AC$904+1,0)</f>
        <v>0</v>
      </c>
      <c r="FF906" s="9" t="n">
        <f aca="false">IF(FF$35&gt;=$AC$904,FF$35-$AC$904+1,0)</f>
        <v>0</v>
      </c>
      <c r="FG906" s="9" t="n">
        <f aca="false">IF(FG$35&gt;=$AC$904,FG$35-$AC$904+1,0)</f>
        <v>0</v>
      </c>
      <c r="FH906" s="9" t="n">
        <f aca="false">IF(FH$35&gt;=$AC$904,FH$35-$AC$904+1,0)</f>
        <v>0</v>
      </c>
      <c r="FI906" s="9" t="n">
        <f aca="false">IF(FI$35&gt;=$AC$904,FI$35-$AC$904+1,0)</f>
        <v>0</v>
      </c>
      <c r="FJ906" s="9" t="n">
        <f aca="false">IF(FJ$35&gt;=$AC$904,FJ$35-$AC$904+1,0)</f>
        <v>0</v>
      </c>
      <c r="FK906" s="9" t="n">
        <f aca="false">IF(FK$35&gt;=$AC$904,FK$35-$AC$904+1,0)</f>
        <v>0</v>
      </c>
      <c r="FL906" s="9" t="n">
        <f aca="false">IF(FL$35&gt;=$AC$904,FL$35-$AC$904+1,0)</f>
        <v>0</v>
      </c>
      <c r="FM906" s="9" t="n">
        <f aca="false">IF(FM$35&gt;=$AC$904,FM$35-$AC$904+1,0)</f>
        <v>0</v>
      </c>
      <c r="FN906" s="9" t="n">
        <f aca="false">IF(FN$35&gt;=$AC$904,FN$35-$AC$904+1,0)</f>
        <v>0</v>
      </c>
      <c r="FO906" s="9" t="n">
        <f aca="false">IF(FO$35&gt;=$AC$904,FO$35-$AC$904+1,0)</f>
        <v>1</v>
      </c>
      <c r="FP906" s="9" t="n">
        <f aca="false">IF(FP$35&gt;=$AC$904,FP$35-$AC$904+1,0)</f>
        <v>2</v>
      </c>
    </row>
    <row r="907" customFormat="false" ht="15" hidden="false" customHeight="false" outlineLevel="2" collapsed="false">
      <c r="B907" s="9" t="s">
        <v>874</v>
      </c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236" t="n">
        <f aca="false" t="array" ref="AC907:AC907">IF(AC906=0,0,IF(AC906&gt;=36,$AL$23,INDEX($C$23:$AL$23,AC906)))</f>
        <v>0</v>
      </c>
      <c r="AD907" s="236" t="n">
        <f aca="false" t="array" ref="AD907:AD907">IF(AD906=0,0,IF(AD906&gt;=36,$AL$23,INDEX($C$23:$AL$23,AD906)))</f>
        <v>0</v>
      </c>
      <c r="AE907" s="236" t="n">
        <f aca="false" t="array" ref="AE907:AE907">IF(AE906=0,0,IF(AE906&gt;=36,$AL$23,INDEX($C$23:$AL$23,AE906)))</f>
        <v>0</v>
      </c>
      <c r="AF907" s="236" t="n">
        <f aca="false" t="array" ref="AF907:AF907">IF(AF906=0,0,IF(AF906&gt;=36,$AL$23,INDEX($C$23:$AL$23,AF906)))</f>
        <v>0</v>
      </c>
      <c r="AG907" s="236" t="n">
        <f aca="false" t="array" ref="AG907:AG907">IF(AG906=0,0,IF(AG906&gt;=36,$AL$23,INDEX($C$23:$AL$23,AG906)))</f>
        <v>0</v>
      </c>
      <c r="AH907" s="236" t="n">
        <f aca="false" t="array" ref="AH907:AH907">IF(AH906=0,0,IF(AH906&gt;=36,$AL$23,INDEX($C$23:$AL$23,AH906)))</f>
        <v>0</v>
      </c>
      <c r="AI907" s="236" t="n">
        <f aca="false" t="array" ref="AI907:AI907">IF(AI906=0,0,IF(AI906&gt;=36,$AL$23,INDEX($C$23:$AL$23,AI906)))</f>
        <v>0</v>
      </c>
      <c r="AJ907" s="236" t="n">
        <f aca="false" t="array" ref="AJ907:AJ907">IF(AJ906=0,0,IF(AJ906&gt;=36,$AL$23,INDEX($C$23:$AL$23,AJ906)))</f>
        <v>0</v>
      </c>
      <c r="AK907" s="236" t="n">
        <f aca="false" t="array" ref="AK907:AK907">IF(AK906=0,0,IF(AK906&gt;=36,$AL$23,INDEX($C$23:$AL$23,AK906)))</f>
        <v>0</v>
      </c>
      <c r="AL907" s="236" t="n">
        <f aca="false" t="array" ref="AL907:AL907">IF(AL906=0,0,IF(AL906&gt;=36,$AL$23,INDEX($C$23:$AL$23,AL906)))</f>
        <v>0</v>
      </c>
      <c r="AM907" s="236" t="n">
        <f aca="false" t="array" ref="AM907:AM907">IF(AM906=0,0,IF(AM906&gt;=36,$AL$23,INDEX($C$23:$AL$23,AM906)))</f>
        <v>0</v>
      </c>
      <c r="AN907" s="236" t="n">
        <f aca="false" t="array" ref="AN907:AN907">IF(AN906=0,0,IF(AN906&gt;=36,$AL$23,INDEX($C$23:$AL$23,AN906)))</f>
        <v>0</v>
      </c>
      <c r="AO907" s="236" t="n">
        <f aca="false" t="array" ref="AO907:AO907">IF(AO906=0,0,IF(AO906&gt;=36,$AL$23,INDEX($C$23:$AL$23,AO906)))</f>
        <v>0</v>
      </c>
      <c r="AP907" s="236" t="n">
        <f aca="false" t="array" ref="AP907:AP907">IF(AP906=0,0,IF(AP906&gt;=36,$AL$23,INDEX($C$23:$AL$23,AP906)))</f>
        <v>0</v>
      </c>
      <c r="AQ907" s="236" t="n">
        <f aca="false" t="array" ref="AQ907:AQ907">IF(AQ906=0,0,IF(AQ906&gt;=36,$AL$23,INDEX($C$23:$AL$23,AQ906)))</f>
        <v>0</v>
      </c>
      <c r="AR907" s="236" t="n">
        <f aca="false" t="array" ref="AR907:AR907">IF(AR906=0,0,IF(AR906&gt;=36,$AL$23,INDEX($C$23:$AL$23,AR906)))</f>
        <v>0</v>
      </c>
      <c r="AS907" s="236" t="n">
        <f aca="false" t="array" ref="AS907:AS907">IF(AS906=0,0,IF(AS906&gt;=36,$AL$23,INDEX($C$23:$AL$23,AS906)))</f>
        <v>0</v>
      </c>
      <c r="AT907" s="236" t="n">
        <f aca="false" t="array" ref="AT907:AT907">IF(AT906=0,0,IF(AT906&gt;=36,$AL$23,INDEX($C$23:$AL$23,AT906)))</f>
        <v>0</v>
      </c>
      <c r="AU907" s="236" t="n">
        <f aca="false" t="array" ref="AU907:AU907">IF(AU906=0,0,IF(AU906&gt;=36,$AL$23,INDEX($C$23:$AL$23,AU906)))</f>
        <v>0</v>
      </c>
      <c r="AV907" s="236" t="n">
        <f aca="false" t="array" ref="AV907:AV907">IF(AV906=0,0,IF(AV906&gt;=36,$AL$23,INDEX($C$23:$AL$23,AV906)))</f>
        <v>0</v>
      </c>
      <c r="AW907" s="236" t="n">
        <f aca="false" t="array" ref="AW907:AW907">IF(AW906=0,0,IF(AW906&gt;=36,$AL$23,INDEX($C$23:$AL$23,AW906)))</f>
        <v>0</v>
      </c>
      <c r="AX907" s="236" t="n">
        <f aca="false" t="array" ref="AX907:AX907">IF(AX906=0,0,IF(AX906&gt;=36,$AL$23,INDEX($C$23:$AL$23,AX906)))</f>
        <v>0</v>
      </c>
      <c r="AY907" s="236" t="n">
        <f aca="false" t="array" ref="AY907:AY907">IF(AY906=0,0,IF(AY906&gt;=36,$AL$23,INDEX($C$23:$AL$23,AY906)))</f>
        <v>0</v>
      </c>
      <c r="AZ907" s="236" t="n">
        <f aca="false" t="array" ref="AZ907:AZ907">IF(AZ906=0,0,IF(AZ906&gt;=36,$AL$23,INDEX($C$23:$AL$23,AZ906)))</f>
        <v>0</v>
      </c>
      <c r="BA907" s="236" t="n">
        <f aca="false" t="array" ref="BA907:BA907">IF(BA906=0,0,IF(BA906&gt;=36,$AL$23,INDEX($C$23:$AL$23,BA906)))</f>
        <v>0</v>
      </c>
      <c r="BB907" s="236" t="n">
        <f aca="false" t="array" ref="BB907:BB907">IF(BB906=0,0,IF(BB906&gt;=36,$AL$23,INDEX($C$23:$AL$23,BB906)))</f>
        <v>0</v>
      </c>
      <c r="BC907" s="236" t="n">
        <f aca="false" t="array" ref="BC907:BC907">IF(BC906=0,0,IF(BC906&gt;=36,$AL$23,INDEX($C$23:$AL$23,BC906)))</f>
        <v>0</v>
      </c>
      <c r="BD907" s="236" t="n">
        <f aca="false" t="array" ref="BD907:BD907">IF(BD906=0,0,IF(BD906&gt;=36,$AL$23,INDEX($C$23:$AL$23,BD906)))</f>
        <v>0</v>
      </c>
      <c r="BE907" s="236" t="n">
        <f aca="false" t="array" ref="BE907:BE907">IF(BE906=0,0,IF(BE906&gt;=36,$AL$23,INDEX($C$23:$AL$23,BE906)))</f>
        <v>0</v>
      </c>
      <c r="BF907" s="236" t="n">
        <f aca="false" t="array" ref="BF907:BF907">IF(BF906=0,0,IF(BF906&gt;=36,$AL$23,INDEX($C$23:$AL$23,BF906)))</f>
        <v>0</v>
      </c>
      <c r="BG907" s="236" t="n">
        <f aca="false" t="array" ref="BG907:BG907">IF(BG906=0,0,IF(BG906&gt;=36,$AL$23,INDEX($C$23:$AL$23,BG906)))</f>
        <v>0</v>
      </c>
      <c r="BH907" s="236" t="n">
        <f aca="false" t="array" ref="BH907:BH907">IF(BH906=0,0,IF(BH906&gt;=36,$AL$23,INDEX($C$23:$AL$23,BH906)))</f>
        <v>0</v>
      </c>
      <c r="BI907" s="236" t="n">
        <f aca="false" t="array" ref="BI907:BI907">IF(BI906=0,0,IF(BI906&gt;=36,$AL$23,INDEX($C$23:$AL$23,BI906)))</f>
        <v>0</v>
      </c>
      <c r="BJ907" s="236" t="n">
        <f aca="false" t="array" ref="BJ907:BJ907">IF(BJ906=0,0,IF(BJ906&gt;=36,$AL$23,INDEX($C$23:$AL$23,BJ906)))</f>
        <v>0</v>
      </c>
      <c r="BK907" s="236" t="n">
        <f aca="false" t="array" ref="BK907:BK907">IF(BK906=0,0,IF(BK906&gt;=36,$AL$23,INDEX($C$23:$AL$23,BK906)))</f>
        <v>0</v>
      </c>
      <c r="BL907" s="236" t="n">
        <f aca="false" t="array" ref="BL907:BL907">IF(BL906=0,0,IF(BL906&gt;=36,$AL$23,INDEX($C$23:$AL$23,BL906)))</f>
        <v>0</v>
      </c>
      <c r="BM907" s="236" t="n">
        <f aca="false" t="array" ref="BM907:BM907">IF(BM906=0,0,IF(BM906&gt;=36,$AL$23,INDEX($C$23:$AL$23,BM906)))</f>
        <v>0</v>
      </c>
      <c r="BN907" s="236" t="n">
        <f aca="false" t="array" ref="BN907:BN907">IF(BN906=0,0,IF(BN906&gt;=36,$AL$23,INDEX($C$23:$AL$23,BN906)))</f>
        <v>0</v>
      </c>
      <c r="BO907" s="236" t="n">
        <f aca="false" t="array" ref="BO907:BO907">IF(BO906=0,0,IF(BO906&gt;=36,$AL$23,INDEX($C$23:$AL$23,BO906)))</f>
        <v>0</v>
      </c>
      <c r="BP907" s="236" t="n">
        <f aca="false" t="array" ref="BP907:BP907">IF(BP906=0,0,IF(BP906&gt;=36,$AL$23,INDEX($C$23:$AL$23,BP906)))</f>
        <v>0</v>
      </c>
      <c r="BQ907" s="236" t="n">
        <f aca="false" t="array" ref="BQ907:BQ907">IF(BQ906=0,0,IF(BQ906&gt;=36,$AL$23,INDEX($C$23:$AL$23,BQ906)))</f>
        <v>0</v>
      </c>
      <c r="BR907" s="236" t="n">
        <f aca="false" t="array" ref="BR907:BR907">IF(BR906=0,0,IF(BR906&gt;=36,$AL$23,INDEX($C$23:$AL$23,BR906)))</f>
        <v>0</v>
      </c>
      <c r="BS907" s="236" t="n">
        <f aca="false" t="array" ref="BS907:BS907">IF(BS906=0,0,IF(BS906&gt;=36,$AL$23,INDEX($C$23:$AL$23,BS906)))</f>
        <v>0</v>
      </c>
      <c r="BT907" s="236" t="n">
        <f aca="false" t="array" ref="BT907:BT907">IF(BT906=0,0,IF(BT906&gt;=36,$AL$23,INDEX($C$23:$AL$23,BT906)))</f>
        <v>0</v>
      </c>
      <c r="BU907" s="236" t="n">
        <f aca="false" t="array" ref="BU907:BU907">IF(BU906=0,0,IF(BU906&gt;=36,$AL$23,INDEX($C$23:$AL$23,BU906)))</f>
        <v>0</v>
      </c>
      <c r="BV907" s="236" t="n">
        <f aca="false" t="array" ref="BV907:BV907">IF(BV906=0,0,IF(BV906&gt;=36,$AL$23,INDEX($C$23:$AL$23,BV906)))</f>
        <v>0</v>
      </c>
      <c r="BW907" s="236" t="n">
        <f aca="false" t="array" ref="BW907:BW907">IF(BW906=0,0,IF(BW906&gt;=36,$AL$23,INDEX($C$23:$AL$23,BW906)))</f>
        <v>0</v>
      </c>
      <c r="BX907" s="236" t="n">
        <f aca="false" t="array" ref="BX907:BX907">IF(BX906=0,0,IF(BX906&gt;=36,$AL$23,INDEX($C$23:$AL$23,BX906)))</f>
        <v>0</v>
      </c>
      <c r="BY907" s="236" t="n">
        <f aca="false" t="array" ref="BY907:BY907">IF(BY906=0,0,IF(BY906&gt;=36,$AL$23,INDEX($C$23:$AL$23,BY906)))</f>
        <v>0</v>
      </c>
      <c r="BZ907" s="236" t="n">
        <f aca="false" t="array" ref="BZ907:BZ907">IF(BZ906=0,0,IF(BZ906&gt;=36,$AL$23,INDEX($C$23:$AL$23,BZ906)))</f>
        <v>0</v>
      </c>
      <c r="CA907" s="236" t="n">
        <f aca="false" t="array" ref="CA907:CA907">IF(CA906=0,0,IF(CA906&gt;=36,$AL$23,INDEX($C$23:$AL$23,CA906)))</f>
        <v>0</v>
      </c>
      <c r="CB907" s="236" t="n">
        <f aca="false" t="array" ref="CB907:CB907">IF(CB906=0,0,IF(CB906&gt;=36,$AL$23,INDEX($C$23:$AL$23,CB906)))</f>
        <v>0</v>
      </c>
      <c r="CC907" s="236" t="n">
        <f aca="false" t="array" ref="CC907:CC907">IF(CC906=0,0,IF(CC906&gt;=36,$AL$23,INDEX($C$23:$AL$23,CC906)))</f>
        <v>0</v>
      </c>
      <c r="CD907" s="236" t="n">
        <f aca="false" t="array" ref="CD907:CD907">IF(CD906=0,0,IF(CD906&gt;=36,$AL$23,INDEX($C$23:$AL$23,CD906)))</f>
        <v>0</v>
      </c>
      <c r="CE907" s="236" t="n">
        <f aca="false" t="array" ref="CE907:CE907">IF(CE906=0,0,IF(CE906&gt;=36,$AL$23,INDEX($C$23:$AL$23,CE906)))</f>
        <v>0</v>
      </c>
      <c r="CF907" s="236" t="n">
        <f aca="false" t="array" ref="CF907:CF907">IF(CF906=0,0,IF(CF906&gt;=36,$AL$23,INDEX($C$23:$AL$23,CF906)))</f>
        <v>0</v>
      </c>
      <c r="CG907" s="236" t="n">
        <f aca="false" t="array" ref="CG907:CG907">IF(CG906=0,0,IF(CG906&gt;=36,$AL$23,INDEX($C$23:$AL$23,CG906)))</f>
        <v>0</v>
      </c>
      <c r="CH907" s="236" t="n">
        <f aca="false" t="array" ref="CH907:CH907">IF(CH906=0,0,IF(CH906&gt;=36,$AL$23,INDEX($C$23:$AL$23,CH906)))</f>
        <v>0</v>
      </c>
      <c r="CI907" s="236" t="n">
        <f aca="false" t="array" ref="CI907:CI907">IF(CI906=0,0,IF(CI906&gt;=36,$AL$23,INDEX($C$23:$AL$23,CI906)))</f>
        <v>0</v>
      </c>
      <c r="CJ907" s="236" t="n">
        <f aca="false" t="array" ref="CJ907:CJ907">IF(CJ906=0,0,IF(CJ906&gt;=36,$AL$23,INDEX($C$23:$AL$23,CJ906)))</f>
        <v>0</v>
      </c>
      <c r="CK907" s="236" t="n">
        <f aca="false" t="array" ref="CK907:CK907">IF(CK906=0,0,IF(CK906&gt;=36,$AL$23,INDEX($C$23:$AL$23,CK906)))</f>
        <v>0</v>
      </c>
      <c r="CL907" s="236" t="n">
        <f aca="false" t="array" ref="CL907:CL907">IF(CL906=0,0,IF(CL906&gt;=36,$AL$23,INDEX($C$23:$AL$23,CL906)))</f>
        <v>0</v>
      </c>
      <c r="CM907" s="236" t="n">
        <f aca="false" t="array" ref="CM907:CM907">IF(CM906=0,0,IF(CM906&gt;=36,$AL$23,INDEX($C$23:$AL$23,CM906)))</f>
        <v>0</v>
      </c>
      <c r="CN907" s="236" t="n">
        <f aca="false" t="array" ref="CN907:CN907">IF(CN906=0,0,IF(CN906&gt;=36,$AL$23,INDEX($C$23:$AL$23,CN906)))</f>
        <v>0</v>
      </c>
      <c r="CO907" s="236" t="n">
        <f aca="false" t="array" ref="CO907:CO907">IF(CO906=0,0,IF(CO906&gt;=36,$AL$23,INDEX($C$23:$AL$23,CO906)))</f>
        <v>0</v>
      </c>
      <c r="CP907" s="236" t="n">
        <f aca="false" t="array" ref="CP907:CP907">IF(CP906=0,0,IF(CP906&gt;=36,$AL$23,INDEX($C$23:$AL$23,CP906)))</f>
        <v>0</v>
      </c>
      <c r="CQ907" s="236" t="n">
        <f aca="false" t="array" ref="CQ907:CQ907">IF(CQ906=0,0,IF(CQ906&gt;=36,$AL$23,INDEX($C$23:$AL$23,CQ906)))</f>
        <v>0</v>
      </c>
      <c r="CR907" s="236" t="n">
        <f aca="false" t="array" ref="CR907:CR907">IF(CR906=0,0,IF(CR906&gt;=36,$AL$23,INDEX($C$23:$AL$23,CR906)))</f>
        <v>0</v>
      </c>
      <c r="CS907" s="236" t="n">
        <f aca="false" t="array" ref="CS907:CS907">IF(CS906=0,0,IF(CS906&gt;=36,$AL$23,INDEX($C$23:$AL$23,CS906)))</f>
        <v>0</v>
      </c>
      <c r="CT907" s="236" t="n">
        <f aca="false" t="array" ref="CT907:CT907">IF(CT906=0,0,IF(CT906&gt;=36,$AL$23,INDEX($C$23:$AL$23,CT906)))</f>
        <v>0</v>
      </c>
      <c r="CU907" s="236" t="n">
        <f aca="false" t="array" ref="CU907:CU907">IF(CU906=0,0,IF(CU906&gt;=36,$AL$23,INDEX($C$23:$AL$23,CU906)))</f>
        <v>0</v>
      </c>
      <c r="CV907" s="236" t="n">
        <f aca="false" t="array" ref="CV907:CV907">IF(CV906=0,0,IF(CV906&gt;=36,$AL$23,INDEX($C$23:$AL$23,CV906)))</f>
        <v>0</v>
      </c>
      <c r="CW907" s="236" t="n">
        <f aca="false" t="array" ref="CW907:CW907">IF(CW906=0,0,IF(CW906&gt;=36,$AL$23,INDEX($C$23:$AL$23,CW906)))</f>
        <v>0</v>
      </c>
      <c r="CX907" s="236" t="n">
        <f aca="false" t="array" ref="CX907:CX907">IF(CX906=0,0,IF(CX906&gt;=36,$AL$23,INDEX($C$23:$AL$23,CX906)))</f>
        <v>0</v>
      </c>
      <c r="CY907" s="236" t="n">
        <f aca="false" t="array" ref="CY907:CY907">IF(CY906=0,0,IF(CY906&gt;=36,$AL$23,INDEX($C$23:$AL$23,CY906)))</f>
        <v>0</v>
      </c>
      <c r="CZ907" s="236" t="n">
        <f aca="false" t="array" ref="CZ907:CZ907">IF(CZ906=0,0,IF(CZ906&gt;=36,$AL$23,INDEX($C$23:$AL$23,CZ906)))</f>
        <v>0</v>
      </c>
      <c r="DA907" s="236" t="n">
        <f aca="false" t="array" ref="DA907:DA907">IF(DA906=0,0,IF(DA906&gt;=36,$AL$23,INDEX($C$23:$AL$23,DA906)))</f>
        <v>0</v>
      </c>
      <c r="DB907" s="236" t="n">
        <f aca="false" t="array" ref="DB907:DB907">IF(DB906=0,0,IF(DB906&gt;=36,$AL$23,INDEX($C$23:$AL$23,DB906)))</f>
        <v>0</v>
      </c>
      <c r="DC907" s="236" t="n">
        <f aca="false" t="array" ref="DC907:DC907">IF(DC906=0,0,IF(DC906&gt;=36,$AL$23,INDEX($C$23:$AL$23,DC906)))</f>
        <v>0</v>
      </c>
      <c r="DD907" s="236" t="n">
        <f aca="false" t="array" ref="DD907:DD907">IF(DD906=0,0,IF(DD906&gt;=36,$AL$23,INDEX($C$23:$AL$23,DD906)))</f>
        <v>0</v>
      </c>
      <c r="DE907" s="236" t="n">
        <f aca="false" t="array" ref="DE907:DE907">IF(DE906=0,0,IF(DE906&gt;=36,$AL$23,INDEX($C$23:$AL$23,DE906)))</f>
        <v>0</v>
      </c>
      <c r="DF907" s="236" t="n">
        <f aca="false" t="array" ref="DF907:DF907">IF(DF906=0,0,IF(DF906&gt;=36,$AL$23,INDEX($C$23:$AL$23,DF906)))</f>
        <v>0</v>
      </c>
      <c r="DG907" s="236" t="n">
        <f aca="false" t="array" ref="DG907:DG907">IF(DG906=0,0,IF(DG906&gt;=36,$AL$23,INDEX($C$23:$AL$23,DG906)))</f>
        <v>0</v>
      </c>
      <c r="DH907" s="236" t="n">
        <f aca="false" t="array" ref="DH907:DH907">IF(DH906=0,0,IF(DH906&gt;=36,$AL$23,INDEX($C$23:$AL$23,DH906)))</f>
        <v>0</v>
      </c>
      <c r="DI907" s="236" t="n">
        <f aca="false" t="array" ref="DI907:DI907">IF(DI906=0,0,IF(DI906&gt;=36,$AL$23,INDEX($C$23:$AL$23,DI906)))</f>
        <v>0</v>
      </c>
      <c r="DJ907" s="236" t="n">
        <f aca="false" t="array" ref="DJ907:DJ907">IF(DJ906=0,0,IF(DJ906&gt;=36,$AL$23,INDEX($C$23:$AL$23,DJ906)))</f>
        <v>0</v>
      </c>
      <c r="DK907" s="236" t="n">
        <f aca="false" t="array" ref="DK907:DK907">IF(DK906=0,0,IF(DK906&gt;=36,$AL$23,INDEX($C$23:$AL$23,DK906)))</f>
        <v>0</v>
      </c>
      <c r="DL907" s="236" t="n">
        <f aca="false" t="array" ref="DL907:DL907">IF(DL906=0,0,IF(DL906&gt;=36,$AL$23,INDEX($C$23:$AL$23,DL906)))</f>
        <v>0</v>
      </c>
      <c r="DM907" s="236" t="n">
        <f aca="false" t="array" ref="DM907:DM907">IF(DM906=0,0,IF(DM906&gt;=36,$AL$23,INDEX($C$23:$AL$23,DM906)))</f>
        <v>0</v>
      </c>
      <c r="DN907" s="236" t="n">
        <f aca="false" t="array" ref="DN907:DN907">IF(DN906=0,0,IF(DN906&gt;=36,$AL$23,INDEX($C$23:$AL$23,DN906)))</f>
        <v>0</v>
      </c>
      <c r="DO907" s="236" t="n">
        <f aca="false" t="array" ref="DO907:DO907">IF(DO906=0,0,IF(DO906&gt;=36,$AL$23,INDEX($C$23:$AL$23,DO906)))</f>
        <v>0</v>
      </c>
      <c r="DP907" s="236" t="n">
        <f aca="false" t="array" ref="DP907:DP907">IF(DP906=0,0,IF(DP906&gt;=36,$AL$23,INDEX($C$23:$AL$23,DP906)))</f>
        <v>0</v>
      </c>
      <c r="DQ907" s="236" t="n">
        <f aca="false" t="array" ref="DQ907:DQ907">IF(DQ906=0,0,IF(DQ906&gt;=36,$AL$23,INDEX($C$23:$AL$23,DQ906)))</f>
        <v>0</v>
      </c>
      <c r="DR907" s="236" t="n">
        <f aca="false" t="array" ref="DR907:DR907">IF(DR906=0,0,IF(DR906&gt;=36,$AL$23,INDEX($C$23:$AL$23,DR906)))</f>
        <v>0</v>
      </c>
      <c r="DS907" s="236" t="n">
        <f aca="false" t="array" ref="DS907:DS907">IF(DS906=0,0,IF(DS906&gt;=36,$AL$23,INDEX($C$23:$AL$23,DS906)))</f>
        <v>0</v>
      </c>
      <c r="DT907" s="236" t="n">
        <f aca="false" t="array" ref="DT907:DT907">IF(DT906=0,0,IF(DT906&gt;=36,$AL$23,INDEX($C$23:$AL$23,DT906)))</f>
        <v>0</v>
      </c>
      <c r="DU907" s="236" t="n">
        <f aca="false" t="array" ref="DU907:DU907">IF(DU906=0,0,IF(DU906&gt;=36,$AL$23,INDEX($C$23:$AL$23,DU906)))</f>
        <v>0</v>
      </c>
      <c r="DV907" s="236" t="n">
        <f aca="false" t="array" ref="DV907:DV907">IF(DV906=0,0,IF(DV906&gt;=36,$AL$23,INDEX($C$23:$AL$23,DV906)))</f>
        <v>0</v>
      </c>
      <c r="DW907" s="236" t="n">
        <f aca="false" t="array" ref="DW907:DW907">IF(DW906=0,0,IF(DW906&gt;=36,$AL$23,INDEX($C$23:$AL$23,DW906)))</f>
        <v>0</v>
      </c>
      <c r="DX907" s="236" t="n">
        <f aca="false" t="array" ref="DX907:DX907">IF(DX906=0,0,IF(DX906&gt;=36,$AL$23,INDEX($C$23:$AL$23,DX906)))</f>
        <v>0</v>
      </c>
      <c r="DY907" s="236" t="n">
        <f aca="false" t="array" ref="DY907:DY907">IF(DY906=0,0,IF(DY906&gt;=36,$AL$23,INDEX($C$23:$AL$23,DY906)))</f>
        <v>0</v>
      </c>
      <c r="DZ907" s="236" t="n">
        <f aca="false" t="array" ref="DZ907:DZ907">IF(DZ906=0,0,IF(DZ906&gt;=36,$AL$23,INDEX($C$23:$AL$23,DZ906)))</f>
        <v>0</v>
      </c>
      <c r="EA907" s="236" t="n">
        <f aca="false" t="array" ref="EA907:EA907">IF(EA906=0,0,IF(EA906&gt;=36,$AL$23,INDEX($C$23:$AL$23,EA906)))</f>
        <v>0</v>
      </c>
      <c r="EB907" s="236" t="n">
        <f aca="false" t="array" ref="EB907:EB907">IF(EB906=0,0,IF(EB906&gt;=36,$AL$23,INDEX($C$23:$AL$23,EB906)))</f>
        <v>0</v>
      </c>
      <c r="EC907" s="236" t="n">
        <f aca="false" t="array" ref="EC907:EC907">IF(EC906=0,0,IF(EC906&gt;=36,$AL$23,INDEX($C$23:$AL$23,EC906)))</f>
        <v>0</v>
      </c>
      <c r="ED907" s="236" t="n">
        <f aca="false" t="array" ref="ED907:ED907">IF(ED906=0,0,IF(ED906&gt;=36,$AL$23,INDEX($C$23:$AL$23,ED906)))</f>
        <v>0</v>
      </c>
      <c r="EE907" s="236" t="n">
        <f aca="false" t="array" ref="EE907:EE907">IF(EE906=0,0,IF(EE906&gt;=36,$AL$23,INDEX($C$23:$AL$23,EE906)))</f>
        <v>0</v>
      </c>
      <c r="EF907" s="236" t="n">
        <f aca="false" t="array" ref="EF907:EF907">IF(EF906=0,0,IF(EF906&gt;=36,$AL$23,INDEX($C$23:$AL$23,EF906)))</f>
        <v>0</v>
      </c>
      <c r="EG907" s="236" t="n">
        <f aca="false" t="array" ref="EG907:EG907">IF(EG906=0,0,IF(EG906&gt;=36,$AL$23,INDEX($C$23:$AL$23,EG906)))</f>
        <v>0</v>
      </c>
      <c r="EH907" s="236" t="n">
        <f aca="false" t="array" ref="EH907:EH907">IF(EH906=0,0,IF(EH906&gt;=36,$AL$23,INDEX($C$23:$AL$23,EH906)))</f>
        <v>0</v>
      </c>
      <c r="EI907" s="236" t="n">
        <f aca="false" t="array" ref="EI907:EI907">IF(EI906=0,0,IF(EI906&gt;=36,$AL$23,INDEX($C$23:$AL$23,EI906)))</f>
        <v>0</v>
      </c>
      <c r="EJ907" s="236" t="n">
        <f aca="false" t="array" ref="EJ907:EJ907">IF(EJ906=0,0,IF(EJ906&gt;=36,$AL$23,INDEX($C$23:$AL$23,EJ906)))</f>
        <v>0</v>
      </c>
      <c r="EK907" s="236" t="n">
        <f aca="false" t="array" ref="EK907:EK907">IF(EK906=0,0,IF(EK906&gt;=36,$AL$23,INDEX($C$23:$AL$23,EK906)))</f>
        <v>0</v>
      </c>
      <c r="EL907" s="236" t="n">
        <f aca="false" t="array" ref="EL907:EL907">IF(EL906=0,0,IF(EL906&gt;=36,$AL$23,INDEX($C$23:$AL$23,EL906)))</f>
        <v>0</v>
      </c>
      <c r="EM907" s="236" t="n">
        <f aca="false" t="array" ref="EM907:EM907">IF(EM906=0,0,IF(EM906&gt;=36,$AL$23,INDEX($C$23:$AL$23,EM906)))</f>
        <v>0</v>
      </c>
      <c r="EN907" s="236" t="n">
        <f aca="false" t="array" ref="EN907:EN907">IF(EN906=0,0,IF(EN906&gt;=36,$AL$23,INDEX($C$23:$AL$23,EN906)))</f>
        <v>0</v>
      </c>
      <c r="EO907" s="236" t="n">
        <f aca="false" t="array" ref="EO907:EO907">IF(EO906=0,0,IF(EO906&gt;=36,$AL$23,INDEX($C$23:$AL$23,EO906)))</f>
        <v>0</v>
      </c>
      <c r="EP907" s="236" t="n">
        <f aca="false" t="array" ref="EP907:EP907">IF(EP906=0,0,IF(EP906&gt;=36,$AL$23,INDEX($C$23:$AL$23,EP906)))</f>
        <v>0</v>
      </c>
      <c r="EQ907" s="236" t="n">
        <f aca="false" t="array" ref="EQ907:EQ907">IF(EQ906=0,0,IF(EQ906&gt;=36,$AL$23,INDEX($C$23:$AL$23,EQ906)))</f>
        <v>0</v>
      </c>
      <c r="ER907" s="236" t="n">
        <f aca="false" t="array" ref="ER907:ER907">IF(ER906=0,0,IF(ER906&gt;=36,$AL$23,INDEX($C$23:$AL$23,ER906)))</f>
        <v>0</v>
      </c>
      <c r="ES907" s="9" t="n">
        <f aca="false" t="array" ref="ES907:ES907">IF(ES906=0,0,IF(ES906&gt;=36,$AL$23,INDEX($C$23:$AL$23,ES906)))</f>
        <v>0</v>
      </c>
      <c r="ET907" s="9" t="n">
        <f aca="false" t="array" ref="ET907:ET907">IF(ET906=0,0,IF(ET906&gt;=36,$AL$23,INDEX($C$23:$AL$23,ET906)))</f>
        <v>0</v>
      </c>
      <c r="EU907" s="9" t="n">
        <f aca="false" t="array" ref="EU907:EU907">IF(EU906=0,0,IF(EU906&gt;=36,$AL$23,INDEX($C$23:$AL$23,EU906)))</f>
        <v>0</v>
      </c>
      <c r="EV907" s="9" t="n">
        <f aca="false" t="array" ref="EV907:EV907">IF(EV906=0,0,IF(EV906&gt;=36,$AL$23,INDEX($C$23:$AL$23,EV906)))</f>
        <v>0</v>
      </c>
      <c r="EW907" s="9" t="n">
        <f aca="false" t="array" ref="EW907:EW907">IF(EW906=0,0,IF(EW906&gt;=36,$AL$23,INDEX($C$23:$AL$23,EW906)))</f>
        <v>0</v>
      </c>
      <c r="EX907" s="9" t="n">
        <f aca="false" t="array" ref="EX907:EX907">IF(EX906=0,0,IF(EX906&gt;=36,$AL$23,INDEX($C$23:$AL$23,EX906)))</f>
        <v>0</v>
      </c>
      <c r="EY907" s="9" t="n">
        <f aca="false" t="array" ref="EY907:EY907">IF(EY906=0,0,IF(EY906&gt;=36,$AL$23,INDEX($C$23:$AL$23,EY906)))</f>
        <v>0</v>
      </c>
      <c r="EZ907" s="9" t="n">
        <f aca="false" t="array" ref="EZ907:EZ907">IF(EZ906=0,0,IF(EZ906&gt;=36,$AL$23,INDEX($C$23:$AL$23,EZ906)))</f>
        <v>0</v>
      </c>
      <c r="FA907" s="9" t="n">
        <f aca="false" t="array" ref="FA907:FA907">IF(FA906=0,0,IF(FA906&gt;=36,$AL$23,INDEX($C$23:$AL$23,FA906)))</f>
        <v>0</v>
      </c>
      <c r="FB907" s="9" t="n">
        <f aca="false" t="array" ref="FB907:FB907">IF(FB906=0,0,IF(FB906&gt;=36,$AL$23,INDEX($C$23:$AL$23,FB906)))</f>
        <v>0</v>
      </c>
      <c r="FC907" s="9" t="n">
        <f aca="false" t="array" ref="FC907:FC907">IF(FC906=0,0,IF(FC906&gt;=36,$AL$23,INDEX($C$23:$AL$23,FC906)))</f>
        <v>0</v>
      </c>
      <c r="FD907" s="9" t="n">
        <f aca="false" t="array" ref="FD907:FD907">IF(FD906=0,0,IF(FD906&gt;=36,$AL$23,INDEX($C$23:$AL$23,FD906)))</f>
        <v>0</v>
      </c>
      <c r="FE907" s="9" t="n">
        <f aca="false" t="array" ref="FE907:FE907">IF(FE906=0,0,IF(FE906&gt;=36,$AL$23,INDEX($C$23:$AL$23,FE906)))</f>
        <v>0</v>
      </c>
      <c r="FF907" s="9" t="n">
        <f aca="false" t="array" ref="FF907:FF907">IF(FF906=0,0,IF(FF906&gt;=36,$AL$23,INDEX($C$23:$AL$23,FF906)))</f>
        <v>0</v>
      </c>
      <c r="FG907" s="9" t="n">
        <f aca="false" t="array" ref="FG907:FG907">IF(FG906=0,0,IF(FG906&gt;=36,$AL$23,INDEX($C$23:$AL$23,FG906)))</f>
        <v>0</v>
      </c>
      <c r="FH907" s="9" t="n">
        <f aca="false" t="array" ref="FH907:FH907">IF(FH906=0,0,IF(FH906&gt;=36,$AL$23,INDEX($C$23:$AL$23,FH906)))</f>
        <v>0</v>
      </c>
      <c r="FI907" s="9" t="n">
        <f aca="false" t="array" ref="FI907:FI907">IF(FI906=0,0,IF(FI906&gt;=36,$AL$23,INDEX($C$23:$AL$23,FI906)))</f>
        <v>0</v>
      </c>
      <c r="FJ907" s="9" t="n">
        <f aca="false" t="array" ref="FJ907:FJ907">IF(FJ906=0,0,IF(FJ906&gt;=36,$AL$23,INDEX($C$23:$AL$23,FJ906)))</f>
        <v>0</v>
      </c>
      <c r="FK907" s="9" t="n">
        <f aca="false" t="array" ref="FK907:FK907">IF(FK906=0,0,IF(FK906&gt;=36,$AL$23,INDEX($C$23:$AL$23,FK906)))</f>
        <v>0</v>
      </c>
      <c r="FL907" s="9" t="n">
        <f aca="false" t="array" ref="FL907:FL907">IF(FL906=0,0,IF(FL906&gt;=36,$AL$23,INDEX($C$23:$AL$23,FL906)))</f>
        <v>0</v>
      </c>
      <c r="FM907" s="9" t="n">
        <f aca="false" t="array" ref="FM907:FM907">IF(FM906=0,0,IF(FM906&gt;=36,$AL$23,INDEX($C$23:$AL$23,FM906)))</f>
        <v>0</v>
      </c>
      <c r="FN907" s="9" t="n">
        <f aca="false" t="array" ref="FN907:FN907">IF(FN906=0,0,IF(FN906&gt;=36,$AL$23,INDEX($C$23:$AL$23,FN906)))</f>
        <v>0</v>
      </c>
      <c r="FO907" s="9" t="n">
        <f aca="false" t="array" ref="FO907:FO907">IF(FO906=0,0,IF(FO906&gt;=36,$AL$23,INDEX($C$23:$AL$23,FO906)))</f>
        <v>0.2</v>
      </c>
      <c r="FP907" s="9" t="n">
        <f aca="false" t="array" ref="FP907:FP907">IF(FP906=0,0,IF(FP906&gt;=36,$AL$23,INDEX($C$23:$AL$23,FP906)))</f>
        <v>0.22</v>
      </c>
    </row>
    <row r="908" customFormat="false" ht="15" hidden="false" customHeight="false" outlineLevel="2" collapsed="false">
      <c r="B908" s="9" t="s">
        <v>875</v>
      </c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237" t="n">
        <f aca="false">IF(AC906=0,0,IF(AC906&lt;=12,1,1+$C$6))</f>
        <v>0</v>
      </c>
      <c r="AD908" s="237" t="n">
        <f aca="false">IF(AD906=0,0,IF(AD906&lt;=12,1,1+$C$6))</f>
        <v>0</v>
      </c>
      <c r="AE908" s="237" t="n">
        <f aca="false">IF(AE906=0,0,IF(AE906&lt;=12,1,1+$C$6))</f>
        <v>0</v>
      </c>
      <c r="AF908" s="237" t="n">
        <f aca="false">IF(AF906=0,0,IF(AF906&lt;=12,1,1+$C$6))</f>
        <v>0</v>
      </c>
      <c r="AG908" s="237" t="n">
        <f aca="false">IF(AG906=0,0,IF(AG906&lt;=12,1,1+$C$6))</f>
        <v>0</v>
      </c>
      <c r="AH908" s="237" t="n">
        <f aca="false">IF(AH906=0,0,IF(AH906&lt;=12,1,1+$C$6))</f>
        <v>0</v>
      </c>
      <c r="AI908" s="237" t="n">
        <f aca="false">IF(AI906=0,0,IF(AI906&lt;=12,1,1+$C$6))</f>
        <v>0</v>
      </c>
      <c r="AJ908" s="237" t="n">
        <f aca="false">IF(AJ906=0,0,IF(AJ906&lt;=12,1,1+$C$6))</f>
        <v>0</v>
      </c>
      <c r="AK908" s="237" t="n">
        <f aca="false">IF(AK906=0,0,IF(AK906&lt;=12,1,1+$C$6))</f>
        <v>0</v>
      </c>
      <c r="AL908" s="237" t="n">
        <f aca="false">IF(AL906=0,0,IF(AL906&lt;=12,1,1+$C$6))</f>
        <v>0</v>
      </c>
      <c r="AM908" s="237" t="n">
        <f aca="false">IF(AM906=0,0,IF(AM906&lt;=12,1,1+$C$6))</f>
        <v>0</v>
      </c>
      <c r="AN908" s="237" t="n">
        <f aca="false">IF(AN906=0,0,IF(AN906&lt;=12,1,1+$C$6))</f>
        <v>0</v>
      </c>
      <c r="AO908" s="237" t="n">
        <f aca="false">IF(AO906=0,0,IF(AO906&lt;=12,1,1+$C$6))</f>
        <v>0</v>
      </c>
      <c r="AP908" s="237" t="n">
        <f aca="false">IF(AP906=0,0,IF(AP906&lt;=12,1,1+$C$6))</f>
        <v>0</v>
      </c>
      <c r="AQ908" s="237" t="n">
        <f aca="false">IF(AQ906=0,0,IF(AQ906&lt;=12,1,1+$C$6))</f>
        <v>0</v>
      </c>
      <c r="AR908" s="237" t="n">
        <f aca="false">IF(AR906=0,0,IF(AR906&lt;=12,1,1+$C$6))</f>
        <v>0</v>
      </c>
      <c r="AS908" s="237" t="n">
        <f aca="false">IF(AS906=0,0,IF(AS906&lt;=12,1,1+$C$6))</f>
        <v>0</v>
      </c>
      <c r="AT908" s="237" t="n">
        <f aca="false">IF(AT906=0,0,IF(AT906&lt;=12,1,1+$C$6))</f>
        <v>0</v>
      </c>
      <c r="AU908" s="237" t="n">
        <f aca="false">IF(AU906=0,0,IF(AU906&lt;=12,1,1+$C$6))</f>
        <v>0</v>
      </c>
      <c r="AV908" s="237" t="n">
        <f aca="false">IF(AV906=0,0,IF(AV906&lt;=12,1,1+$C$6))</f>
        <v>0</v>
      </c>
      <c r="AW908" s="237" t="n">
        <f aca="false">IF(AW906=0,0,IF(AW906&lt;=12,1,1+$C$6))</f>
        <v>0</v>
      </c>
      <c r="AX908" s="237" t="n">
        <f aca="false">IF(AX906=0,0,IF(AX906&lt;=12,1,1+$C$6))</f>
        <v>0</v>
      </c>
      <c r="AY908" s="237" t="n">
        <f aca="false">IF(AY906=0,0,IF(AY906&lt;=12,1,1+$C$6))</f>
        <v>0</v>
      </c>
      <c r="AZ908" s="237" t="n">
        <f aca="false">IF(AZ906=0,0,IF(AZ906&lt;=12,1,1+$C$6))</f>
        <v>0</v>
      </c>
      <c r="BA908" s="237" t="n">
        <f aca="false">IF(BA906=0,0,IF(BA906&lt;=12,1,1+$C$6))</f>
        <v>0</v>
      </c>
      <c r="BB908" s="237" t="n">
        <f aca="false">IF(BB906=0,0,IF(BB906&lt;=12,1,1+$C$6))</f>
        <v>0</v>
      </c>
      <c r="BC908" s="237" t="n">
        <f aca="false">IF(BC906=0,0,IF(BC906&lt;=12,1,1+$C$6))</f>
        <v>0</v>
      </c>
      <c r="BD908" s="237" t="n">
        <f aca="false">IF(BD906=0,0,IF(BD906&lt;=12,1,1+$C$6))</f>
        <v>0</v>
      </c>
      <c r="BE908" s="237" t="n">
        <f aca="false">IF(BE906=0,0,IF(BE906&lt;=12,1,1+$C$6))</f>
        <v>0</v>
      </c>
      <c r="BF908" s="237" t="n">
        <f aca="false">IF(BF906=0,0,IF(BF906&lt;=12,1,1+$C$6))</f>
        <v>0</v>
      </c>
      <c r="BG908" s="237" t="n">
        <f aca="false">IF(BG906=0,0,IF(BG906&lt;=12,1,1+$C$6))</f>
        <v>0</v>
      </c>
      <c r="BH908" s="237" t="n">
        <f aca="false">IF(BH906=0,0,IF(BH906&lt;=12,1,1+$C$6))</f>
        <v>0</v>
      </c>
      <c r="BI908" s="237" t="n">
        <f aca="false">IF(BI906=0,0,IF(BI906&lt;=12,1,1+$C$6))</f>
        <v>0</v>
      </c>
      <c r="BJ908" s="237" t="n">
        <f aca="false">IF(BJ906=0,0,IF(BJ906&lt;=12,1,1+$C$6))</f>
        <v>0</v>
      </c>
      <c r="BK908" s="237" t="n">
        <f aca="false">IF(BK906=0,0,IF(BK906&lt;=12,1,1+$C$6))</f>
        <v>0</v>
      </c>
      <c r="BL908" s="237" t="n">
        <f aca="false">IF(BL906=0,0,IF(BL906&lt;=12,1,1+$C$6))</f>
        <v>0</v>
      </c>
      <c r="BM908" s="237" t="n">
        <f aca="false">IF(BM906=0,0,IF(BM906&lt;=12,1,1+$C$6))</f>
        <v>0</v>
      </c>
      <c r="BN908" s="237" t="n">
        <f aca="false">IF(BN906=0,0,IF(BN906&lt;=12,1,1+$C$6))</f>
        <v>0</v>
      </c>
      <c r="BO908" s="237" t="n">
        <f aca="false">IF(BO906=0,0,IF(BO906&lt;=12,1,1+$C$6))</f>
        <v>0</v>
      </c>
      <c r="BP908" s="237" t="n">
        <f aca="false">IF(BP906=0,0,IF(BP906&lt;=12,1,1+$C$6))</f>
        <v>0</v>
      </c>
      <c r="BQ908" s="237" t="n">
        <f aca="false">IF(BQ906=0,0,IF(BQ906&lt;=12,1,1+$C$6))</f>
        <v>0</v>
      </c>
      <c r="BR908" s="237" t="n">
        <f aca="false">IF(BR906=0,0,IF(BR906&lt;=12,1,1+$C$6))</f>
        <v>0</v>
      </c>
      <c r="BS908" s="237" t="n">
        <f aca="false">IF(BS906=0,0,IF(BS906&lt;=12,1,1+$C$6))</f>
        <v>0</v>
      </c>
      <c r="BT908" s="237" t="n">
        <f aca="false">IF(BT906=0,0,IF(BT906&lt;=12,1,1+$C$6))</f>
        <v>0</v>
      </c>
      <c r="BU908" s="237" t="n">
        <f aca="false">IF(BU906=0,0,IF(BU906&lt;=12,1,1+$C$6))</f>
        <v>0</v>
      </c>
      <c r="BV908" s="237" t="n">
        <f aca="false">IF(BV906=0,0,IF(BV906&lt;=12,1,1+$C$6))</f>
        <v>0</v>
      </c>
      <c r="BW908" s="237" t="n">
        <f aca="false">IF(BW906=0,0,IF(BW906&lt;=12,1,1+$C$6))</f>
        <v>0</v>
      </c>
      <c r="BX908" s="237" t="n">
        <f aca="false">IF(BX906=0,0,IF(BX906&lt;=12,1,1+$C$6))</f>
        <v>0</v>
      </c>
      <c r="BY908" s="237" t="n">
        <f aca="false">IF(BY906=0,0,IF(BY906&lt;=12,1,1+$C$6))</f>
        <v>0</v>
      </c>
      <c r="BZ908" s="237" t="n">
        <f aca="false">IF(BZ906=0,0,IF(BZ906&lt;=12,1,1+$C$6))</f>
        <v>0</v>
      </c>
      <c r="CA908" s="237" t="n">
        <f aca="false">IF(CA906=0,0,IF(CA906&lt;=12,1,1+$C$6))</f>
        <v>0</v>
      </c>
      <c r="CB908" s="237" t="n">
        <f aca="false">IF(CB906=0,0,IF(CB906&lt;=12,1,1+$C$6))</f>
        <v>0</v>
      </c>
      <c r="CC908" s="237" t="n">
        <f aca="false">IF(CC906=0,0,IF(CC906&lt;=12,1,1+$C$6))</f>
        <v>0</v>
      </c>
      <c r="CD908" s="237" t="n">
        <f aca="false">IF(CD906=0,0,IF(CD906&lt;=12,1,1+$C$6))</f>
        <v>0</v>
      </c>
      <c r="CE908" s="237" t="n">
        <f aca="false">IF(CE906=0,0,IF(CE906&lt;=12,1,1+$C$6))</f>
        <v>0</v>
      </c>
      <c r="CF908" s="237" t="n">
        <f aca="false">IF(CF906=0,0,IF(CF906&lt;=12,1,1+$C$6))</f>
        <v>0</v>
      </c>
      <c r="CG908" s="237" t="n">
        <f aca="false">IF(CG906=0,0,IF(CG906&lt;=12,1,1+$C$6))</f>
        <v>0</v>
      </c>
      <c r="CH908" s="237" t="n">
        <f aca="false">IF(CH906=0,0,IF(CH906&lt;=12,1,1+$C$6))</f>
        <v>0</v>
      </c>
      <c r="CI908" s="237" t="n">
        <f aca="false">IF(CI906=0,0,IF(CI906&lt;=12,1,1+$C$6))</f>
        <v>0</v>
      </c>
      <c r="CJ908" s="237" t="n">
        <f aca="false">IF(CJ906=0,0,IF(CJ906&lt;=12,1,1+$C$6))</f>
        <v>0</v>
      </c>
      <c r="CK908" s="237" t="n">
        <f aca="false">IF(CK906=0,0,IF(CK906&lt;=12,1,1+$C$6))</f>
        <v>0</v>
      </c>
      <c r="CL908" s="237" t="n">
        <f aca="false">IF(CL906=0,0,IF(CL906&lt;=12,1,1+$C$6))</f>
        <v>0</v>
      </c>
      <c r="CM908" s="237" t="n">
        <f aca="false">IF(CM906=0,0,IF(CM906&lt;=12,1,1+$C$6))</f>
        <v>0</v>
      </c>
      <c r="CN908" s="237" t="n">
        <f aca="false">IF(CN906=0,0,IF(CN906&lt;=12,1,1+$C$6))</f>
        <v>0</v>
      </c>
      <c r="CO908" s="237" t="n">
        <f aca="false">IF(CO906=0,0,IF(CO906&lt;=12,1,1+$C$6))</f>
        <v>0</v>
      </c>
      <c r="CP908" s="237" t="n">
        <f aca="false">IF(CP906=0,0,IF(CP906&lt;=12,1,1+$C$6))</f>
        <v>0</v>
      </c>
      <c r="CQ908" s="237" t="n">
        <f aca="false">IF(CQ906=0,0,IF(CQ906&lt;=12,1,1+$C$6))</f>
        <v>0</v>
      </c>
      <c r="CR908" s="237" t="n">
        <f aca="false">IF(CR906=0,0,IF(CR906&lt;=12,1,1+$C$6))</f>
        <v>0</v>
      </c>
      <c r="CS908" s="237" t="n">
        <f aca="false">IF(CS906=0,0,IF(CS906&lt;=12,1,1+$C$6))</f>
        <v>0</v>
      </c>
      <c r="CT908" s="237" t="n">
        <f aca="false">IF(CT906=0,0,IF(CT906&lt;=12,1,1+$C$6))</f>
        <v>0</v>
      </c>
      <c r="CU908" s="237" t="n">
        <f aca="false">IF(CU906=0,0,IF(CU906&lt;=12,1,1+$C$6))</f>
        <v>0</v>
      </c>
      <c r="CV908" s="237" t="n">
        <f aca="false">IF(CV906=0,0,IF(CV906&lt;=12,1,1+$C$6))</f>
        <v>0</v>
      </c>
      <c r="CW908" s="237" t="n">
        <f aca="false">IF(CW906=0,0,IF(CW906&lt;=12,1,1+$C$6))</f>
        <v>0</v>
      </c>
      <c r="CX908" s="237" t="n">
        <f aca="false">IF(CX906=0,0,IF(CX906&lt;=12,1,1+$C$6))</f>
        <v>0</v>
      </c>
      <c r="CY908" s="237" t="n">
        <f aca="false">IF(CY906=0,0,IF(CY906&lt;=12,1,1+$C$6))</f>
        <v>0</v>
      </c>
      <c r="CZ908" s="237" t="n">
        <f aca="false">IF(CZ906=0,0,IF(CZ906&lt;=12,1,1+$C$6))</f>
        <v>0</v>
      </c>
      <c r="DA908" s="237" t="n">
        <f aca="false">IF(DA906=0,0,IF(DA906&lt;=12,1,1+$C$6))</f>
        <v>0</v>
      </c>
      <c r="DB908" s="237" t="n">
        <f aca="false">IF(DB906=0,0,IF(DB906&lt;=12,1,1+$C$6))</f>
        <v>0</v>
      </c>
      <c r="DC908" s="237" t="n">
        <f aca="false">IF(DC906=0,0,IF(DC906&lt;=12,1,1+$C$6))</f>
        <v>0</v>
      </c>
      <c r="DD908" s="237" t="n">
        <f aca="false">IF(DD906=0,0,IF(DD906&lt;=12,1,1+$C$6))</f>
        <v>0</v>
      </c>
      <c r="DE908" s="237" t="n">
        <f aca="false">IF(DE906=0,0,IF(DE906&lt;=12,1,1+$C$6))</f>
        <v>0</v>
      </c>
      <c r="DF908" s="237" t="n">
        <f aca="false">IF(DF906=0,0,IF(DF906&lt;=12,1,1+$C$6))</f>
        <v>0</v>
      </c>
      <c r="DG908" s="237" t="n">
        <f aca="false">IF(DG906=0,0,IF(DG906&lt;=12,1,1+$C$6))</f>
        <v>0</v>
      </c>
      <c r="DH908" s="237" t="n">
        <f aca="false">IF(DH906=0,0,IF(DH906&lt;=12,1,1+$C$6))</f>
        <v>0</v>
      </c>
      <c r="DI908" s="237" t="n">
        <f aca="false">IF(DI906=0,0,IF(DI906&lt;=12,1,1+$C$6))</f>
        <v>0</v>
      </c>
      <c r="DJ908" s="237" t="n">
        <f aca="false">IF(DJ906=0,0,IF(DJ906&lt;=12,1,1+$C$6))</f>
        <v>0</v>
      </c>
      <c r="DK908" s="237" t="n">
        <f aca="false">IF(DK906=0,0,IF(DK906&lt;=12,1,1+$C$6))</f>
        <v>0</v>
      </c>
      <c r="DL908" s="237" t="n">
        <f aca="false">IF(DL906=0,0,IF(DL906&lt;=12,1,1+$C$6))</f>
        <v>0</v>
      </c>
      <c r="DM908" s="237" t="n">
        <f aca="false">IF(DM906=0,0,IF(DM906&lt;=12,1,1+$C$6))</f>
        <v>0</v>
      </c>
      <c r="DN908" s="237" t="n">
        <f aca="false">IF(DN906=0,0,IF(DN906&lt;=12,1,1+$C$6))</f>
        <v>0</v>
      </c>
      <c r="DO908" s="237" t="n">
        <f aca="false">IF(DO906=0,0,IF(DO906&lt;=12,1,1+$C$6))</f>
        <v>0</v>
      </c>
      <c r="DP908" s="237" t="n">
        <f aca="false">IF(DP906=0,0,IF(DP906&lt;=12,1,1+$C$6))</f>
        <v>0</v>
      </c>
      <c r="DQ908" s="237" t="n">
        <f aca="false">IF(DQ906=0,0,IF(DQ906&lt;=12,1,1+$C$6))</f>
        <v>0</v>
      </c>
      <c r="DR908" s="237" t="n">
        <f aca="false">IF(DR906=0,0,IF(DR906&lt;=12,1,1+$C$6))</f>
        <v>0</v>
      </c>
      <c r="DS908" s="237" t="n">
        <f aca="false">IF(DS906=0,0,IF(DS906&lt;=12,1,1+$C$6))</f>
        <v>0</v>
      </c>
      <c r="DT908" s="237" t="n">
        <f aca="false">IF(DT906=0,0,IF(DT906&lt;=12,1,1+$C$6))</f>
        <v>0</v>
      </c>
      <c r="DU908" s="237" t="n">
        <f aca="false">IF(DU906=0,0,IF(DU906&lt;=12,1,1+$C$6))</f>
        <v>0</v>
      </c>
      <c r="DV908" s="237" t="n">
        <f aca="false">IF(DV906=0,0,IF(DV906&lt;=12,1,1+$C$6))</f>
        <v>0</v>
      </c>
      <c r="DW908" s="237" t="n">
        <f aca="false">IF(DW906=0,0,IF(DW906&lt;=12,1,1+$C$6))</f>
        <v>0</v>
      </c>
      <c r="DX908" s="237" t="n">
        <f aca="false">IF(DX906=0,0,IF(DX906&lt;=12,1,1+$C$6))</f>
        <v>0</v>
      </c>
      <c r="DY908" s="237" t="n">
        <f aca="false">IF(DY906=0,0,IF(DY906&lt;=12,1,1+$C$6))</f>
        <v>0</v>
      </c>
      <c r="DZ908" s="237" t="n">
        <f aca="false">IF(DZ906=0,0,IF(DZ906&lt;=12,1,1+$C$6))</f>
        <v>0</v>
      </c>
      <c r="EA908" s="237" t="n">
        <f aca="false">IF(EA906=0,0,IF(EA906&lt;=12,1,1+$C$6))</f>
        <v>0</v>
      </c>
      <c r="EB908" s="237" t="n">
        <f aca="false">IF(EB906=0,0,IF(EB906&lt;=12,1,1+$C$6))</f>
        <v>0</v>
      </c>
      <c r="EC908" s="237" t="n">
        <f aca="false">IF(EC906=0,0,IF(EC906&lt;=12,1,1+$C$6))</f>
        <v>0</v>
      </c>
      <c r="ED908" s="237" t="n">
        <f aca="false">IF(ED906=0,0,IF(ED906&lt;=12,1,1+$C$6))</f>
        <v>0</v>
      </c>
      <c r="EE908" s="237" t="n">
        <f aca="false">IF(EE906=0,0,IF(EE906&lt;=12,1,1+$C$6))</f>
        <v>0</v>
      </c>
      <c r="EF908" s="237" t="n">
        <f aca="false">IF(EF906=0,0,IF(EF906&lt;=12,1,1+$C$6))</f>
        <v>0</v>
      </c>
      <c r="EG908" s="237" t="n">
        <f aca="false">IF(EG906=0,0,IF(EG906&lt;=12,1,1+$C$6))</f>
        <v>0</v>
      </c>
      <c r="EH908" s="237" t="n">
        <f aca="false">IF(EH906=0,0,IF(EH906&lt;=12,1,1+$C$6))</f>
        <v>0</v>
      </c>
      <c r="EI908" s="237" t="n">
        <f aca="false">IF(EI906=0,0,IF(EI906&lt;=12,1,1+$C$6))</f>
        <v>0</v>
      </c>
      <c r="EJ908" s="237" t="n">
        <f aca="false">IF(EJ906=0,0,IF(EJ906&lt;=12,1,1+$C$6))</f>
        <v>0</v>
      </c>
      <c r="EK908" s="237" t="n">
        <f aca="false">IF(EK906=0,0,IF(EK906&lt;=12,1,1+$C$6))</f>
        <v>0</v>
      </c>
      <c r="EL908" s="237" t="n">
        <f aca="false">IF(EL906=0,0,IF(EL906&lt;=12,1,1+$C$6))</f>
        <v>0</v>
      </c>
      <c r="EM908" s="237" t="n">
        <f aca="false">IF(EM906=0,0,IF(EM906&lt;=12,1,1+$C$6))</f>
        <v>0</v>
      </c>
      <c r="EN908" s="237" t="n">
        <f aca="false">IF(EN906=0,0,IF(EN906&lt;=12,1,1+$C$6))</f>
        <v>0</v>
      </c>
      <c r="EO908" s="237" t="n">
        <f aca="false">IF(EO906=0,0,IF(EO906&lt;=12,1,1+$C$6))</f>
        <v>0</v>
      </c>
      <c r="EP908" s="237" t="n">
        <f aca="false">IF(EP906=0,0,IF(EP906&lt;=12,1,1+$C$6))</f>
        <v>0</v>
      </c>
      <c r="EQ908" s="237" t="n">
        <f aca="false">IF(EQ906=0,0,IF(EQ906&lt;=12,1,1+$C$6))</f>
        <v>0</v>
      </c>
      <c r="ER908" s="237" t="n">
        <f aca="false">IF(ER906=0,0,IF(ER906&lt;=12,1,1+$C$6))</f>
        <v>0</v>
      </c>
      <c r="ES908" s="9" t="n">
        <f aca="false">IF(ES906=0,0,IF(ES906&lt;=12,1,1+$C$6))</f>
        <v>0</v>
      </c>
      <c r="ET908" s="9" t="n">
        <f aca="false">IF(ET906=0,0,IF(ET906&lt;=12,1,1+$C$6))</f>
        <v>0</v>
      </c>
      <c r="EU908" s="9" t="n">
        <f aca="false">IF(EU906=0,0,IF(EU906&lt;=12,1,1+$C$6))</f>
        <v>0</v>
      </c>
      <c r="EV908" s="9" t="n">
        <f aca="false">IF(EV906=0,0,IF(EV906&lt;=12,1,1+$C$6))</f>
        <v>0</v>
      </c>
      <c r="EW908" s="9" t="n">
        <f aca="false">IF(EW906=0,0,IF(EW906&lt;=12,1,1+$C$6))</f>
        <v>0</v>
      </c>
      <c r="EX908" s="9" t="n">
        <f aca="false">IF(EX906=0,0,IF(EX906&lt;=12,1,1+$C$6))</f>
        <v>0</v>
      </c>
      <c r="EY908" s="9" t="n">
        <f aca="false">IF(EY906=0,0,IF(EY906&lt;=12,1,1+$C$6))</f>
        <v>0</v>
      </c>
      <c r="EZ908" s="9" t="n">
        <f aca="false">IF(EZ906=0,0,IF(EZ906&lt;=12,1,1+$C$6))</f>
        <v>0</v>
      </c>
      <c r="FA908" s="9" t="n">
        <f aca="false">IF(FA906=0,0,IF(FA906&lt;=12,1,1+$C$6))</f>
        <v>0</v>
      </c>
      <c r="FB908" s="9" t="n">
        <f aca="false">IF(FB906=0,0,IF(FB906&lt;=12,1,1+$C$6))</f>
        <v>0</v>
      </c>
      <c r="FC908" s="9" t="n">
        <f aca="false">IF(FC906=0,0,IF(FC906&lt;=12,1,1+$C$6))</f>
        <v>0</v>
      </c>
      <c r="FD908" s="9" t="n">
        <f aca="false">IF(FD906=0,0,IF(FD906&lt;=12,1,1+$C$6))</f>
        <v>0</v>
      </c>
      <c r="FE908" s="9" t="n">
        <f aca="false">IF(FE906=0,0,IF(FE906&lt;=12,1,1+$C$6))</f>
        <v>0</v>
      </c>
      <c r="FF908" s="9" t="n">
        <f aca="false">IF(FF906=0,0,IF(FF906&lt;=12,1,1+$C$6))</f>
        <v>0</v>
      </c>
      <c r="FG908" s="9" t="n">
        <f aca="false">IF(FG906=0,0,IF(FG906&lt;=12,1,1+$C$6))</f>
        <v>0</v>
      </c>
      <c r="FH908" s="9" t="n">
        <f aca="false">IF(FH906=0,0,IF(FH906&lt;=12,1,1+$C$6))</f>
        <v>0</v>
      </c>
      <c r="FI908" s="9" t="n">
        <f aca="false">IF(FI906=0,0,IF(FI906&lt;=12,1,1+$C$6))</f>
        <v>0</v>
      </c>
      <c r="FJ908" s="9" t="n">
        <f aca="false">IF(FJ906=0,0,IF(FJ906&lt;=12,1,1+$C$6))</f>
        <v>0</v>
      </c>
      <c r="FK908" s="9" t="n">
        <f aca="false">IF(FK906=0,0,IF(FK906&lt;=12,1,1+$C$6))</f>
        <v>0</v>
      </c>
      <c r="FL908" s="9" t="n">
        <f aca="false">IF(FL906=0,0,IF(FL906&lt;=12,1,1+$C$6))</f>
        <v>0</v>
      </c>
      <c r="FM908" s="9" t="n">
        <f aca="false">IF(FM906=0,0,IF(FM906&lt;=12,1,1+$C$6))</f>
        <v>0</v>
      </c>
      <c r="FN908" s="9" t="n">
        <f aca="false">IF(FN906=0,0,IF(FN906&lt;=12,1,1+$C$6))</f>
        <v>0</v>
      </c>
      <c r="FO908" s="9" t="n">
        <f aca="false">IF(FO906=0,0,IF(FO906&lt;=12,1,1+$C$6))</f>
        <v>1</v>
      </c>
      <c r="FP908" s="9" t="n">
        <f aca="false">IF(FP906=0,0,IF(FP906&lt;=12,1,1+$C$6))</f>
        <v>1</v>
      </c>
    </row>
    <row r="909" customFormat="false" ht="15" hidden="false" customHeight="false" outlineLevel="2" collapsed="false">
      <c r="B909" s="9" t="s">
        <v>876</v>
      </c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36" t="n">
        <f aca="false">AC907*$AC$905*AC908*AC$38*'⑫ Roll-out Plan'!$O$95</f>
        <v>0</v>
      </c>
      <c r="AD909" s="36" t="n">
        <f aca="false">AD907*$AC$905*AD908*AD$38*'⑫ Roll-out Plan'!$O$95</f>
        <v>0</v>
      </c>
      <c r="AE909" s="36" t="n">
        <f aca="false">AE907*$AC$905*AE908*AE$38*'⑫ Roll-out Plan'!$O$95</f>
        <v>0</v>
      </c>
      <c r="AF909" s="36" t="n">
        <f aca="false">AF907*$AC$905*AF908*AF$38*'⑫ Roll-out Plan'!$O$95</f>
        <v>0</v>
      </c>
      <c r="AG909" s="36" t="n">
        <f aca="false">AG907*$AC$905*AG908*AG$38*'⑫ Roll-out Plan'!$O$95</f>
        <v>0</v>
      </c>
      <c r="AH909" s="36" t="n">
        <f aca="false">AH907*$AC$905*AH908*AH$38*'⑫ Roll-out Plan'!$O$95</f>
        <v>0</v>
      </c>
      <c r="AI909" s="36" t="n">
        <f aca="false">AI907*$AC$905*AI908*AI$38*'⑫ Roll-out Plan'!$O$95</f>
        <v>0</v>
      </c>
      <c r="AJ909" s="36" t="n">
        <f aca="false">AJ907*$AC$905*AJ908*AJ$38*'⑫ Roll-out Plan'!$O$95</f>
        <v>0</v>
      </c>
      <c r="AK909" s="36" t="n">
        <f aca="false">AK907*$AC$905*AK908*AK$38*'⑫ Roll-out Plan'!$O$95</f>
        <v>0</v>
      </c>
      <c r="AL909" s="36" t="n">
        <f aca="false">AL907*$AC$905*AL908*AL$38*'⑫ Roll-out Plan'!$O$95</f>
        <v>0</v>
      </c>
      <c r="AM909" s="36" t="n">
        <f aca="false">AM907*$AC$905*AM908*AM$38*'⑫ Roll-out Plan'!$O$95</f>
        <v>0</v>
      </c>
      <c r="AN909" s="36" t="n">
        <f aca="false">AN907*$AC$905*AN908*AN$38*'⑫ Roll-out Plan'!$O$95</f>
        <v>0</v>
      </c>
      <c r="AO909" s="36" t="n">
        <f aca="false">AO907*$AC$905*AO908*AO$38*'⑫ Roll-out Plan'!$O$95</f>
        <v>0</v>
      </c>
      <c r="AP909" s="36" t="n">
        <f aca="false">AP907*$AC$905*AP908*AP$38*'⑫ Roll-out Plan'!$O$95</f>
        <v>0</v>
      </c>
      <c r="AQ909" s="36" t="n">
        <f aca="false">AQ907*$AC$905*AQ908*AQ$38*'⑫ Roll-out Plan'!$O$95</f>
        <v>0</v>
      </c>
      <c r="AR909" s="36" t="n">
        <f aca="false">AR907*$AC$905*AR908*AR$38*'⑫ Roll-out Plan'!$O$95</f>
        <v>0</v>
      </c>
      <c r="AS909" s="36" t="n">
        <f aca="false">AS907*$AC$905*AS908*AS$38*'⑫ Roll-out Plan'!$O$95</f>
        <v>0</v>
      </c>
      <c r="AT909" s="36" t="n">
        <f aca="false">AT907*$AC$905*AT908*AT$38*'⑫ Roll-out Plan'!$O$95</f>
        <v>0</v>
      </c>
      <c r="AU909" s="36" t="n">
        <f aca="false">AU907*$AC$905*AU908*AU$38*'⑫ Roll-out Plan'!$O$95</f>
        <v>0</v>
      </c>
      <c r="AV909" s="36" t="n">
        <f aca="false">AV907*$AC$905*AV908*AV$38*'⑫ Roll-out Plan'!$O$95</f>
        <v>0</v>
      </c>
      <c r="AW909" s="36" t="n">
        <f aca="false">AW907*$AC$905*AW908*AW$38*'⑫ Roll-out Plan'!$O$95</f>
        <v>0</v>
      </c>
      <c r="AX909" s="36" t="n">
        <f aca="false">AX907*$AC$905*AX908*AX$38*'⑫ Roll-out Plan'!$O$95</f>
        <v>0</v>
      </c>
      <c r="AY909" s="36" t="n">
        <f aca="false">AY907*$AC$905*AY908*AY$38*'⑫ Roll-out Plan'!$O$95</f>
        <v>0</v>
      </c>
      <c r="AZ909" s="36" t="n">
        <f aca="false">AZ907*$AC$905*AZ908*AZ$38*'⑫ Roll-out Plan'!$O$95</f>
        <v>0</v>
      </c>
      <c r="BA909" s="36" t="n">
        <f aca="false">BA907*$AC$905*BA908*BA$38*'⑫ Roll-out Plan'!$O$95</f>
        <v>0</v>
      </c>
      <c r="BB909" s="36" t="n">
        <f aca="false">BB907*$AC$905*BB908*BB$38*'⑫ Roll-out Plan'!$O$95</f>
        <v>0</v>
      </c>
      <c r="BC909" s="36" t="n">
        <f aca="false">BC907*$AC$905*BC908*BC$38*'⑫ Roll-out Plan'!$O$95</f>
        <v>0</v>
      </c>
      <c r="BD909" s="36" t="n">
        <f aca="false">BD907*$AC$905*BD908*BD$38*'⑫ Roll-out Plan'!$O$95</f>
        <v>0</v>
      </c>
      <c r="BE909" s="36" t="n">
        <f aca="false">BE907*$AC$905*BE908*BE$38*'⑫ Roll-out Plan'!$O$95</f>
        <v>0</v>
      </c>
      <c r="BF909" s="36" t="n">
        <f aca="false">BF907*$AC$905*BF908*BF$38*'⑫ Roll-out Plan'!$O$95</f>
        <v>0</v>
      </c>
      <c r="BG909" s="36" t="n">
        <f aca="false">BG907*$AC$905*BG908*BG$38*'⑫ Roll-out Plan'!$O$95</f>
        <v>0</v>
      </c>
      <c r="BH909" s="36" t="n">
        <f aca="false">BH907*$AC$905*BH908*BH$38*'⑫ Roll-out Plan'!$O$95</f>
        <v>0</v>
      </c>
      <c r="BI909" s="36" t="n">
        <f aca="false">BI907*$AC$905*BI908*BI$38*'⑫ Roll-out Plan'!$O$95</f>
        <v>0</v>
      </c>
      <c r="BJ909" s="36" t="n">
        <f aca="false">BJ907*$AC$905*BJ908*BJ$38*'⑫ Roll-out Plan'!$O$95</f>
        <v>0</v>
      </c>
      <c r="BK909" s="36" t="n">
        <f aca="false">BK907*$AC$905*BK908*BK$38*'⑫ Roll-out Plan'!$O$95</f>
        <v>0</v>
      </c>
      <c r="BL909" s="36" t="n">
        <f aca="false">BL907*$AC$905*BL908*BL$38*'⑫ Roll-out Plan'!$O$95</f>
        <v>0</v>
      </c>
      <c r="BM909" s="36" t="n">
        <f aca="false">BM907*$AC$905*BM908*BM$38*'⑫ Roll-out Plan'!$O$95</f>
        <v>0</v>
      </c>
      <c r="BN909" s="36" t="n">
        <f aca="false">BN907*$AC$905*BN908*BN$38*'⑫ Roll-out Plan'!$O$95</f>
        <v>0</v>
      </c>
      <c r="BO909" s="36" t="n">
        <f aca="false">BO907*$AC$905*BO908*BO$38*'⑫ Roll-out Plan'!$O$95</f>
        <v>0</v>
      </c>
      <c r="BP909" s="36" t="n">
        <f aca="false">BP907*$AC$905*BP908*BP$38*'⑫ Roll-out Plan'!$O$95</f>
        <v>0</v>
      </c>
      <c r="BQ909" s="36" t="n">
        <f aca="false">BQ907*$AC$905*BQ908*BQ$38*'⑫ Roll-out Plan'!$O$95</f>
        <v>0</v>
      </c>
      <c r="BR909" s="36" t="n">
        <f aca="false">BR907*$AC$905*BR908*BR$38*'⑫ Roll-out Plan'!$O$95</f>
        <v>0</v>
      </c>
      <c r="BS909" s="36" t="n">
        <f aca="false">BS907*$AC$905*BS908*BS$38*'⑫ Roll-out Plan'!$O$95</f>
        <v>0</v>
      </c>
      <c r="BT909" s="36" t="n">
        <f aca="false">BT907*$AC$905*BT908*BT$38*'⑫ Roll-out Plan'!$O$95</f>
        <v>0</v>
      </c>
      <c r="BU909" s="36" t="n">
        <f aca="false">BU907*$AC$905*BU908*BU$38*'⑫ Roll-out Plan'!$O$95</f>
        <v>0</v>
      </c>
      <c r="BV909" s="36" t="n">
        <f aca="false">BV907*$AC$905*BV908*BV$38*'⑫ Roll-out Plan'!$O$95</f>
        <v>0</v>
      </c>
      <c r="BW909" s="36" t="n">
        <f aca="false">BW907*$AC$905*BW908*BW$38*'⑫ Roll-out Plan'!$O$95</f>
        <v>0</v>
      </c>
      <c r="BX909" s="36" t="n">
        <f aca="false">BX907*$AC$905*BX908*BX$38*'⑫ Roll-out Plan'!$O$95</f>
        <v>0</v>
      </c>
      <c r="BY909" s="36" t="n">
        <f aca="false">BY907*$AC$905*BY908*BY$38*'⑫ Roll-out Plan'!$O$95</f>
        <v>0</v>
      </c>
      <c r="BZ909" s="36" t="n">
        <f aca="false">BZ907*$AC$905*BZ908*BZ$38*'⑫ Roll-out Plan'!$O$95</f>
        <v>0</v>
      </c>
      <c r="CA909" s="36" t="n">
        <f aca="false">CA907*$AC$905*CA908*CA$38*'⑫ Roll-out Plan'!$O$95</f>
        <v>0</v>
      </c>
      <c r="CB909" s="36" t="n">
        <f aca="false">CB907*$AC$905*CB908*CB$38*'⑫ Roll-out Plan'!$O$95</f>
        <v>0</v>
      </c>
      <c r="CC909" s="36" t="n">
        <f aca="false">CC907*$AC$905*CC908*CC$38*'⑫ Roll-out Plan'!$O$95</f>
        <v>0</v>
      </c>
      <c r="CD909" s="36" t="n">
        <f aca="false">CD907*$AC$905*CD908*CD$38*'⑫ Roll-out Plan'!$O$95</f>
        <v>0</v>
      </c>
      <c r="CE909" s="36" t="n">
        <f aca="false">CE907*$AC$905*CE908*CE$38*'⑫ Roll-out Plan'!$O$95</f>
        <v>0</v>
      </c>
      <c r="CF909" s="36" t="n">
        <f aca="false">CF907*$AC$905*CF908*CF$38*'⑫ Roll-out Plan'!$O$95</f>
        <v>0</v>
      </c>
      <c r="CG909" s="36" t="n">
        <f aca="false">CG907*$AC$905*CG908*CG$38*'⑫ Roll-out Plan'!$O$95</f>
        <v>0</v>
      </c>
      <c r="CH909" s="36" t="n">
        <f aca="false">CH907*$AC$905*CH908*CH$38*'⑫ Roll-out Plan'!$O$95</f>
        <v>0</v>
      </c>
      <c r="CI909" s="36" t="n">
        <f aca="false">CI907*$AC$905*CI908*CI$38*'⑫ Roll-out Plan'!$O$95</f>
        <v>0</v>
      </c>
      <c r="CJ909" s="36" t="n">
        <f aca="false">CJ907*$AC$905*CJ908*CJ$38*'⑫ Roll-out Plan'!$O$95</f>
        <v>0</v>
      </c>
      <c r="CK909" s="36" t="n">
        <f aca="false">CK907*$AC$905*CK908*CK$38*'⑫ Roll-out Plan'!$O$95</f>
        <v>0</v>
      </c>
      <c r="CL909" s="36" t="n">
        <f aca="false">CL907*$AC$905*CL908*CL$38*'⑫ Roll-out Plan'!$O$95</f>
        <v>0</v>
      </c>
      <c r="CM909" s="36" t="n">
        <f aca="false">CM907*$AC$905*CM908*CM$38*'⑫ Roll-out Plan'!$O$95</f>
        <v>0</v>
      </c>
      <c r="CN909" s="36" t="n">
        <f aca="false">CN907*$AC$905*CN908*CN$38*'⑫ Roll-out Plan'!$O$95</f>
        <v>0</v>
      </c>
      <c r="CO909" s="36" t="n">
        <f aca="false">CO907*$AC$905*CO908*CO$38*'⑫ Roll-out Plan'!$O$95</f>
        <v>0</v>
      </c>
      <c r="CP909" s="36" t="n">
        <f aca="false">CP907*$AC$905*CP908*CP$38*'⑫ Roll-out Plan'!$O$95</f>
        <v>0</v>
      </c>
      <c r="CQ909" s="36" t="n">
        <f aca="false">CQ907*$AC$905*CQ908*CQ$38*'⑫ Roll-out Plan'!$O$95</f>
        <v>0</v>
      </c>
      <c r="CR909" s="36" t="n">
        <f aca="false">CR907*$AC$905*CR908*CR$38*'⑫ Roll-out Plan'!$O$95</f>
        <v>0</v>
      </c>
      <c r="CS909" s="36" t="n">
        <f aca="false">CS907*$AC$905*CS908*CS$38*'⑫ Roll-out Plan'!$O$95</f>
        <v>0</v>
      </c>
      <c r="CT909" s="36" t="n">
        <f aca="false">CT907*$AC$905*CT908*CT$38*'⑫ Roll-out Plan'!$O$95</f>
        <v>0</v>
      </c>
      <c r="CU909" s="36" t="n">
        <f aca="false">CU907*$AC$905*CU908*CU$38*'⑫ Roll-out Plan'!$O$95</f>
        <v>0</v>
      </c>
      <c r="CV909" s="36" t="n">
        <f aca="false">CV907*$AC$905*CV908*CV$38*'⑫ Roll-out Plan'!$O$95</f>
        <v>0</v>
      </c>
      <c r="CW909" s="36" t="n">
        <f aca="false">CW907*$AC$905*CW908*CW$38*'⑫ Roll-out Plan'!$O$95</f>
        <v>0</v>
      </c>
      <c r="CX909" s="36" t="n">
        <f aca="false">CX907*$AC$905*CX908*CX$38*'⑫ Roll-out Plan'!$O$95</f>
        <v>0</v>
      </c>
      <c r="CY909" s="36" t="n">
        <f aca="false">CY907*$AC$905*CY908*CY$38*'⑫ Roll-out Plan'!$O$95</f>
        <v>0</v>
      </c>
      <c r="CZ909" s="36" t="n">
        <f aca="false">CZ907*$AC$905*CZ908*CZ$38*'⑫ Roll-out Plan'!$O$95</f>
        <v>0</v>
      </c>
      <c r="DA909" s="36" t="n">
        <f aca="false">DA907*$AC$905*DA908*DA$38*'⑫ Roll-out Plan'!$O$95</f>
        <v>0</v>
      </c>
      <c r="DB909" s="36" t="n">
        <f aca="false">DB907*$AC$905*DB908*DB$38*'⑫ Roll-out Plan'!$O$95</f>
        <v>0</v>
      </c>
      <c r="DC909" s="36" t="n">
        <f aca="false">DC907*$AC$905*DC908*DC$38*'⑫ Roll-out Plan'!$O$95</f>
        <v>0</v>
      </c>
      <c r="DD909" s="36" t="n">
        <f aca="false">DD907*$AC$905*DD908*DD$38*'⑫ Roll-out Plan'!$O$95</f>
        <v>0</v>
      </c>
      <c r="DE909" s="36" t="n">
        <f aca="false">DE907*$AC$905*DE908*DE$38*'⑫ Roll-out Plan'!$O$95</f>
        <v>0</v>
      </c>
      <c r="DF909" s="36" t="n">
        <f aca="false">DF907*$AC$905*DF908*DF$38*'⑫ Roll-out Plan'!$O$95</f>
        <v>0</v>
      </c>
      <c r="DG909" s="36" t="n">
        <f aca="false">DG907*$AC$905*DG908*DG$38*'⑫ Roll-out Plan'!$O$95</f>
        <v>0</v>
      </c>
      <c r="DH909" s="36" t="n">
        <f aca="false">DH907*$AC$905*DH908*DH$38*'⑫ Roll-out Plan'!$O$95</f>
        <v>0</v>
      </c>
      <c r="DI909" s="36" t="n">
        <f aca="false">DI907*$AC$905*DI908*DI$38*'⑫ Roll-out Plan'!$O$95</f>
        <v>0</v>
      </c>
      <c r="DJ909" s="36" t="n">
        <f aca="false">DJ907*$AC$905*DJ908*DJ$38*'⑫ Roll-out Plan'!$O$95</f>
        <v>0</v>
      </c>
      <c r="DK909" s="36" t="n">
        <f aca="false">DK907*$AC$905*DK908*DK$38*'⑫ Roll-out Plan'!$O$95</f>
        <v>0</v>
      </c>
      <c r="DL909" s="36" t="n">
        <f aca="false">DL907*$AC$905*DL908*DL$38*'⑫ Roll-out Plan'!$O$95</f>
        <v>0</v>
      </c>
      <c r="DM909" s="36" t="n">
        <f aca="false">DM907*$AC$905*DM908*DM$38*'⑫ Roll-out Plan'!$O$95</f>
        <v>0</v>
      </c>
      <c r="DN909" s="36" t="n">
        <f aca="false">DN907*$AC$905*DN908*DN$38*'⑫ Roll-out Plan'!$O$95</f>
        <v>0</v>
      </c>
      <c r="DO909" s="36" t="n">
        <f aca="false">DO907*$AC$905*DO908*DO$38*'⑫ Roll-out Plan'!$O$95</f>
        <v>0</v>
      </c>
      <c r="DP909" s="36" t="n">
        <f aca="false">DP907*$AC$905*DP908*DP$38*'⑫ Roll-out Plan'!$O$95</f>
        <v>0</v>
      </c>
      <c r="DQ909" s="36" t="n">
        <f aca="false">DQ907*$AC$905*DQ908*DQ$38*'⑫ Roll-out Plan'!$O$95</f>
        <v>0</v>
      </c>
      <c r="DR909" s="36" t="n">
        <f aca="false">DR907*$AC$905*DR908*DR$38*'⑫ Roll-out Plan'!$O$95</f>
        <v>0</v>
      </c>
      <c r="DS909" s="36" t="n">
        <f aca="false">DS907*$AC$905*DS908*DS$38*'⑫ Roll-out Plan'!$O$95</f>
        <v>0</v>
      </c>
      <c r="DT909" s="36" t="n">
        <f aca="false">DT907*$AC$905*DT908*DT$38*'⑫ Roll-out Plan'!$O$95</f>
        <v>0</v>
      </c>
      <c r="DU909" s="36" t="n">
        <f aca="false">DU907*$AC$905*DU908*DU$38*'⑫ Roll-out Plan'!$O$95</f>
        <v>0</v>
      </c>
      <c r="DV909" s="36" t="n">
        <f aca="false">DV907*$AC$905*DV908*DV$38*'⑫ Roll-out Plan'!$O$95</f>
        <v>0</v>
      </c>
      <c r="DW909" s="36" t="n">
        <f aca="false">DW907*$AC$905*DW908*DW$38*'⑫ Roll-out Plan'!$O$95</f>
        <v>0</v>
      </c>
      <c r="DX909" s="36" t="n">
        <f aca="false">DX907*$AC$905*DX908*DX$38*'⑫ Roll-out Plan'!$O$95</f>
        <v>0</v>
      </c>
      <c r="DY909" s="36" t="n">
        <f aca="false">DY907*$AC$905*DY908*DY$38*'⑫ Roll-out Plan'!$O$95</f>
        <v>0</v>
      </c>
      <c r="DZ909" s="36" t="n">
        <f aca="false">DZ907*$AC$905*DZ908*DZ$38*'⑫ Roll-out Plan'!$O$95</f>
        <v>0</v>
      </c>
      <c r="EA909" s="36" t="n">
        <f aca="false">EA907*$AC$905*EA908*EA$38*'⑫ Roll-out Plan'!$O$95</f>
        <v>0</v>
      </c>
      <c r="EB909" s="36" t="n">
        <f aca="false">EB907*$AC$905*EB908*EB$38*'⑫ Roll-out Plan'!$O$95</f>
        <v>0</v>
      </c>
      <c r="EC909" s="36" t="n">
        <f aca="false">EC907*$AC$905*EC908*EC$38*'⑫ Roll-out Plan'!$O$95</f>
        <v>0</v>
      </c>
      <c r="ED909" s="36" t="n">
        <f aca="false">ED907*$AC$905*ED908*ED$38*'⑫ Roll-out Plan'!$O$95</f>
        <v>0</v>
      </c>
      <c r="EE909" s="36" t="n">
        <f aca="false">EE907*$AC$905*EE908*EE$38*'⑫ Roll-out Plan'!$O$95</f>
        <v>0</v>
      </c>
      <c r="EF909" s="36" t="n">
        <f aca="false">EF907*$AC$905*EF908*EF$38*'⑫ Roll-out Plan'!$O$95</f>
        <v>0</v>
      </c>
      <c r="EG909" s="36" t="n">
        <f aca="false">EG907*$AC$905*EG908*EG$38*'⑫ Roll-out Plan'!$O$95</f>
        <v>0</v>
      </c>
      <c r="EH909" s="36" t="n">
        <f aca="false">EH907*$AC$905*EH908*EH$38*'⑫ Roll-out Plan'!$O$95</f>
        <v>0</v>
      </c>
      <c r="EI909" s="36" t="n">
        <f aca="false">EI907*$AC$905*EI908*EI$38*'⑫ Roll-out Plan'!$O$95</f>
        <v>0</v>
      </c>
      <c r="EJ909" s="36" t="n">
        <f aca="false">EJ907*$AC$905*EJ908*EJ$38*'⑫ Roll-out Plan'!$O$95</f>
        <v>0</v>
      </c>
      <c r="EK909" s="36" t="n">
        <f aca="false">EK907*$AC$905*EK908*EK$38*'⑫ Roll-out Plan'!$O$95</f>
        <v>0</v>
      </c>
      <c r="EL909" s="36" t="n">
        <f aca="false">EL907*$AC$905*EL908*EL$38*'⑫ Roll-out Plan'!$O$95</f>
        <v>0</v>
      </c>
      <c r="EM909" s="36" t="n">
        <f aca="false">EM907*$AC$905*EM908*EM$38*'⑫ Roll-out Plan'!$O$95</f>
        <v>0</v>
      </c>
      <c r="EN909" s="36" t="n">
        <f aca="false">EN907*$AC$905*EN908*EN$38*'⑫ Roll-out Plan'!$O$95</f>
        <v>0</v>
      </c>
      <c r="EO909" s="36" t="n">
        <f aca="false">EO907*$AC$905*EO908*EO$38*'⑫ Roll-out Plan'!$O$95</f>
        <v>0</v>
      </c>
      <c r="EP909" s="36" t="n">
        <f aca="false">EP907*$AC$905*EP908*EP$38*'⑫ Roll-out Plan'!$O$95</f>
        <v>0</v>
      </c>
      <c r="EQ909" s="36" t="n">
        <f aca="false">EQ907*$AC$905*EQ908*EQ$38*'⑫ Roll-out Plan'!$O$95</f>
        <v>0</v>
      </c>
      <c r="ER909" s="36" t="n">
        <f aca="false">ER907*$AC$905*ER908*ER$38*'⑫ Roll-out Plan'!$O$95</f>
        <v>0</v>
      </c>
      <c r="ES909" s="9" t="n">
        <f aca="false">ES907*$AC$905*ES908*ES$38*'⑫ Roll-out Plan'!$O$95</f>
        <v>0</v>
      </c>
      <c r="ET909" s="9" t="n">
        <f aca="false">ET907*$AC$905*ET908*ET$38*'⑫ Roll-out Plan'!$O$95</f>
        <v>0</v>
      </c>
      <c r="EU909" s="9" t="n">
        <f aca="false">EU907*$AC$905*EU908*EU$38*'⑫ Roll-out Plan'!$O$95</f>
        <v>0</v>
      </c>
      <c r="EV909" s="9" t="n">
        <f aca="false">EV907*$AC$905*EV908*EV$38*'⑫ Roll-out Plan'!$O$95</f>
        <v>0</v>
      </c>
      <c r="EW909" s="9" t="n">
        <f aca="false">EW907*$AC$905*EW908*EW$38*'⑫ Roll-out Plan'!$O$95</f>
        <v>0</v>
      </c>
      <c r="EX909" s="9" t="n">
        <f aca="false">EX907*$AC$905*EX908*EX$38*'⑫ Roll-out Plan'!$O$95</f>
        <v>0</v>
      </c>
      <c r="EY909" s="9" t="n">
        <f aca="false">EY907*$AC$905*EY908*EY$38*'⑫ Roll-out Plan'!$O$95</f>
        <v>0</v>
      </c>
      <c r="EZ909" s="9" t="n">
        <f aca="false">EZ907*$AC$905*EZ908*EZ$38*'⑫ Roll-out Plan'!$O$95</f>
        <v>0</v>
      </c>
      <c r="FA909" s="9" t="n">
        <f aca="false">FA907*$AC$905*FA908*FA$38*'⑫ Roll-out Plan'!$O$95</f>
        <v>0</v>
      </c>
      <c r="FB909" s="9" t="n">
        <f aca="false">FB907*$AC$905*FB908*FB$38*'⑫ Roll-out Plan'!$O$95</f>
        <v>0</v>
      </c>
      <c r="FC909" s="9" t="n">
        <f aca="false">FC907*$AC$905*FC908*FC$38*'⑫ Roll-out Plan'!$O$95</f>
        <v>0</v>
      </c>
      <c r="FD909" s="9" t="n">
        <f aca="false">FD907*$AC$905*FD908*FD$38*'⑫ Roll-out Plan'!$O$95</f>
        <v>0</v>
      </c>
      <c r="FE909" s="9" t="n">
        <f aca="false">FE907*$AC$905*FE908*FE$38*'⑫ Roll-out Plan'!$O$95</f>
        <v>0</v>
      </c>
      <c r="FF909" s="9" t="n">
        <f aca="false">FF907*$AC$905*FF908*FF$38*'⑫ Roll-out Plan'!$O$95</f>
        <v>0</v>
      </c>
      <c r="FG909" s="9" t="n">
        <f aca="false">FG907*$AC$905*FG908*FG$38*'⑫ Roll-out Plan'!$O$95</f>
        <v>0</v>
      </c>
      <c r="FH909" s="9" t="n">
        <f aca="false">FH907*$AC$905*FH908*FH$38*'⑫ Roll-out Plan'!$O$95</f>
        <v>0</v>
      </c>
      <c r="FI909" s="9" t="n">
        <f aca="false">FI907*$AC$905*FI908*FI$38*'⑫ Roll-out Plan'!$O$95</f>
        <v>0</v>
      </c>
      <c r="FJ909" s="9" t="n">
        <f aca="false">FJ907*$AC$905*FJ908*FJ$38*'⑫ Roll-out Plan'!$O$95</f>
        <v>0</v>
      </c>
      <c r="FK909" s="9" t="n">
        <f aca="false">FK907*$AC$905*FK908*FK$38*'⑫ Roll-out Plan'!$O$95</f>
        <v>0</v>
      </c>
      <c r="FL909" s="9" t="n">
        <f aca="false">FL907*$AC$905*FL908*FL$38*'⑫ Roll-out Plan'!$O$95</f>
        <v>0</v>
      </c>
      <c r="FM909" s="9" t="n">
        <f aca="false">FM907*$AC$905*FM908*FM$38*'⑫ Roll-out Plan'!$O$95</f>
        <v>0</v>
      </c>
      <c r="FN909" s="9" t="n">
        <f aca="false">FN907*$AC$905*FN908*FN$38*'⑫ Roll-out Plan'!$O$95</f>
        <v>0</v>
      </c>
      <c r="FO909" s="9" t="n">
        <f aca="false">FO907*$AC$905*FO908*FO$38*'⑫ Roll-out Plan'!$O$95</f>
        <v>26.64</v>
      </c>
      <c r="FP909" s="9" t="n">
        <f aca="false">FP907*$AC$905*FP908*FP$38*'⑫ Roll-out Plan'!$O$95</f>
        <v>41.514</v>
      </c>
    </row>
    <row r="910" customFormat="false" ht="15" hidden="false" customHeight="false" outlineLevel="2" collapsed="false">
      <c r="B910" s="9" t="s">
        <v>877</v>
      </c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112" t="n">
        <f aca="true">IFERROR(SUMPRODUCT(OFFSET($BJ$31,0,1-MIN(60,COLUMN()-29),1,MIN(60,COLUMN()-29)),OFFSET(AC909,0,-MIN(60,COLUMN()-29),1,MIN(60,COLUMN()-29))),0)</f>
        <v>0</v>
      </c>
      <c r="AD910" s="112" t="n">
        <f aca="true">IFERROR(SUMPRODUCT(OFFSET($BJ$31,0,1-MIN(60,COLUMN()-29),1,MIN(60,COLUMN()-29)),OFFSET(AD909,0,-MIN(60,COLUMN()-29),1,MIN(60,COLUMN()-29))),0)</f>
        <v>0</v>
      </c>
      <c r="AE910" s="112" t="n">
        <f aca="true">IFERROR(SUMPRODUCT(OFFSET($BJ$31,0,1-MIN(60,COLUMN()-29),1,MIN(60,COLUMN()-29)),OFFSET(AE909,0,-MIN(60,COLUMN()-29),1,MIN(60,COLUMN()-29))),0)</f>
        <v>0</v>
      </c>
      <c r="AF910" s="112" t="n">
        <f aca="true">IFERROR(SUMPRODUCT(OFFSET($BJ$31,0,1-MIN(60,COLUMN()-29),1,MIN(60,COLUMN()-29)),OFFSET(AF909,0,-MIN(60,COLUMN()-29),1,MIN(60,COLUMN()-29))),0)</f>
        <v>0</v>
      </c>
      <c r="AG910" s="112" t="n">
        <f aca="true">IFERROR(SUMPRODUCT(OFFSET($BJ$31,0,1-MIN(60,COLUMN()-29),1,MIN(60,COLUMN()-29)),OFFSET(AG909,0,-MIN(60,COLUMN()-29),1,MIN(60,COLUMN()-29))),0)</f>
        <v>0</v>
      </c>
      <c r="AH910" s="112" t="n">
        <f aca="true">IFERROR(SUMPRODUCT(OFFSET($BJ$31,0,1-MIN(60,COLUMN()-29),1,MIN(60,COLUMN()-29)),OFFSET(AH909,0,-MIN(60,COLUMN()-29),1,MIN(60,COLUMN()-29))),0)</f>
        <v>0</v>
      </c>
      <c r="AI910" s="112" t="n">
        <f aca="true">IFERROR(SUMPRODUCT(OFFSET($BJ$31,0,1-MIN(60,COLUMN()-29),1,MIN(60,COLUMN()-29)),OFFSET(AI909,0,-MIN(60,COLUMN()-29),1,MIN(60,COLUMN()-29))),0)</f>
        <v>0</v>
      </c>
      <c r="AJ910" s="112" t="n">
        <f aca="true">IFERROR(SUMPRODUCT(OFFSET($BJ$31,0,1-MIN(60,COLUMN()-29),1,MIN(60,COLUMN()-29)),OFFSET(AJ909,0,-MIN(60,COLUMN()-29),1,MIN(60,COLUMN()-29))),0)</f>
        <v>0</v>
      </c>
      <c r="AK910" s="112" t="n">
        <f aca="true">IFERROR(SUMPRODUCT(OFFSET($BJ$31,0,1-MIN(60,COLUMN()-29),1,MIN(60,COLUMN()-29)),OFFSET(AK909,0,-MIN(60,COLUMN()-29),1,MIN(60,COLUMN()-29))),0)</f>
        <v>0</v>
      </c>
      <c r="AL910" s="112" t="n">
        <f aca="true">IFERROR(SUMPRODUCT(OFFSET($BJ$31,0,1-MIN(60,COLUMN()-29),1,MIN(60,COLUMN()-29)),OFFSET(AL909,0,-MIN(60,COLUMN()-29),1,MIN(60,COLUMN()-29))),0)</f>
        <v>0</v>
      </c>
      <c r="AM910" s="112" t="n">
        <f aca="true">IFERROR(SUMPRODUCT(OFFSET($BJ$31,0,1-MIN(60,COLUMN()-29),1,MIN(60,COLUMN()-29)),OFFSET(AM909,0,-MIN(60,COLUMN()-29),1,MIN(60,COLUMN()-29))),0)</f>
        <v>0</v>
      </c>
      <c r="AN910" s="239" t="n">
        <f aca="true">IFERROR(SUMPRODUCT(OFFSET($BJ$31,0,1-MIN(60,COLUMN()-29),1,MIN(60,COLUMN()-29)),OFFSET(AN909,0,-MIN(60,COLUMN()-29),1,MIN(60,COLUMN()-29))),0)</f>
        <v>0</v>
      </c>
      <c r="AO910" s="112" t="n">
        <f aca="true">IFERROR(SUMPRODUCT(OFFSET($BJ$31,0,1-MIN(60,COLUMN()-29),1,MIN(60,COLUMN()-29)),OFFSET(AO909,0,-MIN(60,COLUMN()-29),1,MIN(60,COLUMN()-29))),0)</f>
        <v>0</v>
      </c>
      <c r="AP910" s="112" t="n">
        <f aca="true">IFERROR(SUMPRODUCT(OFFSET($BJ$31,0,1-MIN(60,COLUMN()-29),1,MIN(60,COLUMN()-29)),OFFSET(AP909,0,-MIN(60,COLUMN()-29),1,MIN(60,COLUMN()-29))),0)</f>
        <v>0</v>
      </c>
      <c r="AQ910" s="112" t="n">
        <f aca="true">IFERROR(SUMPRODUCT(OFFSET($BJ$31,0,1-MIN(60,COLUMN()-29),1,MIN(60,COLUMN()-29)),OFFSET(AQ909,0,-MIN(60,COLUMN()-29),1,MIN(60,COLUMN()-29))),0)</f>
        <v>0</v>
      </c>
      <c r="AR910" s="112" t="n">
        <f aca="true">IFERROR(SUMPRODUCT(OFFSET($BJ$31,0,1-MIN(60,COLUMN()-29),1,MIN(60,COLUMN()-29)),OFFSET(AR909,0,-MIN(60,COLUMN()-29),1,MIN(60,COLUMN()-29))),0)</f>
        <v>0</v>
      </c>
      <c r="AS910" s="112" t="n">
        <f aca="true">IFERROR(SUMPRODUCT(OFFSET($BJ$31,0,1-MIN(60,COLUMN()-29),1,MIN(60,COLUMN()-29)),OFFSET(AS909,0,-MIN(60,COLUMN()-29),1,MIN(60,COLUMN()-29))),0)</f>
        <v>0</v>
      </c>
      <c r="AT910" s="112" t="n">
        <f aca="true">IFERROR(SUMPRODUCT(OFFSET($BJ$31,0,1-MIN(60,COLUMN()-29),1,MIN(60,COLUMN()-29)),OFFSET(AT909,0,-MIN(60,COLUMN()-29),1,MIN(60,COLUMN()-29))),0)</f>
        <v>0</v>
      </c>
      <c r="AU910" s="112" t="n">
        <f aca="true">IFERROR(SUMPRODUCT(OFFSET($BJ$31,0,1-MIN(60,COLUMN()-29),1,MIN(60,COLUMN()-29)),OFFSET(AU909,0,-MIN(60,COLUMN()-29),1,MIN(60,COLUMN()-29))),0)</f>
        <v>0</v>
      </c>
      <c r="AV910" s="112" t="n">
        <f aca="true">IFERROR(SUMPRODUCT(OFFSET($BJ$31,0,1-MIN(60,COLUMN()-29),1,MIN(60,COLUMN()-29)),OFFSET(AV909,0,-MIN(60,COLUMN()-29),1,MIN(60,COLUMN()-29))),0)</f>
        <v>0</v>
      </c>
      <c r="AW910" s="112" t="n">
        <f aca="true">IFERROR(SUMPRODUCT(OFFSET($BJ$31,0,1-MIN(60,COLUMN()-29),1,MIN(60,COLUMN()-29)),OFFSET(AW909,0,-MIN(60,COLUMN()-29),1,MIN(60,COLUMN()-29))),0)</f>
        <v>0</v>
      </c>
      <c r="AX910" s="112" t="n">
        <f aca="true">IFERROR(SUMPRODUCT(OFFSET($BJ$31,0,1-MIN(60,COLUMN()-29),1,MIN(60,COLUMN()-29)),OFFSET(AX909,0,-MIN(60,COLUMN()-29),1,MIN(60,COLUMN()-29))),0)</f>
        <v>0</v>
      </c>
      <c r="AY910" s="112" t="n">
        <f aca="true">IFERROR(SUMPRODUCT(OFFSET($BJ$31,0,1-MIN(60,COLUMN()-29),1,MIN(60,COLUMN()-29)),OFFSET(AY909,0,-MIN(60,COLUMN()-29),1,MIN(60,COLUMN()-29))),0)</f>
        <v>0</v>
      </c>
      <c r="AZ910" s="112" t="n">
        <f aca="true">IFERROR(SUMPRODUCT(OFFSET($BJ$31,0,1-MIN(60,COLUMN()-29),1,MIN(60,COLUMN()-29)),OFFSET(AZ909,0,-MIN(60,COLUMN()-29),1,MIN(60,COLUMN()-29))),0)</f>
        <v>0</v>
      </c>
      <c r="BA910" s="112" t="n">
        <f aca="true">IFERROR(SUMPRODUCT(OFFSET($BJ$31,0,1-MIN(60,COLUMN()-29),1,MIN(60,COLUMN()-29)),OFFSET(BA909,0,-MIN(60,COLUMN()-29),1,MIN(60,COLUMN()-29))),0)</f>
        <v>0</v>
      </c>
      <c r="BB910" s="112" t="n">
        <f aca="true">IFERROR(SUMPRODUCT(OFFSET($BJ$31,0,1-MIN(60,COLUMN()-29),1,MIN(60,COLUMN()-29)),OFFSET(BB909,0,-MIN(60,COLUMN()-29),1,MIN(60,COLUMN()-29))),0)</f>
        <v>0</v>
      </c>
      <c r="BC910" s="112" t="n">
        <f aca="true">IFERROR(SUMPRODUCT(OFFSET($BJ$31,0,1-MIN(60,COLUMN()-29),1,MIN(60,COLUMN()-29)),OFFSET(BC909,0,-MIN(60,COLUMN()-29),1,MIN(60,COLUMN()-29))),0)</f>
        <v>0</v>
      </c>
      <c r="BD910" s="112" t="n">
        <f aca="true">IFERROR(SUMPRODUCT(OFFSET($BJ$31,0,1-MIN(60,COLUMN()-29),1,MIN(60,COLUMN()-29)),OFFSET(BD909,0,-MIN(60,COLUMN()-29),1,MIN(60,COLUMN()-29))),0)</f>
        <v>0</v>
      </c>
      <c r="BE910" s="112" t="n">
        <f aca="true">IFERROR(SUMPRODUCT(OFFSET($BJ$31,0,1-MIN(60,COLUMN()-29),1,MIN(60,COLUMN()-29)),OFFSET(BE909,0,-MIN(60,COLUMN()-29),1,MIN(60,COLUMN()-29))),0)</f>
        <v>0</v>
      </c>
      <c r="BF910" s="112" t="n">
        <f aca="true">IFERROR(SUMPRODUCT(OFFSET($BJ$31,0,1-MIN(60,COLUMN()-29),1,MIN(60,COLUMN()-29)),OFFSET(BF909,0,-MIN(60,COLUMN()-29),1,MIN(60,COLUMN()-29))),0)</f>
        <v>0</v>
      </c>
      <c r="BG910" s="112" t="n">
        <f aca="true">IFERROR(SUMPRODUCT(OFFSET($BJ$31,0,1-MIN(60,COLUMN()-29),1,MIN(60,COLUMN()-29)),OFFSET(BG909,0,-MIN(60,COLUMN()-29),1,MIN(60,COLUMN()-29))),0)</f>
        <v>0</v>
      </c>
      <c r="BH910" s="112" t="n">
        <f aca="true">IFERROR(SUMPRODUCT(OFFSET($BJ$31,0,1-MIN(60,COLUMN()-29),1,MIN(60,COLUMN()-29)),OFFSET(BH909,0,-MIN(60,COLUMN()-29),1,MIN(60,COLUMN()-29))),0)</f>
        <v>0</v>
      </c>
      <c r="BI910" s="112" t="n">
        <f aca="true">IFERROR(SUMPRODUCT(OFFSET($BJ$31,0,1-MIN(60,COLUMN()-29),1,MIN(60,COLUMN()-29)),OFFSET(BI909,0,-MIN(60,COLUMN()-29),1,MIN(60,COLUMN()-29))),0)</f>
        <v>0</v>
      </c>
      <c r="BJ910" s="112" t="n">
        <f aca="true">IFERROR(SUMPRODUCT(OFFSET($BJ$31,0,1-MIN(60,COLUMN()-29),1,MIN(60,COLUMN()-29)),OFFSET(BJ909,0,-MIN(60,COLUMN()-29),1,MIN(60,COLUMN()-29))),0)</f>
        <v>0</v>
      </c>
      <c r="BK910" s="112" t="n">
        <f aca="true">IFERROR(SUMPRODUCT(OFFSET($BJ$31,0,1-MIN(60,COLUMN()-29),1,MIN(60,COLUMN()-29)),OFFSET(BK909,0,-MIN(60,COLUMN()-29),1,MIN(60,COLUMN()-29))),0)</f>
        <v>0</v>
      </c>
      <c r="BL910" s="112" t="n">
        <f aca="true">IFERROR(SUMPRODUCT(OFFSET($BJ$31,0,1-MIN(60,COLUMN()-29),1,MIN(60,COLUMN()-29)),OFFSET(BL909,0,-MIN(60,COLUMN()-29),1,MIN(60,COLUMN()-29))),0)</f>
        <v>0</v>
      </c>
      <c r="BM910" s="112" t="n">
        <f aca="true">IFERROR(SUMPRODUCT(OFFSET($BJ$31,0,1-MIN(60,COLUMN()-29),1,MIN(60,COLUMN()-29)),OFFSET(BM909,0,-MIN(60,COLUMN()-29),1,MIN(60,COLUMN()-29))),0)</f>
        <v>0</v>
      </c>
      <c r="BN910" s="112" t="n">
        <f aca="true">IFERROR(SUMPRODUCT(OFFSET($BJ$31,0,1-MIN(60,COLUMN()-29),1,MIN(60,COLUMN()-29)),OFFSET(BN909,0,-MIN(60,COLUMN()-29),1,MIN(60,COLUMN()-29))),0)</f>
        <v>0</v>
      </c>
      <c r="BO910" s="112" t="n">
        <f aca="true">IFERROR(SUMPRODUCT(OFFSET($BJ$31,0,1-MIN(60,COLUMN()-29),1,MIN(60,COLUMN()-29)),OFFSET(BO909,0,-MIN(60,COLUMN()-29),1,MIN(60,COLUMN()-29))),0)</f>
        <v>0</v>
      </c>
      <c r="BP910" s="112" t="n">
        <f aca="true">IFERROR(SUMPRODUCT(OFFSET($BJ$31,0,1-MIN(60,COLUMN()-29),1,MIN(60,COLUMN()-29)),OFFSET(BP909,0,-MIN(60,COLUMN()-29),1,MIN(60,COLUMN()-29))),0)</f>
        <v>0</v>
      </c>
      <c r="BQ910" s="112" t="n">
        <f aca="true">IFERROR(SUMPRODUCT(OFFSET($BJ$31,0,1-MIN(60,COLUMN()-29),1,MIN(60,COLUMN()-29)),OFFSET(BQ909,0,-MIN(60,COLUMN()-29),1,MIN(60,COLUMN()-29))),0)</f>
        <v>0</v>
      </c>
      <c r="BR910" s="112" t="n">
        <f aca="true">IFERROR(SUMPRODUCT(OFFSET($BJ$31,0,1-MIN(60,COLUMN()-29),1,MIN(60,COLUMN()-29)),OFFSET(BR909,0,-MIN(60,COLUMN()-29),1,MIN(60,COLUMN()-29))),0)</f>
        <v>0</v>
      </c>
      <c r="BS910" s="112" t="n">
        <f aca="true">IFERROR(SUMPRODUCT(OFFSET($BJ$31,0,1-MIN(60,COLUMN()-29),1,MIN(60,COLUMN()-29)),OFFSET(BS909,0,-MIN(60,COLUMN()-29),1,MIN(60,COLUMN()-29))),0)</f>
        <v>0</v>
      </c>
      <c r="BT910" s="112" t="n">
        <f aca="true">IFERROR(SUMPRODUCT(OFFSET($BJ$31,0,1-MIN(60,COLUMN()-29),1,MIN(60,COLUMN()-29)),OFFSET(BT909,0,-MIN(60,COLUMN()-29),1,MIN(60,COLUMN()-29))),0)</f>
        <v>0</v>
      </c>
      <c r="BU910" s="112" t="n">
        <f aca="true">IFERROR(SUMPRODUCT(OFFSET($BJ$31,0,1-MIN(60,COLUMN()-29),1,MIN(60,COLUMN()-29)),OFFSET(BU909,0,-MIN(60,COLUMN()-29),1,MIN(60,COLUMN()-29))),0)</f>
        <v>0</v>
      </c>
      <c r="BV910" s="112" t="n">
        <f aca="true">IFERROR(SUMPRODUCT(OFFSET($BJ$31,0,1-MIN(60,COLUMN()-29),1,MIN(60,COLUMN()-29)),OFFSET(BV909,0,-MIN(60,COLUMN()-29),1,MIN(60,COLUMN()-29))),0)</f>
        <v>0</v>
      </c>
      <c r="BW910" s="112" t="n">
        <f aca="true">IFERROR(SUMPRODUCT(OFFSET($BJ$31,0,1-MIN(60,COLUMN()-29),1,MIN(60,COLUMN()-29)),OFFSET(BW909,0,-MIN(60,COLUMN()-29),1,MIN(60,COLUMN()-29))),0)</f>
        <v>0</v>
      </c>
      <c r="BX910" s="112" t="n">
        <f aca="true">IFERROR(SUMPRODUCT(OFFSET($BJ$31,0,1-MIN(60,COLUMN()-29),1,MIN(60,COLUMN()-29)),OFFSET(BX909,0,-MIN(60,COLUMN()-29),1,MIN(60,COLUMN()-29))),0)</f>
        <v>0</v>
      </c>
      <c r="BY910" s="112" t="n">
        <f aca="true">IFERROR(SUMPRODUCT(OFFSET($BJ$31,0,1-MIN(60,COLUMN()-29),1,MIN(60,COLUMN()-29)),OFFSET(BY909,0,-MIN(60,COLUMN()-29),1,MIN(60,COLUMN()-29))),0)</f>
        <v>0</v>
      </c>
      <c r="BZ910" s="112" t="n">
        <f aca="true">IFERROR(SUMPRODUCT(OFFSET($BJ$31,0,1-MIN(60,COLUMN()-29),1,MIN(60,COLUMN()-29)),OFFSET(BZ909,0,-MIN(60,COLUMN()-29),1,MIN(60,COLUMN()-29))),0)</f>
        <v>0</v>
      </c>
      <c r="CA910" s="112" t="n">
        <f aca="true">IFERROR(SUMPRODUCT(OFFSET($BJ$31,0,1-MIN(60,COLUMN()-29),1,MIN(60,COLUMN()-29)),OFFSET(CA909,0,-MIN(60,COLUMN()-29),1,MIN(60,COLUMN()-29))),0)</f>
        <v>0</v>
      </c>
      <c r="CB910" s="112" t="n">
        <f aca="true">IFERROR(SUMPRODUCT(OFFSET($BJ$31,0,1-MIN(60,COLUMN()-29),1,MIN(60,COLUMN()-29)),OFFSET(CB909,0,-MIN(60,COLUMN()-29),1,MIN(60,COLUMN()-29))),0)</f>
        <v>0</v>
      </c>
      <c r="CC910" s="112" t="n">
        <f aca="true">IFERROR(SUMPRODUCT(OFFSET($BJ$31,0,1-MIN(60,COLUMN()-29),1,MIN(60,COLUMN()-29)),OFFSET(CC909,0,-MIN(60,COLUMN()-29),1,MIN(60,COLUMN()-29))),0)</f>
        <v>0</v>
      </c>
      <c r="CD910" s="112" t="n">
        <f aca="true">IFERROR(SUMPRODUCT(OFFSET($BJ$31,0,1-MIN(60,COLUMN()-29),1,MIN(60,COLUMN()-29)),OFFSET(CD909,0,-MIN(60,COLUMN()-29),1,MIN(60,COLUMN()-29))),0)</f>
        <v>0</v>
      </c>
      <c r="CE910" s="112" t="n">
        <f aca="true">IFERROR(SUMPRODUCT(OFFSET($BJ$31,0,1-MIN(60,COLUMN()-29),1,MIN(60,COLUMN()-29)),OFFSET(CE909,0,-MIN(60,COLUMN()-29),1,MIN(60,COLUMN()-29))),0)</f>
        <v>0</v>
      </c>
      <c r="CF910" s="112" t="n">
        <f aca="true">IFERROR(SUMPRODUCT(OFFSET($BJ$31,0,1-MIN(60,COLUMN()-29),1,MIN(60,COLUMN()-29)),OFFSET(CF909,0,-MIN(60,COLUMN()-29),1,MIN(60,COLUMN()-29))),0)</f>
        <v>0</v>
      </c>
      <c r="CG910" s="112" t="n">
        <f aca="true">IFERROR(SUMPRODUCT(OFFSET($BJ$31,0,1-MIN(60,COLUMN()-29),1,MIN(60,COLUMN()-29)),OFFSET(CG909,0,-MIN(60,COLUMN()-29),1,MIN(60,COLUMN()-29))),0)</f>
        <v>0</v>
      </c>
      <c r="CH910" s="112" t="n">
        <f aca="true">IFERROR(SUMPRODUCT(OFFSET($BJ$31,0,1-MIN(60,COLUMN()-29),1,MIN(60,COLUMN()-29)),OFFSET(CH909,0,-MIN(60,COLUMN()-29),1,MIN(60,COLUMN()-29))),0)</f>
        <v>0</v>
      </c>
      <c r="CI910" s="112" t="n">
        <f aca="true">IFERROR(SUMPRODUCT(OFFSET($BJ$31,0,1-MIN(60,COLUMN()-29),1,MIN(60,COLUMN()-29)),OFFSET(CI909,0,-MIN(60,COLUMN()-29),1,MIN(60,COLUMN()-29))),0)</f>
        <v>0</v>
      </c>
      <c r="CJ910" s="112" t="n">
        <f aca="true">IFERROR(SUMPRODUCT(OFFSET($BJ$31,0,1-MIN(60,COLUMN()-29),1,MIN(60,COLUMN()-29)),OFFSET(CJ909,0,-MIN(60,COLUMN()-29),1,MIN(60,COLUMN()-29))),0)</f>
        <v>0</v>
      </c>
      <c r="CK910" s="112" t="n">
        <f aca="true">IFERROR(SUMPRODUCT(OFFSET($BJ$31,0,1-MIN(60,COLUMN()-29),1,MIN(60,COLUMN()-29)),OFFSET(CK909,0,-MIN(60,COLUMN()-29),1,MIN(60,COLUMN()-29))),0)</f>
        <v>0</v>
      </c>
      <c r="CL910" s="112" t="n">
        <f aca="true">IFERROR(SUMPRODUCT(OFFSET($BJ$31,0,1-MIN(60,COLUMN()-29),1,MIN(60,COLUMN()-29)),OFFSET(CL909,0,-MIN(60,COLUMN()-29),1,MIN(60,COLUMN()-29))),0)</f>
        <v>0</v>
      </c>
      <c r="CM910" s="112" t="n">
        <f aca="true">IFERROR(SUMPRODUCT(OFFSET($BJ$31,0,1-MIN(60,COLUMN()-29),1,MIN(60,COLUMN()-29)),OFFSET(CM909,0,-MIN(60,COLUMN()-29),1,MIN(60,COLUMN()-29))),0)</f>
        <v>0</v>
      </c>
      <c r="CN910" s="112" t="n">
        <f aca="true">IFERROR(SUMPRODUCT(OFFSET($BJ$31,0,1-MIN(60,COLUMN()-29),1,MIN(60,COLUMN()-29)),OFFSET(CN909,0,-MIN(60,COLUMN()-29),1,MIN(60,COLUMN()-29))),0)</f>
        <v>0</v>
      </c>
      <c r="CO910" s="112" t="n">
        <f aca="true">IFERROR(SUMPRODUCT(OFFSET($BJ$31,0,1-MIN(60,COLUMN()-29),1,MIN(60,COLUMN()-29)),OFFSET(CO909,0,-MIN(60,COLUMN()-29),1,MIN(60,COLUMN()-29))),0)</f>
        <v>0</v>
      </c>
      <c r="CP910" s="112" t="n">
        <f aca="true">IFERROR(SUMPRODUCT(OFFSET($BJ$31,0,1-MIN(60,COLUMN()-29),1,MIN(60,COLUMN()-29)),OFFSET(CP909,0,-MIN(60,COLUMN()-29),1,MIN(60,COLUMN()-29))),0)</f>
        <v>0</v>
      </c>
      <c r="CQ910" s="112" t="n">
        <f aca="true">IFERROR(SUMPRODUCT(OFFSET($BJ$31,0,1-MIN(60,COLUMN()-29),1,MIN(60,COLUMN()-29)),OFFSET(CQ909,0,-MIN(60,COLUMN()-29),1,MIN(60,COLUMN()-29))),0)</f>
        <v>0</v>
      </c>
      <c r="CR910" s="112" t="n">
        <f aca="true">IFERROR(SUMPRODUCT(OFFSET($BJ$31,0,1-MIN(60,COLUMN()-29),1,MIN(60,COLUMN()-29)),OFFSET(CR909,0,-MIN(60,COLUMN()-29),1,MIN(60,COLUMN()-29))),0)</f>
        <v>0</v>
      </c>
      <c r="CS910" s="112" t="n">
        <f aca="true">IFERROR(SUMPRODUCT(OFFSET($BJ$31,0,1-MIN(60,COLUMN()-29),1,MIN(60,COLUMN()-29)),OFFSET(CS909,0,-MIN(60,COLUMN()-29),1,MIN(60,COLUMN()-29))),0)</f>
        <v>0</v>
      </c>
      <c r="CT910" s="112" t="n">
        <f aca="true">IFERROR(SUMPRODUCT(OFFSET($BJ$31,0,1-MIN(60,COLUMN()-29),1,MIN(60,COLUMN()-29)),OFFSET(CT909,0,-MIN(60,COLUMN()-29),1,MIN(60,COLUMN()-29))),0)</f>
        <v>0</v>
      </c>
      <c r="CU910" s="112" t="n">
        <f aca="true">IFERROR(SUMPRODUCT(OFFSET($BJ$31,0,1-MIN(60,COLUMN()-29),1,MIN(60,COLUMN()-29)),OFFSET(CU909,0,-MIN(60,COLUMN()-29),1,MIN(60,COLUMN()-29))),0)</f>
        <v>0</v>
      </c>
      <c r="CV910" s="112" t="n">
        <f aca="true">IFERROR(SUMPRODUCT(OFFSET($BJ$31,0,1-MIN(60,COLUMN()-29),1,MIN(60,COLUMN()-29)),OFFSET(CV909,0,-MIN(60,COLUMN()-29),1,MIN(60,COLUMN()-29))),0)</f>
        <v>0</v>
      </c>
      <c r="CW910" s="112" t="n">
        <f aca="true">IFERROR(SUMPRODUCT(OFFSET($BJ$31,0,1-MIN(60,COLUMN()-29),1,MIN(60,COLUMN()-29)),OFFSET(CW909,0,-MIN(60,COLUMN()-29),1,MIN(60,COLUMN()-29))),0)</f>
        <v>0</v>
      </c>
      <c r="CX910" s="112" t="n">
        <f aca="true">IFERROR(SUMPRODUCT(OFFSET($BJ$31,0,1-MIN(60,COLUMN()-29),1,MIN(60,COLUMN()-29)),OFFSET(CX909,0,-MIN(60,COLUMN()-29),1,MIN(60,COLUMN()-29))),0)</f>
        <v>0</v>
      </c>
      <c r="CY910" s="112" t="n">
        <f aca="true">IFERROR(SUMPRODUCT(OFFSET($BJ$31,0,1-MIN(60,COLUMN()-29),1,MIN(60,COLUMN()-29)),OFFSET(CY909,0,-MIN(60,COLUMN()-29),1,MIN(60,COLUMN()-29))),0)</f>
        <v>0</v>
      </c>
      <c r="CZ910" s="112" t="n">
        <f aca="true">IFERROR(SUMPRODUCT(OFFSET($BJ$31,0,1-MIN(60,COLUMN()-29),1,MIN(60,COLUMN()-29)),OFFSET(CZ909,0,-MIN(60,COLUMN()-29),1,MIN(60,COLUMN()-29))),0)</f>
        <v>0</v>
      </c>
      <c r="DA910" s="112" t="n">
        <f aca="true">IFERROR(SUMPRODUCT(OFFSET($BJ$31,0,1-MIN(60,COLUMN()-29),1,MIN(60,COLUMN()-29)),OFFSET(DA909,0,-MIN(60,COLUMN()-29),1,MIN(60,COLUMN()-29))),0)</f>
        <v>0</v>
      </c>
      <c r="DB910" s="112" t="n">
        <f aca="true">IFERROR(SUMPRODUCT(OFFSET($BJ$31,0,1-MIN(60,COLUMN()-29),1,MIN(60,COLUMN()-29)),OFFSET(DB909,0,-MIN(60,COLUMN()-29),1,MIN(60,COLUMN()-29))),0)</f>
        <v>0</v>
      </c>
      <c r="DC910" s="112" t="n">
        <f aca="true">IFERROR(SUMPRODUCT(OFFSET($BJ$31,0,1-MIN(60,COLUMN()-29),1,MIN(60,COLUMN()-29)),OFFSET(DC909,0,-MIN(60,COLUMN()-29),1,MIN(60,COLUMN()-29))),0)</f>
        <v>0</v>
      </c>
      <c r="DD910" s="112" t="n">
        <f aca="true">IFERROR(SUMPRODUCT(OFFSET($BJ$31,0,1-MIN(60,COLUMN()-29),1,MIN(60,COLUMN()-29)),OFFSET(DD909,0,-MIN(60,COLUMN()-29),1,MIN(60,COLUMN()-29))),0)</f>
        <v>0</v>
      </c>
      <c r="DE910" s="112" t="n">
        <f aca="true">IFERROR(SUMPRODUCT(OFFSET($BJ$31,0,1-MIN(60,COLUMN()-29),1,MIN(60,COLUMN()-29)),OFFSET(DE909,0,-MIN(60,COLUMN()-29),1,MIN(60,COLUMN()-29))),0)</f>
        <v>0</v>
      </c>
      <c r="DF910" s="112" t="n">
        <f aca="true">IFERROR(SUMPRODUCT(OFFSET($BJ$31,0,1-MIN(60,COLUMN()-29),1,MIN(60,COLUMN()-29)),OFFSET(DF909,0,-MIN(60,COLUMN()-29),1,MIN(60,COLUMN()-29))),0)</f>
        <v>0</v>
      </c>
      <c r="DG910" s="112" t="n">
        <f aca="true">IFERROR(SUMPRODUCT(OFFSET($BJ$31,0,1-MIN(60,COLUMN()-29),1,MIN(60,COLUMN()-29)),OFFSET(DG909,0,-MIN(60,COLUMN()-29),1,MIN(60,COLUMN()-29))),0)</f>
        <v>0</v>
      </c>
      <c r="DH910" s="112" t="n">
        <f aca="true">IFERROR(SUMPRODUCT(OFFSET($BJ$31,0,1-MIN(60,COLUMN()-29),1,MIN(60,COLUMN()-29)),OFFSET(DH909,0,-MIN(60,COLUMN()-29),1,MIN(60,COLUMN()-29))),0)</f>
        <v>0</v>
      </c>
      <c r="DI910" s="112" t="n">
        <f aca="true">IFERROR(SUMPRODUCT(OFFSET($BJ$31,0,1-MIN(60,COLUMN()-29),1,MIN(60,COLUMN()-29)),OFFSET(DI909,0,-MIN(60,COLUMN()-29),1,MIN(60,COLUMN()-29))),0)</f>
        <v>0</v>
      </c>
      <c r="DJ910" s="112" t="n">
        <f aca="true">IFERROR(SUMPRODUCT(OFFSET($BJ$31,0,1-MIN(60,COLUMN()-29),1,MIN(60,COLUMN()-29)),OFFSET(DJ909,0,-MIN(60,COLUMN()-29),1,MIN(60,COLUMN()-29))),0)</f>
        <v>0</v>
      </c>
      <c r="DK910" s="112" t="n">
        <f aca="true">IFERROR(SUMPRODUCT(OFFSET($BJ$31,0,1-MIN(60,COLUMN()-29),1,MIN(60,COLUMN()-29)),OFFSET(DK909,0,-MIN(60,COLUMN()-29),1,MIN(60,COLUMN()-29))),0)</f>
        <v>0</v>
      </c>
      <c r="DL910" s="112" t="n">
        <f aca="true">IFERROR(SUMPRODUCT(OFFSET($BJ$31,0,1-MIN(60,COLUMN()-29),1,MIN(60,COLUMN()-29)),OFFSET(DL909,0,-MIN(60,COLUMN()-29),1,MIN(60,COLUMN()-29))),0)</f>
        <v>0</v>
      </c>
      <c r="DM910" s="112" t="n">
        <f aca="true">IFERROR(SUMPRODUCT(OFFSET($BJ$31,0,1-MIN(60,COLUMN()-29),1,MIN(60,COLUMN()-29)),OFFSET(DM909,0,-MIN(60,COLUMN()-29),1,MIN(60,COLUMN()-29))),0)</f>
        <v>0</v>
      </c>
      <c r="DN910" s="112" t="n">
        <f aca="true">IFERROR(SUMPRODUCT(OFFSET($BJ$31,0,1-MIN(60,COLUMN()-29),1,MIN(60,COLUMN()-29)),OFFSET(DN909,0,-MIN(60,COLUMN()-29),1,MIN(60,COLUMN()-29))),0)</f>
        <v>0</v>
      </c>
      <c r="DO910" s="112" t="n">
        <f aca="true">IFERROR(SUMPRODUCT(OFFSET($BJ$31,0,1-MIN(60,COLUMN()-29),1,MIN(60,COLUMN()-29)),OFFSET(DO909,0,-MIN(60,COLUMN()-29),1,MIN(60,COLUMN()-29))),0)</f>
        <v>0</v>
      </c>
      <c r="DP910" s="112" t="n">
        <f aca="true">IFERROR(SUMPRODUCT(OFFSET($BJ$31,0,1-MIN(60,COLUMN()-29),1,MIN(60,COLUMN()-29)),OFFSET(DP909,0,-MIN(60,COLUMN()-29),1,MIN(60,COLUMN()-29))),0)</f>
        <v>0</v>
      </c>
      <c r="DQ910" s="112" t="n">
        <f aca="true">IFERROR(SUMPRODUCT(OFFSET($BJ$31,0,1-MIN(60,COLUMN()-29),1,MIN(60,COLUMN()-29)),OFFSET(DQ909,0,-MIN(60,COLUMN()-29),1,MIN(60,COLUMN()-29))),0)</f>
        <v>0</v>
      </c>
      <c r="DR910" s="112" t="n">
        <f aca="true">IFERROR(SUMPRODUCT(OFFSET($BJ$31,0,1-MIN(60,COLUMN()-29),1,MIN(60,COLUMN()-29)),OFFSET(DR909,0,-MIN(60,COLUMN()-29),1,MIN(60,COLUMN()-29))),0)</f>
        <v>0</v>
      </c>
      <c r="DS910" s="112" t="n">
        <f aca="true">IFERROR(SUMPRODUCT(OFFSET($BJ$31,0,1-MIN(60,COLUMN()-29),1,MIN(60,COLUMN()-29)),OFFSET(DS909,0,-MIN(60,COLUMN()-29),1,MIN(60,COLUMN()-29))),0)</f>
        <v>0</v>
      </c>
      <c r="DT910" s="112" t="n">
        <f aca="true">IFERROR(SUMPRODUCT(OFFSET($BJ$31,0,1-MIN(60,COLUMN()-29),1,MIN(60,COLUMN()-29)),OFFSET(DT909,0,-MIN(60,COLUMN()-29),1,MIN(60,COLUMN()-29))),0)</f>
        <v>0</v>
      </c>
      <c r="DU910" s="112" t="n">
        <f aca="true">IFERROR(SUMPRODUCT(OFFSET($BJ$31,0,1-MIN(60,COLUMN()-29),1,MIN(60,COLUMN()-29)),OFFSET(DU909,0,-MIN(60,COLUMN()-29),1,MIN(60,COLUMN()-29))),0)</f>
        <v>0</v>
      </c>
      <c r="DV910" s="112" t="n">
        <f aca="true">IFERROR(SUMPRODUCT(OFFSET($BJ$31,0,1-MIN(60,COLUMN()-29),1,MIN(60,COLUMN()-29)),OFFSET(DV909,0,-MIN(60,COLUMN()-29),1,MIN(60,COLUMN()-29))),0)</f>
        <v>0</v>
      </c>
      <c r="DW910" s="112" t="n">
        <f aca="true">IFERROR(SUMPRODUCT(OFFSET($BJ$31,0,1-MIN(60,COLUMN()-29),1,MIN(60,COLUMN()-29)),OFFSET(DW909,0,-MIN(60,COLUMN()-29),1,MIN(60,COLUMN()-29))),0)</f>
        <v>0</v>
      </c>
      <c r="DX910" s="112" t="n">
        <f aca="true">IFERROR(SUMPRODUCT(OFFSET($BJ$31,0,1-MIN(60,COLUMN()-29),1,MIN(60,COLUMN()-29)),OFFSET(DX909,0,-MIN(60,COLUMN()-29),1,MIN(60,COLUMN()-29))),0)</f>
        <v>0</v>
      </c>
      <c r="DY910" s="112" t="n">
        <f aca="true">IFERROR(SUMPRODUCT(OFFSET($BJ$31,0,1-MIN(60,COLUMN()-29),1,MIN(60,COLUMN()-29)),OFFSET(DY909,0,-MIN(60,COLUMN()-29),1,MIN(60,COLUMN()-29))),0)</f>
        <v>0</v>
      </c>
      <c r="DZ910" s="112" t="n">
        <f aca="true">IFERROR(SUMPRODUCT(OFFSET($BJ$31,0,1-MIN(60,COLUMN()-29),1,MIN(60,COLUMN()-29)),OFFSET(DZ909,0,-MIN(60,COLUMN()-29),1,MIN(60,COLUMN()-29))),0)</f>
        <v>0</v>
      </c>
      <c r="EA910" s="112" t="n">
        <f aca="true">IFERROR(SUMPRODUCT(OFFSET($BJ$31,0,1-MIN(60,COLUMN()-29),1,MIN(60,COLUMN()-29)),OFFSET(EA909,0,-MIN(60,COLUMN()-29),1,MIN(60,COLUMN()-29))),0)</f>
        <v>0</v>
      </c>
      <c r="EB910" s="112" t="n">
        <f aca="true">IFERROR(SUMPRODUCT(OFFSET($BJ$31,0,1-MIN(60,COLUMN()-29),1,MIN(60,COLUMN()-29)),OFFSET(EB909,0,-MIN(60,COLUMN()-29),1,MIN(60,COLUMN()-29))),0)</f>
        <v>0</v>
      </c>
      <c r="EC910" s="112" t="n">
        <f aca="true">IFERROR(SUMPRODUCT(OFFSET($BJ$31,0,1-MIN(60,COLUMN()-29),1,MIN(60,COLUMN()-29)),OFFSET(EC909,0,-MIN(60,COLUMN()-29),1,MIN(60,COLUMN()-29))),0)</f>
        <v>0</v>
      </c>
      <c r="ED910" s="112" t="n">
        <f aca="true">IFERROR(SUMPRODUCT(OFFSET($BJ$31,0,1-MIN(60,COLUMN()-29),1,MIN(60,COLUMN()-29)),OFFSET(ED909,0,-MIN(60,COLUMN()-29),1,MIN(60,COLUMN()-29))),0)</f>
        <v>0</v>
      </c>
      <c r="EE910" s="112" t="n">
        <f aca="true">IFERROR(SUMPRODUCT(OFFSET($BJ$31,0,1-MIN(60,COLUMN()-29),1,MIN(60,COLUMN()-29)),OFFSET(EE909,0,-MIN(60,COLUMN()-29),1,MIN(60,COLUMN()-29))),0)</f>
        <v>0</v>
      </c>
      <c r="EF910" s="112" t="n">
        <f aca="true">IFERROR(SUMPRODUCT(OFFSET($BJ$31,0,1-MIN(60,COLUMN()-29),1,MIN(60,COLUMN()-29)),OFFSET(EF909,0,-MIN(60,COLUMN()-29),1,MIN(60,COLUMN()-29))),0)</f>
        <v>0</v>
      </c>
      <c r="EG910" s="112" t="n">
        <f aca="true">IFERROR(SUMPRODUCT(OFFSET($BJ$31,0,1-MIN(60,COLUMN()-29),1,MIN(60,COLUMN()-29)),OFFSET(EG909,0,-MIN(60,COLUMN()-29),1,MIN(60,COLUMN()-29))),0)</f>
        <v>0</v>
      </c>
      <c r="EH910" s="112" t="n">
        <f aca="true">IFERROR(SUMPRODUCT(OFFSET($BJ$31,0,1-MIN(60,COLUMN()-29),1,MIN(60,COLUMN()-29)),OFFSET(EH909,0,-MIN(60,COLUMN()-29),1,MIN(60,COLUMN()-29))),0)</f>
        <v>0</v>
      </c>
      <c r="EI910" s="112" t="n">
        <f aca="true">IFERROR(SUMPRODUCT(OFFSET($BJ$31,0,1-MIN(60,COLUMN()-29),1,MIN(60,COLUMN()-29)),OFFSET(EI909,0,-MIN(60,COLUMN()-29),1,MIN(60,COLUMN()-29))),0)</f>
        <v>0</v>
      </c>
      <c r="EJ910" s="112" t="n">
        <f aca="true">IFERROR(SUMPRODUCT(OFFSET($BJ$31,0,1-MIN(60,COLUMN()-29),1,MIN(60,COLUMN()-29)),OFFSET(EJ909,0,-MIN(60,COLUMN()-29),1,MIN(60,COLUMN()-29))),0)</f>
        <v>0</v>
      </c>
      <c r="EK910" s="112" t="n">
        <f aca="true">IFERROR(SUMPRODUCT(OFFSET($BJ$31,0,1-MIN(60,COLUMN()-29),1,MIN(60,COLUMN()-29)),OFFSET(EK909,0,-MIN(60,COLUMN()-29),1,MIN(60,COLUMN()-29))),0)</f>
        <v>0</v>
      </c>
      <c r="EL910" s="112" t="n">
        <f aca="true">IFERROR(SUMPRODUCT(OFFSET($BJ$31,0,1-MIN(60,COLUMN()-29),1,MIN(60,COLUMN()-29)),OFFSET(EL909,0,-MIN(60,COLUMN()-29),1,MIN(60,COLUMN()-29))),0)</f>
        <v>0</v>
      </c>
      <c r="EM910" s="112" t="n">
        <f aca="true">IFERROR(SUMPRODUCT(OFFSET($BJ$31,0,1-MIN(60,COLUMN()-29),1,MIN(60,COLUMN()-29)),OFFSET(EM909,0,-MIN(60,COLUMN()-29),1,MIN(60,COLUMN()-29))),0)</f>
        <v>0</v>
      </c>
      <c r="EN910" s="112" t="n">
        <f aca="true">IFERROR(SUMPRODUCT(OFFSET($BJ$31,0,1-MIN(60,COLUMN()-29),1,MIN(60,COLUMN()-29)),OFFSET(EN909,0,-MIN(60,COLUMN()-29),1,MIN(60,COLUMN()-29))),0)</f>
        <v>0</v>
      </c>
      <c r="EO910" s="112" t="n">
        <f aca="true">IFERROR(SUMPRODUCT(OFFSET($BJ$31,0,1-MIN(60,COLUMN()-29),1,MIN(60,COLUMN()-29)),OFFSET(EO909,0,-MIN(60,COLUMN()-29),1,MIN(60,COLUMN()-29))),0)</f>
        <v>0</v>
      </c>
      <c r="EP910" s="112" t="n">
        <f aca="true">IFERROR(SUMPRODUCT(OFFSET($BJ$31,0,1-MIN(60,COLUMN()-29),1,MIN(60,COLUMN()-29)),OFFSET(EP909,0,-MIN(60,COLUMN()-29),1,MIN(60,COLUMN()-29))),0)</f>
        <v>0</v>
      </c>
      <c r="EQ910" s="112" t="n">
        <f aca="true">IFERROR(SUMPRODUCT(OFFSET($BJ$31,0,1-MIN(60,COLUMN()-29),1,MIN(60,COLUMN()-29)),OFFSET(EQ909,0,-MIN(60,COLUMN()-29),1,MIN(60,COLUMN()-29))),0)</f>
        <v>0</v>
      </c>
      <c r="ER910" s="112" t="n">
        <f aca="true">IFERROR(SUMPRODUCT(OFFSET($BJ$31,0,1-MIN(60,COLUMN()-29),1,MIN(60,COLUMN()-29)),OFFSET(ER909,0,-MIN(60,COLUMN()-29),1,MIN(60,COLUMN()-29))),0)</f>
        <v>0</v>
      </c>
      <c r="ES910" s="9" t="n">
        <f aca="true">IFERROR(SUMPRODUCT(OFFSET($BJ$31,0,1-MIN(60,COLUMN()-29),1,MIN(60,COLUMN()-29)),OFFSET(ES909,0,-MIN(60,COLUMN()-29),1,MIN(60,COLUMN()-29))),0)</f>
        <v>0</v>
      </c>
      <c r="ET910" s="9" t="n">
        <f aca="true">IFERROR(SUMPRODUCT(OFFSET($BJ$31,0,1-MIN(60,COLUMN()-29),1,MIN(60,COLUMN()-29)),OFFSET(ET909,0,-MIN(60,COLUMN()-29),1,MIN(60,COLUMN()-29))),0)</f>
        <v>0</v>
      </c>
      <c r="EU910" s="9" t="n">
        <f aca="true">IFERROR(SUMPRODUCT(OFFSET($BJ$31,0,1-MIN(60,COLUMN()-29),1,MIN(60,COLUMN()-29)),OFFSET(EU909,0,-MIN(60,COLUMN()-29),1,MIN(60,COLUMN()-29))),0)</f>
        <v>0</v>
      </c>
      <c r="EV910" s="9" t="n">
        <f aca="true">IFERROR(SUMPRODUCT(OFFSET($BJ$31,0,1-MIN(60,COLUMN()-29),1,MIN(60,COLUMN()-29)),OFFSET(EV909,0,-MIN(60,COLUMN()-29),1,MIN(60,COLUMN()-29))),0)</f>
        <v>0</v>
      </c>
      <c r="EW910" s="9" t="n">
        <f aca="true">IFERROR(SUMPRODUCT(OFFSET($BJ$31,0,1-MIN(60,COLUMN()-29),1,MIN(60,COLUMN()-29)),OFFSET(EW909,0,-MIN(60,COLUMN()-29),1,MIN(60,COLUMN()-29))),0)</f>
        <v>0</v>
      </c>
      <c r="EX910" s="9" t="n">
        <f aca="true">IFERROR(SUMPRODUCT(OFFSET($BJ$31,0,1-MIN(60,COLUMN()-29),1,MIN(60,COLUMN()-29)),OFFSET(EX909,0,-MIN(60,COLUMN()-29),1,MIN(60,COLUMN()-29))),0)</f>
        <v>0</v>
      </c>
      <c r="EY910" s="9" t="n">
        <f aca="true">IFERROR(SUMPRODUCT(OFFSET($BJ$31,0,1-MIN(60,COLUMN()-29),1,MIN(60,COLUMN()-29)),OFFSET(EY909,0,-MIN(60,COLUMN()-29),1,MIN(60,COLUMN()-29))),0)</f>
        <v>0</v>
      </c>
      <c r="EZ910" s="9" t="n">
        <f aca="true">IFERROR(SUMPRODUCT(OFFSET($BJ$31,0,1-MIN(60,COLUMN()-29),1,MIN(60,COLUMN()-29)),OFFSET(EZ909,0,-MIN(60,COLUMN()-29),1,MIN(60,COLUMN()-29))),0)</f>
        <v>0</v>
      </c>
      <c r="FA910" s="9" t="n">
        <f aca="true">IFERROR(SUMPRODUCT(OFFSET($BJ$31,0,1-MIN(60,COLUMN()-29),1,MIN(60,COLUMN()-29)),OFFSET(FA909,0,-MIN(60,COLUMN()-29),1,MIN(60,COLUMN()-29))),0)</f>
        <v>0</v>
      </c>
      <c r="FB910" s="9" t="n">
        <f aca="true">IFERROR(SUMPRODUCT(OFFSET($BJ$31,0,1-MIN(60,COLUMN()-29),1,MIN(60,COLUMN()-29)),OFFSET(FB909,0,-MIN(60,COLUMN()-29),1,MIN(60,COLUMN()-29))),0)</f>
        <v>0</v>
      </c>
      <c r="FC910" s="9" t="n">
        <f aca="true">IFERROR(SUMPRODUCT(OFFSET($BJ$31,0,1-MIN(60,COLUMN()-29),1,MIN(60,COLUMN()-29)),OFFSET(FC909,0,-MIN(60,COLUMN()-29),1,MIN(60,COLUMN()-29))),0)</f>
        <v>0</v>
      </c>
      <c r="FD910" s="9" t="n">
        <f aca="true">IFERROR(SUMPRODUCT(OFFSET($BJ$31,0,1-MIN(60,COLUMN()-29),1,MIN(60,COLUMN()-29)),OFFSET(FD909,0,-MIN(60,COLUMN()-29),1,MIN(60,COLUMN()-29))),0)</f>
        <v>0</v>
      </c>
      <c r="FE910" s="9" t="n">
        <f aca="true">IFERROR(SUMPRODUCT(OFFSET($BJ$31,0,1-MIN(60,COLUMN()-29),1,MIN(60,COLUMN()-29)),OFFSET(FE909,0,-MIN(60,COLUMN()-29),1,MIN(60,COLUMN()-29))),0)</f>
        <v>0</v>
      </c>
      <c r="FF910" s="9" t="n">
        <f aca="true">IFERROR(SUMPRODUCT(OFFSET($BJ$31,0,1-MIN(60,COLUMN()-29),1,MIN(60,COLUMN()-29)),OFFSET(FF909,0,-MIN(60,COLUMN()-29),1,MIN(60,COLUMN()-29))),0)</f>
        <v>0</v>
      </c>
      <c r="FG910" s="9" t="n">
        <f aca="true">IFERROR(SUMPRODUCT(OFFSET($BJ$31,0,1-MIN(60,COLUMN()-29),1,MIN(60,COLUMN()-29)),OFFSET(FG909,0,-MIN(60,COLUMN()-29),1,MIN(60,COLUMN()-29))),0)</f>
        <v>0</v>
      </c>
      <c r="FH910" s="9" t="n">
        <f aca="true">IFERROR(SUMPRODUCT(OFFSET($BJ$31,0,1-MIN(60,COLUMN()-29),1,MIN(60,COLUMN()-29)),OFFSET(FH909,0,-MIN(60,COLUMN()-29),1,MIN(60,COLUMN()-29))),0)</f>
        <v>0</v>
      </c>
      <c r="FI910" s="9" t="n">
        <f aca="true">IFERROR(SUMPRODUCT(OFFSET($BJ$31,0,1-MIN(60,COLUMN()-29),1,MIN(60,COLUMN()-29)),OFFSET(FI909,0,-MIN(60,COLUMN()-29),1,MIN(60,COLUMN()-29))),0)</f>
        <v>0</v>
      </c>
      <c r="FJ910" s="9" t="n">
        <f aca="true">IFERROR(SUMPRODUCT(OFFSET($BJ$31,0,1-MIN(60,COLUMN()-29),1,MIN(60,COLUMN()-29)),OFFSET(FJ909,0,-MIN(60,COLUMN()-29),1,MIN(60,COLUMN()-29))),0)</f>
        <v>0</v>
      </c>
      <c r="FK910" s="9" t="n">
        <f aca="true">IFERROR(SUMPRODUCT(OFFSET($BJ$31,0,1-MIN(60,COLUMN()-29),1,MIN(60,COLUMN()-29)),OFFSET(FK909,0,-MIN(60,COLUMN()-29),1,MIN(60,COLUMN()-29))),0)</f>
        <v>0</v>
      </c>
      <c r="FL910" s="9" t="n">
        <f aca="true">IFERROR(SUMPRODUCT(OFFSET($BJ$31,0,1-MIN(60,COLUMN()-29),1,MIN(60,COLUMN()-29)),OFFSET(FL909,0,-MIN(60,COLUMN()-29),1,MIN(60,COLUMN()-29))),0)</f>
        <v>0</v>
      </c>
      <c r="FM910" s="9" t="n">
        <f aca="true">IFERROR(SUMPRODUCT(OFFSET($BJ$31,0,1-MIN(60,COLUMN()-29),1,MIN(60,COLUMN()-29)),OFFSET(FM909,0,-MIN(60,COLUMN()-29),1,MIN(60,COLUMN()-29))),0)</f>
        <v>0</v>
      </c>
      <c r="FN910" s="9" t="n">
        <f aca="true">IFERROR(SUMPRODUCT(OFFSET($BJ$31,0,1-MIN(60,COLUMN()-29),1,MIN(60,COLUMN()-29)),OFFSET(FN909,0,-MIN(60,COLUMN()-29),1,MIN(60,COLUMN()-29))),0)</f>
        <v>0</v>
      </c>
      <c r="FO910" s="9" t="n">
        <f aca="true">IFERROR(SUMPRODUCT(OFFSET($BJ$31,0,1-MIN(60,COLUMN()-29),1,MIN(60,COLUMN()-29)),OFFSET(FO909,0,-MIN(60,COLUMN()-29),1,MIN(60,COLUMN()-29))),0)</f>
        <v>0</v>
      </c>
      <c r="FP910" s="9" t="n">
        <f aca="true">IFERROR(SUMPRODUCT(OFFSET($BJ$31,0,1-MIN(60,COLUMN()-29),1,MIN(60,COLUMN()-29)),OFFSET(FP909,0,-MIN(60,COLUMN()-29),1,MIN(60,COLUMN()-29))),0)</f>
        <v>3.40992</v>
      </c>
    </row>
    <row r="911" customFormat="false" ht="15" hidden="false" customHeight="false" outlineLevel="2" collapsed="false">
      <c r="B911" s="90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237"/>
      <c r="AD911" s="237"/>
      <c r="AE911" s="237"/>
      <c r="AF911" s="237"/>
      <c r="AG911" s="237"/>
      <c r="AH911" s="237"/>
      <c r="AI911" s="237"/>
      <c r="AJ911" s="237"/>
      <c r="AK911" s="237"/>
      <c r="AL911" s="237"/>
      <c r="AM911" s="237"/>
      <c r="AN911" s="237"/>
      <c r="AO911" s="237"/>
      <c r="AP911" s="237"/>
      <c r="AQ911" s="237"/>
      <c r="AR911" s="237"/>
      <c r="AS911" s="237"/>
      <c r="AT911" s="237"/>
      <c r="AU911" s="237"/>
      <c r="AV911" s="237"/>
      <c r="AW911" s="237"/>
      <c r="AX911" s="237"/>
      <c r="AY911" s="237"/>
      <c r="AZ911" s="237"/>
      <c r="BA911" s="237"/>
      <c r="BB911" s="237"/>
      <c r="BC911" s="237"/>
      <c r="BD911" s="237"/>
      <c r="BE911" s="237"/>
      <c r="BF911" s="237"/>
      <c r="BG911" s="237"/>
      <c r="BH911" s="237"/>
      <c r="BI911" s="237"/>
      <c r="BJ911" s="237"/>
      <c r="BK911" s="237"/>
      <c r="BL911" s="237"/>
      <c r="BM911" s="237"/>
      <c r="BN911" s="237"/>
      <c r="BO911" s="237"/>
      <c r="BP911" s="237"/>
      <c r="BQ911" s="237"/>
      <c r="BR911" s="237"/>
      <c r="BS911" s="237"/>
      <c r="BT911" s="237"/>
      <c r="BU911" s="237"/>
      <c r="BV911" s="237"/>
      <c r="BW911" s="237"/>
      <c r="BX911" s="237"/>
      <c r="BY911" s="237"/>
      <c r="BZ911" s="237"/>
      <c r="CA911" s="237"/>
      <c r="CB911" s="237"/>
      <c r="CC911" s="237"/>
      <c r="CD911" s="237"/>
      <c r="CE911" s="237"/>
      <c r="CF911" s="237"/>
      <c r="CG911" s="237"/>
      <c r="CH911" s="237"/>
      <c r="CI911" s="237"/>
      <c r="CJ911" s="237"/>
      <c r="CK911" s="237"/>
      <c r="CL911" s="237"/>
      <c r="CM911" s="237"/>
      <c r="CN911" s="237"/>
      <c r="CO911" s="237"/>
      <c r="CP911" s="237"/>
      <c r="CQ911" s="237"/>
      <c r="CR911" s="237"/>
      <c r="CS911" s="237"/>
      <c r="CT911" s="237"/>
      <c r="CU911" s="237"/>
      <c r="CV911" s="237"/>
      <c r="CW911" s="237"/>
      <c r="CX911" s="237"/>
      <c r="CY911" s="237"/>
      <c r="CZ911" s="237"/>
      <c r="DA911" s="237"/>
      <c r="DB911" s="237"/>
      <c r="DC911" s="237"/>
      <c r="DD911" s="237"/>
      <c r="DE911" s="237"/>
      <c r="DF911" s="237"/>
      <c r="DG911" s="237"/>
      <c r="DH911" s="237"/>
      <c r="DI911" s="237"/>
      <c r="DJ911" s="237"/>
      <c r="DK911" s="237"/>
      <c r="DL911" s="237"/>
      <c r="DM911" s="237"/>
      <c r="DN911" s="237"/>
      <c r="DO911" s="237"/>
      <c r="DP911" s="237"/>
      <c r="DQ911" s="237"/>
      <c r="DR911" s="237"/>
      <c r="DS911" s="237"/>
      <c r="DT911" s="237"/>
      <c r="DU911" s="237"/>
      <c r="DV911" s="237"/>
      <c r="DW911" s="237"/>
      <c r="DX911" s="237"/>
      <c r="DY911" s="237"/>
      <c r="DZ911" s="237"/>
      <c r="EA911" s="237"/>
      <c r="EB911" s="237"/>
      <c r="EC911" s="237"/>
      <c r="ED911" s="237"/>
      <c r="EE911" s="237"/>
      <c r="EF911" s="237"/>
      <c r="EG911" s="237"/>
      <c r="EH911" s="237"/>
      <c r="EI911" s="237"/>
      <c r="EJ911" s="237"/>
      <c r="EK911" s="237"/>
      <c r="EL911" s="237"/>
      <c r="EM911" s="237"/>
      <c r="EN911" s="237"/>
      <c r="EO911" s="237"/>
      <c r="EP911" s="237"/>
      <c r="EQ911" s="237"/>
      <c r="ER911" s="237"/>
      <c r="ES911" s="9"/>
      <c r="ET911" s="9"/>
      <c r="EU911" s="9"/>
      <c r="EV911" s="9"/>
      <c r="EW911" s="9"/>
      <c r="EX911" s="9"/>
      <c r="EY911" s="9"/>
      <c r="EZ911" s="9"/>
      <c r="FA911" s="9"/>
      <c r="FB911" s="9"/>
      <c r="FC911" s="9"/>
      <c r="FD911" s="9"/>
      <c r="FE911" s="9"/>
      <c r="FF911" s="9"/>
      <c r="FG911" s="9"/>
      <c r="FH911" s="9"/>
      <c r="FI911" s="9"/>
      <c r="FJ911" s="9"/>
      <c r="FK911" s="9"/>
      <c r="FL911" s="9"/>
      <c r="FM911" s="9"/>
      <c r="FN911" s="9"/>
      <c r="FO911" s="9"/>
      <c r="FP911" s="9"/>
    </row>
    <row r="912" customFormat="false" ht="15" hidden="false" customHeight="false" outlineLevel="2" collapsed="false">
      <c r="B912" s="240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237"/>
      <c r="AD912" s="237"/>
      <c r="AE912" s="237"/>
      <c r="AF912" s="237"/>
      <c r="AG912" s="237"/>
      <c r="AH912" s="237"/>
      <c r="AI912" s="237"/>
      <c r="AJ912" s="237"/>
      <c r="AK912" s="237"/>
      <c r="AL912" s="237"/>
      <c r="AM912" s="237"/>
      <c r="AN912" s="237"/>
      <c r="AO912" s="237"/>
      <c r="AP912" s="237"/>
      <c r="AQ912" s="237"/>
      <c r="AR912" s="237"/>
      <c r="AS912" s="237"/>
      <c r="AT912" s="237"/>
      <c r="AU912" s="237"/>
      <c r="AV912" s="237"/>
      <c r="AW912" s="237"/>
      <c r="AX912" s="237"/>
      <c r="AY912" s="237"/>
      <c r="AZ912" s="237"/>
      <c r="BA912" s="237"/>
      <c r="BB912" s="237"/>
      <c r="BC912" s="237"/>
      <c r="BD912" s="237"/>
      <c r="BE912" s="237"/>
      <c r="BF912" s="237"/>
      <c r="BG912" s="237"/>
      <c r="BH912" s="237"/>
      <c r="BI912" s="237"/>
      <c r="BJ912" s="237"/>
      <c r="BK912" s="237"/>
      <c r="BL912" s="237"/>
      <c r="BM912" s="237"/>
      <c r="BN912" s="237"/>
      <c r="BO912" s="237"/>
      <c r="BP912" s="237"/>
      <c r="BQ912" s="237"/>
      <c r="BR912" s="237"/>
      <c r="BS912" s="237"/>
      <c r="BT912" s="237"/>
      <c r="BU912" s="237"/>
      <c r="BV912" s="237"/>
      <c r="BW912" s="237"/>
      <c r="BX912" s="237"/>
      <c r="BY912" s="237"/>
      <c r="BZ912" s="237"/>
      <c r="CA912" s="237"/>
      <c r="CB912" s="237"/>
      <c r="CC912" s="237"/>
      <c r="CD912" s="237"/>
      <c r="CE912" s="237"/>
      <c r="CF912" s="237"/>
      <c r="CG912" s="237"/>
      <c r="CH912" s="237"/>
      <c r="CI912" s="237"/>
      <c r="CJ912" s="237"/>
      <c r="CK912" s="237"/>
      <c r="CL912" s="237"/>
      <c r="CM912" s="237"/>
      <c r="CN912" s="237"/>
      <c r="CO912" s="237"/>
      <c r="CP912" s="237"/>
      <c r="CQ912" s="237"/>
      <c r="CR912" s="237"/>
      <c r="CS912" s="237"/>
      <c r="CT912" s="237"/>
      <c r="CU912" s="237"/>
      <c r="CV912" s="237"/>
      <c r="CW912" s="237"/>
      <c r="CX912" s="237"/>
      <c r="CY912" s="237"/>
      <c r="CZ912" s="237"/>
      <c r="DA912" s="237"/>
      <c r="DB912" s="237"/>
      <c r="DC912" s="237"/>
      <c r="DD912" s="237"/>
      <c r="DE912" s="237"/>
      <c r="DF912" s="237"/>
      <c r="DG912" s="237"/>
      <c r="DH912" s="237"/>
      <c r="DI912" s="237"/>
      <c r="DJ912" s="237"/>
      <c r="DK912" s="237"/>
      <c r="DL912" s="237"/>
      <c r="DM912" s="237"/>
      <c r="DN912" s="237"/>
      <c r="DO912" s="237"/>
      <c r="DP912" s="237"/>
      <c r="DQ912" s="237"/>
      <c r="DR912" s="237"/>
      <c r="DS912" s="237"/>
      <c r="DT912" s="237"/>
      <c r="DU912" s="237"/>
      <c r="DV912" s="237"/>
      <c r="DW912" s="237"/>
      <c r="DX912" s="237"/>
      <c r="DY912" s="237"/>
      <c r="DZ912" s="237"/>
      <c r="EA912" s="237"/>
      <c r="EB912" s="237"/>
      <c r="EC912" s="237"/>
      <c r="ED912" s="237"/>
      <c r="EE912" s="237"/>
      <c r="EF912" s="237"/>
      <c r="EG912" s="237"/>
      <c r="EH912" s="237"/>
      <c r="EI912" s="237"/>
      <c r="EJ912" s="237"/>
      <c r="EK912" s="237"/>
      <c r="EL912" s="237"/>
      <c r="EM912" s="237"/>
      <c r="EN912" s="237"/>
      <c r="EO912" s="237"/>
      <c r="EP912" s="237"/>
      <c r="EQ912" s="237"/>
      <c r="ER912" s="237"/>
      <c r="ES912" s="9"/>
      <c r="ET912" s="9"/>
      <c r="EU912" s="9"/>
      <c r="EV912" s="9"/>
      <c r="EW912" s="9"/>
      <c r="EX912" s="9"/>
      <c r="EY912" s="9"/>
      <c r="EZ912" s="9"/>
      <c r="FA912" s="9"/>
      <c r="FB912" s="9"/>
      <c r="FC912" s="9"/>
      <c r="FD912" s="9"/>
      <c r="FE912" s="9"/>
      <c r="FF912" s="9"/>
      <c r="FG912" s="9"/>
      <c r="FH912" s="9"/>
      <c r="FI912" s="9"/>
      <c r="FJ912" s="9"/>
      <c r="FK912" s="9"/>
      <c r="FL912" s="9"/>
      <c r="FM912" s="9"/>
      <c r="FN912" s="9"/>
      <c r="FO912" s="9"/>
      <c r="FP912" s="9"/>
    </row>
    <row r="913" customFormat="false" ht="15" hidden="false" customHeight="false" outlineLevel="2" collapsed="false">
      <c r="B913" s="21" t="s">
        <v>964</v>
      </c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  <c r="AP913" s="21"/>
      <c r="AQ913" s="21"/>
      <c r="AR913" s="21"/>
      <c r="AS913" s="21"/>
      <c r="AT913" s="21"/>
      <c r="AU913" s="21"/>
      <c r="AV913" s="21"/>
      <c r="AW913" s="21"/>
      <c r="AX913" s="21"/>
      <c r="AY913" s="21"/>
      <c r="AZ913" s="21"/>
      <c r="BA913" s="21"/>
      <c r="BB913" s="21"/>
      <c r="BC913" s="21"/>
      <c r="BD913" s="21"/>
      <c r="BE913" s="21"/>
      <c r="BF913" s="21"/>
      <c r="BG913" s="21"/>
      <c r="BH913" s="21"/>
      <c r="BI913" s="21"/>
      <c r="BJ913" s="21"/>
      <c r="BK913" s="21"/>
      <c r="BL913" s="21"/>
      <c r="BM913" s="21"/>
      <c r="BN913" s="21"/>
      <c r="BO913" s="21"/>
      <c r="BP913" s="21"/>
      <c r="BQ913" s="21"/>
      <c r="BR913" s="21"/>
      <c r="BS913" s="21"/>
      <c r="BT913" s="21"/>
      <c r="BU913" s="21"/>
      <c r="BV913" s="21"/>
      <c r="BW913" s="21"/>
      <c r="BX913" s="21"/>
      <c r="BY913" s="21"/>
      <c r="BZ913" s="21"/>
      <c r="CA913" s="21"/>
      <c r="CB913" s="21"/>
      <c r="CC913" s="21"/>
      <c r="CD913" s="21"/>
      <c r="CE913" s="21"/>
      <c r="CF913" s="21"/>
      <c r="CG913" s="21"/>
      <c r="CH913" s="21"/>
      <c r="CI913" s="21"/>
      <c r="CJ913" s="21"/>
      <c r="CK913" s="21"/>
      <c r="CL913" s="21"/>
      <c r="CM913" s="21"/>
      <c r="CN913" s="21"/>
      <c r="CO913" s="21"/>
      <c r="CP913" s="21"/>
      <c r="CQ913" s="21"/>
      <c r="CR913" s="21"/>
      <c r="CS913" s="21"/>
      <c r="CT913" s="21"/>
      <c r="CU913" s="21"/>
      <c r="CV913" s="21"/>
      <c r="CW913" s="21"/>
      <c r="CX913" s="21"/>
      <c r="CY913" s="21"/>
      <c r="CZ913" s="21"/>
      <c r="DA913" s="21"/>
      <c r="DB913" s="21"/>
      <c r="DC913" s="21"/>
      <c r="DD913" s="21"/>
      <c r="DE913" s="21"/>
      <c r="DF913" s="21"/>
      <c r="DG913" s="21"/>
      <c r="DH913" s="21"/>
      <c r="DI913" s="21"/>
      <c r="DJ913" s="21"/>
      <c r="DK913" s="21"/>
      <c r="DL913" s="21"/>
      <c r="DM913" s="21"/>
      <c r="DN913" s="21"/>
      <c r="DO913" s="21"/>
      <c r="DP913" s="21"/>
      <c r="DQ913" s="21"/>
      <c r="DR913" s="21"/>
      <c r="DS913" s="21"/>
      <c r="DT913" s="21"/>
      <c r="DU913" s="21"/>
      <c r="DV913" s="21"/>
      <c r="DW913" s="21"/>
      <c r="DX913" s="21"/>
      <c r="DY913" s="21"/>
      <c r="DZ913" s="21"/>
      <c r="EA913" s="21"/>
      <c r="EB913" s="21"/>
      <c r="EC913" s="21"/>
      <c r="ED913" s="21"/>
      <c r="EE913" s="21"/>
      <c r="EF913" s="21"/>
      <c r="EG913" s="21"/>
      <c r="EH913" s="21"/>
      <c r="EI913" s="21"/>
      <c r="EJ913" s="21"/>
      <c r="EK913" s="21"/>
      <c r="EL913" s="21"/>
      <c r="EM913" s="21"/>
      <c r="EN913" s="21"/>
      <c r="EO913" s="21"/>
      <c r="EP913" s="21"/>
      <c r="EQ913" s="21"/>
      <c r="ER913" s="21"/>
      <c r="ES913" s="9"/>
      <c r="ET913" s="9"/>
      <c r="EU913" s="9"/>
      <c r="EV913" s="9"/>
      <c r="EW913" s="9"/>
      <c r="EX913" s="9"/>
      <c r="EY913" s="9"/>
      <c r="EZ913" s="9"/>
      <c r="FA913" s="9"/>
      <c r="FB913" s="9"/>
      <c r="FC913" s="9"/>
      <c r="FD913" s="9"/>
      <c r="FE913" s="9"/>
      <c r="FF913" s="9"/>
      <c r="FG913" s="9"/>
      <c r="FH913" s="9"/>
      <c r="FI913" s="9"/>
      <c r="FJ913" s="9"/>
      <c r="FK913" s="9"/>
      <c r="FL913" s="9"/>
      <c r="FM913" s="9"/>
      <c r="FN913" s="9"/>
      <c r="FO913" s="9"/>
      <c r="FP913" s="9"/>
    </row>
    <row r="914" customFormat="false" ht="15" hidden="false" customHeight="false" outlineLevel="2" collapsed="false">
      <c r="B914" s="9" t="s">
        <v>872</v>
      </c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234" t="n">
        <f aca="false">('⑫ Roll-out Plan'!G96-2025)*12+'⑫ Roll-out Plan'!F96</f>
        <v>144</v>
      </c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  <c r="CA914" s="9"/>
      <c r="CB914" s="9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  <c r="CO914" s="9"/>
      <c r="CP914" s="9"/>
      <c r="CQ914" s="9"/>
      <c r="CR914" s="9"/>
      <c r="CS914" s="9"/>
      <c r="CT914" s="9"/>
      <c r="CU914" s="9"/>
      <c r="CV914" s="9"/>
      <c r="CW914" s="9"/>
      <c r="CX914" s="9"/>
      <c r="CY914" s="9"/>
      <c r="CZ914" s="9"/>
      <c r="DA914" s="9"/>
      <c r="DB914" s="9"/>
      <c r="DC914" s="9"/>
      <c r="DD914" s="9"/>
      <c r="DE914" s="9"/>
      <c r="DF914" s="9"/>
      <c r="DG914" s="9"/>
      <c r="DH914" s="9"/>
      <c r="DI914" s="9"/>
      <c r="DJ914" s="9"/>
      <c r="DK914" s="9"/>
      <c r="DL914" s="9"/>
      <c r="DM914" s="9"/>
      <c r="DN914" s="9"/>
      <c r="DO914" s="9"/>
      <c r="DP914" s="9"/>
      <c r="DQ914" s="9"/>
      <c r="DR914" s="9"/>
      <c r="DS914" s="9"/>
      <c r="DT914" s="9"/>
      <c r="DU914" s="9"/>
      <c r="DV914" s="9"/>
      <c r="DW914" s="9"/>
      <c r="DX914" s="9"/>
      <c r="DY914" s="9"/>
      <c r="DZ914" s="9"/>
      <c r="EA914" s="9"/>
      <c r="EB914" s="9"/>
      <c r="EC914" s="9"/>
      <c r="ED914" s="9"/>
      <c r="EE914" s="9"/>
      <c r="EF914" s="9"/>
      <c r="EG914" s="9"/>
      <c r="EH914" s="9"/>
      <c r="EI914" s="9"/>
      <c r="EJ914" s="9"/>
      <c r="EK914" s="9"/>
      <c r="EL914" s="9"/>
      <c r="EM914" s="9"/>
      <c r="EN914" s="9"/>
      <c r="EO914" s="9"/>
      <c r="EP914" s="9"/>
      <c r="EQ914" s="9"/>
      <c r="ER914" s="9"/>
      <c r="ES914" s="9"/>
      <c r="ET914" s="9"/>
      <c r="EU914" s="9"/>
      <c r="EV914" s="9"/>
      <c r="EW914" s="9"/>
      <c r="EX914" s="9"/>
      <c r="EY914" s="9"/>
      <c r="EZ914" s="9"/>
      <c r="FA914" s="9"/>
      <c r="FB914" s="9"/>
      <c r="FC914" s="9"/>
      <c r="FD914" s="9"/>
      <c r="FE914" s="9"/>
      <c r="FF914" s="9"/>
      <c r="FG914" s="9"/>
      <c r="FH914" s="9"/>
      <c r="FI914" s="9"/>
      <c r="FJ914" s="9"/>
      <c r="FK914" s="9"/>
      <c r="FL914" s="9"/>
      <c r="FM914" s="9"/>
      <c r="FN914" s="9"/>
      <c r="FO914" s="9"/>
      <c r="FP914" s="9"/>
    </row>
    <row r="915" customFormat="false" ht="15" hidden="false" customHeight="false" outlineLevel="2" collapsed="false">
      <c r="B915" s="9" t="s">
        <v>873</v>
      </c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235" t="n">
        <f aca="false">VLOOKUP("C",$B$14:$C$18,2,FALSE())</f>
        <v>110</v>
      </c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9"/>
      <c r="BS915" s="9"/>
      <c r="BT915" s="9"/>
      <c r="BU915" s="9"/>
      <c r="BV915" s="9"/>
      <c r="BW915" s="9"/>
      <c r="BX915" s="9"/>
      <c r="BY915" s="9"/>
      <c r="BZ915" s="9"/>
      <c r="CA915" s="9"/>
      <c r="CB915" s="9"/>
      <c r="CC915" s="9"/>
      <c r="CD915" s="9"/>
      <c r="CE915" s="9"/>
      <c r="CF915" s="9"/>
      <c r="CG915" s="9"/>
      <c r="CH915" s="9"/>
      <c r="CI915" s="9"/>
      <c r="CJ915" s="9"/>
      <c r="CK915" s="9"/>
      <c r="CL915" s="9"/>
      <c r="CM915" s="9"/>
      <c r="CN915" s="9"/>
      <c r="CO915" s="9"/>
      <c r="CP915" s="9"/>
      <c r="CQ915" s="9"/>
      <c r="CR915" s="9"/>
      <c r="CS915" s="9"/>
      <c r="CT915" s="9"/>
      <c r="CU915" s="9"/>
      <c r="CV915" s="9"/>
      <c r="CW915" s="9"/>
      <c r="CX915" s="9"/>
      <c r="CY915" s="9"/>
      <c r="CZ915" s="9"/>
      <c r="DA915" s="9"/>
      <c r="DB915" s="9"/>
      <c r="DC915" s="9"/>
      <c r="DD915" s="9"/>
      <c r="DE915" s="9"/>
      <c r="DF915" s="9"/>
      <c r="DG915" s="9"/>
      <c r="DH915" s="9"/>
      <c r="DI915" s="9"/>
      <c r="DJ915" s="9"/>
      <c r="DK915" s="9"/>
      <c r="DL915" s="9"/>
      <c r="DM915" s="9"/>
      <c r="DN915" s="9"/>
      <c r="DO915" s="9"/>
      <c r="DP915" s="9"/>
      <c r="DQ915" s="9"/>
      <c r="DR915" s="9"/>
      <c r="DS915" s="9"/>
      <c r="DT915" s="9"/>
      <c r="DU915" s="9"/>
      <c r="DV915" s="9"/>
      <c r="DW915" s="9"/>
      <c r="DX915" s="9"/>
      <c r="DY915" s="9"/>
      <c r="DZ915" s="9"/>
      <c r="EA915" s="9"/>
      <c r="EB915" s="9"/>
      <c r="EC915" s="9"/>
      <c r="ED915" s="9"/>
      <c r="EE915" s="9"/>
      <c r="EF915" s="9"/>
      <c r="EG915" s="9"/>
      <c r="EH915" s="9"/>
      <c r="EI915" s="9"/>
      <c r="EJ915" s="9"/>
      <c r="EK915" s="9"/>
      <c r="EL915" s="9"/>
      <c r="EM915" s="9"/>
      <c r="EN915" s="9"/>
      <c r="EO915" s="9"/>
      <c r="EP915" s="9"/>
      <c r="EQ915" s="9"/>
      <c r="ER915" s="9"/>
      <c r="ES915" s="9"/>
      <c r="ET915" s="9"/>
      <c r="EU915" s="9"/>
      <c r="EV915" s="9"/>
      <c r="EW915" s="9"/>
      <c r="EX915" s="9"/>
      <c r="EY915" s="9"/>
      <c r="EZ915" s="9"/>
      <c r="FA915" s="9"/>
      <c r="FB915" s="9"/>
      <c r="FC915" s="9"/>
      <c r="FD915" s="9"/>
      <c r="FE915" s="9"/>
      <c r="FF915" s="9"/>
      <c r="FG915" s="9"/>
      <c r="FH915" s="9"/>
      <c r="FI915" s="9"/>
      <c r="FJ915" s="9"/>
      <c r="FK915" s="9"/>
      <c r="FL915" s="9"/>
      <c r="FM915" s="9"/>
      <c r="FN915" s="9"/>
      <c r="FO915" s="9"/>
      <c r="FP915" s="9"/>
    </row>
    <row r="916" customFormat="false" ht="15" hidden="false" customHeight="false" outlineLevel="2" collapsed="false">
      <c r="B916" s="9" t="s">
        <v>799</v>
      </c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63" t="n">
        <f aca="false">IF(AC$35&gt;=$AC$914,AC$35-$AC$914+1,0)</f>
        <v>0</v>
      </c>
      <c r="AD916" s="63" t="n">
        <f aca="false">IF(AD$35&gt;=$AC$914,AD$35-$AC$914+1,0)</f>
        <v>0</v>
      </c>
      <c r="AE916" s="63" t="n">
        <f aca="false">IF(AE$35&gt;=$AC$914,AE$35-$AC$914+1,0)</f>
        <v>0</v>
      </c>
      <c r="AF916" s="63" t="n">
        <f aca="false">IF(AF$35&gt;=$AC$914,AF$35-$AC$914+1,0)</f>
        <v>0</v>
      </c>
      <c r="AG916" s="63" t="n">
        <f aca="false">IF(AG$35&gt;=$AC$914,AG$35-$AC$914+1,0)</f>
        <v>0</v>
      </c>
      <c r="AH916" s="63" t="n">
        <f aca="false">IF(AH$35&gt;=$AC$914,AH$35-$AC$914+1,0)</f>
        <v>0</v>
      </c>
      <c r="AI916" s="63" t="n">
        <f aca="false">IF(AI$35&gt;=$AC$914,AI$35-$AC$914+1,0)</f>
        <v>0</v>
      </c>
      <c r="AJ916" s="63" t="n">
        <f aca="false">IF(AJ$35&gt;=$AC$914,AJ$35-$AC$914+1,0)</f>
        <v>0</v>
      </c>
      <c r="AK916" s="63" t="n">
        <f aca="false">IF(AK$35&gt;=$AC$914,AK$35-$AC$914+1,0)</f>
        <v>0</v>
      </c>
      <c r="AL916" s="63" t="n">
        <f aca="false">IF(AL$35&gt;=$AC$914,AL$35-$AC$914+1,0)</f>
        <v>0</v>
      </c>
      <c r="AM916" s="63" t="n">
        <f aca="false">IF(AM$35&gt;=$AC$914,AM$35-$AC$914+1,0)</f>
        <v>0</v>
      </c>
      <c r="AN916" s="63" t="n">
        <f aca="false">IF(AN$35&gt;=$AC$914,AN$35-$AC$914+1,0)</f>
        <v>0</v>
      </c>
      <c r="AO916" s="63" t="n">
        <f aca="false">IF(AO$35&gt;=$AC$914,AO$35-$AC$914+1,0)</f>
        <v>0</v>
      </c>
      <c r="AP916" s="63" t="n">
        <f aca="false">IF(AP$35&gt;=$AC$914,AP$35-$AC$914+1,0)</f>
        <v>0</v>
      </c>
      <c r="AQ916" s="63" t="n">
        <f aca="false">IF(AQ$35&gt;=$AC$914,AQ$35-$AC$914+1,0)</f>
        <v>0</v>
      </c>
      <c r="AR916" s="63" t="n">
        <f aca="false">IF(AR$35&gt;=$AC$914,AR$35-$AC$914+1,0)</f>
        <v>0</v>
      </c>
      <c r="AS916" s="63" t="n">
        <f aca="false">IF(AS$35&gt;=$AC$914,AS$35-$AC$914+1,0)</f>
        <v>0</v>
      </c>
      <c r="AT916" s="63" t="n">
        <f aca="false">IF(AT$35&gt;=$AC$914,AT$35-$AC$914+1,0)</f>
        <v>0</v>
      </c>
      <c r="AU916" s="63" t="n">
        <f aca="false">IF(AU$35&gt;=$AC$914,AU$35-$AC$914+1,0)</f>
        <v>0</v>
      </c>
      <c r="AV916" s="63" t="n">
        <f aca="false">IF(AV$35&gt;=$AC$914,AV$35-$AC$914+1,0)</f>
        <v>0</v>
      </c>
      <c r="AW916" s="63" t="n">
        <f aca="false">IF(AW$35&gt;=$AC$914,AW$35-$AC$914+1,0)</f>
        <v>0</v>
      </c>
      <c r="AX916" s="63" t="n">
        <f aca="false">IF(AX$35&gt;=$AC$914,AX$35-$AC$914+1,0)</f>
        <v>0</v>
      </c>
      <c r="AY916" s="63" t="n">
        <f aca="false">IF(AY$35&gt;=$AC$914,AY$35-$AC$914+1,0)</f>
        <v>0</v>
      </c>
      <c r="AZ916" s="63" t="n">
        <f aca="false">IF(AZ$35&gt;=$AC$914,AZ$35-$AC$914+1,0)</f>
        <v>0</v>
      </c>
      <c r="BA916" s="63" t="n">
        <f aca="false">IF(BA$35&gt;=$AC$914,BA$35-$AC$914+1,0)</f>
        <v>0</v>
      </c>
      <c r="BB916" s="63" t="n">
        <f aca="false">IF(BB$35&gt;=$AC$914,BB$35-$AC$914+1,0)</f>
        <v>0</v>
      </c>
      <c r="BC916" s="63" t="n">
        <f aca="false">IF(BC$35&gt;=$AC$914,BC$35-$AC$914+1,0)</f>
        <v>0</v>
      </c>
      <c r="BD916" s="63" t="n">
        <f aca="false">IF(BD$35&gt;=$AC$914,BD$35-$AC$914+1,0)</f>
        <v>0</v>
      </c>
      <c r="BE916" s="63" t="n">
        <f aca="false">IF(BE$35&gt;=$AC$914,BE$35-$AC$914+1,0)</f>
        <v>0</v>
      </c>
      <c r="BF916" s="63" t="n">
        <f aca="false">IF(BF$35&gt;=$AC$914,BF$35-$AC$914+1,0)</f>
        <v>0</v>
      </c>
      <c r="BG916" s="63" t="n">
        <f aca="false">IF(BG$35&gt;=$AC$914,BG$35-$AC$914+1,0)</f>
        <v>0</v>
      </c>
      <c r="BH916" s="63" t="n">
        <f aca="false">IF(BH$35&gt;=$AC$914,BH$35-$AC$914+1,0)</f>
        <v>0</v>
      </c>
      <c r="BI916" s="63" t="n">
        <f aca="false">IF(BI$35&gt;=$AC$914,BI$35-$AC$914+1,0)</f>
        <v>0</v>
      </c>
      <c r="BJ916" s="63" t="n">
        <f aca="false">IF(BJ$35&gt;=$AC$914,BJ$35-$AC$914+1,0)</f>
        <v>0</v>
      </c>
      <c r="BK916" s="63" t="n">
        <f aca="false">IF(BK$35&gt;=$AC$914,BK$35-$AC$914+1,0)</f>
        <v>0</v>
      </c>
      <c r="BL916" s="63" t="n">
        <f aca="false">IF(BL$35&gt;=$AC$914,BL$35-$AC$914+1,0)</f>
        <v>0</v>
      </c>
      <c r="BM916" s="63" t="n">
        <f aca="false">IF(BM$35&gt;=$AC$914,BM$35-$AC$914+1,0)</f>
        <v>0</v>
      </c>
      <c r="BN916" s="63" t="n">
        <f aca="false">IF(BN$35&gt;=$AC$914,BN$35-$AC$914+1,0)</f>
        <v>0</v>
      </c>
      <c r="BO916" s="63" t="n">
        <f aca="false">IF(BO$35&gt;=$AC$914,BO$35-$AC$914+1,0)</f>
        <v>0</v>
      </c>
      <c r="BP916" s="63" t="n">
        <f aca="false">IF(BP$35&gt;=$AC$914,BP$35-$AC$914+1,0)</f>
        <v>0</v>
      </c>
      <c r="BQ916" s="63" t="n">
        <f aca="false">IF(BQ$35&gt;=$AC$914,BQ$35-$AC$914+1,0)</f>
        <v>0</v>
      </c>
      <c r="BR916" s="63" t="n">
        <f aca="false">IF(BR$35&gt;=$AC$914,BR$35-$AC$914+1,0)</f>
        <v>0</v>
      </c>
      <c r="BS916" s="63" t="n">
        <f aca="false">IF(BS$35&gt;=$AC$914,BS$35-$AC$914+1,0)</f>
        <v>0</v>
      </c>
      <c r="BT916" s="63" t="n">
        <f aca="false">IF(BT$35&gt;=$AC$914,BT$35-$AC$914+1,0)</f>
        <v>0</v>
      </c>
      <c r="BU916" s="63" t="n">
        <f aca="false">IF(BU$35&gt;=$AC$914,BU$35-$AC$914+1,0)</f>
        <v>0</v>
      </c>
      <c r="BV916" s="63" t="n">
        <f aca="false">IF(BV$35&gt;=$AC$914,BV$35-$AC$914+1,0)</f>
        <v>0</v>
      </c>
      <c r="BW916" s="63" t="n">
        <f aca="false">IF(BW$35&gt;=$AC$914,BW$35-$AC$914+1,0)</f>
        <v>0</v>
      </c>
      <c r="BX916" s="63" t="n">
        <f aca="false">IF(BX$35&gt;=$AC$914,BX$35-$AC$914+1,0)</f>
        <v>0</v>
      </c>
      <c r="BY916" s="63" t="n">
        <f aca="false">IF(BY$35&gt;=$AC$914,BY$35-$AC$914+1,0)</f>
        <v>0</v>
      </c>
      <c r="BZ916" s="63" t="n">
        <f aca="false">IF(BZ$35&gt;=$AC$914,BZ$35-$AC$914+1,0)</f>
        <v>0</v>
      </c>
      <c r="CA916" s="63" t="n">
        <f aca="false">IF(CA$35&gt;=$AC$914,CA$35-$AC$914+1,0)</f>
        <v>0</v>
      </c>
      <c r="CB916" s="63" t="n">
        <f aca="false">IF(CB$35&gt;=$AC$914,CB$35-$AC$914+1,0)</f>
        <v>0</v>
      </c>
      <c r="CC916" s="63" t="n">
        <f aca="false">IF(CC$35&gt;=$AC$914,CC$35-$AC$914+1,0)</f>
        <v>0</v>
      </c>
      <c r="CD916" s="63" t="n">
        <f aca="false">IF(CD$35&gt;=$AC$914,CD$35-$AC$914+1,0)</f>
        <v>0</v>
      </c>
      <c r="CE916" s="63" t="n">
        <f aca="false">IF(CE$35&gt;=$AC$914,CE$35-$AC$914+1,0)</f>
        <v>0</v>
      </c>
      <c r="CF916" s="63" t="n">
        <f aca="false">IF(CF$35&gt;=$AC$914,CF$35-$AC$914+1,0)</f>
        <v>0</v>
      </c>
      <c r="CG916" s="63" t="n">
        <f aca="false">IF(CG$35&gt;=$AC$914,CG$35-$AC$914+1,0)</f>
        <v>0</v>
      </c>
      <c r="CH916" s="63" t="n">
        <f aca="false">IF(CH$35&gt;=$AC$914,CH$35-$AC$914+1,0)</f>
        <v>0</v>
      </c>
      <c r="CI916" s="63" t="n">
        <f aca="false">IF(CI$35&gt;=$AC$914,CI$35-$AC$914+1,0)</f>
        <v>0</v>
      </c>
      <c r="CJ916" s="63" t="n">
        <f aca="false">IF(CJ$35&gt;=$AC$914,CJ$35-$AC$914+1,0)</f>
        <v>0</v>
      </c>
      <c r="CK916" s="63" t="n">
        <f aca="false">IF(CK$35&gt;=$AC$914,CK$35-$AC$914+1,0)</f>
        <v>0</v>
      </c>
      <c r="CL916" s="63" t="n">
        <f aca="false">IF(CL$35&gt;=$AC$914,CL$35-$AC$914+1,0)</f>
        <v>0</v>
      </c>
      <c r="CM916" s="63" t="n">
        <f aca="false">IF(CM$35&gt;=$AC$914,CM$35-$AC$914+1,0)</f>
        <v>0</v>
      </c>
      <c r="CN916" s="63" t="n">
        <f aca="false">IF(CN$35&gt;=$AC$914,CN$35-$AC$914+1,0)</f>
        <v>0</v>
      </c>
      <c r="CO916" s="63" t="n">
        <f aca="false">IF(CO$35&gt;=$AC$914,CO$35-$AC$914+1,0)</f>
        <v>0</v>
      </c>
      <c r="CP916" s="63" t="n">
        <f aca="false">IF(CP$35&gt;=$AC$914,CP$35-$AC$914+1,0)</f>
        <v>0</v>
      </c>
      <c r="CQ916" s="63" t="n">
        <f aca="false">IF(CQ$35&gt;=$AC$914,CQ$35-$AC$914+1,0)</f>
        <v>0</v>
      </c>
      <c r="CR916" s="63" t="n">
        <f aca="false">IF(CR$35&gt;=$AC$914,CR$35-$AC$914+1,0)</f>
        <v>0</v>
      </c>
      <c r="CS916" s="63" t="n">
        <f aca="false">IF(CS$35&gt;=$AC$914,CS$35-$AC$914+1,0)</f>
        <v>0</v>
      </c>
      <c r="CT916" s="63" t="n">
        <f aca="false">IF(CT$35&gt;=$AC$914,CT$35-$AC$914+1,0)</f>
        <v>0</v>
      </c>
      <c r="CU916" s="63" t="n">
        <f aca="false">IF(CU$35&gt;=$AC$914,CU$35-$AC$914+1,0)</f>
        <v>0</v>
      </c>
      <c r="CV916" s="63" t="n">
        <f aca="false">IF(CV$35&gt;=$AC$914,CV$35-$AC$914+1,0)</f>
        <v>0</v>
      </c>
      <c r="CW916" s="63" t="n">
        <f aca="false">IF(CW$35&gt;=$AC$914,CW$35-$AC$914+1,0)</f>
        <v>0</v>
      </c>
      <c r="CX916" s="63" t="n">
        <f aca="false">IF(CX$35&gt;=$AC$914,CX$35-$AC$914+1,0)</f>
        <v>0</v>
      </c>
      <c r="CY916" s="63" t="n">
        <f aca="false">IF(CY$35&gt;=$AC$914,CY$35-$AC$914+1,0)</f>
        <v>0</v>
      </c>
      <c r="CZ916" s="63" t="n">
        <f aca="false">IF(CZ$35&gt;=$AC$914,CZ$35-$AC$914+1,0)</f>
        <v>0</v>
      </c>
      <c r="DA916" s="63" t="n">
        <f aca="false">IF(DA$35&gt;=$AC$914,DA$35-$AC$914+1,0)</f>
        <v>0</v>
      </c>
      <c r="DB916" s="63" t="n">
        <f aca="false">IF(DB$35&gt;=$AC$914,DB$35-$AC$914+1,0)</f>
        <v>0</v>
      </c>
      <c r="DC916" s="63" t="n">
        <f aca="false">IF(DC$35&gt;=$AC$914,DC$35-$AC$914+1,0)</f>
        <v>0</v>
      </c>
      <c r="DD916" s="63" t="n">
        <f aca="false">IF(DD$35&gt;=$AC$914,DD$35-$AC$914+1,0)</f>
        <v>0</v>
      </c>
      <c r="DE916" s="63" t="n">
        <f aca="false">IF(DE$35&gt;=$AC$914,DE$35-$AC$914+1,0)</f>
        <v>0</v>
      </c>
      <c r="DF916" s="63" t="n">
        <f aca="false">IF(DF$35&gt;=$AC$914,DF$35-$AC$914+1,0)</f>
        <v>0</v>
      </c>
      <c r="DG916" s="63" t="n">
        <f aca="false">IF(DG$35&gt;=$AC$914,DG$35-$AC$914+1,0)</f>
        <v>0</v>
      </c>
      <c r="DH916" s="63" t="n">
        <f aca="false">IF(DH$35&gt;=$AC$914,DH$35-$AC$914+1,0)</f>
        <v>0</v>
      </c>
      <c r="DI916" s="63" t="n">
        <f aca="false">IF(DI$35&gt;=$AC$914,DI$35-$AC$914+1,0)</f>
        <v>0</v>
      </c>
      <c r="DJ916" s="63" t="n">
        <f aca="false">IF(DJ$35&gt;=$AC$914,DJ$35-$AC$914+1,0)</f>
        <v>0</v>
      </c>
      <c r="DK916" s="63" t="n">
        <f aca="false">IF(DK$35&gt;=$AC$914,DK$35-$AC$914+1,0)</f>
        <v>0</v>
      </c>
      <c r="DL916" s="63" t="n">
        <f aca="false">IF(DL$35&gt;=$AC$914,DL$35-$AC$914+1,0)</f>
        <v>0</v>
      </c>
      <c r="DM916" s="63" t="n">
        <f aca="false">IF(DM$35&gt;=$AC$914,DM$35-$AC$914+1,0)</f>
        <v>0</v>
      </c>
      <c r="DN916" s="63" t="n">
        <f aca="false">IF(DN$35&gt;=$AC$914,DN$35-$AC$914+1,0)</f>
        <v>0</v>
      </c>
      <c r="DO916" s="63" t="n">
        <f aca="false">IF(DO$35&gt;=$AC$914,DO$35-$AC$914+1,0)</f>
        <v>0</v>
      </c>
      <c r="DP916" s="63" t="n">
        <f aca="false">IF(DP$35&gt;=$AC$914,DP$35-$AC$914+1,0)</f>
        <v>0</v>
      </c>
      <c r="DQ916" s="63" t="n">
        <f aca="false">IF(DQ$35&gt;=$AC$914,DQ$35-$AC$914+1,0)</f>
        <v>0</v>
      </c>
      <c r="DR916" s="63" t="n">
        <f aca="false">IF(DR$35&gt;=$AC$914,DR$35-$AC$914+1,0)</f>
        <v>0</v>
      </c>
      <c r="DS916" s="63" t="n">
        <f aca="false">IF(DS$35&gt;=$AC$914,DS$35-$AC$914+1,0)</f>
        <v>0</v>
      </c>
      <c r="DT916" s="63" t="n">
        <f aca="false">IF(DT$35&gt;=$AC$914,DT$35-$AC$914+1,0)</f>
        <v>0</v>
      </c>
      <c r="DU916" s="63" t="n">
        <f aca="false">IF(DU$35&gt;=$AC$914,DU$35-$AC$914+1,0)</f>
        <v>0</v>
      </c>
      <c r="DV916" s="63" t="n">
        <f aca="false">IF(DV$35&gt;=$AC$914,DV$35-$AC$914+1,0)</f>
        <v>0</v>
      </c>
      <c r="DW916" s="63" t="n">
        <f aca="false">IF(DW$35&gt;=$AC$914,DW$35-$AC$914+1,0)</f>
        <v>0</v>
      </c>
      <c r="DX916" s="63" t="n">
        <f aca="false">IF(DX$35&gt;=$AC$914,DX$35-$AC$914+1,0)</f>
        <v>0</v>
      </c>
      <c r="DY916" s="63" t="n">
        <f aca="false">IF(DY$35&gt;=$AC$914,DY$35-$AC$914+1,0)</f>
        <v>0</v>
      </c>
      <c r="DZ916" s="63" t="n">
        <f aca="false">IF(DZ$35&gt;=$AC$914,DZ$35-$AC$914+1,0)</f>
        <v>0</v>
      </c>
      <c r="EA916" s="63" t="n">
        <f aca="false">IF(EA$35&gt;=$AC$914,EA$35-$AC$914+1,0)</f>
        <v>0</v>
      </c>
      <c r="EB916" s="63" t="n">
        <f aca="false">IF(EB$35&gt;=$AC$914,EB$35-$AC$914+1,0)</f>
        <v>0</v>
      </c>
      <c r="EC916" s="63" t="n">
        <f aca="false">IF(EC$35&gt;=$AC$914,EC$35-$AC$914+1,0)</f>
        <v>0</v>
      </c>
      <c r="ED916" s="63" t="n">
        <f aca="false">IF(ED$35&gt;=$AC$914,ED$35-$AC$914+1,0)</f>
        <v>0</v>
      </c>
      <c r="EE916" s="63" t="n">
        <f aca="false">IF(EE$35&gt;=$AC$914,EE$35-$AC$914+1,0)</f>
        <v>0</v>
      </c>
      <c r="EF916" s="63" t="n">
        <f aca="false">IF(EF$35&gt;=$AC$914,EF$35-$AC$914+1,0)</f>
        <v>0</v>
      </c>
      <c r="EG916" s="63" t="n">
        <f aca="false">IF(EG$35&gt;=$AC$914,EG$35-$AC$914+1,0)</f>
        <v>0</v>
      </c>
      <c r="EH916" s="63" t="n">
        <f aca="false">IF(EH$35&gt;=$AC$914,EH$35-$AC$914+1,0)</f>
        <v>0</v>
      </c>
      <c r="EI916" s="63" t="n">
        <f aca="false">IF(EI$35&gt;=$AC$914,EI$35-$AC$914+1,0)</f>
        <v>0</v>
      </c>
      <c r="EJ916" s="63" t="n">
        <f aca="false">IF(EJ$35&gt;=$AC$914,EJ$35-$AC$914+1,0)</f>
        <v>0</v>
      </c>
      <c r="EK916" s="63" t="n">
        <f aca="false">IF(EK$35&gt;=$AC$914,EK$35-$AC$914+1,0)</f>
        <v>0</v>
      </c>
      <c r="EL916" s="63" t="n">
        <f aca="false">IF(EL$35&gt;=$AC$914,EL$35-$AC$914+1,0)</f>
        <v>0</v>
      </c>
      <c r="EM916" s="63" t="n">
        <f aca="false">IF(EM$35&gt;=$AC$914,EM$35-$AC$914+1,0)</f>
        <v>0</v>
      </c>
      <c r="EN916" s="63" t="n">
        <f aca="false">IF(EN$35&gt;=$AC$914,EN$35-$AC$914+1,0)</f>
        <v>0</v>
      </c>
      <c r="EO916" s="63" t="n">
        <f aca="false">IF(EO$35&gt;=$AC$914,EO$35-$AC$914+1,0)</f>
        <v>0</v>
      </c>
      <c r="EP916" s="63" t="n">
        <f aca="false">IF(EP$35&gt;=$AC$914,EP$35-$AC$914+1,0)</f>
        <v>0</v>
      </c>
      <c r="EQ916" s="63" t="n">
        <f aca="false">IF(EQ$35&gt;=$AC$914,EQ$35-$AC$914+1,0)</f>
        <v>0</v>
      </c>
      <c r="ER916" s="63" t="n">
        <f aca="false">IF(ER$35&gt;=$AC$914,ER$35-$AC$914+1,0)</f>
        <v>0</v>
      </c>
      <c r="ES916" s="9" t="n">
        <f aca="false">IF(ES$35&gt;=$AC$914,ES$35-$AC$914+1,0)</f>
        <v>0</v>
      </c>
      <c r="ET916" s="9" t="n">
        <f aca="false">IF(ET$35&gt;=$AC$914,ET$35-$AC$914+1,0)</f>
        <v>0</v>
      </c>
      <c r="EU916" s="9" t="n">
        <f aca="false">IF(EU$35&gt;=$AC$914,EU$35-$AC$914+1,0)</f>
        <v>0</v>
      </c>
      <c r="EV916" s="9" t="n">
        <f aca="false">IF(EV$35&gt;=$AC$914,EV$35-$AC$914+1,0)</f>
        <v>0</v>
      </c>
      <c r="EW916" s="9" t="n">
        <f aca="false">IF(EW$35&gt;=$AC$914,EW$35-$AC$914+1,0)</f>
        <v>0</v>
      </c>
      <c r="EX916" s="9" t="n">
        <f aca="false">IF(EX$35&gt;=$AC$914,EX$35-$AC$914+1,0)</f>
        <v>0</v>
      </c>
      <c r="EY916" s="9" t="n">
        <f aca="false">IF(EY$35&gt;=$AC$914,EY$35-$AC$914+1,0)</f>
        <v>0</v>
      </c>
      <c r="EZ916" s="9" t="n">
        <f aca="false">IF(EZ$35&gt;=$AC$914,EZ$35-$AC$914+1,0)</f>
        <v>0</v>
      </c>
      <c r="FA916" s="9" t="n">
        <f aca="false">IF(FA$35&gt;=$AC$914,FA$35-$AC$914+1,0)</f>
        <v>0</v>
      </c>
      <c r="FB916" s="9" t="n">
        <f aca="false">IF(FB$35&gt;=$AC$914,FB$35-$AC$914+1,0)</f>
        <v>0</v>
      </c>
      <c r="FC916" s="9" t="n">
        <f aca="false">IF(FC$35&gt;=$AC$914,FC$35-$AC$914+1,0)</f>
        <v>0</v>
      </c>
      <c r="FD916" s="9" t="n">
        <f aca="false">IF(FD$35&gt;=$AC$914,FD$35-$AC$914+1,0)</f>
        <v>0</v>
      </c>
      <c r="FE916" s="9" t="n">
        <f aca="false">IF(FE$35&gt;=$AC$914,FE$35-$AC$914+1,0)</f>
        <v>0</v>
      </c>
      <c r="FF916" s="9" t="n">
        <f aca="false">IF(FF$35&gt;=$AC$914,FF$35-$AC$914+1,0)</f>
        <v>0</v>
      </c>
      <c r="FG916" s="9" t="n">
        <f aca="false">IF(FG$35&gt;=$AC$914,FG$35-$AC$914+1,0)</f>
        <v>0</v>
      </c>
      <c r="FH916" s="9" t="n">
        <f aca="false">IF(FH$35&gt;=$AC$914,FH$35-$AC$914+1,0)</f>
        <v>0</v>
      </c>
      <c r="FI916" s="9" t="n">
        <f aca="false">IF(FI$35&gt;=$AC$914,FI$35-$AC$914+1,0)</f>
        <v>0</v>
      </c>
      <c r="FJ916" s="9" t="n">
        <f aca="false">IF(FJ$35&gt;=$AC$914,FJ$35-$AC$914+1,0)</f>
        <v>0</v>
      </c>
      <c r="FK916" s="9" t="n">
        <f aca="false">IF(FK$35&gt;=$AC$914,FK$35-$AC$914+1,0)</f>
        <v>0</v>
      </c>
      <c r="FL916" s="9" t="n">
        <f aca="false">IF(FL$35&gt;=$AC$914,FL$35-$AC$914+1,0)</f>
        <v>0</v>
      </c>
      <c r="FM916" s="9" t="n">
        <f aca="false">IF(FM$35&gt;=$AC$914,FM$35-$AC$914+1,0)</f>
        <v>0</v>
      </c>
      <c r="FN916" s="9" t="n">
        <f aca="false">IF(FN$35&gt;=$AC$914,FN$35-$AC$914+1,0)</f>
        <v>0</v>
      </c>
      <c r="FO916" s="9" t="n">
        <f aca="false">IF(FO$35&gt;=$AC$914,FO$35-$AC$914+1,0)</f>
        <v>0</v>
      </c>
      <c r="FP916" s="9" t="n">
        <f aca="false">IF(FP$35&gt;=$AC$914,FP$35-$AC$914+1,0)</f>
        <v>1</v>
      </c>
    </row>
    <row r="917" customFormat="false" ht="15" hidden="false" customHeight="false" outlineLevel="2" collapsed="false">
      <c r="B917" s="9" t="s">
        <v>874</v>
      </c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236" t="n">
        <f aca="false" t="array" ref="AC917:AC917">IF(AC916=0,0,IF(AC916&gt;=36,$AL$23,INDEX($C$23:$AL$23,AC916)))</f>
        <v>0</v>
      </c>
      <c r="AD917" s="236" t="n">
        <f aca="false" t="array" ref="AD917:AD917">IF(AD916=0,0,IF(AD916&gt;=36,$AL$23,INDEX($C$23:$AL$23,AD916)))</f>
        <v>0</v>
      </c>
      <c r="AE917" s="236" t="n">
        <f aca="false" t="array" ref="AE917:AE917">IF(AE916=0,0,IF(AE916&gt;=36,$AL$23,INDEX($C$23:$AL$23,AE916)))</f>
        <v>0</v>
      </c>
      <c r="AF917" s="236" t="n">
        <f aca="false" t="array" ref="AF917:AF917">IF(AF916=0,0,IF(AF916&gt;=36,$AL$23,INDEX($C$23:$AL$23,AF916)))</f>
        <v>0</v>
      </c>
      <c r="AG917" s="236" t="n">
        <f aca="false" t="array" ref="AG917:AG917">IF(AG916=0,0,IF(AG916&gt;=36,$AL$23,INDEX($C$23:$AL$23,AG916)))</f>
        <v>0</v>
      </c>
      <c r="AH917" s="236" t="n">
        <f aca="false" t="array" ref="AH917:AH917">IF(AH916=0,0,IF(AH916&gt;=36,$AL$23,INDEX($C$23:$AL$23,AH916)))</f>
        <v>0</v>
      </c>
      <c r="AI917" s="236" t="n">
        <f aca="false" t="array" ref="AI917:AI917">IF(AI916=0,0,IF(AI916&gt;=36,$AL$23,INDEX($C$23:$AL$23,AI916)))</f>
        <v>0</v>
      </c>
      <c r="AJ917" s="236" t="n">
        <f aca="false" t="array" ref="AJ917:AJ917">IF(AJ916=0,0,IF(AJ916&gt;=36,$AL$23,INDEX($C$23:$AL$23,AJ916)))</f>
        <v>0</v>
      </c>
      <c r="AK917" s="236" t="n">
        <f aca="false" t="array" ref="AK917:AK917">IF(AK916=0,0,IF(AK916&gt;=36,$AL$23,INDEX($C$23:$AL$23,AK916)))</f>
        <v>0</v>
      </c>
      <c r="AL917" s="236" t="n">
        <f aca="false" t="array" ref="AL917:AL917">IF(AL916=0,0,IF(AL916&gt;=36,$AL$23,INDEX($C$23:$AL$23,AL916)))</f>
        <v>0</v>
      </c>
      <c r="AM917" s="236" t="n">
        <f aca="false" t="array" ref="AM917:AM917">IF(AM916=0,0,IF(AM916&gt;=36,$AL$23,INDEX($C$23:$AL$23,AM916)))</f>
        <v>0</v>
      </c>
      <c r="AN917" s="236" t="n">
        <f aca="false" t="array" ref="AN917:AN917">IF(AN916=0,0,IF(AN916&gt;=36,$AL$23,INDEX($C$23:$AL$23,AN916)))</f>
        <v>0</v>
      </c>
      <c r="AO917" s="236" t="n">
        <f aca="false" t="array" ref="AO917:AO917">IF(AO916=0,0,IF(AO916&gt;=36,$AL$23,INDEX($C$23:$AL$23,AO916)))</f>
        <v>0</v>
      </c>
      <c r="AP917" s="236" t="n">
        <f aca="false" t="array" ref="AP917:AP917">IF(AP916=0,0,IF(AP916&gt;=36,$AL$23,INDEX($C$23:$AL$23,AP916)))</f>
        <v>0</v>
      </c>
      <c r="AQ917" s="236" t="n">
        <f aca="false" t="array" ref="AQ917:AQ917">IF(AQ916=0,0,IF(AQ916&gt;=36,$AL$23,INDEX($C$23:$AL$23,AQ916)))</f>
        <v>0</v>
      </c>
      <c r="AR917" s="236" t="n">
        <f aca="false" t="array" ref="AR917:AR917">IF(AR916=0,0,IF(AR916&gt;=36,$AL$23,INDEX($C$23:$AL$23,AR916)))</f>
        <v>0</v>
      </c>
      <c r="AS917" s="236" t="n">
        <f aca="false" t="array" ref="AS917:AS917">IF(AS916=0,0,IF(AS916&gt;=36,$AL$23,INDEX($C$23:$AL$23,AS916)))</f>
        <v>0</v>
      </c>
      <c r="AT917" s="236" t="n">
        <f aca="false" t="array" ref="AT917:AT917">IF(AT916=0,0,IF(AT916&gt;=36,$AL$23,INDEX($C$23:$AL$23,AT916)))</f>
        <v>0</v>
      </c>
      <c r="AU917" s="236" t="n">
        <f aca="false" t="array" ref="AU917:AU917">IF(AU916=0,0,IF(AU916&gt;=36,$AL$23,INDEX($C$23:$AL$23,AU916)))</f>
        <v>0</v>
      </c>
      <c r="AV917" s="236" t="n">
        <f aca="false" t="array" ref="AV917:AV917">IF(AV916=0,0,IF(AV916&gt;=36,$AL$23,INDEX($C$23:$AL$23,AV916)))</f>
        <v>0</v>
      </c>
      <c r="AW917" s="236" t="n">
        <f aca="false" t="array" ref="AW917:AW917">IF(AW916=0,0,IF(AW916&gt;=36,$AL$23,INDEX($C$23:$AL$23,AW916)))</f>
        <v>0</v>
      </c>
      <c r="AX917" s="236" t="n">
        <f aca="false" t="array" ref="AX917:AX917">IF(AX916=0,0,IF(AX916&gt;=36,$AL$23,INDEX($C$23:$AL$23,AX916)))</f>
        <v>0</v>
      </c>
      <c r="AY917" s="236" t="n">
        <f aca="false" t="array" ref="AY917:AY917">IF(AY916=0,0,IF(AY916&gt;=36,$AL$23,INDEX($C$23:$AL$23,AY916)))</f>
        <v>0</v>
      </c>
      <c r="AZ917" s="236" t="n">
        <f aca="false" t="array" ref="AZ917:AZ917">IF(AZ916=0,0,IF(AZ916&gt;=36,$AL$23,INDEX($C$23:$AL$23,AZ916)))</f>
        <v>0</v>
      </c>
      <c r="BA917" s="236" t="n">
        <f aca="false" t="array" ref="BA917:BA917">IF(BA916=0,0,IF(BA916&gt;=36,$AL$23,INDEX($C$23:$AL$23,BA916)))</f>
        <v>0</v>
      </c>
      <c r="BB917" s="236" t="n">
        <f aca="false" t="array" ref="BB917:BB917">IF(BB916=0,0,IF(BB916&gt;=36,$AL$23,INDEX($C$23:$AL$23,BB916)))</f>
        <v>0</v>
      </c>
      <c r="BC917" s="236" t="n">
        <f aca="false" t="array" ref="BC917:BC917">IF(BC916=0,0,IF(BC916&gt;=36,$AL$23,INDEX($C$23:$AL$23,BC916)))</f>
        <v>0</v>
      </c>
      <c r="BD917" s="236" t="n">
        <f aca="false" t="array" ref="BD917:BD917">IF(BD916=0,0,IF(BD916&gt;=36,$AL$23,INDEX($C$23:$AL$23,BD916)))</f>
        <v>0</v>
      </c>
      <c r="BE917" s="236" t="n">
        <f aca="false" t="array" ref="BE917:BE917">IF(BE916=0,0,IF(BE916&gt;=36,$AL$23,INDEX($C$23:$AL$23,BE916)))</f>
        <v>0</v>
      </c>
      <c r="BF917" s="236" t="n">
        <f aca="false" t="array" ref="BF917:BF917">IF(BF916=0,0,IF(BF916&gt;=36,$AL$23,INDEX($C$23:$AL$23,BF916)))</f>
        <v>0</v>
      </c>
      <c r="BG917" s="236" t="n">
        <f aca="false" t="array" ref="BG917:BG917">IF(BG916=0,0,IF(BG916&gt;=36,$AL$23,INDEX($C$23:$AL$23,BG916)))</f>
        <v>0</v>
      </c>
      <c r="BH917" s="236" t="n">
        <f aca="false" t="array" ref="BH917:BH917">IF(BH916=0,0,IF(BH916&gt;=36,$AL$23,INDEX($C$23:$AL$23,BH916)))</f>
        <v>0</v>
      </c>
      <c r="BI917" s="236" t="n">
        <f aca="false" t="array" ref="BI917:BI917">IF(BI916=0,0,IF(BI916&gt;=36,$AL$23,INDEX($C$23:$AL$23,BI916)))</f>
        <v>0</v>
      </c>
      <c r="BJ917" s="236" t="n">
        <f aca="false" t="array" ref="BJ917:BJ917">IF(BJ916=0,0,IF(BJ916&gt;=36,$AL$23,INDEX($C$23:$AL$23,BJ916)))</f>
        <v>0</v>
      </c>
      <c r="BK917" s="236" t="n">
        <f aca="false" t="array" ref="BK917:BK917">IF(BK916=0,0,IF(BK916&gt;=36,$AL$23,INDEX($C$23:$AL$23,BK916)))</f>
        <v>0</v>
      </c>
      <c r="BL917" s="236" t="n">
        <f aca="false" t="array" ref="BL917:BL917">IF(BL916=0,0,IF(BL916&gt;=36,$AL$23,INDEX($C$23:$AL$23,BL916)))</f>
        <v>0</v>
      </c>
      <c r="BM917" s="236" t="n">
        <f aca="false" t="array" ref="BM917:BM917">IF(BM916=0,0,IF(BM916&gt;=36,$AL$23,INDEX($C$23:$AL$23,BM916)))</f>
        <v>0</v>
      </c>
      <c r="BN917" s="236" t="n">
        <f aca="false" t="array" ref="BN917:BN917">IF(BN916=0,0,IF(BN916&gt;=36,$AL$23,INDEX($C$23:$AL$23,BN916)))</f>
        <v>0</v>
      </c>
      <c r="BO917" s="236" t="n">
        <f aca="false" t="array" ref="BO917:BO917">IF(BO916=0,0,IF(BO916&gt;=36,$AL$23,INDEX($C$23:$AL$23,BO916)))</f>
        <v>0</v>
      </c>
      <c r="BP917" s="236" t="n">
        <f aca="false" t="array" ref="BP917:BP917">IF(BP916=0,0,IF(BP916&gt;=36,$AL$23,INDEX($C$23:$AL$23,BP916)))</f>
        <v>0</v>
      </c>
      <c r="BQ917" s="236" t="n">
        <f aca="false" t="array" ref="BQ917:BQ917">IF(BQ916=0,0,IF(BQ916&gt;=36,$AL$23,INDEX($C$23:$AL$23,BQ916)))</f>
        <v>0</v>
      </c>
      <c r="BR917" s="236" t="n">
        <f aca="false" t="array" ref="BR917:BR917">IF(BR916=0,0,IF(BR916&gt;=36,$AL$23,INDEX($C$23:$AL$23,BR916)))</f>
        <v>0</v>
      </c>
      <c r="BS917" s="236" t="n">
        <f aca="false" t="array" ref="BS917:BS917">IF(BS916=0,0,IF(BS916&gt;=36,$AL$23,INDEX($C$23:$AL$23,BS916)))</f>
        <v>0</v>
      </c>
      <c r="BT917" s="236" t="n">
        <f aca="false" t="array" ref="BT917:BT917">IF(BT916=0,0,IF(BT916&gt;=36,$AL$23,INDEX($C$23:$AL$23,BT916)))</f>
        <v>0</v>
      </c>
      <c r="BU917" s="236" t="n">
        <f aca="false" t="array" ref="BU917:BU917">IF(BU916=0,0,IF(BU916&gt;=36,$AL$23,INDEX($C$23:$AL$23,BU916)))</f>
        <v>0</v>
      </c>
      <c r="BV917" s="236" t="n">
        <f aca="false" t="array" ref="BV917:BV917">IF(BV916=0,0,IF(BV916&gt;=36,$AL$23,INDEX($C$23:$AL$23,BV916)))</f>
        <v>0</v>
      </c>
      <c r="BW917" s="236" t="n">
        <f aca="false" t="array" ref="BW917:BW917">IF(BW916=0,0,IF(BW916&gt;=36,$AL$23,INDEX($C$23:$AL$23,BW916)))</f>
        <v>0</v>
      </c>
      <c r="BX917" s="236" t="n">
        <f aca="false" t="array" ref="BX917:BX917">IF(BX916=0,0,IF(BX916&gt;=36,$AL$23,INDEX($C$23:$AL$23,BX916)))</f>
        <v>0</v>
      </c>
      <c r="BY917" s="236" t="n">
        <f aca="false" t="array" ref="BY917:BY917">IF(BY916=0,0,IF(BY916&gt;=36,$AL$23,INDEX($C$23:$AL$23,BY916)))</f>
        <v>0</v>
      </c>
      <c r="BZ917" s="236" t="n">
        <f aca="false" t="array" ref="BZ917:BZ917">IF(BZ916=0,0,IF(BZ916&gt;=36,$AL$23,INDEX($C$23:$AL$23,BZ916)))</f>
        <v>0</v>
      </c>
      <c r="CA917" s="236" t="n">
        <f aca="false" t="array" ref="CA917:CA917">IF(CA916=0,0,IF(CA916&gt;=36,$AL$23,INDEX($C$23:$AL$23,CA916)))</f>
        <v>0</v>
      </c>
      <c r="CB917" s="236" t="n">
        <f aca="false" t="array" ref="CB917:CB917">IF(CB916=0,0,IF(CB916&gt;=36,$AL$23,INDEX($C$23:$AL$23,CB916)))</f>
        <v>0</v>
      </c>
      <c r="CC917" s="236" t="n">
        <f aca="false" t="array" ref="CC917:CC917">IF(CC916=0,0,IF(CC916&gt;=36,$AL$23,INDEX($C$23:$AL$23,CC916)))</f>
        <v>0</v>
      </c>
      <c r="CD917" s="236" t="n">
        <f aca="false" t="array" ref="CD917:CD917">IF(CD916=0,0,IF(CD916&gt;=36,$AL$23,INDEX($C$23:$AL$23,CD916)))</f>
        <v>0</v>
      </c>
      <c r="CE917" s="236" t="n">
        <f aca="false" t="array" ref="CE917:CE917">IF(CE916=0,0,IF(CE916&gt;=36,$AL$23,INDEX($C$23:$AL$23,CE916)))</f>
        <v>0</v>
      </c>
      <c r="CF917" s="236" t="n">
        <f aca="false" t="array" ref="CF917:CF917">IF(CF916=0,0,IF(CF916&gt;=36,$AL$23,INDEX($C$23:$AL$23,CF916)))</f>
        <v>0</v>
      </c>
      <c r="CG917" s="236" t="n">
        <f aca="false" t="array" ref="CG917:CG917">IF(CG916=0,0,IF(CG916&gt;=36,$AL$23,INDEX($C$23:$AL$23,CG916)))</f>
        <v>0</v>
      </c>
      <c r="CH917" s="236" t="n">
        <f aca="false" t="array" ref="CH917:CH917">IF(CH916=0,0,IF(CH916&gt;=36,$AL$23,INDEX($C$23:$AL$23,CH916)))</f>
        <v>0</v>
      </c>
      <c r="CI917" s="236" t="n">
        <f aca="false" t="array" ref="CI917:CI917">IF(CI916=0,0,IF(CI916&gt;=36,$AL$23,INDEX($C$23:$AL$23,CI916)))</f>
        <v>0</v>
      </c>
      <c r="CJ917" s="236" t="n">
        <f aca="false" t="array" ref="CJ917:CJ917">IF(CJ916=0,0,IF(CJ916&gt;=36,$AL$23,INDEX($C$23:$AL$23,CJ916)))</f>
        <v>0</v>
      </c>
      <c r="CK917" s="236" t="n">
        <f aca="false" t="array" ref="CK917:CK917">IF(CK916=0,0,IF(CK916&gt;=36,$AL$23,INDEX($C$23:$AL$23,CK916)))</f>
        <v>0</v>
      </c>
      <c r="CL917" s="236" t="n">
        <f aca="false" t="array" ref="CL917:CL917">IF(CL916=0,0,IF(CL916&gt;=36,$AL$23,INDEX($C$23:$AL$23,CL916)))</f>
        <v>0</v>
      </c>
      <c r="CM917" s="236" t="n">
        <f aca="false" t="array" ref="CM917:CM917">IF(CM916=0,0,IF(CM916&gt;=36,$AL$23,INDEX($C$23:$AL$23,CM916)))</f>
        <v>0</v>
      </c>
      <c r="CN917" s="236" t="n">
        <f aca="false" t="array" ref="CN917:CN917">IF(CN916=0,0,IF(CN916&gt;=36,$AL$23,INDEX($C$23:$AL$23,CN916)))</f>
        <v>0</v>
      </c>
      <c r="CO917" s="236" t="n">
        <f aca="false" t="array" ref="CO917:CO917">IF(CO916=0,0,IF(CO916&gt;=36,$AL$23,INDEX($C$23:$AL$23,CO916)))</f>
        <v>0</v>
      </c>
      <c r="CP917" s="236" t="n">
        <f aca="false" t="array" ref="CP917:CP917">IF(CP916=0,0,IF(CP916&gt;=36,$AL$23,INDEX($C$23:$AL$23,CP916)))</f>
        <v>0</v>
      </c>
      <c r="CQ917" s="236" t="n">
        <f aca="false" t="array" ref="CQ917:CQ917">IF(CQ916=0,0,IF(CQ916&gt;=36,$AL$23,INDEX($C$23:$AL$23,CQ916)))</f>
        <v>0</v>
      </c>
      <c r="CR917" s="236" t="n">
        <f aca="false" t="array" ref="CR917:CR917">IF(CR916=0,0,IF(CR916&gt;=36,$AL$23,INDEX($C$23:$AL$23,CR916)))</f>
        <v>0</v>
      </c>
      <c r="CS917" s="236" t="n">
        <f aca="false" t="array" ref="CS917:CS917">IF(CS916=0,0,IF(CS916&gt;=36,$AL$23,INDEX($C$23:$AL$23,CS916)))</f>
        <v>0</v>
      </c>
      <c r="CT917" s="236" t="n">
        <f aca="false" t="array" ref="CT917:CT917">IF(CT916=0,0,IF(CT916&gt;=36,$AL$23,INDEX($C$23:$AL$23,CT916)))</f>
        <v>0</v>
      </c>
      <c r="CU917" s="236" t="n">
        <f aca="false" t="array" ref="CU917:CU917">IF(CU916=0,0,IF(CU916&gt;=36,$AL$23,INDEX($C$23:$AL$23,CU916)))</f>
        <v>0</v>
      </c>
      <c r="CV917" s="236" t="n">
        <f aca="false" t="array" ref="CV917:CV917">IF(CV916=0,0,IF(CV916&gt;=36,$AL$23,INDEX($C$23:$AL$23,CV916)))</f>
        <v>0</v>
      </c>
      <c r="CW917" s="236" t="n">
        <f aca="false" t="array" ref="CW917:CW917">IF(CW916=0,0,IF(CW916&gt;=36,$AL$23,INDEX($C$23:$AL$23,CW916)))</f>
        <v>0</v>
      </c>
      <c r="CX917" s="236" t="n">
        <f aca="false" t="array" ref="CX917:CX917">IF(CX916=0,0,IF(CX916&gt;=36,$AL$23,INDEX($C$23:$AL$23,CX916)))</f>
        <v>0</v>
      </c>
      <c r="CY917" s="236" t="n">
        <f aca="false" t="array" ref="CY917:CY917">IF(CY916=0,0,IF(CY916&gt;=36,$AL$23,INDEX($C$23:$AL$23,CY916)))</f>
        <v>0</v>
      </c>
      <c r="CZ917" s="236" t="n">
        <f aca="false" t="array" ref="CZ917:CZ917">IF(CZ916=0,0,IF(CZ916&gt;=36,$AL$23,INDEX($C$23:$AL$23,CZ916)))</f>
        <v>0</v>
      </c>
      <c r="DA917" s="236" t="n">
        <f aca="false" t="array" ref="DA917:DA917">IF(DA916=0,0,IF(DA916&gt;=36,$AL$23,INDEX($C$23:$AL$23,DA916)))</f>
        <v>0</v>
      </c>
      <c r="DB917" s="236" t="n">
        <f aca="false" t="array" ref="DB917:DB917">IF(DB916=0,0,IF(DB916&gt;=36,$AL$23,INDEX($C$23:$AL$23,DB916)))</f>
        <v>0</v>
      </c>
      <c r="DC917" s="236" t="n">
        <f aca="false" t="array" ref="DC917:DC917">IF(DC916=0,0,IF(DC916&gt;=36,$AL$23,INDEX($C$23:$AL$23,DC916)))</f>
        <v>0</v>
      </c>
      <c r="DD917" s="236" t="n">
        <f aca="false" t="array" ref="DD917:DD917">IF(DD916=0,0,IF(DD916&gt;=36,$AL$23,INDEX($C$23:$AL$23,DD916)))</f>
        <v>0</v>
      </c>
      <c r="DE917" s="236" t="n">
        <f aca="false" t="array" ref="DE917:DE917">IF(DE916=0,0,IF(DE916&gt;=36,$AL$23,INDEX($C$23:$AL$23,DE916)))</f>
        <v>0</v>
      </c>
      <c r="DF917" s="236" t="n">
        <f aca="false" t="array" ref="DF917:DF917">IF(DF916=0,0,IF(DF916&gt;=36,$AL$23,INDEX($C$23:$AL$23,DF916)))</f>
        <v>0</v>
      </c>
      <c r="DG917" s="236" t="n">
        <f aca="false" t="array" ref="DG917:DG917">IF(DG916=0,0,IF(DG916&gt;=36,$AL$23,INDEX($C$23:$AL$23,DG916)))</f>
        <v>0</v>
      </c>
      <c r="DH917" s="236" t="n">
        <f aca="false" t="array" ref="DH917:DH917">IF(DH916=0,0,IF(DH916&gt;=36,$AL$23,INDEX($C$23:$AL$23,DH916)))</f>
        <v>0</v>
      </c>
      <c r="DI917" s="236" t="n">
        <f aca="false" t="array" ref="DI917:DI917">IF(DI916=0,0,IF(DI916&gt;=36,$AL$23,INDEX($C$23:$AL$23,DI916)))</f>
        <v>0</v>
      </c>
      <c r="DJ917" s="236" t="n">
        <f aca="false" t="array" ref="DJ917:DJ917">IF(DJ916=0,0,IF(DJ916&gt;=36,$AL$23,INDEX($C$23:$AL$23,DJ916)))</f>
        <v>0</v>
      </c>
      <c r="DK917" s="236" t="n">
        <f aca="false" t="array" ref="DK917:DK917">IF(DK916=0,0,IF(DK916&gt;=36,$AL$23,INDEX($C$23:$AL$23,DK916)))</f>
        <v>0</v>
      </c>
      <c r="DL917" s="236" t="n">
        <f aca="false" t="array" ref="DL917:DL917">IF(DL916=0,0,IF(DL916&gt;=36,$AL$23,INDEX($C$23:$AL$23,DL916)))</f>
        <v>0</v>
      </c>
      <c r="DM917" s="236" t="n">
        <f aca="false" t="array" ref="DM917:DM917">IF(DM916=0,0,IF(DM916&gt;=36,$AL$23,INDEX($C$23:$AL$23,DM916)))</f>
        <v>0</v>
      </c>
      <c r="DN917" s="236" t="n">
        <f aca="false" t="array" ref="DN917:DN917">IF(DN916=0,0,IF(DN916&gt;=36,$AL$23,INDEX($C$23:$AL$23,DN916)))</f>
        <v>0</v>
      </c>
      <c r="DO917" s="236" t="n">
        <f aca="false" t="array" ref="DO917:DO917">IF(DO916=0,0,IF(DO916&gt;=36,$AL$23,INDEX($C$23:$AL$23,DO916)))</f>
        <v>0</v>
      </c>
      <c r="DP917" s="236" t="n">
        <f aca="false" t="array" ref="DP917:DP917">IF(DP916=0,0,IF(DP916&gt;=36,$AL$23,INDEX($C$23:$AL$23,DP916)))</f>
        <v>0</v>
      </c>
      <c r="DQ917" s="236" t="n">
        <f aca="false" t="array" ref="DQ917:DQ917">IF(DQ916=0,0,IF(DQ916&gt;=36,$AL$23,INDEX($C$23:$AL$23,DQ916)))</f>
        <v>0</v>
      </c>
      <c r="DR917" s="236" t="n">
        <f aca="false" t="array" ref="DR917:DR917">IF(DR916=0,0,IF(DR916&gt;=36,$AL$23,INDEX($C$23:$AL$23,DR916)))</f>
        <v>0</v>
      </c>
      <c r="DS917" s="236" t="n">
        <f aca="false" t="array" ref="DS917:DS917">IF(DS916=0,0,IF(DS916&gt;=36,$AL$23,INDEX($C$23:$AL$23,DS916)))</f>
        <v>0</v>
      </c>
      <c r="DT917" s="236" t="n">
        <f aca="false" t="array" ref="DT917:DT917">IF(DT916=0,0,IF(DT916&gt;=36,$AL$23,INDEX($C$23:$AL$23,DT916)))</f>
        <v>0</v>
      </c>
      <c r="DU917" s="236" t="n">
        <f aca="false" t="array" ref="DU917:DU917">IF(DU916=0,0,IF(DU916&gt;=36,$AL$23,INDEX($C$23:$AL$23,DU916)))</f>
        <v>0</v>
      </c>
      <c r="DV917" s="236" t="n">
        <f aca="false" t="array" ref="DV917:DV917">IF(DV916=0,0,IF(DV916&gt;=36,$AL$23,INDEX($C$23:$AL$23,DV916)))</f>
        <v>0</v>
      </c>
      <c r="DW917" s="236" t="n">
        <f aca="false" t="array" ref="DW917:DW917">IF(DW916=0,0,IF(DW916&gt;=36,$AL$23,INDEX($C$23:$AL$23,DW916)))</f>
        <v>0</v>
      </c>
      <c r="DX917" s="236" t="n">
        <f aca="false" t="array" ref="DX917:DX917">IF(DX916=0,0,IF(DX916&gt;=36,$AL$23,INDEX($C$23:$AL$23,DX916)))</f>
        <v>0</v>
      </c>
      <c r="DY917" s="236" t="n">
        <f aca="false" t="array" ref="DY917:DY917">IF(DY916=0,0,IF(DY916&gt;=36,$AL$23,INDEX($C$23:$AL$23,DY916)))</f>
        <v>0</v>
      </c>
      <c r="DZ917" s="236" t="n">
        <f aca="false" t="array" ref="DZ917:DZ917">IF(DZ916=0,0,IF(DZ916&gt;=36,$AL$23,INDEX($C$23:$AL$23,DZ916)))</f>
        <v>0</v>
      </c>
      <c r="EA917" s="236" t="n">
        <f aca="false" t="array" ref="EA917:EA917">IF(EA916=0,0,IF(EA916&gt;=36,$AL$23,INDEX($C$23:$AL$23,EA916)))</f>
        <v>0</v>
      </c>
      <c r="EB917" s="236" t="n">
        <f aca="false" t="array" ref="EB917:EB917">IF(EB916=0,0,IF(EB916&gt;=36,$AL$23,INDEX($C$23:$AL$23,EB916)))</f>
        <v>0</v>
      </c>
      <c r="EC917" s="236" t="n">
        <f aca="false" t="array" ref="EC917:EC917">IF(EC916=0,0,IF(EC916&gt;=36,$AL$23,INDEX($C$23:$AL$23,EC916)))</f>
        <v>0</v>
      </c>
      <c r="ED917" s="236" t="n">
        <f aca="false" t="array" ref="ED917:ED917">IF(ED916=0,0,IF(ED916&gt;=36,$AL$23,INDEX($C$23:$AL$23,ED916)))</f>
        <v>0</v>
      </c>
      <c r="EE917" s="236" t="n">
        <f aca="false" t="array" ref="EE917:EE917">IF(EE916=0,0,IF(EE916&gt;=36,$AL$23,INDEX($C$23:$AL$23,EE916)))</f>
        <v>0</v>
      </c>
      <c r="EF917" s="236" t="n">
        <f aca="false" t="array" ref="EF917:EF917">IF(EF916=0,0,IF(EF916&gt;=36,$AL$23,INDEX($C$23:$AL$23,EF916)))</f>
        <v>0</v>
      </c>
      <c r="EG917" s="236" t="n">
        <f aca="false" t="array" ref="EG917:EG917">IF(EG916=0,0,IF(EG916&gt;=36,$AL$23,INDEX($C$23:$AL$23,EG916)))</f>
        <v>0</v>
      </c>
      <c r="EH917" s="236" t="n">
        <f aca="false" t="array" ref="EH917:EH917">IF(EH916=0,0,IF(EH916&gt;=36,$AL$23,INDEX($C$23:$AL$23,EH916)))</f>
        <v>0</v>
      </c>
      <c r="EI917" s="236" t="n">
        <f aca="false" t="array" ref="EI917:EI917">IF(EI916=0,0,IF(EI916&gt;=36,$AL$23,INDEX($C$23:$AL$23,EI916)))</f>
        <v>0</v>
      </c>
      <c r="EJ917" s="236" t="n">
        <f aca="false" t="array" ref="EJ917:EJ917">IF(EJ916=0,0,IF(EJ916&gt;=36,$AL$23,INDEX($C$23:$AL$23,EJ916)))</f>
        <v>0</v>
      </c>
      <c r="EK917" s="236" t="n">
        <f aca="false" t="array" ref="EK917:EK917">IF(EK916=0,0,IF(EK916&gt;=36,$AL$23,INDEX($C$23:$AL$23,EK916)))</f>
        <v>0</v>
      </c>
      <c r="EL917" s="236" t="n">
        <f aca="false" t="array" ref="EL917:EL917">IF(EL916=0,0,IF(EL916&gt;=36,$AL$23,INDEX($C$23:$AL$23,EL916)))</f>
        <v>0</v>
      </c>
      <c r="EM917" s="236" t="n">
        <f aca="false" t="array" ref="EM917:EM917">IF(EM916=0,0,IF(EM916&gt;=36,$AL$23,INDEX($C$23:$AL$23,EM916)))</f>
        <v>0</v>
      </c>
      <c r="EN917" s="236" t="n">
        <f aca="false" t="array" ref="EN917:EN917">IF(EN916=0,0,IF(EN916&gt;=36,$AL$23,INDEX($C$23:$AL$23,EN916)))</f>
        <v>0</v>
      </c>
      <c r="EO917" s="236" t="n">
        <f aca="false" t="array" ref="EO917:EO917">IF(EO916=0,0,IF(EO916&gt;=36,$AL$23,INDEX($C$23:$AL$23,EO916)))</f>
        <v>0</v>
      </c>
      <c r="EP917" s="236" t="n">
        <f aca="false" t="array" ref="EP917:EP917">IF(EP916=0,0,IF(EP916&gt;=36,$AL$23,INDEX($C$23:$AL$23,EP916)))</f>
        <v>0</v>
      </c>
      <c r="EQ917" s="236" t="n">
        <f aca="false" t="array" ref="EQ917:EQ917">IF(EQ916=0,0,IF(EQ916&gt;=36,$AL$23,INDEX($C$23:$AL$23,EQ916)))</f>
        <v>0</v>
      </c>
      <c r="ER917" s="236" t="n">
        <f aca="false" t="array" ref="ER917:ER917">IF(ER916=0,0,IF(ER916&gt;=36,$AL$23,INDEX($C$23:$AL$23,ER916)))</f>
        <v>0</v>
      </c>
      <c r="ES917" s="9" t="n">
        <f aca="false" t="array" ref="ES917:ES917">IF(ES916=0,0,IF(ES916&gt;=36,$AL$23,INDEX($C$23:$AL$23,ES916)))</f>
        <v>0</v>
      </c>
      <c r="ET917" s="9" t="n">
        <f aca="false" t="array" ref="ET917:ET917">IF(ET916=0,0,IF(ET916&gt;=36,$AL$23,INDEX($C$23:$AL$23,ET916)))</f>
        <v>0</v>
      </c>
      <c r="EU917" s="9" t="n">
        <f aca="false" t="array" ref="EU917:EU917">IF(EU916=0,0,IF(EU916&gt;=36,$AL$23,INDEX($C$23:$AL$23,EU916)))</f>
        <v>0</v>
      </c>
      <c r="EV917" s="9" t="n">
        <f aca="false" t="array" ref="EV917:EV917">IF(EV916=0,0,IF(EV916&gt;=36,$AL$23,INDEX($C$23:$AL$23,EV916)))</f>
        <v>0</v>
      </c>
      <c r="EW917" s="9" t="n">
        <f aca="false" t="array" ref="EW917:EW917">IF(EW916=0,0,IF(EW916&gt;=36,$AL$23,INDEX($C$23:$AL$23,EW916)))</f>
        <v>0</v>
      </c>
      <c r="EX917" s="9" t="n">
        <f aca="false" t="array" ref="EX917:EX917">IF(EX916=0,0,IF(EX916&gt;=36,$AL$23,INDEX($C$23:$AL$23,EX916)))</f>
        <v>0</v>
      </c>
      <c r="EY917" s="9" t="n">
        <f aca="false" t="array" ref="EY917:EY917">IF(EY916=0,0,IF(EY916&gt;=36,$AL$23,INDEX($C$23:$AL$23,EY916)))</f>
        <v>0</v>
      </c>
      <c r="EZ917" s="9" t="n">
        <f aca="false" t="array" ref="EZ917:EZ917">IF(EZ916=0,0,IF(EZ916&gt;=36,$AL$23,INDEX($C$23:$AL$23,EZ916)))</f>
        <v>0</v>
      </c>
      <c r="FA917" s="9" t="n">
        <f aca="false" t="array" ref="FA917:FA917">IF(FA916=0,0,IF(FA916&gt;=36,$AL$23,INDEX($C$23:$AL$23,FA916)))</f>
        <v>0</v>
      </c>
      <c r="FB917" s="9" t="n">
        <f aca="false" t="array" ref="FB917:FB917">IF(FB916=0,0,IF(FB916&gt;=36,$AL$23,INDEX($C$23:$AL$23,FB916)))</f>
        <v>0</v>
      </c>
      <c r="FC917" s="9" t="n">
        <f aca="false" t="array" ref="FC917:FC917">IF(FC916=0,0,IF(FC916&gt;=36,$AL$23,INDEX($C$23:$AL$23,FC916)))</f>
        <v>0</v>
      </c>
      <c r="FD917" s="9" t="n">
        <f aca="false" t="array" ref="FD917:FD917">IF(FD916=0,0,IF(FD916&gt;=36,$AL$23,INDEX($C$23:$AL$23,FD916)))</f>
        <v>0</v>
      </c>
      <c r="FE917" s="9" t="n">
        <f aca="false" t="array" ref="FE917:FE917">IF(FE916=0,0,IF(FE916&gt;=36,$AL$23,INDEX($C$23:$AL$23,FE916)))</f>
        <v>0</v>
      </c>
      <c r="FF917" s="9" t="n">
        <f aca="false" t="array" ref="FF917:FF917">IF(FF916=0,0,IF(FF916&gt;=36,$AL$23,INDEX($C$23:$AL$23,FF916)))</f>
        <v>0</v>
      </c>
      <c r="FG917" s="9" t="n">
        <f aca="false" t="array" ref="FG917:FG917">IF(FG916=0,0,IF(FG916&gt;=36,$AL$23,INDEX($C$23:$AL$23,FG916)))</f>
        <v>0</v>
      </c>
      <c r="FH917" s="9" t="n">
        <f aca="false" t="array" ref="FH917:FH917">IF(FH916=0,0,IF(FH916&gt;=36,$AL$23,INDEX($C$23:$AL$23,FH916)))</f>
        <v>0</v>
      </c>
      <c r="FI917" s="9" t="n">
        <f aca="false" t="array" ref="FI917:FI917">IF(FI916=0,0,IF(FI916&gt;=36,$AL$23,INDEX($C$23:$AL$23,FI916)))</f>
        <v>0</v>
      </c>
      <c r="FJ917" s="9" t="n">
        <f aca="false" t="array" ref="FJ917:FJ917">IF(FJ916=0,0,IF(FJ916&gt;=36,$AL$23,INDEX($C$23:$AL$23,FJ916)))</f>
        <v>0</v>
      </c>
      <c r="FK917" s="9" t="n">
        <f aca="false" t="array" ref="FK917:FK917">IF(FK916=0,0,IF(FK916&gt;=36,$AL$23,INDEX($C$23:$AL$23,FK916)))</f>
        <v>0</v>
      </c>
      <c r="FL917" s="9" t="n">
        <f aca="false" t="array" ref="FL917:FL917">IF(FL916=0,0,IF(FL916&gt;=36,$AL$23,INDEX($C$23:$AL$23,FL916)))</f>
        <v>0</v>
      </c>
      <c r="FM917" s="9" t="n">
        <f aca="false" t="array" ref="FM917:FM917">IF(FM916=0,0,IF(FM916&gt;=36,$AL$23,INDEX($C$23:$AL$23,FM916)))</f>
        <v>0</v>
      </c>
      <c r="FN917" s="9" t="n">
        <f aca="false" t="array" ref="FN917:FN917">IF(FN916=0,0,IF(FN916&gt;=36,$AL$23,INDEX($C$23:$AL$23,FN916)))</f>
        <v>0</v>
      </c>
      <c r="FO917" s="9" t="n">
        <f aca="false" t="array" ref="FO917:FO917">IF(FO916=0,0,IF(FO916&gt;=36,$AL$23,INDEX($C$23:$AL$23,FO916)))</f>
        <v>0</v>
      </c>
      <c r="FP917" s="9" t="n">
        <f aca="false" t="array" ref="FP917:FP917">IF(FP916=0,0,IF(FP916&gt;=36,$AL$23,INDEX($C$23:$AL$23,FP916)))</f>
        <v>0.2</v>
      </c>
    </row>
    <row r="918" customFormat="false" ht="15" hidden="false" customHeight="false" outlineLevel="2" collapsed="false">
      <c r="B918" s="9" t="s">
        <v>875</v>
      </c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237" t="n">
        <f aca="false">IF(AC916=0,0,IF(AC916&lt;=12,1,1+$C$6))</f>
        <v>0</v>
      </c>
      <c r="AD918" s="237" t="n">
        <f aca="false">IF(AD916=0,0,IF(AD916&lt;=12,1,1+$C$6))</f>
        <v>0</v>
      </c>
      <c r="AE918" s="237" t="n">
        <f aca="false">IF(AE916=0,0,IF(AE916&lt;=12,1,1+$C$6))</f>
        <v>0</v>
      </c>
      <c r="AF918" s="237" t="n">
        <f aca="false">IF(AF916=0,0,IF(AF916&lt;=12,1,1+$C$6))</f>
        <v>0</v>
      </c>
      <c r="AG918" s="237" t="n">
        <f aca="false">IF(AG916=0,0,IF(AG916&lt;=12,1,1+$C$6))</f>
        <v>0</v>
      </c>
      <c r="AH918" s="237" t="n">
        <f aca="false">IF(AH916=0,0,IF(AH916&lt;=12,1,1+$C$6))</f>
        <v>0</v>
      </c>
      <c r="AI918" s="237" t="n">
        <f aca="false">IF(AI916=0,0,IF(AI916&lt;=12,1,1+$C$6))</f>
        <v>0</v>
      </c>
      <c r="AJ918" s="237" t="n">
        <f aca="false">IF(AJ916=0,0,IF(AJ916&lt;=12,1,1+$C$6))</f>
        <v>0</v>
      </c>
      <c r="AK918" s="237" t="n">
        <f aca="false">IF(AK916=0,0,IF(AK916&lt;=12,1,1+$C$6))</f>
        <v>0</v>
      </c>
      <c r="AL918" s="237" t="n">
        <f aca="false">IF(AL916=0,0,IF(AL916&lt;=12,1,1+$C$6))</f>
        <v>0</v>
      </c>
      <c r="AM918" s="237" t="n">
        <f aca="false">IF(AM916=0,0,IF(AM916&lt;=12,1,1+$C$6))</f>
        <v>0</v>
      </c>
      <c r="AN918" s="237" t="n">
        <f aca="false">IF(AN916=0,0,IF(AN916&lt;=12,1,1+$C$6))</f>
        <v>0</v>
      </c>
      <c r="AO918" s="237" t="n">
        <f aca="false">IF(AO916=0,0,IF(AO916&lt;=12,1,1+$C$6))</f>
        <v>0</v>
      </c>
      <c r="AP918" s="237" t="n">
        <f aca="false">IF(AP916=0,0,IF(AP916&lt;=12,1,1+$C$6))</f>
        <v>0</v>
      </c>
      <c r="AQ918" s="237" t="n">
        <f aca="false">IF(AQ916=0,0,IF(AQ916&lt;=12,1,1+$C$6))</f>
        <v>0</v>
      </c>
      <c r="AR918" s="237" t="n">
        <f aca="false">IF(AR916=0,0,IF(AR916&lt;=12,1,1+$C$6))</f>
        <v>0</v>
      </c>
      <c r="AS918" s="237" t="n">
        <f aca="false">IF(AS916=0,0,IF(AS916&lt;=12,1,1+$C$6))</f>
        <v>0</v>
      </c>
      <c r="AT918" s="237" t="n">
        <f aca="false">IF(AT916=0,0,IF(AT916&lt;=12,1,1+$C$6))</f>
        <v>0</v>
      </c>
      <c r="AU918" s="237" t="n">
        <f aca="false">IF(AU916=0,0,IF(AU916&lt;=12,1,1+$C$6))</f>
        <v>0</v>
      </c>
      <c r="AV918" s="237" t="n">
        <f aca="false">IF(AV916=0,0,IF(AV916&lt;=12,1,1+$C$6))</f>
        <v>0</v>
      </c>
      <c r="AW918" s="237" t="n">
        <f aca="false">IF(AW916=0,0,IF(AW916&lt;=12,1,1+$C$6))</f>
        <v>0</v>
      </c>
      <c r="AX918" s="237" t="n">
        <f aca="false">IF(AX916=0,0,IF(AX916&lt;=12,1,1+$C$6))</f>
        <v>0</v>
      </c>
      <c r="AY918" s="237" t="n">
        <f aca="false">IF(AY916=0,0,IF(AY916&lt;=12,1,1+$C$6))</f>
        <v>0</v>
      </c>
      <c r="AZ918" s="237" t="n">
        <f aca="false">IF(AZ916=0,0,IF(AZ916&lt;=12,1,1+$C$6))</f>
        <v>0</v>
      </c>
      <c r="BA918" s="237" t="n">
        <f aca="false">IF(BA916=0,0,IF(BA916&lt;=12,1,1+$C$6))</f>
        <v>0</v>
      </c>
      <c r="BB918" s="237" t="n">
        <f aca="false">IF(BB916=0,0,IF(BB916&lt;=12,1,1+$C$6))</f>
        <v>0</v>
      </c>
      <c r="BC918" s="237" t="n">
        <f aca="false">IF(BC916=0,0,IF(BC916&lt;=12,1,1+$C$6))</f>
        <v>0</v>
      </c>
      <c r="BD918" s="237" t="n">
        <f aca="false">IF(BD916=0,0,IF(BD916&lt;=12,1,1+$C$6))</f>
        <v>0</v>
      </c>
      <c r="BE918" s="237" t="n">
        <f aca="false">IF(BE916=0,0,IF(BE916&lt;=12,1,1+$C$6))</f>
        <v>0</v>
      </c>
      <c r="BF918" s="237" t="n">
        <f aca="false">IF(BF916=0,0,IF(BF916&lt;=12,1,1+$C$6))</f>
        <v>0</v>
      </c>
      <c r="BG918" s="237" t="n">
        <f aca="false">IF(BG916=0,0,IF(BG916&lt;=12,1,1+$C$6))</f>
        <v>0</v>
      </c>
      <c r="BH918" s="237" t="n">
        <f aca="false">IF(BH916=0,0,IF(BH916&lt;=12,1,1+$C$6))</f>
        <v>0</v>
      </c>
      <c r="BI918" s="237" t="n">
        <f aca="false">IF(BI916=0,0,IF(BI916&lt;=12,1,1+$C$6))</f>
        <v>0</v>
      </c>
      <c r="BJ918" s="237" t="n">
        <f aca="false">IF(BJ916=0,0,IF(BJ916&lt;=12,1,1+$C$6))</f>
        <v>0</v>
      </c>
      <c r="BK918" s="237" t="n">
        <f aca="false">IF(BK916=0,0,IF(BK916&lt;=12,1,1+$C$6))</f>
        <v>0</v>
      </c>
      <c r="BL918" s="237" t="n">
        <f aca="false">IF(BL916=0,0,IF(BL916&lt;=12,1,1+$C$6))</f>
        <v>0</v>
      </c>
      <c r="BM918" s="237" t="n">
        <f aca="false">IF(BM916=0,0,IF(BM916&lt;=12,1,1+$C$6))</f>
        <v>0</v>
      </c>
      <c r="BN918" s="237" t="n">
        <f aca="false">IF(BN916=0,0,IF(BN916&lt;=12,1,1+$C$6))</f>
        <v>0</v>
      </c>
      <c r="BO918" s="237" t="n">
        <f aca="false">IF(BO916=0,0,IF(BO916&lt;=12,1,1+$C$6))</f>
        <v>0</v>
      </c>
      <c r="BP918" s="237" t="n">
        <f aca="false">IF(BP916=0,0,IF(BP916&lt;=12,1,1+$C$6))</f>
        <v>0</v>
      </c>
      <c r="BQ918" s="237" t="n">
        <f aca="false">IF(BQ916=0,0,IF(BQ916&lt;=12,1,1+$C$6))</f>
        <v>0</v>
      </c>
      <c r="BR918" s="237" t="n">
        <f aca="false">IF(BR916=0,0,IF(BR916&lt;=12,1,1+$C$6))</f>
        <v>0</v>
      </c>
      <c r="BS918" s="237" t="n">
        <f aca="false">IF(BS916=0,0,IF(BS916&lt;=12,1,1+$C$6))</f>
        <v>0</v>
      </c>
      <c r="BT918" s="237" t="n">
        <f aca="false">IF(BT916=0,0,IF(BT916&lt;=12,1,1+$C$6))</f>
        <v>0</v>
      </c>
      <c r="BU918" s="237" t="n">
        <f aca="false">IF(BU916=0,0,IF(BU916&lt;=12,1,1+$C$6))</f>
        <v>0</v>
      </c>
      <c r="BV918" s="237" t="n">
        <f aca="false">IF(BV916=0,0,IF(BV916&lt;=12,1,1+$C$6))</f>
        <v>0</v>
      </c>
      <c r="BW918" s="237" t="n">
        <f aca="false">IF(BW916=0,0,IF(BW916&lt;=12,1,1+$C$6))</f>
        <v>0</v>
      </c>
      <c r="BX918" s="237" t="n">
        <f aca="false">IF(BX916=0,0,IF(BX916&lt;=12,1,1+$C$6))</f>
        <v>0</v>
      </c>
      <c r="BY918" s="237" t="n">
        <f aca="false">IF(BY916=0,0,IF(BY916&lt;=12,1,1+$C$6))</f>
        <v>0</v>
      </c>
      <c r="BZ918" s="237" t="n">
        <f aca="false">IF(BZ916=0,0,IF(BZ916&lt;=12,1,1+$C$6))</f>
        <v>0</v>
      </c>
      <c r="CA918" s="237" t="n">
        <f aca="false">IF(CA916=0,0,IF(CA916&lt;=12,1,1+$C$6))</f>
        <v>0</v>
      </c>
      <c r="CB918" s="237" t="n">
        <f aca="false">IF(CB916=0,0,IF(CB916&lt;=12,1,1+$C$6))</f>
        <v>0</v>
      </c>
      <c r="CC918" s="237" t="n">
        <f aca="false">IF(CC916=0,0,IF(CC916&lt;=12,1,1+$C$6))</f>
        <v>0</v>
      </c>
      <c r="CD918" s="237" t="n">
        <f aca="false">IF(CD916=0,0,IF(CD916&lt;=12,1,1+$C$6))</f>
        <v>0</v>
      </c>
      <c r="CE918" s="237" t="n">
        <f aca="false">IF(CE916=0,0,IF(CE916&lt;=12,1,1+$C$6))</f>
        <v>0</v>
      </c>
      <c r="CF918" s="237" t="n">
        <f aca="false">IF(CF916=0,0,IF(CF916&lt;=12,1,1+$C$6))</f>
        <v>0</v>
      </c>
      <c r="CG918" s="237" t="n">
        <f aca="false">IF(CG916=0,0,IF(CG916&lt;=12,1,1+$C$6))</f>
        <v>0</v>
      </c>
      <c r="CH918" s="237" t="n">
        <f aca="false">IF(CH916=0,0,IF(CH916&lt;=12,1,1+$C$6))</f>
        <v>0</v>
      </c>
      <c r="CI918" s="237" t="n">
        <f aca="false">IF(CI916=0,0,IF(CI916&lt;=12,1,1+$C$6))</f>
        <v>0</v>
      </c>
      <c r="CJ918" s="237" t="n">
        <f aca="false">IF(CJ916=0,0,IF(CJ916&lt;=12,1,1+$C$6))</f>
        <v>0</v>
      </c>
      <c r="CK918" s="237" t="n">
        <f aca="false">IF(CK916=0,0,IF(CK916&lt;=12,1,1+$C$6))</f>
        <v>0</v>
      </c>
      <c r="CL918" s="237" t="n">
        <f aca="false">IF(CL916=0,0,IF(CL916&lt;=12,1,1+$C$6))</f>
        <v>0</v>
      </c>
      <c r="CM918" s="237" t="n">
        <f aca="false">IF(CM916=0,0,IF(CM916&lt;=12,1,1+$C$6))</f>
        <v>0</v>
      </c>
      <c r="CN918" s="237" t="n">
        <f aca="false">IF(CN916=0,0,IF(CN916&lt;=12,1,1+$C$6))</f>
        <v>0</v>
      </c>
      <c r="CO918" s="237" t="n">
        <f aca="false">IF(CO916=0,0,IF(CO916&lt;=12,1,1+$C$6))</f>
        <v>0</v>
      </c>
      <c r="CP918" s="237" t="n">
        <f aca="false">IF(CP916=0,0,IF(CP916&lt;=12,1,1+$C$6))</f>
        <v>0</v>
      </c>
      <c r="CQ918" s="237" t="n">
        <f aca="false">IF(CQ916=0,0,IF(CQ916&lt;=12,1,1+$C$6))</f>
        <v>0</v>
      </c>
      <c r="CR918" s="237" t="n">
        <f aca="false">IF(CR916=0,0,IF(CR916&lt;=12,1,1+$C$6))</f>
        <v>0</v>
      </c>
      <c r="CS918" s="237" t="n">
        <f aca="false">IF(CS916=0,0,IF(CS916&lt;=12,1,1+$C$6))</f>
        <v>0</v>
      </c>
      <c r="CT918" s="237" t="n">
        <f aca="false">IF(CT916=0,0,IF(CT916&lt;=12,1,1+$C$6))</f>
        <v>0</v>
      </c>
      <c r="CU918" s="237" t="n">
        <f aca="false">IF(CU916=0,0,IF(CU916&lt;=12,1,1+$C$6))</f>
        <v>0</v>
      </c>
      <c r="CV918" s="237" t="n">
        <f aca="false">IF(CV916=0,0,IF(CV916&lt;=12,1,1+$C$6))</f>
        <v>0</v>
      </c>
      <c r="CW918" s="237" t="n">
        <f aca="false">IF(CW916=0,0,IF(CW916&lt;=12,1,1+$C$6))</f>
        <v>0</v>
      </c>
      <c r="CX918" s="237" t="n">
        <f aca="false">IF(CX916=0,0,IF(CX916&lt;=12,1,1+$C$6))</f>
        <v>0</v>
      </c>
      <c r="CY918" s="237" t="n">
        <f aca="false">IF(CY916=0,0,IF(CY916&lt;=12,1,1+$C$6))</f>
        <v>0</v>
      </c>
      <c r="CZ918" s="237" t="n">
        <f aca="false">IF(CZ916=0,0,IF(CZ916&lt;=12,1,1+$C$6))</f>
        <v>0</v>
      </c>
      <c r="DA918" s="237" t="n">
        <f aca="false">IF(DA916=0,0,IF(DA916&lt;=12,1,1+$C$6))</f>
        <v>0</v>
      </c>
      <c r="DB918" s="237" t="n">
        <f aca="false">IF(DB916=0,0,IF(DB916&lt;=12,1,1+$C$6))</f>
        <v>0</v>
      </c>
      <c r="DC918" s="237" t="n">
        <f aca="false">IF(DC916=0,0,IF(DC916&lt;=12,1,1+$C$6))</f>
        <v>0</v>
      </c>
      <c r="DD918" s="237" t="n">
        <f aca="false">IF(DD916=0,0,IF(DD916&lt;=12,1,1+$C$6))</f>
        <v>0</v>
      </c>
      <c r="DE918" s="237" t="n">
        <f aca="false">IF(DE916=0,0,IF(DE916&lt;=12,1,1+$C$6))</f>
        <v>0</v>
      </c>
      <c r="DF918" s="237" t="n">
        <f aca="false">IF(DF916=0,0,IF(DF916&lt;=12,1,1+$C$6))</f>
        <v>0</v>
      </c>
      <c r="DG918" s="237" t="n">
        <f aca="false">IF(DG916=0,0,IF(DG916&lt;=12,1,1+$C$6))</f>
        <v>0</v>
      </c>
      <c r="DH918" s="237" t="n">
        <f aca="false">IF(DH916=0,0,IF(DH916&lt;=12,1,1+$C$6))</f>
        <v>0</v>
      </c>
      <c r="DI918" s="237" t="n">
        <f aca="false">IF(DI916=0,0,IF(DI916&lt;=12,1,1+$C$6))</f>
        <v>0</v>
      </c>
      <c r="DJ918" s="237" t="n">
        <f aca="false">IF(DJ916=0,0,IF(DJ916&lt;=12,1,1+$C$6))</f>
        <v>0</v>
      </c>
      <c r="DK918" s="237" t="n">
        <f aca="false">IF(DK916=0,0,IF(DK916&lt;=12,1,1+$C$6))</f>
        <v>0</v>
      </c>
      <c r="DL918" s="237" t="n">
        <f aca="false">IF(DL916=0,0,IF(DL916&lt;=12,1,1+$C$6))</f>
        <v>0</v>
      </c>
      <c r="DM918" s="237" t="n">
        <f aca="false">IF(DM916=0,0,IF(DM916&lt;=12,1,1+$C$6))</f>
        <v>0</v>
      </c>
      <c r="DN918" s="237" t="n">
        <f aca="false">IF(DN916=0,0,IF(DN916&lt;=12,1,1+$C$6))</f>
        <v>0</v>
      </c>
      <c r="DO918" s="237" t="n">
        <f aca="false">IF(DO916=0,0,IF(DO916&lt;=12,1,1+$C$6))</f>
        <v>0</v>
      </c>
      <c r="DP918" s="237" t="n">
        <f aca="false">IF(DP916=0,0,IF(DP916&lt;=12,1,1+$C$6))</f>
        <v>0</v>
      </c>
      <c r="DQ918" s="237" t="n">
        <f aca="false">IF(DQ916=0,0,IF(DQ916&lt;=12,1,1+$C$6))</f>
        <v>0</v>
      </c>
      <c r="DR918" s="237" t="n">
        <f aca="false">IF(DR916=0,0,IF(DR916&lt;=12,1,1+$C$6))</f>
        <v>0</v>
      </c>
      <c r="DS918" s="237" t="n">
        <f aca="false">IF(DS916=0,0,IF(DS916&lt;=12,1,1+$C$6))</f>
        <v>0</v>
      </c>
      <c r="DT918" s="237" t="n">
        <f aca="false">IF(DT916=0,0,IF(DT916&lt;=12,1,1+$C$6))</f>
        <v>0</v>
      </c>
      <c r="DU918" s="237" t="n">
        <f aca="false">IF(DU916=0,0,IF(DU916&lt;=12,1,1+$C$6))</f>
        <v>0</v>
      </c>
      <c r="DV918" s="237" t="n">
        <f aca="false">IF(DV916=0,0,IF(DV916&lt;=12,1,1+$C$6))</f>
        <v>0</v>
      </c>
      <c r="DW918" s="237" t="n">
        <f aca="false">IF(DW916=0,0,IF(DW916&lt;=12,1,1+$C$6))</f>
        <v>0</v>
      </c>
      <c r="DX918" s="237" t="n">
        <f aca="false">IF(DX916=0,0,IF(DX916&lt;=12,1,1+$C$6))</f>
        <v>0</v>
      </c>
      <c r="DY918" s="237" t="n">
        <f aca="false">IF(DY916=0,0,IF(DY916&lt;=12,1,1+$C$6))</f>
        <v>0</v>
      </c>
      <c r="DZ918" s="237" t="n">
        <f aca="false">IF(DZ916=0,0,IF(DZ916&lt;=12,1,1+$C$6))</f>
        <v>0</v>
      </c>
      <c r="EA918" s="237" t="n">
        <f aca="false">IF(EA916=0,0,IF(EA916&lt;=12,1,1+$C$6))</f>
        <v>0</v>
      </c>
      <c r="EB918" s="237" t="n">
        <f aca="false">IF(EB916=0,0,IF(EB916&lt;=12,1,1+$C$6))</f>
        <v>0</v>
      </c>
      <c r="EC918" s="237" t="n">
        <f aca="false">IF(EC916=0,0,IF(EC916&lt;=12,1,1+$C$6))</f>
        <v>0</v>
      </c>
      <c r="ED918" s="237" t="n">
        <f aca="false">IF(ED916=0,0,IF(ED916&lt;=12,1,1+$C$6))</f>
        <v>0</v>
      </c>
      <c r="EE918" s="237" t="n">
        <f aca="false">IF(EE916=0,0,IF(EE916&lt;=12,1,1+$C$6))</f>
        <v>0</v>
      </c>
      <c r="EF918" s="237" t="n">
        <f aca="false">IF(EF916=0,0,IF(EF916&lt;=12,1,1+$C$6))</f>
        <v>0</v>
      </c>
      <c r="EG918" s="237" t="n">
        <f aca="false">IF(EG916=0,0,IF(EG916&lt;=12,1,1+$C$6))</f>
        <v>0</v>
      </c>
      <c r="EH918" s="237" t="n">
        <f aca="false">IF(EH916=0,0,IF(EH916&lt;=12,1,1+$C$6))</f>
        <v>0</v>
      </c>
      <c r="EI918" s="237" t="n">
        <f aca="false">IF(EI916=0,0,IF(EI916&lt;=12,1,1+$C$6))</f>
        <v>0</v>
      </c>
      <c r="EJ918" s="237" t="n">
        <f aca="false">IF(EJ916=0,0,IF(EJ916&lt;=12,1,1+$C$6))</f>
        <v>0</v>
      </c>
      <c r="EK918" s="237" t="n">
        <f aca="false">IF(EK916=0,0,IF(EK916&lt;=12,1,1+$C$6))</f>
        <v>0</v>
      </c>
      <c r="EL918" s="237" t="n">
        <f aca="false">IF(EL916=0,0,IF(EL916&lt;=12,1,1+$C$6))</f>
        <v>0</v>
      </c>
      <c r="EM918" s="237" t="n">
        <f aca="false">IF(EM916=0,0,IF(EM916&lt;=12,1,1+$C$6))</f>
        <v>0</v>
      </c>
      <c r="EN918" s="237" t="n">
        <f aca="false">IF(EN916=0,0,IF(EN916&lt;=12,1,1+$C$6))</f>
        <v>0</v>
      </c>
      <c r="EO918" s="237" t="n">
        <f aca="false">IF(EO916=0,0,IF(EO916&lt;=12,1,1+$C$6))</f>
        <v>0</v>
      </c>
      <c r="EP918" s="237" t="n">
        <f aca="false">IF(EP916=0,0,IF(EP916&lt;=12,1,1+$C$6))</f>
        <v>0</v>
      </c>
      <c r="EQ918" s="237" t="n">
        <f aca="false">IF(EQ916=0,0,IF(EQ916&lt;=12,1,1+$C$6))</f>
        <v>0</v>
      </c>
      <c r="ER918" s="237" t="n">
        <f aca="false">IF(ER916=0,0,IF(ER916&lt;=12,1,1+$C$6))</f>
        <v>0</v>
      </c>
      <c r="ES918" s="9" t="n">
        <f aca="false">IF(ES916=0,0,IF(ES916&lt;=12,1,1+$C$6))</f>
        <v>0</v>
      </c>
      <c r="ET918" s="9" t="n">
        <f aca="false">IF(ET916=0,0,IF(ET916&lt;=12,1,1+$C$6))</f>
        <v>0</v>
      </c>
      <c r="EU918" s="9" t="n">
        <f aca="false">IF(EU916=0,0,IF(EU916&lt;=12,1,1+$C$6))</f>
        <v>0</v>
      </c>
      <c r="EV918" s="9" t="n">
        <f aca="false">IF(EV916=0,0,IF(EV916&lt;=12,1,1+$C$6))</f>
        <v>0</v>
      </c>
      <c r="EW918" s="9" t="n">
        <f aca="false">IF(EW916=0,0,IF(EW916&lt;=12,1,1+$C$6))</f>
        <v>0</v>
      </c>
      <c r="EX918" s="9" t="n">
        <f aca="false">IF(EX916=0,0,IF(EX916&lt;=12,1,1+$C$6))</f>
        <v>0</v>
      </c>
      <c r="EY918" s="9" t="n">
        <f aca="false">IF(EY916=0,0,IF(EY916&lt;=12,1,1+$C$6))</f>
        <v>0</v>
      </c>
      <c r="EZ918" s="9" t="n">
        <f aca="false">IF(EZ916=0,0,IF(EZ916&lt;=12,1,1+$C$6))</f>
        <v>0</v>
      </c>
      <c r="FA918" s="9" t="n">
        <f aca="false">IF(FA916=0,0,IF(FA916&lt;=12,1,1+$C$6))</f>
        <v>0</v>
      </c>
      <c r="FB918" s="9" t="n">
        <f aca="false">IF(FB916=0,0,IF(FB916&lt;=12,1,1+$C$6))</f>
        <v>0</v>
      </c>
      <c r="FC918" s="9" t="n">
        <f aca="false">IF(FC916=0,0,IF(FC916&lt;=12,1,1+$C$6))</f>
        <v>0</v>
      </c>
      <c r="FD918" s="9" t="n">
        <f aca="false">IF(FD916=0,0,IF(FD916&lt;=12,1,1+$C$6))</f>
        <v>0</v>
      </c>
      <c r="FE918" s="9" t="n">
        <f aca="false">IF(FE916=0,0,IF(FE916&lt;=12,1,1+$C$6))</f>
        <v>0</v>
      </c>
      <c r="FF918" s="9" t="n">
        <f aca="false">IF(FF916=0,0,IF(FF916&lt;=12,1,1+$C$6))</f>
        <v>0</v>
      </c>
      <c r="FG918" s="9" t="n">
        <f aca="false">IF(FG916=0,0,IF(FG916&lt;=12,1,1+$C$6))</f>
        <v>0</v>
      </c>
      <c r="FH918" s="9" t="n">
        <f aca="false">IF(FH916=0,0,IF(FH916&lt;=12,1,1+$C$6))</f>
        <v>0</v>
      </c>
      <c r="FI918" s="9" t="n">
        <f aca="false">IF(FI916=0,0,IF(FI916&lt;=12,1,1+$C$6))</f>
        <v>0</v>
      </c>
      <c r="FJ918" s="9" t="n">
        <f aca="false">IF(FJ916=0,0,IF(FJ916&lt;=12,1,1+$C$6))</f>
        <v>0</v>
      </c>
      <c r="FK918" s="9" t="n">
        <f aca="false">IF(FK916=0,0,IF(FK916&lt;=12,1,1+$C$6))</f>
        <v>0</v>
      </c>
      <c r="FL918" s="9" t="n">
        <f aca="false">IF(FL916=0,0,IF(FL916&lt;=12,1,1+$C$6))</f>
        <v>0</v>
      </c>
      <c r="FM918" s="9" t="n">
        <f aca="false">IF(FM916=0,0,IF(FM916&lt;=12,1,1+$C$6))</f>
        <v>0</v>
      </c>
      <c r="FN918" s="9" t="n">
        <f aca="false">IF(FN916=0,0,IF(FN916&lt;=12,1,1+$C$6))</f>
        <v>0</v>
      </c>
      <c r="FO918" s="9" t="n">
        <f aca="false">IF(FO916=0,0,IF(FO916&lt;=12,1,1+$C$6))</f>
        <v>0</v>
      </c>
      <c r="FP918" s="9" t="n">
        <f aca="false">IF(FP916=0,0,IF(FP916&lt;=12,1,1+$C$6))</f>
        <v>1</v>
      </c>
    </row>
    <row r="919" customFormat="false" ht="15" hidden="false" customHeight="false" outlineLevel="2" collapsed="false">
      <c r="B919" s="9" t="s">
        <v>876</v>
      </c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36" t="n">
        <f aca="false">AC917*$AC$915*AC918*AC$38*'⑫ Roll-out Plan'!$O$96</f>
        <v>0</v>
      </c>
      <c r="AD919" s="36" t="n">
        <f aca="false">AD917*$AC$915*AD918*AD$38*'⑫ Roll-out Plan'!$O$96</f>
        <v>0</v>
      </c>
      <c r="AE919" s="36" t="n">
        <f aca="false">AE917*$AC$915*AE918*AE$38*'⑫ Roll-out Plan'!$O$96</f>
        <v>0</v>
      </c>
      <c r="AF919" s="36" t="n">
        <f aca="false">AF917*$AC$915*AF918*AF$38*'⑫ Roll-out Plan'!$O$96</f>
        <v>0</v>
      </c>
      <c r="AG919" s="36" t="n">
        <f aca="false">AG917*$AC$915*AG918*AG$38*'⑫ Roll-out Plan'!$O$96</f>
        <v>0</v>
      </c>
      <c r="AH919" s="36" t="n">
        <f aca="false">AH917*$AC$915*AH918*AH$38*'⑫ Roll-out Plan'!$O$96</f>
        <v>0</v>
      </c>
      <c r="AI919" s="36" t="n">
        <f aca="false">AI917*$AC$915*AI918*AI$38*'⑫ Roll-out Plan'!$O$96</f>
        <v>0</v>
      </c>
      <c r="AJ919" s="36" t="n">
        <f aca="false">AJ917*$AC$915*AJ918*AJ$38*'⑫ Roll-out Plan'!$O$96</f>
        <v>0</v>
      </c>
      <c r="AK919" s="36" t="n">
        <f aca="false">AK917*$AC$915*AK918*AK$38*'⑫ Roll-out Plan'!$O$96</f>
        <v>0</v>
      </c>
      <c r="AL919" s="36" t="n">
        <f aca="false">AL917*$AC$915*AL918*AL$38*'⑫ Roll-out Plan'!$O$96</f>
        <v>0</v>
      </c>
      <c r="AM919" s="36" t="n">
        <f aca="false">AM917*$AC$915*AM918*AM$38*'⑫ Roll-out Plan'!$O$96</f>
        <v>0</v>
      </c>
      <c r="AN919" s="36" t="n">
        <f aca="false">AN917*$AC$915*AN918*AN$38*'⑫ Roll-out Plan'!$O$96</f>
        <v>0</v>
      </c>
      <c r="AO919" s="36" t="n">
        <f aca="false">AO917*$AC$915*AO918*AO$38*'⑫ Roll-out Plan'!$O$96</f>
        <v>0</v>
      </c>
      <c r="AP919" s="36" t="n">
        <f aca="false">AP917*$AC$915*AP918*AP$38*'⑫ Roll-out Plan'!$O$96</f>
        <v>0</v>
      </c>
      <c r="AQ919" s="36" t="n">
        <f aca="false">AQ917*$AC$915*AQ918*AQ$38*'⑫ Roll-out Plan'!$O$96</f>
        <v>0</v>
      </c>
      <c r="AR919" s="36" t="n">
        <f aca="false">AR917*$AC$915*AR918*AR$38*'⑫ Roll-out Plan'!$O$96</f>
        <v>0</v>
      </c>
      <c r="AS919" s="36" t="n">
        <f aca="false">AS917*$AC$915*AS918*AS$38*'⑫ Roll-out Plan'!$O$96</f>
        <v>0</v>
      </c>
      <c r="AT919" s="36" t="n">
        <f aca="false">AT917*$AC$915*AT918*AT$38*'⑫ Roll-out Plan'!$O$96</f>
        <v>0</v>
      </c>
      <c r="AU919" s="36" t="n">
        <f aca="false">AU917*$AC$915*AU918*AU$38*'⑫ Roll-out Plan'!$O$96</f>
        <v>0</v>
      </c>
      <c r="AV919" s="36" t="n">
        <f aca="false">AV917*$AC$915*AV918*AV$38*'⑫ Roll-out Plan'!$O$96</f>
        <v>0</v>
      </c>
      <c r="AW919" s="36" t="n">
        <f aca="false">AW917*$AC$915*AW918*AW$38*'⑫ Roll-out Plan'!$O$96</f>
        <v>0</v>
      </c>
      <c r="AX919" s="36" t="n">
        <f aca="false">AX917*$AC$915*AX918*AX$38*'⑫ Roll-out Plan'!$O$96</f>
        <v>0</v>
      </c>
      <c r="AY919" s="36" t="n">
        <f aca="false">AY917*$AC$915*AY918*AY$38*'⑫ Roll-out Plan'!$O$96</f>
        <v>0</v>
      </c>
      <c r="AZ919" s="36" t="n">
        <f aca="false">AZ917*$AC$915*AZ918*AZ$38*'⑫ Roll-out Plan'!$O$96</f>
        <v>0</v>
      </c>
      <c r="BA919" s="36" t="n">
        <f aca="false">BA917*$AC$915*BA918*BA$38*'⑫ Roll-out Plan'!$O$96</f>
        <v>0</v>
      </c>
      <c r="BB919" s="36" t="n">
        <f aca="false">BB917*$AC$915*BB918*BB$38*'⑫ Roll-out Plan'!$O$96</f>
        <v>0</v>
      </c>
      <c r="BC919" s="36" t="n">
        <f aca="false">BC917*$AC$915*BC918*BC$38*'⑫ Roll-out Plan'!$O$96</f>
        <v>0</v>
      </c>
      <c r="BD919" s="36" t="n">
        <f aca="false">BD917*$AC$915*BD918*BD$38*'⑫ Roll-out Plan'!$O$96</f>
        <v>0</v>
      </c>
      <c r="BE919" s="36" t="n">
        <f aca="false">BE917*$AC$915*BE918*BE$38*'⑫ Roll-out Plan'!$O$96</f>
        <v>0</v>
      </c>
      <c r="BF919" s="36" t="n">
        <f aca="false">BF917*$AC$915*BF918*BF$38*'⑫ Roll-out Plan'!$O$96</f>
        <v>0</v>
      </c>
      <c r="BG919" s="36" t="n">
        <f aca="false">BG917*$AC$915*BG918*BG$38*'⑫ Roll-out Plan'!$O$96</f>
        <v>0</v>
      </c>
      <c r="BH919" s="36" t="n">
        <f aca="false">BH917*$AC$915*BH918*BH$38*'⑫ Roll-out Plan'!$O$96</f>
        <v>0</v>
      </c>
      <c r="BI919" s="36" t="n">
        <f aca="false">BI917*$AC$915*BI918*BI$38*'⑫ Roll-out Plan'!$O$96</f>
        <v>0</v>
      </c>
      <c r="BJ919" s="36" t="n">
        <f aca="false">BJ917*$AC$915*BJ918*BJ$38*'⑫ Roll-out Plan'!$O$96</f>
        <v>0</v>
      </c>
      <c r="BK919" s="36" t="n">
        <f aca="false">BK917*$AC$915*BK918*BK$38*'⑫ Roll-out Plan'!$O$96</f>
        <v>0</v>
      </c>
      <c r="BL919" s="36" t="n">
        <f aca="false">BL917*$AC$915*BL918*BL$38*'⑫ Roll-out Plan'!$O$96</f>
        <v>0</v>
      </c>
      <c r="BM919" s="36" t="n">
        <f aca="false">BM917*$AC$915*BM918*BM$38*'⑫ Roll-out Plan'!$O$96</f>
        <v>0</v>
      </c>
      <c r="BN919" s="36" t="n">
        <f aca="false">BN917*$AC$915*BN918*BN$38*'⑫ Roll-out Plan'!$O$96</f>
        <v>0</v>
      </c>
      <c r="BO919" s="36" t="n">
        <f aca="false">BO917*$AC$915*BO918*BO$38*'⑫ Roll-out Plan'!$O$96</f>
        <v>0</v>
      </c>
      <c r="BP919" s="36" t="n">
        <f aca="false">BP917*$AC$915*BP918*BP$38*'⑫ Roll-out Plan'!$O$96</f>
        <v>0</v>
      </c>
      <c r="BQ919" s="36" t="n">
        <f aca="false">BQ917*$AC$915*BQ918*BQ$38*'⑫ Roll-out Plan'!$O$96</f>
        <v>0</v>
      </c>
      <c r="BR919" s="36" t="n">
        <f aca="false">BR917*$AC$915*BR918*BR$38*'⑫ Roll-out Plan'!$O$96</f>
        <v>0</v>
      </c>
      <c r="BS919" s="36" t="n">
        <f aca="false">BS917*$AC$915*BS918*BS$38*'⑫ Roll-out Plan'!$O$96</f>
        <v>0</v>
      </c>
      <c r="BT919" s="36" t="n">
        <f aca="false">BT917*$AC$915*BT918*BT$38*'⑫ Roll-out Plan'!$O$96</f>
        <v>0</v>
      </c>
      <c r="BU919" s="36" t="n">
        <f aca="false">BU917*$AC$915*BU918*BU$38*'⑫ Roll-out Plan'!$O$96</f>
        <v>0</v>
      </c>
      <c r="BV919" s="36" t="n">
        <f aca="false">BV917*$AC$915*BV918*BV$38*'⑫ Roll-out Plan'!$O$96</f>
        <v>0</v>
      </c>
      <c r="BW919" s="36" t="n">
        <f aca="false">BW917*$AC$915*BW918*BW$38*'⑫ Roll-out Plan'!$O$96</f>
        <v>0</v>
      </c>
      <c r="BX919" s="36" t="n">
        <f aca="false">BX917*$AC$915*BX918*BX$38*'⑫ Roll-out Plan'!$O$96</f>
        <v>0</v>
      </c>
      <c r="BY919" s="36" t="n">
        <f aca="false">BY917*$AC$915*BY918*BY$38*'⑫ Roll-out Plan'!$O$96</f>
        <v>0</v>
      </c>
      <c r="BZ919" s="36" t="n">
        <f aca="false">BZ917*$AC$915*BZ918*BZ$38*'⑫ Roll-out Plan'!$O$96</f>
        <v>0</v>
      </c>
      <c r="CA919" s="36" t="n">
        <f aca="false">CA917*$AC$915*CA918*CA$38*'⑫ Roll-out Plan'!$O$96</f>
        <v>0</v>
      </c>
      <c r="CB919" s="36" t="n">
        <f aca="false">CB917*$AC$915*CB918*CB$38*'⑫ Roll-out Plan'!$O$96</f>
        <v>0</v>
      </c>
      <c r="CC919" s="36" t="n">
        <f aca="false">CC917*$AC$915*CC918*CC$38*'⑫ Roll-out Plan'!$O$96</f>
        <v>0</v>
      </c>
      <c r="CD919" s="36" t="n">
        <f aca="false">CD917*$AC$915*CD918*CD$38*'⑫ Roll-out Plan'!$O$96</f>
        <v>0</v>
      </c>
      <c r="CE919" s="36" t="n">
        <f aca="false">CE917*$AC$915*CE918*CE$38*'⑫ Roll-out Plan'!$O$96</f>
        <v>0</v>
      </c>
      <c r="CF919" s="36" t="n">
        <f aca="false">CF917*$AC$915*CF918*CF$38*'⑫ Roll-out Plan'!$O$96</f>
        <v>0</v>
      </c>
      <c r="CG919" s="36" t="n">
        <f aca="false">CG917*$AC$915*CG918*CG$38*'⑫ Roll-out Plan'!$O$96</f>
        <v>0</v>
      </c>
      <c r="CH919" s="36" t="n">
        <f aca="false">CH917*$AC$915*CH918*CH$38*'⑫ Roll-out Plan'!$O$96</f>
        <v>0</v>
      </c>
      <c r="CI919" s="36" t="n">
        <f aca="false">CI917*$AC$915*CI918*CI$38*'⑫ Roll-out Plan'!$O$96</f>
        <v>0</v>
      </c>
      <c r="CJ919" s="36" t="n">
        <f aca="false">CJ917*$AC$915*CJ918*CJ$38*'⑫ Roll-out Plan'!$O$96</f>
        <v>0</v>
      </c>
      <c r="CK919" s="36" t="n">
        <f aca="false">CK917*$AC$915*CK918*CK$38*'⑫ Roll-out Plan'!$O$96</f>
        <v>0</v>
      </c>
      <c r="CL919" s="36" t="n">
        <f aca="false">CL917*$AC$915*CL918*CL$38*'⑫ Roll-out Plan'!$O$96</f>
        <v>0</v>
      </c>
      <c r="CM919" s="36" t="n">
        <f aca="false">CM917*$AC$915*CM918*CM$38*'⑫ Roll-out Plan'!$O$96</f>
        <v>0</v>
      </c>
      <c r="CN919" s="36" t="n">
        <f aca="false">CN917*$AC$915*CN918*CN$38*'⑫ Roll-out Plan'!$O$96</f>
        <v>0</v>
      </c>
      <c r="CO919" s="36" t="n">
        <f aca="false">CO917*$AC$915*CO918*CO$38*'⑫ Roll-out Plan'!$O$96</f>
        <v>0</v>
      </c>
      <c r="CP919" s="36" t="n">
        <f aca="false">CP917*$AC$915*CP918*CP$38*'⑫ Roll-out Plan'!$O$96</f>
        <v>0</v>
      </c>
      <c r="CQ919" s="36" t="n">
        <f aca="false">CQ917*$AC$915*CQ918*CQ$38*'⑫ Roll-out Plan'!$O$96</f>
        <v>0</v>
      </c>
      <c r="CR919" s="36" t="n">
        <f aca="false">CR917*$AC$915*CR918*CR$38*'⑫ Roll-out Plan'!$O$96</f>
        <v>0</v>
      </c>
      <c r="CS919" s="36" t="n">
        <f aca="false">CS917*$AC$915*CS918*CS$38*'⑫ Roll-out Plan'!$O$96</f>
        <v>0</v>
      </c>
      <c r="CT919" s="36" t="n">
        <f aca="false">CT917*$AC$915*CT918*CT$38*'⑫ Roll-out Plan'!$O$96</f>
        <v>0</v>
      </c>
      <c r="CU919" s="36" t="n">
        <f aca="false">CU917*$AC$915*CU918*CU$38*'⑫ Roll-out Plan'!$O$96</f>
        <v>0</v>
      </c>
      <c r="CV919" s="36" t="n">
        <f aca="false">CV917*$AC$915*CV918*CV$38*'⑫ Roll-out Plan'!$O$96</f>
        <v>0</v>
      </c>
      <c r="CW919" s="36" t="n">
        <f aca="false">CW917*$AC$915*CW918*CW$38*'⑫ Roll-out Plan'!$O$96</f>
        <v>0</v>
      </c>
      <c r="CX919" s="36" t="n">
        <f aca="false">CX917*$AC$915*CX918*CX$38*'⑫ Roll-out Plan'!$O$96</f>
        <v>0</v>
      </c>
      <c r="CY919" s="36" t="n">
        <f aca="false">CY917*$AC$915*CY918*CY$38*'⑫ Roll-out Plan'!$O$96</f>
        <v>0</v>
      </c>
      <c r="CZ919" s="36" t="n">
        <f aca="false">CZ917*$AC$915*CZ918*CZ$38*'⑫ Roll-out Plan'!$O$96</f>
        <v>0</v>
      </c>
      <c r="DA919" s="36" t="n">
        <f aca="false">DA917*$AC$915*DA918*DA$38*'⑫ Roll-out Plan'!$O$96</f>
        <v>0</v>
      </c>
      <c r="DB919" s="36" t="n">
        <f aca="false">DB917*$AC$915*DB918*DB$38*'⑫ Roll-out Plan'!$O$96</f>
        <v>0</v>
      </c>
      <c r="DC919" s="36" t="n">
        <f aca="false">DC917*$AC$915*DC918*DC$38*'⑫ Roll-out Plan'!$O$96</f>
        <v>0</v>
      </c>
      <c r="DD919" s="36" t="n">
        <f aca="false">DD917*$AC$915*DD918*DD$38*'⑫ Roll-out Plan'!$O$96</f>
        <v>0</v>
      </c>
      <c r="DE919" s="36" t="n">
        <f aca="false">DE917*$AC$915*DE918*DE$38*'⑫ Roll-out Plan'!$O$96</f>
        <v>0</v>
      </c>
      <c r="DF919" s="36" t="n">
        <f aca="false">DF917*$AC$915*DF918*DF$38*'⑫ Roll-out Plan'!$O$96</f>
        <v>0</v>
      </c>
      <c r="DG919" s="36" t="n">
        <f aca="false">DG917*$AC$915*DG918*DG$38*'⑫ Roll-out Plan'!$O$96</f>
        <v>0</v>
      </c>
      <c r="DH919" s="36" t="n">
        <f aca="false">DH917*$AC$915*DH918*DH$38*'⑫ Roll-out Plan'!$O$96</f>
        <v>0</v>
      </c>
      <c r="DI919" s="36" t="n">
        <f aca="false">DI917*$AC$915*DI918*DI$38*'⑫ Roll-out Plan'!$O$96</f>
        <v>0</v>
      </c>
      <c r="DJ919" s="36" t="n">
        <f aca="false">DJ917*$AC$915*DJ918*DJ$38*'⑫ Roll-out Plan'!$O$96</f>
        <v>0</v>
      </c>
      <c r="DK919" s="36" t="n">
        <f aca="false">DK917*$AC$915*DK918*DK$38*'⑫ Roll-out Plan'!$O$96</f>
        <v>0</v>
      </c>
      <c r="DL919" s="36" t="n">
        <f aca="false">DL917*$AC$915*DL918*DL$38*'⑫ Roll-out Plan'!$O$96</f>
        <v>0</v>
      </c>
      <c r="DM919" s="36" t="n">
        <f aca="false">DM917*$AC$915*DM918*DM$38*'⑫ Roll-out Plan'!$O$96</f>
        <v>0</v>
      </c>
      <c r="DN919" s="36" t="n">
        <f aca="false">DN917*$AC$915*DN918*DN$38*'⑫ Roll-out Plan'!$O$96</f>
        <v>0</v>
      </c>
      <c r="DO919" s="36" t="n">
        <f aca="false">DO917*$AC$915*DO918*DO$38*'⑫ Roll-out Plan'!$O$96</f>
        <v>0</v>
      </c>
      <c r="DP919" s="36" t="n">
        <f aca="false">DP917*$AC$915*DP918*DP$38*'⑫ Roll-out Plan'!$O$96</f>
        <v>0</v>
      </c>
      <c r="DQ919" s="36" t="n">
        <f aca="false">DQ917*$AC$915*DQ918*DQ$38*'⑫ Roll-out Plan'!$O$96</f>
        <v>0</v>
      </c>
      <c r="DR919" s="36" t="n">
        <f aca="false">DR917*$AC$915*DR918*DR$38*'⑫ Roll-out Plan'!$O$96</f>
        <v>0</v>
      </c>
      <c r="DS919" s="36" t="n">
        <f aca="false">DS917*$AC$915*DS918*DS$38*'⑫ Roll-out Plan'!$O$96</f>
        <v>0</v>
      </c>
      <c r="DT919" s="36" t="n">
        <f aca="false">DT917*$AC$915*DT918*DT$38*'⑫ Roll-out Plan'!$O$96</f>
        <v>0</v>
      </c>
      <c r="DU919" s="36" t="n">
        <f aca="false">DU917*$AC$915*DU918*DU$38*'⑫ Roll-out Plan'!$O$96</f>
        <v>0</v>
      </c>
      <c r="DV919" s="36" t="n">
        <f aca="false">DV917*$AC$915*DV918*DV$38*'⑫ Roll-out Plan'!$O$96</f>
        <v>0</v>
      </c>
      <c r="DW919" s="36" t="n">
        <f aca="false">DW917*$AC$915*DW918*DW$38*'⑫ Roll-out Plan'!$O$96</f>
        <v>0</v>
      </c>
      <c r="DX919" s="36" t="n">
        <f aca="false">DX917*$AC$915*DX918*DX$38*'⑫ Roll-out Plan'!$O$96</f>
        <v>0</v>
      </c>
      <c r="DY919" s="36" t="n">
        <f aca="false">DY917*$AC$915*DY918*DY$38*'⑫ Roll-out Plan'!$O$96</f>
        <v>0</v>
      </c>
      <c r="DZ919" s="36" t="n">
        <f aca="false">DZ917*$AC$915*DZ918*DZ$38*'⑫ Roll-out Plan'!$O$96</f>
        <v>0</v>
      </c>
      <c r="EA919" s="36" t="n">
        <f aca="false">EA917*$AC$915*EA918*EA$38*'⑫ Roll-out Plan'!$O$96</f>
        <v>0</v>
      </c>
      <c r="EB919" s="36" t="n">
        <f aca="false">EB917*$AC$915*EB918*EB$38*'⑫ Roll-out Plan'!$O$96</f>
        <v>0</v>
      </c>
      <c r="EC919" s="36" t="n">
        <f aca="false">EC917*$AC$915*EC918*EC$38*'⑫ Roll-out Plan'!$O$96</f>
        <v>0</v>
      </c>
      <c r="ED919" s="36" t="n">
        <f aca="false">ED917*$AC$915*ED918*ED$38*'⑫ Roll-out Plan'!$O$96</f>
        <v>0</v>
      </c>
      <c r="EE919" s="36" t="n">
        <f aca="false">EE917*$AC$915*EE918*EE$38*'⑫ Roll-out Plan'!$O$96</f>
        <v>0</v>
      </c>
      <c r="EF919" s="36" t="n">
        <f aca="false">EF917*$AC$915*EF918*EF$38*'⑫ Roll-out Plan'!$O$96</f>
        <v>0</v>
      </c>
      <c r="EG919" s="36" t="n">
        <f aca="false">EG917*$AC$915*EG918*EG$38*'⑫ Roll-out Plan'!$O$96</f>
        <v>0</v>
      </c>
      <c r="EH919" s="36" t="n">
        <f aca="false">EH917*$AC$915*EH918*EH$38*'⑫ Roll-out Plan'!$O$96</f>
        <v>0</v>
      </c>
      <c r="EI919" s="36" t="n">
        <f aca="false">EI917*$AC$915*EI918*EI$38*'⑫ Roll-out Plan'!$O$96</f>
        <v>0</v>
      </c>
      <c r="EJ919" s="36" t="n">
        <f aca="false">EJ917*$AC$915*EJ918*EJ$38*'⑫ Roll-out Plan'!$O$96</f>
        <v>0</v>
      </c>
      <c r="EK919" s="36" t="n">
        <f aca="false">EK917*$AC$915*EK918*EK$38*'⑫ Roll-out Plan'!$O$96</f>
        <v>0</v>
      </c>
      <c r="EL919" s="36" t="n">
        <f aca="false">EL917*$AC$915*EL918*EL$38*'⑫ Roll-out Plan'!$O$96</f>
        <v>0</v>
      </c>
      <c r="EM919" s="36" t="n">
        <f aca="false">EM917*$AC$915*EM918*EM$38*'⑫ Roll-out Plan'!$O$96</f>
        <v>0</v>
      </c>
      <c r="EN919" s="36" t="n">
        <f aca="false">EN917*$AC$915*EN918*EN$38*'⑫ Roll-out Plan'!$O$96</f>
        <v>0</v>
      </c>
      <c r="EO919" s="36" t="n">
        <f aca="false">EO917*$AC$915*EO918*EO$38*'⑫ Roll-out Plan'!$O$96</f>
        <v>0</v>
      </c>
      <c r="EP919" s="36" t="n">
        <f aca="false">EP917*$AC$915*EP918*EP$38*'⑫ Roll-out Plan'!$O$96</f>
        <v>0</v>
      </c>
      <c r="EQ919" s="36" t="n">
        <f aca="false">EQ917*$AC$915*EQ918*EQ$38*'⑫ Roll-out Plan'!$O$96</f>
        <v>0</v>
      </c>
      <c r="ER919" s="36" t="n">
        <f aca="false">ER917*$AC$915*ER918*ER$38*'⑫ Roll-out Plan'!$O$96</f>
        <v>0</v>
      </c>
      <c r="ES919" s="9" t="n">
        <f aca="false">ES917*$AC$915*ES918*ES$38*'⑫ Roll-out Plan'!$O$96</f>
        <v>0</v>
      </c>
      <c r="ET919" s="9" t="n">
        <f aca="false">ET917*$AC$915*ET918*ET$38*'⑫ Roll-out Plan'!$O$96</f>
        <v>0</v>
      </c>
      <c r="EU919" s="9" t="n">
        <f aca="false">EU917*$AC$915*EU918*EU$38*'⑫ Roll-out Plan'!$O$96</f>
        <v>0</v>
      </c>
      <c r="EV919" s="9" t="n">
        <f aca="false">EV917*$AC$915*EV918*EV$38*'⑫ Roll-out Plan'!$O$96</f>
        <v>0</v>
      </c>
      <c r="EW919" s="9" t="n">
        <f aca="false">EW917*$AC$915*EW918*EW$38*'⑫ Roll-out Plan'!$O$96</f>
        <v>0</v>
      </c>
      <c r="EX919" s="9" t="n">
        <f aca="false">EX917*$AC$915*EX918*EX$38*'⑫ Roll-out Plan'!$O$96</f>
        <v>0</v>
      </c>
      <c r="EY919" s="9" t="n">
        <f aca="false">EY917*$AC$915*EY918*EY$38*'⑫ Roll-out Plan'!$O$96</f>
        <v>0</v>
      </c>
      <c r="EZ919" s="9" t="n">
        <f aca="false">EZ917*$AC$915*EZ918*EZ$38*'⑫ Roll-out Plan'!$O$96</f>
        <v>0</v>
      </c>
      <c r="FA919" s="9" t="n">
        <f aca="false">FA917*$AC$915*FA918*FA$38*'⑫ Roll-out Plan'!$O$96</f>
        <v>0</v>
      </c>
      <c r="FB919" s="9" t="n">
        <f aca="false">FB917*$AC$915*FB918*FB$38*'⑫ Roll-out Plan'!$O$96</f>
        <v>0</v>
      </c>
      <c r="FC919" s="9" t="n">
        <f aca="false">FC917*$AC$915*FC918*FC$38*'⑫ Roll-out Plan'!$O$96</f>
        <v>0</v>
      </c>
      <c r="FD919" s="9" t="n">
        <f aca="false">FD917*$AC$915*FD918*FD$38*'⑫ Roll-out Plan'!$O$96</f>
        <v>0</v>
      </c>
      <c r="FE919" s="9" t="n">
        <f aca="false">FE917*$AC$915*FE918*FE$38*'⑫ Roll-out Plan'!$O$96</f>
        <v>0</v>
      </c>
      <c r="FF919" s="9" t="n">
        <f aca="false">FF917*$AC$915*FF918*FF$38*'⑫ Roll-out Plan'!$O$96</f>
        <v>0</v>
      </c>
      <c r="FG919" s="9" t="n">
        <f aca="false">FG917*$AC$915*FG918*FG$38*'⑫ Roll-out Plan'!$O$96</f>
        <v>0</v>
      </c>
      <c r="FH919" s="9" t="n">
        <f aca="false">FH917*$AC$915*FH918*FH$38*'⑫ Roll-out Plan'!$O$96</f>
        <v>0</v>
      </c>
      <c r="FI919" s="9" t="n">
        <f aca="false">FI917*$AC$915*FI918*FI$38*'⑫ Roll-out Plan'!$O$96</f>
        <v>0</v>
      </c>
      <c r="FJ919" s="9" t="n">
        <f aca="false">FJ917*$AC$915*FJ918*FJ$38*'⑫ Roll-out Plan'!$O$96</f>
        <v>0</v>
      </c>
      <c r="FK919" s="9" t="n">
        <f aca="false">FK917*$AC$915*FK918*FK$38*'⑫ Roll-out Plan'!$O$96</f>
        <v>0</v>
      </c>
      <c r="FL919" s="9" t="n">
        <f aca="false">FL917*$AC$915*FL918*FL$38*'⑫ Roll-out Plan'!$O$96</f>
        <v>0</v>
      </c>
      <c r="FM919" s="9" t="n">
        <f aca="false">FM917*$AC$915*FM918*FM$38*'⑫ Roll-out Plan'!$O$96</f>
        <v>0</v>
      </c>
      <c r="FN919" s="9" t="n">
        <f aca="false">FN917*$AC$915*FN918*FN$38*'⑫ Roll-out Plan'!$O$96</f>
        <v>0</v>
      </c>
      <c r="FO919" s="9" t="n">
        <f aca="false">FO917*$AC$915*FO918*FO$38*'⑫ Roll-out Plan'!$O$96</f>
        <v>0</v>
      </c>
      <c r="FP919" s="9" t="n">
        <f aca="false">FP917*$AC$915*FP918*FP$38*'⑫ Roll-out Plan'!$O$96</f>
        <v>22.44</v>
      </c>
    </row>
    <row r="920" customFormat="false" ht="15" hidden="false" customHeight="false" outlineLevel="2" collapsed="false">
      <c r="B920" s="9" t="s">
        <v>877</v>
      </c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112" t="n">
        <f aca="true">IFERROR(SUMPRODUCT(OFFSET($BJ$31,0,1-MIN(60,COLUMN()-29),1,MIN(60,COLUMN()-29)),OFFSET(AC919,0,-MIN(60,COLUMN()-29),1,MIN(60,COLUMN()-29))),0)</f>
        <v>0</v>
      </c>
      <c r="AD920" s="112" t="n">
        <f aca="true">IFERROR(SUMPRODUCT(OFFSET($BJ$31,0,1-MIN(60,COLUMN()-29),1,MIN(60,COLUMN()-29)),OFFSET(AD919,0,-MIN(60,COLUMN()-29),1,MIN(60,COLUMN()-29))),0)</f>
        <v>0</v>
      </c>
      <c r="AE920" s="112" t="n">
        <f aca="true">IFERROR(SUMPRODUCT(OFFSET($BJ$31,0,1-MIN(60,COLUMN()-29),1,MIN(60,COLUMN()-29)),OFFSET(AE919,0,-MIN(60,COLUMN()-29),1,MIN(60,COLUMN()-29))),0)</f>
        <v>0</v>
      </c>
      <c r="AF920" s="112" t="n">
        <f aca="true">IFERROR(SUMPRODUCT(OFFSET($BJ$31,0,1-MIN(60,COLUMN()-29),1,MIN(60,COLUMN()-29)),OFFSET(AF919,0,-MIN(60,COLUMN()-29),1,MIN(60,COLUMN()-29))),0)</f>
        <v>0</v>
      </c>
      <c r="AG920" s="112" t="n">
        <f aca="true">IFERROR(SUMPRODUCT(OFFSET($BJ$31,0,1-MIN(60,COLUMN()-29),1,MIN(60,COLUMN()-29)),OFFSET(AG919,0,-MIN(60,COLUMN()-29),1,MIN(60,COLUMN()-29))),0)</f>
        <v>0</v>
      </c>
      <c r="AH920" s="112" t="n">
        <f aca="true">IFERROR(SUMPRODUCT(OFFSET($BJ$31,0,1-MIN(60,COLUMN()-29),1,MIN(60,COLUMN()-29)),OFFSET(AH919,0,-MIN(60,COLUMN()-29),1,MIN(60,COLUMN()-29))),0)</f>
        <v>0</v>
      </c>
      <c r="AI920" s="112" t="n">
        <f aca="true">IFERROR(SUMPRODUCT(OFFSET($BJ$31,0,1-MIN(60,COLUMN()-29),1,MIN(60,COLUMN()-29)),OFFSET(AI919,0,-MIN(60,COLUMN()-29),1,MIN(60,COLUMN()-29))),0)</f>
        <v>0</v>
      </c>
      <c r="AJ920" s="112" t="n">
        <f aca="true">IFERROR(SUMPRODUCT(OFFSET($BJ$31,0,1-MIN(60,COLUMN()-29),1,MIN(60,COLUMN()-29)),OFFSET(AJ919,0,-MIN(60,COLUMN()-29),1,MIN(60,COLUMN()-29))),0)</f>
        <v>0</v>
      </c>
      <c r="AK920" s="112" t="n">
        <f aca="true">IFERROR(SUMPRODUCT(OFFSET($BJ$31,0,1-MIN(60,COLUMN()-29),1,MIN(60,COLUMN()-29)),OFFSET(AK919,0,-MIN(60,COLUMN()-29),1,MIN(60,COLUMN()-29))),0)</f>
        <v>0</v>
      </c>
      <c r="AL920" s="112" t="n">
        <f aca="true">IFERROR(SUMPRODUCT(OFFSET($BJ$31,0,1-MIN(60,COLUMN()-29),1,MIN(60,COLUMN()-29)),OFFSET(AL919,0,-MIN(60,COLUMN()-29),1,MIN(60,COLUMN()-29))),0)</f>
        <v>0</v>
      </c>
      <c r="AM920" s="112" t="n">
        <f aca="true">IFERROR(SUMPRODUCT(OFFSET($BJ$31,0,1-MIN(60,COLUMN()-29),1,MIN(60,COLUMN()-29)),OFFSET(AM919,0,-MIN(60,COLUMN()-29),1,MIN(60,COLUMN()-29))),0)</f>
        <v>0</v>
      </c>
      <c r="AN920" s="239" t="n">
        <f aca="true">IFERROR(SUMPRODUCT(OFFSET($BJ$31,0,1-MIN(60,COLUMN()-29),1,MIN(60,COLUMN()-29)),OFFSET(AN919,0,-MIN(60,COLUMN()-29),1,MIN(60,COLUMN()-29))),0)</f>
        <v>0</v>
      </c>
      <c r="AO920" s="112" t="n">
        <f aca="true">IFERROR(SUMPRODUCT(OFFSET($BJ$31,0,1-MIN(60,COLUMN()-29),1,MIN(60,COLUMN()-29)),OFFSET(AO919,0,-MIN(60,COLUMN()-29),1,MIN(60,COLUMN()-29))),0)</f>
        <v>0</v>
      </c>
      <c r="AP920" s="112" t="n">
        <f aca="true">IFERROR(SUMPRODUCT(OFFSET($BJ$31,0,1-MIN(60,COLUMN()-29),1,MIN(60,COLUMN()-29)),OFFSET(AP919,0,-MIN(60,COLUMN()-29),1,MIN(60,COLUMN()-29))),0)</f>
        <v>0</v>
      </c>
      <c r="AQ920" s="112" t="n">
        <f aca="true">IFERROR(SUMPRODUCT(OFFSET($BJ$31,0,1-MIN(60,COLUMN()-29),1,MIN(60,COLUMN()-29)),OFFSET(AQ919,0,-MIN(60,COLUMN()-29),1,MIN(60,COLUMN()-29))),0)</f>
        <v>0</v>
      </c>
      <c r="AR920" s="112" t="n">
        <f aca="true">IFERROR(SUMPRODUCT(OFFSET($BJ$31,0,1-MIN(60,COLUMN()-29),1,MIN(60,COLUMN()-29)),OFFSET(AR919,0,-MIN(60,COLUMN()-29),1,MIN(60,COLUMN()-29))),0)</f>
        <v>0</v>
      </c>
      <c r="AS920" s="112" t="n">
        <f aca="true">IFERROR(SUMPRODUCT(OFFSET($BJ$31,0,1-MIN(60,COLUMN()-29),1,MIN(60,COLUMN()-29)),OFFSET(AS919,0,-MIN(60,COLUMN()-29),1,MIN(60,COLUMN()-29))),0)</f>
        <v>0</v>
      </c>
      <c r="AT920" s="112" t="n">
        <f aca="true">IFERROR(SUMPRODUCT(OFFSET($BJ$31,0,1-MIN(60,COLUMN()-29),1,MIN(60,COLUMN()-29)),OFFSET(AT919,0,-MIN(60,COLUMN()-29),1,MIN(60,COLUMN()-29))),0)</f>
        <v>0</v>
      </c>
      <c r="AU920" s="112" t="n">
        <f aca="true">IFERROR(SUMPRODUCT(OFFSET($BJ$31,0,1-MIN(60,COLUMN()-29),1,MIN(60,COLUMN()-29)),OFFSET(AU919,0,-MIN(60,COLUMN()-29),1,MIN(60,COLUMN()-29))),0)</f>
        <v>0</v>
      </c>
      <c r="AV920" s="112" t="n">
        <f aca="true">IFERROR(SUMPRODUCT(OFFSET($BJ$31,0,1-MIN(60,COLUMN()-29),1,MIN(60,COLUMN()-29)),OFFSET(AV919,0,-MIN(60,COLUMN()-29),1,MIN(60,COLUMN()-29))),0)</f>
        <v>0</v>
      </c>
      <c r="AW920" s="112" t="n">
        <f aca="true">IFERROR(SUMPRODUCT(OFFSET($BJ$31,0,1-MIN(60,COLUMN()-29),1,MIN(60,COLUMN()-29)),OFFSET(AW919,0,-MIN(60,COLUMN()-29),1,MIN(60,COLUMN()-29))),0)</f>
        <v>0</v>
      </c>
      <c r="AX920" s="112" t="n">
        <f aca="true">IFERROR(SUMPRODUCT(OFFSET($BJ$31,0,1-MIN(60,COLUMN()-29),1,MIN(60,COLUMN()-29)),OFFSET(AX919,0,-MIN(60,COLUMN()-29),1,MIN(60,COLUMN()-29))),0)</f>
        <v>0</v>
      </c>
      <c r="AY920" s="112" t="n">
        <f aca="true">IFERROR(SUMPRODUCT(OFFSET($BJ$31,0,1-MIN(60,COLUMN()-29),1,MIN(60,COLUMN()-29)),OFFSET(AY919,0,-MIN(60,COLUMN()-29),1,MIN(60,COLUMN()-29))),0)</f>
        <v>0</v>
      </c>
      <c r="AZ920" s="112" t="n">
        <f aca="true">IFERROR(SUMPRODUCT(OFFSET($BJ$31,0,1-MIN(60,COLUMN()-29),1,MIN(60,COLUMN()-29)),OFFSET(AZ919,0,-MIN(60,COLUMN()-29),1,MIN(60,COLUMN()-29))),0)</f>
        <v>0</v>
      </c>
      <c r="BA920" s="112" t="n">
        <f aca="true">IFERROR(SUMPRODUCT(OFFSET($BJ$31,0,1-MIN(60,COLUMN()-29),1,MIN(60,COLUMN()-29)),OFFSET(BA919,0,-MIN(60,COLUMN()-29),1,MIN(60,COLUMN()-29))),0)</f>
        <v>0</v>
      </c>
      <c r="BB920" s="112" t="n">
        <f aca="true">IFERROR(SUMPRODUCT(OFFSET($BJ$31,0,1-MIN(60,COLUMN()-29),1,MIN(60,COLUMN()-29)),OFFSET(BB919,0,-MIN(60,COLUMN()-29),1,MIN(60,COLUMN()-29))),0)</f>
        <v>0</v>
      </c>
      <c r="BC920" s="112" t="n">
        <f aca="true">IFERROR(SUMPRODUCT(OFFSET($BJ$31,0,1-MIN(60,COLUMN()-29),1,MIN(60,COLUMN()-29)),OFFSET(BC919,0,-MIN(60,COLUMN()-29),1,MIN(60,COLUMN()-29))),0)</f>
        <v>0</v>
      </c>
      <c r="BD920" s="112" t="n">
        <f aca="true">IFERROR(SUMPRODUCT(OFFSET($BJ$31,0,1-MIN(60,COLUMN()-29),1,MIN(60,COLUMN()-29)),OFFSET(BD919,0,-MIN(60,COLUMN()-29),1,MIN(60,COLUMN()-29))),0)</f>
        <v>0</v>
      </c>
      <c r="BE920" s="112" t="n">
        <f aca="true">IFERROR(SUMPRODUCT(OFFSET($BJ$31,0,1-MIN(60,COLUMN()-29),1,MIN(60,COLUMN()-29)),OFFSET(BE919,0,-MIN(60,COLUMN()-29),1,MIN(60,COLUMN()-29))),0)</f>
        <v>0</v>
      </c>
      <c r="BF920" s="112" t="n">
        <f aca="true">IFERROR(SUMPRODUCT(OFFSET($BJ$31,0,1-MIN(60,COLUMN()-29),1,MIN(60,COLUMN()-29)),OFFSET(BF919,0,-MIN(60,COLUMN()-29),1,MIN(60,COLUMN()-29))),0)</f>
        <v>0</v>
      </c>
      <c r="BG920" s="112" t="n">
        <f aca="true">IFERROR(SUMPRODUCT(OFFSET($BJ$31,0,1-MIN(60,COLUMN()-29),1,MIN(60,COLUMN()-29)),OFFSET(BG919,0,-MIN(60,COLUMN()-29),1,MIN(60,COLUMN()-29))),0)</f>
        <v>0</v>
      </c>
      <c r="BH920" s="112" t="n">
        <f aca="true">IFERROR(SUMPRODUCT(OFFSET($BJ$31,0,1-MIN(60,COLUMN()-29),1,MIN(60,COLUMN()-29)),OFFSET(BH919,0,-MIN(60,COLUMN()-29),1,MIN(60,COLUMN()-29))),0)</f>
        <v>0</v>
      </c>
      <c r="BI920" s="112" t="n">
        <f aca="true">IFERROR(SUMPRODUCT(OFFSET($BJ$31,0,1-MIN(60,COLUMN()-29),1,MIN(60,COLUMN()-29)),OFFSET(BI919,0,-MIN(60,COLUMN()-29),1,MIN(60,COLUMN()-29))),0)</f>
        <v>0</v>
      </c>
      <c r="BJ920" s="112" t="n">
        <f aca="true">IFERROR(SUMPRODUCT(OFFSET($BJ$31,0,1-MIN(60,COLUMN()-29),1,MIN(60,COLUMN()-29)),OFFSET(BJ919,0,-MIN(60,COLUMN()-29),1,MIN(60,COLUMN()-29))),0)</f>
        <v>0</v>
      </c>
      <c r="BK920" s="112" t="n">
        <f aca="true">IFERROR(SUMPRODUCT(OFFSET($BJ$31,0,1-MIN(60,COLUMN()-29),1,MIN(60,COLUMN()-29)),OFFSET(BK919,0,-MIN(60,COLUMN()-29),1,MIN(60,COLUMN()-29))),0)</f>
        <v>0</v>
      </c>
      <c r="BL920" s="112" t="n">
        <f aca="true">IFERROR(SUMPRODUCT(OFFSET($BJ$31,0,1-MIN(60,COLUMN()-29),1,MIN(60,COLUMN()-29)),OFFSET(BL919,0,-MIN(60,COLUMN()-29),1,MIN(60,COLUMN()-29))),0)</f>
        <v>0</v>
      </c>
      <c r="BM920" s="112" t="n">
        <f aca="true">IFERROR(SUMPRODUCT(OFFSET($BJ$31,0,1-MIN(60,COLUMN()-29),1,MIN(60,COLUMN()-29)),OFFSET(BM919,0,-MIN(60,COLUMN()-29),1,MIN(60,COLUMN()-29))),0)</f>
        <v>0</v>
      </c>
      <c r="BN920" s="112" t="n">
        <f aca="true">IFERROR(SUMPRODUCT(OFFSET($BJ$31,0,1-MIN(60,COLUMN()-29),1,MIN(60,COLUMN()-29)),OFFSET(BN919,0,-MIN(60,COLUMN()-29),1,MIN(60,COLUMN()-29))),0)</f>
        <v>0</v>
      </c>
      <c r="BO920" s="112" t="n">
        <f aca="true">IFERROR(SUMPRODUCT(OFFSET($BJ$31,0,1-MIN(60,COLUMN()-29),1,MIN(60,COLUMN()-29)),OFFSET(BO919,0,-MIN(60,COLUMN()-29),1,MIN(60,COLUMN()-29))),0)</f>
        <v>0</v>
      </c>
      <c r="BP920" s="112" t="n">
        <f aca="true">IFERROR(SUMPRODUCT(OFFSET($BJ$31,0,1-MIN(60,COLUMN()-29),1,MIN(60,COLUMN()-29)),OFFSET(BP919,0,-MIN(60,COLUMN()-29),1,MIN(60,COLUMN()-29))),0)</f>
        <v>0</v>
      </c>
      <c r="BQ920" s="112" t="n">
        <f aca="true">IFERROR(SUMPRODUCT(OFFSET($BJ$31,0,1-MIN(60,COLUMN()-29),1,MIN(60,COLUMN()-29)),OFFSET(BQ919,0,-MIN(60,COLUMN()-29),1,MIN(60,COLUMN()-29))),0)</f>
        <v>0</v>
      </c>
      <c r="BR920" s="112" t="n">
        <f aca="true">IFERROR(SUMPRODUCT(OFFSET($BJ$31,0,1-MIN(60,COLUMN()-29),1,MIN(60,COLUMN()-29)),OFFSET(BR919,0,-MIN(60,COLUMN()-29),1,MIN(60,COLUMN()-29))),0)</f>
        <v>0</v>
      </c>
      <c r="BS920" s="112" t="n">
        <f aca="true">IFERROR(SUMPRODUCT(OFFSET($BJ$31,0,1-MIN(60,COLUMN()-29),1,MIN(60,COLUMN()-29)),OFFSET(BS919,0,-MIN(60,COLUMN()-29),1,MIN(60,COLUMN()-29))),0)</f>
        <v>0</v>
      </c>
      <c r="BT920" s="112" t="n">
        <f aca="true">IFERROR(SUMPRODUCT(OFFSET($BJ$31,0,1-MIN(60,COLUMN()-29),1,MIN(60,COLUMN()-29)),OFFSET(BT919,0,-MIN(60,COLUMN()-29),1,MIN(60,COLUMN()-29))),0)</f>
        <v>0</v>
      </c>
      <c r="BU920" s="112" t="n">
        <f aca="true">IFERROR(SUMPRODUCT(OFFSET($BJ$31,0,1-MIN(60,COLUMN()-29),1,MIN(60,COLUMN()-29)),OFFSET(BU919,0,-MIN(60,COLUMN()-29),1,MIN(60,COLUMN()-29))),0)</f>
        <v>0</v>
      </c>
      <c r="BV920" s="112" t="n">
        <f aca="true">IFERROR(SUMPRODUCT(OFFSET($BJ$31,0,1-MIN(60,COLUMN()-29),1,MIN(60,COLUMN()-29)),OFFSET(BV919,0,-MIN(60,COLUMN()-29),1,MIN(60,COLUMN()-29))),0)</f>
        <v>0</v>
      </c>
      <c r="BW920" s="112" t="n">
        <f aca="true">IFERROR(SUMPRODUCT(OFFSET($BJ$31,0,1-MIN(60,COLUMN()-29),1,MIN(60,COLUMN()-29)),OFFSET(BW919,0,-MIN(60,COLUMN()-29),1,MIN(60,COLUMN()-29))),0)</f>
        <v>0</v>
      </c>
      <c r="BX920" s="112" t="n">
        <f aca="true">IFERROR(SUMPRODUCT(OFFSET($BJ$31,0,1-MIN(60,COLUMN()-29),1,MIN(60,COLUMN()-29)),OFFSET(BX919,0,-MIN(60,COLUMN()-29),1,MIN(60,COLUMN()-29))),0)</f>
        <v>0</v>
      </c>
      <c r="BY920" s="112" t="n">
        <f aca="true">IFERROR(SUMPRODUCT(OFFSET($BJ$31,0,1-MIN(60,COLUMN()-29),1,MIN(60,COLUMN()-29)),OFFSET(BY919,0,-MIN(60,COLUMN()-29),1,MIN(60,COLUMN()-29))),0)</f>
        <v>0</v>
      </c>
      <c r="BZ920" s="112" t="n">
        <f aca="true">IFERROR(SUMPRODUCT(OFFSET($BJ$31,0,1-MIN(60,COLUMN()-29),1,MIN(60,COLUMN()-29)),OFFSET(BZ919,0,-MIN(60,COLUMN()-29),1,MIN(60,COLUMN()-29))),0)</f>
        <v>0</v>
      </c>
      <c r="CA920" s="112" t="n">
        <f aca="true">IFERROR(SUMPRODUCT(OFFSET($BJ$31,0,1-MIN(60,COLUMN()-29),1,MIN(60,COLUMN()-29)),OFFSET(CA919,0,-MIN(60,COLUMN()-29),1,MIN(60,COLUMN()-29))),0)</f>
        <v>0</v>
      </c>
      <c r="CB920" s="112" t="n">
        <f aca="true">IFERROR(SUMPRODUCT(OFFSET($BJ$31,0,1-MIN(60,COLUMN()-29),1,MIN(60,COLUMN()-29)),OFFSET(CB919,0,-MIN(60,COLUMN()-29),1,MIN(60,COLUMN()-29))),0)</f>
        <v>0</v>
      </c>
      <c r="CC920" s="112" t="n">
        <f aca="true">IFERROR(SUMPRODUCT(OFFSET($BJ$31,0,1-MIN(60,COLUMN()-29),1,MIN(60,COLUMN()-29)),OFFSET(CC919,0,-MIN(60,COLUMN()-29),1,MIN(60,COLUMN()-29))),0)</f>
        <v>0</v>
      </c>
      <c r="CD920" s="112" t="n">
        <f aca="true">IFERROR(SUMPRODUCT(OFFSET($BJ$31,0,1-MIN(60,COLUMN()-29),1,MIN(60,COLUMN()-29)),OFFSET(CD919,0,-MIN(60,COLUMN()-29),1,MIN(60,COLUMN()-29))),0)</f>
        <v>0</v>
      </c>
      <c r="CE920" s="112" t="n">
        <f aca="true">IFERROR(SUMPRODUCT(OFFSET($BJ$31,0,1-MIN(60,COLUMN()-29),1,MIN(60,COLUMN()-29)),OFFSET(CE919,0,-MIN(60,COLUMN()-29),1,MIN(60,COLUMN()-29))),0)</f>
        <v>0</v>
      </c>
      <c r="CF920" s="112" t="n">
        <f aca="true">IFERROR(SUMPRODUCT(OFFSET($BJ$31,0,1-MIN(60,COLUMN()-29),1,MIN(60,COLUMN()-29)),OFFSET(CF919,0,-MIN(60,COLUMN()-29),1,MIN(60,COLUMN()-29))),0)</f>
        <v>0</v>
      </c>
      <c r="CG920" s="112" t="n">
        <f aca="true">IFERROR(SUMPRODUCT(OFFSET($BJ$31,0,1-MIN(60,COLUMN()-29),1,MIN(60,COLUMN()-29)),OFFSET(CG919,0,-MIN(60,COLUMN()-29),1,MIN(60,COLUMN()-29))),0)</f>
        <v>0</v>
      </c>
      <c r="CH920" s="112" t="n">
        <f aca="true">IFERROR(SUMPRODUCT(OFFSET($BJ$31,0,1-MIN(60,COLUMN()-29),1,MIN(60,COLUMN()-29)),OFFSET(CH919,0,-MIN(60,COLUMN()-29),1,MIN(60,COLUMN()-29))),0)</f>
        <v>0</v>
      </c>
      <c r="CI920" s="112" t="n">
        <f aca="true">IFERROR(SUMPRODUCT(OFFSET($BJ$31,0,1-MIN(60,COLUMN()-29),1,MIN(60,COLUMN()-29)),OFFSET(CI919,0,-MIN(60,COLUMN()-29),1,MIN(60,COLUMN()-29))),0)</f>
        <v>0</v>
      </c>
      <c r="CJ920" s="112" t="n">
        <f aca="true">IFERROR(SUMPRODUCT(OFFSET($BJ$31,0,1-MIN(60,COLUMN()-29),1,MIN(60,COLUMN()-29)),OFFSET(CJ919,0,-MIN(60,COLUMN()-29),1,MIN(60,COLUMN()-29))),0)</f>
        <v>0</v>
      </c>
      <c r="CK920" s="112" t="n">
        <f aca="true">IFERROR(SUMPRODUCT(OFFSET($BJ$31,0,1-MIN(60,COLUMN()-29),1,MIN(60,COLUMN()-29)),OFFSET(CK919,0,-MIN(60,COLUMN()-29),1,MIN(60,COLUMN()-29))),0)</f>
        <v>0</v>
      </c>
      <c r="CL920" s="112" t="n">
        <f aca="true">IFERROR(SUMPRODUCT(OFFSET($BJ$31,0,1-MIN(60,COLUMN()-29),1,MIN(60,COLUMN()-29)),OFFSET(CL919,0,-MIN(60,COLUMN()-29),1,MIN(60,COLUMN()-29))),0)</f>
        <v>0</v>
      </c>
      <c r="CM920" s="112" t="n">
        <f aca="true">IFERROR(SUMPRODUCT(OFFSET($BJ$31,0,1-MIN(60,COLUMN()-29),1,MIN(60,COLUMN()-29)),OFFSET(CM919,0,-MIN(60,COLUMN()-29),1,MIN(60,COLUMN()-29))),0)</f>
        <v>0</v>
      </c>
      <c r="CN920" s="112" t="n">
        <f aca="true">IFERROR(SUMPRODUCT(OFFSET($BJ$31,0,1-MIN(60,COLUMN()-29),1,MIN(60,COLUMN()-29)),OFFSET(CN919,0,-MIN(60,COLUMN()-29),1,MIN(60,COLUMN()-29))),0)</f>
        <v>0</v>
      </c>
      <c r="CO920" s="112" t="n">
        <f aca="true">IFERROR(SUMPRODUCT(OFFSET($BJ$31,0,1-MIN(60,COLUMN()-29),1,MIN(60,COLUMN()-29)),OFFSET(CO919,0,-MIN(60,COLUMN()-29),1,MIN(60,COLUMN()-29))),0)</f>
        <v>0</v>
      </c>
      <c r="CP920" s="112" t="n">
        <f aca="true">IFERROR(SUMPRODUCT(OFFSET($BJ$31,0,1-MIN(60,COLUMN()-29),1,MIN(60,COLUMN()-29)),OFFSET(CP919,0,-MIN(60,COLUMN()-29),1,MIN(60,COLUMN()-29))),0)</f>
        <v>0</v>
      </c>
      <c r="CQ920" s="112" t="n">
        <f aca="true">IFERROR(SUMPRODUCT(OFFSET($BJ$31,0,1-MIN(60,COLUMN()-29),1,MIN(60,COLUMN()-29)),OFFSET(CQ919,0,-MIN(60,COLUMN()-29),1,MIN(60,COLUMN()-29))),0)</f>
        <v>0</v>
      </c>
      <c r="CR920" s="112" t="n">
        <f aca="true">IFERROR(SUMPRODUCT(OFFSET($BJ$31,0,1-MIN(60,COLUMN()-29),1,MIN(60,COLUMN()-29)),OFFSET(CR919,0,-MIN(60,COLUMN()-29),1,MIN(60,COLUMN()-29))),0)</f>
        <v>0</v>
      </c>
      <c r="CS920" s="112" t="n">
        <f aca="true">IFERROR(SUMPRODUCT(OFFSET($BJ$31,0,1-MIN(60,COLUMN()-29),1,MIN(60,COLUMN()-29)),OFFSET(CS919,0,-MIN(60,COLUMN()-29),1,MIN(60,COLUMN()-29))),0)</f>
        <v>0</v>
      </c>
      <c r="CT920" s="112" t="n">
        <f aca="true">IFERROR(SUMPRODUCT(OFFSET($BJ$31,0,1-MIN(60,COLUMN()-29),1,MIN(60,COLUMN()-29)),OFFSET(CT919,0,-MIN(60,COLUMN()-29),1,MIN(60,COLUMN()-29))),0)</f>
        <v>0</v>
      </c>
      <c r="CU920" s="112" t="n">
        <f aca="true">IFERROR(SUMPRODUCT(OFFSET($BJ$31,0,1-MIN(60,COLUMN()-29),1,MIN(60,COLUMN()-29)),OFFSET(CU919,0,-MIN(60,COLUMN()-29),1,MIN(60,COLUMN()-29))),0)</f>
        <v>0</v>
      </c>
      <c r="CV920" s="112" t="n">
        <f aca="true">IFERROR(SUMPRODUCT(OFFSET($BJ$31,0,1-MIN(60,COLUMN()-29),1,MIN(60,COLUMN()-29)),OFFSET(CV919,0,-MIN(60,COLUMN()-29),1,MIN(60,COLUMN()-29))),0)</f>
        <v>0</v>
      </c>
      <c r="CW920" s="112" t="n">
        <f aca="true">IFERROR(SUMPRODUCT(OFFSET($BJ$31,0,1-MIN(60,COLUMN()-29),1,MIN(60,COLUMN()-29)),OFFSET(CW919,0,-MIN(60,COLUMN()-29),1,MIN(60,COLUMN()-29))),0)</f>
        <v>0</v>
      </c>
      <c r="CX920" s="112" t="n">
        <f aca="true">IFERROR(SUMPRODUCT(OFFSET($BJ$31,0,1-MIN(60,COLUMN()-29),1,MIN(60,COLUMN()-29)),OFFSET(CX919,0,-MIN(60,COLUMN()-29),1,MIN(60,COLUMN()-29))),0)</f>
        <v>0</v>
      </c>
      <c r="CY920" s="112" t="n">
        <f aca="true">IFERROR(SUMPRODUCT(OFFSET($BJ$31,0,1-MIN(60,COLUMN()-29),1,MIN(60,COLUMN()-29)),OFFSET(CY919,0,-MIN(60,COLUMN()-29),1,MIN(60,COLUMN()-29))),0)</f>
        <v>0</v>
      </c>
      <c r="CZ920" s="112" t="n">
        <f aca="true">IFERROR(SUMPRODUCT(OFFSET($BJ$31,0,1-MIN(60,COLUMN()-29),1,MIN(60,COLUMN()-29)),OFFSET(CZ919,0,-MIN(60,COLUMN()-29),1,MIN(60,COLUMN()-29))),0)</f>
        <v>0</v>
      </c>
      <c r="DA920" s="112" t="n">
        <f aca="true">IFERROR(SUMPRODUCT(OFFSET($BJ$31,0,1-MIN(60,COLUMN()-29),1,MIN(60,COLUMN()-29)),OFFSET(DA919,0,-MIN(60,COLUMN()-29),1,MIN(60,COLUMN()-29))),0)</f>
        <v>0</v>
      </c>
      <c r="DB920" s="112" t="n">
        <f aca="true">IFERROR(SUMPRODUCT(OFFSET($BJ$31,0,1-MIN(60,COLUMN()-29),1,MIN(60,COLUMN()-29)),OFFSET(DB919,0,-MIN(60,COLUMN()-29),1,MIN(60,COLUMN()-29))),0)</f>
        <v>0</v>
      </c>
      <c r="DC920" s="112" t="n">
        <f aca="true">IFERROR(SUMPRODUCT(OFFSET($BJ$31,0,1-MIN(60,COLUMN()-29),1,MIN(60,COLUMN()-29)),OFFSET(DC919,0,-MIN(60,COLUMN()-29),1,MIN(60,COLUMN()-29))),0)</f>
        <v>0</v>
      </c>
      <c r="DD920" s="112" t="n">
        <f aca="true">IFERROR(SUMPRODUCT(OFFSET($BJ$31,0,1-MIN(60,COLUMN()-29),1,MIN(60,COLUMN()-29)),OFFSET(DD919,0,-MIN(60,COLUMN()-29),1,MIN(60,COLUMN()-29))),0)</f>
        <v>0</v>
      </c>
      <c r="DE920" s="112" t="n">
        <f aca="true">IFERROR(SUMPRODUCT(OFFSET($BJ$31,0,1-MIN(60,COLUMN()-29),1,MIN(60,COLUMN()-29)),OFFSET(DE919,0,-MIN(60,COLUMN()-29),1,MIN(60,COLUMN()-29))),0)</f>
        <v>0</v>
      </c>
      <c r="DF920" s="112" t="n">
        <f aca="true">IFERROR(SUMPRODUCT(OFFSET($BJ$31,0,1-MIN(60,COLUMN()-29),1,MIN(60,COLUMN()-29)),OFFSET(DF919,0,-MIN(60,COLUMN()-29),1,MIN(60,COLUMN()-29))),0)</f>
        <v>0</v>
      </c>
      <c r="DG920" s="112" t="n">
        <f aca="true">IFERROR(SUMPRODUCT(OFFSET($BJ$31,0,1-MIN(60,COLUMN()-29),1,MIN(60,COLUMN()-29)),OFFSET(DG919,0,-MIN(60,COLUMN()-29),1,MIN(60,COLUMN()-29))),0)</f>
        <v>0</v>
      </c>
      <c r="DH920" s="112" t="n">
        <f aca="true">IFERROR(SUMPRODUCT(OFFSET($BJ$31,0,1-MIN(60,COLUMN()-29),1,MIN(60,COLUMN()-29)),OFFSET(DH919,0,-MIN(60,COLUMN()-29),1,MIN(60,COLUMN()-29))),0)</f>
        <v>0</v>
      </c>
      <c r="DI920" s="112" t="n">
        <f aca="true">IFERROR(SUMPRODUCT(OFFSET($BJ$31,0,1-MIN(60,COLUMN()-29),1,MIN(60,COLUMN()-29)),OFFSET(DI919,0,-MIN(60,COLUMN()-29),1,MIN(60,COLUMN()-29))),0)</f>
        <v>0</v>
      </c>
      <c r="DJ920" s="112" t="n">
        <f aca="true">IFERROR(SUMPRODUCT(OFFSET($BJ$31,0,1-MIN(60,COLUMN()-29),1,MIN(60,COLUMN()-29)),OFFSET(DJ919,0,-MIN(60,COLUMN()-29),1,MIN(60,COLUMN()-29))),0)</f>
        <v>0</v>
      </c>
      <c r="DK920" s="112" t="n">
        <f aca="true">IFERROR(SUMPRODUCT(OFFSET($BJ$31,0,1-MIN(60,COLUMN()-29),1,MIN(60,COLUMN()-29)),OFFSET(DK919,0,-MIN(60,COLUMN()-29),1,MIN(60,COLUMN()-29))),0)</f>
        <v>0</v>
      </c>
      <c r="DL920" s="112" t="n">
        <f aca="true">IFERROR(SUMPRODUCT(OFFSET($BJ$31,0,1-MIN(60,COLUMN()-29),1,MIN(60,COLUMN()-29)),OFFSET(DL919,0,-MIN(60,COLUMN()-29),1,MIN(60,COLUMN()-29))),0)</f>
        <v>0</v>
      </c>
      <c r="DM920" s="112" t="n">
        <f aca="true">IFERROR(SUMPRODUCT(OFFSET($BJ$31,0,1-MIN(60,COLUMN()-29),1,MIN(60,COLUMN()-29)),OFFSET(DM919,0,-MIN(60,COLUMN()-29),1,MIN(60,COLUMN()-29))),0)</f>
        <v>0</v>
      </c>
      <c r="DN920" s="112" t="n">
        <f aca="true">IFERROR(SUMPRODUCT(OFFSET($BJ$31,0,1-MIN(60,COLUMN()-29),1,MIN(60,COLUMN()-29)),OFFSET(DN919,0,-MIN(60,COLUMN()-29),1,MIN(60,COLUMN()-29))),0)</f>
        <v>0</v>
      </c>
      <c r="DO920" s="112" t="n">
        <f aca="true">IFERROR(SUMPRODUCT(OFFSET($BJ$31,0,1-MIN(60,COLUMN()-29),1,MIN(60,COLUMN()-29)),OFFSET(DO919,0,-MIN(60,COLUMN()-29),1,MIN(60,COLUMN()-29))),0)</f>
        <v>0</v>
      </c>
      <c r="DP920" s="112" t="n">
        <f aca="true">IFERROR(SUMPRODUCT(OFFSET($BJ$31,0,1-MIN(60,COLUMN()-29),1,MIN(60,COLUMN()-29)),OFFSET(DP919,0,-MIN(60,COLUMN()-29),1,MIN(60,COLUMN()-29))),0)</f>
        <v>0</v>
      </c>
      <c r="DQ920" s="112" t="n">
        <f aca="true">IFERROR(SUMPRODUCT(OFFSET($BJ$31,0,1-MIN(60,COLUMN()-29),1,MIN(60,COLUMN()-29)),OFFSET(DQ919,0,-MIN(60,COLUMN()-29),1,MIN(60,COLUMN()-29))),0)</f>
        <v>0</v>
      </c>
      <c r="DR920" s="112" t="n">
        <f aca="true">IFERROR(SUMPRODUCT(OFFSET($BJ$31,0,1-MIN(60,COLUMN()-29),1,MIN(60,COLUMN()-29)),OFFSET(DR919,0,-MIN(60,COLUMN()-29),1,MIN(60,COLUMN()-29))),0)</f>
        <v>0</v>
      </c>
      <c r="DS920" s="112" t="n">
        <f aca="true">IFERROR(SUMPRODUCT(OFFSET($BJ$31,0,1-MIN(60,COLUMN()-29),1,MIN(60,COLUMN()-29)),OFFSET(DS919,0,-MIN(60,COLUMN()-29),1,MIN(60,COLUMN()-29))),0)</f>
        <v>0</v>
      </c>
      <c r="DT920" s="112" t="n">
        <f aca="true">IFERROR(SUMPRODUCT(OFFSET($BJ$31,0,1-MIN(60,COLUMN()-29),1,MIN(60,COLUMN()-29)),OFFSET(DT919,0,-MIN(60,COLUMN()-29),1,MIN(60,COLUMN()-29))),0)</f>
        <v>0</v>
      </c>
      <c r="DU920" s="112" t="n">
        <f aca="true">IFERROR(SUMPRODUCT(OFFSET($BJ$31,0,1-MIN(60,COLUMN()-29),1,MIN(60,COLUMN()-29)),OFFSET(DU919,0,-MIN(60,COLUMN()-29),1,MIN(60,COLUMN()-29))),0)</f>
        <v>0</v>
      </c>
      <c r="DV920" s="112" t="n">
        <f aca="true">IFERROR(SUMPRODUCT(OFFSET($BJ$31,0,1-MIN(60,COLUMN()-29),1,MIN(60,COLUMN()-29)),OFFSET(DV919,0,-MIN(60,COLUMN()-29),1,MIN(60,COLUMN()-29))),0)</f>
        <v>0</v>
      </c>
      <c r="DW920" s="112" t="n">
        <f aca="true">IFERROR(SUMPRODUCT(OFFSET($BJ$31,0,1-MIN(60,COLUMN()-29),1,MIN(60,COLUMN()-29)),OFFSET(DW919,0,-MIN(60,COLUMN()-29),1,MIN(60,COLUMN()-29))),0)</f>
        <v>0</v>
      </c>
      <c r="DX920" s="112" t="n">
        <f aca="true">IFERROR(SUMPRODUCT(OFFSET($BJ$31,0,1-MIN(60,COLUMN()-29),1,MIN(60,COLUMN()-29)),OFFSET(DX919,0,-MIN(60,COLUMN()-29),1,MIN(60,COLUMN()-29))),0)</f>
        <v>0</v>
      </c>
      <c r="DY920" s="112" t="n">
        <f aca="true">IFERROR(SUMPRODUCT(OFFSET($BJ$31,0,1-MIN(60,COLUMN()-29),1,MIN(60,COLUMN()-29)),OFFSET(DY919,0,-MIN(60,COLUMN()-29),1,MIN(60,COLUMN()-29))),0)</f>
        <v>0</v>
      </c>
      <c r="DZ920" s="112" t="n">
        <f aca="true">IFERROR(SUMPRODUCT(OFFSET($BJ$31,0,1-MIN(60,COLUMN()-29),1,MIN(60,COLUMN()-29)),OFFSET(DZ919,0,-MIN(60,COLUMN()-29),1,MIN(60,COLUMN()-29))),0)</f>
        <v>0</v>
      </c>
      <c r="EA920" s="112" t="n">
        <f aca="true">IFERROR(SUMPRODUCT(OFFSET($BJ$31,0,1-MIN(60,COLUMN()-29),1,MIN(60,COLUMN()-29)),OFFSET(EA919,0,-MIN(60,COLUMN()-29),1,MIN(60,COLUMN()-29))),0)</f>
        <v>0</v>
      </c>
      <c r="EB920" s="112" t="n">
        <f aca="true">IFERROR(SUMPRODUCT(OFFSET($BJ$31,0,1-MIN(60,COLUMN()-29),1,MIN(60,COLUMN()-29)),OFFSET(EB919,0,-MIN(60,COLUMN()-29),1,MIN(60,COLUMN()-29))),0)</f>
        <v>0</v>
      </c>
      <c r="EC920" s="112" t="n">
        <f aca="true">IFERROR(SUMPRODUCT(OFFSET($BJ$31,0,1-MIN(60,COLUMN()-29),1,MIN(60,COLUMN()-29)),OFFSET(EC919,0,-MIN(60,COLUMN()-29),1,MIN(60,COLUMN()-29))),0)</f>
        <v>0</v>
      </c>
      <c r="ED920" s="112" t="n">
        <f aca="true">IFERROR(SUMPRODUCT(OFFSET($BJ$31,0,1-MIN(60,COLUMN()-29),1,MIN(60,COLUMN()-29)),OFFSET(ED919,0,-MIN(60,COLUMN()-29),1,MIN(60,COLUMN()-29))),0)</f>
        <v>0</v>
      </c>
      <c r="EE920" s="112" t="n">
        <f aca="true">IFERROR(SUMPRODUCT(OFFSET($BJ$31,0,1-MIN(60,COLUMN()-29),1,MIN(60,COLUMN()-29)),OFFSET(EE919,0,-MIN(60,COLUMN()-29),1,MIN(60,COLUMN()-29))),0)</f>
        <v>0</v>
      </c>
      <c r="EF920" s="112" t="n">
        <f aca="true">IFERROR(SUMPRODUCT(OFFSET($BJ$31,0,1-MIN(60,COLUMN()-29),1,MIN(60,COLUMN()-29)),OFFSET(EF919,0,-MIN(60,COLUMN()-29),1,MIN(60,COLUMN()-29))),0)</f>
        <v>0</v>
      </c>
      <c r="EG920" s="112" t="n">
        <f aca="true">IFERROR(SUMPRODUCT(OFFSET($BJ$31,0,1-MIN(60,COLUMN()-29),1,MIN(60,COLUMN()-29)),OFFSET(EG919,0,-MIN(60,COLUMN()-29),1,MIN(60,COLUMN()-29))),0)</f>
        <v>0</v>
      </c>
      <c r="EH920" s="112" t="n">
        <f aca="true">IFERROR(SUMPRODUCT(OFFSET($BJ$31,0,1-MIN(60,COLUMN()-29),1,MIN(60,COLUMN()-29)),OFFSET(EH919,0,-MIN(60,COLUMN()-29),1,MIN(60,COLUMN()-29))),0)</f>
        <v>0</v>
      </c>
      <c r="EI920" s="112" t="n">
        <f aca="true">IFERROR(SUMPRODUCT(OFFSET($BJ$31,0,1-MIN(60,COLUMN()-29),1,MIN(60,COLUMN()-29)),OFFSET(EI919,0,-MIN(60,COLUMN()-29),1,MIN(60,COLUMN()-29))),0)</f>
        <v>0</v>
      </c>
      <c r="EJ920" s="112" t="n">
        <f aca="true">IFERROR(SUMPRODUCT(OFFSET($BJ$31,0,1-MIN(60,COLUMN()-29),1,MIN(60,COLUMN()-29)),OFFSET(EJ919,0,-MIN(60,COLUMN()-29),1,MIN(60,COLUMN()-29))),0)</f>
        <v>0</v>
      </c>
      <c r="EK920" s="112" t="n">
        <f aca="true">IFERROR(SUMPRODUCT(OFFSET($BJ$31,0,1-MIN(60,COLUMN()-29),1,MIN(60,COLUMN()-29)),OFFSET(EK919,0,-MIN(60,COLUMN()-29),1,MIN(60,COLUMN()-29))),0)</f>
        <v>0</v>
      </c>
      <c r="EL920" s="112" t="n">
        <f aca="true">IFERROR(SUMPRODUCT(OFFSET($BJ$31,0,1-MIN(60,COLUMN()-29),1,MIN(60,COLUMN()-29)),OFFSET(EL919,0,-MIN(60,COLUMN()-29),1,MIN(60,COLUMN()-29))),0)</f>
        <v>0</v>
      </c>
      <c r="EM920" s="112" t="n">
        <f aca="true">IFERROR(SUMPRODUCT(OFFSET($BJ$31,0,1-MIN(60,COLUMN()-29),1,MIN(60,COLUMN()-29)),OFFSET(EM919,0,-MIN(60,COLUMN()-29),1,MIN(60,COLUMN()-29))),0)</f>
        <v>0</v>
      </c>
      <c r="EN920" s="112" t="n">
        <f aca="true">IFERROR(SUMPRODUCT(OFFSET($BJ$31,0,1-MIN(60,COLUMN()-29),1,MIN(60,COLUMN()-29)),OFFSET(EN919,0,-MIN(60,COLUMN()-29),1,MIN(60,COLUMN()-29))),0)</f>
        <v>0</v>
      </c>
      <c r="EO920" s="112" t="n">
        <f aca="true">IFERROR(SUMPRODUCT(OFFSET($BJ$31,0,1-MIN(60,COLUMN()-29),1,MIN(60,COLUMN()-29)),OFFSET(EO919,0,-MIN(60,COLUMN()-29),1,MIN(60,COLUMN()-29))),0)</f>
        <v>0</v>
      </c>
      <c r="EP920" s="112" t="n">
        <f aca="true">IFERROR(SUMPRODUCT(OFFSET($BJ$31,0,1-MIN(60,COLUMN()-29),1,MIN(60,COLUMN()-29)),OFFSET(EP919,0,-MIN(60,COLUMN()-29),1,MIN(60,COLUMN()-29))),0)</f>
        <v>0</v>
      </c>
      <c r="EQ920" s="112" t="n">
        <f aca="true">IFERROR(SUMPRODUCT(OFFSET($BJ$31,0,1-MIN(60,COLUMN()-29),1,MIN(60,COLUMN()-29)),OFFSET(EQ919,0,-MIN(60,COLUMN()-29),1,MIN(60,COLUMN()-29))),0)</f>
        <v>0</v>
      </c>
      <c r="ER920" s="112" t="n">
        <f aca="true">IFERROR(SUMPRODUCT(OFFSET($BJ$31,0,1-MIN(60,COLUMN()-29),1,MIN(60,COLUMN()-29)),OFFSET(ER919,0,-MIN(60,COLUMN()-29),1,MIN(60,COLUMN()-29))),0)</f>
        <v>0</v>
      </c>
      <c r="ES920" s="9" t="n">
        <f aca="true">IFERROR(SUMPRODUCT(OFFSET($BJ$31,0,1-MIN(60,COLUMN()-29),1,MIN(60,COLUMN()-29)),OFFSET(ES919,0,-MIN(60,COLUMN()-29),1,MIN(60,COLUMN()-29))),0)</f>
        <v>0</v>
      </c>
      <c r="ET920" s="9" t="n">
        <f aca="true">IFERROR(SUMPRODUCT(OFFSET($BJ$31,0,1-MIN(60,COLUMN()-29),1,MIN(60,COLUMN()-29)),OFFSET(ET919,0,-MIN(60,COLUMN()-29),1,MIN(60,COLUMN()-29))),0)</f>
        <v>0</v>
      </c>
      <c r="EU920" s="9" t="n">
        <f aca="true">IFERROR(SUMPRODUCT(OFFSET($BJ$31,0,1-MIN(60,COLUMN()-29),1,MIN(60,COLUMN()-29)),OFFSET(EU919,0,-MIN(60,COLUMN()-29),1,MIN(60,COLUMN()-29))),0)</f>
        <v>0</v>
      </c>
      <c r="EV920" s="9" t="n">
        <f aca="true">IFERROR(SUMPRODUCT(OFFSET($BJ$31,0,1-MIN(60,COLUMN()-29),1,MIN(60,COLUMN()-29)),OFFSET(EV919,0,-MIN(60,COLUMN()-29),1,MIN(60,COLUMN()-29))),0)</f>
        <v>0</v>
      </c>
      <c r="EW920" s="9" t="n">
        <f aca="true">IFERROR(SUMPRODUCT(OFFSET($BJ$31,0,1-MIN(60,COLUMN()-29),1,MIN(60,COLUMN()-29)),OFFSET(EW919,0,-MIN(60,COLUMN()-29),1,MIN(60,COLUMN()-29))),0)</f>
        <v>0</v>
      </c>
      <c r="EX920" s="9" t="n">
        <f aca="true">IFERROR(SUMPRODUCT(OFFSET($BJ$31,0,1-MIN(60,COLUMN()-29),1,MIN(60,COLUMN()-29)),OFFSET(EX919,0,-MIN(60,COLUMN()-29),1,MIN(60,COLUMN()-29))),0)</f>
        <v>0</v>
      </c>
      <c r="EY920" s="9" t="n">
        <f aca="true">IFERROR(SUMPRODUCT(OFFSET($BJ$31,0,1-MIN(60,COLUMN()-29),1,MIN(60,COLUMN()-29)),OFFSET(EY919,0,-MIN(60,COLUMN()-29),1,MIN(60,COLUMN()-29))),0)</f>
        <v>0</v>
      </c>
      <c r="EZ920" s="9" t="n">
        <f aca="true">IFERROR(SUMPRODUCT(OFFSET($BJ$31,0,1-MIN(60,COLUMN()-29),1,MIN(60,COLUMN()-29)),OFFSET(EZ919,0,-MIN(60,COLUMN()-29),1,MIN(60,COLUMN()-29))),0)</f>
        <v>0</v>
      </c>
      <c r="FA920" s="9" t="n">
        <f aca="true">IFERROR(SUMPRODUCT(OFFSET($BJ$31,0,1-MIN(60,COLUMN()-29),1,MIN(60,COLUMN()-29)),OFFSET(FA919,0,-MIN(60,COLUMN()-29),1,MIN(60,COLUMN()-29))),0)</f>
        <v>0</v>
      </c>
      <c r="FB920" s="9" t="n">
        <f aca="true">IFERROR(SUMPRODUCT(OFFSET($BJ$31,0,1-MIN(60,COLUMN()-29),1,MIN(60,COLUMN()-29)),OFFSET(FB919,0,-MIN(60,COLUMN()-29),1,MIN(60,COLUMN()-29))),0)</f>
        <v>0</v>
      </c>
      <c r="FC920" s="9" t="n">
        <f aca="true">IFERROR(SUMPRODUCT(OFFSET($BJ$31,0,1-MIN(60,COLUMN()-29),1,MIN(60,COLUMN()-29)),OFFSET(FC919,0,-MIN(60,COLUMN()-29),1,MIN(60,COLUMN()-29))),0)</f>
        <v>0</v>
      </c>
      <c r="FD920" s="9" t="n">
        <f aca="true">IFERROR(SUMPRODUCT(OFFSET($BJ$31,0,1-MIN(60,COLUMN()-29),1,MIN(60,COLUMN()-29)),OFFSET(FD919,0,-MIN(60,COLUMN()-29),1,MIN(60,COLUMN()-29))),0)</f>
        <v>0</v>
      </c>
      <c r="FE920" s="9" t="n">
        <f aca="true">IFERROR(SUMPRODUCT(OFFSET($BJ$31,0,1-MIN(60,COLUMN()-29),1,MIN(60,COLUMN()-29)),OFFSET(FE919,0,-MIN(60,COLUMN()-29),1,MIN(60,COLUMN()-29))),0)</f>
        <v>0</v>
      </c>
      <c r="FF920" s="9" t="n">
        <f aca="true">IFERROR(SUMPRODUCT(OFFSET($BJ$31,0,1-MIN(60,COLUMN()-29),1,MIN(60,COLUMN()-29)),OFFSET(FF919,0,-MIN(60,COLUMN()-29),1,MIN(60,COLUMN()-29))),0)</f>
        <v>0</v>
      </c>
      <c r="FG920" s="9" t="n">
        <f aca="true">IFERROR(SUMPRODUCT(OFFSET($BJ$31,0,1-MIN(60,COLUMN()-29),1,MIN(60,COLUMN()-29)),OFFSET(FG919,0,-MIN(60,COLUMN()-29),1,MIN(60,COLUMN()-29))),0)</f>
        <v>0</v>
      </c>
      <c r="FH920" s="9" t="n">
        <f aca="true">IFERROR(SUMPRODUCT(OFFSET($BJ$31,0,1-MIN(60,COLUMN()-29),1,MIN(60,COLUMN()-29)),OFFSET(FH919,0,-MIN(60,COLUMN()-29),1,MIN(60,COLUMN()-29))),0)</f>
        <v>0</v>
      </c>
      <c r="FI920" s="9" t="n">
        <f aca="true">IFERROR(SUMPRODUCT(OFFSET($BJ$31,0,1-MIN(60,COLUMN()-29),1,MIN(60,COLUMN()-29)),OFFSET(FI919,0,-MIN(60,COLUMN()-29),1,MIN(60,COLUMN()-29))),0)</f>
        <v>0</v>
      </c>
      <c r="FJ920" s="9" t="n">
        <f aca="true">IFERROR(SUMPRODUCT(OFFSET($BJ$31,0,1-MIN(60,COLUMN()-29),1,MIN(60,COLUMN()-29)),OFFSET(FJ919,0,-MIN(60,COLUMN()-29),1,MIN(60,COLUMN()-29))),0)</f>
        <v>0</v>
      </c>
      <c r="FK920" s="9" t="n">
        <f aca="true">IFERROR(SUMPRODUCT(OFFSET($BJ$31,0,1-MIN(60,COLUMN()-29),1,MIN(60,COLUMN()-29)),OFFSET(FK919,0,-MIN(60,COLUMN()-29),1,MIN(60,COLUMN()-29))),0)</f>
        <v>0</v>
      </c>
      <c r="FL920" s="9" t="n">
        <f aca="true">IFERROR(SUMPRODUCT(OFFSET($BJ$31,0,1-MIN(60,COLUMN()-29),1,MIN(60,COLUMN()-29)),OFFSET(FL919,0,-MIN(60,COLUMN()-29),1,MIN(60,COLUMN()-29))),0)</f>
        <v>0</v>
      </c>
      <c r="FM920" s="9" t="n">
        <f aca="true">IFERROR(SUMPRODUCT(OFFSET($BJ$31,0,1-MIN(60,COLUMN()-29),1,MIN(60,COLUMN()-29)),OFFSET(FM919,0,-MIN(60,COLUMN()-29),1,MIN(60,COLUMN()-29))),0)</f>
        <v>0</v>
      </c>
      <c r="FN920" s="9" t="n">
        <f aca="true">IFERROR(SUMPRODUCT(OFFSET($BJ$31,0,1-MIN(60,COLUMN()-29),1,MIN(60,COLUMN()-29)),OFFSET(FN919,0,-MIN(60,COLUMN()-29),1,MIN(60,COLUMN()-29))),0)</f>
        <v>0</v>
      </c>
      <c r="FO920" s="9" t="n">
        <f aca="true">IFERROR(SUMPRODUCT(OFFSET($BJ$31,0,1-MIN(60,COLUMN()-29),1,MIN(60,COLUMN()-29)),OFFSET(FO919,0,-MIN(60,COLUMN()-29),1,MIN(60,COLUMN()-29))),0)</f>
        <v>0</v>
      </c>
      <c r="FP920" s="9" t="n">
        <f aca="true">IFERROR(SUMPRODUCT(OFFSET($BJ$31,0,1-MIN(60,COLUMN()-29),1,MIN(60,COLUMN()-29)),OFFSET(FP919,0,-MIN(60,COLUMN()-29),1,MIN(60,COLUMN()-29))),0)</f>
        <v>0</v>
      </c>
    </row>
    <row r="921" customFormat="false" ht="15" hidden="false" customHeight="false" outlineLevel="2" collapsed="false">
      <c r="B921" s="90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237"/>
      <c r="AD921" s="237"/>
      <c r="AE921" s="237"/>
      <c r="AF921" s="237"/>
      <c r="AG921" s="237"/>
      <c r="AH921" s="237"/>
      <c r="AI921" s="237"/>
      <c r="AJ921" s="237"/>
      <c r="AK921" s="237"/>
      <c r="AL921" s="237"/>
      <c r="AM921" s="237"/>
      <c r="AN921" s="237"/>
      <c r="AO921" s="237"/>
      <c r="AP921" s="237"/>
      <c r="AQ921" s="237"/>
      <c r="AR921" s="237"/>
      <c r="AS921" s="237"/>
      <c r="AT921" s="237"/>
      <c r="AU921" s="237"/>
      <c r="AV921" s="237"/>
      <c r="AW921" s="237"/>
      <c r="AX921" s="237"/>
      <c r="AY921" s="237"/>
      <c r="AZ921" s="237"/>
      <c r="BA921" s="237"/>
      <c r="BB921" s="237"/>
      <c r="BC921" s="237"/>
      <c r="BD921" s="237"/>
      <c r="BE921" s="237"/>
      <c r="BF921" s="237"/>
      <c r="BG921" s="237"/>
      <c r="BH921" s="237"/>
      <c r="BI921" s="237"/>
      <c r="BJ921" s="237"/>
      <c r="BK921" s="237"/>
      <c r="BL921" s="237"/>
      <c r="BM921" s="237"/>
      <c r="BN921" s="237"/>
      <c r="BO921" s="237"/>
      <c r="BP921" s="237"/>
      <c r="BQ921" s="237"/>
      <c r="BR921" s="237"/>
      <c r="BS921" s="237"/>
      <c r="BT921" s="237"/>
      <c r="BU921" s="237"/>
      <c r="BV921" s="237"/>
      <c r="BW921" s="237"/>
      <c r="BX921" s="237"/>
      <c r="BY921" s="237"/>
      <c r="BZ921" s="237"/>
      <c r="CA921" s="237"/>
      <c r="CB921" s="237"/>
      <c r="CC921" s="237"/>
      <c r="CD921" s="237"/>
      <c r="CE921" s="237"/>
      <c r="CF921" s="237"/>
      <c r="CG921" s="237"/>
      <c r="CH921" s="237"/>
      <c r="CI921" s="237"/>
      <c r="CJ921" s="237"/>
      <c r="CK921" s="237"/>
      <c r="CL921" s="237"/>
      <c r="CM921" s="237"/>
      <c r="CN921" s="237"/>
      <c r="CO921" s="237"/>
      <c r="CP921" s="237"/>
      <c r="CQ921" s="237"/>
      <c r="CR921" s="237"/>
      <c r="CS921" s="237"/>
      <c r="CT921" s="237"/>
      <c r="CU921" s="237"/>
      <c r="CV921" s="237"/>
      <c r="CW921" s="237"/>
      <c r="CX921" s="237"/>
      <c r="CY921" s="237"/>
      <c r="CZ921" s="237"/>
      <c r="DA921" s="237"/>
      <c r="DB921" s="237"/>
      <c r="DC921" s="237"/>
      <c r="DD921" s="237"/>
      <c r="DE921" s="237"/>
      <c r="DF921" s="237"/>
      <c r="DG921" s="237"/>
      <c r="DH921" s="237"/>
      <c r="DI921" s="237"/>
      <c r="DJ921" s="237"/>
      <c r="DK921" s="237"/>
      <c r="DL921" s="237"/>
      <c r="DM921" s="237"/>
      <c r="DN921" s="237"/>
      <c r="DO921" s="237"/>
      <c r="DP921" s="237"/>
      <c r="DQ921" s="237"/>
      <c r="DR921" s="237"/>
      <c r="DS921" s="237"/>
      <c r="DT921" s="237"/>
      <c r="DU921" s="237"/>
      <c r="DV921" s="237"/>
      <c r="DW921" s="237"/>
      <c r="DX921" s="237"/>
      <c r="DY921" s="237"/>
      <c r="DZ921" s="237"/>
      <c r="EA921" s="237"/>
      <c r="EB921" s="237"/>
      <c r="EC921" s="237"/>
      <c r="ED921" s="237"/>
      <c r="EE921" s="237"/>
      <c r="EF921" s="237"/>
      <c r="EG921" s="237"/>
      <c r="EH921" s="237"/>
      <c r="EI921" s="237"/>
      <c r="EJ921" s="237"/>
      <c r="EK921" s="237"/>
      <c r="EL921" s="237"/>
      <c r="EM921" s="237"/>
      <c r="EN921" s="237"/>
      <c r="EO921" s="237"/>
      <c r="EP921" s="237"/>
      <c r="EQ921" s="237"/>
      <c r="ER921" s="237"/>
      <c r="ES921" s="9"/>
      <c r="ET921" s="9"/>
      <c r="EU921" s="9"/>
      <c r="EV921" s="9"/>
      <c r="EW921" s="9"/>
      <c r="EX921" s="9"/>
      <c r="EY921" s="9"/>
      <c r="EZ921" s="9"/>
      <c r="FA921" s="9"/>
      <c r="FB921" s="9"/>
      <c r="FC921" s="9"/>
      <c r="FD921" s="9"/>
      <c r="FE921" s="9"/>
      <c r="FF921" s="9"/>
      <c r="FG921" s="9"/>
      <c r="FH921" s="9"/>
      <c r="FI921" s="9"/>
      <c r="FJ921" s="9"/>
      <c r="FK921" s="9"/>
      <c r="FL921" s="9"/>
      <c r="FM921" s="9"/>
      <c r="FN921" s="9"/>
      <c r="FO921" s="9"/>
      <c r="FP921" s="9"/>
    </row>
    <row r="922" customFormat="false" ht="15" hidden="false" customHeight="false" outlineLevel="2" collapsed="false">
      <c r="B922" s="240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237"/>
      <c r="AD922" s="237"/>
      <c r="AE922" s="237"/>
      <c r="AF922" s="237"/>
      <c r="AG922" s="237"/>
      <c r="AH922" s="237"/>
      <c r="AI922" s="237"/>
      <c r="AJ922" s="237"/>
      <c r="AK922" s="237"/>
      <c r="AL922" s="237"/>
      <c r="AM922" s="237"/>
      <c r="AN922" s="237"/>
      <c r="AO922" s="237"/>
      <c r="AP922" s="237"/>
      <c r="AQ922" s="237"/>
      <c r="AR922" s="237"/>
      <c r="AS922" s="237"/>
      <c r="AT922" s="237"/>
      <c r="AU922" s="237"/>
      <c r="AV922" s="237"/>
      <c r="AW922" s="237"/>
      <c r="AX922" s="237"/>
      <c r="AY922" s="237"/>
      <c r="AZ922" s="237"/>
      <c r="BA922" s="237"/>
      <c r="BB922" s="237"/>
      <c r="BC922" s="237"/>
      <c r="BD922" s="237"/>
      <c r="BE922" s="237"/>
      <c r="BF922" s="237"/>
      <c r="BG922" s="237"/>
      <c r="BH922" s="237"/>
      <c r="BI922" s="237"/>
      <c r="BJ922" s="237"/>
      <c r="BK922" s="237"/>
      <c r="BL922" s="237"/>
      <c r="BM922" s="237"/>
      <c r="BN922" s="237"/>
      <c r="BO922" s="237"/>
      <c r="BP922" s="237"/>
      <c r="BQ922" s="237"/>
      <c r="BR922" s="237"/>
      <c r="BS922" s="237"/>
      <c r="BT922" s="237"/>
      <c r="BU922" s="237"/>
      <c r="BV922" s="237"/>
      <c r="BW922" s="237"/>
      <c r="BX922" s="237"/>
      <c r="BY922" s="237"/>
      <c r="BZ922" s="237"/>
      <c r="CA922" s="237"/>
      <c r="CB922" s="237"/>
      <c r="CC922" s="237"/>
      <c r="CD922" s="237"/>
      <c r="CE922" s="237"/>
      <c r="CF922" s="237"/>
      <c r="CG922" s="237"/>
      <c r="CH922" s="237"/>
      <c r="CI922" s="237"/>
      <c r="CJ922" s="237"/>
      <c r="CK922" s="237"/>
      <c r="CL922" s="237"/>
      <c r="CM922" s="237"/>
      <c r="CN922" s="237"/>
      <c r="CO922" s="237"/>
      <c r="CP922" s="237"/>
      <c r="CQ922" s="237"/>
      <c r="CR922" s="237"/>
      <c r="CS922" s="237"/>
      <c r="CT922" s="237"/>
      <c r="CU922" s="237"/>
      <c r="CV922" s="237"/>
      <c r="CW922" s="237"/>
      <c r="CX922" s="237"/>
      <c r="CY922" s="237"/>
      <c r="CZ922" s="237"/>
      <c r="DA922" s="237"/>
      <c r="DB922" s="237"/>
      <c r="DC922" s="237"/>
      <c r="DD922" s="237"/>
      <c r="DE922" s="237"/>
      <c r="DF922" s="237"/>
      <c r="DG922" s="237"/>
      <c r="DH922" s="237"/>
      <c r="DI922" s="237"/>
      <c r="DJ922" s="237"/>
      <c r="DK922" s="237"/>
      <c r="DL922" s="237"/>
      <c r="DM922" s="237"/>
      <c r="DN922" s="237"/>
      <c r="DO922" s="237"/>
      <c r="DP922" s="237"/>
      <c r="DQ922" s="237"/>
      <c r="DR922" s="237"/>
      <c r="DS922" s="237"/>
      <c r="DT922" s="237"/>
      <c r="DU922" s="237"/>
      <c r="DV922" s="237"/>
      <c r="DW922" s="237"/>
      <c r="DX922" s="237"/>
      <c r="DY922" s="237"/>
      <c r="DZ922" s="237"/>
      <c r="EA922" s="237"/>
      <c r="EB922" s="237"/>
      <c r="EC922" s="237"/>
      <c r="ED922" s="237"/>
      <c r="EE922" s="237"/>
      <c r="EF922" s="237"/>
      <c r="EG922" s="237"/>
      <c r="EH922" s="237"/>
      <c r="EI922" s="237"/>
      <c r="EJ922" s="237"/>
      <c r="EK922" s="237"/>
      <c r="EL922" s="237"/>
      <c r="EM922" s="237"/>
      <c r="EN922" s="237"/>
      <c r="EO922" s="237"/>
      <c r="EP922" s="237"/>
      <c r="EQ922" s="237"/>
      <c r="ER922" s="237"/>
      <c r="ES922" s="9"/>
      <c r="ET922" s="9"/>
      <c r="EU922" s="9"/>
      <c r="EV922" s="9"/>
      <c r="EW922" s="9"/>
      <c r="EX922" s="9"/>
      <c r="EY922" s="9"/>
      <c r="EZ922" s="9"/>
      <c r="FA922" s="9"/>
      <c r="FB922" s="9"/>
      <c r="FC922" s="9"/>
      <c r="FD922" s="9"/>
      <c r="FE922" s="9"/>
      <c r="FF922" s="9"/>
      <c r="FG922" s="9"/>
      <c r="FH922" s="9"/>
      <c r="FI922" s="9"/>
      <c r="FJ922" s="9"/>
      <c r="FK922" s="9"/>
      <c r="FL922" s="9"/>
      <c r="FM922" s="9"/>
      <c r="FN922" s="9"/>
      <c r="FO922" s="9"/>
      <c r="FP922" s="9"/>
    </row>
    <row r="923" customFormat="false" ht="15" hidden="false" customHeight="false" outlineLevel="0" collapsed="false"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9"/>
      <c r="CQ923" s="9"/>
      <c r="CR923" s="9"/>
      <c r="CS923" s="9"/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9"/>
      <c r="DK923" s="9"/>
      <c r="DL923" s="9"/>
      <c r="DM923" s="9"/>
      <c r="DN923" s="9"/>
      <c r="DO923" s="9"/>
      <c r="DP923" s="9"/>
      <c r="DQ923" s="9"/>
      <c r="DR923" s="9"/>
      <c r="DS923" s="9"/>
      <c r="DT923" s="9"/>
      <c r="DU923" s="9"/>
      <c r="DV923" s="9"/>
      <c r="DW923" s="9"/>
      <c r="DX923" s="9"/>
      <c r="DY923" s="9"/>
      <c r="DZ923" s="9"/>
      <c r="EA923" s="9"/>
      <c r="EB923" s="9"/>
      <c r="EC923" s="9"/>
      <c r="ED923" s="9"/>
      <c r="EE923" s="9"/>
      <c r="EF923" s="9"/>
      <c r="EG923" s="9"/>
      <c r="EH923" s="9"/>
      <c r="EI923" s="9"/>
      <c r="EJ923" s="9"/>
      <c r="EK923" s="9"/>
      <c r="EL923" s="9"/>
      <c r="EM923" s="9"/>
      <c r="EN923" s="9"/>
      <c r="EO923" s="9"/>
      <c r="EP923" s="9"/>
      <c r="EQ923" s="9"/>
      <c r="ER923" s="9"/>
      <c r="ES923" s="9"/>
      <c r="ET923" s="9"/>
      <c r="EU923" s="9"/>
      <c r="EV923" s="9"/>
      <c r="EW923" s="9"/>
      <c r="EX923" s="9"/>
      <c r="EY923" s="9"/>
      <c r="EZ923" s="9"/>
      <c r="FA923" s="9"/>
      <c r="FB923" s="9"/>
      <c r="FC923" s="9"/>
      <c r="FD923" s="9"/>
      <c r="FE923" s="9"/>
      <c r="FF923" s="9"/>
      <c r="FG923" s="9"/>
      <c r="FH923" s="9"/>
      <c r="FI923" s="9"/>
      <c r="FJ923" s="9"/>
      <c r="FK923" s="9"/>
      <c r="FL923" s="9"/>
      <c r="FM923" s="9"/>
      <c r="FN923" s="9"/>
      <c r="FO923" s="9"/>
      <c r="FP923" s="9"/>
    </row>
    <row r="924" customFormat="false" ht="15" hidden="false" customHeight="false" outlineLevel="0" collapsed="false">
      <c r="B924" s="241" t="s">
        <v>965</v>
      </c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9"/>
      <c r="CN924" s="9"/>
      <c r="CO924" s="9"/>
      <c r="CP924" s="9"/>
      <c r="CQ924" s="9"/>
      <c r="CR924" s="9"/>
      <c r="CS924" s="9"/>
      <c r="CT924" s="9"/>
      <c r="CU924" s="9"/>
      <c r="CV924" s="9"/>
      <c r="CW924" s="9"/>
      <c r="CX924" s="9"/>
      <c r="CY924" s="9"/>
      <c r="CZ924" s="9"/>
      <c r="DA924" s="9"/>
      <c r="DB924" s="9"/>
      <c r="DC924" s="9"/>
      <c r="DD924" s="9"/>
      <c r="DE924" s="9"/>
      <c r="DF924" s="9"/>
      <c r="DG924" s="9"/>
      <c r="DH924" s="9"/>
      <c r="DI924" s="9"/>
      <c r="DJ924" s="9"/>
      <c r="DK924" s="9"/>
      <c r="DL924" s="9"/>
      <c r="DM924" s="9"/>
      <c r="DN924" s="9"/>
      <c r="DO924" s="9"/>
      <c r="DP924" s="9"/>
      <c r="DQ924" s="9"/>
      <c r="DR924" s="9"/>
      <c r="DS924" s="9"/>
      <c r="DT924" s="9"/>
      <c r="DU924" s="9"/>
      <c r="DV924" s="9"/>
      <c r="DW924" s="9"/>
      <c r="DX924" s="9"/>
      <c r="DY924" s="9"/>
      <c r="DZ924" s="9"/>
      <c r="EA924" s="9"/>
      <c r="EB924" s="9"/>
      <c r="EC924" s="9"/>
      <c r="ED924" s="9"/>
      <c r="EE924" s="9"/>
      <c r="EF924" s="9"/>
      <c r="EG924" s="9"/>
      <c r="EH924" s="9"/>
      <c r="EI924" s="9"/>
      <c r="EJ924" s="9"/>
      <c r="EK924" s="9"/>
      <c r="EL924" s="9"/>
      <c r="EM924" s="9"/>
      <c r="EN924" s="9"/>
      <c r="EO924" s="9"/>
      <c r="EP924" s="9"/>
      <c r="EQ924" s="9"/>
      <c r="ER924" s="9"/>
      <c r="ES924" s="9"/>
      <c r="ET924" s="9"/>
      <c r="EU924" s="9"/>
      <c r="EV924" s="9"/>
      <c r="EW924" s="9"/>
      <c r="EX924" s="9"/>
      <c r="EY924" s="9"/>
      <c r="EZ924" s="9"/>
      <c r="FA924" s="9"/>
      <c r="FB924" s="9"/>
      <c r="FC924" s="9"/>
      <c r="FD924" s="9"/>
      <c r="FE924" s="9"/>
      <c r="FF924" s="9"/>
      <c r="FG924" s="9"/>
      <c r="FH924" s="9"/>
      <c r="FI924" s="9"/>
      <c r="FJ924" s="9"/>
      <c r="FK924" s="9"/>
      <c r="FL924" s="9"/>
      <c r="FM924" s="9"/>
      <c r="FN924" s="9"/>
      <c r="FO924" s="9"/>
      <c r="FP924" s="9"/>
    </row>
    <row r="925" customFormat="false" ht="15" hidden="false" customHeight="false" outlineLevel="0" collapsed="false">
      <c r="B925" s="9" t="s">
        <v>966</v>
      </c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242" t="n">
        <f aca="false">SUM(AC49,AC59,AC69,AC79,AC89,AC99,AC109,AC119,AC129,AC139,AC149,AC159,AC169,AC179,AC189,AC199,AC209,AC219,AC229,AC239,AC249,AC259,AC269,AC279,AC289,AC299,AC309,AC319,AC329,AC339,AC349,AC359,AC369,AC379,AC389,AC399,AC409,AC419,AC429,AC439,AC449,AC459,AC469,AC479,AC489,AC499,AC509,AC519,AC529,AC539,AC549,AC559,AC569,AC579,AC589,AC599,AC609,AC619,AC629,AC639,AC649,AC659,AC669,AC679,AC689,AC699,AC709,AC719,AC729,AC739,AC749,AC759,AC769,AC779,AC789,AC799,AC809,AC819,AC829,AC839,AC849,AC859,AC869,AC879,AC889,AC899,AC909,AC919)</f>
        <v>45.36</v>
      </c>
      <c r="AD925" s="242" t="n">
        <f aca="false">SUM(AD49,AD59,AD69,AD79,AD89,AD99,AD109,AD119,AD129,AD139,AD149,AD159,AD169,AD179,AD189,AD199,AD209,AD219,AD229,AD239,AD249,AD259,AD269,AD279,AD289,AD299,AD309,AD319,AD329,AD339,AD349,AD359,AD369,AD379,AD389,AD399,AD409,AD419,AD429,AD439,AD449,AD459,AD469,AD479,AD489,AD499,AD509,AD519,AD529,AD539,AD549,AD559,AD569,AD579,AD589,AD599,AD609,AD619,AD629,AD639,AD649,AD659,AD669,AD679,AD689,AD699,AD709,AD719,AD729,AD739,AD749,AD759,AD769,AD779,AD789,AD799,AD809,AD819,AD829,AD839,AD849,AD859,AD869,AD879,AD889,AD899,AD909,AD919)</f>
        <v>50.184</v>
      </c>
      <c r="AE925" s="242" t="n">
        <f aca="false">SUM(AE49,AE59,AE69,AE79,AE89,AE99,AE109,AE119,AE129,AE139,AE149,AE159,AE169,AE179,AE189,AE199,AE209,AE219,AE229,AE239,AE249,AE259,AE269,AE279,AE289,AE299,AE309,AE319,AE329,AE339,AE349,AE359,AE369,AE379,AE389,AE399,AE409,AE419,AE429,AE439,AE449,AE459,AE469,AE479,AE489,AE499,AE509,AE519,AE529,AE539,AE549,AE559,AE569,AE579,AE589,AE599,AE609,AE619,AE629,AE639,AE649,AE659,AE669,AE679,AE689,AE699,AE709,AE719,AE729,AE739,AE749,AE759,AE769,AE779,AE789,AE799,AE809,AE819,AE829,AE839,AE849,AE859,AE869,AE879,AE889,AE899,AE909,AE919)</f>
        <v>77.604</v>
      </c>
      <c r="AF925" s="242" t="n">
        <f aca="false">SUM(AF49,AF59,AF69,AF79,AF89,AF99,AF109,AF119,AF129,AF139,AF149,AF159,AF169,AF179,AF189,AF199,AF209,AF219,AF229,AF239,AF249,AF259,AF269,AF279,AF289,AF299,AF309,AF319,AF329,AF339,AF349,AF359,AF369,AF379,AF389,AF399,AF409,AF419,AF429,AF439,AF449,AF459,AF469,AF479,AF489,AF499,AF509,AF519,AF529,AF539,AF549,AF559,AF569,AF579,AF589,AF599,AF609,AF619,AF629,AF639,AF649,AF659,AF669,AF679,AF689,AF699,AF709,AF719,AF729,AF739,AF749,AF759,AF769,AF779,AF789,AF799,AF809,AF819,AF829,AF839,AF849,AF859,AF869,AF879,AF889,AF899,AF909,AF919)</f>
        <v>82.17</v>
      </c>
      <c r="AG925" s="242" t="n">
        <f aca="false">SUM(AG49,AG59,AG69,AG79,AG89,AG99,AG109,AG119,AG129,AG139,AG149,AG159,AG169,AG179,AG189,AG199,AG209,AG219,AG229,AG239,AG249,AG259,AG269,AG279,AG289,AG299,AG309,AG319,AG329,AG339,AG349,AG359,AG369,AG379,AG389,AG399,AG409,AG419,AG429,AG439,AG449,AG459,AG469,AG479,AG489,AG499,AG509,AG519,AG529,AG539,AG549,AG559,AG569,AG579,AG589,AG599,AG609,AG619,AG629,AG639,AG649,AG659,AG669,AG679,AG689,AG699,AG709,AG719,AG729,AG739,AG749,AG759,AG769,AG779,AG789,AG799,AG809,AG819,AG829,AG839,AG849,AG859,AG869,AG879,AG889,AG899,AG909,AG919)</f>
        <v>104.834</v>
      </c>
      <c r="AH925" s="242" t="n">
        <f aca="false">SUM(AH49,AH59,AH69,AH79,AH89,AH99,AH109,AH119,AH129,AH139,AH149,AH159,AH169,AH179,AH189,AH199,AH209,AH219,AH229,AH239,AH249,AH259,AH269,AH279,AH289,AH299,AH309,AH319,AH329,AH339,AH349,AH359,AH369,AH379,AH389,AH399,AH409,AH419,AH429,AH439,AH449,AH459,AH469,AH479,AH489,AH499,AH509,AH519,AH529,AH539,AH549,AH559,AH569,AH579,AH589,AH599,AH609,AH619,AH629,AH639,AH649,AH659,AH669,AH679,AH689,AH699,AH709,AH719,AH729,AH739,AH749,AH759,AH769,AH779,AH789,AH799,AH809,AH819,AH829,AH839,AH849,AH859,AH869,AH879,AH889,AH899,AH909,AH919)</f>
        <v>100.84</v>
      </c>
      <c r="AI925" s="242" t="n">
        <f aca="false">SUM(AI49,AI59,AI69,AI79,AI89,AI99,AI109,AI119,AI129,AI139,AI149,AI159,AI169,AI179,AI189,AI199,AI209,AI219,AI229,AI239,AI249,AI259,AI269,AI279,AI289,AI299,AI309,AI319,AI329,AI339,AI349,AI359,AI369,AI379,AI389,AI399,AI409,AI419,AI429,AI439,AI449,AI459,AI469,AI479,AI489,AI499,AI509,AI519,AI529,AI539,AI549,AI559,AI569,AI579,AI589,AI599,AI609,AI619,AI629,AI639,AI649,AI659,AI669,AI679,AI689,AI699,AI709,AI719,AI729,AI739,AI749,AI759,AI769,AI779,AI789,AI799,AI809,AI819,AI829,AI839,AI849,AI859,AI869,AI879,AI889,AI899,AI909,AI919)</f>
        <v>118.566</v>
      </c>
      <c r="AJ925" s="242" t="n">
        <f aca="false">SUM(AJ49,AJ59,AJ69,AJ79,AJ89,AJ99,AJ109,AJ119,AJ129,AJ139,AJ149,AJ159,AJ169,AJ179,AJ189,AJ199,AJ209,AJ219,AJ229,AJ239,AJ249,AJ259,AJ269,AJ279,AJ289,AJ299,AJ309,AJ319,AJ329,AJ339,AJ349,AJ359,AJ369,AJ379,AJ389,AJ399,AJ409,AJ419,AJ429,AJ439,AJ449,AJ459,AJ469,AJ479,AJ489,AJ499,AJ509,AJ519,AJ529,AJ539,AJ549,AJ559,AJ569,AJ579,AJ589,AJ599,AJ609,AJ619,AJ629,AJ639,AJ649,AJ659,AJ669,AJ679,AJ689,AJ699,AJ709,AJ719,AJ729,AJ739,AJ749,AJ759,AJ769,AJ779,AJ789,AJ799,AJ809,AJ819,AJ829,AJ839,AJ849,AJ859,AJ869,AJ879,AJ889,AJ899,AJ909,AJ919)</f>
        <v>224.502</v>
      </c>
      <c r="AK925" s="242" t="n">
        <f aca="false">SUM(AK49,AK59,AK69,AK79,AK89,AK99,AK109,AK119,AK129,AK139,AK149,AK159,AK169,AK179,AK189,AK199,AK209,AK219,AK229,AK239,AK249,AK259,AK269,AK279,AK289,AK299,AK309,AK319,AK329,AK339,AK349,AK359,AK369,AK379,AK389,AK399,AK409,AK419,AK429,AK439,AK449,AK459,AK469,AK479,AK489,AK499,AK509,AK519,AK529,AK539,AK549,AK559,AK569,AK579,AK589,AK599,AK609,AK619,AK629,AK639,AK649,AK659,AK669,AK679,AK689,AK699,AK709,AK719,AK729,AK739,AK749,AK759,AK769,AK779,AK789,AK799,AK809,AK819,AK829,AK839,AK849,AK859,AK869,AK879,AK889,AK899,AK909,AK919)</f>
        <v>199.056</v>
      </c>
      <c r="AL925" s="242" t="n">
        <f aca="false">SUM(AL49,AL59,AL69,AL79,AL89,AL99,AL109,AL119,AL129,AL139,AL149,AL159,AL169,AL179,AL189,AL199,AL209,AL219,AL229,AL239,AL249,AL259,AL269,AL279,AL289,AL299,AL309,AL319,AL329,AL339,AL349,AL359,AL369,AL379,AL389,AL399,AL409,AL419,AL429,AL439,AL449,AL459,AL469,AL479,AL489,AL499,AL509,AL519,AL529,AL539,AL549,AL559,AL569,AL579,AL589,AL599,AL609,AL619,AL629,AL639,AL649,AL659,AL669,AL679,AL689,AL699,AL709,AL719,AL729,AL739,AL749,AL759,AL769,AL779,AL789,AL799,AL809,AL819,AL829,AL839,AL849,AL859,AL869,AL879,AL889,AL899,AL909,AL919)</f>
        <v>175.44</v>
      </c>
      <c r="AM925" s="242" t="n">
        <f aca="false">SUM(AM49,AM59,AM69,AM79,AM89,AM99,AM109,AM119,AM129,AM139,AM149,AM159,AM169,AM179,AM189,AM199,AM209,AM219,AM229,AM239,AM249,AM259,AM269,AM279,AM289,AM299,AM309,AM319,AM329,AM339,AM349,AM359,AM369,AM379,AM389,AM399,AM409,AM419,AM429,AM439,AM449,AM459,AM469,AM479,AM489,AM499,AM509,AM519,AM529,AM539,AM549,AM559,AM569,AM579,AM589,AM599,AM609,AM619,AM629,AM639,AM649,AM659,AM669,AM679,AM689,AM699,AM709,AM719,AM729,AM739,AM749,AM759,AM769,AM779,AM789,AM799,AM809,AM819,AM829,AM839,AM849,AM859,AM869,AM879,AM889,AM899,AM909,AM919)</f>
        <v>142.956</v>
      </c>
      <c r="AN925" s="242" t="n">
        <f aca="false">SUM(AN49,AN59,AN69,AN79,AN89,AN99,AN109,AN119,AN129,AN139,AN149,AN159,AN169,AN179,AN189,AN199,AN209,AN219,AN229,AN239,AN249,AN259,AN269,AN279,AN289,AN299,AN309,AN319,AN329,AN339,AN349,AN359,AN369,AN379,AN389,AN399,AN409,AN419,AN429,AN439,AN449,AN459,AN469,AN479,AN489,AN499,AN509,AN519,AN529,AN539,AN549,AN559,AN569,AN579,AN589,AN599,AN609,AN619,AN629,AN639,AN649,AN659,AN669,AN679,AN689,AN699,AN709,AN719,AN729,AN739,AN749,AN759,AN769,AN779,AN789,AN799,AN809,AN819,AN829,AN839,AN849,AN859,AN869,AN879,AN889,AN899,AN909,AN919)</f>
        <v>264.537</v>
      </c>
      <c r="AO925" s="242" t="n">
        <f aca="false">SUM(AO49,AO59,AO69,AO79,AO89,AO99,AO109,AO119,AO129,AO139,AO149,AO159,AO169,AO179,AO189,AO199,AO209,AO219,AO229,AO239,AO249,AO259,AO269,AO279,AO289,AO299,AO309,AO319,AO329,AO339,AO349,AO359,AO369,AO379,AO389,AO399,AO409,AO419,AO429,AO439,AO449,AO459,AO469,AO479,AO489,AO499,AO509,AO519,AO529,AO539,AO549,AO559,AO569,AO579,AO589,AO599,AO609,AO619,AO629,AO639,AO649,AO659,AO669,AO679,AO689,AO699,AO709,AO719,AO729,AO739,AO749,AO759,AO769,AO779,AO789,AO799,AO809,AO819,AO829,AO839,AO849,AO859,AO869,AO879,AO889,AO899,AO909,AO919)</f>
        <v>306.936</v>
      </c>
      <c r="AP925" s="242" t="n">
        <f aca="false">SUM(AP49,AP59,AP69,AP79,AP89,AP99,AP109,AP119,AP129,AP139,AP149,AP159,AP169,AP179,AP189,AP199,AP209,AP219,AP229,AP239,AP249,AP259,AP269,AP279,AP289,AP299,AP309,AP319,AP329,AP339,AP349,AP359,AP369,AP379,AP389,AP399,AP409,AP419,AP429,AP439,AP449,AP459,AP469,AP479,AP489,AP499,AP509,AP519,AP529,AP539,AP549,AP559,AP569,AP579,AP589,AP599,AP609,AP619,AP629,AP639,AP649,AP659,AP669,AP679,AP689,AP699,AP709,AP719,AP729,AP739,AP749,AP759,AP769,AP779,AP789,AP799,AP809,AP819,AP829,AP839,AP849,AP859,AP869,AP879,AP889,AP899,AP909,AP919)</f>
        <v>245.836</v>
      </c>
      <c r="AQ925" s="242" t="n">
        <f aca="false">SUM(AQ49,AQ59,AQ69,AQ79,AQ89,AQ99,AQ109,AQ119,AQ129,AQ139,AQ149,AQ159,AQ169,AQ179,AQ189,AQ199,AQ209,AQ219,AQ229,AQ239,AQ249,AQ259,AQ269,AQ279,AQ289,AQ299,AQ309,AQ319,AQ329,AQ339,AQ349,AQ359,AQ369,AQ379,AQ389,AQ399,AQ409,AQ419,AQ429,AQ439,AQ449,AQ459,AQ469,AQ479,AQ489,AQ499,AQ509,AQ519,AQ529,AQ539,AQ549,AQ559,AQ569,AQ579,AQ589,AQ599,AQ609,AQ619,AQ629,AQ639,AQ649,AQ659,AQ669,AQ679,AQ689,AQ699,AQ709,AQ719,AQ729,AQ739,AQ749,AQ759,AQ769,AQ779,AQ789,AQ799,AQ809,AQ819,AQ829,AQ839,AQ849,AQ859,AQ869,AQ879,AQ889,AQ899,AQ909,AQ919)</f>
        <v>367.14</v>
      </c>
      <c r="AR925" s="242" t="n">
        <f aca="false">SUM(AR49,AR59,AR69,AR79,AR89,AR99,AR109,AR119,AR129,AR139,AR149,AR159,AR169,AR179,AR189,AR199,AR209,AR219,AR229,AR239,AR249,AR259,AR269,AR279,AR289,AR299,AR309,AR319,AR329,AR339,AR349,AR359,AR369,AR379,AR389,AR399,AR409,AR419,AR429,AR439,AR449,AR459,AR469,AR479,AR489,AR499,AR509,AR519,AR529,AR539,AR549,AR559,AR569,AR579,AR589,AR599,AR609,AR619,AR629,AR639,AR649,AR659,AR669,AR679,AR689,AR699,AR709,AR719,AR729,AR739,AR749,AR759,AR769,AR779,AR789,AR799,AR809,AR819,AR829,AR839,AR849,AR859,AR869,AR879,AR889,AR899,AR909,AR919)</f>
        <v>392.326</v>
      </c>
      <c r="AS925" s="242" t="n">
        <f aca="false">SUM(AS49,AS59,AS69,AS79,AS89,AS99,AS109,AS119,AS129,AS139,AS149,AS159,AS169,AS179,AS189,AS199,AS209,AS219,AS229,AS239,AS249,AS259,AS269,AS279,AS289,AS299,AS309,AS319,AS329,AS339,AS349,AS359,AS369,AS379,AS389,AS399,AS409,AS419,AS429,AS439,AS449,AS459,AS469,AS479,AS489,AS499,AS509,AS519,AS529,AS539,AS549,AS559,AS569,AS579,AS589,AS599,AS609,AS619,AS629,AS639,AS649,AS659,AS669,AS679,AS689,AS699,AS709,AS719,AS729,AS739,AS749,AS759,AS769,AS779,AS789,AS799,AS809,AS819,AS829,AS839,AS849,AS859,AS869,AS879,AS889,AS899,AS909,AS919)</f>
        <v>360.3824</v>
      </c>
      <c r="AT925" s="242" t="n">
        <f aca="false">SUM(AT49,AT59,AT69,AT79,AT89,AT99,AT109,AT119,AT129,AT139,AT149,AT159,AT169,AT179,AT189,AT199,AT209,AT219,AT229,AT239,AT249,AT259,AT269,AT279,AT289,AT299,AT309,AT319,AT329,AT339,AT349,AT359,AT369,AT379,AT389,AT399,AT409,AT419,AT429,AT439,AT449,AT459,AT469,AT479,AT489,AT499,AT509,AT519,AT529,AT539,AT549,AT559,AT569,AT579,AT589,AT599,AT609,AT619,AT629,AT639,AT649,AT659,AT669,AT679,AT689,AT699,AT709,AT719,AT729,AT739,AT749,AT759,AT769,AT779,AT789,AT799,AT809,AT819,AT829,AT839,AT849,AT859,AT869,AT879,AT889,AT899,AT909,AT919)</f>
        <v>334.224</v>
      </c>
      <c r="AU925" s="242" t="n">
        <f aca="false">SUM(AU49,AU59,AU69,AU79,AU89,AU99,AU109,AU119,AU129,AU139,AU149,AU159,AU169,AU179,AU189,AU199,AU209,AU219,AU229,AU239,AU249,AU259,AU269,AU279,AU289,AU299,AU309,AU319,AU329,AU339,AU349,AU359,AU369,AU379,AU389,AU399,AU409,AU419,AU429,AU439,AU449,AU459,AU469,AU479,AU489,AU499,AU509,AU519,AU529,AU539,AU549,AU559,AU569,AU579,AU589,AU599,AU609,AU619,AU629,AU639,AU649,AU659,AU669,AU679,AU689,AU699,AU709,AU719,AU729,AU739,AU749,AU759,AU769,AU779,AU789,AU799,AU809,AU819,AU829,AU839,AU849,AU859,AU869,AU879,AU889,AU899,AU909,AU919)</f>
        <v>364.4928</v>
      </c>
      <c r="AV925" s="242" t="n">
        <f aca="false">SUM(AV49,AV59,AV69,AV79,AV89,AV99,AV109,AV119,AV129,AV139,AV149,AV159,AV169,AV179,AV189,AV199,AV209,AV219,AV229,AV239,AV249,AV259,AV269,AV279,AV289,AV299,AV309,AV319,AV329,AV339,AV349,AV359,AV369,AV379,AV389,AV399,AV409,AV419,AV429,AV439,AV449,AV459,AV469,AV479,AV489,AV499,AV509,AV519,AV529,AV539,AV549,AV559,AV569,AV579,AV589,AV599,AV609,AV619,AV629,AV639,AV649,AV659,AV669,AV679,AV689,AV699,AV709,AV719,AV729,AV739,AV749,AV759,AV769,AV779,AV789,AV799,AV809,AV819,AV829,AV839,AV849,AV859,AV869,AV879,AV889,AV899,AV909,AV919)</f>
        <v>674.6136</v>
      </c>
      <c r="AW925" s="242" t="n">
        <f aca="false">SUM(AW49,AW59,AW69,AW79,AW89,AW99,AW109,AW119,AW129,AW139,AW149,AW159,AW169,AW179,AW189,AW199,AW209,AW219,AW229,AW239,AW249,AW259,AW269,AW279,AW289,AW299,AW309,AW319,AW329,AW339,AW349,AW359,AW369,AW379,AW389,AW399,AW409,AW419,AW429,AW439,AW449,AW459,AW469,AW479,AW489,AW499,AW509,AW519,AW529,AW539,AW549,AW559,AW569,AW579,AW589,AW599,AW609,AW619,AW629,AW639,AW649,AW659,AW669,AW679,AW689,AW699,AW709,AW719,AW729,AW739,AW749,AW759,AW769,AW779,AW789,AW799,AW809,AW819,AW829,AW839,AW849,AW859,AW869,AW879,AW889,AW899,AW909,AW919)</f>
        <v>564.6648</v>
      </c>
      <c r="AX925" s="242" t="n">
        <f aca="false">SUM(AX49,AX59,AX69,AX79,AX89,AX99,AX109,AX119,AX129,AX139,AX149,AX159,AX169,AX179,AX189,AX199,AX209,AX219,AX229,AX239,AX249,AX259,AX269,AX279,AX289,AX299,AX309,AX319,AX329,AX339,AX349,AX359,AX369,AX379,AX389,AX399,AX409,AX419,AX429,AX439,AX449,AX459,AX469,AX479,AX489,AX499,AX509,AX519,AX529,AX539,AX549,AX559,AX569,AX579,AX589,AX599,AX609,AX619,AX629,AX639,AX649,AX659,AX669,AX679,AX689,AX699,AX709,AX719,AX729,AX739,AX749,AX759,AX769,AX779,AX789,AX799,AX809,AX819,AX829,AX839,AX849,AX859,AX869,AX879,AX889,AX899,AX909,AX919)</f>
        <v>488.3328</v>
      </c>
      <c r="AY925" s="242" t="n">
        <f aca="false">SUM(AY49,AY59,AY69,AY79,AY89,AY99,AY109,AY119,AY129,AY139,AY149,AY159,AY169,AY179,AY189,AY199,AY209,AY219,AY229,AY239,AY249,AY259,AY269,AY279,AY289,AY299,AY309,AY319,AY329,AY339,AY349,AY359,AY369,AY379,AY389,AY399,AY409,AY419,AY429,AY439,AY449,AY459,AY469,AY479,AY489,AY499,AY509,AY519,AY529,AY539,AY549,AY559,AY569,AY579,AY589,AY599,AY609,AY619,AY629,AY639,AY649,AY659,AY669,AY679,AY689,AY699,AY709,AY719,AY729,AY739,AY749,AY759,AY769,AY779,AY789,AY799,AY809,AY819,AY829,AY839,AY849,AY859,AY869,AY879,AY889,AY899,AY909,AY919)</f>
        <v>380.4192</v>
      </c>
      <c r="AZ925" s="242" t="n">
        <f aca="false">SUM(AZ49,AZ59,AZ69,AZ79,AZ89,AZ99,AZ109,AZ119,AZ129,AZ139,AZ149,AZ159,AZ169,AZ179,AZ189,AZ199,AZ209,AZ219,AZ229,AZ239,AZ249,AZ259,AZ269,AZ279,AZ289,AZ299,AZ309,AZ319,AZ329,AZ339,AZ349,AZ359,AZ369,AZ379,AZ389,AZ399,AZ409,AZ419,AZ429,AZ439,AZ449,AZ459,AZ469,AZ479,AZ489,AZ499,AZ509,AZ519,AZ529,AZ539,AZ549,AZ559,AZ569,AZ579,AZ589,AZ599,AZ609,AZ619,AZ629,AZ639,AZ649,AZ659,AZ669,AZ679,AZ689,AZ699,AZ709,AZ719,AZ729,AZ739,AZ749,AZ759,AZ769,AZ779,AZ789,AZ799,AZ809,AZ819,AZ829,AZ839,AZ849,AZ859,AZ869,AZ879,AZ889,AZ899,AZ909,AZ919)</f>
        <v>554.472</v>
      </c>
      <c r="BA925" s="242" t="n">
        <f aca="false">SUM(BA49,BA59,BA69,BA79,BA89,BA99,BA109,BA119,BA129,BA139,BA149,BA159,BA169,BA179,BA189,BA199,BA209,BA219,BA229,BA239,BA249,BA259,BA269,BA279,BA289,BA299,BA309,BA319,BA329,BA339,BA349,BA359,BA369,BA379,BA389,BA399,BA409,BA419,BA429,BA439,BA449,BA459,BA469,BA479,BA489,BA499,BA509,BA519,BA529,BA539,BA549,BA559,BA569,BA579,BA589,BA599,BA609,BA619,BA629,BA639,BA649,BA659,BA669,BA679,BA689,BA699,BA709,BA719,BA729,BA739,BA749,BA759,BA769,BA779,BA789,BA799,BA809,BA819,BA829,BA839,BA849,BA859,BA869,BA879,BA889,BA899,BA909,BA919)</f>
        <v>642.8592</v>
      </c>
      <c r="BB925" s="242" t="n">
        <f aca="false">SUM(BB49,BB59,BB69,BB79,BB89,BB99,BB109,BB119,BB129,BB139,BB149,BB159,BB169,BB179,BB189,BB199,BB209,BB219,BB229,BB239,BB249,BB259,BB269,BB279,BB289,BB299,BB309,BB319,BB329,BB339,BB349,BB359,BB369,BB379,BB389,BB399,BB409,BB419,BB429,BB439,BB449,BB459,BB469,BB479,BB489,BB499,BB509,BB519,BB529,BB539,BB549,BB559,BB569,BB579,BB589,BB599,BB609,BB619,BB629,BB639,BB649,BB659,BB669,BB679,BB689,BB699,BB709,BB719,BB729,BB739,BB749,BB759,BB769,BB779,BB789,BB799,BB809,BB819,BB829,BB839,BB849,BB859,BB869,BB879,BB889,BB899,BB909,BB919)</f>
        <v>531.278</v>
      </c>
      <c r="BC925" s="242" t="n">
        <f aca="false">SUM(BC49,BC59,BC69,BC79,BC89,BC99,BC109,BC119,BC129,BC139,BC149,BC159,BC169,BC179,BC189,BC199,BC209,BC219,BC229,BC239,BC249,BC259,BC269,BC279,BC289,BC299,BC309,BC319,BC329,BC339,BC349,BC359,BC369,BC379,BC389,BC399,BC409,BC419,BC429,BC439,BC449,BC459,BC469,BC479,BC489,BC499,BC509,BC519,BC529,BC539,BC549,BC559,BC569,BC579,BC589,BC599,BC609,BC619,BC629,BC639,BC649,BC659,BC669,BC679,BC689,BC699,BC709,BC719,BC729,BC739,BC749,BC759,BC769,BC779,BC789,BC799,BC809,BC819,BC829,BC839,BC849,BC859,BC869,BC879,BC889,BC899,BC909,BC919)</f>
        <v>853.6904</v>
      </c>
      <c r="BD925" s="242" t="n">
        <f aca="false">SUM(BD49,BD59,BD69,BD79,BD89,BD99,BD109,BD119,BD129,BD139,BD149,BD159,BD169,BD179,BD189,BD199,BD209,BD219,BD229,BD239,BD249,BD259,BD269,BD279,BD289,BD299,BD309,BD319,BD329,BD339,BD349,BD359,BD369,BD379,BD389,BD399,BD409,BD419,BD429,BD439,BD449,BD459,BD469,BD479,BD489,BD499,BD509,BD519,BD529,BD539,BD549,BD559,BD569,BD579,BD589,BD599,BD609,BD619,BD629,BD639,BD649,BD659,BD669,BD679,BD689,BD699,BD709,BD719,BD729,BD739,BD749,BD759,BD769,BD779,BD789,BD799,BD809,BD819,BD829,BD839,BD849,BD859,BD869,BD879,BD889,BD899,BD909,BD919)</f>
        <v>891.253</v>
      </c>
      <c r="BE925" s="242" t="n">
        <f aca="false">SUM(BE49,BE59,BE69,BE79,BE89,BE99,BE109,BE119,BE129,BE139,BE149,BE159,BE169,BE179,BE189,BE199,BE209,BE219,BE229,BE239,BE249,BE259,BE269,BE279,BE289,BE299,BE309,BE319,BE329,BE339,BE349,BE359,BE369,BE379,BE389,BE399,BE409,BE419,BE429,BE439,BE449,BE459,BE469,BE479,BE489,BE499,BE509,BE519,BE529,BE539,BE549,BE559,BE569,BE579,BE589,BE599,BE609,BE619,BE629,BE639,BE649,BE659,BE669,BE679,BE689,BE699,BE709,BE719,BE729,BE739,BE749,BE759,BE769,BE779,BE789,BE799,BE809,BE819,BE829,BE839,BE849,BE859,BE869,BE879,BE889,BE899,BE909,BE919)</f>
        <v>769.4052</v>
      </c>
      <c r="BF925" s="242" t="n">
        <f aca="false">SUM(BF49,BF59,BF69,BF79,BF89,BF99,BF109,BF119,BF129,BF139,BF149,BF159,BF169,BF179,BF189,BF199,BF209,BF219,BF229,BF239,BF249,BF259,BF269,BF279,BF289,BF299,BF309,BF319,BF329,BF339,BF349,BF359,BF369,BF379,BF389,BF399,BF409,BF419,BF429,BF439,BF449,BF459,BF469,BF479,BF489,BF499,BF509,BF519,BF529,BF539,BF549,BF559,BF569,BF579,BF589,BF599,BF609,BF619,BF629,BF639,BF649,BF659,BF669,BF679,BF689,BF699,BF709,BF719,BF729,BF739,BF749,BF759,BF769,BF779,BF789,BF799,BF809,BF819,BF829,BF839,BF849,BF859,BF869,BF879,BF889,BF899,BF909,BF919)</f>
        <v>722.896</v>
      </c>
      <c r="BG925" s="242" t="n">
        <f aca="false">SUM(BG49,BG59,BG69,BG79,BG89,BG99,BG109,BG119,BG129,BG139,BG149,BG159,BG169,BG179,BG189,BG199,BG209,BG219,BG229,BG239,BG249,BG259,BG269,BG279,BG289,BG299,BG309,BG319,BG329,BG339,BG349,BG359,BG369,BG379,BG389,BG399,BG409,BG419,BG429,BG439,BG449,BG459,BG469,BG479,BG489,BG499,BG509,BG519,BG529,BG539,BG549,BG559,BG569,BG579,BG589,BG599,BG609,BG619,BG629,BG639,BG649,BG659,BG669,BG679,BG689,BG699,BG709,BG719,BG729,BG739,BG749,BG759,BG769,BG779,BG789,BG799,BG809,BG819,BG829,BG839,BG849,BG859,BG869,BG879,BG889,BG899,BG909,BG919)</f>
        <v>786.9792</v>
      </c>
      <c r="BH925" s="242" t="n">
        <f aca="false">SUM(BH49,BH59,BH69,BH79,BH89,BH99,BH109,BH119,BH129,BH139,BH149,BH159,BH169,BH179,BH189,BH199,BH209,BH219,BH229,BH239,BH249,BH259,BH269,BH279,BH289,BH299,BH309,BH319,BH329,BH339,BH349,BH359,BH369,BH379,BH389,BH399,BH409,BH419,BH429,BH439,BH449,BH459,BH469,BH479,BH489,BH499,BH509,BH519,BH529,BH539,BH549,BH559,BH569,BH579,BH589,BH599,BH609,BH619,BH629,BH639,BH649,BH659,BH669,BH679,BH689,BH699,BH709,BH719,BH729,BH739,BH749,BH759,BH769,BH779,BH789,BH799,BH809,BH819,BH829,BH839,BH849,BH859,BH869,BH879,BH889,BH899,BH909,BH919)</f>
        <v>1450.814</v>
      </c>
      <c r="BI925" s="242" t="n">
        <f aca="false">SUM(BI49,BI59,BI69,BI79,BI89,BI99,BI109,BI119,BI129,BI139,BI149,BI159,BI169,BI179,BI189,BI199,BI209,BI219,BI229,BI239,BI249,BI259,BI269,BI279,BI289,BI299,BI309,BI319,BI329,BI339,BI349,BI359,BI369,BI379,BI389,BI399,BI409,BI419,BI429,BI439,BI449,BI459,BI469,BI479,BI489,BI499,BI509,BI519,BI529,BI539,BI549,BI559,BI569,BI579,BI589,BI599,BI609,BI619,BI629,BI639,BI649,BI659,BI669,BI679,BI689,BI699,BI709,BI719,BI729,BI739,BI749,BI759,BI769,BI779,BI789,BI799,BI809,BI819,BI829,BI839,BI849,BI859,BI869,BI879,BI889,BI899,BI909,BI919)</f>
        <v>1249.5868</v>
      </c>
      <c r="BJ925" s="242" t="n">
        <f aca="false">SUM(BJ49,BJ59,BJ69,BJ79,BJ89,BJ99,BJ109,BJ119,BJ129,BJ139,BJ149,BJ159,BJ169,BJ179,BJ189,BJ199,BJ209,BJ219,BJ229,BJ239,BJ249,BJ259,BJ269,BJ279,BJ289,BJ299,BJ309,BJ319,BJ329,BJ339,BJ349,BJ359,BJ369,BJ379,BJ389,BJ399,BJ409,BJ419,BJ429,BJ439,BJ449,BJ459,BJ469,BJ479,BJ489,BJ499,BJ509,BJ519,BJ529,BJ539,BJ549,BJ559,BJ569,BJ579,BJ589,BJ599,BJ609,BJ619,BJ629,BJ639,BJ649,BJ659,BJ669,BJ679,BJ689,BJ699,BJ709,BJ719,BJ729,BJ739,BJ749,BJ759,BJ769,BJ779,BJ789,BJ799,BJ809,BJ819,BJ829,BJ839,BJ849,BJ859,BJ869,BJ879,BJ889,BJ899,BJ909,BJ919)</f>
        <v>1111.8624</v>
      </c>
      <c r="BK925" s="242" t="n">
        <f aca="false">SUM(BK49,BK59,BK69,BK79,BK89,BK99,BK109,BK119,BK129,BK139,BK149,BK159,BK169,BK179,BK189,BK199,BK209,BK219,BK229,BK239,BK249,BK259,BK269,BK279,BK289,BK299,BK309,BK319,BK329,BK339,BK349,BK359,BK369,BK379,BK389,BK399,BK409,BK419,BK429,BK439,BK449,BK459,BK469,BK479,BK489,BK499,BK509,BK519,BK529,BK539,BK549,BK559,BK569,BK579,BK589,BK599,BK609,BK619,BK629,BK639,BK649,BK659,BK669,BK679,BK689,BK699,BK709,BK719,BK729,BK739,BK749,BK759,BK769,BK779,BK789,BK799,BK809,BK819,BK829,BK839,BK849,BK859,BK869,BK879,BK889,BK899,BK909,BK919)</f>
        <v>871.416</v>
      </c>
      <c r="BL925" s="242" t="n">
        <f aca="false">SUM(BL49,BL59,BL69,BL79,BL89,BL99,BL109,BL119,BL129,BL139,BL149,BL159,BL169,BL179,BL189,BL199,BL209,BL219,BL229,BL239,BL249,BL259,BL269,BL279,BL289,BL299,BL309,BL319,BL329,BL339,BL349,BL359,BL369,BL379,BL389,BL399,BL409,BL419,BL429,BL439,BL449,BL459,BL469,BL479,BL489,BL499,BL509,BL519,BL529,BL539,BL549,BL559,BL569,BL579,BL589,BL599,BL609,BL619,BL629,BL639,BL649,BL659,BL669,BL679,BL689,BL699,BL709,BL719,BL729,BL739,BL749,BL759,BL769,BL779,BL789,BL799,BL809,BL819,BL829,BL839,BL849,BL859,BL869,BL879,BL889,BL899,BL909,BL919)</f>
        <v>1283.8536</v>
      </c>
      <c r="BM925" s="242" t="n">
        <f aca="false">SUM(BM49,BM59,BM69,BM79,BM89,BM99,BM109,BM119,BM129,BM139,BM149,BM159,BM169,BM179,BM189,BM199,BM209,BM219,BM229,BM239,BM249,BM259,BM269,BM279,BM289,BM299,BM309,BM319,BM329,BM339,BM349,BM359,BM369,BM379,BM389,BM399,BM409,BM419,BM429,BM439,BM449,BM459,BM469,BM479,BM489,BM499,BM509,BM519,BM529,BM539,BM549,BM559,BM569,BM579,BM589,BM599,BM609,BM619,BM629,BM639,BM649,BM659,BM669,BM679,BM689,BM699,BM709,BM719,BM729,BM739,BM749,BM759,BM769,BM779,BM789,BM799,BM809,BM819,BM829,BM839,BM849,BM859,BM869,BM879,BM889,BM899,BM909,BM919)</f>
        <v>1419.1632</v>
      </c>
      <c r="BN925" s="242" t="n">
        <f aca="false">SUM(BN49,BN59,BN69,BN79,BN89,BN99,BN109,BN119,BN129,BN139,BN149,BN159,BN169,BN179,BN189,BN199,BN209,BN219,BN229,BN239,BN249,BN259,BN269,BN279,BN289,BN299,BN309,BN319,BN329,BN339,BN349,BN359,BN369,BN379,BN389,BN399,BN409,BN419,BN429,BN439,BN449,BN459,BN469,BN479,BN489,BN499,BN509,BN519,BN529,BN539,BN549,BN559,BN569,BN579,BN589,BN599,BN609,BN619,BN629,BN639,BN649,BN659,BN669,BN679,BN689,BN699,BN709,BN719,BN729,BN739,BN749,BN759,BN769,BN779,BN789,BN799,BN809,BN819,BN829,BN839,BN849,BN859,BN869,BN879,BN889,BN899,BN909,BN919)</f>
        <v>1127.6804</v>
      </c>
      <c r="BO925" s="242" t="n">
        <f aca="false">SUM(BO49,BO59,BO69,BO79,BO89,BO99,BO109,BO119,BO129,BO139,BO149,BO159,BO169,BO179,BO189,BO199,BO209,BO219,BO229,BO239,BO249,BO259,BO269,BO279,BO289,BO299,BO309,BO319,BO329,BO339,BO349,BO359,BO369,BO379,BO389,BO399,BO409,BO419,BO429,BO439,BO449,BO459,BO469,BO479,BO489,BO499,BO509,BO519,BO529,BO539,BO549,BO559,BO569,BO579,BO589,BO599,BO609,BO619,BO629,BO639,BO649,BO659,BO669,BO679,BO689,BO699,BO709,BO719,BO729,BO739,BO749,BO759,BO769,BO779,BO789,BO799,BO809,BO819,BO829,BO839,BO849,BO859,BO869,BO879,BO889,BO899,BO909,BO919)</f>
        <v>1695.5488</v>
      </c>
      <c r="BP925" s="242" t="n">
        <f aca="false">SUM(BP49,BP59,BP69,BP79,BP89,BP99,BP109,BP119,BP129,BP139,BP149,BP159,BP169,BP179,BP189,BP199,BP209,BP219,BP229,BP239,BP249,BP259,BP269,BP279,BP289,BP299,BP309,BP319,BP329,BP339,BP349,BP359,BP369,BP379,BP389,BP399,BP409,BP419,BP429,BP439,BP449,BP459,BP469,BP479,BP489,BP499,BP509,BP519,BP529,BP539,BP549,BP559,BP569,BP579,BP589,BP599,BP609,BP619,BP629,BP639,BP649,BP659,BP669,BP679,BP689,BP699,BP709,BP719,BP729,BP739,BP749,BP759,BP769,BP779,BP789,BP799,BP809,BP819,BP829,BP839,BP849,BP859,BP869,BP879,BP889,BP899,BP909,BP919)</f>
        <v>1699.72</v>
      </c>
      <c r="BQ925" s="242" t="n">
        <f aca="false">SUM(BQ49,BQ59,BQ69,BQ79,BQ89,BQ99,BQ109,BQ119,BQ129,BQ139,BQ149,BQ159,BQ169,BQ179,BQ189,BQ199,BQ209,BQ219,BQ229,BQ239,BQ249,BQ259,BQ269,BQ279,BQ289,BQ299,BQ309,BQ319,BQ329,BQ339,BQ349,BQ359,BQ369,BQ379,BQ389,BQ399,BQ409,BQ419,BQ429,BQ439,BQ449,BQ459,BQ469,BQ479,BQ489,BQ499,BQ509,BQ519,BQ529,BQ539,BQ549,BQ559,BQ569,BQ579,BQ589,BQ599,BQ609,BQ619,BQ629,BQ639,BQ649,BQ659,BQ669,BQ679,BQ689,BQ699,BQ709,BQ719,BQ729,BQ739,BQ749,BQ759,BQ769,BQ779,BQ789,BQ799,BQ809,BQ819,BQ829,BQ839,BQ849,BQ859,BQ869,BQ879,BQ889,BQ899,BQ909,BQ919)</f>
        <v>1525.1576</v>
      </c>
      <c r="BR925" s="242" t="n">
        <f aca="false">SUM(BR49,BR59,BR69,BR79,BR89,BR99,BR109,BR119,BR129,BR139,BR149,BR159,BR169,BR179,BR189,BR199,BR209,BR219,BR229,BR239,BR249,BR259,BR269,BR279,BR289,BR299,BR309,BR319,BR329,BR339,BR349,BR359,BR369,BR379,BR389,BR399,BR409,BR419,BR429,BR439,BR449,BR459,BR469,BR479,BR489,BR499,BR509,BR519,BR529,BR539,BR549,BR559,BR569,BR579,BR589,BR599,BR609,BR619,BR629,BR639,BR649,BR659,BR669,BR679,BR689,BR699,BR709,BR719,BR729,BR739,BR749,BR759,BR769,BR779,BR789,BR799,BR809,BR819,BR829,BR839,BR849,BR859,BR869,BR879,BR889,BR899,BR909,BR919)</f>
        <v>1397.176</v>
      </c>
      <c r="BS925" s="242" t="n">
        <f aca="false">SUM(BS49,BS59,BS69,BS79,BS89,BS99,BS109,BS119,BS129,BS139,BS149,BS159,BS169,BS179,BS189,BS199,BS209,BS219,BS229,BS239,BS249,BS259,BS269,BS279,BS289,BS299,BS309,BS319,BS329,BS339,BS349,BS359,BS369,BS379,BS389,BS399,BS409,BS419,BS429,BS439,BS449,BS459,BS469,BS479,BS489,BS499,BS509,BS519,BS529,BS539,BS549,BS559,BS569,BS579,BS589,BS599,BS609,BS619,BS629,BS639,BS649,BS659,BS669,BS679,BS689,BS699,BS709,BS719,BS729,BS739,BS749,BS759,BS769,BS779,BS789,BS799,BS809,BS819,BS829,BS839,BS849,BS859,BS869,BS879,BS889,BS899,BS909,BS919)</f>
        <v>1567.4988</v>
      </c>
      <c r="BT925" s="242" t="n">
        <f aca="false">SUM(BT49,BT59,BT69,BT79,BT89,BT99,BT109,BT119,BT129,BT139,BT149,BT159,BT169,BT179,BT189,BT199,BT209,BT219,BT229,BT239,BT249,BT259,BT269,BT279,BT289,BT299,BT309,BT319,BT329,BT339,BT349,BT359,BT369,BT379,BT389,BT399,BT409,BT419,BT429,BT439,BT449,BT459,BT469,BT479,BT489,BT499,BT509,BT519,BT529,BT539,BT549,BT559,BT569,BT579,BT589,BT599,BT609,BT619,BT629,BT639,BT649,BT659,BT669,BT679,BT689,BT699,BT709,BT719,BT729,BT739,BT749,BT759,BT769,BT779,BT789,BT799,BT809,BT819,BT829,BT839,BT849,BT859,BT869,BT879,BT889,BT899,BT909,BT919)</f>
        <v>2733.1024</v>
      </c>
      <c r="BU925" s="242" t="n">
        <f aca="false">SUM(BU49,BU59,BU69,BU79,BU89,BU99,BU109,BU119,BU129,BU139,BU149,BU159,BU169,BU179,BU189,BU199,BU209,BU219,BU229,BU239,BU249,BU259,BU269,BU279,BU289,BU299,BU309,BU319,BU329,BU339,BU349,BU359,BU369,BU379,BU389,BU399,BU409,BU419,BU429,BU439,BU449,BU459,BU469,BU479,BU489,BU499,BU509,BU519,BU529,BU539,BU549,BU559,BU569,BU579,BU589,BU599,BU609,BU619,BU629,BU639,BU649,BU659,BU669,BU679,BU689,BU699,BU709,BU719,BU729,BU739,BU749,BU759,BU769,BU779,BU789,BU799,BU809,BU819,BU829,BU839,BU849,BU859,BU869,BU879,BU889,BU899,BU909,BU919)</f>
        <v>2422.8688</v>
      </c>
      <c r="BV925" s="242" t="n">
        <f aca="false">SUM(BV49,BV59,BV69,BV79,BV89,BV99,BV109,BV119,BV129,BV139,BV149,BV159,BV169,BV179,BV189,BV199,BV209,BV219,BV229,BV239,BV249,BV259,BV269,BV279,BV289,BV299,BV309,BV319,BV329,BV339,BV349,BV359,BV369,BV379,BV389,BV399,BV409,BV419,BV429,BV439,BV449,BV459,BV469,BV479,BV489,BV499,BV509,BV519,BV529,BV539,BV549,BV559,BV569,BV579,BV589,BV599,BV609,BV619,BV629,BV639,BV649,BV659,BV669,BV679,BV689,BV699,BV709,BV719,BV729,BV739,BV749,BV759,BV769,BV779,BV789,BV799,BV809,BV819,BV829,BV839,BV849,BV859,BV869,BV879,BV889,BV899,BV909,BV919)</f>
        <v>2063.6448</v>
      </c>
      <c r="BW925" s="242" t="n">
        <f aca="false">SUM(BW49,BW59,BW69,BW79,BW89,BW99,BW109,BW119,BW129,BW139,BW149,BW159,BW169,BW179,BW189,BW199,BW209,BW219,BW229,BW239,BW249,BW259,BW269,BW279,BW289,BW299,BW309,BW319,BW329,BW339,BW349,BW359,BW369,BW379,BW389,BW399,BW409,BW419,BW429,BW439,BW449,BW459,BW469,BW479,BW489,BW499,BW509,BW519,BW529,BW539,BW549,BW559,BW569,BW579,BW589,BW599,BW609,BW619,BW629,BW639,BW649,BW659,BW669,BW679,BW689,BW699,BW709,BW719,BW729,BW739,BW749,BW759,BW769,BW779,BW789,BW799,BW809,BW819,BW829,BW839,BW849,BW859,BW869,BW879,BW889,BW899,BW909,BW919)</f>
        <v>1645.9776</v>
      </c>
      <c r="BX925" s="242" t="n">
        <f aca="false">SUM(BX49,BX59,BX69,BX79,BX89,BX99,BX109,BX119,BX129,BX139,BX149,BX159,BX169,BX179,BX189,BX199,BX209,BX219,BX229,BX239,BX249,BX259,BX269,BX279,BX289,BX299,BX309,BX319,BX329,BX339,BX349,BX359,BX369,BX379,BX389,BX399,BX409,BX419,BX429,BX439,BX449,BX459,BX469,BX479,BX489,BX499,BX509,BX519,BX529,BX539,BX549,BX559,BX569,BX579,BX589,BX599,BX609,BX619,BX629,BX639,BX649,BX659,BX669,BX679,BX689,BX699,BX709,BX719,BX729,BX739,BX749,BX759,BX769,BX779,BX789,BX799,BX809,BX819,BX829,BX839,BX849,BX859,BX869,BX879,BX889,BX899,BX909,BX919)</f>
        <v>2438.0346</v>
      </c>
      <c r="BY925" s="242" t="n">
        <f aca="false">SUM(BY49,BY59,BY69,BY79,BY89,BY99,BY109,BY119,BY129,BY139,BY149,BY159,BY169,BY179,BY189,BY199,BY209,BY219,BY229,BY239,BY249,BY259,BY269,BY279,BY289,BY299,BY309,BY319,BY329,BY339,BY349,BY359,BY369,BY379,BY389,BY399,BY409,BY419,BY429,BY439,BY449,BY459,BY469,BY479,BY489,BY499,BY509,BY519,BY529,BY539,BY549,BY559,BY569,BY579,BY589,BY599,BY609,BY619,BY629,BY639,BY649,BY659,BY669,BY679,BY689,BY699,BY709,BY719,BY729,BY739,BY749,BY759,BY769,BY779,BY789,BY799,BY809,BY819,BY829,BY839,BY849,BY859,BY869,BY879,BY889,BY899,BY909,BY919)</f>
        <v>2677.9032</v>
      </c>
      <c r="BZ925" s="242" t="n">
        <f aca="false">SUM(BZ49,BZ59,BZ69,BZ79,BZ89,BZ99,BZ109,BZ119,BZ129,BZ139,BZ149,BZ159,BZ169,BZ179,BZ189,BZ199,BZ209,BZ219,BZ229,BZ239,BZ249,BZ259,BZ269,BZ279,BZ289,BZ299,BZ309,BZ319,BZ329,BZ339,BZ349,BZ359,BZ369,BZ379,BZ389,BZ399,BZ409,BZ419,BZ429,BZ439,BZ449,BZ459,BZ469,BZ479,BZ489,BZ499,BZ509,BZ519,BZ529,BZ539,BZ549,BZ559,BZ569,BZ579,BZ589,BZ599,BZ609,BZ619,BZ629,BZ639,BZ649,BZ659,BZ669,BZ679,BZ689,BZ699,BZ709,BZ719,BZ729,BZ739,BZ749,BZ759,BZ769,BZ779,BZ789,BZ799,BZ809,BZ819,BZ829,BZ839,BZ849,BZ859,BZ869,BZ879,BZ889,BZ899,BZ909,BZ919)</f>
        <v>2092.64</v>
      </c>
      <c r="CA925" s="242" t="n">
        <f aca="false">SUM(CA49,CA59,CA69,CA79,CA89,CA99,CA109,CA119,CA129,CA139,CA149,CA159,CA169,CA179,CA189,CA199,CA209,CA219,CA229,CA239,CA249,CA259,CA269,CA279,CA289,CA299,CA309,CA319,CA329,CA339,CA349,CA359,CA369,CA379,CA389,CA399,CA409,CA419,CA429,CA439,CA449,CA459,CA469,CA479,CA489,CA499,CA509,CA519,CA529,CA539,CA549,CA559,CA569,CA579,CA589,CA599,CA609,CA619,CA629,CA639,CA649,CA659,CA669,CA679,CA689,CA699,CA709,CA719,CA729,CA739,CA749,CA759,CA769,CA779,CA789,CA799,CA809,CA819,CA829,CA839,CA849,CA859,CA869,CA879,CA889,CA899,CA909,CA919)</f>
        <v>3041.52</v>
      </c>
      <c r="CB925" s="242" t="n">
        <f aca="false">SUM(CB49,CB59,CB69,CB79,CB89,CB99,CB109,CB119,CB129,CB139,CB149,CB159,CB169,CB179,CB189,CB199,CB209,CB219,CB229,CB239,CB249,CB259,CB269,CB279,CB289,CB299,CB309,CB319,CB329,CB339,CB349,CB359,CB369,CB379,CB389,CB399,CB409,CB419,CB429,CB439,CB449,CB459,CB469,CB479,CB489,CB499,CB509,CB519,CB529,CB539,CB549,CB559,CB569,CB579,CB589,CB599,CB609,CB619,CB629,CB639,CB649,CB659,CB669,CB679,CB689,CB699,CB709,CB719,CB729,CB739,CB749,CB759,CB769,CB779,CB789,CB799,CB809,CB819,CB829,CB839,CB849,CB859,CB869,CB879,CB889,CB899,CB909,CB919)</f>
        <v>2962.146</v>
      </c>
      <c r="CC925" s="242" t="n">
        <f aca="false">SUM(CC49,CC59,CC69,CC79,CC89,CC99,CC109,CC119,CC129,CC139,CC149,CC159,CC169,CC179,CC189,CC199,CC209,CC219,CC229,CC239,CC249,CC259,CC269,CC279,CC289,CC299,CC309,CC319,CC329,CC339,CC349,CC359,CC369,CC379,CC389,CC399,CC409,CC419,CC429,CC439,CC449,CC459,CC469,CC479,CC489,CC499,CC509,CC519,CC529,CC539,CC549,CC559,CC569,CC579,CC589,CC599,CC609,CC619,CC629,CC639,CC649,CC659,CC669,CC679,CC689,CC699,CC709,CC719,CC729,CC739,CC749,CC759,CC769,CC779,CC789,CC799,CC809,CC819,CC829,CC839,CC849,CC859,CC869,CC879,CC889,CC899,CC909,CC919)</f>
        <v>2548.4276</v>
      </c>
      <c r="CD925" s="242" t="n">
        <f aca="false">SUM(CD49,CD59,CD69,CD79,CD89,CD99,CD109,CD119,CD129,CD139,CD149,CD159,CD169,CD179,CD189,CD199,CD209,CD219,CD229,CD239,CD249,CD259,CD269,CD279,CD289,CD299,CD309,CD319,CD329,CD339,CD349,CD359,CD369,CD379,CD389,CD399,CD409,CD419,CD429,CD439,CD449,CD459,CD469,CD479,CD489,CD499,CD509,CD519,CD529,CD539,CD549,CD559,CD569,CD579,CD589,CD599,CD609,CD619,CD629,CD639,CD649,CD659,CD669,CD679,CD689,CD699,CD709,CD719,CD729,CD739,CD749,CD759,CD769,CD779,CD789,CD799,CD809,CD819,CD829,CD839,CD849,CD859,CD869,CD879,CD889,CD899,CD909,CD919)</f>
        <v>2283.272</v>
      </c>
      <c r="CE925" s="242" t="n">
        <f aca="false">SUM(CE49,CE59,CE69,CE79,CE89,CE99,CE109,CE119,CE129,CE139,CE149,CE159,CE169,CE179,CE189,CE199,CE209,CE219,CE229,CE239,CE249,CE259,CE269,CE279,CE289,CE299,CE309,CE319,CE329,CE339,CE349,CE359,CE369,CE379,CE389,CE399,CE409,CE419,CE429,CE439,CE449,CE459,CE469,CE479,CE489,CE499,CE509,CE519,CE529,CE539,CE549,CE559,CE569,CE579,CE589,CE599,CE609,CE619,CE629,CE639,CE649,CE659,CE669,CE679,CE689,CE699,CE709,CE719,CE729,CE739,CE749,CE759,CE769,CE779,CE789,CE799,CE809,CE819,CE829,CE839,CE849,CE859,CE869,CE879,CE889,CE899,CE909,CE919)</f>
        <v>2458.218</v>
      </c>
      <c r="CF925" s="242" t="n">
        <f aca="false">SUM(CF49,CF59,CF69,CF79,CF89,CF99,CF109,CF119,CF129,CF139,CF149,CF159,CF169,CF179,CF189,CF199,CF209,CF219,CF229,CF239,CF249,CF259,CF269,CF279,CF289,CF299,CF309,CF319,CF329,CF339,CF349,CF359,CF369,CF379,CF389,CF399,CF409,CF419,CF429,CF439,CF449,CF459,CF469,CF479,CF489,CF499,CF509,CF519,CF529,CF539,CF549,CF559,CF569,CF579,CF589,CF599,CF609,CF619,CF629,CF639,CF649,CF659,CF669,CF679,CF689,CF699,CF709,CF719,CF729,CF739,CF749,CF759,CF769,CF779,CF789,CF799,CF809,CF819,CF829,CF839,CF849,CF859,CF869,CF879,CF889,CF899,CF909,CF919)</f>
        <v>4311.0916</v>
      </c>
      <c r="CG925" s="242" t="n">
        <f aca="false">SUM(CG49,CG59,CG69,CG79,CG89,CG99,CG109,CG119,CG129,CG139,CG149,CG159,CG169,CG179,CG189,CG199,CG209,CG219,CG229,CG239,CG249,CG259,CG269,CG279,CG289,CG299,CG309,CG319,CG329,CG339,CG349,CG359,CG369,CG379,CG389,CG399,CG409,CG419,CG429,CG439,CG449,CG459,CG469,CG479,CG489,CG499,CG509,CG519,CG529,CG539,CG549,CG559,CG569,CG579,CG589,CG599,CG609,CG619,CG629,CG639,CG649,CG659,CG669,CG679,CG689,CG699,CG709,CG719,CG729,CG739,CG749,CG759,CG769,CG779,CG789,CG799,CG809,CG819,CG829,CG839,CG849,CG859,CG869,CG879,CG889,CG899,CG909,CG919)</f>
        <v>3590.8496</v>
      </c>
      <c r="CH925" s="242" t="n">
        <f aca="false">SUM(CH49,CH59,CH69,CH79,CH89,CH99,CH109,CH119,CH129,CH139,CH149,CH159,CH169,CH179,CH189,CH199,CH209,CH219,CH229,CH239,CH249,CH259,CH269,CH279,CH289,CH299,CH309,CH319,CH329,CH339,CH349,CH359,CH369,CH379,CH389,CH399,CH409,CH419,CH429,CH439,CH449,CH459,CH469,CH479,CH489,CH499,CH509,CH519,CH529,CH539,CH549,CH559,CH569,CH579,CH589,CH599,CH609,CH619,CH629,CH639,CH649,CH659,CH669,CH679,CH689,CH699,CH709,CH719,CH729,CH739,CH749,CH759,CH769,CH779,CH789,CH799,CH809,CH819,CH829,CH839,CH849,CH859,CH869,CH879,CH889,CH899,CH909,CH919)</f>
        <v>3056.7744</v>
      </c>
      <c r="CI925" s="242" t="n">
        <f aca="false">SUM(CI49,CI59,CI69,CI79,CI89,CI99,CI109,CI119,CI129,CI139,CI149,CI159,CI169,CI179,CI189,CI199,CI209,CI219,CI229,CI239,CI249,CI259,CI269,CI279,CI289,CI299,CI309,CI319,CI329,CI339,CI349,CI359,CI369,CI379,CI389,CI399,CI409,CI419,CI429,CI439,CI449,CI459,CI469,CI479,CI489,CI499,CI509,CI519,CI529,CI539,CI549,CI559,CI569,CI579,CI589,CI599,CI609,CI619,CI629,CI639,CI649,CI659,CI669,CI679,CI689,CI699,CI709,CI719,CI729,CI739,CI749,CI759,CI769,CI779,CI789,CI799,CI809,CI819,CI829,CI839,CI849,CI859,CI869,CI879,CI889,CI899,CI909,CI919)</f>
        <v>2330.0064</v>
      </c>
      <c r="CJ925" s="242" t="n">
        <f aca="false">SUM(CJ49,CJ59,CJ69,CJ79,CJ89,CJ99,CJ109,CJ119,CJ129,CJ139,CJ149,CJ159,CJ169,CJ179,CJ189,CJ199,CJ209,CJ219,CJ229,CJ239,CJ249,CJ259,CJ269,CJ279,CJ289,CJ299,CJ309,CJ319,CJ329,CJ339,CJ349,CJ359,CJ369,CJ379,CJ389,CJ399,CJ409,CJ419,CJ429,CJ439,CJ449,CJ459,CJ469,CJ479,CJ489,CJ499,CJ509,CJ519,CJ529,CJ539,CJ549,CJ559,CJ569,CJ579,CJ589,CJ599,CJ609,CJ619,CJ629,CJ639,CJ649,CJ659,CJ669,CJ679,CJ689,CJ699,CJ709,CJ719,CJ729,CJ739,CJ749,CJ759,CJ769,CJ779,CJ789,CJ799,CJ809,CJ819,CJ829,CJ839,CJ849,CJ859,CJ869,CJ879,CJ889,CJ899,CJ909,CJ919)</f>
        <v>3410.778</v>
      </c>
      <c r="CK925" s="242" t="n">
        <f aca="false">SUM(CK49,CK59,CK69,CK79,CK89,CK99,CK109,CK119,CK129,CK139,CK149,CK159,CK169,CK179,CK189,CK199,CK209,CK219,CK229,CK239,CK249,CK259,CK269,CK279,CK289,CK299,CK309,CK319,CK329,CK339,CK349,CK359,CK369,CK379,CK389,CK399,CK409,CK419,CK429,CK439,CK449,CK459,CK469,CK479,CK489,CK499,CK509,CK519,CK529,CK539,CK549,CK559,CK569,CK579,CK589,CK599,CK609,CK619,CK629,CK639,CK649,CK659,CK669,CK679,CK689,CK699,CK709,CK719,CK729,CK739,CK749,CK759,CK769,CK779,CK789,CK799,CK809,CK819,CK829,CK839,CK849,CK859,CK869,CK879,CK889,CK899,CK909,CK919)</f>
        <v>3715.308</v>
      </c>
      <c r="CL925" s="242" t="n">
        <f aca="false">SUM(CL49,CL59,CL69,CL79,CL89,CL99,CL109,CL119,CL129,CL139,CL149,CL159,CL169,CL179,CL189,CL199,CL209,CL219,CL229,CL239,CL249,CL259,CL269,CL279,CL289,CL299,CL309,CL319,CL329,CL339,CL349,CL359,CL369,CL379,CL389,CL399,CL409,CL419,CL429,CL439,CL449,CL459,CL469,CL479,CL489,CL499,CL509,CL519,CL529,CL539,CL549,CL559,CL569,CL579,CL589,CL599,CL609,CL619,CL629,CL639,CL649,CL659,CL669,CL679,CL689,CL699,CL709,CL719,CL729,CL739,CL749,CL759,CL769,CL779,CL789,CL799,CL809,CL819,CL829,CL839,CL849,CL859,CL869,CL879,CL889,CL899,CL909,CL919)</f>
        <v>2917.396</v>
      </c>
      <c r="CM925" s="242" t="n">
        <f aca="false">SUM(CM49,CM59,CM69,CM79,CM89,CM99,CM109,CM119,CM129,CM139,CM149,CM159,CM169,CM179,CM189,CM199,CM209,CM219,CM229,CM239,CM249,CM259,CM269,CM279,CM289,CM299,CM309,CM319,CM329,CM339,CM349,CM359,CM369,CM379,CM389,CM399,CM409,CM419,CM429,CM439,CM449,CM459,CM469,CM479,CM489,CM499,CM509,CM519,CM529,CM539,CM549,CM559,CM569,CM579,CM589,CM599,CM609,CM619,CM629,CM639,CM649,CM659,CM669,CM679,CM689,CM699,CM709,CM719,CM729,CM739,CM749,CM759,CM769,CM779,CM789,CM799,CM809,CM819,CM829,CM839,CM849,CM859,CM869,CM879,CM889,CM899,CM909,CM919)</f>
        <v>4226.9704</v>
      </c>
      <c r="CN925" s="242" t="n">
        <f aca="false">SUM(CN49,CN59,CN69,CN79,CN89,CN99,CN109,CN119,CN129,CN139,CN149,CN159,CN169,CN179,CN189,CN199,CN209,CN219,CN229,CN239,CN249,CN259,CN269,CN279,CN289,CN299,CN309,CN319,CN329,CN339,CN349,CN359,CN369,CN379,CN389,CN399,CN409,CN419,CN429,CN439,CN449,CN459,CN469,CN479,CN489,CN499,CN509,CN519,CN529,CN539,CN549,CN559,CN569,CN579,CN589,CN599,CN609,CN619,CN629,CN639,CN649,CN659,CN669,CN679,CN689,CN699,CN709,CN719,CN729,CN739,CN749,CN759,CN769,CN779,CN789,CN799,CN809,CN819,CN829,CN839,CN849,CN859,CN869,CN879,CN889,CN899,CN909,CN919)</f>
        <v>4090.141</v>
      </c>
      <c r="CO925" s="242" t="n">
        <f aca="false">SUM(CO49,CO59,CO69,CO79,CO89,CO99,CO109,CO119,CO129,CO139,CO149,CO159,CO169,CO179,CO189,CO199,CO209,CO219,CO229,CO239,CO249,CO259,CO269,CO279,CO289,CO299,CO309,CO319,CO329,CO339,CO349,CO359,CO369,CO379,CO389,CO399,CO409,CO419,CO429,CO439,CO449,CO459,CO469,CO479,CO489,CO499,CO509,CO519,CO529,CO539,CO549,CO559,CO569,CO579,CO589,CO599,CO609,CO619,CO629,CO639,CO649,CO659,CO669,CO679,CO689,CO699,CO709,CO719,CO729,CO739,CO749,CO759,CO769,CO779,CO789,CO799,CO809,CO819,CO829,CO839,CO849,CO859,CO869,CO879,CO889,CO899,CO909,CO919)</f>
        <v>3475.668</v>
      </c>
      <c r="CP925" s="242" t="n">
        <f aca="false">SUM(CP49,CP59,CP69,CP79,CP89,CP99,CP109,CP119,CP129,CP139,CP149,CP159,CP169,CP179,CP189,CP199,CP209,CP219,CP229,CP239,CP249,CP259,CP269,CP279,CP289,CP299,CP309,CP319,CP329,CP339,CP349,CP359,CP369,CP379,CP389,CP399,CP409,CP419,CP429,CP439,CP449,CP459,CP469,CP479,CP489,CP499,CP509,CP519,CP529,CP539,CP549,CP559,CP569,CP579,CP589,CP599,CP609,CP619,CP629,CP639,CP649,CP659,CP669,CP679,CP689,CP699,CP709,CP719,CP729,CP739,CP749,CP759,CP769,CP779,CP789,CP799,CP809,CP819,CP829,CP839,CP849,CP859,CP869,CP879,CP889,CP899,CP909,CP919)</f>
        <v>3098.992</v>
      </c>
      <c r="CQ925" s="242" t="n">
        <f aca="false">SUM(CQ49,CQ59,CQ69,CQ79,CQ89,CQ99,CQ109,CQ119,CQ129,CQ139,CQ149,CQ159,CQ169,CQ179,CQ189,CQ199,CQ209,CQ219,CQ229,CQ239,CQ249,CQ259,CQ269,CQ279,CQ289,CQ299,CQ309,CQ319,CQ329,CQ339,CQ349,CQ359,CQ369,CQ379,CQ389,CQ399,CQ409,CQ419,CQ429,CQ439,CQ449,CQ459,CQ469,CQ479,CQ489,CQ499,CQ509,CQ519,CQ529,CQ539,CQ549,CQ559,CQ569,CQ579,CQ589,CQ599,CQ609,CQ619,CQ629,CQ639,CQ649,CQ659,CQ669,CQ679,CQ689,CQ699,CQ709,CQ719,CQ729,CQ739,CQ749,CQ759,CQ769,CQ779,CQ789,CQ799,CQ809,CQ819,CQ829,CQ839,CQ849,CQ859,CQ869,CQ879,CQ889,CQ899,CQ909,CQ919)</f>
        <v>3310.3392</v>
      </c>
      <c r="CR925" s="242" t="n">
        <f aca="false">SUM(CR49,CR59,CR69,CR79,CR89,CR99,CR109,CR119,CR129,CR139,CR149,CR159,CR169,CR179,CR189,CR199,CR209,CR219,CR229,CR239,CR249,CR259,CR269,CR279,CR289,CR299,CR309,CR319,CR329,CR339,CR349,CR359,CR369,CR379,CR389,CR399,CR409,CR419,CR429,CR439,CR449,CR459,CR469,CR479,CR489,CR499,CR509,CR519,CR529,CR539,CR549,CR559,CR569,CR579,CR589,CR599,CR609,CR619,CR629,CR639,CR649,CR659,CR669,CR679,CR689,CR699,CR709,CR719,CR729,CR739,CR749,CR759,CR769,CR779,CR789,CR799,CR809,CR819,CR829,CR839,CR849,CR859,CR869,CR879,CR889,CR899,CR909,CR919)</f>
        <v>5689.8548</v>
      </c>
      <c r="CS925" s="242" t="n">
        <f aca="false">SUM(CS49,CS59,CS69,CS79,CS89,CS99,CS109,CS119,CS129,CS139,CS149,CS159,CS169,CS179,CS189,CS199,CS209,CS219,CS229,CS239,CS249,CS259,CS269,CS279,CS289,CS299,CS309,CS319,CS329,CS339,CS349,CS359,CS369,CS379,CS389,CS399,CS409,CS419,CS429,CS439,CS449,CS459,CS469,CS479,CS489,CS499,CS509,CS519,CS529,CS539,CS549,CS559,CS569,CS579,CS589,CS599,CS609,CS619,CS629,CS639,CS649,CS659,CS669,CS679,CS689,CS699,CS709,CS719,CS729,CS739,CS749,CS759,CS769,CS779,CS789,CS799,CS809,CS819,CS829,CS839,CS849,CS859,CS869,CS879,CS889,CS899,CS909,CS919)</f>
        <v>4723.3692</v>
      </c>
      <c r="CT925" s="242" t="n">
        <f aca="false">SUM(CT49,CT59,CT69,CT79,CT89,CT99,CT109,CT119,CT129,CT139,CT149,CT159,CT169,CT179,CT189,CT199,CT209,CT219,CT229,CT239,CT249,CT259,CT269,CT279,CT289,CT299,CT309,CT319,CT329,CT339,CT349,CT359,CT369,CT379,CT389,CT399,CT409,CT419,CT429,CT439,CT449,CT459,CT469,CT479,CT489,CT499,CT509,CT519,CT529,CT539,CT549,CT559,CT569,CT579,CT589,CT599,CT609,CT619,CT629,CT639,CT649,CT659,CT669,CT679,CT689,CT699,CT709,CT719,CT729,CT739,CT749,CT759,CT769,CT779,CT789,CT799,CT809,CT819,CT829,CT839,CT849,CT859,CT869,CT879,CT889,CT899,CT909,CT919)</f>
        <v>3958.5024</v>
      </c>
      <c r="CU925" s="242" t="n">
        <f aca="false">SUM(CU49,CU59,CU69,CU79,CU89,CU99,CU109,CU119,CU129,CU139,CU149,CU159,CU169,CU179,CU189,CU199,CU209,CU219,CU229,CU239,CU249,CU259,CU269,CU279,CU289,CU299,CU309,CU319,CU329,CU339,CU349,CU359,CU369,CU379,CU389,CU399,CU409,CU419,CU429,CU439,CU449,CU459,CU469,CU479,CU489,CU499,CU509,CU519,CU529,CU539,CU549,CU559,CU569,CU579,CU589,CU599,CU609,CU619,CU629,CU639,CU649,CU659,CU669,CU679,CU689,CU699,CU709,CU719,CU729,CU739,CU749,CU759,CU769,CU779,CU789,CU799,CU809,CU819,CU829,CU839,CU849,CU859,CU869,CU879,CU889,CU899,CU909,CU919)</f>
        <v>3016.0368</v>
      </c>
      <c r="CV925" s="242" t="n">
        <f aca="false">SUM(CV49,CV59,CV69,CV79,CV89,CV99,CV109,CV119,CV129,CV139,CV149,CV159,CV169,CV179,CV189,CV199,CV209,CV219,CV229,CV239,CV249,CV259,CV269,CV279,CV289,CV299,CV309,CV319,CV329,CV339,CV349,CV359,CV369,CV379,CV389,CV399,CV409,CV419,CV429,CV439,CV449,CV459,CV469,CV479,CV489,CV499,CV509,CV519,CV529,CV539,CV549,CV559,CV569,CV579,CV589,CV599,CV609,CV619,CV629,CV639,CV649,CV659,CV669,CV679,CV689,CV699,CV709,CV719,CV729,CV739,CV749,CV759,CV769,CV779,CV789,CV799,CV809,CV819,CV829,CV839,CV849,CV859,CV869,CV879,CV889,CV899,CV909,CV919)</f>
        <v>4335.3468</v>
      </c>
      <c r="CW925" s="242" t="n">
        <f aca="false">SUM(CW49,CW59,CW69,CW79,CW89,CW99,CW109,CW119,CW129,CW139,CW149,CW159,CW169,CW179,CW189,CW199,CW209,CW219,CW229,CW239,CW249,CW259,CW269,CW279,CW289,CW299,CW309,CW319,CW329,CW339,CW349,CW359,CW369,CW379,CW389,CW399,CW409,CW419,CW429,CW439,CW449,CW459,CW469,CW479,CW489,CW499,CW509,CW519,CW529,CW539,CW549,CW559,CW569,CW579,CW589,CW599,CW609,CW619,CW629,CW639,CW649,CW659,CW669,CW679,CW689,CW699,CW709,CW719,CW729,CW739,CW749,CW759,CW769,CW779,CW789,CW799,CW809,CW819,CW829,CW839,CW849,CW859,CW869,CW879,CW889,CW899,CW909,CW919)</f>
        <v>4682.8584</v>
      </c>
      <c r="CX925" s="242" t="n">
        <f aca="false">SUM(CX49,CX59,CX69,CX79,CX89,CX99,CX109,CX119,CX129,CX139,CX149,CX159,CX169,CX179,CX189,CX199,CX209,CX219,CX229,CX239,CX249,CX259,CX269,CX279,CX289,CX299,CX309,CX319,CX329,CX339,CX349,CX359,CX369,CX379,CX389,CX399,CX409,CX419,CX429,CX439,CX449,CX459,CX469,CX479,CX489,CX499,CX509,CX519,CX529,CX539,CX549,CX559,CX569,CX579,CX589,CX599,CX609,CX619,CX629,CX639,CX649,CX659,CX669,CX679,CX689,CX699,CX709,CX719,CX729,CX739,CX749,CX759,CX769,CX779,CX789,CX799,CX809,CX819,CX829,CX839,CX849,CX859,CX869,CX879,CX889,CX899,CX909,CX919)</f>
        <v>3626.1712</v>
      </c>
      <c r="CY925" s="242" t="n">
        <f aca="false">SUM(CY49,CY59,CY69,CY79,CY89,CY99,CY109,CY119,CY129,CY139,CY149,CY159,CY169,CY179,CY189,CY199,CY209,CY219,CY229,CY239,CY249,CY259,CY269,CY279,CY289,CY299,CY309,CY319,CY329,CY339,CY349,CY359,CY369,CY379,CY389,CY399,CY409,CY419,CY429,CY439,CY449,CY459,CY469,CY479,CY489,CY499,CY509,CY519,CY529,CY539,CY549,CY559,CY569,CY579,CY589,CY599,CY609,CY619,CY629,CY639,CY649,CY659,CY669,CY679,CY689,CY699,CY709,CY719,CY729,CY739,CY749,CY759,CY769,CY779,CY789,CY799,CY809,CY819,CY829,CY839,CY849,CY859,CY869,CY879,CY889,CY899,CY909,CY919)</f>
        <v>5217.7264</v>
      </c>
      <c r="CZ925" s="242" t="n">
        <f aca="false">SUM(CZ49,CZ59,CZ69,CZ79,CZ89,CZ99,CZ109,CZ119,CZ129,CZ139,CZ149,CZ159,CZ169,CZ179,CZ189,CZ199,CZ209,CZ219,CZ229,CZ239,CZ249,CZ259,CZ269,CZ279,CZ289,CZ299,CZ309,CZ319,CZ329,CZ339,CZ349,CZ359,CZ369,CZ379,CZ389,CZ399,CZ409,CZ419,CZ429,CZ439,CZ449,CZ459,CZ469,CZ479,CZ489,CZ499,CZ509,CZ519,CZ529,CZ539,CZ549,CZ559,CZ569,CZ579,CZ589,CZ599,CZ609,CZ619,CZ629,CZ639,CZ649,CZ659,CZ669,CZ679,CZ689,CZ699,CZ709,CZ719,CZ729,CZ739,CZ749,CZ759,CZ769,CZ779,CZ789,CZ799,CZ809,CZ819,CZ829,CZ839,CZ849,CZ859,CZ869,CZ879,CZ889,CZ899,CZ909,CZ919)</f>
        <v>5080.779</v>
      </c>
      <c r="DA925" s="242" t="n">
        <f aca="false">SUM(DA49,DA59,DA69,DA79,DA89,DA99,DA109,DA119,DA129,DA139,DA149,DA159,DA169,DA179,DA189,DA199,DA209,DA219,DA229,DA239,DA249,DA259,DA269,DA279,DA289,DA299,DA309,DA319,DA329,DA339,DA349,DA359,DA369,DA379,DA389,DA399,DA409,DA419,DA429,DA439,DA449,DA459,DA469,DA479,DA489,DA499,DA509,DA519,DA529,DA539,DA549,DA559,DA569,DA579,DA589,DA599,DA609,DA619,DA629,DA639,DA649,DA659,DA669,DA679,DA689,DA699,DA709,DA719,DA729,DA739,DA749,DA759,DA769,DA779,DA789,DA799,DA809,DA819,DA829,DA839,DA849,DA859,DA869,DA879,DA889,DA899,DA909,DA919)</f>
        <v>4387.7284</v>
      </c>
      <c r="DB925" s="242" t="n">
        <f aca="false">SUM(DB49,DB59,DB69,DB79,DB89,DB99,DB109,DB119,DB129,DB139,DB149,DB159,DB169,DB179,DB189,DB199,DB209,DB219,DB229,DB239,DB249,DB259,DB269,DB279,DB289,DB299,DB309,DB319,DB329,DB339,DB349,DB359,DB369,DB379,DB389,DB399,DB409,DB419,DB429,DB439,DB449,DB459,DB469,DB479,DB489,DB499,DB509,DB519,DB529,DB539,DB549,DB559,DB569,DB579,DB589,DB599,DB609,DB619,DB629,DB639,DB649,DB659,DB669,DB679,DB689,DB699,DB709,DB719,DB729,DB739,DB749,DB759,DB769,DB779,DB789,DB799,DB809,DB819,DB829,DB839,DB849,DB859,DB869,DB879,DB889,DB899,DB909,DB919)</f>
        <v>3869.472</v>
      </c>
      <c r="DC925" s="242" t="n">
        <f aca="false">SUM(DC49,DC59,DC69,DC79,DC89,DC99,DC109,DC119,DC129,DC139,DC149,DC159,DC169,DC179,DC189,DC199,DC209,DC219,DC229,DC239,DC249,DC259,DC269,DC279,DC289,DC299,DC309,DC319,DC329,DC339,DC349,DC359,DC369,DC379,DC389,DC399,DC409,DC419,DC429,DC439,DC449,DC459,DC469,DC479,DC489,DC499,DC509,DC519,DC529,DC539,DC549,DC559,DC569,DC579,DC589,DC599,DC609,DC619,DC629,DC639,DC649,DC659,DC669,DC679,DC689,DC699,DC709,DC719,DC729,DC739,DC749,DC759,DC769,DC779,DC789,DC799,DC809,DC819,DC829,DC839,DC849,DC859,DC869,DC879,DC889,DC899,DC909,DC919)</f>
        <v>4130.6832</v>
      </c>
      <c r="DD925" s="242" t="n">
        <f aca="false">SUM(DD49,DD59,DD69,DD79,DD89,DD99,DD109,DD119,DD129,DD139,DD149,DD159,DD169,DD179,DD189,DD199,DD209,DD219,DD229,DD239,DD249,DD259,DD269,DD279,DD289,DD299,DD309,DD319,DD329,DD339,DD349,DD359,DD369,DD379,DD389,DD399,DD409,DD419,DD429,DD439,DD449,DD459,DD469,DD479,DD489,DD499,DD509,DD519,DD529,DD539,DD549,DD559,DD569,DD579,DD589,DD599,DD609,DD619,DD629,DD639,DD649,DD659,DD669,DD679,DD689,DD699,DD709,DD719,DD729,DD739,DD749,DD759,DD769,DD779,DD789,DD799,DD809,DD819,DD829,DD839,DD849,DD859,DD869,DD879,DD889,DD899,DD909,DD919)</f>
        <v>7064.2728</v>
      </c>
      <c r="DE925" s="242" t="n">
        <f aca="false">SUM(DE49,DE59,DE69,DE79,DE89,DE99,DE109,DE119,DE129,DE139,DE149,DE159,DE169,DE179,DE189,DE199,DE209,DE219,DE229,DE239,DE249,DE259,DE269,DE279,DE289,DE299,DE309,DE319,DE329,DE339,DE349,DE359,DE369,DE379,DE389,DE399,DE409,DE419,DE429,DE439,DE449,DE459,DE469,DE479,DE489,DE499,DE509,DE519,DE529,DE539,DE549,DE559,DE569,DE579,DE589,DE599,DE609,DE619,DE629,DE639,DE649,DE659,DE669,DE679,DE689,DE699,DE709,DE719,DE729,DE739,DE749,DE759,DE769,DE779,DE789,DE799,DE809,DE819,DE829,DE839,DE849,DE859,DE869,DE879,DE889,DE899,DE909,DE919)</f>
        <v>5872.6276</v>
      </c>
      <c r="DF925" s="242" t="n">
        <f aca="false">SUM(DF49,DF59,DF69,DF79,DF89,DF99,DF109,DF119,DF129,DF139,DF149,DF159,DF169,DF179,DF189,DF199,DF209,DF219,DF229,DF239,DF249,DF259,DF269,DF279,DF289,DF299,DF309,DF319,DF329,DF339,DF349,DF359,DF369,DF379,DF389,DF399,DF409,DF419,DF429,DF439,DF449,DF459,DF469,DF479,DF489,DF499,DF509,DF519,DF529,DF539,DF549,DF559,DF569,DF579,DF589,DF599,DF609,DF619,DF629,DF639,DF649,DF659,DF669,DF679,DF689,DF699,DF709,DF719,DF729,DF739,DF749,DF759,DF769,DF779,DF789,DF799,DF809,DF819,DF829,DF839,DF849,DF859,DF869,DF879,DF889,DF899,DF909,DF919)</f>
        <v>4950.384</v>
      </c>
      <c r="DG925" s="242" t="n">
        <f aca="false">SUM(DG49,DG59,DG69,DG79,DG89,DG99,DG109,DG119,DG129,DG139,DG149,DG159,DG169,DG179,DG189,DG199,DG209,DG219,DG229,DG239,DG249,DG259,DG269,DG279,DG289,DG299,DG309,DG319,DG329,DG339,DG349,DG359,DG369,DG379,DG389,DG399,DG409,DG419,DG429,DG439,DG449,DG459,DG469,DG479,DG489,DG499,DG509,DG519,DG529,DG539,DG549,DG559,DG569,DG579,DG589,DG599,DG609,DG619,DG629,DG639,DG649,DG659,DG669,DG679,DG689,DG699,DG709,DG719,DG729,DG739,DG749,DG759,DG769,DG779,DG789,DG799,DG809,DG819,DG829,DG839,DG849,DG859,DG869,DG879,DG889,DG899,DG909,DG919)</f>
        <v>3770.0208</v>
      </c>
      <c r="DH925" s="242" t="n">
        <f aca="false">SUM(DH49,DH59,DH69,DH79,DH89,DH99,DH109,DH119,DH129,DH139,DH149,DH159,DH169,DH179,DH189,DH199,DH209,DH219,DH229,DH239,DH249,DH259,DH269,DH279,DH289,DH299,DH309,DH319,DH329,DH339,DH349,DH359,DH369,DH379,DH389,DH399,DH409,DH419,DH429,DH439,DH449,DH459,DH469,DH479,DH489,DH499,DH509,DH519,DH529,DH539,DH549,DH559,DH569,DH579,DH589,DH599,DH609,DH619,DH629,DH639,DH649,DH659,DH669,DH679,DH689,DH699,DH709,DH719,DH729,DH739,DH749,DH759,DH769,DH779,DH789,DH799,DH809,DH819,DH829,DH839,DH849,DH859,DH869,DH879,DH889,DH899,DH909,DH919)</f>
        <v>5408.55</v>
      </c>
      <c r="DI925" s="242" t="n">
        <f aca="false">SUM(DI49,DI59,DI69,DI79,DI89,DI99,DI109,DI119,DI129,DI139,DI149,DI159,DI169,DI179,DI189,DI199,DI209,DI219,DI229,DI239,DI249,DI259,DI269,DI279,DI289,DI299,DI309,DI319,DI329,DI339,DI349,DI359,DI369,DI379,DI389,DI399,DI409,DI419,DI429,DI439,DI449,DI459,DI469,DI479,DI489,DI499,DI509,DI519,DI529,DI539,DI549,DI559,DI569,DI579,DI589,DI599,DI609,DI619,DI629,DI639,DI649,DI659,DI669,DI679,DI689,DI699,DI709,DI719,DI729,DI739,DI749,DI759,DI769,DI779,DI789,DI799,DI809,DI819,DI829,DI839,DI849,DI859,DI869,DI879,DI889,DI899,DI909,DI919)</f>
        <v>5796.3816</v>
      </c>
      <c r="DJ925" s="242" t="n">
        <f aca="false">SUM(DJ49,DJ59,DJ69,DJ79,DJ89,DJ99,DJ109,DJ119,DJ129,DJ139,DJ149,DJ159,DJ169,DJ179,DJ189,DJ199,DJ209,DJ219,DJ229,DJ239,DJ249,DJ259,DJ269,DJ279,DJ289,DJ299,DJ309,DJ319,DJ329,DJ339,DJ349,DJ359,DJ369,DJ379,DJ389,DJ399,DJ409,DJ419,DJ429,DJ439,DJ449,DJ459,DJ469,DJ479,DJ489,DJ499,DJ509,DJ519,DJ529,DJ539,DJ549,DJ559,DJ569,DJ579,DJ589,DJ599,DJ609,DJ619,DJ629,DJ639,DJ649,DJ659,DJ669,DJ679,DJ689,DJ699,DJ709,DJ719,DJ729,DJ739,DJ749,DJ759,DJ769,DJ779,DJ789,DJ799,DJ809,DJ819,DJ829,DJ839,DJ849,DJ859,DJ869,DJ879,DJ889,DJ899,DJ909,DJ919)</f>
        <v>4440.3164</v>
      </c>
      <c r="DK925" s="242" t="n">
        <f aca="false">SUM(DK49,DK59,DK69,DK79,DK89,DK99,DK109,DK119,DK129,DK139,DK149,DK159,DK169,DK179,DK189,DK199,DK209,DK219,DK229,DK239,DK249,DK259,DK269,DK279,DK289,DK299,DK309,DK319,DK329,DK339,DK349,DK359,DK369,DK379,DK389,DK399,DK409,DK419,DK429,DK439,DK449,DK459,DK469,DK479,DK489,DK499,DK509,DK519,DK529,DK539,DK549,DK559,DK569,DK579,DK589,DK599,DK609,DK619,DK629,DK639,DK649,DK659,DK669,DK679,DK689,DK699,DK709,DK719,DK729,DK739,DK749,DK759,DK769,DK779,DK789,DK799,DK809,DK819,DK829,DK839,DK849,DK859,DK869,DK879,DK889,DK899,DK909,DK919)</f>
        <v>6401.0888</v>
      </c>
      <c r="DL925" s="242" t="n">
        <f aca="false">SUM(DL49,DL59,DL69,DL79,DL89,DL99,DL109,DL119,DL129,DL139,DL149,DL159,DL169,DL179,DL189,DL199,DL209,DL219,DL229,DL239,DL249,DL259,DL269,DL279,DL289,DL299,DL309,DL319,DL329,DL339,DL349,DL359,DL369,DL379,DL389,DL399,DL409,DL419,DL429,DL439,DL449,DL459,DL469,DL479,DL489,DL499,DL509,DL519,DL529,DL539,DL549,DL559,DL569,DL579,DL589,DL599,DL609,DL619,DL629,DL639,DL649,DL659,DL669,DL679,DL689,DL699,DL709,DL719,DL729,DL739,DL749,DL759,DL769,DL779,DL789,DL799,DL809,DL819,DL829,DL839,DL849,DL859,DL869,DL879,DL889,DL899,DL909,DL919)</f>
        <v>6220.148</v>
      </c>
      <c r="DM925" s="242" t="n">
        <f aca="false">SUM(DM49,DM59,DM69,DM79,DM89,DM99,DM109,DM119,DM129,DM139,DM149,DM159,DM169,DM179,DM189,DM199,DM209,DM219,DM229,DM239,DM249,DM259,DM269,DM279,DM289,DM299,DM309,DM319,DM329,DM339,DM349,DM359,DM369,DM379,DM389,DM399,DM409,DM419,DM429,DM439,DM449,DM459,DM469,DM479,DM489,DM499,DM509,DM519,DM529,DM539,DM549,DM559,DM569,DM579,DM589,DM599,DM609,DM619,DM629,DM639,DM649,DM659,DM669,DM679,DM689,DM699,DM709,DM719,DM729,DM739,DM749,DM759,DM769,DM779,DM789,DM799,DM809,DM819,DM829,DM839,DM849,DM859,DM869,DM879,DM889,DM899,DM909,DM919)</f>
        <v>5271.0296</v>
      </c>
      <c r="DN925" s="242" t="n">
        <f aca="false">SUM(DN49,DN59,DN69,DN79,DN89,DN99,DN109,DN119,DN129,DN139,DN149,DN159,DN169,DN179,DN189,DN199,DN209,DN219,DN229,DN239,DN249,DN259,DN269,DN279,DN289,DN299,DN309,DN319,DN329,DN339,DN349,DN359,DN369,DN379,DN389,DN399,DN409,DN419,DN429,DN439,DN449,DN459,DN469,DN479,DN489,DN499,DN509,DN519,DN529,DN539,DN549,DN559,DN569,DN579,DN589,DN599,DN609,DN619,DN629,DN639,DN649,DN659,DN669,DN679,DN689,DN699,DN709,DN719,DN729,DN739,DN749,DN759,DN769,DN779,DN789,DN799,DN809,DN819,DN829,DN839,DN849,DN859,DN869,DN879,DN889,DN899,DN909,DN919)</f>
        <v>4641.968</v>
      </c>
      <c r="DO925" s="242" t="n">
        <f aca="false">SUM(DO49,DO59,DO69,DO79,DO89,DO99,DO109,DO119,DO129,DO139,DO149,DO159,DO169,DO179,DO189,DO199,DO209,DO219,DO229,DO239,DO249,DO259,DO269,DO279,DO289,DO299,DO309,DO319,DO329,DO339,DO349,DO359,DO369,DO379,DO389,DO399,DO409,DO419,DO429,DO439,DO449,DO459,DO469,DO479,DO489,DO499,DO509,DO519,DO529,DO539,DO549,DO559,DO569,DO579,DO589,DO599,DO609,DO619,DO629,DO639,DO649,DO659,DO669,DO679,DO689,DO699,DO709,DO719,DO729,DO739,DO749,DO759,DO769,DO779,DO789,DO799,DO809,DO819,DO829,DO839,DO849,DO859,DO869,DO879,DO889,DO899,DO909,DO919)</f>
        <v>4928.0448</v>
      </c>
      <c r="DP925" s="242" t="n">
        <f aca="false">SUM(DP49,DP59,DP69,DP79,DP89,DP99,DP109,DP119,DP129,DP139,DP149,DP159,DP169,DP179,DP189,DP199,DP209,DP219,DP229,DP239,DP249,DP259,DP269,DP279,DP289,DP299,DP309,DP319,DP329,DP339,DP349,DP359,DP369,DP379,DP389,DP399,DP409,DP419,DP429,DP439,DP449,DP459,DP469,DP479,DP489,DP499,DP509,DP519,DP529,DP539,DP549,DP559,DP569,DP579,DP589,DP599,DP609,DP619,DP629,DP639,DP649,DP659,DP669,DP679,DP689,DP699,DP709,DP719,DP729,DP739,DP749,DP759,DP769,DP779,DP789,DP799,DP809,DP819,DP829,DP839,DP849,DP859,DP869,DP879,DP889,DP899,DP909,DP919)</f>
        <v>8523.6778</v>
      </c>
      <c r="DQ925" s="242" t="n">
        <f aca="false">SUM(DQ49,DQ59,DQ69,DQ79,DQ89,DQ99,DQ109,DQ119,DQ129,DQ139,DQ149,DQ159,DQ169,DQ179,DQ189,DQ199,DQ209,DQ219,DQ229,DQ239,DQ249,DQ259,DQ269,DQ279,DQ289,DQ299,DQ309,DQ319,DQ329,DQ339,DQ349,DQ359,DQ369,DQ379,DQ389,DQ399,DQ409,DQ419,DQ429,DQ439,DQ449,DQ459,DQ469,DQ479,DQ489,DQ499,DQ509,DQ519,DQ529,DQ539,DQ549,DQ559,DQ569,DQ579,DQ589,DQ599,DQ609,DQ619,DQ629,DQ639,DQ649,DQ659,DQ669,DQ679,DQ689,DQ699,DQ709,DQ719,DQ729,DQ739,DQ749,DQ759,DQ769,DQ779,DQ789,DQ799,DQ809,DQ819,DQ829,DQ839,DQ849,DQ859,DQ869,DQ879,DQ889,DQ899,DQ909,DQ919)</f>
        <v>7072.2532</v>
      </c>
      <c r="DR925" s="242" t="n">
        <f aca="false">SUM(DR49,DR59,DR69,DR79,DR89,DR99,DR109,DR119,DR129,DR139,DR149,DR159,DR169,DR179,DR189,DR199,DR209,DR219,DR229,DR239,DR249,DR259,DR269,DR279,DR289,DR299,DR309,DR319,DR329,DR339,DR349,DR359,DR369,DR379,DR389,DR399,DR409,DR419,DR429,DR439,DR449,DR459,DR469,DR479,DR489,DR499,DR509,DR519,DR529,DR539,DR549,DR559,DR569,DR579,DR589,DR599,DR609,DR619,DR629,DR639,DR649,DR659,DR669,DR679,DR689,DR699,DR709,DR719,DR729,DR739,DR749,DR759,DR769,DR779,DR789,DR799,DR809,DR819,DR829,DR839,DR849,DR859,DR869,DR879,DR889,DR899,DR909,DR919)</f>
        <v>5901.4176</v>
      </c>
      <c r="DS925" s="242" t="n">
        <f aca="false">SUM(DS49,DS59,DS69,DS79,DS89,DS99,DS109,DS119,DS129,DS139,DS149,DS159,DS169,DS179,DS189,DS199,DS209,DS219,DS229,DS239,DS249,DS259,DS269,DS279,DS289,DS299,DS309,DS319,DS329,DS339,DS349,DS359,DS369,DS379,DS389,DS399,DS409,DS419,DS429,DS439,DS449,DS459,DS469,DS479,DS489,DS499,DS509,DS519,DS529,DS539,DS549,DS559,DS569,DS579,DS589,DS599,DS609,DS619,DS629,DS639,DS649,DS659,DS669,DS679,DS689,DS699,DS709,DS719,DS729,DS739,DS749,DS759,DS769,DS779,DS789,DS799,DS809,DS819,DS829,DS839,DS849,DS859,DS869,DS879,DS889,DS899,DS909,DS919)</f>
        <v>4456.1304</v>
      </c>
      <c r="DT925" s="242" t="n">
        <f aca="false">SUM(DT49,DT59,DT69,DT79,DT89,DT99,DT109,DT119,DT129,DT139,DT149,DT159,DT169,DT179,DT189,DT199,DT209,DT219,DT229,DT239,DT249,DT259,DT269,DT279,DT289,DT299,DT309,DT319,DT329,DT339,DT349,DT359,DT369,DT379,DT389,DT399,DT409,DT419,DT429,DT439,DT449,DT459,DT469,DT479,DT489,DT499,DT509,DT519,DT529,DT539,DT549,DT559,DT569,DT579,DT589,DT599,DT609,DT619,DT629,DT639,DT649,DT659,DT669,DT679,DT689,DT699,DT709,DT719,DT729,DT739,DT749,DT759,DT769,DT779,DT789,DT799,DT809,DT819,DT829,DT839,DT849,DT859,DT869,DT879,DT889,DT899,DT909,DT919)</f>
        <v>6352.203</v>
      </c>
      <c r="DU925" s="242" t="n">
        <f aca="false">SUM(DU49,DU59,DU69,DU79,DU89,DU99,DU109,DU119,DU129,DU139,DU149,DU159,DU169,DU179,DU189,DU199,DU209,DU219,DU229,DU239,DU249,DU259,DU269,DU279,DU289,DU299,DU309,DU319,DU329,DU339,DU349,DU359,DU369,DU379,DU389,DU399,DU409,DU419,DU429,DU439,DU449,DU459,DU469,DU479,DU489,DU499,DU509,DU519,DU529,DU539,DU549,DU559,DU569,DU579,DU589,DU599,DU609,DU619,DU629,DU639,DU649,DU659,DU669,DU679,DU689,DU699,DU709,DU719,DU729,DU739,DU749,DU759,DU769,DU779,DU789,DU799,DU809,DU819,DU829,DU839,DU849,DU859,DU869,DU879,DU889,DU899,DU909,DU919)</f>
        <v>6821.388</v>
      </c>
      <c r="DV925" s="242" t="n">
        <f aca="false">SUM(DV49,DV59,DV69,DV79,DV89,DV99,DV109,DV119,DV129,DV139,DV149,DV159,DV169,DV179,DV189,DV199,DV209,DV219,DV229,DV239,DV249,DV259,DV269,DV279,DV289,DV299,DV309,DV319,DV329,DV339,DV349,DV359,DV369,DV379,DV389,DV399,DV409,DV419,DV429,DV439,DV449,DV459,DV469,DV479,DV489,DV499,DV509,DV519,DV529,DV539,DV549,DV559,DV569,DV579,DV589,DV599,DV609,DV619,DV629,DV639,DV649,DV659,DV669,DV679,DV689,DV699,DV709,DV719,DV729,DV739,DV749,DV759,DV769,DV779,DV789,DV799,DV809,DV819,DV829,DV839,DV849,DV859,DV869,DV879,DV889,DV899,DV909,DV919)</f>
        <v>5248.8774</v>
      </c>
      <c r="DW925" s="242" t="n">
        <f aca="false">SUM(DW49,DW59,DW69,DW79,DW89,DW99,DW109,DW119,DW129,DW139,DW149,DW159,DW169,DW179,DW189,DW199,DW209,DW219,DW229,DW239,DW249,DW259,DW269,DW279,DW289,DW299,DW309,DW319,DW329,DW339,DW349,DW359,DW369,DW379,DW389,DW399,DW409,DW419,DW429,DW439,DW449,DW459,DW469,DW479,DW489,DW499,DW509,DW519,DW529,DW539,DW549,DW559,DW569,DW579,DW589,DW599,DW609,DW619,DW629,DW639,DW649,DW659,DW669,DW679,DW689,DW699,DW709,DW719,DW729,DW739,DW749,DW759,DW769,DW779,DW789,DW799,DW809,DW819,DW829,DW839,DW849,DW859,DW869,DW879,DW889,DW899,DW909,DW919)</f>
        <v>7533.4228</v>
      </c>
      <c r="DX925" s="242" t="n">
        <f aca="false">SUM(DX49,DX59,DX69,DX79,DX89,DX99,DX109,DX119,DX129,DX139,DX149,DX159,DX169,DX179,DX189,DX199,DX209,DX219,DX229,DX239,DX249,DX259,DX269,DX279,DX289,DX299,DX309,DX319,DX329,DX339,DX349,DX359,DX369,DX379,DX389,DX399,DX409,DX419,DX429,DX439,DX449,DX459,DX469,DX479,DX489,DX499,DX509,DX519,DX529,DX539,DX549,DX559,DX569,DX579,DX589,DX599,DX609,DX619,DX629,DX639,DX649,DX659,DX669,DX679,DX689,DX699,DX709,DX719,DX729,DX739,DX749,DX759,DX769,DX779,DX789,DX799,DX809,DX819,DX829,DX839,DX849,DX859,DX869,DX879,DX889,DX899,DX909,DX919)</f>
        <v>7241.344</v>
      </c>
      <c r="DY925" s="242" t="n">
        <f aca="false">SUM(DY49,DY59,DY69,DY79,DY89,DY99,DY109,DY119,DY129,DY139,DY149,DY159,DY169,DY179,DY189,DY199,DY209,DY219,DY229,DY239,DY249,DY259,DY269,DY279,DY289,DY299,DY309,DY319,DY329,DY339,DY349,DY359,DY369,DY379,DY389,DY399,DY409,DY419,DY429,DY439,DY449,DY459,DY469,DY479,DY489,DY499,DY509,DY519,DY529,DY539,DY549,DY559,DY569,DY579,DY589,DY599,DY609,DY619,DY629,DY639,DY649,DY659,DY669,DY679,DY689,DY699,DY709,DY719,DY729,DY739,DY749,DY759,DY769,DY779,DY789,DY799,DY809,DY819,DY829,DY839,DY849,DY859,DY869,DY879,DY889,DY899,DY909,DY919)</f>
        <v>6125.8292</v>
      </c>
      <c r="DZ925" s="242" t="n">
        <f aca="false">SUM(DZ49,DZ59,DZ69,DZ79,DZ89,DZ99,DZ109,DZ119,DZ129,DZ139,DZ149,DZ159,DZ169,DZ179,DZ189,DZ199,DZ209,DZ219,DZ229,DZ239,DZ249,DZ259,DZ269,DZ279,DZ289,DZ299,DZ309,DZ319,DZ329,DZ339,DZ349,DZ359,DZ369,DZ379,DZ389,DZ399,DZ409,DZ419,DZ429,DZ439,DZ449,DZ459,DZ469,DZ479,DZ489,DZ499,DZ509,DZ519,DZ529,DZ539,DZ549,DZ559,DZ569,DZ579,DZ589,DZ599,DZ609,DZ619,DZ629,DZ639,DZ649,DZ659,DZ669,DZ679,DZ689,DZ699,DZ709,DZ719,DZ729,DZ739,DZ749,DZ759,DZ769,DZ779,DZ789,DZ799,DZ809,DZ819,DZ829,DZ839,DZ849,DZ859,DZ869,DZ879,DZ889,DZ899,DZ909,DZ919)</f>
        <v>5388.24</v>
      </c>
      <c r="EA925" s="242" t="n">
        <f aca="false">SUM(EA49,EA59,EA69,EA79,EA89,EA99,EA109,EA119,EA129,EA139,EA149,EA159,EA169,EA179,EA189,EA199,EA209,EA219,EA229,EA239,EA249,EA259,EA269,EA279,EA289,EA299,EA309,EA319,EA329,EA339,EA349,EA359,EA369,EA379,EA389,EA399,EA409,EA419,EA429,EA439,EA449,EA459,EA469,EA479,EA489,EA499,EA509,EA519,EA529,EA539,EA549,EA559,EA569,EA579,EA589,EA599,EA609,EA619,EA629,EA639,EA649,EA659,EA669,EA679,EA689,EA699,EA709,EA719,EA729,EA739,EA749,EA759,EA769,EA779,EA789,EA799,EA809,EA819,EA829,EA839,EA849,EA859,EA869,EA879,EA889,EA899,EA909,EA919)</f>
        <v>5735.226</v>
      </c>
      <c r="EB925" s="242" t="n">
        <f aca="false">SUM(EB49,EB59,EB69,EB79,EB89,EB99,EB109,EB119,EB129,EB139,EB149,EB159,EB169,EB179,EB189,EB199,EB209,EB219,EB229,EB239,EB249,EB259,EB269,EB279,EB289,EB299,EB309,EB319,EB329,EB339,EB349,EB359,EB369,EB379,EB389,EB399,EB409,EB419,EB429,EB439,EB449,EB459,EB469,EB479,EB489,EB499,EB509,EB519,EB529,EB539,EB549,EB559,EB569,EB579,EB589,EB599,EB609,EB619,EB629,EB639,EB649,EB659,EB669,EB679,EB689,EB699,EB709,EB719,EB729,EB739,EB749,EB759,EB769,EB779,EB789,EB799,EB809,EB819,EB829,EB839,EB849,EB859,EB869,EB879,EB889,EB899,EB909,EB919)</f>
        <v>9793.7826</v>
      </c>
      <c r="EC925" s="242" t="n">
        <f aca="false">SUM(EC49,EC59,EC69,EC79,EC89,EC99,EC109,EC119,EC129,EC139,EC149,EC159,EC169,EC179,EC189,EC199,EC209,EC219,EC229,EC239,EC249,EC259,EC269,EC279,EC289,EC299,EC309,EC319,EC329,EC339,EC349,EC359,EC369,EC379,EC389,EC399,EC409,EC419,EC429,EC439,EC449,EC459,EC469,EC479,EC489,EC499,EC509,EC519,EC529,EC539,EC549,EC559,EC569,EC579,EC589,EC599,EC609,EC619,EC629,EC639,EC649,EC659,EC669,EC679,EC689,EC699,EC709,EC719,EC729,EC739,EC749,EC759,EC769,EC779,EC789,EC799,EC809,EC819,EC829,EC839,EC849,EC859,EC869,EC879,EC889,EC899,EC909,EC919)</f>
        <v>8074.2496</v>
      </c>
      <c r="ED925" s="242" t="n">
        <f aca="false">SUM(ED49,ED59,ED69,ED79,ED89,ED99,ED109,ED119,ED129,ED139,ED149,ED159,ED169,ED179,ED189,ED199,ED209,ED219,ED229,ED239,ED249,ED259,ED269,ED279,ED289,ED299,ED309,ED319,ED329,ED339,ED349,ED359,ED369,ED379,ED389,ED399,ED409,ED419,ED429,ED439,ED449,ED459,ED469,ED479,ED489,ED499,ED509,ED519,ED529,ED539,ED549,ED559,ED569,ED579,ED589,ED599,ED609,ED619,ED629,ED639,ED649,ED659,ED669,ED679,ED689,ED699,ED709,ED719,ED729,ED739,ED749,ED759,ED769,ED779,ED789,ED799,ED809,ED819,ED829,ED839,ED849,ED859,ED869,ED879,ED889,ED899,ED909,ED919)</f>
        <v>6765.312</v>
      </c>
      <c r="EE925" s="242" t="n">
        <f aca="false">SUM(EE49,EE59,EE69,EE79,EE89,EE99,EE109,EE119,EE129,EE139,EE149,EE159,EE169,EE179,EE189,EE199,EE209,EE219,EE229,EE239,EE249,EE259,EE269,EE279,EE289,EE299,EE309,EE319,EE329,EE339,EE349,EE359,EE369,EE379,EE389,EE399,EE409,EE419,EE429,EE439,EE449,EE459,EE469,EE479,EE489,EE499,EE509,EE519,EE529,EE539,EE549,EE559,EE569,EE579,EE589,EE599,EE609,EE619,EE629,EE639,EE649,EE659,EE669,EE679,EE689,EE699,EE709,EE719,EE729,EE739,EE749,EE759,EE769,EE779,EE789,EE799,EE809,EE819,EE829,EE839,EE849,EE859,EE869,EE879,EE889,EE899,EE909,EE919)</f>
        <v>5147.3304</v>
      </c>
      <c r="EF925" s="242" t="n">
        <f aca="false">SUM(EF49,EF59,EF69,EF79,EF89,EF99,EF109,EF119,EF129,EF139,EF149,EF159,EF169,EF179,EF189,EF199,EF209,EF219,EF229,EF239,EF249,EF259,EF269,EF279,EF289,EF299,EF309,EF319,EF329,EF339,EF349,EF359,EF369,EF379,EF389,EF399,EF409,EF419,EF429,EF439,EF449,EF459,EF469,EF479,EF489,EF499,EF509,EF519,EF529,EF539,EF549,EF559,EF569,EF579,EF589,EF599,EF609,EF619,EF629,EF639,EF649,EF659,EF669,EF679,EF689,EF699,EF709,EF719,EF729,EF739,EF749,EF759,EF769,EF779,EF789,EF799,EF809,EF819,EF829,EF839,EF849,EF859,EF869,EF879,EF889,EF899,EF909,EF919)</f>
        <v>7434.0252</v>
      </c>
      <c r="EG925" s="242" t="n">
        <f aca="false">SUM(EG49,EG59,EG69,EG79,EG89,EG99,EG109,EG119,EG129,EG139,EG149,EG159,EG169,EG179,EG189,EG199,EG209,EG219,EG229,EG239,EG249,EG259,EG269,EG279,EG289,EG299,EG309,EG319,EG329,EG339,EG349,EG359,EG369,EG379,EG389,EG399,EG409,EG419,EG429,EG439,EG449,EG459,EG469,EG479,EG489,EG499,EG509,EG519,EG529,EG539,EG549,EG559,EG569,EG579,EG589,EG599,EG609,EG619,EG629,EG639,EG649,EG659,EG669,EG679,EG689,EG699,EG709,EG719,EG729,EG739,EG749,EG759,EG769,EG779,EG789,EG799,EG809,EG819,EG829,EG839,EG849,EG859,EG869,EG879,EG889,EG899,EG909,EG919)</f>
        <v>8007.3144</v>
      </c>
      <c r="EH925" s="242" t="n">
        <f aca="false">SUM(EH49,EH59,EH69,EH79,EH89,EH99,EH109,EH119,EH129,EH139,EH149,EH159,EH169,EH179,EH189,EH199,EH209,EH219,EH229,EH239,EH249,EH259,EH269,EH279,EH289,EH299,EH309,EH319,EH329,EH339,EH349,EH359,EH369,EH379,EH389,EH399,EH409,EH419,EH429,EH439,EH449,EH459,EH469,EH479,EH489,EH499,EH509,EH519,EH529,EH539,EH549,EH559,EH569,EH579,EH589,EH599,EH609,EH619,EH629,EH639,EH649,EH659,EH669,EH679,EH689,EH699,EH709,EH719,EH729,EH739,EH749,EH759,EH769,EH779,EH789,EH799,EH809,EH819,EH829,EH839,EH849,EH859,EH869,EH879,EH889,EH899,EH909,EH919)</f>
        <v>6185.5552</v>
      </c>
      <c r="EI925" s="242" t="n">
        <f aca="false">SUM(EI49,EI59,EI69,EI79,EI89,EI99,EI109,EI119,EI129,EI139,EI149,EI159,EI169,EI179,EI189,EI199,EI209,EI219,EI229,EI239,EI249,EI259,EI269,EI279,EI289,EI299,EI309,EI319,EI329,EI339,EI349,EI359,EI369,EI379,EI389,EI399,EI409,EI419,EI429,EI439,EI449,EI459,EI469,EI479,EI489,EI499,EI509,EI519,EI529,EI539,EI549,EI559,EI569,EI579,EI589,EI599,EI609,EI619,EI629,EI639,EI649,EI659,EI669,EI679,EI689,EI699,EI709,EI719,EI729,EI739,EI749,EI759,EI769,EI779,EI789,EI799,EI809,EI819,EI829,EI839,EI849,EI859,EI869,EI879,EI889,EI899,EI909,EI919)</f>
        <v>8906.248</v>
      </c>
      <c r="EJ925" s="242" t="n">
        <f aca="false">SUM(EJ49,EJ59,EJ69,EJ79,EJ89,EJ99,EJ109,EJ119,EJ129,EJ139,EJ149,EJ159,EJ169,EJ179,EJ189,EJ199,EJ209,EJ219,EJ229,EJ239,EJ249,EJ259,EJ269,EJ279,EJ289,EJ299,EJ309,EJ319,EJ329,EJ339,EJ349,EJ359,EJ369,EJ379,EJ389,EJ399,EJ409,EJ419,EJ429,EJ439,EJ449,EJ459,EJ469,EJ479,EJ489,EJ499,EJ509,EJ519,EJ529,EJ539,EJ549,EJ559,EJ569,EJ579,EJ589,EJ599,EJ609,EJ619,EJ629,EJ639,EJ649,EJ659,EJ669,EJ679,EJ689,EJ699,EJ709,EJ719,EJ729,EJ739,EJ749,EJ759,EJ769,EJ779,EJ789,EJ799,EJ809,EJ819,EJ829,EJ839,EJ849,EJ859,EJ869,EJ879,EJ889,EJ899,EJ909,EJ919)</f>
        <v>8578.141</v>
      </c>
      <c r="EK925" s="242" t="n">
        <f aca="false">SUM(EK49,EK59,EK69,EK79,EK89,EK99,EK109,EK119,EK129,EK139,EK149,EK159,EK169,EK179,EK189,EK199,EK209,EK219,EK229,EK239,EK249,EK259,EK269,EK279,EK289,EK299,EK309,EK319,EK329,EK339,EK349,EK359,EK369,EK379,EK389,EK399,EK409,EK419,EK429,EK439,EK449,EK459,EK469,EK479,EK489,EK499,EK509,EK519,EK529,EK539,EK549,EK559,EK569,EK579,EK589,EK599,EK609,EK619,EK629,EK639,EK649,EK659,EK669,EK679,EK689,EK699,EK709,EK719,EK729,EK739,EK749,EK759,EK769,EK779,EK789,EK799,EK809,EK819,EK829,EK839,EK849,EK859,EK869,EK879,EK889,EK899,EK909,EK919)</f>
        <v>7276.1696</v>
      </c>
      <c r="EL925" s="242" t="n">
        <f aca="false">SUM(EL49,EL59,EL69,EL79,EL89,EL99,EL109,EL119,EL129,EL139,EL149,EL159,EL169,EL179,EL189,EL199,EL209,EL219,EL229,EL239,EL249,EL259,EL269,EL279,EL289,EL299,EL309,EL319,EL329,EL339,EL349,EL359,EL369,EL379,EL389,EL399,EL409,EL419,EL429,EL439,EL449,EL459,EL469,EL479,EL489,EL499,EL509,EL519,EL529,EL539,EL549,EL559,EL569,EL579,EL589,EL599,EL609,EL619,EL629,EL639,EL649,EL659,EL669,EL679,EL689,EL699,EL709,EL719,EL729,EL739,EL749,EL759,EL769,EL779,EL789,EL799,EL809,EL819,EL829,EL839,EL849,EL859,EL869,EL879,EL889,EL899,EL909,EL919)</f>
        <v>6434.616</v>
      </c>
      <c r="EM925" s="242" t="n">
        <f aca="false">SUM(EM49,EM59,EM69,EM79,EM89,EM99,EM109,EM119,EM129,EM139,EM149,EM159,EM169,EM179,EM189,EM199,EM209,EM219,EM229,EM239,EM249,EM259,EM269,EM279,EM289,EM299,EM309,EM319,EM329,EM339,EM349,EM359,EM369,EM379,EM389,EM399,EM409,EM419,EM429,EM439,EM449,EM459,EM469,EM479,EM489,EM499,EM509,EM519,EM529,EM539,EM549,EM559,EM569,EM579,EM589,EM599,EM609,EM619,EM629,EM639,EM649,EM659,EM669,EM679,EM689,EM699,EM709,EM719,EM729,EM739,EM749,EM759,EM769,EM779,EM789,EM799,EM809,EM819,EM829,EM839,EM849,EM859,EM869,EM879,EM889,EM899,EM909,EM919)</f>
        <v>6882.0612</v>
      </c>
      <c r="EN925" s="242" t="n">
        <f aca="false">SUM(EN49,EN59,EN69,EN79,EN89,EN99,EN109,EN119,EN129,EN139,EN149,EN159,EN169,EN179,EN189,EN199,EN209,EN219,EN229,EN239,EN249,EN259,EN269,EN279,EN289,EN299,EN309,EN319,EN329,EN339,EN349,EN359,EN369,EN379,EN389,EN399,EN409,EN419,EN429,EN439,EN449,EN459,EN469,EN479,EN489,EN499,EN509,EN519,EN529,EN539,EN549,EN559,EN569,EN579,EN589,EN599,EN609,EN619,EN629,EN639,EN649,EN659,EN669,EN679,EN689,EN699,EN709,EN719,EN729,EN739,EN749,EN759,EN769,EN779,EN789,EN799,EN809,EN819,EN829,EN839,EN849,EN859,EN869,EN879,EN889,EN899,EN909,EN919)</f>
        <v>11847.841</v>
      </c>
      <c r="EO925" s="242" t="n">
        <f aca="false">SUM(EO49,EO59,EO69,EO79,EO89,EO99,EO109,EO119,EO129,EO139,EO149,EO159,EO169,EO179,EO189,EO199,EO209,EO219,EO229,EO239,EO249,EO259,EO269,EO279,EO289,EO299,EO309,EO319,EO329,EO339,EO349,EO359,EO369,EO379,EO389,EO399,EO409,EO419,EO429,EO439,EO449,EO459,EO469,EO479,EO489,EO499,EO509,EO519,EO529,EO539,EO549,EO559,EO569,EO579,EO589,EO599,EO609,EO619,EO629,EO639,EO649,EO659,EO669,EO679,EO689,EO699,EO709,EO719,EO729,EO739,EO749,EO759,EO769,EO779,EO789,EO799,EO809,EO819,EO829,EO839,EO849,EO859,EO869,EO879,EO889,EO899,EO909,EO919)</f>
        <v>9830.0488</v>
      </c>
      <c r="EP925" s="242" t="n">
        <f aca="false">SUM(EP49,EP59,EP69,EP79,EP89,EP99,EP109,EP119,EP129,EP139,EP149,EP159,EP169,EP179,EP189,EP199,EP209,EP219,EP229,EP239,EP249,EP259,EP269,EP279,EP289,EP299,EP309,EP319,EP329,EP339,EP349,EP359,EP369,EP379,EP389,EP399,EP409,EP419,EP429,EP439,EP449,EP459,EP469,EP479,EP489,EP499,EP509,EP519,EP529,EP539,EP549,EP559,EP569,EP579,EP589,EP599,EP609,EP619,EP629,EP639,EP649,EP659,EP669,EP679,EP689,EP699,EP709,EP719,EP729,EP739,EP749,EP759,EP769,EP779,EP789,EP799,EP809,EP819,EP829,EP839,EP849,EP859,EP869,EP879,EP889,EP899,EP909,EP919)</f>
        <v>8273.184</v>
      </c>
      <c r="EQ925" s="242" t="n">
        <f aca="false">SUM(EQ49,EQ59,EQ69,EQ79,EQ89,EQ99,EQ109,EQ119,EQ129,EQ139,EQ149,EQ159,EQ169,EQ179,EQ189,EQ199,EQ209,EQ219,EQ229,EQ239,EQ249,EQ259,EQ269,EQ279,EQ289,EQ299,EQ309,EQ319,EQ329,EQ339,EQ349,EQ359,EQ369,EQ379,EQ389,EQ399,EQ409,EQ419,EQ429,EQ439,EQ449,EQ459,EQ469,EQ479,EQ489,EQ499,EQ509,EQ519,EQ529,EQ539,EQ549,EQ559,EQ569,EQ579,EQ589,EQ599,EQ609,EQ619,EQ629,EQ639,EQ649,EQ659,EQ669,EQ679,EQ689,EQ699,EQ709,EQ719,EQ729,EQ739,EQ749,EQ759,EQ769,EQ779,EQ789,EQ799,EQ809,EQ819,EQ829,EQ839,EQ849,EQ859,EQ869,EQ879,EQ889,EQ899,EQ909,EQ919)</f>
        <v>6275.9088</v>
      </c>
      <c r="ER925" s="242" t="n">
        <f aca="false">SUM(ER49,ER59,ER69,ER79,ER89,ER99,ER109,ER119,ER129,ER139,ER149,ER159,ER169,ER179,ER189,ER199,ER209,ER219,ER229,ER239,ER249,ER259,ER269,ER279,ER289,ER299,ER309,ER319,ER329,ER339,ER349,ER359,ER369,ER379,ER389,ER399,ER409,ER419,ER429,ER439,ER449,ER459,ER469,ER479,ER489,ER499,ER509,ER519,ER529,ER539,ER549,ER559,ER569,ER579,ER589,ER599,ER609,ER619,ER629,ER639,ER649,ER659,ER669,ER679,ER689,ER699,ER709,ER719,ER729,ER739,ER749,ER759,ER769,ER779,ER789,ER799,ER809,ER819,ER829,ER839,ER849,ER859,ER869,ER879,ER889,ER899,ER909,ER919)</f>
        <v>8984.5068</v>
      </c>
      <c r="ES925" s="237" t="n">
        <f aca="false">SUM(ES49,ES59,ES69,ES79,ES89,ES99,ES109,ES119,ES129,ES139,ES149,ES159,ES169,ES179,ES189,ES199,ES209,ES219,ES229,ES239,ES249,ES259,ES269,ES279,ES289,ES299,ES309,ES319,ES329,ES339,ES349,ES359,ES369,ES379,ES389,ES399,ES409,ES419,ES429,ES439,ES449,ES459,ES469,ES479,ES489,ES499,ES509,ES519,ES529,ES539,ES549,ES559,ES569,ES579,ES589,ES599,ES609,ES619,ES629,ES639,ES649,ES659,ES669,ES679,ES689,ES699,ES709,ES719,ES729,ES739,ES749,ES759,ES769,ES779,ES789,ES799,ES809,ES819,ES829,ES839,ES849,ES859,ES869,ES879,ES889,ES899,ES909,ES919)</f>
        <v>9673.8192</v>
      </c>
      <c r="ET925" s="237" t="n">
        <f aca="false">SUM(ET49,ET59,ET69,ET79,ET89,ET99,ET109,ET119,ET129,ET139,ET149,ET159,ET169,ET179,ET189,ET199,ET209,ET219,ET229,ET239,ET249,ET259,ET269,ET279,ET289,ET299,ET309,ET319,ET329,ET339,ET349,ET359,ET369,ET379,ET389,ET399,ET409,ET419,ET429,ET439,ET449,ET459,ET469,ET479,ET489,ET499,ET509,ET519,ET529,ET539,ET549,ET559,ET569,ET579,ET589,ET599,ET609,ET619,ET629,ET639,ET649,ET659,ET669,ET679,ET689,ET699,ET709,ET719,ET729,ET739,ET749,ET759,ET769,ET779,ET789,ET799,ET809,ET819,ET829,ET839,ET849,ET859,ET869,ET879,ET889,ET899,ET909,ET919)</f>
        <v>7456.1944</v>
      </c>
      <c r="EU925" s="237" t="n">
        <f aca="false">SUM(EU49,EU59,EU69,EU79,EU89,EU99,EU109,EU119,EU129,EU139,EU149,EU159,EU169,EU179,EU189,EU199,EU209,EU219,EU229,EU239,EU249,EU259,EU269,EU279,EU289,EU299,EU309,EU319,EU329,EU339,EU349,EU359,EU369,EU379,EU389,EU399,EU409,EU419,EU429,EU439,EU449,EU459,EU469,EU479,EU489,EU499,EU509,EU519,EU529,EU539,EU549,EU559,EU569,EU579,EU589,EU599,EU609,EU619,EU629,EU639,EU649,EU659,EU669,EU679,EU689,EU699,EU709,EU719,EU729,EU739,EU749,EU759,EU769,EU779,EU789,EU799,EU809,EU819,EU829,EU839,EU849,EU859,EU869,EU879,EU889,EU899,EU909,EU919)</f>
        <v>10742.9108</v>
      </c>
      <c r="EV925" s="237" t="n">
        <f aca="false">SUM(EV49,EV59,EV69,EV79,EV89,EV99,EV109,EV119,EV129,EV139,EV149,EV159,EV169,EV179,EV189,EV199,EV209,EV219,EV229,EV239,EV249,EV259,EV269,EV279,EV289,EV299,EV309,EV319,EV329,EV339,EV349,EV359,EV369,EV379,EV389,EV399,EV409,EV419,EV429,EV439,EV449,EV459,EV469,EV479,EV489,EV499,EV509,EV519,EV529,EV539,EV549,EV559,EV569,EV579,EV589,EV599,EV609,EV619,EV629,EV639,EV649,EV659,EV669,EV679,EV689,EV699,EV709,EV719,EV729,EV739,EV749,EV759,EV769,EV779,EV789,EV799,EV809,EV819,EV829,EV839,EV849,EV859,EV869,EV879,EV889,EV899,EV909,EV919)</f>
        <v>10334.863</v>
      </c>
      <c r="EW925" s="237" t="n">
        <f aca="false">SUM(EW49,EW59,EW69,EW79,EW89,EW99,EW109,EW119,EW129,EW139,EW149,EW159,EW169,EW179,EW189,EW199,EW209,EW219,EW229,EW239,EW249,EW259,EW269,EW279,EW289,EW299,EW309,EW319,EW329,EW339,EW349,EW359,EW369,EW379,EW389,EW399,EW409,EW419,EW429,EW439,EW449,EW459,EW469,EW479,EW489,EW499,EW509,EW519,EW529,EW539,EW549,EW559,EW569,EW579,EW589,EW599,EW609,EW619,EW629,EW639,EW649,EW659,EW669,EW679,EW689,EW699,EW709,EW719,EW729,EW739,EW749,EW759,EW769,EW779,EW789,EW799,EW809,EW819,EW829,EW839,EW849,EW859,EW869,EW879,EW889,EW899,EW909,EW919)</f>
        <v>8797.0124</v>
      </c>
      <c r="EX925" s="237" t="n">
        <f aca="false">SUM(EX49,EX59,EX69,EX79,EX89,EX99,EX109,EX119,EX129,EX139,EX149,EX159,EX169,EX179,EX189,EX199,EX209,EX219,EX229,EX239,EX249,EX259,EX269,EX279,EX289,EX299,EX309,EX319,EX329,EX339,EX349,EX359,EX369,EX379,EX389,EX399,EX409,EX419,EX429,EX439,EX449,EX459,EX469,EX479,EX489,EX499,EX509,EX519,EX529,EX539,EX549,EX559,EX569,EX579,EX589,EX599,EX609,EX619,EX629,EX639,EX649,EX659,EX669,EX679,EX689,EX699,EX709,EX719,EX729,EX739,EX749,EX759,EX769,EX779,EX789,EX799,EX809,EX819,EX829,EX839,EX849,EX859,EX869,EX879,EX889,EX899,EX909,EX919)</f>
        <v>7811.248</v>
      </c>
      <c r="EY925" s="237" t="n">
        <f aca="false">SUM(EY49,EY59,EY69,EY79,EY89,EY99,EY109,EY119,EY129,EY139,EY149,EY159,EY169,EY179,EY189,EY199,EY209,EY219,EY229,EY239,EY249,EY259,EY269,EY279,EY289,EY299,EY309,EY319,EY329,EY339,EY349,EY359,EY369,EY379,EY389,EY399,EY409,EY419,EY429,EY439,EY449,EY459,EY469,EY479,EY489,EY499,EY509,EY519,EY529,EY539,EY549,EY559,EY569,EY579,EY589,EY599,EY609,EY619,EY629,EY639,EY649,EY659,EY669,EY679,EY689,EY699,EY709,EY719,EY729,EY739,EY749,EY759,EY769,EY779,EY789,EY799,EY809,EY819,EY829,EY839,EY849,EY859,EY869,EY879,EY889,EY899,EY909,EY919)</f>
        <v>8330.6328</v>
      </c>
      <c r="EZ925" s="237" t="n">
        <f aca="false">SUM(EZ49,EZ59,EZ69,EZ79,EZ89,EZ99,EZ109,EZ119,EZ129,EZ139,EZ149,EZ159,EZ169,EZ179,EZ189,EZ199,EZ209,EZ219,EZ229,EZ239,EZ249,EZ259,EZ269,EZ279,EZ289,EZ299,EZ309,EZ319,EZ329,EZ339,EZ349,EZ359,EZ369,EZ379,EZ389,EZ399,EZ409,EZ419,EZ429,EZ439,EZ449,EZ459,EZ469,EZ479,EZ489,EZ499,EZ509,EZ519,EZ529,EZ539,EZ549,EZ559,EZ569,EZ579,EZ589,EZ599,EZ609,EZ619,EZ629,EZ639,EZ649,EZ659,EZ669,EZ679,EZ689,EZ699,EZ709,EZ719,EZ729,EZ739,EZ749,EZ759,EZ769,EZ779,EZ789,EZ799,EZ809,EZ819,EZ829,EZ839,EZ849,EZ859,EZ869,EZ879,EZ889,EZ899,EZ909,EZ919)</f>
        <v>14296.134</v>
      </c>
      <c r="FA925" s="237" t="n">
        <f aca="false">SUM(FA49,FA59,FA69,FA79,FA89,FA99,FA109,FA119,FA129,FA139,FA149,FA159,FA169,FA179,FA189,FA199,FA209,FA219,FA229,FA239,FA249,FA259,FA269,FA279,FA289,FA299,FA309,FA319,FA329,FA339,FA349,FA359,FA369,FA379,FA389,FA399,FA409,FA419,FA429,FA439,FA449,FA459,FA469,FA479,FA489,FA499,FA509,FA519,FA529,FA539,FA549,FA559,FA569,FA579,FA589,FA599,FA609,FA619,FA629,FA639,FA649,FA659,FA669,FA679,FA689,FA699,FA709,FA719,FA729,FA739,FA749,FA759,FA769,FA779,FA789,FA799,FA809,FA819,FA829,FA839,FA849,FA859,FA869,FA879,FA889,FA899,FA909,FA919)</f>
        <v>11842.8576</v>
      </c>
      <c r="FB925" s="237" t="n">
        <f aca="false">SUM(FB49,FB59,FB69,FB79,FB89,FB99,FB109,FB119,FB129,FB139,FB149,FB159,FB169,FB179,FB189,FB199,FB209,FB219,FB229,FB239,FB249,FB259,FB269,FB279,FB289,FB299,FB309,FB319,FB329,FB339,FB349,FB359,FB369,FB379,FB389,FB399,FB409,FB419,FB429,FB439,FB449,FB459,FB469,FB479,FB489,FB499,FB509,FB519,FB529,FB539,FB549,FB559,FB569,FB579,FB589,FB599,FB609,FB619,FB629,FB639,FB649,FB659,FB669,FB679,FB689,FB699,FB709,FB719,FB729,FB739,FB749,FB759,FB769,FB779,FB789,FB799,FB809,FB819,FB829,FB839,FB849,FB859,FB869,FB879,FB889,FB899,FB909,FB919)</f>
        <v>9954.096</v>
      </c>
      <c r="FC925" s="237" t="n">
        <f aca="false">SUM(FC49,FC59,FC69,FC79,FC89,FC99,FC109,FC119,FC129,FC139,FC149,FC159,FC169,FC179,FC189,FC199,FC209,FC219,FC229,FC239,FC249,FC259,FC269,FC279,FC289,FC299,FC309,FC319,FC329,FC339,FC349,FC359,FC369,FC379,FC389,FC399,FC409,FC419,FC429,FC439,FC449,FC459,FC469,FC479,FC489,FC499,FC509,FC519,FC529,FC539,FC549,FC559,FC569,FC579,FC589,FC599,FC609,FC619,FC629,FC639,FC649,FC659,FC669,FC679,FC689,FC699,FC709,FC719,FC729,FC739,FC749,FC759,FC769,FC779,FC789,FC799,FC809,FC819,FC829,FC839,FC849,FC859,FC869,FC879,FC889,FC899,FC909,FC919)</f>
        <v>7594.0488</v>
      </c>
      <c r="FD925" s="237" t="n">
        <f aca="false">SUM(FD49,FD59,FD69,FD79,FD89,FD99,FD109,FD119,FD129,FD139,FD149,FD159,FD169,FD179,FD189,FD199,FD209,FD219,FD229,FD239,FD249,FD259,FD269,FD279,FD289,FD299,FD309,FD319,FD329,FD339,FD349,FD359,FD369,FD379,FD389,FD399,FD409,FD419,FD429,FD439,FD449,FD459,FD469,FD479,FD489,FD499,FD509,FD519,FD529,FD539,FD549,FD559,FD569,FD579,FD589,FD599,FD609,FD619,FD629,FD639,FD649,FD659,FD669,FD679,FD689,FD699,FD709,FD719,FD729,FD739,FD749,FD759,FD769,FD779,FD789,FD799,FD809,FD819,FD829,FD839,FD849,FD859,FD869,FD879,FD889,FD899,FD909,FD919)</f>
        <v>10911.1746</v>
      </c>
      <c r="FE925" s="237" t="n">
        <f aca="false">SUM(FE49,FE59,FE69,FE79,FE89,FE99,FE109,FE119,FE129,FE139,FE149,FE159,FE169,FE179,FE189,FE199,FE209,FE219,FE229,FE239,FE249,FE259,FE269,FE279,FE289,FE299,FE309,FE319,FE329,FE339,FE349,FE359,FE369,FE379,FE389,FE399,FE409,FE419,FE429,FE439,FE449,FE459,FE469,FE479,FE489,FE499,FE509,FE519,FE529,FE539,FE549,FE559,FE569,FE579,FE589,FE599,FE609,FE619,FE629,FE639,FE649,FE659,FE669,FE679,FE689,FE699,FE709,FE719,FE729,FE739,FE749,FE759,FE769,FE779,FE789,FE799,FE809,FE819,FE829,FE839,FE849,FE859,FE869,FE879,FE889,FE899,FE909,FE919)</f>
        <v>11727.558</v>
      </c>
      <c r="FF925" s="237" t="n">
        <f aca="false">SUM(FF49,FF59,FF69,FF79,FF89,FF99,FF109,FF119,FF129,FF139,FF149,FF159,FF169,FF179,FF189,FF199,FF209,FF219,FF229,FF239,FF249,FF259,FF269,FF279,FF289,FF299,FF309,FF319,FF329,FF339,FF349,FF359,FF369,FF379,FF389,FF399,FF409,FF419,FF429,FF439,FF449,FF459,FF469,FF479,FF489,FF499,FF509,FF519,FF529,FF539,FF549,FF559,FF569,FF579,FF589,FF599,FF609,FF619,FF629,FF639,FF649,FF659,FF669,FF679,FF689,FF699,FF709,FF719,FF729,FF739,FF749,FF759,FF769,FF779,FF789,FF799,FF809,FF819,FF829,FF839,FF849,FF859,FF869,FF879,FF889,FF899,FF909,FF919)</f>
        <v>9003.0998</v>
      </c>
      <c r="FG925" s="237" t="n">
        <f aca="false">SUM(FG49,FG59,FG69,FG79,FG89,FG99,FG109,FG119,FG129,FG139,FG149,FG159,FG169,FG179,FG189,FG199,FG209,FG219,FG229,FG239,FG249,FG259,FG269,FG279,FG289,FG299,FG309,FG319,FG329,FG339,FG349,FG359,FG369,FG379,FG389,FG399,FG409,FG419,FG429,FG439,FG449,FG459,FG469,FG479,FG489,FG499,FG509,FG519,FG529,FG539,FG549,FG559,FG569,FG579,FG589,FG599,FG609,FG619,FG629,FG639,FG649,FG659,FG669,FG679,FG689,FG699,FG709,FG719,FG729,FG739,FG749,FG759,FG769,FG779,FG789,FG799,FG809,FG819,FG829,FG839,FG849,FG859,FG869,FG879,FG889,FG899,FG909,FG919)</f>
        <v>12857.3008</v>
      </c>
      <c r="FH925" s="237" t="n">
        <f aca="false">SUM(FH49,FH59,FH69,FH79,FH89,FH99,FH109,FH119,FH129,FH139,FH149,FH159,FH169,FH179,FH189,FH199,FH209,FH219,FH229,FH239,FH249,FH259,FH269,FH279,FH289,FH299,FH309,FH319,FH329,FH339,FH349,FH359,FH369,FH379,FH389,FH399,FH409,FH419,FH429,FH439,FH449,FH459,FH469,FH479,FH489,FH499,FH509,FH519,FH529,FH539,FH549,FH559,FH569,FH579,FH589,FH599,FH609,FH619,FH629,FH639,FH649,FH659,FH669,FH679,FH689,FH699,FH709,FH719,FH729,FH739,FH749,FH759,FH769,FH779,FH789,FH799,FH809,FH819,FH829,FH839,FH849,FH859,FH869,FH879,FH889,FH899,FH909,FH919)</f>
        <v>12390.323</v>
      </c>
      <c r="FI925" s="237" t="n">
        <f aca="false">SUM(FI49,FI59,FI69,FI79,FI89,FI99,FI109,FI119,FI129,FI139,FI149,FI159,FI169,FI179,FI189,FI199,FI209,FI219,FI229,FI239,FI249,FI259,FI269,FI279,FI289,FI299,FI309,FI319,FI329,FI339,FI349,FI359,FI369,FI379,FI389,FI399,FI409,FI419,FI429,FI439,FI449,FI459,FI469,FI479,FI489,FI499,FI509,FI519,FI529,FI539,FI549,FI559,FI569,FI579,FI589,FI599,FI609,FI619,FI629,FI639,FI649,FI659,FI669,FI679,FI689,FI699,FI709,FI719,FI729,FI739,FI749,FI759,FI769,FI779,FI789,FI799,FI809,FI819,FI829,FI839,FI849,FI859,FI869,FI879,FI889,FI899,FI909,FI919)</f>
        <v>10517.6516</v>
      </c>
      <c r="FJ925" s="237" t="n">
        <f aca="false">SUM(FJ49,FJ59,FJ69,FJ79,FJ89,FJ99,FJ109,FJ119,FJ129,FJ139,FJ149,FJ159,FJ169,FJ179,FJ189,FJ199,FJ209,FJ219,FJ229,FJ239,FJ249,FJ259,FJ269,FJ279,FJ289,FJ299,FJ309,FJ319,FJ329,FJ339,FJ349,FJ359,FJ369,FJ379,FJ389,FJ399,FJ409,FJ419,FJ429,FJ439,FJ449,FJ459,FJ469,FJ479,FJ489,FJ499,FJ509,FJ519,FJ529,FJ539,FJ549,FJ559,FJ569,FJ579,FJ589,FJ599,FJ609,FJ619,FJ629,FJ639,FJ649,FJ659,FJ669,FJ679,FJ689,FJ699,FJ709,FJ719,FJ729,FJ739,FJ749,FJ759,FJ769,FJ779,FJ789,FJ799,FJ809,FJ819,FJ829,FJ839,FJ849,FJ859,FJ869,FJ879,FJ889,FJ899,FJ909,FJ919)</f>
        <v>9290.952</v>
      </c>
      <c r="FK925" s="237" t="n">
        <f aca="false">SUM(FK49,FK59,FK69,FK79,FK89,FK99,FK109,FK119,FK129,FK139,FK149,FK159,FK169,FK179,FK189,FK199,FK209,FK219,FK229,FK239,FK249,FK259,FK269,FK279,FK289,FK299,FK309,FK319,FK329,FK339,FK349,FK359,FK369,FK379,FK389,FK399,FK409,FK419,FK429,FK439,FK449,FK459,FK469,FK479,FK489,FK499,FK509,FK519,FK529,FK539,FK549,FK559,FK569,FK579,FK589,FK599,FK609,FK619,FK629,FK639,FK649,FK659,FK669,FK679,FK689,FK699,FK709,FK719,FK729,FK739,FK749,FK759,FK769,FK779,FK789,FK799,FK809,FK819,FK829,FK839,FK849,FK859,FK869,FK879,FK889,FK899,FK909,FK919)</f>
        <v>9888.1608</v>
      </c>
      <c r="FL925" s="237" t="n">
        <f aca="false">SUM(FL49,FL59,FL69,FL79,FL89,FL99,FL109,FL119,FL129,FL139,FL149,FL159,FL169,FL179,FL189,FL199,FL209,FL219,FL229,FL239,FL249,FL259,FL269,FL279,FL289,FL299,FL309,FL319,FL329,FL339,FL349,FL359,FL369,FL379,FL389,FL399,FL409,FL419,FL429,FL439,FL449,FL459,FL469,FL479,FL489,FL499,FL509,FL519,FL529,FL539,FL549,FL559,FL569,FL579,FL589,FL599,FL609,FL619,FL629,FL639,FL649,FL659,FL669,FL679,FL689,FL699,FL709,FL719,FL729,FL739,FL749,FL759,FL769,FL779,FL789,FL799,FL809,FL819,FL829,FL839,FL849,FL859,FL869,FL879,FL889,FL899,FL909,FL919)</f>
        <v>16956.2342</v>
      </c>
      <c r="FM925" s="237" t="n">
        <f aca="false">SUM(FM49,FM59,FM69,FM79,FM89,FM99,FM109,FM119,FM129,FM139,FM149,FM159,FM169,FM179,FM189,FM199,FM209,FM219,FM229,FM239,FM249,FM259,FM269,FM279,FM289,FM299,FM309,FM319,FM329,FM339,FM349,FM359,FM369,FM379,FM389,FM399,FM409,FM419,FM429,FM439,FM449,FM459,FM469,FM479,FM489,FM499,FM509,FM519,FM529,FM539,FM549,FM559,FM569,FM579,FM589,FM599,FM609,FM619,FM629,FM639,FM649,FM659,FM669,FM679,FM689,FM699,FM709,FM719,FM729,FM739,FM749,FM759,FM769,FM779,FM789,FM799,FM809,FM819,FM829,FM839,FM849,FM859,FM869,FM879,FM889,FM899,FM909,FM919)</f>
        <v>14058.7012</v>
      </c>
      <c r="FN925" s="237" t="n">
        <f aca="false">SUM(FN49,FN59,FN69,FN79,FN89,FN99,FN109,FN119,FN129,FN139,FN149,FN159,FN169,FN179,FN189,FN199,FN209,FN219,FN229,FN239,FN249,FN259,FN269,FN279,FN289,FN299,FN309,FN319,FN329,FN339,FN349,FN359,FN369,FN379,FN389,FN399,FN409,FN419,FN429,FN439,FN449,FN459,FN469,FN479,FN489,FN499,FN509,FN519,FN529,FN539,FN549,FN559,FN569,FN579,FN589,FN599,FN609,FN619,FN629,FN639,FN649,FN659,FN669,FN679,FN689,FN699,FN709,FN719,FN729,FN739,FN749,FN759,FN769,FN779,FN789,FN799,FN809,FN819,FN829,FN839,FN849,FN859,FN869,FN879,FN889,FN899,FN909,FN919)</f>
        <v>11816.64</v>
      </c>
      <c r="FO925" s="237" t="n">
        <f aca="false">SUM(FO49,FO59,FO69,FO79,FO89,FO99,FO109,FO119,FO129,FO139,FO149,FO159,FO169,FO179,FO189,FO199,FO209,FO219,FO229,FO239,FO249,FO259,FO269,FO279,FO289,FO299,FO309,FO319,FO329,FO339,FO349,FO359,FO369,FO379,FO389,FO399,FO409,FO419,FO429,FO439,FO449,FO459,FO469,FO479,FO489,FO499,FO509,FO519,FO529,FO539,FO549,FO559,FO569,FO579,FO589,FO599,FO609,FO619,FO629,FO639,FO649,FO659,FO669,FO679,FO689,FO699,FO709,FO719,FO729,FO739,FO749,FO759,FO769,FO779,FO789,FO799,FO809,FO819,FO829,FO839,FO849,FO859,FO869,FO879,FO889,FO899,FO909,FO919)</f>
        <v>8998.74</v>
      </c>
      <c r="FP925" s="237" t="n">
        <f aca="false">SUM(FP49,FP59,FP69,FP79,FP89,FP99,FP109,FP119,FP129,FP139,FP149,FP159,FP169,FP179,FP189,FP199,FP209,FP219,FP229,FP239,FP249,FP259,FP269,FP279,FP289,FP299,FP309,FP319,FP329,FP339,FP349,FP359,FP369,FP379,FP389,FP399,FP409,FP419,FP429,FP439,FP449,FP459,FP469,FP479,FP489,FP499,FP509,FP519,FP529,FP539,FP549,FP559,FP569,FP579,FP589,FP599,FP609,FP619,FP629,FP639,FP649,FP659,FP669,FP679,FP689,FP699,FP709,FP719,FP729,FP739,FP749,FP759,FP769,FP779,FP789,FP799,FP809,FP819,FP829,FP839,FP849,FP859,FP869,FP879,FP889,FP899,FP909,FP919)</f>
        <v>12911.8026</v>
      </c>
    </row>
    <row r="926" customFormat="false" ht="15" hidden="false" customHeight="false" outlineLevel="0" collapsed="false">
      <c r="B926" s="9" t="s">
        <v>967</v>
      </c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242" t="n">
        <f aca="false">SUM(AC50,AC60,AC70,AC80,AC90,AC100,AC110,AC120,AC130,AC140,AC150,AC160,AC170,AC180,AC190,AC200,AC210,AC220,AC230,AC240,AC250,AC260,AC270,AC280,AC290,AC300,AC310,AC320,AC330,AC340,AC350,AC360,AC370,AC380,AC390,AC400,AC410,AC420,AC430,AC440,AC450,AC460,AC470,AC480,AC490,AC500,AC510,AC520,AC530,AC540,AC550,AC560,AC570,AC580,AC590,AC600,AC610,AC620,AC630,AC640,AC650,AC660,AC670,AC680,AC690,AC700,AC710,AC720,AC730,AC740,AC750,AC760,AC770,AC780,AC790,AC800,AC810,AC820,AC830,AC840,AC850,AC860,AC870,AC880,AC890,AC900,AC910,AC920)</f>
        <v>0</v>
      </c>
      <c r="AD926" s="242" t="n">
        <f aca="false">SUM(AD50,AD60,AD70,AD80,AD90,AD100,AD110,AD120,AD130,AD140,AD150,AD160,AD170,AD180,AD190,AD200,AD210,AD220,AD230,AD240,AD250,AD260,AD270,AD280,AD290,AD300,AD310,AD320,AD330,AD340,AD350,AD360,AD370,AD380,AD390,AD400,AD410,AD420,AD430,AD440,AD450,AD460,AD470,AD480,AD490,AD500,AD510,AD520,AD530,AD540,AD550,AD560,AD570,AD580,AD590,AD600,AD610,AD620,AD630,AD640,AD650,AD660,AD670,AD680,AD690,AD700,AD710,AD720,AD730,AD740,AD750,AD760,AD770,AD780,AD790,AD800,AD810,AD820,AD830,AD840,AD850,AD860,AD870,AD880,AD890,AD900,AD910,AD920)</f>
        <v>5.80608</v>
      </c>
      <c r="AE926" s="242" t="n">
        <f aca="false">SUM(AE50,AE60,AE70,AE80,AE90,AE100,AE110,AE120,AE130,AE140,AE150,AE160,AE170,AE180,AE190,AE200,AE210,AE220,AE230,AE240,AE250,AE260,AE270,AE280,AE290,AE300,AE310,AE320,AE330,AE340,AE350,AE360,AE370,AE380,AE390,AE400,AE410,AE420,AE430,AE440,AE450,AE460,AE470,AE480,AE490,AE500,AE510,AE520,AE530,AE540,AE550,AE560,AE570,AE580,AE590,AE600,AE610,AE620,AE630,AE640,AE650,AE660,AE670,AE680,AE690,AE700,AE710,AE720,AE730,AE740,AE750,AE760,AE770,AE780,AE790,AE800,AE810,AE820,AE830,AE840,AE850,AE860,AE870,AE880,AE890,AE900,AE910,AE920)</f>
        <v>7.221888</v>
      </c>
      <c r="AF926" s="242" t="n">
        <f aca="false">SUM(AF50,AF60,AF70,AF80,AF90,AF100,AF110,AF120,AF130,AF140,AF150,AF160,AF170,AF180,AF190,AF200,AF210,AF220,AF230,AF240,AF250,AF260,AF270,AF280,AF290,AF300,AF310,AF320,AF330,AF340,AF350,AF360,AF370,AF380,AF390,AF400,AF410,AF420,AF430,AF440,AF450,AF460,AF470,AF480,AF490,AF500,AF510,AF520,AF530,AF540,AF550,AF560,AF570,AF580,AF590,AF600,AF610,AF620,AF630,AF640,AF650,AF660,AF670,AF680,AF690,AF700,AF710,AF720,AF730,AF740,AF750,AF760,AF770,AF780,AF790,AF800,AF810,AF820,AF830,AF840,AF850,AF860,AF870,AF880,AF890,AF900,AF910,AF920)</f>
        <v>11.8326144</v>
      </c>
      <c r="AG926" s="242" t="n">
        <f aca="false">SUM(AG50,AG60,AG70,AG80,AG90,AG100,AG110,AG120,AG130,AG140,AG150,AG160,AG170,AG180,AG190,AG200,AG210,AG220,AG230,AG240,AG250,AG260,AG270,AG280,AG290,AG300,AG310,AG320,AG330,AG340,AG350,AG360,AG370,AG380,AG390,AG400,AG410,AG420,AG430,AG440,AG450,AG460,AG470,AG480,AG490,AG500,AG510,AG520,AG530,AG540,AG550,AG560,AG570,AG580,AG590,AG600,AG610,AG620,AG630,AG640,AG650,AG660,AG670,AG680,AG690,AG700,AG710,AG720,AG730,AG740,AG750,AG760,AG770,AG780,AG790,AG800,AG810,AG820,AG830,AG840,AG850,AG860,AG870,AG880,AG890,AG900,AG910,AG920)</f>
        <v>13.58832</v>
      </c>
      <c r="AH926" s="242" t="n">
        <f aca="false">SUM(AH50,AH60,AH70,AH80,AH90,AH100,AH110,AH120,AH130,AH140,AH150,AH160,AH170,AH180,AH190,AH200,AH210,AH220,AH230,AH240,AH250,AH260,AH270,AH280,AH290,AH300,AH310,AH320,AH330,AH340,AH350,AH360,AH370,AH380,AH390,AH400,AH410,AH420,AH430,AH440,AH450,AH460,AH470,AH480,AH490,AH500,AH510,AH520,AH530,AH540,AH550,AH560,AH570,AH580,AH590,AH600,AH610,AH620,AH630,AH640,AH650,AH660,AH670,AH680,AH690,AH700,AH710,AH720,AH730,AH740,AH750,AH760,AH770,AH780,AH790,AH800,AH810,AH820,AH830,AH840,AH850,AH860,AH870,AH880,AH890,AH900,AH910,AH920)</f>
        <v>17.6810848</v>
      </c>
      <c r="AI926" s="242" t="n">
        <f aca="false">SUM(AI50,AI60,AI70,AI80,AI90,AI100,AI110,AI120,AI130,AI140,AI150,AI160,AI170,AI180,AI190,AI200,AI210,AI220,AI230,AI240,AI250,AI260,AI270,AI280,AI290,AI300,AI310,AI320,AI330,AI340,AI350,AI360,AI370,AI380,AI390,AI400,AI410,AI420,AI430,AI440,AI450,AI460,AI470,AI480,AI490,AI500,AI510,AI520,AI530,AI540,AI550,AI560,AI570,AI580,AI590,AI600,AI610,AI620,AI630,AI640,AI650,AI660,AI670,AI680,AI690,AI700,AI710,AI720,AI730,AI740,AI750,AI760,AI770,AI780,AI790,AI800,AI810,AI820,AI830,AI840,AI850,AI860,AI870,AI880,AI890,AI900,AI910,AI920)</f>
        <v>18.286032</v>
      </c>
      <c r="AJ926" s="242" t="n">
        <f aca="false">SUM(AJ50,AJ60,AJ70,AJ80,AJ90,AJ100,AJ110,AJ120,AJ130,AJ140,AJ150,AJ160,AJ170,AJ180,AJ190,AJ200,AJ210,AJ220,AJ230,AJ240,AJ250,AJ260,AJ270,AJ280,AJ290,AJ300,AJ310,AJ320,AJ330,AJ340,AJ350,AJ360,AJ370,AJ380,AJ390,AJ400,AJ410,AJ420,AJ430,AJ440,AJ450,AJ460,AJ470,AJ480,AJ490,AJ500,AJ510,AJ520,AJ530,AJ540,AJ550,AJ560,AJ570,AJ580,AJ590,AJ600,AJ610,AJ620,AJ630,AJ640,AJ650,AJ660,AJ670,AJ680,AJ690,AJ700,AJ710,AJ720,AJ730,AJ740,AJ750,AJ760,AJ770,AJ780,AJ790,AJ800,AJ810,AJ820,AJ830,AJ840,AJ850,AJ860,AJ870,AJ880,AJ890,AJ900,AJ910,AJ920)</f>
        <v>22.0629312</v>
      </c>
      <c r="AK926" s="242" t="n">
        <f aca="false">SUM(AK50,AK60,AK70,AK80,AK90,AK100,AK110,AK120,AK130,AK140,AK150,AK160,AK170,AK180,AK190,AK200,AK210,AK220,AK230,AK240,AK250,AK260,AK270,AK280,AK290,AK300,AK310,AK320,AK330,AK340,AK350,AK360,AK370,AK380,AK390,AK400,AK410,AK420,AK430,AK440,AK450,AK460,AK470,AK480,AK490,AK500,AK510,AK520,AK530,AK540,AK550,AK560,AK570,AK580,AK590,AK600,AK610,AK620,AK630,AK640,AK650,AK660,AK670,AK680,AK690,AK700,AK710,AK720,AK730,AK740,AK750,AK760,AK770,AK780,AK790,AK800,AK810,AK820,AK830,AK840,AK850,AK860,AK870,AK880,AK890,AK900,AK910,AK920)</f>
        <v>36.605712</v>
      </c>
      <c r="AL926" s="242" t="n">
        <f aca="false">SUM(AL50,AL60,AL70,AL80,AL90,AL100,AL110,AL120,AL130,AL140,AL150,AL160,AL170,AL180,AL190,AL200,AL210,AL220,AL230,AL240,AL250,AL260,AL270,AL280,AL290,AL300,AL310,AL320,AL330,AL340,AL350,AL360,AL370,AL380,AL390,AL400,AL410,AL420,AL430,AL440,AL450,AL460,AL470,AL480,AL490,AL500,AL510,AL520,AL530,AL540,AL550,AL560,AL570,AL580,AL590,AL600,AL610,AL620,AL630,AL640,AL650,AL660,AL670,AL680,AL690,AL700,AL710,AL720,AL730,AL740,AL750,AL760,AL770,AL780,AL790,AL800,AL810,AL820,AL830,AL840,AL850,AL860,AL870,AL880,AL890,AL900,AL910,AL920)</f>
        <v>36.6958592</v>
      </c>
      <c r="AM926" s="242" t="n">
        <f aca="false">SUM(AM50,AM60,AM70,AM80,AM90,AM100,AM110,AM120,AM130,AM140,AM150,AM160,AM170,AM180,AM190,AM200,AM210,AM220,AM230,AM240,AM250,AM260,AM270,AM280,AM290,AM300,AM310,AM320,AM330,AM340,AM350,AM360,AM370,AM380,AM390,AM400,AM410,AM420,AM430,AM440,AM450,AM460,AM470,AM480,AM490,AM500,AM510,AM520,AM530,AM540,AM550,AM560,AM570,AM580,AM590,AM600,AM610,AM620,AM630,AM640,AM650,AM660,AM670,AM680,AM690,AM700,AM710,AM720,AM730,AM740,AM750,AM760,AM770,AM780,AM790,AM800,AM810,AM820,AM830,AM840,AM850,AM860,AM870,AM880,AM890,AM900,AM910,AM920)</f>
        <v>36.944784</v>
      </c>
      <c r="AN926" s="242" t="n">
        <f aca="false">SUM(AN50,AN60,AN70,AN80,AN90,AN100,AN110,AN120,AN130,AN140,AN150,AN160,AN170,AN180,AN190,AN200,AN210,AN220,AN230,AN240,AN250,AN260,AN270,AN280,AN290,AN300,AN310,AN320,AN330,AN340,AN350,AN360,AN370,AN380,AN390,AN400,AN410,AN420,AN430,AN440,AN450,AN460,AN470,AN480,AN490,AN500,AN510,AN520,AN530,AN540,AN550,AN560,AN570,AN580,AN590,AN600,AN610,AN620,AN630,AN640,AN650,AN660,AN670,AN680,AN690,AN700,AN710,AN720,AN730,AN740,AN750,AN760,AN770,AN780,AN790,AN800,AN810,AN820,AN830,AN840,AN850,AN860,AN870,AN880,AN890,AN900,AN910,AN920)</f>
        <v>34.1860064</v>
      </c>
      <c r="AO926" s="242" t="n">
        <f aca="false">SUM(AO50,AO60,AO70,AO80,AO90,AO100,AO110,AO120,AO130,AO140,AO150,AO160,AO170,AO180,AO190,AO200,AO210,AO220,AO230,AO240,AO250,AO260,AO270,AO280,AO290,AO300,AO310,AO320,AO330,AO340,AO350,AO360,AO370,AO380,AO390,AO400,AO410,AO420,AO430,AO440,AO450,AO460,AO470,AO480,AO490,AO500,AO510,AO520,AO530,AO540,AO550,AO560,AO570,AO580,AO590,AO600,AO610,AO620,AO630,AO640,AO650,AO660,AO670,AO680,AO690,AO700,AO710,AO720,AO730,AO740,AO750,AO760,AO770,AO780,AO790,AO800,AO810,AO820,AO830,AO840,AO850,AO860,AO870,AO880,AO890,AO900,AO910,AO920)</f>
        <v>51.2445568</v>
      </c>
      <c r="AP926" s="242" t="n">
        <f aca="false">SUM(AP50,AP60,AP70,AP80,AP90,AP100,AP110,AP120,AP130,AP140,AP150,AP160,AP170,AP180,AP190,AP200,AP210,AP220,AP230,AP240,AP250,AP260,AP270,AP280,AP290,AP300,AP310,AP320,AP330,AP340,AP350,AP360,AP370,AP380,AP390,AP400,AP410,AP420,AP430,AP440,AP450,AP460,AP470,AP480,AP490,AP500,AP510,AP520,AP530,AP540,AP550,AP560,AP570,AP580,AP590,AP600,AP610,AP620,AP630,AP640,AP650,AP660,AP670,AP680,AP690,AP700,AP710,AP720,AP730,AP740,AP750,AP760,AP770,AP780,AP790,AP800,AP810,AP820,AP830,AP840,AP850,AP860,AP870,AP880,AP890,AP900,AP910,AP920)</f>
        <v>60.4237488</v>
      </c>
      <c r="AQ926" s="242" t="n">
        <f aca="false">SUM(AQ50,AQ60,AQ70,AQ80,AQ90,AQ100,AQ110,AQ120,AQ130,AQ140,AQ150,AQ160,AQ170,AQ180,AQ190,AQ200,AQ210,AQ220,AQ230,AQ240,AQ250,AQ260,AQ270,AQ280,AQ290,AQ300,AQ310,AQ320,AQ330,AQ340,AQ350,AQ360,AQ370,AQ380,AQ390,AQ400,AQ410,AQ420,AQ430,AQ440,AQ450,AQ460,AQ470,AQ480,AQ490,AQ500,AQ510,AQ520,AQ530,AQ540,AQ550,AQ560,AQ570,AQ580,AQ590,AQ600,AQ610,AQ620,AQ630,AQ640,AQ650,AQ660,AQ670,AQ680,AQ690,AQ700,AQ710,AQ720,AQ730,AQ740,AQ750,AQ760,AQ770,AQ780,AQ790,AQ800,AQ810,AQ820,AQ830,AQ840,AQ850,AQ860,AQ870,AQ880,AQ890,AQ900,AQ910,AQ920)</f>
        <v>58.8868128</v>
      </c>
      <c r="AR926" s="242" t="n">
        <f aca="false">SUM(AR50,AR60,AR70,AR80,AR90,AR100,AR110,AR120,AR130,AR140,AR150,AR160,AR170,AR180,AR190,AR200,AR210,AR220,AR230,AR240,AR250,AR260,AR270,AR280,AR290,AR300,AR310,AR320,AR330,AR340,AR350,AR360,AR370,AR380,AR390,AR400,AR410,AR420,AR430,AR440,AR450,AR460,AR470,AR480,AR490,AR500,AR510,AR520,AR530,AR540,AR550,AR560,AR570,AR580,AR590,AR600,AR610,AR620,AR630,AR640,AR650,AR660,AR670,AR680,AR690,AR700,AR710,AR720,AR730,AR740,AR750,AR760,AR770,AR780,AR790,AR800,AR810,AR820,AR830,AR840,AR850,AR860,AR870,AR880,AR890,AR900,AR910,AR920)</f>
        <v>77.3443328</v>
      </c>
      <c r="AS926" s="242" t="n">
        <f aca="false">SUM(AS50,AS60,AS70,AS80,AS90,AS100,AS110,AS120,AS130,AS140,AS150,AS160,AS170,AS180,AS190,AS200,AS210,AS220,AS230,AS240,AS250,AS260,AS270,AS280,AS290,AS300,AS310,AS320,AS330,AS340,AS350,AS360,AS370,AS380,AS390,AS400,AS410,AS420,AS430,AS440,AS450,AS460,AS470,AS480,AS490,AS500,AS510,AS520,AS530,AS540,AS550,AS560,AS570,AS580,AS590,AS600,AS610,AS620,AS630,AS640,AS650,AS660,AS670,AS680,AS690,AS700,AS710,AS720,AS730,AS740,AS750,AS760,AS770,AS780,AS790,AS800,AS810,AS820,AS830,AS840,AS850,AS860,AS870,AS880,AS890,AS900,AS910,AS920)</f>
        <v>85.2057952</v>
      </c>
      <c r="AT926" s="242" t="n">
        <f aca="false">SUM(AT50,AT60,AT70,AT80,AT90,AT100,AT110,AT120,AT130,AT140,AT150,AT160,AT170,AT180,AT190,AT200,AT210,AT220,AT230,AT240,AT250,AT260,AT270,AT280,AT290,AT300,AT310,AT320,AT330,AT340,AT350,AT360,AT370,AT380,AT390,AT400,AT410,AT420,AT430,AT440,AT450,AT460,AT470,AT480,AT490,AT500,AT510,AT520,AT530,AT540,AT550,AT560,AT570,AT580,AT590,AT600,AT610,AT620,AT630,AT640,AT650,AT660,AT670,AT680,AT690,AT700,AT710,AT720,AT730,AT740,AT750,AT760,AT770,AT780,AT790,AT800,AT810,AT820,AT830,AT840,AT850,AT860,AT870,AT880,AT890,AT900,AT910,AT920)</f>
        <v>87.9494064</v>
      </c>
      <c r="AU926" s="242" t="n">
        <f aca="false">SUM(AU50,AU60,AU70,AU80,AU90,AU100,AU110,AU120,AU130,AU140,AU150,AU160,AU170,AU180,AU190,AU200,AU210,AU220,AU230,AU240,AU250,AU260,AU270,AU280,AU290,AU300,AU310,AU320,AU330,AU340,AU350,AU360,AU370,AU380,AU390,AU400,AU410,AU420,AU430,AU440,AU450,AU460,AU470,AU480,AU490,AU500,AU510,AU520,AU530,AU540,AU550,AU560,AU570,AU580,AU590,AU600,AU610,AU620,AU630,AU640,AU650,AU660,AU670,AU680,AU690,AU700,AU710,AU720,AU730,AU740,AU750,AU760,AU770,AU780,AU790,AU800,AU810,AU820,AU830,AU840,AU850,AU860,AU870,AU880,AU890,AU900,AU910,AU920)</f>
        <v>89.56784544</v>
      </c>
      <c r="AV926" s="242" t="n">
        <f aca="false">SUM(AV50,AV60,AV70,AV80,AV90,AV100,AV110,AV120,AV130,AV140,AV150,AV160,AV170,AV180,AV190,AV200,AV210,AV220,AV230,AV240,AV250,AV260,AV270,AV280,AV290,AV300,AV310,AV320,AV330,AV340,AV350,AV360,AV370,AV380,AV390,AV400,AV410,AV420,AV430,AV440,AV450,AV460,AV470,AV480,AV490,AV500,AV510,AV520,AV530,AV540,AV550,AV560,AV570,AV580,AV590,AV600,AV610,AV620,AV630,AV640,AV650,AV660,AV670,AV680,AV690,AV700,AV710,AV720,AV730,AV740,AV750,AV760,AV770,AV780,AV790,AV800,AV810,AV820,AV830,AV840,AV850,AV860,AV870,AV880,AV890,AV900,AV910,AV920)</f>
        <v>99.94560816</v>
      </c>
      <c r="AW926" s="242" t="n">
        <f aca="false">SUM(AW50,AW60,AW70,AW80,AW90,AW100,AW110,AW120,AW130,AW140,AW150,AW160,AW170,AW180,AW190,AW200,AW210,AW220,AW230,AW240,AW250,AW260,AW270,AW280,AW290,AW300,AW310,AW320,AW330,AW340,AW350,AW360,AW370,AW380,AW390,AW400,AW410,AW420,AW430,AW440,AW450,AW460,AW470,AW480,AW490,AW500,AW510,AW520,AW530,AW540,AW550,AW560,AW570,AW580,AW590,AW600,AW610,AW620,AW630,AW640,AW650,AW660,AW670,AW680,AW690,AW700,AW710,AW720,AW730,AW740,AW750,AW760,AW770,AW780,AW790,AW800,AW810,AW820,AW830,AW840,AW850,AW860,AW870,AW880,AW890,AW900,AW910,AW920)</f>
        <v>145.5365476</v>
      </c>
      <c r="AX926" s="242" t="n">
        <f aca="false">SUM(AX50,AX60,AX70,AX80,AX90,AX100,AX110,AX120,AX130,AX140,AX150,AX160,AX170,AX180,AX190,AX200,AX210,AX220,AX230,AX240,AX250,AX260,AX270,AX280,AX290,AX300,AX310,AX320,AX330,AX340,AX350,AX360,AX370,AX380,AX390,AX400,AX410,AX420,AX430,AX440,AX450,AX460,AX470,AX480,AX490,AX500,AX510,AX520,AX530,AX540,AX550,AX560,AX570,AX580,AX590,AX600,AX610,AX620,AX630,AX640,AX650,AX660,AX670,AX680,AX690,AX700,AX710,AX720,AX730,AX740,AX750,AX760,AX770,AX780,AX790,AX800,AX810,AX820,AX830,AX840,AX850,AX860,AX870,AX880,AX890,AX900,AX910,AX920)</f>
        <v>144.06627392</v>
      </c>
      <c r="AY926" s="242" t="n">
        <f aca="false">SUM(AY50,AY60,AY70,AY80,AY90,AY100,AY110,AY120,AY130,AY140,AY150,AY160,AY170,AY180,AY190,AY200,AY210,AY220,AY230,AY240,AY250,AY260,AY270,AY280,AY290,AY300,AY310,AY320,AY330,AY340,AY350,AY360,AY370,AY380,AY390,AY400,AY410,AY420,AY430,AY440,AY450,AY460,AY470,AY480,AY490,AY500,AY510,AY520,AY530,AY540,AY550,AY560,AY570,AY580,AY590,AY600,AY610,AY620,AY630,AY640,AY650,AY660,AY670,AY680,AY690,AY700,AY710,AY720,AY730,AY740,AY750,AY760,AY770,AY780,AY790,AY800,AY810,AY820,AY830,AY840,AY850,AY860,AY870,AY880,AY890,AY900,AY910,AY920)</f>
        <v>143.11747648</v>
      </c>
      <c r="AZ926" s="242" t="n">
        <f aca="false">SUM(AZ50,AZ60,AZ70,AZ80,AZ90,AZ100,AZ110,AZ120,AZ130,AZ140,AZ150,AZ160,AZ170,AZ180,AZ190,AZ200,AZ210,AZ220,AZ230,AZ240,AZ250,AZ260,AZ270,AZ280,AZ290,AZ300,AZ310,AZ320,AZ330,AZ340,AZ350,AZ360,AZ370,AZ380,AZ390,AZ400,AZ410,AZ420,AZ430,AZ440,AZ450,AZ460,AZ470,AZ480,AZ490,AZ500,AZ510,AZ520,AZ530,AZ540,AZ550,AZ560,AZ570,AZ580,AZ590,AZ600,AZ610,AZ620,AZ630,AZ640,AZ650,AZ660,AZ670,AZ680,AZ690,AZ700,AZ710,AZ720,AZ730,AZ740,AZ750,AZ760,AZ770,AZ780,AZ790,AZ800,AZ810,AZ820,AZ830,AZ840,AZ850,AZ860,AZ870,AZ880,AZ890,AZ900,AZ910,AZ920)</f>
        <v>135.41483656</v>
      </c>
      <c r="BA926" s="242" t="n">
        <f aca="false">SUM(BA50,BA60,BA70,BA80,BA90,BA100,BA110,BA120,BA130,BA140,BA150,BA160,BA170,BA180,BA190,BA200,BA210,BA220,BA230,BA240,BA250,BA260,BA270,BA280,BA290,BA300,BA310,BA320,BA330,BA340,BA350,BA360,BA370,BA380,BA390,BA400,BA410,BA420,BA430,BA440,BA450,BA460,BA470,BA480,BA490,BA500,BA510,BA520,BA530,BA540,BA550,BA560,BA570,BA580,BA590,BA600,BA610,BA620,BA630,BA640,BA650,BA660,BA670,BA680,BA690,BA700,BA710,BA720,BA730,BA740,BA750,BA760,BA770,BA780,BA790,BA800,BA810,BA820,BA830,BA840,BA850,BA860,BA870,BA880,BA890,BA900,BA910,BA920)</f>
        <v>168.6103112</v>
      </c>
      <c r="BB926" s="242" t="n">
        <f aca="false">SUM(BB50,BB60,BB70,BB80,BB90,BB100,BB110,BB120,BB130,BB140,BB150,BB160,BB170,BB180,BB190,BB200,BB210,BB220,BB230,BB240,BB250,BB260,BB270,BB280,BB290,BB300,BB310,BB320,BB330,BB340,BB350,BB360,BB370,BB380,BB390,BB400,BB410,BB420,BB430,BB440,BB450,BB460,BB470,BB480,BB490,BB500,BB510,BB520,BB530,BB540,BB550,BB560,BB570,BB580,BB590,BB600,BB610,BB620,BB630,BB640,BB650,BB660,BB670,BB680,BB690,BB700,BB710,BB720,BB730,BB740,BB750,BB760,BB770,BB780,BB790,BB800,BB810,BB820,BB830,BB840,BB850,BB860,BB870,BB880,BB890,BB900,BB910,BB920)</f>
        <v>187.40121712</v>
      </c>
      <c r="BC926" s="242" t="n">
        <f aca="false">SUM(BC50,BC60,BC70,BC80,BC90,BC100,BC110,BC120,BC130,BC140,BC150,BC160,BC170,BC180,BC190,BC200,BC210,BC220,BC230,BC240,BC250,BC260,BC270,BC280,BC290,BC300,BC310,BC320,BC330,BC340,BC350,BC360,BC370,BC380,BC390,BC400,BC410,BC420,BC430,BC440,BC450,BC460,BC470,BC480,BC490,BC500,BC510,BC520,BC530,BC540,BC550,BC560,BC570,BC580,BC590,BC600,BC610,BC620,BC630,BC640,BC650,BC660,BC670,BC680,BC690,BC700,BC710,BC720,BC730,BC740,BC750,BC760,BC770,BC780,BC790,BC800,BC810,BC820,BC830,BC840,BC850,BC860,BC870,BC880,BC890,BC900,BC910,BC920)</f>
        <v>188.18926448</v>
      </c>
      <c r="BD926" s="242" t="n">
        <f aca="false">SUM(BD50,BD60,BD70,BD80,BD90,BD100,BD110,BD120,BD130,BD140,BD150,BD160,BD170,BD180,BD190,BD200,BD210,BD220,BD230,BD240,BD250,BD260,BD270,BD280,BD290,BD300,BD310,BD320,BD330,BD340,BD350,BD360,BD370,BD380,BD390,BD400,BD410,BD420,BD430,BD440,BD450,BD460,BD470,BD480,BD490,BD500,BD510,BD520,BD530,BD540,BD550,BD560,BD570,BD580,BD590,BD600,BD610,BD620,BD630,BD640,BD650,BD660,BD670,BD680,BD690,BD700,BD710,BD720,BD730,BD740,BD750,BD760,BD770,BD780,BD790,BD800,BD810,BD820,BD830,BD840,BD850,BD860,BD870,BD880,BD890,BD900,BD910,BD920)</f>
        <v>239.67804288</v>
      </c>
      <c r="BE926" s="242" t="n">
        <f aca="false">SUM(BE50,BE60,BE70,BE80,BE90,BE100,BE110,BE120,BE130,BE140,BE150,BE160,BE170,BE180,BE190,BE200,BE210,BE220,BE230,BE240,BE250,BE260,BE270,BE280,BE290,BE300,BE310,BE320,BE330,BE340,BE350,BE360,BE370,BE380,BE390,BE400,BE410,BE420,BE430,BE440,BE450,BE460,BE470,BE480,BE490,BE500,BE510,BE520,BE530,BE540,BE550,BE560,BE570,BE580,BE590,BE600,BE610,BE620,BE630,BE640,BE650,BE660,BE670,BE680,BE690,BE700,BE710,BE720,BE730,BE740,BE750,BE760,BE770,BE780,BE790,BE800,BE810,BE820,BE830,BE840,BE850,BE860,BE870,BE880,BE890,BE900,BE910,BE920)</f>
        <v>260.43103612</v>
      </c>
      <c r="BF926" s="242" t="n">
        <f aca="false">SUM(BF50,BF60,BF70,BF80,BF90,BF100,BF110,BF120,BF130,BF140,BF150,BF160,BF170,BF180,BF190,BF200,BF210,BF220,BF230,BF240,BF250,BF260,BF270,BF280,BF290,BF300,BF310,BF320,BF330,BF340,BF350,BF360,BF370,BF380,BF390,BF400,BF410,BF420,BF430,BF440,BF450,BF460,BF470,BF480,BF490,BF500,BF510,BF520,BF530,BF540,BF550,BF560,BF570,BF580,BF590,BF600,BF610,BF620,BF630,BF640,BF650,BF660,BF670,BF680,BF690,BF700,BF710,BF720,BF730,BF740,BF750,BF760,BF770,BF780,BF790,BF800,BF810,BF820,BF830,BF840,BF850,BF860,BF870,BF880,BF890,BF900,BF910,BF920)</f>
        <v>263.7197382</v>
      </c>
      <c r="BG926" s="242" t="n">
        <f aca="false">SUM(BG50,BG60,BG70,BG80,BG90,BG100,BG110,BG120,BG130,BG140,BG150,BG160,BG170,BG180,BG190,BG200,BG210,BG220,BG230,BG240,BG250,BG260,BG270,BG280,BG290,BG300,BG310,BG320,BG330,BG340,BG350,BG360,BG370,BG380,BG390,BG400,BG410,BG420,BG430,BG440,BG450,BG460,BG470,BG480,BG490,BG500,BG510,BG520,BG530,BG540,BG550,BG560,BG570,BG580,BG590,BG600,BG610,BG620,BG630,BG640,BG650,BG660,BG670,BG680,BG690,BG700,BG710,BG720,BG730,BG740,BG750,BG760,BG770,BG780,BG790,BG800,BG810,BG820,BG830,BG840,BG850,BG860,BG870,BG880,BG890,BG900,BG910,BG920)</f>
        <v>268.55962028</v>
      </c>
      <c r="BH926" s="242" t="n">
        <f aca="false">SUM(BH50,BH60,BH70,BH80,BH90,BH100,BH110,BH120,BH130,BH140,BH150,BH160,BH170,BH180,BH190,BH200,BH210,BH220,BH230,BH240,BH250,BH260,BH270,BH280,BH290,BH300,BH310,BH320,BH330,BH340,BH350,BH360,BH370,BH380,BH390,BH400,BH410,BH420,BH430,BH440,BH450,BH460,BH470,BH480,BH490,BH500,BH510,BH520,BH530,BH540,BH550,BH560,BH570,BH580,BH590,BH600,BH610,BH620,BH630,BH640,BH650,BH660,BH670,BH680,BH690,BH700,BH710,BH720,BH730,BH740,BH750,BH760,BH770,BH780,BH790,BH800,BH810,BH820,BH830,BH840,BH850,BH860,BH870,BH880,BH890,BH900,BH910,BH920)</f>
        <v>295.61849564</v>
      </c>
      <c r="BI926" s="242" t="n">
        <f aca="false">SUM(BI50,BI60,BI70,BI80,BI90,BI100,BI110,BI120,BI130,BI140,BI150,BI160,BI170,BI180,BI190,BI200,BI210,BI220,BI230,BI240,BI250,BI260,BI270,BI280,BI290,BI300,BI310,BI320,BI330,BI340,BI350,BI360,BI370,BI380,BI390,BI400,BI410,BI420,BI430,BI440,BI450,BI460,BI470,BI480,BI490,BI500,BI510,BI520,BI530,BI540,BI550,BI560,BI570,BI580,BI590,BI600,BI610,BI620,BI630,BI640,BI650,BI660,BI670,BI680,BI690,BI700,BI710,BI720,BI730,BI740,BI750,BI760,BI770,BI780,BI790,BI800,BI810,BI820,BI830,BI840,BI850,BI860,BI870,BI880,BI890,BI900,BI910,BI920)</f>
        <v>398.44077828</v>
      </c>
      <c r="BJ926" s="242" t="n">
        <f aca="false">SUM(BJ50,BJ60,BJ70,BJ80,BJ90,BJ100,BJ110,BJ120,BJ130,BJ140,BJ150,BJ160,BJ170,BJ180,BJ190,BJ200,BJ210,BJ220,BJ230,BJ240,BJ250,BJ260,BJ270,BJ280,BJ290,BJ300,BJ310,BJ320,BJ330,BJ340,BJ350,BJ360,BJ370,BJ380,BJ390,BJ400,BJ410,BJ420,BJ430,BJ440,BJ450,BJ460,BJ470,BJ480,BJ490,BJ500,BJ510,BJ520,BJ530,BJ540,BJ550,BJ560,BJ570,BJ580,BJ590,BJ600,BJ610,BJ620,BJ630,BJ640,BJ650,BJ660,BJ670,BJ680,BJ690,BJ700,BJ710,BJ720,BJ730,BJ740,BJ750,BJ760,BJ770,BJ780,BJ790,BJ800,BJ810,BJ820,BJ830,BJ840,BJ850,BJ860,BJ870,BJ880,BJ890,BJ900,BJ910,BJ920)</f>
        <v>400.65933892</v>
      </c>
      <c r="BK926" s="242" t="n">
        <f aca="false">SUM(BK50,BK60,BK70,BK80,BK90,BK100,BK110,BK120,BK130,BK140,BK150,BK160,BK170,BK180,BK190,BK200,BK210,BK220,BK230,BK240,BK250,BK260,BK270,BK280,BK290,BK300,BK310,BK320,BK330,BK340,BK350,BK360,BK370,BK380,BK390,BK400,BK410,BK420,BK430,BK440,BK450,BK460,BK470,BK480,BK490,BK500,BK510,BK520,BK530,BK540,BK550,BK560,BK570,BK580,BK590,BK600,BK610,BK620,BK630,BK640,BK650,BK660,BK670,BK680,BK690,BK700,BK710,BK720,BK730,BK740,BK750,BK760,BK770,BK780,BK790,BK800,BK810,BK820,BK830,BK840,BK850,BK860,BK870,BK880,BK890,BK900,BK910,BK920)</f>
        <v>404.02593508</v>
      </c>
      <c r="BL926" s="242" t="n">
        <f aca="false">SUM(BL50,BL60,BL70,BL80,BL90,BL100,BL110,BL120,BL130,BL140,BL150,BL160,BL170,BL180,BL190,BL200,BL210,BL220,BL230,BL240,BL250,BL260,BL270,BL280,BL290,BL300,BL310,BL320,BL330,BL340,BL350,BL360,BL370,BL380,BL390,BL400,BL410,BL420,BL430,BL440,BL450,BL460,BL470,BL480,BL490,BL500,BL510,BL520,BL530,BL540,BL550,BL560,BL570,BL580,BL590,BL600,BL610,BL620,BL630,BL640,BL650,BL660,BL670,BL680,BL690,BL700,BL710,BL720,BL730,BL740,BL750,BL760,BL770,BL780,BL790,BL800,BL810,BL820,BL830,BL840,BL850,BL860,BL870,BL880,BL890,BL900,BL910,BL920)</f>
        <v>386.897689</v>
      </c>
      <c r="BM926" s="242" t="n">
        <f aca="false">SUM(BM50,BM60,BM70,BM80,BM90,BM100,BM110,BM120,BM130,BM140,BM150,BM160,BM170,BM180,BM190,BM200,BM210,BM220,BM230,BM240,BM250,BM260,BM270,BM280,BM290,BM300,BM310,BM320,BM330,BM340,BM350,BM360,BM370,BM380,BM390,BM400,BM410,BM420,BM430,BM440,BM450,BM460,BM470,BM480,BM490,BM500,BM510,BM520,BM530,BM540,BM550,BM560,BM570,BM580,BM590,BM600,BM610,BM620,BM630,BM640,BM650,BM660,BM670,BM680,BM690,BM700,BM710,BM720,BM730,BM740,BM750,BM760,BM770,BM780,BM790,BM800,BM810,BM820,BM830,BM840,BM850,BM860,BM870,BM880,BM890,BM900,BM910,BM920)</f>
        <v>466.24779572</v>
      </c>
      <c r="BN926" s="242" t="n">
        <f aca="false">SUM(BN50,BN60,BN70,BN80,BN90,BN100,BN110,BN120,BN130,BN140,BN150,BN160,BN170,BN180,BN190,BN200,BN210,BN220,BN230,BN240,BN250,BN260,BN270,BN280,BN290,BN300,BN310,BN320,BN330,BN340,BN350,BN360,BN370,BN380,BN390,BN400,BN410,BN420,BN430,BN440,BN450,BN460,BN470,BN480,BN490,BN500,BN510,BN520,BN530,BN540,BN550,BN560,BN570,BN580,BN590,BN600,BN610,BN620,BN630,BN640,BN650,BN660,BN670,BN680,BN690,BN700,BN710,BN720,BN730,BN740,BN750,BN760,BN770,BN780,BN790,BN800,BN810,BN820,BN830,BN840,BN850,BN860,BN870,BN880,BN890,BN900,BN910,BN920)</f>
        <v>503.06471908</v>
      </c>
      <c r="BO926" s="242" t="n">
        <f aca="false">SUM(BO50,BO60,BO70,BO80,BO90,BO100,BO110,BO120,BO130,BO140,BO150,BO160,BO170,BO180,BO190,BO200,BO210,BO220,BO230,BO240,BO250,BO260,BO270,BO280,BO290,BO300,BO310,BO320,BO330,BO340,BO350,BO360,BO370,BO380,BO390,BO400,BO410,BO420,BO430,BO440,BO450,BO460,BO470,BO480,BO490,BO500,BO510,BO520,BO530,BO540,BO550,BO560,BO570,BO580,BO590,BO600,BO610,BO620,BO630,BO640,BO650,BO660,BO670,BO680,BO690,BO700,BO710,BO720,BO730,BO740,BO750,BO760,BO770,BO780,BO790,BO800,BO810,BO820,BO830,BO840,BO850,BO860,BO870,BO880,BO890,BO900,BO910,BO920)</f>
        <v>501.7423226</v>
      </c>
      <c r="BP926" s="242" t="n">
        <f aca="false">SUM(BP50,BP60,BP70,BP80,BP90,BP100,BP110,BP120,BP130,BP140,BP150,BP160,BP170,BP180,BP190,BP200,BP210,BP220,BP230,BP240,BP250,BP260,BP270,BP280,BP290,BP300,BP310,BP320,BP330,BP340,BP350,BP360,BP370,BP380,BP390,BP400,BP410,BP420,BP430,BP440,BP450,BP460,BP470,BP480,BP490,BP500,BP510,BP520,BP530,BP540,BP550,BP560,BP570,BP580,BP590,BP600,BP610,BP620,BP630,BP640,BP650,BP660,BP670,BP680,BP690,BP700,BP710,BP720,BP730,BP740,BP750,BP760,BP770,BP780,BP790,BP800,BP810,BP820,BP830,BP840,BP850,BP860,BP870,BP880,BP890,BP900,BP910,BP920)</f>
        <v>598.70124324</v>
      </c>
      <c r="BQ926" s="242" t="n">
        <f aca="false">SUM(BQ50,BQ60,BQ70,BQ80,BQ90,BQ100,BQ110,BQ120,BQ130,BQ140,BQ150,BQ160,BQ170,BQ180,BQ190,BQ200,BQ210,BQ220,BQ230,BQ240,BQ250,BQ260,BQ270,BQ280,BQ290,BQ300,BQ310,BQ320,BQ330,BQ340,BQ350,BQ360,BQ370,BQ380,BQ390,BQ400,BQ410,BQ420,BQ430,BQ440,BQ450,BQ460,BQ470,BQ480,BQ490,BQ500,BQ510,BQ520,BQ530,BQ540,BQ550,BQ560,BQ570,BQ580,BQ590,BQ600,BQ610,BQ620,BQ630,BQ640,BQ650,BQ660,BQ670,BQ680,BQ690,BQ700,BQ710,BQ720,BQ730,BQ740,BQ750,BQ760,BQ770,BQ780,BQ790,BQ800,BQ810,BQ820,BQ830,BQ840,BQ850,BQ860,BQ870,BQ880,BQ890,BQ900,BQ910,BQ920)</f>
        <v>628.79784228</v>
      </c>
      <c r="BR926" s="242" t="n">
        <f aca="false">SUM(BR50,BR60,BR70,BR80,BR90,BR100,BR110,BR120,BR130,BR140,BR150,BR160,BR170,BR180,BR190,BR200,BR210,BR220,BR230,BR240,BR250,BR260,BR270,BR280,BR290,BR300,BR310,BR320,BR330,BR340,BR350,BR360,BR370,BR380,BR390,BR400,BR410,BR420,BR430,BR440,BR450,BR460,BR470,BR480,BR490,BR500,BR510,BR520,BR530,BR540,BR550,BR560,BR570,BR580,BR590,BR600,BR610,BR620,BR630,BR640,BR650,BR660,BR670,BR680,BR690,BR700,BR710,BR720,BR730,BR740,BR750,BR760,BR770,BR780,BR790,BR800,BR810,BR820,BR830,BR840,BR850,BR860,BR870,BR880,BR890,BR900,BR910,BR920)</f>
        <v>640.72880932</v>
      </c>
      <c r="BS926" s="242" t="n">
        <f aca="false">SUM(BS50,BS60,BS70,BS80,BS90,BS100,BS110,BS120,BS130,BS140,BS150,BS160,BS170,BS180,BS190,BS200,BS210,BS220,BS230,BS240,BS250,BS260,BS270,BS280,BS290,BS300,BS310,BS320,BS330,BS340,BS350,BS360,BS370,BS380,BS390,BS400,BS410,BS420,BS430,BS440,BS450,BS460,BS470,BS480,BS490,BS500,BS510,BS520,BS530,BS540,BS550,BS560,BS570,BS580,BS590,BS600,BS610,BS620,BS630,BS640,BS650,BS660,BS670,BS680,BS690,BS700,BS710,BS720,BS730,BS740,BS750,BS760,BS770,BS780,BS790,BS800,BS810,BS820,BS830,BS840,BS850,BS860,BS870,BS880,BS890,BS900,BS910,BS920)</f>
        <v>646.55446252</v>
      </c>
      <c r="BT926" s="242" t="n">
        <f aca="false">SUM(BT50,BT60,BT70,BT80,BT90,BT100,BT110,BT120,BT130,BT140,BT150,BT160,BT170,BT180,BT190,BT200,BT210,BT220,BT230,BT240,BT250,BT260,BT270,BT280,BT290,BT300,BT310,BT320,BT330,BT340,BT350,BT360,BT370,BT380,BT390,BT400,BT410,BT420,BT430,BT440,BT450,BT460,BT470,BT480,BT490,BT500,BT510,BT520,BT530,BT540,BT550,BT560,BT570,BT580,BT590,BT600,BT610,BT620,BT630,BT640,BT650,BT660,BT670,BT680,BT690,BT700,BT710,BT720,BT730,BT740,BT750,BT760,BT770,BT780,BT790,BT800,BT810,BT820,BT830,BT840,BT850,BT860,BT870,BT880,BT890,BT900,BT910,BT920)</f>
        <v>708.89284508</v>
      </c>
      <c r="BU926" s="242" t="n">
        <f aca="false">SUM(BU50,BU60,BU70,BU80,BU90,BU100,BU110,BU120,BU130,BU140,BU150,BU160,BU170,BU180,BU190,BU200,BU210,BU220,BU230,BU240,BU250,BU260,BU270,BU280,BU290,BU300,BU310,BU320,BU330,BU340,BU350,BU360,BU370,BU380,BU390,BU400,BU410,BU420,BU430,BU440,BU450,BU460,BU470,BU480,BU490,BU500,BU510,BU520,BU530,BU540,BU550,BU560,BU570,BU580,BU590,BU600,BU610,BU620,BU630,BU640,BU650,BU660,BU670,BU680,BU690,BU700,BU710,BU720,BU730,BU740,BU750,BU760,BU770,BU780,BU790,BU800,BU810,BU820,BU830,BU840,BU850,BU860,BU870,BU880,BU890,BU900,BU910,BU920)</f>
        <v>897.34348968</v>
      </c>
      <c r="BV926" s="242" t="n">
        <f aca="false">SUM(BV50,BV60,BV70,BV80,BV90,BV100,BV110,BV120,BV130,BV140,BV150,BV160,BV170,BV180,BV190,BV200,BV210,BV220,BV230,BV240,BV250,BV260,BV270,BV280,BV290,BV300,BV310,BV320,BV330,BV340,BV350,BV360,BV370,BV380,BV390,BV400,BV410,BV420,BV430,BV440,BV450,BV460,BV470,BV480,BV490,BV500,BV510,BV520,BV530,BV540,BV550,BV560,BV570,BV580,BV590,BV600,BV610,BV620,BV630,BV640,BV650,BV660,BV670,BV680,BV690,BV700,BV710,BV720,BV730,BV740,BV750,BV760,BV770,BV780,BV790,BV800,BV810,BV820,BV830,BV840,BV850,BV860,BV870,BV880,BV890,BV900,BV910,BV920)</f>
        <v>913.71654336</v>
      </c>
      <c r="BW926" s="242" t="n">
        <f aca="false">SUM(BW50,BW60,BW70,BW80,BW90,BW100,BW110,BW120,BW130,BW140,BW150,BW160,BW170,BW180,BW190,BW200,BW210,BW220,BW230,BW240,BW250,BW260,BW270,BW280,BW290,BW300,BW310,BW320,BW330,BW340,BW350,BW360,BW370,BW380,BW390,BW400,BW410,BW420,BW430,BW440,BW450,BW460,BW470,BW480,BW490,BW500,BW510,BW520,BW530,BW540,BW550,BW560,BW570,BW580,BW590,BW600,BW610,BW620,BW630,BW640,BW650,BW660,BW670,BW680,BW690,BW700,BW710,BW720,BW730,BW740,BW750,BW760,BW770,BW780,BW790,BW800,BW810,BW820,BW830,BW840,BW850,BW860,BW870,BW880,BW890,BW900,BW910,BW920)</f>
        <v>907.75338368</v>
      </c>
      <c r="BX926" s="242" t="n">
        <f aca="false">SUM(BX50,BX60,BX70,BX80,BX90,BX100,BX110,BX120,BX130,BX140,BX150,BX160,BX170,BX180,BX190,BX200,BX210,BX220,BX230,BX240,BX250,BX260,BX270,BX280,BX290,BX300,BX310,BX320,BX330,BX340,BX350,BX360,BX370,BX380,BX390,BX400,BX410,BX420,BX430,BX440,BX450,BX460,BX470,BX480,BX490,BX500,BX510,BX520,BX530,BX540,BX550,BX560,BX570,BX580,BX590,BX600,BX610,BX620,BX630,BX640,BX650,BX660,BX670,BX680,BX690,BX700,BX710,BX720,BX730,BX740,BX750,BX760,BX770,BX780,BX790,BX800,BX810,BX820,BX830,BX840,BX850,BX860,BX870,BX880,BX890,BX900,BX910,BX920)</f>
        <v>882.34857216</v>
      </c>
      <c r="BY926" s="242" t="n">
        <f aca="false">SUM(BY50,BY60,BY70,BY80,BY90,BY100,BY110,BY120,BY130,BY140,BY150,BY160,BY170,BY180,BY190,BY200,BY210,BY220,BY230,BY240,BY250,BY260,BY270,BY280,BY290,BY300,BY310,BY320,BY330,BY340,BY350,BY360,BY370,BY380,BY390,BY400,BY410,BY420,BY430,BY440,BY450,BY460,BY470,BY480,BY490,BY500,BY510,BY520,BY530,BY540,BY550,BY560,BY570,BY580,BY590,BY600,BY610,BY620,BY630,BY640,BY650,BY660,BY670,BY680,BY690,BY700,BY710,BY720,BY730,BY740,BY750,BY760,BY770,BY780,BY790,BY800,BY810,BY820,BY830,BY840,BY850,BY860,BY870,BY880,BY890,BY900,BY910,BY920)</f>
        <v>1037.59366472</v>
      </c>
      <c r="BZ926" s="242" t="n">
        <f aca="false">SUM(BZ50,BZ60,BZ70,BZ80,BZ90,BZ100,BZ110,BZ120,BZ130,BZ140,BZ150,BZ160,BZ170,BZ180,BZ190,BZ200,BZ210,BZ220,BZ230,BZ240,BZ250,BZ260,BZ270,BZ280,BZ290,BZ300,BZ310,BZ320,BZ330,BZ340,BZ350,BZ360,BZ370,BZ380,BZ390,BZ400,BZ410,BZ420,BZ430,BZ440,BZ450,BZ460,BZ470,BZ480,BZ490,BZ500,BZ510,BZ520,BZ530,BZ540,BZ550,BZ560,BZ570,BZ580,BZ590,BZ600,BZ610,BZ620,BZ630,BZ640,BZ650,BZ660,BZ670,BZ680,BZ690,BZ700,BZ710,BZ720,BZ730,BZ740,BZ750,BZ760,BZ770,BZ780,BZ790,BZ800,BZ810,BZ820,BZ830,BZ840,BZ850,BZ860,BZ870,BZ880,BZ890,BZ900,BZ910,BZ920)</f>
        <v>1106.94206096</v>
      </c>
      <c r="CA926" s="242" t="n">
        <f aca="false">SUM(CA50,CA60,CA70,CA80,CA90,CA100,CA110,CA120,CA130,CA140,CA150,CA160,CA170,CA180,CA190,CA200,CA210,CA220,CA230,CA240,CA250,CA260,CA270,CA280,CA290,CA300,CA310,CA320,CA330,CA340,CA350,CA360,CA370,CA380,CA390,CA400,CA410,CA420,CA430,CA440,CA450,CA460,CA470,CA480,CA490,CA500,CA510,CA520,CA530,CA540,CA550,CA560,CA570,CA580,CA590,CA600,CA610,CA620,CA630,CA640,CA650,CA660,CA670,CA680,CA690,CA700,CA710,CA720,CA730,CA740,CA750,CA760,CA770,CA780,CA790,CA800,CA810,CA820,CA830,CA840,CA850,CA860,CA870,CA880,CA890,CA900,CA910,CA920)</f>
        <v>1100.22097488</v>
      </c>
      <c r="CB926" s="242" t="n">
        <f aca="false">SUM(CB50,CB60,CB70,CB80,CB90,CB100,CB110,CB120,CB130,CB140,CB150,CB160,CB170,CB180,CB190,CB200,CB210,CB220,CB230,CB240,CB250,CB260,CB270,CB280,CB290,CB300,CB310,CB320,CB330,CB340,CB350,CB360,CB370,CB380,CB390,CB400,CB410,CB420,CB430,CB440,CB450,CB460,CB470,CB480,CB490,CB500,CB510,CB520,CB530,CB540,CB550,CB560,CB570,CB580,CB590,CB600,CB610,CB620,CB630,CB640,CB650,CB660,CB670,CB680,CB690,CB700,CB710,CB720,CB730,CB740,CB750,CB760,CB770,CB780,CB790,CB800,CB810,CB820,CB830,CB840,CB850,CB860,CB870,CB880,CB890,CB900,CB910,CB920)</f>
        <v>1266.71802688</v>
      </c>
      <c r="CC926" s="242" t="n">
        <f aca="false">SUM(CC50,CC60,CC70,CC80,CC90,CC100,CC110,CC120,CC130,CC140,CC150,CC160,CC170,CC180,CC190,CC200,CC210,CC220,CC230,CC240,CC250,CC260,CC270,CC280,CC290,CC300,CC310,CC320,CC330,CC340,CC350,CC360,CC370,CC380,CC390,CC400,CC410,CC420,CC430,CC440,CC450,CC460,CC470,CC480,CC490,CC500,CC510,CC520,CC530,CC540,CC550,CC560,CC570,CC580,CC590,CC600,CC610,CC620,CC630,CC640,CC650,CC660,CC670,CC680,CC690,CC700,CC710,CC720,CC730,CC740,CC750,CC760,CC770,CC780,CC790,CC800,CC810,CC820,CC830,CC840,CC850,CC860,CC870,CC880,CC890,CC900,CC910,CC920)</f>
        <v>1311.44850968</v>
      </c>
      <c r="CD926" s="242" t="n">
        <f aca="false">SUM(CD50,CD60,CD70,CD80,CD90,CD100,CD110,CD120,CD130,CD140,CD150,CD160,CD170,CD180,CD190,CD200,CD210,CD220,CD230,CD240,CD250,CD260,CD270,CD280,CD290,CD300,CD310,CD320,CD330,CD340,CD350,CD360,CD370,CD380,CD390,CD400,CD410,CD420,CD430,CD440,CD450,CD460,CD470,CD480,CD490,CD500,CD510,CD520,CD530,CD540,CD550,CD560,CD570,CD580,CD590,CD600,CD610,CD620,CD630,CD640,CD650,CD660,CD670,CD680,CD690,CD700,CD710,CD720,CD730,CD740,CD750,CD760,CD770,CD780,CD790,CD800,CD810,CD820,CD830,CD840,CD850,CD860,CD870,CD880,CD890,CD900,CD910,CD920)</f>
        <v>1321.23836384</v>
      </c>
      <c r="CE926" s="242" t="n">
        <f aca="false">SUM(CE50,CE60,CE70,CE80,CE90,CE100,CE110,CE120,CE130,CE140,CE150,CE160,CE170,CE180,CE190,CE200,CE210,CE220,CE230,CE240,CE250,CE260,CE270,CE280,CE290,CE300,CE310,CE320,CE330,CE340,CE350,CE360,CE370,CE380,CE390,CE400,CE410,CE420,CE430,CE440,CE450,CE460,CE470,CE480,CE490,CE500,CE510,CE520,CE530,CE540,CE550,CE560,CE570,CE580,CE590,CE600,CE610,CE620,CE630,CE640,CE650,CE660,CE670,CE680,CE690,CE700,CE710,CE720,CE730,CE740,CE750,CE760,CE770,CE780,CE790,CE800,CE810,CE820,CE830,CE840,CE850,CE860,CE870,CE880,CE890,CE900,CE910,CE920)</f>
        <v>1325.81050872</v>
      </c>
      <c r="CF926" s="242" t="n">
        <f aca="false">SUM(CF50,CF60,CF70,CF80,CF90,CF100,CF110,CF120,CF130,CF140,CF150,CF160,CF170,CF180,CF190,CF200,CF210,CF220,CF230,CF240,CF250,CF260,CF270,CF280,CF290,CF300,CF310,CF320,CF330,CF340,CF350,CF360,CF370,CF380,CF390,CF400,CF410,CF420,CF430,CF440,CF450,CF460,CF470,CF480,CF490,CF500,CF510,CF520,CF530,CF540,CF550,CF560,CF570,CF580,CF590,CF600,CF610,CF620,CF630,CF640,CF650,CF660,CF670,CF680,CF690,CF700,CF710,CF720,CF730,CF740,CF750,CF760,CF770,CF780,CF790,CF800,CF810,CF820,CF830,CF840,CF850,CF860,CF870,CF880,CF890,CF900,CF910,CF920)</f>
        <v>1418.2839416</v>
      </c>
      <c r="CG926" s="242" t="n">
        <f aca="false">SUM(CG50,CG60,CG70,CG80,CG90,CG100,CG110,CG120,CG130,CG140,CG150,CG160,CG170,CG180,CG190,CG200,CG210,CG220,CG230,CG240,CG250,CG260,CG270,CG280,CG290,CG300,CG310,CG320,CG330,CG340,CG350,CG360,CG370,CG380,CG390,CG400,CG410,CG420,CG430,CG440,CG450,CG460,CG470,CG480,CG490,CG500,CG510,CG520,CG530,CG540,CG550,CG560,CG570,CG580,CG590,CG600,CG610,CG620,CG630,CG640,CG650,CG660,CG670,CG680,CG690,CG700,CG710,CG720,CG730,CG740,CG750,CG760,CG770,CG780,CG790,CG800,CG810,CG820,CG830,CG840,CG850,CG860,CG870,CG880,CG890,CG900,CG910,CG920)</f>
        <v>1720.25166344</v>
      </c>
      <c r="CH926" s="242" t="n">
        <f aca="false">SUM(CH50,CH60,CH70,CH80,CH90,CH100,CH110,CH120,CH130,CH140,CH150,CH160,CH170,CH180,CH190,CH200,CH210,CH220,CH230,CH240,CH250,CH260,CH270,CH280,CH290,CH300,CH310,CH320,CH330,CH340,CH350,CH360,CH370,CH380,CH390,CH400,CH410,CH420,CH430,CH440,CH450,CH460,CH470,CH480,CH490,CH500,CH510,CH520,CH530,CH540,CH550,CH560,CH570,CH580,CH590,CH600,CH610,CH620,CH630,CH640,CH650,CH660,CH670,CH680,CH690,CH700,CH710,CH720,CH730,CH740,CH750,CH760,CH770,CH780,CH790,CH800,CH810,CH820,CH830,CH840,CH850,CH860,CH870,CH880,CH890,CH900,CH910,CH920)</f>
        <v>1719.22379384</v>
      </c>
      <c r="CI926" s="242" t="n">
        <f aca="false">SUM(CI50,CI60,CI70,CI80,CI90,CI100,CI110,CI120,CI130,CI140,CI150,CI160,CI170,CI180,CI190,CI200,CI210,CI220,CI230,CI240,CI250,CI260,CI270,CI280,CI290,CI300,CI310,CI320,CI330,CI340,CI350,CI360,CI370,CI380,CI390,CI400,CI410,CI420,CI430,CI440,CI450,CI460,CI470,CI480,CI490,CI500,CI510,CI520,CI530,CI540,CI550,CI560,CI570,CI580,CI590,CI600,CI610,CI620,CI630,CI640,CI650,CI660,CI670,CI680,CI690,CI700,CI710,CI720,CI730,CI740,CI750,CI760,CI770,CI780,CI790,CI800,CI810,CI820,CI830,CI840,CI850,CI860,CI870,CI880,CI890,CI900,CI910,CI920)</f>
        <v>1707.2034956</v>
      </c>
      <c r="CJ926" s="242" t="n">
        <f aca="false">SUM(CJ50,CJ60,CJ70,CJ80,CJ90,CJ100,CJ110,CJ120,CJ130,CJ140,CJ150,CJ160,CJ170,CJ180,CJ190,CJ200,CJ210,CJ220,CJ230,CJ240,CJ250,CJ260,CJ270,CJ280,CJ290,CJ300,CJ310,CJ320,CJ330,CJ340,CJ350,CJ360,CJ370,CJ380,CJ390,CJ400,CJ410,CJ420,CJ430,CJ440,CJ450,CJ460,CJ470,CJ480,CJ490,CJ500,CJ510,CJ520,CJ530,CJ540,CJ550,CJ560,CJ570,CJ580,CJ590,CJ600,CJ610,CJ620,CJ630,CJ640,CJ650,CJ660,CJ670,CJ680,CJ690,CJ700,CJ710,CJ720,CJ730,CJ740,CJ750,CJ760,CJ770,CJ780,CJ790,CJ800,CJ810,CJ820,CJ830,CJ840,CJ850,CJ860,CJ870,CJ880,CJ890,CJ900,CJ910,CJ920)</f>
        <v>1657.95236304</v>
      </c>
      <c r="CK926" s="242" t="n">
        <f aca="false">SUM(CK50,CK60,CK70,CK80,CK90,CK100,CK110,CK120,CK130,CK140,CK150,CK160,CK170,CK180,CK190,CK200,CK210,CK220,CK230,CK240,CK250,CK260,CK270,CK280,CK290,CK300,CK310,CK320,CK330,CK340,CK350,CK360,CK370,CK380,CK390,CK400,CK410,CK420,CK430,CK440,CK450,CK460,CK470,CK480,CK490,CK500,CK510,CK520,CK530,CK540,CK550,CK560,CK570,CK580,CK590,CK600,CK610,CK620,CK630,CK640,CK650,CK660,CK670,CK680,CK690,CK700,CK710,CK720,CK730,CK740,CK750,CK760,CK770,CK780,CK790,CK800,CK810,CK820,CK830,CK840,CK850,CK860,CK870,CK880,CK890,CK900,CK910,CK920)</f>
        <v>1888.3890114</v>
      </c>
      <c r="CL926" s="242" t="n">
        <f aca="false">SUM(CL50,CL60,CL70,CL80,CL90,CL100,CL110,CL120,CL130,CL140,CL150,CL160,CL170,CL180,CL190,CL200,CL210,CL220,CL230,CL240,CL250,CL260,CL270,CL280,CL290,CL300,CL310,CL320,CL330,CL340,CL350,CL360,CL370,CL380,CL390,CL400,CL410,CL420,CL430,CL440,CL450,CL460,CL470,CL480,CL490,CL500,CL510,CL520,CL530,CL540,CL550,CL560,CL570,CL580,CL590,CL600,CL610,CL620,CL630,CL640,CL650,CL660,CL670,CL680,CL690,CL700,CL710,CL720,CL730,CL740,CL750,CL760,CL770,CL780,CL790,CL800,CL810,CL820,CL830,CL840,CL850,CL860,CL870,CL880,CL890,CL900,CL910,CL920)</f>
        <v>1984.26697012</v>
      </c>
      <c r="CM926" s="242" t="n">
        <f aca="false">SUM(CM50,CM60,CM70,CM80,CM90,CM100,CM110,CM120,CM130,CM140,CM150,CM160,CM170,CM180,CM190,CM200,CM210,CM220,CM230,CM240,CM250,CM260,CM270,CM280,CM290,CM300,CM310,CM320,CM330,CM340,CM350,CM360,CM370,CM380,CM390,CM400,CM410,CM420,CM430,CM440,CM450,CM460,CM470,CM480,CM490,CM500,CM510,CM520,CM530,CM540,CM550,CM560,CM570,CM580,CM590,CM600,CM610,CM620,CM630,CM640,CM650,CM660,CM670,CM680,CM690,CM700,CM710,CM720,CM730,CM740,CM750,CM760,CM770,CM780,CM790,CM800,CM810,CM820,CM830,CM840,CM850,CM860,CM870,CM880,CM890,CM900,CM910,CM920)</f>
        <v>1983.90658404</v>
      </c>
      <c r="CN926" s="242" t="n">
        <f aca="false">SUM(CN50,CN60,CN70,CN80,CN90,CN100,CN110,CN120,CN130,CN140,CN150,CN160,CN170,CN180,CN190,CN200,CN210,CN220,CN230,CN240,CN250,CN260,CN270,CN280,CN290,CN300,CN310,CN320,CN330,CN340,CN350,CN360,CN370,CN380,CN390,CN400,CN410,CN420,CN430,CN440,CN450,CN460,CN470,CN480,CN490,CN500,CN510,CN520,CN530,CN540,CN550,CN560,CN570,CN580,CN590,CN600,CN610,CN620,CN630,CN640,CN650,CN660,CN670,CN680,CN690,CN700,CN710,CN720,CN730,CN740,CN750,CN760,CN770,CN780,CN790,CN800,CN810,CN820,CN830,CN840,CN850,CN860,CN870,CN880,CN890,CN900,CN910,CN920)</f>
        <v>2217.13921972</v>
      </c>
      <c r="CO926" s="242" t="n">
        <f aca="false">SUM(CO50,CO60,CO70,CO80,CO90,CO100,CO110,CO120,CO130,CO140,CO150,CO160,CO170,CO180,CO190,CO200,CO210,CO220,CO230,CO240,CO250,CO260,CO270,CO280,CO290,CO300,CO310,CO320,CO330,CO340,CO350,CO360,CO370,CO380,CO390,CO400,CO410,CO420,CO430,CO440,CO450,CO460,CO470,CO480,CO490,CO500,CO510,CO520,CO530,CO540,CO550,CO560,CO570,CO580,CO590,CO600,CO610,CO620,CO630,CO640,CO650,CO660,CO670,CO680,CO690,CO700,CO710,CO720,CO730,CO740,CO750,CO760,CO770,CO780,CO790,CO800,CO810,CO820,CO830,CO840,CO850,CO860,CO870,CO880,CO890,CO900,CO910,CO920)</f>
        <v>2280.15544648</v>
      </c>
      <c r="CP926" s="242" t="n">
        <f aca="false">SUM(CP50,CP60,CP70,CP80,CP90,CP100,CP110,CP120,CP130,CP140,CP150,CP160,CP170,CP180,CP190,CP200,CP210,CP220,CP230,CP240,CP250,CP260,CP270,CP280,CP290,CP300,CP310,CP320,CP330,CP340,CP350,CP360,CP370,CP380,CP390,CP400,CP410,CP420,CP430,CP440,CP450,CP460,CP470,CP480,CP490,CP500,CP510,CP520,CP530,CP540,CP550,CP560,CP570,CP580,CP590,CP600,CP610,CP620,CP630,CP640,CP650,CP660,CP670,CP680,CP690,CP700,CP710,CP720,CP730,CP740,CP750,CP760,CP770,CP780,CP790,CP800,CP810,CP820,CP830,CP840,CP850,CP860,CP870,CP880,CP890,CP900,CP910,CP920)</f>
        <v>2293.48757016</v>
      </c>
      <c r="CQ926" s="242" t="n">
        <f aca="false">SUM(CQ50,CQ60,CQ70,CQ80,CQ90,CQ100,CQ110,CQ120,CQ130,CQ140,CQ150,CQ160,CQ170,CQ180,CQ190,CQ200,CQ210,CQ220,CQ230,CQ240,CQ250,CQ260,CQ270,CQ280,CQ290,CQ300,CQ310,CQ320,CQ330,CQ340,CQ350,CQ360,CQ370,CQ380,CQ390,CQ400,CQ410,CQ420,CQ430,CQ440,CQ450,CQ460,CQ470,CQ480,CQ490,CQ500,CQ510,CQ520,CQ530,CQ540,CQ550,CQ560,CQ570,CQ580,CQ590,CQ600,CQ610,CQ620,CQ630,CQ640,CQ650,CQ660,CQ670,CQ680,CQ690,CQ700,CQ710,CQ720,CQ730,CQ740,CQ750,CQ760,CQ770,CQ780,CQ790,CQ800,CQ810,CQ820,CQ830,CQ840,CQ850,CQ860,CQ870,CQ880,CQ890,CQ900,CQ910,CQ920)</f>
        <v>2296.43897272</v>
      </c>
      <c r="CR926" s="242" t="n">
        <f aca="false">SUM(CR50,CR60,CR70,CR80,CR90,CR100,CR110,CR120,CR130,CR140,CR150,CR160,CR170,CR180,CR190,CR200,CR210,CR220,CR230,CR240,CR250,CR260,CR270,CR280,CR290,CR300,CR310,CR320,CR330,CR340,CR350,CR360,CR370,CR380,CR390,CR400,CR410,CR420,CR430,CR440,CR450,CR460,CR470,CR480,CR490,CR500,CR510,CR520,CR530,CR540,CR550,CR560,CR570,CR580,CR590,CR600,CR610,CR620,CR630,CR640,CR650,CR660,CR670,CR680,CR690,CR700,CR710,CR720,CR730,CR740,CR750,CR760,CR770,CR780,CR790,CR800,CR810,CR820,CR830,CR840,CR850,CR860,CR870,CR880,CR890,CR900,CR910,CR920)</f>
        <v>2432.03078072</v>
      </c>
      <c r="CS926" s="242" t="n">
        <f aca="false">SUM(CS50,CS60,CS70,CS80,CS90,CS100,CS110,CS120,CS130,CS140,CS150,CS160,CS170,CS180,CS190,CS200,CS210,CS220,CS230,CS240,CS250,CS260,CS270,CS280,CS290,CS300,CS310,CS320,CS330,CS340,CS350,CS360,CS370,CS380,CS390,CS400,CS410,CS420,CS430,CS440,CS450,CS460,CS470,CS480,CS490,CS500,CS510,CS520,CS530,CS540,CS550,CS560,CS570,CS580,CS590,CS600,CS610,CS620,CS630,CS640,CS650,CS660,CS670,CS680,CS690,CS700,CS710,CS720,CS730,CS740,CS750,CS760,CS770,CS780,CS790,CS800,CS810,CS820,CS830,CS840,CS850,CS860,CS870,CS880,CS890,CS900,CS910,CS920)</f>
        <v>2828.61402144</v>
      </c>
      <c r="CT926" s="242" t="n">
        <f aca="false">SUM(CT50,CT60,CT70,CT80,CT90,CT100,CT110,CT120,CT130,CT140,CT150,CT160,CT170,CT180,CT190,CT200,CT210,CT220,CT230,CT240,CT250,CT260,CT270,CT280,CT290,CT300,CT310,CT320,CT330,CT340,CT350,CT360,CT370,CT380,CT390,CT400,CT410,CT420,CT430,CT440,CT450,CT460,CT470,CT480,CT490,CT500,CT510,CT520,CT530,CT540,CT550,CT560,CT570,CT580,CT590,CT600,CT610,CT620,CT630,CT640,CT650,CT660,CT670,CT680,CT690,CT700,CT710,CT720,CT730,CT740,CT750,CT760,CT770,CT780,CT790,CT800,CT810,CT820,CT830,CT840,CT850,CT860,CT870,CT880,CT890,CT900,CT910,CT920)</f>
        <v>2821.18132904</v>
      </c>
      <c r="CU926" s="242" t="n">
        <f aca="false">SUM(CU50,CU60,CU70,CU80,CU90,CU100,CU110,CU120,CU130,CU140,CU150,CU160,CU170,CU180,CU190,CU200,CU210,CU220,CU230,CU240,CU250,CU260,CU270,CU280,CU290,CU300,CU310,CU320,CU330,CU340,CU350,CU360,CU370,CU380,CU390,CU400,CU410,CU420,CU430,CU440,CU450,CU460,CU470,CU480,CU490,CU500,CU510,CU520,CU530,CU540,CU550,CU560,CU570,CU580,CU590,CU600,CU610,CU620,CU630,CU640,CU650,CU660,CU670,CU680,CU690,CU700,CU710,CU720,CU730,CU740,CU750,CU760,CU770,CU780,CU790,CU800,CU810,CU820,CU830,CU840,CU850,CU860,CU870,CU880,CU890,CU900,CU910,CU920)</f>
        <v>2793.7583684</v>
      </c>
      <c r="CV926" s="242" t="n">
        <f aca="false">SUM(CV50,CV60,CV70,CV80,CV90,CV100,CV110,CV120,CV130,CV140,CV150,CV160,CV170,CV180,CV190,CV200,CV210,CV220,CV230,CV240,CV250,CV260,CV270,CV280,CV290,CV300,CV310,CV320,CV330,CV340,CV350,CV360,CV370,CV380,CV390,CV400,CV410,CV420,CV430,CV440,CV450,CV460,CV470,CV480,CV490,CV500,CV510,CV520,CV530,CV540,CV550,CV560,CV570,CV580,CV590,CV600,CV610,CV620,CV630,CV640,CV650,CV660,CV670,CV680,CV690,CV700,CV710,CV720,CV730,CV740,CV750,CV760,CV770,CV780,CV790,CV800,CV810,CV820,CV830,CV840,CV850,CV860,CV870,CV880,CV890,CV900,CV910,CV920)</f>
        <v>2726.80148128</v>
      </c>
      <c r="CW926" s="242" t="n">
        <f aca="false">SUM(CW50,CW60,CW70,CW80,CW90,CW100,CW110,CW120,CW130,CW140,CW150,CW160,CW170,CW180,CW190,CW200,CW210,CW220,CW230,CW240,CW250,CW260,CW270,CW280,CW290,CW300,CW310,CW320,CW330,CW340,CW350,CW360,CW370,CW380,CW390,CW400,CW410,CW420,CW430,CW440,CW450,CW460,CW470,CW480,CW490,CW500,CW510,CW520,CW530,CW540,CW550,CW560,CW570,CW580,CW590,CW600,CW610,CW620,CW630,CW640,CW650,CW660,CW670,CW680,CW690,CW700,CW710,CW720,CW730,CW740,CW750,CW760,CW770,CW780,CW790,CW800,CW810,CW820,CW830,CW840,CW850,CW860,CW870,CW880,CW890,CW900,CW910,CW920)</f>
        <v>3024.70757016</v>
      </c>
      <c r="CX926" s="242" t="n">
        <f aca="false">SUM(CX50,CX60,CX70,CX80,CX90,CX100,CX110,CX120,CX130,CX140,CX150,CX160,CX170,CX180,CX190,CX200,CX210,CX220,CX230,CX240,CX250,CX260,CX270,CX280,CX290,CX300,CX310,CX320,CX330,CX340,CX350,CX360,CX370,CX380,CX390,CX400,CX410,CX420,CX430,CX440,CX450,CX460,CX470,CX480,CX490,CX500,CX510,CX520,CX530,CX540,CX550,CX560,CX570,CX580,CX590,CX600,CX610,CX620,CX630,CX640,CX650,CX660,CX670,CX680,CX690,CX700,CX710,CX720,CX730,CX740,CX750,CX760,CX770,CX780,CX790,CX800,CX810,CX820,CX830,CX840,CX850,CX860,CX870,CX880,CX890,CX900,CX910,CX920)</f>
        <v>3141.32451</v>
      </c>
      <c r="CY926" s="242" t="n">
        <f aca="false">SUM(CY50,CY60,CY70,CY80,CY90,CY100,CY110,CY120,CY130,CY140,CY150,CY160,CY170,CY180,CY190,CY200,CY210,CY220,CY230,CY240,CY250,CY260,CY270,CY280,CY290,CY300,CY310,CY320,CY330,CY340,CY350,CY360,CY370,CY380,CY390,CY400,CY410,CY420,CY430,CY440,CY450,CY460,CY470,CY480,CY490,CY500,CY510,CY520,CY530,CY540,CY550,CY560,CY570,CY580,CY590,CY600,CY610,CY620,CY630,CY640,CY650,CY660,CY670,CY680,CY690,CY700,CY710,CY720,CY730,CY740,CY750,CY760,CY770,CY780,CY790,CY800,CY810,CY820,CY830,CY840,CY850,CY860,CY870,CY880,CY890,CY900,CY910,CY920)</f>
        <v>3137.50504656</v>
      </c>
      <c r="CZ926" s="242" t="n">
        <f aca="false">SUM(CZ50,CZ60,CZ70,CZ80,CZ90,CZ100,CZ110,CZ120,CZ130,CZ140,CZ150,CZ160,CZ170,CZ180,CZ190,CZ200,CZ210,CZ220,CZ230,CZ240,CZ250,CZ260,CZ270,CZ280,CZ290,CZ300,CZ310,CZ320,CZ330,CZ340,CZ350,CZ360,CZ370,CZ380,CZ390,CZ400,CZ410,CZ420,CZ430,CZ440,CZ450,CZ460,CZ470,CZ480,CZ490,CZ500,CZ510,CZ520,CZ530,CZ540,CZ550,CZ560,CZ570,CZ580,CZ590,CZ600,CZ610,CZ620,CZ630,CZ640,CZ650,CZ660,CZ670,CZ680,CZ690,CZ700,CZ710,CZ720,CZ730,CZ740,CZ750,CZ760,CZ770,CZ780,CZ790,CZ800,CZ810,CZ820,CZ830,CZ840,CZ850,CZ860,CZ870,CZ880,CZ890,CZ900,CZ910,CZ920)</f>
        <v>3419.87541184</v>
      </c>
      <c r="DA926" s="242" t="n">
        <f aca="false">SUM(DA50,DA60,DA70,DA80,DA90,DA100,DA110,DA120,DA130,DA140,DA150,DA160,DA170,DA180,DA190,DA200,DA210,DA220,DA230,DA240,DA250,DA260,DA270,DA280,DA290,DA300,DA310,DA320,DA330,DA340,DA350,DA360,DA370,DA380,DA390,DA400,DA410,DA420,DA430,DA440,DA450,DA460,DA470,DA480,DA490,DA500,DA510,DA520,DA530,DA540,DA550,DA560,DA570,DA580,DA590,DA600,DA610,DA620,DA630,DA640,DA650,DA660,DA670,DA680,DA690,DA700,DA710,DA720,DA730,DA740,DA750,DA760,DA770,DA780,DA790,DA800,DA810,DA820,DA830,DA840,DA850,DA860,DA870,DA880,DA890,DA900,DA910,DA920)</f>
        <v>3495.65349228</v>
      </c>
      <c r="DB926" s="242" t="n">
        <f aca="false">SUM(DB50,DB60,DB70,DB80,DB90,DB100,DB110,DB120,DB130,DB140,DB150,DB160,DB170,DB180,DB190,DB200,DB210,DB220,DB230,DB240,DB250,DB260,DB270,DB280,DB290,DB300,DB310,DB320,DB330,DB340,DB350,DB360,DB370,DB380,DB390,DB400,DB410,DB420,DB430,DB440,DB450,DB460,DB470,DB480,DB490,DB500,DB510,DB520,DB530,DB540,DB550,DB560,DB570,DB580,DB590,DB600,DB610,DB620,DB630,DB640,DB650,DB660,DB670,DB680,DB690,DB700,DB710,DB720,DB730,DB740,DB750,DB760,DB770,DB780,DB790,DB800,DB810,DB820,DB830,DB840,DB850,DB860,DB870,DB880,DB890,DB900,DB910,DB920)</f>
        <v>3518.22937636</v>
      </c>
      <c r="DC926" s="242" t="n">
        <f aca="false">SUM(DC50,DC60,DC70,DC80,DC90,DC100,DC110,DC120,DC130,DC140,DC150,DC160,DC170,DC180,DC190,DC200,DC210,DC220,DC230,DC240,DC250,DC260,DC270,DC280,DC290,DC300,DC310,DC320,DC330,DC340,DC350,DC360,DC370,DC380,DC390,DC400,DC410,DC420,DC430,DC440,DC450,DC460,DC470,DC480,DC490,DC500,DC510,DC520,DC530,DC540,DC550,DC560,DC570,DC580,DC590,DC600,DC610,DC620,DC630,DC640,DC650,DC660,DC670,DC680,DC690,DC700,DC710,DC720,DC730,DC740,DC750,DC760,DC770,DC780,DC790,DC800,DC810,DC820,DC830,DC840,DC850,DC860,DC870,DC880,DC890,DC900,DC910,DC920)</f>
        <v>3513.03655092</v>
      </c>
      <c r="DD926" s="242" t="n">
        <f aca="false">SUM(DD50,DD60,DD70,DD80,DD90,DD100,DD110,DD120,DD130,DD140,DD150,DD160,DD170,DD180,DD190,DD200,DD210,DD220,DD230,DD240,DD250,DD260,DD270,DD280,DD290,DD300,DD310,DD320,DD330,DD340,DD350,DD360,DD370,DD380,DD390,DD400,DD410,DD420,DD430,DD440,DD450,DD460,DD470,DD480,DD490,DD500,DD510,DD520,DD530,DD540,DD550,DD560,DD570,DD580,DD590,DD600,DD610,DD620,DD630,DD640,DD650,DD660,DD670,DD680,DD690,DD700,DD710,DD720,DD730,DD740,DD750,DD760,DD770,DD780,DD790,DD800,DD810,DD820,DD830,DD840,DD850,DD860,DD870,DD880,DD890,DD900,DD910,DD920)</f>
        <v>3683.75692452</v>
      </c>
      <c r="DE926" s="242" t="n">
        <f aca="false">SUM(DE50,DE60,DE70,DE80,DE90,DE100,DE110,DE120,DE130,DE140,DE150,DE160,DE170,DE180,DE190,DE200,DE210,DE220,DE230,DE240,DE250,DE260,DE270,DE280,DE290,DE300,DE310,DE320,DE330,DE340,DE350,DE360,DE370,DE380,DE390,DE400,DE410,DE420,DE430,DE440,DE450,DE460,DE470,DE480,DE490,DE500,DE510,DE520,DE530,DE540,DE550,DE560,DE570,DE580,DE590,DE600,DE610,DE620,DE630,DE640,DE650,DE660,DE670,DE680,DE690,DE700,DE710,DE720,DE730,DE740,DE750,DE760,DE770,DE780,DE790,DE800,DE810,DE820,DE830,DE840,DE850,DE860,DE870,DE880,DE890,DE900,DE910,DE920)</f>
        <v>4167.56653128</v>
      </c>
      <c r="DF926" s="242" t="n">
        <f aca="false">SUM(DF50,DF60,DF70,DF80,DF90,DF100,DF110,DF120,DF130,DF140,DF150,DF160,DF170,DF180,DF190,DF200,DF210,DF220,DF230,DF240,DF250,DF260,DF270,DF280,DF290,DF300,DF310,DF320,DF330,DF340,DF350,DF360,DF370,DF380,DF390,DF400,DF410,DF420,DF430,DF440,DF450,DF460,DF470,DF480,DF490,DF500,DF510,DF520,DF530,DF540,DF550,DF560,DF570,DF580,DF590,DF600,DF610,DF620,DF630,DF640,DF650,DF660,DF670,DF680,DF690,DF700,DF710,DF720,DF730,DF740,DF750,DF760,DF770,DF780,DF790,DF800,DF810,DF820,DF830,DF840,DF850,DF860,DF870,DF880,DF890,DF900,DF910,DF920)</f>
        <v>4148.99604976</v>
      </c>
      <c r="DG926" s="242" t="n">
        <f aca="false">SUM(DG50,DG60,DG70,DG80,DG90,DG100,DG110,DG120,DG130,DG140,DG150,DG160,DG170,DG180,DG190,DG200,DG210,DG220,DG230,DG240,DG250,DG260,DG270,DG280,DG290,DG300,DG310,DG320,DG330,DG340,DG350,DG360,DG370,DG380,DG390,DG400,DG410,DG420,DG430,DG440,DG450,DG460,DG470,DG480,DG490,DG500,DG510,DG520,DG530,DG540,DG550,DG560,DG570,DG580,DG590,DG600,DG610,DG620,DG630,DG640,DG650,DG660,DG670,DG680,DG690,DG700,DG710,DG720,DG730,DG740,DG750,DG760,DG770,DG780,DG790,DG800,DG810,DG820,DG830,DG840,DG850,DG860,DG870,DG880,DG890,DG900,DG910,DG920)</f>
        <v>4108.73079952</v>
      </c>
      <c r="DH926" s="242" t="n">
        <f aca="false">SUM(DH50,DH60,DH70,DH80,DH90,DH100,DH110,DH120,DH130,DH140,DH150,DH160,DH170,DH180,DH190,DH200,DH210,DH220,DH230,DH240,DH250,DH260,DH270,DH280,DH290,DH300,DH310,DH320,DH330,DH340,DH350,DH360,DH370,DH380,DH390,DH400,DH410,DH420,DH430,DH440,DH450,DH460,DH470,DH480,DH490,DH500,DH510,DH520,DH530,DH540,DH550,DH560,DH570,DH580,DH590,DH600,DH610,DH620,DH630,DH640,DH650,DH660,DH670,DH680,DH690,DH700,DH710,DH720,DH730,DH740,DH750,DH760,DH770,DH780,DH790,DH800,DH810,DH820,DH830,DH840,DH850,DH860,DH870,DH880,DH890,DH900,DH910,DH920)</f>
        <v>4019.46714576</v>
      </c>
      <c r="DI926" s="242" t="n">
        <f aca="false">SUM(DI50,DI60,DI70,DI80,DI90,DI100,DI110,DI120,DI130,DI140,DI150,DI160,DI170,DI180,DI190,DI200,DI210,DI220,DI230,DI240,DI250,DI260,DI270,DI280,DI290,DI300,DI310,DI320,DI330,DI340,DI350,DI360,DI370,DI380,DI390,DI400,DI410,DI420,DI430,DI440,DI450,DI460,DI470,DI480,DI490,DI500,DI510,DI520,DI530,DI540,DI550,DI560,DI570,DI580,DI590,DI600,DI610,DI620,DI630,DI640,DI650,DI660,DI670,DI680,DI690,DI700,DI710,DI720,DI730,DI740,DI750,DI760,DI770,DI780,DI790,DI800,DI810,DI820,DI830,DI840,DI850,DI860,DI870,DI880,DI890,DI900,DI910,DI920)</f>
        <v>4382.70353208</v>
      </c>
      <c r="DJ926" s="242" t="n">
        <f aca="false">SUM(DJ50,DJ60,DJ70,DJ80,DJ90,DJ100,DJ110,DJ120,DJ130,DJ140,DJ150,DJ160,DJ170,DJ180,DJ190,DJ200,DJ210,DJ220,DJ230,DJ240,DJ250,DJ260,DJ270,DJ280,DJ290,DJ300,DJ310,DJ320,DJ330,DJ340,DJ350,DJ360,DJ370,DJ380,DJ390,DJ400,DJ410,DJ420,DJ430,DJ440,DJ450,DJ460,DJ470,DJ480,DJ490,DJ500,DJ510,DJ520,DJ530,DJ540,DJ550,DJ560,DJ570,DJ580,DJ590,DJ600,DJ610,DJ620,DJ630,DJ640,DJ650,DJ660,DJ670,DJ680,DJ690,DJ700,DJ710,DJ720,DJ730,DJ740,DJ750,DJ760,DJ770,DJ780,DJ790,DJ800,DJ810,DJ820,DJ830,DJ840,DJ850,DJ860,DJ870,DJ880,DJ890,DJ900,DJ910,DJ920)</f>
        <v>4513.21651168</v>
      </c>
      <c r="DK926" s="242" t="n">
        <f aca="false">SUM(DK50,DK60,DK70,DK80,DK90,DK100,DK110,DK120,DK130,DK140,DK150,DK160,DK170,DK180,DK190,DK200,DK210,DK220,DK230,DK240,DK250,DK260,DK270,DK280,DK290,DK300,DK310,DK320,DK330,DK340,DK350,DK360,DK370,DK380,DK390,DK400,DK410,DK420,DK430,DK440,DK450,DK460,DK470,DK480,DK490,DK500,DK510,DK520,DK530,DK540,DK550,DK560,DK570,DK580,DK590,DK600,DK610,DK620,DK630,DK640,DK650,DK660,DK670,DK680,DK690,DK700,DK710,DK720,DK730,DK740,DK750,DK760,DK770,DK780,DK790,DK800,DK810,DK820,DK830,DK840,DK850,DK860,DK870,DK880,DK890,DK900,DK910,DK920)</f>
        <v>4493.104986</v>
      </c>
      <c r="DL926" s="242" t="n">
        <f aca="false">SUM(DL50,DL60,DL70,DL80,DL90,DL100,DL110,DL120,DL130,DL140,DL150,DL160,DL170,DL180,DL190,DL200,DL210,DL220,DL230,DL240,DL250,DL260,DL270,DL280,DL290,DL300,DL310,DL320,DL330,DL340,DL350,DL360,DL370,DL380,DL390,DL400,DL410,DL420,DL430,DL440,DL450,DL460,DL470,DL480,DL490,DL500,DL510,DL520,DL530,DL540,DL550,DL560,DL570,DL580,DL590,DL600,DL610,DL620,DL630,DL640,DL650,DL660,DL670,DL680,DL690,DL700,DL710,DL720,DL730,DL740,DL750,DL760,DL770,DL780,DL790,DL800,DL810,DL820,DL830,DL840,DL850,DL860,DL870,DL880,DL890,DL900,DL910,DL920)</f>
        <v>4826.15750632</v>
      </c>
      <c r="DM926" s="242" t="n">
        <f aca="false">SUM(DM50,DM60,DM70,DM80,DM90,DM100,DM110,DM120,DM130,DM140,DM150,DM160,DM170,DM180,DM190,DM200,DM210,DM220,DM230,DM240,DM250,DM260,DM270,DM280,DM290,DM300,DM310,DM320,DM330,DM340,DM350,DM360,DM370,DM380,DM390,DM400,DM410,DM420,DM430,DM440,DM450,DM460,DM470,DM480,DM490,DM500,DM510,DM520,DM530,DM540,DM550,DM560,DM570,DM580,DM590,DM600,DM610,DM620,DM630,DM640,DM650,DM660,DM670,DM680,DM690,DM700,DM710,DM720,DM730,DM740,DM750,DM760,DM770,DM780,DM790,DM800,DM810,DM820,DM830,DM840,DM850,DM860,DM870,DM880,DM890,DM900,DM910,DM920)</f>
        <v>4907.01320368</v>
      </c>
      <c r="DN926" s="242" t="n">
        <f aca="false">SUM(DN50,DN60,DN70,DN80,DN90,DN100,DN110,DN120,DN130,DN140,DN150,DN160,DN170,DN180,DN190,DN200,DN210,DN220,DN230,DN240,DN250,DN260,DN270,DN280,DN290,DN300,DN310,DN320,DN330,DN340,DN350,DN360,DN370,DN380,DN390,DN400,DN410,DN420,DN430,DN440,DN450,DN460,DN470,DN480,DN490,DN500,DN510,DN520,DN530,DN540,DN550,DN560,DN570,DN580,DN590,DN600,DN610,DN620,DN630,DN640,DN650,DN660,DN670,DN680,DN690,DN700,DN710,DN720,DN730,DN740,DN750,DN760,DN770,DN780,DN790,DN800,DN810,DN820,DN830,DN840,DN850,DN860,DN870,DN880,DN890,DN900,DN910,DN920)</f>
        <v>4911.27335216</v>
      </c>
      <c r="DO926" s="242" t="n">
        <f aca="false">SUM(DO50,DO60,DO70,DO80,DO90,DO100,DO110,DO120,DO130,DO140,DO150,DO160,DO170,DO180,DO190,DO200,DO210,DO220,DO230,DO240,DO250,DO260,DO270,DO280,DO290,DO300,DO310,DO320,DO330,DO340,DO350,DO360,DO370,DO380,DO390,DO400,DO410,DO420,DO430,DO440,DO450,DO460,DO470,DO480,DO490,DO500,DO510,DO520,DO530,DO540,DO550,DO560,DO570,DO580,DO590,DO600,DO610,DO620,DO630,DO640,DO650,DO660,DO670,DO680,DO690,DO700,DO710,DO720,DO730,DO740,DO750,DO760,DO770,DO780,DO790,DO800,DO810,DO820,DO830,DO840,DO850,DO860,DO870,DO880,DO890,DO900,DO910,DO920)</f>
        <v>4891.5897528</v>
      </c>
      <c r="DP926" s="242" t="n">
        <f aca="false">SUM(DP50,DP60,DP70,DP80,DP90,DP100,DP110,DP120,DP130,DP140,DP150,DP160,DP170,DP180,DP190,DP200,DP210,DP220,DP230,DP240,DP250,DP260,DP270,DP280,DP290,DP300,DP310,DP320,DP330,DP340,DP350,DP360,DP370,DP380,DP390,DP400,DP410,DP420,DP430,DP440,DP450,DP460,DP470,DP480,DP490,DP500,DP510,DP520,DP530,DP540,DP550,DP560,DP570,DP580,DP590,DP600,DP610,DP620,DP630,DP640,DP650,DP660,DP670,DP680,DP690,DP700,DP710,DP720,DP730,DP740,DP750,DP760,DP770,DP780,DP790,DP800,DP810,DP820,DP830,DP840,DP850,DP860,DP870,DP880,DP890,DP900,DP910,DP920)</f>
        <v>5081.4503412</v>
      </c>
      <c r="DQ926" s="242" t="n">
        <f aca="false">SUM(DQ50,DQ60,DQ70,DQ80,DQ90,DQ100,DQ110,DQ120,DQ130,DQ140,DQ150,DQ160,DQ170,DQ180,DQ190,DQ200,DQ210,DQ220,DQ230,DQ240,DQ250,DQ260,DQ270,DQ280,DQ290,DQ300,DQ310,DQ320,DQ330,DQ340,DQ350,DQ360,DQ370,DQ380,DQ390,DQ400,DQ410,DQ420,DQ430,DQ440,DQ450,DQ460,DQ470,DQ480,DQ490,DQ500,DQ510,DQ520,DQ530,DQ540,DQ550,DQ560,DQ570,DQ580,DQ590,DQ600,DQ610,DQ620,DQ630,DQ640,DQ650,DQ660,DQ670,DQ680,DQ690,DQ700,DQ710,DQ720,DQ730,DQ740,DQ750,DQ760,DQ770,DQ780,DQ790,DQ800,DQ810,DQ820,DQ830,DQ840,DQ850,DQ860,DQ870,DQ880,DQ890,DQ900,DQ910,DQ920)</f>
        <v>5650.24309276</v>
      </c>
      <c r="DR926" s="242" t="n">
        <f aca="false">SUM(DR50,DR60,DR70,DR80,DR90,DR100,DR110,DR120,DR130,DR140,DR150,DR160,DR170,DR180,DR190,DR200,DR210,DR220,DR230,DR240,DR250,DR260,DR270,DR280,DR290,DR300,DR310,DR320,DR330,DR340,DR350,DR360,DR370,DR380,DR390,DR400,DR410,DR420,DR430,DR440,DR450,DR460,DR470,DR480,DR490,DR500,DR510,DR520,DR530,DR540,DR550,DR560,DR570,DR580,DR590,DR600,DR610,DR620,DR630,DR640,DR650,DR660,DR670,DR680,DR690,DR700,DR710,DR720,DR730,DR740,DR750,DR760,DR770,DR780,DR790,DR800,DR810,DR820,DR830,DR840,DR850,DR860,DR870,DR880,DR890,DR900,DR910,DR920)</f>
        <v>5609.03425844</v>
      </c>
      <c r="DS926" s="242" t="n">
        <f aca="false">SUM(DS50,DS60,DS70,DS80,DS90,DS100,DS110,DS120,DS130,DS140,DS150,DS160,DS170,DS180,DS190,DS200,DS210,DS220,DS230,DS240,DS250,DS260,DS270,DS280,DS290,DS300,DS310,DS320,DS330,DS340,DS350,DS360,DS370,DS380,DS390,DS400,DS410,DS420,DS430,DS440,DS450,DS460,DS470,DS480,DS490,DS500,DS510,DS520,DS530,DS540,DS550,DS560,DS570,DS580,DS590,DS600,DS610,DS620,DS630,DS640,DS650,DS660,DS670,DS680,DS690,DS700,DS710,DS720,DS730,DS740,DS750,DS760,DS770,DS780,DS790,DS800,DS810,DS820,DS830,DS840,DS850,DS860,DS870,DS880,DS890,DS900,DS910,DS920)</f>
        <v>5536.626589</v>
      </c>
      <c r="DT926" s="242" t="n">
        <f aca="false">SUM(DT50,DT60,DT70,DT80,DT90,DT100,DT110,DT120,DT130,DT140,DT150,DT160,DT170,DT180,DT190,DT200,DT210,DT220,DT230,DT240,DT250,DT260,DT270,DT280,DT290,DT300,DT310,DT320,DT330,DT340,DT350,DT360,DT370,DT380,DT390,DT400,DT410,DT420,DT430,DT440,DT450,DT460,DT470,DT480,DT490,DT500,DT510,DT520,DT530,DT540,DT550,DT560,DT570,DT580,DT590,DT600,DT610,DT620,DT630,DT640,DT650,DT660,DT670,DT680,DT690,DT700,DT710,DT720,DT730,DT740,DT750,DT760,DT770,DT780,DT790,DT800,DT810,DT820,DT830,DT840,DT850,DT860,DT870,DT880,DT890,DT900,DT910,DT920)</f>
        <v>5411.42187572</v>
      </c>
      <c r="DU926" s="242" t="n">
        <f aca="false">SUM(DU50,DU60,DU70,DU80,DU90,DU100,DU110,DU120,DU130,DU140,DU150,DU160,DU170,DU180,DU190,DU200,DU210,DU220,DU230,DU240,DU250,DU260,DU270,DU280,DU290,DU300,DU310,DU320,DU330,DU340,DU350,DU360,DU370,DU380,DU390,DU400,DU410,DU420,DU430,DU440,DU450,DU460,DU470,DU480,DU490,DU500,DU510,DU520,DU530,DU540,DU550,DU560,DU570,DU580,DU590,DU600,DU610,DU620,DU630,DU640,DU650,DU660,DU670,DU680,DU690,DU700,DU710,DU720,DU730,DU740,DU750,DU760,DU770,DU780,DU790,DU800,DU810,DU820,DU830,DU840,DU850,DU860,DU870,DU880,DU890,DU900,DU910,DU920)</f>
        <v>5821.355306</v>
      </c>
      <c r="DV926" s="242" t="n">
        <f aca="false">SUM(DV50,DV60,DV70,DV80,DV90,DV100,DV110,DV120,DV130,DV140,DV150,DV160,DV170,DV180,DV190,DV200,DV210,DV220,DV230,DV240,DV250,DV260,DV270,DV280,DV290,DV300,DV310,DV320,DV330,DV340,DV350,DV360,DV370,DV380,DV390,DV400,DV410,DV420,DV430,DV440,DV450,DV460,DV470,DV480,DV490,DV500,DV510,DV520,DV530,DV540,DV550,DV560,DV570,DV580,DV590,DV600,DV610,DV620,DV630,DV640,DV650,DV660,DV670,DV680,DV690,DV700,DV710,DV720,DV730,DV740,DV750,DV760,DV770,DV780,DV790,DV800,DV810,DV820,DV830,DV840,DV850,DV860,DV870,DV880,DV890,DV900,DV910,DV920)</f>
        <v>5952.85316976</v>
      </c>
      <c r="DW926" s="242" t="n">
        <f aca="false">SUM(DW50,DW60,DW70,DW80,DW90,DW100,DW110,DW120,DW130,DW140,DW150,DW160,DW170,DW180,DW190,DW200,DW210,DW220,DW230,DW240,DW250,DW260,DW270,DW280,DW290,DW300,DW310,DW320,DW330,DW340,DW350,DW360,DW370,DW380,DW390,DW400,DW410,DW420,DW430,DW440,DW450,DW460,DW470,DW480,DW490,DW500,DW510,DW520,DW530,DW540,DW550,DW560,DW570,DW580,DW590,DW600,DW610,DW620,DW630,DW640,DW650,DW660,DW670,DW680,DW690,DW700,DW710,DW720,DW730,DW740,DW750,DW760,DW770,DW780,DW790,DW800,DW810,DW820,DW830,DW840,DW850,DW860,DW870,DW880,DW890,DW900,DW910,DW920)</f>
        <v>5917.94071152</v>
      </c>
      <c r="DX926" s="242" t="n">
        <f aca="false">SUM(DX50,DX60,DX70,DX80,DX90,DX100,DX110,DX120,DX130,DX140,DX150,DX160,DX170,DX180,DX190,DX200,DX210,DX220,DX230,DX240,DX250,DX260,DX270,DX280,DX290,DX300,DX310,DX320,DX330,DX340,DX350,DX360,DX370,DX380,DX390,DX400,DX410,DX420,DX430,DX440,DX450,DX460,DX470,DX480,DX490,DX500,DX510,DX520,DX530,DX540,DX550,DX560,DX570,DX580,DX590,DX600,DX610,DX620,DX630,DX640,DX650,DX660,DX670,DX680,DX690,DX700,DX710,DX720,DX730,DX740,DX750,DX760,DX770,DX780,DX790,DX800,DX810,DX820,DX830,DX840,DX850,DX860,DX870,DX880,DX890,DX900,DX910,DX920)</f>
        <v>6287.80648528</v>
      </c>
      <c r="DY926" s="242" t="n">
        <f aca="false">SUM(DY50,DY60,DY70,DY80,DY90,DY100,DY110,DY120,DY130,DY140,DY150,DY160,DY170,DY180,DY190,DY200,DY210,DY220,DY230,DY240,DY250,DY260,DY270,DY280,DY290,DY300,DY310,DY320,DY330,DY340,DY350,DY360,DY370,DY380,DY390,DY400,DY410,DY420,DY430,DY440,DY450,DY460,DY470,DY480,DY490,DY500,DY510,DY520,DY530,DY540,DY550,DY560,DY570,DY580,DY590,DY600,DY610,DY620,DY630,DY640,DY650,DY660,DY670,DY680,DY690,DY700,DY710,DY720,DY730,DY740,DY750,DY760,DY770,DY780,DY790,DY800,DY810,DY820,DY830,DY840,DY850,DY860,DY870,DY880,DY890,DY900,DY910,DY920)</f>
        <v>6352.30791936</v>
      </c>
      <c r="DZ926" s="242" t="n">
        <f aca="false">SUM(DZ50,DZ60,DZ70,DZ80,DZ90,DZ100,DZ110,DZ120,DZ130,DZ140,DZ150,DZ160,DZ170,DZ180,DZ190,DZ200,DZ210,DZ220,DZ230,DZ240,DZ250,DZ260,DZ270,DZ280,DZ290,DZ300,DZ310,DZ320,DZ330,DZ340,DZ350,DZ360,DZ370,DZ380,DZ390,DZ400,DZ410,DZ420,DZ430,DZ440,DZ450,DZ460,DZ470,DZ480,DZ490,DZ500,DZ510,DZ520,DZ530,DZ540,DZ550,DZ560,DZ570,DZ580,DZ590,DZ600,DZ610,DZ620,DZ630,DZ640,DZ650,DZ660,DZ670,DZ680,DZ690,DZ700,DZ710,DZ720,DZ730,DZ740,DZ750,DZ760,DZ770,DZ780,DZ790,DZ800,DZ810,DZ820,DZ830,DZ840,DZ850,DZ860,DZ870,DZ880,DZ890,DZ900,DZ910,DZ920)</f>
        <v>6339.34383288</v>
      </c>
      <c r="EA926" s="242" t="n">
        <f aca="false">SUM(EA50,EA60,EA70,EA80,EA90,EA100,EA110,EA120,EA130,EA140,EA150,EA160,EA170,EA180,EA190,EA200,EA210,EA220,EA230,EA240,EA250,EA260,EA270,EA280,EA290,EA300,EA310,EA320,EA330,EA340,EA350,EA360,EA370,EA380,EA390,EA400,EA410,EA420,EA430,EA440,EA450,EA460,EA470,EA480,EA490,EA500,EA510,EA520,EA530,EA540,EA550,EA560,EA570,EA580,EA590,EA600,EA610,EA620,EA630,EA640,EA650,EA660,EA670,EA680,EA690,EA700,EA710,EA720,EA730,EA740,EA750,EA760,EA770,EA780,EA790,EA800,EA810,EA820,EA830,EA840,EA850,EA860,EA870,EA880,EA890,EA900,EA910,EA920)</f>
        <v>6298.12039552</v>
      </c>
      <c r="EB926" s="242" t="n">
        <f aca="false">SUM(EB50,EB60,EB70,EB80,EB90,EB100,EB110,EB120,EB130,EB140,EB150,EB160,EB170,EB180,EB190,EB200,EB210,EB220,EB230,EB240,EB250,EB260,EB270,EB280,EB290,EB300,EB310,EB320,EB330,EB340,EB350,EB360,EB370,EB380,EB390,EB400,EB410,EB420,EB430,EB440,EB450,EB460,EB470,EB480,EB490,EB500,EB510,EB520,EB530,EB540,EB550,EB560,EB570,EB580,EB590,EB600,EB610,EB620,EB630,EB640,EB650,EB660,EB670,EB680,EB690,EB700,EB710,EB720,EB730,EB740,EB750,EB760,EB770,EB780,EB790,EB800,EB810,EB820,EB830,EB840,EB850,EB860,EB870,EB880,EB890,EB900,EB910,EB920)</f>
        <v>6510.18730104</v>
      </c>
      <c r="EC926" s="242" t="n">
        <f aca="false">SUM(EC50,EC60,EC70,EC80,EC90,EC100,EC110,EC120,EC130,EC140,EC150,EC160,EC170,EC180,EC190,EC200,EC210,EC220,EC230,EC240,EC250,EC260,EC270,EC280,EC290,EC300,EC310,EC320,EC330,EC340,EC350,EC360,EC370,EC380,EC390,EC400,EC410,EC420,EC430,EC440,EC450,EC460,EC470,EC480,EC490,EC500,EC510,EC520,EC530,EC540,EC550,EC560,EC570,EC580,EC590,EC600,EC610,EC620,EC630,EC640,EC650,EC660,EC670,EC680,EC690,EC700,EC710,EC720,EC730,EC740,EC750,EC760,EC770,EC780,EC790,EC800,EC810,EC820,EC830,EC840,EC850,EC860,EC870,EC880,EC890,EC900,EC910,EC920)</f>
        <v>7133.76371824</v>
      </c>
      <c r="ED926" s="242" t="n">
        <f aca="false">SUM(ED50,ED60,ED70,ED80,ED90,ED100,ED110,ED120,ED130,ED140,ED150,ED160,ED170,ED180,ED190,ED200,ED210,ED220,ED230,ED240,ED250,ED260,ED270,ED280,ED290,ED300,ED310,ED320,ED330,ED340,ED350,ED360,ED370,ED380,ED390,ED400,ED410,ED420,ED430,ED440,ED450,ED460,ED470,ED480,ED490,ED500,ED510,ED520,ED530,ED540,ED550,ED560,ED570,ED580,ED590,ED600,ED610,ED620,ED630,ED640,ED650,ED660,ED670,ED680,ED690,ED700,ED710,ED720,ED730,ED740,ED750,ED760,ED770,ED780,ED790,ED800,ED810,ED820,ED830,ED840,ED850,ED860,ED870,ED880,ED890,ED900,ED910,ED920)</f>
        <v>7055.2913232</v>
      </c>
      <c r="EE926" s="242" t="n">
        <f aca="false">SUM(EE50,EE60,EE70,EE80,EE90,EE100,EE110,EE120,EE130,EE140,EE150,EE160,EE170,EE180,EE190,EE200,EE210,EE220,EE230,EE240,EE250,EE260,EE270,EE280,EE290,EE300,EE310,EE320,EE330,EE340,EE350,EE360,EE370,EE380,EE390,EE400,EE410,EE420,EE430,EE440,EE450,EE460,EE470,EE480,EE490,EE500,EE510,EE520,EE530,EE540,EE550,EE560,EE570,EE580,EE590,EE600,EE610,EE620,EE630,EE640,EE650,EE660,EE670,EE680,EE690,EE700,EE710,EE720,EE730,EE740,EE750,EE760,EE770,EE780,EE790,EE800,EE810,EE820,EE830,EE840,EE850,EE860,EE870,EE880,EE890,EE900,EE910,EE920)</f>
        <v>6952.60711616</v>
      </c>
      <c r="EF926" s="242" t="n">
        <f aca="false">SUM(EF50,EF60,EF70,EF80,EF90,EF100,EF110,EF120,EF130,EF140,EF150,EF160,EF170,EF180,EF190,EF200,EF210,EF220,EF230,EF240,EF250,EF260,EF270,EF280,EF290,EF300,EF310,EF320,EF330,EF340,EF350,EF360,EF370,EF380,EF390,EF400,EF410,EF420,EF430,EF440,EF450,EF460,EF470,EF480,EF490,EF500,EF510,EF520,EF530,EF540,EF550,EF560,EF570,EF580,EF590,EF600,EF610,EF620,EF630,EF640,EF650,EF660,EF670,EF680,EF690,EF700,EF710,EF720,EF730,EF740,EF750,EF760,EF770,EF780,EF790,EF800,EF810,EF820,EF830,EF840,EF850,EF860,EF870,EF880,EF890,EF900,EF910,EF920)</f>
        <v>6798.52457728</v>
      </c>
      <c r="EG926" s="242" t="n">
        <f aca="false">SUM(EG50,EG60,EG70,EG80,EG90,EG100,EG110,EG120,EG130,EG140,EG150,EG160,EG170,EG180,EG190,EG200,EG210,EG220,EG230,EG240,EG250,EG260,EG270,EG280,EG290,EG300,EG310,EG320,EG330,EG340,EG350,EG360,EG370,EG380,EG390,EG400,EG410,EG420,EG430,EG440,EG450,EG460,EG470,EG480,EG490,EG500,EG510,EG520,EG530,EG540,EG550,EG560,EG570,EG580,EG590,EG600,EG610,EG620,EG630,EG640,EG650,EG660,EG670,EG680,EG690,EG700,EG710,EG720,EG730,EG740,EG750,EG760,EG770,EG780,EG790,EG800,EG810,EG820,EG830,EG840,EG850,EG860,EG870,EG880,EG890,EG900,EG910,EG920)</f>
        <v>7270.17697188</v>
      </c>
      <c r="EH926" s="242" t="n">
        <f aca="false">SUM(EH50,EH60,EH70,EH80,EH90,EH100,EH110,EH120,EH130,EH140,EH150,EH160,EH170,EH180,EH190,EH200,EH210,EH220,EH230,EH240,EH250,EH260,EH270,EH280,EH290,EH300,EH310,EH320,EH330,EH340,EH350,EH360,EH370,EH380,EH390,EH400,EH410,EH420,EH430,EH440,EH450,EH460,EH470,EH480,EH490,EH500,EH510,EH520,EH530,EH540,EH550,EH560,EH570,EH580,EH590,EH600,EH610,EH620,EH630,EH640,EH650,EH660,EH670,EH680,EH690,EH700,EH710,EH720,EH730,EH740,EH750,EH760,EH770,EH780,EH790,EH800,EH810,EH820,EH830,EH840,EH850,EH860,EH870,EH880,EH890,EH900,EH910,EH920)</f>
        <v>7410.31050124</v>
      </c>
      <c r="EI926" s="242" t="n">
        <f aca="false">SUM(EI50,EI60,EI70,EI80,EI90,EI100,EI110,EI120,EI130,EI140,EI150,EI160,EI170,EI180,EI190,EI200,EI210,EI220,EI230,EI240,EI250,EI260,EI270,EI280,EI290,EI300,EI310,EI320,EI330,EI340,EI350,EI360,EI370,EI380,EI390,EI400,EI410,EI420,EI430,EI440,EI450,EI460,EI470,EI480,EI490,EI500,EI510,EI520,EI530,EI540,EI550,EI560,EI570,EI580,EI590,EI600,EI610,EI620,EI630,EI640,EI650,EI660,EI670,EI680,EI690,EI700,EI710,EI720,EI730,EI740,EI750,EI760,EI770,EI780,EI790,EI800,EI810,EI820,EI830,EI840,EI850,EI860,EI870,EI880,EI890,EI900,EI910,EI920)</f>
        <v>7357.1838934</v>
      </c>
      <c r="EJ926" s="242" t="n">
        <f aca="false">SUM(EJ50,EJ60,EJ70,EJ80,EJ90,EJ100,EJ110,EJ120,EJ130,EJ140,EJ150,EJ160,EJ170,EJ180,EJ190,EJ200,EJ210,EJ220,EJ230,EJ240,EJ250,EJ260,EJ270,EJ280,EJ290,EJ300,EJ310,EJ320,EJ330,EJ340,EJ350,EJ360,EJ370,EJ380,EJ390,EJ400,EJ410,EJ420,EJ430,EJ440,EJ450,EJ460,EJ470,EJ480,EJ490,EJ500,EJ510,EJ520,EJ530,EJ540,EJ550,EJ560,EJ570,EJ580,EJ590,EJ600,EJ610,EJ620,EJ630,EJ640,EJ650,EJ660,EJ670,EJ680,EJ690,EJ700,EJ710,EJ720,EJ730,EJ740,EJ750,EJ760,EJ770,EJ780,EJ790,EJ800,EJ810,EJ820,EJ830,EJ840,EJ850,EJ860,EJ870,EJ880,EJ890,EJ900,EJ910,EJ920)</f>
        <v>7771.50442812</v>
      </c>
      <c r="EK926" s="242" t="n">
        <f aca="false">SUM(EK50,EK60,EK70,EK80,EK90,EK100,EK110,EK120,EK130,EK140,EK150,EK160,EK170,EK180,EK190,EK200,EK210,EK220,EK230,EK240,EK250,EK260,EK270,EK280,EK290,EK300,EK310,EK320,EK330,EK340,EK350,EK360,EK370,EK380,EK390,EK400,EK410,EK420,EK430,EK440,EK450,EK460,EK470,EK480,EK490,EK500,EK510,EK520,EK530,EK540,EK550,EK560,EK570,EK580,EK590,EK600,EK610,EK620,EK630,EK640,EK650,EK660,EK670,EK680,EK690,EK700,EK710,EK720,EK730,EK740,EK750,EK760,EK770,EK780,EK790,EK800,EK810,EK820,EK830,EK840,EK850,EK860,EK870,EK880,EK890,EK900,EK910,EK920)</f>
        <v>7825.47247524</v>
      </c>
      <c r="EL926" s="242" t="n">
        <f aca="false">SUM(EL50,EL60,EL70,EL80,EL90,EL100,EL110,EL120,EL130,EL140,EL150,EL160,EL170,EL180,EL190,EL200,EL210,EL220,EL230,EL240,EL250,EL260,EL270,EL280,EL290,EL300,EL310,EL320,EL330,EL340,EL350,EL360,EL370,EL380,EL390,EL400,EL410,EL420,EL430,EL440,EL450,EL460,EL470,EL480,EL490,EL500,EL510,EL520,EL530,EL540,EL550,EL560,EL570,EL580,EL590,EL600,EL610,EL620,EL630,EL640,EL650,EL660,EL670,EL680,EL690,EL700,EL710,EL720,EL730,EL740,EL750,EL760,EL770,EL780,EL790,EL800,EL810,EL820,EL830,EL840,EL850,EL860,EL870,EL880,EL890,EL900,EL910,EL920)</f>
        <v>7793.13641732</v>
      </c>
      <c r="EM926" s="242" t="n">
        <f aca="false">SUM(EM50,EM60,EM70,EM80,EM90,EM100,EM110,EM120,EM130,EM140,EM150,EM160,EM170,EM180,EM190,EM200,EM210,EM220,EM230,EM240,EM250,EM260,EM270,EM280,EM290,EM300,EM310,EM320,EM330,EM340,EM350,EM360,EM370,EM380,EM390,EM400,EM410,EM420,EM430,EM440,EM450,EM460,EM470,EM480,EM490,EM500,EM510,EM520,EM530,EM540,EM550,EM560,EM570,EM580,EM590,EM600,EM610,EM620,EM630,EM640,EM650,EM660,EM670,EM680,EM690,EM700,EM710,EM720,EM730,EM740,EM750,EM760,EM770,EM780,EM790,EM800,EM810,EM820,EM830,EM840,EM850,EM860,EM870,EM880,EM890,EM900,EM910,EM920)</f>
        <v>7735.15882824</v>
      </c>
      <c r="EN926" s="242" t="n">
        <f aca="false">SUM(EN50,EN60,EN70,EN80,EN90,EN100,EN110,EN120,EN130,EN140,EN150,EN160,EN170,EN180,EN190,EN200,EN210,EN220,EN230,EN240,EN250,EN260,EN270,EN280,EN290,EN300,EN310,EN320,EN330,EN340,EN350,EN360,EN370,EN380,EN390,EN400,EN410,EN420,EN430,EN440,EN450,EN460,EN470,EN480,EN490,EN500,EN510,EN520,EN530,EN540,EN550,EN560,EN570,EN580,EN590,EN600,EN610,EN620,EN630,EN640,EN650,EN660,EN670,EN680,EN690,EN700,EN710,EN720,EN730,EN740,EN750,EN760,EN770,EN780,EN790,EN800,EN810,EN820,EN830,EN840,EN850,EN860,EN870,EN880,EN890,EN900,EN910,EN920)</f>
        <v>7973.6515344</v>
      </c>
      <c r="EO926" s="242" t="n">
        <f aca="false">SUM(EO50,EO60,EO70,EO80,EO90,EO100,EO110,EO120,EO130,EO140,EO150,EO160,EO170,EO180,EO190,EO200,EO210,EO220,EO230,EO240,EO250,EO260,EO270,EO280,EO290,EO300,EO310,EO320,EO330,EO340,EO350,EO360,EO370,EO380,EO390,EO400,EO410,EO420,EO430,EO440,EO450,EO460,EO470,EO480,EO490,EO500,EO510,EO520,EO530,EO540,EO550,EO560,EO570,EO580,EO590,EO600,EO610,EO620,EO630,EO640,EO650,EO660,EO670,EO680,EO690,EO700,EO710,EO720,EO730,EO740,EO750,EO760,EO770,EO780,EO790,EO800,EO810,EO820,EO830,EO840,EO850,EO860,EO870,EO880,EO890,EO900,EO910,EO920)</f>
        <v>8702.6896756</v>
      </c>
      <c r="EP926" s="242" t="n">
        <f aca="false">SUM(EP50,EP60,EP70,EP80,EP90,EP100,EP110,EP120,EP130,EP140,EP150,EP160,EP170,EP180,EP190,EP200,EP210,EP220,EP230,EP240,EP250,EP260,EP270,EP280,EP290,EP300,EP310,EP320,EP330,EP340,EP350,EP360,EP370,EP380,EP390,EP400,EP410,EP420,EP430,EP440,EP450,EP460,EP470,EP480,EP490,EP500,EP510,EP520,EP530,EP540,EP550,EP560,EP570,EP580,EP590,EP600,EP610,EP620,EP630,EP640,EP650,EP660,EP670,EP680,EP690,EP700,EP710,EP720,EP730,EP740,EP750,EP760,EP770,EP780,EP790,EP800,EP810,EP820,EP830,EP840,EP850,EP860,EP870,EP880,EP890,EP900,EP910,EP920)</f>
        <v>8597.1968556</v>
      </c>
      <c r="EQ926" s="242" t="n">
        <f aca="false">SUM(EQ50,EQ60,EQ70,EQ80,EQ90,EQ100,EQ110,EQ120,EQ130,EQ140,EQ150,EQ160,EQ170,EQ180,EQ190,EQ200,EQ210,EQ220,EQ230,EQ240,EQ250,EQ260,EQ270,EQ280,EQ290,EQ300,EQ310,EQ320,EQ330,EQ340,EQ350,EQ360,EQ370,EQ380,EQ390,EQ400,EQ410,EQ420,EQ430,EQ440,EQ450,EQ460,EQ470,EQ480,EQ490,EQ500,EQ510,EQ520,EQ530,EQ540,EQ550,EQ560,EQ570,EQ580,EQ590,EQ600,EQ610,EQ620,EQ630,EQ640,EQ650,EQ660,EQ670,EQ680,EQ690,EQ700,EQ710,EQ720,EQ730,EQ740,EQ750,EQ760,EQ770,EQ780,EQ790,EQ800,EQ810,EQ820,EQ830,EQ840,EQ850,EQ860,EQ870,EQ880,EQ890,EQ900,EQ910,EQ920)</f>
        <v>8466.6738636</v>
      </c>
      <c r="ER926" s="242" t="n">
        <f aca="false">SUM(ER50,ER60,ER70,ER80,ER90,ER100,ER110,ER120,ER130,ER140,ER150,ER160,ER170,ER180,ER190,ER200,ER210,ER220,ER230,ER240,ER250,ER260,ER270,ER280,ER290,ER300,ER310,ER320,ER330,ER340,ER350,ER360,ER370,ER380,ER390,ER400,ER410,ER420,ER430,ER440,ER450,ER460,ER470,ER480,ER490,ER500,ER510,ER520,ER530,ER540,ER550,ER560,ER570,ER580,ER590,ER600,ER610,ER620,ER630,ER640,ER650,ER660,ER670,ER680,ER690,ER700,ER710,ER720,ER730,ER740,ER750,ER760,ER770,ER780,ER790,ER800,ER810,ER820,ER830,ER840,ER850,ER860,ER870,ER880,ER890,ER900,ER910,ER920)</f>
        <v>8269.34275728</v>
      </c>
      <c r="ES926" s="237" t="n">
        <f aca="false">SUM(ES50,ES60,ES70,ES80,ES90,ES100,ES110,ES120,ES130,ES140,ES150,ES160,ES170,ES180,ES190,ES200,ES210,ES220,ES230,ES240,ES250,ES260,ES270,ES280,ES290,ES300,ES310,ES320,ES330,ES340,ES350,ES360,ES370,ES380,ES390,ES400,ES410,ES420,ES430,ES440,ES450,ES460,ES470,ES480,ES490,ES500,ES510,ES520,ES530,ES540,ES550,ES560,ES570,ES580,ES590,ES600,ES610,ES620,ES630,ES640,ES650,ES660,ES670,ES680,ES690,ES700,ES710,ES720,ES730,ES740,ES750,ES760,ES770,ES780,ES790,ES800,ES810,ES820,ES830,ES840,ES850,ES860,ES870,ES880,ES890,ES900,ES910,ES920)</f>
        <v>8812.53855284</v>
      </c>
      <c r="ET926" s="237" t="n">
        <f aca="false">SUM(ET50,ET60,ET70,ET80,ET90,ET100,ET110,ET120,ET130,ET140,ET150,ET160,ET170,ET180,ET190,ET200,ET210,ET220,ET230,ET240,ET250,ET260,ET270,ET280,ET290,ET300,ET310,ET320,ET330,ET340,ET350,ET360,ET370,ET380,ET390,ET400,ET410,ET420,ET430,ET440,ET450,ET460,ET470,ET480,ET490,ET500,ET510,ET520,ET530,ET540,ET550,ET560,ET570,ET580,ET590,ET600,ET610,ET620,ET630,ET640,ET650,ET660,ET670,ET680,ET690,ET700,ET710,ET720,ET730,ET740,ET750,ET760,ET770,ET780,ET790,ET800,ET810,ET820,ET830,ET840,ET850,ET860,ET870,ET880,ET890,ET900,ET910,ET920)</f>
        <v>8963.07788676</v>
      </c>
      <c r="EU926" s="237" t="n">
        <f aca="false">SUM(EU50,EU60,EU70,EU80,EU90,EU100,EU110,EU120,EU130,EU140,EU150,EU160,EU170,EU180,EU190,EU200,EU210,EU220,EU230,EU240,EU250,EU260,EU270,EU280,EU290,EU300,EU310,EU320,EU330,EU340,EU350,EU360,EU370,EU380,EU390,EU400,EU410,EU420,EU430,EU440,EU450,EU460,EU470,EU480,EU490,EU500,EU510,EU520,EU530,EU540,EU550,EU560,EU570,EU580,EU590,EU600,EU610,EU620,EU630,EU640,EU650,EU660,EU670,EU680,EU690,EU700,EU710,EU720,EU730,EU740,EU750,EU760,EU770,EU780,EU790,EU800,EU810,EU820,EU830,EU840,EU850,EU860,EU870,EU880,EU890,EU900,EU910,EU920)</f>
        <v>8882.84862948</v>
      </c>
      <c r="EV926" s="237" t="n">
        <f aca="false">SUM(EV50,EV60,EV70,EV80,EV90,EV100,EV110,EV120,EV130,EV140,EV150,EV160,EV170,EV180,EV190,EV200,EV210,EV220,EV230,EV240,EV250,EV260,EV270,EV280,EV290,EV300,EV310,EV320,EV330,EV340,EV350,EV360,EV370,EV380,EV390,EV400,EV410,EV420,EV430,EV440,EV450,EV460,EV470,EV480,EV490,EV500,EV510,EV520,EV530,EV540,EV550,EV560,EV570,EV580,EV590,EV600,EV610,EV620,EV630,EV640,EV650,EV660,EV670,EV680,EV690,EV700,EV710,EV720,EV730,EV740,EV750,EV760,EV770,EV780,EV790,EV800,EV810,EV820,EV830,EV840,EV850,EV860,EV870,EV880,EV890,EV900,EV910,EV920)</f>
        <v>9368.20269588</v>
      </c>
      <c r="EW926" s="237" t="n">
        <f aca="false">SUM(EW50,EW60,EW70,EW80,EW90,EW100,EW110,EW120,EW130,EW140,EW150,EW160,EW170,EW180,EW190,EW200,EW210,EW220,EW230,EW240,EW250,EW260,EW270,EW280,EW290,EW300,EW310,EW320,EW330,EW340,EW350,EW360,EW370,EW380,EW390,EW400,EW410,EW420,EW430,EW440,EW450,EW460,EW470,EW480,EW490,EW500,EW510,EW520,EW530,EW540,EW550,EW560,EW570,EW580,EW590,EW600,EW610,EW620,EW630,EW640,EW650,EW660,EW670,EW680,EW690,EW700,EW710,EW720,EW730,EW740,EW750,EW760,EW770,EW780,EW790,EW800,EW810,EW820,EW830,EW840,EW850,EW860,EW870,EW880,EW890,EW900,EW910,EW920)</f>
        <v>9418.7831268</v>
      </c>
      <c r="EX926" s="237" t="n">
        <f aca="false">SUM(EX50,EX60,EX70,EX80,EX90,EX100,EX110,EX120,EX130,EX140,EX150,EX160,EX170,EX180,EX190,EX200,EX210,EX220,EX230,EX240,EX250,EX260,EX270,EX280,EX290,EX300,EX310,EX320,EX330,EX340,EX350,EX360,EX370,EX380,EX390,EX400,EX410,EX420,EX430,EX440,EX450,EX460,EX470,EX480,EX490,EX500,EX510,EX520,EX530,EX540,EX550,EX560,EX570,EX580,EX590,EX600,EX610,EX620,EX630,EX640,EX650,EX660,EX670,EX680,EX690,EX700,EX710,EX720,EX730,EX740,EX750,EX760,EX770,EX780,EX790,EX800,EX810,EX820,EX830,EX840,EX850,EX860,EX870,EX880,EX890,EX900,EX910,EX920)</f>
        <v>9372.69425216</v>
      </c>
      <c r="EY926" s="237" t="n">
        <f aca="false">SUM(EY50,EY60,EY70,EY80,EY90,EY100,EY110,EY120,EY130,EY140,EY150,EY160,EY170,EY180,EY190,EY200,EY210,EY220,EY230,EY240,EY250,EY260,EY270,EY280,EY290,EY300,EY310,EY320,EY330,EY340,EY350,EY360,EY370,EY380,EY390,EY400,EY410,EY420,EY430,EY440,EY450,EY460,EY470,EY480,EY490,EY500,EY510,EY520,EY530,EY540,EY550,EY560,EY570,EY580,EY590,EY600,EY610,EY620,EY630,EY640,EY650,EY660,EY670,EY680,EY690,EY700,EY710,EY720,EY730,EY740,EY750,EY760,EY770,EY780,EY790,EY800,EY810,EY820,EY830,EY840,EY850,EY860,EY870,EY880,EY890,EY900,EY910,EY920)</f>
        <v>9298.82578176</v>
      </c>
      <c r="EZ926" s="237" t="n">
        <f aca="false">SUM(EZ50,EZ60,EZ70,EZ80,EZ90,EZ100,EZ110,EZ120,EZ130,EZ140,EZ150,EZ160,EZ170,EZ180,EZ190,EZ200,EZ210,EZ220,EZ230,EZ240,EZ250,EZ260,EZ270,EZ280,EZ290,EZ300,EZ310,EZ320,EZ330,EZ340,EZ350,EZ360,EZ370,EZ380,EZ390,EZ400,EZ410,EZ420,EZ430,EZ440,EZ450,EZ460,EZ470,EZ480,EZ490,EZ500,EZ510,EZ520,EZ530,EZ540,EZ550,EZ560,EZ570,EZ580,EZ590,EZ600,EZ610,EZ620,EZ630,EZ640,EZ650,EZ660,EZ670,EZ680,EZ690,EZ700,EZ710,EZ720,EZ730,EZ740,EZ750,EZ760,EZ770,EZ780,EZ790,EZ800,EZ810,EZ820,EZ830,EZ840,EZ850,EZ860,EZ870,EZ880,EZ890,EZ900,EZ910,EZ920)</f>
        <v>9576.59477152</v>
      </c>
      <c r="FA926" s="237" t="n">
        <f aca="false">SUM(FA50,FA60,FA70,FA80,FA90,FA100,FA110,FA120,FA130,FA140,FA150,FA160,FA170,FA180,FA190,FA200,FA210,FA220,FA230,FA240,FA250,FA260,FA270,FA280,FA290,FA300,FA310,FA320,FA330,FA340,FA350,FA360,FA370,FA380,FA390,FA400,FA410,FA420,FA430,FA440,FA450,FA460,FA470,FA480,FA490,FA500,FA510,FA520,FA530,FA540,FA550,FA560,FA570,FA580,FA590,FA600,FA610,FA620,FA630,FA640,FA650,FA660,FA670,FA680,FA690,FA700,FA710,FA720,FA730,FA740,FA750,FA760,FA770,FA780,FA790,FA800,FA810,FA820,FA830,FA840,FA850,FA860,FA870,FA880,FA890,FA900,FA910,FA920)</f>
        <v>10442.48975996</v>
      </c>
      <c r="FB926" s="237" t="n">
        <f aca="false">SUM(FB50,FB60,FB70,FB80,FB90,FB100,FB110,FB120,FB130,FB140,FB150,FB160,FB170,FB180,FB190,FB200,FB210,FB220,FB230,FB240,FB250,FB260,FB270,FB280,FB290,FB300,FB310,FB320,FB330,FB340,FB350,FB360,FB370,FB380,FB390,FB400,FB410,FB420,FB430,FB440,FB450,FB460,FB470,FB480,FB490,FB500,FB510,FB520,FB530,FB540,FB550,FB560,FB570,FB580,FB590,FB600,FB610,FB620,FB630,FB640,FB650,FB660,FB670,FB680,FB690,FB700,FB710,FB720,FB730,FB740,FB750,FB760,FB770,FB780,FB790,FB800,FB810,FB820,FB830,FB840,FB850,FB860,FB870,FB880,FB890,FB900,FB910,FB920)</f>
        <v>10303.9340874</v>
      </c>
      <c r="FC926" s="237" t="n">
        <f aca="false">SUM(FC50,FC60,FC70,FC80,FC90,FC100,FC110,FC120,FC130,FC140,FC150,FC160,FC170,FC180,FC190,FC200,FC210,FC220,FC230,FC240,FC250,FC260,FC270,FC280,FC290,FC300,FC310,FC320,FC330,FC340,FC350,FC360,FC370,FC380,FC390,FC400,FC410,FC420,FC430,FC440,FC450,FC460,FC470,FC480,FC490,FC500,FC510,FC520,FC530,FC540,FC550,FC560,FC570,FC580,FC590,FC600,FC610,FC620,FC630,FC640,FC650,FC660,FC670,FC680,FC690,FC700,FC710,FC720,FC730,FC740,FC750,FC760,FC770,FC780,FC790,FC800,FC810,FC820,FC830,FC840,FC850,FC860,FC870,FC880,FC890,FC900,FC910,FC920)</f>
        <v>10136.571969</v>
      </c>
      <c r="FD926" s="237" t="n">
        <f aca="false">SUM(FD50,FD60,FD70,FD80,FD90,FD100,FD110,FD120,FD130,FD140,FD150,FD160,FD170,FD180,FD190,FD200,FD210,FD220,FD230,FD240,FD250,FD260,FD270,FD280,FD290,FD300,FD310,FD320,FD330,FD340,FD350,FD360,FD370,FD380,FD390,FD400,FD410,FD420,FD430,FD440,FD450,FD460,FD470,FD480,FD490,FD500,FD510,FD520,FD530,FD540,FD550,FD560,FD570,FD580,FD590,FD600,FD610,FD620,FD630,FD640,FD650,FD660,FD670,FD680,FD690,FD700,FD710,FD720,FD730,FD740,FD750,FD760,FD770,FD780,FD790,FD800,FD810,FD820,FD830,FD840,FD850,FD860,FD870,FD880,FD890,FD900,FD910,FD920)</f>
        <v>9896.47822972</v>
      </c>
      <c r="FE926" s="237" t="n">
        <f aca="false">SUM(FE50,FE60,FE70,FE80,FE90,FE100,FE110,FE120,FE130,FE140,FE150,FE160,FE170,FE180,FE190,FE200,FE210,FE220,FE230,FE240,FE250,FE260,FE270,FE280,FE290,FE300,FE310,FE320,FE330,FE340,FE350,FE360,FE370,FE380,FE390,FE400,FE410,FE420,FE430,FE440,FE450,FE460,FE470,FE480,FE490,FE500,FE510,FE520,FE530,FE540,FE550,FE560,FE570,FE580,FE590,FE600,FE610,FE620,FE630,FE640,FE650,FE660,FE670,FE680,FE690,FE700,FE710,FE720,FE730,FE740,FE750,FE760,FE770,FE780,FE790,FE800,FE810,FE820,FE830,FE840,FE850,FE860,FE870,FE880,FE890,FE900,FE910,FE920)</f>
        <v>10552.17632208</v>
      </c>
      <c r="FF926" s="237" t="n">
        <f aca="false">SUM(FF50,FF60,FF70,FF80,FF90,FF100,FF110,FF120,FF130,FF140,FF150,FF160,FF170,FF180,FF190,FF200,FF210,FF220,FF230,FF240,FF250,FF260,FF270,FF280,FF290,FF300,FF310,FF320,FF330,FF340,FF350,FF360,FF370,FF380,FF390,FF400,FF410,FF420,FF430,FF440,FF450,FF460,FF470,FF480,FF490,FF500,FF510,FF520,FF530,FF540,FF550,FF560,FF570,FF580,FF590,FF600,FF610,FF620,FF630,FF640,FF650,FF660,FF670,FF680,FF690,FF700,FF710,FF720,FF730,FF740,FF750,FF760,FF770,FF780,FF790,FF800,FF810,FF820,FF830,FF840,FF850,FF860,FF870,FF880,FF890,FF900,FF910,FF920)</f>
        <v>10729.32837968</v>
      </c>
      <c r="FG926" s="237" t="n">
        <f aca="false">SUM(FG50,FG60,FG70,FG80,FG90,FG100,FG110,FG120,FG130,FG140,FG150,FG160,FG170,FG180,FG190,FG200,FG210,FG220,FG230,FG240,FG250,FG260,FG270,FG280,FG290,FG300,FG310,FG320,FG330,FG340,FG350,FG360,FG370,FG380,FG390,FG400,FG410,FG420,FG430,FG440,FG450,FG460,FG470,FG480,FG490,FG500,FG510,FG520,FG530,FG540,FG550,FG560,FG570,FG580,FG590,FG600,FG610,FG620,FG630,FG640,FG650,FG660,FG670,FG680,FG690,FG700,FG710,FG720,FG730,FG740,FG750,FG760,FG770,FG780,FG790,FG800,FG810,FG820,FG830,FG840,FG850,FG860,FG870,FG880,FG890,FG900,FG910,FG920)</f>
        <v>10627.0857444</v>
      </c>
      <c r="FH926" s="237" t="n">
        <f aca="false">SUM(FH50,FH60,FH70,FH80,FH90,FH100,FH110,FH120,FH130,FH140,FH150,FH160,FH170,FH180,FH190,FH200,FH210,FH220,FH230,FH240,FH250,FH260,FH270,FH280,FH290,FH300,FH310,FH320,FH330,FH340,FH350,FH360,FH370,FH380,FH390,FH400,FH410,FH420,FH430,FH440,FH450,FH460,FH470,FH480,FH490,FH500,FH510,FH520,FH530,FH540,FH550,FH560,FH570,FH580,FH590,FH600,FH610,FH620,FH630,FH640,FH650,FH660,FH670,FH680,FH690,FH700,FH710,FH720,FH730,FH740,FH750,FH760,FH770,FH780,FH790,FH800,FH810,FH820,FH830,FH840,FH850,FH860,FH870,FH880,FH890,FH900,FH910,FH920)</f>
        <v>11196.09952856</v>
      </c>
      <c r="FI926" s="237" t="n">
        <f aca="false">SUM(FI50,FI60,FI70,FI80,FI90,FI100,FI110,FI120,FI130,FI140,FI150,FI160,FI170,FI180,FI190,FI200,FI210,FI220,FI230,FI240,FI250,FI260,FI270,FI280,FI290,FI300,FI310,FI320,FI330,FI340,FI350,FI360,FI370,FI380,FI390,FI400,FI410,FI420,FI430,FI440,FI450,FI460,FI470,FI480,FI490,FI500,FI510,FI520,FI530,FI540,FI550,FI560,FI570,FI580,FI590,FI600,FI610,FI620,FI630,FI640,FI650,FI660,FI670,FI680,FI690,FI700,FI710,FI720,FI730,FI740,FI750,FI760,FI770,FI780,FI790,FI800,FI810,FI820,FI830,FI840,FI850,FI860,FI870,FI880,FI890,FI900,FI910,FI920)</f>
        <v>11254.33252688</v>
      </c>
      <c r="FJ926" s="237" t="n">
        <f aca="false">SUM(FJ50,FJ60,FJ70,FJ80,FJ90,FJ100,FJ110,FJ120,FJ130,FJ140,FJ150,FJ160,FJ170,FJ180,FJ190,FJ200,FJ210,FJ220,FJ230,FJ240,FJ250,FJ260,FJ270,FJ280,FJ290,FJ300,FJ310,FJ320,FJ330,FJ340,FJ350,FJ360,FJ370,FJ380,FJ390,FJ400,FJ410,FJ420,FJ430,FJ440,FJ450,FJ460,FJ470,FJ480,FJ490,FJ500,FJ510,FJ520,FJ530,FJ540,FJ550,FJ560,FJ570,FJ580,FJ590,FJ600,FJ610,FJ620,FJ630,FJ640,FJ650,FJ660,FJ670,FJ680,FJ690,FJ700,FJ710,FJ720,FJ730,FJ740,FJ750,FJ760,FJ770,FJ780,FJ790,FJ800,FJ810,FJ820,FJ830,FJ840,FJ850,FJ860,FJ870,FJ880,FJ890,FJ900,FJ910,FJ920)</f>
        <v>11193.62539712</v>
      </c>
      <c r="FK926" s="237" t="n">
        <f aca="false">SUM(FK50,FK60,FK70,FK80,FK90,FK100,FK110,FK120,FK130,FK140,FK150,FK160,FK170,FK180,FK190,FK200,FK210,FK220,FK230,FK240,FK250,FK260,FK270,FK280,FK290,FK300,FK310,FK320,FK330,FK340,FK350,FK360,FK370,FK380,FK390,FK400,FK410,FK420,FK430,FK440,FK450,FK460,FK470,FK480,FK490,FK500,FK510,FK520,FK530,FK540,FK550,FK560,FK570,FK580,FK590,FK600,FK610,FK620,FK630,FK640,FK650,FK660,FK670,FK680,FK690,FK700,FK710,FK720,FK730,FK740,FK750,FK760,FK770,FK780,FK790,FK800,FK810,FK820,FK830,FK840,FK850,FK860,FK870,FK880,FK890,FK900,FK910,FK920)</f>
        <v>11097.6019848</v>
      </c>
      <c r="FL926" s="237" t="n">
        <f aca="false">SUM(FL50,FL60,FL70,FL80,FL90,FL100,FL110,FL120,FL130,FL140,FL150,FL160,FL170,FL180,FL190,FL200,FL210,FL220,FL230,FL240,FL250,FL260,FL270,FL280,FL290,FL300,FL310,FL320,FL330,FL340,FL350,FL360,FL370,FL380,FL390,FL400,FL410,FL420,FL430,FL440,FL450,FL460,FL470,FL480,FL490,FL500,FL510,FL520,FL530,FL540,FL550,FL560,FL570,FL580,FL590,FL600,FL610,FL620,FL630,FL640,FL650,FL660,FL670,FL680,FL690,FL700,FL710,FL720,FL730,FL740,FL750,FL760,FL770,FL780,FL790,FL800,FL810,FL820,FL830,FL840,FL850,FL860,FL870,FL880,FL890,FL900,FL910,FL920)</f>
        <v>11425.1419444</v>
      </c>
      <c r="FM926" s="237" t="n">
        <f aca="false">SUM(FM50,FM60,FM70,FM80,FM90,FM100,FM110,FM120,FM130,FM140,FM150,FM160,FM170,FM180,FM190,FM200,FM210,FM220,FM230,FM240,FM250,FM260,FM270,FM280,FM290,FM300,FM310,FM320,FM330,FM340,FM350,FM360,FM370,FM380,FM390,FM400,FM410,FM420,FM430,FM440,FM450,FM460,FM470,FM480,FM490,FM500,FM510,FM520,FM530,FM540,FM550,FM560,FM570,FM580,FM590,FM600,FM610,FM620,FM630,FM640,FM650,FM660,FM670,FM680,FM690,FM700,FM710,FM720,FM730,FM740,FM750,FM760,FM770,FM780,FM790,FM800,FM810,FM820,FM830,FM840,FM850,FM860,FM870,FM880,FM890,FM900,FM910,FM920)</f>
        <v>12447.52052112</v>
      </c>
      <c r="FN926" s="237" t="n">
        <f aca="false">SUM(FN50,FN60,FN70,FN80,FN90,FN100,FN110,FN120,FN130,FN140,FN150,FN160,FN170,FN180,FN190,FN200,FN210,FN220,FN230,FN240,FN250,FN260,FN270,FN280,FN290,FN300,FN310,FN320,FN330,FN340,FN350,FN360,FN370,FN380,FN390,FN400,FN410,FN420,FN430,FN440,FN450,FN460,FN470,FN480,FN490,FN500,FN510,FN520,FN530,FN540,FN550,FN560,FN570,FN580,FN590,FN600,FN610,FN620,FN630,FN640,FN650,FN660,FN670,FN680,FN690,FN700,FN710,FN720,FN730,FN740,FN750,FN760,FN770,FN780,FN790,FN800,FN810,FN820,FN830,FN840,FN850,FN860,FN870,FN880,FN890,FN900,FN910,FN920)</f>
        <v>12280.74482496</v>
      </c>
      <c r="FO926" s="237" t="n">
        <f aca="false">SUM(FO50,FO60,FO70,FO80,FO90,FO100,FO110,FO120,FO130,FO140,FO150,FO160,FO170,FO180,FO190,FO200,FO210,FO220,FO230,FO240,FO250,FO260,FO270,FO280,FO290,FO300,FO310,FO320,FO330,FO340,FO350,FO360,FO370,FO380,FO390,FO400,FO410,FO420,FO430,FO440,FO450,FO460,FO470,FO480,FO490,FO500,FO510,FO520,FO530,FO540,FO550,FO560,FO570,FO580,FO590,FO600,FO610,FO620,FO630,FO640,FO650,FO660,FO670,FO680,FO690,FO700,FO710,FO720,FO730,FO740,FO750,FO760,FO770,FO780,FO790,FO800,FO810,FO820,FO830,FO840,FO850,FO860,FO870,FO880,FO890,FO900,FO910,FO920)</f>
        <v>12080.48346176</v>
      </c>
      <c r="FP926" s="237" t="n">
        <f aca="false">SUM(FP50,FP60,FP70,FP80,FP90,FP100,FP110,FP120,FP130,FP140,FP150,FP160,FP170,FP180,FP190,FP200,FP210,FP220,FP230,FP240,FP250,FP260,FP270,FP280,FP290,FP300,FP310,FP320,FP330,FP340,FP350,FP360,FP370,FP380,FP390,FP400,FP410,FP420,FP430,FP440,FP450,FP460,FP470,FP480,FP490,FP500,FP510,FP520,FP530,FP540,FP550,FP560,FP570,FP580,FP590,FP600,FP610,FP620,FP630,FP640,FP650,FP660,FP670,FP680,FP690,FP700,FP710,FP720,FP730,FP740,FP750,FP760,FP770,FP780,FP790,FP800,FP810,FP820,FP830,FP840,FP850,FP860,FP870,FP880,FP890,FP900,FP910,FP920)</f>
        <v>11795.2373808</v>
      </c>
    </row>
    <row r="927" customFormat="false" ht="15" hidden="false" customHeight="false" outlineLevel="0" collapsed="false">
      <c r="B927" s="243"/>
      <c r="C927" s="185"/>
      <c r="D927" s="185"/>
      <c r="E927" s="185"/>
      <c r="F927" s="185"/>
      <c r="G927" s="185"/>
      <c r="H927" s="185"/>
      <c r="I927" s="185"/>
      <c r="J927" s="185"/>
      <c r="K927" s="185"/>
      <c r="L927" s="185"/>
      <c r="M927" s="185"/>
      <c r="N927" s="185"/>
      <c r="O927" s="185"/>
      <c r="P927" s="185"/>
      <c r="Q927" s="185"/>
      <c r="R927" s="185"/>
      <c r="S927" s="185"/>
      <c r="T927" s="185"/>
      <c r="U927" s="185"/>
      <c r="V927" s="185"/>
      <c r="W927" s="185"/>
      <c r="X927" s="185"/>
      <c r="Y927" s="185"/>
      <c r="Z927" s="185"/>
      <c r="AA927" s="185"/>
      <c r="AB927" s="185"/>
      <c r="AC927" s="244"/>
      <c r="AD927" s="244"/>
      <c r="AE927" s="244"/>
      <c r="AF927" s="244"/>
      <c r="AG927" s="244"/>
      <c r="AH927" s="244"/>
      <c r="AI927" s="244"/>
      <c r="AJ927" s="244"/>
      <c r="AK927" s="244"/>
      <c r="AL927" s="244"/>
      <c r="AM927" s="244"/>
      <c r="AN927" s="244"/>
      <c r="AO927" s="244"/>
      <c r="AP927" s="244"/>
      <c r="AQ927" s="244"/>
      <c r="AR927" s="244"/>
      <c r="AS927" s="244"/>
      <c r="AT927" s="244"/>
      <c r="AU927" s="244"/>
      <c r="AV927" s="244"/>
      <c r="AW927" s="244"/>
      <c r="AX927" s="244"/>
      <c r="AY927" s="244"/>
      <c r="AZ927" s="244"/>
      <c r="BA927" s="244"/>
      <c r="BB927" s="244"/>
      <c r="BC927" s="244"/>
      <c r="BD927" s="244"/>
      <c r="BE927" s="244"/>
      <c r="BF927" s="244"/>
      <c r="BG927" s="244"/>
      <c r="BH927" s="244"/>
      <c r="BI927" s="244"/>
      <c r="BJ927" s="244"/>
      <c r="BK927" s="244"/>
      <c r="BL927" s="244"/>
      <c r="BM927" s="244"/>
      <c r="BN927" s="244"/>
      <c r="BO927" s="244"/>
      <c r="BP927" s="244"/>
      <c r="BQ927" s="244"/>
      <c r="BR927" s="244"/>
      <c r="BS927" s="244"/>
      <c r="BT927" s="244"/>
      <c r="BU927" s="244"/>
      <c r="BV927" s="244"/>
      <c r="BW927" s="244"/>
      <c r="BX927" s="244"/>
      <c r="BY927" s="244"/>
      <c r="BZ927" s="244"/>
      <c r="CA927" s="244"/>
      <c r="CB927" s="244"/>
      <c r="CC927" s="244"/>
      <c r="CD927" s="244"/>
      <c r="CE927" s="244"/>
      <c r="CF927" s="244"/>
      <c r="CG927" s="244"/>
      <c r="CH927" s="244"/>
      <c r="CI927" s="244"/>
      <c r="CJ927" s="244"/>
      <c r="CK927" s="244"/>
      <c r="CL927" s="244"/>
      <c r="CM927" s="244"/>
      <c r="CN927" s="244"/>
      <c r="CO927" s="244"/>
      <c r="CP927" s="244"/>
      <c r="CQ927" s="244"/>
      <c r="CR927" s="244"/>
      <c r="CS927" s="244"/>
      <c r="CT927" s="244"/>
      <c r="CU927" s="244"/>
      <c r="CV927" s="244"/>
      <c r="CW927" s="244"/>
      <c r="CX927" s="244"/>
      <c r="CY927" s="244"/>
      <c r="CZ927" s="244"/>
      <c r="DA927" s="244"/>
      <c r="DB927" s="244"/>
      <c r="DC927" s="244"/>
      <c r="DD927" s="244"/>
      <c r="DE927" s="244"/>
      <c r="DF927" s="244"/>
      <c r="DG927" s="244"/>
      <c r="DH927" s="244"/>
      <c r="DI927" s="244"/>
      <c r="DJ927" s="244"/>
      <c r="DK927" s="244"/>
      <c r="DL927" s="244"/>
      <c r="DM927" s="244"/>
      <c r="DN927" s="244"/>
      <c r="DO927" s="244"/>
      <c r="DP927" s="244"/>
      <c r="DQ927" s="244"/>
      <c r="DR927" s="244"/>
      <c r="DS927" s="244"/>
      <c r="DT927" s="244"/>
      <c r="DU927" s="244"/>
      <c r="DV927" s="244"/>
      <c r="DW927" s="244"/>
      <c r="DX927" s="244"/>
      <c r="DY927" s="244"/>
      <c r="DZ927" s="244"/>
      <c r="EA927" s="244"/>
      <c r="EB927" s="244"/>
      <c r="EC927" s="244"/>
      <c r="ED927" s="244"/>
      <c r="EE927" s="244"/>
      <c r="EF927" s="244"/>
      <c r="EG927" s="244"/>
      <c r="EH927" s="244"/>
      <c r="EI927" s="244"/>
      <c r="EJ927" s="244"/>
      <c r="EK927" s="244"/>
      <c r="EL927" s="244"/>
      <c r="EM927" s="244"/>
      <c r="EN927" s="244"/>
      <c r="EO927" s="244"/>
      <c r="EP927" s="244"/>
      <c r="EQ927" s="244"/>
      <c r="ER927" s="244"/>
      <c r="ES927" s="9"/>
      <c r="ET927" s="9"/>
      <c r="EU927" s="9"/>
      <c r="EV927" s="9"/>
      <c r="EW927" s="9"/>
      <c r="EX927" s="9"/>
      <c r="EY927" s="9"/>
      <c r="EZ927" s="9"/>
      <c r="FA927" s="9"/>
      <c r="FB927" s="9"/>
      <c r="FC927" s="9"/>
      <c r="FD927" s="9"/>
      <c r="FE927" s="9"/>
      <c r="FF927" s="9"/>
      <c r="FG927" s="9"/>
      <c r="FH927" s="9"/>
      <c r="FI927" s="9"/>
      <c r="FJ927" s="9"/>
      <c r="FK927" s="9"/>
      <c r="FL927" s="9"/>
      <c r="FM927" s="9"/>
      <c r="FN927" s="9"/>
      <c r="FO927" s="9"/>
      <c r="FP927" s="9"/>
    </row>
    <row r="928" customFormat="false" ht="15" hidden="false" customHeight="false" outlineLevel="0" collapsed="false">
      <c r="B928" s="245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49"/>
      <c r="AD928" s="49"/>
      <c r="AE928" s="49"/>
      <c r="AF928" s="49"/>
      <c r="AG928" s="49"/>
      <c r="AH928" s="49"/>
      <c r="AI928" s="49"/>
      <c r="AJ928" s="49"/>
      <c r="AK928" s="49"/>
      <c r="AL928" s="49"/>
      <c r="AM928" s="49"/>
      <c r="AN928" s="49"/>
      <c r="AO928" s="49"/>
      <c r="AP928" s="49"/>
      <c r="AQ928" s="49"/>
      <c r="AR928" s="49"/>
      <c r="AS928" s="49"/>
      <c r="AT928" s="49"/>
      <c r="AU928" s="49"/>
      <c r="AV928" s="49"/>
      <c r="AW928" s="49"/>
      <c r="AX928" s="49"/>
      <c r="AY928" s="49"/>
      <c r="AZ928" s="49"/>
      <c r="BA928" s="49"/>
      <c r="BB928" s="49"/>
      <c r="BC928" s="49"/>
      <c r="BD928" s="49"/>
      <c r="BE928" s="49"/>
      <c r="BF928" s="49"/>
      <c r="BG928" s="49"/>
      <c r="BH928" s="49"/>
      <c r="BI928" s="49"/>
      <c r="BJ928" s="49"/>
      <c r="BK928" s="49"/>
      <c r="BL928" s="49"/>
      <c r="BM928" s="49"/>
      <c r="BN928" s="49"/>
      <c r="BO928" s="49"/>
      <c r="BP928" s="49"/>
      <c r="BQ928" s="49"/>
      <c r="BR928" s="49"/>
      <c r="BS928" s="49"/>
      <c r="BT928" s="49"/>
      <c r="BU928" s="49"/>
      <c r="BV928" s="49"/>
      <c r="BW928" s="49"/>
      <c r="BX928" s="49"/>
      <c r="BY928" s="49"/>
      <c r="BZ928" s="49"/>
      <c r="CA928" s="49"/>
      <c r="CB928" s="49"/>
      <c r="CC928" s="49"/>
      <c r="CD928" s="49"/>
      <c r="CE928" s="49"/>
      <c r="CF928" s="49"/>
      <c r="CG928" s="49"/>
      <c r="CH928" s="49"/>
      <c r="CI928" s="49"/>
      <c r="CJ928" s="49"/>
      <c r="CK928" s="49"/>
      <c r="CL928" s="49"/>
      <c r="CM928" s="49"/>
      <c r="CN928" s="49"/>
      <c r="CO928" s="49"/>
      <c r="CP928" s="49"/>
      <c r="CQ928" s="49"/>
      <c r="CR928" s="49"/>
      <c r="CS928" s="49"/>
      <c r="CT928" s="49"/>
      <c r="CU928" s="49"/>
      <c r="CV928" s="49"/>
      <c r="CW928" s="49"/>
      <c r="CX928" s="49"/>
      <c r="CY928" s="49"/>
      <c r="CZ928" s="49"/>
      <c r="DA928" s="49"/>
      <c r="DB928" s="49"/>
      <c r="DC928" s="49"/>
      <c r="DD928" s="49"/>
      <c r="DE928" s="49"/>
      <c r="DF928" s="49"/>
      <c r="DG928" s="49"/>
      <c r="DH928" s="49"/>
      <c r="DI928" s="49"/>
      <c r="DJ928" s="49"/>
      <c r="DK928" s="49"/>
      <c r="DL928" s="49"/>
      <c r="DM928" s="49"/>
      <c r="DN928" s="49"/>
      <c r="DO928" s="49"/>
      <c r="DP928" s="49"/>
      <c r="DQ928" s="49"/>
      <c r="DR928" s="49"/>
      <c r="DS928" s="49"/>
      <c r="DT928" s="49"/>
      <c r="DU928" s="49"/>
      <c r="DV928" s="49"/>
      <c r="DW928" s="49"/>
      <c r="DX928" s="49"/>
      <c r="DY928" s="49"/>
      <c r="DZ928" s="49"/>
      <c r="EA928" s="49"/>
      <c r="EB928" s="49"/>
      <c r="EC928" s="49"/>
      <c r="ED928" s="49"/>
      <c r="EE928" s="49"/>
      <c r="EF928" s="49"/>
      <c r="EG928" s="49"/>
      <c r="EH928" s="49"/>
      <c r="EI928" s="49"/>
      <c r="EJ928" s="49"/>
      <c r="EK928" s="49"/>
      <c r="EL928" s="49"/>
      <c r="EM928" s="49"/>
      <c r="EN928" s="49"/>
      <c r="EO928" s="49"/>
      <c r="EP928" s="49"/>
      <c r="EQ928" s="49"/>
      <c r="ER928" s="49"/>
      <c r="ES928" s="9"/>
      <c r="ET928" s="9"/>
      <c r="EU928" s="9"/>
      <c r="EV928" s="9"/>
      <c r="EW928" s="9"/>
      <c r="EX928" s="9"/>
      <c r="EY928" s="9"/>
      <c r="EZ928" s="9"/>
      <c r="FA928" s="9"/>
      <c r="FB928" s="9"/>
      <c r="FC928" s="9"/>
      <c r="FD928" s="9"/>
      <c r="FE928" s="9"/>
      <c r="FF928" s="9"/>
      <c r="FG928" s="9"/>
      <c r="FH928" s="9"/>
      <c r="FI928" s="9"/>
      <c r="FJ928" s="9"/>
      <c r="FK928" s="9"/>
      <c r="FL928" s="9"/>
      <c r="FM928" s="9"/>
      <c r="FN928" s="9"/>
      <c r="FO928" s="9"/>
      <c r="FP928" s="9"/>
    </row>
    <row r="929" customFormat="false" ht="15" hidden="false" customHeight="false" outlineLevel="0" collapsed="false">
      <c r="B929" s="112"/>
      <c r="C929" s="112"/>
      <c r="D929" s="112"/>
      <c r="E929" s="112"/>
      <c r="F929" s="112"/>
      <c r="G929" s="112"/>
      <c r="H929" s="112"/>
      <c r="I929" s="112"/>
      <c r="J929" s="112"/>
      <c r="K929" s="112"/>
      <c r="L929" s="112"/>
      <c r="M929" s="112"/>
      <c r="N929" s="112"/>
      <c r="O929" s="112"/>
      <c r="P929" s="112"/>
      <c r="Q929" s="112"/>
      <c r="R929" s="112"/>
      <c r="S929" s="112"/>
      <c r="T929" s="112"/>
      <c r="U929" s="112"/>
      <c r="V929" s="112"/>
      <c r="W929" s="112"/>
      <c r="X929" s="112"/>
      <c r="Y929" s="112"/>
      <c r="Z929" s="112"/>
      <c r="AA929" s="112"/>
      <c r="AB929" s="112"/>
      <c r="AC929" s="246"/>
      <c r="AD929" s="246"/>
      <c r="AE929" s="246"/>
      <c r="AF929" s="246"/>
      <c r="AG929" s="246"/>
      <c r="AH929" s="246"/>
      <c r="AI929" s="246"/>
      <c r="AJ929" s="246"/>
      <c r="AK929" s="246"/>
      <c r="AL929" s="246"/>
      <c r="AM929" s="246"/>
      <c r="AN929" s="246"/>
      <c r="AO929" s="246"/>
      <c r="AP929" s="246"/>
      <c r="AQ929" s="246"/>
      <c r="AR929" s="246"/>
      <c r="AS929" s="246"/>
      <c r="AT929" s="246"/>
      <c r="AU929" s="246"/>
      <c r="AV929" s="246"/>
      <c r="AW929" s="246"/>
      <c r="AX929" s="246"/>
      <c r="AY929" s="246"/>
      <c r="AZ929" s="246"/>
      <c r="BA929" s="246"/>
      <c r="BB929" s="246"/>
      <c r="BC929" s="246"/>
      <c r="BD929" s="246"/>
      <c r="BE929" s="246"/>
      <c r="BF929" s="246"/>
      <c r="BG929" s="246"/>
      <c r="BH929" s="246"/>
      <c r="BI929" s="246"/>
      <c r="BJ929" s="246"/>
      <c r="BK929" s="246"/>
      <c r="BL929" s="246"/>
      <c r="BM929" s="246"/>
      <c r="BN929" s="246"/>
      <c r="BO929" s="246"/>
      <c r="BP929" s="246"/>
      <c r="BQ929" s="246"/>
      <c r="BR929" s="246"/>
      <c r="BS929" s="246"/>
      <c r="BT929" s="246"/>
      <c r="BU929" s="246"/>
      <c r="BV929" s="246"/>
      <c r="BW929" s="246"/>
      <c r="BX929" s="246"/>
      <c r="BY929" s="246"/>
      <c r="BZ929" s="246"/>
      <c r="CA929" s="246"/>
      <c r="CB929" s="246"/>
      <c r="CC929" s="246"/>
      <c r="CD929" s="246"/>
      <c r="CE929" s="246"/>
      <c r="CF929" s="246"/>
      <c r="CG929" s="246"/>
      <c r="CH929" s="246"/>
      <c r="CI929" s="246"/>
      <c r="CJ929" s="246"/>
      <c r="CK929" s="246"/>
      <c r="CL929" s="246"/>
      <c r="CM929" s="246"/>
      <c r="CN929" s="246"/>
      <c r="CO929" s="246"/>
      <c r="CP929" s="246"/>
      <c r="CQ929" s="246"/>
      <c r="CR929" s="246"/>
      <c r="CS929" s="246"/>
      <c r="CT929" s="246"/>
      <c r="CU929" s="246"/>
      <c r="CV929" s="246"/>
      <c r="CW929" s="246"/>
      <c r="CX929" s="246"/>
      <c r="CY929" s="246"/>
      <c r="CZ929" s="246"/>
      <c r="DA929" s="246"/>
      <c r="DB929" s="246"/>
      <c r="DC929" s="246"/>
      <c r="DD929" s="246"/>
      <c r="DE929" s="246"/>
      <c r="DF929" s="246"/>
      <c r="DG929" s="246"/>
      <c r="DH929" s="246"/>
      <c r="DI929" s="246"/>
      <c r="DJ929" s="246"/>
      <c r="DK929" s="246"/>
      <c r="DL929" s="246"/>
      <c r="DM929" s="246"/>
      <c r="DN929" s="246"/>
      <c r="DO929" s="246"/>
      <c r="DP929" s="246"/>
      <c r="DQ929" s="246"/>
      <c r="DR929" s="246"/>
      <c r="DS929" s="246"/>
      <c r="DT929" s="246"/>
      <c r="DU929" s="246"/>
      <c r="DV929" s="246"/>
      <c r="DW929" s="246"/>
      <c r="DX929" s="246"/>
      <c r="DY929" s="246"/>
      <c r="DZ929" s="246"/>
      <c r="EA929" s="246"/>
      <c r="EB929" s="246"/>
      <c r="EC929" s="246"/>
      <c r="ED929" s="246"/>
      <c r="EE929" s="246"/>
      <c r="EF929" s="246"/>
      <c r="EG929" s="246"/>
      <c r="EH929" s="246"/>
      <c r="EI929" s="246"/>
      <c r="EJ929" s="246"/>
      <c r="EK929" s="246"/>
      <c r="EL929" s="246"/>
      <c r="EM929" s="246"/>
      <c r="EN929" s="246"/>
      <c r="EO929" s="246"/>
      <c r="EP929" s="246"/>
      <c r="EQ929" s="246"/>
      <c r="ER929" s="246"/>
      <c r="ES929" s="9"/>
      <c r="ET929" s="9"/>
      <c r="EU929" s="9"/>
      <c r="EV929" s="9"/>
      <c r="EW929" s="9"/>
      <c r="EX929" s="9"/>
      <c r="EY929" s="9"/>
      <c r="EZ929" s="9"/>
      <c r="FA929" s="9"/>
      <c r="FB929" s="9"/>
      <c r="FC929" s="9"/>
      <c r="FD929" s="9"/>
      <c r="FE929" s="9"/>
      <c r="FF929" s="9"/>
      <c r="FG929" s="9"/>
      <c r="FH929" s="9"/>
      <c r="FI929" s="9"/>
      <c r="FJ929" s="9"/>
      <c r="FK929" s="9"/>
      <c r="FL929" s="9"/>
      <c r="FM929" s="9"/>
      <c r="FN929" s="9"/>
      <c r="FO929" s="9"/>
      <c r="FP929" s="9"/>
    </row>
    <row r="930" customFormat="false" ht="15" hidden="false" customHeight="false" outlineLevel="0" collapsed="false">
      <c r="B930" s="112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63"/>
      <c r="AD930" s="63"/>
      <c r="AE930" s="63"/>
      <c r="AF930" s="63"/>
      <c r="AG930" s="63"/>
      <c r="AH930" s="63"/>
      <c r="AI930" s="63"/>
      <c r="AJ930" s="63"/>
      <c r="AK930" s="63"/>
      <c r="AL930" s="63"/>
      <c r="AM930" s="63"/>
      <c r="AN930" s="63"/>
      <c r="AO930" s="63"/>
      <c r="AP930" s="63"/>
      <c r="AQ930" s="63"/>
      <c r="AR930" s="63"/>
      <c r="AS930" s="63"/>
      <c r="AT930" s="63"/>
      <c r="AU930" s="63"/>
      <c r="AV930" s="63"/>
      <c r="AW930" s="63"/>
      <c r="AX930" s="63"/>
      <c r="AY930" s="63"/>
      <c r="AZ930" s="63"/>
      <c r="BA930" s="63"/>
      <c r="BB930" s="63"/>
      <c r="BC930" s="63"/>
      <c r="BD930" s="63"/>
      <c r="BE930" s="63"/>
      <c r="BF930" s="63"/>
      <c r="BG930" s="63"/>
      <c r="BH930" s="63"/>
      <c r="BI930" s="63"/>
      <c r="BJ930" s="63"/>
      <c r="BK930" s="63"/>
      <c r="BL930" s="63"/>
      <c r="BM930" s="63"/>
      <c r="BN930" s="63"/>
      <c r="BO930" s="63"/>
      <c r="BP930" s="63"/>
      <c r="BQ930" s="63"/>
      <c r="BR930" s="63"/>
      <c r="BS930" s="63"/>
      <c r="BT930" s="63"/>
      <c r="BU930" s="63"/>
      <c r="BV930" s="63"/>
      <c r="BW930" s="63"/>
      <c r="BX930" s="63"/>
      <c r="BY930" s="63"/>
      <c r="BZ930" s="63"/>
      <c r="CA930" s="63"/>
      <c r="CB930" s="63"/>
      <c r="CC930" s="63"/>
      <c r="CD930" s="63"/>
      <c r="CE930" s="63"/>
      <c r="CF930" s="63"/>
      <c r="CG930" s="63"/>
      <c r="CH930" s="63"/>
      <c r="CI930" s="63"/>
      <c r="CJ930" s="63"/>
      <c r="CK930" s="63"/>
      <c r="CL930" s="63"/>
      <c r="CM930" s="63"/>
      <c r="CN930" s="63"/>
      <c r="CO930" s="63"/>
      <c r="CP930" s="63"/>
      <c r="CQ930" s="63"/>
      <c r="CR930" s="63"/>
      <c r="CS930" s="63"/>
      <c r="CT930" s="63"/>
      <c r="CU930" s="63"/>
      <c r="CV930" s="63"/>
      <c r="CW930" s="63"/>
      <c r="CX930" s="63"/>
      <c r="CY930" s="63"/>
      <c r="CZ930" s="63"/>
      <c r="DA930" s="63"/>
      <c r="DB930" s="63"/>
      <c r="DC930" s="63"/>
      <c r="DD930" s="63"/>
      <c r="DE930" s="63"/>
      <c r="DF930" s="63"/>
      <c r="DG930" s="63"/>
      <c r="DH930" s="63"/>
      <c r="DI930" s="63"/>
      <c r="DJ930" s="63"/>
      <c r="DK930" s="63"/>
      <c r="DL930" s="63"/>
      <c r="DM930" s="63"/>
      <c r="DN930" s="63"/>
      <c r="DO930" s="63"/>
      <c r="DP930" s="63"/>
      <c r="DQ930" s="63"/>
      <c r="DR930" s="63"/>
      <c r="DS930" s="63"/>
      <c r="DT930" s="63"/>
      <c r="DU930" s="63"/>
      <c r="DV930" s="63"/>
      <c r="DW930" s="63"/>
      <c r="DX930" s="63"/>
      <c r="DY930" s="63"/>
      <c r="DZ930" s="63"/>
      <c r="EA930" s="63"/>
      <c r="EB930" s="63"/>
      <c r="EC930" s="63"/>
      <c r="ED930" s="63"/>
      <c r="EE930" s="63"/>
      <c r="EF930" s="63"/>
      <c r="EG930" s="63"/>
      <c r="EH930" s="63"/>
      <c r="EI930" s="63"/>
      <c r="EJ930" s="63"/>
      <c r="EK930" s="63"/>
      <c r="EL930" s="63"/>
      <c r="EM930" s="63"/>
      <c r="EN930" s="63"/>
      <c r="EO930" s="63"/>
      <c r="EP930" s="63"/>
      <c r="EQ930" s="63"/>
      <c r="ER930" s="63"/>
      <c r="ES930" s="9"/>
      <c r="ET930" s="9"/>
      <c r="EU930" s="9"/>
      <c r="EV930" s="9"/>
      <c r="EW930" s="9"/>
      <c r="EX930" s="9"/>
      <c r="EY930" s="9"/>
      <c r="EZ930" s="9"/>
      <c r="FA930" s="9"/>
      <c r="FB930" s="9"/>
      <c r="FC930" s="9"/>
      <c r="FD930" s="9"/>
      <c r="FE930" s="9"/>
      <c r="FF930" s="9"/>
      <c r="FG930" s="9"/>
      <c r="FH930" s="9"/>
      <c r="FI930" s="9"/>
      <c r="FJ930" s="9"/>
      <c r="FK930" s="9"/>
      <c r="FL930" s="9"/>
      <c r="FM930" s="9"/>
      <c r="FN930" s="9"/>
      <c r="FO930" s="9"/>
      <c r="FP930" s="9"/>
    </row>
    <row r="931" customFormat="false" ht="15" hidden="false" customHeight="false" outlineLevel="0" collapsed="false">
      <c r="B931" s="62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62"/>
      <c r="AD931" s="62"/>
      <c r="AE931" s="62"/>
      <c r="AF931" s="62"/>
      <c r="AG931" s="62"/>
      <c r="AH931" s="62"/>
      <c r="AI931" s="62"/>
      <c r="AJ931" s="62"/>
      <c r="AK931" s="62"/>
      <c r="AL931" s="62"/>
      <c r="AM931" s="62"/>
      <c r="AN931" s="62"/>
      <c r="AO931" s="62"/>
      <c r="AP931" s="62"/>
      <c r="AQ931" s="62"/>
      <c r="AR931" s="62"/>
      <c r="AS931" s="62"/>
      <c r="AT931" s="62"/>
      <c r="AU931" s="62"/>
      <c r="AV931" s="62"/>
      <c r="AW931" s="62"/>
      <c r="AX931" s="62"/>
      <c r="AY931" s="62"/>
      <c r="AZ931" s="62"/>
      <c r="BA931" s="62"/>
      <c r="BB931" s="62"/>
      <c r="BC931" s="62"/>
      <c r="BD931" s="62"/>
      <c r="BE931" s="62"/>
      <c r="BF931" s="62"/>
      <c r="BG931" s="62"/>
      <c r="BH931" s="62"/>
      <c r="BI931" s="62"/>
      <c r="BJ931" s="62"/>
      <c r="BK931" s="62"/>
      <c r="BL931" s="62"/>
      <c r="BM931" s="62"/>
      <c r="BN931" s="62"/>
      <c r="BO931" s="62"/>
      <c r="BP931" s="62"/>
      <c r="BQ931" s="62"/>
      <c r="BR931" s="62"/>
      <c r="BS931" s="62"/>
      <c r="BT931" s="62"/>
      <c r="BU931" s="62"/>
      <c r="BV931" s="62"/>
      <c r="BW931" s="62"/>
      <c r="BX931" s="62"/>
      <c r="BY931" s="62"/>
      <c r="BZ931" s="62"/>
      <c r="CA931" s="62"/>
      <c r="CB931" s="62"/>
      <c r="CC931" s="62"/>
      <c r="CD931" s="62"/>
      <c r="CE931" s="62"/>
      <c r="CF931" s="62"/>
      <c r="CG931" s="62"/>
      <c r="CH931" s="62"/>
      <c r="CI931" s="62"/>
      <c r="CJ931" s="62"/>
      <c r="CK931" s="62"/>
      <c r="CL931" s="62"/>
      <c r="CM931" s="62"/>
      <c r="CN931" s="62"/>
      <c r="CO931" s="62"/>
      <c r="CP931" s="62"/>
      <c r="CQ931" s="62"/>
      <c r="CR931" s="62"/>
      <c r="CS931" s="62"/>
      <c r="CT931" s="62"/>
      <c r="CU931" s="62"/>
      <c r="CV931" s="62"/>
      <c r="CW931" s="62"/>
      <c r="CX931" s="62"/>
      <c r="CY931" s="62"/>
      <c r="CZ931" s="62"/>
      <c r="DA931" s="62"/>
      <c r="DB931" s="62"/>
      <c r="DC931" s="62"/>
      <c r="DD931" s="62"/>
      <c r="DE931" s="62"/>
      <c r="DF931" s="62"/>
      <c r="DG931" s="62"/>
      <c r="DH931" s="62"/>
      <c r="DI931" s="62"/>
      <c r="DJ931" s="62"/>
      <c r="DK931" s="62"/>
      <c r="DL931" s="62"/>
      <c r="DM931" s="62"/>
      <c r="DN931" s="62"/>
      <c r="DO931" s="62"/>
      <c r="DP931" s="62"/>
      <c r="DQ931" s="62"/>
      <c r="DR931" s="62"/>
      <c r="DS931" s="62"/>
      <c r="DT931" s="62"/>
      <c r="DU931" s="62"/>
      <c r="DV931" s="62"/>
      <c r="DW931" s="62"/>
      <c r="DX931" s="62"/>
      <c r="DY931" s="62"/>
      <c r="DZ931" s="62"/>
      <c r="EA931" s="62"/>
      <c r="EB931" s="62"/>
      <c r="EC931" s="62"/>
      <c r="ED931" s="62"/>
      <c r="EE931" s="62"/>
      <c r="EF931" s="62"/>
      <c r="EG931" s="62"/>
      <c r="EH931" s="62"/>
      <c r="EI931" s="62"/>
      <c r="EJ931" s="62"/>
      <c r="EK931" s="62"/>
      <c r="EL931" s="62"/>
      <c r="EM931" s="62"/>
      <c r="EN931" s="62"/>
      <c r="EO931" s="62"/>
      <c r="EP931" s="62"/>
      <c r="EQ931" s="62"/>
      <c r="ER931" s="62"/>
      <c r="ES931" s="9"/>
      <c r="ET931" s="9"/>
      <c r="EU931" s="9"/>
      <c r="EV931" s="9"/>
      <c r="EW931" s="9"/>
      <c r="EX931" s="9"/>
      <c r="EY931" s="9"/>
      <c r="EZ931" s="9"/>
      <c r="FA931" s="9"/>
      <c r="FB931" s="9"/>
      <c r="FC931" s="9"/>
      <c r="FD931" s="9"/>
      <c r="FE931" s="9"/>
      <c r="FF931" s="9"/>
      <c r="FG931" s="9"/>
      <c r="FH931" s="9"/>
      <c r="FI931" s="9"/>
      <c r="FJ931" s="9"/>
      <c r="FK931" s="9"/>
      <c r="FL931" s="9"/>
      <c r="FM931" s="9"/>
      <c r="FN931" s="9"/>
      <c r="FO931" s="9"/>
      <c r="FP931" s="9"/>
    </row>
    <row r="932" customFormat="false" ht="15" hidden="false" customHeight="false" outlineLevel="0" collapsed="false">
      <c r="B932" s="62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62"/>
      <c r="AD932" s="62"/>
      <c r="AE932" s="62"/>
      <c r="AF932" s="62"/>
      <c r="AG932" s="62"/>
      <c r="AH932" s="62"/>
      <c r="AI932" s="62"/>
      <c r="AJ932" s="62"/>
      <c r="AK932" s="62"/>
      <c r="AL932" s="62"/>
      <c r="AM932" s="62"/>
      <c r="AN932" s="62"/>
      <c r="AO932" s="62"/>
      <c r="AP932" s="62"/>
      <c r="AQ932" s="62"/>
      <c r="AR932" s="62"/>
      <c r="AS932" s="62"/>
      <c r="AT932" s="62"/>
      <c r="AU932" s="62"/>
      <c r="AV932" s="62"/>
      <c r="AW932" s="62"/>
      <c r="AX932" s="62"/>
      <c r="AY932" s="62"/>
      <c r="AZ932" s="62"/>
      <c r="BA932" s="62"/>
      <c r="BB932" s="62"/>
      <c r="BC932" s="62"/>
      <c r="BD932" s="62"/>
      <c r="BE932" s="62"/>
      <c r="BF932" s="62"/>
      <c r="BG932" s="62"/>
      <c r="BH932" s="62"/>
      <c r="BI932" s="62"/>
      <c r="BJ932" s="62"/>
      <c r="BK932" s="62"/>
      <c r="BL932" s="62"/>
      <c r="BM932" s="62"/>
      <c r="BN932" s="62"/>
      <c r="BO932" s="62"/>
      <c r="BP932" s="62"/>
      <c r="BQ932" s="62"/>
      <c r="BR932" s="62"/>
      <c r="BS932" s="62"/>
      <c r="BT932" s="62"/>
      <c r="BU932" s="62"/>
      <c r="BV932" s="62"/>
      <c r="BW932" s="62"/>
      <c r="BX932" s="62"/>
      <c r="BY932" s="62"/>
      <c r="BZ932" s="62"/>
      <c r="CA932" s="62"/>
      <c r="CB932" s="62"/>
      <c r="CC932" s="62"/>
      <c r="CD932" s="62"/>
      <c r="CE932" s="62"/>
      <c r="CF932" s="62"/>
      <c r="CG932" s="62"/>
      <c r="CH932" s="62"/>
      <c r="CI932" s="62"/>
      <c r="CJ932" s="62"/>
      <c r="CK932" s="62"/>
      <c r="CL932" s="62"/>
      <c r="CM932" s="62"/>
      <c r="CN932" s="62"/>
      <c r="CO932" s="62"/>
      <c r="CP932" s="62"/>
      <c r="CQ932" s="62"/>
      <c r="CR932" s="62"/>
      <c r="CS932" s="62"/>
      <c r="CT932" s="62"/>
      <c r="CU932" s="62"/>
      <c r="CV932" s="62"/>
      <c r="CW932" s="62"/>
      <c r="CX932" s="62"/>
      <c r="CY932" s="62"/>
      <c r="CZ932" s="62"/>
      <c r="DA932" s="62"/>
      <c r="DB932" s="62"/>
      <c r="DC932" s="62"/>
      <c r="DD932" s="62"/>
      <c r="DE932" s="62"/>
      <c r="DF932" s="62"/>
      <c r="DG932" s="62"/>
      <c r="DH932" s="62"/>
      <c r="DI932" s="62"/>
      <c r="DJ932" s="62"/>
      <c r="DK932" s="62"/>
      <c r="DL932" s="62"/>
      <c r="DM932" s="62"/>
      <c r="DN932" s="62"/>
      <c r="DO932" s="62"/>
      <c r="DP932" s="62"/>
      <c r="DQ932" s="62"/>
      <c r="DR932" s="62"/>
      <c r="DS932" s="62"/>
      <c r="DT932" s="62"/>
      <c r="DU932" s="62"/>
      <c r="DV932" s="62"/>
      <c r="DW932" s="62"/>
      <c r="DX932" s="62"/>
      <c r="DY932" s="62"/>
      <c r="DZ932" s="62"/>
      <c r="EA932" s="62"/>
      <c r="EB932" s="62"/>
      <c r="EC932" s="62"/>
      <c r="ED932" s="62"/>
      <c r="EE932" s="62"/>
      <c r="EF932" s="62"/>
      <c r="EG932" s="62"/>
      <c r="EH932" s="62"/>
      <c r="EI932" s="62"/>
      <c r="EJ932" s="62"/>
      <c r="EK932" s="62"/>
      <c r="EL932" s="62"/>
      <c r="EM932" s="62"/>
      <c r="EN932" s="62"/>
      <c r="EO932" s="62"/>
      <c r="EP932" s="62"/>
      <c r="EQ932" s="62"/>
      <c r="ER932" s="62"/>
      <c r="ES932" s="9"/>
      <c r="ET932" s="9"/>
      <c r="EU932" s="9"/>
      <c r="EV932" s="9"/>
      <c r="EW932" s="9"/>
      <c r="EX932" s="9"/>
      <c r="EY932" s="9"/>
      <c r="EZ932" s="9"/>
      <c r="FA932" s="9"/>
      <c r="FB932" s="9"/>
      <c r="FC932" s="9"/>
      <c r="FD932" s="9"/>
      <c r="FE932" s="9"/>
      <c r="FF932" s="9"/>
      <c r="FG932" s="9"/>
      <c r="FH932" s="9"/>
      <c r="FI932" s="9"/>
      <c r="FJ932" s="9"/>
      <c r="FK932" s="9"/>
      <c r="FL932" s="9"/>
      <c r="FM932" s="9"/>
      <c r="FN932" s="9"/>
      <c r="FO932" s="9"/>
      <c r="FP932" s="9"/>
    </row>
    <row r="933" customFormat="false" ht="15" hidden="false" customHeight="false" outlineLevel="0" collapsed="false">
      <c r="B933" s="62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62"/>
      <c r="AD933" s="62"/>
      <c r="AE933" s="62"/>
      <c r="AF933" s="62"/>
      <c r="AG933" s="62"/>
      <c r="AH933" s="62"/>
      <c r="AI933" s="62"/>
      <c r="AJ933" s="62"/>
      <c r="AK933" s="62"/>
      <c r="AL933" s="62"/>
      <c r="AM933" s="62"/>
      <c r="AN933" s="62"/>
      <c r="AO933" s="62"/>
      <c r="AP933" s="62"/>
      <c r="AQ933" s="62"/>
      <c r="AR933" s="62"/>
      <c r="AS933" s="62"/>
      <c r="AT933" s="62"/>
      <c r="AU933" s="62"/>
      <c r="AV933" s="62"/>
      <c r="AW933" s="62"/>
      <c r="AX933" s="62"/>
      <c r="AY933" s="62"/>
      <c r="AZ933" s="62"/>
      <c r="BA933" s="62"/>
      <c r="BB933" s="62"/>
      <c r="BC933" s="62"/>
      <c r="BD933" s="62"/>
      <c r="BE933" s="62"/>
      <c r="BF933" s="62"/>
      <c r="BG933" s="62"/>
      <c r="BH933" s="62"/>
      <c r="BI933" s="62"/>
      <c r="BJ933" s="62"/>
      <c r="BK933" s="62"/>
      <c r="BL933" s="62"/>
      <c r="BM933" s="62"/>
      <c r="BN933" s="62"/>
      <c r="BO933" s="62"/>
      <c r="BP933" s="62"/>
      <c r="BQ933" s="62"/>
      <c r="BR933" s="62"/>
      <c r="BS933" s="62"/>
      <c r="BT933" s="62"/>
      <c r="BU933" s="62"/>
      <c r="BV933" s="62"/>
      <c r="BW933" s="62"/>
      <c r="BX933" s="62"/>
      <c r="BY933" s="62"/>
      <c r="BZ933" s="62"/>
      <c r="CA933" s="62"/>
      <c r="CB933" s="62"/>
      <c r="CC933" s="62"/>
      <c r="CD933" s="62"/>
      <c r="CE933" s="62"/>
      <c r="CF933" s="62"/>
      <c r="CG933" s="62"/>
      <c r="CH933" s="62"/>
      <c r="CI933" s="62"/>
      <c r="CJ933" s="62"/>
      <c r="CK933" s="62"/>
      <c r="CL933" s="62"/>
      <c r="CM933" s="62"/>
      <c r="CN933" s="62"/>
      <c r="CO933" s="62"/>
      <c r="CP933" s="62"/>
      <c r="CQ933" s="62"/>
      <c r="CR933" s="62"/>
      <c r="CS933" s="62"/>
      <c r="CT933" s="62"/>
      <c r="CU933" s="62"/>
      <c r="CV933" s="62"/>
      <c r="CW933" s="62"/>
      <c r="CX933" s="62"/>
      <c r="CY933" s="62"/>
      <c r="CZ933" s="62"/>
      <c r="DA933" s="62"/>
      <c r="DB933" s="62"/>
      <c r="DC933" s="62"/>
      <c r="DD933" s="62"/>
      <c r="DE933" s="62"/>
      <c r="DF933" s="62"/>
      <c r="DG933" s="62"/>
      <c r="DH933" s="62"/>
      <c r="DI933" s="62"/>
      <c r="DJ933" s="62"/>
      <c r="DK933" s="62"/>
      <c r="DL933" s="62"/>
      <c r="DM933" s="62"/>
      <c r="DN933" s="62"/>
      <c r="DO933" s="62"/>
      <c r="DP933" s="62"/>
      <c r="DQ933" s="62"/>
      <c r="DR933" s="62"/>
      <c r="DS933" s="62"/>
      <c r="DT933" s="62"/>
      <c r="DU933" s="62"/>
      <c r="DV933" s="62"/>
      <c r="DW933" s="62"/>
      <c r="DX933" s="62"/>
      <c r="DY933" s="62"/>
      <c r="DZ933" s="62"/>
      <c r="EA933" s="62"/>
      <c r="EB933" s="62"/>
      <c r="EC933" s="62"/>
      <c r="ED933" s="62"/>
      <c r="EE933" s="62"/>
      <c r="EF933" s="62"/>
      <c r="EG933" s="62"/>
      <c r="EH933" s="62"/>
      <c r="EI933" s="62"/>
      <c r="EJ933" s="62"/>
      <c r="EK933" s="62"/>
      <c r="EL933" s="62"/>
      <c r="EM933" s="62"/>
      <c r="EN933" s="62"/>
      <c r="EO933" s="62"/>
      <c r="EP933" s="62"/>
      <c r="EQ933" s="62"/>
      <c r="ER933" s="62"/>
      <c r="ES933" s="9"/>
      <c r="ET933" s="9"/>
      <c r="EU933" s="9"/>
      <c r="EV933" s="9"/>
      <c r="EW933" s="9"/>
      <c r="EX933" s="9"/>
      <c r="EY933" s="9"/>
      <c r="EZ933" s="9"/>
      <c r="FA933" s="9"/>
      <c r="FB933" s="9"/>
      <c r="FC933" s="9"/>
      <c r="FD933" s="9"/>
      <c r="FE933" s="9"/>
      <c r="FF933" s="9"/>
      <c r="FG933" s="9"/>
      <c r="FH933" s="9"/>
      <c r="FI933" s="9"/>
      <c r="FJ933" s="9"/>
      <c r="FK933" s="9"/>
      <c r="FL933" s="9"/>
      <c r="FM933" s="9"/>
      <c r="FN933" s="9"/>
      <c r="FO933" s="9"/>
      <c r="FP933" s="9"/>
    </row>
    <row r="934" customFormat="false" ht="15" hidden="false" customHeight="false" outlineLevel="0" collapsed="false">
      <c r="B934" s="62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62"/>
      <c r="AD934" s="62"/>
      <c r="AE934" s="62"/>
      <c r="AF934" s="62"/>
      <c r="AG934" s="62"/>
      <c r="AH934" s="62"/>
      <c r="AI934" s="62"/>
      <c r="AJ934" s="62"/>
      <c r="AK934" s="62"/>
      <c r="AL934" s="62"/>
      <c r="AM934" s="62"/>
      <c r="AN934" s="62"/>
      <c r="AO934" s="62"/>
      <c r="AP934" s="62"/>
      <c r="AQ934" s="62"/>
      <c r="AR934" s="62"/>
      <c r="AS934" s="62"/>
      <c r="AT934" s="62"/>
      <c r="AU934" s="62"/>
      <c r="AV934" s="62"/>
      <c r="AW934" s="62"/>
      <c r="AX934" s="62"/>
      <c r="AY934" s="62"/>
      <c r="AZ934" s="62"/>
      <c r="BA934" s="62"/>
      <c r="BB934" s="62"/>
      <c r="BC934" s="62"/>
      <c r="BD934" s="62"/>
      <c r="BE934" s="62"/>
      <c r="BF934" s="62"/>
      <c r="BG934" s="62"/>
      <c r="BH934" s="62"/>
      <c r="BI934" s="62"/>
      <c r="BJ934" s="62"/>
      <c r="BK934" s="62"/>
      <c r="BL934" s="62"/>
      <c r="BM934" s="62"/>
      <c r="BN934" s="62"/>
      <c r="BO934" s="62"/>
      <c r="BP934" s="62"/>
      <c r="BQ934" s="62"/>
      <c r="BR934" s="62"/>
      <c r="BS934" s="62"/>
      <c r="BT934" s="62"/>
      <c r="BU934" s="62"/>
      <c r="BV934" s="62"/>
      <c r="BW934" s="62"/>
      <c r="BX934" s="62"/>
      <c r="BY934" s="62"/>
      <c r="BZ934" s="62"/>
      <c r="CA934" s="62"/>
      <c r="CB934" s="62"/>
      <c r="CC934" s="62"/>
      <c r="CD934" s="62"/>
      <c r="CE934" s="62"/>
      <c r="CF934" s="62"/>
      <c r="CG934" s="62"/>
      <c r="CH934" s="62"/>
      <c r="CI934" s="62"/>
      <c r="CJ934" s="62"/>
      <c r="CK934" s="62"/>
      <c r="CL934" s="62"/>
      <c r="CM934" s="62"/>
      <c r="CN934" s="62"/>
      <c r="CO934" s="62"/>
      <c r="CP934" s="62"/>
      <c r="CQ934" s="62"/>
      <c r="CR934" s="62"/>
      <c r="CS934" s="62"/>
      <c r="CT934" s="62"/>
      <c r="CU934" s="62"/>
      <c r="CV934" s="62"/>
      <c r="CW934" s="62"/>
      <c r="CX934" s="62"/>
      <c r="CY934" s="62"/>
      <c r="CZ934" s="62"/>
      <c r="DA934" s="62"/>
      <c r="DB934" s="62"/>
      <c r="DC934" s="62"/>
      <c r="DD934" s="62"/>
      <c r="DE934" s="62"/>
      <c r="DF934" s="62"/>
      <c r="DG934" s="62"/>
      <c r="DH934" s="62"/>
      <c r="DI934" s="62"/>
      <c r="DJ934" s="62"/>
      <c r="DK934" s="62"/>
      <c r="DL934" s="62"/>
      <c r="DM934" s="62"/>
      <c r="DN934" s="62"/>
      <c r="DO934" s="62"/>
      <c r="DP934" s="62"/>
      <c r="DQ934" s="62"/>
      <c r="DR934" s="62"/>
      <c r="DS934" s="62"/>
      <c r="DT934" s="62"/>
      <c r="DU934" s="62"/>
      <c r="DV934" s="62"/>
      <c r="DW934" s="62"/>
      <c r="DX934" s="62"/>
      <c r="DY934" s="62"/>
      <c r="DZ934" s="62"/>
      <c r="EA934" s="62"/>
      <c r="EB934" s="62"/>
      <c r="EC934" s="62"/>
      <c r="ED934" s="62"/>
      <c r="EE934" s="62"/>
      <c r="EF934" s="62"/>
      <c r="EG934" s="62"/>
      <c r="EH934" s="62"/>
      <c r="EI934" s="62"/>
      <c r="EJ934" s="62"/>
      <c r="EK934" s="62"/>
      <c r="EL934" s="62"/>
      <c r="EM934" s="62"/>
      <c r="EN934" s="62"/>
      <c r="EO934" s="62"/>
      <c r="EP934" s="62"/>
      <c r="EQ934" s="62"/>
      <c r="ER934" s="62"/>
      <c r="ES934" s="9"/>
      <c r="ET934" s="9"/>
      <c r="EU934" s="9"/>
      <c r="EV934" s="9"/>
      <c r="EW934" s="9"/>
      <c r="EX934" s="9"/>
      <c r="EY934" s="9"/>
      <c r="EZ934" s="9"/>
      <c r="FA934" s="9"/>
      <c r="FB934" s="9"/>
      <c r="FC934" s="9"/>
      <c r="FD934" s="9"/>
      <c r="FE934" s="9"/>
      <c r="FF934" s="9"/>
      <c r="FG934" s="9"/>
      <c r="FH934" s="9"/>
      <c r="FI934" s="9"/>
      <c r="FJ934" s="9"/>
      <c r="FK934" s="9"/>
      <c r="FL934" s="9"/>
      <c r="FM934" s="9"/>
      <c r="FN934" s="9"/>
      <c r="FO934" s="9"/>
      <c r="FP934" s="9"/>
    </row>
    <row r="935" customFormat="false" ht="15" hidden="false" customHeight="false" outlineLevel="0" collapsed="false">
      <c r="B935" s="62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62"/>
      <c r="AD935" s="62"/>
      <c r="AE935" s="62"/>
      <c r="AF935" s="62"/>
      <c r="AG935" s="62"/>
      <c r="AH935" s="62"/>
      <c r="AI935" s="62"/>
      <c r="AJ935" s="62"/>
      <c r="AK935" s="62"/>
      <c r="AL935" s="62"/>
      <c r="AM935" s="62"/>
      <c r="AN935" s="62"/>
      <c r="AO935" s="62"/>
      <c r="AP935" s="62"/>
      <c r="AQ935" s="62"/>
      <c r="AR935" s="62"/>
      <c r="AS935" s="62"/>
      <c r="AT935" s="62"/>
      <c r="AU935" s="62"/>
      <c r="AV935" s="62"/>
      <c r="AW935" s="62"/>
      <c r="AX935" s="62"/>
      <c r="AY935" s="62"/>
      <c r="AZ935" s="62"/>
      <c r="BA935" s="62"/>
      <c r="BB935" s="62"/>
      <c r="BC935" s="62"/>
      <c r="BD935" s="62"/>
      <c r="BE935" s="62"/>
      <c r="BF935" s="62"/>
      <c r="BG935" s="62"/>
      <c r="BH935" s="62"/>
      <c r="BI935" s="62"/>
      <c r="BJ935" s="62"/>
      <c r="BK935" s="62"/>
      <c r="BL935" s="62"/>
      <c r="BM935" s="62"/>
      <c r="BN935" s="62"/>
      <c r="BO935" s="62"/>
      <c r="BP935" s="62"/>
      <c r="BQ935" s="62"/>
      <c r="BR935" s="62"/>
      <c r="BS935" s="62"/>
      <c r="BT935" s="62"/>
      <c r="BU935" s="62"/>
      <c r="BV935" s="62"/>
      <c r="BW935" s="62"/>
      <c r="BX935" s="62"/>
      <c r="BY935" s="62"/>
      <c r="BZ935" s="62"/>
      <c r="CA935" s="62"/>
      <c r="CB935" s="62"/>
      <c r="CC935" s="62"/>
      <c r="CD935" s="62"/>
      <c r="CE935" s="62"/>
      <c r="CF935" s="62"/>
      <c r="CG935" s="62"/>
      <c r="CH935" s="62"/>
      <c r="CI935" s="62"/>
      <c r="CJ935" s="62"/>
      <c r="CK935" s="62"/>
      <c r="CL935" s="62"/>
      <c r="CM935" s="62"/>
      <c r="CN935" s="62"/>
      <c r="CO935" s="62"/>
      <c r="CP935" s="62"/>
      <c r="CQ935" s="62"/>
      <c r="CR935" s="62"/>
      <c r="CS935" s="62"/>
      <c r="CT935" s="62"/>
      <c r="CU935" s="62"/>
      <c r="CV935" s="62"/>
      <c r="CW935" s="62"/>
      <c r="CX935" s="62"/>
      <c r="CY935" s="62"/>
      <c r="CZ935" s="62"/>
      <c r="DA935" s="62"/>
      <c r="DB935" s="62"/>
      <c r="DC935" s="62"/>
      <c r="DD935" s="62"/>
      <c r="DE935" s="62"/>
      <c r="DF935" s="62"/>
      <c r="DG935" s="62"/>
      <c r="DH935" s="62"/>
      <c r="DI935" s="62"/>
      <c r="DJ935" s="62"/>
      <c r="DK935" s="62"/>
      <c r="DL935" s="62"/>
      <c r="DM935" s="62"/>
      <c r="DN935" s="62"/>
      <c r="DO935" s="62"/>
      <c r="DP935" s="62"/>
      <c r="DQ935" s="62"/>
      <c r="DR935" s="62"/>
      <c r="DS935" s="62"/>
      <c r="DT935" s="62"/>
      <c r="DU935" s="62"/>
      <c r="DV935" s="62"/>
      <c r="DW935" s="62"/>
      <c r="DX935" s="62"/>
      <c r="DY935" s="62"/>
      <c r="DZ935" s="62"/>
      <c r="EA935" s="62"/>
      <c r="EB935" s="62"/>
      <c r="EC935" s="62"/>
      <c r="ED935" s="62"/>
      <c r="EE935" s="62"/>
      <c r="EF935" s="62"/>
      <c r="EG935" s="62"/>
      <c r="EH935" s="62"/>
      <c r="EI935" s="62"/>
      <c r="EJ935" s="62"/>
      <c r="EK935" s="62"/>
      <c r="EL935" s="62"/>
      <c r="EM935" s="62"/>
      <c r="EN935" s="62"/>
      <c r="EO935" s="62"/>
      <c r="EP935" s="62"/>
      <c r="EQ935" s="62"/>
      <c r="ER935" s="62"/>
      <c r="ES935" s="9"/>
      <c r="ET935" s="9"/>
      <c r="EU935" s="9"/>
      <c r="EV935" s="9"/>
      <c r="EW935" s="9"/>
      <c r="EX935" s="9"/>
      <c r="EY935" s="9"/>
      <c r="EZ935" s="9"/>
      <c r="FA935" s="9"/>
      <c r="FB935" s="9"/>
      <c r="FC935" s="9"/>
      <c r="FD935" s="9"/>
      <c r="FE935" s="9"/>
      <c r="FF935" s="9"/>
      <c r="FG935" s="9"/>
      <c r="FH935" s="9"/>
      <c r="FI935" s="9"/>
      <c r="FJ935" s="9"/>
      <c r="FK935" s="9"/>
      <c r="FL935" s="9"/>
      <c r="FM935" s="9"/>
      <c r="FN935" s="9"/>
      <c r="FO935" s="9"/>
      <c r="FP935" s="9"/>
    </row>
    <row r="936" customFormat="false" ht="15" hidden="false" customHeight="false" outlineLevel="0" collapsed="false">
      <c r="B936" s="247" t="s">
        <v>968</v>
      </c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  <c r="CA936" s="9"/>
      <c r="CB936" s="9"/>
      <c r="CC936" s="9"/>
      <c r="CD936" s="9"/>
      <c r="CE936" s="9"/>
      <c r="CF936" s="9"/>
      <c r="CG936" s="9"/>
      <c r="CH936" s="9"/>
      <c r="CI936" s="9"/>
      <c r="CJ936" s="9"/>
      <c r="CK936" s="9"/>
      <c r="CL936" s="9"/>
      <c r="CM936" s="9"/>
      <c r="CN936" s="9"/>
      <c r="CO936" s="9"/>
      <c r="CP936" s="9"/>
      <c r="CQ936" s="9"/>
      <c r="CR936" s="9"/>
      <c r="CS936" s="9"/>
      <c r="CT936" s="9"/>
      <c r="CU936" s="9"/>
      <c r="CV936" s="9"/>
      <c r="CW936" s="9"/>
      <c r="CX936" s="9"/>
      <c r="CY936" s="9"/>
      <c r="CZ936" s="9"/>
      <c r="DA936" s="9"/>
      <c r="DB936" s="9"/>
      <c r="DC936" s="9"/>
      <c r="DD936" s="9"/>
      <c r="DE936" s="9"/>
      <c r="DF936" s="9"/>
      <c r="DG936" s="9"/>
      <c r="DH936" s="9"/>
      <c r="DI936" s="9"/>
      <c r="DJ936" s="9"/>
      <c r="DK936" s="9"/>
      <c r="DL936" s="9"/>
      <c r="DM936" s="9"/>
      <c r="DN936" s="9"/>
      <c r="DO936" s="9"/>
      <c r="DP936" s="9"/>
      <c r="DQ936" s="9"/>
      <c r="DR936" s="9"/>
      <c r="DS936" s="9"/>
      <c r="DT936" s="9"/>
      <c r="DU936" s="9"/>
      <c r="DV936" s="9"/>
      <c r="DW936" s="9"/>
      <c r="DX936" s="9"/>
      <c r="DY936" s="9"/>
      <c r="DZ936" s="9"/>
      <c r="EA936" s="9"/>
      <c r="EB936" s="9"/>
      <c r="EC936" s="9"/>
      <c r="ED936" s="9"/>
      <c r="EE936" s="9"/>
      <c r="EF936" s="9"/>
      <c r="EG936" s="9"/>
      <c r="EH936" s="9"/>
      <c r="EI936" s="9"/>
      <c r="EJ936" s="9"/>
      <c r="EK936" s="9"/>
      <c r="EL936" s="9"/>
      <c r="EM936" s="9"/>
      <c r="EN936" s="9"/>
      <c r="EO936" s="9"/>
      <c r="EP936" s="9"/>
      <c r="EQ936" s="9"/>
      <c r="ER936" s="9"/>
      <c r="ES936" s="9"/>
      <c r="ET936" s="9"/>
      <c r="EU936" s="9"/>
      <c r="EV936" s="9"/>
      <c r="EW936" s="9"/>
      <c r="EX936" s="9"/>
      <c r="EY936" s="9"/>
      <c r="EZ936" s="9"/>
      <c r="FA936" s="9"/>
      <c r="FB936" s="9"/>
      <c r="FC936" s="9"/>
      <c r="FD936" s="9"/>
      <c r="FE936" s="9"/>
      <c r="FF936" s="9"/>
      <c r="FG936" s="9"/>
      <c r="FH936" s="9"/>
      <c r="FI936" s="9"/>
      <c r="FJ936" s="9"/>
      <c r="FK936" s="9"/>
      <c r="FL936" s="9"/>
      <c r="FM936" s="9"/>
      <c r="FN936" s="9"/>
      <c r="FO936" s="9"/>
      <c r="FP936" s="9"/>
    </row>
    <row r="937" customFormat="false" ht="15" hidden="false" customHeight="false" outlineLevel="0" collapsed="false">
      <c r="B937" s="9" t="s">
        <v>969</v>
      </c>
      <c r="C937" s="217" t="n">
        <v>2025</v>
      </c>
      <c r="D937" s="217" t="n">
        <v>2026</v>
      </c>
      <c r="E937" s="217" t="n">
        <v>2027</v>
      </c>
      <c r="F937" s="217" t="n">
        <v>2028</v>
      </c>
      <c r="G937" s="217" t="n">
        <v>2029</v>
      </c>
      <c r="H937" s="217" t="n">
        <v>2030</v>
      </c>
      <c r="I937" s="217" t="n">
        <v>2031</v>
      </c>
      <c r="J937" s="217" t="n">
        <v>2032</v>
      </c>
      <c r="K937" s="217" t="n">
        <v>2033</v>
      </c>
      <c r="L937" s="217" t="n">
        <v>2034</v>
      </c>
      <c r="M937" s="217" t="n">
        <v>2035</v>
      </c>
      <c r="N937" s="217" t="n">
        <v>2036</v>
      </c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9"/>
      <c r="CN937" s="9"/>
      <c r="CO937" s="9"/>
      <c r="CP937" s="9"/>
      <c r="CQ937" s="9"/>
      <c r="CR937" s="9"/>
      <c r="CS937" s="9"/>
      <c r="CT937" s="9"/>
      <c r="CU937" s="9"/>
      <c r="CV937" s="9"/>
      <c r="CW937" s="9"/>
      <c r="CX937" s="9"/>
      <c r="CY937" s="9"/>
      <c r="CZ937" s="9"/>
      <c r="DA937" s="9"/>
      <c r="DB937" s="9"/>
      <c r="DC937" s="9"/>
      <c r="DD937" s="9"/>
      <c r="DE937" s="9"/>
      <c r="DF937" s="9"/>
      <c r="DG937" s="9"/>
      <c r="DH937" s="9"/>
      <c r="DI937" s="9"/>
      <c r="DJ937" s="9"/>
      <c r="DK937" s="9"/>
      <c r="DL937" s="9"/>
      <c r="DM937" s="9"/>
      <c r="DN937" s="9"/>
      <c r="DO937" s="9"/>
      <c r="DP937" s="9"/>
      <c r="DQ937" s="9"/>
      <c r="DR937" s="9"/>
      <c r="DS937" s="9"/>
      <c r="DT937" s="9"/>
      <c r="DU937" s="9"/>
      <c r="DV937" s="9"/>
      <c r="DW937" s="9"/>
      <c r="DX937" s="9"/>
      <c r="DY937" s="9"/>
      <c r="DZ937" s="9"/>
      <c r="EA937" s="9"/>
      <c r="EB937" s="9"/>
      <c r="EC937" s="9"/>
      <c r="ED937" s="9"/>
      <c r="EE937" s="9"/>
      <c r="EF937" s="9"/>
      <c r="EG937" s="9"/>
      <c r="EH937" s="9"/>
      <c r="EI937" s="9"/>
      <c r="EJ937" s="9"/>
      <c r="EK937" s="9"/>
      <c r="EL937" s="9"/>
      <c r="EM937" s="9"/>
      <c r="EN937" s="9"/>
      <c r="EO937" s="9"/>
      <c r="EP937" s="9"/>
      <c r="EQ937" s="9"/>
      <c r="ER937" s="9"/>
      <c r="ES937" s="9"/>
      <c r="ET937" s="9"/>
      <c r="EU937" s="9"/>
      <c r="EV937" s="9"/>
      <c r="EW937" s="9"/>
      <c r="EX937" s="9"/>
      <c r="EY937" s="9"/>
      <c r="EZ937" s="9"/>
      <c r="FA937" s="9"/>
      <c r="FB937" s="9"/>
      <c r="FC937" s="9"/>
      <c r="FD937" s="9"/>
      <c r="FE937" s="9"/>
      <c r="FF937" s="9"/>
      <c r="FG937" s="9"/>
      <c r="FH937" s="9"/>
      <c r="FI937" s="9"/>
      <c r="FJ937" s="9"/>
      <c r="FK937" s="9"/>
      <c r="FL937" s="9"/>
      <c r="FM937" s="9"/>
      <c r="FN937" s="9"/>
      <c r="FO937" s="9"/>
      <c r="FP937" s="9"/>
    </row>
    <row r="938" customFormat="false" ht="15" hidden="false" customHeight="false" outlineLevel="0" collapsed="false">
      <c r="B938" s="9" t="s">
        <v>970</v>
      </c>
      <c r="C938" s="242" t="n">
        <f aca="false">SUM(AC925:AN925)</f>
        <v>1586.049</v>
      </c>
      <c r="D938" s="242" t="n">
        <f aca="false">SUM(AO925:AZ925)</f>
        <v>5033.8396</v>
      </c>
      <c r="E938" s="242" t="n">
        <f aca="false">SUM(BA925:BL925)</f>
        <v>11165.8938</v>
      </c>
      <c r="F938" s="242" t="n">
        <f aca="false">SUM(BM925:BX925)</f>
        <v>21735.573</v>
      </c>
      <c r="G938" s="242" t="n">
        <f aca="false">SUM(BY925:CJ925)</f>
        <v>34763.6268</v>
      </c>
      <c r="H938" s="242" t="n">
        <f aca="false">SUM(CK925:CV925)</f>
        <v>46557.9246</v>
      </c>
      <c r="I938" s="242" t="n">
        <f aca="false">SUM(CW925:DH925)</f>
        <v>58061.2738</v>
      </c>
      <c r="J938" s="242" t="n">
        <f aca="false">SUM(DI925:DT925)</f>
        <v>70004.6592</v>
      </c>
      <c r="K938" s="242" t="n">
        <f aca="false">SUM(DU925:EF925)</f>
        <v>81309.0272</v>
      </c>
      <c r="L938" s="242" t="n">
        <f aca="false">SUM(EG925:ER925)</f>
        <v>97481.5948</v>
      </c>
      <c r="M938" s="242" t="n">
        <f aca="false">SUM(ES925:FD925)</f>
        <v>117744.9916</v>
      </c>
      <c r="N938" s="242" t="n">
        <f aca="false">SUM(FE925:FP925)</f>
        <v>140417.164</v>
      </c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  <c r="CO938" s="9"/>
      <c r="CP938" s="9"/>
      <c r="CQ938" s="9"/>
      <c r="CR938" s="9"/>
      <c r="CS938" s="9"/>
      <c r="CT938" s="9"/>
      <c r="CU938" s="9"/>
      <c r="CV938" s="9"/>
      <c r="CW938" s="9"/>
      <c r="CX938" s="9"/>
      <c r="CY938" s="9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9"/>
      <c r="DN938" s="9"/>
      <c r="DO938" s="9"/>
      <c r="DP938" s="9"/>
      <c r="DQ938" s="9"/>
      <c r="DR938" s="9"/>
      <c r="DS938" s="9"/>
      <c r="DT938" s="9"/>
      <c r="DU938" s="9"/>
      <c r="DV938" s="9"/>
      <c r="DW938" s="9"/>
      <c r="DX938" s="9"/>
      <c r="DY938" s="9"/>
      <c r="DZ938" s="9"/>
      <c r="EA938" s="9"/>
      <c r="EB938" s="9"/>
      <c r="EC938" s="9"/>
      <c r="ED938" s="9"/>
      <c r="EE938" s="9"/>
      <c r="EF938" s="9"/>
      <c r="EG938" s="9"/>
      <c r="EH938" s="9"/>
      <c r="EI938" s="9"/>
      <c r="EJ938" s="9"/>
      <c r="EK938" s="9"/>
      <c r="EL938" s="9"/>
      <c r="EM938" s="9"/>
      <c r="EN938" s="9"/>
      <c r="EO938" s="9"/>
      <c r="EP938" s="9"/>
      <c r="EQ938" s="9"/>
      <c r="ER938" s="9"/>
      <c r="ES938" s="9"/>
      <c r="ET938" s="9"/>
      <c r="EU938" s="9"/>
      <c r="EV938" s="9"/>
      <c r="EW938" s="9"/>
      <c r="EX938" s="9"/>
      <c r="EY938" s="9"/>
      <c r="EZ938" s="9"/>
      <c r="FA938" s="9"/>
      <c r="FB938" s="9"/>
      <c r="FC938" s="9"/>
      <c r="FD938" s="9"/>
      <c r="FE938" s="9"/>
      <c r="FF938" s="9"/>
      <c r="FG938" s="9"/>
      <c r="FH938" s="9"/>
      <c r="FI938" s="9"/>
      <c r="FJ938" s="9"/>
      <c r="FK938" s="9"/>
      <c r="FL938" s="9"/>
      <c r="FM938" s="9"/>
      <c r="FN938" s="9"/>
      <c r="FO938" s="9"/>
      <c r="FP938" s="9"/>
    </row>
    <row r="939" customFormat="false" ht="15" hidden="false" customHeight="false" outlineLevel="0" collapsed="false">
      <c r="B939" s="36" t="s">
        <v>971</v>
      </c>
      <c r="C939" s="242" t="n">
        <f aca="false">SUM(AC926:AN926)</f>
        <v>240.911312</v>
      </c>
      <c r="D939" s="242" t="n">
        <f aca="false">SUM(AO926:AZ926)</f>
        <v>1178.70324096</v>
      </c>
      <c r="E939" s="242" t="n">
        <f aca="false">SUM(BA926:BL926)</f>
        <v>3462.2314672</v>
      </c>
      <c r="F939" s="242" t="n">
        <f aca="false">SUM(BM926:BX926)</f>
        <v>8295.89202872</v>
      </c>
      <c r="G939" s="242" t="n">
        <f aca="false">SUM(BY926:CJ926)</f>
        <v>16692.8873672</v>
      </c>
      <c r="H939" s="242" t="n">
        <f aca="false">SUM(CK926:CV926)</f>
        <v>28546.16975552</v>
      </c>
      <c r="I939" s="242" t="n">
        <f aca="false">SUM(CW926:DH926)</f>
        <v>43378.84940896</v>
      </c>
      <c r="J939" s="242" t="n">
        <f aca="false">SUM(DI926:DT926)</f>
        <v>60213.83500184</v>
      </c>
      <c r="K939" s="242" t="n">
        <f aca="false">SUM(DU926:EF926)</f>
        <v>77420.10185624</v>
      </c>
      <c r="L939" s="242" t="n">
        <f aca="false">SUM(EG926:ER926)</f>
        <v>95172.49820192</v>
      </c>
      <c r="M939" s="242" t="n">
        <f aca="false">SUM(ES926:FD926)</f>
        <v>114473.03974328</v>
      </c>
      <c r="N939" s="242" t="n">
        <f aca="false">SUM(FE926:FP926)</f>
        <v>136679.37801656</v>
      </c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28"/>
      <c r="AD939" s="28"/>
      <c r="AE939" s="28"/>
      <c r="AF939" s="28"/>
      <c r="AG939" s="28"/>
      <c r="AH939" s="28"/>
      <c r="AI939" s="28"/>
      <c r="AJ939" s="28"/>
      <c r="AK939" s="28"/>
      <c r="AL939" s="28"/>
      <c r="AM939" s="28"/>
      <c r="AN939" s="28"/>
      <c r="AO939" s="28"/>
      <c r="AP939" s="28"/>
      <c r="AQ939" s="28"/>
      <c r="AR939" s="28"/>
      <c r="AS939" s="28"/>
      <c r="AT939" s="28"/>
      <c r="AU939" s="28"/>
      <c r="AV939" s="28"/>
      <c r="AW939" s="28"/>
      <c r="AX939" s="28"/>
      <c r="AY939" s="28"/>
      <c r="AZ939" s="28"/>
      <c r="BA939" s="28"/>
      <c r="BB939" s="28"/>
      <c r="BC939" s="28"/>
      <c r="BD939" s="28"/>
      <c r="BE939" s="28"/>
      <c r="BF939" s="28"/>
      <c r="BG939" s="28"/>
      <c r="BH939" s="28"/>
      <c r="BI939" s="28"/>
      <c r="BJ939" s="28"/>
      <c r="BK939" s="28"/>
      <c r="BL939" s="28"/>
      <c r="BM939" s="28"/>
      <c r="BN939" s="28"/>
      <c r="BO939" s="28"/>
      <c r="BP939" s="28"/>
      <c r="BQ939" s="28"/>
      <c r="BR939" s="28"/>
      <c r="BS939" s="28"/>
      <c r="BT939" s="28"/>
      <c r="BU939" s="28"/>
      <c r="BV939" s="28"/>
      <c r="BW939" s="28"/>
      <c r="BX939" s="28"/>
      <c r="BY939" s="28"/>
      <c r="BZ939" s="28"/>
      <c r="CA939" s="28"/>
      <c r="CB939" s="28"/>
      <c r="CC939" s="28"/>
      <c r="CD939" s="28"/>
      <c r="CE939" s="28"/>
      <c r="CF939" s="28"/>
      <c r="CG939" s="28"/>
      <c r="CH939" s="28"/>
      <c r="CI939" s="28"/>
      <c r="CJ939" s="28"/>
      <c r="CK939" s="28"/>
      <c r="CL939" s="28"/>
      <c r="CM939" s="28"/>
      <c r="CN939" s="28"/>
      <c r="CO939" s="28"/>
      <c r="CP939" s="28"/>
      <c r="CQ939" s="28"/>
      <c r="CR939" s="28"/>
      <c r="CS939" s="28"/>
      <c r="CT939" s="28"/>
      <c r="CU939" s="28"/>
      <c r="CV939" s="28"/>
      <c r="CW939" s="28"/>
      <c r="CX939" s="28"/>
      <c r="CY939" s="28"/>
      <c r="CZ939" s="28"/>
      <c r="DA939" s="28"/>
      <c r="DB939" s="28"/>
      <c r="DC939" s="28"/>
      <c r="DD939" s="28"/>
      <c r="DE939" s="28"/>
      <c r="DF939" s="28"/>
      <c r="DG939" s="28"/>
      <c r="DH939" s="28"/>
      <c r="DI939" s="28"/>
      <c r="DJ939" s="28"/>
      <c r="DK939" s="28"/>
      <c r="DL939" s="28"/>
      <c r="DM939" s="28"/>
      <c r="DN939" s="28"/>
      <c r="DO939" s="28"/>
      <c r="DP939" s="28"/>
      <c r="DQ939" s="28"/>
      <c r="DR939" s="28"/>
      <c r="DS939" s="28"/>
      <c r="DT939" s="28"/>
      <c r="DU939" s="28"/>
      <c r="DV939" s="28"/>
      <c r="DW939" s="28"/>
      <c r="DX939" s="28"/>
      <c r="DY939" s="28"/>
      <c r="DZ939" s="28"/>
      <c r="EA939" s="28"/>
      <c r="EB939" s="28"/>
      <c r="EC939" s="28"/>
      <c r="ED939" s="28"/>
      <c r="EE939" s="28"/>
      <c r="EF939" s="28"/>
      <c r="EG939" s="28"/>
      <c r="EH939" s="28"/>
      <c r="EI939" s="28"/>
      <c r="EJ939" s="28"/>
      <c r="EK939" s="28"/>
      <c r="EL939" s="28"/>
      <c r="EM939" s="28"/>
      <c r="EN939" s="28"/>
      <c r="EO939" s="28"/>
      <c r="EP939" s="28"/>
      <c r="EQ939" s="28"/>
      <c r="ER939" s="28"/>
      <c r="ES939" s="9"/>
      <c r="ET939" s="9"/>
      <c r="EU939" s="9"/>
      <c r="EV939" s="9"/>
      <c r="EW939" s="9"/>
      <c r="EX939" s="9"/>
      <c r="EY939" s="9"/>
      <c r="EZ939" s="9"/>
      <c r="FA939" s="9"/>
      <c r="FB939" s="9"/>
      <c r="FC939" s="9"/>
      <c r="FD939" s="9"/>
      <c r="FE939" s="9"/>
      <c r="FF939" s="9"/>
      <c r="FG939" s="9"/>
      <c r="FH939" s="9"/>
      <c r="FI939" s="9"/>
      <c r="FJ939" s="9"/>
      <c r="FK939" s="9"/>
      <c r="FL939" s="9"/>
      <c r="FM939" s="9"/>
      <c r="FN939" s="9"/>
      <c r="FO939" s="9"/>
      <c r="FP939" s="9"/>
    </row>
    <row r="940" customFormat="false" ht="15" hidden="false" customHeight="false" outlineLevel="0" collapsed="false">
      <c r="B940" s="185"/>
      <c r="C940" s="248"/>
      <c r="D940" s="248"/>
      <c r="E940" s="248"/>
      <c r="F940" s="248"/>
      <c r="G940" s="248"/>
      <c r="H940" s="248"/>
      <c r="I940" s="248"/>
      <c r="J940" s="248"/>
      <c r="K940" s="248"/>
      <c r="L940" s="248"/>
      <c r="M940" s="248"/>
      <c r="N940" s="248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249"/>
      <c r="AD940" s="249"/>
      <c r="AE940" s="249"/>
      <c r="AF940" s="249"/>
      <c r="AG940" s="249"/>
      <c r="AH940" s="249"/>
      <c r="AI940" s="249"/>
      <c r="AJ940" s="249"/>
      <c r="AK940" s="249"/>
      <c r="AL940" s="249"/>
      <c r="AM940" s="249"/>
      <c r="AN940" s="249"/>
      <c r="AO940" s="249"/>
      <c r="AP940" s="249"/>
      <c r="AQ940" s="249"/>
      <c r="AR940" s="249"/>
      <c r="AS940" s="249"/>
      <c r="AT940" s="249"/>
      <c r="AU940" s="249"/>
      <c r="AV940" s="249"/>
      <c r="AW940" s="249"/>
      <c r="AX940" s="249"/>
      <c r="AY940" s="249"/>
      <c r="AZ940" s="249"/>
      <c r="BA940" s="249"/>
      <c r="BB940" s="249"/>
      <c r="BC940" s="249"/>
      <c r="BD940" s="249"/>
      <c r="BE940" s="249"/>
      <c r="BF940" s="249"/>
      <c r="BG940" s="249"/>
      <c r="BH940" s="249"/>
      <c r="BI940" s="249"/>
      <c r="BJ940" s="249"/>
      <c r="BK940" s="249"/>
      <c r="BL940" s="249"/>
      <c r="BM940" s="249"/>
      <c r="BN940" s="249"/>
      <c r="BO940" s="249"/>
      <c r="BP940" s="249"/>
      <c r="BQ940" s="249"/>
      <c r="BR940" s="249"/>
      <c r="BS940" s="249"/>
      <c r="BT940" s="249"/>
      <c r="BU940" s="249"/>
      <c r="BV940" s="249"/>
      <c r="BW940" s="249"/>
      <c r="BX940" s="249"/>
      <c r="BY940" s="249"/>
      <c r="BZ940" s="249"/>
      <c r="CA940" s="249"/>
      <c r="CB940" s="249"/>
      <c r="CC940" s="249"/>
      <c r="CD940" s="249"/>
      <c r="CE940" s="249"/>
      <c r="CF940" s="249"/>
      <c r="CG940" s="249"/>
      <c r="CH940" s="249"/>
      <c r="CI940" s="249"/>
      <c r="CJ940" s="249"/>
      <c r="CK940" s="249"/>
      <c r="CL940" s="249"/>
      <c r="CM940" s="249"/>
      <c r="CN940" s="249"/>
      <c r="CO940" s="249"/>
      <c r="CP940" s="249"/>
      <c r="CQ940" s="249"/>
      <c r="CR940" s="249"/>
      <c r="CS940" s="249"/>
      <c r="CT940" s="249"/>
      <c r="CU940" s="249"/>
      <c r="CV940" s="249"/>
      <c r="CW940" s="249"/>
      <c r="CX940" s="249"/>
      <c r="CY940" s="249"/>
      <c r="CZ940" s="249"/>
      <c r="DA940" s="249"/>
      <c r="DB940" s="249"/>
      <c r="DC940" s="249"/>
      <c r="DD940" s="249"/>
      <c r="DE940" s="249"/>
      <c r="DF940" s="249"/>
      <c r="DG940" s="249"/>
      <c r="DH940" s="249"/>
      <c r="DI940" s="249"/>
      <c r="DJ940" s="249"/>
      <c r="DK940" s="249"/>
      <c r="DL940" s="249"/>
      <c r="DM940" s="249"/>
      <c r="DN940" s="249"/>
      <c r="DO940" s="249"/>
      <c r="DP940" s="249"/>
      <c r="DQ940" s="249"/>
      <c r="DR940" s="249"/>
      <c r="DS940" s="249"/>
      <c r="DT940" s="249"/>
      <c r="DU940" s="249"/>
      <c r="DV940" s="249"/>
      <c r="DW940" s="249"/>
      <c r="DX940" s="249"/>
      <c r="DY940" s="249"/>
      <c r="DZ940" s="249"/>
      <c r="EA940" s="249"/>
      <c r="EB940" s="249"/>
      <c r="EC940" s="249"/>
      <c r="ED940" s="249"/>
      <c r="EE940" s="249"/>
      <c r="EF940" s="249"/>
      <c r="EG940" s="249"/>
      <c r="EH940" s="249"/>
      <c r="EI940" s="249"/>
      <c r="EJ940" s="249"/>
      <c r="EK940" s="249"/>
      <c r="EL940" s="249"/>
      <c r="EM940" s="249"/>
      <c r="EN940" s="249"/>
      <c r="EO940" s="249"/>
      <c r="EP940" s="249"/>
      <c r="EQ940" s="249"/>
      <c r="ER940" s="249"/>
      <c r="ES940" s="9"/>
      <c r="ET940" s="9"/>
      <c r="EU940" s="9"/>
      <c r="EV940" s="9"/>
      <c r="EW940" s="9"/>
      <c r="EX940" s="9"/>
      <c r="EY940" s="9"/>
      <c r="EZ940" s="9"/>
      <c r="FA940" s="9"/>
      <c r="FB940" s="9"/>
      <c r="FC940" s="9"/>
      <c r="FD940" s="9"/>
      <c r="FE940" s="9"/>
      <c r="FF940" s="9"/>
      <c r="FG940" s="9"/>
      <c r="FH940" s="9"/>
      <c r="FI940" s="9"/>
      <c r="FJ940" s="9"/>
      <c r="FK940" s="9"/>
      <c r="FL940" s="9"/>
      <c r="FM940" s="9"/>
      <c r="FN940" s="9"/>
      <c r="FO940" s="9"/>
      <c r="FP940" s="9"/>
    </row>
    <row r="941" customFormat="false" ht="15.75" hidden="false" customHeight="true" outlineLevel="0" collapsed="false">
      <c r="B941" s="187"/>
      <c r="C941" s="250"/>
      <c r="D941" s="250"/>
      <c r="E941" s="250"/>
      <c r="F941" s="250"/>
      <c r="G941" s="250"/>
      <c r="H941" s="250"/>
      <c r="I941" s="250"/>
      <c r="J941" s="250"/>
      <c r="K941" s="250"/>
      <c r="L941" s="250"/>
      <c r="M941" s="250"/>
      <c r="N941" s="250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66"/>
      <c r="AD941" s="66"/>
      <c r="AE941" s="66"/>
      <c r="AF941" s="66"/>
      <c r="AG941" s="66"/>
      <c r="AH941" s="66"/>
      <c r="AI941" s="66"/>
      <c r="AJ941" s="66"/>
      <c r="AK941" s="66"/>
      <c r="AL941" s="66"/>
      <c r="AM941" s="66"/>
      <c r="AN941" s="66"/>
      <c r="AO941" s="66"/>
      <c r="AP941" s="66"/>
      <c r="AQ941" s="66"/>
      <c r="AR941" s="66"/>
      <c r="AS941" s="66"/>
      <c r="AT941" s="66"/>
      <c r="AU941" s="66"/>
      <c r="AV941" s="66"/>
      <c r="AW941" s="66"/>
      <c r="AX941" s="66"/>
      <c r="AY941" s="66"/>
      <c r="AZ941" s="66"/>
      <c r="BA941" s="66"/>
      <c r="BB941" s="66"/>
      <c r="BC941" s="66"/>
      <c r="BD941" s="66"/>
      <c r="BE941" s="66"/>
      <c r="BF941" s="66"/>
      <c r="BG941" s="66"/>
      <c r="BH941" s="66"/>
      <c r="BI941" s="66"/>
      <c r="BJ941" s="66"/>
      <c r="BK941" s="66"/>
      <c r="BL941" s="66"/>
      <c r="BM941" s="66"/>
      <c r="BN941" s="66"/>
      <c r="BO941" s="66"/>
      <c r="BP941" s="66"/>
      <c r="BQ941" s="66"/>
      <c r="BR941" s="66"/>
      <c r="BS941" s="66"/>
      <c r="BT941" s="66"/>
      <c r="BU941" s="66"/>
      <c r="BV941" s="66"/>
      <c r="BW941" s="66"/>
      <c r="BX941" s="66"/>
      <c r="BY941" s="66"/>
      <c r="BZ941" s="66"/>
      <c r="CA941" s="66"/>
      <c r="CB941" s="66"/>
      <c r="CC941" s="66"/>
      <c r="CD941" s="66"/>
      <c r="CE941" s="66"/>
      <c r="CF941" s="66"/>
      <c r="CG941" s="66"/>
      <c r="CH941" s="66"/>
      <c r="CI941" s="66"/>
      <c r="CJ941" s="66"/>
      <c r="CK941" s="66"/>
      <c r="CL941" s="66"/>
      <c r="CM941" s="66"/>
      <c r="CN941" s="66"/>
      <c r="CO941" s="66"/>
      <c r="CP941" s="66"/>
      <c r="CQ941" s="66"/>
      <c r="CR941" s="66"/>
      <c r="CS941" s="66"/>
      <c r="CT941" s="66"/>
      <c r="CU941" s="66"/>
      <c r="CV941" s="66"/>
      <c r="CW941" s="66"/>
      <c r="CX941" s="66"/>
      <c r="CY941" s="66"/>
      <c r="CZ941" s="66"/>
      <c r="DA941" s="66"/>
      <c r="DB941" s="66"/>
      <c r="DC941" s="66"/>
      <c r="DD941" s="66"/>
      <c r="DE941" s="66"/>
      <c r="DF941" s="66"/>
      <c r="DG941" s="66"/>
      <c r="DH941" s="66"/>
      <c r="DI941" s="66"/>
      <c r="DJ941" s="66"/>
      <c r="DK941" s="66"/>
      <c r="DL941" s="66"/>
      <c r="DM941" s="66"/>
      <c r="DN941" s="66"/>
      <c r="DO941" s="66"/>
      <c r="DP941" s="66"/>
      <c r="DQ941" s="66"/>
      <c r="DR941" s="66"/>
      <c r="DS941" s="66"/>
      <c r="DT941" s="66"/>
      <c r="DU941" s="66"/>
      <c r="DV941" s="66"/>
      <c r="DW941" s="66"/>
      <c r="DX941" s="66"/>
      <c r="DY941" s="66"/>
      <c r="DZ941" s="66"/>
      <c r="EA941" s="66"/>
      <c r="EB941" s="66"/>
      <c r="EC941" s="66"/>
      <c r="ED941" s="66"/>
      <c r="EE941" s="66"/>
      <c r="EF941" s="66"/>
      <c r="EG941" s="66"/>
      <c r="EH941" s="66"/>
      <c r="EI941" s="66"/>
      <c r="EJ941" s="66"/>
      <c r="EK941" s="66"/>
      <c r="EL941" s="66"/>
      <c r="EM941" s="66"/>
      <c r="EN941" s="66"/>
      <c r="EO941" s="66"/>
      <c r="EP941" s="66"/>
      <c r="EQ941" s="66"/>
      <c r="ER941" s="66"/>
      <c r="ES941" s="9"/>
      <c r="ET941" s="9"/>
      <c r="EU941" s="9"/>
      <c r="EV941" s="9"/>
      <c r="EW941" s="9"/>
      <c r="EX941" s="9"/>
      <c r="EY941" s="9"/>
      <c r="EZ941" s="9"/>
      <c r="FA941" s="9"/>
      <c r="FB941" s="9"/>
      <c r="FC941" s="9"/>
      <c r="FD941" s="9"/>
      <c r="FE941" s="9"/>
      <c r="FF941" s="9"/>
      <c r="FG941" s="9"/>
      <c r="FH941" s="9"/>
      <c r="FI941" s="9"/>
      <c r="FJ941" s="9"/>
      <c r="FK941" s="9"/>
      <c r="FL941" s="9"/>
      <c r="FM941" s="9"/>
      <c r="FN941" s="9"/>
      <c r="FO941" s="9"/>
      <c r="FP941" s="9"/>
    </row>
    <row r="942" customFormat="false" ht="15.75" hidden="false" customHeight="true" outlineLevel="0" collapsed="false">
      <c r="B942" s="112" t="s">
        <v>972</v>
      </c>
      <c r="C942" s="251" t="n">
        <f aca="false" t="array" ref="C942:C942">SUMPRODUCT((('⑫ Roll-out Plan'!$G$10:$G$97)&lt;=C$937)*('⑫ Roll-out Plan'!$O$10:$O$97))</f>
        <v>4</v>
      </c>
      <c r="D942" s="251" t="n">
        <f aca="false" t="array" ref="D942:D942">SUMPRODUCT((('⑫ Roll-out Plan'!$G$10:$G$97)&lt;=D$937)*('⑫ Roll-out Plan'!$O$10:$O$97))</f>
        <v>4</v>
      </c>
      <c r="E942" s="251" t="n">
        <f aca="false" t="array" ref="E942:E942">SUMPRODUCT((('⑫ Roll-out Plan'!$G$10:$G$97)&lt;=E$937)*('⑫ Roll-out Plan'!$O$10:$O$97))</f>
        <v>11</v>
      </c>
      <c r="F942" s="251" t="n">
        <f aca="false" t="array" ref="F942:F942">SUMPRODUCT((('⑫ Roll-out Plan'!$G$10:$G$97)&lt;=F$937)*('⑫ Roll-out Plan'!$O$10:$O$97))</f>
        <v>18</v>
      </c>
      <c r="G942" s="251" t="n">
        <f aca="false" t="array" ref="G942:G942">SUMPRODUCT((('⑫ Roll-out Plan'!$G$10:$G$97)&lt;=G$937)*('⑫ Roll-out Plan'!$O$10:$O$97))</f>
        <v>19</v>
      </c>
      <c r="H942" s="251" t="n">
        <f aca="false" t="array" ref="H942:H942">SUMPRODUCT((('⑫ Roll-out Plan'!$G$10:$G$97)&lt;=H$937)*('⑫ Roll-out Plan'!$O$10:$O$97))</f>
        <v>23</v>
      </c>
      <c r="I942" s="251" t="n">
        <f aca="false" t="array" ref="I942:I942">SUMPRODUCT((('⑫ Roll-out Plan'!$G$10:$G$97)&lt;=I$937)*('⑫ Roll-out Plan'!$O$10:$O$97))</f>
        <v>30</v>
      </c>
      <c r="J942" s="251" t="n">
        <f aca="false" t="array" ref="J942:J942">SUMPRODUCT((('⑫ Roll-out Plan'!$G$10:$G$97)&lt;=J$937)*('⑫ Roll-out Plan'!$O$10:$O$97))</f>
        <v>34</v>
      </c>
      <c r="K942" s="251" t="n">
        <f aca="false" t="array" ref="K942:K942">SUMPRODUCT((('⑫ Roll-out Plan'!$G$10:$G$97)&lt;=K$937)*('⑫ Roll-out Plan'!$O$10:$O$97))</f>
        <v>42</v>
      </c>
      <c r="L942" s="251" t="n">
        <f aca="false" t="array" ref="L942:L942">SUMPRODUCT((('⑫ Roll-out Plan'!$G$10:$G$97)&lt;=L$937)*('⑫ Roll-out Plan'!$O$10:$O$97))</f>
        <v>54</v>
      </c>
      <c r="M942" s="251" t="n">
        <f aca="false" t="array" ref="M942:M942">SUMPRODUCT((('⑫ Roll-out Plan'!$G$10:$G$97)&lt;=M$937)*('⑫ Roll-out Plan'!$O$10:$O$97))</f>
        <v>66</v>
      </c>
      <c r="N942" s="251" t="n">
        <f aca="false" t="array" ref="N942:N942">SUMPRODUCT((('⑫ Roll-out Plan'!$G$10:$G$97)&lt;=N$937)*('⑫ Roll-out Plan'!$O$10:$O$97))</f>
        <v>75</v>
      </c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  <c r="CA942" s="9"/>
      <c r="CB942" s="9"/>
      <c r="CC942" s="9"/>
      <c r="CD942" s="9"/>
      <c r="CE942" s="9"/>
      <c r="CF942" s="9"/>
      <c r="CG942" s="9"/>
      <c r="CH942" s="9"/>
      <c r="CI942" s="9"/>
      <c r="CJ942" s="9"/>
      <c r="CK942" s="9"/>
      <c r="CL942" s="9"/>
      <c r="CM942" s="9"/>
      <c r="CN942" s="9"/>
      <c r="CO942" s="9"/>
      <c r="CP942" s="9"/>
      <c r="CQ942" s="9"/>
      <c r="CR942" s="9"/>
      <c r="CS942" s="9"/>
      <c r="CT942" s="9"/>
      <c r="CU942" s="9"/>
      <c r="CV942" s="9"/>
      <c r="CW942" s="9"/>
      <c r="CX942" s="9"/>
      <c r="CY942" s="9"/>
      <c r="CZ942" s="9"/>
      <c r="DA942" s="9"/>
      <c r="DB942" s="9"/>
      <c r="DC942" s="9"/>
      <c r="DD942" s="9"/>
      <c r="DE942" s="9"/>
      <c r="DF942" s="9"/>
      <c r="DG942" s="9"/>
      <c r="DH942" s="9"/>
      <c r="DI942" s="9"/>
      <c r="DJ942" s="9"/>
      <c r="DK942" s="9"/>
      <c r="DL942" s="9"/>
      <c r="DM942" s="9"/>
      <c r="DN942" s="9"/>
      <c r="DO942" s="9"/>
      <c r="DP942" s="9"/>
      <c r="DQ942" s="9"/>
      <c r="DR942" s="9"/>
      <c r="DS942" s="9"/>
      <c r="DT942" s="9"/>
      <c r="DU942" s="9"/>
      <c r="DV942" s="9"/>
      <c r="DW942" s="9"/>
      <c r="DX942" s="9"/>
      <c r="DY942" s="9"/>
      <c r="DZ942" s="9"/>
      <c r="EA942" s="9"/>
      <c r="EB942" s="9"/>
      <c r="EC942" s="9"/>
      <c r="ED942" s="9"/>
      <c r="EE942" s="9"/>
      <c r="EF942" s="9"/>
      <c r="EG942" s="9"/>
      <c r="EH942" s="9"/>
      <c r="EI942" s="9"/>
      <c r="EJ942" s="9"/>
      <c r="EK942" s="9"/>
      <c r="EL942" s="9"/>
      <c r="EM942" s="9"/>
      <c r="EN942" s="9"/>
      <c r="EO942" s="9"/>
      <c r="EP942" s="9"/>
      <c r="EQ942" s="9"/>
      <c r="ER942" s="9"/>
      <c r="ES942" s="9"/>
      <c r="ET942" s="9"/>
      <c r="EU942" s="9"/>
      <c r="EV942" s="9"/>
      <c r="EW942" s="9"/>
      <c r="EX942" s="9"/>
      <c r="EY942" s="9"/>
      <c r="EZ942" s="9"/>
      <c r="FA942" s="9"/>
      <c r="FB942" s="9"/>
      <c r="FC942" s="9"/>
      <c r="FD942" s="9"/>
      <c r="FE942" s="9"/>
      <c r="FF942" s="9"/>
      <c r="FG942" s="9"/>
      <c r="FH942" s="9"/>
      <c r="FI942" s="9"/>
      <c r="FJ942" s="9"/>
      <c r="FK942" s="9"/>
      <c r="FL942" s="9"/>
      <c r="FM942" s="9"/>
      <c r="FN942" s="9"/>
      <c r="FO942" s="9"/>
      <c r="FP942" s="9"/>
    </row>
    <row r="943" customFormat="false" ht="15" hidden="false" customHeight="false" outlineLevel="0" collapsed="false">
      <c r="B943" s="9" t="s">
        <v>973</v>
      </c>
      <c r="C943" s="252" t="n">
        <f aca="false">SUM(AC925:AN925)</f>
        <v>1586.049</v>
      </c>
      <c r="D943" s="252" t="n">
        <f aca="false">SUM(AO925:AZ925)</f>
        <v>5033.8396</v>
      </c>
      <c r="E943" s="252" t="n">
        <f aca="false">SUM(BA925:BL925)</f>
        <v>11165.8938</v>
      </c>
      <c r="F943" s="252" t="n">
        <f aca="false">SUM(BM925:BX925)</f>
        <v>21735.573</v>
      </c>
      <c r="G943" s="252" t="n">
        <f aca="false">SUM(BY925:CJ925)</f>
        <v>34763.6268</v>
      </c>
      <c r="H943" s="252" t="n">
        <f aca="false">SUM(CK925:CV925)</f>
        <v>46557.9246</v>
      </c>
      <c r="I943" s="252" t="n">
        <f aca="false">SUM(CW925:DH925)</f>
        <v>58061.2738</v>
      </c>
      <c r="J943" s="252" t="n">
        <f aca="false">SUM(DI925:DT925)</f>
        <v>70004.6592</v>
      </c>
      <c r="K943" s="252" t="n">
        <f aca="false">SUM(DU925:EF925)</f>
        <v>81309.0272</v>
      </c>
      <c r="L943" s="252" t="n">
        <f aca="false">SUM(EG925:ER925)</f>
        <v>97481.5948</v>
      </c>
      <c r="M943" s="252" t="n">
        <f aca="false">SUM(ES925:FD925)</f>
        <v>117744.9916</v>
      </c>
      <c r="N943" s="252" t="n">
        <f aca="false">SUM(FE925:FP925)</f>
        <v>140417.164</v>
      </c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  <c r="CA943" s="9"/>
      <c r="CB943" s="9"/>
      <c r="CC943" s="9"/>
      <c r="CD943" s="9"/>
      <c r="CE943" s="9"/>
      <c r="CF943" s="9"/>
      <c r="CG943" s="9"/>
      <c r="CH943" s="9"/>
      <c r="CI943" s="9"/>
      <c r="CJ943" s="9"/>
      <c r="CK943" s="9"/>
      <c r="CL943" s="9"/>
      <c r="CM943" s="9"/>
      <c r="CN943" s="9"/>
      <c r="CO943" s="9"/>
      <c r="CP943" s="9"/>
      <c r="CQ943" s="9"/>
      <c r="CR943" s="9"/>
      <c r="CS943" s="9"/>
      <c r="CT943" s="9"/>
      <c r="CU943" s="9"/>
      <c r="CV943" s="9"/>
      <c r="CW943" s="9"/>
      <c r="CX943" s="9"/>
      <c r="CY943" s="9"/>
      <c r="CZ943" s="9"/>
      <c r="DA943" s="9"/>
      <c r="DB943" s="9"/>
      <c r="DC943" s="9"/>
      <c r="DD943" s="9"/>
      <c r="DE943" s="9"/>
      <c r="DF943" s="9"/>
      <c r="DG943" s="9"/>
      <c r="DH943" s="9"/>
      <c r="DI943" s="9"/>
      <c r="DJ943" s="9"/>
      <c r="DK943" s="9"/>
      <c r="DL943" s="9"/>
      <c r="DM943" s="9"/>
      <c r="DN943" s="9"/>
      <c r="DO943" s="9"/>
      <c r="DP943" s="9"/>
      <c r="DQ943" s="9"/>
      <c r="DR943" s="9"/>
      <c r="DS943" s="9"/>
      <c r="DT943" s="9"/>
      <c r="DU943" s="9"/>
      <c r="DV943" s="9"/>
      <c r="DW943" s="9"/>
      <c r="DX943" s="9"/>
      <c r="DY943" s="9"/>
      <c r="DZ943" s="9"/>
      <c r="EA943" s="9"/>
      <c r="EB943" s="9"/>
      <c r="EC943" s="9"/>
      <c r="ED943" s="9"/>
      <c r="EE943" s="9"/>
      <c r="EF943" s="9"/>
      <c r="EG943" s="9"/>
      <c r="EH943" s="9"/>
      <c r="EI943" s="9"/>
      <c r="EJ943" s="9"/>
      <c r="EK943" s="9"/>
      <c r="EL943" s="9"/>
      <c r="EM943" s="9"/>
      <c r="EN943" s="9"/>
      <c r="EO943" s="9"/>
      <c r="EP943" s="9"/>
      <c r="EQ943" s="9"/>
      <c r="ER943" s="9"/>
      <c r="ES943" s="9"/>
      <c r="ET943" s="9"/>
      <c r="EU943" s="9"/>
      <c r="EV943" s="9"/>
      <c r="EW943" s="9"/>
      <c r="EX943" s="9"/>
      <c r="EY943" s="9"/>
      <c r="EZ943" s="9"/>
      <c r="FA943" s="9"/>
      <c r="FB943" s="9"/>
      <c r="FC943" s="9"/>
      <c r="FD943" s="9"/>
      <c r="FE943" s="9"/>
      <c r="FF943" s="9"/>
      <c r="FG943" s="9"/>
      <c r="FH943" s="9"/>
      <c r="FI943" s="9"/>
      <c r="FJ943" s="9"/>
      <c r="FK943" s="9"/>
      <c r="FL943" s="9"/>
      <c r="FM943" s="9"/>
      <c r="FN943" s="9"/>
      <c r="FO943" s="9"/>
      <c r="FP943" s="9"/>
    </row>
    <row r="944" customFormat="false" ht="15" hidden="false" customHeight="false" outlineLevel="0" collapsed="false"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9"/>
      <c r="CN944" s="9"/>
      <c r="CO944" s="9"/>
      <c r="CP944" s="9"/>
      <c r="CQ944" s="9"/>
      <c r="CR944" s="9"/>
      <c r="CS944" s="9"/>
      <c r="CT944" s="9"/>
      <c r="CU944" s="9"/>
      <c r="CV944" s="9"/>
      <c r="CW944" s="9"/>
      <c r="CX944" s="9"/>
      <c r="CY944" s="9"/>
      <c r="CZ944" s="9"/>
      <c r="DA944" s="9"/>
      <c r="DB944" s="9"/>
      <c r="DC944" s="9"/>
      <c r="DD944" s="9"/>
      <c r="DE944" s="9"/>
      <c r="DF944" s="9"/>
      <c r="DG944" s="9"/>
      <c r="DH944" s="9"/>
      <c r="DI944" s="9"/>
      <c r="DJ944" s="9"/>
      <c r="DK944" s="9"/>
      <c r="DL944" s="9"/>
      <c r="DM944" s="9"/>
      <c r="DN944" s="9"/>
      <c r="DO944" s="9"/>
      <c r="DP944" s="9"/>
      <c r="DQ944" s="9"/>
      <c r="DR944" s="9"/>
      <c r="DS944" s="9"/>
      <c r="DT944" s="9"/>
      <c r="DU944" s="9"/>
      <c r="DV944" s="9"/>
      <c r="DW944" s="9"/>
      <c r="DX944" s="9"/>
      <c r="DY944" s="9"/>
      <c r="DZ944" s="9"/>
      <c r="EA944" s="9"/>
      <c r="EB944" s="9"/>
      <c r="EC944" s="9"/>
      <c r="ED944" s="9"/>
      <c r="EE944" s="9"/>
      <c r="EF944" s="9"/>
      <c r="EG944" s="9"/>
      <c r="EH944" s="9"/>
      <c r="EI944" s="9"/>
      <c r="EJ944" s="9"/>
      <c r="EK944" s="9"/>
      <c r="EL944" s="9"/>
      <c r="EM944" s="9"/>
      <c r="EN944" s="9"/>
      <c r="EO944" s="9"/>
      <c r="EP944" s="9"/>
      <c r="EQ944" s="9"/>
      <c r="ER944" s="9"/>
      <c r="ES944" s="9"/>
      <c r="ET944" s="9"/>
      <c r="EU944" s="9"/>
      <c r="EV944" s="9"/>
      <c r="EW944" s="9"/>
      <c r="EX944" s="9"/>
      <c r="EY944" s="9"/>
      <c r="EZ944" s="9"/>
      <c r="FA944" s="9"/>
      <c r="FB944" s="9"/>
      <c r="FC944" s="9"/>
      <c r="FD944" s="9"/>
      <c r="FE944" s="9"/>
      <c r="FF944" s="9"/>
      <c r="FG944" s="9"/>
      <c r="FH944" s="9"/>
      <c r="FI944" s="9"/>
      <c r="FJ944" s="9"/>
      <c r="FK944" s="9"/>
      <c r="FL944" s="9"/>
      <c r="FM944" s="9"/>
      <c r="FN944" s="9"/>
      <c r="FO944" s="9"/>
      <c r="FP944" s="9"/>
    </row>
    <row r="945" customFormat="false" ht="15" hidden="false" customHeight="false" outlineLevel="0" collapsed="false"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  <c r="CA945" s="9"/>
      <c r="CB945" s="9"/>
      <c r="CC945" s="9"/>
      <c r="CD945" s="9"/>
      <c r="CE945" s="9"/>
      <c r="CF945" s="9"/>
      <c r="CG945" s="9"/>
      <c r="CH945" s="9"/>
      <c r="CI945" s="9"/>
      <c r="CJ945" s="9"/>
      <c r="CK945" s="9"/>
      <c r="CL945" s="9"/>
      <c r="CM945" s="9"/>
      <c r="CN945" s="9"/>
      <c r="CO945" s="9"/>
      <c r="CP945" s="9"/>
      <c r="CQ945" s="9"/>
      <c r="CR945" s="9"/>
      <c r="CS945" s="9"/>
      <c r="CT945" s="9"/>
      <c r="CU945" s="9"/>
      <c r="CV945" s="9"/>
      <c r="CW945" s="9"/>
      <c r="CX945" s="9"/>
      <c r="CY945" s="9"/>
      <c r="CZ945" s="9"/>
      <c r="DA945" s="9"/>
      <c r="DB945" s="9"/>
      <c r="DC945" s="9"/>
      <c r="DD945" s="9"/>
      <c r="DE945" s="9"/>
      <c r="DF945" s="9"/>
      <c r="DG945" s="9"/>
      <c r="DH945" s="9"/>
      <c r="DI945" s="9"/>
      <c r="DJ945" s="9"/>
      <c r="DK945" s="9"/>
      <c r="DL945" s="9"/>
      <c r="DM945" s="9"/>
      <c r="DN945" s="9"/>
      <c r="DO945" s="9"/>
      <c r="DP945" s="9"/>
      <c r="DQ945" s="9"/>
      <c r="DR945" s="9"/>
      <c r="DS945" s="9"/>
      <c r="DT945" s="9"/>
      <c r="DU945" s="9"/>
      <c r="DV945" s="9"/>
      <c r="DW945" s="9"/>
      <c r="DX945" s="9"/>
      <c r="DY945" s="9"/>
      <c r="DZ945" s="9"/>
      <c r="EA945" s="9"/>
      <c r="EB945" s="9"/>
      <c r="EC945" s="9"/>
      <c r="ED945" s="9"/>
      <c r="EE945" s="9"/>
      <c r="EF945" s="9"/>
      <c r="EG945" s="9"/>
      <c r="EH945" s="9"/>
      <c r="EI945" s="9"/>
      <c r="EJ945" s="9"/>
      <c r="EK945" s="9"/>
      <c r="EL945" s="9"/>
      <c r="EM945" s="9"/>
      <c r="EN945" s="9"/>
      <c r="EO945" s="9"/>
      <c r="EP945" s="9"/>
      <c r="EQ945" s="9"/>
      <c r="ER945" s="9"/>
      <c r="ES945" s="9"/>
      <c r="ET945" s="9"/>
      <c r="EU945" s="9"/>
      <c r="EV945" s="9"/>
      <c r="EW945" s="9"/>
      <c r="EX945" s="9"/>
      <c r="EY945" s="9"/>
      <c r="EZ945" s="9"/>
      <c r="FA945" s="9"/>
      <c r="FB945" s="9"/>
      <c r="FC945" s="9"/>
      <c r="FD945" s="9"/>
      <c r="FE945" s="9"/>
      <c r="FF945" s="9"/>
      <c r="FG945" s="9"/>
      <c r="FH945" s="9"/>
      <c r="FI945" s="9"/>
      <c r="FJ945" s="9"/>
      <c r="FK945" s="9"/>
      <c r="FL945" s="9"/>
      <c r="FM945" s="9"/>
      <c r="FN945" s="9"/>
      <c r="FO945" s="9"/>
      <c r="FP945" s="9"/>
    </row>
    <row r="946" customFormat="false" ht="15" hidden="false" customHeight="false" outlineLevel="0" collapsed="false"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  <c r="CO946" s="9"/>
      <c r="CP946" s="9"/>
      <c r="CQ946" s="9"/>
      <c r="CR946" s="9"/>
      <c r="CS946" s="9"/>
      <c r="CT946" s="9"/>
      <c r="CU946" s="9"/>
      <c r="CV946" s="9"/>
      <c r="CW946" s="9"/>
      <c r="CX946" s="9"/>
      <c r="CY946" s="9"/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9"/>
      <c r="DK946" s="9"/>
      <c r="DL946" s="9"/>
      <c r="DM946" s="9"/>
      <c r="DN946" s="9"/>
      <c r="DO946" s="9"/>
      <c r="DP946" s="9"/>
      <c r="DQ946" s="9"/>
      <c r="DR946" s="9"/>
      <c r="DS946" s="9"/>
      <c r="DT946" s="9"/>
      <c r="DU946" s="9"/>
      <c r="DV946" s="9"/>
      <c r="DW946" s="9"/>
      <c r="DX946" s="9"/>
      <c r="DY946" s="9"/>
      <c r="DZ946" s="9"/>
      <c r="EA946" s="9"/>
      <c r="EB946" s="9"/>
      <c r="EC946" s="9"/>
      <c r="ED946" s="9"/>
      <c r="EE946" s="9"/>
      <c r="EF946" s="9"/>
      <c r="EG946" s="9"/>
      <c r="EH946" s="9"/>
      <c r="EI946" s="9"/>
      <c r="EJ946" s="9"/>
      <c r="EK946" s="9"/>
      <c r="EL946" s="9"/>
      <c r="EM946" s="9"/>
      <c r="EN946" s="9"/>
      <c r="EO946" s="9"/>
      <c r="EP946" s="9"/>
      <c r="EQ946" s="9"/>
      <c r="ER946" s="9"/>
      <c r="ES946" s="9"/>
      <c r="ET946" s="9"/>
      <c r="EU946" s="9"/>
      <c r="EV946" s="9"/>
      <c r="EW946" s="9"/>
      <c r="EX946" s="9"/>
      <c r="EY946" s="9"/>
      <c r="EZ946" s="9"/>
      <c r="FA946" s="9"/>
      <c r="FB946" s="9"/>
      <c r="FC946" s="9"/>
      <c r="FD946" s="9"/>
      <c r="FE946" s="9"/>
      <c r="FF946" s="9"/>
      <c r="FG946" s="9"/>
      <c r="FH946" s="9"/>
      <c r="FI946" s="9"/>
      <c r="FJ946" s="9"/>
      <c r="FK946" s="9"/>
      <c r="FL946" s="9"/>
      <c r="FM946" s="9"/>
      <c r="FN946" s="9"/>
      <c r="FO946" s="9"/>
      <c r="FP946" s="9"/>
    </row>
    <row r="947" customFormat="false" ht="15" hidden="false" customHeight="false" outlineLevel="0" collapsed="false"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  <c r="CA947" s="9"/>
      <c r="CB947" s="9"/>
      <c r="CC947" s="9"/>
      <c r="CD947" s="9"/>
      <c r="CE947" s="9"/>
      <c r="CF947" s="9"/>
      <c r="CG947" s="9"/>
      <c r="CH947" s="9"/>
      <c r="CI947" s="9"/>
      <c r="CJ947" s="9"/>
      <c r="CK947" s="9"/>
      <c r="CL947" s="9"/>
      <c r="CM947" s="9"/>
      <c r="CN947" s="9"/>
      <c r="CO947" s="9"/>
      <c r="CP947" s="9"/>
      <c r="CQ947" s="9"/>
      <c r="CR947" s="9"/>
      <c r="CS947" s="9"/>
      <c r="CT947" s="9"/>
      <c r="CU947" s="9"/>
      <c r="CV947" s="9"/>
      <c r="CW947" s="9"/>
      <c r="CX947" s="9"/>
      <c r="CY947" s="9"/>
      <c r="CZ947" s="9"/>
      <c r="DA947" s="9"/>
      <c r="DB947" s="9"/>
      <c r="DC947" s="9"/>
      <c r="DD947" s="9"/>
      <c r="DE947" s="9"/>
      <c r="DF947" s="9"/>
      <c r="DG947" s="9"/>
      <c r="DH947" s="9"/>
      <c r="DI947" s="9"/>
      <c r="DJ947" s="9"/>
      <c r="DK947" s="9"/>
      <c r="DL947" s="9"/>
      <c r="DM947" s="9"/>
      <c r="DN947" s="9"/>
      <c r="DO947" s="9"/>
      <c r="DP947" s="9"/>
      <c r="DQ947" s="9"/>
      <c r="DR947" s="9"/>
      <c r="DS947" s="9"/>
      <c r="DT947" s="9"/>
      <c r="DU947" s="9"/>
      <c r="DV947" s="9"/>
      <c r="DW947" s="9"/>
      <c r="DX947" s="9"/>
      <c r="DY947" s="9"/>
      <c r="DZ947" s="9"/>
      <c r="EA947" s="9"/>
      <c r="EB947" s="9"/>
      <c r="EC947" s="9"/>
      <c r="ED947" s="9"/>
      <c r="EE947" s="9"/>
      <c r="EF947" s="9"/>
      <c r="EG947" s="9"/>
      <c r="EH947" s="9"/>
      <c r="EI947" s="9"/>
      <c r="EJ947" s="9"/>
      <c r="EK947" s="9"/>
      <c r="EL947" s="9"/>
      <c r="EM947" s="9"/>
      <c r="EN947" s="9"/>
      <c r="EO947" s="9"/>
      <c r="EP947" s="9"/>
      <c r="EQ947" s="9"/>
      <c r="ER947" s="9"/>
      <c r="ES947" s="9"/>
      <c r="ET947" s="9"/>
      <c r="EU947" s="9"/>
      <c r="EV947" s="9"/>
      <c r="EW947" s="9"/>
      <c r="EX947" s="9"/>
      <c r="EY947" s="9"/>
      <c r="EZ947" s="9"/>
      <c r="FA947" s="9"/>
      <c r="FB947" s="9"/>
      <c r="FC947" s="9"/>
      <c r="FD947" s="9"/>
      <c r="FE947" s="9"/>
      <c r="FF947" s="9"/>
      <c r="FG947" s="9"/>
      <c r="FH947" s="9"/>
      <c r="FI947" s="9"/>
      <c r="FJ947" s="9"/>
      <c r="FK947" s="9"/>
      <c r="FL947" s="9"/>
      <c r="FM947" s="9"/>
      <c r="FN947" s="9"/>
      <c r="FO947" s="9"/>
      <c r="FP947" s="9"/>
    </row>
    <row r="948" customFormat="false" ht="15" hidden="false" customHeight="false" outlineLevel="0" collapsed="false">
      <c r="B948" s="241" t="s">
        <v>974</v>
      </c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  <c r="CA948" s="9"/>
      <c r="CB948" s="9"/>
      <c r="CC948" s="9"/>
      <c r="CD948" s="9"/>
      <c r="CE948" s="9"/>
      <c r="CF948" s="9"/>
      <c r="CG948" s="9"/>
      <c r="CH948" s="9"/>
      <c r="CI948" s="9"/>
      <c r="CJ948" s="9"/>
      <c r="CK948" s="9"/>
      <c r="CL948" s="9"/>
      <c r="CM948" s="9"/>
      <c r="CN948" s="9"/>
      <c r="CO948" s="9"/>
      <c r="CP948" s="9"/>
      <c r="CQ948" s="9"/>
      <c r="CR948" s="9"/>
      <c r="CS948" s="9"/>
      <c r="CT948" s="9"/>
      <c r="CU948" s="9"/>
      <c r="CV948" s="9"/>
      <c r="CW948" s="9"/>
      <c r="CX948" s="9"/>
      <c r="CY948" s="9"/>
      <c r="CZ948" s="9"/>
      <c r="DA948" s="9"/>
      <c r="DB948" s="9"/>
      <c r="DC948" s="9"/>
      <c r="DD948" s="9"/>
      <c r="DE948" s="9"/>
      <c r="DF948" s="9"/>
      <c r="DG948" s="9"/>
      <c r="DH948" s="9"/>
      <c r="DI948" s="9"/>
      <c r="DJ948" s="9"/>
      <c r="DK948" s="9"/>
      <c r="DL948" s="9"/>
      <c r="DM948" s="9"/>
      <c r="DN948" s="9"/>
      <c r="DO948" s="9"/>
      <c r="DP948" s="9"/>
      <c r="DQ948" s="9"/>
      <c r="DR948" s="9"/>
      <c r="DS948" s="9"/>
      <c r="DT948" s="9"/>
      <c r="DU948" s="9"/>
      <c r="DV948" s="9"/>
      <c r="DW948" s="9"/>
      <c r="DX948" s="9"/>
      <c r="DY948" s="9"/>
      <c r="DZ948" s="9"/>
      <c r="EA948" s="9"/>
      <c r="EB948" s="9"/>
      <c r="EC948" s="9"/>
      <c r="ED948" s="9"/>
      <c r="EE948" s="9"/>
      <c r="EF948" s="9"/>
      <c r="EG948" s="9"/>
      <c r="EH948" s="9"/>
      <c r="EI948" s="9"/>
      <c r="EJ948" s="9"/>
      <c r="EK948" s="9"/>
      <c r="EL948" s="9"/>
      <c r="EM948" s="9"/>
      <c r="EN948" s="9"/>
      <c r="EO948" s="9"/>
      <c r="EP948" s="9"/>
      <c r="EQ948" s="9"/>
      <c r="ER948" s="9"/>
      <c r="ES948" s="9"/>
      <c r="ET948" s="9"/>
      <c r="EU948" s="9"/>
      <c r="EV948" s="9"/>
      <c r="EW948" s="9"/>
      <c r="EX948" s="9"/>
      <c r="EY948" s="9"/>
      <c r="EZ948" s="9"/>
      <c r="FA948" s="9"/>
      <c r="FB948" s="9"/>
      <c r="FC948" s="9"/>
      <c r="FD948" s="9"/>
      <c r="FE948" s="9"/>
      <c r="FF948" s="9"/>
      <c r="FG948" s="9"/>
      <c r="FH948" s="9"/>
      <c r="FI948" s="9"/>
      <c r="FJ948" s="9"/>
      <c r="FK948" s="9"/>
      <c r="FL948" s="9"/>
      <c r="FM948" s="9"/>
      <c r="FN948" s="9"/>
      <c r="FO948" s="9"/>
      <c r="FP948" s="9"/>
    </row>
    <row r="949" customFormat="false" ht="15" hidden="false" customHeight="false" outlineLevel="0" collapsed="false">
      <c r="B949" s="26" t="s">
        <v>664</v>
      </c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  <c r="AA949" s="26"/>
      <c r="AB949" s="26"/>
      <c r="AC949" s="160" t="n">
        <f aca="false">AC36</f>
        <v>45658</v>
      </c>
      <c r="AD949" s="160" t="n">
        <f aca="false">AD36</f>
        <v>45689</v>
      </c>
      <c r="AE949" s="160" t="n">
        <f aca="false">AE36</f>
        <v>45717</v>
      </c>
      <c r="AF949" s="160" t="n">
        <f aca="false">AF36</f>
        <v>45748</v>
      </c>
      <c r="AG949" s="160" t="n">
        <f aca="false">AG36</f>
        <v>45778</v>
      </c>
      <c r="AH949" s="160" t="n">
        <f aca="false">AH36</f>
        <v>45809</v>
      </c>
      <c r="AI949" s="160" t="n">
        <f aca="false">AI36</f>
        <v>45839</v>
      </c>
      <c r="AJ949" s="160" t="n">
        <f aca="false">AJ36</f>
        <v>45870</v>
      </c>
      <c r="AK949" s="160" t="n">
        <f aca="false">AK36</f>
        <v>45901</v>
      </c>
      <c r="AL949" s="160" t="n">
        <f aca="false">AL36</f>
        <v>45931</v>
      </c>
      <c r="AM949" s="160" t="n">
        <f aca="false">AM36</f>
        <v>45962</v>
      </c>
      <c r="AN949" s="160" t="n">
        <f aca="false">AN36</f>
        <v>45992</v>
      </c>
      <c r="AO949" s="160" t="n">
        <f aca="false">AO36</f>
        <v>46023</v>
      </c>
      <c r="AP949" s="160" t="n">
        <f aca="false">AP36</f>
        <v>46054</v>
      </c>
      <c r="AQ949" s="160" t="n">
        <f aca="false">AQ36</f>
        <v>46082</v>
      </c>
      <c r="AR949" s="160" t="n">
        <f aca="false">AR36</f>
        <v>46113</v>
      </c>
      <c r="AS949" s="160" t="n">
        <f aca="false">AS36</f>
        <v>46143</v>
      </c>
      <c r="AT949" s="160" t="n">
        <f aca="false">AT36</f>
        <v>46174</v>
      </c>
      <c r="AU949" s="160" t="n">
        <f aca="false">AU36</f>
        <v>46204</v>
      </c>
      <c r="AV949" s="160" t="n">
        <f aca="false">AV36</f>
        <v>46235</v>
      </c>
      <c r="AW949" s="160" t="n">
        <f aca="false">AW36</f>
        <v>46266</v>
      </c>
      <c r="AX949" s="160" t="n">
        <f aca="false">AX36</f>
        <v>46296</v>
      </c>
      <c r="AY949" s="160" t="n">
        <f aca="false">AY36</f>
        <v>46327</v>
      </c>
      <c r="AZ949" s="160" t="n">
        <f aca="false">AZ36</f>
        <v>46357</v>
      </c>
      <c r="BA949" s="160" t="n">
        <f aca="false">BA36</f>
        <v>46388</v>
      </c>
      <c r="BB949" s="160" t="n">
        <f aca="false">BB36</f>
        <v>46419</v>
      </c>
      <c r="BC949" s="160" t="n">
        <f aca="false">BC36</f>
        <v>46447</v>
      </c>
      <c r="BD949" s="160" t="n">
        <f aca="false">BD36</f>
        <v>46478</v>
      </c>
      <c r="BE949" s="160" t="n">
        <f aca="false">BE36</f>
        <v>46508</v>
      </c>
      <c r="BF949" s="160" t="n">
        <f aca="false">BF36</f>
        <v>46539</v>
      </c>
      <c r="BG949" s="160" t="n">
        <f aca="false">BG36</f>
        <v>46569</v>
      </c>
      <c r="BH949" s="160" t="n">
        <f aca="false">BH36</f>
        <v>46600</v>
      </c>
      <c r="BI949" s="160" t="n">
        <f aca="false">BI36</f>
        <v>46631</v>
      </c>
      <c r="BJ949" s="160" t="n">
        <f aca="false">BJ36</f>
        <v>46661</v>
      </c>
      <c r="BK949" s="160" t="n">
        <f aca="false">BK36</f>
        <v>46692</v>
      </c>
      <c r="BL949" s="160" t="n">
        <f aca="false">BL36</f>
        <v>46722</v>
      </c>
      <c r="BM949" s="160" t="n">
        <f aca="false">BM36</f>
        <v>46753</v>
      </c>
      <c r="BN949" s="160" t="n">
        <f aca="false">BN36</f>
        <v>46784</v>
      </c>
      <c r="BO949" s="160" t="n">
        <f aca="false">BO36</f>
        <v>46813</v>
      </c>
      <c r="BP949" s="160" t="n">
        <f aca="false">BP36</f>
        <v>46844</v>
      </c>
      <c r="BQ949" s="160" t="n">
        <f aca="false">BQ36</f>
        <v>46874</v>
      </c>
      <c r="BR949" s="160" t="n">
        <f aca="false">BR36</f>
        <v>46905</v>
      </c>
      <c r="BS949" s="160" t="n">
        <f aca="false">BS36</f>
        <v>46935</v>
      </c>
      <c r="BT949" s="160" t="n">
        <f aca="false">BT36</f>
        <v>46966</v>
      </c>
      <c r="BU949" s="160" t="n">
        <f aca="false">BU36</f>
        <v>46997</v>
      </c>
      <c r="BV949" s="160" t="n">
        <f aca="false">BV36</f>
        <v>47027</v>
      </c>
      <c r="BW949" s="160" t="n">
        <f aca="false">BW36</f>
        <v>47058</v>
      </c>
      <c r="BX949" s="160" t="n">
        <f aca="false">BX36</f>
        <v>47088</v>
      </c>
      <c r="BY949" s="160" t="n">
        <f aca="false">BY36</f>
        <v>47119</v>
      </c>
      <c r="BZ949" s="160" t="n">
        <f aca="false">BZ36</f>
        <v>47150</v>
      </c>
      <c r="CA949" s="160" t="n">
        <f aca="false">CA36</f>
        <v>47178</v>
      </c>
      <c r="CB949" s="160" t="n">
        <f aca="false">CB36</f>
        <v>47209</v>
      </c>
      <c r="CC949" s="160" t="n">
        <f aca="false">CC36</f>
        <v>47239</v>
      </c>
      <c r="CD949" s="160" t="n">
        <f aca="false">CD36</f>
        <v>47270</v>
      </c>
      <c r="CE949" s="160" t="n">
        <f aca="false">CE36</f>
        <v>47300</v>
      </c>
      <c r="CF949" s="160" t="n">
        <f aca="false">CF36</f>
        <v>47331</v>
      </c>
      <c r="CG949" s="160" t="n">
        <f aca="false">CG36</f>
        <v>47362</v>
      </c>
      <c r="CH949" s="160" t="n">
        <f aca="false">CH36</f>
        <v>47392</v>
      </c>
      <c r="CI949" s="160" t="n">
        <f aca="false">CI36</f>
        <v>47423</v>
      </c>
      <c r="CJ949" s="160" t="n">
        <f aca="false">CJ36</f>
        <v>47453</v>
      </c>
      <c r="CK949" s="160" t="n">
        <f aca="false">CK36</f>
        <v>47484</v>
      </c>
      <c r="CL949" s="160" t="n">
        <f aca="false">CL36</f>
        <v>47515</v>
      </c>
      <c r="CM949" s="160" t="n">
        <f aca="false">CM36</f>
        <v>47543</v>
      </c>
      <c r="CN949" s="160" t="n">
        <f aca="false">CN36</f>
        <v>47574</v>
      </c>
      <c r="CO949" s="160" t="n">
        <f aca="false">CO36</f>
        <v>47604</v>
      </c>
      <c r="CP949" s="160" t="n">
        <f aca="false">CP36</f>
        <v>47635</v>
      </c>
      <c r="CQ949" s="160" t="n">
        <f aca="false">CQ36</f>
        <v>47665</v>
      </c>
      <c r="CR949" s="160" t="n">
        <f aca="false">CR36</f>
        <v>47696</v>
      </c>
      <c r="CS949" s="160" t="n">
        <f aca="false">CS36</f>
        <v>47727</v>
      </c>
      <c r="CT949" s="160" t="n">
        <f aca="false">CT36</f>
        <v>47757</v>
      </c>
      <c r="CU949" s="160" t="n">
        <f aca="false">CU36</f>
        <v>47788</v>
      </c>
      <c r="CV949" s="160" t="n">
        <f aca="false">CV36</f>
        <v>47818</v>
      </c>
      <c r="CW949" s="160" t="n">
        <f aca="false">CW36</f>
        <v>47849</v>
      </c>
      <c r="CX949" s="160" t="n">
        <f aca="false">CX36</f>
        <v>47880</v>
      </c>
      <c r="CY949" s="160" t="n">
        <f aca="false">CY36</f>
        <v>47908</v>
      </c>
      <c r="CZ949" s="160" t="n">
        <f aca="false">CZ36</f>
        <v>47939</v>
      </c>
      <c r="DA949" s="160" t="n">
        <f aca="false">DA36</f>
        <v>47969</v>
      </c>
      <c r="DB949" s="160" t="n">
        <f aca="false">DB36</f>
        <v>48000</v>
      </c>
      <c r="DC949" s="160" t="n">
        <f aca="false">DC36</f>
        <v>48030</v>
      </c>
      <c r="DD949" s="160" t="n">
        <f aca="false">DD36</f>
        <v>48061</v>
      </c>
      <c r="DE949" s="160" t="n">
        <f aca="false">DE36</f>
        <v>48092</v>
      </c>
      <c r="DF949" s="160" t="n">
        <f aca="false">DF36</f>
        <v>48122</v>
      </c>
      <c r="DG949" s="160" t="n">
        <f aca="false">DG36</f>
        <v>48153</v>
      </c>
      <c r="DH949" s="160" t="n">
        <f aca="false">DH36</f>
        <v>48183</v>
      </c>
      <c r="DI949" s="160" t="n">
        <f aca="false">DI36</f>
        <v>48214</v>
      </c>
      <c r="DJ949" s="160" t="n">
        <f aca="false">DJ36</f>
        <v>48245</v>
      </c>
      <c r="DK949" s="160" t="n">
        <f aca="false">DK36</f>
        <v>48274</v>
      </c>
      <c r="DL949" s="160" t="n">
        <f aca="false">DL36</f>
        <v>48305</v>
      </c>
      <c r="DM949" s="160" t="n">
        <f aca="false">DM36</f>
        <v>48335</v>
      </c>
      <c r="DN949" s="160" t="n">
        <f aca="false">DN36</f>
        <v>48366</v>
      </c>
      <c r="DO949" s="160" t="n">
        <f aca="false">DO36</f>
        <v>48396</v>
      </c>
      <c r="DP949" s="160" t="n">
        <f aca="false">DP36</f>
        <v>48427</v>
      </c>
      <c r="DQ949" s="160" t="n">
        <f aca="false">DQ36</f>
        <v>48458</v>
      </c>
      <c r="DR949" s="160" t="n">
        <f aca="false">DR36</f>
        <v>48488</v>
      </c>
      <c r="DS949" s="160" t="n">
        <f aca="false">DS36</f>
        <v>48519</v>
      </c>
      <c r="DT949" s="160" t="n">
        <f aca="false">DT36</f>
        <v>48549</v>
      </c>
      <c r="DU949" s="160" t="n">
        <f aca="false">DU36</f>
        <v>48580</v>
      </c>
      <c r="DV949" s="160" t="n">
        <f aca="false">DV36</f>
        <v>48611</v>
      </c>
      <c r="DW949" s="160" t="n">
        <f aca="false">DW36</f>
        <v>48639</v>
      </c>
      <c r="DX949" s="160" t="n">
        <f aca="false">DX36</f>
        <v>48670</v>
      </c>
      <c r="DY949" s="160" t="n">
        <f aca="false">DY36</f>
        <v>48700</v>
      </c>
      <c r="DZ949" s="160" t="n">
        <f aca="false">DZ36</f>
        <v>48731</v>
      </c>
      <c r="EA949" s="160" t="n">
        <f aca="false">EA36</f>
        <v>48761</v>
      </c>
      <c r="EB949" s="160" t="n">
        <f aca="false">EB36</f>
        <v>48792</v>
      </c>
      <c r="EC949" s="160" t="n">
        <f aca="false">EC36</f>
        <v>48823</v>
      </c>
      <c r="ED949" s="160" t="n">
        <f aca="false">ED36</f>
        <v>48853</v>
      </c>
      <c r="EE949" s="160" t="n">
        <f aca="false">EE36</f>
        <v>48884</v>
      </c>
      <c r="EF949" s="160" t="n">
        <f aca="false">EF36</f>
        <v>48914</v>
      </c>
      <c r="EG949" s="160" t="n">
        <f aca="false">EG36</f>
        <v>48945</v>
      </c>
      <c r="EH949" s="160" t="n">
        <f aca="false">EH36</f>
        <v>48976</v>
      </c>
      <c r="EI949" s="160" t="n">
        <f aca="false">EI36</f>
        <v>49004</v>
      </c>
      <c r="EJ949" s="160" t="n">
        <f aca="false">EJ36</f>
        <v>49035</v>
      </c>
      <c r="EK949" s="160" t="n">
        <f aca="false">EK36</f>
        <v>49065</v>
      </c>
      <c r="EL949" s="160" t="n">
        <f aca="false">EL36</f>
        <v>49096</v>
      </c>
      <c r="EM949" s="160" t="n">
        <f aca="false">EM36</f>
        <v>49126</v>
      </c>
      <c r="EN949" s="160" t="n">
        <f aca="false">EN36</f>
        <v>49157</v>
      </c>
      <c r="EO949" s="160" t="n">
        <f aca="false">EO36</f>
        <v>49188</v>
      </c>
      <c r="EP949" s="160" t="n">
        <f aca="false">EP36</f>
        <v>49218</v>
      </c>
      <c r="EQ949" s="160" t="n">
        <f aca="false">EQ36</f>
        <v>49249</v>
      </c>
      <c r="ER949" s="160" t="n">
        <f aca="false">ER36</f>
        <v>49279</v>
      </c>
      <c r="ES949" s="9" t="n">
        <f aca="false">ES36</f>
        <v>49310</v>
      </c>
      <c r="ET949" s="9" t="n">
        <f aca="false">ET36</f>
        <v>49341</v>
      </c>
      <c r="EU949" s="9" t="n">
        <f aca="false">EU36</f>
        <v>49369</v>
      </c>
      <c r="EV949" s="9" t="n">
        <f aca="false">EV36</f>
        <v>49400</v>
      </c>
      <c r="EW949" s="9" t="n">
        <f aca="false">EW36</f>
        <v>49430</v>
      </c>
      <c r="EX949" s="9" t="n">
        <f aca="false">EX36</f>
        <v>49461</v>
      </c>
      <c r="EY949" s="9" t="n">
        <f aca="false">EY36</f>
        <v>49491</v>
      </c>
      <c r="EZ949" s="9" t="n">
        <f aca="false">EZ36</f>
        <v>49522</v>
      </c>
      <c r="FA949" s="9" t="n">
        <f aca="false">FA36</f>
        <v>49553</v>
      </c>
      <c r="FB949" s="9" t="n">
        <f aca="false">FB36</f>
        <v>49583</v>
      </c>
      <c r="FC949" s="9" t="n">
        <f aca="false">FC36</f>
        <v>49614</v>
      </c>
      <c r="FD949" s="9" t="n">
        <f aca="false">FD36</f>
        <v>49644</v>
      </c>
      <c r="FE949" s="9" t="n">
        <f aca="false">FE36</f>
        <v>49675</v>
      </c>
      <c r="FF949" s="9" t="n">
        <f aca="false">FF36</f>
        <v>49706</v>
      </c>
      <c r="FG949" s="9" t="n">
        <f aca="false">FG36</f>
        <v>49735</v>
      </c>
      <c r="FH949" s="9" t="n">
        <f aca="false">FH36</f>
        <v>49766</v>
      </c>
      <c r="FI949" s="9" t="n">
        <f aca="false">FI36</f>
        <v>49796</v>
      </c>
      <c r="FJ949" s="9" t="n">
        <f aca="false">FJ36</f>
        <v>49827</v>
      </c>
      <c r="FK949" s="9" t="n">
        <f aca="false">FK36</f>
        <v>49857</v>
      </c>
      <c r="FL949" s="9" t="n">
        <f aca="false">FL36</f>
        <v>49888</v>
      </c>
      <c r="FM949" s="9" t="n">
        <f aca="false">FM36</f>
        <v>49919</v>
      </c>
      <c r="FN949" s="9" t="n">
        <f aca="false">FN36</f>
        <v>49949</v>
      </c>
      <c r="FO949" s="9" t="n">
        <f aca="false">FO36</f>
        <v>49980</v>
      </c>
      <c r="FP949" s="9" t="n">
        <f aca="false">FP36</f>
        <v>50010</v>
      </c>
    </row>
    <row r="950" customFormat="false" ht="15" hidden="false" customHeight="false" outlineLevel="0" collapsed="false">
      <c r="B950" s="10" t="s">
        <v>975</v>
      </c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121" t="n">
        <f aca="false">MIN((AC49+AC50)*$C$5, $F$14)*'⑫ Roll-out Plan'!$O$10</f>
        <v>5942.16</v>
      </c>
      <c r="AD950" s="121" t="n">
        <f aca="false">MIN((AD49+AD50)*$C$5, $F$14)*'⑫ Roll-out Plan'!$O$10</f>
        <v>5723.40048</v>
      </c>
      <c r="AE950" s="121" t="n">
        <f aca="false">MIN((AE49+AE50)*$C$5, $F$14)*'⑫ Roll-out Plan'!$O$10</f>
        <v>8398.604928</v>
      </c>
      <c r="AF950" s="121" t="n">
        <f aca="false">MIN((AF49+AF50)*$C$5, $F$14)*'⑫ Roll-out Plan'!$O$10</f>
        <v>9371.2440864</v>
      </c>
      <c r="AG950" s="121" t="n">
        <f aca="false">MIN((AG49+AG50)*$C$5, $F$14)*'⑫ Roll-out Plan'!$O$10</f>
        <v>8201.325216</v>
      </c>
      <c r="AH950" s="121" t="n">
        <f aca="false">MIN((AH49+AH50)*$C$5, $F$14)*'⑫ Roll-out Plan'!$O$10</f>
        <v>8133.0916128</v>
      </c>
      <c r="AI950" s="121" t="n">
        <f aca="false">MIN((AI49+AI50)*$C$5, $F$14)*'⑫ Roll-out Plan'!$O$10</f>
        <v>9438.703008</v>
      </c>
      <c r="AJ950" s="121" t="n">
        <f aca="false">MIN((AJ49+AJ50)*$C$5, $F$14)*'⑫ Roll-out Plan'!$O$10</f>
        <v>16840.4423712</v>
      </c>
      <c r="AK950" s="121" t="n">
        <f aca="false">MIN((AK49+AK50)*$C$5, $F$14)*'⑫ Roll-out Plan'!$O$10</f>
        <v>16596.9546624</v>
      </c>
      <c r="AL950" s="121" t="n">
        <f aca="false">MIN((AL49+AL50)*$C$5, $F$14)*'⑫ Roll-out Plan'!$O$10</f>
        <v>14262.3460224</v>
      </c>
      <c r="AM950" s="121" t="n">
        <f aca="false">MIN((AM49+AM50)*$C$5, $F$14)*'⑫ Roll-out Plan'!$O$10</f>
        <v>12104.7697344</v>
      </c>
      <c r="AN950" s="121" t="n">
        <f aca="false">MIN((AN49+AN50)*$C$5, $F$14)*'⑫ Roll-out Plan'!$O$10</f>
        <v>16961.1342432</v>
      </c>
      <c r="AO950" s="121" t="n">
        <f aca="false">MIN((AO49+AO50)*$C$5, $F$14)*'⑫ Roll-out Plan'!$O$10</f>
        <v>19830.8630016</v>
      </c>
      <c r="AP950" s="121" t="n">
        <f aca="false">MIN((AP49+AP50)*$C$5, $F$14)*'⑫ Roll-out Plan'!$O$10</f>
        <v>17231.2428288</v>
      </c>
      <c r="AQ950" s="121" t="n">
        <f aca="false">MIN((AQ49+AQ50)*$C$5, $F$14)*'⑫ Roll-out Plan'!$O$10</f>
        <v>22743.8066688</v>
      </c>
      <c r="AR950" s="121" t="n">
        <f aca="false">MIN((AR49+AR50)*$C$5, $F$14)*'⑫ Roll-out Plan'!$O$10</f>
        <v>27404.185536</v>
      </c>
      <c r="AS950" s="121" t="n">
        <f aca="false">MIN((AS49+AS50)*$C$5, $F$14)*'⑫ Roll-out Plan'!$O$10</f>
        <v>25238.158176</v>
      </c>
      <c r="AT950" s="121" t="n">
        <f aca="false">MIN((AT49+AT50)*$C$5, $F$14)*'⑫ Roll-out Plan'!$O$10</f>
        <v>23477.4213408</v>
      </c>
      <c r="AU950" s="121" t="n">
        <f aca="false">MIN((AU49+AU50)*$C$5, $F$14)*'⑫ Roll-out Plan'!$O$10</f>
        <v>25037.56361904</v>
      </c>
      <c r="AV950" s="121" t="n">
        <f aca="false">MIN((AV49+AV50)*$C$5, $F$14)*'⑫ Roll-out Plan'!$O$10</f>
        <v>35000</v>
      </c>
      <c r="AW950" s="121" t="n">
        <f aca="false">MIN((AW49+AW50)*$C$5, $F$14)*'⑫ Roll-out Plan'!$O$10</f>
        <v>35000</v>
      </c>
      <c r="AX950" s="121" t="n">
        <f aca="false">MIN((AX49+AX50)*$C$5, $F$14)*'⑫ Roll-out Plan'!$O$10</f>
        <v>31840.3898148</v>
      </c>
      <c r="AY950" s="121" t="n">
        <f aca="false">MIN((AY49+AY50)*$C$5, $F$14)*'⑫ Roll-out Plan'!$O$10</f>
        <v>26280.03692328</v>
      </c>
      <c r="AZ950" s="121" t="n">
        <f aca="false">MIN((AZ49+AZ50)*$C$5, $F$14)*'⑫ Roll-out Plan'!$O$10</f>
        <v>34162.59870744</v>
      </c>
      <c r="BA950" s="121" t="n">
        <f aca="false">MIN((BA49+BA50)*$C$5, $F$14)*'⑫ Roll-out Plan'!$O$10</f>
        <v>35000</v>
      </c>
      <c r="BB950" s="121" t="n">
        <f aca="false">MIN((BB49+BB50)*$C$5, $F$14)*'⑫ Roll-out Plan'!$O$10</f>
        <v>31533.0756048</v>
      </c>
      <c r="BC950" s="121" t="n">
        <f aca="false">MIN((BC49+BC50)*$C$5, $F$14)*'⑫ Roll-out Plan'!$O$10</f>
        <v>35000</v>
      </c>
      <c r="BD950" s="121" t="n">
        <f aca="false">MIN((BD49+BD50)*$C$5, $F$14)*'⑫ Roll-out Plan'!$O$10</f>
        <v>35000</v>
      </c>
      <c r="BE950" s="121" t="n">
        <f aca="false">MIN((BE49+BE50)*$C$5, $F$14)*'⑫ Roll-out Plan'!$O$10</f>
        <v>35000</v>
      </c>
      <c r="BF950" s="121" t="n">
        <f aca="false">MIN((BF49+BF50)*$C$5, $F$14)*'⑫ Roll-out Plan'!$O$10</f>
        <v>34597.55843712</v>
      </c>
      <c r="BG950" s="121" t="n">
        <f aca="false">MIN((BG49+BG50)*$C$5, $F$14)*'⑫ Roll-out Plan'!$O$10</f>
        <v>35000</v>
      </c>
      <c r="BH950" s="121" t="n">
        <f aca="false">MIN((BH49+BH50)*$C$5, $F$14)*'⑫ Roll-out Plan'!$O$10</f>
        <v>35000</v>
      </c>
      <c r="BI950" s="121" t="n">
        <f aca="false">MIN((BI49+BI50)*$C$5, $F$14)*'⑫ Roll-out Plan'!$O$10</f>
        <v>35000</v>
      </c>
      <c r="BJ950" s="121" t="n">
        <f aca="false">MIN((BJ49+BJ50)*$C$5, $F$14)*'⑫ Roll-out Plan'!$O$10</f>
        <v>35000</v>
      </c>
      <c r="BK950" s="121" t="n">
        <f aca="false">MIN((BK49+BK50)*$C$5, $F$14)*'⑫ Roll-out Plan'!$O$10</f>
        <v>35000</v>
      </c>
      <c r="BL950" s="121" t="n">
        <f aca="false">MIN((BL49+BL50)*$C$5, $F$14)*'⑫ Roll-out Plan'!$O$10</f>
        <v>35000</v>
      </c>
      <c r="BM950" s="121" t="n">
        <f aca="false">MIN((BM49+BM50)*$C$5, $F$14)*'⑫ Roll-out Plan'!$O$10</f>
        <v>35000</v>
      </c>
      <c r="BN950" s="121" t="n">
        <f aca="false">MIN((BN49+BN50)*$C$5, $F$14)*'⑫ Roll-out Plan'!$O$10</f>
        <v>35000</v>
      </c>
      <c r="BO950" s="121" t="n">
        <f aca="false">MIN((BO49+BO50)*$C$5, $F$14)*'⑫ Roll-out Plan'!$O$10</f>
        <v>35000</v>
      </c>
      <c r="BP950" s="121" t="n">
        <f aca="false">MIN((BP49+BP50)*$C$5, $F$14)*'⑫ Roll-out Plan'!$O$10</f>
        <v>35000</v>
      </c>
      <c r="BQ950" s="121" t="n">
        <f aca="false">MIN((BQ49+BQ50)*$C$5, $F$14)*'⑫ Roll-out Plan'!$O$10</f>
        <v>35000</v>
      </c>
      <c r="BR950" s="121" t="n">
        <f aca="false">MIN((BR49+BR50)*$C$5, $F$14)*'⑫ Roll-out Plan'!$O$10</f>
        <v>35000</v>
      </c>
      <c r="BS950" s="121" t="n">
        <f aca="false">MIN((BS49+BS50)*$C$5, $F$14)*'⑫ Roll-out Plan'!$O$10</f>
        <v>35000</v>
      </c>
      <c r="BT950" s="121" t="n">
        <f aca="false">MIN((BT49+BT50)*$C$5, $F$14)*'⑫ Roll-out Plan'!$O$10</f>
        <v>35000</v>
      </c>
      <c r="BU950" s="121" t="n">
        <f aca="false">MIN((BU49+BU50)*$C$5, $F$14)*'⑫ Roll-out Plan'!$O$10</f>
        <v>35000</v>
      </c>
      <c r="BV950" s="121" t="n">
        <f aca="false">MIN((BV49+BV50)*$C$5, $F$14)*'⑫ Roll-out Plan'!$O$10</f>
        <v>35000</v>
      </c>
      <c r="BW950" s="121" t="n">
        <f aca="false">MIN((BW49+BW50)*$C$5, $F$14)*'⑫ Roll-out Plan'!$O$10</f>
        <v>35000</v>
      </c>
      <c r="BX950" s="121" t="n">
        <f aca="false">MIN((BX49+BX50)*$C$5, $F$14)*'⑫ Roll-out Plan'!$O$10</f>
        <v>35000</v>
      </c>
      <c r="BY950" s="121" t="n">
        <f aca="false">MIN((BY49+BY50)*$C$5, $F$14)*'⑫ Roll-out Plan'!$O$10</f>
        <v>35000</v>
      </c>
      <c r="BZ950" s="121" t="n">
        <f aca="false">MIN((BZ49+BZ50)*$C$5, $F$14)*'⑫ Roll-out Plan'!$O$10</f>
        <v>35000</v>
      </c>
      <c r="CA950" s="121" t="n">
        <f aca="false">MIN((CA49+CA50)*$C$5, $F$14)*'⑫ Roll-out Plan'!$O$10</f>
        <v>35000</v>
      </c>
      <c r="CB950" s="121" t="n">
        <f aca="false">MIN((CB49+CB50)*$C$5, $F$14)*'⑫ Roll-out Plan'!$O$10</f>
        <v>35000</v>
      </c>
      <c r="CC950" s="121" t="n">
        <f aca="false">MIN((CC49+CC50)*$C$5, $F$14)*'⑫ Roll-out Plan'!$O$10</f>
        <v>35000</v>
      </c>
      <c r="CD950" s="121" t="n">
        <f aca="false">MIN((CD49+CD50)*$C$5, $F$14)*'⑫ Roll-out Plan'!$O$10</f>
        <v>35000</v>
      </c>
      <c r="CE950" s="121" t="n">
        <f aca="false">MIN((CE49+CE50)*$C$5, $F$14)*'⑫ Roll-out Plan'!$O$10</f>
        <v>35000</v>
      </c>
      <c r="CF950" s="121" t="n">
        <f aca="false">MIN((CF49+CF50)*$C$5, $F$14)*'⑫ Roll-out Plan'!$O$10</f>
        <v>35000</v>
      </c>
      <c r="CG950" s="121" t="n">
        <f aca="false">MIN((CG49+CG50)*$C$5, $F$14)*'⑫ Roll-out Plan'!$O$10</f>
        <v>35000</v>
      </c>
      <c r="CH950" s="121" t="n">
        <f aca="false">MIN((CH49+CH50)*$C$5, $F$14)*'⑫ Roll-out Plan'!$O$10</f>
        <v>35000</v>
      </c>
      <c r="CI950" s="121" t="n">
        <f aca="false">MIN((CI49+CI50)*$C$5, $F$14)*'⑫ Roll-out Plan'!$O$10</f>
        <v>35000</v>
      </c>
      <c r="CJ950" s="121" t="n">
        <f aca="false">MIN((CJ49+CJ50)*$C$5, $F$14)*'⑫ Roll-out Plan'!$O$10</f>
        <v>35000</v>
      </c>
      <c r="CK950" s="121" t="n">
        <f aca="false">MIN((CK49+CK50)*$C$5, $F$14)*'⑫ Roll-out Plan'!$O$10</f>
        <v>35000</v>
      </c>
      <c r="CL950" s="121" t="n">
        <f aca="false">MIN((CL49+CL50)*$C$5, $F$14)*'⑫ Roll-out Plan'!$O$10</f>
        <v>35000</v>
      </c>
      <c r="CM950" s="121" t="n">
        <f aca="false">MIN((CM49+CM50)*$C$5, $F$14)*'⑫ Roll-out Plan'!$O$10</f>
        <v>35000</v>
      </c>
      <c r="CN950" s="121" t="n">
        <f aca="false">MIN((CN49+CN50)*$C$5, $F$14)*'⑫ Roll-out Plan'!$O$10</f>
        <v>35000</v>
      </c>
      <c r="CO950" s="121" t="n">
        <f aca="false">MIN((CO49+CO50)*$C$5, $F$14)*'⑫ Roll-out Plan'!$O$10</f>
        <v>35000</v>
      </c>
      <c r="CP950" s="121" t="n">
        <f aca="false">MIN((CP49+CP50)*$C$5, $F$14)*'⑫ Roll-out Plan'!$O$10</f>
        <v>35000</v>
      </c>
      <c r="CQ950" s="121" t="n">
        <f aca="false">MIN((CQ49+CQ50)*$C$5, $F$14)*'⑫ Roll-out Plan'!$O$10</f>
        <v>35000</v>
      </c>
      <c r="CR950" s="121" t="n">
        <f aca="false">MIN((CR49+CR50)*$C$5, $F$14)*'⑫ Roll-out Plan'!$O$10</f>
        <v>35000</v>
      </c>
      <c r="CS950" s="121" t="n">
        <f aca="false">MIN((CS49+CS50)*$C$5, $F$14)*'⑫ Roll-out Plan'!$O$10</f>
        <v>35000</v>
      </c>
      <c r="CT950" s="121" t="n">
        <f aca="false">MIN((CT49+CT50)*$C$5, $F$14)*'⑫ Roll-out Plan'!$O$10</f>
        <v>35000</v>
      </c>
      <c r="CU950" s="121" t="n">
        <f aca="false">MIN((CU49+CU50)*$C$5, $F$14)*'⑫ Roll-out Plan'!$O$10</f>
        <v>35000</v>
      </c>
      <c r="CV950" s="121" t="n">
        <f aca="false">MIN((CV49+CV50)*$C$5, $F$14)*'⑫ Roll-out Plan'!$O$10</f>
        <v>35000</v>
      </c>
      <c r="CW950" s="121" t="n">
        <f aca="false">MIN((CW49+CW50)*$C$5, $F$14)*'⑫ Roll-out Plan'!$O$10</f>
        <v>35000</v>
      </c>
      <c r="CX950" s="121" t="n">
        <f aca="false">MIN((CX49+CX50)*$C$5, $F$14)*'⑫ Roll-out Plan'!$O$10</f>
        <v>35000</v>
      </c>
      <c r="CY950" s="121" t="n">
        <f aca="false">MIN((CY49+CY50)*$C$5, $F$14)*'⑫ Roll-out Plan'!$O$10</f>
        <v>35000</v>
      </c>
      <c r="CZ950" s="121" t="n">
        <f aca="false">MIN((CZ49+CZ50)*$C$5, $F$14)*'⑫ Roll-out Plan'!$O$10</f>
        <v>35000</v>
      </c>
      <c r="DA950" s="121" t="n">
        <f aca="false">MIN((DA49+DA50)*$C$5, $F$14)*'⑫ Roll-out Plan'!$O$10</f>
        <v>35000</v>
      </c>
      <c r="DB950" s="121" t="n">
        <f aca="false">MIN((DB49+DB50)*$C$5, $F$14)*'⑫ Roll-out Plan'!$O$10</f>
        <v>35000</v>
      </c>
      <c r="DC950" s="121" t="n">
        <f aca="false">MIN((DC49+DC50)*$C$5, $F$14)*'⑫ Roll-out Plan'!$O$10</f>
        <v>35000</v>
      </c>
      <c r="DD950" s="121" t="n">
        <f aca="false">MIN((DD49+DD50)*$C$5, $F$14)*'⑫ Roll-out Plan'!$O$10</f>
        <v>35000</v>
      </c>
      <c r="DE950" s="121" t="n">
        <f aca="false">MIN((DE49+DE50)*$C$5, $F$14)*'⑫ Roll-out Plan'!$O$10</f>
        <v>35000</v>
      </c>
      <c r="DF950" s="121" t="n">
        <f aca="false">MIN((DF49+DF50)*$C$5, $F$14)*'⑫ Roll-out Plan'!$O$10</f>
        <v>35000</v>
      </c>
      <c r="DG950" s="121" t="n">
        <f aca="false">MIN((DG49+DG50)*$C$5, $F$14)*'⑫ Roll-out Plan'!$O$10</f>
        <v>35000</v>
      </c>
      <c r="DH950" s="121" t="n">
        <f aca="false">MIN((DH49+DH50)*$C$5, $F$14)*'⑫ Roll-out Plan'!$O$10</f>
        <v>35000</v>
      </c>
      <c r="DI950" s="121" t="n">
        <f aca="false">MIN((DI49+DI50)*$C$5, $F$14)*'⑫ Roll-out Plan'!$O$10</f>
        <v>35000</v>
      </c>
      <c r="DJ950" s="121" t="n">
        <f aca="false">MIN((DJ49+DJ50)*$C$5, $F$14)*'⑫ Roll-out Plan'!$O$10</f>
        <v>35000</v>
      </c>
      <c r="DK950" s="121" t="n">
        <f aca="false">MIN((DK49+DK50)*$C$5, $F$14)*'⑫ Roll-out Plan'!$O$10</f>
        <v>35000</v>
      </c>
      <c r="DL950" s="121" t="n">
        <f aca="false">MIN((DL49+DL50)*$C$5, $F$14)*'⑫ Roll-out Plan'!$O$10</f>
        <v>35000</v>
      </c>
      <c r="DM950" s="121" t="n">
        <f aca="false">MIN((DM49+DM50)*$C$5, $F$14)*'⑫ Roll-out Plan'!$O$10</f>
        <v>35000</v>
      </c>
      <c r="DN950" s="121" t="n">
        <f aca="false">MIN((DN49+DN50)*$C$5, $F$14)*'⑫ Roll-out Plan'!$O$10</f>
        <v>35000</v>
      </c>
      <c r="DO950" s="121" t="n">
        <f aca="false">MIN((DO49+DO50)*$C$5, $F$14)*'⑫ Roll-out Plan'!$O$10</f>
        <v>35000</v>
      </c>
      <c r="DP950" s="121" t="n">
        <f aca="false">MIN((DP49+DP50)*$C$5, $F$14)*'⑫ Roll-out Plan'!$O$10</f>
        <v>35000</v>
      </c>
      <c r="DQ950" s="121" t="n">
        <f aca="false">MIN((DQ49+DQ50)*$C$5, $F$14)*'⑫ Roll-out Plan'!$O$10</f>
        <v>35000</v>
      </c>
      <c r="DR950" s="121" t="n">
        <f aca="false">MIN((DR49+DR50)*$C$5, $F$14)*'⑫ Roll-out Plan'!$O$10</f>
        <v>35000</v>
      </c>
      <c r="DS950" s="121" t="n">
        <f aca="false">MIN((DS49+DS50)*$C$5, $F$14)*'⑫ Roll-out Plan'!$O$10</f>
        <v>35000</v>
      </c>
      <c r="DT950" s="121" t="n">
        <f aca="false">MIN((DT49+DT50)*$C$5, $F$14)*'⑫ Roll-out Plan'!$O$10</f>
        <v>35000</v>
      </c>
      <c r="DU950" s="121" t="n">
        <f aca="false">MIN((DU49+DU50)*$C$5, $F$14)*'⑫ Roll-out Plan'!$O$10</f>
        <v>35000</v>
      </c>
      <c r="DV950" s="121" t="n">
        <f aca="false">MIN((DV49+DV50)*$C$5, $F$14)*'⑫ Roll-out Plan'!$O$10</f>
        <v>35000</v>
      </c>
      <c r="DW950" s="121" t="n">
        <f aca="false">MIN((DW49+DW50)*$C$5, $F$14)*'⑫ Roll-out Plan'!$O$10</f>
        <v>35000</v>
      </c>
      <c r="DX950" s="121" t="n">
        <f aca="false">MIN((DX49+DX50)*$C$5, $F$14)*'⑫ Roll-out Plan'!$O$10</f>
        <v>35000</v>
      </c>
      <c r="DY950" s="121" t="n">
        <f aca="false">MIN((DY49+DY50)*$C$5, $F$14)*'⑫ Roll-out Plan'!$O$10</f>
        <v>35000</v>
      </c>
      <c r="DZ950" s="121" t="n">
        <f aca="false">MIN((DZ49+DZ50)*$C$5, $F$14)*'⑫ Roll-out Plan'!$O$10</f>
        <v>35000</v>
      </c>
      <c r="EA950" s="121" t="n">
        <f aca="false">MIN((EA49+EA50)*$C$5, $F$14)*'⑫ Roll-out Plan'!$O$10</f>
        <v>35000</v>
      </c>
      <c r="EB950" s="121" t="n">
        <f aca="false">MIN((EB49+EB50)*$C$5, $F$14)*'⑫ Roll-out Plan'!$O$10</f>
        <v>35000</v>
      </c>
      <c r="EC950" s="121" t="n">
        <f aca="false">MIN((EC49+EC50)*$C$5, $F$14)*'⑫ Roll-out Plan'!$O$10</f>
        <v>35000</v>
      </c>
      <c r="ED950" s="121" t="n">
        <f aca="false">MIN((ED49+ED50)*$C$5, $F$14)*'⑫ Roll-out Plan'!$O$10</f>
        <v>35000</v>
      </c>
      <c r="EE950" s="121" t="n">
        <f aca="false">MIN((EE49+EE50)*$C$5, $F$14)*'⑫ Roll-out Plan'!$O$10</f>
        <v>35000</v>
      </c>
      <c r="EF950" s="121" t="n">
        <f aca="false">MIN((EF49+EF50)*$C$5, $F$14)*'⑫ Roll-out Plan'!$O$10</f>
        <v>35000</v>
      </c>
      <c r="EG950" s="121" t="n">
        <f aca="false">MIN((EG49+EG50)*$C$5, $F$14)*'⑫ Roll-out Plan'!$O$10</f>
        <v>35000</v>
      </c>
      <c r="EH950" s="121" t="n">
        <f aca="false">MIN((EH49+EH50)*$C$5, $F$14)*'⑫ Roll-out Plan'!$O$10</f>
        <v>35000</v>
      </c>
      <c r="EI950" s="121" t="n">
        <f aca="false">MIN((EI49+EI50)*$C$5, $F$14)*'⑫ Roll-out Plan'!$O$10</f>
        <v>35000</v>
      </c>
      <c r="EJ950" s="121" t="n">
        <f aca="false">MIN((EJ49+EJ50)*$C$5, $F$14)*'⑫ Roll-out Plan'!$O$10</f>
        <v>35000</v>
      </c>
      <c r="EK950" s="121" t="n">
        <f aca="false">MIN((EK49+EK50)*$C$5, $F$14)*'⑫ Roll-out Plan'!$O$10</f>
        <v>35000</v>
      </c>
      <c r="EL950" s="121" t="n">
        <f aca="false">MIN((EL49+EL50)*$C$5, $F$14)*'⑫ Roll-out Plan'!$O$10</f>
        <v>35000</v>
      </c>
      <c r="EM950" s="121" t="n">
        <f aca="false">MIN((EM49+EM50)*$C$5, $F$14)*'⑫ Roll-out Plan'!$O$10</f>
        <v>35000</v>
      </c>
      <c r="EN950" s="121" t="n">
        <f aca="false">MIN((EN49+EN50)*$C$5, $F$14)*'⑫ Roll-out Plan'!$O$10</f>
        <v>35000</v>
      </c>
      <c r="EO950" s="121" t="n">
        <f aca="false">MIN((EO49+EO50)*$C$5, $F$14)*'⑫ Roll-out Plan'!$O$10</f>
        <v>35000</v>
      </c>
      <c r="EP950" s="121" t="n">
        <f aca="false">MIN((EP49+EP50)*$C$5, $F$14)*'⑫ Roll-out Plan'!$O$10</f>
        <v>35000</v>
      </c>
      <c r="EQ950" s="121" t="n">
        <f aca="false">MIN((EQ49+EQ50)*$C$5, $F$14)*'⑫ Roll-out Plan'!$O$10</f>
        <v>35000</v>
      </c>
      <c r="ER950" s="121" t="n">
        <f aca="false">MIN((ER49+ER50)*$C$5, $F$14)*'⑫ Roll-out Plan'!$O$10</f>
        <v>35000</v>
      </c>
      <c r="ES950" s="9" t="n">
        <f aca="false">MIN((ES49+ES50)*$C$5, $F$14)*'⑫ Roll-out Plan'!$O$10</f>
        <v>35000</v>
      </c>
      <c r="ET950" s="9" t="n">
        <f aca="false">MIN((ET49+ET50)*$C$5, $F$14)*'⑫ Roll-out Plan'!$O$10</f>
        <v>35000</v>
      </c>
      <c r="EU950" s="9" t="n">
        <f aca="false">MIN((EU49+EU50)*$C$5, $F$14)*'⑫ Roll-out Plan'!$O$10</f>
        <v>35000</v>
      </c>
      <c r="EV950" s="9" t="n">
        <f aca="false">MIN((EV49+EV50)*$C$5, $F$14)*'⑫ Roll-out Plan'!$O$10</f>
        <v>35000</v>
      </c>
      <c r="EW950" s="9" t="n">
        <f aca="false">MIN((EW49+EW50)*$C$5, $F$14)*'⑫ Roll-out Plan'!$O$10</f>
        <v>35000</v>
      </c>
      <c r="EX950" s="9" t="n">
        <f aca="false">MIN((EX49+EX50)*$C$5, $F$14)*'⑫ Roll-out Plan'!$O$10</f>
        <v>35000</v>
      </c>
      <c r="EY950" s="9" t="n">
        <f aca="false">MIN((EY49+EY50)*$C$5, $F$14)*'⑫ Roll-out Plan'!$O$10</f>
        <v>35000</v>
      </c>
      <c r="EZ950" s="9" t="n">
        <f aca="false">MIN((EZ49+EZ50)*$C$5, $F$14)*'⑫ Roll-out Plan'!$O$10</f>
        <v>35000</v>
      </c>
      <c r="FA950" s="9" t="n">
        <f aca="false">MIN((FA49+FA50)*$C$5, $F$14)*'⑫ Roll-out Plan'!$O$10</f>
        <v>35000</v>
      </c>
      <c r="FB950" s="9" t="n">
        <f aca="false">MIN((FB49+FB50)*$C$5, $F$14)*'⑫ Roll-out Plan'!$O$10</f>
        <v>35000</v>
      </c>
      <c r="FC950" s="9" t="n">
        <f aca="false">MIN((FC49+FC50)*$C$5, $F$14)*'⑫ Roll-out Plan'!$O$10</f>
        <v>35000</v>
      </c>
      <c r="FD950" s="9" t="n">
        <f aca="false">MIN((FD49+FD50)*$C$5, $F$14)*'⑫ Roll-out Plan'!$O$10</f>
        <v>35000</v>
      </c>
      <c r="FE950" s="9" t="n">
        <f aca="false">MIN((FE49+FE50)*$C$5, $F$14)*'⑫ Roll-out Plan'!$O$10</f>
        <v>35000</v>
      </c>
      <c r="FF950" s="9" t="n">
        <f aca="false">MIN((FF49+FF50)*$C$5, $F$14)*'⑫ Roll-out Plan'!$O$10</f>
        <v>35000</v>
      </c>
      <c r="FG950" s="9" t="n">
        <f aca="false">MIN((FG49+FG50)*$C$5, $F$14)*'⑫ Roll-out Plan'!$O$10</f>
        <v>35000</v>
      </c>
      <c r="FH950" s="9" t="n">
        <f aca="false">MIN((FH49+FH50)*$C$5, $F$14)*'⑫ Roll-out Plan'!$O$10</f>
        <v>35000</v>
      </c>
      <c r="FI950" s="9" t="n">
        <f aca="false">MIN((FI49+FI50)*$C$5, $F$14)*'⑫ Roll-out Plan'!$O$10</f>
        <v>35000</v>
      </c>
      <c r="FJ950" s="9" t="n">
        <f aca="false">MIN((FJ49+FJ50)*$C$5, $F$14)*'⑫ Roll-out Plan'!$O$10</f>
        <v>35000</v>
      </c>
      <c r="FK950" s="9" t="n">
        <f aca="false">MIN((FK49+FK50)*$C$5, $F$14)*'⑫ Roll-out Plan'!$O$10</f>
        <v>35000</v>
      </c>
      <c r="FL950" s="9" t="n">
        <f aca="false">MIN((FL49+FL50)*$C$5, $F$14)*'⑫ Roll-out Plan'!$O$10</f>
        <v>35000</v>
      </c>
      <c r="FM950" s="9" t="n">
        <f aca="false">MIN((FM49+FM50)*$C$5, $F$14)*'⑫ Roll-out Plan'!$O$10</f>
        <v>35000</v>
      </c>
      <c r="FN950" s="9" t="n">
        <f aca="false">MIN((FN49+FN50)*$C$5, $F$14)*'⑫ Roll-out Plan'!$O$10</f>
        <v>35000</v>
      </c>
      <c r="FO950" s="9" t="n">
        <f aca="false">MIN((FO49+FO50)*$C$5, $F$14)*'⑫ Roll-out Plan'!$O$10</f>
        <v>35000</v>
      </c>
      <c r="FP950" s="9" t="n">
        <f aca="false">MIN((FP49+FP50)*$C$5, $F$14)*'⑫ Roll-out Plan'!$O$10</f>
        <v>35000</v>
      </c>
    </row>
    <row r="951" customFormat="false" ht="15" hidden="false" customHeight="false" outlineLevel="0" collapsed="false">
      <c r="B951" s="253" t="s">
        <v>976</v>
      </c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121" t="n">
        <f aca="false">MIN((AC59+AC60)*$C$5, $F$17)*'⑫ Roll-out Plan'!$O$11</f>
        <v>0</v>
      </c>
      <c r="AD951" s="121" t="n">
        <f aca="false">MIN((AD59+AD60)*$C$5, $F$17)*'⑫ Roll-out Plan'!$O$11</f>
        <v>1611.3</v>
      </c>
      <c r="AE951" s="121" t="n">
        <f aca="false">MIN((AE59+AE60)*$C$5, $F$17)*'⑫ Roll-out Plan'!$O$11</f>
        <v>2713.5864</v>
      </c>
      <c r="AF951" s="121" t="n">
        <f aca="false">MIN((AF59+AF60)*$C$5, $F$17)*'⑫ Roll-out Plan'!$O$11</f>
        <v>2943.0984</v>
      </c>
      <c r="AG951" s="121" t="n">
        <f aca="false">MIN((AG59+AG60)*$C$5, $F$17)*'⑫ Roll-out Plan'!$O$11</f>
        <v>2852.758704</v>
      </c>
      <c r="AH951" s="121" t="n">
        <f aca="false">MIN((AH59+AH60)*$C$5, $F$17)*'⑫ Roll-out Plan'!$O$11</f>
        <v>2557.027776</v>
      </c>
      <c r="AI951" s="121" t="n">
        <f aca="false">MIN((AI59+AI60)*$C$5, $F$17)*'⑫ Roll-out Plan'!$O$11</f>
        <v>2978.68848</v>
      </c>
      <c r="AJ951" s="121" t="n">
        <f aca="false">MIN((AJ59+AJ60)*$C$5, $F$17)*'⑫ Roll-out Plan'!$O$11</f>
        <v>5367.527976</v>
      </c>
      <c r="AK951" s="121" t="n">
        <f aca="false">MIN((AK59+AK60)*$C$5, $F$17)*'⑫ Roll-out Plan'!$O$11</f>
        <v>5256.378144</v>
      </c>
      <c r="AL951" s="121" t="n">
        <f aca="false">MIN((AL59+AL60)*$C$5, $F$17)*'⑫ Roll-out Plan'!$O$11</f>
        <v>4973.16348</v>
      </c>
      <c r="AM951" s="121" t="n">
        <f aca="false">MIN((AM59+AM60)*$C$5, $F$17)*'⑫ Roll-out Plan'!$O$11</f>
        <v>3965.219088</v>
      </c>
      <c r="AN951" s="121" t="n">
        <f aca="false">MIN((AN59+AN60)*$C$5, $F$17)*'⑫ Roll-out Plan'!$O$11</f>
        <v>5582.511552</v>
      </c>
      <c r="AO951" s="121" t="n">
        <f aca="false">MIN((AO59+AO60)*$C$5, $F$17)*'⑫ Roll-out Plan'!$O$11</f>
        <v>6517.090704</v>
      </c>
      <c r="AP951" s="121" t="n">
        <f aca="false">MIN((AP59+AP60)*$C$5, $F$17)*'⑫ Roll-out Plan'!$O$11</f>
        <v>5663.573304</v>
      </c>
      <c r="AQ951" s="121" t="n">
        <f aca="false">MIN((AQ59+AQ60)*$C$5, $F$17)*'⑫ Roll-out Plan'!$O$11</f>
        <v>8008.52256</v>
      </c>
      <c r="AR951" s="121" t="n">
        <f aca="false">MIN((AR59+AR60)*$C$5, $F$17)*'⑫ Roll-out Plan'!$O$11</f>
        <v>8015.29788</v>
      </c>
      <c r="AS951" s="121" t="n">
        <f aca="false">MIN((AS59+AS60)*$C$5, $F$17)*'⑫ Roll-out Plan'!$O$11</f>
        <v>8406.905088</v>
      </c>
      <c r="AT951" s="121" t="n">
        <f aca="false">MIN((AT59+AT60)*$C$5, $F$17)*'⑫ Roll-out Plan'!$O$11</f>
        <v>7921.091064</v>
      </c>
      <c r="AU951" s="121" t="n">
        <f aca="false">MIN((AU59+AU60)*$C$5, $F$17)*'⑫ Roll-out Plan'!$O$11</f>
        <v>8546.8542744</v>
      </c>
      <c r="AV951" s="121" t="n">
        <f aca="false">MIN((AV59+AV60)*$C$5, $F$17)*'⑫ Roll-out Plan'!$O$11</f>
        <v>13838.6348016</v>
      </c>
      <c r="AW951" s="121" t="n">
        <f aca="false">MIN((AW59+AW60)*$C$5, $F$17)*'⑫ Roll-out Plan'!$O$11</f>
        <v>12448.9805136</v>
      </c>
      <c r="AX951" s="121" t="n">
        <f aca="false">MIN((AX59+AX60)*$C$5, $F$17)*'⑫ Roll-out Plan'!$O$11</f>
        <v>10961.4458028</v>
      </c>
      <c r="AY951" s="121" t="n">
        <f aca="false">MIN((AY59+AY60)*$C$5, $F$17)*'⑫ Roll-out Plan'!$O$11</f>
        <v>9020.94951</v>
      </c>
      <c r="AZ951" s="121" t="n">
        <f aca="false">MIN((AZ59+AZ60)*$C$5, $F$17)*'⑫ Roll-out Plan'!$O$11</f>
        <v>11770.9580496</v>
      </c>
      <c r="BA951" s="121" t="n">
        <f aca="false">MIN((BA59+BA60)*$C$5, $F$17)*'⑫ Roll-out Plan'!$O$11</f>
        <v>13128.8430822</v>
      </c>
      <c r="BB951" s="121" t="n">
        <f aca="false">MIN((BB59+BB60)*$C$5, $F$17)*'⑫ Roll-out Plan'!$O$11</f>
        <v>10947.4134234</v>
      </c>
      <c r="BC951" s="121" t="n">
        <f aca="false">MIN((BC59+BC60)*$C$5, $F$17)*'⑫ Roll-out Plan'!$O$11</f>
        <v>14222.7232122</v>
      </c>
      <c r="BD951" s="121" t="n">
        <f aca="false">MIN((BD59+BD60)*$C$5, $F$17)*'⑫ Roll-out Plan'!$O$11</f>
        <v>14485.9099674</v>
      </c>
      <c r="BE951" s="121" t="n">
        <f aca="false">MIN((BE59+BE60)*$C$5, $F$17)*'⑫ Roll-out Plan'!$O$11</f>
        <v>13138.782681</v>
      </c>
      <c r="BF951" s="121" t="n">
        <f aca="false">MIN((BF59+BF60)*$C$5, $F$17)*'⑫ Roll-out Plan'!$O$11</f>
        <v>12113.5726986</v>
      </c>
      <c r="BG951" s="121" t="n">
        <f aca="false">MIN((BG59+BG60)*$C$5, $F$17)*'⑫ Roll-out Plan'!$O$11</f>
        <v>12511.0780506</v>
      </c>
      <c r="BH951" s="121" t="n">
        <f aca="false">MIN((BH59+BH60)*$C$5, $F$17)*'⑫ Roll-out Plan'!$O$11</f>
        <v>15000</v>
      </c>
      <c r="BI951" s="121" t="n">
        <f aca="false">MIN((BI59+BI60)*$C$5, $F$17)*'⑫ Roll-out Plan'!$O$11</f>
        <v>15000</v>
      </c>
      <c r="BJ951" s="121" t="n">
        <f aca="false">MIN((BJ59+BJ60)*$C$5, $F$17)*'⑫ Roll-out Plan'!$O$11</f>
        <v>15000</v>
      </c>
      <c r="BK951" s="121" t="n">
        <f aca="false">MIN((BK59+BK60)*$C$5, $F$17)*'⑫ Roll-out Plan'!$O$11</f>
        <v>13061.6899146</v>
      </c>
      <c r="BL951" s="121" t="n">
        <f aca="false">MIN((BL59+BL60)*$C$5, $F$17)*'⑫ Roll-out Plan'!$O$11</f>
        <v>15000</v>
      </c>
      <c r="BM951" s="121" t="n">
        <f aca="false">MIN((BM59+BM60)*$C$5, $F$17)*'⑫ Roll-out Plan'!$O$11</f>
        <v>15000</v>
      </c>
      <c r="BN951" s="121" t="n">
        <f aca="false">MIN((BN59+BN60)*$C$5, $F$17)*'⑫ Roll-out Plan'!$O$11</f>
        <v>15000</v>
      </c>
      <c r="BO951" s="121" t="n">
        <f aca="false">MIN((BO59+BO60)*$C$5, $F$17)*'⑫ Roll-out Plan'!$O$11</f>
        <v>15000</v>
      </c>
      <c r="BP951" s="121" t="n">
        <f aca="false">MIN((BP59+BP60)*$C$5, $F$17)*'⑫ Roll-out Plan'!$O$11</f>
        <v>15000</v>
      </c>
      <c r="BQ951" s="121" t="n">
        <f aca="false">MIN((BQ59+BQ60)*$C$5, $F$17)*'⑫ Roll-out Plan'!$O$11</f>
        <v>15000</v>
      </c>
      <c r="BR951" s="121" t="n">
        <f aca="false">MIN((BR59+BR60)*$C$5, $F$17)*'⑫ Roll-out Plan'!$O$11</f>
        <v>15000</v>
      </c>
      <c r="BS951" s="121" t="n">
        <f aca="false">MIN((BS59+BS60)*$C$5, $F$17)*'⑫ Roll-out Plan'!$O$11</f>
        <v>15000</v>
      </c>
      <c r="BT951" s="121" t="n">
        <f aca="false">MIN((BT59+BT60)*$C$5, $F$17)*'⑫ Roll-out Plan'!$O$11</f>
        <v>15000</v>
      </c>
      <c r="BU951" s="121" t="n">
        <f aca="false">MIN((BU59+BU60)*$C$5, $F$17)*'⑫ Roll-out Plan'!$O$11</f>
        <v>15000</v>
      </c>
      <c r="BV951" s="121" t="n">
        <f aca="false">MIN((BV59+BV60)*$C$5, $F$17)*'⑫ Roll-out Plan'!$O$11</f>
        <v>15000</v>
      </c>
      <c r="BW951" s="121" t="n">
        <f aca="false">MIN((BW59+BW60)*$C$5, $F$17)*'⑫ Roll-out Plan'!$O$11</f>
        <v>15000</v>
      </c>
      <c r="BX951" s="121" t="n">
        <f aca="false">MIN((BX59+BX60)*$C$5, $F$17)*'⑫ Roll-out Plan'!$O$11</f>
        <v>15000</v>
      </c>
      <c r="BY951" s="121" t="n">
        <f aca="false">MIN((BY59+BY60)*$C$5, $F$17)*'⑫ Roll-out Plan'!$O$11</f>
        <v>15000</v>
      </c>
      <c r="BZ951" s="121" t="n">
        <f aca="false">MIN((BZ59+BZ60)*$C$5, $F$17)*'⑫ Roll-out Plan'!$O$11</f>
        <v>15000</v>
      </c>
      <c r="CA951" s="121" t="n">
        <f aca="false">MIN((CA59+CA60)*$C$5, $F$17)*'⑫ Roll-out Plan'!$O$11</f>
        <v>15000</v>
      </c>
      <c r="CB951" s="121" t="n">
        <f aca="false">MIN((CB59+CB60)*$C$5, $F$17)*'⑫ Roll-out Plan'!$O$11</f>
        <v>15000</v>
      </c>
      <c r="CC951" s="121" t="n">
        <f aca="false">MIN((CC59+CC60)*$C$5, $F$17)*'⑫ Roll-out Plan'!$O$11</f>
        <v>15000</v>
      </c>
      <c r="CD951" s="121" t="n">
        <f aca="false">MIN((CD59+CD60)*$C$5, $F$17)*'⑫ Roll-out Plan'!$O$11</f>
        <v>15000</v>
      </c>
      <c r="CE951" s="121" t="n">
        <f aca="false">MIN((CE59+CE60)*$C$5, $F$17)*'⑫ Roll-out Plan'!$O$11</f>
        <v>15000</v>
      </c>
      <c r="CF951" s="121" t="n">
        <f aca="false">MIN((CF59+CF60)*$C$5, $F$17)*'⑫ Roll-out Plan'!$O$11</f>
        <v>15000</v>
      </c>
      <c r="CG951" s="121" t="n">
        <f aca="false">MIN((CG59+CG60)*$C$5, $F$17)*'⑫ Roll-out Plan'!$O$11</f>
        <v>15000</v>
      </c>
      <c r="CH951" s="121" t="n">
        <f aca="false">MIN((CH59+CH60)*$C$5, $F$17)*'⑫ Roll-out Plan'!$O$11</f>
        <v>15000</v>
      </c>
      <c r="CI951" s="121" t="n">
        <f aca="false">MIN((CI59+CI60)*$C$5, $F$17)*'⑫ Roll-out Plan'!$O$11</f>
        <v>15000</v>
      </c>
      <c r="CJ951" s="121" t="n">
        <f aca="false">MIN((CJ59+CJ60)*$C$5, $F$17)*'⑫ Roll-out Plan'!$O$11</f>
        <v>15000</v>
      </c>
      <c r="CK951" s="121" t="n">
        <f aca="false">MIN((CK59+CK60)*$C$5, $F$17)*'⑫ Roll-out Plan'!$O$11</f>
        <v>15000</v>
      </c>
      <c r="CL951" s="121" t="n">
        <f aca="false">MIN((CL59+CL60)*$C$5, $F$17)*'⑫ Roll-out Plan'!$O$11</f>
        <v>15000</v>
      </c>
      <c r="CM951" s="121" t="n">
        <f aca="false">MIN((CM59+CM60)*$C$5, $F$17)*'⑫ Roll-out Plan'!$O$11</f>
        <v>15000</v>
      </c>
      <c r="CN951" s="121" t="n">
        <f aca="false">MIN((CN59+CN60)*$C$5, $F$17)*'⑫ Roll-out Plan'!$O$11</f>
        <v>15000</v>
      </c>
      <c r="CO951" s="121" t="n">
        <f aca="false">MIN((CO59+CO60)*$C$5, $F$17)*'⑫ Roll-out Plan'!$O$11</f>
        <v>15000</v>
      </c>
      <c r="CP951" s="121" t="n">
        <f aca="false">MIN((CP59+CP60)*$C$5, $F$17)*'⑫ Roll-out Plan'!$O$11</f>
        <v>15000</v>
      </c>
      <c r="CQ951" s="121" t="n">
        <f aca="false">MIN((CQ59+CQ60)*$C$5, $F$17)*'⑫ Roll-out Plan'!$O$11</f>
        <v>15000</v>
      </c>
      <c r="CR951" s="121" t="n">
        <f aca="false">MIN((CR59+CR60)*$C$5, $F$17)*'⑫ Roll-out Plan'!$O$11</f>
        <v>15000</v>
      </c>
      <c r="CS951" s="121" t="n">
        <f aca="false">MIN((CS59+CS60)*$C$5, $F$17)*'⑫ Roll-out Plan'!$O$11</f>
        <v>15000</v>
      </c>
      <c r="CT951" s="121" t="n">
        <f aca="false">MIN((CT59+CT60)*$C$5, $F$17)*'⑫ Roll-out Plan'!$O$11</f>
        <v>15000</v>
      </c>
      <c r="CU951" s="121" t="n">
        <f aca="false">MIN((CU59+CU60)*$C$5, $F$17)*'⑫ Roll-out Plan'!$O$11</f>
        <v>15000</v>
      </c>
      <c r="CV951" s="121" t="n">
        <f aca="false">MIN((CV59+CV60)*$C$5, $F$17)*'⑫ Roll-out Plan'!$O$11</f>
        <v>15000</v>
      </c>
      <c r="CW951" s="121" t="n">
        <f aca="false">MIN((CW59+CW60)*$C$5, $F$17)*'⑫ Roll-out Plan'!$O$11</f>
        <v>15000</v>
      </c>
      <c r="CX951" s="121" t="n">
        <f aca="false">MIN((CX59+CX60)*$C$5, $F$17)*'⑫ Roll-out Plan'!$O$11</f>
        <v>15000</v>
      </c>
      <c r="CY951" s="121" t="n">
        <f aca="false">MIN((CY59+CY60)*$C$5, $F$17)*'⑫ Roll-out Plan'!$O$11</f>
        <v>15000</v>
      </c>
      <c r="CZ951" s="121" t="n">
        <f aca="false">MIN((CZ59+CZ60)*$C$5, $F$17)*'⑫ Roll-out Plan'!$O$11</f>
        <v>15000</v>
      </c>
      <c r="DA951" s="121" t="n">
        <f aca="false">MIN((DA59+DA60)*$C$5, $F$17)*'⑫ Roll-out Plan'!$O$11</f>
        <v>15000</v>
      </c>
      <c r="DB951" s="121" t="n">
        <f aca="false">MIN((DB59+DB60)*$C$5, $F$17)*'⑫ Roll-out Plan'!$O$11</f>
        <v>15000</v>
      </c>
      <c r="DC951" s="121" t="n">
        <f aca="false">MIN((DC59+DC60)*$C$5, $F$17)*'⑫ Roll-out Plan'!$O$11</f>
        <v>15000</v>
      </c>
      <c r="DD951" s="121" t="n">
        <f aca="false">MIN((DD59+DD60)*$C$5, $F$17)*'⑫ Roll-out Plan'!$O$11</f>
        <v>15000</v>
      </c>
      <c r="DE951" s="121" t="n">
        <f aca="false">MIN((DE59+DE60)*$C$5, $F$17)*'⑫ Roll-out Plan'!$O$11</f>
        <v>15000</v>
      </c>
      <c r="DF951" s="121" t="n">
        <f aca="false">MIN((DF59+DF60)*$C$5, $F$17)*'⑫ Roll-out Plan'!$O$11</f>
        <v>15000</v>
      </c>
      <c r="DG951" s="121" t="n">
        <f aca="false">MIN((DG59+DG60)*$C$5, $F$17)*'⑫ Roll-out Plan'!$O$11</f>
        <v>15000</v>
      </c>
      <c r="DH951" s="121" t="n">
        <f aca="false">MIN((DH59+DH60)*$C$5, $F$17)*'⑫ Roll-out Plan'!$O$11</f>
        <v>15000</v>
      </c>
      <c r="DI951" s="121" t="n">
        <f aca="false">MIN((DI59+DI60)*$C$5, $F$17)*'⑫ Roll-out Plan'!$O$11</f>
        <v>15000</v>
      </c>
      <c r="DJ951" s="121" t="n">
        <f aca="false">MIN((DJ59+DJ60)*$C$5, $F$17)*'⑫ Roll-out Plan'!$O$11</f>
        <v>15000</v>
      </c>
      <c r="DK951" s="121" t="n">
        <f aca="false">MIN((DK59+DK60)*$C$5, $F$17)*'⑫ Roll-out Plan'!$O$11</f>
        <v>15000</v>
      </c>
      <c r="DL951" s="121" t="n">
        <f aca="false">MIN((DL59+DL60)*$C$5, $F$17)*'⑫ Roll-out Plan'!$O$11</f>
        <v>15000</v>
      </c>
      <c r="DM951" s="121" t="n">
        <f aca="false">MIN((DM59+DM60)*$C$5, $F$17)*'⑫ Roll-out Plan'!$O$11</f>
        <v>15000</v>
      </c>
      <c r="DN951" s="121" t="n">
        <f aca="false">MIN((DN59+DN60)*$C$5, $F$17)*'⑫ Roll-out Plan'!$O$11</f>
        <v>15000</v>
      </c>
      <c r="DO951" s="121" t="n">
        <f aca="false">MIN((DO59+DO60)*$C$5, $F$17)*'⑫ Roll-out Plan'!$O$11</f>
        <v>15000</v>
      </c>
      <c r="DP951" s="121" t="n">
        <f aca="false">MIN((DP59+DP60)*$C$5, $F$17)*'⑫ Roll-out Plan'!$O$11</f>
        <v>15000</v>
      </c>
      <c r="DQ951" s="121" t="n">
        <f aca="false">MIN((DQ59+DQ60)*$C$5, $F$17)*'⑫ Roll-out Plan'!$O$11</f>
        <v>15000</v>
      </c>
      <c r="DR951" s="121" t="n">
        <f aca="false">MIN((DR59+DR60)*$C$5, $F$17)*'⑫ Roll-out Plan'!$O$11</f>
        <v>15000</v>
      </c>
      <c r="DS951" s="121" t="n">
        <f aca="false">MIN((DS59+DS60)*$C$5, $F$17)*'⑫ Roll-out Plan'!$O$11</f>
        <v>15000</v>
      </c>
      <c r="DT951" s="121" t="n">
        <f aca="false">MIN((DT59+DT60)*$C$5, $F$17)*'⑫ Roll-out Plan'!$O$11</f>
        <v>15000</v>
      </c>
      <c r="DU951" s="121" t="n">
        <f aca="false">MIN((DU59+DU60)*$C$5, $F$17)*'⑫ Roll-out Plan'!$O$11</f>
        <v>15000</v>
      </c>
      <c r="DV951" s="121" t="n">
        <f aca="false">MIN((DV59+DV60)*$C$5, $F$17)*'⑫ Roll-out Plan'!$O$11</f>
        <v>15000</v>
      </c>
      <c r="DW951" s="121" t="n">
        <f aca="false">MIN((DW59+DW60)*$C$5, $F$17)*'⑫ Roll-out Plan'!$O$11</f>
        <v>15000</v>
      </c>
      <c r="DX951" s="121" t="n">
        <f aca="false">MIN((DX59+DX60)*$C$5, $F$17)*'⑫ Roll-out Plan'!$O$11</f>
        <v>15000</v>
      </c>
      <c r="DY951" s="121" t="n">
        <f aca="false">MIN((DY59+DY60)*$C$5, $F$17)*'⑫ Roll-out Plan'!$O$11</f>
        <v>15000</v>
      </c>
      <c r="DZ951" s="121" t="n">
        <f aca="false">MIN((DZ59+DZ60)*$C$5, $F$17)*'⑫ Roll-out Plan'!$O$11</f>
        <v>15000</v>
      </c>
      <c r="EA951" s="121" t="n">
        <f aca="false">MIN((EA59+EA60)*$C$5, $F$17)*'⑫ Roll-out Plan'!$O$11</f>
        <v>15000</v>
      </c>
      <c r="EB951" s="121" t="n">
        <f aca="false">MIN((EB59+EB60)*$C$5, $F$17)*'⑫ Roll-out Plan'!$O$11</f>
        <v>15000</v>
      </c>
      <c r="EC951" s="121" t="n">
        <f aca="false">MIN((EC59+EC60)*$C$5, $F$17)*'⑫ Roll-out Plan'!$O$11</f>
        <v>15000</v>
      </c>
      <c r="ED951" s="121" t="n">
        <f aca="false">MIN((ED59+ED60)*$C$5, $F$17)*'⑫ Roll-out Plan'!$O$11</f>
        <v>15000</v>
      </c>
      <c r="EE951" s="121" t="n">
        <f aca="false">MIN((EE59+EE60)*$C$5, $F$17)*'⑫ Roll-out Plan'!$O$11</f>
        <v>15000</v>
      </c>
      <c r="EF951" s="121" t="n">
        <f aca="false">MIN((EF59+EF60)*$C$5, $F$17)*'⑫ Roll-out Plan'!$O$11</f>
        <v>15000</v>
      </c>
      <c r="EG951" s="121" t="n">
        <f aca="false">MIN((EG59+EG60)*$C$5, $F$17)*'⑫ Roll-out Plan'!$O$11</f>
        <v>15000</v>
      </c>
      <c r="EH951" s="121" t="n">
        <f aca="false">MIN((EH59+EH60)*$C$5, $F$17)*'⑫ Roll-out Plan'!$O$11</f>
        <v>15000</v>
      </c>
      <c r="EI951" s="121" t="n">
        <f aca="false">MIN((EI59+EI60)*$C$5, $F$17)*'⑫ Roll-out Plan'!$O$11</f>
        <v>15000</v>
      </c>
      <c r="EJ951" s="121" t="n">
        <f aca="false">MIN((EJ59+EJ60)*$C$5, $F$17)*'⑫ Roll-out Plan'!$O$11</f>
        <v>15000</v>
      </c>
      <c r="EK951" s="121" t="n">
        <f aca="false">MIN((EK59+EK60)*$C$5, $F$17)*'⑫ Roll-out Plan'!$O$11</f>
        <v>15000</v>
      </c>
      <c r="EL951" s="121" t="n">
        <f aca="false">MIN((EL59+EL60)*$C$5, $F$17)*'⑫ Roll-out Plan'!$O$11</f>
        <v>15000</v>
      </c>
      <c r="EM951" s="121" t="n">
        <f aca="false">MIN((EM59+EM60)*$C$5, $F$17)*'⑫ Roll-out Plan'!$O$11</f>
        <v>15000</v>
      </c>
      <c r="EN951" s="121" t="n">
        <f aca="false">MIN((EN59+EN60)*$C$5, $F$17)*'⑫ Roll-out Plan'!$O$11</f>
        <v>15000</v>
      </c>
      <c r="EO951" s="121" t="n">
        <f aca="false">MIN((EO59+EO60)*$C$5, $F$17)*'⑫ Roll-out Plan'!$O$11</f>
        <v>15000</v>
      </c>
      <c r="EP951" s="121" t="n">
        <f aca="false">MIN((EP59+EP60)*$C$5, $F$17)*'⑫ Roll-out Plan'!$O$11</f>
        <v>15000</v>
      </c>
      <c r="EQ951" s="121" t="n">
        <f aca="false">MIN((EQ59+EQ60)*$C$5, $F$17)*'⑫ Roll-out Plan'!$O$11</f>
        <v>15000</v>
      </c>
      <c r="ER951" s="121" t="n">
        <f aca="false">MIN((ER59+ER60)*$C$5, $F$17)*'⑫ Roll-out Plan'!$O$11</f>
        <v>15000</v>
      </c>
      <c r="ES951" s="9" t="n">
        <f aca="false">MIN((ES59+ES60)*$C$5, $F$17)*'⑫ Roll-out Plan'!$O$11</f>
        <v>15000</v>
      </c>
      <c r="ET951" s="9" t="n">
        <f aca="false">MIN((ET59+ET60)*$C$5, $F$17)*'⑫ Roll-out Plan'!$O$11</f>
        <v>15000</v>
      </c>
      <c r="EU951" s="9" t="n">
        <f aca="false">MIN((EU59+EU60)*$C$5, $F$17)*'⑫ Roll-out Plan'!$O$11</f>
        <v>15000</v>
      </c>
      <c r="EV951" s="9" t="n">
        <f aca="false">MIN((EV59+EV60)*$C$5, $F$17)*'⑫ Roll-out Plan'!$O$11</f>
        <v>15000</v>
      </c>
      <c r="EW951" s="9" t="n">
        <f aca="false">MIN((EW59+EW60)*$C$5, $F$17)*'⑫ Roll-out Plan'!$O$11</f>
        <v>15000</v>
      </c>
      <c r="EX951" s="9" t="n">
        <f aca="false">MIN((EX59+EX60)*$C$5, $F$17)*'⑫ Roll-out Plan'!$O$11</f>
        <v>15000</v>
      </c>
      <c r="EY951" s="9" t="n">
        <f aca="false">MIN((EY59+EY60)*$C$5, $F$17)*'⑫ Roll-out Plan'!$O$11</f>
        <v>15000</v>
      </c>
      <c r="EZ951" s="9" t="n">
        <f aca="false">MIN((EZ59+EZ60)*$C$5, $F$17)*'⑫ Roll-out Plan'!$O$11</f>
        <v>15000</v>
      </c>
      <c r="FA951" s="9" t="n">
        <f aca="false">MIN((FA59+FA60)*$C$5, $F$17)*'⑫ Roll-out Plan'!$O$11</f>
        <v>15000</v>
      </c>
      <c r="FB951" s="9" t="n">
        <f aca="false">MIN((FB59+FB60)*$C$5, $F$17)*'⑫ Roll-out Plan'!$O$11</f>
        <v>15000</v>
      </c>
      <c r="FC951" s="9" t="n">
        <f aca="false">MIN((FC59+FC60)*$C$5, $F$17)*'⑫ Roll-out Plan'!$O$11</f>
        <v>15000</v>
      </c>
      <c r="FD951" s="9" t="n">
        <f aca="false">MIN((FD59+FD60)*$C$5, $F$17)*'⑫ Roll-out Plan'!$O$11</f>
        <v>15000</v>
      </c>
      <c r="FE951" s="9" t="n">
        <f aca="false">MIN((FE59+FE60)*$C$5, $F$17)*'⑫ Roll-out Plan'!$O$11</f>
        <v>15000</v>
      </c>
      <c r="FF951" s="9" t="n">
        <f aca="false">MIN((FF59+FF60)*$C$5, $F$17)*'⑫ Roll-out Plan'!$O$11</f>
        <v>15000</v>
      </c>
      <c r="FG951" s="9" t="n">
        <f aca="false">MIN((FG59+FG60)*$C$5, $F$17)*'⑫ Roll-out Plan'!$O$11</f>
        <v>15000</v>
      </c>
      <c r="FH951" s="9" t="n">
        <f aca="false">MIN((FH59+FH60)*$C$5, $F$17)*'⑫ Roll-out Plan'!$O$11</f>
        <v>15000</v>
      </c>
      <c r="FI951" s="9" t="n">
        <f aca="false">MIN((FI59+FI60)*$C$5, $F$17)*'⑫ Roll-out Plan'!$O$11</f>
        <v>15000</v>
      </c>
      <c r="FJ951" s="9" t="n">
        <f aca="false">MIN((FJ59+FJ60)*$C$5, $F$17)*'⑫ Roll-out Plan'!$O$11</f>
        <v>15000</v>
      </c>
      <c r="FK951" s="9" t="n">
        <f aca="false">MIN((FK59+FK60)*$C$5, $F$17)*'⑫ Roll-out Plan'!$O$11</f>
        <v>15000</v>
      </c>
      <c r="FL951" s="9" t="n">
        <f aca="false">MIN((FL59+FL60)*$C$5, $F$17)*'⑫ Roll-out Plan'!$O$11</f>
        <v>15000</v>
      </c>
      <c r="FM951" s="9" t="n">
        <f aca="false">MIN((FM59+FM60)*$C$5, $F$17)*'⑫ Roll-out Plan'!$O$11</f>
        <v>15000</v>
      </c>
      <c r="FN951" s="9" t="n">
        <f aca="false">MIN((FN59+FN60)*$C$5, $F$17)*'⑫ Roll-out Plan'!$O$11</f>
        <v>15000</v>
      </c>
      <c r="FO951" s="9" t="n">
        <f aca="false">MIN((FO59+FO60)*$C$5, $F$17)*'⑫ Roll-out Plan'!$O$11</f>
        <v>15000</v>
      </c>
      <c r="FP951" s="9" t="n">
        <f aca="false">MIN((FP59+FP60)*$C$5, $F$17)*'⑫ Roll-out Plan'!$O$11</f>
        <v>15000</v>
      </c>
    </row>
    <row r="952" customFormat="false" ht="15" hidden="false" customHeight="false" outlineLevel="0" collapsed="false">
      <c r="B952" s="253" t="s">
        <v>977</v>
      </c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121" t="n">
        <f aca="false">MIN((AC69+AC70)*$C$5, $F$15)*'⑫ Roll-out Plan'!$O$12</f>
        <v>0</v>
      </c>
      <c r="AD952" s="121" t="n">
        <f aca="false">MIN((AD69+AD70)*$C$5, $F$15)*'⑫ Roll-out Plan'!$O$12</f>
        <v>0</v>
      </c>
      <c r="AE952" s="121" t="n">
        <f aca="false">MIN((AE69+AE70)*$C$5, $F$15)*'⑫ Roll-out Plan'!$O$12</f>
        <v>0</v>
      </c>
      <c r="AF952" s="121" t="n">
        <f aca="false">MIN((AF69+AF70)*$C$5, $F$15)*'⑫ Roll-out Plan'!$O$12</f>
        <v>0</v>
      </c>
      <c r="AG952" s="121" t="n">
        <f aca="false">MIN((AG69+AG70)*$C$5, $F$15)*'⑫ Roll-out Plan'!$O$12</f>
        <v>4459.24</v>
      </c>
      <c r="AH952" s="121" t="n">
        <f aca="false">MIN((AH69+AH70)*$C$5, $F$15)*'⑫ Roll-out Plan'!$O$12</f>
        <v>4836.14272</v>
      </c>
      <c r="AI952" s="121" t="n">
        <f aca="false">MIN((AI69+AI70)*$C$5, $F$15)*'⑫ Roll-out Plan'!$O$12</f>
        <v>5510.224704</v>
      </c>
      <c r="AJ952" s="121" t="n">
        <f aca="false">MIN((AJ69+AJ70)*$C$5, $F$15)*'⑫ Roll-out Plan'!$O$12</f>
        <v>10092.03564</v>
      </c>
      <c r="AK952" s="121" t="n">
        <f aca="false">MIN((AK69+AK70)*$C$5, $F$15)*'⑫ Roll-out Plan'!$O$12</f>
        <v>9018.3514656</v>
      </c>
      <c r="AL952" s="121" t="n">
        <f aca="false">MIN((AL69+AL70)*$C$5, $F$15)*'⑫ Roll-out Plan'!$O$12</f>
        <v>8554.2880528</v>
      </c>
      <c r="AM952" s="121" t="n">
        <f aca="false">MIN((AM69+AM70)*$C$5, $F$15)*'⑫ Roll-out Plan'!$O$12</f>
        <v>7497.0138816</v>
      </c>
      <c r="AN952" s="121" t="n">
        <f aca="false">MIN((AN69+AN70)*$C$5, $F$15)*'⑫ Roll-out Plan'!$O$12</f>
        <v>10977.0280432</v>
      </c>
      <c r="AO952" s="121" t="n">
        <f aca="false">MIN((AO69+AO70)*$C$5, $F$15)*'⑫ Roll-out Plan'!$O$12</f>
        <v>13318.9821152</v>
      </c>
      <c r="AP952" s="121" t="n">
        <f aca="false">MIN((AP69+AP70)*$C$5, $F$15)*'⑫ Roll-out Plan'!$O$12</f>
        <v>10875.814928</v>
      </c>
      <c r="AQ952" s="121" t="n">
        <f aca="false">MIN((AQ69+AQ70)*$C$5, $F$15)*'⑫ Roll-out Plan'!$O$12</f>
        <v>15507.3134304</v>
      </c>
      <c r="AR952" s="121" t="n">
        <f aca="false">MIN((AR69+AR70)*$C$5, $F$15)*'⑫ Roll-out Plan'!$O$12</f>
        <v>16520.4605136</v>
      </c>
      <c r="AS952" s="121" t="n">
        <f aca="false">MIN((AS69+AS70)*$C$5, $F$15)*'⑫ Roll-out Plan'!$O$12</f>
        <v>15424.860144</v>
      </c>
      <c r="AT952" s="121" t="n">
        <f aca="false">MIN((AT69+AT70)*$C$5, $F$15)*'⑫ Roll-out Plan'!$O$12</f>
        <v>14703.3473568</v>
      </c>
      <c r="AU952" s="121" t="n">
        <f aca="false">MIN((AU69+AU70)*$C$5, $F$15)*'⑫ Roll-out Plan'!$O$12</f>
        <v>15294.7589088</v>
      </c>
      <c r="AV952" s="121" t="n">
        <f aca="false">MIN((AV69+AV70)*$C$5, $F$15)*'⑫ Roll-out Plan'!$O$12</f>
        <v>27000</v>
      </c>
      <c r="AW952" s="121" t="n">
        <f aca="false">MIN((AW69+AW70)*$C$5, $F$15)*'⑫ Roll-out Plan'!$O$12</f>
        <v>27000</v>
      </c>
      <c r="AX952" s="121" t="n">
        <f aca="false">MIN((AX69+AX70)*$C$5, $F$15)*'⑫ Roll-out Plan'!$O$12</f>
        <v>24525.68505952</v>
      </c>
      <c r="AY952" s="121" t="n">
        <f aca="false">MIN((AY69+AY70)*$C$5, $F$15)*'⑫ Roll-out Plan'!$O$12</f>
        <v>20143.8062816</v>
      </c>
      <c r="AZ952" s="121" t="n">
        <f aca="false">MIN((AZ69+AZ70)*$C$5, $F$15)*'⑫ Roll-out Plan'!$O$12</f>
        <v>26012.09322272</v>
      </c>
      <c r="BA952" s="121" t="n">
        <f aca="false">MIN((BA69+BA70)*$C$5, $F$15)*'⑫ Roll-out Plan'!$O$12</f>
        <v>27000</v>
      </c>
      <c r="BB952" s="121" t="n">
        <f aca="false">MIN((BB69+BB70)*$C$5, $F$15)*'⑫ Roll-out Plan'!$O$12</f>
        <v>24541.20418412</v>
      </c>
      <c r="BC952" s="121" t="n">
        <f aca="false">MIN((BC69+BC70)*$C$5, $F$15)*'⑫ Roll-out Plan'!$O$12</f>
        <v>27000</v>
      </c>
      <c r="BD952" s="121" t="n">
        <f aca="false">MIN((BD69+BD70)*$C$5, $F$15)*'⑫ Roll-out Plan'!$O$12</f>
        <v>27000</v>
      </c>
      <c r="BE952" s="121" t="n">
        <f aca="false">MIN((BE69+BE70)*$C$5, $F$15)*'⑫ Roll-out Plan'!$O$12</f>
        <v>27000</v>
      </c>
      <c r="BF952" s="121" t="n">
        <f aca="false">MIN((BF69+BF70)*$C$5, $F$15)*'⑫ Roll-out Plan'!$O$12</f>
        <v>26978.19803824</v>
      </c>
      <c r="BG952" s="121" t="n">
        <f aca="false">MIN((BG69+BG70)*$C$5, $F$15)*'⑫ Roll-out Plan'!$O$12</f>
        <v>27000</v>
      </c>
      <c r="BH952" s="121" t="n">
        <f aca="false">MIN((BH69+BH70)*$C$5, $F$15)*'⑫ Roll-out Plan'!$O$12</f>
        <v>27000</v>
      </c>
      <c r="BI952" s="121" t="n">
        <f aca="false">MIN((BI69+BI70)*$C$5, $F$15)*'⑫ Roll-out Plan'!$O$12</f>
        <v>27000</v>
      </c>
      <c r="BJ952" s="121" t="n">
        <f aca="false">MIN((BJ69+BJ70)*$C$5, $F$15)*'⑫ Roll-out Plan'!$O$12</f>
        <v>27000</v>
      </c>
      <c r="BK952" s="121" t="n">
        <f aca="false">MIN((BK69+BK70)*$C$5, $F$15)*'⑫ Roll-out Plan'!$O$12</f>
        <v>27000</v>
      </c>
      <c r="BL952" s="121" t="n">
        <f aca="false">MIN((BL69+BL70)*$C$5, $F$15)*'⑫ Roll-out Plan'!$O$12</f>
        <v>27000</v>
      </c>
      <c r="BM952" s="121" t="n">
        <f aca="false">MIN((BM69+BM70)*$C$5, $F$15)*'⑫ Roll-out Plan'!$O$12</f>
        <v>27000</v>
      </c>
      <c r="BN952" s="121" t="n">
        <f aca="false">MIN((BN69+BN70)*$C$5, $F$15)*'⑫ Roll-out Plan'!$O$12</f>
        <v>27000</v>
      </c>
      <c r="BO952" s="121" t="n">
        <f aca="false">MIN((BO69+BO70)*$C$5, $F$15)*'⑫ Roll-out Plan'!$O$12</f>
        <v>27000</v>
      </c>
      <c r="BP952" s="121" t="n">
        <f aca="false">MIN((BP69+BP70)*$C$5, $F$15)*'⑫ Roll-out Plan'!$O$12</f>
        <v>27000</v>
      </c>
      <c r="BQ952" s="121" t="n">
        <f aca="false">MIN((BQ69+BQ70)*$C$5, $F$15)*'⑫ Roll-out Plan'!$O$12</f>
        <v>27000</v>
      </c>
      <c r="BR952" s="121" t="n">
        <f aca="false">MIN((BR69+BR70)*$C$5, $F$15)*'⑫ Roll-out Plan'!$O$12</f>
        <v>27000</v>
      </c>
      <c r="BS952" s="121" t="n">
        <f aca="false">MIN((BS69+BS70)*$C$5, $F$15)*'⑫ Roll-out Plan'!$O$12</f>
        <v>27000</v>
      </c>
      <c r="BT952" s="121" t="n">
        <f aca="false">MIN((BT69+BT70)*$C$5, $F$15)*'⑫ Roll-out Plan'!$O$12</f>
        <v>27000</v>
      </c>
      <c r="BU952" s="121" t="n">
        <f aca="false">MIN((BU69+BU70)*$C$5, $F$15)*'⑫ Roll-out Plan'!$O$12</f>
        <v>27000</v>
      </c>
      <c r="BV952" s="121" t="n">
        <f aca="false">MIN((BV69+BV70)*$C$5, $F$15)*'⑫ Roll-out Plan'!$O$12</f>
        <v>27000</v>
      </c>
      <c r="BW952" s="121" t="n">
        <f aca="false">MIN((BW69+BW70)*$C$5, $F$15)*'⑫ Roll-out Plan'!$O$12</f>
        <v>27000</v>
      </c>
      <c r="BX952" s="121" t="n">
        <f aca="false">MIN((BX69+BX70)*$C$5, $F$15)*'⑫ Roll-out Plan'!$O$12</f>
        <v>27000</v>
      </c>
      <c r="BY952" s="121" t="n">
        <f aca="false">MIN((BY69+BY70)*$C$5, $F$15)*'⑫ Roll-out Plan'!$O$12</f>
        <v>27000</v>
      </c>
      <c r="BZ952" s="121" t="n">
        <f aca="false">MIN((BZ69+BZ70)*$C$5, $F$15)*'⑫ Roll-out Plan'!$O$12</f>
        <v>27000</v>
      </c>
      <c r="CA952" s="121" t="n">
        <f aca="false">MIN((CA69+CA70)*$C$5, $F$15)*'⑫ Roll-out Plan'!$O$12</f>
        <v>27000</v>
      </c>
      <c r="CB952" s="121" t="n">
        <f aca="false">MIN((CB69+CB70)*$C$5, $F$15)*'⑫ Roll-out Plan'!$O$12</f>
        <v>27000</v>
      </c>
      <c r="CC952" s="121" t="n">
        <f aca="false">MIN((CC69+CC70)*$C$5, $F$15)*'⑫ Roll-out Plan'!$O$12</f>
        <v>27000</v>
      </c>
      <c r="CD952" s="121" t="n">
        <f aca="false">MIN((CD69+CD70)*$C$5, $F$15)*'⑫ Roll-out Plan'!$O$12</f>
        <v>27000</v>
      </c>
      <c r="CE952" s="121" t="n">
        <f aca="false">MIN((CE69+CE70)*$C$5, $F$15)*'⑫ Roll-out Plan'!$O$12</f>
        <v>27000</v>
      </c>
      <c r="CF952" s="121" t="n">
        <f aca="false">MIN((CF69+CF70)*$C$5, $F$15)*'⑫ Roll-out Plan'!$O$12</f>
        <v>27000</v>
      </c>
      <c r="CG952" s="121" t="n">
        <f aca="false">MIN((CG69+CG70)*$C$5, $F$15)*'⑫ Roll-out Plan'!$O$12</f>
        <v>27000</v>
      </c>
      <c r="CH952" s="121" t="n">
        <f aca="false">MIN((CH69+CH70)*$C$5, $F$15)*'⑫ Roll-out Plan'!$O$12</f>
        <v>27000</v>
      </c>
      <c r="CI952" s="121" t="n">
        <f aca="false">MIN((CI69+CI70)*$C$5, $F$15)*'⑫ Roll-out Plan'!$O$12</f>
        <v>27000</v>
      </c>
      <c r="CJ952" s="121" t="n">
        <f aca="false">MIN((CJ69+CJ70)*$C$5, $F$15)*'⑫ Roll-out Plan'!$O$12</f>
        <v>27000</v>
      </c>
      <c r="CK952" s="121" t="n">
        <f aca="false">MIN((CK69+CK70)*$C$5, $F$15)*'⑫ Roll-out Plan'!$O$12</f>
        <v>27000</v>
      </c>
      <c r="CL952" s="121" t="n">
        <f aca="false">MIN((CL69+CL70)*$C$5, $F$15)*'⑫ Roll-out Plan'!$O$12</f>
        <v>27000</v>
      </c>
      <c r="CM952" s="121" t="n">
        <f aca="false">MIN((CM69+CM70)*$C$5, $F$15)*'⑫ Roll-out Plan'!$O$12</f>
        <v>27000</v>
      </c>
      <c r="CN952" s="121" t="n">
        <f aca="false">MIN((CN69+CN70)*$C$5, $F$15)*'⑫ Roll-out Plan'!$O$12</f>
        <v>27000</v>
      </c>
      <c r="CO952" s="121" t="n">
        <f aca="false">MIN((CO69+CO70)*$C$5, $F$15)*'⑫ Roll-out Plan'!$O$12</f>
        <v>27000</v>
      </c>
      <c r="CP952" s="121" t="n">
        <f aca="false">MIN((CP69+CP70)*$C$5, $F$15)*'⑫ Roll-out Plan'!$O$12</f>
        <v>27000</v>
      </c>
      <c r="CQ952" s="121" t="n">
        <f aca="false">MIN((CQ69+CQ70)*$C$5, $F$15)*'⑫ Roll-out Plan'!$O$12</f>
        <v>27000</v>
      </c>
      <c r="CR952" s="121" t="n">
        <f aca="false">MIN((CR69+CR70)*$C$5, $F$15)*'⑫ Roll-out Plan'!$O$12</f>
        <v>27000</v>
      </c>
      <c r="CS952" s="121" t="n">
        <f aca="false">MIN((CS69+CS70)*$C$5, $F$15)*'⑫ Roll-out Plan'!$O$12</f>
        <v>27000</v>
      </c>
      <c r="CT952" s="121" t="n">
        <f aca="false">MIN((CT69+CT70)*$C$5, $F$15)*'⑫ Roll-out Plan'!$O$12</f>
        <v>27000</v>
      </c>
      <c r="CU952" s="121" t="n">
        <f aca="false">MIN((CU69+CU70)*$C$5, $F$15)*'⑫ Roll-out Plan'!$O$12</f>
        <v>27000</v>
      </c>
      <c r="CV952" s="121" t="n">
        <f aca="false">MIN((CV69+CV70)*$C$5, $F$15)*'⑫ Roll-out Plan'!$O$12</f>
        <v>27000</v>
      </c>
      <c r="CW952" s="121" t="n">
        <f aca="false">MIN((CW69+CW70)*$C$5, $F$15)*'⑫ Roll-out Plan'!$O$12</f>
        <v>27000</v>
      </c>
      <c r="CX952" s="121" t="n">
        <f aca="false">MIN((CX69+CX70)*$C$5, $F$15)*'⑫ Roll-out Plan'!$O$12</f>
        <v>27000</v>
      </c>
      <c r="CY952" s="121" t="n">
        <f aca="false">MIN((CY69+CY70)*$C$5, $F$15)*'⑫ Roll-out Plan'!$O$12</f>
        <v>27000</v>
      </c>
      <c r="CZ952" s="121" t="n">
        <f aca="false">MIN((CZ69+CZ70)*$C$5, $F$15)*'⑫ Roll-out Plan'!$O$12</f>
        <v>27000</v>
      </c>
      <c r="DA952" s="121" t="n">
        <f aca="false">MIN((DA69+DA70)*$C$5, $F$15)*'⑫ Roll-out Plan'!$O$12</f>
        <v>27000</v>
      </c>
      <c r="DB952" s="121" t="n">
        <f aca="false">MIN((DB69+DB70)*$C$5, $F$15)*'⑫ Roll-out Plan'!$O$12</f>
        <v>27000</v>
      </c>
      <c r="DC952" s="121" t="n">
        <f aca="false">MIN((DC69+DC70)*$C$5, $F$15)*'⑫ Roll-out Plan'!$O$12</f>
        <v>27000</v>
      </c>
      <c r="DD952" s="121" t="n">
        <f aca="false">MIN((DD69+DD70)*$C$5, $F$15)*'⑫ Roll-out Plan'!$O$12</f>
        <v>27000</v>
      </c>
      <c r="DE952" s="121" t="n">
        <f aca="false">MIN((DE69+DE70)*$C$5, $F$15)*'⑫ Roll-out Plan'!$O$12</f>
        <v>27000</v>
      </c>
      <c r="DF952" s="121" t="n">
        <f aca="false">MIN((DF69+DF70)*$C$5, $F$15)*'⑫ Roll-out Plan'!$O$12</f>
        <v>27000</v>
      </c>
      <c r="DG952" s="121" t="n">
        <f aca="false">MIN((DG69+DG70)*$C$5, $F$15)*'⑫ Roll-out Plan'!$O$12</f>
        <v>27000</v>
      </c>
      <c r="DH952" s="121" t="n">
        <f aca="false">MIN((DH69+DH70)*$C$5, $F$15)*'⑫ Roll-out Plan'!$O$12</f>
        <v>27000</v>
      </c>
      <c r="DI952" s="121" t="n">
        <f aca="false">MIN((DI69+DI70)*$C$5, $F$15)*'⑫ Roll-out Plan'!$O$12</f>
        <v>27000</v>
      </c>
      <c r="DJ952" s="121" t="n">
        <f aca="false">MIN((DJ69+DJ70)*$C$5, $F$15)*'⑫ Roll-out Plan'!$O$12</f>
        <v>27000</v>
      </c>
      <c r="DK952" s="121" t="n">
        <f aca="false">MIN((DK69+DK70)*$C$5, $F$15)*'⑫ Roll-out Plan'!$O$12</f>
        <v>27000</v>
      </c>
      <c r="DL952" s="121" t="n">
        <f aca="false">MIN((DL69+DL70)*$C$5, $F$15)*'⑫ Roll-out Plan'!$O$12</f>
        <v>27000</v>
      </c>
      <c r="DM952" s="121" t="n">
        <f aca="false">MIN((DM69+DM70)*$C$5, $F$15)*'⑫ Roll-out Plan'!$O$12</f>
        <v>27000</v>
      </c>
      <c r="DN952" s="121" t="n">
        <f aca="false">MIN((DN69+DN70)*$C$5, $F$15)*'⑫ Roll-out Plan'!$O$12</f>
        <v>27000</v>
      </c>
      <c r="DO952" s="121" t="n">
        <f aca="false">MIN((DO69+DO70)*$C$5, $F$15)*'⑫ Roll-out Plan'!$O$12</f>
        <v>27000</v>
      </c>
      <c r="DP952" s="121" t="n">
        <f aca="false">MIN((DP69+DP70)*$C$5, $F$15)*'⑫ Roll-out Plan'!$O$12</f>
        <v>27000</v>
      </c>
      <c r="DQ952" s="121" t="n">
        <f aca="false">MIN((DQ69+DQ70)*$C$5, $F$15)*'⑫ Roll-out Plan'!$O$12</f>
        <v>27000</v>
      </c>
      <c r="DR952" s="121" t="n">
        <f aca="false">MIN((DR69+DR70)*$C$5, $F$15)*'⑫ Roll-out Plan'!$O$12</f>
        <v>27000</v>
      </c>
      <c r="DS952" s="121" t="n">
        <f aca="false">MIN((DS69+DS70)*$C$5, $F$15)*'⑫ Roll-out Plan'!$O$12</f>
        <v>27000</v>
      </c>
      <c r="DT952" s="121" t="n">
        <f aca="false">MIN((DT69+DT70)*$C$5, $F$15)*'⑫ Roll-out Plan'!$O$12</f>
        <v>27000</v>
      </c>
      <c r="DU952" s="121" t="n">
        <f aca="false">MIN((DU69+DU70)*$C$5, $F$15)*'⑫ Roll-out Plan'!$O$12</f>
        <v>27000</v>
      </c>
      <c r="DV952" s="121" t="n">
        <f aca="false">MIN((DV69+DV70)*$C$5, $F$15)*'⑫ Roll-out Plan'!$O$12</f>
        <v>27000</v>
      </c>
      <c r="DW952" s="121" t="n">
        <f aca="false">MIN((DW69+DW70)*$C$5, $F$15)*'⑫ Roll-out Plan'!$O$12</f>
        <v>27000</v>
      </c>
      <c r="DX952" s="121" t="n">
        <f aca="false">MIN((DX69+DX70)*$C$5, $F$15)*'⑫ Roll-out Plan'!$O$12</f>
        <v>27000</v>
      </c>
      <c r="DY952" s="121" t="n">
        <f aca="false">MIN((DY69+DY70)*$C$5, $F$15)*'⑫ Roll-out Plan'!$O$12</f>
        <v>27000</v>
      </c>
      <c r="DZ952" s="121" t="n">
        <f aca="false">MIN((DZ69+DZ70)*$C$5, $F$15)*'⑫ Roll-out Plan'!$O$12</f>
        <v>27000</v>
      </c>
      <c r="EA952" s="121" t="n">
        <f aca="false">MIN((EA69+EA70)*$C$5, $F$15)*'⑫ Roll-out Plan'!$O$12</f>
        <v>27000</v>
      </c>
      <c r="EB952" s="121" t="n">
        <f aca="false">MIN((EB69+EB70)*$C$5, $F$15)*'⑫ Roll-out Plan'!$O$12</f>
        <v>27000</v>
      </c>
      <c r="EC952" s="121" t="n">
        <f aca="false">MIN((EC69+EC70)*$C$5, $F$15)*'⑫ Roll-out Plan'!$O$12</f>
        <v>27000</v>
      </c>
      <c r="ED952" s="121" t="n">
        <f aca="false">MIN((ED69+ED70)*$C$5, $F$15)*'⑫ Roll-out Plan'!$O$12</f>
        <v>27000</v>
      </c>
      <c r="EE952" s="121" t="n">
        <f aca="false">MIN((EE69+EE70)*$C$5, $F$15)*'⑫ Roll-out Plan'!$O$12</f>
        <v>27000</v>
      </c>
      <c r="EF952" s="121" t="n">
        <f aca="false">MIN((EF69+EF70)*$C$5, $F$15)*'⑫ Roll-out Plan'!$O$12</f>
        <v>27000</v>
      </c>
      <c r="EG952" s="121" t="n">
        <f aca="false">MIN((EG69+EG70)*$C$5, $F$15)*'⑫ Roll-out Plan'!$O$12</f>
        <v>27000</v>
      </c>
      <c r="EH952" s="121" t="n">
        <f aca="false">MIN((EH69+EH70)*$C$5, $F$15)*'⑫ Roll-out Plan'!$O$12</f>
        <v>27000</v>
      </c>
      <c r="EI952" s="121" t="n">
        <f aca="false">MIN((EI69+EI70)*$C$5, $F$15)*'⑫ Roll-out Plan'!$O$12</f>
        <v>27000</v>
      </c>
      <c r="EJ952" s="121" t="n">
        <f aca="false">MIN((EJ69+EJ70)*$C$5, $F$15)*'⑫ Roll-out Plan'!$O$12</f>
        <v>27000</v>
      </c>
      <c r="EK952" s="121" t="n">
        <f aca="false">MIN((EK69+EK70)*$C$5, $F$15)*'⑫ Roll-out Plan'!$O$12</f>
        <v>27000</v>
      </c>
      <c r="EL952" s="121" t="n">
        <f aca="false">MIN((EL69+EL70)*$C$5, $F$15)*'⑫ Roll-out Plan'!$O$12</f>
        <v>27000</v>
      </c>
      <c r="EM952" s="121" t="n">
        <f aca="false">MIN((EM69+EM70)*$C$5, $F$15)*'⑫ Roll-out Plan'!$O$12</f>
        <v>27000</v>
      </c>
      <c r="EN952" s="121" t="n">
        <f aca="false">MIN((EN69+EN70)*$C$5, $F$15)*'⑫ Roll-out Plan'!$O$12</f>
        <v>27000</v>
      </c>
      <c r="EO952" s="121" t="n">
        <f aca="false">MIN((EO69+EO70)*$C$5, $F$15)*'⑫ Roll-out Plan'!$O$12</f>
        <v>27000</v>
      </c>
      <c r="EP952" s="121" t="n">
        <f aca="false">MIN((EP69+EP70)*$C$5, $F$15)*'⑫ Roll-out Plan'!$O$12</f>
        <v>27000</v>
      </c>
      <c r="EQ952" s="121" t="n">
        <f aca="false">MIN((EQ69+EQ70)*$C$5, $F$15)*'⑫ Roll-out Plan'!$O$12</f>
        <v>27000</v>
      </c>
      <c r="ER952" s="121" t="n">
        <f aca="false">MIN((ER69+ER70)*$C$5, $F$15)*'⑫ Roll-out Plan'!$O$12</f>
        <v>27000</v>
      </c>
      <c r="ES952" s="9" t="n">
        <f aca="false">MIN((ES69+ES70)*$C$5, $F$15)*'⑫ Roll-out Plan'!$O$12</f>
        <v>27000</v>
      </c>
      <c r="ET952" s="9" t="n">
        <f aca="false">MIN((ET69+ET70)*$C$5, $F$15)*'⑫ Roll-out Plan'!$O$12</f>
        <v>27000</v>
      </c>
      <c r="EU952" s="9" t="n">
        <f aca="false">MIN((EU69+EU70)*$C$5, $F$15)*'⑫ Roll-out Plan'!$O$12</f>
        <v>27000</v>
      </c>
      <c r="EV952" s="9" t="n">
        <f aca="false">MIN((EV69+EV70)*$C$5, $F$15)*'⑫ Roll-out Plan'!$O$12</f>
        <v>27000</v>
      </c>
      <c r="EW952" s="9" t="n">
        <f aca="false">MIN((EW69+EW70)*$C$5, $F$15)*'⑫ Roll-out Plan'!$O$12</f>
        <v>27000</v>
      </c>
      <c r="EX952" s="9" t="n">
        <f aca="false">MIN((EX69+EX70)*$C$5, $F$15)*'⑫ Roll-out Plan'!$O$12</f>
        <v>27000</v>
      </c>
      <c r="EY952" s="9" t="n">
        <f aca="false">MIN((EY69+EY70)*$C$5, $F$15)*'⑫ Roll-out Plan'!$O$12</f>
        <v>27000</v>
      </c>
      <c r="EZ952" s="9" t="n">
        <f aca="false">MIN((EZ69+EZ70)*$C$5, $F$15)*'⑫ Roll-out Plan'!$O$12</f>
        <v>27000</v>
      </c>
      <c r="FA952" s="9" t="n">
        <f aca="false">MIN((FA69+FA70)*$C$5, $F$15)*'⑫ Roll-out Plan'!$O$12</f>
        <v>27000</v>
      </c>
      <c r="FB952" s="9" t="n">
        <f aca="false">MIN((FB69+FB70)*$C$5, $F$15)*'⑫ Roll-out Plan'!$O$12</f>
        <v>27000</v>
      </c>
      <c r="FC952" s="9" t="n">
        <f aca="false">MIN((FC69+FC70)*$C$5, $F$15)*'⑫ Roll-out Plan'!$O$12</f>
        <v>27000</v>
      </c>
      <c r="FD952" s="9" t="n">
        <f aca="false">MIN((FD69+FD70)*$C$5, $F$15)*'⑫ Roll-out Plan'!$O$12</f>
        <v>27000</v>
      </c>
      <c r="FE952" s="9" t="n">
        <f aca="false">MIN((FE69+FE70)*$C$5, $F$15)*'⑫ Roll-out Plan'!$O$12</f>
        <v>27000</v>
      </c>
      <c r="FF952" s="9" t="n">
        <f aca="false">MIN((FF69+FF70)*$C$5, $F$15)*'⑫ Roll-out Plan'!$O$12</f>
        <v>27000</v>
      </c>
      <c r="FG952" s="9" t="n">
        <f aca="false">MIN((FG69+FG70)*$C$5, $F$15)*'⑫ Roll-out Plan'!$O$12</f>
        <v>27000</v>
      </c>
      <c r="FH952" s="9" t="n">
        <f aca="false">MIN((FH69+FH70)*$C$5, $F$15)*'⑫ Roll-out Plan'!$O$12</f>
        <v>27000</v>
      </c>
      <c r="FI952" s="9" t="n">
        <f aca="false">MIN((FI69+FI70)*$C$5, $F$15)*'⑫ Roll-out Plan'!$O$12</f>
        <v>27000</v>
      </c>
      <c r="FJ952" s="9" t="n">
        <f aca="false">MIN((FJ69+FJ70)*$C$5, $F$15)*'⑫ Roll-out Plan'!$O$12</f>
        <v>27000</v>
      </c>
      <c r="FK952" s="9" t="n">
        <f aca="false">MIN((FK69+FK70)*$C$5, $F$15)*'⑫ Roll-out Plan'!$O$12</f>
        <v>27000</v>
      </c>
      <c r="FL952" s="9" t="n">
        <f aca="false">MIN((FL69+FL70)*$C$5, $F$15)*'⑫ Roll-out Plan'!$O$12</f>
        <v>27000</v>
      </c>
      <c r="FM952" s="9" t="n">
        <f aca="false">MIN((FM69+FM70)*$C$5, $F$15)*'⑫ Roll-out Plan'!$O$12</f>
        <v>27000</v>
      </c>
      <c r="FN952" s="9" t="n">
        <f aca="false">MIN((FN69+FN70)*$C$5, $F$15)*'⑫ Roll-out Plan'!$O$12</f>
        <v>27000</v>
      </c>
      <c r="FO952" s="9" t="n">
        <f aca="false">MIN((FO69+FO70)*$C$5, $F$15)*'⑫ Roll-out Plan'!$O$12</f>
        <v>27000</v>
      </c>
      <c r="FP952" s="9" t="n">
        <f aca="false">MIN((FP69+FP70)*$C$5, $F$15)*'⑫ Roll-out Plan'!$O$12</f>
        <v>27000</v>
      </c>
    </row>
    <row r="953" customFormat="false" ht="15" hidden="false" customHeight="false" outlineLevel="0" collapsed="false">
      <c r="B953" s="253" t="s">
        <v>978</v>
      </c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121" t="n">
        <f aca="false">MIN((AC79+AC80)*$C$5, $F$14)*'⑫ Roll-out Plan'!$O$13</f>
        <v>0</v>
      </c>
      <c r="AD953" s="121" t="n">
        <f aca="false">MIN((AD79+AD80)*$C$5, $F$14)*'⑫ Roll-out Plan'!$O$13</f>
        <v>0</v>
      </c>
      <c r="AE953" s="121" t="n">
        <f aca="false">MIN((AE79+AE80)*$C$5, $F$14)*'⑫ Roll-out Plan'!$O$13</f>
        <v>0</v>
      </c>
      <c r="AF953" s="121" t="n">
        <f aca="false">MIN((AF79+AF80)*$C$5, $F$14)*'⑫ Roll-out Plan'!$O$13</f>
        <v>0</v>
      </c>
      <c r="AG953" s="121" t="n">
        <f aca="false">MIN((AG79+AG80)*$C$5, $F$14)*'⑫ Roll-out Plan'!$O$13</f>
        <v>0</v>
      </c>
      <c r="AH953" s="121" t="n">
        <f aca="false">MIN((AH79+AH80)*$C$5, $F$14)*'⑫ Roll-out Plan'!$O$13</f>
        <v>0</v>
      </c>
      <c r="AI953" s="121" t="n">
        <f aca="false">MIN((AI79+AI80)*$C$5, $F$14)*'⑫ Roll-out Plan'!$O$13</f>
        <v>0</v>
      </c>
      <c r="AJ953" s="121" t="n">
        <f aca="false">MIN((AJ79+AJ80)*$C$5, $F$14)*'⑫ Roll-out Plan'!$O$13</f>
        <v>0</v>
      </c>
      <c r="AK953" s="121" t="n">
        <f aca="false">MIN((AK79+AK80)*$C$5, $F$14)*'⑫ Roll-out Plan'!$O$13</f>
        <v>0</v>
      </c>
      <c r="AL953" s="121" t="n">
        <f aca="false">MIN((AL79+AL80)*$C$5, $F$14)*'⑫ Roll-out Plan'!$O$13</f>
        <v>0</v>
      </c>
      <c r="AM953" s="121" t="n">
        <f aca="false">MIN((AM79+AM80)*$C$5, $F$14)*'⑫ Roll-out Plan'!$O$13</f>
        <v>0</v>
      </c>
      <c r="AN953" s="121" t="n">
        <f aca="false">MIN((AN79+AN80)*$C$5, $F$14)*'⑫ Roll-out Plan'!$O$13</f>
        <v>5612.04</v>
      </c>
      <c r="AO953" s="121" t="n">
        <f aca="false">MIN((AO79+AO80)*$C$5, $F$14)*'⑫ Roll-out Plan'!$O$13</f>
        <v>7254.71712</v>
      </c>
      <c r="AP953" s="121" t="n">
        <f aca="false">MIN((AP79+AP80)*$C$5, $F$14)*'⑫ Roll-out Plan'!$O$13</f>
        <v>6349.396032</v>
      </c>
      <c r="AQ953" s="121" t="n">
        <f aca="false">MIN((AQ79+AQ80)*$C$5, $F$14)*'⑫ Roll-out Plan'!$O$13</f>
        <v>9549.8698176</v>
      </c>
      <c r="AR953" s="121" t="n">
        <f aca="false">MIN((AR79+AR80)*$C$5, $F$14)*'⑫ Roll-out Plan'!$O$13</f>
        <v>9586.8696672</v>
      </c>
      <c r="AS953" s="121" t="n">
        <f aca="false">MIN((AS79+AS80)*$C$5, $F$14)*'⑫ Roll-out Plan'!$O$13</f>
        <v>9302.1301632</v>
      </c>
      <c r="AT953" s="121" t="n">
        <f aca="false">MIN((AT79+AT80)*$C$5, $F$14)*'⑫ Roll-out Plan'!$O$13</f>
        <v>9202.8564768</v>
      </c>
      <c r="AU953" s="121" t="n">
        <f aca="false">MIN((AU79+AU80)*$C$5, $F$14)*'⑫ Roll-out Plan'!$O$13</f>
        <v>10602.7677504</v>
      </c>
      <c r="AV953" s="121" t="n">
        <f aca="false">MIN((AV79+AV80)*$C$5, $F$14)*'⑫ Roll-out Plan'!$O$13</f>
        <v>18997.9394304</v>
      </c>
      <c r="AW953" s="121" t="n">
        <f aca="false">MIN((AW79+AW80)*$C$5, $F$14)*'⑫ Roll-out Plan'!$O$13</f>
        <v>16964.4530496</v>
      </c>
      <c r="AX953" s="121" t="n">
        <f aca="false">MIN((AX79+AX80)*$C$5, $F$14)*'⑫ Roll-out Plan'!$O$13</f>
        <v>15516.7580064</v>
      </c>
      <c r="AY953" s="121" t="n">
        <f aca="false">MIN((AY79+AY80)*$C$5, $F$14)*'⑫ Roll-out Plan'!$O$13</f>
        <v>13138.511904</v>
      </c>
      <c r="AZ953" s="121" t="n">
        <f aca="false">MIN((AZ79+AZ80)*$C$5, $F$14)*'⑫ Roll-out Plan'!$O$13</f>
        <v>18429.5256096</v>
      </c>
      <c r="BA953" s="121" t="n">
        <f aca="false">MIN((BA79+BA80)*$C$5, $F$14)*'⑫ Roll-out Plan'!$O$13</f>
        <v>21474.702144</v>
      </c>
      <c r="BB953" s="121" t="n">
        <f aca="false">MIN((BB79+BB80)*$C$5, $F$14)*'⑫ Roll-out Plan'!$O$13</f>
        <v>17571.6009504</v>
      </c>
      <c r="BC953" s="121" t="n">
        <f aca="false">MIN((BC79+BC80)*$C$5, $F$14)*'⑫ Roll-out Plan'!$O$13</f>
        <v>27961.7450112</v>
      </c>
      <c r="BD953" s="121" t="n">
        <f aca="false">MIN((BD79+BD80)*$C$5, $F$14)*'⑫ Roll-out Plan'!$O$13</f>
        <v>29311.7421408</v>
      </c>
      <c r="BE953" s="121" t="n">
        <f aca="false">MIN((BE79+BE80)*$C$5, $F$14)*'⑫ Roll-out Plan'!$O$13</f>
        <v>26673.93632736</v>
      </c>
      <c r="BF953" s="121" t="n">
        <f aca="false">MIN((BF79+BF80)*$C$5, $F$14)*'⑫ Roll-out Plan'!$O$13</f>
        <v>24581.17712064</v>
      </c>
      <c r="BG953" s="121" t="n">
        <f aca="false">MIN((BG79+BG80)*$C$5, $F$14)*'⑫ Roll-out Plan'!$O$13</f>
        <v>25524.04385664</v>
      </c>
      <c r="BH953" s="121" t="n">
        <f aca="false">MIN((BH79+BH80)*$C$5, $F$14)*'⑫ Roll-out Plan'!$O$13</f>
        <v>35000</v>
      </c>
      <c r="BI953" s="121" t="n">
        <f aca="false">MIN((BI79+BI80)*$C$5, $F$14)*'⑫ Roll-out Plan'!$O$13</f>
        <v>35000</v>
      </c>
      <c r="BJ953" s="121" t="n">
        <f aca="false">MIN((BJ79+BJ80)*$C$5, $F$14)*'⑫ Roll-out Plan'!$O$13</f>
        <v>33044.4827076</v>
      </c>
      <c r="BK953" s="121" t="n">
        <f aca="false">MIN((BK79+BK80)*$C$5, $F$14)*'⑫ Roll-out Plan'!$O$13</f>
        <v>27313.82310888</v>
      </c>
      <c r="BL953" s="121" t="n">
        <f aca="false">MIN((BL79+BL80)*$C$5, $F$14)*'⑫ Roll-out Plan'!$O$13</f>
        <v>34730.26425624</v>
      </c>
      <c r="BM953" s="121" t="n">
        <f aca="false">MIN((BM79+BM80)*$C$5, $F$14)*'⑫ Roll-out Plan'!$O$13</f>
        <v>35000</v>
      </c>
      <c r="BN953" s="121" t="n">
        <f aca="false">MIN((BN79+BN80)*$C$5, $F$14)*'⑫ Roll-out Plan'!$O$13</f>
        <v>32632.95555576</v>
      </c>
      <c r="BO953" s="121" t="n">
        <f aca="false">MIN((BO79+BO80)*$C$5, $F$14)*'⑫ Roll-out Plan'!$O$13</f>
        <v>35000</v>
      </c>
      <c r="BP953" s="121" t="n">
        <f aca="false">MIN((BP79+BP80)*$C$5, $F$14)*'⑫ Roll-out Plan'!$O$13</f>
        <v>35000</v>
      </c>
      <c r="BQ953" s="121" t="n">
        <f aca="false">MIN((BQ79+BQ80)*$C$5, $F$14)*'⑫ Roll-out Plan'!$O$13</f>
        <v>35000</v>
      </c>
      <c r="BR953" s="121" t="n">
        <f aca="false">MIN((BR79+BR80)*$C$5, $F$14)*'⑫ Roll-out Plan'!$O$13</f>
        <v>35000</v>
      </c>
      <c r="BS953" s="121" t="n">
        <f aca="false">MIN((BS79+BS80)*$C$5, $F$14)*'⑫ Roll-out Plan'!$O$13</f>
        <v>35000</v>
      </c>
      <c r="BT953" s="121" t="n">
        <f aca="false">MIN((BT79+BT80)*$C$5, $F$14)*'⑫ Roll-out Plan'!$O$13</f>
        <v>35000</v>
      </c>
      <c r="BU953" s="121" t="n">
        <f aca="false">MIN((BU79+BU80)*$C$5, $F$14)*'⑫ Roll-out Plan'!$O$13</f>
        <v>35000</v>
      </c>
      <c r="BV953" s="121" t="n">
        <f aca="false">MIN((BV79+BV80)*$C$5, $F$14)*'⑫ Roll-out Plan'!$O$13</f>
        <v>35000</v>
      </c>
      <c r="BW953" s="121" t="n">
        <f aca="false">MIN((BW79+BW80)*$C$5, $F$14)*'⑫ Roll-out Plan'!$O$13</f>
        <v>35000</v>
      </c>
      <c r="BX953" s="121" t="n">
        <f aca="false">MIN((BX79+BX80)*$C$5, $F$14)*'⑫ Roll-out Plan'!$O$13</f>
        <v>35000</v>
      </c>
      <c r="BY953" s="121" t="n">
        <f aca="false">MIN((BY79+BY80)*$C$5, $F$14)*'⑫ Roll-out Plan'!$O$13</f>
        <v>35000</v>
      </c>
      <c r="BZ953" s="121" t="n">
        <f aca="false">MIN((BZ79+BZ80)*$C$5, $F$14)*'⑫ Roll-out Plan'!$O$13</f>
        <v>35000</v>
      </c>
      <c r="CA953" s="121" t="n">
        <f aca="false">MIN((CA79+CA80)*$C$5, $F$14)*'⑫ Roll-out Plan'!$O$13</f>
        <v>35000</v>
      </c>
      <c r="CB953" s="121" t="n">
        <f aca="false">MIN((CB79+CB80)*$C$5, $F$14)*'⑫ Roll-out Plan'!$O$13</f>
        <v>35000</v>
      </c>
      <c r="CC953" s="121" t="n">
        <f aca="false">MIN((CC79+CC80)*$C$5, $F$14)*'⑫ Roll-out Plan'!$O$13</f>
        <v>35000</v>
      </c>
      <c r="CD953" s="121" t="n">
        <f aca="false">MIN((CD79+CD80)*$C$5, $F$14)*'⑫ Roll-out Plan'!$O$13</f>
        <v>35000</v>
      </c>
      <c r="CE953" s="121" t="n">
        <f aca="false">MIN((CE79+CE80)*$C$5, $F$14)*'⑫ Roll-out Plan'!$O$13</f>
        <v>35000</v>
      </c>
      <c r="CF953" s="121" t="n">
        <f aca="false">MIN((CF79+CF80)*$C$5, $F$14)*'⑫ Roll-out Plan'!$O$13</f>
        <v>35000</v>
      </c>
      <c r="CG953" s="121" t="n">
        <f aca="false">MIN((CG79+CG80)*$C$5, $F$14)*'⑫ Roll-out Plan'!$O$13</f>
        <v>35000</v>
      </c>
      <c r="CH953" s="121" t="n">
        <f aca="false">MIN((CH79+CH80)*$C$5, $F$14)*'⑫ Roll-out Plan'!$O$13</f>
        <v>35000</v>
      </c>
      <c r="CI953" s="121" t="n">
        <f aca="false">MIN((CI79+CI80)*$C$5, $F$14)*'⑫ Roll-out Plan'!$O$13</f>
        <v>35000</v>
      </c>
      <c r="CJ953" s="121" t="n">
        <f aca="false">MIN((CJ79+CJ80)*$C$5, $F$14)*'⑫ Roll-out Plan'!$O$13</f>
        <v>35000</v>
      </c>
      <c r="CK953" s="121" t="n">
        <f aca="false">MIN((CK79+CK80)*$C$5, $F$14)*'⑫ Roll-out Plan'!$O$13</f>
        <v>35000</v>
      </c>
      <c r="CL953" s="121" t="n">
        <f aca="false">MIN((CL79+CL80)*$C$5, $F$14)*'⑫ Roll-out Plan'!$O$13</f>
        <v>35000</v>
      </c>
      <c r="CM953" s="121" t="n">
        <f aca="false">MIN((CM79+CM80)*$C$5, $F$14)*'⑫ Roll-out Plan'!$O$13</f>
        <v>35000</v>
      </c>
      <c r="CN953" s="121" t="n">
        <f aca="false">MIN((CN79+CN80)*$C$5, $F$14)*'⑫ Roll-out Plan'!$O$13</f>
        <v>35000</v>
      </c>
      <c r="CO953" s="121" t="n">
        <f aca="false">MIN((CO79+CO80)*$C$5, $F$14)*'⑫ Roll-out Plan'!$O$13</f>
        <v>35000</v>
      </c>
      <c r="CP953" s="121" t="n">
        <f aca="false">MIN((CP79+CP80)*$C$5, $F$14)*'⑫ Roll-out Plan'!$O$13</f>
        <v>35000</v>
      </c>
      <c r="CQ953" s="121" t="n">
        <f aca="false">MIN((CQ79+CQ80)*$C$5, $F$14)*'⑫ Roll-out Plan'!$O$13</f>
        <v>35000</v>
      </c>
      <c r="CR953" s="121" t="n">
        <f aca="false">MIN((CR79+CR80)*$C$5, $F$14)*'⑫ Roll-out Plan'!$O$13</f>
        <v>35000</v>
      </c>
      <c r="CS953" s="121" t="n">
        <f aca="false">MIN((CS79+CS80)*$C$5, $F$14)*'⑫ Roll-out Plan'!$O$13</f>
        <v>35000</v>
      </c>
      <c r="CT953" s="121" t="n">
        <f aca="false">MIN((CT79+CT80)*$C$5, $F$14)*'⑫ Roll-out Plan'!$O$13</f>
        <v>35000</v>
      </c>
      <c r="CU953" s="121" t="n">
        <f aca="false">MIN((CU79+CU80)*$C$5, $F$14)*'⑫ Roll-out Plan'!$O$13</f>
        <v>35000</v>
      </c>
      <c r="CV953" s="121" t="n">
        <f aca="false">MIN((CV79+CV80)*$C$5, $F$14)*'⑫ Roll-out Plan'!$O$13</f>
        <v>35000</v>
      </c>
      <c r="CW953" s="121" t="n">
        <f aca="false">MIN((CW79+CW80)*$C$5, $F$14)*'⑫ Roll-out Plan'!$O$13</f>
        <v>35000</v>
      </c>
      <c r="CX953" s="121" t="n">
        <f aca="false">MIN((CX79+CX80)*$C$5, $F$14)*'⑫ Roll-out Plan'!$O$13</f>
        <v>35000</v>
      </c>
      <c r="CY953" s="121" t="n">
        <f aca="false">MIN((CY79+CY80)*$C$5, $F$14)*'⑫ Roll-out Plan'!$O$13</f>
        <v>35000</v>
      </c>
      <c r="CZ953" s="121" t="n">
        <f aca="false">MIN((CZ79+CZ80)*$C$5, $F$14)*'⑫ Roll-out Plan'!$O$13</f>
        <v>35000</v>
      </c>
      <c r="DA953" s="121" t="n">
        <f aca="false">MIN((DA79+DA80)*$C$5, $F$14)*'⑫ Roll-out Plan'!$O$13</f>
        <v>35000</v>
      </c>
      <c r="DB953" s="121" t="n">
        <f aca="false">MIN((DB79+DB80)*$C$5, $F$14)*'⑫ Roll-out Plan'!$O$13</f>
        <v>35000</v>
      </c>
      <c r="DC953" s="121" t="n">
        <f aca="false">MIN((DC79+DC80)*$C$5, $F$14)*'⑫ Roll-out Plan'!$O$13</f>
        <v>35000</v>
      </c>
      <c r="DD953" s="121" t="n">
        <f aca="false">MIN((DD79+DD80)*$C$5, $F$14)*'⑫ Roll-out Plan'!$O$13</f>
        <v>35000</v>
      </c>
      <c r="DE953" s="121" t="n">
        <f aca="false">MIN((DE79+DE80)*$C$5, $F$14)*'⑫ Roll-out Plan'!$O$13</f>
        <v>35000</v>
      </c>
      <c r="DF953" s="121" t="n">
        <f aca="false">MIN((DF79+DF80)*$C$5, $F$14)*'⑫ Roll-out Plan'!$O$13</f>
        <v>35000</v>
      </c>
      <c r="DG953" s="121" t="n">
        <f aca="false">MIN((DG79+DG80)*$C$5, $F$14)*'⑫ Roll-out Plan'!$O$13</f>
        <v>35000</v>
      </c>
      <c r="DH953" s="121" t="n">
        <f aca="false">MIN((DH79+DH80)*$C$5, $F$14)*'⑫ Roll-out Plan'!$O$13</f>
        <v>35000</v>
      </c>
      <c r="DI953" s="121" t="n">
        <f aca="false">MIN((DI79+DI80)*$C$5, $F$14)*'⑫ Roll-out Plan'!$O$13</f>
        <v>35000</v>
      </c>
      <c r="DJ953" s="121" t="n">
        <f aca="false">MIN((DJ79+DJ80)*$C$5, $F$14)*'⑫ Roll-out Plan'!$O$13</f>
        <v>35000</v>
      </c>
      <c r="DK953" s="121" t="n">
        <f aca="false">MIN((DK79+DK80)*$C$5, $F$14)*'⑫ Roll-out Plan'!$O$13</f>
        <v>35000</v>
      </c>
      <c r="DL953" s="121" t="n">
        <f aca="false">MIN((DL79+DL80)*$C$5, $F$14)*'⑫ Roll-out Plan'!$O$13</f>
        <v>35000</v>
      </c>
      <c r="DM953" s="121" t="n">
        <f aca="false">MIN((DM79+DM80)*$C$5, $F$14)*'⑫ Roll-out Plan'!$O$13</f>
        <v>35000</v>
      </c>
      <c r="DN953" s="121" t="n">
        <f aca="false">MIN((DN79+DN80)*$C$5, $F$14)*'⑫ Roll-out Plan'!$O$13</f>
        <v>35000</v>
      </c>
      <c r="DO953" s="121" t="n">
        <f aca="false">MIN((DO79+DO80)*$C$5, $F$14)*'⑫ Roll-out Plan'!$O$13</f>
        <v>35000</v>
      </c>
      <c r="DP953" s="121" t="n">
        <f aca="false">MIN((DP79+DP80)*$C$5, $F$14)*'⑫ Roll-out Plan'!$O$13</f>
        <v>35000</v>
      </c>
      <c r="DQ953" s="121" t="n">
        <f aca="false">MIN((DQ79+DQ80)*$C$5, $F$14)*'⑫ Roll-out Plan'!$O$13</f>
        <v>35000</v>
      </c>
      <c r="DR953" s="121" t="n">
        <f aca="false">MIN((DR79+DR80)*$C$5, $F$14)*'⑫ Roll-out Plan'!$O$13</f>
        <v>35000</v>
      </c>
      <c r="DS953" s="121" t="n">
        <f aca="false">MIN((DS79+DS80)*$C$5, $F$14)*'⑫ Roll-out Plan'!$O$13</f>
        <v>35000</v>
      </c>
      <c r="DT953" s="121" t="n">
        <f aca="false">MIN((DT79+DT80)*$C$5, $F$14)*'⑫ Roll-out Plan'!$O$13</f>
        <v>35000</v>
      </c>
      <c r="DU953" s="121" t="n">
        <f aca="false">MIN((DU79+DU80)*$C$5, $F$14)*'⑫ Roll-out Plan'!$O$13</f>
        <v>35000</v>
      </c>
      <c r="DV953" s="121" t="n">
        <f aca="false">MIN((DV79+DV80)*$C$5, $F$14)*'⑫ Roll-out Plan'!$O$13</f>
        <v>35000</v>
      </c>
      <c r="DW953" s="121" t="n">
        <f aca="false">MIN((DW79+DW80)*$C$5, $F$14)*'⑫ Roll-out Plan'!$O$13</f>
        <v>35000</v>
      </c>
      <c r="DX953" s="121" t="n">
        <f aca="false">MIN((DX79+DX80)*$C$5, $F$14)*'⑫ Roll-out Plan'!$O$13</f>
        <v>35000</v>
      </c>
      <c r="DY953" s="121" t="n">
        <f aca="false">MIN((DY79+DY80)*$C$5, $F$14)*'⑫ Roll-out Plan'!$O$13</f>
        <v>35000</v>
      </c>
      <c r="DZ953" s="121" t="n">
        <f aca="false">MIN((DZ79+DZ80)*$C$5, $F$14)*'⑫ Roll-out Plan'!$O$13</f>
        <v>35000</v>
      </c>
      <c r="EA953" s="121" t="n">
        <f aca="false">MIN((EA79+EA80)*$C$5, $F$14)*'⑫ Roll-out Plan'!$O$13</f>
        <v>35000</v>
      </c>
      <c r="EB953" s="121" t="n">
        <f aca="false">MIN((EB79+EB80)*$C$5, $F$14)*'⑫ Roll-out Plan'!$O$13</f>
        <v>35000</v>
      </c>
      <c r="EC953" s="121" t="n">
        <f aca="false">MIN((EC79+EC80)*$C$5, $F$14)*'⑫ Roll-out Plan'!$O$13</f>
        <v>35000</v>
      </c>
      <c r="ED953" s="121" t="n">
        <f aca="false">MIN((ED79+ED80)*$C$5, $F$14)*'⑫ Roll-out Plan'!$O$13</f>
        <v>35000</v>
      </c>
      <c r="EE953" s="121" t="n">
        <f aca="false">MIN((EE79+EE80)*$C$5, $F$14)*'⑫ Roll-out Plan'!$O$13</f>
        <v>35000</v>
      </c>
      <c r="EF953" s="121" t="n">
        <f aca="false">MIN((EF79+EF80)*$C$5, $F$14)*'⑫ Roll-out Plan'!$O$13</f>
        <v>35000</v>
      </c>
      <c r="EG953" s="121" t="n">
        <f aca="false">MIN((EG79+EG80)*$C$5, $F$14)*'⑫ Roll-out Plan'!$O$13</f>
        <v>35000</v>
      </c>
      <c r="EH953" s="121" t="n">
        <f aca="false">MIN((EH79+EH80)*$C$5, $F$14)*'⑫ Roll-out Plan'!$O$13</f>
        <v>35000</v>
      </c>
      <c r="EI953" s="121" t="n">
        <f aca="false">MIN((EI79+EI80)*$C$5, $F$14)*'⑫ Roll-out Plan'!$O$13</f>
        <v>35000</v>
      </c>
      <c r="EJ953" s="121" t="n">
        <f aca="false">MIN((EJ79+EJ80)*$C$5, $F$14)*'⑫ Roll-out Plan'!$O$13</f>
        <v>35000</v>
      </c>
      <c r="EK953" s="121" t="n">
        <f aca="false">MIN((EK79+EK80)*$C$5, $F$14)*'⑫ Roll-out Plan'!$O$13</f>
        <v>35000</v>
      </c>
      <c r="EL953" s="121" t="n">
        <f aca="false">MIN((EL79+EL80)*$C$5, $F$14)*'⑫ Roll-out Plan'!$O$13</f>
        <v>35000</v>
      </c>
      <c r="EM953" s="121" t="n">
        <f aca="false">MIN((EM79+EM80)*$C$5, $F$14)*'⑫ Roll-out Plan'!$O$13</f>
        <v>35000</v>
      </c>
      <c r="EN953" s="121" t="n">
        <f aca="false">MIN((EN79+EN80)*$C$5, $F$14)*'⑫ Roll-out Plan'!$O$13</f>
        <v>35000</v>
      </c>
      <c r="EO953" s="121" t="n">
        <f aca="false">MIN((EO79+EO80)*$C$5, $F$14)*'⑫ Roll-out Plan'!$O$13</f>
        <v>35000</v>
      </c>
      <c r="EP953" s="121" t="n">
        <f aca="false">MIN((EP79+EP80)*$C$5, $F$14)*'⑫ Roll-out Plan'!$O$13</f>
        <v>35000</v>
      </c>
      <c r="EQ953" s="121" t="n">
        <f aca="false">MIN((EQ79+EQ80)*$C$5, $F$14)*'⑫ Roll-out Plan'!$O$13</f>
        <v>35000</v>
      </c>
      <c r="ER953" s="121" t="n">
        <f aca="false">MIN((ER79+ER80)*$C$5, $F$14)*'⑫ Roll-out Plan'!$O$13</f>
        <v>35000</v>
      </c>
      <c r="ES953" s="9" t="n">
        <f aca="false">MIN((ES79+ES80)*$C$5, $F$14)*'⑫ Roll-out Plan'!$O$13</f>
        <v>35000</v>
      </c>
      <c r="ET953" s="9" t="n">
        <f aca="false">MIN((ET79+ET80)*$C$5, $F$14)*'⑫ Roll-out Plan'!$O$13</f>
        <v>35000</v>
      </c>
      <c r="EU953" s="9" t="n">
        <f aca="false">MIN((EU79+EU80)*$C$5, $F$14)*'⑫ Roll-out Plan'!$O$13</f>
        <v>35000</v>
      </c>
      <c r="EV953" s="9" t="n">
        <f aca="false">MIN((EV79+EV80)*$C$5, $F$14)*'⑫ Roll-out Plan'!$O$13</f>
        <v>35000</v>
      </c>
      <c r="EW953" s="9" t="n">
        <f aca="false">MIN((EW79+EW80)*$C$5, $F$14)*'⑫ Roll-out Plan'!$O$13</f>
        <v>35000</v>
      </c>
      <c r="EX953" s="9" t="n">
        <f aca="false">MIN((EX79+EX80)*$C$5, $F$14)*'⑫ Roll-out Plan'!$O$13</f>
        <v>35000</v>
      </c>
      <c r="EY953" s="9" t="n">
        <f aca="false">MIN((EY79+EY80)*$C$5, $F$14)*'⑫ Roll-out Plan'!$O$13</f>
        <v>35000</v>
      </c>
      <c r="EZ953" s="9" t="n">
        <f aca="false">MIN((EZ79+EZ80)*$C$5, $F$14)*'⑫ Roll-out Plan'!$O$13</f>
        <v>35000</v>
      </c>
      <c r="FA953" s="9" t="n">
        <f aca="false">MIN((FA79+FA80)*$C$5, $F$14)*'⑫ Roll-out Plan'!$O$13</f>
        <v>35000</v>
      </c>
      <c r="FB953" s="9" t="n">
        <f aca="false">MIN((FB79+FB80)*$C$5, $F$14)*'⑫ Roll-out Plan'!$O$13</f>
        <v>35000</v>
      </c>
      <c r="FC953" s="9" t="n">
        <f aca="false">MIN((FC79+FC80)*$C$5, $F$14)*'⑫ Roll-out Plan'!$O$13</f>
        <v>35000</v>
      </c>
      <c r="FD953" s="9" t="n">
        <f aca="false">MIN((FD79+FD80)*$C$5, $F$14)*'⑫ Roll-out Plan'!$O$13</f>
        <v>35000</v>
      </c>
      <c r="FE953" s="9" t="n">
        <f aca="false">MIN((FE79+FE80)*$C$5, $F$14)*'⑫ Roll-out Plan'!$O$13</f>
        <v>35000</v>
      </c>
      <c r="FF953" s="9" t="n">
        <f aca="false">MIN((FF79+FF80)*$C$5, $F$14)*'⑫ Roll-out Plan'!$O$13</f>
        <v>35000</v>
      </c>
      <c r="FG953" s="9" t="n">
        <f aca="false">MIN((FG79+FG80)*$C$5, $F$14)*'⑫ Roll-out Plan'!$O$13</f>
        <v>35000</v>
      </c>
      <c r="FH953" s="9" t="n">
        <f aca="false">MIN((FH79+FH80)*$C$5, $F$14)*'⑫ Roll-out Plan'!$O$13</f>
        <v>35000</v>
      </c>
      <c r="FI953" s="9" t="n">
        <f aca="false">MIN((FI79+FI80)*$C$5, $F$14)*'⑫ Roll-out Plan'!$O$13</f>
        <v>35000</v>
      </c>
      <c r="FJ953" s="9" t="n">
        <f aca="false">MIN((FJ79+FJ80)*$C$5, $F$14)*'⑫ Roll-out Plan'!$O$13</f>
        <v>35000</v>
      </c>
      <c r="FK953" s="9" t="n">
        <f aca="false">MIN((FK79+FK80)*$C$5, $F$14)*'⑫ Roll-out Plan'!$O$13</f>
        <v>35000</v>
      </c>
      <c r="FL953" s="9" t="n">
        <f aca="false">MIN((FL79+FL80)*$C$5, $F$14)*'⑫ Roll-out Plan'!$O$13</f>
        <v>35000</v>
      </c>
      <c r="FM953" s="9" t="n">
        <f aca="false">MIN((FM79+FM80)*$C$5, $F$14)*'⑫ Roll-out Plan'!$O$13</f>
        <v>35000</v>
      </c>
      <c r="FN953" s="9" t="n">
        <f aca="false">MIN((FN79+FN80)*$C$5, $F$14)*'⑫ Roll-out Plan'!$O$13</f>
        <v>35000</v>
      </c>
      <c r="FO953" s="9" t="n">
        <f aca="false">MIN((FO79+FO80)*$C$5, $F$14)*'⑫ Roll-out Plan'!$O$13</f>
        <v>35000</v>
      </c>
      <c r="FP953" s="9" t="n">
        <f aca="false">MIN((FP79+FP80)*$C$5, $F$14)*'⑫ Roll-out Plan'!$O$13</f>
        <v>35000</v>
      </c>
    </row>
    <row r="954" customFormat="false" ht="15" hidden="false" customHeight="false" outlineLevel="0" collapsed="false">
      <c r="B954" s="253" t="s">
        <v>979</v>
      </c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121" t="n">
        <f aca="false">MIN((AC89+AC90)*$C$5, $F$14)*'⑫ Roll-out Plan'!$O$14</f>
        <v>0</v>
      </c>
      <c r="AD954" s="121" t="n">
        <f aca="false">MIN((AD89+AD90)*$C$5, $F$14)*'⑫ Roll-out Plan'!$O$14</f>
        <v>0</v>
      </c>
      <c r="AE954" s="121" t="n">
        <f aca="false">MIN((AE89+AE90)*$C$5, $F$14)*'⑫ Roll-out Plan'!$O$14</f>
        <v>0</v>
      </c>
      <c r="AF954" s="121" t="n">
        <f aca="false">MIN((AF89+AF90)*$C$5, $F$14)*'⑫ Roll-out Plan'!$O$14</f>
        <v>0</v>
      </c>
      <c r="AG954" s="121" t="n">
        <f aca="false">MIN((AG89+AG90)*$C$5, $F$14)*'⑫ Roll-out Plan'!$O$14</f>
        <v>0</v>
      </c>
      <c r="AH954" s="121" t="n">
        <f aca="false">MIN((AH89+AH90)*$C$5, $F$14)*'⑫ Roll-out Plan'!$O$14</f>
        <v>0</v>
      </c>
      <c r="AI954" s="121" t="n">
        <f aca="false">MIN((AI89+AI90)*$C$5, $F$14)*'⑫ Roll-out Plan'!$O$14</f>
        <v>0</v>
      </c>
      <c r="AJ954" s="121" t="n">
        <f aca="false">MIN((AJ89+AJ90)*$C$5, $F$14)*'⑫ Roll-out Plan'!$O$14</f>
        <v>0</v>
      </c>
      <c r="AK954" s="121" t="n">
        <f aca="false">MIN((AK89+AK90)*$C$5, $F$14)*'⑫ Roll-out Plan'!$O$14</f>
        <v>0</v>
      </c>
      <c r="AL954" s="121" t="n">
        <f aca="false">MIN((AL89+AL90)*$C$5, $F$14)*'⑫ Roll-out Plan'!$O$14</f>
        <v>0</v>
      </c>
      <c r="AM954" s="121" t="n">
        <f aca="false">MIN((AM89+AM90)*$C$5, $F$14)*'⑫ Roll-out Plan'!$O$14</f>
        <v>0</v>
      </c>
      <c r="AN954" s="121" t="n">
        <f aca="false">MIN((AN89+AN90)*$C$5, $F$14)*'⑫ Roll-out Plan'!$O$14</f>
        <v>0</v>
      </c>
      <c r="AO954" s="121" t="n">
        <f aca="false">MIN((AO89+AO90)*$C$5, $F$14)*'⑫ Roll-out Plan'!$O$14</f>
        <v>0</v>
      </c>
      <c r="AP954" s="121" t="n">
        <f aca="false">MIN((AP89+AP90)*$C$5, $F$14)*'⑫ Roll-out Plan'!$O$14</f>
        <v>0</v>
      </c>
      <c r="AQ954" s="121" t="n">
        <f aca="false">MIN((AQ89+AQ90)*$C$5, $F$14)*'⑫ Roll-out Plan'!$O$14</f>
        <v>0</v>
      </c>
      <c r="AR954" s="121" t="n">
        <f aca="false">MIN((AR89+AR90)*$C$5, $F$14)*'⑫ Roll-out Plan'!$O$14</f>
        <v>0</v>
      </c>
      <c r="AS954" s="121" t="n">
        <f aca="false">MIN((AS89+AS90)*$C$5, $F$14)*'⑫ Roll-out Plan'!$O$14</f>
        <v>0</v>
      </c>
      <c r="AT954" s="121" t="n">
        <f aca="false">MIN((AT89+AT90)*$C$5, $F$14)*'⑫ Roll-out Plan'!$O$14</f>
        <v>0</v>
      </c>
      <c r="AU954" s="121" t="n">
        <f aca="false">MIN((AU89+AU90)*$C$5, $F$14)*'⑫ Roll-out Plan'!$O$14</f>
        <v>0</v>
      </c>
      <c r="AV954" s="121" t="n">
        <f aca="false">MIN((AV89+AV90)*$C$5, $F$14)*'⑫ Roll-out Plan'!$O$14</f>
        <v>0</v>
      </c>
      <c r="AW954" s="121" t="n">
        <f aca="false">MIN((AW89+AW90)*$C$5, $F$14)*'⑫ Roll-out Plan'!$O$14</f>
        <v>0</v>
      </c>
      <c r="AX954" s="121" t="n">
        <f aca="false">MIN((AX89+AX90)*$C$5, $F$14)*'⑫ Roll-out Plan'!$O$14</f>
        <v>0</v>
      </c>
      <c r="AY954" s="121" t="n">
        <f aca="false">MIN((AY89+AY90)*$C$5, $F$14)*'⑫ Roll-out Plan'!$O$14</f>
        <v>0</v>
      </c>
      <c r="AZ954" s="121" t="n">
        <f aca="false">MIN((AZ89+AZ90)*$C$5, $F$14)*'⑫ Roll-out Plan'!$O$14</f>
        <v>0</v>
      </c>
      <c r="BA954" s="121" t="n">
        <f aca="false">MIN((BA89+BA90)*$C$5, $F$14)*'⑫ Roll-out Plan'!$O$14</f>
        <v>0</v>
      </c>
      <c r="BB954" s="121" t="n">
        <f aca="false">MIN((BB89+BB90)*$C$5, $F$14)*'⑫ Roll-out Plan'!$O$14</f>
        <v>0</v>
      </c>
      <c r="BC954" s="121" t="n">
        <f aca="false">MIN((BC89+BC90)*$C$5, $F$14)*'⑫ Roll-out Plan'!$O$14</f>
        <v>0</v>
      </c>
      <c r="BD954" s="121" t="n">
        <f aca="false">MIN((BD89+BD90)*$C$5, $F$14)*'⑫ Roll-out Plan'!$O$14</f>
        <v>0</v>
      </c>
      <c r="BE954" s="121" t="n">
        <f aca="false">MIN((BE89+BE90)*$C$5, $F$14)*'⑫ Roll-out Plan'!$O$14</f>
        <v>0</v>
      </c>
      <c r="BF954" s="121" t="n">
        <f aca="false">MIN((BF89+BF90)*$C$5, $F$14)*'⑫ Roll-out Plan'!$O$14</f>
        <v>0</v>
      </c>
      <c r="BG954" s="121" t="n">
        <f aca="false">MIN((BG89+BG90)*$C$5, $F$14)*'⑫ Roll-out Plan'!$O$14</f>
        <v>0</v>
      </c>
      <c r="BH954" s="121" t="n">
        <f aca="false">MIN((BH89+BH90)*$C$5, $F$14)*'⑫ Roll-out Plan'!$O$14</f>
        <v>7812.84</v>
      </c>
      <c r="BI954" s="121" t="n">
        <f aca="false">MIN((BI89+BI90)*$C$5, $F$14)*'⑫ Roll-out Plan'!$O$14</f>
        <v>8020.59552</v>
      </c>
      <c r="BJ954" s="121" t="n">
        <f aca="false">MIN((BJ89+BJ90)*$C$5, $F$14)*'⑫ Roll-out Plan'!$O$14</f>
        <v>7374.44064</v>
      </c>
      <c r="BK954" s="121" t="n">
        <f aca="false">MIN((BK89+BK90)*$C$5, $F$14)*'⑫ Roll-out Plan'!$O$14</f>
        <v>6457.8162432</v>
      </c>
      <c r="BL954" s="121" t="n">
        <f aca="false">MIN((BL89+BL90)*$C$5, $F$14)*'⑫ Roll-out Plan'!$O$14</f>
        <v>8629.6096992</v>
      </c>
      <c r="BM954" s="121" t="n">
        <f aca="false">MIN((BM89+BM90)*$C$5, $F$14)*'⑫ Roll-out Plan'!$O$14</f>
        <v>10581.0766656</v>
      </c>
      <c r="BN954" s="121" t="n">
        <f aca="false">MIN((BN89+BN90)*$C$5, $F$14)*'⑫ Roll-out Plan'!$O$14</f>
        <v>9513.4597824</v>
      </c>
      <c r="BO954" s="121" t="n">
        <f aca="false">MIN((BO89+BO90)*$C$5, $F$14)*'⑫ Roll-out Plan'!$O$14</f>
        <v>14075.9470656</v>
      </c>
      <c r="BP954" s="121" t="n">
        <f aca="false">MIN((BP89+BP90)*$C$5, $F$14)*'⑫ Roll-out Plan'!$O$14</f>
        <v>15581.708016</v>
      </c>
      <c r="BQ954" s="121" t="n">
        <f aca="false">MIN((BQ89+BQ90)*$C$5, $F$14)*'⑫ Roll-out Plan'!$O$14</f>
        <v>13662.654432</v>
      </c>
      <c r="BR954" s="121" t="n">
        <f aca="false">MIN((BR89+BR90)*$C$5, $F$14)*'⑫ Roll-out Plan'!$O$14</f>
        <v>13049.115408</v>
      </c>
      <c r="BS954" s="121" t="n">
        <f aca="false">MIN((BS89+BS90)*$C$5, $F$14)*'⑫ Roll-out Plan'!$O$14</f>
        <v>14498.3950272</v>
      </c>
      <c r="BT954" s="121" t="n">
        <f aca="false">MIN((BT89+BT90)*$C$5, $F$14)*'⑫ Roll-out Plan'!$O$14</f>
        <v>24758.823936</v>
      </c>
      <c r="BU954" s="121" t="n">
        <f aca="false">MIN((BU89+BU90)*$C$5, $F$14)*'⑫ Roll-out Plan'!$O$14</f>
        <v>23548.9473408</v>
      </c>
      <c r="BV954" s="121" t="n">
        <f aca="false">MIN((BV89+BV90)*$C$5, $F$14)*'⑫ Roll-out Plan'!$O$14</f>
        <v>20239.7188224</v>
      </c>
      <c r="BW954" s="121" t="n">
        <f aca="false">MIN((BW89+BW90)*$C$5, $F$14)*'⑫ Roll-out Plan'!$O$14</f>
        <v>19207.8077184</v>
      </c>
      <c r="BX954" s="121" t="n">
        <f aca="false">MIN((BX89+BX90)*$C$5, $F$14)*'⑫ Roll-out Plan'!$O$14</f>
        <v>26430.6748608</v>
      </c>
      <c r="BY954" s="121" t="n">
        <f aca="false">MIN((BY89+BY90)*$C$5, $F$14)*'⑫ Roll-out Plan'!$O$14</f>
        <v>30104.99056992</v>
      </c>
      <c r="BZ954" s="121" t="n">
        <f aca="false">MIN((BZ89+BZ90)*$C$5, $F$14)*'⑫ Roll-out Plan'!$O$14</f>
        <v>25381.21545792</v>
      </c>
      <c r="CA954" s="121" t="n">
        <f aca="false">MIN((CA89+CA90)*$C$5, $F$14)*'⑫ Roll-out Plan'!$O$14</f>
        <v>33232.65044736</v>
      </c>
      <c r="CB954" s="121" t="n">
        <f aca="false">MIN((CB89+CB90)*$C$5, $F$14)*'⑫ Roll-out Plan'!$O$14</f>
        <v>33962.76936864</v>
      </c>
      <c r="CC954" s="121" t="n">
        <f aca="false">MIN((CC89+CC90)*$C$5, $F$14)*'⑫ Roll-out Plan'!$O$14</f>
        <v>30556.7776164</v>
      </c>
      <c r="CD954" s="121" t="n">
        <f aca="false">MIN((CD89+CD90)*$C$5, $F$14)*'⑫ Roll-out Plan'!$O$14</f>
        <v>28142.57528376</v>
      </c>
      <c r="CE954" s="121" t="n">
        <f aca="false">MIN((CE89+CE90)*$C$5, $F$14)*'⑫ Roll-out Plan'!$O$14</f>
        <v>29718.98829648</v>
      </c>
      <c r="CF954" s="121" t="n">
        <f aca="false">MIN((CF89+CF90)*$C$5, $F$14)*'⑫ Roll-out Plan'!$O$14</f>
        <v>35000</v>
      </c>
      <c r="CG954" s="121" t="n">
        <f aca="false">MIN((CG89+CG90)*$C$5, $F$14)*'⑫ Roll-out Plan'!$O$14</f>
        <v>35000</v>
      </c>
      <c r="CH954" s="121" t="n">
        <f aca="false">MIN((CH89+CH90)*$C$5, $F$14)*'⑫ Roll-out Plan'!$O$14</f>
        <v>35000</v>
      </c>
      <c r="CI954" s="121" t="n">
        <f aca="false">MIN((CI89+CI90)*$C$5, $F$14)*'⑫ Roll-out Plan'!$O$14</f>
        <v>30910.22983776</v>
      </c>
      <c r="CJ954" s="121" t="n">
        <f aca="false">MIN((CJ89+CJ90)*$C$5, $F$14)*'⑫ Roll-out Plan'!$O$14</f>
        <v>35000</v>
      </c>
      <c r="CK954" s="121" t="n">
        <f aca="false">MIN((CK89+CK90)*$C$5, $F$14)*'⑫ Roll-out Plan'!$O$14</f>
        <v>35000</v>
      </c>
      <c r="CL954" s="121" t="n">
        <f aca="false">MIN((CL89+CL90)*$C$5, $F$14)*'⑫ Roll-out Plan'!$O$14</f>
        <v>35000</v>
      </c>
      <c r="CM954" s="121" t="n">
        <f aca="false">MIN((CM89+CM90)*$C$5, $F$14)*'⑫ Roll-out Plan'!$O$14</f>
        <v>35000</v>
      </c>
      <c r="CN954" s="121" t="n">
        <f aca="false">MIN((CN89+CN90)*$C$5, $F$14)*'⑫ Roll-out Plan'!$O$14</f>
        <v>35000</v>
      </c>
      <c r="CO954" s="121" t="n">
        <f aca="false">MIN((CO89+CO90)*$C$5, $F$14)*'⑫ Roll-out Plan'!$O$14</f>
        <v>35000</v>
      </c>
      <c r="CP954" s="121" t="n">
        <f aca="false">MIN((CP89+CP90)*$C$5, $F$14)*'⑫ Roll-out Plan'!$O$14</f>
        <v>35000</v>
      </c>
      <c r="CQ954" s="121" t="n">
        <f aca="false">MIN((CQ89+CQ90)*$C$5, $F$14)*'⑫ Roll-out Plan'!$O$14</f>
        <v>35000</v>
      </c>
      <c r="CR954" s="121" t="n">
        <f aca="false">MIN((CR89+CR90)*$C$5, $F$14)*'⑫ Roll-out Plan'!$O$14</f>
        <v>35000</v>
      </c>
      <c r="CS954" s="121" t="n">
        <f aca="false">MIN((CS89+CS90)*$C$5, $F$14)*'⑫ Roll-out Plan'!$O$14</f>
        <v>35000</v>
      </c>
      <c r="CT954" s="121" t="n">
        <f aca="false">MIN((CT89+CT90)*$C$5, $F$14)*'⑫ Roll-out Plan'!$O$14</f>
        <v>35000</v>
      </c>
      <c r="CU954" s="121" t="n">
        <f aca="false">MIN((CU89+CU90)*$C$5, $F$14)*'⑫ Roll-out Plan'!$O$14</f>
        <v>35000</v>
      </c>
      <c r="CV954" s="121" t="n">
        <f aca="false">MIN((CV89+CV90)*$C$5, $F$14)*'⑫ Roll-out Plan'!$O$14</f>
        <v>35000</v>
      </c>
      <c r="CW954" s="121" t="n">
        <f aca="false">MIN((CW89+CW90)*$C$5, $F$14)*'⑫ Roll-out Plan'!$O$14</f>
        <v>35000</v>
      </c>
      <c r="CX954" s="121" t="n">
        <f aca="false">MIN((CX89+CX90)*$C$5, $F$14)*'⑫ Roll-out Plan'!$O$14</f>
        <v>35000</v>
      </c>
      <c r="CY954" s="121" t="n">
        <f aca="false">MIN((CY89+CY90)*$C$5, $F$14)*'⑫ Roll-out Plan'!$O$14</f>
        <v>35000</v>
      </c>
      <c r="CZ954" s="121" t="n">
        <f aca="false">MIN((CZ89+CZ90)*$C$5, $F$14)*'⑫ Roll-out Plan'!$O$14</f>
        <v>35000</v>
      </c>
      <c r="DA954" s="121" t="n">
        <f aca="false">MIN((DA89+DA90)*$C$5, $F$14)*'⑫ Roll-out Plan'!$O$14</f>
        <v>35000</v>
      </c>
      <c r="DB954" s="121" t="n">
        <f aca="false">MIN((DB89+DB90)*$C$5, $F$14)*'⑫ Roll-out Plan'!$O$14</f>
        <v>35000</v>
      </c>
      <c r="DC954" s="121" t="n">
        <f aca="false">MIN((DC89+DC90)*$C$5, $F$14)*'⑫ Roll-out Plan'!$O$14</f>
        <v>35000</v>
      </c>
      <c r="DD954" s="121" t="n">
        <f aca="false">MIN((DD89+DD90)*$C$5, $F$14)*'⑫ Roll-out Plan'!$O$14</f>
        <v>35000</v>
      </c>
      <c r="DE954" s="121" t="n">
        <f aca="false">MIN((DE89+DE90)*$C$5, $F$14)*'⑫ Roll-out Plan'!$O$14</f>
        <v>35000</v>
      </c>
      <c r="DF954" s="121" t="n">
        <f aca="false">MIN((DF89+DF90)*$C$5, $F$14)*'⑫ Roll-out Plan'!$O$14</f>
        <v>35000</v>
      </c>
      <c r="DG954" s="121" t="n">
        <f aca="false">MIN((DG89+DG90)*$C$5, $F$14)*'⑫ Roll-out Plan'!$O$14</f>
        <v>35000</v>
      </c>
      <c r="DH954" s="121" t="n">
        <f aca="false">MIN((DH89+DH90)*$C$5, $F$14)*'⑫ Roll-out Plan'!$O$14</f>
        <v>35000</v>
      </c>
      <c r="DI954" s="121" t="n">
        <f aca="false">MIN((DI89+DI90)*$C$5, $F$14)*'⑫ Roll-out Plan'!$O$14</f>
        <v>35000</v>
      </c>
      <c r="DJ954" s="121" t="n">
        <f aca="false">MIN((DJ89+DJ90)*$C$5, $F$14)*'⑫ Roll-out Plan'!$O$14</f>
        <v>35000</v>
      </c>
      <c r="DK954" s="121" t="n">
        <f aca="false">MIN((DK89+DK90)*$C$5, $F$14)*'⑫ Roll-out Plan'!$O$14</f>
        <v>35000</v>
      </c>
      <c r="DL954" s="121" t="n">
        <f aca="false">MIN((DL89+DL90)*$C$5, $F$14)*'⑫ Roll-out Plan'!$O$14</f>
        <v>35000</v>
      </c>
      <c r="DM954" s="121" t="n">
        <f aca="false">MIN((DM89+DM90)*$C$5, $F$14)*'⑫ Roll-out Plan'!$O$14</f>
        <v>35000</v>
      </c>
      <c r="DN954" s="121" t="n">
        <f aca="false">MIN((DN89+DN90)*$C$5, $F$14)*'⑫ Roll-out Plan'!$O$14</f>
        <v>35000</v>
      </c>
      <c r="DO954" s="121" t="n">
        <f aca="false">MIN((DO89+DO90)*$C$5, $F$14)*'⑫ Roll-out Plan'!$O$14</f>
        <v>35000</v>
      </c>
      <c r="DP954" s="121" t="n">
        <f aca="false">MIN((DP89+DP90)*$C$5, $F$14)*'⑫ Roll-out Plan'!$O$14</f>
        <v>35000</v>
      </c>
      <c r="DQ954" s="121" t="n">
        <f aca="false">MIN((DQ89+DQ90)*$C$5, $F$14)*'⑫ Roll-out Plan'!$O$14</f>
        <v>35000</v>
      </c>
      <c r="DR954" s="121" t="n">
        <f aca="false">MIN((DR89+DR90)*$C$5, $F$14)*'⑫ Roll-out Plan'!$O$14</f>
        <v>35000</v>
      </c>
      <c r="DS954" s="121" t="n">
        <f aca="false">MIN((DS89+DS90)*$C$5, $F$14)*'⑫ Roll-out Plan'!$O$14</f>
        <v>35000</v>
      </c>
      <c r="DT954" s="121" t="n">
        <f aca="false">MIN((DT89+DT90)*$C$5, $F$14)*'⑫ Roll-out Plan'!$O$14</f>
        <v>35000</v>
      </c>
      <c r="DU954" s="121" t="n">
        <f aca="false">MIN((DU89+DU90)*$C$5, $F$14)*'⑫ Roll-out Plan'!$O$14</f>
        <v>35000</v>
      </c>
      <c r="DV954" s="121" t="n">
        <f aca="false">MIN((DV89+DV90)*$C$5, $F$14)*'⑫ Roll-out Plan'!$O$14</f>
        <v>35000</v>
      </c>
      <c r="DW954" s="121" t="n">
        <f aca="false">MIN((DW89+DW90)*$C$5, $F$14)*'⑫ Roll-out Plan'!$O$14</f>
        <v>35000</v>
      </c>
      <c r="DX954" s="121" t="n">
        <f aca="false">MIN((DX89+DX90)*$C$5, $F$14)*'⑫ Roll-out Plan'!$O$14</f>
        <v>35000</v>
      </c>
      <c r="DY954" s="121" t="n">
        <f aca="false">MIN((DY89+DY90)*$C$5, $F$14)*'⑫ Roll-out Plan'!$O$14</f>
        <v>35000</v>
      </c>
      <c r="DZ954" s="121" t="n">
        <f aca="false">MIN((DZ89+DZ90)*$C$5, $F$14)*'⑫ Roll-out Plan'!$O$14</f>
        <v>35000</v>
      </c>
      <c r="EA954" s="121" t="n">
        <f aca="false">MIN((EA89+EA90)*$C$5, $F$14)*'⑫ Roll-out Plan'!$O$14</f>
        <v>35000</v>
      </c>
      <c r="EB954" s="121" t="n">
        <f aca="false">MIN((EB89+EB90)*$C$5, $F$14)*'⑫ Roll-out Plan'!$O$14</f>
        <v>35000</v>
      </c>
      <c r="EC954" s="121" t="n">
        <f aca="false">MIN((EC89+EC90)*$C$5, $F$14)*'⑫ Roll-out Plan'!$O$14</f>
        <v>35000</v>
      </c>
      <c r="ED954" s="121" t="n">
        <f aca="false">MIN((ED89+ED90)*$C$5, $F$14)*'⑫ Roll-out Plan'!$O$14</f>
        <v>35000</v>
      </c>
      <c r="EE954" s="121" t="n">
        <f aca="false">MIN((EE89+EE90)*$C$5, $F$14)*'⑫ Roll-out Plan'!$O$14</f>
        <v>35000</v>
      </c>
      <c r="EF954" s="121" t="n">
        <f aca="false">MIN((EF89+EF90)*$C$5, $F$14)*'⑫ Roll-out Plan'!$O$14</f>
        <v>35000</v>
      </c>
      <c r="EG954" s="121" t="n">
        <f aca="false">MIN((EG89+EG90)*$C$5, $F$14)*'⑫ Roll-out Plan'!$O$14</f>
        <v>35000</v>
      </c>
      <c r="EH954" s="121" t="n">
        <f aca="false">MIN((EH89+EH90)*$C$5, $F$14)*'⑫ Roll-out Plan'!$O$14</f>
        <v>35000</v>
      </c>
      <c r="EI954" s="121" t="n">
        <f aca="false">MIN((EI89+EI90)*$C$5, $F$14)*'⑫ Roll-out Plan'!$O$14</f>
        <v>35000</v>
      </c>
      <c r="EJ954" s="121" t="n">
        <f aca="false">MIN((EJ89+EJ90)*$C$5, $F$14)*'⑫ Roll-out Plan'!$O$14</f>
        <v>35000</v>
      </c>
      <c r="EK954" s="121" t="n">
        <f aca="false">MIN((EK89+EK90)*$C$5, $F$14)*'⑫ Roll-out Plan'!$O$14</f>
        <v>35000</v>
      </c>
      <c r="EL954" s="121" t="n">
        <f aca="false">MIN((EL89+EL90)*$C$5, $F$14)*'⑫ Roll-out Plan'!$O$14</f>
        <v>35000</v>
      </c>
      <c r="EM954" s="121" t="n">
        <f aca="false">MIN((EM89+EM90)*$C$5, $F$14)*'⑫ Roll-out Plan'!$O$14</f>
        <v>35000</v>
      </c>
      <c r="EN954" s="121" t="n">
        <f aca="false">MIN((EN89+EN90)*$C$5, $F$14)*'⑫ Roll-out Plan'!$O$14</f>
        <v>35000</v>
      </c>
      <c r="EO954" s="121" t="n">
        <f aca="false">MIN((EO89+EO90)*$C$5, $F$14)*'⑫ Roll-out Plan'!$O$14</f>
        <v>35000</v>
      </c>
      <c r="EP954" s="121" t="n">
        <f aca="false">MIN((EP89+EP90)*$C$5, $F$14)*'⑫ Roll-out Plan'!$O$14</f>
        <v>35000</v>
      </c>
      <c r="EQ954" s="121" t="n">
        <f aca="false">MIN((EQ89+EQ90)*$C$5, $F$14)*'⑫ Roll-out Plan'!$O$14</f>
        <v>35000</v>
      </c>
      <c r="ER954" s="121" t="n">
        <f aca="false">MIN((ER89+ER90)*$C$5, $F$14)*'⑫ Roll-out Plan'!$O$14</f>
        <v>35000</v>
      </c>
      <c r="ES954" s="9" t="n">
        <f aca="false">MIN((ES89+ES90)*$C$5, $F$14)*'⑫ Roll-out Plan'!$O$14</f>
        <v>35000</v>
      </c>
      <c r="ET954" s="9" t="n">
        <f aca="false">MIN((ET89+ET90)*$C$5, $F$14)*'⑫ Roll-out Plan'!$O$14</f>
        <v>35000</v>
      </c>
      <c r="EU954" s="9" t="n">
        <f aca="false">MIN((EU89+EU90)*$C$5, $F$14)*'⑫ Roll-out Plan'!$O$14</f>
        <v>35000</v>
      </c>
      <c r="EV954" s="9" t="n">
        <f aca="false">MIN((EV89+EV90)*$C$5, $F$14)*'⑫ Roll-out Plan'!$O$14</f>
        <v>35000</v>
      </c>
      <c r="EW954" s="9" t="n">
        <f aca="false">MIN((EW89+EW90)*$C$5, $F$14)*'⑫ Roll-out Plan'!$O$14</f>
        <v>35000</v>
      </c>
      <c r="EX954" s="9" t="n">
        <f aca="false">MIN((EX89+EX90)*$C$5, $F$14)*'⑫ Roll-out Plan'!$O$14</f>
        <v>35000</v>
      </c>
      <c r="EY954" s="9" t="n">
        <f aca="false">MIN((EY89+EY90)*$C$5, $F$14)*'⑫ Roll-out Plan'!$O$14</f>
        <v>35000</v>
      </c>
      <c r="EZ954" s="9" t="n">
        <f aca="false">MIN((EZ89+EZ90)*$C$5, $F$14)*'⑫ Roll-out Plan'!$O$14</f>
        <v>35000</v>
      </c>
      <c r="FA954" s="9" t="n">
        <f aca="false">MIN((FA89+FA90)*$C$5, $F$14)*'⑫ Roll-out Plan'!$O$14</f>
        <v>35000</v>
      </c>
      <c r="FB954" s="9" t="n">
        <f aca="false">MIN((FB89+FB90)*$C$5, $F$14)*'⑫ Roll-out Plan'!$O$14</f>
        <v>35000</v>
      </c>
      <c r="FC954" s="9" t="n">
        <f aca="false">MIN((FC89+FC90)*$C$5, $F$14)*'⑫ Roll-out Plan'!$O$14</f>
        <v>35000</v>
      </c>
      <c r="FD954" s="9" t="n">
        <f aca="false">MIN((FD89+FD90)*$C$5, $F$14)*'⑫ Roll-out Plan'!$O$14</f>
        <v>35000</v>
      </c>
      <c r="FE954" s="9" t="n">
        <f aca="false">MIN((FE89+FE90)*$C$5, $F$14)*'⑫ Roll-out Plan'!$O$14</f>
        <v>35000</v>
      </c>
      <c r="FF954" s="9" t="n">
        <f aca="false">MIN((FF89+FF90)*$C$5, $F$14)*'⑫ Roll-out Plan'!$O$14</f>
        <v>35000</v>
      </c>
      <c r="FG954" s="9" t="n">
        <f aca="false">MIN((FG89+FG90)*$C$5, $F$14)*'⑫ Roll-out Plan'!$O$14</f>
        <v>35000</v>
      </c>
      <c r="FH954" s="9" t="n">
        <f aca="false">MIN((FH89+FH90)*$C$5, $F$14)*'⑫ Roll-out Plan'!$O$14</f>
        <v>35000</v>
      </c>
      <c r="FI954" s="9" t="n">
        <f aca="false">MIN((FI89+FI90)*$C$5, $F$14)*'⑫ Roll-out Plan'!$O$14</f>
        <v>35000</v>
      </c>
      <c r="FJ954" s="9" t="n">
        <f aca="false">MIN((FJ89+FJ90)*$C$5, $F$14)*'⑫ Roll-out Plan'!$O$14</f>
        <v>35000</v>
      </c>
      <c r="FK954" s="9" t="n">
        <f aca="false">MIN((FK89+FK90)*$C$5, $F$14)*'⑫ Roll-out Plan'!$O$14</f>
        <v>35000</v>
      </c>
      <c r="FL954" s="9" t="n">
        <f aca="false">MIN((FL89+FL90)*$C$5, $F$14)*'⑫ Roll-out Plan'!$O$14</f>
        <v>35000</v>
      </c>
      <c r="FM954" s="9" t="n">
        <f aca="false">MIN((FM89+FM90)*$C$5, $F$14)*'⑫ Roll-out Plan'!$O$14</f>
        <v>35000</v>
      </c>
      <c r="FN954" s="9" t="n">
        <f aca="false">MIN((FN89+FN90)*$C$5, $F$14)*'⑫ Roll-out Plan'!$O$14</f>
        <v>35000</v>
      </c>
      <c r="FO954" s="9" t="n">
        <f aca="false">MIN((FO89+FO90)*$C$5, $F$14)*'⑫ Roll-out Plan'!$O$14</f>
        <v>35000</v>
      </c>
      <c r="FP954" s="9" t="n">
        <f aca="false">MIN((FP89+FP90)*$C$5, $F$14)*'⑫ Roll-out Plan'!$O$14</f>
        <v>35000</v>
      </c>
    </row>
    <row r="955" customFormat="false" ht="15" hidden="false" customHeight="false" outlineLevel="0" collapsed="false">
      <c r="B955" s="253" t="s">
        <v>980</v>
      </c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121" t="n">
        <f aca="false">MIN((AC99+AC100)*$C$5, $F$14)*'⑫ Roll-out Plan'!$O$15</f>
        <v>0</v>
      </c>
      <c r="AD955" s="121" t="n">
        <f aca="false">MIN((AD99+AD100)*$C$5, $F$14)*'⑫ Roll-out Plan'!$O$15</f>
        <v>0</v>
      </c>
      <c r="AE955" s="121" t="n">
        <f aca="false">MIN((AE99+AE100)*$C$5, $F$14)*'⑫ Roll-out Plan'!$O$15</f>
        <v>0</v>
      </c>
      <c r="AF955" s="121" t="n">
        <f aca="false">MIN((AF99+AF100)*$C$5, $F$14)*'⑫ Roll-out Plan'!$O$15</f>
        <v>0</v>
      </c>
      <c r="AG955" s="121" t="n">
        <f aca="false">MIN((AG99+AG100)*$C$5, $F$14)*'⑫ Roll-out Plan'!$O$15</f>
        <v>0</v>
      </c>
      <c r="AH955" s="121" t="n">
        <f aca="false">MIN((AH99+AH100)*$C$5, $F$14)*'⑫ Roll-out Plan'!$O$15</f>
        <v>0</v>
      </c>
      <c r="AI955" s="121" t="n">
        <f aca="false">MIN((AI99+AI100)*$C$5, $F$14)*'⑫ Roll-out Plan'!$O$15</f>
        <v>0</v>
      </c>
      <c r="AJ955" s="121" t="n">
        <f aca="false">MIN((AJ99+AJ100)*$C$5, $F$14)*'⑫ Roll-out Plan'!$O$15</f>
        <v>0</v>
      </c>
      <c r="AK955" s="121" t="n">
        <f aca="false">MIN((AK99+AK100)*$C$5, $F$14)*'⑫ Roll-out Plan'!$O$15</f>
        <v>0</v>
      </c>
      <c r="AL955" s="121" t="n">
        <f aca="false">MIN((AL99+AL100)*$C$5, $F$14)*'⑫ Roll-out Plan'!$O$15</f>
        <v>0</v>
      </c>
      <c r="AM955" s="121" t="n">
        <f aca="false">MIN((AM99+AM100)*$C$5, $F$14)*'⑫ Roll-out Plan'!$O$15</f>
        <v>0</v>
      </c>
      <c r="AN955" s="121" t="n">
        <f aca="false">MIN((AN99+AN100)*$C$5, $F$14)*'⑫ Roll-out Plan'!$O$15</f>
        <v>0</v>
      </c>
      <c r="AO955" s="121" t="n">
        <f aca="false">MIN((AO99+AO100)*$C$5, $F$14)*'⑫ Roll-out Plan'!$O$15</f>
        <v>0</v>
      </c>
      <c r="AP955" s="121" t="n">
        <f aca="false">MIN((AP99+AP100)*$C$5, $F$14)*'⑫ Roll-out Plan'!$O$15</f>
        <v>0</v>
      </c>
      <c r="AQ955" s="121" t="n">
        <f aca="false">MIN((AQ99+AQ100)*$C$5, $F$14)*'⑫ Roll-out Plan'!$O$15</f>
        <v>0</v>
      </c>
      <c r="AR955" s="121" t="n">
        <f aca="false">MIN((AR99+AR100)*$C$5, $F$14)*'⑫ Roll-out Plan'!$O$15</f>
        <v>0</v>
      </c>
      <c r="AS955" s="121" t="n">
        <f aca="false">MIN((AS99+AS100)*$C$5, $F$14)*'⑫ Roll-out Plan'!$O$15</f>
        <v>0</v>
      </c>
      <c r="AT955" s="121" t="n">
        <f aca="false">MIN((AT99+AT100)*$C$5, $F$14)*'⑫ Roll-out Plan'!$O$15</f>
        <v>0</v>
      </c>
      <c r="AU955" s="121" t="n">
        <f aca="false">MIN((AU99+AU100)*$C$5, $F$14)*'⑫ Roll-out Plan'!$O$15</f>
        <v>0</v>
      </c>
      <c r="AV955" s="121" t="n">
        <f aca="false">MIN((AV99+AV100)*$C$5, $F$14)*'⑫ Roll-out Plan'!$O$15</f>
        <v>0</v>
      </c>
      <c r="AW955" s="121" t="n">
        <f aca="false">MIN((AW99+AW100)*$C$5, $F$14)*'⑫ Roll-out Plan'!$O$15</f>
        <v>0</v>
      </c>
      <c r="AX955" s="121" t="n">
        <f aca="false">MIN((AX99+AX100)*$C$5, $F$14)*'⑫ Roll-out Plan'!$O$15</f>
        <v>0</v>
      </c>
      <c r="AY955" s="121" t="n">
        <f aca="false">MIN((AY99+AY100)*$C$5, $F$14)*'⑫ Roll-out Plan'!$O$15</f>
        <v>0</v>
      </c>
      <c r="AZ955" s="121" t="n">
        <f aca="false">MIN((AZ99+AZ100)*$C$5, $F$14)*'⑫ Roll-out Plan'!$O$15</f>
        <v>0</v>
      </c>
      <c r="BA955" s="121" t="n">
        <f aca="false">MIN((BA99+BA100)*$C$5, $F$14)*'⑫ Roll-out Plan'!$O$15</f>
        <v>0</v>
      </c>
      <c r="BB955" s="121" t="n">
        <f aca="false">MIN((BB99+BB100)*$C$5, $F$14)*'⑫ Roll-out Plan'!$O$15</f>
        <v>4511.64</v>
      </c>
      <c r="BC955" s="121" t="n">
        <f aca="false">MIN((BC99+BC100)*$C$5, $F$14)*'⑫ Roll-out Plan'!$O$15</f>
        <v>7598.04192</v>
      </c>
      <c r="BD955" s="121" t="n">
        <f aca="false">MIN((BD99+BD100)*$C$5, $F$14)*'⑫ Roll-out Plan'!$O$15</f>
        <v>8240.67552</v>
      </c>
      <c r="BE955" s="121" t="n">
        <f aca="false">MIN((BE99+BE100)*$C$5, $F$14)*'⑫ Roll-out Plan'!$O$15</f>
        <v>7987.7243712</v>
      </c>
      <c r="BF955" s="121" t="n">
        <f aca="false">MIN((BF99+BF100)*$C$5, $F$14)*'⑫ Roll-out Plan'!$O$15</f>
        <v>7159.6777728</v>
      </c>
      <c r="BG955" s="121" t="n">
        <f aca="false">MIN((BG99+BG100)*$C$5, $F$14)*'⑫ Roll-out Plan'!$O$15</f>
        <v>8340.327744</v>
      </c>
      <c r="BH955" s="121" t="n">
        <f aca="false">MIN((BH99+BH100)*$C$5, $F$14)*'⑫ Roll-out Plan'!$O$15</f>
        <v>15029.0783328</v>
      </c>
      <c r="BI955" s="121" t="n">
        <f aca="false">MIN((BI99+BI100)*$C$5, $F$14)*'⑫ Roll-out Plan'!$O$15</f>
        <v>14717.8588032</v>
      </c>
      <c r="BJ955" s="121" t="n">
        <f aca="false">MIN((BJ99+BJ100)*$C$5, $F$14)*'⑫ Roll-out Plan'!$O$15</f>
        <v>13924.857744</v>
      </c>
      <c r="BK955" s="121" t="n">
        <f aca="false">MIN((BK99+BK100)*$C$5, $F$14)*'⑫ Roll-out Plan'!$O$15</f>
        <v>11102.6134464</v>
      </c>
      <c r="BL955" s="121" t="n">
        <f aca="false">MIN((BL99+BL100)*$C$5, $F$14)*'⑫ Roll-out Plan'!$O$15</f>
        <v>15631.0323456</v>
      </c>
      <c r="BM955" s="121" t="n">
        <f aca="false">MIN((BM99+BM100)*$C$5, $F$14)*'⑫ Roll-out Plan'!$O$15</f>
        <v>18247.8539712</v>
      </c>
      <c r="BN955" s="121" t="n">
        <f aca="false">MIN((BN99+BN100)*$C$5, $F$14)*'⑫ Roll-out Plan'!$O$15</f>
        <v>15858.0052512</v>
      </c>
      <c r="BO955" s="121" t="n">
        <f aca="false">MIN((BO99+BO100)*$C$5, $F$14)*'⑫ Roll-out Plan'!$O$15</f>
        <v>22423.863168</v>
      </c>
      <c r="BP955" s="121" t="n">
        <f aca="false">MIN((BP99+BP100)*$C$5, $F$14)*'⑫ Roll-out Plan'!$O$15</f>
        <v>22442.834064</v>
      </c>
      <c r="BQ955" s="121" t="n">
        <f aca="false">MIN((BQ99+BQ100)*$C$5, $F$14)*'⑫ Roll-out Plan'!$O$15</f>
        <v>23539.3342464</v>
      </c>
      <c r="BR955" s="121" t="n">
        <f aca="false">MIN((BR99+BR100)*$C$5, $F$14)*'⑫ Roll-out Plan'!$O$15</f>
        <v>22179.0549792</v>
      </c>
      <c r="BS955" s="121" t="n">
        <f aca="false">MIN((BS99+BS100)*$C$5, $F$14)*'⑫ Roll-out Plan'!$O$15</f>
        <v>23931.19196832</v>
      </c>
      <c r="BT955" s="121" t="n">
        <f aca="false">MIN((BT99+BT100)*$C$5, $F$14)*'⑫ Roll-out Plan'!$O$15</f>
        <v>35000</v>
      </c>
      <c r="BU955" s="121" t="n">
        <f aca="false">MIN((BU99+BU100)*$C$5, $F$14)*'⑫ Roll-out Plan'!$O$15</f>
        <v>34857.14543808</v>
      </c>
      <c r="BV955" s="121" t="n">
        <f aca="false">MIN((BV99+BV100)*$C$5, $F$14)*'⑫ Roll-out Plan'!$O$15</f>
        <v>30692.04824784</v>
      </c>
      <c r="BW955" s="121" t="n">
        <f aca="false">MIN((BW99+BW100)*$C$5, $F$14)*'⑫ Roll-out Plan'!$O$15</f>
        <v>25258.658628</v>
      </c>
      <c r="BX955" s="121" t="n">
        <f aca="false">MIN((BX99+BX100)*$C$5, $F$14)*'⑫ Roll-out Plan'!$O$15</f>
        <v>32958.68253888</v>
      </c>
      <c r="BY955" s="121" t="n">
        <f aca="false">MIN((BY99+BY100)*$C$5, $F$14)*'⑫ Roll-out Plan'!$O$15</f>
        <v>35000</v>
      </c>
      <c r="BZ955" s="121" t="n">
        <f aca="false">MIN((BZ99+BZ100)*$C$5, $F$14)*'⑫ Roll-out Plan'!$O$15</f>
        <v>30652.75758552</v>
      </c>
      <c r="CA955" s="121" t="n">
        <f aca="false">MIN((CA99+CA100)*$C$5, $F$14)*'⑫ Roll-out Plan'!$O$15</f>
        <v>35000</v>
      </c>
      <c r="CB955" s="121" t="n">
        <f aca="false">MIN((CB99+CB100)*$C$5, $F$14)*'⑫ Roll-out Plan'!$O$15</f>
        <v>35000</v>
      </c>
      <c r="CC955" s="121" t="n">
        <f aca="false">MIN((CC99+CC100)*$C$5, $F$14)*'⑫ Roll-out Plan'!$O$15</f>
        <v>35000</v>
      </c>
      <c r="CD955" s="121" t="n">
        <f aca="false">MIN((CD99+CD100)*$C$5, $F$14)*'⑫ Roll-out Plan'!$O$15</f>
        <v>33918.00355608</v>
      </c>
      <c r="CE955" s="121" t="n">
        <f aca="false">MIN((CE99+CE100)*$C$5, $F$14)*'⑫ Roll-out Plan'!$O$15</f>
        <v>35000</v>
      </c>
      <c r="CF955" s="121" t="n">
        <f aca="false">MIN((CF99+CF100)*$C$5, $F$14)*'⑫ Roll-out Plan'!$O$15</f>
        <v>35000</v>
      </c>
      <c r="CG955" s="121" t="n">
        <f aca="false">MIN((CG99+CG100)*$C$5, $F$14)*'⑫ Roll-out Plan'!$O$15</f>
        <v>35000</v>
      </c>
      <c r="CH955" s="121" t="n">
        <f aca="false">MIN((CH99+CH100)*$C$5, $F$14)*'⑫ Roll-out Plan'!$O$15</f>
        <v>35000</v>
      </c>
      <c r="CI955" s="121" t="n">
        <f aca="false">MIN((CI99+CI100)*$C$5, $F$14)*'⑫ Roll-out Plan'!$O$15</f>
        <v>35000</v>
      </c>
      <c r="CJ955" s="121" t="n">
        <f aca="false">MIN((CJ99+CJ100)*$C$5, $F$14)*'⑫ Roll-out Plan'!$O$15</f>
        <v>35000</v>
      </c>
      <c r="CK955" s="121" t="n">
        <f aca="false">MIN((CK99+CK100)*$C$5, $F$14)*'⑫ Roll-out Plan'!$O$15</f>
        <v>35000</v>
      </c>
      <c r="CL955" s="121" t="n">
        <f aca="false">MIN((CL99+CL100)*$C$5, $F$14)*'⑫ Roll-out Plan'!$O$15</f>
        <v>35000</v>
      </c>
      <c r="CM955" s="121" t="n">
        <f aca="false">MIN((CM99+CM100)*$C$5, $F$14)*'⑫ Roll-out Plan'!$O$15</f>
        <v>35000</v>
      </c>
      <c r="CN955" s="121" t="n">
        <f aca="false">MIN((CN99+CN100)*$C$5, $F$14)*'⑫ Roll-out Plan'!$O$15</f>
        <v>35000</v>
      </c>
      <c r="CO955" s="121" t="n">
        <f aca="false">MIN((CO99+CO100)*$C$5, $F$14)*'⑫ Roll-out Plan'!$O$15</f>
        <v>35000</v>
      </c>
      <c r="CP955" s="121" t="n">
        <f aca="false">MIN((CP99+CP100)*$C$5, $F$14)*'⑫ Roll-out Plan'!$O$15</f>
        <v>35000</v>
      </c>
      <c r="CQ955" s="121" t="n">
        <f aca="false">MIN((CQ99+CQ100)*$C$5, $F$14)*'⑫ Roll-out Plan'!$O$15</f>
        <v>35000</v>
      </c>
      <c r="CR955" s="121" t="n">
        <f aca="false">MIN((CR99+CR100)*$C$5, $F$14)*'⑫ Roll-out Plan'!$O$15</f>
        <v>35000</v>
      </c>
      <c r="CS955" s="121" t="n">
        <f aca="false">MIN((CS99+CS100)*$C$5, $F$14)*'⑫ Roll-out Plan'!$O$15</f>
        <v>35000</v>
      </c>
      <c r="CT955" s="121" t="n">
        <f aca="false">MIN((CT99+CT100)*$C$5, $F$14)*'⑫ Roll-out Plan'!$O$15</f>
        <v>35000</v>
      </c>
      <c r="CU955" s="121" t="n">
        <f aca="false">MIN((CU99+CU100)*$C$5, $F$14)*'⑫ Roll-out Plan'!$O$15</f>
        <v>35000</v>
      </c>
      <c r="CV955" s="121" t="n">
        <f aca="false">MIN((CV99+CV100)*$C$5, $F$14)*'⑫ Roll-out Plan'!$O$15</f>
        <v>35000</v>
      </c>
      <c r="CW955" s="121" t="n">
        <f aca="false">MIN((CW99+CW100)*$C$5, $F$14)*'⑫ Roll-out Plan'!$O$15</f>
        <v>35000</v>
      </c>
      <c r="CX955" s="121" t="n">
        <f aca="false">MIN((CX99+CX100)*$C$5, $F$14)*'⑫ Roll-out Plan'!$O$15</f>
        <v>35000</v>
      </c>
      <c r="CY955" s="121" t="n">
        <f aca="false">MIN((CY99+CY100)*$C$5, $F$14)*'⑫ Roll-out Plan'!$O$15</f>
        <v>35000</v>
      </c>
      <c r="CZ955" s="121" t="n">
        <f aca="false">MIN((CZ99+CZ100)*$C$5, $F$14)*'⑫ Roll-out Plan'!$O$15</f>
        <v>35000</v>
      </c>
      <c r="DA955" s="121" t="n">
        <f aca="false">MIN((DA99+DA100)*$C$5, $F$14)*'⑫ Roll-out Plan'!$O$15</f>
        <v>35000</v>
      </c>
      <c r="DB955" s="121" t="n">
        <f aca="false">MIN((DB99+DB100)*$C$5, $F$14)*'⑫ Roll-out Plan'!$O$15</f>
        <v>35000</v>
      </c>
      <c r="DC955" s="121" t="n">
        <f aca="false">MIN((DC99+DC100)*$C$5, $F$14)*'⑫ Roll-out Plan'!$O$15</f>
        <v>35000</v>
      </c>
      <c r="DD955" s="121" t="n">
        <f aca="false">MIN((DD99+DD100)*$C$5, $F$14)*'⑫ Roll-out Plan'!$O$15</f>
        <v>35000</v>
      </c>
      <c r="DE955" s="121" t="n">
        <f aca="false">MIN((DE99+DE100)*$C$5, $F$14)*'⑫ Roll-out Plan'!$O$15</f>
        <v>35000</v>
      </c>
      <c r="DF955" s="121" t="n">
        <f aca="false">MIN((DF99+DF100)*$C$5, $F$14)*'⑫ Roll-out Plan'!$O$15</f>
        <v>35000</v>
      </c>
      <c r="DG955" s="121" t="n">
        <f aca="false">MIN((DG99+DG100)*$C$5, $F$14)*'⑫ Roll-out Plan'!$O$15</f>
        <v>35000</v>
      </c>
      <c r="DH955" s="121" t="n">
        <f aca="false">MIN((DH99+DH100)*$C$5, $F$14)*'⑫ Roll-out Plan'!$O$15</f>
        <v>35000</v>
      </c>
      <c r="DI955" s="121" t="n">
        <f aca="false">MIN((DI99+DI100)*$C$5, $F$14)*'⑫ Roll-out Plan'!$O$15</f>
        <v>35000</v>
      </c>
      <c r="DJ955" s="121" t="n">
        <f aca="false">MIN((DJ99+DJ100)*$C$5, $F$14)*'⑫ Roll-out Plan'!$O$15</f>
        <v>35000</v>
      </c>
      <c r="DK955" s="121" t="n">
        <f aca="false">MIN((DK99+DK100)*$C$5, $F$14)*'⑫ Roll-out Plan'!$O$15</f>
        <v>35000</v>
      </c>
      <c r="DL955" s="121" t="n">
        <f aca="false">MIN((DL99+DL100)*$C$5, $F$14)*'⑫ Roll-out Plan'!$O$15</f>
        <v>35000</v>
      </c>
      <c r="DM955" s="121" t="n">
        <f aca="false">MIN((DM99+DM100)*$C$5, $F$14)*'⑫ Roll-out Plan'!$O$15</f>
        <v>35000</v>
      </c>
      <c r="DN955" s="121" t="n">
        <f aca="false">MIN((DN99+DN100)*$C$5, $F$14)*'⑫ Roll-out Plan'!$O$15</f>
        <v>35000</v>
      </c>
      <c r="DO955" s="121" t="n">
        <f aca="false">MIN((DO99+DO100)*$C$5, $F$14)*'⑫ Roll-out Plan'!$O$15</f>
        <v>35000</v>
      </c>
      <c r="DP955" s="121" t="n">
        <f aca="false">MIN((DP99+DP100)*$C$5, $F$14)*'⑫ Roll-out Plan'!$O$15</f>
        <v>35000</v>
      </c>
      <c r="DQ955" s="121" t="n">
        <f aca="false">MIN((DQ99+DQ100)*$C$5, $F$14)*'⑫ Roll-out Plan'!$O$15</f>
        <v>35000</v>
      </c>
      <c r="DR955" s="121" t="n">
        <f aca="false">MIN((DR99+DR100)*$C$5, $F$14)*'⑫ Roll-out Plan'!$O$15</f>
        <v>35000</v>
      </c>
      <c r="DS955" s="121" t="n">
        <f aca="false">MIN((DS99+DS100)*$C$5, $F$14)*'⑫ Roll-out Plan'!$O$15</f>
        <v>35000</v>
      </c>
      <c r="DT955" s="121" t="n">
        <f aca="false">MIN((DT99+DT100)*$C$5, $F$14)*'⑫ Roll-out Plan'!$O$15</f>
        <v>35000</v>
      </c>
      <c r="DU955" s="121" t="n">
        <f aca="false">MIN((DU99+DU100)*$C$5, $F$14)*'⑫ Roll-out Plan'!$O$15</f>
        <v>35000</v>
      </c>
      <c r="DV955" s="121" t="n">
        <f aca="false">MIN((DV99+DV100)*$C$5, $F$14)*'⑫ Roll-out Plan'!$O$15</f>
        <v>35000</v>
      </c>
      <c r="DW955" s="121" t="n">
        <f aca="false">MIN((DW99+DW100)*$C$5, $F$14)*'⑫ Roll-out Plan'!$O$15</f>
        <v>35000</v>
      </c>
      <c r="DX955" s="121" t="n">
        <f aca="false">MIN((DX99+DX100)*$C$5, $F$14)*'⑫ Roll-out Plan'!$O$15</f>
        <v>35000</v>
      </c>
      <c r="DY955" s="121" t="n">
        <f aca="false">MIN((DY99+DY100)*$C$5, $F$14)*'⑫ Roll-out Plan'!$O$15</f>
        <v>35000</v>
      </c>
      <c r="DZ955" s="121" t="n">
        <f aca="false">MIN((DZ99+DZ100)*$C$5, $F$14)*'⑫ Roll-out Plan'!$O$15</f>
        <v>35000</v>
      </c>
      <c r="EA955" s="121" t="n">
        <f aca="false">MIN((EA99+EA100)*$C$5, $F$14)*'⑫ Roll-out Plan'!$O$15</f>
        <v>35000</v>
      </c>
      <c r="EB955" s="121" t="n">
        <f aca="false">MIN((EB99+EB100)*$C$5, $F$14)*'⑫ Roll-out Plan'!$O$15</f>
        <v>35000</v>
      </c>
      <c r="EC955" s="121" t="n">
        <f aca="false">MIN((EC99+EC100)*$C$5, $F$14)*'⑫ Roll-out Plan'!$O$15</f>
        <v>35000</v>
      </c>
      <c r="ED955" s="121" t="n">
        <f aca="false">MIN((ED99+ED100)*$C$5, $F$14)*'⑫ Roll-out Plan'!$O$15</f>
        <v>35000</v>
      </c>
      <c r="EE955" s="121" t="n">
        <f aca="false">MIN((EE99+EE100)*$C$5, $F$14)*'⑫ Roll-out Plan'!$O$15</f>
        <v>35000</v>
      </c>
      <c r="EF955" s="121" t="n">
        <f aca="false">MIN((EF99+EF100)*$C$5, $F$14)*'⑫ Roll-out Plan'!$O$15</f>
        <v>35000</v>
      </c>
      <c r="EG955" s="121" t="n">
        <f aca="false">MIN((EG99+EG100)*$C$5, $F$14)*'⑫ Roll-out Plan'!$O$15</f>
        <v>35000</v>
      </c>
      <c r="EH955" s="121" t="n">
        <f aca="false">MIN((EH99+EH100)*$C$5, $F$14)*'⑫ Roll-out Plan'!$O$15</f>
        <v>35000</v>
      </c>
      <c r="EI955" s="121" t="n">
        <f aca="false">MIN((EI99+EI100)*$C$5, $F$14)*'⑫ Roll-out Plan'!$O$15</f>
        <v>35000</v>
      </c>
      <c r="EJ955" s="121" t="n">
        <f aca="false">MIN((EJ99+EJ100)*$C$5, $F$14)*'⑫ Roll-out Plan'!$O$15</f>
        <v>35000</v>
      </c>
      <c r="EK955" s="121" t="n">
        <f aca="false">MIN((EK99+EK100)*$C$5, $F$14)*'⑫ Roll-out Plan'!$O$15</f>
        <v>35000</v>
      </c>
      <c r="EL955" s="121" t="n">
        <f aca="false">MIN((EL99+EL100)*$C$5, $F$14)*'⑫ Roll-out Plan'!$O$15</f>
        <v>35000</v>
      </c>
      <c r="EM955" s="121" t="n">
        <f aca="false">MIN((EM99+EM100)*$C$5, $F$14)*'⑫ Roll-out Plan'!$O$15</f>
        <v>35000</v>
      </c>
      <c r="EN955" s="121" t="n">
        <f aca="false">MIN((EN99+EN100)*$C$5, $F$14)*'⑫ Roll-out Plan'!$O$15</f>
        <v>35000</v>
      </c>
      <c r="EO955" s="121" t="n">
        <f aca="false">MIN((EO99+EO100)*$C$5, $F$14)*'⑫ Roll-out Plan'!$O$15</f>
        <v>35000</v>
      </c>
      <c r="EP955" s="121" t="n">
        <f aca="false">MIN((EP99+EP100)*$C$5, $F$14)*'⑫ Roll-out Plan'!$O$15</f>
        <v>35000</v>
      </c>
      <c r="EQ955" s="121" t="n">
        <f aca="false">MIN((EQ99+EQ100)*$C$5, $F$14)*'⑫ Roll-out Plan'!$O$15</f>
        <v>35000</v>
      </c>
      <c r="ER955" s="121" t="n">
        <f aca="false">MIN((ER99+ER100)*$C$5, $F$14)*'⑫ Roll-out Plan'!$O$15</f>
        <v>35000</v>
      </c>
      <c r="ES955" s="9" t="n">
        <f aca="false">MIN((ES99+ES100)*$C$5, $F$14)*'⑫ Roll-out Plan'!$O$15</f>
        <v>35000</v>
      </c>
      <c r="ET955" s="9" t="n">
        <f aca="false">MIN((ET99+ET100)*$C$5, $F$14)*'⑫ Roll-out Plan'!$O$15</f>
        <v>35000</v>
      </c>
      <c r="EU955" s="9" t="n">
        <f aca="false">MIN((EU99+EU100)*$C$5, $F$14)*'⑫ Roll-out Plan'!$O$15</f>
        <v>35000</v>
      </c>
      <c r="EV955" s="9" t="n">
        <f aca="false">MIN((EV99+EV100)*$C$5, $F$14)*'⑫ Roll-out Plan'!$O$15</f>
        <v>35000</v>
      </c>
      <c r="EW955" s="9" t="n">
        <f aca="false">MIN((EW99+EW100)*$C$5, $F$14)*'⑫ Roll-out Plan'!$O$15</f>
        <v>35000</v>
      </c>
      <c r="EX955" s="9" t="n">
        <f aca="false">MIN((EX99+EX100)*$C$5, $F$14)*'⑫ Roll-out Plan'!$O$15</f>
        <v>35000</v>
      </c>
      <c r="EY955" s="9" t="n">
        <f aca="false">MIN((EY99+EY100)*$C$5, $F$14)*'⑫ Roll-out Plan'!$O$15</f>
        <v>35000</v>
      </c>
      <c r="EZ955" s="9" t="n">
        <f aca="false">MIN((EZ99+EZ100)*$C$5, $F$14)*'⑫ Roll-out Plan'!$O$15</f>
        <v>35000</v>
      </c>
      <c r="FA955" s="9" t="n">
        <f aca="false">MIN((FA99+FA100)*$C$5, $F$14)*'⑫ Roll-out Plan'!$O$15</f>
        <v>35000</v>
      </c>
      <c r="FB955" s="9" t="n">
        <f aca="false">MIN((FB99+FB100)*$C$5, $F$14)*'⑫ Roll-out Plan'!$O$15</f>
        <v>35000</v>
      </c>
      <c r="FC955" s="9" t="n">
        <f aca="false">MIN((FC99+FC100)*$C$5, $F$14)*'⑫ Roll-out Plan'!$O$15</f>
        <v>35000</v>
      </c>
      <c r="FD955" s="9" t="n">
        <f aca="false">MIN((FD99+FD100)*$C$5, $F$14)*'⑫ Roll-out Plan'!$O$15</f>
        <v>35000</v>
      </c>
      <c r="FE955" s="9" t="n">
        <f aca="false">MIN((FE99+FE100)*$C$5, $F$14)*'⑫ Roll-out Plan'!$O$15</f>
        <v>35000</v>
      </c>
      <c r="FF955" s="9" t="n">
        <f aca="false">MIN((FF99+FF100)*$C$5, $F$14)*'⑫ Roll-out Plan'!$O$15</f>
        <v>35000</v>
      </c>
      <c r="FG955" s="9" t="n">
        <f aca="false">MIN((FG99+FG100)*$C$5, $F$14)*'⑫ Roll-out Plan'!$O$15</f>
        <v>35000</v>
      </c>
      <c r="FH955" s="9" t="n">
        <f aca="false">MIN((FH99+FH100)*$C$5, $F$14)*'⑫ Roll-out Plan'!$O$15</f>
        <v>35000</v>
      </c>
      <c r="FI955" s="9" t="n">
        <f aca="false">MIN((FI99+FI100)*$C$5, $F$14)*'⑫ Roll-out Plan'!$O$15</f>
        <v>35000</v>
      </c>
      <c r="FJ955" s="9" t="n">
        <f aca="false">MIN((FJ99+FJ100)*$C$5, $F$14)*'⑫ Roll-out Plan'!$O$15</f>
        <v>35000</v>
      </c>
      <c r="FK955" s="9" t="n">
        <f aca="false">MIN((FK99+FK100)*$C$5, $F$14)*'⑫ Roll-out Plan'!$O$15</f>
        <v>35000</v>
      </c>
      <c r="FL955" s="9" t="n">
        <f aca="false">MIN((FL99+FL100)*$C$5, $F$14)*'⑫ Roll-out Plan'!$O$15</f>
        <v>35000</v>
      </c>
      <c r="FM955" s="9" t="n">
        <f aca="false">MIN((FM99+FM100)*$C$5, $F$14)*'⑫ Roll-out Plan'!$O$15</f>
        <v>35000</v>
      </c>
      <c r="FN955" s="9" t="n">
        <f aca="false">MIN((FN99+FN100)*$C$5, $F$14)*'⑫ Roll-out Plan'!$O$15</f>
        <v>35000</v>
      </c>
      <c r="FO955" s="9" t="n">
        <f aca="false">MIN((FO99+FO100)*$C$5, $F$14)*'⑫ Roll-out Plan'!$O$15</f>
        <v>35000</v>
      </c>
      <c r="FP955" s="9" t="n">
        <f aca="false">MIN((FP99+FP100)*$C$5, $F$14)*'⑫ Roll-out Plan'!$O$15</f>
        <v>35000</v>
      </c>
    </row>
    <row r="956" customFormat="false" ht="15" hidden="false" customHeight="false" outlineLevel="0" collapsed="false">
      <c r="B956" s="253" t="s">
        <v>981</v>
      </c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121" t="n">
        <f aca="false">MIN((AC109+AC110)*$C$5, $F$14)*'⑫ Roll-out Plan'!$O$16</f>
        <v>0</v>
      </c>
      <c r="AD956" s="121" t="n">
        <f aca="false">MIN((AD109+AD110)*$C$5, $F$14)*'⑫ Roll-out Plan'!$O$16</f>
        <v>0</v>
      </c>
      <c r="AE956" s="121" t="n">
        <f aca="false">MIN((AE109+AE110)*$C$5, $F$14)*'⑫ Roll-out Plan'!$O$16</f>
        <v>0</v>
      </c>
      <c r="AF956" s="121" t="n">
        <f aca="false">MIN((AF109+AF110)*$C$5, $F$14)*'⑫ Roll-out Plan'!$O$16</f>
        <v>0</v>
      </c>
      <c r="AG956" s="121" t="n">
        <f aca="false">MIN((AG109+AG110)*$C$5, $F$14)*'⑫ Roll-out Plan'!$O$16</f>
        <v>0</v>
      </c>
      <c r="AH956" s="121" t="n">
        <f aca="false">MIN((AH109+AH110)*$C$5, $F$14)*'⑫ Roll-out Plan'!$O$16</f>
        <v>0</v>
      </c>
      <c r="AI956" s="121" t="n">
        <f aca="false">MIN((AI109+AI110)*$C$5, $F$14)*'⑫ Roll-out Plan'!$O$16</f>
        <v>0</v>
      </c>
      <c r="AJ956" s="121" t="n">
        <f aca="false">MIN((AJ109+AJ110)*$C$5, $F$14)*'⑫ Roll-out Plan'!$O$16</f>
        <v>0</v>
      </c>
      <c r="AK956" s="121" t="n">
        <f aca="false">MIN((AK109+AK110)*$C$5, $F$14)*'⑫ Roll-out Plan'!$O$16</f>
        <v>0</v>
      </c>
      <c r="AL956" s="121" t="n">
        <f aca="false">MIN((AL109+AL110)*$C$5, $F$14)*'⑫ Roll-out Plan'!$O$16</f>
        <v>0</v>
      </c>
      <c r="AM956" s="121" t="n">
        <f aca="false">MIN((AM109+AM110)*$C$5, $F$14)*'⑫ Roll-out Plan'!$O$16</f>
        <v>0</v>
      </c>
      <c r="AN956" s="121" t="n">
        <f aca="false">MIN((AN109+AN110)*$C$5, $F$14)*'⑫ Roll-out Plan'!$O$16</f>
        <v>0</v>
      </c>
      <c r="AO956" s="121" t="n">
        <f aca="false">MIN((AO109+AO110)*$C$5, $F$14)*'⑫ Roll-out Plan'!$O$16</f>
        <v>0</v>
      </c>
      <c r="AP956" s="121" t="n">
        <f aca="false">MIN((AP109+AP110)*$C$5, $F$14)*'⑫ Roll-out Plan'!$O$16</f>
        <v>0</v>
      </c>
      <c r="AQ956" s="121" t="n">
        <f aca="false">MIN((AQ109+AQ110)*$C$5, $F$14)*'⑫ Roll-out Plan'!$O$16</f>
        <v>0</v>
      </c>
      <c r="AR956" s="121" t="n">
        <f aca="false">MIN((AR109+AR110)*$C$5, $F$14)*'⑫ Roll-out Plan'!$O$16</f>
        <v>0</v>
      </c>
      <c r="AS956" s="121" t="n">
        <f aca="false">MIN((AS109+AS110)*$C$5, $F$14)*'⑫ Roll-out Plan'!$O$16</f>
        <v>0</v>
      </c>
      <c r="AT956" s="121" t="n">
        <f aca="false">MIN((AT109+AT110)*$C$5, $F$14)*'⑫ Roll-out Plan'!$O$16</f>
        <v>0</v>
      </c>
      <c r="AU956" s="121" t="n">
        <f aca="false">MIN((AU109+AU110)*$C$5, $F$14)*'⑫ Roll-out Plan'!$O$16</f>
        <v>0</v>
      </c>
      <c r="AV956" s="121" t="n">
        <f aca="false">MIN((AV109+AV110)*$C$5, $F$14)*'⑫ Roll-out Plan'!$O$16</f>
        <v>0</v>
      </c>
      <c r="AW956" s="121" t="n">
        <f aca="false">MIN((AW109+AW110)*$C$5, $F$14)*'⑫ Roll-out Plan'!$O$16</f>
        <v>0</v>
      </c>
      <c r="AX956" s="121" t="n">
        <f aca="false">MIN((AX109+AX110)*$C$5, $F$14)*'⑫ Roll-out Plan'!$O$16</f>
        <v>0</v>
      </c>
      <c r="AY956" s="121" t="n">
        <f aca="false">MIN((AY109+AY110)*$C$5, $F$14)*'⑫ Roll-out Plan'!$O$16</f>
        <v>0</v>
      </c>
      <c r="AZ956" s="121" t="n">
        <f aca="false">MIN((AZ109+AZ110)*$C$5, $F$14)*'⑫ Roll-out Plan'!$O$16</f>
        <v>0</v>
      </c>
      <c r="BA956" s="121" t="n">
        <f aca="false">MIN((BA109+BA110)*$C$5, $F$14)*'⑫ Roll-out Plan'!$O$16</f>
        <v>0</v>
      </c>
      <c r="BB956" s="121" t="n">
        <f aca="false">MIN((BB109+BB110)*$C$5, $F$14)*'⑫ Roll-out Plan'!$O$16</f>
        <v>0</v>
      </c>
      <c r="BC956" s="121" t="n">
        <f aca="false">MIN((BC109+BC110)*$C$5, $F$14)*'⑫ Roll-out Plan'!$O$16</f>
        <v>0</v>
      </c>
      <c r="BD956" s="121" t="n">
        <f aca="false">MIN((BD109+BD110)*$C$5, $F$14)*'⑫ Roll-out Plan'!$O$16</f>
        <v>6052.2</v>
      </c>
      <c r="BE956" s="121" t="n">
        <f aca="false">MIN((BE109+BE110)*$C$5, $F$14)*'⑫ Roll-out Plan'!$O$16</f>
        <v>6342.7056</v>
      </c>
      <c r="BF956" s="121" t="n">
        <f aca="false">MIN((BF109+BF110)*$C$5, $F$14)*'⑫ Roll-out Plan'!$O$16</f>
        <v>6101.145792</v>
      </c>
      <c r="BG956" s="121" t="n">
        <f aca="false">MIN((BG109+BG110)*$C$5, $F$14)*'⑫ Roll-out Plan'!$O$16</f>
        <v>7148.9202624</v>
      </c>
      <c r="BH956" s="121" t="n">
        <f aca="false">MIN((BH109+BH110)*$C$5, $F$14)*'⑫ Roll-out Plan'!$O$16</f>
        <v>11641.1139936</v>
      </c>
      <c r="BI956" s="121" t="n">
        <f aca="false">MIN((BI109+BI110)*$C$5, $F$14)*'⑫ Roll-out Plan'!$O$16</f>
        <v>11600.152704</v>
      </c>
      <c r="BJ956" s="121" t="n">
        <f aca="false">MIN((BJ109+BJ110)*$C$5, $F$14)*'⑫ Roll-out Plan'!$O$16</f>
        <v>10985.117136</v>
      </c>
      <c r="BK956" s="121" t="n">
        <f aca="false">MIN((BK109+BK110)*$C$5, $F$14)*'⑫ Roll-out Plan'!$O$16</f>
        <v>9572.4588288</v>
      </c>
      <c r="BL956" s="121" t="n">
        <f aca="false">MIN((BL109+BL110)*$C$5, $F$14)*'⑫ Roll-out Plan'!$O$16</f>
        <v>14057.9357184</v>
      </c>
      <c r="BM956" s="121" t="n">
        <f aca="false">MIN((BM109+BM110)*$C$5, $F$14)*'⑫ Roll-out Plan'!$O$16</f>
        <v>15423.2768256</v>
      </c>
      <c r="BN956" s="121" t="n">
        <f aca="false">MIN((BN109+BN110)*$C$5, $F$14)*'⑫ Roll-out Plan'!$O$16</f>
        <v>13440.6465312</v>
      </c>
      <c r="BO956" s="121" t="n">
        <f aca="false">MIN((BO109+BO110)*$C$5, $F$14)*'⑫ Roll-out Plan'!$O$16</f>
        <v>19088.5243584</v>
      </c>
      <c r="BP956" s="121" t="n">
        <f aca="false">MIN((BP109+BP110)*$C$5, $F$14)*'⑫ Roll-out Plan'!$O$16</f>
        <v>20374.3637664</v>
      </c>
      <c r="BQ956" s="121" t="n">
        <f aca="false">MIN((BQ109+BQ110)*$C$5, $F$14)*'⑫ Roll-out Plan'!$O$16</f>
        <v>18999.9993792</v>
      </c>
      <c r="BR956" s="121" t="n">
        <f aca="false">MIN((BR109+BR110)*$C$5, $F$14)*'⑫ Roll-out Plan'!$O$16</f>
        <v>17017.8444576</v>
      </c>
      <c r="BS956" s="121" t="n">
        <f aca="false">MIN((BS109+BS110)*$C$5, $F$14)*'⑫ Roll-out Plan'!$O$16</f>
        <v>21203.123424</v>
      </c>
      <c r="BT956" s="121" t="n">
        <f aca="false">MIN((BT109+BT110)*$C$5, $F$14)*'⑫ Roll-out Plan'!$O$16</f>
        <v>35000</v>
      </c>
      <c r="BU956" s="121" t="n">
        <f aca="false">MIN((BU109+BU110)*$C$5, $F$14)*'⑫ Roll-out Plan'!$O$16</f>
        <v>32934.86372064</v>
      </c>
      <c r="BV956" s="121" t="n">
        <f aca="false">MIN((BV109+BV110)*$C$5, $F$14)*'⑫ Roll-out Plan'!$O$16</f>
        <v>29071.6260576</v>
      </c>
      <c r="BW956" s="121" t="n">
        <f aca="false">MIN((BW109+BW110)*$C$5, $F$14)*'⑫ Roll-out Plan'!$O$16</f>
        <v>23372.77594176</v>
      </c>
      <c r="BX956" s="121" t="n">
        <f aca="false">MIN((BX109+BX110)*$C$5, $F$14)*'⑫ Roll-out Plan'!$O$16</f>
        <v>30658.6427448</v>
      </c>
      <c r="BY956" s="121" t="n">
        <f aca="false">MIN((BY109+BY110)*$C$5, $F$14)*'⑫ Roll-out Plan'!$O$16</f>
        <v>34229.53295832</v>
      </c>
      <c r="BZ956" s="121" t="n">
        <f aca="false">MIN((BZ109+BZ110)*$C$5, $F$14)*'⑫ Roll-out Plan'!$O$16</f>
        <v>28942.03040904</v>
      </c>
      <c r="CA956" s="121" t="n">
        <f aca="false">MIN((CA109+CA110)*$C$5, $F$14)*'⑫ Roll-out Plan'!$O$16</f>
        <v>35000</v>
      </c>
      <c r="CB956" s="121" t="n">
        <f aca="false">MIN((CB109+CB110)*$C$5, $F$14)*'⑫ Roll-out Plan'!$O$16</f>
        <v>35000</v>
      </c>
      <c r="CC956" s="121" t="n">
        <f aca="false">MIN((CC109+CC110)*$C$5, $F$14)*'⑫ Roll-out Plan'!$O$16</f>
        <v>34325.39496456</v>
      </c>
      <c r="CD956" s="121" t="n">
        <f aca="false">MIN((CD109+CD110)*$C$5, $F$14)*'⑫ Roll-out Plan'!$O$16</f>
        <v>31705.46228808</v>
      </c>
      <c r="CE956" s="121" t="n">
        <f aca="false">MIN((CE109+CE110)*$C$5, $F$14)*'⑫ Roll-out Plan'!$O$16</f>
        <v>33383.9120916</v>
      </c>
      <c r="CF956" s="121" t="n">
        <f aca="false">MIN((CF109+CF110)*$C$5, $F$14)*'⑫ Roll-out Plan'!$O$16</f>
        <v>35000</v>
      </c>
      <c r="CG956" s="121" t="n">
        <f aca="false">MIN((CG109+CG110)*$C$5, $F$14)*'⑫ Roll-out Plan'!$O$16</f>
        <v>35000</v>
      </c>
      <c r="CH956" s="121" t="n">
        <f aca="false">MIN((CH109+CH110)*$C$5, $F$14)*'⑫ Roll-out Plan'!$O$16</f>
        <v>35000</v>
      </c>
      <c r="CI956" s="121" t="n">
        <f aca="false">MIN((CI109+CI110)*$C$5, $F$14)*'⑫ Roll-out Plan'!$O$16</f>
        <v>34546.52782728</v>
      </c>
      <c r="CJ956" s="121" t="n">
        <f aca="false">MIN((CJ109+CJ110)*$C$5, $F$14)*'⑫ Roll-out Plan'!$O$16</f>
        <v>35000</v>
      </c>
      <c r="CK956" s="121" t="n">
        <f aca="false">MIN((CK109+CK110)*$C$5, $F$14)*'⑫ Roll-out Plan'!$O$16</f>
        <v>35000</v>
      </c>
      <c r="CL956" s="121" t="n">
        <f aca="false">MIN((CL109+CL110)*$C$5, $F$14)*'⑫ Roll-out Plan'!$O$16</f>
        <v>35000</v>
      </c>
      <c r="CM956" s="121" t="n">
        <f aca="false">MIN((CM109+CM110)*$C$5, $F$14)*'⑫ Roll-out Plan'!$O$16</f>
        <v>35000</v>
      </c>
      <c r="CN956" s="121" t="n">
        <f aca="false">MIN((CN109+CN110)*$C$5, $F$14)*'⑫ Roll-out Plan'!$O$16</f>
        <v>35000</v>
      </c>
      <c r="CO956" s="121" t="n">
        <f aca="false">MIN((CO109+CO110)*$C$5, $F$14)*'⑫ Roll-out Plan'!$O$16</f>
        <v>35000</v>
      </c>
      <c r="CP956" s="121" t="n">
        <f aca="false">MIN((CP109+CP110)*$C$5, $F$14)*'⑫ Roll-out Plan'!$O$16</f>
        <v>35000</v>
      </c>
      <c r="CQ956" s="121" t="n">
        <f aca="false">MIN((CQ109+CQ110)*$C$5, $F$14)*'⑫ Roll-out Plan'!$O$16</f>
        <v>35000</v>
      </c>
      <c r="CR956" s="121" t="n">
        <f aca="false">MIN((CR109+CR110)*$C$5, $F$14)*'⑫ Roll-out Plan'!$O$16</f>
        <v>35000</v>
      </c>
      <c r="CS956" s="121" t="n">
        <f aca="false">MIN((CS109+CS110)*$C$5, $F$14)*'⑫ Roll-out Plan'!$O$16</f>
        <v>35000</v>
      </c>
      <c r="CT956" s="121" t="n">
        <f aca="false">MIN((CT109+CT110)*$C$5, $F$14)*'⑫ Roll-out Plan'!$O$16</f>
        <v>35000</v>
      </c>
      <c r="CU956" s="121" t="n">
        <f aca="false">MIN((CU109+CU110)*$C$5, $F$14)*'⑫ Roll-out Plan'!$O$16</f>
        <v>35000</v>
      </c>
      <c r="CV956" s="121" t="n">
        <f aca="false">MIN((CV109+CV110)*$C$5, $F$14)*'⑫ Roll-out Plan'!$O$16</f>
        <v>35000</v>
      </c>
      <c r="CW956" s="121" t="n">
        <f aca="false">MIN((CW109+CW110)*$C$5, $F$14)*'⑫ Roll-out Plan'!$O$16</f>
        <v>35000</v>
      </c>
      <c r="CX956" s="121" t="n">
        <f aca="false">MIN((CX109+CX110)*$C$5, $F$14)*'⑫ Roll-out Plan'!$O$16</f>
        <v>35000</v>
      </c>
      <c r="CY956" s="121" t="n">
        <f aca="false">MIN((CY109+CY110)*$C$5, $F$14)*'⑫ Roll-out Plan'!$O$16</f>
        <v>35000</v>
      </c>
      <c r="CZ956" s="121" t="n">
        <f aca="false">MIN((CZ109+CZ110)*$C$5, $F$14)*'⑫ Roll-out Plan'!$O$16</f>
        <v>35000</v>
      </c>
      <c r="DA956" s="121" t="n">
        <f aca="false">MIN((DA109+DA110)*$C$5, $F$14)*'⑫ Roll-out Plan'!$O$16</f>
        <v>35000</v>
      </c>
      <c r="DB956" s="121" t="n">
        <f aca="false">MIN((DB109+DB110)*$C$5, $F$14)*'⑫ Roll-out Plan'!$O$16</f>
        <v>35000</v>
      </c>
      <c r="DC956" s="121" t="n">
        <f aca="false">MIN((DC109+DC110)*$C$5, $F$14)*'⑫ Roll-out Plan'!$O$16</f>
        <v>35000</v>
      </c>
      <c r="DD956" s="121" t="n">
        <f aca="false">MIN((DD109+DD110)*$C$5, $F$14)*'⑫ Roll-out Plan'!$O$16</f>
        <v>35000</v>
      </c>
      <c r="DE956" s="121" t="n">
        <f aca="false">MIN((DE109+DE110)*$C$5, $F$14)*'⑫ Roll-out Plan'!$O$16</f>
        <v>35000</v>
      </c>
      <c r="DF956" s="121" t="n">
        <f aca="false">MIN((DF109+DF110)*$C$5, $F$14)*'⑫ Roll-out Plan'!$O$16</f>
        <v>35000</v>
      </c>
      <c r="DG956" s="121" t="n">
        <f aca="false">MIN((DG109+DG110)*$C$5, $F$14)*'⑫ Roll-out Plan'!$O$16</f>
        <v>35000</v>
      </c>
      <c r="DH956" s="121" t="n">
        <f aca="false">MIN((DH109+DH110)*$C$5, $F$14)*'⑫ Roll-out Plan'!$O$16</f>
        <v>35000</v>
      </c>
      <c r="DI956" s="121" t="n">
        <f aca="false">MIN((DI109+DI110)*$C$5, $F$14)*'⑫ Roll-out Plan'!$O$16</f>
        <v>35000</v>
      </c>
      <c r="DJ956" s="121" t="n">
        <f aca="false">MIN((DJ109+DJ110)*$C$5, $F$14)*'⑫ Roll-out Plan'!$O$16</f>
        <v>35000</v>
      </c>
      <c r="DK956" s="121" t="n">
        <f aca="false">MIN((DK109+DK110)*$C$5, $F$14)*'⑫ Roll-out Plan'!$O$16</f>
        <v>35000</v>
      </c>
      <c r="DL956" s="121" t="n">
        <f aca="false">MIN((DL109+DL110)*$C$5, $F$14)*'⑫ Roll-out Plan'!$O$16</f>
        <v>35000</v>
      </c>
      <c r="DM956" s="121" t="n">
        <f aca="false">MIN((DM109+DM110)*$C$5, $F$14)*'⑫ Roll-out Plan'!$O$16</f>
        <v>35000</v>
      </c>
      <c r="DN956" s="121" t="n">
        <f aca="false">MIN((DN109+DN110)*$C$5, $F$14)*'⑫ Roll-out Plan'!$O$16</f>
        <v>35000</v>
      </c>
      <c r="DO956" s="121" t="n">
        <f aca="false">MIN((DO109+DO110)*$C$5, $F$14)*'⑫ Roll-out Plan'!$O$16</f>
        <v>35000</v>
      </c>
      <c r="DP956" s="121" t="n">
        <f aca="false">MIN((DP109+DP110)*$C$5, $F$14)*'⑫ Roll-out Plan'!$O$16</f>
        <v>35000</v>
      </c>
      <c r="DQ956" s="121" t="n">
        <f aca="false">MIN((DQ109+DQ110)*$C$5, $F$14)*'⑫ Roll-out Plan'!$O$16</f>
        <v>35000</v>
      </c>
      <c r="DR956" s="121" t="n">
        <f aca="false">MIN((DR109+DR110)*$C$5, $F$14)*'⑫ Roll-out Plan'!$O$16</f>
        <v>35000</v>
      </c>
      <c r="DS956" s="121" t="n">
        <f aca="false">MIN((DS109+DS110)*$C$5, $F$14)*'⑫ Roll-out Plan'!$O$16</f>
        <v>35000</v>
      </c>
      <c r="DT956" s="121" t="n">
        <f aca="false">MIN((DT109+DT110)*$C$5, $F$14)*'⑫ Roll-out Plan'!$O$16</f>
        <v>35000</v>
      </c>
      <c r="DU956" s="121" t="n">
        <f aca="false">MIN((DU109+DU110)*$C$5, $F$14)*'⑫ Roll-out Plan'!$O$16</f>
        <v>35000</v>
      </c>
      <c r="DV956" s="121" t="n">
        <f aca="false">MIN((DV109+DV110)*$C$5, $F$14)*'⑫ Roll-out Plan'!$O$16</f>
        <v>35000</v>
      </c>
      <c r="DW956" s="121" t="n">
        <f aca="false">MIN((DW109+DW110)*$C$5, $F$14)*'⑫ Roll-out Plan'!$O$16</f>
        <v>35000</v>
      </c>
      <c r="DX956" s="121" t="n">
        <f aca="false">MIN((DX109+DX110)*$C$5, $F$14)*'⑫ Roll-out Plan'!$O$16</f>
        <v>35000</v>
      </c>
      <c r="DY956" s="121" t="n">
        <f aca="false">MIN((DY109+DY110)*$C$5, $F$14)*'⑫ Roll-out Plan'!$O$16</f>
        <v>35000</v>
      </c>
      <c r="DZ956" s="121" t="n">
        <f aca="false">MIN((DZ109+DZ110)*$C$5, $F$14)*'⑫ Roll-out Plan'!$O$16</f>
        <v>35000</v>
      </c>
      <c r="EA956" s="121" t="n">
        <f aca="false">MIN((EA109+EA110)*$C$5, $F$14)*'⑫ Roll-out Plan'!$O$16</f>
        <v>35000</v>
      </c>
      <c r="EB956" s="121" t="n">
        <f aca="false">MIN((EB109+EB110)*$C$5, $F$14)*'⑫ Roll-out Plan'!$O$16</f>
        <v>35000</v>
      </c>
      <c r="EC956" s="121" t="n">
        <f aca="false">MIN((EC109+EC110)*$C$5, $F$14)*'⑫ Roll-out Plan'!$O$16</f>
        <v>35000</v>
      </c>
      <c r="ED956" s="121" t="n">
        <f aca="false">MIN((ED109+ED110)*$C$5, $F$14)*'⑫ Roll-out Plan'!$O$16</f>
        <v>35000</v>
      </c>
      <c r="EE956" s="121" t="n">
        <f aca="false">MIN((EE109+EE110)*$C$5, $F$14)*'⑫ Roll-out Plan'!$O$16</f>
        <v>35000</v>
      </c>
      <c r="EF956" s="121" t="n">
        <f aca="false">MIN((EF109+EF110)*$C$5, $F$14)*'⑫ Roll-out Plan'!$O$16</f>
        <v>35000</v>
      </c>
      <c r="EG956" s="121" t="n">
        <f aca="false">MIN((EG109+EG110)*$C$5, $F$14)*'⑫ Roll-out Plan'!$O$16</f>
        <v>35000</v>
      </c>
      <c r="EH956" s="121" t="n">
        <f aca="false">MIN((EH109+EH110)*$C$5, $F$14)*'⑫ Roll-out Plan'!$O$16</f>
        <v>35000</v>
      </c>
      <c r="EI956" s="121" t="n">
        <f aca="false">MIN((EI109+EI110)*$C$5, $F$14)*'⑫ Roll-out Plan'!$O$16</f>
        <v>35000</v>
      </c>
      <c r="EJ956" s="121" t="n">
        <f aca="false">MIN((EJ109+EJ110)*$C$5, $F$14)*'⑫ Roll-out Plan'!$O$16</f>
        <v>35000</v>
      </c>
      <c r="EK956" s="121" t="n">
        <f aca="false">MIN((EK109+EK110)*$C$5, $F$14)*'⑫ Roll-out Plan'!$O$16</f>
        <v>35000</v>
      </c>
      <c r="EL956" s="121" t="n">
        <f aca="false">MIN((EL109+EL110)*$C$5, $F$14)*'⑫ Roll-out Plan'!$O$16</f>
        <v>35000</v>
      </c>
      <c r="EM956" s="121" t="n">
        <f aca="false">MIN((EM109+EM110)*$C$5, $F$14)*'⑫ Roll-out Plan'!$O$16</f>
        <v>35000</v>
      </c>
      <c r="EN956" s="121" t="n">
        <f aca="false">MIN((EN109+EN110)*$C$5, $F$14)*'⑫ Roll-out Plan'!$O$16</f>
        <v>35000</v>
      </c>
      <c r="EO956" s="121" t="n">
        <f aca="false">MIN((EO109+EO110)*$C$5, $F$14)*'⑫ Roll-out Plan'!$O$16</f>
        <v>35000</v>
      </c>
      <c r="EP956" s="121" t="n">
        <f aca="false">MIN((EP109+EP110)*$C$5, $F$14)*'⑫ Roll-out Plan'!$O$16</f>
        <v>35000</v>
      </c>
      <c r="EQ956" s="121" t="n">
        <f aca="false">MIN((EQ109+EQ110)*$C$5, $F$14)*'⑫ Roll-out Plan'!$O$16</f>
        <v>35000</v>
      </c>
      <c r="ER956" s="121" t="n">
        <f aca="false">MIN((ER109+ER110)*$C$5, $F$14)*'⑫ Roll-out Plan'!$O$16</f>
        <v>35000</v>
      </c>
      <c r="ES956" s="9" t="n">
        <f aca="false">MIN((ES109+ES110)*$C$5, $F$14)*'⑫ Roll-out Plan'!$O$16</f>
        <v>35000</v>
      </c>
      <c r="ET956" s="9" t="n">
        <f aca="false">MIN((ET109+ET110)*$C$5, $F$14)*'⑫ Roll-out Plan'!$O$16</f>
        <v>35000</v>
      </c>
      <c r="EU956" s="9" t="n">
        <f aca="false">MIN((EU109+EU110)*$C$5, $F$14)*'⑫ Roll-out Plan'!$O$16</f>
        <v>35000</v>
      </c>
      <c r="EV956" s="9" t="n">
        <f aca="false">MIN((EV109+EV110)*$C$5, $F$14)*'⑫ Roll-out Plan'!$O$16</f>
        <v>35000</v>
      </c>
      <c r="EW956" s="9" t="n">
        <f aca="false">MIN((EW109+EW110)*$C$5, $F$14)*'⑫ Roll-out Plan'!$O$16</f>
        <v>35000</v>
      </c>
      <c r="EX956" s="9" t="n">
        <f aca="false">MIN((EX109+EX110)*$C$5, $F$14)*'⑫ Roll-out Plan'!$O$16</f>
        <v>35000</v>
      </c>
      <c r="EY956" s="9" t="n">
        <f aca="false">MIN((EY109+EY110)*$C$5, $F$14)*'⑫ Roll-out Plan'!$O$16</f>
        <v>35000</v>
      </c>
      <c r="EZ956" s="9" t="n">
        <f aca="false">MIN((EZ109+EZ110)*$C$5, $F$14)*'⑫ Roll-out Plan'!$O$16</f>
        <v>35000</v>
      </c>
      <c r="FA956" s="9" t="n">
        <f aca="false">MIN((FA109+FA110)*$C$5, $F$14)*'⑫ Roll-out Plan'!$O$16</f>
        <v>35000</v>
      </c>
      <c r="FB956" s="9" t="n">
        <f aca="false">MIN((FB109+FB110)*$C$5, $F$14)*'⑫ Roll-out Plan'!$O$16</f>
        <v>35000</v>
      </c>
      <c r="FC956" s="9" t="n">
        <f aca="false">MIN((FC109+FC110)*$C$5, $F$14)*'⑫ Roll-out Plan'!$O$16</f>
        <v>35000</v>
      </c>
      <c r="FD956" s="9" t="n">
        <f aca="false">MIN((FD109+FD110)*$C$5, $F$14)*'⑫ Roll-out Plan'!$O$16</f>
        <v>35000</v>
      </c>
      <c r="FE956" s="9" t="n">
        <f aca="false">MIN((FE109+FE110)*$C$5, $F$14)*'⑫ Roll-out Plan'!$O$16</f>
        <v>35000</v>
      </c>
      <c r="FF956" s="9" t="n">
        <f aca="false">MIN((FF109+FF110)*$C$5, $F$14)*'⑫ Roll-out Plan'!$O$16</f>
        <v>35000</v>
      </c>
      <c r="FG956" s="9" t="n">
        <f aca="false">MIN((FG109+FG110)*$C$5, $F$14)*'⑫ Roll-out Plan'!$O$16</f>
        <v>35000</v>
      </c>
      <c r="FH956" s="9" t="n">
        <f aca="false">MIN((FH109+FH110)*$C$5, $F$14)*'⑫ Roll-out Plan'!$O$16</f>
        <v>35000</v>
      </c>
      <c r="FI956" s="9" t="n">
        <f aca="false">MIN((FI109+FI110)*$C$5, $F$14)*'⑫ Roll-out Plan'!$O$16</f>
        <v>35000</v>
      </c>
      <c r="FJ956" s="9" t="n">
        <f aca="false">MIN((FJ109+FJ110)*$C$5, $F$14)*'⑫ Roll-out Plan'!$O$16</f>
        <v>35000</v>
      </c>
      <c r="FK956" s="9" t="n">
        <f aca="false">MIN((FK109+FK110)*$C$5, $F$14)*'⑫ Roll-out Plan'!$O$16</f>
        <v>35000</v>
      </c>
      <c r="FL956" s="9" t="n">
        <f aca="false">MIN((FL109+FL110)*$C$5, $F$14)*'⑫ Roll-out Plan'!$O$16</f>
        <v>35000</v>
      </c>
      <c r="FM956" s="9" t="n">
        <f aca="false">MIN((FM109+FM110)*$C$5, $F$14)*'⑫ Roll-out Plan'!$O$16</f>
        <v>35000</v>
      </c>
      <c r="FN956" s="9" t="n">
        <f aca="false">MIN((FN109+FN110)*$C$5, $F$14)*'⑫ Roll-out Plan'!$O$16</f>
        <v>35000</v>
      </c>
      <c r="FO956" s="9" t="n">
        <f aca="false">MIN((FO109+FO110)*$C$5, $F$14)*'⑫ Roll-out Plan'!$O$16</f>
        <v>35000</v>
      </c>
      <c r="FP956" s="9" t="n">
        <f aca="false">MIN((FP109+FP110)*$C$5, $F$14)*'⑫ Roll-out Plan'!$O$16</f>
        <v>35000</v>
      </c>
    </row>
    <row r="957" customFormat="false" ht="15" hidden="false" customHeight="false" outlineLevel="0" collapsed="false">
      <c r="B957" s="10" t="s">
        <v>982</v>
      </c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121" t="n">
        <f aca="false">MIN((AC119+AC120)*$C$5, $F$14)*'⑫ Roll-out Plan'!$O$17</f>
        <v>0</v>
      </c>
      <c r="AD957" s="121" t="n">
        <f aca="false">MIN((AD119+AD120)*$C$5, $F$14)*'⑫ Roll-out Plan'!$O$17</f>
        <v>0</v>
      </c>
      <c r="AE957" s="121" t="n">
        <f aca="false">MIN((AE119+AE120)*$C$5, $F$14)*'⑫ Roll-out Plan'!$O$17</f>
        <v>0</v>
      </c>
      <c r="AF957" s="121" t="n">
        <f aca="false">MIN((AF119+AF120)*$C$5, $F$14)*'⑫ Roll-out Plan'!$O$17</f>
        <v>0</v>
      </c>
      <c r="AG957" s="121" t="n">
        <f aca="false">MIN((AG119+AG120)*$C$5, $F$14)*'⑫ Roll-out Plan'!$O$17</f>
        <v>0</v>
      </c>
      <c r="AH957" s="121" t="n">
        <f aca="false">MIN((AH119+AH120)*$C$5, $F$14)*'⑫ Roll-out Plan'!$O$17</f>
        <v>0</v>
      </c>
      <c r="AI957" s="121" t="n">
        <f aca="false">MIN((AI119+AI120)*$C$5, $F$14)*'⑫ Roll-out Plan'!$O$17</f>
        <v>0</v>
      </c>
      <c r="AJ957" s="121" t="n">
        <f aca="false">MIN((AJ119+AJ120)*$C$5, $F$14)*'⑫ Roll-out Plan'!$O$17</f>
        <v>0</v>
      </c>
      <c r="AK957" s="121" t="n">
        <f aca="false">MIN((AK119+AK120)*$C$5, $F$14)*'⑫ Roll-out Plan'!$O$17</f>
        <v>0</v>
      </c>
      <c r="AL957" s="121" t="n">
        <f aca="false">MIN((AL119+AL120)*$C$5, $F$14)*'⑫ Roll-out Plan'!$O$17</f>
        <v>0</v>
      </c>
      <c r="AM957" s="121" t="n">
        <f aca="false">MIN((AM119+AM120)*$C$5, $F$14)*'⑫ Roll-out Plan'!$O$17</f>
        <v>0</v>
      </c>
      <c r="AN957" s="121" t="n">
        <f aca="false">MIN((AN119+AN120)*$C$5, $F$14)*'⑫ Roll-out Plan'!$O$17</f>
        <v>0</v>
      </c>
      <c r="AO957" s="121" t="n">
        <f aca="false">MIN((AO119+AO120)*$C$5, $F$14)*'⑫ Roll-out Plan'!$O$17</f>
        <v>0</v>
      </c>
      <c r="AP957" s="121" t="n">
        <f aca="false">MIN((AP119+AP120)*$C$5, $F$14)*'⑫ Roll-out Plan'!$O$17</f>
        <v>0</v>
      </c>
      <c r="AQ957" s="121" t="n">
        <f aca="false">MIN((AQ119+AQ120)*$C$5, $F$14)*'⑫ Roll-out Plan'!$O$17</f>
        <v>0</v>
      </c>
      <c r="AR957" s="121" t="n">
        <f aca="false">MIN((AR119+AR120)*$C$5, $F$14)*'⑫ Roll-out Plan'!$O$17</f>
        <v>0</v>
      </c>
      <c r="AS957" s="121" t="n">
        <f aca="false">MIN((AS119+AS120)*$C$5, $F$14)*'⑫ Roll-out Plan'!$O$17</f>
        <v>0</v>
      </c>
      <c r="AT957" s="121" t="n">
        <f aca="false">MIN((AT119+AT120)*$C$5, $F$14)*'⑫ Roll-out Plan'!$O$17</f>
        <v>0</v>
      </c>
      <c r="AU957" s="121" t="n">
        <f aca="false">MIN((AU119+AU120)*$C$5, $F$14)*'⑫ Roll-out Plan'!$O$17</f>
        <v>0</v>
      </c>
      <c r="AV957" s="121" t="n">
        <f aca="false">MIN((AV119+AV120)*$C$5, $F$14)*'⑫ Roll-out Plan'!$O$17</f>
        <v>0</v>
      </c>
      <c r="AW957" s="121" t="n">
        <f aca="false">MIN((AW119+AW120)*$C$5, $F$14)*'⑫ Roll-out Plan'!$O$17</f>
        <v>0</v>
      </c>
      <c r="AX957" s="121" t="n">
        <f aca="false">MIN((AX119+AX120)*$C$5, $F$14)*'⑫ Roll-out Plan'!$O$17</f>
        <v>0</v>
      </c>
      <c r="AY957" s="121" t="n">
        <f aca="false">MIN((AY119+AY120)*$C$5, $F$14)*'⑫ Roll-out Plan'!$O$17</f>
        <v>0</v>
      </c>
      <c r="AZ957" s="121" t="n">
        <f aca="false">MIN((AZ119+AZ120)*$C$5, $F$14)*'⑫ Roll-out Plan'!$O$17</f>
        <v>0</v>
      </c>
      <c r="BA957" s="121" t="n">
        <f aca="false">MIN((BA119+BA120)*$C$5, $F$14)*'⑫ Roll-out Plan'!$O$17</f>
        <v>0</v>
      </c>
      <c r="BB957" s="121" t="n">
        <f aca="false">MIN((BB119+BB120)*$C$5, $F$14)*'⑫ Roll-out Plan'!$O$17</f>
        <v>0</v>
      </c>
      <c r="BC957" s="121" t="n">
        <f aca="false">MIN((BC119+BC120)*$C$5, $F$14)*'⑫ Roll-out Plan'!$O$17</f>
        <v>0</v>
      </c>
      <c r="BD957" s="121" t="n">
        <f aca="false">MIN((BD119+BD120)*$C$5, $F$14)*'⑫ Roll-out Plan'!$O$17</f>
        <v>0</v>
      </c>
      <c r="BE957" s="121" t="n">
        <f aca="false">MIN((BE119+BE120)*$C$5, $F$14)*'⑫ Roll-out Plan'!$O$17</f>
        <v>0</v>
      </c>
      <c r="BF957" s="121" t="n">
        <f aca="false">MIN((BF119+BF120)*$C$5, $F$14)*'⑫ Roll-out Plan'!$O$17</f>
        <v>4401.6</v>
      </c>
      <c r="BG957" s="121" t="n">
        <f aca="false">MIN((BG119+BG120)*$C$5, $F$14)*'⑫ Roll-out Plan'!$O$17</f>
        <v>5647.2528</v>
      </c>
      <c r="BH957" s="121" t="n">
        <f aca="false">MIN((BH119+BH120)*$C$5, $F$14)*'⑫ Roll-out Plan'!$O$17</f>
        <v>10103.608704</v>
      </c>
      <c r="BI957" s="121" t="n">
        <f aca="false">MIN((BI119+BI120)*$C$5, $F$14)*'⑫ Roll-out Plan'!$O$17</f>
        <v>10004.2557888</v>
      </c>
      <c r="BJ957" s="121" t="n">
        <f aca="false">MIN((BJ119+BJ120)*$C$5, $F$14)*'⑫ Roll-out Plan'!$O$17</f>
        <v>8568.682752</v>
      </c>
      <c r="BK957" s="121" t="n">
        <f aca="false">MIN((BK119+BK120)*$C$5, $F$14)*'⑫ Roll-out Plan'!$O$17</f>
        <v>7521.9294528</v>
      </c>
      <c r="BL957" s="121" t="n">
        <f aca="false">MIN((BL119+BL120)*$C$5, $F$14)*'⑫ Roll-out Plan'!$O$17</f>
        <v>11115.4573152</v>
      </c>
      <c r="BM957" s="121" t="n">
        <f aca="false">MIN((BM119+BM120)*$C$5, $F$14)*'⑫ Roll-out Plan'!$O$17</f>
        <v>13407.2207808</v>
      </c>
      <c r="BN957" s="121" t="n">
        <f aca="false">MIN((BN119+BN120)*$C$5, $F$14)*'⑫ Roll-out Plan'!$O$17</f>
        <v>12040.620816</v>
      </c>
      <c r="BO957" s="121" t="n">
        <f aca="false">MIN((BO119+BO120)*$C$5, $F$14)*'⑫ Roll-out Plan'!$O$17</f>
        <v>16140.579168</v>
      </c>
      <c r="BP957" s="121" t="n">
        <f aca="false">MIN((BP119+BP120)*$C$5, $F$14)*'⑫ Roll-out Plan'!$O$17</f>
        <v>17284.8014976</v>
      </c>
      <c r="BQ957" s="121" t="n">
        <f aca="false">MIN((BQ119+BQ120)*$C$5, $F$14)*'⑫ Roll-out Plan'!$O$17</f>
        <v>16110.560256</v>
      </c>
      <c r="BR957" s="121" t="n">
        <f aca="false">MIN((BR119+BR120)*$C$5, $F$14)*'⑫ Roll-out Plan'!$O$17</f>
        <v>15380.8365984</v>
      </c>
      <c r="BS957" s="121" t="n">
        <f aca="false">MIN((BS119+BS120)*$C$5, $F$14)*'⑫ Roll-out Plan'!$O$17</f>
        <v>17060.1262272</v>
      </c>
      <c r="BT957" s="121" t="n">
        <f aca="false">MIN((BT119+BT120)*$C$5, $F$14)*'⑫ Roll-out Plan'!$O$17</f>
        <v>27021.1318944</v>
      </c>
      <c r="BU957" s="121" t="n">
        <f aca="false">MIN((BU119+BU120)*$C$5, $F$14)*'⑫ Roll-out Plan'!$O$17</f>
        <v>29130.8980032</v>
      </c>
      <c r="BV957" s="121" t="n">
        <f aca="false">MIN((BV119+BV120)*$C$5, $F$14)*'⑫ Roll-out Plan'!$O$17</f>
        <v>26351.7717792</v>
      </c>
      <c r="BW957" s="121" t="n">
        <f aca="false">MIN((BW119+BW120)*$C$5, $F$14)*'⑫ Roll-out Plan'!$O$17</f>
        <v>21806.29051776</v>
      </c>
      <c r="BX957" s="121" t="n">
        <f aca="false">MIN((BX119+BX120)*$C$5, $F$14)*'⑫ Roll-out Plan'!$O$17</f>
        <v>29047.71040416</v>
      </c>
      <c r="BY957" s="121" t="n">
        <f aca="false">MIN((BY119+BY120)*$C$5, $F$14)*'⑫ Roll-out Plan'!$O$17</f>
        <v>31842.90951072</v>
      </c>
      <c r="BZ957" s="121" t="n">
        <f aca="false">MIN((BZ119+BZ120)*$C$5, $F$14)*'⑫ Roll-out Plan'!$O$17</f>
        <v>26830.4963976</v>
      </c>
      <c r="CA957" s="121" t="n">
        <f aca="false">MIN((CA119+CA120)*$C$5, $F$14)*'⑫ Roll-out Plan'!$O$17</f>
        <v>35000</v>
      </c>
      <c r="CB957" s="121" t="n">
        <f aca="false">MIN((CB119+CB120)*$C$5, $F$14)*'⑫ Roll-out Plan'!$O$17</f>
        <v>35000</v>
      </c>
      <c r="CC957" s="121" t="n">
        <f aca="false">MIN((CC119+CC120)*$C$5, $F$14)*'⑫ Roll-out Plan'!$O$17</f>
        <v>32828.57146296</v>
      </c>
      <c r="CD957" s="121" t="n">
        <f aca="false">MIN((CD119+CD120)*$C$5, $F$14)*'⑫ Roll-out Plan'!$O$17</f>
        <v>29757.37927176</v>
      </c>
      <c r="CE957" s="121" t="n">
        <f aca="false">MIN((CE119+CE120)*$C$5, $F$14)*'⑫ Roll-out Plan'!$O$17</f>
        <v>31096.25179752</v>
      </c>
      <c r="CF957" s="121" t="n">
        <f aca="false">MIN((CF119+CF120)*$C$5, $F$14)*'⑫ Roll-out Plan'!$O$17</f>
        <v>35000</v>
      </c>
      <c r="CG957" s="121" t="n">
        <f aca="false">MIN((CG119+CG120)*$C$5, $F$14)*'⑫ Roll-out Plan'!$O$17</f>
        <v>35000</v>
      </c>
      <c r="CH957" s="121" t="n">
        <f aca="false">MIN((CH119+CH120)*$C$5, $F$14)*'⑫ Roll-out Plan'!$O$17</f>
        <v>35000</v>
      </c>
      <c r="CI957" s="121" t="n">
        <f aca="false">MIN((CI119+CI120)*$C$5, $F$14)*'⑫ Roll-out Plan'!$O$17</f>
        <v>32509.23582312</v>
      </c>
      <c r="CJ957" s="121" t="n">
        <f aca="false">MIN((CJ119+CJ120)*$C$5, $F$14)*'⑫ Roll-out Plan'!$O$17</f>
        <v>35000</v>
      </c>
      <c r="CK957" s="121" t="n">
        <f aca="false">MIN((CK119+CK120)*$C$5, $F$14)*'⑫ Roll-out Plan'!$O$17</f>
        <v>35000</v>
      </c>
      <c r="CL957" s="121" t="n">
        <f aca="false">MIN((CL119+CL120)*$C$5, $F$14)*'⑫ Roll-out Plan'!$O$17</f>
        <v>35000</v>
      </c>
      <c r="CM957" s="121" t="n">
        <f aca="false">MIN((CM119+CM120)*$C$5, $F$14)*'⑫ Roll-out Plan'!$O$17</f>
        <v>35000</v>
      </c>
      <c r="CN957" s="121" t="n">
        <f aca="false">MIN((CN119+CN120)*$C$5, $F$14)*'⑫ Roll-out Plan'!$O$17</f>
        <v>35000</v>
      </c>
      <c r="CO957" s="121" t="n">
        <f aca="false">MIN((CO119+CO120)*$C$5, $F$14)*'⑫ Roll-out Plan'!$O$17</f>
        <v>35000</v>
      </c>
      <c r="CP957" s="121" t="n">
        <f aca="false">MIN((CP119+CP120)*$C$5, $F$14)*'⑫ Roll-out Plan'!$O$17</f>
        <v>35000</v>
      </c>
      <c r="CQ957" s="121" t="n">
        <f aca="false">MIN((CQ119+CQ120)*$C$5, $F$14)*'⑫ Roll-out Plan'!$O$17</f>
        <v>35000</v>
      </c>
      <c r="CR957" s="121" t="n">
        <f aca="false">MIN((CR119+CR120)*$C$5, $F$14)*'⑫ Roll-out Plan'!$O$17</f>
        <v>35000</v>
      </c>
      <c r="CS957" s="121" t="n">
        <f aca="false">MIN((CS119+CS120)*$C$5, $F$14)*'⑫ Roll-out Plan'!$O$17</f>
        <v>35000</v>
      </c>
      <c r="CT957" s="121" t="n">
        <f aca="false">MIN((CT119+CT120)*$C$5, $F$14)*'⑫ Roll-out Plan'!$O$17</f>
        <v>35000</v>
      </c>
      <c r="CU957" s="121" t="n">
        <f aca="false">MIN((CU119+CU120)*$C$5, $F$14)*'⑫ Roll-out Plan'!$O$17</f>
        <v>35000</v>
      </c>
      <c r="CV957" s="121" t="n">
        <f aca="false">MIN((CV119+CV120)*$C$5, $F$14)*'⑫ Roll-out Plan'!$O$17</f>
        <v>35000</v>
      </c>
      <c r="CW957" s="121" t="n">
        <f aca="false">MIN((CW119+CW120)*$C$5, $F$14)*'⑫ Roll-out Plan'!$O$17</f>
        <v>35000</v>
      </c>
      <c r="CX957" s="121" t="n">
        <f aca="false">MIN((CX119+CX120)*$C$5, $F$14)*'⑫ Roll-out Plan'!$O$17</f>
        <v>35000</v>
      </c>
      <c r="CY957" s="121" t="n">
        <f aca="false">MIN((CY119+CY120)*$C$5, $F$14)*'⑫ Roll-out Plan'!$O$17</f>
        <v>35000</v>
      </c>
      <c r="CZ957" s="121" t="n">
        <f aca="false">MIN((CZ119+CZ120)*$C$5, $F$14)*'⑫ Roll-out Plan'!$O$17</f>
        <v>35000</v>
      </c>
      <c r="DA957" s="121" t="n">
        <f aca="false">MIN((DA119+DA120)*$C$5, $F$14)*'⑫ Roll-out Plan'!$O$17</f>
        <v>35000</v>
      </c>
      <c r="DB957" s="121" t="n">
        <f aca="false">MIN((DB119+DB120)*$C$5, $F$14)*'⑫ Roll-out Plan'!$O$17</f>
        <v>35000</v>
      </c>
      <c r="DC957" s="121" t="n">
        <f aca="false">MIN((DC119+DC120)*$C$5, $F$14)*'⑫ Roll-out Plan'!$O$17</f>
        <v>35000</v>
      </c>
      <c r="DD957" s="121" t="n">
        <f aca="false">MIN((DD119+DD120)*$C$5, $F$14)*'⑫ Roll-out Plan'!$O$17</f>
        <v>35000</v>
      </c>
      <c r="DE957" s="121" t="n">
        <f aca="false">MIN((DE119+DE120)*$C$5, $F$14)*'⑫ Roll-out Plan'!$O$17</f>
        <v>35000</v>
      </c>
      <c r="DF957" s="121" t="n">
        <f aca="false">MIN((DF119+DF120)*$C$5, $F$14)*'⑫ Roll-out Plan'!$O$17</f>
        <v>35000</v>
      </c>
      <c r="DG957" s="121" t="n">
        <f aca="false">MIN((DG119+DG120)*$C$5, $F$14)*'⑫ Roll-out Plan'!$O$17</f>
        <v>35000</v>
      </c>
      <c r="DH957" s="121" t="n">
        <f aca="false">MIN((DH119+DH120)*$C$5, $F$14)*'⑫ Roll-out Plan'!$O$17</f>
        <v>35000</v>
      </c>
      <c r="DI957" s="121" t="n">
        <f aca="false">MIN((DI119+DI120)*$C$5, $F$14)*'⑫ Roll-out Plan'!$O$17</f>
        <v>35000</v>
      </c>
      <c r="DJ957" s="121" t="n">
        <f aca="false">MIN((DJ119+DJ120)*$C$5, $F$14)*'⑫ Roll-out Plan'!$O$17</f>
        <v>35000</v>
      </c>
      <c r="DK957" s="121" t="n">
        <f aca="false">MIN((DK119+DK120)*$C$5, $F$14)*'⑫ Roll-out Plan'!$O$17</f>
        <v>35000</v>
      </c>
      <c r="DL957" s="121" t="n">
        <f aca="false">MIN((DL119+DL120)*$C$5, $F$14)*'⑫ Roll-out Plan'!$O$17</f>
        <v>35000</v>
      </c>
      <c r="DM957" s="121" t="n">
        <f aca="false">MIN((DM119+DM120)*$C$5, $F$14)*'⑫ Roll-out Plan'!$O$17</f>
        <v>35000</v>
      </c>
      <c r="DN957" s="121" t="n">
        <f aca="false">MIN((DN119+DN120)*$C$5, $F$14)*'⑫ Roll-out Plan'!$O$17</f>
        <v>35000</v>
      </c>
      <c r="DO957" s="121" t="n">
        <f aca="false">MIN((DO119+DO120)*$C$5, $F$14)*'⑫ Roll-out Plan'!$O$17</f>
        <v>35000</v>
      </c>
      <c r="DP957" s="121" t="n">
        <f aca="false">MIN((DP119+DP120)*$C$5, $F$14)*'⑫ Roll-out Plan'!$O$17</f>
        <v>35000</v>
      </c>
      <c r="DQ957" s="121" t="n">
        <f aca="false">MIN((DQ119+DQ120)*$C$5, $F$14)*'⑫ Roll-out Plan'!$O$17</f>
        <v>35000</v>
      </c>
      <c r="DR957" s="121" t="n">
        <f aca="false">MIN((DR119+DR120)*$C$5, $F$14)*'⑫ Roll-out Plan'!$O$17</f>
        <v>35000</v>
      </c>
      <c r="DS957" s="121" t="n">
        <f aca="false">MIN((DS119+DS120)*$C$5, $F$14)*'⑫ Roll-out Plan'!$O$17</f>
        <v>35000</v>
      </c>
      <c r="DT957" s="121" t="n">
        <f aca="false">MIN((DT119+DT120)*$C$5, $F$14)*'⑫ Roll-out Plan'!$O$17</f>
        <v>35000</v>
      </c>
      <c r="DU957" s="121" t="n">
        <f aca="false">MIN((DU119+DU120)*$C$5, $F$14)*'⑫ Roll-out Plan'!$O$17</f>
        <v>35000</v>
      </c>
      <c r="DV957" s="121" t="n">
        <f aca="false">MIN((DV119+DV120)*$C$5, $F$14)*'⑫ Roll-out Plan'!$O$17</f>
        <v>35000</v>
      </c>
      <c r="DW957" s="121" t="n">
        <f aca="false">MIN((DW119+DW120)*$C$5, $F$14)*'⑫ Roll-out Plan'!$O$17</f>
        <v>35000</v>
      </c>
      <c r="DX957" s="121" t="n">
        <f aca="false">MIN((DX119+DX120)*$C$5, $F$14)*'⑫ Roll-out Plan'!$O$17</f>
        <v>35000</v>
      </c>
      <c r="DY957" s="121" t="n">
        <f aca="false">MIN((DY119+DY120)*$C$5, $F$14)*'⑫ Roll-out Plan'!$O$17</f>
        <v>35000</v>
      </c>
      <c r="DZ957" s="121" t="n">
        <f aca="false">MIN((DZ119+DZ120)*$C$5, $F$14)*'⑫ Roll-out Plan'!$O$17</f>
        <v>35000</v>
      </c>
      <c r="EA957" s="121" t="n">
        <f aca="false">MIN((EA119+EA120)*$C$5, $F$14)*'⑫ Roll-out Plan'!$O$17</f>
        <v>35000</v>
      </c>
      <c r="EB957" s="121" t="n">
        <f aca="false">MIN((EB119+EB120)*$C$5, $F$14)*'⑫ Roll-out Plan'!$O$17</f>
        <v>35000</v>
      </c>
      <c r="EC957" s="121" t="n">
        <f aca="false">MIN((EC119+EC120)*$C$5, $F$14)*'⑫ Roll-out Plan'!$O$17</f>
        <v>35000</v>
      </c>
      <c r="ED957" s="121" t="n">
        <f aca="false">MIN((ED119+ED120)*$C$5, $F$14)*'⑫ Roll-out Plan'!$O$17</f>
        <v>35000</v>
      </c>
      <c r="EE957" s="121" t="n">
        <f aca="false">MIN((EE119+EE120)*$C$5, $F$14)*'⑫ Roll-out Plan'!$O$17</f>
        <v>35000</v>
      </c>
      <c r="EF957" s="121" t="n">
        <f aca="false">MIN((EF119+EF120)*$C$5, $F$14)*'⑫ Roll-out Plan'!$O$17</f>
        <v>35000</v>
      </c>
      <c r="EG957" s="121" t="n">
        <f aca="false">MIN((EG119+EG120)*$C$5, $F$14)*'⑫ Roll-out Plan'!$O$17</f>
        <v>35000</v>
      </c>
      <c r="EH957" s="121" t="n">
        <f aca="false">MIN((EH119+EH120)*$C$5, $F$14)*'⑫ Roll-out Plan'!$O$17</f>
        <v>35000</v>
      </c>
      <c r="EI957" s="121" t="n">
        <f aca="false">MIN((EI119+EI120)*$C$5, $F$14)*'⑫ Roll-out Plan'!$O$17</f>
        <v>35000</v>
      </c>
      <c r="EJ957" s="121" t="n">
        <f aca="false">MIN((EJ119+EJ120)*$C$5, $F$14)*'⑫ Roll-out Plan'!$O$17</f>
        <v>35000</v>
      </c>
      <c r="EK957" s="121" t="n">
        <f aca="false">MIN((EK119+EK120)*$C$5, $F$14)*'⑫ Roll-out Plan'!$O$17</f>
        <v>35000</v>
      </c>
      <c r="EL957" s="121" t="n">
        <f aca="false">MIN((EL119+EL120)*$C$5, $F$14)*'⑫ Roll-out Plan'!$O$17</f>
        <v>35000</v>
      </c>
      <c r="EM957" s="121" t="n">
        <f aca="false">MIN((EM119+EM120)*$C$5, $F$14)*'⑫ Roll-out Plan'!$O$17</f>
        <v>35000</v>
      </c>
      <c r="EN957" s="121" t="n">
        <f aca="false">MIN((EN119+EN120)*$C$5, $F$14)*'⑫ Roll-out Plan'!$O$17</f>
        <v>35000</v>
      </c>
      <c r="EO957" s="121" t="n">
        <f aca="false">MIN((EO119+EO120)*$C$5, $F$14)*'⑫ Roll-out Plan'!$O$17</f>
        <v>35000</v>
      </c>
      <c r="EP957" s="121" t="n">
        <f aca="false">MIN((EP119+EP120)*$C$5, $F$14)*'⑫ Roll-out Plan'!$O$17</f>
        <v>35000</v>
      </c>
      <c r="EQ957" s="121" t="n">
        <f aca="false">MIN((EQ119+EQ120)*$C$5, $F$14)*'⑫ Roll-out Plan'!$O$17</f>
        <v>35000</v>
      </c>
      <c r="ER957" s="121" t="n">
        <f aca="false">MIN((ER119+ER120)*$C$5, $F$14)*'⑫ Roll-out Plan'!$O$17</f>
        <v>35000</v>
      </c>
      <c r="ES957" s="9" t="n">
        <f aca="false">MIN((ES119+ES120)*$C$5, $F$14)*'⑫ Roll-out Plan'!$O$17</f>
        <v>35000</v>
      </c>
      <c r="ET957" s="9" t="n">
        <f aca="false">MIN((ET119+ET120)*$C$5, $F$14)*'⑫ Roll-out Plan'!$O$17</f>
        <v>35000</v>
      </c>
      <c r="EU957" s="9" t="n">
        <f aca="false">MIN((EU119+EU120)*$C$5, $F$14)*'⑫ Roll-out Plan'!$O$17</f>
        <v>35000</v>
      </c>
      <c r="EV957" s="9" t="n">
        <f aca="false">MIN((EV119+EV120)*$C$5, $F$14)*'⑫ Roll-out Plan'!$O$17</f>
        <v>35000</v>
      </c>
      <c r="EW957" s="9" t="n">
        <f aca="false">MIN((EW119+EW120)*$C$5, $F$14)*'⑫ Roll-out Plan'!$O$17</f>
        <v>35000</v>
      </c>
      <c r="EX957" s="9" t="n">
        <f aca="false">MIN((EX119+EX120)*$C$5, $F$14)*'⑫ Roll-out Plan'!$O$17</f>
        <v>35000</v>
      </c>
      <c r="EY957" s="9" t="n">
        <f aca="false">MIN((EY119+EY120)*$C$5, $F$14)*'⑫ Roll-out Plan'!$O$17</f>
        <v>35000</v>
      </c>
      <c r="EZ957" s="9" t="n">
        <f aca="false">MIN((EZ119+EZ120)*$C$5, $F$14)*'⑫ Roll-out Plan'!$O$17</f>
        <v>35000</v>
      </c>
      <c r="FA957" s="9" t="n">
        <f aca="false">MIN((FA119+FA120)*$C$5, $F$14)*'⑫ Roll-out Plan'!$O$17</f>
        <v>35000</v>
      </c>
      <c r="FB957" s="9" t="n">
        <f aca="false">MIN((FB119+FB120)*$C$5, $F$14)*'⑫ Roll-out Plan'!$O$17</f>
        <v>35000</v>
      </c>
      <c r="FC957" s="9" t="n">
        <f aca="false">MIN((FC119+FC120)*$C$5, $F$14)*'⑫ Roll-out Plan'!$O$17</f>
        <v>35000</v>
      </c>
      <c r="FD957" s="9" t="n">
        <f aca="false">MIN((FD119+FD120)*$C$5, $F$14)*'⑫ Roll-out Plan'!$O$17</f>
        <v>35000</v>
      </c>
      <c r="FE957" s="9" t="n">
        <f aca="false">MIN((FE119+FE120)*$C$5, $F$14)*'⑫ Roll-out Plan'!$O$17</f>
        <v>35000</v>
      </c>
      <c r="FF957" s="9" t="n">
        <f aca="false">MIN((FF119+FF120)*$C$5, $F$14)*'⑫ Roll-out Plan'!$O$17</f>
        <v>35000</v>
      </c>
      <c r="FG957" s="9" t="n">
        <f aca="false">MIN((FG119+FG120)*$C$5, $F$14)*'⑫ Roll-out Plan'!$O$17</f>
        <v>35000</v>
      </c>
      <c r="FH957" s="9" t="n">
        <f aca="false">MIN((FH119+FH120)*$C$5, $F$14)*'⑫ Roll-out Plan'!$O$17</f>
        <v>35000</v>
      </c>
      <c r="FI957" s="9" t="n">
        <f aca="false">MIN((FI119+FI120)*$C$5, $F$14)*'⑫ Roll-out Plan'!$O$17</f>
        <v>35000</v>
      </c>
      <c r="FJ957" s="9" t="n">
        <f aca="false">MIN((FJ119+FJ120)*$C$5, $F$14)*'⑫ Roll-out Plan'!$O$17</f>
        <v>35000</v>
      </c>
      <c r="FK957" s="9" t="n">
        <f aca="false">MIN((FK119+FK120)*$C$5, $F$14)*'⑫ Roll-out Plan'!$O$17</f>
        <v>35000</v>
      </c>
      <c r="FL957" s="9" t="n">
        <f aca="false">MIN((FL119+FL120)*$C$5, $F$14)*'⑫ Roll-out Plan'!$O$17</f>
        <v>35000</v>
      </c>
      <c r="FM957" s="9" t="n">
        <f aca="false">MIN((FM119+FM120)*$C$5, $F$14)*'⑫ Roll-out Plan'!$O$17</f>
        <v>35000</v>
      </c>
      <c r="FN957" s="9" t="n">
        <f aca="false">MIN((FN119+FN120)*$C$5, $F$14)*'⑫ Roll-out Plan'!$O$17</f>
        <v>35000</v>
      </c>
      <c r="FO957" s="9" t="n">
        <f aca="false">MIN((FO119+FO120)*$C$5, $F$14)*'⑫ Roll-out Plan'!$O$17</f>
        <v>35000</v>
      </c>
      <c r="FP957" s="9" t="n">
        <f aca="false">MIN((FP119+FP120)*$C$5, $F$14)*'⑫ Roll-out Plan'!$O$17</f>
        <v>35000</v>
      </c>
    </row>
    <row r="958" customFormat="false" ht="15" hidden="false" customHeight="false" outlineLevel="0" collapsed="false">
      <c r="B958" s="253" t="s">
        <v>983</v>
      </c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121" t="n">
        <f aca="false">MIN((AC129+AC130)*$C$5, $F$14)*'⑫ Roll-out Plan'!$O$18</f>
        <v>0</v>
      </c>
      <c r="AD958" s="121" t="n">
        <f aca="false">MIN((AD129+AD130)*$C$5, $F$14)*'⑫ Roll-out Plan'!$O$18</f>
        <v>0</v>
      </c>
      <c r="AE958" s="121" t="n">
        <f aca="false">MIN((AE129+AE130)*$C$5, $F$14)*'⑫ Roll-out Plan'!$O$18</f>
        <v>0</v>
      </c>
      <c r="AF958" s="121" t="n">
        <f aca="false">MIN((AF129+AF130)*$C$5, $F$14)*'⑫ Roll-out Plan'!$O$18</f>
        <v>0</v>
      </c>
      <c r="AG958" s="121" t="n">
        <f aca="false">MIN((AG129+AG130)*$C$5, $F$14)*'⑫ Roll-out Plan'!$O$18</f>
        <v>0</v>
      </c>
      <c r="AH958" s="121" t="n">
        <f aca="false">MIN((AH129+AH130)*$C$5, $F$14)*'⑫ Roll-out Plan'!$O$18</f>
        <v>0</v>
      </c>
      <c r="AI958" s="121" t="n">
        <f aca="false">MIN((AI129+AI130)*$C$5, $F$14)*'⑫ Roll-out Plan'!$O$18</f>
        <v>0</v>
      </c>
      <c r="AJ958" s="121" t="n">
        <f aca="false">MIN((AJ129+AJ130)*$C$5, $F$14)*'⑫ Roll-out Plan'!$O$18</f>
        <v>0</v>
      </c>
      <c r="AK958" s="121" t="n">
        <f aca="false">MIN((AK129+AK130)*$C$5, $F$14)*'⑫ Roll-out Plan'!$O$18</f>
        <v>0</v>
      </c>
      <c r="AL958" s="121" t="n">
        <f aca="false">MIN((AL129+AL130)*$C$5, $F$14)*'⑫ Roll-out Plan'!$O$18</f>
        <v>0</v>
      </c>
      <c r="AM958" s="121" t="n">
        <f aca="false">MIN((AM129+AM130)*$C$5, $F$14)*'⑫ Roll-out Plan'!$O$18</f>
        <v>0</v>
      </c>
      <c r="AN958" s="121" t="n">
        <f aca="false">MIN((AN129+AN130)*$C$5, $F$14)*'⑫ Roll-out Plan'!$O$18</f>
        <v>0</v>
      </c>
      <c r="AO958" s="121" t="n">
        <f aca="false">MIN((AO129+AO130)*$C$5, $F$14)*'⑫ Roll-out Plan'!$O$18</f>
        <v>0</v>
      </c>
      <c r="AP958" s="121" t="n">
        <f aca="false">MIN((AP129+AP130)*$C$5, $F$14)*'⑫ Roll-out Plan'!$O$18</f>
        <v>0</v>
      </c>
      <c r="AQ958" s="121" t="n">
        <f aca="false">MIN((AQ129+AQ130)*$C$5, $F$14)*'⑫ Roll-out Plan'!$O$18</f>
        <v>0</v>
      </c>
      <c r="AR958" s="121" t="n">
        <f aca="false">MIN((AR129+AR130)*$C$5, $F$14)*'⑫ Roll-out Plan'!$O$18</f>
        <v>0</v>
      </c>
      <c r="AS958" s="121" t="n">
        <f aca="false">MIN((AS129+AS130)*$C$5, $F$14)*'⑫ Roll-out Plan'!$O$18</f>
        <v>0</v>
      </c>
      <c r="AT958" s="121" t="n">
        <f aca="false">MIN((AT129+AT130)*$C$5, $F$14)*'⑫ Roll-out Plan'!$O$18</f>
        <v>0</v>
      </c>
      <c r="AU958" s="121" t="n">
        <f aca="false">MIN((AU129+AU130)*$C$5, $F$14)*'⑫ Roll-out Plan'!$O$18</f>
        <v>0</v>
      </c>
      <c r="AV958" s="121" t="n">
        <f aca="false">MIN((AV129+AV130)*$C$5, $F$14)*'⑫ Roll-out Plan'!$O$18</f>
        <v>0</v>
      </c>
      <c r="AW958" s="121" t="n">
        <f aca="false">MIN((AW129+AW130)*$C$5, $F$14)*'⑫ Roll-out Plan'!$O$18</f>
        <v>0</v>
      </c>
      <c r="AX958" s="121" t="n">
        <f aca="false">MIN((AX129+AX130)*$C$5, $F$14)*'⑫ Roll-out Plan'!$O$18</f>
        <v>0</v>
      </c>
      <c r="AY958" s="121" t="n">
        <f aca="false">MIN((AY129+AY130)*$C$5, $F$14)*'⑫ Roll-out Plan'!$O$18</f>
        <v>0</v>
      </c>
      <c r="AZ958" s="121" t="n">
        <f aca="false">MIN((AZ129+AZ130)*$C$5, $F$14)*'⑫ Roll-out Plan'!$O$18</f>
        <v>0</v>
      </c>
      <c r="BA958" s="121" t="n">
        <f aca="false">MIN((BA129+BA130)*$C$5, $F$14)*'⑫ Roll-out Plan'!$O$18</f>
        <v>0</v>
      </c>
      <c r="BB958" s="121" t="n">
        <f aca="false">MIN((BB129+BB130)*$C$5, $F$14)*'⑫ Roll-out Plan'!$O$18</f>
        <v>0</v>
      </c>
      <c r="BC958" s="121" t="n">
        <f aca="false">MIN((BC129+BC130)*$C$5, $F$14)*'⑫ Roll-out Plan'!$O$18</f>
        <v>0</v>
      </c>
      <c r="BD958" s="121" t="n">
        <f aca="false">MIN((BD129+BD130)*$C$5, $F$14)*'⑫ Roll-out Plan'!$O$18</f>
        <v>0</v>
      </c>
      <c r="BE958" s="121" t="n">
        <f aca="false">MIN((BE129+BE130)*$C$5, $F$14)*'⑫ Roll-out Plan'!$O$18</f>
        <v>0</v>
      </c>
      <c r="BF958" s="121" t="n">
        <f aca="false">MIN((BF129+BF130)*$C$5, $F$14)*'⑫ Roll-out Plan'!$O$18</f>
        <v>0</v>
      </c>
      <c r="BG958" s="121" t="n">
        <f aca="false">MIN((BG129+BG130)*$C$5, $F$14)*'⑫ Roll-out Plan'!$O$18</f>
        <v>0</v>
      </c>
      <c r="BH958" s="121" t="n">
        <f aca="false">MIN((BH129+BH130)*$C$5, $F$14)*'⑫ Roll-out Plan'!$O$18</f>
        <v>0</v>
      </c>
      <c r="BI958" s="121" t="n">
        <f aca="false">MIN((BI129+BI130)*$C$5, $F$14)*'⑫ Roll-out Plan'!$O$18</f>
        <v>0</v>
      </c>
      <c r="BJ958" s="121" t="n">
        <f aca="false">MIN((BJ129+BJ130)*$C$5, $F$14)*'⑫ Roll-out Plan'!$O$18</f>
        <v>5281.92</v>
      </c>
      <c r="BK958" s="121" t="n">
        <f aca="false">MIN((BK129+BK130)*$C$5, $F$14)*'⑫ Roll-out Plan'!$O$18</f>
        <v>5033.66976</v>
      </c>
      <c r="BL958" s="121" t="n">
        <f aca="false">MIN((BL129+BL130)*$C$5, $F$14)*'⑫ Roll-out Plan'!$O$18</f>
        <v>7385.180544</v>
      </c>
      <c r="BM958" s="121" t="n">
        <f aca="false">MIN((BM129+BM130)*$C$5, $F$14)*'⑫ Roll-out Plan'!$O$18</f>
        <v>9078.9338304</v>
      </c>
      <c r="BN958" s="121" t="n">
        <f aca="false">MIN((BN129+BN130)*$C$5, $F$14)*'⑫ Roll-out Plan'!$O$18</f>
        <v>7401.2639904</v>
      </c>
      <c r="BO958" s="121" t="n">
        <f aca="false">MIN((BO129+BO130)*$C$5, $F$14)*'⑫ Roll-out Plan'!$O$18</f>
        <v>11070.728256</v>
      </c>
      <c r="BP958" s="121" t="n">
        <f aca="false">MIN((BP129+BP130)*$C$5, $F$14)*'⑫ Roll-out Plan'!$O$18</f>
        <v>12297.8767296</v>
      </c>
      <c r="BQ958" s="121" t="n">
        <f aca="false">MIN((BQ129+BQ130)*$C$5, $F$14)*'⑫ Roll-out Plan'!$O$18</f>
        <v>11809.580832</v>
      </c>
      <c r="BR958" s="121" t="n">
        <f aca="false">MIN((BR129+BR130)*$C$5, $F$14)*'⑫ Roll-out Plan'!$O$18</f>
        <v>11637.3286176</v>
      </c>
      <c r="BS958" s="121" t="n">
        <f aca="false">MIN((BS129+BS130)*$C$5, $F$14)*'⑫ Roll-out Plan'!$O$18</f>
        <v>12221.130432</v>
      </c>
      <c r="BT958" s="121" t="n">
        <f aca="false">MIN((BT129+BT130)*$C$5, $F$14)*'⑫ Roll-out Plan'!$O$18</f>
        <v>20999.0564448</v>
      </c>
      <c r="BU958" s="121" t="n">
        <f aca="false">MIN((BU129+BU130)*$C$5, $F$14)*'⑫ Roll-out Plan'!$O$18</f>
        <v>19959.7066368</v>
      </c>
      <c r="BV958" s="121" t="n">
        <f aca="false">MIN((BV129+BV130)*$C$5, $F$14)*'⑫ Roll-out Plan'!$O$18</f>
        <v>18281.3941632</v>
      </c>
      <c r="BW958" s="121" t="n">
        <f aca="false">MIN((BW129+BW130)*$C$5, $F$14)*'⑫ Roll-out Plan'!$O$18</f>
        <v>15502.523232</v>
      </c>
      <c r="BX958" s="121" t="n">
        <f aca="false">MIN((BX129+BX130)*$C$5, $F$14)*'⑫ Roll-out Plan'!$O$18</f>
        <v>20205.7384704</v>
      </c>
      <c r="BY958" s="121" t="n">
        <f aca="false">MIN((BY129+BY130)*$C$5, $F$14)*'⑫ Roll-out Plan'!$O$18</f>
        <v>26658.8538048</v>
      </c>
      <c r="BZ958" s="121" t="n">
        <f aca="false">MIN((BZ129+BZ130)*$C$5, $F$14)*'⑫ Roll-out Plan'!$O$18</f>
        <v>22878.7949376</v>
      </c>
      <c r="CA958" s="121" t="n">
        <f aca="false">MIN((CA129+CA130)*$C$5, $F$14)*'⑫ Roll-out Plan'!$O$18</f>
        <v>31344.14924928</v>
      </c>
      <c r="CB958" s="121" t="n">
        <f aca="false">MIN((CB129+CB130)*$C$5, $F$14)*'⑫ Roll-out Plan'!$O$18</f>
        <v>32169.42636096</v>
      </c>
      <c r="CC958" s="121" t="n">
        <f aca="false">MIN((CC129+CC130)*$C$5, $F$14)*'⑫ Roll-out Plan'!$O$18</f>
        <v>28307.10687168</v>
      </c>
      <c r="CD958" s="121" t="n">
        <f aca="false">MIN((CD129+CD130)*$C$5, $F$14)*'⑫ Roll-out Plan'!$O$18</f>
        <v>25999.10986512</v>
      </c>
      <c r="CE958" s="121" t="n">
        <f aca="false">MIN((CE129+CE130)*$C$5, $F$14)*'⑫ Roll-out Plan'!$O$18</f>
        <v>27482.35509096</v>
      </c>
      <c r="CF958" s="121" t="n">
        <f aca="false">MIN((CF129+CF130)*$C$5, $F$14)*'⑫ Roll-out Plan'!$O$18</f>
        <v>35000</v>
      </c>
      <c r="CG958" s="121" t="n">
        <f aca="false">MIN((CG129+CG130)*$C$5, $F$14)*'⑫ Roll-out Plan'!$O$18</f>
        <v>35000</v>
      </c>
      <c r="CH958" s="121" t="n">
        <f aca="false">MIN((CH129+CH130)*$C$5, $F$14)*'⑫ Roll-out Plan'!$O$18</f>
        <v>34822.22270352</v>
      </c>
      <c r="CI958" s="121" t="n">
        <f aca="false">MIN((CI129+CI130)*$C$5, $F$14)*'⑫ Roll-out Plan'!$O$18</f>
        <v>28669.84933008</v>
      </c>
      <c r="CJ958" s="121" t="n">
        <f aca="false">MIN((CJ129+CJ130)*$C$5, $F$14)*'⑫ Roll-out Plan'!$O$18</f>
        <v>35000</v>
      </c>
      <c r="CK958" s="121" t="n">
        <f aca="false">MIN((CK129+CK130)*$C$5, $F$14)*'⑫ Roll-out Plan'!$O$18</f>
        <v>35000</v>
      </c>
      <c r="CL958" s="121" t="n">
        <f aca="false">MIN((CL129+CL130)*$C$5, $F$14)*'⑫ Roll-out Plan'!$O$18</f>
        <v>34837.51210128</v>
      </c>
      <c r="CM958" s="121" t="n">
        <f aca="false">MIN((CM129+CM130)*$C$5, $F$14)*'⑫ Roll-out Plan'!$O$18</f>
        <v>35000</v>
      </c>
      <c r="CN958" s="121" t="n">
        <f aca="false">MIN((CN129+CN130)*$C$5, $F$14)*'⑫ Roll-out Plan'!$O$18</f>
        <v>35000</v>
      </c>
      <c r="CO958" s="121" t="n">
        <f aca="false">MIN((CO129+CO130)*$C$5, $F$14)*'⑫ Roll-out Plan'!$O$18</f>
        <v>35000</v>
      </c>
      <c r="CP958" s="121" t="n">
        <f aca="false">MIN((CP129+CP130)*$C$5, $F$14)*'⑫ Roll-out Plan'!$O$18</f>
        <v>35000</v>
      </c>
      <c r="CQ958" s="121" t="n">
        <f aca="false">MIN((CQ129+CQ130)*$C$5, $F$14)*'⑫ Roll-out Plan'!$O$18</f>
        <v>35000</v>
      </c>
      <c r="CR958" s="121" t="n">
        <f aca="false">MIN((CR129+CR130)*$C$5, $F$14)*'⑫ Roll-out Plan'!$O$18</f>
        <v>35000</v>
      </c>
      <c r="CS958" s="121" t="n">
        <f aca="false">MIN((CS129+CS130)*$C$5, $F$14)*'⑫ Roll-out Plan'!$O$18</f>
        <v>35000</v>
      </c>
      <c r="CT958" s="121" t="n">
        <f aca="false">MIN((CT129+CT130)*$C$5, $F$14)*'⑫ Roll-out Plan'!$O$18</f>
        <v>35000</v>
      </c>
      <c r="CU958" s="121" t="n">
        <f aca="false">MIN((CU129+CU130)*$C$5, $F$14)*'⑫ Roll-out Plan'!$O$18</f>
        <v>35000</v>
      </c>
      <c r="CV958" s="121" t="n">
        <f aca="false">MIN((CV129+CV130)*$C$5, $F$14)*'⑫ Roll-out Plan'!$O$18</f>
        <v>35000</v>
      </c>
      <c r="CW958" s="121" t="n">
        <f aca="false">MIN((CW129+CW130)*$C$5, $F$14)*'⑫ Roll-out Plan'!$O$18</f>
        <v>35000</v>
      </c>
      <c r="CX958" s="121" t="n">
        <f aca="false">MIN((CX129+CX130)*$C$5, $F$14)*'⑫ Roll-out Plan'!$O$18</f>
        <v>35000</v>
      </c>
      <c r="CY958" s="121" t="n">
        <f aca="false">MIN((CY129+CY130)*$C$5, $F$14)*'⑫ Roll-out Plan'!$O$18</f>
        <v>35000</v>
      </c>
      <c r="CZ958" s="121" t="n">
        <f aca="false">MIN((CZ129+CZ130)*$C$5, $F$14)*'⑫ Roll-out Plan'!$O$18</f>
        <v>35000</v>
      </c>
      <c r="DA958" s="121" t="n">
        <f aca="false">MIN((DA129+DA130)*$C$5, $F$14)*'⑫ Roll-out Plan'!$O$18</f>
        <v>35000</v>
      </c>
      <c r="DB958" s="121" t="n">
        <f aca="false">MIN((DB129+DB130)*$C$5, $F$14)*'⑫ Roll-out Plan'!$O$18</f>
        <v>35000</v>
      </c>
      <c r="DC958" s="121" t="n">
        <f aca="false">MIN((DC129+DC130)*$C$5, $F$14)*'⑫ Roll-out Plan'!$O$18</f>
        <v>35000</v>
      </c>
      <c r="DD958" s="121" t="n">
        <f aca="false">MIN((DD129+DD130)*$C$5, $F$14)*'⑫ Roll-out Plan'!$O$18</f>
        <v>35000</v>
      </c>
      <c r="DE958" s="121" t="n">
        <f aca="false">MIN((DE129+DE130)*$C$5, $F$14)*'⑫ Roll-out Plan'!$O$18</f>
        <v>35000</v>
      </c>
      <c r="DF958" s="121" t="n">
        <f aca="false">MIN((DF129+DF130)*$C$5, $F$14)*'⑫ Roll-out Plan'!$O$18</f>
        <v>35000</v>
      </c>
      <c r="DG958" s="121" t="n">
        <f aca="false">MIN((DG129+DG130)*$C$5, $F$14)*'⑫ Roll-out Plan'!$O$18</f>
        <v>35000</v>
      </c>
      <c r="DH958" s="121" t="n">
        <f aca="false">MIN((DH129+DH130)*$C$5, $F$14)*'⑫ Roll-out Plan'!$O$18</f>
        <v>35000</v>
      </c>
      <c r="DI958" s="121" t="n">
        <f aca="false">MIN((DI129+DI130)*$C$5, $F$14)*'⑫ Roll-out Plan'!$O$18</f>
        <v>35000</v>
      </c>
      <c r="DJ958" s="121" t="n">
        <f aca="false">MIN((DJ129+DJ130)*$C$5, $F$14)*'⑫ Roll-out Plan'!$O$18</f>
        <v>35000</v>
      </c>
      <c r="DK958" s="121" t="n">
        <f aca="false">MIN((DK129+DK130)*$C$5, $F$14)*'⑫ Roll-out Plan'!$O$18</f>
        <v>35000</v>
      </c>
      <c r="DL958" s="121" t="n">
        <f aca="false">MIN((DL129+DL130)*$C$5, $F$14)*'⑫ Roll-out Plan'!$O$18</f>
        <v>35000</v>
      </c>
      <c r="DM958" s="121" t="n">
        <f aca="false">MIN((DM129+DM130)*$C$5, $F$14)*'⑫ Roll-out Plan'!$O$18</f>
        <v>35000</v>
      </c>
      <c r="DN958" s="121" t="n">
        <f aca="false">MIN((DN129+DN130)*$C$5, $F$14)*'⑫ Roll-out Plan'!$O$18</f>
        <v>35000</v>
      </c>
      <c r="DO958" s="121" t="n">
        <f aca="false">MIN((DO129+DO130)*$C$5, $F$14)*'⑫ Roll-out Plan'!$O$18</f>
        <v>35000</v>
      </c>
      <c r="DP958" s="121" t="n">
        <f aca="false">MIN((DP129+DP130)*$C$5, $F$14)*'⑫ Roll-out Plan'!$O$18</f>
        <v>35000</v>
      </c>
      <c r="DQ958" s="121" t="n">
        <f aca="false">MIN((DQ129+DQ130)*$C$5, $F$14)*'⑫ Roll-out Plan'!$O$18</f>
        <v>35000</v>
      </c>
      <c r="DR958" s="121" t="n">
        <f aca="false">MIN((DR129+DR130)*$C$5, $F$14)*'⑫ Roll-out Plan'!$O$18</f>
        <v>35000</v>
      </c>
      <c r="DS958" s="121" t="n">
        <f aca="false">MIN((DS129+DS130)*$C$5, $F$14)*'⑫ Roll-out Plan'!$O$18</f>
        <v>35000</v>
      </c>
      <c r="DT958" s="121" t="n">
        <f aca="false">MIN((DT129+DT130)*$C$5, $F$14)*'⑫ Roll-out Plan'!$O$18</f>
        <v>35000</v>
      </c>
      <c r="DU958" s="121" t="n">
        <f aca="false">MIN((DU129+DU130)*$C$5, $F$14)*'⑫ Roll-out Plan'!$O$18</f>
        <v>35000</v>
      </c>
      <c r="DV958" s="121" t="n">
        <f aca="false">MIN((DV129+DV130)*$C$5, $F$14)*'⑫ Roll-out Plan'!$O$18</f>
        <v>35000</v>
      </c>
      <c r="DW958" s="121" t="n">
        <f aca="false">MIN((DW129+DW130)*$C$5, $F$14)*'⑫ Roll-out Plan'!$O$18</f>
        <v>35000</v>
      </c>
      <c r="DX958" s="121" t="n">
        <f aca="false">MIN((DX129+DX130)*$C$5, $F$14)*'⑫ Roll-out Plan'!$O$18</f>
        <v>35000</v>
      </c>
      <c r="DY958" s="121" t="n">
        <f aca="false">MIN((DY129+DY130)*$C$5, $F$14)*'⑫ Roll-out Plan'!$O$18</f>
        <v>35000</v>
      </c>
      <c r="DZ958" s="121" t="n">
        <f aca="false">MIN((DZ129+DZ130)*$C$5, $F$14)*'⑫ Roll-out Plan'!$O$18</f>
        <v>35000</v>
      </c>
      <c r="EA958" s="121" t="n">
        <f aca="false">MIN((EA129+EA130)*$C$5, $F$14)*'⑫ Roll-out Plan'!$O$18</f>
        <v>35000</v>
      </c>
      <c r="EB958" s="121" t="n">
        <f aca="false">MIN((EB129+EB130)*$C$5, $F$14)*'⑫ Roll-out Plan'!$O$18</f>
        <v>35000</v>
      </c>
      <c r="EC958" s="121" t="n">
        <f aca="false">MIN((EC129+EC130)*$C$5, $F$14)*'⑫ Roll-out Plan'!$O$18</f>
        <v>35000</v>
      </c>
      <c r="ED958" s="121" t="n">
        <f aca="false">MIN((ED129+ED130)*$C$5, $F$14)*'⑫ Roll-out Plan'!$O$18</f>
        <v>35000</v>
      </c>
      <c r="EE958" s="121" t="n">
        <f aca="false">MIN((EE129+EE130)*$C$5, $F$14)*'⑫ Roll-out Plan'!$O$18</f>
        <v>35000</v>
      </c>
      <c r="EF958" s="121" t="n">
        <f aca="false">MIN((EF129+EF130)*$C$5, $F$14)*'⑫ Roll-out Plan'!$O$18</f>
        <v>35000</v>
      </c>
      <c r="EG958" s="121" t="n">
        <f aca="false">MIN((EG129+EG130)*$C$5, $F$14)*'⑫ Roll-out Plan'!$O$18</f>
        <v>35000</v>
      </c>
      <c r="EH958" s="121" t="n">
        <f aca="false">MIN((EH129+EH130)*$C$5, $F$14)*'⑫ Roll-out Plan'!$O$18</f>
        <v>35000</v>
      </c>
      <c r="EI958" s="121" t="n">
        <f aca="false">MIN((EI129+EI130)*$C$5, $F$14)*'⑫ Roll-out Plan'!$O$18</f>
        <v>35000</v>
      </c>
      <c r="EJ958" s="121" t="n">
        <f aca="false">MIN((EJ129+EJ130)*$C$5, $F$14)*'⑫ Roll-out Plan'!$O$18</f>
        <v>35000</v>
      </c>
      <c r="EK958" s="121" t="n">
        <f aca="false">MIN((EK129+EK130)*$C$5, $F$14)*'⑫ Roll-out Plan'!$O$18</f>
        <v>35000</v>
      </c>
      <c r="EL958" s="121" t="n">
        <f aca="false">MIN((EL129+EL130)*$C$5, $F$14)*'⑫ Roll-out Plan'!$O$18</f>
        <v>35000</v>
      </c>
      <c r="EM958" s="121" t="n">
        <f aca="false">MIN((EM129+EM130)*$C$5, $F$14)*'⑫ Roll-out Plan'!$O$18</f>
        <v>35000</v>
      </c>
      <c r="EN958" s="121" t="n">
        <f aca="false">MIN((EN129+EN130)*$C$5, $F$14)*'⑫ Roll-out Plan'!$O$18</f>
        <v>35000</v>
      </c>
      <c r="EO958" s="121" t="n">
        <f aca="false">MIN((EO129+EO130)*$C$5, $F$14)*'⑫ Roll-out Plan'!$O$18</f>
        <v>35000</v>
      </c>
      <c r="EP958" s="121" t="n">
        <f aca="false">MIN((EP129+EP130)*$C$5, $F$14)*'⑫ Roll-out Plan'!$O$18</f>
        <v>35000</v>
      </c>
      <c r="EQ958" s="121" t="n">
        <f aca="false">MIN((EQ129+EQ130)*$C$5, $F$14)*'⑫ Roll-out Plan'!$O$18</f>
        <v>35000</v>
      </c>
      <c r="ER958" s="121" t="n">
        <f aca="false">MIN((ER129+ER130)*$C$5, $F$14)*'⑫ Roll-out Plan'!$O$18</f>
        <v>35000</v>
      </c>
      <c r="ES958" s="9" t="n">
        <f aca="false">MIN((ES129+ES130)*$C$5, $F$14)*'⑫ Roll-out Plan'!$O$18</f>
        <v>35000</v>
      </c>
      <c r="ET958" s="9" t="n">
        <f aca="false">MIN((ET129+ET130)*$C$5, $F$14)*'⑫ Roll-out Plan'!$O$18</f>
        <v>35000</v>
      </c>
      <c r="EU958" s="9" t="n">
        <f aca="false">MIN((EU129+EU130)*$C$5, $F$14)*'⑫ Roll-out Plan'!$O$18</f>
        <v>35000</v>
      </c>
      <c r="EV958" s="9" t="n">
        <f aca="false">MIN((EV129+EV130)*$C$5, $F$14)*'⑫ Roll-out Plan'!$O$18</f>
        <v>35000</v>
      </c>
      <c r="EW958" s="9" t="n">
        <f aca="false">MIN((EW129+EW130)*$C$5, $F$14)*'⑫ Roll-out Plan'!$O$18</f>
        <v>35000</v>
      </c>
      <c r="EX958" s="9" t="n">
        <f aca="false">MIN((EX129+EX130)*$C$5, $F$14)*'⑫ Roll-out Plan'!$O$18</f>
        <v>35000</v>
      </c>
      <c r="EY958" s="9" t="n">
        <f aca="false">MIN((EY129+EY130)*$C$5, $F$14)*'⑫ Roll-out Plan'!$O$18</f>
        <v>35000</v>
      </c>
      <c r="EZ958" s="9" t="n">
        <f aca="false">MIN((EZ129+EZ130)*$C$5, $F$14)*'⑫ Roll-out Plan'!$O$18</f>
        <v>35000</v>
      </c>
      <c r="FA958" s="9" t="n">
        <f aca="false">MIN((FA129+FA130)*$C$5, $F$14)*'⑫ Roll-out Plan'!$O$18</f>
        <v>35000</v>
      </c>
      <c r="FB958" s="9" t="n">
        <f aca="false">MIN((FB129+FB130)*$C$5, $F$14)*'⑫ Roll-out Plan'!$O$18</f>
        <v>35000</v>
      </c>
      <c r="FC958" s="9" t="n">
        <f aca="false">MIN((FC129+FC130)*$C$5, $F$14)*'⑫ Roll-out Plan'!$O$18</f>
        <v>35000</v>
      </c>
      <c r="FD958" s="9" t="n">
        <f aca="false">MIN((FD129+FD130)*$C$5, $F$14)*'⑫ Roll-out Plan'!$O$18</f>
        <v>35000</v>
      </c>
      <c r="FE958" s="9" t="n">
        <f aca="false">MIN((FE129+FE130)*$C$5, $F$14)*'⑫ Roll-out Plan'!$O$18</f>
        <v>35000</v>
      </c>
      <c r="FF958" s="9" t="n">
        <f aca="false">MIN((FF129+FF130)*$C$5, $F$14)*'⑫ Roll-out Plan'!$O$18</f>
        <v>35000</v>
      </c>
      <c r="FG958" s="9" t="n">
        <f aca="false">MIN((FG129+FG130)*$C$5, $F$14)*'⑫ Roll-out Plan'!$O$18</f>
        <v>35000</v>
      </c>
      <c r="FH958" s="9" t="n">
        <f aca="false">MIN((FH129+FH130)*$C$5, $F$14)*'⑫ Roll-out Plan'!$O$18</f>
        <v>35000</v>
      </c>
      <c r="FI958" s="9" t="n">
        <f aca="false">MIN((FI129+FI130)*$C$5, $F$14)*'⑫ Roll-out Plan'!$O$18</f>
        <v>35000</v>
      </c>
      <c r="FJ958" s="9" t="n">
        <f aca="false">MIN((FJ129+FJ130)*$C$5, $F$14)*'⑫ Roll-out Plan'!$O$18</f>
        <v>35000</v>
      </c>
      <c r="FK958" s="9" t="n">
        <f aca="false">MIN((FK129+FK130)*$C$5, $F$14)*'⑫ Roll-out Plan'!$O$18</f>
        <v>35000</v>
      </c>
      <c r="FL958" s="9" t="n">
        <f aca="false">MIN((FL129+FL130)*$C$5, $F$14)*'⑫ Roll-out Plan'!$O$18</f>
        <v>35000</v>
      </c>
      <c r="FM958" s="9" t="n">
        <f aca="false">MIN((FM129+FM130)*$C$5, $F$14)*'⑫ Roll-out Plan'!$O$18</f>
        <v>35000</v>
      </c>
      <c r="FN958" s="9" t="n">
        <f aca="false">MIN((FN129+FN130)*$C$5, $F$14)*'⑫ Roll-out Plan'!$O$18</f>
        <v>35000</v>
      </c>
      <c r="FO958" s="9" t="n">
        <f aca="false">MIN((FO129+FO130)*$C$5, $F$14)*'⑫ Roll-out Plan'!$O$18</f>
        <v>35000</v>
      </c>
      <c r="FP958" s="9" t="n">
        <f aca="false">MIN((FP129+FP130)*$C$5, $F$14)*'⑫ Roll-out Plan'!$O$18</f>
        <v>35000</v>
      </c>
    </row>
    <row r="959" customFormat="false" ht="15" hidden="false" customHeight="false" outlineLevel="0" collapsed="false">
      <c r="B959" s="10" t="s">
        <v>984</v>
      </c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121" t="n">
        <f aca="false">MIN((AC139+AC140)*$C$5, $F$15)*'⑫ Roll-out Plan'!$O$19</f>
        <v>0</v>
      </c>
      <c r="AD959" s="121" t="n">
        <f aca="false">MIN((AD139+AD140)*$C$5, $F$15)*'⑫ Roll-out Plan'!$O$19</f>
        <v>0</v>
      </c>
      <c r="AE959" s="121" t="n">
        <f aca="false">MIN((AE139+AE140)*$C$5, $F$15)*'⑫ Roll-out Plan'!$O$19</f>
        <v>0</v>
      </c>
      <c r="AF959" s="121" t="n">
        <f aca="false">MIN((AF139+AF140)*$C$5, $F$15)*'⑫ Roll-out Plan'!$O$19</f>
        <v>0</v>
      </c>
      <c r="AG959" s="121" t="n">
        <f aca="false">MIN((AG139+AG140)*$C$5, $F$15)*'⑫ Roll-out Plan'!$O$19</f>
        <v>0</v>
      </c>
      <c r="AH959" s="121" t="n">
        <f aca="false">MIN((AH139+AH140)*$C$5, $F$15)*'⑫ Roll-out Plan'!$O$19</f>
        <v>0</v>
      </c>
      <c r="AI959" s="121" t="n">
        <f aca="false">MIN((AI139+AI140)*$C$5, $F$15)*'⑫ Roll-out Plan'!$O$19</f>
        <v>0</v>
      </c>
      <c r="AJ959" s="121" t="n">
        <f aca="false">MIN((AJ139+AJ140)*$C$5, $F$15)*'⑫ Roll-out Plan'!$O$19</f>
        <v>0</v>
      </c>
      <c r="AK959" s="121" t="n">
        <f aca="false">MIN((AK139+AK140)*$C$5, $F$15)*'⑫ Roll-out Plan'!$O$19</f>
        <v>0</v>
      </c>
      <c r="AL959" s="121" t="n">
        <f aca="false">MIN((AL139+AL140)*$C$5, $F$15)*'⑫ Roll-out Plan'!$O$19</f>
        <v>0</v>
      </c>
      <c r="AM959" s="121" t="n">
        <f aca="false">MIN((AM139+AM140)*$C$5, $F$15)*'⑫ Roll-out Plan'!$O$19</f>
        <v>0</v>
      </c>
      <c r="AN959" s="121" t="n">
        <f aca="false">MIN((AN139+AN140)*$C$5, $F$15)*'⑫ Roll-out Plan'!$O$19</f>
        <v>0</v>
      </c>
      <c r="AO959" s="121" t="n">
        <f aca="false">MIN((AO139+AO140)*$C$5, $F$15)*'⑫ Roll-out Plan'!$O$19</f>
        <v>0</v>
      </c>
      <c r="AP959" s="121" t="n">
        <f aca="false">MIN((AP139+AP140)*$C$5, $F$15)*'⑫ Roll-out Plan'!$O$19</f>
        <v>0</v>
      </c>
      <c r="AQ959" s="121" t="n">
        <f aca="false">MIN((AQ139+AQ140)*$C$5, $F$15)*'⑫ Roll-out Plan'!$O$19</f>
        <v>0</v>
      </c>
      <c r="AR959" s="121" t="n">
        <f aca="false">MIN((AR139+AR140)*$C$5, $F$15)*'⑫ Roll-out Plan'!$O$19</f>
        <v>0</v>
      </c>
      <c r="AS959" s="121" t="n">
        <f aca="false">MIN((AS139+AS140)*$C$5, $F$15)*'⑫ Roll-out Plan'!$O$19</f>
        <v>0</v>
      </c>
      <c r="AT959" s="121" t="n">
        <f aca="false">MIN((AT139+AT140)*$C$5, $F$15)*'⑫ Roll-out Plan'!$O$19</f>
        <v>0</v>
      </c>
      <c r="AU959" s="121" t="n">
        <f aca="false">MIN((AU139+AU140)*$C$5, $F$15)*'⑫ Roll-out Plan'!$O$19</f>
        <v>0</v>
      </c>
      <c r="AV959" s="121" t="n">
        <f aca="false">MIN((AV139+AV140)*$C$5, $F$15)*'⑫ Roll-out Plan'!$O$19</f>
        <v>0</v>
      </c>
      <c r="AW959" s="121" t="n">
        <f aca="false">MIN((AW139+AW140)*$C$5, $F$15)*'⑫ Roll-out Plan'!$O$19</f>
        <v>0</v>
      </c>
      <c r="AX959" s="121" t="n">
        <f aca="false">MIN((AX139+AX140)*$C$5, $F$15)*'⑫ Roll-out Plan'!$O$19</f>
        <v>0</v>
      </c>
      <c r="AY959" s="121" t="n">
        <f aca="false">MIN((AY139+AY140)*$C$5, $F$15)*'⑫ Roll-out Plan'!$O$19</f>
        <v>0</v>
      </c>
      <c r="AZ959" s="121" t="n">
        <f aca="false">MIN((AZ139+AZ140)*$C$5, $F$15)*'⑫ Roll-out Plan'!$O$19</f>
        <v>0</v>
      </c>
      <c r="BA959" s="121" t="n">
        <f aca="false">MIN((BA139+BA140)*$C$5, $F$15)*'⑫ Roll-out Plan'!$O$19</f>
        <v>5234.76</v>
      </c>
      <c r="BB959" s="121" t="n">
        <f aca="false">MIN((BB139+BB140)*$C$5, $F$15)*'⑫ Roll-out Plan'!$O$19</f>
        <v>5042.04328</v>
      </c>
      <c r="BC959" s="121" t="n">
        <f aca="false">MIN((BC139+BC140)*$C$5, $F$15)*'⑫ Roll-out Plan'!$O$19</f>
        <v>7398.771008</v>
      </c>
      <c r="BD959" s="121" t="n">
        <f aca="false">MIN((BD139+BD140)*$C$5, $F$15)*'⑫ Roll-out Plan'!$O$19</f>
        <v>8255.6197904</v>
      </c>
      <c r="BE959" s="121" t="n">
        <f aca="false">MIN((BE139+BE140)*$C$5, $F$15)*'⑫ Roll-out Plan'!$O$19</f>
        <v>7224.976976</v>
      </c>
      <c r="BF959" s="121" t="n">
        <f aca="false">MIN((BF139+BF140)*$C$5, $F$15)*'⑫ Roll-out Plan'!$O$19</f>
        <v>7164.8664208</v>
      </c>
      <c r="BG959" s="121" t="n">
        <f aca="false">MIN((BG139+BG140)*$C$5, $F$15)*'⑫ Roll-out Plan'!$O$19</f>
        <v>8315.047888</v>
      </c>
      <c r="BH959" s="121" t="n">
        <f aca="false">MIN((BH139+BH140)*$C$5, $F$15)*'⑫ Roll-out Plan'!$O$19</f>
        <v>14835.6278032</v>
      </c>
      <c r="BI959" s="121" t="n">
        <f aca="false">MIN((BI139+BI140)*$C$5, $F$15)*'⑫ Roll-out Plan'!$O$19</f>
        <v>14621.1267264</v>
      </c>
      <c r="BJ959" s="121" t="n">
        <f aca="false">MIN((BJ139+BJ140)*$C$5, $F$15)*'⑫ Roll-out Plan'!$O$19</f>
        <v>12564.4476864</v>
      </c>
      <c r="BK959" s="121" t="n">
        <f aca="false">MIN((BK139+BK140)*$C$5, $F$15)*'⑫ Roll-out Plan'!$O$19</f>
        <v>10663.7257184</v>
      </c>
      <c r="BL959" s="121" t="n">
        <f aca="false">MIN((BL139+BL140)*$C$5, $F$15)*'⑫ Roll-out Plan'!$O$19</f>
        <v>14941.9515952</v>
      </c>
      <c r="BM959" s="121" t="n">
        <f aca="false">MIN((BM139+BM140)*$C$5, $F$15)*'⑫ Roll-out Plan'!$O$19</f>
        <v>17470.0459776</v>
      </c>
      <c r="BN959" s="121" t="n">
        <f aca="false">MIN((BN139+BN140)*$C$5, $F$15)*'⑫ Roll-out Plan'!$O$19</f>
        <v>15179.9043968</v>
      </c>
      <c r="BO959" s="121" t="n">
        <f aca="false">MIN((BO139+BO140)*$C$5, $F$15)*'⑫ Roll-out Plan'!$O$19</f>
        <v>20036.2106368</v>
      </c>
      <c r="BP959" s="121" t="n">
        <f aca="false">MIN((BP139+BP140)*$C$5, $F$15)*'⑫ Roll-out Plan'!$O$19</f>
        <v>24141.782496</v>
      </c>
      <c r="BQ959" s="121" t="n">
        <f aca="false">MIN((BQ139+BQ140)*$C$5, $F$15)*'⑫ Roll-out Plan'!$O$19</f>
        <v>22233.615536</v>
      </c>
      <c r="BR959" s="121" t="n">
        <f aca="false">MIN((BR139+BR140)*$C$5, $F$15)*'⑫ Roll-out Plan'!$O$19</f>
        <v>20682.4902288</v>
      </c>
      <c r="BS959" s="121" t="n">
        <f aca="false">MIN((BS139+BS140)*$C$5, $F$15)*'⑫ Roll-out Plan'!$O$19</f>
        <v>22056.90128344</v>
      </c>
      <c r="BT959" s="121" t="n">
        <f aca="false">MIN((BT139+BT140)*$C$5, $F$15)*'⑫ Roll-out Plan'!$O$19</f>
        <v>27000</v>
      </c>
      <c r="BU959" s="121" t="n">
        <f aca="false">MIN((BU139+BU140)*$C$5, $F$15)*'⑫ Roll-out Plan'!$O$19</f>
        <v>27000</v>
      </c>
      <c r="BV959" s="121" t="n">
        <f aca="false">MIN((BV139+BV140)*$C$5, $F$15)*'⑫ Roll-out Plan'!$O$19</f>
        <v>27000</v>
      </c>
      <c r="BW959" s="121" t="n">
        <f aca="false">MIN((BW139+BW140)*$C$5, $F$15)*'⑫ Roll-out Plan'!$O$19</f>
        <v>23151.46109908</v>
      </c>
      <c r="BX959" s="121" t="n">
        <f aca="false">MIN((BX139+BX140)*$C$5, $F$15)*'⑫ Roll-out Plan'!$O$19</f>
        <v>27000</v>
      </c>
      <c r="BY959" s="121" t="n">
        <f aca="false">MIN((BY139+BY140)*$C$5, $F$15)*'⑫ Roll-out Plan'!$O$19</f>
        <v>27000</v>
      </c>
      <c r="BZ959" s="121" t="n">
        <f aca="false">MIN((BZ139+BZ140)*$C$5, $F$15)*'⑫ Roll-out Plan'!$O$19</f>
        <v>27000</v>
      </c>
      <c r="CA959" s="121" t="n">
        <f aca="false">MIN((CA139+CA140)*$C$5, $F$15)*'⑫ Roll-out Plan'!$O$19</f>
        <v>27000</v>
      </c>
      <c r="CB959" s="121" t="n">
        <f aca="false">MIN((CB139+CB140)*$C$5, $F$15)*'⑫ Roll-out Plan'!$O$19</f>
        <v>27000</v>
      </c>
      <c r="CC959" s="121" t="n">
        <f aca="false">MIN((CC139+CC140)*$C$5, $F$15)*'⑫ Roll-out Plan'!$O$19</f>
        <v>27000</v>
      </c>
      <c r="CD959" s="121" t="n">
        <f aca="false">MIN((CD139+CD140)*$C$5, $F$15)*'⑫ Roll-out Plan'!$O$19</f>
        <v>27000</v>
      </c>
      <c r="CE959" s="121" t="n">
        <f aca="false">MIN((CE139+CE140)*$C$5, $F$15)*'⑫ Roll-out Plan'!$O$19</f>
        <v>27000</v>
      </c>
      <c r="CF959" s="121" t="n">
        <f aca="false">MIN((CF139+CF140)*$C$5, $F$15)*'⑫ Roll-out Plan'!$O$19</f>
        <v>27000</v>
      </c>
      <c r="CG959" s="121" t="n">
        <f aca="false">MIN((CG139+CG140)*$C$5, $F$15)*'⑫ Roll-out Plan'!$O$19</f>
        <v>27000</v>
      </c>
      <c r="CH959" s="121" t="n">
        <f aca="false">MIN((CH139+CH140)*$C$5, $F$15)*'⑫ Roll-out Plan'!$O$19</f>
        <v>27000</v>
      </c>
      <c r="CI959" s="121" t="n">
        <f aca="false">MIN((CI139+CI140)*$C$5, $F$15)*'⑫ Roll-out Plan'!$O$19</f>
        <v>27000</v>
      </c>
      <c r="CJ959" s="121" t="n">
        <f aca="false">MIN((CJ139+CJ140)*$C$5, $F$15)*'⑫ Roll-out Plan'!$O$19</f>
        <v>27000</v>
      </c>
      <c r="CK959" s="121" t="n">
        <f aca="false">MIN((CK139+CK140)*$C$5, $F$15)*'⑫ Roll-out Plan'!$O$19</f>
        <v>27000</v>
      </c>
      <c r="CL959" s="121" t="n">
        <f aca="false">MIN((CL139+CL140)*$C$5, $F$15)*'⑫ Roll-out Plan'!$O$19</f>
        <v>27000</v>
      </c>
      <c r="CM959" s="121" t="n">
        <f aca="false">MIN((CM139+CM140)*$C$5, $F$15)*'⑫ Roll-out Plan'!$O$19</f>
        <v>27000</v>
      </c>
      <c r="CN959" s="121" t="n">
        <f aca="false">MIN((CN139+CN140)*$C$5, $F$15)*'⑫ Roll-out Plan'!$O$19</f>
        <v>27000</v>
      </c>
      <c r="CO959" s="121" t="n">
        <f aca="false">MIN((CO139+CO140)*$C$5, $F$15)*'⑫ Roll-out Plan'!$O$19</f>
        <v>27000</v>
      </c>
      <c r="CP959" s="121" t="n">
        <f aca="false">MIN((CP139+CP140)*$C$5, $F$15)*'⑫ Roll-out Plan'!$O$19</f>
        <v>27000</v>
      </c>
      <c r="CQ959" s="121" t="n">
        <f aca="false">MIN((CQ139+CQ140)*$C$5, $F$15)*'⑫ Roll-out Plan'!$O$19</f>
        <v>27000</v>
      </c>
      <c r="CR959" s="121" t="n">
        <f aca="false">MIN((CR139+CR140)*$C$5, $F$15)*'⑫ Roll-out Plan'!$O$19</f>
        <v>27000</v>
      </c>
      <c r="CS959" s="121" t="n">
        <f aca="false">MIN((CS139+CS140)*$C$5, $F$15)*'⑫ Roll-out Plan'!$O$19</f>
        <v>27000</v>
      </c>
      <c r="CT959" s="121" t="n">
        <f aca="false">MIN((CT139+CT140)*$C$5, $F$15)*'⑫ Roll-out Plan'!$O$19</f>
        <v>27000</v>
      </c>
      <c r="CU959" s="121" t="n">
        <f aca="false">MIN((CU139+CU140)*$C$5, $F$15)*'⑫ Roll-out Plan'!$O$19</f>
        <v>27000</v>
      </c>
      <c r="CV959" s="121" t="n">
        <f aca="false">MIN((CV139+CV140)*$C$5, $F$15)*'⑫ Roll-out Plan'!$O$19</f>
        <v>27000</v>
      </c>
      <c r="CW959" s="121" t="n">
        <f aca="false">MIN((CW139+CW140)*$C$5, $F$15)*'⑫ Roll-out Plan'!$O$19</f>
        <v>27000</v>
      </c>
      <c r="CX959" s="121" t="n">
        <f aca="false">MIN((CX139+CX140)*$C$5, $F$15)*'⑫ Roll-out Plan'!$O$19</f>
        <v>27000</v>
      </c>
      <c r="CY959" s="121" t="n">
        <f aca="false">MIN((CY139+CY140)*$C$5, $F$15)*'⑫ Roll-out Plan'!$O$19</f>
        <v>27000</v>
      </c>
      <c r="CZ959" s="121" t="n">
        <f aca="false">MIN((CZ139+CZ140)*$C$5, $F$15)*'⑫ Roll-out Plan'!$O$19</f>
        <v>27000</v>
      </c>
      <c r="DA959" s="121" t="n">
        <f aca="false">MIN((DA139+DA140)*$C$5, $F$15)*'⑫ Roll-out Plan'!$O$19</f>
        <v>27000</v>
      </c>
      <c r="DB959" s="121" t="n">
        <f aca="false">MIN((DB139+DB140)*$C$5, $F$15)*'⑫ Roll-out Plan'!$O$19</f>
        <v>27000</v>
      </c>
      <c r="DC959" s="121" t="n">
        <f aca="false">MIN((DC139+DC140)*$C$5, $F$15)*'⑫ Roll-out Plan'!$O$19</f>
        <v>27000</v>
      </c>
      <c r="DD959" s="121" t="n">
        <f aca="false">MIN((DD139+DD140)*$C$5, $F$15)*'⑫ Roll-out Plan'!$O$19</f>
        <v>27000</v>
      </c>
      <c r="DE959" s="121" t="n">
        <f aca="false">MIN((DE139+DE140)*$C$5, $F$15)*'⑫ Roll-out Plan'!$O$19</f>
        <v>27000</v>
      </c>
      <c r="DF959" s="121" t="n">
        <f aca="false">MIN((DF139+DF140)*$C$5, $F$15)*'⑫ Roll-out Plan'!$O$19</f>
        <v>27000</v>
      </c>
      <c r="DG959" s="121" t="n">
        <f aca="false">MIN((DG139+DG140)*$C$5, $F$15)*'⑫ Roll-out Plan'!$O$19</f>
        <v>27000</v>
      </c>
      <c r="DH959" s="121" t="n">
        <f aca="false">MIN((DH139+DH140)*$C$5, $F$15)*'⑫ Roll-out Plan'!$O$19</f>
        <v>27000</v>
      </c>
      <c r="DI959" s="121" t="n">
        <f aca="false">MIN((DI139+DI140)*$C$5, $F$15)*'⑫ Roll-out Plan'!$O$19</f>
        <v>27000</v>
      </c>
      <c r="DJ959" s="121" t="n">
        <f aca="false">MIN((DJ139+DJ140)*$C$5, $F$15)*'⑫ Roll-out Plan'!$O$19</f>
        <v>27000</v>
      </c>
      <c r="DK959" s="121" t="n">
        <f aca="false">MIN((DK139+DK140)*$C$5, $F$15)*'⑫ Roll-out Plan'!$O$19</f>
        <v>27000</v>
      </c>
      <c r="DL959" s="121" t="n">
        <f aca="false">MIN((DL139+DL140)*$C$5, $F$15)*'⑫ Roll-out Plan'!$O$19</f>
        <v>27000</v>
      </c>
      <c r="DM959" s="121" t="n">
        <f aca="false">MIN((DM139+DM140)*$C$5, $F$15)*'⑫ Roll-out Plan'!$O$19</f>
        <v>27000</v>
      </c>
      <c r="DN959" s="121" t="n">
        <f aca="false">MIN((DN139+DN140)*$C$5, $F$15)*'⑫ Roll-out Plan'!$O$19</f>
        <v>27000</v>
      </c>
      <c r="DO959" s="121" t="n">
        <f aca="false">MIN((DO139+DO140)*$C$5, $F$15)*'⑫ Roll-out Plan'!$O$19</f>
        <v>27000</v>
      </c>
      <c r="DP959" s="121" t="n">
        <f aca="false">MIN((DP139+DP140)*$C$5, $F$15)*'⑫ Roll-out Plan'!$O$19</f>
        <v>27000</v>
      </c>
      <c r="DQ959" s="121" t="n">
        <f aca="false">MIN((DQ139+DQ140)*$C$5, $F$15)*'⑫ Roll-out Plan'!$O$19</f>
        <v>27000</v>
      </c>
      <c r="DR959" s="121" t="n">
        <f aca="false">MIN((DR139+DR140)*$C$5, $F$15)*'⑫ Roll-out Plan'!$O$19</f>
        <v>27000</v>
      </c>
      <c r="DS959" s="121" t="n">
        <f aca="false">MIN((DS139+DS140)*$C$5, $F$15)*'⑫ Roll-out Plan'!$O$19</f>
        <v>27000</v>
      </c>
      <c r="DT959" s="121" t="n">
        <f aca="false">MIN((DT139+DT140)*$C$5, $F$15)*'⑫ Roll-out Plan'!$O$19</f>
        <v>27000</v>
      </c>
      <c r="DU959" s="121" t="n">
        <f aca="false">MIN((DU139+DU140)*$C$5, $F$15)*'⑫ Roll-out Plan'!$O$19</f>
        <v>27000</v>
      </c>
      <c r="DV959" s="121" t="n">
        <f aca="false">MIN((DV139+DV140)*$C$5, $F$15)*'⑫ Roll-out Plan'!$O$19</f>
        <v>27000</v>
      </c>
      <c r="DW959" s="121" t="n">
        <f aca="false">MIN((DW139+DW140)*$C$5, $F$15)*'⑫ Roll-out Plan'!$O$19</f>
        <v>27000</v>
      </c>
      <c r="DX959" s="121" t="n">
        <f aca="false">MIN((DX139+DX140)*$C$5, $F$15)*'⑫ Roll-out Plan'!$O$19</f>
        <v>27000</v>
      </c>
      <c r="DY959" s="121" t="n">
        <f aca="false">MIN((DY139+DY140)*$C$5, $F$15)*'⑫ Roll-out Plan'!$O$19</f>
        <v>27000</v>
      </c>
      <c r="DZ959" s="121" t="n">
        <f aca="false">MIN((DZ139+DZ140)*$C$5, $F$15)*'⑫ Roll-out Plan'!$O$19</f>
        <v>27000</v>
      </c>
      <c r="EA959" s="121" t="n">
        <f aca="false">MIN((EA139+EA140)*$C$5, $F$15)*'⑫ Roll-out Plan'!$O$19</f>
        <v>27000</v>
      </c>
      <c r="EB959" s="121" t="n">
        <f aca="false">MIN((EB139+EB140)*$C$5, $F$15)*'⑫ Roll-out Plan'!$O$19</f>
        <v>27000</v>
      </c>
      <c r="EC959" s="121" t="n">
        <f aca="false">MIN((EC139+EC140)*$C$5, $F$15)*'⑫ Roll-out Plan'!$O$19</f>
        <v>27000</v>
      </c>
      <c r="ED959" s="121" t="n">
        <f aca="false">MIN((ED139+ED140)*$C$5, $F$15)*'⑫ Roll-out Plan'!$O$19</f>
        <v>27000</v>
      </c>
      <c r="EE959" s="121" t="n">
        <f aca="false">MIN((EE139+EE140)*$C$5, $F$15)*'⑫ Roll-out Plan'!$O$19</f>
        <v>27000</v>
      </c>
      <c r="EF959" s="121" t="n">
        <f aca="false">MIN((EF139+EF140)*$C$5, $F$15)*'⑫ Roll-out Plan'!$O$19</f>
        <v>27000</v>
      </c>
      <c r="EG959" s="121" t="n">
        <f aca="false">MIN((EG139+EG140)*$C$5, $F$15)*'⑫ Roll-out Plan'!$O$19</f>
        <v>27000</v>
      </c>
      <c r="EH959" s="121" t="n">
        <f aca="false">MIN((EH139+EH140)*$C$5, $F$15)*'⑫ Roll-out Plan'!$O$19</f>
        <v>27000</v>
      </c>
      <c r="EI959" s="121" t="n">
        <f aca="false">MIN((EI139+EI140)*$C$5, $F$15)*'⑫ Roll-out Plan'!$O$19</f>
        <v>27000</v>
      </c>
      <c r="EJ959" s="121" t="n">
        <f aca="false">MIN((EJ139+EJ140)*$C$5, $F$15)*'⑫ Roll-out Plan'!$O$19</f>
        <v>27000</v>
      </c>
      <c r="EK959" s="121" t="n">
        <f aca="false">MIN((EK139+EK140)*$C$5, $F$15)*'⑫ Roll-out Plan'!$O$19</f>
        <v>27000</v>
      </c>
      <c r="EL959" s="121" t="n">
        <f aca="false">MIN((EL139+EL140)*$C$5, $F$15)*'⑫ Roll-out Plan'!$O$19</f>
        <v>27000</v>
      </c>
      <c r="EM959" s="121" t="n">
        <f aca="false">MIN((EM139+EM140)*$C$5, $F$15)*'⑫ Roll-out Plan'!$O$19</f>
        <v>27000</v>
      </c>
      <c r="EN959" s="121" t="n">
        <f aca="false">MIN((EN139+EN140)*$C$5, $F$15)*'⑫ Roll-out Plan'!$O$19</f>
        <v>27000</v>
      </c>
      <c r="EO959" s="121" t="n">
        <f aca="false">MIN((EO139+EO140)*$C$5, $F$15)*'⑫ Roll-out Plan'!$O$19</f>
        <v>27000</v>
      </c>
      <c r="EP959" s="121" t="n">
        <f aca="false">MIN((EP139+EP140)*$C$5, $F$15)*'⑫ Roll-out Plan'!$O$19</f>
        <v>27000</v>
      </c>
      <c r="EQ959" s="121" t="n">
        <f aca="false">MIN((EQ139+EQ140)*$C$5, $F$15)*'⑫ Roll-out Plan'!$O$19</f>
        <v>27000</v>
      </c>
      <c r="ER959" s="121" t="n">
        <f aca="false">MIN((ER139+ER140)*$C$5, $F$15)*'⑫ Roll-out Plan'!$O$19</f>
        <v>27000</v>
      </c>
      <c r="ES959" s="9" t="n">
        <f aca="false">MIN((ES139+ES140)*$C$5, $F$15)*'⑫ Roll-out Plan'!$O$19</f>
        <v>27000</v>
      </c>
      <c r="ET959" s="9" t="n">
        <f aca="false">MIN((ET139+ET140)*$C$5, $F$15)*'⑫ Roll-out Plan'!$O$19</f>
        <v>27000</v>
      </c>
      <c r="EU959" s="9" t="n">
        <f aca="false">MIN((EU139+EU140)*$C$5, $F$15)*'⑫ Roll-out Plan'!$O$19</f>
        <v>27000</v>
      </c>
      <c r="EV959" s="9" t="n">
        <f aca="false">MIN((EV139+EV140)*$C$5, $F$15)*'⑫ Roll-out Plan'!$O$19</f>
        <v>27000</v>
      </c>
      <c r="EW959" s="9" t="n">
        <f aca="false">MIN((EW139+EW140)*$C$5, $F$15)*'⑫ Roll-out Plan'!$O$19</f>
        <v>27000</v>
      </c>
      <c r="EX959" s="9" t="n">
        <f aca="false">MIN((EX139+EX140)*$C$5, $F$15)*'⑫ Roll-out Plan'!$O$19</f>
        <v>27000</v>
      </c>
      <c r="EY959" s="9" t="n">
        <f aca="false">MIN((EY139+EY140)*$C$5, $F$15)*'⑫ Roll-out Plan'!$O$19</f>
        <v>27000</v>
      </c>
      <c r="EZ959" s="9" t="n">
        <f aca="false">MIN((EZ139+EZ140)*$C$5, $F$15)*'⑫ Roll-out Plan'!$O$19</f>
        <v>27000</v>
      </c>
      <c r="FA959" s="9" t="n">
        <f aca="false">MIN((FA139+FA140)*$C$5, $F$15)*'⑫ Roll-out Plan'!$O$19</f>
        <v>27000</v>
      </c>
      <c r="FB959" s="9" t="n">
        <f aca="false">MIN((FB139+FB140)*$C$5, $F$15)*'⑫ Roll-out Plan'!$O$19</f>
        <v>27000</v>
      </c>
      <c r="FC959" s="9" t="n">
        <f aca="false">MIN((FC139+FC140)*$C$5, $F$15)*'⑫ Roll-out Plan'!$O$19</f>
        <v>27000</v>
      </c>
      <c r="FD959" s="9" t="n">
        <f aca="false">MIN((FD139+FD140)*$C$5, $F$15)*'⑫ Roll-out Plan'!$O$19</f>
        <v>27000</v>
      </c>
      <c r="FE959" s="9" t="n">
        <f aca="false">MIN((FE139+FE140)*$C$5, $F$15)*'⑫ Roll-out Plan'!$O$19</f>
        <v>27000</v>
      </c>
      <c r="FF959" s="9" t="n">
        <f aca="false">MIN((FF139+FF140)*$C$5, $F$15)*'⑫ Roll-out Plan'!$O$19</f>
        <v>27000</v>
      </c>
      <c r="FG959" s="9" t="n">
        <f aca="false">MIN((FG139+FG140)*$C$5, $F$15)*'⑫ Roll-out Plan'!$O$19</f>
        <v>27000</v>
      </c>
      <c r="FH959" s="9" t="n">
        <f aca="false">MIN((FH139+FH140)*$C$5, $F$15)*'⑫ Roll-out Plan'!$O$19</f>
        <v>27000</v>
      </c>
      <c r="FI959" s="9" t="n">
        <f aca="false">MIN((FI139+FI140)*$C$5, $F$15)*'⑫ Roll-out Plan'!$O$19</f>
        <v>27000</v>
      </c>
      <c r="FJ959" s="9" t="n">
        <f aca="false">MIN((FJ139+FJ140)*$C$5, $F$15)*'⑫ Roll-out Plan'!$O$19</f>
        <v>27000</v>
      </c>
      <c r="FK959" s="9" t="n">
        <f aca="false">MIN((FK139+FK140)*$C$5, $F$15)*'⑫ Roll-out Plan'!$O$19</f>
        <v>27000</v>
      </c>
      <c r="FL959" s="9" t="n">
        <f aca="false">MIN((FL139+FL140)*$C$5, $F$15)*'⑫ Roll-out Plan'!$O$19</f>
        <v>27000</v>
      </c>
      <c r="FM959" s="9" t="n">
        <f aca="false">MIN((FM139+FM140)*$C$5, $F$15)*'⑫ Roll-out Plan'!$O$19</f>
        <v>27000</v>
      </c>
      <c r="FN959" s="9" t="n">
        <f aca="false">MIN((FN139+FN140)*$C$5, $F$15)*'⑫ Roll-out Plan'!$O$19</f>
        <v>27000</v>
      </c>
      <c r="FO959" s="9" t="n">
        <f aca="false">MIN((FO139+FO140)*$C$5, $F$15)*'⑫ Roll-out Plan'!$O$19</f>
        <v>27000</v>
      </c>
      <c r="FP959" s="9" t="n">
        <f aca="false">MIN((FP139+FP140)*$C$5, $F$15)*'⑫ Roll-out Plan'!$O$19</f>
        <v>27000</v>
      </c>
    </row>
    <row r="960" customFormat="false" ht="15" hidden="false" customHeight="false" outlineLevel="0" collapsed="false">
      <c r="B960" s="10" t="s">
        <v>985</v>
      </c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121" t="n">
        <f aca="false">MIN((AC149+AC150)*$C$5, $F$15)*'⑫ Roll-out Plan'!$O$20</f>
        <v>0</v>
      </c>
      <c r="AD960" s="121" t="n">
        <f aca="false">MIN((AD149+AD150)*$C$5, $F$15)*'⑫ Roll-out Plan'!$O$20</f>
        <v>0</v>
      </c>
      <c r="AE960" s="121" t="n">
        <f aca="false">MIN((AE149+AE150)*$C$5, $F$15)*'⑫ Roll-out Plan'!$O$20</f>
        <v>0</v>
      </c>
      <c r="AF960" s="121" t="n">
        <f aca="false">MIN((AF149+AF150)*$C$5, $F$15)*'⑫ Roll-out Plan'!$O$20</f>
        <v>0</v>
      </c>
      <c r="AG960" s="121" t="n">
        <f aca="false">MIN((AG149+AG150)*$C$5, $F$15)*'⑫ Roll-out Plan'!$O$20</f>
        <v>0</v>
      </c>
      <c r="AH960" s="121" t="n">
        <f aca="false">MIN((AH149+AH150)*$C$5, $F$15)*'⑫ Roll-out Plan'!$O$20</f>
        <v>0</v>
      </c>
      <c r="AI960" s="121" t="n">
        <f aca="false">MIN((AI149+AI150)*$C$5, $F$15)*'⑫ Roll-out Plan'!$O$20</f>
        <v>0</v>
      </c>
      <c r="AJ960" s="121" t="n">
        <f aca="false">MIN((AJ149+AJ150)*$C$5, $F$15)*'⑫ Roll-out Plan'!$O$20</f>
        <v>0</v>
      </c>
      <c r="AK960" s="121" t="n">
        <f aca="false">MIN((AK149+AK150)*$C$5, $F$15)*'⑫ Roll-out Plan'!$O$20</f>
        <v>0</v>
      </c>
      <c r="AL960" s="121" t="n">
        <f aca="false">MIN((AL149+AL150)*$C$5, $F$15)*'⑫ Roll-out Plan'!$O$20</f>
        <v>0</v>
      </c>
      <c r="AM960" s="121" t="n">
        <f aca="false">MIN((AM149+AM150)*$C$5, $F$15)*'⑫ Roll-out Plan'!$O$20</f>
        <v>0</v>
      </c>
      <c r="AN960" s="121" t="n">
        <f aca="false">MIN((AN149+AN150)*$C$5, $F$15)*'⑫ Roll-out Plan'!$O$20</f>
        <v>0</v>
      </c>
      <c r="AO960" s="121" t="n">
        <f aca="false">MIN((AO149+AO150)*$C$5, $F$15)*'⑫ Roll-out Plan'!$O$20</f>
        <v>0</v>
      </c>
      <c r="AP960" s="121" t="n">
        <f aca="false">MIN((AP149+AP150)*$C$5, $F$15)*'⑫ Roll-out Plan'!$O$20</f>
        <v>0</v>
      </c>
      <c r="AQ960" s="121" t="n">
        <f aca="false">MIN((AQ149+AQ150)*$C$5, $F$15)*'⑫ Roll-out Plan'!$O$20</f>
        <v>0</v>
      </c>
      <c r="AR960" s="121" t="n">
        <f aca="false">MIN((AR149+AR150)*$C$5, $F$15)*'⑫ Roll-out Plan'!$O$20</f>
        <v>0</v>
      </c>
      <c r="AS960" s="121" t="n">
        <f aca="false">MIN((AS149+AS150)*$C$5, $F$15)*'⑫ Roll-out Plan'!$O$20</f>
        <v>0</v>
      </c>
      <c r="AT960" s="121" t="n">
        <f aca="false">MIN((AT149+AT150)*$C$5, $F$15)*'⑫ Roll-out Plan'!$O$20</f>
        <v>0</v>
      </c>
      <c r="AU960" s="121" t="n">
        <f aca="false">MIN((AU149+AU150)*$C$5, $F$15)*'⑫ Roll-out Plan'!$O$20</f>
        <v>0</v>
      </c>
      <c r="AV960" s="121" t="n">
        <f aca="false">MIN((AV149+AV150)*$C$5, $F$15)*'⑫ Roll-out Plan'!$O$20</f>
        <v>0</v>
      </c>
      <c r="AW960" s="121" t="n">
        <f aca="false">MIN((AW149+AW150)*$C$5, $F$15)*'⑫ Roll-out Plan'!$O$20</f>
        <v>0</v>
      </c>
      <c r="AX960" s="121" t="n">
        <f aca="false">MIN((AX149+AX150)*$C$5, $F$15)*'⑫ Roll-out Plan'!$O$20</f>
        <v>0</v>
      </c>
      <c r="AY960" s="121" t="n">
        <f aca="false">MIN((AY149+AY150)*$C$5, $F$15)*'⑫ Roll-out Plan'!$O$20</f>
        <v>0</v>
      </c>
      <c r="AZ960" s="121" t="n">
        <f aca="false">MIN((AZ149+AZ150)*$C$5, $F$15)*'⑫ Roll-out Plan'!$O$20</f>
        <v>0</v>
      </c>
      <c r="BA960" s="121" t="n">
        <f aca="false">MIN((BA149+BA150)*$C$5, $F$15)*'⑫ Roll-out Plan'!$O$20</f>
        <v>0</v>
      </c>
      <c r="BB960" s="121" t="n">
        <f aca="false">MIN((BB149+BB150)*$C$5, $F$15)*'⑫ Roll-out Plan'!$O$20</f>
        <v>0</v>
      </c>
      <c r="BC960" s="121" t="n">
        <f aca="false">MIN((BC149+BC150)*$C$5, $F$15)*'⑫ Roll-out Plan'!$O$20</f>
        <v>5622.52</v>
      </c>
      <c r="BD960" s="121" t="n">
        <f aca="false">MIN((BD149+BD150)*$C$5, $F$15)*'⑫ Roll-out Plan'!$O$20</f>
        <v>6584.55256</v>
      </c>
      <c r="BE960" s="121" t="n">
        <f aca="false">MIN((BE149+BE150)*$C$5, $F$15)*'⑫ Roll-out Plan'!$O$20</f>
        <v>6200.747712</v>
      </c>
      <c r="BF960" s="121" t="n">
        <f aca="false">MIN((BF149+BF150)*$C$5, $F$15)*'⑫ Roll-out Plan'!$O$20</f>
        <v>6148.865424</v>
      </c>
      <c r="BG960" s="121" t="n">
        <f aca="false">MIN((BG149+BG150)*$C$5, $F$15)*'⑫ Roll-out Plan'!$O$20</f>
        <v>6464.0677728</v>
      </c>
      <c r="BH960" s="121" t="n">
        <f aca="false">MIN((BH149+BH150)*$C$5, $F$15)*'⑫ Roll-out Plan'!$O$20</f>
        <v>11712.8414192</v>
      </c>
      <c r="BI960" s="121" t="n">
        <f aca="false">MIN((BI149+BI150)*$C$5, $F$15)*'⑫ Roll-out Plan'!$O$20</f>
        <v>11570.7273792</v>
      </c>
      <c r="BJ960" s="121" t="n">
        <f aca="false">MIN((BJ149+BJ150)*$C$5, $F$15)*'⑫ Roll-out Plan'!$O$20</f>
        <v>10880.3982512</v>
      </c>
      <c r="BK960" s="121" t="n">
        <f aca="false">MIN((BK149+BK150)*$C$5, $F$15)*'⑫ Roll-out Plan'!$O$20</f>
        <v>9518.3292096</v>
      </c>
      <c r="BL960" s="121" t="n">
        <f aca="false">MIN((BL149+BL150)*$C$5, $F$15)*'⑫ Roll-out Plan'!$O$20</f>
        <v>12621.6965728</v>
      </c>
      <c r="BM960" s="121" t="n">
        <f aca="false">MIN((BM149+BM150)*$C$5, $F$15)*'⑫ Roll-out Plan'!$O$20</f>
        <v>14813.4556864</v>
      </c>
      <c r="BN960" s="121" t="n">
        <f aca="false">MIN((BN149+BN150)*$C$5, $F$15)*'⑫ Roll-out Plan'!$O$20</f>
        <v>12852.7937776</v>
      </c>
      <c r="BO960" s="121" t="n">
        <f aca="false">MIN((BO149+BO150)*$C$5, $F$15)*'⑫ Roll-out Plan'!$O$20</f>
        <v>18276.3541216</v>
      </c>
      <c r="BP960" s="121" t="n">
        <f aca="false">MIN((BP149+BP150)*$C$5, $F$15)*'⑫ Roll-out Plan'!$O$20</f>
        <v>19458.0837424</v>
      </c>
      <c r="BQ960" s="121" t="n">
        <f aca="false">MIN((BQ149+BQ150)*$C$5, $F$15)*'⑫ Roll-out Plan'!$O$20</f>
        <v>17059.0048672</v>
      </c>
      <c r="BR960" s="121" t="n">
        <f aca="false">MIN((BR149+BR150)*$C$5, $F$15)*'⑫ Roll-out Plan'!$O$20</f>
        <v>18234.530328</v>
      </c>
      <c r="BS960" s="121" t="n">
        <f aca="false">MIN((BS149+BS150)*$C$5, $F$15)*'⑫ Roll-out Plan'!$O$20</f>
        <v>19963.6219648</v>
      </c>
      <c r="BT960" s="121" t="n">
        <f aca="false">MIN((BT149+BT150)*$C$5, $F$15)*'⑫ Roll-out Plan'!$O$20</f>
        <v>27000</v>
      </c>
      <c r="BU960" s="121" t="n">
        <f aca="false">MIN((BU149+BU150)*$C$5, $F$15)*'⑫ Roll-out Plan'!$O$20</f>
        <v>27000</v>
      </c>
      <c r="BV960" s="121" t="n">
        <f aca="false">MIN((BV149+BV150)*$C$5, $F$15)*'⑫ Roll-out Plan'!$O$20</f>
        <v>26092.83687528</v>
      </c>
      <c r="BW960" s="121" t="n">
        <f aca="false">MIN((BW149+BW150)*$C$5, $F$15)*'⑫ Roll-out Plan'!$O$20</f>
        <v>21431.330402</v>
      </c>
      <c r="BX960" s="121" t="n">
        <f aca="false">MIN((BX149+BX150)*$C$5, $F$15)*'⑫ Roll-out Plan'!$O$20</f>
        <v>27000</v>
      </c>
      <c r="BY960" s="121" t="n">
        <f aca="false">MIN((BY149+BY150)*$C$5, $F$15)*'⑫ Roll-out Plan'!$O$20</f>
        <v>27000</v>
      </c>
      <c r="BZ960" s="121" t="n">
        <f aca="false">MIN((BZ149+BZ150)*$C$5, $F$15)*'⑫ Roll-out Plan'!$O$20</f>
        <v>26495.16637564</v>
      </c>
      <c r="CA960" s="121" t="n">
        <f aca="false">MIN((CA149+CA150)*$C$5, $F$15)*'⑫ Roll-out Plan'!$O$20</f>
        <v>27000</v>
      </c>
      <c r="CB960" s="121" t="n">
        <f aca="false">MIN((CB149+CB150)*$C$5, $F$15)*'⑫ Roll-out Plan'!$O$20</f>
        <v>27000</v>
      </c>
      <c r="CC960" s="121" t="n">
        <f aca="false">MIN((CC149+CC150)*$C$5, $F$15)*'⑫ Roll-out Plan'!$O$20</f>
        <v>27000</v>
      </c>
      <c r="CD960" s="121" t="n">
        <f aca="false">MIN((CD149+CD150)*$C$5, $F$15)*'⑫ Roll-out Plan'!$O$20</f>
        <v>27000</v>
      </c>
      <c r="CE960" s="121" t="n">
        <f aca="false">MIN((CE149+CE150)*$C$5, $F$15)*'⑫ Roll-out Plan'!$O$20</f>
        <v>27000</v>
      </c>
      <c r="CF960" s="121" t="n">
        <f aca="false">MIN((CF149+CF150)*$C$5, $F$15)*'⑫ Roll-out Plan'!$O$20</f>
        <v>27000</v>
      </c>
      <c r="CG960" s="121" t="n">
        <f aca="false">MIN((CG149+CG150)*$C$5, $F$15)*'⑫ Roll-out Plan'!$O$20</f>
        <v>27000</v>
      </c>
      <c r="CH960" s="121" t="n">
        <f aca="false">MIN((CH149+CH150)*$C$5, $F$15)*'⑫ Roll-out Plan'!$O$20</f>
        <v>27000</v>
      </c>
      <c r="CI960" s="121" t="n">
        <f aca="false">MIN((CI149+CI150)*$C$5, $F$15)*'⑫ Roll-out Plan'!$O$20</f>
        <v>27000</v>
      </c>
      <c r="CJ960" s="121" t="n">
        <f aca="false">MIN((CJ149+CJ150)*$C$5, $F$15)*'⑫ Roll-out Plan'!$O$20</f>
        <v>27000</v>
      </c>
      <c r="CK960" s="121" t="n">
        <f aca="false">MIN((CK149+CK150)*$C$5, $F$15)*'⑫ Roll-out Plan'!$O$20</f>
        <v>27000</v>
      </c>
      <c r="CL960" s="121" t="n">
        <f aca="false">MIN((CL149+CL150)*$C$5, $F$15)*'⑫ Roll-out Plan'!$O$20</f>
        <v>27000</v>
      </c>
      <c r="CM960" s="121" t="n">
        <f aca="false">MIN((CM149+CM150)*$C$5, $F$15)*'⑫ Roll-out Plan'!$O$20</f>
        <v>27000</v>
      </c>
      <c r="CN960" s="121" t="n">
        <f aca="false">MIN((CN149+CN150)*$C$5, $F$15)*'⑫ Roll-out Plan'!$O$20</f>
        <v>27000</v>
      </c>
      <c r="CO960" s="121" t="n">
        <f aca="false">MIN((CO149+CO150)*$C$5, $F$15)*'⑫ Roll-out Plan'!$O$20</f>
        <v>27000</v>
      </c>
      <c r="CP960" s="121" t="n">
        <f aca="false">MIN((CP149+CP150)*$C$5, $F$15)*'⑫ Roll-out Plan'!$O$20</f>
        <v>27000</v>
      </c>
      <c r="CQ960" s="121" t="n">
        <f aca="false">MIN((CQ149+CQ150)*$C$5, $F$15)*'⑫ Roll-out Plan'!$O$20</f>
        <v>27000</v>
      </c>
      <c r="CR960" s="121" t="n">
        <f aca="false">MIN((CR149+CR150)*$C$5, $F$15)*'⑫ Roll-out Plan'!$O$20</f>
        <v>27000</v>
      </c>
      <c r="CS960" s="121" t="n">
        <f aca="false">MIN((CS149+CS150)*$C$5, $F$15)*'⑫ Roll-out Plan'!$O$20</f>
        <v>27000</v>
      </c>
      <c r="CT960" s="121" t="n">
        <f aca="false">MIN((CT149+CT150)*$C$5, $F$15)*'⑫ Roll-out Plan'!$O$20</f>
        <v>27000</v>
      </c>
      <c r="CU960" s="121" t="n">
        <f aca="false">MIN((CU149+CU150)*$C$5, $F$15)*'⑫ Roll-out Plan'!$O$20</f>
        <v>27000</v>
      </c>
      <c r="CV960" s="121" t="n">
        <f aca="false">MIN((CV149+CV150)*$C$5, $F$15)*'⑫ Roll-out Plan'!$O$20</f>
        <v>27000</v>
      </c>
      <c r="CW960" s="121" t="n">
        <f aca="false">MIN((CW149+CW150)*$C$5, $F$15)*'⑫ Roll-out Plan'!$O$20</f>
        <v>27000</v>
      </c>
      <c r="CX960" s="121" t="n">
        <f aca="false">MIN((CX149+CX150)*$C$5, $F$15)*'⑫ Roll-out Plan'!$O$20</f>
        <v>27000</v>
      </c>
      <c r="CY960" s="121" t="n">
        <f aca="false">MIN((CY149+CY150)*$C$5, $F$15)*'⑫ Roll-out Plan'!$O$20</f>
        <v>27000</v>
      </c>
      <c r="CZ960" s="121" t="n">
        <f aca="false">MIN((CZ149+CZ150)*$C$5, $F$15)*'⑫ Roll-out Plan'!$O$20</f>
        <v>27000</v>
      </c>
      <c r="DA960" s="121" t="n">
        <f aca="false">MIN((DA149+DA150)*$C$5, $F$15)*'⑫ Roll-out Plan'!$O$20</f>
        <v>27000</v>
      </c>
      <c r="DB960" s="121" t="n">
        <f aca="false">MIN((DB149+DB150)*$C$5, $F$15)*'⑫ Roll-out Plan'!$O$20</f>
        <v>27000</v>
      </c>
      <c r="DC960" s="121" t="n">
        <f aca="false">MIN((DC149+DC150)*$C$5, $F$15)*'⑫ Roll-out Plan'!$O$20</f>
        <v>27000</v>
      </c>
      <c r="DD960" s="121" t="n">
        <f aca="false">MIN((DD149+DD150)*$C$5, $F$15)*'⑫ Roll-out Plan'!$O$20</f>
        <v>27000</v>
      </c>
      <c r="DE960" s="121" t="n">
        <f aca="false">MIN((DE149+DE150)*$C$5, $F$15)*'⑫ Roll-out Plan'!$O$20</f>
        <v>27000</v>
      </c>
      <c r="DF960" s="121" t="n">
        <f aca="false">MIN((DF149+DF150)*$C$5, $F$15)*'⑫ Roll-out Plan'!$O$20</f>
        <v>27000</v>
      </c>
      <c r="DG960" s="121" t="n">
        <f aca="false">MIN((DG149+DG150)*$C$5, $F$15)*'⑫ Roll-out Plan'!$O$20</f>
        <v>27000</v>
      </c>
      <c r="DH960" s="121" t="n">
        <f aca="false">MIN((DH149+DH150)*$C$5, $F$15)*'⑫ Roll-out Plan'!$O$20</f>
        <v>27000</v>
      </c>
      <c r="DI960" s="121" t="n">
        <f aca="false">MIN((DI149+DI150)*$C$5, $F$15)*'⑫ Roll-out Plan'!$O$20</f>
        <v>27000</v>
      </c>
      <c r="DJ960" s="121" t="n">
        <f aca="false">MIN((DJ149+DJ150)*$C$5, $F$15)*'⑫ Roll-out Plan'!$O$20</f>
        <v>27000</v>
      </c>
      <c r="DK960" s="121" t="n">
        <f aca="false">MIN((DK149+DK150)*$C$5, $F$15)*'⑫ Roll-out Plan'!$O$20</f>
        <v>27000</v>
      </c>
      <c r="DL960" s="121" t="n">
        <f aca="false">MIN((DL149+DL150)*$C$5, $F$15)*'⑫ Roll-out Plan'!$O$20</f>
        <v>27000</v>
      </c>
      <c r="DM960" s="121" t="n">
        <f aca="false">MIN((DM149+DM150)*$C$5, $F$15)*'⑫ Roll-out Plan'!$O$20</f>
        <v>27000</v>
      </c>
      <c r="DN960" s="121" t="n">
        <f aca="false">MIN((DN149+DN150)*$C$5, $F$15)*'⑫ Roll-out Plan'!$O$20</f>
        <v>27000</v>
      </c>
      <c r="DO960" s="121" t="n">
        <f aca="false">MIN((DO149+DO150)*$C$5, $F$15)*'⑫ Roll-out Plan'!$O$20</f>
        <v>27000</v>
      </c>
      <c r="DP960" s="121" t="n">
        <f aca="false">MIN((DP149+DP150)*$C$5, $F$15)*'⑫ Roll-out Plan'!$O$20</f>
        <v>27000</v>
      </c>
      <c r="DQ960" s="121" t="n">
        <f aca="false">MIN((DQ149+DQ150)*$C$5, $F$15)*'⑫ Roll-out Plan'!$O$20</f>
        <v>27000</v>
      </c>
      <c r="DR960" s="121" t="n">
        <f aca="false">MIN((DR149+DR150)*$C$5, $F$15)*'⑫ Roll-out Plan'!$O$20</f>
        <v>27000</v>
      </c>
      <c r="DS960" s="121" t="n">
        <f aca="false">MIN((DS149+DS150)*$C$5, $F$15)*'⑫ Roll-out Plan'!$O$20</f>
        <v>27000</v>
      </c>
      <c r="DT960" s="121" t="n">
        <f aca="false">MIN((DT149+DT150)*$C$5, $F$15)*'⑫ Roll-out Plan'!$O$20</f>
        <v>27000</v>
      </c>
      <c r="DU960" s="121" t="n">
        <f aca="false">MIN((DU149+DU150)*$C$5, $F$15)*'⑫ Roll-out Plan'!$O$20</f>
        <v>27000</v>
      </c>
      <c r="DV960" s="121" t="n">
        <f aca="false">MIN((DV149+DV150)*$C$5, $F$15)*'⑫ Roll-out Plan'!$O$20</f>
        <v>27000</v>
      </c>
      <c r="DW960" s="121" t="n">
        <f aca="false">MIN((DW149+DW150)*$C$5, $F$15)*'⑫ Roll-out Plan'!$O$20</f>
        <v>27000</v>
      </c>
      <c r="DX960" s="121" t="n">
        <f aca="false">MIN((DX149+DX150)*$C$5, $F$15)*'⑫ Roll-out Plan'!$O$20</f>
        <v>27000</v>
      </c>
      <c r="DY960" s="121" t="n">
        <f aca="false">MIN((DY149+DY150)*$C$5, $F$15)*'⑫ Roll-out Plan'!$O$20</f>
        <v>27000</v>
      </c>
      <c r="DZ960" s="121" t="n">
        <f aca="false">MIN((DZ149+DZ150)*$C$5, $F$15)*'⑫ Roll-out Plan'!$O$20</f>
        <v>27000</v>
      </c>
      <c r="EA960" s="121" t="n">
        <f aca="false">MIN((EA149+EA150)*$C$5, $F$15)*'⑫ Roll-out Plan'!$O$20</f>
        <v>27000</v>
      </c>
      <c r="EB960" s="121" t="n">
        <f aca="false">MIN((EB149+EB150)*$C$5, $F$15)*'⑫ Roll-out Plan'!$O$20</f>
        <v>27000</v>
      </c>
      <c r="EC960" s="121" t="n">
        <f aca="false">MIN((EC149+EC150)*$C$5, $F$15)*'⑫ Roll-out Plan'!$O$20</f>
        <v>27000</v>
      </c>
      <c r="ED960" s="121" t="n">
        <f aca="false">MIN((ED149+ED150)*$C$5, $F$15)*'⑫ Roll-out Plan'!$O$20</f>
        <v>27000</v>
      </c>
      <c r="EE960" s="121" t="n">
        <f aca="false">MIN((EE149+EE150)*$C$5, $F$15)*'⑫ Roll-out Plan'!$O$20</f>
        <v>27000</v>
      </c>
      <c r="EF960" s="121" t="n">
        <f aca="false">MIN((EF149+EF150)*$C$5, $F$15)*'⑫ Roll-out Plan'!$O$20</f>
        <v>27000</v>
      </c>
      <c r="EG960" s="121" t="n">
        <f aca="false">MIN((EG149+EG150)*$C$5, $F$15)*'⑫ Roll-out Plan'!$O$20</f>
        <v>27000</v>
      </c>
      <c r="EH960" s="121" t="n">
        <f aca="false">MIN((EH149+EH150)*$C$5, $F$15)*'⑫ Roll-out Plan'!$O$20</f>
        <v>27000</v>
      </c>
      <c r="EI960" s="121" t="n">
        <f aca="false">MIN((EI149+EI150)*$C$5, $F$15)*'⑫ Roll-out Plan'!$O$20</f>
        <v>27000</v>
      </c>
      <c r="EJ960" s="121" t="n">
        <f aca="false">MIN((EJ149+EJ150)*$C$5, $F$15)*'⑫ Roll-out Plan'!$O$20</f>
        <v>27000</v>
      </c>
      <c r="EK960" s="121" t="n">
        <f aca="false">MIN((EK149+EK150)*$C$5, $F$15)*'⑫ Roll-out Plan'!$O$20</f>
        <v>27000</v>
      </c>
      <c r="EL960" s="121" t="n">
        <f aca="false">MIN((EL149+EL150)*$C$5, $F$15)*'⑫ Roll-out Plan'!$O$20</f>
        <v>27000</v>
      </c>
      <c r="EM960" s="121" t="n">
        <f aca="false">MIN((EM149+EM150)*$C$5, $F$15)*'⑫ Roll-out Plan'!$O$20</f>
        <v>27000</v>
      </c>
      <c r="EN960" s="121" t="n">
        <f aca="false">MIN((EN149+EN150)*$C$5, $F$15)*'⑫ Roll-out Plan'!$O$20</f>
        <v>27000</v>
      </c>
      <c r="EO960" s="121" t="n">
        <f aca="false">MIN((EO149+EO150)*$C$5, $F$15)*'⑫ Roll-out Plan'!$O$20</f>
        <v>27000</v>
      </c>
      <c r="EP960" s="121" t="n">
        <f aca="false">MIN((EP149+EP150)*$C$5, $F$15)*'⑫ Roll-out Plan'!$O$20</f>
        <v>27000</v>
      </c>
      <c r="EQ960" s="121" t="n">
        <f aca="false">MIN((EQ149+EQ150)*$C$5, $F$15)*'⑫ Roll-out Plan'!$O$20</f>
        <v>27000</v>
      </c>
      <c r="ER960" s="121" t="n">
        <f aca="false">MIN((ER149+ER150)*$C$5, $F$15)*'⑫ Roll-out Plan'!$O$20</f>
        <v>27000</v>
      </c>
      <c r="ES960" s="9" t="n">
        <f aca="false">MIN((ES149+ES150)*$C$5, $F$15)*'⑫ Roll-out Plan'!$O$20</f>
        <v>27000</v>
      </c>
      <c r="ET960" s="9" t="n">
        <f aca="false">MIN((ET149+ET150)*$C$5, $F$15)*'⑫ Roll-out Plan'!$O$20</f>
        <v>27000</v>
      </c>
      <c r="EU960" s="9" t="n">
        <f aca="false">MIN((EU149+EU150)*$C$5, $F$15)*'⑫ Roll-out Plan'!$O$20</f>
        <v>27000</v>
      </c>
      <c r="EV960" s="9" t="n">
        <f aca="false">MIN((EV149+EV150)*$C$5, $F$15)*'⑫ Roll-out Plan'!$O$20</f>
        <v>27000</v>
      </c>
      <c r="EW960" s="9" t="n">
        <f aca="false">MIN((EW149+EW150)*$C$5, $F$15)*'⑫ Roll-out Plan'!$O$20</f>
        <v>27000</v>
      </c>
      <c r="EX960" s="9" t="n">
        <f aca="false">MIN((EX149+EX150)*$C$5, $F$15)*'⑫ Roll-out Plan'!$O$20</f>
        <v>27000</v>
      </c>
      <c r="EY960" s="9" t="n">
        <f aca="false">MIN((EY149+EY150)*$C$5, $F$15)*'⑫ Roll-out Plan'!$O$20</f>
        <v>27000</v>
      </c>
      <c r="EZ960" s="9" t="n">
        <f aca="false">MIN((EZ149+EZ150)*$C$5, $F$15)*'⑫ Roll-out Plan'!$O$20</f>
        <v>27000</v>
      </c>
      <c r="FA960" s="9" t="n">
        <f aca="false">MIN((FA149+FA150)*$C$5, $F$15)*'⑫ Roll-out Plan'!$O$20</f>
        <v>27000</v>
      </c>
      <c r="FB960" s="9" t="n">
        <f aca="false">MIN((FB149+FB150)*$C$5, $F$15)*'⑫ Roll-out Plan'!$O$20</f>
        <v>27000</v>
      </c>
      <c r="FC960" s="9" t="n">
        <f aca="false">MIN((FC149+FC150)*$C$5, $F$15)*'⑫ Roll-out Plan'!$O$20</f>
        <v>27000</v>
      </c>
      <c r="FD960" s="9" t="n">
        <f aca="false">MIN((FD149+FD150)*$C$5, $F$15)*'⑫ Roll-out Plan'!$O$20</f>
        <v>27000</v>
      </c>
      <c r="FE960" s="9" t="n">
        <f aca="false">MIN((FE149+FE150)*$C$5, $F$15)*'⑫ Roll-out Plan'!$O$20</f>
        <v>27000</v>
      </c>
      <c r="FF960" s="9" t="n">
        <f aca="false">MIN((FF149+FF150)*$C$5, $F$15)*'⑫ Roll-out Plan'!$O$20</f>
        <v>27000</v>
      </c>
      <c r="FG960" s="9" t="n">
        <f aca="false">MIN((FG149+FG150)*$C$5, $F$15)*'⑫ Roll-out Plan'!$O$20</f>
        <v>27000</v>
      </c>
      <c r="FH960" s="9" t="n">
        <f aca="false">MIN((FH149+FH150)*$C$5, $F$15)*'⑫ Roll-out Plan'!$O$20</f>
        <v>27000</v>
      </c>
      <c r="FI960" s="9" t="n">
        <f aca="false">MIN((FI149+FI150)*$C$5, $F$15)*'⑫ Roll-out Plan'!$O$20</f>
        <v>27000</v>
      </c>
      <c r="FJ960" s="9" t="n">
        <f aca="false">MIN((FJ149+FJ150)*$C$5, $F$15)*'⑫ Roll-out Plan'!$O$20</f>
        <v>27000</v>
      </c>
      <c r="FK960" s="9" t="n">
        <f aca="false">MIN((FK149+FK150)*$C$5, $F$15)*'⑫ Roll-out Plan'!$O$20</f>
        <v>27000</v>
      </c>
      <c r="FL960" s="9" t="n">
        <f aca="false">MIN((FL149+FL150)*$C$5, $F$15)*'⑫ Roll-out Plan'!$O$20</f>
        <v>27000</v>
      </c>
      <c r="FM960" s="9" t="n">
        <f aca="false">MIN((FM149+FM150)*$C$5, $F$15)*'⑫ Roll-out Plan'!$O$20</f>
        <v>27000</v>
      </c>
      <c r="FN960" s="9" t="n">
        <f aca="false">MIN((FN149+FN150)*$C$5, $F$15)*'⑫ Roll-out Plan'!$O$20</f>
        <v>27000</v>
      </c>
      <c r="FO960" s="9" t="n">
        <f aca="false">MIN((FO149+FO150)*$C$5, $F$15)*'⑫ Roll-out Plan'!$O$20</f>
        <v>27000</v>
      </c>
      <c r="FP960" s="9" t="n">
        <f aca="false">MIN((FP149+FP150)*$C$5, $F$15)*'⑫ Roll-out Plan'!$O$20</f>
        <v>27000</v>
      </c>
    </row>
    <row r="961" customFormat="false" ht="15" hidden="false" customHeight="false" outlineLevel="0" collapsed="false">
      <c r="B961" s="10" t="s">
        <v>986</v>
      </c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121" t="n">
        <f aca="false">MIN((AC159+AC160)*$C$5, $F$15)*'⑫ Roll-out Plan'!$O$21</f>
        <v>0</v>
      </c>
      <c r="AD961" s="121" t="n">
        <f aca="false">MIN((AD159+AD160)*$C$5, $F$15)*'⑫ Roll-out Plan'!$O$21</f>
        <v>0</v>
      </c>
      <c r="AE961" s="121" t="n">
        <f aca="false">MIN((AE159+AE160)*$C$5, $F$15)*'⑫ Roll-out Plan'!$O$21</f>
        <v>0</v>
      </c>
      <c r="AF961" s="121" t="n">
        <f aca="false">MIN((AF159+AF160)*$C$5, $F$15)*'⑫ Roll-out Plan'!$O$21</f>
        <v>0</v>
      </c>
      <c r="AG961" s="121" t="n">
        <f aca="false">MIN((AG159+AG160)*$C$5, $F$15)*'⑫ Roll-out Plan'!$O$21</f>
        <v>0</v>
      </c>
      <c r="AH961" s="121" t="n">
        <f aca="false">MIN((AH159+AH160)*$C$5, $F$15)*'⑫ Roll-out Plan'!$O$21</f>
        <v>0</v>
      </c>
      <c r="AI961" s="121" t="n">
        <f aca="false">MIN((AI159+AI160)*$C$5, $F$15)*'⑫ Roll-out Plan'!$O$21</f>
        <v>0</v>
      </c>
      <c r="AJ961" s="121" t="n">
        <f aca="false">MIN((AJ159+AJ160)*$C$5, $F$15)*'⑫ Roll-out Plan'!$O$21</f>
        <v>0</v>
      </c>
      <c r="AK961" s="121" t="n">
        <f aca="false">MIN((AK159+AK160)*$C$5, $F$15)*'⑫ Roll-out Plan'!$O$21</f>
        <v>0</v>
      </c>
      <c r="AL961" s="121" t="n">
        <f aca="false">MIN((AL159+AL160)*$C$5, $F$15)*'⑫ Roll-out Plan'!$O$21</f>
        <v>0</v>
      </c>
      <c r="AM961" s="121" t="n">
        <f aca="false">MIN((AM159+AM160)*$C$5, $F$15)*'⑫ Roll-out Plan'!$O$21</f>
        <v>0</v>
      </c>
      <c r="AN961" s="121" t="n">
        <f aca="false">MIN((AN159+AN160)*$C$5, $F$15)*'⑫ Roll-out Plan'!$O$21</f>
        <v>0</v>
      </c>
      <c r="AO961" s="121" t="n">
        <f aca="false">MIN((AO159+AO160)*$C$5, $F$15)*'⑫ Roll-out Plan'!$O$21</f>
        <v>0</v>
      </c>
      <c r="AP961" s="121" t="n">
        <f aca="false">MIN((AP159+AP160)*$C$5, $F$15)*'⑫ Roll-out Plan'!$O$21</f>
        <v>0</v>
      </c>
      <c r="AQ961" s="121" t="n">
        <f aca="false">MIN((AQ159+AQ160)*$C$5, $F$15)*'⑫ Roll-out Plan'!$O$21</f>
        <v>0</v>
      </c>
      <c r="AR961" s="121" t="n">
        <f aca="false">MIN((AR159+AR160)*$C$5, $F$15)*'⑫ Roll-out Plan'!$O$21</f>
        <v>0</v>
      </c>
      <c r="AS961" s="121" t="n">
        <f aca="false">MIN((AS159+AS160)*$C$5, $F$15)*'⑫ Roll-out Plan'!$O$21</f>
        <v>0</v>
      </c>
      <c r="AT961" s="121" t="n">
        <f aca="false">MIN((AT159+AT160)*$C$5, $F$15)*'⑫ Roll-out Plan'!$O$21</f>
        <v>0</v>
      </c>
      <c r="AU961" s="121" t="n">
        <f aca="false">MIN((AU159+AU160)*$C$5, $F$15)*'⑫ Roll-out Plan'!$O$21</f>
        <v>0</v>
      </c>
      <c r="AV961" s="121" t="n">
        <f aca="false">MIN((AV159+AV160)*$C$5, $F$15)*'⑫ Roll-out Plan'!$O$21</f>
        <v>0</v>
      </c>
      <c r="AW961" s="121" t="n">
        <f aca="false">MIN((AW159+AW160)*$C$5, $F$15)*'⑫ Roll-out Plan'!$O$21</f>
        <v>0</v>
      </c>
      <c r="AX961" s="121" t="n">
        <f aca="false">MIN((AX159+AX160)*$C$5, $F$15)*'⑫ Roll-out Plan'!$O$21</f>
        <v>0</v>
      </c>
      <c r="AY961" s="121" t="n">
        <f aca="false">MIN((AY159+AY160)*$C$5, $F$15)*'⑫ Roll-out Plan'!$O$21</f>
        <v>0</v>
      </c>
      <c r="AZ961" s="121" t="n">
        <f aca="false">MIN((AZ159+AZ160)*$C$5, $F$15)*'⑫ Roll-out Plan'!$O$21</f>
        <v>0</v>
      </c>
      <c r="BA961" s="121" t="n">
        <f aca="false">MIN((BA159+BA160)*$C$5, $F$15)*'⑫ Roll-out Plan'!$O$21</f>
        <v>0</v>
      </c>
      <c r="BB961" s="121" t="n">
        <f aca="false">MIN((BB159+BB160)*$C$5, $F$15)*'⑫ Roll-out Plan'!$O$21</f>
        <v>0</v>
      </c>
      <c r="BC961" s="121" t="n">
        <f aca="false">MIN((BC159+BC160)*$C$5, $F$15)*'⑫ Roll-out Plan'!$O$21</f>
        <v>0</v>
      </c>
      <c r="BD961" s="121" t="n">
        <f aca="false">MIN((BD159+BD160)*$C$5, $F$15)*'⑫ Roll-out Plan'!$O$21</f>
        <v>0</v>
      </c>
      <c r="BE961" s="121" t="n">
        <f aca="false">MIN((BE159+BE160)*$C$5, $F$15)*'⑫ Roll-out Plan'!$O$21</f>
        <v>0</v>
      </c>
      <c r="BF961" s="121" t="n">
        <f aca="false">MIN((BF159+BF160)*$C$5, $F$15)*'⑫ Roll-out Plan'!$O$21</f>
        <v>0</v>
      </c>
      <c r="BG961" s="121" t="n">
        <f aca="false">MIN((BG159+BG160)*$C$5, $F$15)*'⑫ Roll-out Plan'!$O$21</f>
        <v>0</v>
      </c>
      <c r="BH961" s="121" t="n">
        <f aca="false">MIN((BH159+BH160)*$C$5, $F$15)*'⑫ Roll-out Plan'!$O$21</f>
        <v>0</v>
      </c>
      <c r="BI961" s="121" t="n">
        <f aca="false">MIN((BI159+BI160)*$C$5, $F$15)*'⑫ Roll-out Plan'!$O$21</f>
        <v>0</v>
      </c>
      <c r="BJ961" s="121" t="n">
        <f aca="false">MIN((BJ159+BJ160)*$C$5, $F$15)*'⑫ Roll-out Plan'!$O$21</f>
        <v>0</v>
      </c>
      <c r="BK961" s="121" t="n">
        <f aca="false">MIN((BK159+BK160)*$C$5, $F$15)*'⑫ Roll-out Plan'!$O$21</f>
        <v>0</v>
      </c>
      <c r="BL961" s="121" t="n">
        <f aca="false">MIN((BL159+BL160)*$C$5, $F$15)*'⑫ Roll-out Plan'!$O$21</f>
        <v>0</v>
      </c>
      <c r="BM961" s="121" t="n">
        <f aca="false">MIN((BM159+BM160)*$C$5, $F$15)*'⑫ Roll-out Plan'!$O$21</f>
        <v>0</v>
      </c>
      <c r="BN961" s="121" t="n">
        <f aca="false">MIN((BN159+BN160)*$C$5, $F$15)*'⑫ Roll-out Plan'!$O$21</f>
        <v>0</v>
      </c>
      <c r="BO961" s="121" t="n">
        <f aca="false">MIN((BO159+BO160)*$C$5, $F$15)*'⑫ Roll-out Plan'!$O$21</f>
        <v>0</v>
      </c>
      <c r="BP961" s="121" t="n">
        <f aca="false">MIN((BP159+BP160)*$C$5, $F$15)*'⑫ Roll-out Plan'!$O$21</f>
        <v>0</v>
      </c>
      <c r="BQ961" s="121" t="n">
        <f aca="false">MIN((BQ159+BQ160)*$C$5, $F$15)*'⑫ Roll-out Plan'!$O$21</f>
        <v>4459.24</v>
      </c>
      <c r="BR961" s="121" t="n">
        <f aca="false">MIN((BR159+BR160)*$C$5, $F$15)*'⑫ Roll-out Plan'!$O$21</f>
        <v>4836.14272</v>
      </c>
      <c r="BS961" s="121" t="n">
        <f aca="false">MIN((BS159+BS160)*$C$5, $F$15)*'⑫ Roll-out Plan'!$O$21</f>
        <v>5510.224704</v>
      </c>
      <c r="BT961" s="121" t="n">
        <f aca="false">MIN((BT159+BT160)*$C$5, $F$15)*'⑫ Roll-out Plan'!$O$21</f>
        <v>10092.03564</v>
      </c>
      <c r="BU961" s="121" t="n">
        <f aca="false">MIN((BU159+BU160)*$C$5, $F$15)*'⑫ Roll-out Plan'!$O$21</f>
        <v>9018.3514656</v>
      </c>
      <c r="BV961" s="121" t="n">
        <f aca="false">MIN((BV159+BV160)*$C$5, $F$15)*'⑫ Roll-out Plan'!$O$21</f>
        <v>8554.2880528</v>
      </c>
      <c r="BW961" s="121" t="n">
        <f aca="false">MIN((BW159+BW160)*$C$5, $F$15)*'⑫ Roll-out Plan'!$O$21</f>
        <v>7497.0138816</v>
      </c>
      <c r="BX961" s="121" t="n">
        <f aca="false">MIN((BX159+BX160)*$C$5, $F$15)*'⑫ Roll-out Plan'!$O$21</f>
        <v>10977.0280432</v>
      </c>
      <c r="BY961" s="121" t="n">
        <f aca="false">MIN((BY159+BY160)*$C$5, $F$15)*'⑫ Roll-out Plan'!$O$21</f>
        <v>13318.9821152</v>
      </c>
      <c r="BZ961" s="121" t="n">
        <f aca="false">MIN((BZ159+BZ160)*$C$5, $F$15)*'⑫ Roll-out Plan'!$O$21</f>
        <v>10875.814928</v>
      </c>
      <c r="CA961" s="121" t="n">
        <f aca="false">MIN((CA159+CA160)*$C$5, $F$15)*'⑫ Roll-out Plan'!$O$21</f>
        <v>15507.3134304</v>
      </c>
      <c r="CB961" s="121" t="n">
        <f aca="false">MIN((CB159+CB160)*$C$5, $F$15)*'⑫ Roll-out Plan'!$O$21</f>
        <v>16520.4605136</v>
      </c>
      <c r="CC961" s="121" t="n">
        <f aca="false">MIN((CC159+CC160)*$C$5, $F$15)*'⑫ Roll-out Plan'!$O$21</f>
        <v>15424.860144</v>
      </c>
      <c r="CD961" s="121" t="n">
        <f aca="false">MIN((CD159+CD160)*$C$5, $F$15)*'⑫ Roll-out Plan'!$O$21</f>
        <v>14703.3473568</v>
      </c>
      <c r="CE961" s="121" t="n">
        <f aca="false">MIN((CE159+CE160)*$C$5, $F$15)*'⑫ Roll-out Plan'!$O$21</f>
        <v>15294.7589088</v>
      </c>
      <c r="CF961" s="121" t="n">
        <f aca="false">MIN((CF159+CF160)*$C$5, $F$15)*'⑫ Roll-out Plan'!$O$21</f>
        <v>27000</v>
      </c>
      <c r="CG961" s="121" t="n">
        <f aca="false">MIN((CG159+CG160)*$C$5, $F$15)*'⑫ Roll-out Plan'!$O$21</f>
        <v>27000</v>
      </c>
      <c r="CH961" s="121" t="n">
        <f aca="false">MIN((CH159+CH160)*$C$5, $F$15)*'⑫ Roll-out Plan'!$O$21</f>
        <v>24525.68505952</v>
      </c>
      <c r="CI961" s="121" t="n">
        <f aca="false">MIN((CI159+CI160)*$C$5, $F$15)*'⑫ Roll-out Plan'!$O$21</f>
        <v>20143.8062816</v>
      </c>
      <c r="CJ961" s="121" t="n">
        <f aca="false">MIN((CJ159+CJ160)*$C$5, $F$15)*'⑫ Roll-out Plan'!$O$21</f>
        <v>26012.09322272</v>
      </c>
      <c r="CK961" s="121" t="n">
        <f aca="false">MIN((CK159+CK160)*$C$5, $F$15)*'⑫ Roll-out Plan'!$O$21</f>
        <v>27000</v>
      </c>
      <c r="CL961" s="121" t="n">
        <f aca="false">MIN((CL159+CL160)*$C$5, $F$15)*'⑫ Roll-out Plan'!$O$21</f>
        <v>24541.20418412</v>
      </c>
      <c r="CM961" s="121" t="n">
        <f aca="false">MIN((CM159+CM160)*$C$5, $F$15)*'⑫ Roll-out Plan'!$O$21</f>
        <v>27000</v>
      </c>
      <c r="CN961" s="121" t="n">
        <f aca="false">MIN((CN159+CN160)*$C$5, $F$15)*'⑫ Roll-out Plan'!$O$21</f>
        <v>27000</v>
      </c>
      <c r="CO961" s="121" t="n">
        <f aca="false">MIN((CO159+CO160)*$C$5, $F$15)*'⑫ Roll-out Plan'!$O$21</f>
        <v>27000</v>
      </c>
      <c r="CP961" s="121" t="n">
        <f aca="false">MIN((CP159+CP160)*$C$5, $F$15)*'⑫ Roll-out Plan'!$O$21</f>
        <v>26978.19803824</v>
      </c>
      <c r="CQ961" s="121" t="n">
        <f aca="false">MIN((CQ159+CQ160)*$C$5, $F$15)*'⑫ Roll-out Plan'!$O$21</f>
        <v>27000</v>
      </c>
      <c r="CR961" s="121" t="n">
        <f aca="false">MIN((CR159+CR160)*$C$5, $F$15)*'⑫ Roll-out Plan'!$O$21</f>
        <v>27000</v>
      </c>
      <c r="CS961" s="121" t="n">
        <f aca="false">MIN((CS159+CS160)*$C$5, $F$15)*'⑫ Roll-out Plan'!$O$21</f>
        <v>27000</v>
      </c>
      <c r="CT961" s="121" t="n">
        <f aca="false">MIN((CT159+CT160)*$C$5, $F$15)*'⑫ Roll-out Plan'!$O$21</f>
        <v>27000</v>
      </c>
      <c r="CU961" s="121" t="n">
        <f aca="false">MIN((CU159+CU160)*$C$5, $F$15)*'⑫ Roll-out Plan'!$O$21</f>
        <v>27000</v>
      </c>
      <c r="CV961" s="121" t="n">
        <f aca="false">MIN((CV159+CV160)*$C$5, $F$15)*'⑫ Roll-out Plan'!$O$21</f>
        <v>27000</v>
      </c>
      <c r="CW961" s="121" t="n">
        <f aca="false">MIN((CW159+CW160)*$C$5, $F$15)*'⑫ Roll-out Plan'!$O$21</f>
        <v>27000</v>
      </c>
      <c r="CX961" s="121" t="n">
        <f aca="false">MIN((CX159+CX160)*$C$5, $F$15)*'⑫ Roll-out Plan'!$O$21</f>
        <v>27000</v>
      </c>
      <c r="CY961" s="121" t="n">
        <f aca="false">MIN((CY159+CY160)*$C$5, $F$15)*'⑫ Roll-out Plan'!$O$21</f>
        <v>27000</v>
      </c>
      <c r="CZ961" s="121" t="n">
        <f aca="false">MIN((CZ159+CZ160)*$C$5, $F$15)*'⑫ Roll-out Plan'!$O$21</f>
        <v>27000</v>
      </c>
      <c r="DA961" s="121" t="n">
        <f aca="false">MIN((DA159+DA160)*$C$5, $F$15)*'⑫ Roll-out Plan'!$O$21</f>
        <v>27000</v>
      </c>
      <c r="DB961" s="121" t="n">
        <f aca="false">MIN((DB159+DB160)*$C$5, $F$15)*'⑫ Roll-out Plan'!$O$21</f>
        <v>27000</v>
      </c>
      <c r="DC961" s="121" t="n">
        <f aca="false">MIN((DC159+DC160)*$C$5, $F$15)*'⑫ Roll-out Plan'!$O$21</f>
        <v>27000</v>
      </c>
      <c r="DD961" s="121" t="n">
        <f aca="false">MIN((DD159+DD160)*$C$5, $F$15)*'⑫ Roll-out Plan'!$O$21</f>
        <v>27000</v>
      </c>
      <c r="DE961" s="121" t="n">
        <f aca="false">MIN((DE159+DE160)*$C$5, $F$15)*'⑫ Roll-out Plan'!$O$21</f>
        <v>27000</v>
      </c>
      <c r="DF961" s="121" t="n">
        <f aca="false">MIN((DF159+DF160)*$C$5, $F$15)*'⑫ Roll-out Plan'!$O$21</f>
        <v>27000</v>
      </c>
      <c r="DG961" s="121" t="n">
        <f aca="false">MIN((DG159+DG160)*$C$5, $F$15)*'⑫ Roll-out Plan'!$O$21</f>
        <v>27000</v>
      </c>
      <c r="DH961" s="121" t="n">
        <f aca="false">MIN((DH159+DH160)*$C$5, $F$15)*'⑫ Roll-out Plan'!$O$21</f>
        <v>27000</v>
      </c>
      <c r="DI961" s="121" t="n">
        <f aca="false">MIN((DI159+DI160)*$C$5, $F$15)*'⑫ Roll-out Plan'!$O$21</f>
        <v>27000</v>
      </c>
      <c r="DJ961" s="121" t="n">
        <f aca="false">MIN((DJ159+DJ160)*$C$5, $F$15)*'⑫ Roll-out Plan'!$O$21</f>
        <v>27000</v>
      </c>
      <c r="DK961" s="121" t="n">
        <f aca="false">MIN((DK159+DK160)*$C$5, $F$15)*'⑫ Roll-out Plan'!$O$21</f>
        <v>27000</v>
      </c>
      <c r="DL961" s="121" t="n">
        <f aca="false">MIN((DL159+DL160)*$C$5, $F$15)*'⑫ Roll-out Plan'!$O$21</f>
        <v>27000</v>
      </c>
      <c r="DM961" s="121" t="n">
        <f aca="false">MIN((DM159+DM160)*$C$5, $F$15)*'⑫ Roll-out Plan'!$O$21</f>
        <v>27000</v>
      </c>
      <c r="DN961" s="121" t="n">
        <f aca="false">MIN((DN159+DN160)*$C$5, $F$15)*'⑫ Roll-out Plan'!$O$21</f>
        <v>27000</v>
      </c>
      <c r="DO961" s="121" t="n">
        <f aca="false">MIN((DO159+DO160)*$C$5, $F$15)*'⑫ Roll-out Plan'!$O$21</f>
        <v>27000</v>
      </c>
      <c r="DP961" s="121" t="n">
        <f aca="false">MIN((DP159+DP160)*$C$5, $F$15)*'⑫ Roll-out Plan'!$O$21</f>
        <v>27000</v>
      </c>
      <c r="DQ961" s="121" t="n">
        <f aca="false">MIN((DQ159+DQ160)*$C$5, $F$15)*'⑫ Roll-out Plan'!$O$21</f>
        <v>27000</v>
      </c>
      <c r="DR961" s="121" t="n">
        <f aca="false">MIN((DR159+DR160)*$C$5, $F$15)*'⑫ Roll-out Plan'!$O$21</f>
        <v>27000</v>
      </c>
      <c r="DS961" s="121" t="n">
        <f aca="false">MIN((DS159+DS160)*$C$5, $F$15)*'⑫ Roll-out Plan'!$O$21</f>
        <v>27000</v>
      </c>
      <c r="DT961" s="121" t="n">
        <f aca="false">MIN((DT159+DT160)*$C$5, $F$15)*'⑫ Roll-out Plan'!$O$21</f>
        <v>27000</v>
      </c>
      <c r="DU961" s="121" t="n">
        <f aca="false">MIN((DU159+DU160)*$C$5, $F$15)*'⑫ Roll-out Plan'!$O$21</f>
        <v>27000</v>
      </c>
      <c r="DV961" s="121" t="n">
        <f aca="false">MIN((DV159+DV160)*$C$5, $F$15)*'⑫ Roll-out Plan'!$O$21</f>
        <v>27000</v>
      </c>
      <c r="DW961" s="121" t="n">
        <f aca="false">MIN((DW159+DW160)*$C$5, $F$15)*'⑫ Roll-out Plan'!$O$21</f>
        <v>27000</v>
      </c>
      <c r="DX961" s="121" t="n">
        <f aca="false">MIN((DX159+DX160)*$C$5, $F$15)*'⑫ Roll-out Plan'!$O$21</f>
        <v>27000</v>
      </c>
      <c r="DY961" s="121" t="n">
        <f aca="false">MIN((DY159+DY160)*$C$5, $F$15)*'⑫ Roll-out Plan'!$O$21</f>
        <v>27000</v>
      </c>
      <c r="DZ961" s="121" t="n">
        <f aca="false">MIN((DZ159+DZ160)*$C$5, $F$15)*'⑫ Roll-out Plan'!$O$21</f>
        <v>27000</v>
      </c>
      <c r="EA961" s="121" t="n">
        <f aca="false">MIN((EA159+EA160)*$C$5, $F$15)*'⑫ Roll-out Plan'!$O$21</f>
        <v>27000</v>
      </c>
      <c r="EB961" s="121" t="n">
        <f aca="false">MIN((EB159+EB160)*$C$5, $F$15)*'⑫ Roll-out Plan'!$O$21</f>
        <v>27000</v>
      </c>
      <c r="EC961" s="121" t="n">
        <f aca="false">MIN((EC159+EC160)*$C$5, $F$15)*'⑫ Roll-out Plan'!$O$21</f>
        <v>27000</v>
      </c>
      <c r="ED961" s="121" t="n">
        <f aca="false">MIN((ED159+ED160)*$C$5, $F$15)*'⑫ Roll-out Plan'!$O$21</f>
        <v>27000</v>
      </c>
      <c r="EE961" s="121" t="n">
        <f aca="false">MIN((EE159+EE160)*$C$5, $F$15)*'⑫ Roll-out Plan'!$O$21</f>
        <v>27000</v>
      </c>
      <c r="EF961" s="121" t="n">
        <f aca="false">MIN((EF159+EF160)*$C$5, $F$15)*'⑫ Roll-out Plan'!$O$21</f>
        <v>27000</v>
      </c>
      <c r="EG961" s="121" t="n">
        <f aca="false">MIN((EG159+EG160)*$C$5, $F$15)*'⑫ Roll-out Plan'!$O$21</f>
        <v>27000</v>
      </c>
      <c r="EH961" s="121" t="n">
        <f aca="false">MIN((EH159+EH160)*$C$5, $F$15)*'⑫ Roll-out Plan'!$O$21</f>
        <v>27000</v>
      </c>
      <c r="EI961" s="121" t="n">
        <f aca="false">MIN((EI159+EI160)*$C$5, $F$15)*'⑫ Roll-out Plan'!$O$21</f>
        <v>27000</v>
      </c>
      <c r="EJ961" s="121" t="n">
        <f aca="false">MIN((EJ159+EJ160)*$C$5, $F$15)*'⑫ Roll-out Plan'!$O$21</f>
        <v>27000</v>
      </c>
      <c r="EK961" s="121" t="n">
        <f aca="false">MIN((EK159+EK160)*$C$5, $F$15)*'⑫ Roll-out Plan'!$O$21</f>
        <v>27000</v>
      </c>
      <c r="EL961" s="121" t="n">
        <f aca="false">MIN((EL159+EL160)*$C$5, $F$15)*'⑫ Roll-out Plan'!$O$21</f>
        <v>27000</v>
      </c>
      <c r="EM961" s="121" t="n">
        <f aca="false">MIN((EM159+EM160)*$C$5, $F$15)*'⑫ Roll-out Plan'!$O$21</f>
        <v>27000</v>
      </c>
      <c r="EN961" s="121" t="n">
        <f aca="false">MIN((EN159+EN160)*$C$5, $F$15)*'⑫ Roll-out Plan'!$O$21</f>
        <v>27000</v>
      </c>
      <c r="EO961" s="121" t="n">
        <f aca="false">MIN((EO159+EO160)*$C$5, $F$15)*'⑫ Roll-out Plan'!$O$21</f>
        <v>27000</v>
      </c>
      <c r="EP961" s="121" t="n">
        <f aca="false">MIN((EP159+EP160)*$C$5, $F$15)*'⑫ Roll-out Plan'!$O$21</f>
        <v>27000</v>
      </c>
      <c r="EQ961" s="121" t="n">
        <f aca="false">MIN((EQ159+EQ160)*$C$5, $F$15)*'⑫ Roll-out Plan'!$O$21</f>
        <v>27000</v>
      </c>
      <c r="ER961" s="121" t="n">
        <f aca="false">MIN((ER159+ER160)*$C$5, $F$15)*'⑫ Roll-out Plan'!$O$21</f>
        <v>27000</v>
      </c>
      <c r="ES961" s="9" t="n">
        <f aca="false">MIN((ES159+ES160)*$C$5, $F$15)*'⑫ Roll-out Plan'!$O$21</f>
        <v>27000</v>
      </c>
      <c r="ET961" s="9" t="n">
        <f aca="false">MIN((ET159+ET160)*$C$5, $F$15)*'⑫ Roll-out Plan'!$O$21</f>
        <v>27000</v>
      </c>
      <c r="EU961" s="9" t="n">
        <f aca="false">MIN((EU159+EU160)*$C$5, $F$15)*'⑫ Roll-out Plan'!$O$21</f>
        <v>27000</v>
      </c>
      <c r="EV961" s="9" t="n">
        <f aca="false">MIN((EV159+EV160)*$C$5, $F$15)*'⑫ Roll-out Plan'!$O$21</f>
        <v>27000</v>
      </c>
      <c r="EW961" s="9" t="n">
        <f aca="false">MIN((EW159+EW160)*$C$5, $F$15)*'⑫ Roll-out Plan'!$O$21</f>
        <v>27000</v>
      </c>
      <c r="EX961" s="9" t="n">
        <f aca="false">MIN((EX159+EX160)*$C$5, $F$15)*'⑫ Roll-out Plan'!$O$21</f>
        <v>27000</v>
      </c>
      <c r="EY961" s="9" t="n">
        <f aca="false">MIN((EY159+EY160)*$C$5, $F$15)*'⑫ Roll-out Plan'!$O$21</f>
        <v>27000</v>
      </c>
      <c r="EZ961" s="9" t="n">
        <f aca="false">MIN((EZ159+EZ160)*$C$5, $F$15)*'⑫ Roll-out Plan'!$O$21</f>
        <v>27000</v>
      </c>
      <c r="FA961" s="9" t="n">
        <f aca="false">MIN((FA159+FA160)*$C$5, $F$15)*'⑫ Roll-out Plan'!$O$21</f>
        <v>27000</v>
      </c>
      <c r="FB961" s="9" t="n">
        <f aca="false">MIN((FB159+FB160)*$C$5, $F$15)*'⑫ Roll-out Plan'!$O$21</f>
        <v>27000</v>
      </c>
      <c r="FC961" s="9" t="n">
        <f aca="false">MIN((FC159+FC160)*$C$5, $F$15)*'⑫ Roll-out Plan'!$O$21</f>
        <v>27000</v>
      </c>
      <c r="FD961" s="9" t="n">
        <f aca="false">MIN((FD159+FD160)*$C$5, $F$15)*'⑫ Roll-out Plan'!$O$21</f>
        <v>27000</v>
      </c>
      <c r="FE961" s="9" t="n">
        <f aca="false">MIN((FE159+FE160)*$C$5, $F$15)*'⑫ Roll-out Plan'!$O$21</f>
        <v>27000</v>
      </c>
      <c r="FF961" s="9" t="n">
        <f aca="false">MIN((FF159+FF160)*$C$5, $F$15)*'⑫ Roll-out Plan'!$O$21</f>
        <v>27000</v>
      </c>
      <c r="FG961" s="9" t="n">
        <f aca="false">MIN((FG159+FG160)*$C$5, $F$15)*'⑫ Roll-out Plan'!$O$21</f>
        <v>27000</v>
      </c>
      <c r="FH961" s="9" t="n">
        <f aca="false">MIN((FH159+FH160)*$C$5, $F$15)*'⑫ Roll-out Plan'!$O$21</f>
        <v>27000</v>
      </c>
      <c r="FI961" s="9" t="n">
        <f aca="false">MIN((FI159+FI160)*$C$5, $F$15)*'⑫ Roll-out Plan'!$O$21</f>
        <v>27000</v>
      </c>
      <c r="FJ961" s="9" t="n">
        <f aca="false">MIN((FJ159+FJ160)*$C$5, $F$15)*'⑫ Roll-out Plan'!$O$21</f>
        <v>27000</v>
      </c>
      <c r="FK961" s="9" t="n">
        <f aca="false">MIN((FK159+FK160)*$C$5, $F$15)*'⑫ Roll-out Plan'!$O$21</f>
        <v>27000</v>
      </c>
      <c r="FL961" s="9" t="n">
        <f aca="false">MIN((FL159+FL160)*$C$5, $F$15)*'⑫ Roll-out Plan'!$O$21</f>
        <v>27000</v>
      </c>
      <c r="FM961" s="9" t="n">
        <f aca="false">MIN((FM159+FM160)*$C$5, $F$15)*'⑫ Roll-out Plan'!$O$21</f>
        <v>27000</v>
      </c>
      <c r="FN961" s="9" t="n">
        <f aca="false">MIN((FN159+FN160)*$C$5, $F$15)*'⑫ Roll-out Plan'!$O$21</f>
        <v>27000</v>
      </c>
      <c r="FO961" s="9" t="n">
        <f aca="false">MIN((FO159+FO160)*$C$5, $F$15)*'⑫ Roll-out Plan'!$O$21</f>
        <v>27000</v>
      </c>
      <c r="FP961" s="9" t="n">
        <f aca="false">MIN((FP159+FP160)*$C$5, $F$15)*'⑫ Roll-out Plan'!$O$21</f>
        <v>27000</v>
      </c>
    </row>
    <row r="962" customFormat="false" ht="15" hidden="false" customHeight="false" outlineLevel="0" collapsed="false">
      <c r="B962" s="10" t="s">
        <v>987</v>
      </c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121" t="n">
        <f aca="false">MIN((AC169+AC170)*$C$5, $F$14)*'⑫ Roll-out Plan'!$O$22</f>
        <v>0</v>
      </c>
      <c r="AD962" s="121" t="n">
        <f aca="false">MIN((AD169+AD170)*$C$5, $F$14)*'⑫ Roll-out Plan'!$O$22</f>
        <v>0</v>
      </c>
      <c r="AE962" s="121" t="n">
        <f aca="false">MIN((AE169+AE170)*$C$5, $F$14)*'⑫ Roll-out Plan'!$O$22</f>
        <v>0</v>
      </c>
      <c r="AF962" s="121" t="n">
        <f aca="false">MIN((AF169+AF170)*$C$5, $F$14)*'⑫ Roll-out Plan'!$O$22</f>
        <v>0</v>
      </c>
      <c r="AG962" s="121" t="n">
        <f aca="false">MIN((AG169+AG170)*$C$5, $F$14)*'⑫ Roll-out Plan'!$O$22</f>
        <v>0</v>
      </c>
      <c r="AH962" s="121" t="n">
        <f aca="false">MIN((AH169+AH170)*$C$5, $F$14)*'⑫ Roll-out Plan'!$O$22</f>
        <v>0</v>
      </c>
      <c r="AI962" s="121" t="n">
        <f aca="false">MIN((AI169+AI170)*$C$5, $F$14)*'⑫ Roll-out Plan'!$O$22</f>
        <v>0</v>
      </c>
      <c r="AJ962" s="121" t="n">
        <f aca="false">MIN((AJ169+AJ170)*$C$5, $F$14)*'⑫ Roll-out Plan'!$O$22</f>
        <v>0</v>
      </c>
      <c r="AK962" s="121" t="n">
        <f aca="false">MIN((AK169+AK170)*$C$5, $F$14)*'⑫ Roll-out Plan'!$O$22</f>
        <v>0</v>
      </c>
      <c r="AL962" s="121" t="n">
        <f aca="false">MIN((AL169+AL170)*$C$5, $F$14)*'⑫ Roll-out Plan'!$O$22</f>
        <v>0</v>
      </c>
      <c r="AM962" s="121" t="n">
        <f aca="false">MIN((AM169+AM170)*$C$5, $F$14)*'⑫ Roll-out Plan'!$O$22</f>
        <v>0</v>
      </c>
      <c r="AN962" s="121" t="n">
        <f aca="false">MIN((AN169+AN170)*$C$5, $F$14)*'⑫ Roll-out Plan'!$O$22</f>
        <v>0</v>
      </c>
      <c r="AO962" s="121" t="n">
        <f aca="false">MIN((AO169+AO170)*$C$5, $F$14)*'⑫ Roll-out Plan'!$O$22</f>
        <v>0</v>
      </c>
      <c r="AP962" s="121" t="n">
        <f aca="false">MIN((AP169+AP170)*$C$5, $F$14)*'⑫ Roll-out Plan'!$O$22</f>
        <v>0</v>
      </c>
      <c r="AQ962" s="121" t="n">
        <f aca="false">MIN((AQ169+AQ170)*$C$5, $F$14)*'⑫ Roll-out Plan'!$O$22</f>
        <v>0</v>
      </c>
      <c r="AR962" s="121" t="n">
        <f aca="false">MIN((AR169+AR170)*$C$5, $F$14)*'⑫ Roll-out Plan'!$O$22</f>
        <v>0</v>
      </c>
      <c r="AS962" s="121" t="n">
        <f aca="false">MIN((AS169+AS170)*$C$5, $F$14)*'⑫ Roll-out Plan'!$O$22</f>
        <v>0</v>
      </c>
      <c r="AT962" s="121" t="n">
        <f aca="false">MIN((AT169+AT170)*$C$5, $F$14)*'⑫ Roll-out Plan'!$O$22</f>
        <v>0</v>
      </c>
      <c r="AU962" s="121" t="n">
        <f aca="false">MIN((AU169+AU170)*$C$5, $F$14)*'⑫ Roll-out Plan'!$O$22</f>
        <v>0</v>
      </c>
      <c r="AV962" s="121" t="n">
        <f aca="false">MIN((AV169+AV170)*$C$5, $F$14)*'⑫ Roll-out Plan'!$O$22</f>
        <v>0</v>
      </c>
      <c r="AW962" s="121" t="n">
        <f aca="false">MIN((AW169+AW170)*$C$5, $F$14)*'⑫ Roll-out Plan'!$O$22</f>
        <v>0</v>
      </c>
      <c r="AX962" s="121" t="n">
        <f aca="false">MIN((AX169+AX170)*$C$5, $F$14)*'⑫ Roll-out Plan'!$O$22</f>
        <v>0</v>
      </c>
      <c r="AY962" s="121" t="n">
        <f aca="false">MIN((AY169+AY170)*$C$5, $F$14)*'⑫ Roll-out Plan'!$O$22</f>
        <v>0</v>
      </c>
      <c r="AZ962" s="121" t="n">
        <f aca="false">MIN((AZ169+AZ170)*$C$5, $F$14)*'⑫ Roll-out Plan'!$O$22</f>
        <v>0</v>
      </c>
      <c r="BA962" s="121" t="n">
        <f aca="false">MIN((BA169+BA170)*$C$5, $F$14)*'⑫ Roll-out Plan'!$O$22</f>
        <v>0</v>
      </c>
      <c r="BB962" s="121" t="n">
        <f aca="false">MIN((BB169+BB170)*$C$5, $F$14)*'⑫ Roll-out Plan'!$O$22</f>
        <v>0</v>
      </c>
      <c r="BC962" s="121" t="n">
        <f aca="false">MIN((BC169+BC170)*$C$5, $F$14)*'⑫ Roll-out Plan'!$O$22</f>
        <v>0</v>
      </c>
      <c r="BD962" s="121" t="n">
        <f aca="false">MIN((BD169+BD170)*$C$5, $F$14)*'⑫ Roll-out Plan'!$O$22</f>
        <v>0</v>
      </c>
      <c r="BE962" s="121" t="n">
        <f aca="false">MIN((BE169+BE170)*$C$5, $F$14)*'⑫ Roll-out Plan'!$O$22</f>
        <v>0</v>
      </c>
      <c r="BF962" s="121" t="n">
        <f aca="false">MIN((BF169+BF170)*$C$5, $F$14)*'⑫ Roll-out Plan'!$O$22</f>
        <v>0</v>
      </c>
      <c r="BG962" s="121" t="n">
        <f aca="false">MIN((BG169+BG170)*$C$5, $F$14)*'⑫ Roll-out Plan'!$O$22</f>
        <v>0</v>
      </c>
      <c r="BH962" s="121" t="n">
        <f aca="false">MIN((BH169+BH170)*$C$5, $F$14)*'⑫ Roll-out Plan'!$O$22</f>
        <v>0</v>
      </c>
      <c r="BI962" s="121" t="n">
        <f aca="false">MIN((BI169+BI170)*$C$5, $F$14)*'⑫ Roll-out Plan'!$O$22</f>
        <v>0</v>
      </c>
      <c r="BJ962" s="121" t="n">
        <f aca="false">MIN((BJ169+BJ170)*$C$5, $F$14)*'⑫ Roll-out Plan'!$O$22</f>
        <v>0</v>
      </c>
      <c r="BK962" s="121" t="n">
        <f aca="false">MIN((BK169+BK170)*$C$5, $F$14)*'⑫ Roll-out Plan'!$O$22</f>
        <v>0</v>
      </c>
      <c r="BL962" s="121" t="n">
        <f aca="false">MIN((BL169+BL170)*$C$5, $F$14)*'⑫ Roll-out Plan'!$O$22</f>
        <v>0</v>
      </c>
      <c r="BM962" s="121" t="n">
        <f aca="false">MIN((BM169+BM170)*$C$5, $F$14)*'⑫ Roll-out Plan'!$O$22</f>
        <v>0</v>
      </c>
      <c r="BN962" s="121" t="n">
        <f aca="false">MIN((BN169+BN170)*$C$5, $F$14)*'⑫ Roll-out Plan'!$O$22</f>
        <v>0</v>
      </c>
      <c r="BO962" s="121" t="n">
        <f aca="false">MIN((BO169+BO170)*$C$5, $F$14)*'⑫ Roll-out Plan'!$O$22</f>
        <v>0</v>
      </c>
      <c r="BP962" s="121" t="n">
        <f aca="false">MIN((BP169+BP170)*$C$5, $F$14)*'⑫ Roll-out Plan'!$O$22</f>
        <v>0</v>
      </c>
      <c r="BQ962" s="121" t="n">
        <f aca="false">MIN((BQ169+BQ170)*$C$5, $F$14)*'⑫ Roll-out Plan'!$O$22</f>
        <v>0</v>
      </c>
      <c r="BR962" s="121" t="n">
        <f aca="false">MIN((BR169+BR170)*$C$5, $F$14)*'⑫ Roll-out Plan'!$O$22</f>
        <v>0</v>
      </c>
      <c r="BS962" s="121" t="n">
        <f aca="false">MIN((BS169+BS170)*$C$5, $F$14)*'⑫ Roll-out Plan'!$O$22</f>
        <v>0</v>
      </c>
      <c r="BT962" s="121" t="n">
        <f aca="false">MIN((BT169+BT170)*$C$5, $F$14)*'⑫ Roll-out Plan'!$O$22</f>
        <v>0</v>
      </c>
      <c r="BU962" s="121" t="n">
        <f aca="false">MIN((BU169+BU170)*$C$5, $F$14)*'⑫ Roll-out Plan'!$O$22</f>
        <v>0</v>
      </c>
      <c r="BV962" s="121" t="n">
        <f aca="false">MIN((BV169+BV170)*$C$5, $F$14)*'⑫ Roll-out Plan'!$O$22</f>
        <v>0</v>
      </c>
      <c r="BW962" s="121" t="n">
        <f aca="false">MIN((BW169+BW170)*$C$5, $F$14)*'⑫ Roll-out Plan'!$O$22</f>
        <v>3961.44</v>
      </c>
      <c r="BX962" s="121" t="n">
        <f aca="false">MIN((BX169+BX170)*$C$5, $F$14)*'⑫ Roll-out Plan'!$O$22</f>
        <v>6680.30832</v>
      </c>
      <c r="BY962" s="121" t="n">
        <f aca="false">MIN((BY169+BY170)*$C$5, $F$14)*'⑫ Roll-out Plan'!$O$22</f>
        <v>7990.488576</v>
      </c>
      <c r="BZ962" s="121" t="n">
        <f aca="false">MIN((BZ169+BZ170)*$C$5, $F$14)*'⑫ Roll-out Plan'!$O$22</f>
        <v>7200.8151264</v>
      </c>
      <c r="CA962" s="121" t="n">
        <f aca="false">MIN((CA169+CA170)*$C$5, $F$14)*'⑫ Roll-out Plan'!$O$22</f>
        <v>9710.2289088</v>
      </c>
      <c r="CB962" s="121" t="n">
        <f aca="false">MIN((CB169+CB170)*$C$5, $F$14)*'⑫ Roll-out Plan'!$O$22</f>
        <v>10867.7440704</v>
      </c>
      <c r="CC962" s="121" t="n">
        <f aca="false">MIN((CC169+CC170)*$C$5, $F$14)*'⑫ Roll-out Plan'!$O$22</f>
        <v>10516.6020288</v>
      </c>
      <c r="CD962" s="121" t="n">
        <f aca="false">MIN((CD169+CD170)*$C$5, $F$14)*'⑫ Roll-out Plan'!$O$22</f>
        <v>10314.5069664</v>
      </c>
      <c r="CE962" s="121" t="n">
        <f aca="false">MIN((CE169+CE170)*$C$5, $F$14)*'⑫ Roll-out Plan'!$O$22</f>
        <v>11953.1434176</v>
      </c>
      <c r="CF962" s="121" t="n">
        <f aca="false">MIN((CF169+CF170)*$C$5, $F$14)*'⑫ Roll-out Plan'!$O$22</f>
        <v>19252.9769376</v>
      </c>
      <c r="CG962" s="121" t="n">
        <f aca="false">MIN((CG169+CG170)*$C$5, $F$14)*'⑫ Roll-out Plan'!$O$22</f>
        <v>18394.3392192</v>
      </c>
      <c r="CH962" s="121" t="n">
        <f aca="false">MIN((CH169+CH170)*$C$5, $F$14)*'⑫ Roll-out Plan'!$O$22</f>
        <v>16820.7144</v>
      </c>
      <c r="CI962" s="121" t="n">
        <f aca="false">MIN((CI169+CI170)*$C$5, $F$14)*'⑫ Roll-out Plan'!$O$22</f>
        <v>14262.4516608</v>
      </c>
      <c r="CJ962" s="121" t="n">
        <f aca="false">MIN((CJ169+CJ170)*$C$5, $F$14)*'⑫ Roll-out Plan'!$O$22</f>
        <v>19906.3768512</v>
      </c>
      <c r="CK962" s="121" t="n">
        <f aca="false">MIN((CK169+CK170)*$C$5, $F$14)*'⑫ Roll-out Plan'!$O$22</f>
        <v>21790.8778752</v>
      </c>
      <c r="CL962" s="121" t="n">
        <f aca="false">MIN((CL169+CL170)*$C$5, $F$14)*'⑫ Roll-out Plan'!$O$22</f>
        <v>21297.669792</v>
      </c>
      <c r="CM962" s="121" t="n">
        <f aca="false">MIN((CM169+CM170)*$C$5, $F$14)*'⑫ Roll-out Plan'!$O$22</f>
        <v>29716.698144</v>
      </c>
      <c r="CN962" s="121" t="n">
        <f aca="false">MIN((CN169+CN170)*$C$5, $F$14)*'⑫ Roll-out Plan'!$O$22</f>
        <v>30855.52939392</v>
      </c>
      <c r="CO962" s="121" t="n">
        <f aca="false">MIN((CO169+CO170)*$C$5, $F$14)*'⑫ Roll-out Plan'!$O$22</f>
        <v>27796.04898</v>
      </c>
      <c r="CP962" s="121" t="n">
        <f aca="false">MIN((CP169+CP170)*$C$5, $F$14)*'⑫ Roll-out Plan'!$O$22</f>
        <v>25016.95092624</v>
      </c>
      <c r="CQ962" s="121" t="n">
        <f aca="false">MIN((CQ169+CQ170)*$C$5, $F$14)*'⑫ Roll-out Plan'!$O$22</f>
        <v>26474.23727592</v>
      </c>
      <c r="CR962" s="121" t="n">
        <f aca="false">MIN((CR169+CR170)*$C$5, $F$14)*'⑫ Roll-out Plan'!$O$22</f>
        <v>35000</v>
      </c>
      <c r="CS962" s="121" t="n">
        <f aca="false">MIN((CS169+CS170)*$C$5, $F$14)*'⑫ Roll-out Plan'!$O$22</f>
        <v>35000</v>
      </c>
      <c r="CT962" s="121" t="n">
        <f aca="false">MIN((CT169+CT170)*$C$5, $F$14)*'⑫ Roll-out Plan'!$O$22</f>
        <v>34203.22305456</v>
      </c>
      <c r="CU962" s="121" t="n">
        <f aca="false">MIN((CU169+CU170)*$C$5, $F$14)*'⑫ Roll-out Plan'!$O$22</f>
        <v>27843.60650736</v>
      </c>
      <c r="CV962" s="121" t="n">
        <f aca="false">MIN((CV169+CV170)*$C$5, $F$14)*'⑫ Roll-out Plan'!$O$22</f>
        <v>35000</v>
      </c>
      <c r="CW962" s="121" t="n">
        <f aca="false">MIN((CW169+CW170)*$C$5, $F$14)*'⑫ Roll-out Plan'!$O$22</f>
        <v>35000</v>
      </c>
      <c r="CX962" s="121" t="n">
        <f aca="false">MIN((CX169+CX170)*$C$5, $F$14)*'⑫ Roll-out Plan'!$O$22</f>
        <v>33787.74634704</v>
      </c>
      <c r="CY962" s="121" t="n">
        <f aca="false">MIN((CY169+CY170)*$C$5, $F$14)*'⑫ Roll-out Plan'!$O$22</f>
        <v>35000</v>
      </c>
      <c r="CZ962" s="121" t="n">
        <f aca="false">MIN((CZ169+CZ170)*$C$5, $F$14)*'⑫ Roll-out Plan'!$O$22</f>
        <v>35000</v>
      </c>
      <c r="DA962" s="121" t="n">
        <f aca="false">MIN((DA169+DA170)*$C$5, $F$14)*'⑫ Roll-out Plan'!$O$22</f>
        <v>35000</v>
      </c>
      <c r="DB962" s="121" t="n">
        <f aca="false">MIN((DB169+DB170)*$C$5, $F$14)*'⑫ Roll-out Plan'!$O$22</f>
        <v>35000</v>
      </c>
      <c r="DC962" s="121" t="n">
        <f aca="false">MIN((DC169+DC170)*$C$5, $F$14)*'⑫ Roll-out Plan'!$O$22</f>
        <v>35000</v>
      </c>
      <c r="DD962" s="121" t="n">
        <f aca="false">MIN((DD169+DD170)*$C$5, $F$14)*'⑫ Roll-out Plan'!$O$22</f>
        <v>35000</v>
      </c>
      <c r="DE962" s="121" t="n">
        <f aca="false">MIN((DE169+DE170)*$C$5, $F$14)*'⑫ Roll-out Plan'!$O$22</f>
        <v>35000</v>
      </c>
      <c r="DF962" s="121" t="n">
        <f aca="false">MIN((DF169+DF170)*$C$5, $F$14)*'⑫ Roll-out Plan'!$O$22</f>
        <v>35000</v>
      </c>
      <c r="DG962" s="121" t="n">
        <f aca="false">MIN((DG169+DG170)*$C$5, $F$14)*'⑫ Roll-out Plan'!$O$22</f>
        <v>35000</v>
      </c>
      <c r="DH962" s="121" t="n">
        <f aca="false">MIN((DH169+DH170)*$C$5, $F$14)*'⑫ Roll-out Plan'!$O$22</f>
        <v>35000</v>
      </c>
      <c r="DI962" s="121" t="n">
        <f aca="false">MIN((DI169+DI170)*$C$5, $F$14)*'⑫ Roll-out Plan'!$O$22</f>
        <v>35000</v>
      </c>
      <c r="DJ962" s="121" t="n">
        <f aca="false">MIN((DJ169+DJ170)*$C$5, $F$14)*'⑫ Roll-out Plan'!$O$22</f>
        <v>35000</v>
      </c>
      <c r="DK962" s="121" t="n">
        <f aca="false">MIN((DK169+DK170)*$C$5, $F$14)*'⑫ Roll-out Plan'!$O$22</f>
        <v>35000</v>
      </c>
      <c r="DL962" s="121" t="n">
        <f aca="false">MIN((DL169+DL170)*$C$5, $F$14)*'⑫ Roll-out Plan'!$O$22</f>
        <v>35000</v>
      </c>
      <c r="DM962" s="121" t="n">
        <f aca="false">MIN((DM169+DM170)*$C$5, $F$14)*'⑫ Roll-out Plan'!$O$22</f>
        <v>35000</v>
      </c>
      <c r="DN962" s="121" t="n">
        <f aca="false">MIN((DN169+DN170)*$C$5, $F$14)*'⑫ Roll-out Plan'!$O$22</f>
        <v>35000</v>
      </c>
      <c r="DO962" s="121" t="n">
        <f aca="false">MIN((DO169+DO170)*$C$5, $F$14)*'⑫ Roll-out Plan'!$O$22</f>
        <v>35000</v>
      </c>
      <c r="DP962" s="121" t="n">
        <f aca="false">MIN((DP169+DP170)*$C$5, $F$14)*'⑫ Roll-out Plan'!$O$22</f>
        <v>35000</v>
      </c>
      <c r="DQ962" s="121" t="n">
        <f aca="false">MIN((DQ169+DQ170)*$C$5, $F$14)*'⑫ Roll-out Plan'!$O$22</f>
        <v>35000</v>
      </c>
      <c r="DR962" s="121" t="n">
        <f aca="false">MIN((DR169+DR170)*$C$5, $F$14)*'⑫ Roll-out Plan'!$O$22</f>
        <v>35000</v>
      </c>
      <c r="DS962" s="121" t="n">
        <f aca="false">MIN((DS169+DS170)*$C$5, $F$14)*'⑫ Roll-out Plan'!$O$22</f>
        <v>35000</v>
      </c>
      <c r="DT962" s="121" t="n">
        <f aca="false">MIN((DT169+DT170)*$C$5, $F$14)*'⑫ Roll-out Plan'!$O$22</f>
        <v>35000</v>
      </c>
      <c r="DU962" s="121" t="n">
        <f aca="false">MIN((DU169+DU170)*$C$5, $F$14)*'⑫ Roll-out Plan'!$O$22</f>
        <v>35000</v>
      </c>
      <c r="DV962" s="121" t="n">
        <f aca="false">MIN((DV169+DV170)*$C$5, $F$14)*'⑫ Roll-out Plan'!$O$22</f>
        <v>35000</v>
      </c>
      <c r="DW962" s="121" t="n">
        <f aca="false">MIN((DW169+DW170)*$C$5, $F$14)*'⑫ Roll-out Plan'!$O$22</f>
        <v>35000</v>
      </c>
      <c r="DX962" s="121" t="n">
        <f aca="false">MIN((DX169+DX170)*$C$5, $F$14)*'⑫ Roll-out Plan'!$O$22</f>
        <v>35000</v>
      </c>
      <c r="DY962" s="121" t="n">
        <f aca="false">MIN((DY169+DY170)*$C$5, $F$14)*'⑫ Roll-out Plan'!$O$22</f>
        <v>35000</v>
      </c>
      <c r="DZ962" s="121" t="n">
        <f aca="false">MIN((DZ169+DZ170)*$C$5, $F$14)*'⑫ Roll-out Plan'!$O$22</f>
        <v>35000</v>
      </c>
      <c r="EA962" s="121" t="n">
        <f aca="false">MIN((EA169+EA170)*$C$5, $F$14)*'⑫ Roll-out Plan'!$O$22</f>
        <v>35000</v>
      </c>
      <c r="EB962" s="121" t="n">
        <f aca="false">MIN((EB169+EB170)*$C$5, $F$14)*'⑫ Roll-out Plan'!$O$22</f>
        <v>35000</v>
      </c>
      <c r="EC962" s="121" t="n">
        <f aca="false">MIN((EC169+EC170)*$C$5, $F$14)*'⑫ Roll-out Plan'!$O$22</f>
        <v>35000</v>
      </c>
      <c r="ED962" s="121" t="n">
        <f aca="false">MIN((ED169+ED170)*$C$5, $F$14)*'⑫ Roll-out Plan'!$O$22</f>
        <v>35000</v>
      </c>
      <c r="EE962" s="121" t="n">
        <f aca="false">MIN((EE169+EE170)*$C$5, $F$14)*'⑫ Roll-out Plan'!$O$22</f>
        <v>35000</v>
      </c>
      <c r="EF962" s="121" t="n">
        <f aca="false">MIN((EF169+EF170)*$C$5, $F$14)*'⑫ Roll-out Plan'!$O$22</f>
        <v>35000</v>
      </c>
      <c r="EG962" s="121" t="n">
        <f aca="false">MIN((EG169+EG170)*$C$5, $F$14)*'⑫ Roll-out Plan'!$O$22</f>
        <v>35000</v>
      </c>
      <c r="EH962" s="121" t="n">
        <f aca="false">MIN((EH169+EH170)*$C$5, $F$14)*'⑫ Roll-out Plan'!$O$22</f>
        <v>35000</v>
      </c>
      <c r="EI962" s="121" t="n">
        <f aca="false">MIN((EI169+EI170)*$C$5, $F$14)*'⑫ Roll-out Plan'!$O$22</f>
        <v>35000</v>
      </c>
      <c r="EJ962" s="121" t="n">
        <f aca="false">MIN((EJ169+EJ170)*$C$5, $F$14)*'⑫ Roll-out Plan'!$O$22</f>
        <v>35000</v>
      </c>
      <c r="EK962" s="121" t="n">
        <f aca="false">MIN((EK169+EK170)*$C$5, $F$14)*'⑫ Roll-out Plan'!$O$22</f>
        <v>35000</v>
      </c>
      <c r="EL962" s="121" t="n">
        <f aca="false">MIN((EL169+EL170)*$C$5, $F$14)*'⑫ Roll-out Plan'!$O$22</f>
        <v>35000</v>
      </c>
      <c r="EM962" s="121" t="n">
        <f aca="false">MIN((EM169+EM170)*$C$5, $F$14)*'⑫ Roll-out Plan'!$O$22</f>
        <v>35000</v>
      </c>
      <c r="EN962" s="121" t="n">
        <f aca="false">MIN((EN169+EN170)*$C$5, $F$14)*'⑫ Roll-out Plan'!$O$22</f>
        <v>35000</v>
      </c>
      <c r="EO962" s="121" t="n">
        <f aca="false">MIN((EO169+EO170)*$C$5, $F$14)*'⑫ Roll-out Plan'!$O$22</f>
        <v>35000</v>
      </c>
      <c r="EP962" s="121" t="n">
        <f aca="false">MIN((EP169+EP170)*$C$5, $F$14)*'⑫ Roll-out Plan'!$O$22</f>
        <v>35000</v>
      </c>
      <c r="EQ962" s="121" t="n">
        <f aca="false">MIN((EQ169+EQ170)*$C$5, $F$14)*'⑫ Roll-out Plan'!$O$22</f>
        <v>35000</v>
      </c>
      <c r="ER962" s="121" t="n">
        <f aca="false">MIN((ER169+ER170)*$C$5, $F$14)*'⑫ Roll-out Plan'!$O$22</f>
        <v>35000</v>
      </c>
      <c r="ES962" s="9" t="n">
        <f aca="false">MIN((ES169+ES170)*$C$5, $F$14)*'⑫ Roll-out Plan'!$O$22</f>
        <v>35000</v>
      </c>
      <c r="ET962" s="9" t="n">
        <f aca="false">MIN((ET169+ET170)*$C$5, $F$14)*'⑫ Roll-out Plan'!$O$22</f>
        <v>35000</v>
      </c>
      <c r="EU962" s="9" t="n">
        <f aca="false">MIN((EU169+EU170)*$C$5, $F$14)*'⑫ Roll-out Plan'!$O$22</f>
        <v>35000</v>
      </c>
      <c r="EV962" s="9" t="n">
        <f aca="false">MIN((EV169+EV170)*$C$5, $F$14)*'⑫ Roll-out Plan'!$O$22</f>
        <v>35000</v>
      </c>
      <c r="EW962" s="9" t="n">
        <f aca="false">MIN((EW169+EW170)*$C$5, $F$14)*'⑫ Roll-out Plan'!$O$22</f>
        <v>35000</v>
      </c>
      <c r="EX962" s="9" t="n">
        <f aca="false">MIN((EX169+EX170)*$C$5, $F$14)*'⑫ Roll-out Plan'!$O$22</f>
        <v>35000</v>
      </c>
      <c r="EY962" s="9" t="n">
        <f aca="false">MIN((EY169+EY170)*$C$5, $F$14)*'⑫ Roll-out Plan'!$O$22</f>
        <v>35000</v>
      </c>
      <c r="EZ962" s="9" t="n">
        <f aca="false">MIN((EZ169+EZ170)*$C$5, $F$14)*'⑫ Roll-out Plan'!$O$22</f>
        <v>35000</v>
      </c>
      <c r="FA962" s="9" t="n">
        <f aca="false">MIN((FA169+FA170)*$C$5, $F$14)*'⑫ Roll-out Plan'!$O$22</f>
        <v>35000</v>
      </c>
      <c r="FB962" s="9" t="n">
        <f aca="false">MIN((FB169+FB170)*$C$5, $F$14)*'⑫ Roll-out Plan'!$O$22</f>
        <v>35000</v>
      </c>
      <c r="FC962" s="9" t="n">
        <f aca="false">MIN((FC169+FC170)*$C$5, $F$14)*'⑫ Roll-out Plan'!$O$22</f>
        <v>35000</v>
      </c>
      <c r="FD962" s="9" t="n">
        <f aca="false">MIN((FD169+FD170)*$C$5, $F$14)*'⑫ Roll-out Plan'!$O$22</f>
        <v>35000</v>
      </c>
      <c r="FE962" s="9" t="n">
        <f aca="false">MIN((FE169+FE170)*$C$5, $F$14)*'⑫ Roll-out Plan'!$O$22</f>
        <v>35000</v>
      </c>
      <c r="FF962" s="9" t="n">
        <f aca="false">MIN((FF169+FF170)*$C$5, $F$14)*'⑫ Roll-out Plan'!$O$22</f>
        <v>35000</v>
      </c>
      <c r="FG962" s="9" t="n">
        <f aca="false">MIN((FG169+FG170)*$C$5, $F$14)*'⑫ Roll-out Plan'!$O$22</f>
        <v>35000</v>
      </c>
      <c r="FH962" s="9" t="n">
        <f aca="false">MIN((FH169+FH170)*$C$5, $F$14)*'⑫ Roll-out Plan'!$O$22</f>
        <v>35000</v>
      </c>
      <c r="FI962" s="9" t="n">
        <f aca="false">MIN((FI169+FI170)*$C$5, $F$14)*'⑫ Roll-out Plan'!$O$22</f>
        <v>35000</v>
      </c>
      <c r="FJ962" s="9" t="n">
        <f aca="false">MIN((FJ169+FJ170)*$C$5, $F$14)*'⑫ Roll-out Plan'!$O$22</f>
        <v>35000</v>
      </c>
      <c r="FK962" s="9" t="n">
        <f aca="false">MIN((FK169+FK170)*$C$5, $F$14)*'⑫ Roll-out Plan'!$O$22</f>
        <v>35000</v>
      </c>
      <c r="FL962" s="9" t="n">
        <f aca="false">MIN((FL169+FL170)*$C$5, $F$14)*'⑫ Roll-out Plan'!$O$22</f>
        <v>35000</v>
      </c>
      <c r="FM962" s="9" t="n">
        <f aca="false">MIN((FM169+FM170)*$C$5, $F$14)*'⑫ Roll-out Plan'!$O$22</f>
        <v>35000</v>
      </c>
      <c r="FN962" s="9" t="n">
        <f aca="false">MIN((FN169+FN170)*$C$5, $F$14)*'⑫ Roll-out Plan'!$O$22</f>
        <v>35000</v>
      </c>
      <c r="FO962" s="9" t="n">
        <f aca="false">MIN((FO169+FO170)*$C$5, $F$14)*'⑫ Roll-out Plan'!$O$22</f>
        <v>35000</v>
      </c>
      <c r="FP962" s="9" t="n">
        <f aca="false">MIN((FP169+FP170)*$C$5, $F$14)*'⑫ Roll-out Plan'!$O$22</f>
        <v>35000</v>
      </c>
    </row>
    <row r="963" customFormat="false" ht="15" hidden="false" customHeight="false" outlineLevel="0" collapsed="false">
      <c r="B963" s="10" t="s">
        <v>988</v>
      </c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121" t="n">
        <f aca="false">MIN((AC179+AC180)*$C$5, $F$15)*'⑫ Roll-out Plan'!$O$23</f>
        <v>0</v>
      </c>
      <c r="AD963" s="121" t="n">
        <f aca="false">MIN((AD179+AD180)*$C$5, $F$15)*'⑫ Roll-out Plan'!$O$23</f>
        <v>0</v>
      </c>
      <c r="AE963" s="121" t="n">
        <f aca="false">MIN((AE179+AE180)*$C$5, $F$15)*'⑫ Roll-out Plan'!$O$23</f>
        <v>0</v>
      </c>
      <c r="AF963" s="121" t="n">
        <f aca="false">MIN((AF179+AF180)*$C$5, $F$15)*'⑫ Roll-out Plan'!$O$23</f>
        <v>0</v>
      </c>
      <c r="AG963" s="121" t="n">
        <f aca="false">MIN((AG179+AG180)*$C$5, $F$15)*'⑫ Roll-out Plan'!$O$23</f>
        <v>0</v>
      </c>
      <c r="AH963" s="121" t="n">
        <f aca="false">MIN((AH179+AH180)*$C$5, $F$15)*'⑫ Roll-out Plan'!$O$23</f>
        <v>0</v>
      </c>
      <c r="AI963" s="121" t="n">
        <f aca="false">MIN((AI179+AI180)*$C$5, $F$15)*'⑫ Roll-out Plan'!$O$23</f>
        <v>0</v>
      </c>
      <c r="AJ963" s="121" t="n">
        <f aca="false">MIN((AJ179+AJ180)*$C$5, $F$15)*'⑫ Roll-out Plan'!$O$23</f>
        <v>0</v>
      </c>
      <c r="AK963" s="121" t="n">
        <f aca="false">MIN((AK179+AK180)*$C$5, $F$15)*'⑫ Roll-out Plan'!$O$23</f>
        <v>0</v>
      </c>
      <c r="AL963" s="121" t="n">
        <f aca="false">MIN((AL179+AL180)*$C$5, $F$15)*'⑫ Roll-out Plan'!$O$23</f>
        <v>0</v>
      </c>
      <c r="AM963" s="121" t="n">
        <f aca="false">MIN((AM179+AM180)*$C$5, $F$15)*'⑫ Roll-out Plan'!$O$23</f>
        <v>0</v>
      </c>
      <c r="AN963" s="121" t="n">
        <f aca="false">MIN((AN179+AN180)*$C$5, $F$15)*'⑫ Roll-out Plan'!$O$23</f>
        <v>0</v>
      </c>
      <c r="AO963" s="121" t="n">
        <f aca="false">MIN((AO179+AO180)*$C$5, $F$15)*'⑫ Roll-out Plan'!$O$23</f>
        <v>0</v>
      </c>
      <c r="AP963" s="121" t="n">
        <f aca="false">MIN((AP179+AP180)*$C$5, $F$15)*'⑫ Roll-out Plan'!$O$23</f>
        <v>0</v>
      </c>
      <c r="AQ963" s="121" t="n">
        <f aca="false">MIN((AQ179+AQ180)*$C$5, $F$15)*'⑫ Roll-out Plan'!$O$23</f>
        <v>0</v>
      </c>
      <c r="AR963" s="121" t="n">
        <f aca="false">MIN((AR179+AR180)*$C$5, $F$15)*'⑫ Roll-out Plan'!$O$23</f>
        <v>0</v>
      </c>
      <c r="AS963" s="121" t="n">
        <f aca="false">MIN((AS179+AS180)*$C$5, $F$15)*'⑫ Roll-out Plan'!$O$23</f>
        <v>0</v>
      </c>
      <c r="AT963" s="121" t="n">
        <f aca="false">MIN((AT179+AT180)*$C$5, $F$15)*'⑫ Roll-out Plan'!$O$23</f>
        <v>0</v>
      </c>
      <c r="AU963" s="121" t="n">
        <f aca="false">MIN((AU179+AU180)*$C$5, $F$15)*'⑫ Roll-out Plan'!$O$23</f>
        <v>0</v>
      </c>
      <c r="AV963" s="121" t="n">
        <f aca="false">MIN((AV179+AV180)*$C$5, $F$15)*'⑫ Roll-out Plan'!$O$23</f>
        <v>0</v>
      </c>
      <c r="AW963" s="121" t="n">
        <f aca="false">MIN((AW179+AW180)*$C$5, $F$15)*'⑫ Roll-out Plan'!$O$23</f>
        <v>0</v>
      </c>
      <c r="AX963" s="121" t="n">
        <f aca="false">MIN((AX179+AX180)*$C$5, $F$15)*'⑫ Roll-out Plan'!$O$23</f>
        <v>0</v>
      </c>
      <c r="AY963" s="121" t="n">
        <f aca="false">MIN((AY179+AY180)*$C$5, $F$15)*'⑫ Roll-out Plan'!$O$23</f>
        <v>0</v>
      </c>
      <c r="AZ963" s="121" t="n">
        <f aca="false">MIN((AZ179+AZ180)*$C$5, $F$15)*'⑫ Roll-out Plan'!$O$23</f>
        <v>0</v>
      </c>
      <c r="BA963" s="121" t="n">
        <f aca="false">MIN((BA179+BA180)*$C$5, $F$15)*'⑫ Roll-out Plan'!$O$23</f>
        <v>0</v>
      </c>
      <c r="BB963" s="121" t="n">
        <f aca="false">MIN((BB179+BB180)*$C$5, $F$15)*'⑫ Roll-out Plan'!$O$23</f>
        <v>0</v>
      </c>
      <c r="BC963" s="121" t="n">
        <f aca="false">MIN((BC179+BC180)*$C$5, $F$15)*'⑫ Roll-out Plan'!$O$23</f>
        <v>0</v>
      </c>
      <c r="BD963" s="121" t="n">
        <f aca="false">MIN((BD179+BD180)*$C$5, $F$15)*'⑫ Roll-out Plan'!$O$23</f>
        <v>0</v>
      </c>
      <c r="BE963" s="121" t="n">
        <f aca="false">MIN((BE179+BE180)*$C$5, $F$15)*'⑫ Roll-out Plan'!$O$23</f>
        <v>0</v>
      </c>
      <c r="BF963" s="121" t="n">
        <f aca="false">MIN((BF179+BF180)*$C$5, $F$15)*'⑫ Roll-out Plan'!$O$23</f>
        <v>0</v>
      </c>
      <c r="BG963" s="121" t="n">
        <f aca="false">MIN((BG179+BG180)*$C$5, $F$15)*'⑫ Roll-out Plan'!$O$23</f>
        <v>0</v>
      </c>
      <c r="BH963" s="121" t="n">
        <f aca="false">MIN((BH179+BH180)*$C$5, $F$15)*'⑫ Roll-out Plan'!$O$23</f>
        <v>0</v>
      </c>
      <c r="BI963" s="121" t="n">
        <f aca="false">MIN((BI179+BI180)*$C$5, $F$15)*'⑫ Roll-out Plan'!$O$23</f>
        <v>0</v>
      </c>
      <c r="BJ963" s="121" t="n">
        <f aca="false">MIN((BJ179+BJ180)*$C$5, $F$15)*'⑫ Roll-out Plan'!$O$23</f>
        <v>0</v>
      </c>
      <c r="BK963" s="121" t="n">
        <f aca="false">MIN((BK179+BK180)*$C$5, $F$15)*'⑫ Roll-out Plan'!$O$23</f>
        <v>0</v>
      </c>
      <c r="BL963" s="121" t="n">
        <f aca="false">MIN((BL179+BL180)*$C$5, $F$15)*'⑫ Roll-out Plan'!$O$23</f>
        <v>0</v>
      </c>
      <c r="BM963" s="121" t="n">
        <f aca="false">MIN((BM179+BM180)*$C$5, $F$15)*'⑫ Roll-out Plan'!$O$23</f>
        <v>0</v>
      </c>
      <c r="BN963" s="121" t="n">
        <f aca="false">MIN((BN179+BN180)*$C$5, $F$15)*'⑫ Roll-out Plan'!$O$23</f>
        <v>0</v>
      </c>
      <c r="BO963" s="121" t="n">
        <f aca="false">MIN((BO179+BO180)*$C$5, $F$15)*'⑫ Roll-out Plan'!$O$23</f>
        <v>0</v>
      </c>
      <c r="BP963" s="121" t="n">
        <f aca="false">MIN((BP179+BP180)*$C$5, $F$15)*'⑫ Roll-out Plan'!$O$23</f>
        <v>0</v>
      </c>
      <c r="BQ963" s="121" t="n">
        <f aca="false">MIN((BQ179+BQ180)*$C$5, $F$15)*'⑫ Roll-out Plan'!$O$23</f>
        <v>0</v>
      </c>
      <c r="BR963" s="121" t="n">
        <f aca="false">MIN((BR179+BR180)*$C$5, $F$15)*'⑫ Roll-out Plan'!$O$23</f>
        <v>0</v>
      </c>
      <c r="BS963" s="121" t="n">
        <f aca="false">MIN((BS179+BS180)*$C$5, $F$15)*'⑫ Roll-out Plan'!$O$23</f>
        <v>4071.48</v>
      </c>
      <c r="BT963" s="121" t="n">
        <f aca="false">MIN((BT179+BT180)*$C$5, $F$15)*'⑫ Roll-out Plan'!$O$23</f>
        <v>8092.16344</v>
      </c>
      <c r="BU963" s="121" t="n">
        <f aca="false">MIN((BU179+BU180)*$C$5, $F$15)*'⑫ Roll-out Plan'!$O$23</f>
        <v>7787.77184</v>
      </c>
      <c r="BV963" s="121" t="n">
        <f aca="false">MIN((BV179+BV180)*$C$5, $F$15)*'⑫ Roll-out Plan'!$O$23</f>
        <v>7369.7820704</v>
      </c>
      <c r="BW963" s="121" t="n">
        <f aca="false">MIN((BW179+BW180)*$C$5, $F$15)*'⑫ Roll-out Plan'!$O$23</f>
        <v>5855.796416</v>
      </c>
      <c r="BX963" s="121" t="n">
        <f aca="false">MIN((BX179+BX180)*$C$5, $F$15)*'⑫ Roll-out Plan'!$O$23</f>
        <v>8663.838008</v>
      </c>
      <c r="BY963" s="121" t="n">
        <f aca="false">MIN((BY179+BY180)*$C$5, $F$15)*'⑫ Roll-out Plan'!$O$23</f>
        <v>10543.9233888</v>
      </c>
      <c r="BZ963" s="121" t="n">
        <f aca="false">MIN((BZ179+BZ180)*$C$5, $F$15)*'⑫ Roll-out Plan'!$O$23</f>
        <v>9410.004576</v>
      </c>
      <c r="CA963" s="121" t="n">
        <f aca="false">MIN((CA179+CA180)*$C$5, $F$15)*'⑫ Roll-out Plan'!$O$23</f>
        <v>13988.1473024</v>
      </c>
      <c r="CB963" s="121" t="n">
        <f aca="false">MIN((CB179+CB180)*$C$5, $F$15)*'⑫ Roll-out Plan'!$O$23</f>
        <v>14011.4982096</v>
      </c>
      <c r="CC963" s="121" t="n">
        <f aca="false">MIN((CC179+CC180)*$C$5, $F$15)*'⑫ Roll-out Plan'!$O$23</f>
        <v>13085.5661056</v>
      </c>
      <c r="CD963" s="121" t="n">
        <f aca="false">MIN((CD179+CD180)*$C$5, $F$15)*'⑫ Roll-out Plan'!$O$23</f>
        <v>12475.673912</v>
      </c>
      <c r="CE963" s="121" t="n">
        <f aca="false">MIN((CE179+CE180)*$C$5, $F$15)*'⑫ Roll-out Plan'!$O$23</f>
        <v>13877.6667232</v>
      </c>
      <c r="CF963" s="121" t="n">
        <f aca="false">MIN((CF179+CF180)*$C$5, $F$15)*'⑫ Roll-out Plan'!$O$23</f>
        <v>23540.676944</v>
      </c>
      <c r="CG963" s="121" t="n">
        <f aca="false">MIN((CG179+CG180)*$C$5, $F$15)*'⑫ Roll-out Plan'!$O$23</f>
        <v>21086.156144</v>
      </c>
      <c r="CH963" s="121" t="n">
        <f aca="false">MIN((CH179+CH180)*$C$5, $F$15)*'⑫ Roll-out Plan'!$O$23</f>
        <v>21666.4622496</v>
      </c>
      <c r="CI963" s="121" t="n">
        <f aca="false">MIN((CI179+CI180)*$C$5, $F$15)*'⑫ Roll-out Plan'!$O$23</f>
        <v>18174.000992</v>
      </c>
      <c r="CJ963" s="121" t="n">
        <f aca="false">MIN((CJ179+CJ180)*$C$5, $F$15)*'⑫ Roll-out Plan'!$O$23</f>
        <v>24558.84009056</v>
      </c>
      <c r="CK963" s="121" t="n">
        <f aca="false">MIN((CK179+CK180)*$C$5, $F$15)*'⑫ Roll-out Plan'!$O$23</f>
        <v>27000</v>
      </c>
      <c r="CL963" s="121" t="n">
        <f aca="false">MIN((CL179+CL180)*$C$5, $F$15)*'⑫ Roll-out Plan'!$O$23</f>
        <v>22784.2560628</v>
      </c>
      <c r="CM963" s="121" t="n">
        <f aca="false">MIN((CM179+CM180)*$C$5, $F$15)*'⑫ Roll-out Plan'!$O$23</f>
        <v>27000</v>
      </c>
      <c r="CN963" s="121" t="n">
        <f aca="false">MIN((CN179+CN180)*$C$5, $F$15)*'⑫ Roll-out Plan'!$O$23</f>
        <v>27000</v>
      </c>
      <c r="CO963" s="121" t="n">
        <f aca="false">MIN((CO179+CO180)*$C$5, $F$15)*'⑫ Roll-out Plan'!$O$23</f>
        <v>27000</v>
      </c>
      <c r="CP963" s="121" t="n">
        <f aca="false">MIN((CP179+CP180)*$C$5, $F$15)*'⑫ Roll-out Plan'!$O$23</f>
        <v>25728.48303828</v>
      </c>
      <c r="CQ963" s="121" t="n">
        <f aca="false">MIN((CQ179+CQ180)*$C$5, $F$15)*'⑫ Roll-out Plan'!$O$23</f>
        <v>26663.36483696</v>
      </c>
      <c r="CR963" s="121" t="n">
        <f aca="false">MIN((CR179+CR180)*$C$5, $F$15)*'⑫ Roll-out Plan'!$O$23</f>
        <v>27000</v>
      </c>
      <c r="CS963" s="121" t="n">
        <f aca="false">MIN((CS179+CS180)*$C$5, $F$15)*'⑫ Roll-out Plan'!$O$23</f>
        <v>27000</v>
      </c>
      <c r="CT963" s="121" t="n">
        <f aca="false">MIN((CT179+CT180)*$C$5, $F$15)*'⑫ Roll-out Plan'!$O$23</f>
        <v>27000</v>
      </c>
      <c r="CU963" s="121" t="n">
        <f aca="false">MIN((CU179+CU180)*$C$5, $F$15)*'⑫ Roll-out Plan'!$O$23</f>
        <v>27000</v>
      </c>
      <c r="CV963" s="121" t="n">
        <f aca="false">MIN((CV179+CV180)*$C$5, $F$15)*'⑫ Roll-out Plan'!$O$23</f>
        <v>27000</v>
      </c>
      <c r="CW963" s="121" t="n">
        <f aca="false">MIN((CW179+CW180)*$C$5, $F$15)*'⑫ Roll-out Plan'!$O$23</f>
        <v>27000</v>
      </c>
      <c r="CX963" s="121" t="n">
        <f aca="false">MIN((CX179+CX180)*$C$5, $F$15)*'⑫ Roll-out Plan'!$O$23</f>
        <v>27000</v>
      </c>
      <c r="CY963" s="121" t="n">
        <f aca="false">MIN((CY179+CY180)*$C$5, $F$15)*'⑫ Roll-out Plan'!$O$23</f>
        <v>27000</v>
      </c>
      <c r="CZ963" s="121" t="n">
        <f aca="false">MIN((CZ179+CZ180)*$C$5, $F$15)*'⑫ Roll-out Plan'!$O$23</f>
        <v>27000</v>
      </c>
      <c r="DA963" s="121" t="n">
        <f aca="false">MIN((DA179+DA180)*$C$5, $F$15)*'⑫ Roll-out Plan'!$O$23</f>
        <v>27000</v>
      </c>
      <c r="DB963" s="121" t="n">
        <f aca="false">MIN((DB179+DB180)*$C$5, $F$15)*'⑫ Roll-out Plan'!$O$23</f>
        <v>27000</v>
      </c>
      <c r="DC963" s="121" t="n">
        <f aca="false">MIN((DC179+DC180)*$C$5, $F$15)*'⑫ Roll-out Plan'!$O$23</f>
        <v>27000</v>
      </c>
      <c r="DD963" s="121" t="n">
        <f aca="false">MIN((DD179+DD180)*$C$5, $F$15)*'⑫ Roll-out Plan'!$O$23</f>
        <v>27000</v>
      </c>
      <c r="DE963" s="121" t="n">
        <f aca="false">MIN((DE179+DE180)*$C$5, $F$15)*'⑫ Roll-out Plan'!$O$23</f>
        <v>27000</v>
      </c>
      <c r="DF963" s="121" t="n">
        <f aca="false">MIN((DF179+DF180)*$C$5, $F$15)*'⑫ Roll-out Plan'!$O$23</f>
        <v>27000</v>
      </c>
      <c r="DG963" s="121" t="n">
        <f aca="false">MIN((DG179+DG180)*$C$5, $F$15)*'⑫ Roll-out Plan'!$O$23</f>
        <v>27000</v>
      </c>
      <c r="DH963" s="121" t="n">
        <f aca="false">MIN((DH179+DH180)*$C$5, $F$15)*'⑫ Roll-out Plan'!$O$23</f>
        <v>27000</v>
      </c>
      <c r="DI963" s="121" t="n">
        <f aca="false">MIN((DI179+DI180)*$C$5, $F$15)*'⑫ Roll-out Plan'!$O$23</f>
        <v>27000</v>
      </c>
      <c r="DJ963" s="121" t="n">
        <f aca="false">MIN((DJ179+DJ180)*$C$5, $F$15)*'⑫ Roll-out Plan'!$O$23</f>
        <v>27000</v>
      </c>
      <c r="DK963" s="121" t="n">
        <f aca="false">MIN((DK179+DK180)*$C$5, $F$15)*'⑫ Roll-out Plan'!$O$23</f>
        <v>27000</v>
      </c>
      <c r="DL963" s="121" t="n">
        <f aca="false">MIN((DL179+DL180)*$C$5, $F$15)*'⑫ Roll-out Plan'!$O$23</f>
        <v>27000</v>
      </c>
      <c r="DM963" s="121" t="n">
        <f aca="false">MIN((DM179+DM180)*$C$5, $F$15)*'⑫ Roll-out Plan'!$O$23</f>
        <v>27000</v>
      </c>
      <c r="DN963" s="121" t="n">
        <f aca="false">MIN((DN179+DN180)*$C$5, $F$15)*'⑫ Roll-out Plan'!$O$23</f>
        <v>27000</v>
      </c>
      <c r="DO963" s="121" t="n">
        <f aca="false">MIN((DO179+DO180)*$C$5, $F$15)*'⑫ Roll-out Plan'!$O$23</f>
        <v>27000</v>
      </c>
      <c r="DP963" s="121" t="n">
        <f aca="false">MIN((DP179+DP180)*$C$5, $F$15)*'⑫ Roll-out Plan'!$O$23</f>
        <v>27000</v>
      </c>
      <c r="DQ963" s="121" t="n">
        <f aca="false">MIN((DQ179+DQ180)*$C$5, $F$15)*'⑫ Roll-out Plan'!$O$23</f>
        <v>27000</v>
      </c>
      <c r="DR963" s="121" t="n">
        <f aca="false">MIN((DR179+DR180)*$C$5, $F$15)*'⑫ Roll-out Plan'!$O$23</f>
        <v>27000</v>
      </c>
      <c r="DS963" s="121" t="n">
        <f aca="false">MIN((DS179+DS180)*$C$5, $F$15)*'⑫ Roll-out Plan'!$O$23</f>
        <v>27000</v>
      </c>
      <c r="DT963" s="121" t="n">
        <f aca="false">MIN((DT179+DT180)*$C$5, $F$15)*'⑫ Roll-out Plan'!$O$23</f>
        <v>27000</v>
      </c>
      <c r="DU963" s="121" t="n">
        <f aca="false">MIN((DU179+DU180)*$C$5, $F$15)*'⑫ Roll-out Plan'!$O$23</f>
        <v>27000</v>
      </c>
      <c r="DV963" s="121" t="n">
        <f aca="false">MIN((DV179+DV180)*$C$5, $F$15)*'⑫ Roll-out Plan'!$O$23</f>
        <v>27000</v>
      </c>
      <c r="DW963" s="121" t="n">
        <f aca="false">MIN((DW179+DW180)*$C$5, $F$15)*'⑫ Roll-out Plan'!$O$23</f>
        <v>27000</v>
      </c>
      <c r="DX963" s="121" t="n">
        <f aca="false">MIN((DX179+DX180)*$C$5, $F$15)*'⑫ Roll-out Plan'!$O$23</f>
        <v>27000</v>
      </c>
      <c r="DY963" s="121" t="n">
        <f aca="false">MIN((DY179+DY180)*$C$5, $F$15)*'⑫ Roll-out Plan'!$O$23</f>
        <v>27000</v>
      </c>
      <c r="DZ963" s="121" t="n">
        <f aca="false">MIN((DZ179+DZ180)*$C$5, $F$15)*'⑫ Roll-out Plan'!$O$23</f>
        <v>27000</v>
      </c>
      <c r="EA963" s="121" t="n">
        <f aca="false">MIN((EA179+EA180)*$C$5, $F$15)*'⑫ Roll-out Plan'!$O$23</f>
        <v>27000</v>
      </c>
      <c r="EB963" s="121" t="n">
        <f aca="false">MIN((EB179+EB180)*$C$5, $F$15)*'⑫ Roll-out Plan'!$O$23</f>
        <v>27000</v>
      </c>
      <c r="EC963" s="121" t="n">
        <f aca="false">MIN((EC179+EC180)*$C$5, $F$15)*'⑫ Roll-out Plan'!$O$23</f>
        <v>27000</v>
      </c>
      <c r="ED963" s="121" t="n">
        <f aca="false">MIN((ED179+ED180)*$C$5, $F$15)*'⑫ Roll-out Plan'!$O$23</f>
        <v>27000</v>
      </c>
      <c r="EE963" s="121" t="n">
        <f aca="false">MIN((EE179+EE180)*$C$5, $F$15)*'⑫ Roll-out Plan'!$O$23</f>
        <v>27000</v>
      </c>
      <c r="EF963" s="121" t="n">
        <f aca="false">MIN((EF179+EF180)*$C$5, $F$15)*'⑫ Roll-out Plan'!$O$23</f>
        <v>27000</v>
      </c>
      <c r="EG963" s="121" t="n">
        <f aca="false">MIN((EG179+EG180)*$C$5, $F$15)*'⑫ Roll-out Plan'!$O$23</f>
        <v>27000</v>
      </c>
      <c r="EH963" s="121" t="n">
        <f aca="false">MIN((EH179+EH180)*$C$5, $F$15)*'⑫ Roll-out Plan'!$O$23</f>
        <v>27000</v>
      </c>
      <c r="EI963" s="121" t="n">
        <f aca="false">MIN((EI179+EI180)*$C$5, $F$15)*'⑫ Roll-out Plan'!$O$23</f>
        <v>27000</v>
      </c>
      <c r="EJ963" s="121" t="n">
        <f aca="false">MIN((EJ179+EJ180)*$C$5, $F$15)*'⑫ Roll-out Plan'!$O$23</f>
        <v>27000</v>
      </c>
      <c r="EK963" s="121" t="n">
        <f aca="false">MIN((EK179+EK180)*$C$5, $F$15)*'⑫ Roll-out Plan'!$O$23</f>
        <v>27000</v>
      </c>
      <c r="EL963" s="121" t="n">
        <f aca="false">MIN((EL179+EL180)*$C$5, $F$15)*'⑫ Roll-out Plan'!$O$23</f>
        <v>27000</v>
      </c>
      <c r="EM963" s="121" t="n">
        <f aca="false">MIN((EM179+EM180)*$C$5, $F$15)*'⑫ Roll-out Plan'!$O$23</f>
        <v>27000</v>
      </c>
      <c r="EN963" s="121" t="n">
        <f aca="false">MIN((EN179+EN180)*$C$5, $F$15)*'⑫ Roll-out Plan'!$O$23</f>
        <v>27000</v>
      </c>
      <c r="EO963" s="121" t="n">
        <f aca="false">MIN((EO179+EO180)*$C$5, $F$15)*'⑫ Roll-out Plan'!$O$23</f>
        <v>27000</v>
      </c>
      <c r="EP963" s="121" t="n">
        <f aca="false">MIN((EP179+EP180)*$C$5, $F$15)*'⑫ Roll-out Plan'!$O$23</f>
        <v>27000</v>
      </c>
      <c r="EQ963" s="121" t="n">
        <f aca="false">MIN((EQ179+EQ180)*$C$5, $F$15)*'⑫ Roll-out Plan'!$O$23</f>
        <v>27000</v>
      </c>
      <c r="ER963" s="121" t="n">
        <f aca="false">MIN((ER179+ER180)*$C$5, $F$15)*'⑫ Roll-out Plan'!$O$23</f>
        <v>27000</v>
      </c>
      <c r="ES963" s="9" t="n">
        <f aca="false">MIN((ES179+ES180)*$C$5, $F$15)*'⑫ Roll-out Plan'!$O$23</f>
        <v>27000</v>
      </c>
      <c r="ET963" s="9" t="n">
        <f aca="false">MIN((ET179+ET180)*$C$5, $F$15)*'⑫ Roll-out Plan'!$O$23</f>
        <v>27000</v>
      </c>
      <c r="EU963" s="9" t="n">
        <f aca="false">MIN((EU179+EU180)*$C$5, $F$15)*'⑫ Roll-out Plan'!$O$23</f>
        <v>27000</v>
      </c>
      <c r="EV963" s="9" t="n">
        <f aca="false">MIN((EV179+EV180)*$C$5, $F$15)*'⑫ Roll-out Plan'!$O$23</f>
        <v>27000</v>
      </c>
      <c r="EW963" s="9" t="n">
        <f aca="false">MIN((EW179+EW180)*$C$5, $F$15)*'⑫ Roll-out Plan'!$O$23</f>
        <v>27000</v>
      </c>
      <c r="EX963" s="9" t="n">
        <f aca="false">MIN((EX179+EX180)*$C$5, $F$15)*'⑫ Roll-out Plan'!$O$23</f>
        <v>27000</v>
      </c>
      <c r="EY963" s="9" t="n">
        <f aca="false">MIN((EY179+EY180)*$C$5, $F$15)*'⑫ Roll-out Plan'!$O$23</f>
        <v>27000</v>
      </c>
      <c r="EZ963" s="9" t="n">
        <f aca="false">MIN((EZ179+EZ180)*$C$5, $F$15)*'⑫ Roll-out Plan'!$O$23</f>
        <v>27000</v>
      </c>
      <c r="FA963" s="9" t="n">
        <f aca="false">MIN((FA179+FA180)*$C$5, $F$15)*'⑫ Roll-out Plan'!$O$23</f>
        <v>27000</v>
      </c>
      <c r="FB963" s="9" t="n">
        <f aca="false">MIN((FB179+FB180)*$C$5, $F$15)*'⑫ Roll-out Plan'!$O$23</f>
        <v>27000</v>
      </c>
      <c r="FC963" s="9" t="n">
        <f aca="false">MIN((FC179+FC180)*$C$5, $F$15)*'⑫ Roll-out Plan'!$O$23</f>
        <v>27000</v>
      </c>
      <c r="FD963" s="9" t="n">
        <f aca="false">MIN((FD179+FD180)*$C$5, $F$15)*'⑫ Roll-out Plan'!$O$23</f>
        <v>27000</v>
      </c>
      <c r="FE963" s="9" t="n">
        <f aca="false">MIN((FE179+FE180)*$C$5, $F$15)*'⑫ Roll-out Plan'!$O$23</f>
        <v>27000</v>
      </c>
      <c r="FF963" s="9" t="n">
        <f aca="false">MIN((FF179+FF180)*$C$5, $F$15)*'⑫ Roll-out Plan'!$O$23</f>
        <v>27000</v>
      </c>
      <c r="FG963" s="9" t="n">
        <f aca="false">MIN((FG179+FG180)*$C$5, $F$15)*'⑫ Roll-out Plan'!$O$23</f>
        <v>27000</v>
      </c>
      <c r="FH963" s="9" t="n">
        <f aca="false">MIN((FH179+FH180)*$C$5, $F$15)*'⑫ Roll-out Plan'!$O$23</f>
        <v>27000</v>
      </c>
      <c r="FI963" s="9" t="n">
        <f aca="false">MIN((FI179+FI180)*$C$5, $F$15)*'⑫ Roll-out Plan'!$O$23</f>
        <v>27000</v>
      </c>
      <c r="FJ963" s="9" t="n">
        <f aca="false">MIN((FJ179+FJ180)*$C$5, $F$15)*'⑫ Roll-out Plan'!$O$23</f>
        <v>27000</v>
      </c>
      <c r="FK963" s="9" t="n">
        <f aca="false">MIN((FK179+FK180)*$C$5, $F$15)*'⑫ Roll-out Plan'!$O$23</f>
        <v>27000</v>
      </c>
      <c r="FL963" s="9" t="n">
        <f aca="false">MIN((FL179+FL180)*$C$5, $F$15)*'⑫ Roll-out Plan'!$O$23</f>
        <v>27000</v>
      </c>
      <c r="FM963" s="9" t="n">
        <f aca="false">MIN((FM179+FM180)*$C$5, $F$15)*'⑫ Roll-out Plan'!$O$23</f>
        <v>27000</v>
      </c>
      <c r="FN963" s="9" t="n">
        <f aca="false">MIN((FN179+FN180)*$C$5, $F$15)*'⑫ Roll-out Plan'!$O$23</f>
        <v>27000</v>
      </c>
      <c r="FO963" s="9" t="n">
        <f aca="false">MIN((FO179+FO180)*$C$5, $F$15)*'⑫ Roll-out Plan'!$O$23</f>
        <v>27000</v>
      </c>
      <c r="FP963" s="9" t="n">
        <f aca="false">MIN((FP179+FP180)*$C$5, $F$15)*'⑫ Roll-out Plan'!$O$23</f>
        <v>27000</v>
      </c>
    </row>
    <row r="964" customFormat="false" ht="15" hidden="false" customHeight="false" outlineLevel="0" collapsed="false">
      <c r="B964" s="10" t="s">
        <v>989</v>
      </c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121" t="n">
        <f aca="false">MIN((AC189+AC190)*$C$5, $F$15)*'⑫ Roll-out Plan'!$O$24</f>
        <v>0</v>
      </c>
      <c r="AD964" s="121" t="n">
        <f aca="false">MIN((AD189+AD190)*$C$5, $F$15)*'⑫ Roll-out Plan'!$O$24</f>
        <v>0</v>
      </c>
      <c r="AE964" s="121" t="n">
        <f aca="false">MIN((AE189+AE190)*$C$5, $F$15)*'⑫ Roll-out Plan'!$O$24</f>
        <v>0</v>
      </c>
      <c r="AF964" s="121" t="n">
        <f aca="false">MIN((AF189+AF190)*$C$5, $F$15)*'⑫ Roll-out Plan'!$O$24</f>
        <v>0</v>
      </c>
      <c r="AG964" s="121" t="n">
        <f aca="false">MIN((AG189+AG190)*$C$5, $F$15)*'⑫ Roll-out Plan'!$O$24</f>
        <v>0</v>
      </c>
      <c r="AH964" s="121" t="n">
        <f aca="false">MIN((AH189+AH190)*$C$5, $F$15)*'⑫ Roll-out Plan'!$O$24</f>
        <v>0</v>
      </c>
      <c r="AI964" s="121" t="n">
        <f aca="false">MIN((AI189+AI190)*$C$5, $F$15)*'⑫ Roll-out Plan'!$O$24</f>
        <v>0</v>
      </c>
      <c r="AJ964" s="121" t="n">
        <f aca="false">MIN((AJ189+AJ190)*$C$5, $F$15)*'⑫ Roll-out Plan'!$O$24</f>
        <v>0</v>
      </c>
      <c r="AK964" s="121" t="n">
        <f aca="false">MIN((AK189+AK190)*$C$5, $F$15)*'⑫ Roll-out Plan'!$O$24</f>
        <v>0</v>
      </c>
      <c r="AL964" s="121" t="n">
        <f aca="false">MIN((AL189+AL190)*$C$5, $F$15)*'⑫ Roll-out Plan'!$O$24</f>
        <v>0</v>
      </c>
      <c r="AM964" s="121" t="n">
        <f aca="false">MIN((AM189+AM190)*$C$5, $F$15)*'⑫ Roll-out Plan'!$O$24</f>
        <v>0</v>
      </c>
      <c r="AN964" s="121" t="n">
        <f aca="false">MIN((AN189+AN190)*$C$5, $F$15)*'⑫ Roll-out Plan'!$O$24</f>
        <v>0</v>
      </c>
      <c r="AO964" s="121" t="n">
        <f aca="false">MIN((AO189+AO190)*$C$5, $F$15)*'⑫ Roll-out Plan'!$O$24</f>
        <v>0</v>
      </c>
      <c r="AP964" s="121" t="n">
        <f aca="false">MIN((AP189+AP190)*$C$5, $F$15)*'⑫ Roll-out Plan'!$O$24</f>
        <v>0</v>
      </c>
      <c r="AQ964" s="121" t="n">
        <f aca="false">MIN((AQ189+AQ190)*$C$5, $F$15)*'⑫ Roll-out Plan'!$O$24</f>
        <v>0</v>
      </c>
      <c r="AR964" s="121" t="n">
        <f aca="false">MIN((AR189+AR190)*$C$5, $F$15)*'⑫ Roll-out Plan'!$O$24</f>
        <v>0</v>
      </c>
      <c r="AS964" s="121" t="n">
        <f aca="false">MIN((AS189+AS190)*$C$5, $F$15)*'⑫ Roll-out Plan'!$O$24</f>
        <v>0</v>
      </c>
      <c r="AT964" s="121" t="n">
        <f aca="false">MIN((AT189+AT190)*$C$5, $F$15)*'⑫ Roll-out Plan'!$O$24</f>
        <v>0</v>
      </c>
      <c r="AU964" s="121" t="n">
        <f aca="false">MIN((AU189+AU190)*$C$5, $F$15)*'⑫ Roll-out Plan'!$O$24</f>
        <v>0</v>
      </c>
      <c r="AV964" s="121" t="n">
        <f aca="false">MIN((AV189+AV190)*$C$5, $F$15)*'⑫ Roll-out Plan'!$O$24</f>
        <v>0</v>
      </c>
      <c r="AW964" s="121" t="n">
        <f aca="false">MIN((AW189+AW190)*$C$5, $F$15)*'⑫ Roll-out Plan'!$O$24</f>
        <v>0</v>
      </c>
      <c r="AX964" s="121" t="n">
        <f aca="false">MIN((AX189+AX190)*$C$5, $F$15)*'⑫ Roll-out Plan'!$O$24</f>
        <v>0</v>
      </c>
      <c r="AY964" s="121" t="n">
        <f aca="false">MIN((AY189+AY190)*$C$5, $F$15)*'⑫ Roll-out Plan'!$O$24</f>
        <v>0</v>
      </c>
      <c r="AZ964" s="121" t="n">
        <f aca="false">MIN((AZ189+AZ190)*$C$5, $F$15)*'⑫ Roll-out Plan'!$O$24</f>
        <v>0</v>
      </c>
      <c r="BA964" s="121" t="n">
        <f aca="false">MIN((BA189+BA190)*$C$5, $F$15)*'⑫ Roll-out Plan'!$O$24</f>
        <v>0</v>
      </c>
      <c r="BB964" s="121" t="n">
        <f aca="false">MIN((BB189+BB190)*$C$5, $F$15)*'⑫ Roll-out Plan'!$O$24</f>
        <v>0</v>
      </c>
      <c r="BC964" s="121" t="n">
        <f aca="false">MIN((BC189+BC190)*$C$5, $F$15)*'⑫ Roll-out Plan'!$O$24</f>
        <v>0</v>
      </c>
      <c r="BD964" s="121" t="n">
        <f aca="false">MIN((BD189+BD190)*$C$5, $F$15)*'⑫ Roll-out Plan'!$O$24</f>
        <v>0</v>
      </c>
      <c r="BE964" s="121" t="n">
        <f aca="false">MIN((BE189+BE190)*$C$5, $F$15)*'⑫ Roll-out Plan'!$O$24</f>
        <v>0</v>
      </c>
      <c r="BF964" s="121" t="n">
        <f aca="false">MIN((BF189+BF190)*$C$5, $F$15)*'⑫ Roll-out Plan'!$O$24</f>
        <v>0</v>
      </c>
      <c r="BG964" s="121" t="n">
        <f aca="false">MIN((BG189+BG190)*$C$5, $F$15)*'⑫ Roll-out Plan'!$O$24</f>
        <v>0</v>
      </c>
      <c r="BH964" s="121" t="n">
        <f aca="false">MIN((BH189+BH190)*$C$5, $F$15)*'⑫ Roll-out Plan'!$O$24</f>
        <v>0</v>
      </c>
      <c r="BI964" s="121" t="n">
        <f aca="false">MIN((BI189+BI190)*$C$5, $F$15)*'⑫ Roll-out Plan'!$O$24</f>
        <v>0</v>
      </c>
      <c r="BJ964" s="121" t="n">
        <f aca="false">MIN((BJ189+BJ190)*$C$5, $F$15)*'⑫ Roll-out Plan'!$O$24</f>
        <v>0</v>
      </c>
      <c r="BK964" s="121" t="n">
        <f aca="false">MIN((BK189+BK190)*$C$5, $F$15)*'⑫ Roll-out Plan'!$O$24</f>
        <v>0</v>
      </c>
      <c r="BL964" s="121" t="n">
        <f aca="false">MIN((BL189+BL190)*$C$5, $F$15)*'⑫ Roll-out Plan'!$O$24</f>
        <v>0</v>
      </c>
      <c r="BM964" s="121" t="n">
        <f aca="false">MIN((BM189+BM190)*$C$5, $F$15)*'⑫ Roll-out Plan'!$O$24</f>
        <v>0</v>
      </c>
      <c r="BN964" s="121" t="n">
        <f aca="false">MIN((BN189+BN190)*$C$5, $F$15)*'⑫ Roll-out Plan'!$O$24</f>
        <v>0</v>
      </c>
      <c r="BO964" s="121" t="n">
        <f aca="false">MIN((BO189+BO190)*$C$5, $F$15)*'⑫ Roll-out Plan'!$O$24</f>
        <v>0</v>
      </c>
      <c r="BP964" s="121" t="n">
        <f aca="false">MIN((BP189+BP190)*$C$5, $F$15)*'⑫ Roll-out Plan'!$O$24</f>
        <v>0</v>
      </c>
      <c r="BQ964" s="121" t="n">
        <f aca="false">MIN((BQ189+BQ190)*$C$5, $F$15)*'⑫ Roll-out Plan'!$O$24</f>
        <v>0</v>
      </c>
      <c r="BR964" s="121" t="n">
        <f aca="false">MIN((BR189+BR190)*$C$5, $F$15)*'⑫ Roll-out Plan'!$O$24</f>
        <v>0</v>
      </c>
      <c r="BS964" s="121" t="n">
        <f aca="false">MIN((BS189+BS190)*$C$5, $F$15)*'⑫ Roll-out Plan'!$O$24</f>
        <v>0</v>
      </c>
      <c r="BT964" s="121" t="n">
        <f aca="false">MIN((BT189+BT190)*$C$5, $F$15)*'⑫ Roll-out Plan'!$O$24</f>
        <v>0</v>
      </c>
      <c r="BU964" s="121" t="n">
        <f aca="false">MIN((BU189+BU190)*$C$5, $F$15)*'⑫ Roll-out Plan'!$O$24</f>
        <v>5622.52</v>
      </c>
      <c r="BV964" s="121" t="n">
        <f aca="false">MIN((BV189+BV190)*$C$5, $F$15)*'⑫ Roll-out Plan'!$O$24</f>
        <v>5838.11456</v>
      </c>
      <c r="BW964" s="121" t="n">
        <f aca="false">MIN((BW189+BW190)*$C$5, $F$15)*'⑫ Roll-out Plan'!$O$24</f>
        <v>4941.923648</v>
      </c>
      <c r="BX964" s="121" t="n">
        <f aca="false">MIN((BX189+BX190)*$C$5, $F$15)*'⑫ Roll-out Plan'!$O$24</f>
        <v>7426.3872752</v>
      </c>
      <c r="BY964" s="121" t="n">
        <f aca="false">MIN((BY189+BY190)*$C$5, $F$15)*'⑫ Roll-out Plan'!$O$24</f>
        <v>8181.5653856</v>
      </c>
      <c r="BZ964" s="121" t="n">
        <f aca="false">MIN((BZ189+BZ190)*$C$5, $F$15)*'⑫ Roll-out Plan'!$O$24</f>
        <v>7395.8705632</v>
      </c>
      <c r="CA964" s="121" t="n">
        <f aca="false">MIN((CA189+CA190)*$C$5, $F$15)*'⑫ Roll-out Plan'!$O$24</f>
        <v>11031.5703648</v>
      </c>
      <c r="CB964" s="121" t="n">
        <f aca="false">MIN((CB189+CB190)*$C$5, $F$15)*'⑫ Roll-out Plan'!$O$24</f>
        <v>12163.1471072</v>
      </c>
      <c r="CC964" s="121" t="n">
        <f aca="false">MIN((CC189+CC190)*$C$5, $F$15)*'⑫ Roll-out Plan'!$O$24</f>
        <v>11735.8045664</v>
      </c>
      <c r="CD964" s="121" t="n">
        <f aca="false">MIN((CD189+CD190)*$C$5, $F$15)*'⑫ Roll-out Plan'!$O$24</f>
        <v>10514.1124</v>
      </c>
      <c r="CE964" s="121" t="n">
        <f aca="false">MIN((CE189+CE190)*$C$5, $F$15)*'⑫ Roll-out Plan'!$O$24</f>
        <v>11763.0253184</v>
      </c>
      <c r="CF964" s="121" t="n">
        <f aca="false">MIN((CF189+CF190)*$C$5, $F$15)*'⑫ Roll-out Plan'!$O$24</f>
        <v>20066.269792</v>
      </c>
      <c r="CG964" s="121" t="n">
        <f aca="false">MIN((CG189+CG190)*$C$5, $F$15)*'⑫ Roll-out Plan'!$O$24</f>
        <v>19108.890352</v>
      </c>
      <c r="CH964" s="121" t="n">
        <f aca="false">MIN((CH189+CH190)*$C$5, $F$15)*'⑫ Roll-out Plan'!$O$24</f>
        <v>17484.4318736</v>
      </c>
      <c r="CI964" s="121" t="n">
        <f aca="false">MIN((CI189+CI190)*$C$5, $F$15)*'⑫ Roll-out Plan'!$O$24</f>
        <v>13963.8114848</v>
      </c>
      <c r="CJ964" s="121" t="n">
        <f aca="false">MIN((CJ189+CJ190)*$C$5, $F$15)*'⑫ Roll-out Plan'!$O$24</f>
        <v>21871.951784</v>
      </c>
      <c r="CK964" s="121" t="n">
        <f aca="false">MIN((CK189+CK190)*$C$5, $F$15)*'⑫ Roll-out Plan'!$O$24</f>
        <v>25091.5308192</v>
      </c>
      <c r="CL964" s="121" t="n">
        <f aca="false">MIN((CL189+CL190)*$C$5, $F$15)*'⑫ Roll-out Plan'!$O$24</f>
        <v>21337.29743872</v>
      </c>
      <c r="CM964" s="121" t="n">
        <f aca="false">MIN((CM189+CM190)*$C$5, $F$15)*'⑫ Roll-out Plan'!$O$24</f>
        <v>27000</v>
      </c>
      <c r="CN964" s="121" t="n">
        <f aca="false">MIN((CN189+CN190)*$C$5, $F$15)*'⑫ Roll-out Plan'!$O$24</f>
        <v>27000</v>
      </c>
      <c r="CO964" s="121" t="n">
        <f aca="false">MIN((CO189+CO190)*$C$5, $F$15)*'⑫ Roll-out Plan'!$O$24</f>
        <v>25897.53786756</v>
      </c>
      <c r="CP964" s="121" t="n">
        <f aca="false">MIN((CP189+CP190)*$C$5, $F$15)*'⑫ Roll-out Plan'!$O$24</f>
        <v>23812.88853548</v>
      </c>
      <c r="CQ964" s="121" t="n">
        <f aca="false">MIN((CQ189+CQ190)*$C$5, $F$15)*'⑫ Roll-out Plan'!$O$24</f>
        <v>25173.04844072</v>
      </c>
      <c r="CR964" s="121" t="n">
        <f aca="false">MIN((CR189+CR190)*$C$5, $F$15)*'⑫ Roll-out Plan'!$O$24</f>
        <v>27000</v>
      </c>
      <c r="CS964" s="121" t="n">
        <f aca="false">MIN((CS189+CS190)*$C$5, $F$15)*'⑫ Roll-out Plan'!$O$24</f>
        <v>27000</v>
      </c>
      <c r="CT964" s="121" t="n">
        <f aca="false">MIN((CT189+CT190)*$C$5, $F$15)*'⑫ Roll-out Plan'!$O$24</f>
        <v>27000</v>
      </c>
      <c r="CU964" s="121" t="n">
        <f aca="false">MIN((CU189+CU190)*$C$5, $F$15)*'⑫ Roll-out Plan'!$O$24</f>
        <v>26180.99508068</v>
      </c>
      <c r="CV964" s="121" t="n">
        <f aca="false">MIN((CV189+CV190)*$C$5, $F$15)*'⑫ Roll-out Plan'!$O$24</f>
        <v>27000</v>
      </c>
      <c r="CW964" s="121" t="n">
        <f aca="false">MIN((CW189+CW190)*$C$5, $F$15)*'⑫ Roll-out Plan'!$O$24</f>
        <v>27000</v>
      </c>
      <c r="CX964" s="121" t="n">
        <f aca="false">MIN((CX189+CX190)*$C$5, $F$15)*'⑫ Roll-out Plan'!$O$24</f>
        <v>27000</v>
      </c>
      <c r="CY964" s="121" t="n">
        <f aca="false">MIN((CY189+CY190)*$C$5, $F$15)*'⑫ Roll-out Plan'!$O$24</f>
        <v>27000</v>
      </c>
      <c r="CZ964" s="121" t="n">
        <f aca="false">MIN((CZ189+CZ190)*$C$5, $F$15)*'⑫ Roll-out Plan'!$O$24</f>
        <v>27000</v>
      </c>
      <c r="DA964" s="121" t="n">
        <f aca="false">MIN((DA189+DA190)*$C$5, $F$15)*'⑫ Roll-out Plan'!$O$24</f>
        <v>27000</v>
      </c>
      <c r="DB964" s="121" t="n">
        <f aca="false">MIN((DB189+DB190)*$C$5, $F$15)*'⑫ Roll-out Plan'!$O$24</f>
        <v>27000</v>
      </c>
      <c r="DC964" s="121" t="n">
        <f aca="false">MIN((DC189+DC190)*$C$5, $F$15)*'⑫ Roll-out Plan'!$O$24</f>
        <v>27000</v>
      </c>
      <c r="DD964" s="121" t="n">
        <f aca="false">MIN((DD189+DD190)*$C$5, $F$15)*'⑫ Roll-out Plan'!$O$24</f>
        <v>27000</v>
      </c>
      <c r="DE964" s="121" t="n">
        <f aca="false">MIN((DE189+DE190)*$C$5, $F$15)*'⑫ Roll-out Plan'!$O$24</f>
        <v>27000</v>
      </c>
      <c r="DF964" s="121" t="n">
        <f aca="false">MIN((DF189+DF190)*$C$5, $F$15)*'⑫ Roll-out Plan'!$O$24</f>
        <v>27000</v>
      </c>
      <c r="DG964" s="121" t="n">
        <f aca="false">MIN((DG189+DG190)*$C$5, $F$15)*'⑫ Roll-out Plan'!$O$24</f>
        <v>27000</v>
      </c>
      <c r="DH964" s="121" t="n">
        <f aca="false">MIN((DH189+DH190)*$C$5, $F$15)*'⑫ Roll-out Plan'!$O$24</f>
        <v>27000</v>
      </c>
      <c r="DI964" s="121" t="n">
        <f aca="false">MIN((DI189+DI190)*$C$5, $F$15)*'⑫ Roll-out Plan'!$O$24</f>
        <v>27000</v>
      </c>
      <c r="DJ964" s="121" t="n">
        <f aca="false">MIN((DJ189+DJ190)*$C$5, $F$15)*'⑫ Roll-out Plan'!$O$24</f>
        <v>27000</v>
      </c>
      <c r="DK964" s="121" t="n">
        <f aca="false">MIN((DK189+DK190)*$C$5, $F$15)*'⑫ Roll-out Plan'!$O$24</f>
        <v>27000</v>
      </c>
      <c r="DL964" s="121" t="n">
        <f aca="false">MIN((DL189+DL190)*$C$5, $F$15)*'⑫ Roll-out Plan'!$O$24</f>
        <v>27000</v>
      </c>
      <c r="DM964" s="121" t="n">
        <f aca="false">MIN((DM189+DM190)*$C$5, $F$15)*'⑫ Roll-out Plan'!$O$24</f>
        <v>27000</v>
      </c>
      <c r="DN964" s="121" t="n">
        <f aca="false">MIN((DN189+DN190)*$C$5, $F$15)*'⑫ Roll-out Plan'!$O$24</f>
        <v>27000</v>
      </c>
      <c r="DO964" s="121" t="n">
        <f aca="false">MIN((DO189+DO190)*$C$5, $F$15)*'⑫ Roll-out Plan'!$O$24</f>
        <v>27000</v>
      </c>
      <c r="DP964" s="121" t="n">
        <f aca="false">MIN((DP189+DP190)*$C$5, $F$15)*'⑫ Roll-out Plan'!$O$24</f>
        <v>27000</v>
      </c>
      <c r="DQ964" s="121" t="n">
        <f aca="false">MIN((DQ189+DQ190)*$C$5, $F$15)*'⑫ Roll-out Plan'!$O$24</f>
        <v>27000</v>
      </c>
      <c r="DR964" s="121" t="n">
        <f aca="false">MIN((DR189+DR190)*$C$5, $F$15)*'⑫ Roll-out Plan'!$O$24</f>
        <v>27000</v>
      </c>
      <c r="DS964" s="121" t="n">
        <f aca="false">MIN((DS189+DS190)*$C$5, $F$15)*'⑫ Roll-out Plan'!$O$24</f>
        <v>27000</v>
      </c>
      <c r="DT964" s="121" t="n">
        <f aca="false">MIN((DT189+DT190)*$C$5, $F$15)*'⑫ Roll-out Plan'!$O$24</f>
        <v>27000</v>
      </c>
      <c r="DU964" s="121" t="n">
        <f aca="false">MIN((DU189+DU190)*$C$5, $F$15)*'⑫ Roll-out Plan'!$O$24</f>
        <v>27000</v>
      </c>
      <c r="DV964" s="121" t="n">
        <f aca="false">MIN((DV189+DV190)*$C$5, $F$15)*'⑫ Roll-out Plan'!$O$24</f>
        <v>27000</v>
      </c>
      <c r="DW964" s="121" t="n">
        <f aca="false">MIN((DW189+DW190)*$C$5, $F$15)*'⑫ Roll-out Plan'!$O$24</f>
        <v>27000</v>
      </c>
      <c r="DX964" s="121" t="n">
        <f aca="false">MIN((DX189+DX190)*$C$5, $F$15)*'⑫ Roll-out Plan'!$O$24</f>
        <v>27000</v>
      </c>
      <c r="DY964" s="121" t="n">
        <f aca="false">MIN((DY189+DY190)*$C$5, $F$15)*'⑫ Roll-out Plan'!$O$24</f>
        <v>27000</v>
      </c>
      <c r="DZ964" s="121" t="n">
        <f aca="false">MIN((DZ189+DZ190)*$C$5, $F$15)*'⑫ Roll-out Plan'!$O$24</f>
        <v>27000</v>
      </c>
      <c r="EA964" s="121" t="n">
        <f aca="false">MIN((EA189+EA190)*$C$5, $F$15)*'⑫ Roll-out Plan'!$O$24</f>
        <v>27000</v>
      </c>
      <c r="EB964" s="121" t="n">
        <f aca="false">MIN((EB189+EB190)*$C$5, $F$15)*'⑫ Roll-out Plan'!$O$24</f>
        <v>27000</v>
      </c>
      <c r="EC964" s="121" t="n">
        <f aca="false">MIN((EC189+EC190)*$C$5, $F$15)*'⑫ Roll-out Plan'!$O$24</f>
        <v>27000</v>
      </c>
      <c r="ED964" s="121" t="n">
        <f aca="false">MIN((ED189+ED190)*$C$5, $F$15)*'⑫ Roll-out Plan'!$O$24</f>
        <v>27000</v>
      </c>
      <c r="EE964" s="121" t="n">
        <f aca="false">MIN((EE189+EE190)*$C$5, $F$15)*'⑫ Roll-out Plan'!$O$24</f>
        <v>27000</v>
      </c>
      <c r="EF964" s="121" t="n">
        <f aca="false">MIN((EF189+EF190)*$C$5, $F$15)*'⑫ Roll-out Plan'!$O$24</f>
        <v>27000</v>
      </c>
      <c r="EG964" s="121" t="n">
        <f aca="false">MIN((EG189+EG190)*$C$5, $F$15)*'⑫ Roll-out Plan'!$O$24</f>
        <v>27000</v>
      </c>
      <c r="EH964" s="121" t="n">
        <f aca="false">MIN((EH189+EH190)*$C$5, $F$15)*'⑫ Roll-out Plan'!$O$24</f>
        <v>27000</v>
      </c>
      <c r="EI964" s="121" t="n">
        <f aca="false">MIN((EI189+EI190)*$C$5, $F$15)*'⑫ Roll-out Plan'!$O$24</f>
        <v>27000</v>
      </c>
      <c r="EJ964" s="121" t="n">
        <f aca="false">MIN((EJ189+EJ190)*$C$5, $F$15)*'⑫ Roll-out Plan'!$O$24</f>
        <v>27000</v>
      </c>
      <c r="EK964" s="121" t="n">
        <f aca="false">MIN((EK189+EK190)*$C$5, $F$15)*'⑫ Roll-out Plan'!$O$24</f>
        <v>27000</v>
      </c>
      <c r="EL964" s="121" t="n">
        <f aca="false">MIN((EL189+EL190)*$C$5, $F$15)*'⑫ Roll-out Plan'!$O$24</f>
        <v>27000</v>
      </c>
      <c r="EM964" s="121" t="n">
        <f aca="false">MIN((EM189+EM190)*$C$5, $F$15)*'⑫ Roll-out Plan'!$O$24</f>
        <v>27000</v>
      </c>
      <c r="EN964" s="121" t="n">
        <f aca="false">MIN((EN189+EN190)*$C$5, $F$15)*'⑫ Roll-out Plan'!$O$24</f>
        <v>27000</v>
      </c>
      <c r="EO964" s="121" t="n">
        <f aca="false">MIN((EO189+EO190)*$C$5, $F$15)*'⑫ Roll-out Plan'!$O$24</f>
        <v>27000</v>
      </c>
      <c r="EP964" s="121" t="n">
        <f aca="false">MIN((EP189+EP190)*$C$5, $F$15)*'⑫ Roll-out Plan'!$O$24</f>
        <v>27000</v>
      </c>
      <c r="EQ964" s="121" t="n">
        <f aca="false">MIN((EQ189+EQ190)*$C$5, $F$15)*'⑫ Roll-out Plan'!$O$24</f>
        <v>27000</v>
      </c>
      <c r="ER964" s="121" t="n">
        <f aca="false">MIN((ER189+ER190)*$C$5, $F$15)*'⑫ Roll-out Plan'!$O$24</f>
        <v>27000</v>
      </c>
      <c r="ES964" s="9" t="n">
        <f aca="false">MIN((ES189+ES190)*$C$5, $F$15)*'⑫ Roll-out Plan'!$O$24</f>
        <v>27000</v>
      </c>
      <c r="ET964" s="9" t="n">
        <f aca="false">MIN((ET189+ET190)*$C$5, $F$15)*'⑫ Roll-out Plan'!$O$24</f>
        <v>27000</v>
      </c>
      <c r="EU964" s="9" t="n">
        <f aca="false">MIN((EU189+EU190)*$C$5, $F$15)*'⑫ Roll-out Plan'!$O$24</f>
        <v>27000</v>
      </c>
      <c r="EV964" s="9" t="n">
        <f aca="false">MIN((EV189+EV190)*$C$5, $F$15)*'⑫ Roll-out Plan'!$O$24</f>
        <v>27000</v>
      </c>
      <c r="EW964" s="9" t="n">
        <f aca="false">MIN((EW189+EW190)*$C$5, $F$15)*'⑫ Roll-out Plan'!$O$24</f>
        <v>27000</v>
      </c>
      <c r="EX964" s="9" t="n">
        <f aca="false">MIN((EX189+EX190)*$C$5, $F$15)*'⑫ Roll-out Plan'!$O$24</f>
        <v>27000</v>
      </c>
      <c r="EY964" s="9" t="n">
        <f aca="false">MIN((EY189+EY190)*$C$5, $F$15)*'⑫ Roll-out Plan'!$O$24</f>
        <v>27000</v>
      </c>
      <c r="EZ964" s="9" t="n">
        <f aca="false">MIN((EZ189+EZ190)*$C$5, $F$15)*'⑫ Roll-out Plan'!$O$24</f>
        <v>27000</v>
      </c>
      <c r="FA964" s="9" t="n">
        <f aca="false">MIN((FA189+FA190)*$C$5, $F$15)*'⑫ Roll-out Plan'!$O$24</f>
        <v>27000</v>
      </c>
      <c r="FB964" s="9" t="n">
        <f aca="false">MIN((FB189+FB190)*$C$5, $F$15)*'⑫ Roll-out Plan'!$O$24</f>
        <v>27000</v>
      </c>
      <c r="FC964" s="9" t="n">
        <f aca="false">MIN((FC189+FC190)*$C$5, $F$15)*'⑫ Roll-out Plan'!$O$24</f>
        <v>27000</v>
      </c>
      <c r="FD964" s="9" t="n">
        <f aca="false">MIN((FD189+FD190)*$C$5, $F$15)*'⑫ Roll-out Plan'!$O$24</f>
        <v>27000</v>
      </c>
      <c r="FE964" s="9" t="n">
        <f aca="false">MIN((FE189+FE190)*$C$5, $F$15)*'⑫ Roll-out Plan'!$O$24</f>
        <v>27000</v>
      </c>
      <c r="FF964" s="9" t="n">
        <f aca="false">MIN((FF189+FF190)*$C$5, $F$15)*'⑫ Roll-out Plan'!$O$24</f>
        <v>27000</v>
      </c>
      <c r="FG964" s="9" t="n">
        <f aca="false">MIN((FG189+FG190)*$C$5, $F$15)*'⑫ Roll-out Plan'!$O$24</f>
        <v>27000</v>
      </c>
      <c r="FH964" s="9" t="n">
        <f aca="false">MIN((FH189+FH190)*$C$5, $F$15)*'⑫ Roll-out Plan'!$O$24</f>
        <v>27000</v>
      </c>
      <c r="FI964" s="9" t="n">
        <f aca="false">MIN((FI189+FI190)*$C$5, $F$15)*'⑫ Roll-out Plan'!$O$24</f>
        <v>27000</v>
      </c>
      <c r="FJ964" s="9" t="n">
        <f aca="false">MIN((FJ189+FJ190)*$C$5, $F$15)*'⑫ Roll-out Plan'!$O$24</f>
        <v>27000</v>
      </c>
      <c r="FK964" s="9" t="n">
        <f aca="false">MIN((FK189+FK190)*$C$5, $F$15)*'⑫ Roll-out Plan'!$O$24</f>
        <v>27000</v>
      </c>
      <c r="FL964" s="9" t="n">
        <f aca="false">MIN((FL189+FL190)*$C$5, $F$15)*'⑫ Roll-out Plan'!$O$24</f>
        <v>27000</v>
      </c>
      <c r="FM964" s="9" t="n">
        <f aca="false">MIN((FM189+FM190)*$C$5, $F$15)*'⑫ Roll-out Plan'!$O$24</f>
        <v>27000</v>
      </c>
      <c r="FN964" s="9" t="n">
        <f aca="false">MIN((FN189+FN190)*$C$5, $F$15)*'⑫ Roll-out Plan'!$O$24</f>
        <v>27000</v>
      </c>
      <c r="FO964" s="9" t="n">
        <f aca="false">MIN((FO189+FO190)*$C$5, $F$15)*'⑫ Roll-out Plan'!$O$24</f>
        <v>27000</v>
      </c>
      <c r="FP964" s="9" t="n">
        <f aca="false">MIN((FP189+FP190)*$C$5, $F$15)*'⑫ Roll-out Plan'!$O$24</f>
        <v>27000</v>
      </c>
    </row>
    <row r="965" customFormat="false" ht="15" hidden="false" customHeight="false" outlineLevel="0" collapsed="false">
      <c r="B965" s="47" t="s">
        <v>990</v>
      </c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121" t="n">
        <f aca="false">MIN((AC199+AC200)*$C$5, $F$15)*'⑫ Roll-out Plan'!$O$25</f>
        <v>0</v>
      </c>
      <c r="AD965" s="121" t="n">
        <f aca="false">MIN((AD199+AD200)*$C$5, $F$15)*'⑫ Roll-out Plan'!$O$25</f>
        <v>0</v>
      </c>
      <c r="AE965" s="121" t="n">
        <f aca="false">MIN((AE199+AE200)*$C$5, $F$15)*'⑫ Roll-out Plan'!$O$25</f>
        <v>0</v>
      </c>
      <c r="AF965" s="121" t="n">
        <f aca="false">MIN((AF199+AF200)*$C$5, $F$15)*'⑫ Roll-out Plan'!$O$25</f>
        <v>0</v>
      </c>
      <c r="AG965" s="121" t="n">
        <f aca="false">MIN((AG199+AG200)*$C$5, $F$15)*'⑫ Roll-out Plan'!$O$25</f>
        <v>0</v>
      </c>
      <c r="AH965" s="121" t="n">
        <f aca="false">MIN((AH199+AH200)*$C$5, $F$15)*'⑫ Roll-out Plan'!$O$25</f>
        <v>0</v>
      </c>
      <c r="AI965" s="121" t="n">
        <f aca="false">MIN((AI199+AI200)*$C$5, $F$15)*'⑫ Roll-out Plan'!$O$25</f>
        <v>0</v>
      </c>
      <c r="AJ965" s="121" t="n">
        <f aca="false">MIN((AJ199+AJ200)*$C$5, $F$15)*'⑫ Roll-out Plan'!$O$25</f>
        <v>0</v>
      </c>
      <c r="AK965" s="121" t="n">
        <f aca="false">MIN((AK199+AK200)*$C$5, $F$15)*'⑫ Roll-out Plan'!$O$25</f>
        <v>0</v>
      </c>
      <c r="AL965" s="121" t="n">
        <f aca="false">MIN((AL199+AL200)*$C$5, $F$15)*'⑫ Roll-out Plan'!$O$25</f>
        <v>0</v>
      </c>
      <c r="AM965" s="121" t="n">
        <f aca="false">MIN((AM199+AM200)*$C$5, $F$15)*'⑫ Roll-out Plan'!$O$25</f>
        <v>0</v>
      </c>
      <c r="AN965" s="121" t="n">
        <f aca="false">MIN((AN199+AN200)*$C$5, $F$15)*'⑫ Roll-out Plan'!$O$25</f>
        <v>0</v>
      </c>
      <c r="AO965" s="121" t="n">
        <f aca="false">MIN((AO199+AO200)*$C$5, $F$15)*'⑫ Roll-out Plan'!$O$25</f>
        <v>0</v>
      </c>
      <c r="AP965" s="121" t="n">
        <f aca="false">MIN((AP199+AP200)*$C$5, $F$15)*'⑫ Roll-out Plan'!$O$25</f>
        <v>0</v>
      </c>
      <c r="AQ965" s="121" t="n">
        <f aca="false">MIN((AQ199+AQ200)*$C$5, $F$15)*'⑫ Roll-out Plan'!$O$25</f>
        <v>0</v>
      </c>
      <c r="AR965" s="121" t="n">
        <f aca="false">MIN((AR199+AR200)*$C$5, $F$15)*'⑫ Roll-out Plan'!$O$25</f>
        <v>0</v>
      </c>
      <c r="AS965" s="121" t="n">
        <f aca="false">MIN((AS199+AS200)*$C$5, $F$15)*'⑫ Roll-out Plan'!$O$25</f>
        <v>0</v>
      </c>
      <c r="AT965" s="121" t="n">
        <f aca="false">MIN((AT199+AT200)*$C$5, $F$15)*'⑫ Roll-out Plan'!$O$25</f>
        <v>0</v>
      </c>
      <c r="AU965" s="121" t="n">
        <f aca="false">MIN((AU199+AU200)*$C$5, $F$15)*'⑫ Roll-out Plan'!$O$25</f>
        <v>0</v>
      </c>
      <c r="AV965" s="121" t="n">
        <f aca="false">MIN((AV199+AV200)*$C$5, $F$15)*'⑫ Roll-out Plan'!$O$25</f>
        <v>0</v>
      </c>
      <c r="AW965" s="121" t="n">
        <f aca="false">MIN((AW199+AW200)*$C$5, $F$15)*'⑫ Roll-out Plan'!$O$25</f>
        <v>0</v>
      </c>
      <c r="AX965" s="121" t="n">
        <f aca="false">MIN((AX199+AX200)*$C$5, $F$15)*'⑫ Roll-out Plan'!$O$25</f>
        <v>0</v>
      </c>
      <c r="AY965" s="121" t="n">
        <f aca="false">MIN((AY199+AY200)*$C$5, $F$15)*'⑫ Roll-out Plan'!$O$25</f>
        <v>0</v>
      </c>
      <c r="AZ965" s="121" t="n">
        <f aca="false">MIN((AZ199+AZ200)*$C$5, $F$15)*'⑫ Roll-out Plan'!$O$25</f>
        <v>0</v>
      </c>
      <c r="BA965" s="121" t="n">
        <f aca="false">MIN((BA199+BA200)*$C$5, $F$15)*'⑫ Roll-out Plan'!$O$25</f>
        <v>0</v>
      </c>
      <c r="BB965" s="121" t="n">
        <f aca="false">MIN((BB199+BB200)*$C$5, $F$15)*'⑫ Roll-out Plan'!$O$25</f>
        <v>0</v>
      </c>
      <c r="BC965" s="121" t="n">
        <f aca="false">MIN((BC199+BC200)*$C$5, $F$15)*'⑫ Roll-out Plan'!$O$25</f>
        <v>0</v>
      </c>
      <c r="BD965" s="121" t="n">
        <f aca="false">MIN((BD199+BD200)*$C$5, $F$15)*'⑫ Roll-out Plan'!$O$25</f>
        <v>0</v>
      </c>
      <c r="BE965" s="121" t="n">
        <f aca="false">MIN((BE199+BE200)*$C$5, $F$15)*'⑫ Roll-out Plan'!$O$25</f>
        <v>0</v>
      </c>
      <c r="BF965" s="121" t="n">
        <f aca="false">MIN((BF199+BF200)*$C$5, $F$15)*'⑫ Roll-out Plan'!$O$25</f>
        <v>0</v>
      </c>
      <c r="BG965" s="121" t="n">
        <f aca="false">MIN((BG199+BG200)*$C$5, $F$15)*'⑫ Roll-out Plan'!$O$25</f>
        <v>0</v>
      </c>
      <c r="BH965" s="121" t="n">
        <f aca="false">MIN((BH199+BH200)*$C$5, $F$15)*'⑫ Roll-out Plan'!$O$25</f>
        <v>0</v>
      </c>
      <c r="BI965" s="121" t="n">
        <f aca="false">MIN((BI199+BI200)*$C$5, $F$15)*'⑫ Roll-out Plan'!$O$25</f>
        <v>0</v>
      </c>
      <c r="BJ965" s="121" t="n">
        <f aca="false">MIN((BJ199+BJ200)*$C$5, $F$15)*'⑫ Roll-out Plan'!$O$25</f>
        <v>0</v>
      </c>
      <c r="BK965" s="121" t="n">
        <f aca="false">MIN((BK199+BK200)*$C$5, $F$15)*'⑫ Roll-out Plan'!$O$25</f>
        <v>0</v>
      </c>
      <c r="BL965" s="121" t="n">
        <f aca="false">MIN((BL199+BL200)*$C$5, $F$15)*'⑫ Roll-out Plan'!$O$25</f>
        <v>0</v>
      </c>
      <c r="BM965" s="121" t="n">
        <f aca="false">MIN((BM199+BM200)*$C$5, $F$15)*'⑫ Roll-out Plan'!$O$25</f>
        <v>0</v>
      </c>
      <c r="BN965" s="121" t="n">
        <f aca="false">MIN((BN199+BN200)*$C$5, $F$15)*'⑫ Roll-out Plan'!$O$25</f>
        <v>0</v>
      </c>
      <c r="BO965" s="121" t="n">
        <f aca="false">MIN((BO199+BO200)*$C$5, $F$15)*'⑫ Roll-out Plan'!$O$25</f>
        <v>0</v>
      </c>
      <c r="BP965" s="121" t="n">
        <f aca="false">MIN((BP199+BP200)*$C$5, $F$15)*'⑫ Roll-out Plan'!$O$25</f>
        <v>0</v>
      </c>
      <c r="BQ965" s="121" t="n">
        <f aca="false">MIN((BQ199+BQ200)*$C$5, $F$15)*'⑫ Roll-out Plan'!$O$25</f>
        <v>0</v>
      </c>
      <c r="BR965" s="121" t="n">
        <f aca="false">MIN((BR199+BR200)*$C$5, $F$15)*'⑫ Roll-out Plan'!$O$25</f>
        <v>0</v>
      </c>
      <c r="BS965" s="121" t="n">
        <f aca="false">MIN((BS199+BS200)*$C$5, $F$15)*'⑫ Roll-out Plan'!$O$25</f>
        <v>0</v>
      </c>
      <c r="BT965" s="121" t="n">
        <f aca="false">MIN((BT199+BT200)*$C$5, $F$15)*'⑫ Roll-out Plan'!$O$25</f>
        <v>0</v>
      </c>
      <c r="BU965" s="121" t="n">
        <f aca="false">MIN((BU199+BU200)*$C$5, $F$15)*'⑫ Roll-out Plan'!$O$25</f>
        <v>0</v>
      </c>
      <c r="BV965" s="121" t="n">
        <f aca="false">MIN((BV199+BV200)*$C$5, $F$15)*'⑫ Roll-out Plan'!$O$25</f>
        <v>0</v>
      </c>
      <c r="BW965" s="121" t="n">
        <f aca="false">MIN((BW199+BW200)*$C$5, $F$15)*'⑫ Roll-out Plan'!$O$25</f>
        <v>0</v>
      </c>
      <c r="BX965" s="121" t="n">
        <f aca="false">MIN((BX199+BX200)*$C$5, $F$15)*'⑫ Roll-out Plan'!$O$25</f>
        <v>4943.94</v>
      </c>
      <c r="BY965" s="121" t="n">
        <f aca="false">MIN((BY199+BY200)*$C$5, $F$15)*'⑫ Roll-out Plan'!$O$25</f>
        <v>6391.06032</v>
      </c>
      <c r="BZ965" s="121" t="n">
        <f aca="false">MIN((BZ199+BZ200)*$C$5, $F$15)*'⑫ Roll-out Plan'!$O$25</f>
        <v>5593.515552</v>
      </c>
      <c r="CA965" s="121" t="n">
        <f aca="false">MIN((CA199+CA200)*$C$5, $F$15)*'⑫ Roll-out Plan'!$O$25</f>
        <v>8412.9805536</v>
      </c>
      <c r="CB965" s="121" t="n">
        <f aca="false">MIN((CB199+CB200)*$C$5, $F$15)*'⑫ Roll-out Plan'!$O$25</f>
        <v>8445.5756592</v>
      </c>
      <c r="CC965" s="121" t="n">
        <f aca="false">MIN((CC199+CC200)*$C$5, $F$15)*'⑫ Roll-out Plan'!$O$25</f>
        <v>8194.7337152</v>
      </c>
      <c r="CD965" s="121" t="n">
        <f aca="false">MIN((CD199+CD200)*$C$5, $F$15)*'⑫ Roll-out Plan'!$O$25</f>
        <v>8107.2783248</v>
      </c>
      <c r="CE965" s="121" t="n">
        <f aca="false">MIN((CE199+CE200)*$C$5, $F$15)*'⑫ Roll-out Plan'!$O$25</f>
        <v>9340.5334944</v>
      </c>
      <c r="CF965" s="121" t="n">
        <f aca="false">MIN((CF199+CF200)*$C$5, $F$15)*'⑫ Roll-out Plan'!$O$25</f>
        <v>16736.2799744</v>
      </c>
      <c r="CG965" s="121" t="n">
        <f aca="false">MIN((CG199+CG200)*$C$5, $F$15)*'⑫ Roll-out Plan'!$O$25</f>
        <v>14944.8753056</v>
      </c>
      <c r="CH965" s="121" t="n">
        <f aca="false">MIN((CH199+CH200)*$C$5, $F$15)*'⑫ Roll-out Plan'!$O$25</f>
        <v>13669.5249104</v>
      </c>
      <c r="CI965" s="121" t="n">
        <f aca="false">MIN((CI199+CI200)*$C$5, $F$15)*'⑫ Roll-out Plan'!$O$25</f>
        <v>11574.403344</v>
      </c>
      <c r="CJ965" s="121" t="n">
        <f aca="false">MIN((CJ199+CJ200)*$C$5, $F$15)*'⑫ Roll-out Plan'!$O$25</f>
        <v>16235.5344656</v>
      </c>
      <c r="CK965" s="121" t="n">
        <f aca="false">MIN((CK199+CK200)*$C$5, $F$15)*'⑫ Roll-out Plan'!$O$25</f>
        <v>18918.189984</v>
      </c>
      <c r="CL965" s="121" t="n">
        <f aca="false">MIN((CL199+CL200)*$C$5, $F$15)*'⑫ Roll-out Plan'!$O$25</f>
        <v>15479.7436944</v>
      </c>
      <c r="CM965" s="121" t="n">
        <f aca="false">MIN((CM199+CM200)*$C$5, $F$15)*'⑫ Roll-out Plan'!$O$25</f>
        <v>24632.9658432</v>
      </c>
      <c r="CN965" s="121" t="n">
        <f aca="false">MIN((CN199+CN200)*$C$5, $F$15)*'⑫ Roll-out Plan'!$O$25</f>
        <v>25822.2490288</v>
      </c>
      <c r="CO965" s="121" t="n">
        <f aca="false">MIN((CO199+CO200)*$C$5, $F$15)*'⑫ Roll-out Plan'!$O$25</f>
        <v>23498.46771696</v>
      </c>
      <c r="CP965" s="121" t="n">
        <f aca="false">MIN((CP199+CP200)*$C$5, $F$15)*'⑫ Roll-out Plan'!$O$25</f>
        <v>21654.84651104</v>
      </c>
      <c r="CQ965" s="121" t="n">
        <f aca="false">MIN((CQ199+CQ200)*$C$5, $F$15)*'⑫ Roll-out Plan'!$O$25</f>
        <v>22485.46720704</v>
      </c>
      <c r="CR965" s="121" t="n">
        <f aca="false">MIN((CR199+CR200)*$C$5, $F$15)*'⑫ Roll-out Plan'!$O$25</f>
        <v>27000</v>
      </c>
      <c r="CS965" s="121" t="n">
        <f aca="false">MIN((CS199+CS200)*$C$5, $F$15)*'⑫ Roll-out Plan'!$O$25</f>
        <v>27000</v>
      </c>
      <c r="CT965" s="121" t="n">
        <f aca="false">MIN((CT199+CT200)*$C$5, $F$15)*'⑫ Roll-out Plan'!$O$25</f>
        <v>27000</v>
      </c>
      <c r="CU965" s="121" t="n">
        <f aca="false">MIN((CU199+CU200)*$C$5, $F$15)*'⑫ Roll-out Plan'!$O$25</f>
        <v>24062.17750068</v>
      </c>
      <c r="CV965" s="121" t="n">
        <f aca="false">MIN((CV199+CV200)*$C$5, $F$15)*'⑫ Roll-out Plan'!$O$25</f>
        <v>27000</v>
      </c>
      <c r="CW965" s="121" t="n">
        <f aca="false">MIN((CW199+CW200)*$C$5, $F$15)*'⑫ Roll-out Plan'!$O$25</f>
        <v>27000</v>
      </c>
      <c r="CX965" s="121" t="n">
        <f aca="false">MIN((CX199+CX200)*$C$5, $F$15)*'⑫ Roll-out Plan'!$O$25</f>
        <v>27000</v>
      </c>
      <c r="CY965" s="121" t="n">
        <f aca="false">MIN((CY199+CY200)*$C$5, $F$15)*'⑫ Roll-out Plan'!$O$25</f>
        <v>27000</v>
      </c>
      <c r="CZ965" s="121" t="n">
        <f aca="false">MIN((CZ199+CZ200)*$C$5, $F$15)*'⑫ Roll-out Plan'!$O$25</f>
        <v>27000</v>
      </c>
      <c r="DA965" s="121" t="n">
        <f aca="false">MIN((DA199+DA200)*$C$5, $F$15)*'⑫ Roll-out Plan'!$O$25</f>
        <v>27000</v>
      </c>
      <c r="DB965" s="121" t="n">
        <f aca="false">MIN((DB199+DB200)*$C$5, $F$15)*'⑫ Roll-out Plan'!$O$25</f>
        <v>27000</v>
      </c>
      <c r="DC965" s="121" t="n">
        <f aca="false">MIN((DC199+DC200)*$C$5, $F$15)*'⑫ Roll-out Plan'!$O$25</f>
        <v>27000</v>
      </c>
      <c r="DD965" s="121" t="n">
        <f aca="false">MIN((DD199+DD200)*$C$5, $F$15)*'⑫ Roll-out Plan'!$O$25</f>
        <v>27000</v>
      </c>
      <c r="DE965" s="121" t="n">
        <f aca="false">MIN((DE199+DE200)*$C$5, $F$15)*'⑫ Roll-out Plan'!$O$25</f>
        <v>27000</v>
      </c>
      <c r="DF965" s="121" t="n">
        <f aca="false">MIN((DF199+DF200)*$C$5, $F$15)*'⑫ Roll-out Plan'!$O$25</f>
        <v>27000</v>
      </c>
      <c r="DG965" s="121" t="n">
        <f aca="false">MIN((DG199+DG200)*$C$5, $F$15)*'⑫ Roll-out Plan'!$O$25</f>
        <v>27000</v>
      </c>
      <c r="DH965" s="121" t="n">
        <f aca="false">MIN((DH199+DH200)*$C$5, $F$15)*'⑫ Roll-out Plan'!$O$25</f>
        <v>27000</v>
      </c>
      <c r="DI965" s="121" t="n">
        <f aca="false">MIN((DI199+DI200)*$C$5, $F$15)*'⑫ Roll-out Plan'!$O$25</f>
        <v>27000</v>
      </c>
      <c r="DJ965" s="121" t="n">
        <f aca="false">MIN((DJ199+DJ200)*$C$5, $F$15)*'⑫ Roll-out Plan'!$O$25</f>
        <v>27000</v>
      </c>
      <c r="DK965" s="121" t="n">
        <f aca="false">MIN((DK199+DK200)*$C$5, $F$15)*'⑫ Roll-out Plan'!$O$25</f>
        <v>27000</v>
      </c>
      <c r="DL965" s="121" t="n">
        <f aca="false">MIN((DL199+DL200)*$C$5, $F$15)*'⑫ Roll-out Plan'!$O$25</f>
        <v>27000</v>
      </c>
      <c r="DM965" s="121" t="n">
        <f aca="false">MIN((DM199+DM200)*$C$5, $F$15)*'⑫ Roll-out Plan'!$O$25</f>
        <v>27000</v>
      </c>
      <c r="DN965" s="121" t="n">
        <f aca="false">MIN((DN199+DN200)*$C$5, $F$15)*'⑫ Roll-out Plan'!$O$25</f>
        <v>27000</v>
      </c>
      <c r="DO965" s="121" t="n">
        <f aca="false">MIN((DO199+DO200)*$C$5, $F$15)*'⑫ Roll-out Plan'!$O$25</f>
        <v>27000</v>
      </c>
      <c r="DP965" s="121" t="n">
        <f aca="false">MIN((DP199+DP200)*$C$5, $F$15)*'⑫ Roll-out Plan'!$O$25</f>
        <v>27000</v>
      </c>
      <c r="DQ965" s="121" t="n">
        <f aca="false">MIN((DQ199+DQ200)*$C$5, $F$15)*'⑫ Roll-out Plan'!$O$25</f>
        <v>27000</v>
      </c>
      <c r="DR965" s="121" t="n">
        <f aca="false">MIN((DR199+DR200)*$C$5, $F$15)*'⑫ Roll-out Plan'!$O$25</f>
        <v>27000</v>
      </c>
      <c r="DS965" s="121" t="n">
        <f aca="false">MIN((DS199+DS200)*$C$5, $F$15)*'⑫ Roll-out Plan'!$O$25</f>
        <v>27000</v>
      </c>
      <c r="DT965" s="121" t="n">
        <f aca="false">MIN((DT199+DT200)*$C$5, $F$15)*'⑫ Roll-out Plan'!$O$25</f>
        <v>27000</v>
      </c>
      <c r="DU965" s="121" t="n">
        <f aca="false">MIN((DU199+DU200)*$C$5, $F$15)*'⑫ Roll-out Plan'!$O$25</f>
        <v>27000</v>
      </c>
      <c r="DV965" s="121" t="n">
        <f aca="false">MIN((DV199+DV200)*$C$5, $F$15)*'⑫ Roll-out Plan'!$O$25</f>
        <v>27000</v>
      </c>
      <c r="DW965" s="121" t="n">
        <f aca="false">MIN((DW199+DW200)*$C$5, $F$15)*'⑫ Roll-out Plan'!$O$25</f>
        <v>27000</v>
      </c>
      <c r="DX965" s="121" t="n">
        <f aca="false">MIN((DX199+DX200)*$C$5, $F$15)*'⑫ Roll-out Plan'!$O$25</f>
        <v>27000</v>
      </c>
      <c r="DY965" s="121" t="n">
        <f aca="false">MIN((DY199+DY200)*$C$5, $F$15)*'⑫ Roll-out Plan'!$O$25</f>
        <v>27000</v>
      </c>
      <c r="DZ965" s="121" t="n">
        <f aca="false">MIN((DZ199+DZ200)*$C$5, $F$15)*'⑫ Roll-out Plan'!$O$25</f>
        <v>27000</v>
      </c>
      <c r="EA965" s="121" t="n">
        <f aca="false">MIN((EA199+EA200)*$C$5, $F$15)*'⑫ Roll-out Plan'!$O$25</f>
        <v>27000</v>
      </c>
      <c r="EB965" s="121" t="n">
        <f aca="false">MIN((EB199+EB200)*$C$5, $F$15)*'⑫ Roll-out Plan'!$O$25</f>
        <v>27000</v>
      </c>
      <c r="EC965" s="121" t="n">
        <f aca="false">MIN((EC199+EC200)*$C$5, $F$15)*'⑫ Roll-out Plan'!$O$25</f>
        <v>27000</v>
      </c>
      <c r="ED965" s="121" t="n">
        <f aca="false">MIN((ED199+ED200)*$C$5, $F$15)*'⑫ Roll-out Plan'!$O$25</f>
        <v>27000</v>
      </c>
      <c r="EE965" s="121" t="n">
        <f aca="false">MIN((EE199+EE200)*$C$5, $F$15)*'⑫ Roll-out Plan'!$O$25</f>
        <v>27000</v>
      </c>
      <c r="EF965" s="121" t="n">
        <f aca="false">MIN((EF199+EF200)*$C$5, $F$15)*'⑫ Roll-out Plan'!$O$25</f>
        <v>27000</v>
      </c>
      <c r="EG965" s="121" t="n">
        <f aca="false">MIN((EG199+EG200)*$C$5, $F$15)*'⑫ Roll-out Plan'!$O$25</f>
        <v>27000</v>
      </c>
      <c r="EH965" s="121" t="n">
        <f aca="false">MIN((EH199+EH200)*$C$5, $F$15)*'⑫ Roll-out Plan'!$O$25</f>
        <v>27000</v>
      </c>
      <c r="EI965" s="121" t="n">
        <f aca="false">MIN((EI199+EI200)*$C$5, $F$15)*'⑫ Roll-out Plan'!$O$25</f>
        <v>27000</v>
      </c>
      <c r="EJ965" s="121" t="n">
        <f aca="false">MIN((EJ199+EJ200)*$C$5, $F$15)*'⑫ Roll-out Plan'!$O$25</f>
        <v>27000</v>
      </c>
      <c r="EK965" s="121" t="n">
        <f aca="false">MIN((EK199+EK200)*$C$5, $F$15)*'⑫ Roll-out Plan'!$O$25</f>
        <v>27000</v>
      </c>
      <c r="EL965" s="121" t="n">
        <f aca="false">MIN((EL199+EL200)*$C$5, $F$15)*'⑫ Roll-out Plan'!$O$25</f>
        <v>27000</v>
      </c>
      <c r="EM965" s="121" t="n">
        <f aca="false">MIN((EM199+EM200)*$C$5, $F$15)*'⑫ Roll-out Plan'!$O$25</f>
        <v>27000</v>
      </c>
      <c r="EN965" s="121" t="n">
        <f aca="false">MIN((EN199+EN200)*$C$5, $F$15)*'⑫ Roll-out Plan'!$O$25</f>
        <v>27000</v>
      </c>
      <c r="EO965" s="121" t="n">
        <f aca="false">MIN((EO199+EO200)*$C$5, $F$15)*'⑫ Roll-out Plan'!$O$25</f>
        <v>27000</v>
      </c>
      <c r="EP965" s="121" t="n">
        <f aca="false">MIN((EP199+EP200)*$C$5, $F$15)*'⑫ Roll-out Plan'!$O$25</f>
        <v>27000</v>
      </c>
      <c r="EQ965" s="121" t="n">
        <f aca="false">MIN((EQ199+EQ200)*$C$5, $F$15)*'⑫ Roll-out Plan'!$O$25</f>
        <v>27000</v>
      </c>
      <c r="ER965" s="121" t="n">
        <f aca="false">MIN((ER199+ER200)*$C$5, $F$15)*'⑫ Roll-out Plan'!$O$25</f>
        <v>27000</v>
      </c>
      <c r="ES965" s="9" t="n">
        <f aca="false">MIN((ES199+ES200)*$C$5, $F$15)*'⑫ Roll-out Plan'!$O$25</f>
        <v>27000</v>
      </c>
      <c r="ET965" s="9" t="n">
        <f aca="false">MIN((ET199+ET200)*$C$5, $F$15)*'⑫ Roll-out Plan'!$O$25</f>
        <v>27000</v>
      </c>
      <c r="EU965" s="9" t="n">
        <f aca="false">MIN((EU199+EU200)*$C$5, $F$15)*'⑫ Roll-out Plan'!$O$25</f>
        <v>27000</v>
      </c>
      <c r="EV965" s="9" t="n">
        <f aca="false">MIN((EV199+EV200)*$C$5, $F$15)*'⑫ Roll-out Plan'!$O$25</f>
        <v>27000</v>
      </c>
      <c r="EW965" s="9" t="n">
        <f aca="false">MIN((EW199+EW200)*$C$5, $F$15)*'⑫ Roll-out Plan'!$O$25</f>
        <v>27000</v>
      </c>
      <c r="EX965" s="9" t="n">
        <f aca="false">MIN((EX199+EX200)*$C$5, $F$15)*'⑫ Roll-out Plan'!$O$25</f>
        <v>27000</v>
      </c>
      <c r="EY965" s="9" t="n">
        <f aca="false">MIN((EY199+EY200)*$C$5, $F$15)*'⑫ Roll-out Plan'!$O$25</f>
        <v>27000</v>
      </c>
      <c r="EZ965" s="9" t="n">
        <f aca="false">MIN((EZ199+EZ200)*$C$5, $F$15)*'⑫ Roll-out Plan'!$O$25</f>
        <v>27000</v>
      </c>
      <c r="FA965" s="9" t="n">
        <f aca="false">MIN((FA199+FA200)*$C$5, $F$15)*'⑫ Roll-out Plan'!$O$25</f>
        <v>27000</v>
      </c>
      <c r="FB965" s="9" t="n">
        <f aca="false">MIN((FB199+FB200)*$C$5, $F$15)*'⑫ Roll-out Plan'!$O$25</f>
        <v>27000</v>
      </c>
      <c r="FC965" s="9" t="n">
        <f aca="false">MIN((FC199+FC200)*$C$5, $F$15)*'⑫ Roll-out Plan'!$O$25</f>
        <v>27000</v>
      </c>
      <c r="FD965" s="9" t="n">
        <f aca="false">MIN((FD199+FD200)*$C$5, $F$15)*'⑫ Roll-out Plan'!$O$25</f>
        <v>27000</v>
      </c>
      <c r="FE965" s="9" t="n">
        <f aca="false">MIN((FE199+FE200)*$C$5, $F$15)*'⑫ Roll-out Plan'!$O$25</f>
        <v>27000</v>
      </c>
      <c r="FF965" s="9" t="n">
        <f aca="false">MIN((FF199+FF200)*$C$5, $F$15)*'⑫ Roll-out Plan'!$O$25</f>
        <v>27000</v>
      </c>
      <c r="FG965" s="9" t="n">
        <f aca="false">MIN((FG199+FG200)*$C$5, $F$15)*'⑫ Roll-out Plan'!$O$25</f>
        <v>27000</v>
      </c>
      <c r="FH965" s="9" t="n">
        <f aca="false">MIN((FH199+FH200)*$C$5, $F$15)*'⑫ Roll-out Plan'!$O$25</f>
        <v>27000</v>
      </c>
      <c r="FI965" s="9" t="n">
        <f aca="false">MIN((FI199+FI200)*$C$5, $F$15)*'⑫ Roll-out Plan'!$O$25</f>
        <v>27000</v>
      </c>
      <c r="FJ965" s="9" t="n">
        <f aca="false">MIN((FJ199+FJ200)*$C$5, $F$15)*'⑫ Roll-out Plan'!$O$25</f>
        <v>27000</v>
      </c>
      <c r="FK965" s="9" t="n">
        <f aca="false">MIN((FK199+FK200)*$C$5, $F$15)*'⑫ Roll-out Plan'!$O$25</f>
        <v>27000</v>
      </c>
      <c r="FL965" s="9" t="n">
        <f aca="false">MIN((FL199+FL200)*$C$5, $F$15)*'⑫ Roll-out Plan'!$O$25</f>
        <v>27000</v>
      </c>
      <c r="FM965" s="9" t="n">
        <f aca="false">MIN((FM199+FM200)*$C$5, $F$15)*'⑫ Roll-out Plan'!$O$25</f>
        <v>27000</v>
      </c>
      <c r="FN965" s="9" t="n">
        <f aca="false">MIN((FN199+FN200)*$C$5, $F$15)*'⑫ Roll-out Plan'!$O$25</f>
        <v>27000</v>
      </c>
      <c r="FO965" s="9" t="n">
        <f aca="false">MIN((FO199+FO200)*$C$5, $F$15)*'⑫ Roll-out Plan'!$O$25</f>
        <v>27000</v>
      </c>
      <c r="FP965" s="9" t="n">
        <f aca="false">MIN((FP199+FP200)*$C$5, $F$15)*'⑫ Roll-out Plan'!$O$25</f>
        <v>27000</v>
      </c>
    </row>
    <row r="966" customFormat="false" ht="15" hidden="false" customHeight="false" outlineLevel="0" collapsed="false">
      <c r="B966" s="47" t="s">
        <v>991</v>
      </c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121" t="n">
        <f aca="false">MIN((AC209+AC210)*$C$5, $F$15)*'⑫ Roll-out Plan'!$O$26</f>
        <v>0</v>
      </c>
      <c r="AD966" s="121" t="n">
        <f aca="false">MIN((AD209+AD210)*$C$5, $F$15)*'⑫ Roll-out Plan'!$O$26</f>
        <v>0</v>
      </c>
      <c r="AE966" s="121" t="n">
        <f aca="false">MIN((AE209+AE210)*$C$5, $F$15)*'⑫ Roll-out Plan'!$O$26</f>
        <v>0</v>
      </c>
      <c r="AF966" s="121" t="n">
        <f aca="false">MIN((AF209+AF210)*$C$5, $F$15)*'⑫ Roll-out Plan'!$O$26</f>
        <v>0</v>
      </c>
      <c r="AG966" s="121" t="n">
        <f aca="false">MIN((AG209+AG210)*$C$5, $F$15)*'⑫ Roll-out Plan'!$O$26</f>
        <v>0</v>
      </c>
      <c r="AH966" s="121" t="n">
        <f aca="false">MIN((AH209+AH210)*$C$5, $F$15)*'⑫ Roll-out Plan'!$O$26</f>
        <v>0</v>
      </c>
      <c r="AI966" s="121" t="n">
        <f aca="false">MIN((AI209+AI210)*$C$5, $F$15)*'⑫ Roll-out Plan'!$O$26</f>
        <v>0</v>
      </c>
      <c r="AJ966" s="121" t="n">
        <f aca="false">MIN((AJ209+AJ210)*$C$5, $F$15)*'⑫ Roll-out Plan'!$O$26</f>
        <v>0</v>
      </c>
      <c r="AK966" s="121" t="n">
        <f aca="false">MIN((AK209+AK210)*$C$5, $F$15)*'⑫ Roll-out Plan'!$O$26</f>
        <v>0</v>
      </c>
      <c r="AL966" s="121" t="n">
        <f aca="false">MIN((AL209+AL210)*$C$5, $F$15)*'⑫ Roll-out Plan'!$O$26</f>
        <v>0</v>
      </c>
      <c r="AM966" s="121" t="n">
        <f aca="false">MIN((AM209+AM210)*$C$5, $F$15)*'⑫ Roll-out Plan'!$O$26</f>
        <v>0</v>
      </c>
      <c r="AN966" s="121" t="n">
        <f aca="false">MIN((AN209+AN210)*$C$5, $F$15)*'⑫ Roll-out Plan'!$O$26</f>
        <v>0</v>
      </c>
      <c r="AO966" s="121" t="n">
        <f aca="false">MIN((AO209+AO210)*$C$5, $F$15)*'⑫ Roll-out Plan'!$O$26</f>
        <v>0</v>
      </c>
      <c r="AP966" s="121" t="n">
        <f aca="false">MIN((AP209+AP210)*$C$5, $F$15)*'⑫ Roll-out Plan'!$O$26</f>
        <v>0</v>
      </c>
      <c r="AQ966" s="121" t="n">
        <f aca="false">MIN((AQ209+AQ210)*$C$5, $F$15)*'⑫ Roll-out Plan'!$O$26</f>
        <v>0</v>
      </c>
      <c r="AR966" s="121" t="n">
        <f aca="false">MIN((AR209+AR210)*$C$5, $F$15)*'⑫ Roll-out Plan'!$O$26</f>
        <v>0</v>
      </c>
      <c r="AS966" s="121" t="n">
        <f aca="false">MIN((AS209+AS210)*$C$5, $F$15)*'⑫ Roll-out Plan'!$O$26</f>
        <v>0</v>
      </c>
      <c r="AT966" s="121" t="n">
        <f aca="false">MIN((AT209+AT210)*$C$5, $F$15)*'⑫ Roll-out Plan'!$O$26</f>
        <v>0</v>
      </c>
      <c r="AU966" s="121" t="n">
        <f aca="false">MIN((AU209+AU210)*$C$5, $F$15)*'⑫ Roll-out Plan'!$O$26</f>
        <v>0</v>
      </c>
      <c r="AV966" s="121" t="n">
        <f aca="false">MIN((AV209+AV210)*$C$5, $F$15)*'⑫ Roll-out Plan'!$O$26</f>
        <v>0</v>
      </c>
      <c r="AW966" s="121" t="n">
        <f aca="false">MIN((AW209+AW210)*$C$5, $F$15)*'⑫ Roll-out Plan'!$O$26</f>
        <v>0</v>
      </c>
      <c r="AX966" s="121" t="n">
        <f aca="false">MIN((AX209+AX210)*$C$5, $F$15)*'⑫ Roll-out Plan'!$O$26</f>
        <v>0</v>
      </c>
      <c r="AY966" s="121" t="n">
        <f aca="false">MIN((AY209+AY210)*$C$5, $F$15)*'⑫ Roll-out Plan'!$O$26</f>
        <v>0</v>
      </c>
      <c r="AZ966" s="121" t="n">
        <f aca="false">MIN((AZ209+AZ210)*$C$5, $F$15)*'⑫ Roll-out Plan'!$O$26</f>
        <v>0</v>
      </c>
      <c r="BA966" s="121" t="n">
        <f aca="false">MIN((BA209+BA210)*$C$5, $F$15)*'⑫ Roll-out Plan'!$O$26</f>
        <v>0</v>
      </c>
      <c r="BB966" s="121" t="n">
        <f aca="false">MIN((BB209+BB210)*$C$5, $F$15)*'⑫ Roll-out Plan'!$O$26</f>
        <v>0</v>
      </c>
      <c r="BC966" s="121" t="n">
        <f aca="false">MIN((BC209+BC210)*$C$5, $F$15)*'⑫ Roll-out Plan'!$O$26</f>
        <v>0</v>
      </c>
      <c r="BD966" s="121" t="n">
        <f aca="false">MIN((BD209+BD210)*$C$5, $F$15)*'⑫ Roll-out Plan'!$O$26</f>
        <v>0</v>
      </c>
      <c r="BE966" s="121" t="n">
        <f aca="false">MIN((BE209+BE210)*$C$5, $F$15)*'⑫ Roll-out Plan'!$O$26</f>
        <v>0</v>
      </c>
      <c r="BF966" s="121" t="n">
        <f aca="false">MIN((BF209+BF210)*$C$5, $F$15)*'⑫ Roll-out Plan'!$O$26</f>
        <v>0</v>
      </c>
      <c r="BG966" s="121" t="n">
        <f aca="false">MIN((BG209+BG210)*$C$5, $F$15)*'⑫ Roll-out Plan'!$O$26</f>
        <v>0</v>
      </c>
      <c r="BH966" s="121" t="n">
        <f aca="false">MIN((BH209+BH210)*$C$5, $F$15)*'⑫ Roll-out Plan'!$O$26</f>
        <v>0</v>
      </c>
      <c r="BI966" s="121" t="n">
        <f aca="false">MIN((BI209+BI210)*$C$5, $F$15)*'⑫ Roll-out Plan'!$O$26</f>
        <v>0</v>
      </c>
      <c r="BJ966" s="121" t="n">
        <f aca="false">MIN((BJ209+BJ210)*$C$5, $F$15)*'⑫ Roll-out Plan'!$O$26</f>
        <v>0</v>
      </c>
      <c r="BK966" s="121" t="n">
        <f aca="false">MIN((BK209+BK210)*$C$5, $F$15)*'⑫ Roll-out Plan'!$O$26</f>
        <v>0</v>
      </c>
      <c r="BL966" s="121" t="n">
        <f aca="false">MIN((BL209+BL210)*$C$5, $F$15)*'⑫ Roll-out Plan'!$O$26</f>
        <v>0</v>
      </c>
      <c r="BM966" s="121" t="n">
        <f aca="false">MIN((BM209+BM210)*$C$5, $F$15)*'⑫ Roll-out Plan'!$O$26</f>
        <v>0</v>
      </c>
      <c r="BN966" s="121" t="n">
        <f aca="false">MIN((BN209+BN210)*$C$5, $F$15)*'⑫ Roll-out Plan'!$O$26</f>
        <v>0</v>
      </c>
      <c r="BO966" s="121" t="n">
        <f aca="false">MIN((BO209+BO210)*$C$5, $F$15)*'⑫ Roll-out Plan'!$O$26</f>
        <v>5622.52</v>
      </c>
      <c r="BP966" s="121" t="n">
        <f aca="false">MIN((BP209+BP210)*$C$5, $F$15)*'⑫ Roll-out Plan'!$O$26</f>
        <v>6584.55256</v>
      </c>
      <c r="BQ966" s="121" t="n">
        <f aca="false">MIN((BQ209+BQ210)*$C$5, $F$15)*'⑫ Roll-out Plan'!$O$26</f>
        <v>6200.747712</v>
      </c>
      <c r="BR966" s="121" t="n">
        <f aca="false">MIN((BR209+BR210)*$C$5, $F$15)*'⑫ Roll-out Plan'!$O$26</f>
        <v>6148.865424</v>
      </c>
      <c r="BS966" s="121" t="n">
        <f aca="false">MIN((BS209+BS210)*$C$5, $F$15)*'⑫ Roll-out Plan'!$O$26</f>
        <v>6464.0677728</v>
      </c>
      <c r="BT966" s="121" t="n">
        <f aca="false">MIN((BT209+BT210)*$C$5, $F$15)*'⑫ Roll-out Plan'!$O$26</f>
        <v>11712.8414192</v>
      </c>
      <c r="BU966" s="121" t="n">
        <f aca="false">MIN((BU209+BU210)*$C$5, $F$15)*'⑫ Roll-out Plan'!$O$26</f>
        <v>11570.7273792</v>
      </c>
      <c r="BV966" s="121" t="n">
        <f aca="false">MIN((BV209+BV210)*$C$5, $F$15)*'⑫ Roll-out Plan'!$O$26</f>
        <v>10880.3982512</v>
      </c>
      <c r="BW966" s="121" t="n">
        <f aca="false">MIN((BW209+BW210)*$C$5, $F$15)*'⑫ Roll-out Plan'!$O$26</f>
        <v>9518.3292096</v>
      </c>
      <c r="BX966" s="121" t="n">
        <f aca="false">MIN((BX209+BX210)*$C$5, $F$15)*'⑫ Roll-out Plan'!$O$26</f>
        <v>12621.6965728</v>
      </c>
      <c r="BY966" s="121" t="n">
        <f aca="false">MIN((BY209+BY210)*$C$5, $F$15)*'⑫ Roll-out Plan'!$O$26</f>
        <v>14813.4556864</v>
      </c>
      <c r="BZ966" s="121" t="n">
        <f aca="false">MIN((BZ209+BZ210)*$C$5, $F$15)*'⑫ Roll-out Plan'!$O$26</f>
        <v>12852.7937776</v>
      </c>
      <c r="CA966" s="121" t="n">
        <f aca="false">MIN((CA209+CA210)*$C$5, $F$15)*'⑫ Roll-out Plan'!$O$26</f>
        <v>18276.3541216</v>
      </c>
      <c r="CB966" s="121" t="n">
        <f aca="false">MIN((CB209+CB210)*$C$5, $F$15)*'⑫ Roll-out Plan'!$O$26</f>
        <v>19458.0837424</v>
      </c>
      <c r="CC966" s="121" t="n">
        <f aca="false">MIN((CC209+CC210)*$C$5, $F$15)*'⑫ Roll-out Plan'!$O$26</f>
        <v>17059.0048672</v>
      </c>
      <c r="CD966" s="121" t="n">
        <f aca="false">MIN((CD209+CD210)*$C$5, $F$15)*'⑫ Roll-out Plan'!$O$26</f>
        <v>18234.530328</v>
      </c>
      <c r="CE966" s="121" t="n">
        <f aca="false">MIN((CE209+CE210)*$C$5, $F$15)*'⑫ Roll-out Plan'!$O$26</f>
        <v>19963.6219648</v>
      </c>
      <c r="CF966" s="121" t="n">
        <f aca="false">MIN((CF209+CF210)*$C$5, $F$15)*'⑫ Roll-out Plan'!$O$26</f>
        <v>27000</v>
      </c>
      <c r="CG966" s="121" t="n">
        <f aca="false">MIN((CG209+CG210)*$C$5, $F$15)*'⑫ Roll-out Plan'!$O$26</f>
        <v>27000</v>
      </c>
      <c r="CH966" s="121" t="n">
        <f aca="false">MIN((CH209+CH210)*$C$5, $F$15)*'⑫ Roll-out Plan'!$O$26</f>
        <v>26092.83687528</v>
      </c>
      <c r="CI966" s="121" t="n">
        <f aca="false">MIN((CI209+CI210)*$C$5, $F$15)*'⑫ Roll-out Plan'!$O$26</f>
        <v>21431.330402</v>
      </c>
      <c r="CJ966" s="121" t="n">
        <f aca="false">MIN((CJ209+CJ210)*$C$5, $F$15)*'⑫ Roll-out Plan'!$O$26</f>
        <v>27000</v>
      </c>
      <c r="CK966" s="121" t="n">
        <f aca="false">MIN((CK209+CK210)*$C$5, $F$15)*'⑫ Roll-out Plan'!$O$26</f>
        <v>27000</v>
      </c>
      <c r="CL966" s="121" t="n">
        <f aca="false">MIN((CL209+CL210)*$C$5, $F$15)*'⑫ Roll-out Plan'!$O$26</f>
        <v>26495.16637564</v>
      </c>
      <c r="CM966" s="121" t="n">
        <f aca="false">MIN((CM209+CM210)*$C$5, $F$15)*'⑫ Roll-out Plan'!$O$26</f>
        <v>27000</v>
      </c>
      <c r="CN966" s="121" t="n">
        <f aca="false">MIN((CN209+CN210)*$C$5, $F$15)*'⑫ Roll-out Plan'!$O$26</f>
        <v>27000</v>
      </c>
      <c r="CO966" s="121" t="n">
        <f aca="false">MIN((CO209+CO210)*$C$5, $F$15)*'⑫ Roll-out Plan'!$O$26</f>
        <v>27000</v>
      </c>
      <c r="CP966" s="121" t="n">
        <f aca="false">MIN((CP209+CP210)*$C$5, $F$15)*'⑫ Roll-out Plan'!$O$26</f>
        <v>27000</v>
      </c>
      <c r="CQ966" s="121" t="n">
        <f aca="false">MIN((CQ209+CQ210)*$C$5, $F$15)*'⑫ Roll-out Plan'!$O$26</f>
        <v>27000</v>
      </c>
      <c r="CR966" s="121" t="n">
        <f aca="false">MIN((CR209+CR210)*$C$5, $F$15)*'⑫ Roll-out Plan'!$O$26</f>
        <v>27000</v>
      </c>
      <c r="CS966" s="121" t="n">
        <f aca="false">MIN((CS209+CS210)*$C$5, $F$15)*'⑫ Roll-out Plan'!$O$26</f>
        <v>27000</v>
      </c>
      <c r="CT966" s="121" t="n">
        <f aca="false">MIN((CT209+CT210)*$C$5, $F$15)*'⑫ Roll-out Plan'!$O$26</f>
        <v>27000</v>
      </c>
      <c r="CU966" s="121" t="n">
        <f aca="false">MIN((CU209+CU210)*$C$5, $F$15)*'⑫ Roll-out Plan'!$O$26</f>
        <v>27000</v>
      </c>
      <c r="CV966" s="121" t="n">
        <f aca="false">MIN((CV209+CV210)*$C$5, $F$15)*'⑫ Roll-out Plan'!$O$26</f>
        <v>27000</v>
      </c>
      <c r="CW966" s="121" t="n">
        <f aca="false">MIN((CW209+CW210)*$C$5, $F$15)*'⑫ Roll-out Plan'!$O$26</f>
        <v>27000</v>
      </c>
      <c r="CX966" s="121" t="n">
        <f aca="false">MIN((CX209+CX210)*$C$5, $F$15)*'⑫ Roll-out Plan'!$O$26</f>
        <v>27000</v>
      </c>
      <c r="CY966" s="121" t="n">
        <f aca="false">MIN((CY209+CY210)*$C$5, $F$15)*'⑫ Roll-out Plan'!$O$26</f>
        <v>27000</v>
      </c>
      <c r="CZ966" s="121" t="n">
        <f aca="false">MIN((CZ209+CZ210)*$C$5, $F$15)*'⑫ Roll-out Plan'!$O$26</f>
        <v>27000</v>
      </c>
      <c r="DA966" s="121" t="n">
        <f aca="false">MIN((DA209+DA210)*$C$5, $F$15)*'⑫ Roll-out Plan'!$O$26</f>
        <v>27000</v>
      </c>
      <c r="DB966" s="121" t="n">
        <f aca="false">MIN((DB209+DB210)*$C$5, $F$15)*'⑫ Roll-out Plan'!$O$26</f>
        <v>27000</v>
      </c>
      <c r="DC966" s="121" t="n">
        <f aca="false">MIN((DC209+DC210)*$C$5, $F$15)*'⑫ Roll-out Plan'!$O$26</f>
        <v>27000</v>
      </c>
      <c r="DD966" s="121" t="n">
        <f aca="false">MIN((DD209+DD210)*$C$5, $F$15)*'⑫ Roll-out Plan'!$O$26</f>
        <v>27000</v>
      </c>
      <c r="DE966" s="121" t="n">
        <f aca="false">MIN((DE209+DE210)*$C$5, $F$15)*'⑫ Roll-out Plan'!$O$26</f>
        <v>27000</v>
      </c>
      <c r="DF966" s="121" t="n">
        <f aca="false">MIN((DF209+DF210)*$C$5, $F$15)*'⑫ Roll-out Plan'!$O$26</f>
        <v>27000</v>
      </c>
      <c r="DG966" s="121" t="n">
        <f aca="false">MIN((DG209+DG210)*$C$5, $F$15)*'⑫ Roll-out Plan'!$O$26</f>
        <v>27000</v>
      </c>
      <c r="DH966" s="121" t="n">
        <f aca="false">MIN((DH209+DH210)*$C$5, $F$15)*'⑫ Roll-out Plan'!$O$26</f>
        <v>27000</v>
      </c>
      <c r="DI966" s="121" t="n">
        <f aca="false">MIN((DI209+DI210)*$C$5, $F$15)*'⑫ Roll-out Plan'!$O$26</f>
        <v>27000</v>
      </c>
      <c r="DJ966" s="121" t="n">
        <f aca="false">MIN((DJ209+DJ210)*$C$5, $F$15)*'⑫ Roll-out Plan'!$O$26</f>
        <v>27000</v>
      </c>
      <c r="DK966" s="121" t="n">
        <f aca="false">MIN((DK209+DK210)*$C$5, $F$15)*'⑫ Roll-out Plan'!$O$26</f>
        <v>27000</v>
      </c>
      <c r="DL966" s="121" t="n">
        <f aca="false">MIN((DL209+DL210)*$C$5, $F$15)*'⑫ Roll-out Plan'!$O$26</f>
        <v>27000</v>
      </c>
      <c r="DM966" s="121" t="n">
        <f aca="false">MIN((DM209+DM210)*$C$5, $F$15)*'⑫ Roll-out Plan'!$O$26</f>
        <v>27000</v>
      </c>
      <c r="DN966" s="121" t="n">
        <f aca="false">MIN((DN209+DN210)*$C$5, $F$15)*'⑫ Roll-out Plan'!$O$26</f>
        <v>27000</v>
      </c>
      <c r="DO966" s="121" t="n">
        <f aca="false">MIN((DO209+DO210)*$C$5, $F$15)*'⑫ Roll-out Plan'!$O$26</f>
        <v>27000</v>
      </c>
      <c r="DP966" s="121" t="n">
        <f aca="false">MIN((DP209+DP210)*$C$5, $F$15)*'⑫ Roll-out Plan'!$O$26</f>
        <v>27000</v>
      </c>
      <c r="DQ966" s="121" t="n">
        <f aca="false">MIN((DQ209+DQ210)*$C$5, $F$15)*'⑫ Roll-out Plan'!$O$26</f>
        <v>27000</v>
      </c>
      <c r="DR966" s="121" t="n">
        <f aca="false">MIN((DR209+DR210)*$C$5, $F$15)*'⑫ Roll-out Plan'!$O$26</f>
        <v>27000</v>
      </c>
      <c r="DS966" s="121" t="n">
        <f aca="false">MIN((DS209+DS210)*$C$5, $F$15)*'⑫ Roll-out Plan'!$O$26</f>
        <v>27000</v>
      </c>
      <c r="DT966" s="121" t="n">
        <f aca="false">MIN((DT209+DT210)*$C$5, $F$15)*'⑫ Roll-out Plan'!$O$26</f>
        <v>27000</v>
      </c>
      <c r="DU966" s="121" t="n">
        <f aca="false">MIN((DU209+DU210)*$C$5, $F$15)*'⑫ Roll-out Plan'!$O$26</f>
        <v>27000</v>
      </c>
      <c r="DV966" s="121" t="n">
        <f aca="false">MIN((DV209+DV210)*$C$5, $F$15)*'⑫ Roll-out Plan'!$O$26</f>
        <v>27000</v>
      </c>
      <c r="DW966" s="121" t="n">
        <f aca="false">MIN((DW209+DW210)*$C$5, $F$15)*'⑫ Roll-out Plan'!$O$26</f>
        <v>27000</v>
      </c>
      <c r="DX966" s="121" t="n">
        <f aca="false">MIN((DX209+DX210)*$C$5, $F$15)*'⑫ Roll-out Plan'!$O$26</f>
        <v>27000</v>
      </c>
      <c r="DY966" s="121" t="n">
        <f aca="false">MIN((DY209+DY210)*$C$5, $F$15)*'⑫ Roll-out Plan'!$O$26</f>
        <v>27000</v>
      </c>
      <c r="DZ966" s="121" t="n">
        <f aca="false">MIN((DZ209+DZ210)*$C$5, $F$15)*'⑫ Roll-out Plan'!$O$26</f>
        <v>27000</v>
      </c>
      <c r="EA966" s="121" t="n">
        <f aca="false">MIN((EA209+EA210)*$C$5, $F$15)*'⑫ Roll-out Plan'!$O$26</f>
        <v>27000</v>
      </c>
      <c r="EB966" s="121" t="n">
        <f aca="false">MIN((EB209+EB210)*$C$5, $F$15)*'⑫ Roll-out Plan'!$O$26</f>
        <v>27000</v>
      </c>
      <c r="EC966" s="121" t="n">
        <f aca="false">MIN((EC209+EC210)*$C$5, $F$15)*'⑫ Roll-out Plan'!$O$26</f>
        <v>27000</v>
      </c>
      <c r="ED966" s="121" t="n">
        <f aca="false">MIN((ED209+ED210)*$C$5, $F$15)*'⑫ Roll-out Plan'!$O$26</f>
        <v>27000</v>
      </c>
      <c r="EE966" s="121" t="n">
        <f aca="false">MIN((EE209+EE210)*$C$5, $F$15)*'⑫ Roll-out Plan'!$O$26</f>
        <v>27000</v>
      </c>
      <c r="EF966" s="121" t="n">
        <f aca="false">MIN((EF209+EF210)*$C$5, $F$15)*'⑫ Roll-out Plan'!$O$26</f>
        <v>27000</v>
      </c>
      <c r="EG966" s="121" t="n">
        <f aca="false">MIN((EG209+EG210)*$C$5, $F$15)*'⑫ Roll-out Plan'!$O$26</f>
        <v>27000</v>
      </c>
      <c r="EH966" s="121" t="n">
        <f aca="false">MIN((EH209+EH210)*$C$5, $F$15)*'⑫ Roll-out Plan'!$O$26</f>
        <v>27000</v>
      </c>
      <c r="EI966" s="121" t="n">
        <f aca="false">MIN((EI209+EI210)*$C$5, $F$15)*'⑫ Roll-out Plan'!$O$26</f>
        <v>27000</v>
      </c>
      <c r="EJ966" s="121" t="n">
        <f aca="false">MIN((EJ209+EJ210)*$C$5, $F$15)*'⑫ Roll-out Plan'!$O$26</f>
        <v>27000</v>
      </c>
      <c r="EK966" s="121" t="n">
        <f aca="false">MIN((EK209+EK210)*$C$5, $F$15)*'⑫ Roll-out Plan'!$O$26</f>
        <v>27000</v>
      </c>
      <c r="EL966" s="121" t="n">
        <f aca="false">MIN((EL209+EL210)*$C$5, $F$15)*'⑫ Roll-out Plan'!$O$26</f>
        <v>27000</v>
      </c>
      <c r="EM966" s="121" t="n">
        <f aca="false">MIN((EM209+EM210)*$C$5, $F$15)*'⑫ Roll-out Plan'!$O$26</f>
        <v>27000</v>
      </c>
      <c r="EN966" s="121" t="n">
        <f aca="false">MIN((EN209+EN210)*$C$5, $F$15)*'⑫ Roll-out Plan'!$O$26</f>
        <v>27000</v>
      </c>
      <c r="EO966" s="121" t="n">
        <f aca="false">MIN((EO209+EO210)*$C$5, $F$15)*'⑫ Roll-out Plan'!$O$26</f>
        <v>27000</v>
      </c>
      <c r="EP966" s="121" t="n">
        <f aca="false">MIN((EP209+EP210)*$C$5, $F$15)*'⑫ Roll-out Plan'!$O$26</f>
        <v>27000</v>
      </c>
      <c r="EQ966" s="121" t="n">
        <f aca="false">MIN((EQ209+EQ210)*$C$5, $F$15)*'⑫ Roll-out Plan'!$O$26</f>
        <v>27000</v>
      </c>
      <c r="ER966" s="121" t="n">
        <f aca="false">MIN((ER209+ER210)*$C$5, $F$15)*'⑫ Roll-out Plan'!$O$26</f>
        <v>27000</v>
      </c>
      <c r="ES966" s="9" t="n">
        <f aca="false">MIN((ES209+ES210)*$C$5, $F$15)*'⑫ Roll-out Plan'!$O$26</f>
        <v>27000</v>
      </c>
      <c r="ET966" s="9" t="n">
        <f aca="false">MIN((ET209+ET210)*$C$5, $F$15)*'⑫ Roll-out Plan'!$O$26</f>
        <v>27000</v>
      </c>
      <c r="EU966" s="9" t="n">
        <f aca="false">MIN((EU209+EU210)*$C$5, $F$15)*'⑫ Roll-out Plan'!$O$26</f>
        <v>27000</v>
      </c>
      <c r="EV966" s="9" t="n">
        <f aca="false">MIN((EV209+EV210)*$C$5, $F$15)*'⑫ Roll-out Plan'!$O$26</f>
        <v>27000</v>
      </c>
      <c r="EW966" s="9" t="n">
        <f aca="false">MIN((EW209+EW210)*$C$5, $F$15)*'⑫ Roll-out Plan'!$O$26</f>
        <v>27000</v>
      </c>
      <c r="EX966" s="9" t="n">
        <f aca="false">MIN((EX209+EX210)*$C$5, $F$15)*'⑫ Roll-out Plan'!$O$26</f>
        <v>27000</v>
      </c>
      <c r="EY966" s="9" t="n">
        <f aca="false">MIN((EY209+EY210)*$C$5, $F$15)*'⑫ Roll-out Plan'!$O$26</f>
        <v>27000</v>
      </c>
      <c r="EZ966" s="9" t="n">
        <f aca="false">MIN((EZ209+EZ210)*$C$5, $F$15)*'⑫ Roll-out Plan'!$O$26</f>
        <v>27000</v>
      </c>
      <c r="FA966" s="9" t="n">
        <f aca="false">MIN((FA209+FA210)*$C$5, $F$15)*'⑫ Roll-out Plan'!$O$26</f>
        <v>27000</v>
      </c>
      <c r="FB966" s="9" t="n">
        <f aca="false">MIN((FB209+FB210)*$C$5, $F$15)*'⑫ Roll-out Plan'!$O$26</f>
        <v>27000</v>
      </c>
      <c r="FC966" s="9" t="n">
        <f aca="false">MIN((FC209+FC210)*$C$5, $F$15)*'⑫ Roll-out Plan'!$O$26</f>
        <v>27000</v>
      </c>
      <c r="FD966" s="9" t="n">
        <f aca="false">MIN((FD209+FD210)*$C$5, $F$15)*'⑫ Roll-out Plan'!$O$26</f>
        <v>27000</v>
      </c>
      <c r="FE966" s="9" t="n">
        <f aca="false">MIN((FE209+FE210)*$C$5, $F$15)*'⑫ Roll-out Plan'!$O$26</f>
        <v>27000</v>
      </c>
      <c r="FF966" s="9" t="n">
        <f aca="false">MIN((FF209+FF210)*$C$5, $F$15)*'⑫ Roll-out Plan'!$O$26</f>
        <v>27000</v>
      </c>
      <c r="FG966" s="9" t="n">
        <f aca="false">MIN((FG209+FG210)*$C$5, $F$15)*'⑫ Roll-out Plan'!$O$26</f>
        <v>27000</v>
      </c>
      <c r="FH966" s="9" t="n">
        <f aca="false">MIN((FH209+FH210)*$C$5, $F$15)*'⑫ Roll-out Plan'!$O$26</f>
        <v>27000</v>
      </c>
      <c r="FI966" s="9" t="n">
        <f aca="false">MIN((FI209+FI210)*$C$5, $F$15)*'⑫ Roll-out Plan'!$O$26</f>
        <v>27000</v>
      </c>
      <c r="FJ966" s="9" t="n">
        <f aca="false">MIN((FJ209+FJ210)*$C$5, $F$15)*'⑫ Roll-out Plan'!$O$26</f>
        <v>27000</v>
      </c>
      <c r="FK966" s="9" t="n">
        <f aca="false">MIN((FK209+FK210)*$C$5, $F$15)*'⑫ Roll-out Plan'!$O$26</f>
        <v>27000</v>
      </c>
      <c r="FL966" s="9" t="n">
        <f aca="false">MIN((FL209+FL210)*$C$5, $F$15)*'⑫ Roll-out Plan'!$O$26</f>
        <v>27000</v>
      </c>
      <c r="FM966" s="9" t="n">
        <f aca="false">MIN((FM209+FM210)*$C$5, $F$15)*'⑫ Roll-out Plan'!$O$26</f>
        <v>27000</v>
      </c>
      <c r="FN966" s="9" t="n">
        <f aca="false">MIN((FN209+FN210)*$C$5, $F$15)*'⑫ Roll-out Plan'!$O$26</f>
        <v>27000</v>
      </c>
      <c r="FO966" s="9" t="n">
        <f aca="false">MIN((FO209+FO210)*$C$5, $F$15)*'⑫ Roll-out Plan'!$O$26</f>
        <v>27000</v>
      </c>
      <c r="FP966" s="9" t="n">
        <f aca="false">MIN((FP209+FP210)*$C$5, $F$15)*'⑫ Roll-out Plan'!$O$26</f>
        <v>27000</v>
      </c>
    </row>
    <row r="967" customFormat="false" ht="15" hidden="false" customHeight="false" outlineLevel="0" collapsed="false">
      <c r="B967" s="47" t="s">
        <v>992</v>
      </c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121" t="n">
        <f aca="false">MIN((AC219+AC220)*$C$5, $F$15)*'⑫ Roll-out Plan'!$O$27</f>
        <v>0</v>
      </c>
      <c r="AD967" s="121" t="n">
        <f aca="false">MIN((AD219+AD220)*$C$5, $F$15)*'⑫ Roll-out Plan'!$O$27</f>
        <v>0</v>
      </c>
      <c r="AE967" s="121" t="n">
        <f aca="false">MIN((AE219+AE220)*$C$5, $F$15)*'⑫ Roll-out Plan'!$O$27</f>
        <v>0</v>
      </c>
      <c r="AF967" s="121" t="n">
        <f aca="false">MIN((AF219+AF220)*$C$5, $F$15)*'⑫ Roll-out Plan'!$O$27</f>
        <v>0</v>
      </c>
      <c r="AG967" s="121" t="n">
        <f aca="false">MIN((AG219+AG220)*$C$5, $F$15)*'⑫ Roll-out Plan'!$O$27</f>
        <v>0</v>
      </c>
      <c r="AH967" s="121" t="n">
        <f aca="false">MIN((AH219+AH220)*$C$5, $F$15)*'⑫ Roll-out Plan'!$O$27</f>
        <v>0</v>
      </c>
      <c r="AI967" s="121" t="n">
        <f aca="false">MIN((AI219+AI220)*$C$5, $F$15)*'⑫ Roll-out Plan'!$O$27</f>
        <v>0</v>
      </c>
      <c r="AJ967" s="121" t="n">
        <f aca="false">MIN((AJ219+AJ220)*$C$5, $F$15)*'⑫ Roll-out Plan'!$O$27</f>
        <v>0</v>
      </c>
      <c r="AK967" s="121" t="n">
        <f aca="false">MIN((AK219+AK220)*$C$5, $F$15)*'⑫ Roll-out Plan'!$O$27</f>
        <v>0</v>
      </c>
      <c r="AL967" s="121" t="n">
        <f aca="false">MIN((AL219+AL220)*$C$5, $F$15)*'⑫ Roll-out Plan'!$O$27</f>
        <v>0</v>
      </c>
      <c r="AM967" s="121" t="n">
        <f aca="false">MIN((AM219+AM220)*$C$5, $F$15)*'⑫ Roll-out Plan'!$O$27</f>
        <v>0</v>
      </c>
      <c r="AN967" s="121" t="n">
        <f aca="false">MIN((AN219+AN220)*$C$5, $F$15)*'⑫ Roll-out Plan'!$O$27</f>
        <v>0</v>
      </c>
      <c r="AO967" s="121" t="n">
        <f aca="false">MIN((AO219+AO220)*$C$5, $F$15)*'⑫ Roll-out Plan'!$O$27</f>
        <v>0</v>
      </c>
      <c r="AP967" s="121" t="n">
        <f aca="false">MIN((AP219+AP220)*$C$5, $F$15)*'⑫ Roll-out Plan'!$O$27</f>
        <v>0</v>
      </c>
      <c r="AQ967" s="121" t="n">
        <f aca="false">MIN((AQ219+AQ220)*$C$5, $F$15)*'⑫ Roll-out Plan'!$O$27</f>
        <v>0</v>
      </c>
      <c r="AR967" s="121" t="n">
        <f aca="false">MIN((AR219+AR220)*$C$5, $F$15)*'⑫ Roll-out Plan'!$O$27</f>
        <v>0</v>
      </c>
      <c r="AS967" s="121" t="n">
        <f aca="false">MIN((AS219+AS220)*$C$5, $F$15)*'⑫ Roll-out Plan'!$O$27</f>
        <v>0</v>
      </c>
      <c r="AT967" s="121" t="n">
        <f aca="false">MIN((AT219+AT220)*$C$5, $F$15)*'⑫ Roll-out Plan'!$O$27</f>
        <v>0</v>
      </c>
      <c r="AU967" s="121" t="n">
        <f aca="false">MIN((AU219+AU220)*$C$5, $F$15)*'⑫ Roll-out Plan'!$O$27</f>
        <v>0</v>
      </c>
      <c r="AV967" s="121" t="n">
        <f aca="false">MIN((AV219+AV220)*$C$5, $F$15)*'⑫ Roll-out Plan'!$O$27</f>
        <v>0</v>
      </c>
      <c r="AW967" s="121" t="n">
        <f aca="false">MIN((AW219+AW220)*$C$5, $F$15)*'⑫ Roll-out Plan'!$O$27</f>
        <v>0</v>
      </c>
      <c r="AX967" s="121" t="n">
        <f aca="false">MIN((AX219+AX220)*$C$5, $F$15)*'⑫ Roll-out Plan'!$O$27</f>
        <v>0</v>
      </c>
      <c r="AY967" s="121" t="n">
        <f aca="false">MIN((AY219+AY220)*$C$5, $F$15)*'⑫ Roll-out Plan'!$O$27</f>
        <v>0</v>
      </c>
      <c r="AZ967" s="121" t="n">
        <f aca="false">MIN((AZ219+AZ220)*$C$5, $F$15)*'⑫ Roll-out Plan'!$O$27</f>
        <v>0</v>
      </c>
      <c r="BA967" s="121" t="n">
        <f aca="false">MIN((BA219+BA220)*$C$5, $F$15)*'⑫ Roll-out Plan'!$O$27</f>
        <v>0</v>
      </c>
      <c r="BB967" s="121" t="n">
        <f aca="false">MIN((BB219+BB220)*$C$5, $F$15)*'⑫ Roll-out Plan'!$O$27</f>
        <v>0</v>
      </c>
      <c r="BC967" s="121" t="n">
        <f aca="false">MIN((BC219+BC220)*$C$5, $F$15)*'⑫ Roll-out Plan'!$O$27</f>
        <v>0</v>
      </c>
      <c r="BD967" s="121" t="n">
        <f aca="false">MIN((BD219+BD220)*$C$5, $F$15)*'⑫ Roll-out Plan'!$O$27</f>
        <v>0</v>
      </c>
      <c r="BE967" s="121" t="n">
        <f aca="false">MIN((BE219+BE220)*$C$5, $F$15)*'⑫ Roll-out Plan'!$O$27</f>
        <v>0</v>
      </c>
      <c r="BF967" s="121" t="n">
        <f aca="false">MIN((BF219+BF220)*$C$5, $F$15)*'⑫ Roll-out Plan'!$O$27</f>
        <v>0</v>
      </c>
      <c r="BG967" s="121" t="n">
        <f aca="false">MIN((BG219+BG220)*$C$5, $F$15)*'⑫ Roll-out Plan'!$O$27</f>
        <v>0</v>
      </c>
      <c r="BH967" s="121" t="n">
        <f aca="false">MIN((BH219+BH220)*$C$5, $F$15)*'⑫ Roll-out Plan'!$O$27</f>
        <v>0</v>
      </c>
      <c r="BI967" s="121" t="n">
        <f aca="false">MIN((BI219+BI220)*$C$5, $F$15)*'⑫ Roll-out Plan'!$O$27</f>
        <v>0</v>
      </c>
      <c r="BJ967" s="121" t="n">
        <f aca="false">MIN((BJ219+BJ220)*$C$5, $F$15)*'⑫ Roll-out Plan'!$O$27</f>
        <v>0</v>
      </c>
      <c r="BK967" s="121" t="n">
        <f aca="false">MIN((BK219+BK220)*$C$5, $F$15)*'⑫ Roll-out Plan'!$O$27</f>
        <v>0</v>
      </c>
      <c r="BL967" s="121" t="n">
        <f aca="false">MIN((BL219+BL220)*$C$5, $F$15)*'⑫ Roll-out Plan'!$O$27</f>
        <v>0</v>
      </c>
      <c r="BM967" s="121" t="n">
        <f aca="false">MIN((BM219+BM220)*$C$5, $F$15)*'⑫ Roll-out Plan'!$O$27</f>
        <v>0</v>
      </c>
      <c r="BN967" s="121" t="n">
        <f aca="false">MIN((BN219+BN220)*$C$5, $F$15)*'⑫ Roll-out Plan'!$O$27</f>
        <v>0</v>
      </c>
      <c r="BO967" s="121" t="n">
        <f aca="false">MIN((BO219+BO220)*$C$5, $F$15)*'⑫ Roll-out Plan'!$O$27</f>
        <v>0</v>
      </c>
      <c r="BP967" s="121" t="n">
        <f aca="false">MIN((BP219+BP220)*$C$5, $F$15)*'⑫ Roll-out Plan'!$O$27</f>
        <v>0</v>
      </c>
      <c r="BQ967" s="121" t="n">
        <f aca="false">MIN((BQ219+BQ220)*$C$5, $F$15)*'⑫ Roll-out Plan'!$O$27</f>
        <v>0</v>
      </c>
      <c r="BR967" s="121" t="n">
        <f aca="false">MIN((BR219+BR220)*$C$5, $F$15)*'⑫ Roll-out Plan'!$O$27</f>
        <v>0</v>
      </c>
      <c r="BS967" s="121" t="n">
        <f aca="false">MIN((BS219+BS220)*$C$5, $F$15)*'⑫ Roll-out Plan'!$O$27</f>
        <v>0</v>
      </c>
      <c r="BT967" s="121" t="n">
        <f aca="false">MIN((BT219+BT220)*$C$5, $F$15)*'⑫ Roll-out Plan'!$O$27</f>
        <v>0</v>
      </c>
      <c r="BU967" s="121" t="n">
        <f aca="false">MIN((BU219+BU220)*$C$5, $F$15)*'⑫ Roll-out Plan'!$O$27</f>
        <v>0</v>
      </c>
      <c r="BV967" s="121" t="n">
        <f aca="false">MIN((BV219+BV220)*$C$5, $F$15)*'⑫ Roll-out Plan'!$O$27</f>
        <v>0</v>
      </c>
      <c r="BW967" s="121" t="n">
        <f aca="false">MIN((BW219+BW220)*$C$5, $F$15)*'⑫ Roll-out Plan'!$O$27</f>
        <v>0</v>
      </c>
      <c r="BX967" s="121" t="n">
        <f aca="false">MIN((BX219+BX220)*$C$5, $F$15)*'⑫ Roll-out Plan'!$O$27</f>
        <v>0</v>
      </c>
      <c r="BY967" s="121" t="n">
        <f aca="false">MIN((BY219+BY220)*$C$5, $F$15)*'⑫ Roll-out Plan'!$O$27</f>
        <v>0</v>
      </c>
      <c r="BZ967" s="121" t="n">
        <f aca="false">MIN((BZ219+BZ220)*$C$5, $F$15)*'⑫ Roll-out Plan'!$O$27</f>
        <v>0</v>
      </c>
      <c r="CA967" s="121" t="n">
        <f aca="false">MIN((CA219+CA220)*$C$5, $F$15)*'⑫ Roll-out Plan'!$O$27</f>
        <v>0</v>
      </c>
      <c r="CB967" s="121" t="n">
        <f aca="false">MIN((CB219+CB220)*$C$5, $F$15)*'⑫ Roll-out Plan'!$O$27</f>
        <v>0</v>
      </c>
      <c r="CC967" s="121" t="n">
        <f aca="false">MIN((CC219+CC220)*$C$5, $F$15)*'⑫ Roll-out Plan'!$O$27</f>
        <v>0</v>
      </c>
      <c r="CD967" s="121" t="n">
        <f aca="false">MIN((CD219+CD220)*$C$5, $F$15)*'⑫ Roll-out Plan'!$O$27</f>
        <v>0</v>
      </c>
      <c r="CE967" s="121" t="n">
        <f aca="false">MIN((CE219+CE220)*$C$5, $F$15)*'⑫ Roll-out Plan'!$O$27</f>
        <v>0</v>
      </c>
      <c r="CF967" s="121" t="n">
        <f aca="false">MIN((CF219+CF220)*$C$5, $F$15)*'⑫ Roll-out Plan'!$O$27</f>
        <v>0</v>
      </c>
      <c r="CG967" s="121" t="n">
        <f aca="false">MIN((CG219+CG220)*$C$5, $F$15)*'⑫ Roll-out Plan'!$O$27</f>
        <v>0</v>
      </c>
      <c r="CH967" s="121" t="n">
        <f aca="false">MIN((CH219+CH220)*$C$5, $F$15)*'⑫ Roll-out Plan'!$O$27</f>
        <v>0</v>
      </c>
      <c r="CI967" s="121" t="n">
        <f aca="false">MIN((CI219+CI220)*$C$5, $F$15)*'⑫ Roll-out Plan'!$O$27</f>
        <v>0</v>
      </c>
      <c r="CJ967" s="121" t="n">
        <f aca="false">MIN((CJ219+CJ220)*$C$5, $F$15)*'⑫ Roll-out Plan'!$O$27</f>
        <v>0</v>
      </c>
      <c r="CK967" s="121" t="n">
        <f aca="false">MIN((CK219+CK220)*$C$5, $F$15)*'⑫ Roll-out Plan'!$O$27</f>
        <v>0</v>
      </c>
      <c r="CL967" s="121" t="n">
        <f aca="false">MIN((CL219+CL220)*$C$5, $F$15)*'⑫ Roll-out Plan'!$O$27</f>
        <v>3974.54</v>
      </c>
      <c r="CM967" s="121" t="n">
        <f aca="false">MIN((CM219+CM220)*$C$5, $F$15)*'⑫ Roll-out Plan'!$O$27</f>
        <v>6693.51312</v>
      </c>
      <c r="CN967" s="121" t="n">
        <f aca="false">MIN((CN219+CN220)*$C$5, $F$15)*'⑫ Roll-out Plan'!$O$27</f>
        <v>7259.64272</v>
      </c>
      <c r="CO967" s="121" t="n">
        <f aca="false">MIN((CO219+CO220)*$C$5, $F$15)*'⑫ Roll-out Plan'!$O$27</f>
        <v>7036.8048032</v>
      </c>
      <c r="CP967" s="121" t="n">
        <f aca="false">MIN((CP219+CP220)*$C$5, $F$15)*'⑫ Roll-out Plan'!$O$27</f>
        <v>6307.3351808</v>
      </c>
      <c r="CQ967" s="121" t="n">
        <f aca="false">MIN((CQ219+CQ220)*$C$5, $F$15)*'⑫ Roll-out Plan'!$O$27</f>
        <v>7347.431584</v>
      </c>
      <c r="CR967" s="121" t="n">
        <f aca="false">MIN((CR219+CR220)*$C$5, $F$15)*'⑫ Roll-out Plan'!$O$27</f>
        <v>13239.9023408</v>
      </c>
      <c r="CS967" s="121" t="n">
        <f aca="false">MIN((CS219+CS220)*$C$5, $F$15)*'⑫ Roll-out Plan'!$O$27</f>
        <v>12965.7327552</v>
      </c>
      <c r="CT967" s="121" t="n">
        <f aca="false">MIN((CT219+CT220)*$C$5, $F$15)*'⑫ Roll-out Plan'!$O$27</f>
        <v>12267.136584</v>
      </c>
      <c r="CU967" s="121" t="n">
        <f aca="false">MIN((CU219+CU220)*$C$5, $F$15)*'⑫ Roll-out Plan'!$O$27</f>
        <v>9780.8737504</v>
      </c>
      <c r="CV967" s="121" t="n">
        <f aca="false">MIN((CV219+CV220)*$C$5, $F$15)*'⑫ Roll-out Plan'!$O$27</f>
        <v>13770.1951616</v>
      </c>
      <c r="CW967" s="121" t="n">
        <f aca="false">MIN((CW219+CW220)*$C$5, $F$15)*'⑫ Roll-out Plan'!$O$27</f>
        <v>16075.4904032</v>
      </c>
      <c r="CX967" s="121" t="n">
        <f aca="false">MIN((CX219+CX220)*$C$5, $F$15)*'⑫ Roll-out Plan'!$O$27</f>
        <v>13970.1474832</v>
      </c>
      <c r="CY967" s="121" t="n">
        <f aca="false">MIN((CY219+CY220)*$C$5, $F$15)*'⑫ Roll-out Plan'!$O$27</f>
        <v>19754.355648</v>
      </c>
      <c r="CZ967" s="121" t="n">
        <f aca="false">MIN((CZ219+CZ220)*$C$5, $F$15)*'⑫ Roll-out Plan'!$O$27</f>
        <v>19771.068104</v>
      </c>
      <c r="DA967" s="121" t="n">
        <f aca="false">MIN((DA219+DA220)*$C$5, $F$15)*'⑫ Roll-out Plan'!$O$27</f>
        <v>20737.0325504</v>
      </c>
      <c r="DB967" s="121" t="n">
        <f aca="false">MIN((DB219+DB220)*$C$5, $F$15)*'⑫ Roll-out Plan'!$O$27</f>
        <v>19538.6912912</v>
      </c>
      <c r="DC967" s="121" t="n">
        <f aca="false">MIN((DC219+DC220)*$C$5, $F$15)*'⑫ Roll-out Plan'!$O$27</f>
        <v>21082.24054352</v>
      </c>
      <c r="DD967" s="121" t="n">
        <f aca="false">MIN((DD219+DD220)*$C$5, $F$15)*'⑫ Roll-out Plan'!$O$27</f>
        <v>27000</v>
      </c>
      <c r="DE967" s="121" t="n">
        <f aca="false">MIN((DE219+DE220)*$C$5, $F$15)*'⑫ Roll-out Plan'!$O$27</f>
        <v>27000</v>
      </c>
      <c r="DF967" s="121" t="n">
        <f aca="false">MIN((DF219+DF220)*$C$5, $F$15)*'⑫ Roll-out Plan'!$O$27</f>
        <v>27000</v>
      </c>
      <c r="DG967" s="121" t="n">
        <f aca="false">MIN((DG219+DG220)*$C$5, $F$15)*'⑫ Roll-out Plan'!$O$27</f>
        <v>22251.675458</v>
      </c>
      <c r="DH967" s="121" t="n">
        <f aca="false">MIN((DH219+DH220)*$C$5, $F$15)*'⑫ Roll-out Plan'!$O$27</f>
        <v>27000</v>
      </c>
      <c r="DI967" s="121" t="n">
        <f aca="false">MIN((DI219+DI220)*$C$5, $F$15)*'⑫ Roll-out Plan'!$O$27</f>
        <v>27000</v>
      </c>
      <c r="DJ967" s="121" t="n">
        <f aca="false">MIN((DJ219+DJ220)*$C$5, $F$15)*'⑫ Roll-out Plan'!$O$27</f>
        <v>27000</v>
      </c>
      <c r="DK967" s="121" t="n">
        <f aca="false">MIN((DK219+DK220)*$C$5, $F$15)*'⑫ Roll-out Plan'!$O$27</f>
        <v>27000</v>
      </c>
      <c r="DL967" s="121" t="n">
        <f aca="false">MIN((DL219+DL220)*$C$5, $F$15)*'⑫ Roll-out Plan'!$O$27</f>
        <v>27000</v>
      </c>
      <c r="DM967" s="121" t="n">
        <f aca="false">MIN((DM219+DM220)*$C$5, $F$15)*'⑫ Roll-out Plan'!$O$27</f>
        <v>27000</v>
      </c>
      <c r="DN967" s="121" t="n">
        <f aca="false">MIN((DN219+DN220)*$C$5, $F$15)*'⑫ Roll-out Plan'!$O$27</f>
        <v>27000</v>
      </c>
      <c r="DO967" s="121" t="n">
        <f aca="false">MIN((DO219+DO220)*$C$5, $F$15)*'⑫ Roll-out Plan'!$O$27</f>
        <v>27000</v>
      </c>
      <c r="DP967" s="121" t="n">
        <f aca="false">MIN((DP219+DP220)*$C$5, $F$15)*'⑫ Roll-out Plan'!$O$27</f>
        <v>27000</v>
      </c>
      <c r="DQ967" s="121" t="n">
        <f aca="false">MIN((DQ219+DQ220)*$C$5, $F$15)*'⑫ Roll-out Plan'!$O$27</f>
        <v>27000</v>
      </c>
      <c r="DR967" s="121" t="n">
        <f aca="false">MIN((DR219+DR220)*$C$5, $F$15)*'⑫ Roll-out Plan'!$O$27</f>
        <v>27000</v>
      </c>
      <c r="DS967" s="121" t="n">
        <f aca="false">MIN((DS219+DS220)*$C$5, $F$15)*'⑫ Roll-out Plan'!$O$27</f>
        <v>27000</v>
      </c>
      <c r="DT967" s="121" t="n">
        <f aca="false">MIN((DT219+DT220)*$C$5, $F$15)*'⑫ Roll-out Plan'!$O$27</f>
        <v>27000</v>
      </c>
      <c r="DU967" s="121" t="n">
        <f aca="false">MIN((DU219+DU220)*$C$5, $F$15)*'⑫ Roll-out Plan'!$O$27</f>
        <v>27000</v>
      </c>
      <c r="DV967" s="121" t="n">
        <f aca="false">MIN((DV219+DV220)*$C$5, $F$15)*'⑫ Roll-out Plan'!$O$27</f>
        <v>27000</v>
      </c>
      <c r="DW967" s="121" t="n">
        <f aca="false">MIN((DW219+DW220)*$C$5, $F$15)*'⑫ Roll-out Plan'!$O$27</f>
        <v>27000</v>
      </c>
      <c r="DX967" s="121" t="n">
        <f aca="false">MIN((DX219+DX220)*$C$5, $F$15)*'⑫ Roll-out Plan'!$O$27</f>
        <v>27000</v>
      </c>
      <c r="DY967" s="121" t="n">
        <f aca="false">MIN((DY219+DY220)*$C$5, $F$15)*'⑫ Roll-out Plan'!$O$27</f>
        <v>27000</v>
      </c>
      <c r="DZ967" s="121" t="n">
        <f aca="false">MIN((DZ219+DZ220)*$C$5, $F$15)*'⑫ Roll-out Plan'!$O$27</f>
        <v>27000</v>
      </c>
      <c r="EA967" s="121" t="n">
        <f aca="false">MIN((EA219+EA220)*$C$5, $F$15)*'⑫ Roll-out Plan'!$O$27</f>
        <v>27000</v>
      </c>
      <c r="EB967" s="121" t="n">
        <f aca="false">MIN((EB219+EB220)*$C$5, $F$15)*'⑫ Roll-out Plan'!$O$27</f>
        <v>27000</v>
      </c>
      <c r="EC967" s="121" t="n">
        <f aca="false">MIN((EC219+EC220)*$C$5, $F$15)*'⑫ Roll-out Plan'!$O$27</f>
        <v>27000</v>
      </c>
      <c r="ED967" s="121" t="n">
        <f aca="false">MIN((ED219+ED220)*$C$5, $F$15)*'⑫ Roll-out Plan'!$O$27</f>
        <v>27000</v>
      </c>
      <c r="EE967" s="121" t="n">
        <f aca="false">MIN((EE219+EE220)*$C$5, $F$15)*'⑫ Roll-out Plan'!$O$27</f>
        <v>27000</v>
      </c>
      <c r="EF967" s="121" t="n">
        <f aca="false">MIN((EF219+EF220)*$C$5, $F$15)*'⑫ Roll-out Plan'!$O$27</f>
        <v>27000</v>
      </c>
      <c r="EG967" s="121" t="n">
        <f aca="false">MIN((EG219+EG220)*$C$5, $F$15)*'⑫ Roll-out Plan'!$O$27</f>
        <v>27000</v>
      </c>
      <c r="EH967" s="121" t="n">
        <f aca="false">MIN((EH219+EH220)*$C$5, $F$15)*'⑫ Roll-out Plan'!$O$27</f>
        <v>27000</v>
      </c>
      <c r="EI967" s="121" t="n">
        <f aca="false">MIN((EI219+EI220)*$C$5, $F$15)*'⑫ Roll-out Plan'!$O$27</f>
        <v>27000</v>
      </c>
      <c r="EJ967" s="121" t="n">
        <f aca="false">MIN((EJ219+EJ220)*$C$5, $F$15)*'⑫ Roll-out Plan'!$O$27</f>
        <v>27000</v>
      </c>
      <c r="EK967" s="121" t="n">
        <f aca="false">MIN((EK219+EK220)*$C$5, $F$15)*'⑫ Roll-out Plan'!$O$27</f>
        <v>27000</v>
      </c>
      <c r="EL967" s="121" t="n">
        <f aca="false">MIN((EL219+EL220)*$C$5, $F$15)*'⑫ Roll-out Plan'!$O$27</f>
        <v>27000</v>
      </c>
      <c r="EM967" s="121" t="n">
        <f aca="false">MIN((EM219+EM220)*$C$5, $F$15)*'⑫ Roll-out Plan'!$O$27</f>
        <v>27000</v>
      </c>
      <c r="EN967" s="121" t="n">
        <f aca="false">MIN((EN219+EN220)*$C$5, $F$15)*'⑫ Roll-out Plan'!$O$27</f>
        <v>27000</v>
      </c>
      <c r="EO967" s="121" t="n">
        <f aca="false">MIN((EO219+EO220)*$C$5, $F$15)*'⑫ Roll-out Plan'!$O$27</f>
        <v>27000</v>
      </c>
      <c r="EP967" s="121" t="n">
        <f aca="false">MIN((EP219+EP220)*$C$5, $F$15)*'⑫ Roll-out Plan'!$O$27</f>
        <v>27000</v>
      </c>
      <c r="EQ967" s="121" t="n">
        <f aca="false">MIN((EQ219+EQ220)*$C$5, $F$15)*'⑫ Roll-out Plan'!$O$27</f>
        <v>27000</v>
      </c>
      <c r="ER967" s="121" t="n">
        <f aca="false">MIN((ER219+ER220)*$C$5, $F$15)*'⑫ Roll-out Plan'!$O$27</f>
        <v>27000</v>
      </c>
      <c r="ES967" s="9" t="n">
        <f aca="false">MIN((ES219+ES220)*$C$5, $F$15)*'⑫ Roll-out Plan'!$O$27</f>
        <v>27000</v>
      </c>
      <c r="ET967" s="9" t="n">
        <f aca="false">MIN((ET219+ET220)*$C$5, $F$15)*'⑫ Roll-out Plan'!$O$27</f>
        <v>27000</v>
      </c>
      <c r="EU967" s="9" t="n">
        <f aca="false">MIN((EU219+EU220)*$C$5, $F$15)*'⑫ Roll-out Plan'!$O$27</f>
        <v>27000</v>
      </c>
      <c r="EV967" s="9" t="n">
        <f aca="false">MIN((EV219+EV220)*$C$5, $F$15)*'⑫ Roll-out Plan'!$O$27</f>
        <v>27000</v>
      </c>
      <c r="EW967" s="9" t="n">
        <f aca="false">MIN((EW219+EW220)*$C$5, $F$15)*'⑫ Roll-out Plan'!$O$27</f>
        <v>27000</v>
      </c>
      <c r="EX967" s="9" t="n">
        <f aca="false">MIN((EX219+EX220)*$C$5, $F$15)*'⑫ Roll-out Plan'!$O$27</f>
        <v>27000</v>
      </c>
      <c r="EY967" s="9" t="n">
        <f aca="false">MIN((EY219+EY220)*$C$5, $F$15)*'⑫ Roll-out Plan'!$O$27</f>
        <v>27000</v>
      </c>
      <c r="EZ967" s="9" t="n">
        <f aca="false">MIN((EZ219+EZ220)*$C$5, $F$15)*'⑫ Roll-out Plan'!$O$27</f>
        <v>27000</v>
      </c>
      <c r="FA967" s="9" t="n">
        <f aca="false">MIN((FA219+FA220)*$C$5, $F$15)*'⑫ Roll-out Plan'!$O$27</f>
        <v>27000</v>
      </c>
      <c r="FB967" s="9" t="n">
        <f aca="false">MIN((FB219+FB220)*$C$5, $F$15)*'⑫ Roll-out Plan'!$O$27</f>
        <v>27000</v>
      </c>
      <c r="FC967" s="9" t="n">
        <f aca="false">MIN((FC219+FC220)*$C$5, $F$15)*'⑫ Roll-out Plan'!$O$27</f>
        <v>27000</v>
      </c>
      <c r="FD967" s="9" t="n">
        <f aca="false">MIN((FD219+FD220)*$C$5, $F$15)*'⑫ Roll-out Plan'!$O$27</f>
        <v>27000</v>
      </c>
      <c r="FE967" s="9" t="n">
        <f aca="false">MIN((FE219+FE220)*$C$5, $F$15)*'⑫ Roll-out Plan'!$O$27</f>
        <v>27000</v>
      </c>
      <c r="FF967" s="9" t="n">
        <f aca="false">MIN((FF219+FF220)*$C$5, $F$15)*'⑫ Roll-out Plan'!$O$27</f>
        <v>27000</v>
      </c>
      <c r="FG967" s="9" t="n">
        <f aca="false">MIN((FG219+FG220)*$C$5, $F$15)*'⑫ Roll-out Plan'!$O$27</f>
        <v>27000</v>
      </c>
      <c r="FH967" s="9" t="n">
        <f aca="false">MIN((FH219+FH220)*$C$5, $F$15)*'⑫ Roll-out Plan'!$O$27</f>
        <v>27000</v>
      </c>
      <c r="FI967" s="9" t="n">
        <f aca="false">MIN((FI219+FI220)*$C$5, $F$15)*'⑫ Roll-out Plan'!$O$27</f>
        <v>27000</v>
      </c>
      <c r="FJ967" s="9" t="n">
        <f aca="false">MIN((FJ219+FJ220)*$C$5, $F$15)*'⑫ Roll-out Plan'!$O$27</f>
        <v>27000</v>
      </c>
      <c r="FK967" s="9" t="n">
        <f aca="false">MIN((FK219+FK220)*$C$5, $F$15)*'⑫ Roll-out Plan'!$O$27</f>
        <v>27000</v>
      </c>
      <c r="FL967" s="9" t="n">
        <f aca="false">MIN((FL219+FL220)*$C$5, $F$15)*'⑫ Roll-out Plan'!$O$27</f>
        <v>27000</v>
      </c>
      <c r="FM967" s="9" t="n">
        <f aca="false">MIN((FM219+FM220)*$C$5, $F$15)*'⑫ Roll-out Plan'!$O$27</f>
        <v>27000</v>
      </c>
      <c r="FN967" s="9" t="n">
        <f aca="false">MIN((FN219+FN220)*$C$5, $F$15)*'⑫ Roll-out Plan'!$O$27</f>
        <v>27000</v>
      </c>
      <c r="FO967" s="9" t="n">
        <f aca="false">MIN((FO219+FO220)*$C$5, $F$15)*'⑫ Roll-out Plan'!$O$27</f>
        <v>27000</v>
      </c>
      <c r="FP967" s="9" t="n">
        <f aca="false">MIN((FP219+FP220)*$C$5, $F$15)*'⑫ Roll-out Plan'!$O$27</f>
        <v>27000</v>
      </c>
    </row>
    <row r="968" customFormat="false" ht="15" hidden="false" customHeight="false" outlineLevel="0" collapsed="false">
      <c r="B968" s="47" t="s">
        <v>993</v>
      </c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121" t="n">
        <f aca="false">MIN((AC229+AC230)*$C$5, $F$15)*'⑫ Roll-out Plan'!$O$28</f>
        <v>0</v>
      </c>
      <c r="AD968" s="121" t="n">
        <f aca="false">MIN((AD229+AD230)*$C$5, $F$15)*'⑫ Roll-out Plan'!$O$28</f>
        <v>0</v>
      </c>
      <c r="AE968" s="121" t="n">
        <f aca="false">MIN((AE229+AE230)*$C$5, $F$15)*'⑫ Roll-out Plan'!$O$28</f>
        <v>0</v>
      </c>
      <c r="AF968" s="121" t="n">
        <f aca="false">MIN((AF229+AF230)*$C$5, $F$15)*'⑫ Roll-out Plan'!$O$28</f>
        <v>0</v>
      </c>
      <c r="AG968" s="121" t="n">
        <f aca="false">MIN((AG229+AG230)*$C$5, $F$15)*'⑫ Roll-out Plan'!$O$28</f>
        <v>0</v>
      </c>
      <c r="AH968" s="121" t="n">
        <f aca="false">MIN((AH229+AH230)*$C$5, $F$15)*'⑫ Roll-out Plan'!$O$28</f>
        <v>0</v>
      </c>
      <c r="AI968" s="121" t="n">
        <f aca="false">MIN((AI229+AI230)*$C$5, $F$15)*'⑫ Roll-out Plan'!$O$28</f>
        <v>0</v>
      </c>
      <c r="AJ968" s="121" t="n">
        <f aca="false">MIN((AJ229+AJ230)*$C$5, $F$15)*'⑫ Roll-out Plan'!$O$28</f>
        <v>0</v>
      </c>
      <c r="AK968" s="121" t="n">
        <f aca="false">MIN((AK229+AK230)*$C$5, $F$15)*'⑫ Roll-out Plan'!$O$28</f>
        <v>0</v>
      </c>
      <c r="AL968" s="121" t="n">
        <f aca="false">MIN((AL229+AL230)*$C$5, $F$15)*'⑫ Roll-out Plan'!$O$28</f>
        <v>0</v>
      </c>
      <c r="AM968" s="121" t="n">
        <f aca="false">MIN((AM229+AM230)*$C$5, $F$15)*'⑫ Roll-out Plan'!$O$28</f>
        <v>0</v>
      </c>
      <c r="AN968" s="121" t="n">
        <f aca="false">MIN((AN229+AN230)*$C$5, $F$15)*'⑫ Roll-out Plan'!$O$28</f>
        <v>0</v>
      </c>
      <c r="AO968" s="121" t="n">
        <f aca="false">MIN((AO229+AO230)*$C$5, $F$15)*'⑫ Roll-out Plan'!$O$28</f>
        <v>0</v>
      </c>
      <c r="AP968" s="121" t="n">
        <f aca="false">MIN((AP229+AP230)*$C$5, $F$15)*'⑫ Roll-out Plan'!$O$28</f>
        <v>0</v>
      </c>
      <c r="AQ968" s="121" t="n">
        <f aca="false">MIN((AQ229+AQ230)*$C$5, $F$15)*'⑫ Roll-out Plan'!$O$28</f>
        <v>0</v>
      </c>
      <c r="AR968" s="121" t="n">
        <f aca="false">MIN((AR229+AR230)*$C$5, $F$15)*'⑫ Roll-out Plan'!$O$28</f>
        <v>0</v>
      </c>
      <c r="AS968" s="121" t="n">
        <f aca="false">MIN((AS229+AS230)*$C$5, $F$15)*'⑫ Roll-out Plan'!$O$28</f>
        <v>0</v>
      </c>
      <c r="AT968" s="121" t="n">
        <f aca="false">MIN((AT229+AT230)*$C$5, $F$15)*'⑫ Roll-out Plan'!$O$28</f>
        <v>0</v>
      </c>
      <c r="AU968" s="121" t="n">
        <f aca="false">MIN((AU229+AU230)*$C$5, $F$15)*'⑫ Roll-out Plan'!$O$28</f>
        <v>0</v>
      </c>
      <c r="AV968" s="121" t="n">
        <f aca="false">MIN((AV229+AV230)*$C$5, $F$15)*'⑫ Roll-out Plan'!$O$28</f>
        <v>0</v>
      </c>
      <c r="AW968" s="121" t="n">
        <f aca="false">MIN((AW229+AW230)*$C$5, $F$15)*'⑫ Roll-out Plan'!$O$28</f>
        <v>0</v>
      </c>
      <c r="AX968" s="121" t="n">
        <f aca="false">MIN((AX229+AX230)*$C$5, $F$15)*'⑫ Roll-out Plan'!$O$28</f>
        <v>0</v>
      </c>
      <c r="AY968" s="121" t="n">
        <f aca="false">MIN((AY229+AY230)*$C$5, $F$15)*'⑫ Roll-out Plan'!$O$28</f>
        <v>0</v>
      </c>
      <c r="AZ968" s="121" t="n">
        <f aca="false">MIN((AZ229+AZ230)*$C$5, $F$15)*'⑫ Roll-out Plan'!$O$28</f>
        <v>0</v>
      </c>
      <c r="BA968" s="121" t="n">
        <f aca="false">MIN((BA229+BA230)*$C$5, $F$15)*'⑫ Roll-out Plan'!$O$28</f>
        <v>0</v>
      </c>
      <c r="BB968" s="121" t="n">
        <f aca="false">MIN((BB229+BB230)*$C$5, $F$15)*'⑫ Roll-out Plan'!$O$28</f>
        <v>0</v>
      </c>
      <c r="BC968" s="121" t="n">
        <f aca="false">MIN((BC229+BC230)*$C$5, $F$15)*'⑫ Roll-out Plan'!$O$28</f>
        <v>0</v>
      </c>
      <c r="BD968" s="121" t="n">
        <f aca="false">MIN((BD229+BD230)*$C$5, $F$15)*'⑫ Roll-out Plan'!$O$28</f>
        <v>0</v>
      </c>
      <c r="BE968" s="121" t="n">
        <f aca="false">MIN((BE229+BE230)*$C$5, $F$15)*'⑫ Roll-out Plan'!$O$28</f>
        <v>0</v>
      </c>
      <c r="BF968" s="121" t="n">
        <f aca="false">MIN((BF229+BF230)*$C$5, $F$15)*'⑫ Roll-out Plan'!$O$28</f>
        <v>0</v>
      </c>
      <c r="BG968" s="121" t="n">
        <f aca="false">MIN((BG229+BG230)*$C$5, $F$15)*'⑫ Roll-out Plan'!$O$28</f>
        <v>0</v>
      </c>
      <c r="BH968" s="121" t="n">
        <f aca="false">MIN((BH229+BH230)*$C$5, $F$15)*'⑫ Roll-out Plan'!$O$28</f>
        <v>0</v>
      </c>
      <c r="BI968" s="121" t="n">
        <f aca="false">MIN((BI229+BI230)*$C$5, $F$15)*'⑫ Roll-out Plan'!$O$28</f>
        <v>0</v>
      </c>
      <c r="BJ968" s="121" t="n">
        <f aca="false">MIN((BJ229+BJ230)*$C$5, $F$15)*'⑫ Roll-out Plan'!$O$28</f>
        <v>0</v>
      </c>
      <c r="BK968" s="121" t="n">
        <f aca="false">MIN((BK229+BK230)*$C$5, $F$15)*'⑫ Roll-out Plan'!$O$28</f>
        <v>0</v>
      </c>
      <c r="BL968" s="121" t="n">
        <f aca="false">MIN((BL229+BL230)*$C$5, $F$15)*'⑫ Roll-out Plan'!$O$28</f>
        <v>0</v>
      </c>
      <c r="BM968" s="121" t="n">
        <f aca="false">MIN((BM229+BM230)*$C$5, $F$15)*'⑫ Roll-out Plan'!$O$28</f>
        <v>0</v>
      </c>
      <c r="BN968" s="121" t="n">
        <f aca="false">MIN((BN229+BN230)*$C$5, $F$15)*'⑫ Roll-out Plan'!$O$28</f>
        <v>0</v>
      </c>
      <c r="BO968" s="121" t="n">
        <f aca="false">MIN((BO229+BO230)*$C$5, $F$15)*'⑫ Roll-out Plan'!$O$28</f>
        <v>0</v>
      </c>
      <c r="BP968" s="121" t="n">
        <f aca="false">MIN((BP229+BP230)*$C$5, $F$15)*'⑫ Roll-out Plan'!$O$28</f>
        <v>0</v>
      </c>
      <c r="BQ968" s="121" t="n">
        <f aca="false">MIN((BQ229+BQ230)*$C$5, $F$15)*'⑫ Roll-out Plan'!$O$28</f>
        <v>0</v>
      </c>
      <c r="BR968" s="121" t="n">
        <f aca="false">MIN((BR229+BR230)*$C$5, $F$15)*'⑫ Roll-out Plan'!$O$28</f>
        <v>0</v>
      </c>
      <c r="BS968" s="121" t="n">
        <f aca="false">MIN((BS229+BS230)*$C$5, $F$15)*'⑫ Roll-out Plan'!$O$28</f>
        <v>0</v>
      </c>
      <c r="BT968" s="121" t="n">
        <f aca="false">MIN((BT229+BT230)*$C$5, $F$15)*'⑫ Roll-out Plan'!$O$28</f>
        <v>0</v>
      </c>
      <c r="BU968" s="121" t="n">
        <f aca="false">MIN((BU229+BU230)*$C$5, $F$15)*'⑫ Roll-out Plan'!$O$28</f>
        <v>0</v>
      </c>
      <c r="BV968" s="121" t="n">
        <f aca="false">MIN((BV229+BV230)*$C$5, $F$15)*'⑫ Roll-out Plan'!$O$28</f>
        <v>0</v>
      </c>
      <c r="BW968" s="121" t="n">
        <f aca="false">MIN((BW229+BW230)*$C$5, $F$15)*'⑫ Roll-out Plan'!$O$28</f>
        <v>0</v>
      </c>
      <c r="BX968" s="121" t="n">
        <f aca="false">MIN((BX229+BX230)*$C$5, $F$15)*'⑫ Roll-out Plan'!$O$28</f>
        <v>0</v>
      </c>
      <c r="BY968" s="121" t="n">
        <f aca="false">MIN((BY229+BY230)*$C$5, $F$15)*'⑫ Roll-out Plan'!$O$28</f>
        <v>0</v>
      </c>
      <c r="BZ968" s="121" t="n">
        <f aca="false">MIN((BZ229+BZ230)*$C$5, $F$15)*'⑫ Roll-out Plan'!$O$28</f>
        <v>0</v>
      </c>
      <c r="CA968" s="121" t="n">
        <f aca="false">MIN((CA229+CA230)*$C$5, $F$15)*'⑫ Roll-out Plan'!$O$28</f>
        <v>0</v>
      </c>
      <c r="CB968" s="121" t="n">
        <f aca="false">MIN((CB229+CB230)*$C$5, $F$15)*'⑫ Roll-out Plan'!$O$28</f>
        <v>0</v>
      </c>
      <c r="CC968" s="121" t="n">
        <f aca="false">MIN((CC229+CC230)*$C$5, $F$15)*'⑫ Roll-out Plan'!$O$28</f>
        <v>0</v>
      </c>
      <c r="CD968" s="121" t="n">
        <f aca="false">MIN((CD229+CD230)*$C$5, $F$15)*'⑫ Roll-out Plan'!$O$28</f>
        <v>0</v>
      </c>
      <c r="CE968" s="121" t="n">
        <f aca="false">MIN((CE229+CE230)*$C$5, $F$15)*'⑫ Roll-out Plan'!$O$28</f>
        <v>0</v>
      </c>
      <c r="CF968" s="121" t="n">
        <f aca="false">MIN((CF229+CF230)*$C$5, $F$15)*'⑫ Roll-out Plan'!$O$28</f>
        <v>0</v>
      </c>
      <c r="CG968" s="121" t="n">
        <f aca="false">MIN((CG229+CG230)*$C$5, $F$15)*'⑫ Roll-out Plan'!$O$28</f>
        <v>0</v>
      </c>
      <c r="CH968" s="121" t="n">
        <f aca="false">MIN((CH229+CH230)*$C$5, $F$15)*'⑫ Roll-out Plan'!$O$28</f>
        <v>0</v>
      </c>
      <c r="CI968" s="121" t="n">
        <f aca="false">MIN((CI229+CI230)*$C$5, $F$15)*'⑫ Roll-out Plan'!$O$28</f>
        <v>0</v>
      </c>
      <c r="CJ968" s="121" t="n">
        <f aca="false">MIN((CJ229+CJ230)*$C$5, $F$15)*'⑫ Roll-out Plan'!$O$28</f>
        <v>0</v>
      </c>
      <c r="CK968" s="121" t="n">
        <f aca="false">MIN((CK229+CK230)*$C$5, $F$15)*'⑫ Roll-out Plan'!$O$28</f>
        <v>5234.76</v>
      </c>
      <c r="CL968" s="121" t="n">
        <f aca="false">MIN((CL229+CL230)*$C$5, $F$15)*'⑫ Roll-out Plan'!$O$28</f>
        <v>5042.04328</v>
      </c>
      <c r="CM968" s="121" t="n">
        <f aca="false">MIN((CM229+CM230)*$C$5, $F$15)*'⑫ Roll-out Plan'!$O$28</f>
        <v>7398.771008</v>
      </c>
      <c r="CN968" s="121" t="n">
        <f aca="false">MIN((CN229+CN230)*$C$5, $F$15)*'⑫ Roll-out Plan'!$O$28</f>
        <v>8255.6197904</v>
      </c>
      <c r="CO968" s="121" t="n">
        <f aca="false">MIN((CO229+CO230)*$C$5, $F$15)*'⑫ Roll-out Plan'!$O$28</f>
        <v>7224.976976</v>
      </c>
      <c r="CP968" s="121" t="n">
        <f aca="false">MIN((CP229+CP230)*$C$5, $F$15)*'⑫ Roll-out Plan'!$O$28</f>
        <v>7164.8664208</v>
      </c>
      <c r="CQ968" s="121" t="n">
        <f aca="false">MIN((CQ229+CQ230)*$C$5, $F$15)*'⑫ Roll-out Plan'!$O$28</f>
        <v>8315.047888</v>
      </c>
      <c r="CR968" s="121" t="n">
        <f aca="false">MIN((CR229+CR230)*$C$5, $F$15)*'⑫ Roll-out Plan'!$O$28</f>
        <v>14835.6278032</v>
      </c>
      <c r="CS968" s="121" t="n">
        <f aca="false">MIN((CS229+CS230)*$C$5, $F$15)*'⑫ Roll-out Plan'!$O$28</f>
        <v>14621.1267264</v>
      </c>
      <c r="CT968" s="121" t="n">
        <f aca="false">MIN((CT229+CT230)*$C$5, $F$15)*'⑫ Roll-out Plan'!$O$28</f>
        <v>12564.4476864</v>
      </c>
      <c r="CU968" s="121" t="n">
        <f aca="false">MIN((CU229+CU230)*$C$5, $F$15)*'⑫ Roll-out Plan'!$O$28</f>
        <v>10663.7257184</v>
      </c>
      <c r="CV968" s="121" t="n">
        <f aca="false">MIN((CV229+CV230)*$C$5, $F$15)*'⑫ Roll-out Plan'!$O$28</f>
        <v>14941.9515952</v>
      </c>
      <c r="CW968" s="121" t="n">
        <f aca="false">MIN((CW229+CW230)*$C$5, $F$15)*'⑫ Roll-out Plan'!$O$28</f>
        <v>17470.0459776</v>
      </c>
      <c r="CX968" s="121" t="n">
        <f aca="false">MIN((CX229+CX230)*$C$5, $F$15)*'⑫ Roll-out Plan'!$O$28</f>
        <v>15179.9043968</v>
      </c>
      <c r="CY968" s="121" t="n">
        <f aca="false">MIN((CY229+CY230)*$C$5, $F$15)*'⑫ Roll-out Plan'!$O$28</f>
        <v>20036.2106368</v>
      </c>
      <c r="CZ968" s="121" t="n">
        <f aca="false">MIN((CZ229+CZ230)*$C$5, $F$15)*'⑫ Roll-out Plan'!$O$28</f>
        <v>24141.782496</v>
      </c>
      <c r="DA968" s="121" t="n">
        <f aca="false">MIN((DA229+DA230)*$C$5, $F$15)*'⑫ Roll-out Plan'!$O$28</f>
        <v>22233.615536</v>
      </c>
      <c r="DB968" s="121" t="n">
        <f aca="false">MIN((DB229+DB230)*$C$5, $F$15)*'⑫ Roll-out Plan'!$O$28</f>
        <v>20682.4902288</v>
      </c>
      <c r="DC968" s="121" t="n">
        <f aca="false">MIN((DC229+DC230)*$C$5, $F$15)*'⑫ Roll-out Plan'!$O$28</f>
        <v>22056.90128344</v>
      </c>
      <c r="DD968" s="121" t="n">
        <f aca="false">MIN((DD229+DD230)*$C$5, $F$15)*'⑫ Roll-out Plan'!$O$28</f>
        <v>27000</v>
      </c>
      <c r="DE968" s="121" t="n">
        <f aca="false">MIN((DE229+DE230)*$C$5, $F$15)*'⑫ Roll-out Plan'!$O$28</f>
        <v>27000</v>
      </c>
      <c r="DF968" s="121" t="n">
        <f aca="false">MIN((DF229+DF230)*$C$5, $F$15)*'⑫ Roll-out Plan'!$O$28</f>
        <v>27000</v>
      </c>
      <c r="DG968" s="121" t="n">
        <f aca="false">MIN((DG229+DG230)*$C$5, $F$15)*'⑫ Roll-out Plan'!$O$28</f>
        <v>23151.46109908</v>
      </c>
      <c r="DH968" s="121" t="n">
        <f aca="false">MIN((DH229+DH230)*$C$5, $F$15)*'⑫ Roll-out Plan'!$O$28</f>
        <v>27000</v>
      </c>
      <c r="DI968" s="121" t="n">
        <f aca="false">MIN((DI229+DI230)*$C$5, $F$15)*'⑫ Roll-out Plan'!$O$28</f>
        <v>27000</v>
      </c>
      <c r="DJ968" s="121" t="n">
        <f aca="false">MIN((DJ229+DJ230)*$C$5, $F$15)*'⑫ Roll-out Plan'!$O$28</f>
        <v>27000</v>
      </c>
      <c r="DK968" s="121" t="n">
        <f aca="false">MIN((DK229+DK230)*$C$5, $F$15)*'⑫ Roll-out Plan'!$O$28</f>
        <v>27000</v>
      </c>
      <c r="DL968" s="121" t="n">
        <f aca="false">MIN((DL229+DL230)*$C$5, $F$15)*'⑫ Roll-out Plan'!$O$28</f>
        <v>27000</v>
      </c>
      <c r="DM968" s="121" t="n">
        <f aca="false">MIN((DM229+DM230)*$C$5, $F$15)*'⑫ Roll-out Plan'!$O$28</f>
        <v>27000</v>
      </c>
      <c r="DN968" s="121" t="n">
        <f aca="false">MIN((DN229+DN230)*$C$5, $F$15)*'⑫ Roll-out Plan'!$O$28</f>
        <v>27000</v>
      </c>
      <c r="DO968" s="121" t="n">
        <f aca="false">MIN((DO229+DO230)*$C$5, $F$15)*'⑫ Roll-out Plan'!$O$28</f>
        <v>27000</v>
      </c>
      <c r="DP968" s="121" t="n">
        <f aca="false">MIN((DP229+DP230)*$C$5, $F$15)*'⑫ Roll-out Plan'!$O$28</f>
        <v>27000</v>
      </c>
      <c r="DQ968" s="121" t="n">
        <f aca="false">MIN((DQ229+DQ230)*$C$5, $F$15)*'⑫ Roll-out Plan'!$O$28</f>
        <v>27000</v>
      </c>
      <c r="DR968" s="121" t="n">
        <f aca="false">MIN((DR229+DR230)*$C$5, $F$15)*'⑫ Roll-out Plan'!$O$28</f>
        <v>27000</v>
      </c>
      <c r="DS968" s="121" t="n">
        <f aca="false">MIN((DS229+DS230)*$C$5, $F$15)*'⑫ Roll-out Plan'!$O$28</f>
        <v>27000</v>
      </c>
      <c r="DT968" s="121" t="n">
        <f aca="false">MIN((DT229+DT230)*$C$5, $F$15)*'⑫ Roll-out Plan'!$O$28</f>
        <v>27000</v>
      </c>
      <c r="DU968" s="121" t="n">
        <f aca="false">MIN((DU229+DU230)*$C$5, $F$15)*'⑫ Roll-out Plan'!$O$28</f>
        <v>27000</v>
      </c>
      <c r="DV968" s="121" t="n">
        <f aca="false">MIN((DV229+DV230)*$C$5, $F$15)*'⑫ Roll-out Plan'!$O$28</f>
        <v>27000</v>
      </c>
      <c r="DW968" s="121" t="n">
        <f aca="false">MIN((DW229+DW230)*$C$5, $F$15)*'⑫ Roll-out Plan'!$O$28</f>
        <v>27000</v>
      </c>
      <c r="DX968" s="121" t="n">
        <f aca="false">MIN((DX229+DX230)*$C$5, $F$15)*'⑫ Roll-out Plan'!$O$28</f>
        <v>27000</v>
      </c>
      <c r="DY968" s="121" t="n">
        <f aca="false">MIN((DY229+DY230)*$C$5, $F$15)*'⑫ Roll-out Plan'!$O$28</f>
        <v>27000</v>
      </c>
      <c r="DZ968" s="121" t="n">
        <f aca="false">MIN((DZ229+DZ230)*$C$5, $F$15)*'⑫ Roll-out Plan'!$O$28</f>
        <v>27000</v>
      </c>
      <c r="EA968" s="121" t="n">
        <f aca="false">MIN((EA229+EA230)*$C$5, $F$15)*'⑫ Roll-out Plan'!$O$28</f>
        <v>27000</v>
      </c>
      <c r="EB968" s="121" t="n">
        <f aca="false">MIN((EB229+EB230)*$C$5, $F$15)*'⑫ Roll-out Plan'!$O$28</f>
        <v>27000</v>
      </c>
      <c r="EC968" s="121" t="n">
        <f aca="false">MIN((EC229+EC230)*$C$5, $F$15)*'⑫ Roll-out Plan'!$O$28</f>
        <v>27000</v>
      </c>
      <c r="ED968" s="121" t="n">
        <f aca="false">MIN((ED229+ED230)*$C$5, $F$15)*'⑫ Roll-out Plan'!$O$28</f>
        <v>27000</v>
      </c>
      <c r="EE968" s="121" t="n">
        <f aca="false">MIN((EE229+EE230)*$C$5, $F$15)*'⑫ Roll-out Plan'!$O$28</f>
        <v>27000</v>
      </c>
      <c r="EF968" s="121" t="n">
        <f aca="false">MIN((EF229+EF230)*$C$5, $F$15)*'⑫ Roll-out Plan'!$O$28</f>
        <v>27000</v>
      </c>
      <c r="EG968" s="121" t="n">
        <f aca="false">MIN((EG229+EG230)*$C$5, $F$15)*'⑫ Roll-out Plan'!$O$28</f>
        <v>27000</v>
      </c>
      <c r="EH968" s="121" t="n">
        <f aca="false">MIN((EH229+EH230)*$C$5, $F$15)*'⑫ Roll-out Plan'!$O$28</f>
        <v>27000</v>
      </c>
      <c r="EI968" s="121" t="n">
        <f aca="false">MIN((EI229+EI230)*$C$5, $F$15)*'⑫ Roll-out Plan'!$O$28</f>
        <v>27000</v>
      </c>
      <c r="EJ968" s="121" t="n">
        <f aca="false">MIN((EJ229+EJ230)*$C$5, $F$15)*'⑫ Roll-out Plan'!$O$28</f>
        <v>27000</v>
      </c>
      <c r="EK968" s="121" t="n">
        <f aca="false">MIN((EK229+EK230)*$C$5, $F$15)*'⑫ Roll-out Plan'!$O$28</f>
        <v>27000</v>
      </c>
      <c r="EL968" s="121" t="n">
        <f aca="false">MIN((EL229+EL230)*$C$5, $F$15)*'⑫ Roll-out Plan'!$O$28</f>
        <v>27000</v>
      </c>
      <c r="EM968" s="121" t="n">
        <f aca="false">MIN((EM229+EM230)*$C$5, $F$15)*'⑫ Roll-out Plan'!$O$28</f>
        <v>27000</v>
      </c>
      <c r="EN968" s="121" t="n">
        <f aca="false">MIN((EN229+EN230)*$C$5, $F$15)*'⑫ Roll-out Plan'!$O$28</f>
        <v>27000</v>
      </c>
      <c r="EO968" s="121" t="n">
        <f aca="false">MIN((EO229+EO230)*$C$5, $F$15)*'⑫ Roll-out Plan'!$O$28</f>
        <v>27000</v>
      </c>
      <c r="EP968" s="121" t="n">
        <f aca="false">MIN((EP229+EP230)*$C$5, $F$15)*'⑫ Roll-out Plan'!$O$28</f>
        <v>27000</v>
      </c>
      <c r="EQ968" s="121" t="n">
        <f aca="false">MIN((EQ229+EQ230)*$C$5, $F$15)*'⑫ Roll-out Plan'!$O$28</f>
        <v>27000</v>
      </c>
      <c r="ER968" s="121" t="n">
        <f aca="false">MIN((ER229+ER230)*$C$5, $F$15)*'⑫ Roll-out Plan'!$O$28</f>
        <v>27000</v>
      </c>
      <c r="ES968" s="9" t="n">
        <f aca="false">MIN((ES229+ES230)*$C$5, $F$15)*'⑫ Roll-out Plan'!$O$28</f>
        <v>27000</v>
      </c>
      <c r="ET968" s="9" t="n">
        <f aca="false">MIN((ET229+ET230)*$C$5, $F$15)*'⑫ Roll-out Plan'!$O$28</f>
        <v>27000</v>
      </c>
      <c r="EU968" s="9" t="n">
        <f aca="false">MIN((EU229+EU230)*$C$5, $F$15)*'⑫ Roll-out Plan'!$O$28</f>
        <v>27000</v>
      </c>
      <c r="EV968" s="9" t="n">
        <f aca="false">MIN((EV229+EV230)*$C$5, $F$15)*'⑫ Roll-out Plan'!$O$28</f>
        <v>27000</v>
      </c>
      <c r="EW968" s="9" t="n">
        <f aca="false">MIN((EW229+EW230)*$C$5, $F$15)*'⑫ Roll-out Plan'!$O$28</f>
        <v>27000</v>
      </c>
      <c r="EX968" s="9" t="n">
        <f aca="false">MIN((EX229+EX230)*$C$5, $F$15)*'⑫ Roll-out Plan'!$O$28</f>
        <v>27000</v>
      </c>
      <c r="EY968" s="9" t="n">
        <f aca="false">MIN((EY229+EY230)*$C$5, $F$15)*'⑫ Roll-out Plan'!$O$28</f>
        <v>27000</v>
      </c>
      <c r="EZ968" s="9" t="n">
        <f aca="false">MIN((EZ229+EZ230)*$C$5, $F$15)*'⑫ Roll-out Plan'!$O$28</f>
        <v>27000</v>
      </c>
      <c r="FA968" s="9" t="n">
        <f aca="false">MIN((FA229+FA230)*$C$5, $F$15)*'⑫ Roll-out Plan'!$O$28</f>
        <v>27000</v>
      </c>
      <c r="FB968" s="9" t="n">
        <f aca="false">MIN((FB229+FB230)*$C$5, $F$15)*'⑫ Roll-out Plan'!$O$28</f>
        <v>27000</v>
      </c>
      <c r="FC968" s="9" t="n">
        <f aca="false">MIN((FC229+FC230)*$C$5, $F$15)*'⑫ Roll-out Plan'!$O$28</f>
        <v>27000</v>
      </c>
      <c r="FD968" s="9" t="n">
        <f aca="false">MIN((FD229+FD230)*$C$5, $F$15)*'⑫ Roll-out Plan'!$O$28</f>
        <v>27000</v>
      </c>
      <c r="FE968" s="9" t="n">
        <f aca="false">MIN((FE229+FE230)*$C$5, $F$15)*'⑫ Roll-out Plan'!$O$28</f>
        <v>27000</v>
      </c>
      <c r="FF968" s="9" t="n">
        <f aca="false">MIN((FF229+FF230)*$C$5, $F$15)*'⑫ Roll-out Plan'!$O$28</f>
        <v>27000</v>
      </c>
      <c r="FG968" s="9" t="n">
        <f aca="false">MIN((FG229+FG230)*$C$5, $F$15)*'⑫ Roll-out Plan'!$O$28</f>
        <v>27000</v>
      </c>
      <c r="FH968" s="9" t="n">
        <f aca="false">MIN((FH229+FH230)*$C$5, $F$15)*'⑫ Roll-out Plan'!$O$28</f>
        <v>27000</v>
      </c>
      <c r="FI968" s="9" t="n">
        <f aca="false">MIN((FI229+FI230)*$C$5, $F$15)*'⑫ Roll-out Plan'!$O$28</f>
        <v>27000</v>
      </c>
      <c r="FJ968" s="9" t="n">
        <f aca="false">MIN((FJ229+FJ230)*$C$5, $F$15)*'⑫ Roll-out Plan'!$O$28</f>
        <v>27000</v>
      </c>
      <c r="FK968" s="9" t="n">
        <f aca="false">MIN((FK229+FK230)*$C$5, $F$15)*'⑫ Roll-out Plan'!$O$28</f>
        <v>27000</v>
      </c>
      <c r="FL968" s="9" t="n">
        <f aca="false">MIN((FL229+FL230)*$C$5, $F$15)*'⑫ Roll-out Plan'!$O$28</f>
        <v>27000</v>
      </c>
      <c r="FM968" s="9" t="n">
        <f aca="false">MIN((FM229+FM230)*$C$5, $F$15)*'⑫ Roll-out Plan'!$O$28</f>
        <v>27000</v>
      </c>
      <c r="FN968" s="9" t="n">
        <f aca="false">MIN((FN229+FN230)*$C$5, $F$15)*'⑫ Roll-out Plan'!$O$28</f>
        <v>27000</v>
      </c>
      <c r="FO968" s="9" t="n">
        <f aca="false">MIN((FO229+FO230)*$C$5, $F$15)*'⑫ Roll-out Plan'!$O$28</f>
        <v>27000</v>
      </c>
      <c r="FP968" s="9" t="n">
        <f aca="false">MIN((FP229+FP230)*$C$5, $F$15)*'⑫ Roll-out Plan'!$O$28</f>
        <v>27000</v>
      </c>
    </row>
    <row r="969" customFormat="false" ht="15" hidden="false" customHeight="false" outlineLevel="0" collapsed="false">
      <c r="B969" s="254" t="s">
        <v>994</v>
      </c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121" t="n">
        <f aca="false">MIN((AC239+AC240)*$C$5, $F$16)*'⑫ Roll-out Plan'!$O$29</f>
        <v>0</v>
      </c>
      <c r="AD969" s="121" t="n">
        <f aca="false">MIN((AD239+AD240)*$C$5, $F$16)*'⑫ Roll-out Plan'!$O$29</f>
        <v>0</v>
      </c>
      <c r="AE969" s="121" t="n">
        <f aca="false">MIN((AE239+AE240)*$C$5, $F$16)*'⑫ Roll-out Plan'!$O$29</f>
        <v>0</v>
      </c>
      <c r="AF969" s="121" t="n">
        <f aca="false">MIN((AF239+AF240)*$C$5, $F$16)*'⑫ Roll-out Plan'!$O$29</f>
        <v>0</v>
      </c>
      <c r="AG969" s="121" t="n">
        <f aca="false">MIN((AG239+AG240)*$C$5, $F$16)*'⑫ Roll-out Plan'!$O$29</f>
        <v>0</v>
      </c>
      <c r="AH969" s="121" t="n">
        <f aca="false">MIN((AH239+AH240)*$C$5, $F$16)*'⑫ Roll-out Plan'!$O$29</f>
        <v>0</v>
      </c>
      <c r="AI969" s="121" t="n">
        <f aca="false">MIN((AI239+AI240)*$C$5, $F$16)*'⑫ Roll-out Plan'!$O$29</f>
        <v>0</v>
      </c>
      <c r="AJ969" s="121" t="n">
        <f aca="false">MIN((AJ239+AJ240)*$C$5, $F$16)*'⑫ Roll-out Plan'!$O$29</f>
        <v>0</v>
      </c>
      <c r="AK969" s="121" t="n">
        <f aca="false">MIN((AK239+AK240)*$C$5, $F$16)*'⑫ Roll-out Plan'!$O$29</f>
        <v>0</v>
      </c>
      <c r="AL969" s="121" t="n">
        <f aca="false">MIN((AL239+AL240)*$C$5, $F$16)*'⑫ Roll-out Plan'!$O$29</f>
        <v>0</v>
      </c>
      <c r="AM969" s="121" t="n">
        <f aca="false">MIN((AM239+AM240)*$C$5, $F$16)*'⑫ Roll-out Plan'!$O$29</f>
        <v>0</v>
      </c>
      <c r="AN969" s="121" t="n">
        <f aca="false">MIN((AN239+AN240)*$C$5, $F$16)*'⑫ Roll-out Plan'!$O$29</f>
        <v>0</v>
      </c>
      <c r="AO969" s="121" t="n">
        <f aca="false">MIN((AO239+AO240)*$C$5, $F$16)*'⑫ Roll-out Plan'!$O$29</f>
        <v>0</v>
      </c>
      <c r="AP969" s="121" t="n">
        <f aca="false">MIN((AP239+AP240)*$C$5, $F$16)*'⑫ Roll-out Plan'!$O$29</f>
        <v>0</v>
      </c>
      <c r="AQ969" s="121" t="n">
        <f aca="false">MIN((AQ239+AQ240)*$C$5, $F$16)*'⑫ Roll-out Plan'!$O$29</f>
        <v>0</v>
      </c>
      <c r="AR969" s="121" t="n">
        <f aca="false">MIN((AR239+AR240)*$C$5, $F$16)*'⑫ Roll-out Plan'!$O$29</f>
        <v>0</v>
      </c>
      <c r="AS969" s="121" t="n">
        <f aca="false">MIN((AS239+AS240)*$C$5, $F$16)*'⑫ Roll-out Plan'!$O$29</f>
        <v>0</v>
      </c>
      <c r="AT969" s="121" t="n">
        <f aca="false">MIN((AT239+AT240)*$C$5, $F$16)*'⑫ Roll-out Plan'!$O$29</f>
        <v>0</v>
      </c>
      <c r="AU969" s="121" t="n">
        <f aca="false">MIN((AU239+AU240)*$C$5, $F$16)*'⑫ Roll-out Plan'!$O$29</f>
        <v>0</v>
      </c>
      <c r="AV969" s="121" t="n">
        <f aca="false">MIN((AV239+AV240)*$C$5, $F$16)*'⑫ Roll-out Plan'!$O$29</f>
        <v>0</v>
      </c>
      <c r="AW969" s="121" t="n">
        <f aca="false">MIN((AW239+AW240)*$C$5, $F$16)*'⑫ Roll-out Plan'!$O$29</f>
        <v>0</v>
      </c>
      <c r="AX969" s="121" t="n">
        <f aca="false">MIN((AX239+AX240)*$C$5, $F$16)*'⑫ Roll-out Plan'!$O$29</f>
        <v>0</v>
      </c>
      <c r="AY969" s="121" t="n">
        <f aca="false">MIN((AY239+AY240)*$C$5, $F$16)*'⑫ Roll-out Plan'!$O$29</f>
        <v>0</v>
      </c>
      <c r="AZ969" s="121" t="n">
        <f aca="false">MIN((AZ239+AZ240)*$C$5, $F$16)*'⑫ Roll-out Plan'!$O$29</f>
        <v>0</v>
      </c>
      <c r="BA969" s="121" t="n">
        <f aca="false">MIN((BA239+BA240)*$C$5, $F$16)*'⑫ Roll-out Plan'!$O$29</f>
        <v>0</v>
      </c>
      <c r="BB969" s="121" t="n">
        <f aca="false">MIN((BB239+BB240)*$C$5, $F$16)*'⑫ Roll-out Plan'!$O$29</f>
        <v>0</v>
      </c>
      <c r="BC969" s="121" t="n">
        <f aca="false">MIN((BC239+BC240)*$C$5, $F$16)*'⑫ Roll-out Plan'!$O$29</f>
        <v>0</v>
      </c>
      <c r="BD969" s="121" t="n">
        <f aca="false">MIN((BD239+BD240)*$C$5, $F$16)*'⑫ Roll-out Plan'!$O$29</f>
        <v>0</v>
      </c>
      <c r="BE969" s="121" t="n">
        <f aca="false">MIN((BE239+BE240)*$C$5, $F$16)*'⑫ Roll-out Plan'!$O$29</f>
        <v>0</v>
      </c>
      <c r="BF969" s="121" t="n">
        <f aca="false">MIN((BF239+BF240)*$C$5, $F$16)*'⑫ Roll-out Plan'!$O$29</f>
        <v>0</v>
      </c>
      <c r="BG969" s="121" t="n">
        <f aca="false">MIN((BG239+BG240)*$C$5, $F$16)*'⑫ Roll-out Plan'!$O$29</f>
        <v>0</v>
      </c>
      <c r="BH969" s="121" t="n">
        <f aca="false">MIN((BH239+BH240)*$C$5, $F$16)*'⑫ Roll-out Plan'!$O$29</f>
        <v>0</v>
      </c>
      <c r="BI969" s="121" t="n">
        <f aca="false">MIN((BI239+BI240)*$C$5, $F$16)*'⑫ Roll-out Plan'!$O$29</f>
        <v>0</v>
      </c>
      <c r="BJ969" s="121" t="n">
        <f aca="false">MIN((BJ239+BJ240)*$C$5, $F$16)*'⑫ Roll-out Plan'!$O$29</f>
        <v>0</v>
      </c>
      <c r="BK969" s="121" t="n">
        <f aca="false">MIN((BK239+BK240)*$C$5, $F$16)*'⑫ Roll-out Plan'!$O$29</f>
        <v>0</v>
      </c>
      <c r="BL969" s="121" t="n">
        <f aca="false">MIN((BL239+BL240)*$C$5, $F$16)*'⑫ Roll-out Plan'!$O$29</f>
        <v>0</v>
      </c>
      <c r="BM969" s="121" t="n">
        <f aca="false">MIN((BM239+BM240)*$C$5, $F$16)*'⑫ Roll-out Plan'!$O$29</f>
        <v>0</v>
      </c>
      <c r="BN969" s="121" t="n">
        <f aca="false">MIN((BN239+BN240)*$C$5, $F$16)*'⑫ Roll-out Plan'!$O$29</f>
        <v>0</v>
      </c>
      <c r="BO969" s="121" t="n">
        <f aca="false">MIN((BO239+BO240)*$C$5, $F$16)*'⑫ Roll-out Plan'!$O$29</f>
        <v>0</v>
      </c>
      <c r="BP969" s="121" t="n">
        <f aca="false">MIN((BP239+BP240)*$C$5, $F$16)*'⑫ Roll-out Plan'!$O$29</f>
        <v>0</v>
      </c>
      <c r="BQ969" s="121" t="n">
        <f aca="false">MIN((BQ239+BQ240)*$C$5, $F$16)*'⑫ Roll-out Plan'!$O$29</f>
        <v>0</v>
      </c>
      <c r="BR969" s="121" t="n">
        <f aca="false">MIN((BR239+BR240)*$C$5, $F$16)*'⑫ Roll-out Plan'!$O$29</f>
        <v>0</v>
      </c>
      <c r="BS969" s="121" t="n">
        <f aca="false">MIN((BS239+BS240)*$C$5, $F$16)*'⑫ Roll-out Plan'!$O$29</f>
        <v>0</v>
      </c>
      <c r="BT969" s="121" t="n">
        <f aca="false">MIN((BT239+BT240)*$C$5, $F$16)*'⑫ Roll-out Plan'!$O$29</f>
        <v>0</v>
      </c>
      <c r="BU969" s="121" t="n">
        <f aca="false">MIN((BU239+BU240)*$C$5, $F$16)*'⑫ Roll-out Plan'!$O$29</f>
        <v>0</v>
      </c>
      <c r="BV969" s="121" t="n">
        <f aca="false">MIN((BV239+BV240)*$C$5, $F$16)*'⑫ Roll-out Plan'!$O$29</f>
        <v>0</v>
      </c>
      <c r="BW969" s="121" t="n">
        <f aca="false">MIN((BW239+BW240)*$C$5, $F$16)*'⑫ Roll-out Plan'!$O$29</f>
        <v>0</v>
      </c>
      <c r="BX969" s="121" t="n">
        <f aca="false">MIN((BX239+BX240)*$C$5, $F$16)*'⑫ Roll-out Plan'!$O$29</f>
        <v>0</v>
      </c>
      <c r="BY969" s="121" t="n">
        <f aca="false">MIN((BY239+BY240)*$C$5, $F$16)*'⑫ Roll-out Plan'!$O$29</f>
        <v>0</v>
      </c>
      <c r="BZ969" s="121" t="n">
        <f aca="false">MIN((BZ239+BZ240)*$C$5, $F$16)*'⑫ Roll-out Plan'!$O$29</f>
        <v>0</v>
      </c>
      <c r="CA969" s="121" t="n">
        <f aca="false">MIN((CA239+CA240)*$C$5, $F$16)*'⑫ Roll-out Plan'!$O$29</f>
        <v>0</v>
      </c>
      <c r="CB969" s="121" t="n">
        <f aca="false">MIN((CB239+CB240)*$C$5, $F$16)*'⑫ Roll-out Plan'!$O$29</f>
        <v>0</v>
      </c>
      <c r="CC969" s="121" t="n">
        <f aca="false">MIN((CC239+CC240)*$C$5, $F$16)*'⑫ Roll-out Plan'!$O$29</f>
        <v>0</v>
      </c>
      <c r="CD969" s="121" t="n">
        <f aca="false">MIN((CD239+CD240)*$C$5, $F$16)*'⑫ Roll-out Plan'!$O$29</f>
        <v>0</v>
      </c>
      <c r="CE969" s="121" t="n">
        <f aca="false">MIN((CE239+CE240)*$C$5, $F$16)*'⑫ Roll-out Plan'!$O$29</f>
        <v>0</v>
      </c>
      <c r="CF969" s="121" t="n">
        <f aca="false">MIN((CF239+CF240)*$C$5, $F$16)*'⑫ Roll-out Plan'!$O$29</f>
        <v>0</v>
      </c>
      <c r="CG969" s="121" t="n">
        <f aca="false">MIN((CG239+CG240)*$C$5, $F$16)*'⑫ Roll-out Plan'!$O$29</f>
        <v>0</v>
      </c>
      <c r="CH969" s="121" t="n">
        <f aca="false">MIN((CH239+CH240)*$C$5, $F$16)*'⑫ Roll-out Plan'!$O$29</f>
        <v>0</v>
      </c>
      <c r="CI969" s="121" t="n">
        <f aca="false">MIN((CI239+CI240)*$C$5, $F$16)*'⑫ Roll-out Plan'!$O$29</f>
        <v>0</v>
      </c>
      <c r="CJ969" s="121" t="n">
        <f aca="false">MIN((CJ239+CJ240)*$C$5, $F$16)*'⑫ Roll-out Plan'!$O$29</f>
        <v>0</v>
      </c>
      <c r="CK969" s="121" t="n">
        <f aca="false">MIN((CK239+CK240)*$C$5, $F$16)*'⑫ Roll-out Plan'!$O$29</f>
        <v>0</v>
      </c>
      <c r="CL969" s="121" t="n">
        <f aca="false">MIN((CL239+CL240)*$C$5, $F$16)*'⑫ Roll-out Plan'!$O$29</f>
        <v>0</v>
      </c>
      <c r="CM969" s="121" t="n">
        <f aca="false">MIN((CM239+CM240)*$C$5, $F$16)*'⑫ Roll-out Plan'!$O$29</f>
        <v>0</v>
      </c>
      <c r="CN969" s="121" t="n">
        <f aca="false">MIN((CN239+CN240)*$C$5, $F$16)*'⑫ Roll-out Plan'!$O$29</f>
        <v>3170.2</v>
      </c>
      <c r="CO969" s="121" t="n">
        <f aca="false">MIN((CO239+CO240)*$C$5, $F$16)*'⑫ Roll-out Plan'!$O$29</f>
        <v>3322.3696</v>
      </c>
      <c r="CP969" s="121" t="n">
        <f aca="false">MIN((CP239+CP240)*$C$5, $F$16)*'⑫ Roll-out Plan'!$O$29</f>
        <v>3195.838272</v>
      </c>
      <c r="CQ969" s="121" t="n">
        <f aca="false">MIN((CQ239+CQ240)*$C$5, $F$16)*'⑫ Roll-out Plan'!$O$29</f>
        <v>3744.6725184</v>
      </c>
      <c r="CR969" s="121" t="n">
        <f aca="false">MIN((CR239+CR240)*$C$5, $F$16)*'⑫ Roll-out Plan'!$O$29</f>
        <v>6097.7263776</v>
      </c>
      <c r="CS969" s="121" t="n">
        <f aca="false">MIN((CS239+CS240)*$C$5, $F$16)*'⑫ Roll-out Plan'!$O$29</f>
        <v>6076.270464</v>
      </c>
      <c r="CT969" s="121" t="n">
        <f aca="false">MIN((CT239+CT240)*$C$5, $F$16)*'⑫ Roll-out Plan'!$O$29</f>
        <v>5754.108976</v>
      </c>
      <c r="CU969" s="121" t="n">
        <f aca="false">MIN((CU239+CU240)*$C$5, $F$16)*'⑫ Roll-out Plan'!$O$29</f>
        <v>5014.1451008</v>
      </c>
      <c r="CV969" s="121" t="n">
        <f aca="false">MIN((CV239+CV240)*$C$5, $F$16)*'⑫ Roll-out Plan'!$O$29</f>
        <v>7363.6806144</v>
      </c>
      <c r="CW969" s="121" t="n">
        <f aca="false">MIN((CW239+CW240)*$C$5, $F$16)*'⑫ Roll-out Plan'!$O$29</f>
        <v>8078.8592896</v>
      </c>
      <c r="CX969" s="121" t="n">
        <f aca="false">MIN((CX239+CX240)*$C$5, $F$16)*'⑫ Roll-out Plan'!$O$29</f>
        <v>7040.3386592</v>
      </c>
      <c r="CY969" s="121" t="n">
        <f aca="false">MIN((CY239+CY240)*$C$5, $F$16)*'⑫ Roll-out Plan'!$O$29</f>
        <v>9998.7508544</v>
      </c>
      <c r="CZ969" s="121" t="n">
        <f aca="false">MIN((CZ239+CZ240)*$C$5, $F$16)*'⑫ Roll-out Plan'!$O$29</f>
        <v>10672.2857824</v>
      </c>
      <c r="DA969" s="121" t="n">
        <f aca="false">MIN((DA239+DA240)*$C$5, $F$16)*'⑫ Roll-out Plan'!$O$29</f>
        <v>9952.3806272</v>
      </c>
      <c r="DB969" s="121" t="n">
        <f aca="false">MIN((DB239+DB240)*$C$5, $F$16)*'⑫ Roll-out Plan'!$O$29</f>
        <v>8914.1090016</v>
      </c>
      <c r="DC969" s="121" t="n">
        <f aca="false">MIN((DC239+DC240)*$C$5, $F$16)*'⑫ Roll-out Plan'!$O$29</f>
        <v>11106.397984</v>
      </c>
      <c r="DD969" s="121" t="n">
        <f aca="false">MIN((DD239+DD240)*$C$5, $F$16)*'⑫ Roll-out Plan'!$O$29</f>
        <v>18537.1577248</v>
      </c>
      <c r="DE969" s="121" t="n">
        <f aca="false">MIN((DE239+DE240)*$C$5, $F$16)*'⑫ Roll-out Plan'!$O$29</f>
        <v>17251.59528224</v>
      </c>
      <c r="DF969" s="121" t="n">
        <f aca="false">MIN((DF239+DF240)*$C$5, $F$16)*'⑫ Roll-out Plan'!$O$29</f>
        <v>15227.9946016</v>
      </c>
      <c r="DG969" s="121" t="n">
        <f aca="false">MIN((DG239+DG240)*$C$5, $F$16)*'⑫ Roll-out Plan'!$O$29</f>
        <v>12242.88263616</v>
      </c>
      <c r="DH969" s="121" t="n">
        <f aca="false">MIN((DH239+DH240)*$C$5, $F$16)*'⑫ Roll-out Plan'!$O$29</f>
        <v>16059.2890568</v>
      </c>
      <c r="DI969" s="121" t="n">
        <f aca="false">MIN((DI239+DI240)*$C$5, $F$16)*'⑫ Roll-out Plan'!$O$29</f>
        <v>17929.75535912</v>
      </c>
      <c r="DJ969" s="121" t="n">
        <f aca="false">MIN((DJ239+DJ240)*$C$5, $F$16)*'⑫ Roll-out Plan'!$O$29</f>
        <v>15160.11116664</v>
      </c>
      <c r="DK969" s="121" t="n">
        <f aca="false">MIN((DK239+DK240)*$C$5, $F$16)*'⑫ Roll-out Plan'!$O$29</f>
        <v>20040.66611448</v>
      </c>
      <c r="DL969" s="121" t="n">
        <f aca="false">MIN((DL239+DL240)*$C$5, $F$16)*'⑫ Roll-out Plan'!$O$29</f>
        <v>20073.3323164</v>
      </c>
      <c r="DM969" s="121" t="n">
        <f aca="false">MIN((DM239+DM240)*$C$5, $F$16)*'⑫ Roll-out Plan'!$O$29</f>
        <v>17979.96879096</v>
      </c>
      <c r="DN969" s="121" t="n">
        <f aca="false">MIN((DN239+DN240)*$C$5, $F$16)*'⑫ Roll-out Plan'!$O$29</f>
        <v>16607.62310328</v>
      </c>
      <c r="DO969" s="121" t="n">
        <f aca="false">MIN((DO239+DO240)*$C$5, $F$16)*'⑫ Roll-out Plan'!$O$29</f>
        <v>17486.8110956</v>
      </c>
      <c r="DP969" s="121" t="n">
        <f aca="false">MIN((DP239+DP240)*$C$5, $F$16)*'⑫ Roll-out Plan'!$O$29</f>
        <v>23000</v>
      </c>
      <c r="DQ969" s="121" t="n">
        <f aca="false">MIN((DQ239+DQ240)*$C$5, $F$16)*'⑫ Roll-out Plan'!$O$29</f>
        <v>23000</v>
      </c>
      <c r="DR969" s="121" t="n">
        <f aca="false">MIN((DR239+DR240)*$C$5, $F$16)*'⑫ Roll-out Plan'!$O$29</f>
        <v>21522.27234168</v>
      </c>
      <c r="DS969" s="121" t="n">
        <f aca="false">MIN((DS239+DS240)*$C$5, $F$16)*'⑫ Roll-out Plan'!$O$29</f>
        <v>18095.80029048</v>
      </c>
      <c r="DT969" s="121" t="n">
        <f aca="false">MIN((DT239+DT240)*$C$5, $F$16)*'⑫ Roll-out Plan'!$O$29</f>
        <v>22628.33091288</v>
      </c>
      <c r="DU969" s="121" t="n">
        <f aca="false">MIN((DU239+DU240)*$C$5, $F$16)*'⑫ Roll-out Plan'!$O$29</f>
        <v>23000</v>
      </c>
      <c r="DV969" s="121" t="n">
        <f aca="false">MIN((DV239+DV240)*$C$5, $F$16)*'⑫ Roll-out Plan'!$O$29</f>
        <v>21292.53082968</v>
      </c>
      <c r="DW969" s="121" t="n">
        <f aca="false">MIN((DW239+DW240)*$C$5, $F$16)*'⑫ Roll-out Plan'!$O$29</f>
        <v>23000</v>
      </c>
      <c r="DX969" s="121" t="n">
        <f aca="false">MIN((DX239+DX240)*$C$5, $F$16)*'⑫ Roll-out Plan'!$O$29</f>
        <v>23000</v>
      </c>
      <c r="DY969" s="121" t="n">
        <f aca="false">MIN((DY239+DY240)*$C$5, $F$16)*'⑫ Roll-out Plan'!$O$29</f>
        <v>23000</v>
      </c>
      <c r="DZ969" s="121" t="n">
        <f aca="false">MIN((DZ239+DZ240)*$C$5, $F$16)*'⑫ Roll-out Plan'!$O$29</f>
        <v>23000</v>
      </c>
      <c r="EA969" s="121" t="n">
        <f aca="false">MIN((EA239+EA240)*$C$5, $F$16)*'⑫ Roll-out Plan'!$O$29</f>
        <v>23000</v>
      </c>
      <c r="EB969" s="121" t="n">
        <f aca="false">MIN((EB239+EB240)*$C$5, $F$16)*'⑫ Roll-out Plan'!$O$29</f>
        <v>23000</v>
      </c>
      <c r="EC969" s="121" t="n">
        <f aca="false">MIN((EC239+EC240)*$C$5, $F$16)*'⑫ Roll-out Plan'!$O$29</f>
        <v>23000</v>
      </c>
      <c r="ED969" s="121" t="n">
        <f aca="false">MIN((ED239+ED240)*$C$5, $F$16)*'⑫ Roll-out Plan'!$O$29</f>
        <v>23000</v>
      </c>
      <c r="EE969" s="121" t="n">
        <f aca="false">MIN((EE239+EE240)*$C$5, $F$16)*'⑫ Roll-out Plan'!$O$29</f>
        <v>23000</v>
      </c>
      <c r="EF969" s="121" t="n">
        <f aca="false">MIN((EF239+EF240)*$C$5, $F$16)*'⑫ Roll-out Plan'!$O$29</f>
        <v>23000</v>
      </c>
      <c r="EG969" s="121" t="n">
        <f aca="false">MIN((EG239+EG240)*$C$5, $F$16)*'⑫ Roll-out Plan'!$O$29</f>
        <v>23000</v>
      </c>
      <c r="EH969" s="121" t="n">
        <f aca="false">MIN((EH239+EH240)*$C$5, $F$16)*'⑫ Roll-out Plan'!$O$29</f>
        <v>23000</v>
      </c>
      <c r="EI969" s="121" t="n">
        <f aca="false">MIN((EI239+EI240)*$C$5, $F$16)*'⑫ Roll-out Plan'!$O$29</f>
        <v>23000</v>
      </c>
      <c r="EJ969" s="121" t="n">
        <f aca="false">MIN((EJ239+EJ240)*$C$5, $F$16)*'⑫ Roll-out Plan'!$O$29</f>
        <v>23000</v>
      </c>
      <c r="EK969" s="121" t="n">
        <f aca="false">MIN((EK239+EK240)*$C$5, $F$16)*'⑫ Roll-out Plan'!$O$29</f>
        <v>23000</v>
      </c>
      <c r="EL969" s="121" t="n">
        <f aca="false">MIN((EL239+EL240)*$C$5, $F$16)*'⑫ Roll-out Plan'!$O$29</f>
        <v>23000</v>
      </c>
      <c r="EM969" s="121" t="n">
        <f aca="false">MIN((EM239+EM240)*$C$5, $F$16)*'⑫ Roll-out Plan'!$O$29</f>
        <v>23000</v>
      </c>
      <c r="EN969" s="121" t="n">
        <f aca="false">MIN((EN239+EN240)*$C$5, $F$16)*'⑫ Roll-out Plan'!$O$29</f>
        <v>23000</v>
      </c>
      <c r="EO969" s="121" t="n">
        <f aca="false">MIN((EO239+EO240)*$C$5, $F$16)*'⑫ Roll-out Plan'!$O$29</f>
        <v>23000</v>
      </c>
      <c r="EP969" s="121" t="n">
        <f aca="false">MIN((EP239+EP240)*$C$5, $F$16)*'⑫ Roll-out Plan'!$O$29</f>
        <v>23000</v>
      </c>
      <c r="EQ969" s="121" t="n">
        <f aca="false">MIN((EQ239+EQ240)*$C$5, $F$16)*'⑫ Roll-out Plan'!$O$29</f>
        <v>23000</v>
      </c>
      <c r="ER969" s="121" t="n">
        <f aca="false">MIN((ER239+ER240)*$C$5, $F$16)*'⑫ Roll-out Plan'!$O$29</f>
        <v>23000</v>
      </c>
      <c r="ES969" s="9" t="n">
        <f aca="false">MIN((ES239+ES240)*$C$5, $F$16)*'⑫ Roll-out Plan'!$O$29</f>
        <v>23000</v>
      </c>
      <c r="ET969" s="9" t="n">
        <f aca="false">MIN((ET239+ET240)*$C$5, $F$16)*'⑫ Roll-out Plan'!$O$29</f>
        <v>23000</v>
      </c>
      <c r="EU969" s="9" t="n">
        <f aca="false">MIN((EU239+EU240)*$C$5, $F$16)*'⑫ Roll-out Plan'!$O$29</f>
        <v>23000</v>
      </c>
      <c r="EV969" s="9" t="n">
        <f aca="false">MIN((EV239+EV240)*$C$5, $F$16)*'⑫ Roll-out Plan'!$O$29</f>
        <v>23000</v>
      </c>
      <c r="EW969" s="9" t="n">
        <f aca="false">MIN((EW239+EW240)*$C$5, $F$16)*'⑫ Roll-out Plan'!$O$29</f>
        <v>23000</v>
      </c>
      <c r="EX969" s="9" t="n">
        <f aca="false">MIN((EX239+EX240)*$C$5, $F$16)*'⑫ Roll-out Plan'!$O$29</f>
        <v>23000</v>
      </c>
      <c r="EY969" s="9" t="n">
        <f aca="false">MIN((EY239+EY240)*$C$5, $F$16)*'⑫ Roll-out Plan'!$O$29</f>
        <v>23000</v>
      </c>
      <c r="EZ969" s="9" t="n">
        <f aca="false">MIN((EZ239+EZ240)*$C$5, $F$16)*'⑫ Roll-out Plan'!$O$29</f>
        <v>23000</v>
      </c>
      <c r="FA969" s="9" t="n">
        <f aca="false">MIN((FA239+FA240)*$C$5, $F$16)*'⑫ Roll-out Plan'!$O$29</f>
        <v>23000</v>
      </c>
      <c r="FB969" s="9" t="n">
        <f aca="false">MIN((FB239+FB240)*$C$5, $F$16)*'⑫ Roll-out Plan'!$O$29</f>
        <v>23000</v>
      </c>
      <c r="FC969" s="9" t="n">
        <f aca="false">MIN((FC239+FC240)*$C$5, $F$16)*'⑫ Roll-out Plan'!$O$29</f>
        <v>23000</v>
      </c>
      <c r="FD969" s="9" t="n">
        <f aca="false">MIN((FD239+FD240)*$C$5, $F$16)*'⑫ Roll-out Plan'!$O$29</f>
        <v>23000</v>
      </c>
      <c r="FE969" s="9" t="n">
        <f aca="false">MIN((FE239+FE240)*$C$5, $F$16)*'⑫ Roll-out Plan'!$O$29</f>
        <v>23000</v>
      </c>
      <c r="FF969" s="9" t="n">
        <f aca="false">MIN((FF239+FF240)*$C$5, $F$16)*'⑫ Roll-out Plan'!$O$29</f>
        <v>23000</v>
      </c>
      <c r="FG969" s="9" t="n">
        <f aca="false">MIN((FG239+FG240)*$C$5, $F$16)*'⑫ Roll-out Plan'!$O$29</f>
        <v>23000</v>
      </c>
      <c r="FH969" s="9" t="n">
        <f aca="false">MIN((FH239+FH240)*$C$5, $F$16)*'⑫ Roll-out Plan'!$O$29</f>
        <v>23000</v>
      </c>
      <c r="FI969" s="9" t="n">
        <f aca="false">MIN((FI239+FI240)*$C$5, $F$16)*'⑫ Roll-out Plan'!$O$29</f>
        <v>23000</v>
      </c>
      <c r="FJ969" s="9" t="n">
        <f aca="false">MIN((FJ239+FJ240)*$C$5, $F$16)*'⑫ Roll-out Plan'!$O$29</f>
        <v>23000</v>
      </c>
      <c r="FK969" s="9" t="n">
        <f aca="false">MIN((FK239+FK240)*$C$5, $F$16)*'⑫ Roll-out Plan'!$O$29</f>
        <v>23000</v>
      </c>
      <c r="FL969" s="9" t="n">
        <f aca="false">MIN((FL239+FL240)*$C$5, $F$16)*'⑫ Roll-out Plan'!$O$29</f>
        <v>23000</v>
      </c>
      <c r="FM969" s="9" t="n">
        <f aca="false">MIN((FM239+FM240)*$C$5, $F$16)*'⑫ Roll-out Plan'!$O$29</f>
        <v>23000</v>
      </c>
      <c r="FN969" s="9" t="n">
        <f aca="false">MIN((FN239+FN240)*$C$5, $F$16)*'⑫ Roll-out Plan'!$O$29</f>
        <v>23000</v>
      </c>
      <c r="FO969" s="9" t="n">
        <f aca="false">MIN((FO239+FO240)*$C$5, $F$16)*'⑫ Roll-out Plan'!$O$29</f>
        <v>23000</v>
      </c>
      <c r="FP969" s="9" t="n">
        <f aca="false">MIN((FP239+FP240)*$C$5, $F$16)*'⑫ Roll-out Plan'!$O$29</f>
        <v>23000</v>
      </c>
    </row>
    <row r="970" customFormat="false" ht="15" hidden="false" customHeight="false" outlineLevel="0" collapsed="false">
      <c r="B970" s="254" t="s">
        <v>995</v>
      </c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121" t="n">
        <f aca="false">MIN((AC249+AC250)*$C$5, $F$16)*'⑫ Roll-out Plan'!$O$30</f>
        <v>0</v>
      </c>
      <c r="AD970" s="121" t="n">
        <f aca="false">MIN((AD249+AD250)*$C$5, $F$16)*'⑫ Roll-out Plan'!$O$30</f>
        <v>0</v>
      </c>
      <c r="AE970" s="121" t="n">
        <f aca="false">MIN((AE249+AE250)*$C$5, $F$16)*'⑫ Roll-out Plan'!$O$30</f>
        <v>0</v>
      </c>
      <c r="AF970" s="121" t="n">
        <f aca="false">MIN((AF249+AF250)*$C$5, $F$16)*'⑫ Roll-out Plan'!$O$30</f>
        <v>0</v>
      </c>
      <c r="AG970" s="121" t="n">
        <f aca="false">MIN((AG249+AG250)*$C$5, $F$16)*'⑫ Roll-out Plan'!$O$30</f>
        <v>0</v>
      </c>
      <c r="AH970" s="121" t="n">
        <f aca="false">MIN((AH249+AH250)*$C$5, $F$16)*'⑫ Roll-out Plan'!$O$30</f>
        <v>0</v>
      </c>
      <c r="AI970" s="121" t="n">
        <f aca="false">MIN((AI249+AI250)*$C$5, $F$16)*'⑫ Roll-out Plan'!$O$30</f>
        <v>0</v>
      </c>
      <c r="AJ970" s="121" t="n">
        <f aca="false">MIN((AJ249+AJ250)*$C$5, $F$16)*'⑫ Roll-out Plan'!$O$30</f>
        <v>0</v>
      </c>
      <c r="AK970" s="121" t="n">
        <f aca="false">MIN((AK249+AK250)*$C$5, $F$16)*'⑫ Roll-out Plan'!$O$30</f>
        <v>0</v>
      </c>
      <c r="AL970" s="121" t="n">
        <f aca="false">MIN((AL249+AL250)*$C$5, $F$16)*'⑫ Roll-out Plan'!$O$30</f>
        <v>0</v>
      </c>
      <c r="AM970" s="121" t="n">
        <f aca="false">MIN((AM249+AM250)*$C$5, $F$16)*'⑫ Roll-out Plan'!$O$30</f>
        <v>0</v>
      </c>
      <c r="AN970" s="121" t="n">
        <f aca="false">MIN((AN249+AN250)*$C$5, $F$16)*'⑫ Roll-out Plan'!$O$30</f>
        <v>0</v>
      </c>
      <c r="AO970" s="121" t="n">
        <f aca="false">MIN((AO249+AO250)*$C$5, $F$16)*'⑫ Roll-out Plan'!$O$30</f>
        <v>0</v>
      </c>
      <c r="AP970" s="121" t="n">
        <f aca="false">MIN((AP249+AP250)*$C$5, $F$16)*'⑫ Roll-out Plan'!$O$30</f>
        <v>0</v>
      </c>
      <c r="AQ970" s="121" t="n">
        <f aca="false">MIN((AQ249+AQ250)*$C$5, $F$16)*'⑫ Roll-out Plan'!$O$30</f>
        <v>0</v>
      </c>
      <c r="AR970" s="121" t="n">
        <f aca="false">MIN((AR249+AR250)*$C$5, $F$16)*'⑫ Roll-out Plan'!$O$30</f>
        <v>0</v>
      </c>
      <c r="AS970" s="121" t="n">
        <f aca="false">MIN((AS249+AS250)*$C$5, $F$16)*'⑫ Roll-out Plan'!$O$30</f>
        <v>0</v>
      </c>
      <c r="AT970" s="121" t="n">
        <f aca="false">MIN((AT249+AT250)*$C$5, $F$16)*'⑫ Roll-out Plan'!$O$30</f>
        <v>0</v>
      </c>
      <c r="AU970" s="121" t="n">
        <f aca="false">MIN((AU249+AU250)*$C$5, $F$16)*'⑫ Roll-out Plan'!$O$30</f>
        <v>0</v>
      </c>
      <c r="AV970" s="121" t="n">
        <f aca="false">MIN((AV249+AV250)*$C$5, $F$16)*'⑫ Roll-out Plan'!$O$30</f>
        <v>0</v>
      </c>
      <c r="AW970" s="121" t="n">
        <f aca="false">MIN((AW249+AW250)*$C$5, $F$16)*'⑫ Roll-out Plan'!$O$30</f>
        <v>0</v>
      </c>
      <c r="AX970" s="121" t="n">
        <f aca="false">MIN((AX249+AX250)*$C$5, $F$16)*'⑫ Roll-out Plan'!$O$30</f>
        <v>0</v>
      </c>
      <c r="AY970" s="121" t="n">
        <f aca="false">MIN((AY249+AY250)*$C$5, $F$16)*'⑫ Roll-out Plan'!$O$30</f>
        <v>0</v>
      </c>
      <c r="AZ970" s="121" t="n">
        <f aca="false">MIN((AZ249+AZ250)*$C$5, $F$16)*'⑫ Roll-out Plan'!$O$30</f>
        <v>0</v>
      </c>
      <c r="BA970" s="121" t="n">
        <f aca="false">MIN((BA249+BA250)*$C$5, $F$16)*'⑫ Roll-out Plan'!$O$30</f>
        <v>0</v>
      </c>
      <c r="BB970" s="121" t="n">
        <f aca="false">MIN((BB249+BB250)*$C$5, $F$16)*'⑫ Roll-out Plan'!$O$30</f>
        <v>0</v>
      </c>
      <c r="BC970" s="121" t="n">
        <f aca="false">MIN((BC249+BC250)*$C$5, $F$16)*'⑫ Roll-out Plan'!$O$30</f>
        <v>0</v>
      </c>
      <c r="BD970" s="121" t="n">
        <f aca="false">MIN((BD249+BD250)*$C$5, $F$16)*'⑫ Roll-out Plan'!$O$30</f>
        <v>0</v>
      </c>
      <c r="BE970" s="121" t="n">
        <f aca="false">MIN((BE249+BE250)*$C$5, $F$16)*'⑫ Roll-out Plan'!$O$30</f>
        <v>0</v>
      </c>
      <c r="BF970" s="121" t="n">
        <f aca="false">MIN((BF249+BF250)*$C$5, $F$16)*'⑫ Roll-out Plan'!$O$30</f>
        <v>0</v>
      </c>
      <c r="BG970" s="121" t="n">
        <f aca="false">MIN((BG249+BG250)*$C$5, $F$16)*'⑫ Roll-out Plan'!$O$30</f>
        <v>0</v>
      </c>
      <c r="BH970" s="121" t="n">
        <f aca="false">MIN((BH249+BH250)*$C$5, $F$16)*'⑫ Roll-out Plan'!$O$30</f>
        <v>0</v>
      </c>
      <c r="BI970" s="121" t="n">
        <f aca="false">MIN((BI249+BI250)*$C$5, $F$16)*'⑫ Roll-out Plan'!$O$30</f>
        <v>0</v>
      </c>
      <c r="BJ970" s="121" t="n">
        <f aca="false">MIN((BJ249+BJ250)*$C$5, $F$16)*'⑫ Roll-out Plan'!$O$30</f>
        <v>0</v>
      </c>
      <c r="BK970" s="121" t="n">
        <f aca="false">MIN((BK249+BK250)*$C$5, $F$16)*'⑫ Roll-out Plan'!$O$30</f>
        <v>0</v>
      </c>
      <c r="BL970" s="121" t="n">
        <f aca="false">MIN((BL249+BL250)*$C$5, $F$16)*'⑫ Roll-out Plan'!$O$30</f>
        <v>0</v>
      </c>
      <c r="BM970" s="121" t="n">
        <f aca="false">MIN((BM249+BM250)*$C$5, $F$16)*'⑫ Roll-out Plan'!$O$30</f>
        <v>0</v>
      </c>
      <c r="BN970" s="121" t="n">
        <f aca="false">MIN((BN249+BN250)*$C$5, $F$16)*'⑫ Roll-out Plan'!$O$30</f>
        <v>0</v>
      </c>
      <c r="BO970" s="121" t="n">
        <f aca="false">MIN((BO249+BO250)*$C$5, $F$16)*'⑫ Roll-out Plan'!$O$30</f>
        <v>0</v>
      </c>
      <c r="BP970" s="121" t="n">
        <f aca="false">MIN((BP249+BP250)*$C$5, $F$16)*'⑫ Roll-out Plan'!$O$30</f>
        <v>0</v>
      </c>
      <c r="BQ970" s="121" t="n">
        <f aca="false">MIN((BQ249+BQ250)*$C$5, $F$16)*'⑫ Roll-out Plan'!$O$30</f>
        <v>0</v>
      </c>
      <c r="BR970" s="121" t="n">
        <f aca="false">MIN((BR249+BR250)*$C$5, $F$16)*'⑫ Roll-out Plan'!$O$30</f>
        <v>0</v>
      </c>
      <c r="BS970" s="121" t="n">
        <f aca="false">MIN((BS249+BS250)*$C$5, $F$16)*'⑫ Roll-out Plan'!$O$30</f>
        <v>0</v>
      </c>
      <c r="BT970" s="121" t="n">
        <f aca="false">MIN((BT249+BT250)*$C$5, $F$16)*'⑫ Roll-out Plan'!$O$30</f>
        <v>0</v>
      </c>
      <c r="BU970" s="121" t="n">
        <f aca="false">MIN((BU249+BU250)*$C$5, $F$16)*'⑫ Roll-out Plan'!$O$30</f>
        <v>0</v>
      </c>
      <c r="BV970" s="121" t="n">
        <f aca="false">MIN((BV249+BV250)*$C$5, $F$16)*'⑫ Roll-out Plan'!$O$30</f>
        <v>0</v>
      </c>
      <c r="BW970" s="121" t="n">
        <f aca="false">MIN((BW249+BW250)*$C$5, $F$16)*'⑫ Roll-out Plan'!$O$30</f>
        <v>0</v>
      </c>
      <c r="BX970" s="121" t="n">
        <f aca="false">MIN((BX249+BX250)*$C$5, $F$16)*'⑫ Roll-out Plan'!$O$30</f>
        <v>0</v>
      </c>
      <c r="BY970" s="121" t="n">
        <f aca="false">MIN((BY249+BY250)*$C$5, $F$16)*'⑫ Roll-out Plan'!$O$30</f>
        <v>0</v>
      </c>
      <c r="BZ970" s="121" t="n">
        <f aca="false">MIN((BZ249+BZ250)*$C$5, $F$16)*'⑫ Roll-out Plan'!$O$30</f>
        <v>0</v>
      </c>
      <c r="CA970" s="121" t="n">
        <f aca="false">MIN((CA249+CA250)*$C$5, $F$16)*'⑫ Roll-out Plan'!$O$30</f>
        <v>0</v>
      </c>
      <c r="CB970" s="121" t="n">
        <f aca="false">MIN((CB249+CB250)*$C$5, $F$16)*'⑫ Roll-out Plan'!$O$30</f>
        <v>0</v>
      </c>
      <c r="CC970" s="121" t="n">
        <f aca="false">MIN((CC249+CC250)*$C$5, $F$16)*'⑫ Roll-out Plan'!$O$30</f>
        <v>0</v>
      </c>
      <c r="CD970" s="121" t="n">
        <f aca="false">MIN((CD249+CD250)*$C$5, $F$16)*'⑫ Roll-out Plan'!$O$30</f>
        <v>0</v>
      </c>
      <c r="CE970" s="121" t="n">
        <f aca="false">MIN((CE249+CE250)*$C$5, $F$16)*'⑫ Roll-out Plan'!$O$30</f>
        <v>0</v>
      </c>
      <c r="CF970" s="121" t="n">
        <f aca="false">MIN((CF249+CF250)*$C$5, $F$16)*'⑫ Roll-out Plan'!$O$30</f>
        <v>4092.44</v>
      </c>
      <c r="CG970" s="121" t="n">
        <f aca="false">MIN((CG249+CG250)*$C$5, $F$16)*'⑫ Roll-out Plan'!$O$30</f>
        <v>4201.26432</v>
      </c>
      <c r="CH970" s="121" t="n">
        <f aca="false">MIN((CH249+CH250)*$C$5, $F$16)*'⑫ Roll-out Plan'!$O$30</f>
        <v>3862.80224</v>
      </c>
      <c r="CI970" s="121" t="n">
        <f aca="false">MIN((CI249+CI250)*$C$5, $F$16)*'⑫ Roll-out Plan'!$O$30</f>
        <v>3382.6656512</v>
      </c>
      <c r="CJ970" s="121" t="n">
        <f aca="false">MIN((CJ249+CJ250)*$C$5, $F$16)*'⑫ Roll-out Plan'!$O$30</f>
        <v>4520.2717472</v>
      </c>
      <c r="CK970" s="121" t="n">
        <f aca="false">MIN((CK249+CK250)*$C$5, $F$16)*'⑫ Roll-out Plan'!$O$30</f>
        <v>5542.4687296</v>
      </c>
      <c r="CL970" s="121" t="n">
        <f aca="false">MIN((CL249+CL250)*$C$5, $F$16)*'⑫ Roll-out Plan'!$O$30</f>
        <v>4983.2408384</v>
      </c>
      <c r="CM970" s="121" t="n">
        <f aca="false">MIN((CM249+CM250)*$C$5, $F$16)*'⑫ Roll-out Plan'!$O$30</f>
        <v>7373.1151296</v>
      </c>
      <c r="CN970" s="121" t="n">
        <f aca="false">MIN((CN249+CN250)*$C$5, $F$16)*'⑫ Roll-out Plan'!$O$30</f>
        <v>8161.847056</v>
      </c>
      <c r="CO970" s="121" t="n">
        <f aca="false">MIN((CO249+CO250)*$C$5, $F$16)*'⑫ Roll-out Plan'!$O$30</f>
        <v>7156.628512</v>
      </c>
      <c r="CP970" s="121" t="n">
        <f aca="false">MIN((CP249+CP250)*$C$5, $F$16)*'⑫ Roll-out Plan'!$O$30</f>
        <v>6835.250928</v>
      </c>
      <c r="CQ970" s="121" t="n">
        <f aca="false">MIN((CQ249+CQ250)*$C$5, $F$16)*'⑫ Roll-out Plan'!$O$30</f>
        <v>7594.3973952</v>
      </c>
      <c r="CR970" s="121" t="n">
        <f aca="false">MIN((CR249+CR250)*$C$5, $F$16)*'⑫ Roll-out Plan'!$O$30</f>
        <v>12968.907776</v>
      </c>
      <c r="CS970" s="121" t="n">
        <f aca="false">MIN((CS249+CS250)*$C$5, $F$16)*'⑫ Roll-out Plan'!$O$30</f>
        <v>12335.1628928</v>
      </c>
      <c r="CT970" s="121" t="n">
        <f aca="false">MIN((CT249+CT250)*$C$5, $F$16)*'⑫ Roll-out Plan'!$O$30</f>
        <v>10601.7574784</v>
      </c>
      <c r="CU970" s="121" t="n">
        <f aca="false">MIN((CU249+CU250)*$C$5, $F$16)*'⑫ Roll-out Plan'!$O$30</f>
        <v>10061.2326144</v>
      </c>
      <c r="CV970" s="121" t="n">
        <f aca="false">MIN((CV249+CV250)*$C$5, $F$16)*'⑫ Roll-out Plan'!$O$30</f>
        <v>13844.6392128</v>
      </c>
      <c r="CW970" s="121" t="n">
        <f aca="false">MIN((CW249+CW250)*$C$5, $F$16)*'⑫ Roll-out Plan'!$O$30</f>
        <v>15769.28077472</v>
      </c>
      <c r="CX970" s="121" t="n">
        <f aca="false">MIN((CX249+CX250)*$C$5, $F$16)*'⑫ Roll-out Plan'!$O$30</f>
        <v>13294.92238272</v>
      </c>
      <c r="CY970" s="121" t="n">
        <f aca="false">MIN((CY249+CY250)*$C$5, $F$16)*'⑫ Roll-out Plan'!$O$30</f>
        <v>17407.57880576</v>
      </c>
      <c r="CZ970" s="121" t="n">
        <f aca="false">MIN((CZ249+CZ250)*$C$5, $F$16)*'⑫ Roll-out Plan'!$O$30</f>
        <v>17790.02205024</v>
      </c>
      <c r="DA970" s="121" t="n">
        <f aca="false">MIN((DA249+DA250)*$C$5, $F$16)*'⑫ Roll-out Plan'!$O$30</f>
        <v>16005.9311324</v>
      </c>
      <c r="DB970" s="121" t="n">
        <f aca="false">MIN((DB249+DB250)*$C$5, $F$16)*'⑫ Roll-out Plan'!$O$30</f>
        <v>14741.34895816</v>
      </c>
      <c r="DC970" s="121" t="n">
        <f aca="false">MIN((DC249+DC250)*$C$5, $F$16)*'⑫ Roll-out Plan'!$O$30</f>
        <v>15567.08910768</v>
      </c>
      <c r="DD970" s="121" t="n">
        <f aca="false">MIN((DD249+DD250)*$C$5, $F$16)*'⑫ Roll-out Plan'!$O$30</f>
        <v>23000</v>
      </c>
      <c r="DE970" s="121" t="n">
        <f aca="false">MIN((DE249+DE250)*$C$5, $F$16)*'⑫ Roll-out Plan'!$O$30</f>
        <v>21864.67941856</v>
      </c>
      <c r="DF970" s="121" t="n">
        <f aca="false">MIN((DF249+DF250)*$C$5, $F$16)*'⑫ Roll-out Plan'!$O$30</f>
        <v>19390.74571808</v>
      </c>
      <c r="DG970" s="121" t="n">
        <f aca="false">MIN((DG249+DG250)*$C$5, $F$16)*'⑫ Roll-out Plan'!$O$30</f>
        <v>16191.07277216</v>
      </c>
      <c r="DH970" s="121" t="n">
        <f aca="false">MIN((DH249+DH250)*$C$5, $F$16)*'⑫ Roll-out Plan'!$O$30</f>
        <v>20546.2598704</v>
      </c>
      <c r="DI970" s="121" t="n">
        <f aca="false">MIN((DI249+DI250)*$C$5, $F$16)*'⑫ Roll-out Plan'!$O$30</f>
        <v>22435.24809504</v>
      </c>
      <c r="DJ970" s="121" t="n">
        <f aca="false">MIN((DJ249+DJ250)*$C$5, $F$16)*'⑫ Roll-out Plan'!$O$30</f>
        <v>19133.19820896</v>
      </c>
      <c r="DK970" s="121" t="n">
        <f aca="false">MIN((DK249+DK250)*$C$5, $F$16)*'⑫ Roll-out Plan'!$O$30</f>
        <v>23000</v>
      </c>
      <c r="DL970" s="121" t="n">
        <f aca="false">MIN((DL249+DL250)*$C$5, $F$16)*'⑫ Roll-out Plan'!$O$30</f>
        <v>23000</v>
      </c>
      <c r="DM970" s="121" t="n">
        <f aca="false">MIN((DM249+DM250)*$C$5, $F$16)*'⑫ Roll-out Plan'!$O$30</f>
        <v>22524.62006784</v>
      </c>
      <c r="DN970" s="121" t="n">
        <f aca="false">MIN((DN249+DN250)*$C$5, $F$16)*'⑫ Roll-out Plan'!$O$30</f>
        <v>20758.75134432</v>
      </c>
      <c r="DO970" s="121" t="n">
        <f aca="false">MIN((DO249+DO250)*$C$5, $F$16)*'⑫ Roll-out Plan'!$O$30</f>
        <v>21690.59163216</v>
      </c>
      <c r="DP970" s="121" t="n">
        <f aca="false">MIN((DP249+DP250)*$C$5, $F$16)*'⑫ Roll-out Plan'!$O$30</f>
        <v>23000</v>
      </c>
      <c r="DQ970" s="121" t="n">
        <f aca="false">MIN((DQ249+DQ250)*$C$5, $F$16)*'⑫ Roll-out Plan'!$O$30</f>
        <v>23000</v>
      </c>
      <c r="DR970" s="121" t="n">
        <f aca="false">MIN((DR249+DR250)*$C$5, $F$16)*'⑫ Roll-out Plan'!$O$30</f>
        <v>23000</v>
      </c>
      <c r="DS970" s="121" t="n">
        <f aca="false">MIN((DS249+DS250)*$C$5, $F$16)*'⑫ Roll-out Plan'!$O$30</f>
        <v>22420.20128832</v>
      </c>
      <c r="DT970" s="121" t="n">
        <f aca="false">MIN((DT249+DT250)*$C$5, $F$16)*'⑫ Roll-out Plan'!$O$30</f>
        <v>23000</v>
      </c>
      <c r="DU970" s="121" t="n">
        <f aca="false">MIN((DU249+DU250)*$C$5, $F$16)*'⑫ Roll-out Plan'!$O$30</f>
        <v>23000</v>
      </c>
      <c r="DV970" s="121" t="n">
        <f aca="false">MIN((DV249+DV250)*$C$5, $F$16)*'⑫ Roll-out Plan'!$O$30</f>
        <v>23000</v>
      </c>
      <c r="DW970" s="121" t="n">
        <f aca="false">MIN((DW249+DW250)*$C$5, $F$16)*'⑫ Roll-out Plan'!$O$30</f>
        <v>23000</v>
      </c>
      <c r="DX970" s="121" t="n">
        <f aca="false">MIN((DX249+DX250)*$C$5, $F$16)*'⑫ Roll-out Plan'!$O$30</f>
        <v>23000</v>
      </c>
      <c r="DY970" s="121" t="n">
        <f aca="false">MIN((DY249+DY250)*$C$5, $F$16)*'⑫ Roll-out Plan'!$O$30</f>
        <v>23000</v>
      </c>
      <c r="DZ970" s="121" t="n">
        <f aca="false">MIN((DZ249+DZ250)*$C$5, $F$16)*'⑫ Roll-out Plan'!$O$30</f>
        <v>23000</v>
      </c>
      <c r="EA970" s="121" t="n">
        <f aca="false">MIN((EA249+EA250)*$C$5, $F$16)*'⑫ Roll-out Plan'!$O$30</f>
        <v>23000</v>
      </c>
      <c r="EB970" s="121" t="n">
        <f aca="false">MIN((EB249+EB250)*$C$5, $F$16)*'⑫ Roll-out Plan'!$O$30</f>
        <v>23000</v>
      </c>
      <c r="EC970" s="121" t="n">
        <f aca="false">MIN((EC249+EC250)*$C$5, $F$16)*'⑫ Roll-out Plan'!$O$30</f>
        <v>23000</v>
      </c>
      <c r="ED970" s="121" t="n">
        <f aca="false">MIN((ED249+ED250)*$C$5, $F$16)*'⑫ Roll-out Plan'!$O$30</f>
        <v>23000</v>
      </c>
      <c r="EE970" s="121" t="n">
        <f aca="false">MIN((EE249+EE250)*$C$5, $F$16)*'⑫ Roll-out Plan'!$O$30</f>
        <v>23000</v>
      </c>
      <c r="EF970" s="121" t="n">
        <f aca="false">MIN((EF249+EF250)*$C$5, $F$16)*'⑫ Roll-out Plan'!$O$30</f>
        <v>23000</v>
      </c>
      <c r="EG970" s="121" t="n">
        <f aca="false">MIN((EG249+EG250)*$C$5, $F$16)*'⑫ Roll-out Plan'!$O$30</f>
        <v>23000</v>
      </c>
      <c r="EH970" s="121" t="n">
        <f aca="false">MIN((EH249+EH250)*$C$5, $F$16)*'⑫ Roll-out Plan'!$O$30</f>
        <v>23000</v>
      </c>
      <c r="EI970" s="121" t="n">
        <f aca="false">MIN((EI249+EI250)*$C$5, $F$16)*'⑫ Roll-out Plan'!$O$30</f>
        <v>23000</v>
      </c>
      <c r="EJ970" s="121" t="n">
        <f aca="false">MIN((EJ249+EJ250)*$C$5, $F$16)*'⑫ Roll-out Plan'!$O$30</f>
        <v>23000</v>
      </c>
      <c r="EK970" s="121" t="n">
        <f aca="false">MIN((EK249+EK250)*$C$5, $F$16)*'⑫ Roll-out Plan'!$O$30</f>
        <v>23000</v>
      </c>
      <c r="EL970" s="121" t="n">
        <f aca="false">MIN((EL249+EL250)*$C$5, $F$16)*'⑫ Roll-out Plan'!$O$30</f>
        <v>23000</v>
      </c>
      <c r="EM970" s="121" t="n">
        <f aca="false">MIN((EM249+EM250)*$C$5, $F$16)*'⑫ Roll-out Plan'!$O$30</f>
        <v>23000</v>
      </c>
      <c r="EN970" s="121" t="n">
        <f aca="false">MIN((EN249+EN250)*$C$5, $F$16)*'⑫ Roll-out Plan'!$O$30</f>
        <v>23000</v>
      </c>
      <c r="EO970" s="121" t="n">
        <f aca="false">MIN((EO249+EO250)*$C$5, $F$16)*'⑫ Roll-out Plan'!$O$30</f>
        <v>23000</v>
      </c>
      <c r="EP970" s="121" t="n">
        <f aca="false">MIN((EP249+EP250)*$C$5, $F$16)*'⑫ Roll-out Plan'!$O$30</f>
        <v>23000</v>
      </c>
      <c r="EQ970" s="121" t="n">
        <f aca="false">MIN((EQ249+EQ250)*$C$5, $F$16)*'⑫ Roll-out Plan'!$O$30</f>
        <v>23000</v>
      </c>
      <c r="ER970" s="121" t="n">
        <f aca="false">MIN((ER249+ER250)*$C$5, $F$16)*'⑫ Roll-out Plan'!$O$30</f>
        <v>23000</v>
      </c>
      <c r="ES970" s="9" t="n">
        <f aca="false">MIN((ES249+ES250)*$C$5, $F$16)*'⑫ Roll-out Plan'!$O$30</f>
        <v>23000</v>
      </c>
      <c r="ET970" s="9" t="n">
        <f aca="false">MIN((ET249+ET250)*$C$5, $F$16)*'⑫ Roll-out Plan'!$O$30</f>
        <v>23000</v>
      </c>
      <c r="EU970" s="9" t="n">
        <f aca="false">MIN((EU249+EU250)*$C$5, $F$16)*'⑫ Roll-out Plan'!$O$30</f>
        <v>23000</v>
      </c>
      <c r="EV970" s="9" t="n">
        <f aca="false">MIN((EV249+EV250)*$C$5, $F$16)*'⑫ Roll-out Plan'!$O$30</f>
        <v>23000</v>
      </c>
      <c r="EW970" s="9" t="n">
        <f aca="false">MIN((EW249+EW250)*$C$5, $F$16)*'⑫ Roll-out Plan'!$O$30</f>
        <v>23000</v>
      </c>
      <c r="EX970" s="9" t="n">
        <f aca="false">MIN((EX249+EX250)*$C$5, $F$16)*'⑫ Roll-out Plan'!$O$30</f>
        <v>23000</v>
      </c>
      <c r="EY970" s="9" t="n">
        <f aca="false">MIN((EY249+EY250)*$C$5, $F$16)*'⑫ Roll-out Plan'!$O$30</f>
        <v>23000</v>
      </c>
      <c r="EZ970" s="9" t="n">
        <f aca="false">MIN((EZ249+EZ250)*$C$5, $F$16)*'⑫ Roll-out Plan'!$O$30</f>
        <v>23000</v>
      </c>
      <c r="FA970" s="9" t="n">
        <f aca="false">MIN((FA249+FA250)*$C$5, $F$16)*'⑫ Roll-out Plan'!$O$30</f>
        <v>23000</v>
      </c>
      <c r="FB970" s="9" t="n">
        <f aca="false">MIN((FB249+FB250)*$C$5, $F$16)*'⑫ Roll-out Plan'!$O$30</f>
        <v>23000</v>
      </c>
      <c r="FC970" s="9" t="n">
        <f aca="false">MIN((FC249+FC250)*$C$5, $F$16)*'⑫ Roll-out Plan'!$O$30</f>
        <v>23000</v>
      </c>
      <c r="FD970" s="9" t="n">
        <f aca="false">MIN((FD249+FD250)*$C$5, $F$16)*'⑫ Roll-out Plan'!$O$30</f>
        <v>23000</v>
      </c>
      <c r="FE970" s="9" t="n">
        <f aca="false">MIN((FE249+FE250)*$C$5, $F$16)*'⑫ Roll-out Plan'!$O$30</f>
        <v>23000</v>
      </c>
      <c r="FF970" s="9" t="n">
        <f aca="false">MIN((FF249+FF250)*$C$5, $F$16)*'⑫ Roll-out Plan'!$O$30</f>
        <v>23000</v>
      </c>
      <c r="FG970" s="9" t="n">
        <f aca="false">MIN((FG249+FG250)*$C$5, $F$16)*'⑫ Roll-out Plan'!$O$30</f>
        <v>23000</v>
      </c>
      <c r="FH970" s="9" t="n">
        <f aca="false">MIN((FH249+FH250)*$C$5, $F$16)*'⑫ Roll-out Plan'!$O$30</f>
        <v>23000</v>
      </c>
      <c r="FI970" s="9" t="n">
        <f aca="false">MIN((FI249+FI250)*$C$5, $F$16)*'⑫ Roll-out Plan'!$O$30</f>
        <v>23000</v>
      </c>
      <c r="FJ970" s="9" t="n">
        <f aca="false">MIN((FJ249+FJ250)*$C$5, $F$16)*'⑫ Roll-out Plan'!$O$30</f>
        <v>23000</v>
      </c>
      <c r="FK970" s="9" t="n">
        <f aca="false">MIN((FK249+FK250)*$C$5, $F$16)*'⑫ Roll-out Plan'!$O$30</f>
        <v>23000</v>
      </c>
      <c r="FL970" s="9" t="n">
        <f aca="false">MIN((FL249+FL250)*$C$5, $F$16)*'⑫ Roll-out Plan'!$O$30</f>
        <v>23000</v>
      </c>
      <c r="FM970" s="9" t="n">
        <f aca="false">MIN((FM249+FM250)*$C$5, $F$16)*'⑫ Roll-out Plan'!$O$30</f>
        <v>23000</v>
      </c>
      <c r="FN970" s="9" t="n">
        <f aca="false">MIN((FN249+FN250)*$C$5, $F$16)*'⑫ Roll-out Plan'!$O$30</f>
        <v>23000</v>
      </c>
      <c r="FO970" s="9" t="n">
        <f aca="false">MIN((FO249+FO250)*$C$5, $F$16)*'⑫ Roll-out Plan'!$O$30</f>
        <v>23000</v>
      </c>
      <c r="FP970" s="9" t="n">
        <f aca="false">MIN((FP249+FP250)*$C$5, $F$16)*'⑫ Roll-out Plan'!$O$30</f>
        <v>23000</v>
      </c>
    </row>
    <row r="971" customFormat="false" ht="15" hidden="false" customHeight="false" outlineLevel="0" collapsed="false">
      <c r="B971" s="254" t="s">
        <v>996</v>
      </c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121" t="n">
        <f aca="false">MIN((AC259+AC260)*$C$5, $F$16)*'⑫ Roll-out Plan'!$O$97</f>
        <v>0</v>
      </c>
      <c r="AD971" s="121" t="n">
        <f aca="false">MIN((AD259+AD260)*$C$5, $F$16)*'⑫ Roll-out Plan'!$O$97</f>
        <v>0</v>
      </c>
      <c r="AE971" s="121" t="n">
        <f aca="false">MIN((AE259+AE260)*$C$5, $F$16)*'⑫ Roll-out Plan'!$O$97</f>
        <v>0</v>
      </c>
      <c r="AF971" s="121" t="n">
        <f aca="false">MIN((AF259+AF260)*$C$5, $F$16)*'⑫ Roll-out Plan'!$O$97</f>
        <v>0</v>
      </c>
      <c r="AG971" s="121" t="n">
        <f aca="false">MIN((AG259+AG260)*$C$5, $F$16)*'⑫ Roll-out Plan'!$O$97</f>
        <v>0</v>
      </c>
      <c r="AH971" s="121" t="n">
        <f aca="false">MIN((AH259+AH260)*$C$5, $F$16)*'⑫ Roll-out Plan'!$O$97</f>
        <v>0</v>
      </c>
      <c r="AI971" s="121" t="n">
        <f aca="false">MIN((AI259+AI260)*$C$5, $F$16)*'⑫ Roll-out Plan'!$O$97</f>
        <v>0</v>
      </c>
      <c r="AJ971" s="121" t="n">
        <f aca="false">MIN((AJ259+AJ260)*$C$5, $F$16)*'⑫ Roll-out Plan'!$O$97</f>
        <v>0</v>
      </c>
      <c r="AK971" s="121" t="n">
        <f aca="false">MIN((AK259+AK260)*$C$5, $F$16)*'⑫ Roll-out Plan'!$O$97</f>
        <v>0</v>
      </c>
      <c r="AL971" s="121" t="n">
        <f aca="false">MIN((AL259+AL260)*$C$5, $F$16)*'⑫ Roll-out Plan'!$O$97</f>
        <v>0</v>
      </c>
      <c r="AM971" s="121" t="n">
        <f aca="false">MIN((AM259+AM260)*$C$5, $F$16)*'⑫ Roll-out Plan'!$O$97</f>
        <v>0</v>
      </c>
      <c r="AN971" s="121" t="n">
        <f aca="false">MIN((AN259+AN260)*$C$5, $F$16)*'⑫ Roll-out Plan'!$O$97</f>
        <v>0</v>
      </c>
      <c r="AO971" s="121" t="n">
        <f aca="false">MIN((AO259+AO260)*$C$5, $F$16)*'⑫ Roll-out Plan'!$O$97</f>
        <v>0</v>
      </c>
      <c r="AP971" s="121" t="n">
        <f aca="false">MIN((AP259+AP260)*$C$5, $F$16)*'⑫ Roll-out Plan'!$O$97</f>
        <v>0</v>
      </c>
      <c r="AQ971" s="121" t="n">
        <f aca="false">MIN((AQ259+AQ260)*$C$5, $F$16)*'⑫ Roll-out Plan'!$O$97</f>
        <v>0</v>
      </c>
      <c r="AR971" s="121" t="n">
        <f aca="false">MIN((AR259+AR260)*$C$5, $F$16)*'⑫ Roll-out Plan'!$O$97</f>
        <v>0</v>
      </c>
      <c r="AS971" s="121" t="n">
        <f aca="false">MIN((AS259+AS260)*$C$5, $F$16)*'⑫ Roll-out Plan'!$O$97</f>
        <v>0</v>
      </c>
      <c r="AT971" s="121" t="n">
        <f aca="false">MIN((AT259+AT260)*$C$5, $F$16)*'⑫ Roll-out Plan'!$O$97</f>
        <v>0</v>
      </c>
      <c r="AU971" s="121" t="n">
        <f aca="false">MIN((AU259+AU260)*$C$5, $F$16)*'⑫ Roll-out Plan'!$O$97</f>
        <v>0</v>
      </c>
      <c r="AV971" s="121" t="n">
        <f aca="false">MIN((AV259+AV260)*$C$5, $F$16)*'⑫ Roll-out Plan'!$O$97</f>
        <v>0</v>
      </c>
      <c r="AW971" s="121" t="n">
        <f aca="false">MIN((AW259+AW260)*$C$5, $F$16)*'⑫ Roll-out Plan'!$O$97</f>
        <v>0</v>
      </c>
      <c r="AX971" s="121" t="n">
        <f aca="false">MIN((AX259+AX260)*$C$5, $F$16)*'⑫ Roll-out Plan'!$O$97</f>
        <v>0</v>
      </c>
      <c r="AY971" s="121" t="n">
        <f aca="false">MIN((AY259+AY260)*$C$5, $F$16)*'⑫ Roll-out Plan'!$O$97</f>
        <v>0</v>
      </c>
      <c r="AZ971" s="121" t="n">
        <f aca="false">MIN((AZ259+AZ260)*$C$5, $F$16)*'⑫ Roll-out Plan'!$O$97</f>
        <v>0</v>
      </c>
      <c r="BA971" s="121" t="n">
        <f aca="false">MIN((BA259+BA260)*$C$5, $F$16)*'⑫ Roll-out Plan'!$O$97</f>
        <v>0</v>
      </c>
      <c r="BB971" s="121" t="n">
        <f aca="false">MIN((BB259+BB260)*$C$5, $F$16)*'⑫ Roll-out Plan'!$O$97</f>
        <v>0</v>
      </c>
      <c r="BC971" s="121" t="n">
        <f aca="false">MIN((BC259+BC260)*$C$5, $F$16)*'⑫ Roll-out Plan'!$O$97</f>
        <v>0</v>
      </c>
      <c r="BD971" s="121" t="n">
        <f aca="false">MIN((BD259+BD260)*$C$5, $F$16)*'⑫ Roll-out Plan'!$O$97</f>
        <v>0</v>
      </c>
      <c r="BE971" s="121" t="n">
        <f aca="false">MIN((BE259+BE260)*$C$5, $F$16)*'⑫ Roll-out Plan'!$O$97</f>
        <v>0</v>
      </c>
      <c r="BF971" s="121" t="n">
        <f aca="false">MIN((BF259+BF260)*$C$5, $F$16)*'⑫ Roll-out Plan'!$O$97</f>
        <v>0</v>
      </c>
      <c r="BG971" s="121" t="n">
        <f aca="false">MIN((BG259+BG260)*$C$5, $F$16)*'⑫ Roll-out Plan'!$O$97</f>
        <v>0</v>
      </c>
      <c r="BH971" s="121" t="n">
        <f aca="false">MIN((BH259+BH260)*$C$5, $F$16)*'⑫ Roll-out Plan'!$O$97</f>
        <v>0</v>
      </c>
      <c r="BI971" s="121" t="n">
        <f aca="false">MIN((BI259+BI260)*$C$5, $F$16)*'⑫ Roll-out Plan'!$O$97</f>
        <v>0</v>
      </c>
      <c r="BJ971" s="121" t="n">
        <f aca="false">MIN((BJ259+BJ260)*$C$5, $F$16)*'⑫ Roll-out Plan'!$O$97</f>
        <v>0</v>
      </c>
      <c r="BK971" s="121" t="n">
        <f aca="false">MIN((BK259+BK260)*$C$5, $F$16)*'⑫ Roll-out Plan'!$O$97</f>
        <v>0</v>
      </c>
      <c r="BL971" s="121" t="n">
        <f aca="false">MIN((BL259+BL260)*$C$5, $F$16)*'⑫ Roll-out Plan'!$O$97</f>
        <v>0</v>
      </c>
      <c r="BM971" s="121" t="n">
        <f aca="false">MIN((BM259+BM260)*$C$5, $F$16)*'⑫ Roll-out Plan'!$O$97</f>
        <v>0</v>
      </c>
      <c r="BN971" s="121" t="n">
        <f aca="false">MIN((BN259+BN260)*$C$5, $F$16)*'⑫ Roll-out Plan'!$O$97</f>
        <v>0</v>
      </c>
      <c r="BO971" s="121" t="n">
        <f aca="false">MIN((BO259+BO260)*$C$5, $F$16)*'⑫ Roll-out Plan'!$O$97</f>
        <v>0</v>
      </c>
      <c r="BP971" s="121" t="n">
        <f aca="false">MIN((BP259+BP260)*$C$5, $F$16)*'⑫ Roll-out Plan'!$O$97</f>
        <v>0</v>
      </c>
      <c r="BQ971" s="121" t="n">
        <f aca="false">MIN((BQ259+BQ260)*$C$5, $F$16)*'⑫ Roll-out Plan'!$O$97</f>
        <v>0</v>
      </c>
      <c r="BR971" s="121" t="n">
        <f aca="false">MIN((BR259+BR260)*$C$5, $F$16)*'⑫ Roll-out Plan'!$O$97</f>
        <v>0</v>
      </c>
      <c r="BS971" s="121" t="n">
        <f aca="false">MIN((BS259+BS260)*$C$5, $F$16)*'⑫ Roll-out Plan'!$O$97</f>
        <v>0</v>
      </c>
      <c r="BT971" s="121" t="n">
        <f aca="false">MIN((BT259+BT260)*$C$5, $F$16)*'⑫ Roll-out Plan'!$O$97</f>
        <v>0</v>
      </c>
      <c r="BU971" s="121" t="n">
        <f aca="false">MIN((BU259+BU260)*$C$5, $F$16)*'⑫ Roll-out Plan'!$O$97</f>
        <v>0</v>
      </c>
      <c r="BV971" s="121" t="n">
        <f aca="false">MIN((BV259+BV260)*$C$5, $F$16)*'⑫ Roll-out Plan'!$O$97</f>
        <v>0</v>
      </c>
      <c r="BW971" s="121" t="n">
        <f aca="false">MIN((BW259+BW260)*$C$5, $F$16)*'⑫ Roll-out Plan'!$O$97</f>
        <v>0</v>
      </c>
      <c r="BX971" s="121" t="n">
        <f aca="false">MIN((BX259+BX260)*$C$5, $F$16)*'⑫ Roll-out Plan'!$O$97</f>
        <v>0</v>
      </c>
      <c r="BY971" s="121" t="n">
        <f aca="false">MIN((BY259+BY260)*$C$5, $F$16)*'⑫ Roll-out Plan'!$O$97</f>
        <v>0</v>
      </c>
      <c r="BZ971" s="121" t="n">
        <f aca="false">MIN((BZ259+BZ260)*$C$5, $F$16)*'⑫ Roll-out Plan'!$O$97</f>
        <v>0</v>
      </c>
      <c r="CA971" s="121" t="n">
        <f aca="false">MIN((CA259+CA260)*$C$5, $F$16)*'⑫ Roll-out Plan'!$O$97</f>
        <v>0</v>
      </c>
      <c r="CB971" s="121" t="n">
        <f aca="false">MIN((CB259+CB260)*$C$5, $F$16)*'⑫ Roll-out Plan'!$O$97</f>
        <v>0</v>
      </c>
      <c r="CC971" s="121" t="n">
        <f aca="false">MIN((CC259+CC260)*$C$5, $F$16)*'⑫ Roll-out Plan'!$O$97</f>
        <v>0</v>
      </c>
      <c r="CD971" s="121" t="n">
        <f aca="false">MIN((CD259+CD260)*$C$5, $F$16)*'⑫ Roll-out Plan'!$O$97</f>
        <v>0</v>
      </c>
      <c r="CE971" s="121" t="n">
        <f aca="false">MIN((CE259+CE260)*$C$5, $F$16)*'⑫ Roll-out Plan'!$O$97</f>
        <v>0</v>
      </c>
      <c r="CF971" s="121" t="n">
        <f aca="false">MIN((CF259+CF260)*$C$5, $F$16)*'⑫ Roll-out Plan'!$O$97</f>
        <v>0</v>
      </c>
      <c r="CG971" s="121" t="n">
        <f aca="false">MIN((CG259+CG260)*$C$5, $F$16)*'⑫ Roll-out Plan'!$O$97</f>
        <v>0</v>
      </c>
      <c r="CH971" s="121" t="n">
        <f aca="false">MIN((CH259+CH260)*$C$5, $F$16)*'⑫ Roll-out Plan'!$O$97</f>
        <v>0</v>
      </c>
      <c r="CI971" s="121" t="n">
        <f aca="false">MIN((CI259+CI260)*$C$5, $F$16)*'⑫ Roll-out Plan'!$O$97</f>
        <v>0</v>
      </c>
      <c r="CJ971" s="121" t="n">
        <f aca="false">MIN((CJ259+CJ260)*$C$5, $F$16)*'⑫ Roll-out Plan'!$O$97</f>
        <v>0</v>
      </c>
      <c r="CK971" s="121" t="n">
        <f aca="false">MIN((CK259+CK260)*$C$5, $F$16)*'⑫ Roll-out Plan'!$O$97</f>
        <v>0</v>
      </c>
      <c r="CL971" s="121" t="n">
        <f aca="false">MIN((CL259+CL260)*$C$5, $F$16)*'⑫ Roll-out Plan'!$O$97</f>
        <v>0</v>
      </c>
      <c r="CM971" s="121" t="n">
        <f aca="false">MIN((CM259+CM260)*$C$5, $F$16)*'⑫ Roll-out Plan'!$O$97</f>
        <v>0</v>
      </c>
      <c r="CN971" s="121" t="n">
        <f aca="false">MIN((CN259+CN260)*$C$5, $F$16)*'⑫ Roll-out Plan'!$O$97</f>
        <v>0</v>
      </c>
      <c r="CO971" s="121" t="n">
        <f aca="false">MIN((CO259+CO260)*$C$5, $F$16)*'⑫ Roll-out Plan'!$O$97</f>
        <v>0</v>
      </c>
      <c r="CP971" s="121" t="n">
        <f aca="false">MIN((CP259+CP260)*$C$5, $F$16)*'⑫ Roll-out Plan'!$O$97</f>
        <v>0</v>
      </c>
      <c r="CQ971" s="121" t="n">
        <f aca="false">MIN((CQ259+CQ260)*$C$5, $F$16)*'⑫ Roll-out Plan'!$O$97</f>
        <v>0</v>
      </c>
      <c r="CR971" s="121" t="n">
        <f aca="false">MIN((CR259+CR260)*$C$5, $F$16)*'⑫ Roll-out Plan'!$O$97</f>
        <v>0</v>
      </c>
      <c r="CS971" s="121" t="n">
        <f aca="false">MIN((CS259+CS260)*$C$5, $F$16)*'⑫ Roll-out Plan'!$O$97</f>
        <v>0</v>
      </c>
      <c r="CT971" s="121" t="n">
        <f aca="false">MIN((CT259+CT260)*$C$5, $F$16)*'⑫ Roll-out Plan'!$O$97</f>
        <v>0</v>
      </c>
      <c r="CU971" s="121" t="n">
        <f aca="false">MIN((CU259+CU260)*$C$5, $F$16)*'⑫ Roll-out Plan'!$O$97</f>
        <v>0</v>
      </c>
      <c r="CV971" s="121" t="n">
        <f aca="false">MIN((CV259+CV260)*$C$5, $F$16)*'⑫ Roll-out Plan'!$O$97</f>
        <v>0</v>
      </c>
      <c r="CW971" s="121" t="n">
        <f aca="false">MIN((CW259+CW260)*$C$5, $F$16)*'⑫ Roll-out Plan'!$O$97</f>
        <v>0</v>
      </c>
      <c r="CX971" s="121" t="n">
        <f aca="false">MIN((CX259+CX260)*$C$5, $F$16)*'⑫ Roll-out Plan'!$O$97</f>
        <v>0</v>
      </c>
      <c r="CY971" s="121" t="n">
        <f aca="false">MIN((CY259+CY260)*$C$5, $F$16)*'⑫ Roll-out Plan'!$O$97</f>
        <v>0</v>
      </c>
      <c r="CZ971" s="121" t="n">
        <f aca="false">MIN((CZ259+CZ260)*$C$5, $F$16)*'⑫ Roll-out Plan'!$O$97</f>
        <v>0</v>
      </c>
      <c r="DA971" s="121" t="n">
        <f aca="false">MIN((DA259+DA260)*$C$5, $F$16)*'⑫ Roll-out Plan'!$O$97</f>
        <v>0</v>
      </c>
      <c r="DB971" s="121" t="n">
        <f aca="false">MIN((DB259+DB260)*$C$5, $F$16)*'⑫ Roll-out Plan'!$O$97</f>
        <v>0</v>
      </c>
      <c r="DC971" s="121" t="n">
        <f aca="false">MIN((DC259+DC260)*$C$5, $F$16)*'⑫ Roll-out Plan'!$O$97</f>
        <v>0</v>
      </c>
      <c r="DD971" s="121" t="n">
        <f aca="false">MIN((DD259+DD260)*$C$5, $F$16)*'⑫ Roll-out Plan'!$O$97</f>
        <v>0</v>
      </c>
      <c r="DE971" s="121" t="n">
        <f aca="false">MIN((DE259+DE260)*$C$5, $F$16)*'⑫ Roll-out Plan'!$O$97</f>
        <v>0</v>
      </c>
      <c r="DF971" s="121" t="n">
        <f aca="false">MIN((DF259+DF260)*$C$5, $F$16)*'⑫ Roll-out Plan'!$O$97</f>
        <v>2766.72</v>
      </c>
      <c r="DG971" s="121" t="n">
        <f aca="false">MIN((DG259+DG260)*$C$5, $F$16)*'⑫ Roll-out Plan'!$O$97</f>
        <v>2636.68416</v>
      </c>
      <c r="DH971" s="121" t="n">
        <f aca="false">MIN((DH259+DH260)*$C$5, $F$16)*'⑫ Roll-out Plan'!$O$97</f>
        <v>3868.427904</v>
      </c>
      <c r="DI971" s="121" t="n">
        <f aca="false">MIN((DI259+DI260)*$C$5, $F$16)*'⑫ Roll-out Plan'!$O$97</f>
        <v>4755.6320064</v>
      </c>
      <c r="DJ971" s="121" t="n">
        <f aca="false">MIN((DJ259+DJ260)*$C$5, $F$16)*'⑫ Roll-out Plan'!$O$97</f>
        <v>3876.8525664</v>
      </c>
      <c r="DK971" s="121" t="n">
        <f aca="false">MIN((DK259+DK260)*$C$5, $F$16)*'⑫ Roll-out Plan'!$O$97</f>
        <v>5798.952896</v>
      </c>
      <c r="DL971" s="121" t="n">
        <f aca="false">MIN((DL259+DL260)*$C$5, $F$16)*'⑫ Roll-out Plan'!$O$97</f>
        <v>6441.7449536</v>
      </c>
      <c r="DM971" s="121" t="n">
        <f aca="false">MIN((DM259+DM260)*$C$5, $F$16)*'⑫ Roll-out Plan'!$O$97</f>
        <v>6185.970912</v>
      </c>
      <c r="DN971" s="121" t="n">
        <f aca="false">MIN((DN259+DN260)*$C$5, $F$16)*'⑫ Roll-out Plan'!$O$97</f>
        <v>6095.7435616</v>
      </c>
      <c r="DO971" s="121" t="n">
        <f aca="false">MIN((DO259+DO260)*$C$5, $F$16)*'⑫ Roll-out Plan'!$O$97</f>
        <v>6401.544512</v>
      </c>
      <c r="DP971" s="121" t="n">
        <f aca="false">MIN((DP259+DP260)*$C$5, $F$16)*'⑫ Roll-out Plan'!$O$97</f>
        <v>10999.5057568</v>
      </c>
      <c r="DQ971" s="121" t="n">
        <f aca="false">MIN((DQ259+DQ260)*$C$5, $F$16)*'⑫ Roll-out Plan'!$O$97</f>
        <v>10455.0844288</v>
      </c>
      <c r="DR971" s="121" t="n">
        <f aca="false">MIN((DR259+DR260)*$C$5, $F$16)*'⑫ Roll-out Plan'!$O$97</f>
        <v>9575.9683712</v>
      </c>
      <c r="DS971" s="121" t="n">
        <f aca="false">MIN((DS259+DS260)*$C$5, $F$16)*'⑫ Roll-out Plan'!$O$97</f>
        <v>8120.369312</v>
      </c>
      <c r="DT971" s="121" t="n">
        <f aca="false">MIN((DT259+DT260)*$C$5, $F$16)*'⑫ Roll-out Plan'!$O$97</f>
        <v>10583.9582464</v>
      </c>
      <c r="DU971" s="121" t="n">
        <f aca="false">MIN((DU259+DU260)*$C$5, $F$16)*'⑫ Roll-out Plan'!$O$97</f>
        <v>13964.1615168</v>
      </c>
      <c r="DV971" s="121" t="n">
        <f aca="false">MIN((DV259+DV260)*$C$5, $F$16)*'⑫ Roll-out Plan'!$O$97</f>
        <v>11984.1306816</v>
      </c>
      <c r="DW971" s="121" t="n">
        <f aca="false">MIN((DW259+DW260)*$C$5, $F$16)*'⑫ Roll-out Plan'!$O$97</f>
        <v>16418.36389248</v>
      </c>
      <c r="DX971" s="121" t="n">
        <f aca="false">MIN((DX259+DX260)*$C$5, $F$16)*'⑫ Roll-out Plan'!$O$97</f>
        <v>16850.65190336</v>
      </c>
      <c r="DY971" s="121" t="n">
        <f aca="false">MIN((DY259+DY260)*$C$5, $F$16)*'⑫ Roll-out Plan'!$O$97</f>
        <v>14827.53217088</v>
      </c>
      <c r="DZ971" s="121" t="n">
        <f aca="false">MIN((DZ259+DZ260)*$C$5, $F$16)*'⑫ Roll-out Plan'!$O$97</f>
        <v>13618.58135792</v>
      </c>
      <c r="EA971" s="121" t="n">
        <f aca="false">MIN((EA259+EA260)*$C$5, $F$16)*'⑫ Roll-out Plan'!$O$97</f>
        <v>14395.51933336</v>
      </c>
      <c r="EB971" s="121" t="n">
        <f aca="false">MIN((EB259+EB260)*$C$5, $F$16)*'⑫ Roll-out Plan'!$O$97</f>
        <v>22772.96419816</v>
      </c>
      <c r="EC971" s="121" t="n">
        <f aca="false">MIN((EC259+EC260)*$C$5, $F$16)*'⑫ Roll-out Plan'!$O$97</f>
        <v>20975.242112</v>
      </c>
      <c r="ED971" s="121" t="n">
        <f aca="false">MIN((ED259+ED260)*$C$5, $F$16)*'⑫ Roll-out Plan'!$O$97</f>
        <v>18240.21189232</v>
      </c>
      <c r="EE971" s="121" t="n">
        <f aca="false">MIN((EE259+EE260)*$C$5, $F$16)*'⑫ Roll-out Plan'!$O$97</f>
        <v>15017.54012528</v>
      </c>
      <c r="EF971" s="121" t="n">
        <f aca="false">MIN((EF259+EF260)*$C$5, $F$16)*'⑫ Roll-out Plan'!$O$97</f>
        <v>19263.89368112</v>
      </c>
      <c r="EG971" s="121" t="n">
        <f aca="false">MIN((EG259+EG260)*$C$5, $F$16)*'⑫ Roll-out Plan'!$O$97</f>
        <v>21451.13708848</v>
      </c>
      <c r="EH971" s="121" t="n">
        <f aca="false">MIN((EH259+EH260)*$C$5, $F$16)*'⑫ Roll-out Plan'!$O$97</f>
        <v>18248.22062448</v>
      </c>
      <c r="EI971" s="121" t="n">
        <f aca="false">MIN((EI259+EI260)*$C$5, $F$16)*'⑫ Roll-out Plan'!$O$97</f>
        <v>23000</v>
      </c>
      <c r="EJ971" s="121" t="n">
        <f aca="false">MIN((EJ259+EJ260)*$C$5, $F$16)*'⑫ Roll-out Plan'!$O$97</f>
        <v>23000</v>
      </c>
      <c r="EK971" s="121" t="n">
        <f aca="false">MIN((EK259+EK260)*$C$5, $F$16)*'⑫ Roll-out Plan'!$O$97</f>
        <v>21335.99219664</v>
      </c>
      <c r="EL971" s="121" t="n">
        <f aca="false">MIN((EL259+EL260)*$C$5, $F$16)*'⑫ Roll-out Plan'!$O$97</f>
        <v>19746.36630384</v>
      </c>
      <c r="EM971" s="121" t="n">
        <f aca="false">MIN((EM259+EM260)*$C$5, $F$16)*'⑫ Roll-out Plan'!$O$97</f>
        <v>20533.58529552</v>
      </c>
      <c r="EN971" s="121" t="n">
        <f aca="false">MIN((EN259+EN260)*$C$5, $F$16)*'⑫ Roll-out Plan'!$O$97</f>
        <v>23000</v>
      </c>
      <c r="EO971" s="121" t="n">
        <f aca="false">MIN((EO259+EO260)*$C$5, $F$16)*'⑫ Roll-out Plan'!$O$97</f>
        <v>23000</v>
      </c>
      <c r="EP971" s="121" t="n">
        <f aca="false">MIN((EP259+EP260)*$C$5, $F$16)*'⑫ Roll-out Plan'!$O$97</f>
        <v>23000</v>
      </c>
      <c r="EQ971" s="121" t="n">
        <f aca="false">MIN((EQ259+EQ260)*$C$5, $F$16)*'⑫ Roll-out Plan'!$O$97</f>
        <v>21353.44674144</v>
      </c>
      <c r="ER971" s="121" t="n">
        <f aca="false">MIN((ER259+ER260)*$C$5, $F$16)*'⑫ Roll-out Plan'!$O$97</f>
        <v>23000</v>
      </c>
      <c r="ES971" s="9" t="n">
        <f aca="false">MIN((ES259+ES260)*$C$5, $F$16)*'⑫ Roll-out Plan'!$O$97</f>
        <v>23000</v>
      </c>
      <c r="ET971" s="9" t="n">
        <f aca="false">MIN((ET259+ET260)*$C$5, $F$16)*'⑫ Roll-out Plan'!$O$97</f>
        <v>23000</v>
      </c>
      <c r="EU971" s="9" t="n">
        <f aca="false">MIN((EU259+EU260)*$C$5, $F$16)*'⑫ Roll-out Plan'!$O$97</f>
        <v>23000</v>
      </c>
      <c r="EV971" s="9" t="n">
        <f aca="false">MIN((EV259+EV260)*$C$5, $F$16)*'⑫ Roll-out Plan'!$O$97</f>
        <v>23000</v>
      </c>
      <c r="EW971" s="9" t="n">
        <f aca="false">MIN((EW259+EW260)*$C$5, $F$16)*'⑫ Roll-out Plan'!$O$97</f>
        <v>23000</v>
      </c>
      <c r="EX971" s="9" t="n">
        <f aca="false">MIN((EX259+EX260)*$C$5, $F$16)*'⑫ Roll-out Plan'!$O$97</f>
        <v>23000</v>
      </c>
      <c r="EY971" s="9" t="n">
        <f aca="false">MIN((EY259+EY260)*$C$5, $F$16)*'⑫ Roll-out Plan'!$O$97</f>
        <v>23000</v>
      </c>
      <c r="EZ971" s="9" t="n">
        <f aca="false">MIN((EZ259+EZ260)*$C$5, $F$16)*'⑫ Roll-out Plan'!$O$97</f>
        <v>23000</v>
      </c>
      <c r="FA971" s="9" t="n">
        <f aca="false">MIN((FA259+FA260)*$C$5, $F$16)*'⑫ Roll-out Plan'!$O$97</f>
        <v>23000</v>
      </c>
      <c r="FB971" s="9" t="n">
        <f aca="false">MIN((FB259+FB260)*$C$5, $F$16)*'⑫ Roll-out Plan'!$O$97</f>
        <v>23000</v>
      </c>
      <c r="FC971" s="9" t="n">
        <f aca="false">MIN((FC259+FC260)*$C$5, $F$16)*'⑫ Roll-out Plan'!$O$97</f>
        <v>23000</v>
      </c>
      <c r="FD971" s="9" t="n">
        <f aca="false">MIN((FD259+FD260)*$C$5, $F$16)*'⑫ Roll-out Plan'!$O$97</f>
        <v>23000</v>
      </c>
      <c r="FE971" s="9" t="n">
        <f aca="false">MIN((FE259+FE260)*$C$5, $F$16)*'⑫ Roll-out Plan'!$O$97</f>
        <v>23000</v>
      </c>
      <c r="FF971" s="9" t="n">
        <f aca="false">MIN((FF259+FF260)*$C$5, $F$16)*'⑫ Roll-out Plan'!$O$97</f>
        <v>23000</v>
      </c>
      <c r="FG971" s="9" t="n">
        <f aca="false">MIN((FG259+FG260)*$C$5, $F$16)*'⑫ Roll-out Plan'!$O$97</f>
        <v>23000</v>
      </c>
      <c r="FH971" s="9" t="n">
        <f aca="false">MIN((FH259+FH260)*$C$5, $F$16)*'⑫ Roll-out Plan'!$O$97</f>
        <v>23000</v>
      </c>
      <c r="FI971" s="9" t="n">
        <f aca="false">MIN((FI259+FI260)*$C$5, $F$16)*'⑫ Roll-out Plan'!$O$97</f>
        <v>23000</v>
      </c>
      <c r="FJ971" s="9" t="n">
        <f aca="false">MIN((FJ259+FJ260)*$C$5, $F$16)*'⑫ Roll-out Plan'!$O$97</f>
        <v>23000</v>
      </c>
      <c r="FK971" s="9" t="n">
        <f aca="false">MIN((FK259+FK260)*$C$5, $F$16)*'⑫ Roll-out Plan'!$O$97</f>
        <v>23000</v>
      </c>
      <c r="FL971" s="9" t="n">
        <f aca="false">MIN((FL259+FL260)*$C$5, $F$16)*'⑫ Roll-out Plan'!$O$97</f>
        <v>23000</v>
      </c>
      <c r="FM971" s="9" t="n">
        <f aca="false">MIN((FM259+FM260)*$C$5, $F$16)*'⑫ Roll-out Plan'!$O$97</f>
        <v>23000</v>
      </c>
      <c r="FN971" s="9" t="n">
        <f aca="false">MIN((FN259+FN260)*$C$5, $F$16)*'⑫ Roll-out Plan'!$O$97</f>
        <v>23000</v>
      </c>
      <c r="FO971" s="9" t="n">
        <f aca="false">MIN((FO259+FO260)*$C$5, $F$16)*'⑫ Roll-out Plan'!$O$97</f>
        <v>23000</v>
      </c>
      <c r="FP971" s="9" t="n">
        <f aca="false">MIN((FP259+FP260)*$C$5, $F$16)*'⑫ Roll-out Plan'!$O$97</f>
        <v>23000</v>
      </c>
    </row>
    <row r="972" customFormat="false" ht="15" hidden="false" customHeight="false" outlineLevel="0" collapsed="false">
      <c r="B972" s="254" t="s">
        <v>997</v>
      </c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121" t="n">
        <f aca="false">MIN((AC269+AC270)*$C$5, $F$14)*'⑫ Roll-out Plan'!$O$31</f>
        <v>0</v>
      </c>
      <c r="AD972" s="121" t="n">
        <f aca="false">MIN((AD269+AD270)*$C$5, $F$14)*'⑫ Roll-out Plan'!$O$31</f>
        <v>0</v>
      </c>
      <c r="AE972" s="121" t="n">
        <f aca="false">MIN((AE269+AE270)*$C$5, $F$14)*'⑫ Roll-out Plan'!$O$31</f>
        <v>0</v>
      </c>
      <c r="AF972" s="121" t="n">
        <f aca="false">MIN((AF269+AF270)*$C$5, $F$14)*'⑫ Roll-out Plan'!$O$31</f>
        <v>0</v>
      </c>
      <c r="AG972" s="121" t="n">
        <f aca="false">MIN((AG269+AG270)*$C$5, $F$14)*'⑫ Roll-out Plan'!$O$31</f>
        <v>0</v>
      </c>
      <c r="AH972" s="121" t="n">
        <f aca="false">MIN((AH269+AH270)*$C$5, $F$14)*'⑫ Roll-out Plan'!$O$31</f>
        <v>0</v>
      </c>
      <c r="AI972" s="121" t="n">
        <f aca="false">MIN((AI269+AI270)*$C$5, $F$14)*'⑫ Roll-out Plan'!$O$31</f>
        <v>0</v>
      </c>
      <c r="AJ972" s="121" t="n">
        <f aca="false">MIN((AJ269+AJ270)*$C$5, $F$14)*'⑫ Roll-out Plan'!$O$31</f>
        <v>0</v>
      </c>
      <c r="AK972" s="121" t="n">
        <f aca="false">MIN((AK269+AK270)*$C$5, $F$14)*'⑫ Roll-out Plan'!$O$31</f>
        <v>0</v>
      </c>
      <c r="AL972" s="121" t="n">
        <f aca="false">MIN((AL269+AL270)*$C$5, $F$14)*'⑫ Roll-out Plan'!$O$31</f>
        <v>0</v>
      </c>
      <c r="AM972" s="121" t="n">
        <f aca="false">MIN((AM269+AM270)*$C$5, $F$14)*'⑫ Roll-out Plan'!$O$31</f>
        <v>0</v>
      </c>
      <c r="AN972" s="121" t="n">
        <f aca="false">MIN((AN269+AN270)*$C$5, $F$14)*'⑫ Roll-out Plan'!$O$31</f>
        <v>0</v>
      </c>
      <c r="AO972" s="121" t="n">
        <f aca="false">MIN((AO269+AO270)*$C$5, $F$14)*'⑫ Roll-out Plan'!$O$31</f>
        <v>0</v>
      </c>
      <c r="AP972" s="121" t="n">
        <f aca="false">MIN((AP269+AP270)*$C$5, $F$14)*'⑫ Roll-out Plan'!$O$31</f>
        <v>0</v>
      </c>
      <c r="AQ972" s="121" t="n">
        <f aca="false">MIN((AQ269+AQ270)*$C$5, $F$14)*'⑫ Roll-out Plan'!$O$31</f>
        <v>0</v>
      </c>
      <c r="AR972" s="121" t="n">
        <f aca="false">MIN((AR269+AR270)*$C$5, $F$14)*'⑫ Roll-out Plan'!$O$31</f>
        <v>0</v>
      </c>
      <c r="AS972" s="121" t="n">
        <f aca="false">MIN((AS269+AS270)*$C$5, $F$14)*'⑫ Roll-out Plan'!$O$31</f>
        <v>0</v>
      </c>
      <c r="AT972" s="121" t="n">
        <f aca="false">MIN((AT269+AT270)*$C$5, $F$14)*'⑫ Roll-out Plan'!$O$31</f>
        <v>0</v>
      </c>
      <c r="AU972" s="121" t="n">
        <f aca="false">MIN((AU269+AU270)*$C$5, $F$14)*'⑫ Roll-out Plan'!$O$31</f>
        <v>0</v>
      </c>
      <c r="AV972" s="121" t="n">
        <f aca="false">MIN((AV269+AV270)*$C$5, $F$14)*'⑫ Roll-out Plan'!$O$31</f>
        <v>0</v>
      </c>
      <c r="AW972" s="121" t="n">
        <f aca="false">MIN((AW269+AW270)*$C$5, $F$14)*'⑫ Roll-out Plan'!$O$31</f>
        <v>0</v>
      </c>
      <c r="AX972" s="121" t="n">
        <f aca="false">MIN((AX269+AX270)*$C$5, $F$14)*'⑫ Roll-out Plan'!$O$31</f>
        <v>0</v>
      </c>
      <c r="AY972" s="121" t="n">
        <f aca="false">MIN((AY269+AY270)*$C$5, $F$14)*'⑫ Roll-out Plan'!$O$31</f>
        <v>0</v>
      </c>
      <c r="AZ972" s="121" t="n">
        <f aca="false">MIN((AZ269+AZ270)*$C$5, $F$14)*'⑫ Roll-out Plan'!$O$31</f>
        <v>0</v>
      </c>
      <c r="BA972" s="121" t="n">
        <f aca="false">MIN((BA269+BA270)*$C$5, $F$14)*'⑫ Roll-out Plan'!$O$31</f>
        <v>0</v>
      </c>
      <c r="BB972" s="121" t="n">
        <f aca="false">MIN((BB269+BB270)*$C$5, $F$14)*'⑫ Roll-out Plan'!$O$31</f>
        <v>0</v>
      </c>
      <c r="BC972" s="121" t="n">
        <f aca="false">MIN((BC269+BC270)*$C$5, $F$14)*'⑫ Roll-out Plan'!$O$31</f>
        <v>0</v>
      </c>
      <c r="BD972" s="121" t="n">
        <f aca="false">MIN((BD269+BD270)*$C$5, $F$14)*'⑫ Roll-out Plan'!$O$31</f>
        <v>0</v>
      </c>
      <c r="BE972" s="121" t="n">
        <f aca="false">MIN((BE269+BE270)*$C$5, $F$14)*'⑫ Roll-out Plan'!$O$31</f>
        <v>0</v>
      </c>
      <c r="BF972" s="121" t="n">
        <f aca="false">MIN((BF269+BF270)*$C$5, $F$14)*'⑫ Roll-out Plan'!$O$31</f>
        <v>0</v>
      </c>
      <c r="BG972" s="121" t="n">
        <f aca="false">MIN((BG269+BG270)*$C$5, $F$14)*'⑫ Roll-out Plan'!$O$31</f>
        <v>0</v>
      </c>
      <c r="BH972" s="121" t="n">
        <f aca="false">MIN((BH269+BH270)*$C$5, $F$14)*'⑫ Roll-out Plan'!$O$31</f>
        <v>0</v>
      </c>
      <c r="BI972" s="121" t="n">
        <f aca="false">MIN((BI269+BI270)*$C$5, $F$14)*'⑫ Roll-out Plan'!$O$31</f>
        <v>0</v>
      </c>
      <c r="BJ972" s="121" t="n">
        <f aca="false">MIN((BJ269+BJ270)*$C$5, $F$14)*'⑫ Roll-out Plan'!$O$31</f>
        <v>0</v>
      </c>
      <c r="BK972" s="121" t="n">
        <f aca="false">MIN((BK269+BK270)*$C$5, $F$14)*'⑫ Roll-out Plan'!$O$31</f>
        <v>0</v>
      </c>
      <c r="BL972" s="121" t="n">
        <f aca="false">MIN((BL269+BL270)*$C$5, $F$14)*'⑫ Roll-out Plan'!$O$31</f>
        <v>0</v>
      </c>
      <c r="BM972" s="121" t="n">
        <f aca="false">MIN((BM269+BM270)*$C$5, $F$14)*'⑫ Roll-out Plan'!$O$31</f>
        <v>0</v>
      </c>
      <c r="BN972" s="121" t="n">
        <f aca="false">MIN((BN269+BN270)*$C$5, $F$14)*'⑫ Roll-out Plan'!$O$31</f>
        <v>0</v>
      </c>
      <c r="BO972" s="121" t="n">
        <f aca="false">MIN((BO269+BO270)*$C$5, $F$14)*'⑫ Roll-out Plan'!$O$31</f>
        <v>0</v>
      </c>
      <c r="BP972" s="121" t="n">
        <f aca="false">MIN((BP269+BP270)*$C$5, $F$14)*'⑫ Roll-out Plan'!$O$31</f>
        <v>0</v>
      </c>
      <c r="BQ972" s="121" t="n">
        <f aca="false">MIN((BQ269+BQ270)*$C$5, $F$14)*'⑫ Roll-out Plan'!$O$31</f>
        <v>0</v>
      </c>
      <c r="BR972" s="121" t="n">
        <f aca="false">MIN((BR269+BR270)*$C$5, $F$14)*'⑫ Roll-out Plan'!$O$31</f>
        <v>0</v>
      </c>
      <c r="BS972" s="121" t="n">
        <f aca="false">MIN((BS269+BS270)*$C$5, $F$14)*'⑫ Roll-out Plan'!$O$31</f>
        <v>0</v>
      </c>
      <c r="BT972" s="121" t="n">
        <f aca="false">MIN((BT269+BT270)*$C$5, $F$14)*'⑫ Roll-out Plan'!$O$31</f>
        <v>0</v>
      </c>
      <c r="BU972" s="121" t="n">
        <f aca="false">MIN((BU269+BU270)*$C$5, $F$14)*'⑫ Roll-out Plan'!$O$31</f>
        <v>0</v>
      </c>
      <c r="BV972" s="121" t="n">
        <f aca="false">MIN((BV269+BV270)*$C$5, $F$14)*'⑫ Roll-out Plan'!$O$31</f>
        <v>0</v>
      </c>
      <c r="BW972" s="121" t="n">
        <f aca="false">MIN((BW269+BW270)*$C$5, $F$14)*'⑫ Roll-out Plan'!$O$31</f>
        <v>0</v>
      </c>
      <c r="BX972" s="121" t="n">
        <f aca="false">MIN((BX269+BX270)*$C$5, $F$14)*'⑫ Roll-out Plan'!$O$31</f>
        <v>0</v>
      </c>
      <c r="BY972" s="121" t="n">
        <f aca="false">MIN((BY269+BY270)*$C$5, $F$14)*'⑫ Roll-out Plan'!$O$31</f>
        <v>0</v>
      </c>
      <c r="BZ972" s="121" t="n">
        <f aca="false">MIN((BZ269+BZ270)*$C$5, $F$14)*'⑫ Roll-out Plan'!$O$31</f>
        <v>0</v>
      </c>
      <c r="CA972" s="121" t="n">
        <f aca="false">MIN((CA269+CA270)*$C$5, $F$14)*'⑫ Roll-out Plan'!$O$31</f>
        <v>0</v>
      </c>
      <c r="CB972" s="121" t="n">
        <f aca="false">MIN((CB269+CB270)*$C$5, $F$14)*'⑫ Roll-out Plan'!$O$31</f>
        <v>0</v>
      </c>
      <c r="CC972" s="121" t="n">
        <f aca="false">MIN((CC269+CC270)*$C$5, $F$14)*'⑫ Roll-out Plan'!$O$31</f>
        <v>0</v>
      </c>
      <c r="CD972" s="121" t="n">
        <f aca="false">MIN((CD269+CD270)*$C$5, $F$14)*'⑫ Roll-out Plan'!$O$31</f>
        <v>0</v>
      </c>
      <c r="CE972" s="121" t="n">
        <f aca="false">MIN((CE269+CE270)*$C$5, $F$14)*'⑫ Roll-out Plan'!$O$31</f>
        <v>0</v>
      </c>
      <c r="CF972" s="121" t="n">
        <f aca="false">MIN((CF269+CF270)*$C$5, $F$14)*'⑫ Roll-out Plan'!$O$31</f>
        <v>0</v>
      </c>
      <c r="CG972" s="121" t="n">
        <f aca="false">MIN((CG269+CG270)*$C$5, $F$14)*'⑫ Roll-out Plan'!$O$31</f>
        <v>0</v>
      </c>
      <c r="CH972" s="121" t="n">
        <f aca="false">MIN((CH269+CH270)*$C$5, $F$14)*'⑫ Roll-out Plan'!$O$31</f>
        <v>0</v>
      </c>
      <c r="CI972" s="121" t="n">
        <f aca="false">MIN((CI269+CI270)*$C$5, $F$14)*'⑫ Roll-out Plan'!$O$31</f>
        <v>0</v>
      </c>
      <c r="CJ972" s="121" t="n">
        <f aca="false">MIN((CJ269+CJ270)*$C$5, $F$14)*'⑫ Roll-out Plan'!$O$31</f>
        <v>0</v>
      </c>
      <c r="CK972" s="121" t="n">
        <f aca="false">MIN((CK269+CK270)*$C$5, $F$14)*'⑫ Roll-out Plan'!$O$31</f>
        <v>0</v>
      </c>
      <c r="CL972" s="121" t="n">
        <f aca="false">MIN((CL269+CL270)*$C$5, $F$14)*'⑫ Roll-out Plan'!$O$31</f>
        <v>0</v>
      </c>
      <c r="CM972" s="121" t="n">
        <f aca="false">MIN((CM269+CM270)*$C$5, $F$14)*'⑫ Roll-out Plan'!$O$31</f>
        <v>0</v>
      </c>
      <c r="CN972" s="121" t="n">
        <f aca="false">MIN((CN269+CN270)*$C$5, $F$14)*'⑫ Roll-out Plan'!$O$31</f>
        <v>0</v>
      </c>
      <c r="CO972" s="121" t="n">
        <f aca="false">MIN((CO269+CO270)*$C$5, $F$14)*'⑫ Roll-out Plan'!$O$31</f>
        <v>0</v>
      </c>
      <c r="CP972" s="121" t="n">
        <f aca="false">MIN((CP269+CP270)*$C$5, $F$14)*'⑫ Roll-out Plan'!$O$31</f>
        <v>4401.6</v>
      </c>
      <c r="CQ972" s="121" t="n">
        <f aca="false">MIN((CQ269+CQ270)*$C$5, $F$14)*'⑫ Roll-out Plan'!$O$31</f>
        <v>5647.2528</v>
      </c>
      <c r="CR972" s="121" t="n">
        <f aca="false">MIN((CR269+CR270)*$C$5, $F$14)*'⑫ Roll-out Plan'!$O$31</f>
        <v>10103.608704</v>
      </c>
      <c r="CS972" s="121" t="n">
        <f aca="false">MIN((CS269+CS270)*$C$5, $F$14)*'⑫ Roll-out Plan'!$O$31</f>
        <v>10004.2557888</v>
      </c>
      <c r="CT972" s="121" t="n">
        <f aca="false">MIN((CT269+CT270)*$C$5, $F$14)*'⑫ Roll-out Plan'!$O$31</f>
        <v>8568.682752</v>
      </c>
      <c r="CU972" s="121" t="n">
        <f aca="false">MIN((CU269+CU270)*$C$5, $F$14)*'⑫ Roll-out Plan'!$O$31</f>
        <v>7521.9294528</v>
      </c>
      <c r="CV972" s="121" t="n">
        <f aca="false">MIN((CV269+CV270)*$C$5, $F$14)*'⑫ Roll-out Plan'!$O$31</f>
        <v>11115.4573152</v>
      </c>
      <c r="CW972" s="121" t="n">
        <f aca="false">MIN((CW269+CW270)*$C$5, $F$14)*'⑫ Roll-out Plan'!$O$31</f>
        <v>13407.2207808</v>
      </c>
      <c r="CX972" s="121" t="n">
        <f aca="false">MIN((CX269+CX270)*$C$5, $F$14)*'⑫ Roll-out Plan'!$O$31</f>
        <v>12040.620816</v>
      </c>
      <c r="CY972" s="121" t="n">
        <f aca="false">MIN((CY269+CY270)*$C$5, $F$14)*'⑫ Roll-out Plan'!$O$31</f>
        <v>16140.579168</v>
      </c>
      <c r="CZ972" s="121" t="n">
        <f aca="false">MIN((CZ269+CZ270)*$C$5, $F$14)*'⑫ Roll-out Plan'!$O$31</f>
        <v>17284.8014976</v>
      </c>
      <c r="DA972" s="121" t="n">
        <f aca="false">MIN((DA269+DA270)*$C$5, $F$14)*'⑫ Roll-out Plan'!$O$31</f>
        <v>16110.560256</v>
      </c>
      <c r="DB972" s="121" t="n">
        <f aca="false">MIN((DB269+DB270)*$C$5, $F$14)*'⑫ Roll-out Plan'!$O$31</f>
        <v>15380.8365984</v>
      </c>
      <c r="DC972" s="121" t="n">
        <f aca="false">MIN((DC269+DC270)*$C$5, $F$14)*'⑫ Roll-out Plan'!$O$31</f>
        <v>17060.1262272</v>
      </c>
      <c r="DD972" s="121" t="n">
        <f aca="false">MIN((DD269+DD270)*$C$5, $F$14)*'⑫ Roll-out Plan'!$O$31</f>
        <v>27021.1318944</v>
      </c>
      <c r="DE972" s="121" t="n">
        <f aca="false">MIN((DE269+DE270)*$C$5, $F$14)*'⑫ Roll-out Plan'!$O$31</f>
        <v>29130.8980032</v>
      </c>
      <c r="DF972" s="121" t="n">
        <f aca="false">MIN((DF269+DF270)*$C$5, $F$14)*'⑫ Roll-out Plan'!$O$31</f>
        <v>26351.7717792</v>
      </c>
      <c r="DG972" s="121" t="n">
        <f aca="false">MIN((DG269+DG270)*$C$5, $F$14)*'⑫ Roll-out Plan'!$O$31</f>
        <v>21806.29051776</v>
      </c>
      <c r="DH972" s="121" t="n">
        <f aca="false">MIN((DH269+DH270)*$C$5, $F$14)*'⑫ Roll-out Plan'!$O$31</f>
        <v>29047.71040416</v>
      </c>
      <c r="DI972" s="121" t="n">
        <f aca="false">MIN((DI269+DI270)*$C$5, $F$14)*'⑫ Roll-out Plan'!$O$31</f>
        <v>31842.90951072</v>
      </c>
      <c r="DJ972" s="121" t="n">
        <f aca="false">MIN((DJ269+DJ270)*$C$5, $F$14)*'⑫ Roll-out Plan'!$O$31</f>
        <v>26830.4963976</v>
      </c>
      <c r="DK972" s="121" t="n">
        <f aca="false">MIN((DK269+DK270)*$C$5, $F$14)*'⑫ Roll-out Plan'!$O$31</f>
        <v>35000</v>
      </c>
      <c r="DL972" s="121" t="n">
        <f aca="false">MIN((DL269+DL270)*$C$5, $F$14)*'⑫ Roll-out Plan'!$O$31</f>
        <v>35000</v>
      </c>
      <c r="DM972" s="121" t="n">
        <f aca="false">MIN((DM269+DM270)*$C$5, $F$14)*'⑫ Roll-out Plan'!$O$31</f>
        <v>32828.57146296</v>
      </c>
      <c r="DN972" s="121" t="n">
        <f aca="false">MIN((DN269+DN270)*$C$5, $F$14)*'⑫ Roll-out Plan'!$O$31</f>
        <v>29757.37927176</v>
      </c>
      <c r="DO972" s="121" t="n">
        <f aca="false">MIN((DO269+DO270)*$C$5, $F$14)*'⑫ Roll-out Plan'!$O$31</f>
        <v>31096.25179752</v>
      </c>
      <c r="DP972" s="121" t="n">
        <f aca="false">MIN((DP269+DP270)*$C$5, $F$14)*'⑫ Roll-out Plan'!$O$31</f>
        <v>35000</v>
      </c>
      <c r="DQ972" s="121" t="n">
        <f aca="false">MIN((DQ269+DQ270)*$C$5, $F$14)*'⑫ Roll-out Plan'!$O$31</f>
        <v>35000</v>
      </c>
      <c r="DR972" s="121" t="n">
        <f aca="false">MIN((DR269+DR270)*$C$5, $F$14)*'⑫ Roll-out Plan'!$O$31</f>
        <v>35000</v>
      </c>
      <c r="DS972" s="121" t="n">
        <f aca="false">MIN((DS269+DS270)*$C$5, $F$14)*'⑫ Roll-out Plan'!$O$31</f>
        <v>32509.23582312</v>
      </c>
      <c r="DT972" s="121" t="n">
        <f aca="false">MIN((DT269+DT270)*$C$5, $F$14)*'⑫ Roll-out Plan'!$O$31</f>
        <v>35000</v>
      </c>
      <c r="DU972" s="121" t="n">
        <f aca="false">MIN((DU269+DU270)*$C$5, $F$14)*'⑫ Roll-out Plan'!$O$31</f>
        <v>35000</v>
      </c>
      <c r="DV972" s="121" t="n">
        <f aca="false">MIN((DV269+DV270)*$C$5, $F$14)*'⑫ Roll-out Plan'!$O$31</f>
        <v>35000</v>
      </c>
      <c r="DW972" s="121" t="n">
        <f aca="false">MIN((DW269+DW270)*$C$5, $F$14)*'⑫ Roll-out Plan'!$O$31</f>
        <v>35000</v>
      </c>
      <c r="DX972" s="121" t="n">
        <f aca="false">MIN((DX269+DX270)*$C$5, $F$14)*'⑫ Roll-out Plan'!$O$31</f>
        <v>35000</v>
      </c>
      <c r="DY972" s="121" t="n">
        <f aca="false">MIN((DY269+DY270)*$C$5, $F$14)*'⑫ Roll-out Plan'!$O$31</f>
        <v>35000</v>
      </c>
      <c r="DZ972" s="121" t="n">
        <f aca="false">MIN((DZ269+DZ270)*$C$5, $F$14)*'⑫ Roll-out Plan'!$O$31</f>
        <v>35000</v>
      </c>
      <c r="EA972" s="121" t="n">
        <f aca="false">MIN((EA269+EA270)*$C$5, $F$14)*'⑫ Roll-out Plan'!$O$31</f>
        <v>35000</v>
      </c>
      <c r="EB972" s="121" t="n">
        <f aca="false">MIN((EB269+EB270)*$C$5, $F$14)*'⑫ Roll-out Plan'!$O$31</f>
        <v>35000</v>
      </c>
      <c r="EC972" s="121" t="n">
        <f aca="false">MIN((EC269+EC270)*$C$5, $F$14)*'⑫ Roll-out Plan'!$O$31</f>
        <v>35000</v>
      </c>
      <c r="ED972" s="121" t="n">
        <f aca="false">MIN((ED269+ED270)*$C$5, $F$14)*'⑫ Roll-out Plan'!$O$31</f>
        <v>35000</v>
      </c>
      <c r="EE972" s="121" t="n">
        <f aca="false">MIN((EE269+EE270)*$C$5, $F$14)*'⑫ Roll-out Plan'!$O$31</f>
        <v>35000</v>
      </c>
      <c r="EF972" s="121" t="n">
        <f aca="false">MIN((EF269+EF270)*$C$5, $F$14)*'⑫ Roll-out Plan'!$O$31</f>
        <v>35000</v>
      </c>
      <c r="EG972" s="121" t="n">
        <f aca="false">MIN((EG269+EG270)*$C$5, $F$14)*'⑫ Roll-out Plan'!$O$31</f>
        <v>35000</v>
      </c>
      <c r="EH972" s="121" t="n">
        <f aca="false">MIN((EH269+EH270)*$C$5, $F$14)*'⑫ Roll-out Plan'!$O$31</f>
        <v>35000</v>
      </c>
      <c r="EI972" s="121" t="n">
        <f aca="false">MIN((EI269+EI270)*$C$5, $F$14)*'⑫ Roll-out Plan'!$O$31</f>
        <v>35000</v>
      </c>
      <c r="EJ972" s="121" t="n">
        <f aca="false">MIN((EJ269+EJ270)*$C$5, $F$14)*'⑫ Roll-out Plan'!$O$31</f>
        <v>35000</v>
      </c>
      <c r="EK972" s="121" t="n">
        <f aca="false">MIN((EK269+EK270)*$C$5, $F$14)*'⑫ Roll-out Plan'!$O$31</f>
        <v>35000</v>
      </c>
      <c r="EL972" s="121" t="n">
        <f aca="false">MIN((EL269+EL270)*$C$5, $F$14)*'⑫ Roll-out Plan'!$O$31</f>
        <v>35000</v>
      </c>
      <c r="EM972" s="121" t="n">
        <f aca="false">MIN((EM269+EM270)*$C$5, $F$14)*'⑫ Roll-out Plan'!$O$31</f>
        <v>35000</v>
      </c>
      <c r="EN972" s="121" t="n">
        <f aca="false">MIN((EN269+EN270)*$C$5, $F$14)*'⑫ Roll-out Plan'!$O$31</f>
        <v>35000</v>
      </c>
      <c r="EO972" s="121" t="n">
        <f aca="false">MIN((EO269+EO270)*$C$5, $F$14)*'⑫ Roll-out Plan'!$O$31</f>
        <v>35000</v>
      </c>
      <c r="EP972" s="121" t="n">
        <f aca="false">MIN((EP269+EP270)*$C$5, $F$14)*'⑫ Roll-out Plan'!$O$31</f>
        <v>35000</v>
      </c>
      <c r="EQ972" s="121" t="n">
        <f aca="false">MIN((EQ269+EQ270)*$C$5, $F$14)*'⑫ Roll-out Plan'!$O$31</f>
        <v>35000</v>
      </c>
      <c r="ER972" s="121" t="n">
        <f aca="false">MIN((ER269+ER270)*$C$5, $F$14)*'⑫ Roll-out Plan'!$O$31</f>
        <v>35000</v>
      </c>
      <c r="ES972" s="9" t="n">
        <f aca="false">MIN((ES269+ES270)*$C$5, $F$14)*'⑫ Roll-out Plan'!$O$31</f>
        <v>35000</v>
      </c>
      <c r="ET972" s="9" t="n">
        <f aca="false">MIN((ET269+ET270)*$C$5, $F$14)*'⑫ Roll-out Plan'!$O$31</f>
        <v>35000</v>
      </c>
      <c r="EU972" s="9" t="n">
        <f aca="false">MIN((EU269+EU270)*$C$5, $F$14)*'⑫ Roll-out Plan'!$O$31</f>
        <v>35000</v>
      </c>
      <c r="EV972" s="9" t="n">
        <f aca="false">MIN((EV269+EV270)*$C$5, $F$14)*'⑫ Roll-out Plan'!$O$31</f>
        <v>35000</v>
      </c>
      <c r="EW972" s="9" t="n">
        <f aca="false">MIN((EW269+EW270)*$C$5, $F$14)*'⑫ Roll-out Plan'!$O$31</f>
        <v>35000</v>
      </c>
      <c r="EX972" s="9" t="n">
        <f aca="false">MIN((EX269+EX270)*$C$5, $F$14)*'⑫ Roll-out Plan'!$O$31</f>
        <v>35000</v>
      </c>
      <c r="EY972" s="9" t="n">
        <f aca="false">MIN((EY269+EY270)*$C$5, $F$14)*'⑫ Roll-out Plan'!$O$31</f>
        <v>35000</v>
      </c>
      <c r="EZ972" s="9" t="n">
        <f aca="false">MIN((EZ269+EZ270)*$C$5, $F$14)*'⑫ Roll-out Plan'!$O$31</f>
        <v>35000</v>
      </c>
      <c r="FA972" s="9" t="n">
        <f aca="false">MIN((FA269+FA270)*$C$5, $F$14)*'⑫ Roll-out Plan'!$O$31</f>
        <v>35000</v>
      </c>
      <c r="FB972" s="9" t="n">
        <f aca="false">MIN((FB269+FB270)*$C$5, $F$14)*'⑫ Roll-out Plan'!$O$31</f>
        <v>35000</v>
      </c>
      <c r="FC972" s="9" t="n">
        <f aca="false">MIN((FC269+FC270)*$C$5, $F$14)*'⑫ Roll-out Plan'!$O$31</f>
        <v>35000</v>
      </c>
      <c r="FD972" s="9" t="n">
        <f aca="false">MIN((FD269+FD270)*$C$5, $F$14)*'⑫ Roll-out Plan'!$O$31</f>
        <v>35000</v>
      </c>
      <c r="FE972" s="9" t="n">
        <f aca="false">MIN((FE269+FE270)*$C$5, $F$14)*'⑫ Roll-out Plan'!$O$31</f>
        <v>35000</v>
      </c>
      <c r="FF972" s="9" t="n">
        <f aca="false">MIN((FF269+FF270)*$C$5, $F$14)*'⑫ Roll-out Plan'!$O$31</f>
        <v>35000</v>
      </c>
      <c r="FG972" s="9" t="n">
        <f aca="false">MIN((FG269+FG270)*$C$5, $F$14)*'⑫ Roll-out Plan'!$O$31</f>
        <v>35000</v>
      </c>
      <c r="FH972" s="9" t="n">
        <f aca="false">MIN((FH269+FH270)*$C$5, $F$14)*'⑫ Roll-out Plan'!$O$31</f>
        <v>35000</v>
      </c>
      <c r="FI972" s="9" t="n">
        <f aca="false">MIN((FI269+FI270)*$C$5, $F$14)*'⑫ Roll-out Plan'!$O$31</f>
        <v>35000</v>
      </c>
      <c r="FJ972" s="9" t="n">
        <f aca="false">MIN((FJ269+FJ270)*$C$5, $F$14)*'⑫ Roll-out Plan'!$O$31</f>
        <v>35000</v>
      </c>
      <c r="FK972" s="9" t="n">
        <f aca="false">MIN((FK269+FK270)*$C$5, $F$14)*'⑫ Roll-out Plan'!$O$31</f>
        <v>35000</v>
      </c>
      <c r="FL972" s="9" t="n">
        <f aca="false">MIN((FL269+FL270)*$C$5, $F$14)*'⑫ Roll-out Plan'!$O$31</f>
        <v>35000</v>
      </c>
      <c r="FM972" s="9" t="n">
        <f aca="false">MIN((FM269+FM270)*$C$5, $F$14)*'⑫ Roll-out Plan'!$O$31</f>
        <v>35000</v>
      </c>
      <c r="FN972" s="9" t="n">
        <f aca="false">MIN((FN269+FN270)*$C$5, $F$14)*'⑫ Roll-out Plan'!$O$31</f>
        <v>35000</v>
      </c>
      <c r="FO972" s="9" t="n">
        <f aca="false">MIN((FO269+FO270)*$C$5, $F$14)*'⑫ Roll-out Plan'!$O$31</f>
        <v>35000</v>
      </c>
      <c r="FP972" s="9" t="n">
        <f aca="false">MIN((FP269+FP270)*$C$5, $F$14)*'⑫ Roll-out Plan'!$O$31</f>
        <v>35000</v>
      </c>
    </row>
    <row r="973" customFormat="false" ht="15" hidden="false" customHeight="false" outlineLevel="0" collapsed="false">
      <c r="B973" s="254" t="s">
        <v>998</v>
      </c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121" t="n">
        <f aca="false">MIN((AC279+AC280)*$C$5, $F$14)*'⑫ Roll-out Plan'!$O$32</f>
        <v>0</v>
      </c>
      <c r="AD973" s="121" t="n">
        <f aca="false">MIN((AD279+AD280)*$C$5, $F$14)*'⑫ Roll-out Plan'!$O$32</f>
        <v>0</v>
      </c>
      <c r="AE973" s="121" t="n">
        <f aca="false">MIN((AE279+AE280)*$C$5, $F$14)*'⑫ Roll-out Plan'!$O$32</f>
        <v>0</v>
      </c>
      <c r="AF973" s="121" t="n">
        <f aca="false">MIN((AF279+AF280)*$C$5, $F$14)*'⑫ Roll-out Plan'!$O$32</f>
        <v>0</v>
      </c>
      <c r="AG973" s="121" t="n">
        <f aca="false">MIN((AG279+AG280)*$C$5, $F$14)*'⑫ Roll-out Plan'!$O$32</f>
        <v>0</v>
      </c>
      <c r="AH973" s="121" t="n">
        <f aca="false">MIN((AH279+AH280)*$C$5, $F$14)*'⑫ Roll-out Plan'!$O$32</f>
        <v>0</v>
      </c>
      <c r="AI973" s="121" t="n">
        <f aca="false">MIN((AI279+AI280)*$C$5, $F$14)*'⑫ Roll-out Plan'!$O$32</f>
        <v>0</v>
      </c>
      <c r="AJ973" s="121" t="n">
        <f aca="false">MIN((AJ279+AJ280)*$C$5, $F$14)*'⑫ Roll-out Plan'!$O$32</f>
        <v>0</v>
      </c>
      <c r="AK973" s="121" t="n">
        <f aca="false">MIN((AK279+AK280)*$C$5, $F$14)*'⑫ Roll-out Plan'!$O$32</f>
        <v>0</v>
      </c>
      <c r="AL973" s="121" t="n">
        <f aca="false">MIN((AL279+AL280)*$C$5, $F$14)*'⑫ Roll-out Plan'!$O$32</f>
        <v>0</v>
      </c>
      <c r="AM973" s="121" t="n">
        <f aca="false">MIN((AM279+AM280)*$C$5, $F$14)*'⑫ Roll-out Plan'!$O$32</f>
        <v>0</v>
      </c>
      <c r="AN973" s="121" t="n">
        <f aca="false">MIN((AN279+AN280)*$C$5, $F$14)*'⑫ Roll-out Plan'!$O$32</f>
        <v>0</v>
      </c>
      <c r="AO973" s="121" t="n">
        <f aca="false">MIN((AO279+AO280)*$C$5, $F$14)*'⑫ Roll-out Plan'!$O$32</f>
        <v>0</v>
      </c>
      <c r="AP973" s="121" t="n">
        <f aca="false">MIN((AP279+AP280)*$C$5, $F$14)*'⑫ Roll-out Plan'!$O$32</f>
        <v>0</v>
      </c>
      <c r="AQ973" s="121" t="n">
        <f aca="false">MIN((AQ279+AQ280)*$C$5, $F$14)*'⑫ Roll-out Plan'!$O$32</f>
        <v>0</v>
      </c>
      <c r="AR973" s="121" t="n">
        <f aca="false">MIN((AR279+AR280)*$C$5, $F$14)*'⑫ Roll-out Plan'!$O$32</f>
        <v>0</v>
      </c>
      <c r="AS973" s="121" t="n">
        <f aca="false">MIN((AS279+AS280)*$C$5, $F$14)*'⑫ Roll-out Plan'!$O$32</f>
        <v>0</v>
      </c>
      <c r="AT973" s="121" t="n">
        <f aca="false">MIN((AT279+AT280)*$C$5, $F$14)*'⑫ Roll-out Plan'!$O$32</f>
        <v>0</v>
      </c>
      <c r="AU973" s="121" t="n">
        <f aca="false">MIN((AU279+AU280)*$C$5, $F$14)*'⑫ Roll-out Plan'!$O$32</f>
        <v>0</v>
      </c>
      <c r="AV973" s="121" t="n">
        <f aca="false">MIN((AV279+AV280)*$C$5, $F$14)*'⑫ Roll-out Plan'!$O$32</f>
        <v>0</v>
      </c>
      <c r="AW973" s="121" t="n">
        <f aca="false">MIN((AW279+AW280)*$C$5, $F$14)*'⑫ Roll-out Plan'!$O$32</f>
        <v>0</v>
      </c>
      <c r="AX973" s="121" t="n">
        <f aca="false">MIN((AX279+AX280)*$C$5, $F$14)*'⑫ Roll-out Plan'!$O$32</f>
        <v>0</v>
      </c>
      <c r="AY973" s="121" t="n">
        <f aca="false">MIN((AY279+AY280)*$C$5, $F$14)*'⑫ Roll-out Plan'!$O$32</f>
        <v>0</v>
      </c>
      <c r="AZ973" s="121" t="n">
        <f aca="false">MIN((AZ279+AZ280)*$C$5, $F$14)*'⑫ Roll-out Plan'!$O$32</f>
        <v>0</v>
      </c>
      <c r="BA973" s="121" t="n">
        <f aca="false">MIN((BA279+BA280)*$C$5, $F$14)*'⑫ Roll-out Plan'!$O$32</f>
        <v>0</v>
      </c>
      <c r="BB973" s="121" t="n">
        <f aca="false">MIN((BB279+BB280)*$C$5, $F$14)*'⑫ Roll-out Plan'!$O$32</f>
        <v>0</v>
      </c>
      <c r="BC973" s="121" t="n">
        <f aca="false">MIN((BC279+BC280)*$C$5, $F$14)*'⑫ Roll-out Plan'!$O$32</f>
        <v>0</v>
      </c>
      <c r="BD973" s="121" t="n">
        <f aca="false">MIN((BD279+BD280)*$C$5, $F$14)*'⑫ Roll-out Plan'!$O$32</f>
        <v>0</v>
      </c>
      <c r="BE973" s="121" t="n">
        <f aca="false">MIN((BE279+BE280)*$C$5, $F$14)*'⑫ Roll-out Plan'!$O$32</f>
        <v>0</v>
      </c>
      <c r="BF973" s="121" t="n">
        <f aca="false">MIN((BF279+BF280)*$C$5, $F$14)*'⑫ Roll-out Plan'!$O$32</f>
        <v>0</v>
      </c>
      <c r="BG973" s="121" t="n">
        <f aca="false">MIN((BG279+BG280)*$C$5, $F$14)*'⑫ Roll-out Plan'!$O$32</f>
        <v>0</v>
      </c>
      <c r="BH973" s="121" t="n">
        <f aca="false">MIN((BH279+BH280)*$C$5, $F$14)*'⑫ Roll-out Plan'!$O$32</f>
        <v>0</v>
      </c>
      <c r="BI973" s="121" t="n">
        <f aca="false">MIN((BI279+BI280)*$C$5, $F$14)*'⑫ Roll-out Plan'!$O$32</f>
        <v>0</v>
      </c>
      <c r="BJ973" s="121" t="n">
        <f aca="false">MIN((BJ279+BJ280)*$C$5, $F$14)*'⑫ Roll-out Plan'!$O$32</f>
        <v>0</v>
      </c>
      <c r="BK973" s="121" t="n">
        <f aca="false">MIN((BK279+BK280)*$C$5, $F$14)*'⑫ Roll-out Plan'!$O$32</f>
        <v>0</v>
      </c>
      <c r="BL973" s="121" t="n">
        <f aca="false">MIN((BL279+BL280)*$C$5, $F$14)*'⑫ Roll-out Plan'!$O$32</f>
        <v>0</v>
      </c>
      <c r="BM973" s="121" t="n">
        <f aca="false">MIN((BM279+BM280)*$C$5, $F$14)*'⑫ Roll-out Plan'!$O$32</f>
        <v>0</v>
      </c>
      <c r="BN973" s="121" t="n">
        <f aca="false">MIN((BN279+BN280)*$C$5, $F$14)*'⑫ Roll-out Plan'!$O$32</f>
        <v>0</v>
      </c>
      <c r="BO973" s="121" t="n">
        <f aca="false">MIN((BO279+BO280)*$C$5, $F$14)*'⑫ Roll-out Plan'!$O$32</f>
        <v>0</v>
      </c>
      <c r="BP973" s="121" t="n">
        <f aca="false">MIN((BP279+BP280)*$C$5, $F$14)*'⑫ Roll-out Plan'!$O$32</f>
        <v>0</v>
      </c>
      <c r="BQ973" s="121" t="n">
        <f aca="false">MIN((BQ279+BQ280)*$C$5, $F$14)*'⑫ Roll-out Plan'!$O$32</f>
        <v>0</v>
      </c>
      <c r="BR973" s="121" t="n">
        <f aca="false">MIN((BR279+BR280)*$C$5, $F$14)*'⑫ Roll-out Plan'!$O$32</f>
        <v>0</v>
      </c>
      <c r="BS973" s="121" t="n">
        <f aca="false">MIN((BS279+BS280)*$C$5, $F$14)*'⑫ Roll-out Plan'!$O$32</f>
        <v>0</v>
      </c>
      <c r="BT973" s="121" t="n">
        <f aca="false">MIN((BT279+BT280)*$C$5, $F$14)*'⑫ Roll-out Plan'!$O$32</f>
        <v>0</v>
      </c>
      <c r="BU973" s="121" t="n">
        <f aca="false">MIN((BU279+BU280)*$C$5, $F$14)*'⑫ Roll-out Plan'!$O$32</f>
        <v>6382.32</v>
      </c>
      <c r="BV973" s="121" t="n">
        <f aca="false">MIN((BV279+BV280)*$C$5, $F$14)*'⑫ Roll-out Plan'!$O$32</f>
        <v>6627.04896</v>
      </c>
      <c r="BW973" s="121" t="n">
        <f aca="false">MIN((BW279+BW280)*$C$5, $F$14)*'⑫ Roll-out Plan'!$O$32</f>
        <v>5609.751168</v>
      </c>
      <c r="BX973" s="121" t="n">
        <f aca="false">MIN((BX279+BX280)*$C$5, $F$14)*'⑫ Roll-out Plan'!$O$32</f>
        <v>8429.9531232</v>
      </c>
      <c r="BY973" s="121" t="n">
        <f aca="false">MIN((BY279+BY280)*$C$5, $F$14)*'⑫ Roll-out Plan'!$O$32</f>
        <v>9287.1823296</v>
      </c>
      <c r="BZ973" s="121" t="n">
        <f aca="false">MIN((BZ279+BZ280)*$C$5, $F$14)*'⑫ Roll-out Plan'!$O$32</f>
        <v>8395.3125312</v>
      </c>
      <c r="CA973" s="121" t="n">
        <f aca="false">MIN((CA279+CA280)*$C$5, $F$14)*'⑫ Roll-out Plan'!$O$32</f>
        <v>12522.3231168</v>
      </c>
      <c r="CB973" s="121" t="n">
        <f aca="false">MIN((CB279+CB280)*$C$5, $F$14)*'⑫ Roll-out Plan'!$O$32</f>
        <v>13806.8156352</v>
      </c>
      <c r="CC973" s="121" t="n">
        <f aca="false">MIN((CC279+CC280)*$C$5, $F$14)*'⑫ Roll-out Plan'!$O$32</f>
        <v>13321.7241024</v>
      </c>
      <c r="CD973" s="121" t="n">
        <f aca="false">MIN((CD279+CD280)*$C$5, $F$14)*'⑫ Roll-out Plan'!$O$32</f>
        <v>11934.9384</v>
      </c>
      <c r="CE973" s="121" t="n">
        <f aca="false">MIN((CE279+CE280)*$C$5, $F$14)*'⑫ Roll-out Plan'!$O$32</f>
        <v>13352.6233344</v>
      </c>
      <c r="CF973" s="121" t="n">
        <f aca="false">MIN((CF279+CF280)*$C$5, $F$14)*'⑫ Roll-out Plan'!$O$32</f>
        <v>22777.927872</v>
      </c>
      <c r="CG973" s="121" t="n">
        <f aca="false">MIN((CG279+CG280)*$C$5, $F$14)*'⑫ Roll-out Plan'!$O$32</f>
        <v>21691.172832</v>
      </c>
      <c r="CH973" s="121" t="n">
        <f aca="false">MIN((CH279+CH280)*$C$5, $F$14)*'⑫ Roll-out Plan'!$O$32</f>
        <v>19847.1929376</v>
      </c>
      <c r="CI973" s="121" t="n">
        <f aca="false">MIN((CI279+CI280)*$C$5, $F$14)*'⑫ Roll-out Plan'!$O$32</f>
        <v>15850.8130368</v>
      </c>
      <c r="CJ973" s="121" t="n">
        <f aca="false">MIN((CJ279+CJ280)*$C$5, $F$14)*'⑫ Roll-out Plan'!$O$32</f>
        <v>24827.620944</v>
      </c>
      <c r="CK973" s="121" t="n">
        <f aca="false">MIN((CK279+CK280)*$C$5, $F$14)*'⑫ Roll-out Plan'!$O$32</f>
        <v>28482.2782272</v>
      </c>
      <c r="CL973" s="121" t="n">
        <f aca="false">MIN((CL279+CL280)*$C$5, $F$14)*'⑫ Roll-out Plan'!$O$32</f>
        <v>24220.71601152</v>
      </c>
      <c r="CM973" s="121" t="n">
        <f aca="false">MIN((CM279+CM280)*$C$5, $F$14)*'⑫ Roll-out Plan'!$O$32</f>
        <v>32684.95407744</v>
      </c>
      <c r="CN973" s="121" t="n">
        <f aca="false">MIN((CN279+CN280)*$C$5, $F$14)*'⑫ Roll-out Plan'!$O$32</f>
        <v>32717.17026816</v>
      </c>
      <c r="CO973" s="121" t="n">
        <f aca="false">MIN((CO279+CO280)*$C$5, $F$14)*'⑫ Roll-out Plan'!$O$32</f>
        <v>29397.20514696</v>
      </c>
      <c r="CP973" s="121" t="n">
        <f aca="false">MIN((CP279+CP280)*$C$5, $F$14)*'⑫ Roll-out Plan'!$O$32</f>
        <v>27030.84644568</v>
      </c>
      <c r="CQ973" s="121" t="n">
        <f aca="false">MIN((CQ279+CQ280)*$C$5, $F$14)*'⑫ Roll-out Plan'!$O$32</f>
        <v>28574.81174352</v>
      </c>
      <c r="CR973" s="121" t="n">
        <f aca="false">MIN((CR279+CR280)*$C$5, $F$14)*'⑫ Roll-out Plan'!$O$32</f>
        <v>35000</v>
      </c>
      <c r="CS973" s="121" t="n">
        <f aca="false">MIN((CS279+CS280)*$C$5, $F$14)*'⑫ Roll-out Plan'!$O$32</f>
        <v>35000</v>
      </c>
      <c r="CT973" s="121" t="n">
        <f aca="false">MIN((CT279+CT280)*$C$5, $F$14)*'⑫ Roll-out Plan'!$O$32</f>
        <v>35000</v>
      </c>
      <c r="CU973" s="121" t="n">
        <f aca="false">MIN((CU279+CU280)*$C$5, $F$14)*'⑫ Roll-out Plan'!$O$32</f>
        <v>29718.96738888</v>
      </c>
      <c r="CV973" s="121" t="n">
        <f aca="false">MIN((CV279+CV280)*$C$5, $F$14)*'⑫ Roll-out Plan'!$O$32</f>
        <v>35000</v>
      </c>
      <c r="CW973" s="121" t="n">
        <f aca="false">MIN((CW279+CW280)*$C$5, $F$14)*'⑫ Roll-out Plan'!$O$32</f>
        <v>35000</v>
      </c>
      <c r="CX973" s="121" t="n">
        <f aca="false">MIN((CX279+CX280)*$C$5, $F$14)*'⑫ Roll-out Plan'!$O$32</f>
        <v>35000</v>
      </c>
      <c r="CY973" s="121" t="n">
        <f aca="false">MIN((CY279+CY280)*$C$5, $F$14)*'⑫ Roll-out Plan'!$O$32</f>
        <v>35000</v>
      </c>
      <c r="CZ973" s="121" t="n">
        <f aca="false">MIN((CZ279+CZ280)*$C$5, $F$14)*'⑫ Roll-out Plan'!$O$32</f>
        <v>35000</v>
      </c>
      <c r="DA973" s="121" t="n">
        <f aca="false">MIN((DA279+DA280)*$C$5, $F$14)*'⑫ Roll-out Plan'!$O$32</f>
        <v>35000</v>
      </c>
      <c r="DB973" s="121" t="n">
        <f aca="false">MIN((DB279+DB280)*$C$5, $F$14)*'⑫ Roll-out Plan'!$O$32</f>
        <v>35000</v>
      </c>
      <c r="DC973" s="121" t="n">
        <f aca="false">MIN((DC279+DC280)*$C$5, $F$14)*'⑫ Roll-out Plan'!$O$32</f>
        <v>35000</v>
      </c>
      <c r="DD973" s="121" t="n">
        <f aca="false">MIN((DD279+DD280)*$C$5, $F$14)*'⑫ Roll-out Plan'!$O$32</f>
        <v>35000</v>
      </c>
      <c r="DE973" s="121" t="n">
        <f aca="false">MIN((DE279+DE280)*$C$5, $F$14)*'⑫ Roll-out Plan'!$O$32</f>
        <v>35000</v>
      </c>
      <c r="DF973" s="121" t="n">
        <f aca="false">MIN((DF279+DF280)*$C$5, $F$14)*'⑫ Roll-out Plan'!$O$32</f>
        <v>35000</v>
      </c>
      <c r="DG973" s="121" t="n">
        <f aca="false">MIN((DG279+DG280)*$C$5, $F$14)*'⑫ Roll-out Plan'!$O$32</f>
        <v>35000</v>
      </c>
      <c r="DH973" s="121" t="n">
        <f aca="false">MIN((DH279+DH280)*$C$5, $F$14)*'⑫ Roll-out Plan'!$O$32</f>
        <v>35000</v>
      </c>
      <c r="DI973" s="121" t="n">
        <f aca="false">MIN((DI279+DI280)*$C$5, $F$14)*'⑫ Roll-out Plan'!$O$32</f>
        <v>35000</v>
      </c>
      <c r="DJ973" s="121" t="n">
        <f aca="false">MIN((DJ279+DJ280)*$C$5, $F$14)*'⑫ Roll-out Plan'!$O$32</f>
        <v>35000</v>
      </c>
      <c r="DK973" s="121" t="n">
        <f aca="false">MIN((DK279+DK280)*$C$5, $F$14)*'⑫ Roll-out Plan'!$O$32</f>
        <v>35000</v>
      </c>
      <c r="DL973" s="121" t="n">
        <f aca="false">MIN((DL279+DL280)*$C$5, $F$14)*'⑫ Roll-out Plan'!$O$32</f>
        <v>35000</v>
      </c>
      <c r="DM973" s="121" t="n">
        <f aca="false">MIN((DM279+DM280)*$C$5, $F$14)*'⑫ Roll-out Plan'!$O$32</f>
        <v>35000</v>
      </c>
      <c r="DN973" s="121" t="n">
        <f aca="false">MIN((DN279+DN280)*$C$5, $F$14)*'⑫ Roll-out Plan'!$O$32</f>
        <v>35000</v>
      </c>
      <c r="DO973" s="121" t="n">
        <f aca="false">MIN((DO279+DO280)*$C$5, $F$14)*'⑫ Roll-out Plan'!$O$32</f>
        <v>35000</v>
      </c>
      <c r="DP973" s="121" t="n">
        <f aca="false">MIN((DP279+DP280)*$C$5, $F$14)*'⑫ Roll-out Plan'!$O$32</f>
        <v>35000</v>
      </c>
      <c r="DQ973" s="121" t="n">
        <f aca="false">MIN((DQ279+DQ280)*$C$5, $F$14)*'⑫ Roll-out Plan'!$O$32</f>
        <v>35000</v>
      </c>
      <c r="DR973" s="121" t="n">
        <f aca="false">MIN((DR279+DR280)*$C$5, $F$14)*'⑫ Roll-out Plan'!$O$32</f>
        <v>35000</v>
      </c>
      <c r="DS973" s="121" t="n">
        <f aca="false">MIN((DS279+DS280)*$C$5, $F$14)*'⑫ Roll-out Plan'!$O$32</f>
        <v>35000</v>
      </c>
      <c r="DT973" s="121" t="n">
        <f aca="false">MIN((DT279+DT280)*$C$5, $F$14)*'⑫ Roll-out Plan'!$O$32</f>
        <v>35000</v>
      </c>
      <c r="DU973" s="121" t="n">
        <f aca="false">MIN((DU279+DU280)*$C$5, $F$14)*'⑫ Roll-out Plan'!$O$32</f>
        <v>35000</v>
      </c>
      <c r="DV973" s="121" t="n">
        <f aca="false">MIN((DV279+DV280)*$C$5, $F$14)*'⑫ Roll-out Plan'!$O$32</f>
        <v>35000</v>
      </c>
      <c r="DW973" s="121" t="n">
        <f aca="false">MIN((DW279+DW280)*$C$5, $F$14)*'⑫ Roll-out Plan'!$O$32</f>
        <v>35000</v>
      </c>
      <c r="DX973" s="121" t="n">
        <f aca="false">MIN((DX279+DX280)*$C$5, $F$14)*'⑫ Roll-out Plan'!$O$32</f>
        <v>35000</v>
      </c>
      <c r="DY973" s="121" t="n">
        <f aca="false">MIN((DY279+DY280)*$C$5, $F$14)*'⑫ Roll-out Plan'!$O$32</f>
        <v>35000</v>
      </c>
      <c r="DZ973" s="121" t="n">
        <f aca="false">MIN((DZ279+DZ280)*$C$5, $F$14)*'⑫ Roll-out Plan'!$O$32</f>
        <v>35000</v>
      </c>
      <c r="EA973" s="121" t="n">
        <f aca="false">MIN((EA279+EA280)*$C$5, $F$14)*'⑫ Roll-out Plan'!$O$32</f>
        <v>35000</v>
      </c>
      <c r="EB973" s="121" t="n">
        <f aca="false">MIN((EB279+EB280)*$C$5, $F$14)*'⑫ Roll-out Plan'!$O$32</f>
        <v>35000</v>
      </c>
      <c r="EC973" s="121" t="n">
        <f aca="false">MIN((EC279+EC280)*$C$5, $F$14)*'⑫ Roll-out Plan'!$O$32</f>
        <v>35000</v>
      </c>
      <c r="ED973" s="121" t="n">
        <f aca="false">MIN((ED279+ED280)*$C$5, $F$14)*'⑫ Roll-out Plan'!$O$32</f>
        <v>35000</v>
      </c>
      <c r="EE973" s="121" t="n">
        <f aca="false">MIN((EE279+EE280)*$C$5, $F$14)*'⑫ Roll-out Plan'!$O$32</f>
        <v>35000</v>
      </c>
      <c r="EF973" s="121" t="n">
        <f aca="false">MIN((EF279+EF280)*$C$5, $F$14)*'⑫ Roll-out Plan'!$O$32</f>
        <v>35000</v>
      </c>
      <c r="EG973" s="121" t="n">
        <f aca="false">MIN((EG279+EG280)*$C$5, $F$14)*'⑫ Roll-out Plan'!$O$32</f>
        <v>35000</v>
      </c>
      <c r="EH973" s="121" t="n">
        <f aca="false">MIN((EH279+EH280)*$C$5, $F$14)*'⑫ Roll-out Plan'!$O$32</f>
        <v>35000</v>
      </c>
      <c r="EI973" s="121" t="n">
        <f aca="false">MIN((EI279+EI280)*$C$5, $F$14)*'⑫ Roll-out Plan'!$O$32</f>
        <v>35000</v>
      </c>
      <c r="EJ973" s="121" t="n">
        <f aca="false">MIN((EJ279+EJ280)*$C$5, $F$14)*'⑫ Roll-out Plan'!$O$32</f>
        <v>35000</v>
      </c>
      <c r="EK973" s="121" t="n">
        <f aca="false">MIN((EK279+EK280)*$C$5, $F$14)*'⑫ Roll-out Plan'!$O$32</f>
        <v>35000</v>
      </c>
      <c r="EL973" s="121" t="n">
        <f aca="false">MIN((EL279+EL280)*$C$5, $F$14)*'⑫ Roll-out Plan'!$O$32</f>
        <v>35000</v>
      </c>
      <c r="EM973" s="121" t="n">
        <f aca="false">MIN((EM279+EM280)*$C$5, $F$14)*'⑫ Roll-out Plan'!$O$32</f>
        <v>35000</v>
      </c>
      <c r="EN973" s="121" t="n">
        <f aca="false">MIN((EN279+EN280)*$C$5, $F$14)*'⑫ Roll-out Plan'!$O$32</f>
        <v>35000</v>
      </c>
      <c r="EO973" s="121" t="n">
        <f aca="false">MIN((EO279+EO280)*$C$5, $F$14)*'⑫ Roll-out Plan'!$O$32</f>
        <v>35000</v>
      </c>
      <c r="EP973" s="121" t="n">
        <f aca="false">MIN((EP279+EP280)*$C$5, $F$14)*'⑫ Roll-out Plan'!$O$32</f>
        <v>35000</v>
      </c>
      <c r="EQ973" s="121" t="n">
        <f aca="false">MIN((EQ279+EQ280)*$C$5, $F$14)*'⑫ Roll-out Plan'!$O$32</f>
        <v>35000</v>
      </c>
      <c r="ER973" s="121" t="n">
        <f aca="false">MIN((ER279+ER280)*$C$5, $F$14)*'⑫ Roll-out Plan'!$O$32</f>
        <v>35000</v>
      </c>
      <c r="ES973" s="9" t="n">
        <f aca="false">MIN((ES279+ES280)*$C$5, $F$14)*'⑫ Roll-out Plan'!$O$32</f>
        <v>35000</v>
      </c>
      <c r="ET973" s="9" t="n">
        <f aca="false">MIN((ET279+ET280)*$C$5, $F$14)*'⑫ Roll-out Plan'!$O$32</f>
        <v>35000</v>
      </c>
      <c r="EU973" s="9" t="n">
        <f aca="false">MIN((EU279+EU280)*$C$5, $F$14)*'⑫ Roll-out Plan'!$O$32</f>
        <v>35000</v>
      </c>
      <c r="EV973" s="9" t="n">
        <f aca="false">MIN((EV279+EV280)*$C$5, $F$14)*'⑫ Roll-out Plan'!$O$32</f>
        <v>35000</v>
      </c>
      <c r="EW973" s="9" t="n">
        <f aca="false">MIN((EW279+EW280)*$C$5, $F$14)*'⑫ Roll-out Plan'!$O$32</f>
        <v>35000</v>
      </c>
      <c r="EX973" s="9" t="n">
        <f aca="false">MIN((EX279+EX280)*$C$5, $F$14)*'⑫ Roll-out Plan'!$O$32</f>
        <v>35000</v>
      </c>
      <c r="EY973" s="9" t="n">
        <f aca="false">MIN((EY279+EY280)*$C$5, $F$14)*'⑫ Roll-out Plan'!$O$32</f>
        <v>35000</v>
      </c>
      <c r="EZ973" s="9" t="n">
        <f aca="false">MIN((EZ279+EZ280)*$C$5, $F$14)*'⑫ Roll-out Plan'!$O$32</f>
        <v>35000</v>
      </c>
      <c r="FA973" s="9" t="n">
        <f aca="false">MIN((FA279+FA280)*$C$5, $F$14)*'⑫ Roll-out Plan'!$O$32</f>
        <v>35000</v>
      </c>
      <c r="FB973" s="9" t="n">
        <f aca="false">MIN((FB279+FB280)*$C$5, $F$14)*'⑫ Roll-out Plan'!$O$32</f>
        <v>35000</v>
      </c>
      <c r="FC973" s="9" t="n">
        <f aca="false">MIN((FC279+FC280)*$C$5, $F$14)*'⑫ Roll-out Plan'!$O$32</f>
        <v>35000</v>
      </c>
      <c r="FD973" s="9" t="n">
        <f aca="false">MIN((FD279+FD280)*$C$5, $F$14)*'⑫ Roll-out Plan'!$O$32</f>
        <v>35000</v>
      </c>
      <c r="FE973" s="9" t="n">
        <f aca="false">MIN((FE279+FE280)*$C$5, $F$14)*'⑫ Roll-out Plan'!$O$32</f>
        <v>35000</v>
      </c>
      <c r="FF973" s="9" t="n">
        <f aca="false">MIN((FF279+FF280)*$C$5, $F$14)*'⑫ Roll-out Plan'!$O$32</f>
        <v>35000</v>
      </c>
      <c r="FG973" s="9" t="n">
        <f aca="false">MIN((FG279+FG280)*$C$5, $F$14)*'⑫ Roll-out Plan'!$O$32</f>
        <v>35000</v>
      </c>
      <c r="FH973" s="9" t="n">
        <f aca="false">MIN((FH279+FH280)*$C$5, $F$14)*'⑫ Roll-out Plan'!$O$32</f>
        <v>35000</v>
      </c>
      <c r="FI973" s="9" t="n">
        <f aca="false">MIN((FI279+FI280)*$C$5, $F$14)*'⑫ Roll-out Plan'!$O$32</f>
        <v>35000</v>
      </c>
      <c r="FJ973" s="9" t="n">
        <f aca="false">MIN((FJ279+FJ280)*$C$5, $F$14)*'⑫ Roll-out Plan'!$O$32</f>
        <v>35000</v>
      </c>
      <c r="FK973" s="9" t="n">
        <f aca="false">MIN((FK279+FK280)*$C$5, $F$14)*'⑫ Roll-out Plan'!$O$32</f>
        <v>35000</v>
      </c>
      <c r="FL973" s="9" t="n">
        <f aca="false">MIN((FL279+FL280)*$C$5, $F$14)*'⑫ Roll-out Plan'!$O$32</f>
        <v>35000</v>
      </c>
      <c r="FM973" s="9" t="n">
        <f aca="false">MIN((FM279+FM280)*$C$5, $F$14)*'⑫ Roll-out Plan'!$O$32</f>
        <v>35000</v>
      </c>
      <c r="FN973" s="9" t="n">
        <f aca="false">MIN((FN279+FN280)*$C$5, $F$14)*'⑫ Roll-out Plan'!$O$32</f>
        <v>35000</v>
      </c>
      <c r="FO973" s="9" t="n">
        <f aca="false">MIN((FO279+FO280)*$C$5, $F$14)*'⑫ Roll-out Plan'!$O$32</f>
        <v>35000</v>
      </c>
      <c r="FP973" s="9" t="n">
        <f aca="false">MIN((FP279+FP280)*$C$5, $F$14)*'⑫ Roll-out Plan'!$O$32</f>
        <v>35000</v>
      </c>
    </row>
    <row r="974" customFormat="false" ht="15" hidden="false" customHeight="false" outlineLevel="0" collapsed="false">
      <c r="B974" s="254" t="s">
        <v>999</v>
      </c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121" t="n">
        <f aca="false">MIN((AC289+AC290)*$C$5, $F$15)*'⑫ Roll-out Plan'!$O$33</f>
        <v>0</v>
      </c>
      <c r="AD974" s="121" t="n">
        <f aca="false">MIN((AD289+AD290)*$C$5, $F$15)*'⑫ Roll-out Plan'!$O$33</f>
        <v>0</v>
      </c>
      <c r="AE974" s="121" t="n">
        <f aca="false">MIN((AE289+AE290)*$C$5, $F$15)*'⑫ Roll-out Plan'!$O$33</f>
        <v>0</v>
      </c>
      <c r="AF974" s="121" t="n">
        <f aca="false">MIN((AF289+AF290)*$C$5, $F$15)*'⑫ Roll-out Plan'!$O$33</f>
        <v>0</v>
      </c>
      <c r="AG974" s="121" t="n">
        <f aca="false">MIN((AG289+AG290)*$C$5, $F$15)*'⑫ Roll-out Plan'!$O$33</f>
        <v>0</v>
      </c>
      <c r="AH974" s="121" t="n">
        <f aca="false">MIN((AH289+AH290)*$C$5, $F$15)*'⑫ Roll-out Plan'!$O$33</f>
        <v>0</v>
      </c>
      <c r="AI974" s="121" t="n">
        <f aca="false">MIN((AI289+AI290)*$C$5, $F$15)*'⑫ Roll-out Plan'!$O$33</f>
        <v>0</v>
      </c>
      <c r="AJ974" s="121" t="n">
        <f aca="false">MIN((AJ289+AJ290)*$C$5, $F$15)*'⑫ Roll-out Plan'!$O$33</f>
        <v>0</v>
      </c>
      <c r="AK974" s="121" t="n">
        <f aca="false">MIN((AK289+AK290)*$C$5, $F$15)*'⑫ Roll-out Plan'!$O$33</f>
        <v>0</v>
      </c>
      <c r="AL974" s="121" t="n">
        <f aca="false">MIN((AL289+AL290)*$C$5, $F$15)*'⑫ Roll-out Plan'!$O$33</f>
        <v>0</v>
      </c>
      <c r="AM974" s="121" t="n">
        <f aca="false">MIN((AM289+AM290)*$C$5, $F$15)*'⑫ Roll-out Plan'!$O$33</f>
        <v>0</v>
      </c>
      <c r="AN974" s="121" t="n">
        <f aca="false">MIN((AN289+AN290)*$C$5, $F$15)*'⑫ Roll-out Plan'!$O$33</f>
        <v>0</v>
      </c>
      <c r="AO974" s="121" t="n">
        <f aca="false">MIN((AO289+AO290)*$C$5, $F$15)*'⑫ Roll-out Plan'!$O$33</f>
        <v>0</v>
      </c>
      <c r="AP974" s="121" t="n">
        <f aca="false">MIN((AP289+AP290)*$C$5, $F$15)*'⑫ Roll-out Plan'!$O$33</f>
        <v>0</v>
      </c>
      <c r="AQ974" s="121" t="n">
        <f aca="false">MIN((AQ289+AQ290)*$C$5, $F$15)*'⑫ Roll-out Plan'!$O$33</f>
        <v>0</v>
      </c>
      <c r="AR974" s="121" t="n">
        <f aca="false">MIN((AR289+AR290)*$C$5, $F$15)*'⑫ Roll-out Plan'!$O$33</f>
        <v>0</v>
      </c>
      <c r="AS974" s="121" t="n">
        <f aca="false">MIN((AS289+AS290)*$C$5, $F$15)*'⑫ Roll-out Plan'!$O$33</f>
        <v>0</v>
      </c>
      <c r="AT974" s="121" t="n">
        <f aca="false">MIN((AT289+AT290)*$C$5, $F$15)*'⑫ Roll-out Plan'!$O$33</f>
        <v>0</v>
      </c>
      <c r="AU974" s="121" t="n">
        <f aca="false">MIN((AU289+AU290)*$C$5, $F$15)*'⑫ Roll-out Plan'!$O$33</f>
        <v>0</v>
      </c>
      <c r="AV974" s="121" t="n">
        <f aca="false">MIN((AV289+AV290)*$C$5, $F$15)*'⑫ Roll-out Plan'!$O$33</f>
        <v>0</v>
      </c>
      <c r="AW974" s="121" t="n">
        <f aca="false">MIN((AW289+AW290)*$C$5, $F$15)*'⑫ Roll-out Plan'!$O$33</f>
        <v>0</v>
      </c>
      <c r="AX974" s="121" t="n">
        <f aca="false">MIN((AX289+AX290)*$C$5, $F$15)*'⑫ Roll-out Plan'!$O$33</f>
        <v>0</v>
      </c>
      <c r="AY974" s="121" t="n">
        <f aca="false">MIN((AY289+AY290)*$C$5, $F$15)*'⑫ Roll-out Plan'!$O$33</f>
        <v>0</v>
      </c>
      <c r="AZ974" s="121" t="n">
        <f aca="false">MIN((AZ289+AZ290)*$C$5, $F$15)*'⑫ Roll-out Plan'!$O$33</f>
        <v>0</v>
      </c>
      <c r="BA974" s="121" t="n">
        <f aca="false">MIN((BA289+BA290)*$C$5, $F$15)*'⑫ Roll-out Plan'!$O$33</f>
        <v>0</v>
      </c>
      <c r="BB974" s="121" t="n">
        <f aca="false">MIN((BB289+BB290)*$C$5, $F$15)*'⑫ Roll-out Plan'!$O$33</f>
        <v>0</v>
      </c>
      <c r="BC974" s="121" t="n">
        <f aca="false">MIN((BC289+BC290)*$C$5, $F$15)*'⑫ Roll-out Plan'!$O$33</f>
        <v>0</v>
      </c>
      <c r="BD974" s="121" t="n">
        <f aca="false">MIN((BD289+BD290)*$C$5, $F$15)*'⑫ Roll-out Plan'!$O$33</f>
        <v>0</v>
      </c>
      <c r="BE974" s="121" t="n">
        <f aca="false">MIN((BE289+BE290)*$C$5, $F$15)*'⑫ Roll-out Plan'!$O$33</f>
        <v>0</v>
      </c>
      <c r="BF974" s="121" t="n">
        <f aca="false">MIN((BF289+BF290)*$C$5, $F$15)*'⑫ Roll-out Plan'!$O$33</f>
        <v>0</v>
      </c>
      <c r="BG974" s="121" t="n">
        <f aca="false">MIN((BG289+BG290)*$C$5, $F$15)*'⑫ Roll-out Plan'!$O$33</f>
        <v>0</v>
      </c>
      <c r="BH974" s="121" t="n">
        <f aca="false">MIN((BH289+BH290)*$C$5, $F$15)*'⑫ Roll-out Plan'!$O$33</f>
        <v>0</v>
      </c>
      <c r="BI974" s="121" t="n">
        <f aca="false">MIN((BI289+BI290)*$C$5, $F$15)*'⑫ Roll-out Plan'!$O$33</f>
        <v>0</v>
      </c>
      <c r="BJ974" s="121" t="n">
        <f aca="false">MIN((BJ289+BJ290)*$C$5, $F$15)*'⑫ Roll-out Plan'!$O$33</f>
        <v>0</v>
      </c>
      <c r="BK974" s="121" t="n">
        <f aca="false">MIN((BK289+BK290)*$C$5, $F$15)*'⑫ Roll-out Plan'!$O$33</f>
        <v>0</v>
      </c>
      <c r="BL974" s="121" t="n">
        <f aca="false">MIN((BL289+BL290)*$C$5, $F$15)*'⑫ Roll-out Plan'!$O$33</f>
        <v>0</v>
      </c>
      <c r="BM974" s="121" t="n">
        <f aca="false">MIN((BM289+BM290)*$C$5, $F$15)*'⑫ Roll-out Plan'!$O$33</f>
        <v>0</v>
      </c>
      <c r="BN974" s="121" t="n">
        <f aca="false">MIN((BN289+BN290)*$C$5, $F$15)*'⑫ Roll-out Plan'!$O$33</f>
        <v>0</v>
      </c>
      <c r="BO974" s="121" t="n">
        <f aca="false">MIN((BO289+BO290)*$C$5, $F$15)*'⑫ Roll-out Plan'!$O$33</f>
        <v>0</v>
      </c>
      <c r="BP974" s="121" t="n">
        <f aca="false">MIN((BP289+BP290)*$C$5, $F$15)*'⑫ Roll-out Plan'!$O$33</f>
        <v>0</v>
      </c>
      <c r="BQ974" s="121" t="n">
        <f aca="false">MIN((BQ289+BQ290)*$C$5, $F$15)*'⑫ Roll-out Plan'!$O$33</f>
        <v>0</v>
      </c>
      <c r="BR974" s="121" t="n">
        <f aca="false">MIN((BR289+BR290)*$C$5, $F$15)*'⑫ Roll-out Plan'!$O$33</f>
        <v>0</v>
      </c>
      <c r="BS974" s="121" t="n">
        <f aca="false">MIN((BS289+BS290)*$C$5, $F$15)*'⑫ Roll-out Plan'!$O$33</f>
        <v>0</v>
      </c>
      <c r="BT974" s="121" t="n">
        <f aca="false">MIN((BT289+BT290)*$C$5, $F$15)*'⑫ Roll-out Plan'!$O$33</f>
        <v>0</v>
      </c>
      <c r="BU974" s="121" t="n">
        <f aca="false">MIN((BU289+BU290)*$C$5, $F$15)*'⑫ Roll-out Plan'!$O$33</f>
        <v>0</v>
      </c>
      <c r="BV974" s="121" t="n">
        <f aca="false">MIN((BV289+BV290)*$C$5, $F$15)*'⑫ Roll-out Plan'!$O$33</f>
        <v>0</v>
      </c>
      <c r="BW974" s="121" t="n">
        <f aca="false">MIN((BW289+BW290)*$C$5, $F$15)*'⑫ Roll-out Plan'!$O$33</f>
        <v>0</v>
      </c>
      <c r="BX974" s="121" t="n">
        <f aca="false">MIN((BX289+BX290)*$C$5, $F$15)*'⑫ Roll-out Plan'!$O$33</f>
        <v>0</v>
      </c>
      <c r="BY974" s="121" t="n">
        <f aca="false">MIN((BY289+BY290)*$C$5, $F$15)*'⑫ Roll-out Plan'!$O$33</f>
        <v>0</v>
      </c>
      <c r="BZ974" s="121" t="n">
        <f aca="false">MIN((BZ289+BZ290)*$C$5, $F$15)*'⑫ Roll-out Plan'!$O$33</f>
        <v>0</v>
      </c>
      <c r="CA974" s="121" t="n">
        <f aca="false">MIN((CA289+CA290)*$C$5, $F$15)*'⑫ Roll-out Plan'!$O$33</f>
        <v>0</v>
      </c>
      <c r="CB974" s="121" t="n">
        <f aca="false">MIN((CB289+CB290)*$C$5, $F$15)*'⑫ Roll-out Plan'!$O$33</f>
        <v>0</v>
      </c>
      <c r="CC974" s="121" t="n">
        <f aca="false">MIN((CC289+CC290)*$C$5, $F$15)*'⑫ Roll-out Plan'!$O$33</f>
        <v>0</v>
      </c>
      <c r="CD974" s="121" t="n">
        <f aca="false">MIN((CD289+CD290)*$C$5, $F$15)*'⑫ Roll-out Plan'!$O$33</f>
        <v>0</v>
      </c>
      <c r="CE974" s="121" t="n">
        <f aca="false">MIN((CE289+CE290)*$C$5, $F$15)*'⑫ Roll-out Plan'!$O$33</f>
        <v>0</v>
      </c>
      <c r="CF974" s="121" t="n">
        <f aca="false">MIN((CF289+CF290)*$C$5, $F$15)*'⑫ Roll-out Plan'!$O$33</f>
        <v>0</v>
      </c>
      <c r="CG974" s="121" t="n">
        <f aca="false">MIN((CG289+CG290)*$C$5, $F$15)*'⑫ Roll-out Plan'!$O$33</f>
        <v>0</v>
      </c>
      <c r="CH974" s="121" t="n">
        <f aca="false">MIN((CH289+CH290)*$C$5, $F$15)*'⑫ Roll-out Plan'!$O$33</f>
        <v>0</v>
      </c>
      <c r="CI974" s="121" t="n">
        <f aca="false">MIN((CI289+CI290)*$C$5, $F$15)*'⑫ Roll-out Plan'!$O$33</f>
        <v>0</v>
      </c>
      <c r="CJ974" s="121" t="n">
        <f aca="false">MIN((CJ289+CJ290)*$C$5, $F$15)*'⑫ Roll-out Plan'!$O$33</f>
        <v>0</v>
      </c>
      <c r="CK974" s="121" t="n">
        <f aca="false">MIN((CK289+CK290)*$C$5, $F$15)*'⑫ Roll-out Plan'!$O$33</f>
        <v>0</v>
      </c>
      <c r="CL974" s="121" t="n">
        <f aca="false">MIN((CL289+CL290)*$C$5, $F$15)*'⑫ Roll-out Plan'!$O$33</f>
        <v>0</v>
      </c>
      <c r="CM974" s="121" t="n">
        <f aca="false">MIN((CM289+CM290)*$C$5, $F$15)*'⑫ Roll-out Plan'!$O$33</f>
        <v>0</v>
      </c>
      <c r="CN974" s="121" t="n">
        <f aca="false">MIN((CN289+CN290)*$C$5, $F$15)*'⑫ Roll-out Plan'!$O$33</f>
        <v>0</v>
      </c>
      <c r="CO974" s="121" t="n">
        <f aca="false">MIN((CO289+CO290)*$C$5, $F$15)*'⑫ Roll-out Plan'!$O$33</f>
        <v>0</v>
      </c>
      <c r="CP974" s="121" t="n">
        <f aca="false">MIN((CP289+CP290)*$C$5, $F$15)*'⑫ Roll-out Plan'!$O$33</f>
        <v>0</v>
      </c>
      <c r="CQ974" s="121" t="n">
        <f aca="false">MIN((CQ289+CQ290)*$C$5, $F$15)*'⑫ Roll-out Plan'!$O$33</f>
        <v>0</v>
      </c>
      <c r="CR974" s="121" t="n">
        <f aca="false">MIN((CR289+CR290)*$C$5, $F$15)*'⑫ Roll-out Plan'!$O$33</f>
        <v>0</v>
      </c>
      <c r="CS974" s="121" t="n">
        <f aca="false">MIN((CS289+CS290)*$C$5, $F$15)*'⑫ Roll-out Plan'!$O$33</f>
        <v>0</v>
      </c>
      <c r="CT974" s="121" t="n">
        <f aca="false">MIN((CT289+CT290)*$C$5, $F$15)*'⑫ Roll-out Plan'!$O$33</f>
        <v>0</v>
      </c>
      <c r="CU974" s="121" t="n">
        <f aca="false">MIN((CU289+CU290)*$C$5, $F$15)*'⑫ Roll-out Plan'!$O$33</f>
        <v>0</v>
      </c>
      <c r="CV974" s="121" t="n">
        <f aca="false">MIN((CV289+CV290)*$C$5, $F$15)*'⑫ Roll-out Plan'!$O$33</f>
        <v>0</v>
      </c>
      <c r="CW974" s="121" t="n">
        <f aca="false">MIN((CW289+CW290)*$C$5, $F$15)*'⑫ Roll-out Plan'!$O$33</f>
        <v>0</v>
      </c>
      <c r="CX974" s="121" t="n">
        <f aca="false">MIN((CX289+CX290)*$C$5, $F$15)*'⑫ Roll-out Plan'!$O$33</f>
        <v>0</v>
      </c>
      <c r="CY974" s="121" t="n">
        <f aca="false">MIN((CY289+CY290)*$C$5, $F$15)*'⑫ Roll-out Plan'!$O$33</f>
        <v>0</v>
      </c>
      <c r="CZ974" s="121" t="n">
        <f aca="false">MIN((CZ289+CZ290)*$C$5, $F$15)*'⑫ Roll-out Plan'!$O$33</f>
        <v>0</v>
      </c>
      <c r="DA974" s="121" t="n">
        <f aca="false">MIN((DA289+DA290)*$C$5, $F$15)*'⑫ Roll-out Plan'!$O$33</f>
        <v>4459.24</v>
      </c>
      <c r="DB974" s="121" t="n">
        <f aca="false">MIN((DB289+DB290)*$C$5, $F$15)*'⑫ Roll-out Plan'!$O$33</f>
        <v>4836.14272</v>
      </c>
      <c r="DC974" s="121" t="n">
        <f aca="false">MIN((DC289+DC290)*$C$5, $F$15)*'⑫ Roll-out Plan'!$O$33</f>
        <v>5510.224704</v>
      </c>
      <c r="DD974" s="121" t="n">
        <f aca="false">MIN((DD289+DD290)*$C$5, $F$15)*'⑫ Roll-out Plan'!$O$33</f>
        <v>10092.03564</v>
      </c>
      <c r="DE974" s="121" t="n">
        <f aca="false">MIN((DE289+DE290)*$C$5, $F$15)*'⑫ Roll-out Plan'!$O$33</f>
        <v>9018.3514656</v>
      </c>
      <c r="DF974" s="121" t="n">
        <f aca="false">MIN((DF289+DF290)*$C$5, $F$15)*'⑫ Roll-out Plan'!$O$33</f>
        <v>8554.2880528</v>
      </c>
      <c r="DG974" s="121" t="n">
        <f aca="false">MIN((DG289+DG290)*$C$5, $F$15)*'⑫ Roll-out Plan'!$O$33</f>
        <v>7497.0138816</v>
      </c>
      <c r="DH974" s="121" t="n">
        <f aca="false">MIN((DH289+DH290)*$C$5, $F$15)*'⑫ Roll-out Plan'!$O$33</f>
        <v>10977.0280432</v>
      </c>
      <c r="DI974" s="121" t="n">
        <f aca="false">MIN((DI289+DI290)*$C$5, $F$15)*'⑫ Roll-out Plan'!$O$33</f>
        <v>13318.9821152</v>
      </c>
      <c r="DJ974" s="121" t="n">
        <f aca="false">MIN((DJ289+DJ290)*$C$5, $F$15)*'⑫ Roll-out Plan'!$O$33</f>
        <v>10875.814928</v>
      </c>
      <c r="DK974" s="121" t="n">
        <f aca="false">MIN((DK289+DK290)*$C$5, $F$15)*'⑫ Roll-out Plan'!$O$33</f>
        <v>15507.3134304</v>
      </c>
      <c r="DL974" s="121" t="n">
        <f aca="false">MIN((DL289+DL290)*$C$5, $F$15)*'⑫ Roll-out Plan'!$O$33</f>
        <v>16520.4605136</v>
      </c>
      <c r="DM974" s="121" t="n">
        <f aca="false">MIN((DM289+DM290)*$C$5, $F$15)*'⑫ Roll-out Plan'!$O$33</f>
        <v>15424.860144</v>
      </c>
      <c r="DN974" s="121" t="n">
        <f aca="false">MIN((DN289+DN290)*$C$5, $F$15)*'⑫ Roll-out Plan'!$O$33</f>
        <v>14703.3473568</v>
      </c>
      <c r="DO974" s="121" t="n">
        <f aca="false">MIN((DO289+DO290)*$C$5, $F$15)*'⑫ Roll-out Plan'!$O$33</f>
        <v>15294.7589088</v>
      </c>
      <c r="DP974" s="121" t="n">
        <f aca="false">MIN((DP289+DP290)*$C$5, $F$15)*'⑫ Roll-out Plan'!$O$33</f>
        <v>27000</v>
      </c>
      <c r="DQ974" s="121" t="n">
        <f aca="false">MIN((DQ289+DQ290)*$C$5, $F$15)*'⑫ Roll-out Plan'!$O$33</f>
        <v>27000</v>
      </c>
      <c r="DR974" s="121" t="n">
        <f aca="false">MIN((DR289+DR290)*$C$5, $F$15)*'⑫ Roll-out Plan'!$O$33</f>
        <v>24525.68505952</v>
      </c>
      <c r="DS974" s="121" t="n">
        <f aca="false">MIN((DS289+DS290)*$C$5, $F$15)*'⑫ Roll-out Plan'!$O$33</f>
        <v>20143.8062816</v>
      </c>
      <c r="DT974" s="121" t="n">
        <f aca="false">MIN((DT289+DT290)*$C$5, $F$15)*'⑫ Roll-out Plan'!$O$33</f>
        <v>26012.09322272</v>
      </c>
      <c r="DU974" s="121" t="n">
        <f aca="false">MIN((DU289+DU290)*$C$5, $F$15)*'⑫ Roll-out Plan'!$O$33</f>
        <v>27000</v>
      </c>
      <c r="DV974" s="121" t="n">
        <f aca="false">MIN((DV289+DV290)*$C$5, $F$15)*'⑫ Roll-out Plan'!$O$33</f>
        <v>24541.20418412</v>
      </c>
      <c r="DW974" s="121" t="n">
        <f aca="false">MIN((DW289+DW290)*$C$5, $F$15)*'⑫ Roll-out Plan'!$O$33</f>
        <v>27000</v>
      </c>
      <c r="DX974" s="121" t="n">
        <f aca="false">MIN((DX289+DX290)*$C$5, $F$15)*'⑫ Roll-out Plan'!$O$33</f>
        <v>27000</v>
      </c>
      <c r="DY974" s="121" t="n">
        <f aca="false">MIN((DY289+DY290)*$C$5, $F$15)*'⑫ Roll-out Plan'!$O$33</f>
        <v>27000</v>
      </c>
      <c r="DZ974" s="121" t="n">
        <f aca="false">MIN((DZ289+DZ290)*$C$5, $F$15)*'⑫ Roll-out Plan'!$O$33</f>
        <v>26978.19803824</v>
      </c>
      <c r="EA974" s="121" t="n">
        <f aca="false">MIN((EA289+EA290)*$C$5, $F$15)*'⑫ Roll-out Plan'!$O$33</f>
        <v>27000</v>
      </c>
      <c r="EB974" s="121" t="n">
        <f aca="false">MIN((EB289+EB290)*$C$5, $F$15)*'⑫ Roll-out Plan'!$O$33</f>
        <v>27000</v>
      </c>
      <c r="EC974" s="121" t="n">
        <f aca="false">MIN((EC289+EC290)*$C$5, $F$15)*'⑫ Roll-out Plan'!$O$33</f>
        <v>27000</v>
      </c>
      <c r="ED974" s="121" t="n">
        <f aca="false">MIN((ED289+ED290)*$C$5, $F$15)*'⑫ Roll-out Plan'!$O$33</f>
        <v>27000</v>
      </c>
      <c r="EE974" s="121" t="n">
        <f aca="false">MIN((EE289+EE290)*$C$5, $F$15)*'⑫ Roll-out Plan'!$O$33</f>
        <v>27000</v>
      </c>
      <c r="EF974" s="121" t="n">
        <f aca="false">MIN((EF289+EF290)*$C$5, $F$15)*'⑫ Roll-out Plan'!$O$33</f>
        <v>27000</v>
      </c>
      <c r="EG974" s="121" t="n">
        <f aca="false">MIN((EG289+EG290)*$C$5, $F$15)*'⑫ Roll-out Plan'!$O$33</f>
        <v>27000</v>
      </c>
      <c r="EH974" s="121" t="n">
        <f aca="false">MIN((EH289+EH290)*$C$5, $F$15)*'⑫ Roll-out Plan'!$O$33</f>
        <v>27000</v>
      </c>
      <c r="EI974" s="121" t="n">
        <f aca="false">MIN((EI289+EI290)*$C$5, $F$15)*'⑫ Roll-out Plan'!$O$33</f>
        <v>27000</v>
      </c>
      <c r="EJ974" s="121" t="n">
        <f aca="false">MIN((EJ289+EJ290)*$C$5, $F$15)*'⑫ Roll-out Plan'!$O$33</f>
        <v>27000</v>
      </c>
      <c r="EK974" s="121" t="n">
        <f aca="false">MIN((EK289+EK290)*$C$5, $F$15)*'⑫ Roll-out Plan'!$O$33</f>
        <v>27000</v>
      </c>
      <c r="EL974" s="121" t="n">
        <f aca="false">MIN((EL289+EL290)*$C$5, $F$15)*'⑫ Roll-out Plan'!$O$33</f>
        <v>27000</v>
      </c>
      <c r="EM974" s="121" t="n">
        <f aca="false">MIN((EM289+EM290)*$C$5, $F$15)*'⑫ Roll-out Plan'!$O$33</f>
        <v>27000</v>
      </c>
      <c r="EN974" s="121" t="n">
        <f aca="false">MIN((EN289+EN290)*$C$5, $F$15)*'⑫ Roll-out Plan'!$O$33</f>
        <v>27000</v>
      </c>
      <c r="EO974" s="121" t="n">
        <f aca="false">MIN((EO289+EO290)*$C$5, $F$15)*'⑫ Roll-out Plan'!$O$33</f>
        <v>27000</v>
      </c>
      <c r="EP974" s="121" t="n">
        <f aca="false">MIN((EP289+EP290)*$C$5, $F$15)*'⑫ Roll-out Plan'!$O$33</f>
        <v>27000</v>
      </c>
      <c r="EQ974" s="121" t="n">
        <f aca="false">MIN((EQ289+EQ290)*$C$5, $F$15)*'⑫ Roll-out Plan'!$O$33</f>
        <v>27000</v>
      </c>
      <c r="ER974" s="121" t="n">
        <f aca="false">MIN((ER289+ER290)*$C$5, $F$15)*'⑫ Roll-out Plan'!$O$33</f>
        <v>27000</v>
      </c>
      <c r="ES974" s="9" t="n">
        <f aca="false">MIN((ES289+ES290)*$C$5, $F$15)*'⑫ Roll-out Plan'!$O$33</f>
        <v>27000</v>
      </c>
      <c r="ET974" s="9" t="n">
        <f aca="false">MIN((ET289+ET290)*$C$5, $F$15)*'⑫ Roll-out Plan'!$O$33</f>
        <v>27000</v>
      </c>
      <c r="EU974" s="9" t="n">
        <f aca="false">MIN((EU289+EU290)*$C$5, $F$15)*'⑫ Roll-out Plan'!$O$33</f>
        <v>27000</v>
      </c>
      <c r="EV974" s="9" t="n">
        <f aca="false">MIN((EV289+EV290)*$C$5, $F$15)*'⑫ Roll-out Plan'!$O$33</f>
        <v>27000</v>
      </c>
      <c r="EW974" s="9" t="n">
        <f aca="false">MIN((EW289+EW290)*$C$5, $F$15)*'⑫ Roll-out Plan'!$O$33</f>
        <v>27000</v>
      </c>
      <c r="EX974" s="9" t="n">
        <f aca="false">MIN((EX289+EX290)*$C$5, $F$15)*'⑫ Roll-out Plan'!$O$33</f>
        <v>27000</v>
      </c>
      <c r="EY974" s="9" t="n">
        <f aca="false">MIN((EY289+EY290)*$C$5, $F$15)*'⑫ Roll-out Plan'!$O$33</f>
        <v>27000</v>
      </c>
      <c r="EZ974" s="9" t="n">
        <f aca="false">MIN((EZ289+EZ290)*$C$5, $F$15)*'⑫ Roll-out Plan'!$O$33</f>
        <v>27000</v>
      </c>
      <c r="FA974" s="9" t="n">
        <f aca="false">MIN((FA289+FA290)*$C$5, $F$15)*'⑫ Roll-out Plan'!$O$33</f>
        <v>27000</v>
      </c>
      <c r="FB974" s="9" t="n">
        <f aca="false">MIN((FB289+FB290)*$C$5, $F$15)*'⑫ Roll-out Plan'!$O$33</f>
        <v>27000</v>
      </c>
      <c r="FC974" s="9" t="n">
        <f aca="false">MIN((FC289+FC290)*$C$5, $F$15)*'⑫ Roll-out Plan'!$O$33</f>
        <v>27000</v>
      </c>
      <c r="FD974" s="9" t="n">
        <f aca="false">MIN((FD289+FD290)*$C$5, $F$15)*'⑫ Roll-out Plan'!$O$33</f>
        <v>27000</v>
      </c>
      <c r="FE974" s="9" t="n">
        <f aca="false">MIN((FE289+FE290)*$C$5, $F$15)*'⑫ Roll-out Plan'!$O$33</f>
        <v>27000</v>
      </c>
      <c r="FF974" s="9" t="n">
        <f aca="false">MIN((FF289+FF290)*$C$5, $F$15)*'⑫ Roll-out Plan'!$O$33</f>
        <v>27000</v>
      </c>
      <c r="FG974" s="9" t="n">
        <f aca="false">MIN((FG289+FG290)*$C$5, $F$15)*'⑫ Roll-out Plan'!$O$33</f>
        <v>27000</v>
      </c>
      <c r="FH974" s="9" t="n">
        <f aca="false">MIN((FH289+FH290)*$C$5, $F$15)*'⑫ Roll-out Plan'!$O$33</f>
        <v>27000</v>
      </c>
      <c r="FI974" s="9" t="n">
        <f aca="false">MIN((FI289+FI290)*$C$5, $F$15)*'⑫ Roll-out Plan'!$O$33</f>
        <v>27000</v>
      </c>
      <c r="FJ974" s="9" t="n">
        <f aca="false">MIN((FJ289+FJ290)*$C$5, $F$15)*'⑫ Roll-out Plan'!$O$33</f>
        <v>27000</v>
      </c>
      <c r="FK974" s="9" t="n">
        <f aca="false">MIN((FK289+FK290)*$C$5, $F$15)*'⑫ Roll-out Plan'!$O$33</f>
        <v>27000</v>
      </c>
      <c r="FL974" s="9" t="n">
        <f aca="false">MIN((FL289+FL290)*$C$5, $F$15)*'⑫ Roll-out Plan'!$O$33</f>
        <v>27000</v>
      </c>
      <c r="FM974" s="9" t="n">
        <f aca="false">MIN((FM289+FM290)*$C$5, $F$15)*'⑫ Roll-out Plan'!$O$33</f>
        <v>27000</v>
      </c>
      <c r="FN974" s="9" t="n">
        <f aca="false">MIN((FN289+FN290)*$C$5, $F$15)*'⑫ Roll-out Plan'!$O$33</f>
        <v>27000</v>
      </c>
      <c r="FO974" s="9" t="n">
        <f aca="false">MIN((FO289+FO290)*$C$5, $F$15)*'⑫ Roll-out Plan'!$O$33</f>
        <v>27000</v>
      </c>
      <c r="FP974" s="9" t="n">
        <f aca="false">MIN((FP289+FP290)*$C$5, $F$15)*'⑫ Roll-out Plan'!$O$33</f>
        <v>27000</v>
      </c>
    </row>
    <row r="975" customFormat="false" ht="15" hidden="false" customHeight="false" outlineLevel="0" collapsed="false">
      <c r="B975" s="254" t="s">
        <v>1000</v>
      </c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121" t="n">
        <f aca="false">MIN((AC299+AC300)*$C$5, $F$15)*'⑫ Roll-out Plan'!$O$34</f>
        <v>0</v>
      </c>
      <c r="AD975" s="121" t="n">
        <f aca="false">MIN((AD299+AD300)*$C$5, $F$15)*'⑫ Roll-out Plan'!$O$34</f>
        <v>0</v>
      </c>
      <c r="AE975" s="121" t="n">
        <f aca="false">MIN((AE299+AE300)*$C$5, $F$15)*'⑫ Roll-out Plan'!$O$34</f>
        <v>0</v>
      </c>
      <c r="AF975" s="121" t="n">
        <f aca="false">MIN((AF299+AF300)*$C$5, $F$15)*'⑫ Roll-out Plan'!$O$34</f>
        <v>0</v>
      </c>
      <c r="AG975" s="121" t="n">
        <f aca="false">MIN((AG299+AG300)*$C$5, $F$15)*'⑫ Roll-out Plan'!$O$34</f>
        <v>0</v>
      </c>
      <c r="AH975" s="121" t="n">
        <f aca="false">MIN((AH299+AH300)*$C$5, $F$15)*'⑫ Roll-out Plan'!$O$34</f>
        <v>0</v>
      </c>
      <c r="AI975" s="121" t="n">
        <f aca="false">MIN((AI299+AI300)*$C$5, $F$15)*'⑫ Roll-out Plan'!$O$34</f>
        <v>0</v>
      </c>
      <c r="AJ975" s="121" t="n">
        <f aca="false">MIN((AJ299+AJ300)*$C$5, $F$15)*'⑫ Roll-out Plan'!$O$34</f>
        <v>0</v>
      </c>
      <c r="AK975" s="121" t="n">
        <f aca="false">MIN((AK299+AK300)*$C$5, $F$15)*'⑫ Roll-out Plan'!$O$34</f>
        <v>0</v>
      </c>
      <c r="AL975" s="121" t="n">
        <f aca="false">MIN((AL299+AL300)*$C$5, $F$15)*'⑫ Roll-out Plan'!$O$34</f>
        <v>0</v>
      </c>
      <c r="AM975" s="121" t="n">
        <f aca="false">MIN((AM299+AM300)*$C$5, $F$15)*'⑫ Roll-out Plan'!$O$34</f>
        <v>0</v>
      </c>
      <c r="AN975" s="121" t="n">
        <f aca="false">MIN((AN299+AN300)*$C$5, $F$15)*'⑫ Roll-out Plan'!$O$34</f>
        <v>0</v>
      </c>
      <c r="AO975" s="121" t="n">
        <f aca="false">MIN((AO299+AO300)*$C$5, $F$15)*'⑫ Roll-out Plan'!$O$34</f>
        <v>0</v>
      </c>
      <c r="AP975" s="121" t="n">
        <f aca="false">MIN((AP299+AP300)*$C$5, $F$15)*'⑫ Roll-out Plan'!$O$34</f>
        <v>0</v>
      </c>
      <c r="AQ975" s="121" t="n">
        <f aca="false">MIN((AQ299+AQ300)*$C$5, $F$15)*'⑫ Roll-out Plan'!$O$34</f>
        <v>0</v>
      </c>
      <c r="AR975" s="121" t="n">
        <f aca="false">MIN((AR299+AR300)*$C$5, $F$15)*'⑫ Roll-out Plan'!$O$34</f>
        <v>0</v>
      </c>
      <c r="AS975" s="121" t="n">
        <f aca="false">MIN((AS299+AS300)*$C$5, $F$15)*'⑫ Roll-out Plan'!$O$34</f>
        <v>0</v>
      </c>
      <c r="AT975" s="121" t="n">
        <f aca="false">MIN((AT299+AT300)*$C$5, $F$15)*'⑫ Roll-out Plan'!$O$34</f>
        <v>0</v>
      </c>
      <c r="AU975" s="121" t="n">
        <f aca="false">MIN((AU299+AU300)*$C$5, $F$15)*'⑫ Roll-out Plan'!$O$34</f>
        <v>0</v>
      </c>
      <c r="AV975" s="121" t="n">
        <f aca="false">MIN((AV299+AV300)*$C$5, $F$15)*'⑫ Roll-out Plan'!$O$34</f>
        <v>0</v>
      </c>
      <c r="AW975" s="121" t="n">
        <f aca="false">MIN((AW299+AW300)*$C$5, $F$15)*'⑫ Roll-out Plan'!$O$34</f>
        <v>0</v>
      </c>
      <c r="AX975" s="121" t="n">
        <f aca="false">MIN((AX299+AX300)*$C$5, $F$15)*'⑫ Roll-out Plan'!$O$34</f>
        <v>0</v>
      </c>
      <c r="AY975" s="121" t="n">
        <f aca="false">MIN((AY299+AY300)*$C$5, $F$15)*'⑫ Roll-out Plan'!$O$34</f>
        <v>0</v>
      </c>
      <c r="AZ975" s="121" t="n">
        <f aca="false">MIN((AZ299+AZ300)*$C$5, $F$15)*'⑫ Roll-out Plan'!$O$34</f>
        <v>0</v>
      </c>
      <c r="BA975" s="121" t="n">
        <f aca="false">MIN((BA299+BA300)*$C$5, $F$15)*'⑫ Roll-out Plan'!$O$34</f>
        <v>0</v>
      </c>
      <c r="BB975" s="121" t="n">
        <f aca="false">MIN((BB299+BB300)*$C$5, $F$15)*'⑫ Roll-out Plan'!$O$34</f>
        <v>0</v>
      </c>
      <c r="BC975" s="121" t="n">
        <f aca="false">MIN((BC299+BC300)*$C$5, $F$15)*'⑫ Roll-out Plan'!$O$34</f>
        <v>0</v>
      </c>
      <c r="BD975" s="121" t="n">
        <f aca="false">MIN((BD299+BD300)*$C$5, $F$15)*'⑫ Roll-out Plan'!$O$34</f>
        <v>0</v>
      </c>
      <c r="BE975" s="121" t="n">
        <f aca="false">MIN((BE299+BE300)*$C$5, $F$15)*'⑫ Roll-out Plan'!$O$34</f>
        <v>0</v>
      </c>
      <c r="BF975" s="121" t="n">
        <f aca="false">MIN((BF299+BF300)*$C$5, $F$15)*'⑫ Roll-out Plan'!$O$34</f>
        <v>0</v>
      </c>
      <c r="BG975" s="121" t="n">
        <f aca="false">MIN((BG299+BG300)*$C$5, $F$15)*'⑫ Roll-out Plan'!$O$34</f>
        <v>0</v>
      </c>
      <c r="BH975" s="121" t="n">
        <f aca="false">MIN((BH299+BH300)*$C$5, $F$15)*'⑫ Roll-out Plan'!$O$34</f>
        <v>0</v>
      </c>
      <c r="BI975" s="121" t="n">
        <f aca="false">MIN((BI299+BI300)*$C$5, $F$15)*'⑫ Roll-out Plan'!$O$34</f>
        <v>0</v>
      </c>
      <c r="BJ975" s="121" t="n">
        <f aca="false">MIN((BJ299+BJ300)*$C$5, $F$15)*'⑫ Roll-out Plan'!$O$34</f>
        <v>0</v>
      </c>
      <c r="BK975" s="121" t="n">
        <f aca="false">MIN((BK299+BK300)*$C$5, $F$15)*'⑫ Roll-out Plan'!$O$34</f>
        <v>0</v>
      </c>
      <c r="BL975" s="121" t="n">
        <f aca="false">MIN((BL299+BL300)*$C$5, $F$15)*'⑫ Roll-out Plan'!$O$34</f>
        <v>0</v>
      </c>
      <c r="BM975" s="121" t="n">
        <f aca="false">MIN((BM299+BM300)*$C$5, $F$15)*'⑫ Roll-out Plan'!$O$34</f>
        <v>0</v>
      </c>
      <c r="BN975" s="121" t="n">
        <f aca="false">MIN((BN299+BN300)*$C$5, $F$15)*'⑫ Roll-out Plan'!$O$34</f>
        <v>0</v>
      </c>
      <c r="BO975" s="121" t="n">
        <f aca="false">MIN((BO299+BO300)*$C$5, $F$15)*'⑫ Roll-out Plan'!$O$34</f>
        <v>0</v>
      </c>
      <c r="BP975" s="121" t="n">
        <f aca="false">MIN((BP299+BP300)*$C$5, $F$15)*'⑫ Roll-out Plan'!$O$34</f>
        <v>0</v>
      </c>
      <c r="BQ975" s="121" t="n">
        <f aca="false">MIN((BQ299+BQ300)*$C$5, $F$15)*'⑫ Roll-out Plan'!$O$34</f>
        <v>0</v>
      </c>
      <c r="BR975" s="121" t="n">
        <f aca="false">MIN((BR299+BR300)*$C$5, $F$15)*'⑫ Roll-out Plan'!$O$34</f>
        <v>0</v>
      </c>
      <c r="BS975" s="121" t="n">
        <f aca="false">MIN((BS299+BS300)*$C$5, $F$15)*'⑫ Roll-out Plan'!$O$34</f>
        <v>0</v>
      </c>
      <c r="BT975" s="121" t="n">
        <f aca="false">MIN((BT299+BT300)*$C$5, $F$15)*'⑫ Roll-out Plan'!$O$34</f>
        <v>0</v>
      </c>
      <c r="BU975" s="121" t="n">
        <f aca="false">MIN((BU299+BU300)*$C$5, $F$15)*'⑫ Roll-out Plan'!$O$34</f>
        <v>0</v>
      </c>
      <c r="BV975" s="121" t="n">
        <f aca="false">MIN((BV299+BV300)*$C$5, $F$15)*'⑫ Roll-out Plan'!$O$34</f>
        <v>0</v>
      </c>
      <c r="BW975" s="121" t="n">
        <f aca="false">MIN((BW299+BW300)*$C$5, $F$15)*'⑫ Roll-out Plan'!$O$34</f>
        <v>0</v>
      </c>
      <c r="BX975" s="121" t="n">
        <f aca="false">MIN((BX299+BX300)*$C$5, $F$15)*'⑫ Roll-out Plan'!$O$34</f>
        <v>0</v>
      </c>
      <c r="BY975" s="121" t="n">
        <f aca="false">MIN((BY299+BY300)*$C$5, $F$15)*'⑫ Roll-out Plan'!$O$34</f>
        <v>0</v>
      </c>
      <c r="BZ975" s="121" t="n">
        <f aca="false">MIN((BZ299+BZ300)*$C$5, $F$15)*'⑫ Roll-out Plan'!$O$34</f>
        <v>0</v>
      </c>
      <c r="CA975" s="121" t="n">
        <f aca="false">MIN((CA299+CA300)*$C$5, $F$15)*'⑫ Roll-out Plan'!$O$34</f>
        <v>0</v>
      </c>
      <c r="CB975" s="121" t="n">
        <f aca="false">MIN((CB299+CB300)*$C$5, $F$15)*'⑫ Roll-out Plan'!$O$34</f>
        <v>0</v>
      </c>
      <c r="CC975" s="121" t="n">
        <f aca="false">MIN((CC299+CC300)*$C$5, $F$15)*'⑫ Roll-out Plan'!$O$34</f>
        <v>0</v>
      </c>
      <c r="CD975" s="121" t="n">
        <f aca="false">MIN((CD299+CD300)*$C$5, $F$15)*'⑫ Roll-out Plan'!$O$34</f>
        <v>0</v>
      </c>
      <c r="CE975" s="121" t="n">
        <f aca="false">MIN((CE299+CE300)*$C$5, $F$15)*'⑫ Roll-out Plan'!$O$34</f>
        <v>0</v>
      </c>
      <c r="CF975" s="121" t="n">
        <f aca="false">MIN((CF299+CF300)*$C$5, $F$15)*'⑫ Roll-out Plan'!$O$34</f>
        <v>0</v>
      </c>
      <c r="CG975" s="121" t="n">
        <f aca="false">MIN((CG299+CG300)*$C$5, $F$15)*'⑫ Roll-out Plan'!$O$34</f>
        <v>0</v>
      </c>
      <c r="CH975" s="121" t="n">
        <f aca="false">MIN((CH299+CH300)*$C$5, $F$15)*'⑫ Roll-out Plan'!$O$34</f>
        <v>0</v>
      </c>
      <c r="CI975" s="121" t="n">
        <f aca="false">MIN((CI299+CI300)*$C$5, $F$15)*'⑫ Roll-out Plan'!$O$34</f>
        <v>0</v>
      </c>
      <c r="CJ975" s="121" t="n">
        <f aca="false">MIN((CJ299+CJ300)*$C$5, $F$15)*'⑫ Roll-out Plan'!$O$34</f>
        <v>0</v>
      </c>
      <c r="CK975" s="121" t="n">
        <f aca="false">MIN((CK299+CK300)*$C$5, $F$15)*'⑫ Roll-out Plan'!$O$34</f>
        <v>0</v>
      </c>
      <c r="CL975" s="121" t="n">
        <f aca="false">MIN((CL299+CL300)*$C$5, $F$15)*'⑫ Roll-out Plan'!$O$34</f>
        <v>0</v>
      </c>
      <c r="CM975" s="121" t="n">
        <f aca="false">MIN((CM299+CM300)*$C$5, $F$15)*'⑫ Roll-out Plan'!$O$34</f>
        <v>0</v>
      </c>
      <c r="CN975" s="121" t="n">
        <f aca="false">MIN((CN299+CN300)*$C$5, $F$15)*'⑫ Roll-out Plan'!$O$34</f>
        <v>0</v>
      </c>
      <c r="CO975" s="121" t="n">
        <f aca="false">MIN((CO299+CO300)*$C$5, $F$15)*'⑫ Roll-out Plan'!$O$34</f>
        <v>0</v>
      </c>
      <c r="CP975" s="121" t="n">
        <f aca="false">MIN((CP299+CP300)*$C$5, $F$15)*'⑫ Roll-out Plan'!$O$34</f>
        <v>0</v>
      </c>
      <c r="CQ975" s="121" t="n">
        <f aca="false">MIN((CQ299+CQ300)*$C$5, $F$15)*'⑫ Roll-out Plan'!$O$34</f>
        <v>0</v>
      </c>
      <c r="CR975" s="121" t="n">
        <f aca="false">MIN((CR299+CR300)*$C$5, $F$15)*'⑫ Roll-out Plan'!$O$34</f>
        <v>0</v>
      </c>
      <c r="CS975" s="121" t="n">
        <f aca="false">MIN((CS299+CS300)*$C$5, $F$15)*'⑫ Roll-out Plan'!$O$34</f>
        <v>0</v>
      </c>
      <c r="CT975" s="121" t="n">
        <f aca="false">MIN((CT299+CT300)*$C$5, $F$15)*'⑫ Roll-out Plan'!$O$34</f>
        <v>0</v>
      </c>
      <c r="CU975" s="121" t="n">
        <f aca="false">MIN((CU299+CU300)*$C$5, $F$15)*'⑫ Roll-out Plan'!$O$34</f>
        <v>0</v>
      </c>
      <c r="CV975" s="121" t="n">
        <f aca="false">MIN((CV299+CV300)*$C$5, $F$15)*'⑫ Roll-out Plan'!$O$34</f>
        <v>0</v>
      </c>
      <c r="CW975" s="121" t="n">
        <f aca="false">MIN((CW299+CW300)*$C$5, $F$15)*'⑫ Roll-out Plan'!$O$34</f>
        <v>0</v>
      </c>
      <c r="CX975" s="121" t="n">
        <f aca="false">MIN((CX299+CX300)*$C$5, $F$15)*'⑫ Roll-out Plan'!$O$34</f>
        <v>0</v>
      </c>
      <c r="CY975" s="121" t="n">
        <f aca="false">MIN((CY299+CY300)*$C$5, $F$15)*'⑫ Roll-out Plan'!$O$34</f>
        <v>0</v>
      </c>
      <c r="CZ975" s="121" t="n">
        <f aca="false">MIN((CZ299+CZ300)*$C$5, $F$15)*'⑫ Roll-out Plan'!$O$34</f>
        <v>0</v>
      </c>
      <c r="DA975" s="121" t="n">
        <f aca="false">MIN((DA299+DA300)*$C$5, $F$15)*'⑫ Roll-out Plan'!$O$34</f>
        <v>0</v>
      </c>
      <c r="DB975" s="121" t="n">
        <f aca="false">MIN((DB299+DB300)*$C$5, $F$15)*'⑫ Roll-out Plan'!$O$34</f>
        <v>0</v>
      </c>
      <c r="DC975" s="121" t="n">
        <f aca="false">MIN((DC299+DC300)*$C$5, $F$15)*'⑫ Roll-out Plan'!$O$34</f>
        <v>0</v>
      </c>
      <c r="DD975" s="121" t="n">
        <f aca="false">MIN((DD299+DD300)*$C$5, $F$15)*'⑫ Roll-out Plan'!$O$34</f>
        <v>0</v>
      </c>
      <c r="DE975" s="121" t="n">
        <f aca="false">MIN((DE299+DE300)*$C$5, $F$15)*'⑫ Roll-out Plan'!$O$34</f>
        <v>0</v>
      </c>
      <c r="DF975" s="121" t="n">
        <f aca="false">MIN((DF299+DF300)*$C$5, $F$15)*'⑫ Roll-out Plan'!$O$34</f>
        <v>0</v>
      </c>
      <c r="DG975" s="121" t="n">
        <f aca="false">MIN((DG299+DG300)*$C$5, $F$15)*'⑫ Roll-out Plan'!$O$34</f>
        <v>0</v>
      </c>
      <c r="DH975" s="121" t="n">
        <f aca="false">MIN((DH299+DH300)*$C$5, $F$15)*'⑫ Roll-out Plan'!$O$34</f>
        <v>0</v>
      </c>
      <c r="DI975" s="121" t="n">
        <f aca="false">MIN((DI299+DI300)*$C$5, $F$15)*'⑫ Roll-out Plan'!$O$34</f>
        <v>0</v>
      </c>
      <c r="DJ975" s="121" t="n">
        <f aca="false">MIN((DJ299+DJ300)*$C$5, $F$15)*'⑫ Roll-out Plan'!$O$34</f>
        <v>0</v>
      </c>
      <c r="DK975" s="121" t="n">
        <f aca="false">MIN((DK299+DK300)*$C$5, $F$15)*'⑫ Roll-out Plan'!$O$34</f>
        <v>0</v>
      </c>
      <c r="DL975" s="121" t="n">
        <f aca="false">MIN((DL299+DL300)*$C$5, $F$15)*'⑫ Roll-out Plan'!$O$34</f>
        <v>0</v>
      </c>
      <c r="DM975" s="121" t="n">
        <f aca="false">MIN((DM299+DM300)*$C$5, $F$15)*'⑫ Roll-out Plan'!$O$34</f>
        <v>0</v>
      </c>
      <c r="DN975" s="121" t="n">
        <f aca="false">MIN((DN299+DN300)*$C$5, $F$15)*'⑫ Roll-out Plan'!$O$34</f>
        <v>0</v>
      </c>
      <c r="DO975" s="121" t="n">
        <f aca="false">MIN((DO299+DO300)*$C$5, $F$15)*'⑫ Roll-out Plan'!$O$34</f>
        <v>0</v>
      </c>
      <c r="DP975" s="121" t="n">
        <f aca="false">MIN((DP299+DP300)*$C$5, $F$15)*'⑫ Roll-out Plan'!$O$34</f>
        <v>6882.74</v>
      </c>
      <c r="DQ975" s="121" t="n">
        <f aca="false">MIN((DQ299+DQ300)*$C$5, $F$15)*'⑫ Roll-out Plan'!$O$34</f>
        <v>7065.76272</v>
      </c>
      <c r="DR975" s="121" t="n">
        <f aca="false">MIN((DR299+DR300)*$C$5, $F$15)*'⑫ Roll-out Plan'!$O$34</f>
        <v>6031.21904</v>
      </c>
      <c r="DS975" s="121" t="n">
        <f aca="false">MIN((DS299+DS300)*$C$5, $F$15)*'⑫ Roll-out Plan'!$O$34</f>
        <v>5105.9926592</v>
      </c>
      <c r="DT975" s="121" t="n">
        <f aca="false">MIN((DT299+DT300)*$C$5, $F$15)*'⑫ Roll-out Plan'!$O$34</f>
        <v>6785.489792</v>
      </c>
      <c r="DU975" s="121" t="n">
        <f aca="false">MIN((DU299+DU300)*$C$5, $F$15)*'⑫ Roll-out Plan'!$O$34</f>
        <v>8159.9128672</v>
      </c>
      <c r="DV975" s="121" t="n">
        <f aca="false">MIN((DV299+DV300)*$C$5, $F$15)*'⑫ Roll-out Plan'!$O$34</f>
        <v>6626.3453328</v>
      </c>
      <c r="DW975" s="121" t="n">
        <f aca="false">MIN((DW299+DW300)*$C$5, $F$15)*'⑫ Roll-out Plan'!$O$34</f>
        <v>9901.529152</v>
      </c>
      <c r="DX975" s="121" t="n">
        <f aca="false">MIN((DX299+DX300)*$C$5, $F$15)*'⑫ Roll-out Plan'!$O$34</f>
        <v>9905.0810336</v>
      </c>
      <c r="DY975" s="121" t="n">
        <f aca="false">MIN((DY299+DY300)*$C$5, $F$15)*'⑫ Roll-out Plan'!$O$34</f>
        <v>9480.2201568</v>
      </c>
      <c r="DZ975" s="121" t="n">
        <f aca="false">MIN((DZ299+DZ300)*$C$5, $F$15)*'⑫ Roll-out Plan'!$O$34</f>
        <v>8562.4155024</v>
      </c>
      <c r="EA975" s="121" t="n">
        <f aca="false">MIN((EA299+EA300)*$C$5, $F$15)*'⑫ Roll-out Plan'!$O$34</f>
        <v>9622.4505248</v>
      </c>
      <c r="EB975" s="121" t="n">
        <f aca="false">MIN((EB299+EB300)*$C$5, $F$15)*'⑫ Roll-out Plan'!$O$34</f>
        <v>15425.8528096</v>
      </c>
      <c r="EC975" s="121" t="n">
        <f aca="false">MIN((EC299+EC300)*$C$5, $F$15)*'⑫ Roll-out Plan'!$O$34</f>
        <v>15277.5733856</v>
      </c>
      <c r="ED975" s="121" t="n">
        <f aca="false">MIN((ED299+ED300)*$C$5, $F$15)*'⑫ Roll-out Plan'!$O$34</f>
        <v>13220.5298512</v>
      </c>
      <c r="EE975" s="121" t="n">
        <f aca="false">MIN((EE299+EE300)*$C$5, $F$15)*'⑫ Roll-out Plan'!$O$34</f>
        <v>12892.9889792</v>
      </c>
      <c r="EF975" s="121" t="n">
        <f aca="false">MIN((EF299+EF300)*$C$5, $F$15)*'⑫ Roll-out Plan'!$O$34</f>
        <v>18305.0948928</v>
      </c>
      <c r="EG975" s="121" t="n">
        <f aca="false">MIN((EG299+EG300)*$C$5, $F$15)*'⑫ Roll-out Plan'!$O$34</f>
        <v>20191.37745392</v>
      </c>
      <c r="EH975" s="121" t="n">
        <f aca="false">MIN((EH299+EH300)*$C$5, $F$15)*'⑫ Roll-out Plan'!$O$34</f>
        <v>17596.86521216</v>
      </c>
      <c r="EI975" s="121" t="n">
        <f aca="false">MIN((EI299+EI300)*$C$5, $F$15)*'⑫ Roll-out Plan'!$O$34</f>
        <v>23141.7727216</v>
      </c>
      <c r="EJ975" s="121" t="n">
        <f aca="false">MIN((EJ299+EJ300)*$C$5, $F$15)*'⑫ Roll-out Plan'!$O$34</f>
        <v>24415.20292928</v>
      </c>
      <c r="EK975" s="121" t="n">
        <f aca="false">MIN((EK299+EK300)*$C$5, $F$15)*'⑫ Roll-out Plan'!$O$34</f>
        <v>21610.18586528</v>
      </c>
      <c r="EL975" s="121" t="n">
        <f aca="false">MIN((EL299+EL300)*$C$5, $F$15)*'⑫ Roll-out Plan'!$O$34</f>
        <v>20197.55408296</v>
      </c>
      <c r="EM975" s="121" t="n">
        <f aca="false">MIN((EM299+EM300)*$C$5, $F$15)*'⑫ Roll-out Plan'!$O$34</f>
        <v>20983.41893812</v>
      </c>
      <c r="EN975" s="121" t="n">
        <f aca="false">MIN((EN299+EN300)*$C$5, $F$15)*'⑫ Roll-out Plan'!$O$34</f>
        <v>27000</v>
      </c>
      <c r="EO975" s="121" t="n">
        <f aca="false">MIN((EO299+EO300)*$C$5, $F$15)*'⑫ Roll-out Plan'!$O$34</f>
        <v>27000</v>
      </c>
      <c r="EP975" s="121" t="n">
        <f aca="false">MIN((EP299+EP300)*$C$5, $F$15)*'⑫ Roll-out Plan'!$O$34</f>
        <v>27000</v>
      </c>
      <c r="EQ975" s="121" t="n">
        <f aca="false">MIN((EQ299+EQ300)*$C$5, $F$15)*'⑫ Roll-out Plan'!$O$34</f>
        <v>22305.60589432</v>
      </c>
      <c r="ER975" s="121" t="n">
        <f aca="false">MIN((ER299+ER300)*$C$5, $F$15)*'⑫ Roll-out Plan'!$O$34</f>
        <v>27000</v>
      </c>
      <c r="ES975" s="9" t="n">
        <f aca="false">MIN((ES299+ES300)*$C$5, $F$15)*'⑫ Roll-out Plan'!$O$34</f>
        <v>27000</v>
      </c>
      <c r="ET975" s="9" t="n">
        <f aca="false">MIN((ET299+ET300)*$C$5, $F$15)*'⑫ Roll-out Plan'!$O$34</f>
        <v>26840.21577492</v>
      </c>
      <c r="EU975" s="9" t="n">
        <f aca="false">MIN((EU299+EU300)*$C$5, $F$15)*'⑫ Roll-out Plan'!$O$34</f>
        <v>27000</v>
      </c>
      <c r="EV975" s="9" t="n">
        <f aca="false">MIN((EV299+EV300)*$C$5, $F$15)*'⑫ Roll-out Plan'!$O$34</f>
        <v>27000</v>
      </c>
      <c r="EW975" s="9" t="n">
        <f aca="false">MIN((EW299+EW300)*$C$5, $F$15)*'⑫ Roll-out Plan'!$O$34</f>
        <v>27000</v>
      </c>
      <c r="EX975" s="9" t="n">
        <f aca="false">MIN((EX299+EX300)*$C$5, $F$15)*'⑫ Roll-out Plan'!$O$34</f>
        <v>27000</v>
      </c>
      <c r="EY975" s="9" t="n">
        <f aca="false">MIN((EY299+EY300)*$C$5, $F$15)*'⑫ Roll-out Plan'!$O$34</f>
        <v>27000</v>
      </c>
      <c r="EZ975" s="9" t="n">
        <f aca="false">MIN((EZ299+EZ300)*$C$5, $F$15)*'⑫ Roll-out Plan'!$O$34</f>
        <v>27000</v>
      </c>
      <c r="FA975" s="9" t="n">
        <f aca="false">MIN((FA299+FA300)*$C$5, $F$15)*'⑫ Roll-out Plan'!$O$34</f>
        <v>27000</v>
      </c>
      <c r="FB975" s="9" t="n">
        <f aca="false">MIN((FB299+FB300)*$C$5, $F$15)*'⑫ Roll-out Plan'!$O$34</f>
        <v>27000</v>
      </c>
      <c r="FC975" s="9" t="n">
        <f aca="false">MIN((FC299+FC300)*$C$5, $F$15)*'⑫ Roll-out Plan'!$O$34</f>
        <v>27000</v>
      </c>
      <c r="FD975" s="9" t="n">
        <f aca="false">MIN((FD299+FD300)*$C$5, $F$15)*'⑫ Roll-out Plan'!$O$34</f>
        <v>27000</v>
      </c>
      <c r="FE975" s="9" t="n">
        <f aca="false">MIN((FE299+FE300)*$C$5, $F$15)*'⑫ Roll-out Plan'!$O$34</f>
        <v>27000</v>
      </c>
      <c r="FF975" s="9" t="n">
        <f aca="false">MIN((FF299+FF300)*$C$5, $F$15)*'⑫ Roll-out Plan'!$O$34</f>
        <v>27000</v>
      </c>
      <c r="FG975" s="9" t="n">
        <f aca="false">MIN((FG299+FG300)*$C$5, $F$15)*'⑫ Roll-out Plan'!$O$34</f>
        <v>27000</v>
      </c>
      <c r="FH975" s="9" t="n">
        <f aca="false">MIN((FH299+FH300)*$C$5, $F$15)*'⑫ Roll-out Plan'!$O$34</f>
        <v>27000</v>
      </c>
      <c r="FI975" s="9" t="n">
        <f aca="false">MIN((FI299+FI300)*$C$5, $F$15)*'⑫ Roll-out Plan'!$O$34</f>
        <v>27000</v>
      </c>
      <c r="FJ975" s="9" t="n">
        <f aca="false">MIN((FJ299+FJ300)*$C$5, $F$15)*'⑫ Roll-out Plan'!$O$34</f>
        <v>27000</v>
      </c>
      <c r="FK975" s="9" t="n">
        <f aca="false">MIN((FK299+FK300)*$C$5, $F$15)*'⑫ Roll-out Plan'!$O$34</f>
        <v>27000</v>
      </c>
      <c r="FL975" s="9" t="n">
        <f aca="false">MIN((FL299+FL300)*$C$5, $F$15)*'⑫ Roll-out Plan'!$O$34</f>
        <v>27000</v>
      </c>
      <c r="FM975" s="9" t="n">
        <f aca="false">MIN((FM299+FM300)*$C$5, $F$15)*'⑫ Roll-out Plan'!$O$34</f>
        <v>27000</v>
      </c>
      <c r="FN975" s="9" t="n">
        <f aca="false">MIN((FN299+FN300)*$C$5, $F$15)*'⑫ Roll-out Plan'!$O$34</f>
        <v>27000</v>
      </c>
      <c r="FO975" s="9" t="n">
        <f aca="false">MIN((FO299+FO300)*$C$5, $F$15)*'⑫ Roll-out Plan'!$O$34</f>
        <v>27000</v>
      </c>
      <c r="FP975" s="9" t="n">
        <f aca="false">MIN((FP299+FP300)*$C$5, $F$15)*'⑫ Roll-out Plan'!$O$34</f>
        <v>27000</v>
      </c>
    </row>
    <row r="976" customFormat="false" ht="15" hidden="false" customHeight="false" outlineLevel="0" collapsed="false">
      <c r="B976" s="254" t="s">
        <v>1001</v>
      </c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121" t="n">
        <f aca="false">MIN((AC309+AC310)*$C$5, $F$14)*'⑫ Roll-out Plan'!$O$35</f>
        <v>0</v>
      </c>
      <c r="AD976" s="121" t="n">
        <f aca="false">MIN((AD309+AD310)*$C$5, $F$14)*'⑫ Roll-out Plan'!$O$35</f>
        <v>0</v>
      </c>
      <c r="AE976" s="121" t="n">
        <f aca="false">MIN((AE309+AE310)*$C$5, $F$14)*'⑫ Roll-out Plan'!$O$35</f>
        <v>0</v>
      </c>
      <c r="AF976" s="121" t="n">
        <f aca="false">MIN((AF309+AF310)*$C$5, $F$14)*'⑫ Roll-out Plan'!$O$35</f>
        <v>0</v>
      </c>
      <c r="AG976" s="121" t="n">
        <f aca="false">MIN((AG309+AG310)*$C$5, $F$14)*'⑫ Roll-out Plan'!$O$35</f>
        <v>0</v>
      </c>
      <c r="AH976" s="121" t="n">
        <f aca="false">MIN((AH309+AH310)*$C$5, $F$14)*'⑫ Roll-out Plan'!$O$35</f>
        <v>0</v>
      </c>
      <c r="AI976" s="121" t="n">
        <f aca="false">MIN((AI309+AI310)*$C$5, $F$14)*'⑫ Roll-out Plan'!$O$35</f>
        <v>0</v>
      </c>
      <c r="AJ976" s="121" t="n">
        <f aca="false">MIN((AJ309+AJ310)*$C$5, $F$14)*'⑫ Roll-out Plan'!$O$35</f>
        <v>0</v>
      </c>
      <c r="AK976" s="121" t="n">
        <f aca="false">MIN((AK309+AK310)*$C$5, $F$14)*'⑫ Roll-out Plan'!$O$35</f>
        <v>0</v>
      </c>
      <c r="AL976" s="121" t="n">
        <f aca="false">MIN((AL309+AL310)*$C$5, $F$14)*'⑫ Roll-out Plan'!$O$35</f>
        <v>0</v>
      </c>
      <c r="AM976" s="121" t="n">
        <f aca="false">MIN((AM309+AM310)*$C$5, $F$14)*'⑫ Roll-out Plan'!$O$35</f>
        <v>0</v>
      </c>
      <c r="AN976" s="121" t="n">
        <f aca="false">MIN((AN309+AN310)*$C$5, $F$14)*'⑫ Roll-out Plan'!$O$35</f>
        <v>0</v>
      </c>
      <c r="AO976" s="121" t="n">
        <f aca="false">MIN((AO309+AO310)*$C$5, $F$14)*'⑫ Roll-out Plan'!$O$35</f>
        <v>0</v>
      </c>
      <c r="AP976" s="121" t="n">
        <f aca="false">MIN((AP309+AP310)*$C$5, $F$14)*'⑫ Roll-out Plan'!$O$35</f>
        <v>0</v>
      </c>
      <c r="AQ976" s="121" t="n">
        <f aca="false">MIN((AQ309+AQ310)*$C$5, $F$14)*'⑫ Roll-out Plan'!$O$35</f>
        <v>0</v>
      </c>
      <c r="AR976" s="121" t="n">
        <f aca="false">MIN((AR309+AR310)*$C$5, $F$14)*'⑫ Roll-out Plan'!$O$35</f>
        <v>0</v>
      </c>
      <c r="AS976" s="121" t="n">
        <f aca="false">MIN((AS309+AS310)*$C$5, $F$14)*'⑫ Roll-out Plan'!$O$35</f>
        <v>0</v>
      </c>
      <c r="AT976" s="121" t="n">
        <f aca="false">MIN((AT309+AT310)*$C$5, $F$14)*'⑫ Roll-out Plan'!$O$35</f>
        <v>0</v>
      </c>
      <c r="AU976" s="121" t="n">
        <f aca="false">MIN((AU309+AU310)*$C$5, $F$14)*'⑫ Roll-out Plan'!$O$35</f>
        <v>0</v>
      </c>
      <c r="AV976" s="121" t="n">
        <f aca="false">MIN((AV309+AV310)*$C$5, $F$14)*'⑫ Roll-out Plan'!$O$35</f>
        <v>0</v>
      </c>
      <c r="AW976" s="121" t="n">
        <f aca="false">MIN((AW309+AW310)*$C$5, $F$14)*'⑫ Roll-out Plan'!$O$35</f>
        <v>0</v>
      </c>
      <c r="AX976" s="121" t="n">
        <f aca="false">MIN((AX309+AX310)*$C$5, $F$14)*'⑫ Roll-out Plan'!$O$35</f>
        <v>0</v>
      </c>
      <c r="AY976" s="121" t="n">
        <f aca="false">MIN((AY309+AY310)*$C$5, $F$14)*'⑫ Roll-out Plan'!$O$35</f>
        <v>0</v>
      </c>
      <c r="AZ976" s="121" t="n">
        <f aca="false">MIN((AZ309+AZ310)*$C$5, $F$14)*'⑫ Roll-out Plan'!$O$35</f>
        <v>0</v>
      </c>
      <c r="BA976" s="121" t="n">
        <f aca="false">MIN((BA309+BA310)*$C$5, $F$14)*'⑫ Roll-out Plan'!$O$35</f>
        <v>0</v>
      </c>
      <c r="BB976" s="121" t="n">
        <f aca="false">MIN((BB309+BB310)*$C$5, $F$14)*'⑫ Roll-out Plan'!$O$35</f>
        <v>0</v>
      </c>
      <c r="BC976" s="121" t="n">
        <f aca="false">MIN((BC309+BC310)*$C$5, $F$14)*'⑫ Roll-out Plan'!$O$35</f>
        <v>0</v>
      </c>
      <c r="BD976" s="121" t="n">
        <f aca="false">MIN((BD309+BD310)*$C$5, $F$14)*'⑫ Roll-out Plan'!$O$35</f>
        <v>0</v>
      </c>
      <c r="BE976" s="121" t="n">
        <f aca="false">MIN((BE309+BE310)*$C$5, $F$14)*'⑫ Roll-out Plan'!$O$35</f>
        <v>0</v>
      </c>
      <c r="BF976" s="121" t="n">
        <f aca="false">MIN((BF309+BF310)*$C$5, $F$14)*'⑫ Roll-out Plan'!$O$35</f>
        <v>0</v>
      </c>
      <c r="BG976" s="121" t="n">
        <f aca="false">MIN((BG309+BG310)*$C$5, $F$14)*'⑫ Roll-out Plan'!$O$35</f>
        <v>0</v>
      </c>
      <c r="BH976" s="121" t="n">
        <f aca="false">MIN((BH309+BH310)*$C$5, $F$14)*'⑫ Roll-out Plan'!$O$35</f>
        <v>0</v>
      </c>
      <c r="BI976" s="121" t="n">
        <f aca="false">MIN((BI309+BI310)*$C$5, $F$14)*'⑫ Roll-out Plan'!$O$35</f>
        <v>0</v>
      </c>
      <c r="BJ976" s="121" t="n">
        <f aca="false">MIN((BJ309+BJ310)*$C$5, $F$14)*'⑫ Roll-out Plan'!$O$35</f>
        <v>0</v>
      </c>
      <c r="BK976" s="121" t="n">
        <f aca="false">MIN((BK309+BK310)*$C$5, $F$14)*'⑫ Roll-out Plan'!$O$35</f>
        <v>0</v>
      </c>
      <c r="BL976" s="121" t="n">
        <f aca="false">MIN((BL309+BL310)*$C$5, $F$14)*'⑫ Roll-out Plan'!$O$35</f>
        <v>0</v>
      </c>
      <c r="BM976" s="121" t="n">
        <f aca="false">MIN((BM309+BM310)*$C$5, $F$14)*'⑫ Roll-out Plan'!$O$35</f>
        <v>0</v>
      </c>
      <c r="BN976" s="121" t="n">
        <f aca="false">MIN((BN309+BN310)*$C$5, $F$14)*'⑫ Roll-out Plan'!$O$35</f>
        <v>0</v>
      </c>
      <c r="BO976" s="121" t="n">
        <f aca="false">MIN((BO309+BO310)*$C$5, $F$14)*'⑫ Roll-out Plan'!$O$35</f>
        <v>0</v>
      </c>
      <c r="BP976" s="121" t="n">
        <f aca="false">MIN((BP309+BP310)*$C$5, $F$14)*'⑫ Roll-out Plan'!$O$35</f>
        <v>0</v>
      </c>
      <c r="BQ976" s="121" t="n">
        <f aca="false">MIN((BQ309+BQ310)*$C$5, $F$14)*'⑫ Roll-out Plan'!$O$35</f>
        <v>0</v>
      </c>
      <c r="BR976" s="121" t="n">
        <f aca="false">MIN((BR309+BR310)*$C$5, $F$14)*'⑫ Roll-out Plan'!$O$35</f>
        <v>0</v>
      </c>
      <c r="BS976" s="121" t="n">
        <f aca="false">MIN((BS309+BS310)*$C$5, $F$14)*'⑫ Roll-out Plan'!$O$35</f>
        <v>0</v>
      </c>
      <c r="BT976" s="121" t="n">
        <f aca="false">MIN((BT309+BT310)*$C$5, $F$14)*'⑫ Roll-out Plan'!$O$35</f>
        <v>0</v>
      </c>
      <c r="BU976" s="121" t="n">
        <f aca="false">MIN((BU309+BU310)*$C$5, $F$14)*'⑫ Roll-out Plan'!$O$35</f>
        <v>0</v>
      </c>
      <c r="BV976" s="121" t="n">
        <f aca="false">MIN((BV309+BV310)*$C$5, $F$14)*'⑫ Roll-out Plan'!$O$35</f>
        <v>0</v>
      </c>
      <c r="BW976" s="121" t="n">
        <f aca="false">MIN((BW309+BW310)*$C$5, $F$14)*'⑫ Roll-out Plan'!$O$35</f>
        <v>0</v>
      </c>
      <c r="BX976" s="121" t="n">
        <f aca="false">MIN((BX309+BX310)*$C$5, $F$14)*'⑫ Roll-out Plan'!$O$35</f>
        <v>0</v>
      </c>
      <c r="BY976" s="121" t="n">
        <f aca="false">MIN((BY309+BY310)*$C$5, $F$14)*'⑫ Roll-out Plan'!$O$35</f>
        <v>0</v>
      </c>
      <c r="BZ976" s="121" t="n">
        <f aca="false">MIN((BZ309+BZ310)*$C$5, $F$14)*'⑫ Roll-out Plan'!$O$35</f>
        <v>0</v>
      </c>
      <c r="CA976" s="121" t="n">
        <f aca="false">MIN((CA309+CA310)*$C$5, $F$14)*'⑫ Roll-out Plan'!$O$35</f>
        <v>0</v>
      </c>
      <c r="CB976" s="121" t="n">
        <f aca="false">MIN((CB309+CB310)*$C$5, $F$14)*'⑫ Roll-out Plan'!$O$35</f>
        <v>0</v>
      </c>
      <c r="CC976" s="121" t="n">
        <f aca="false">MIN((CC309+CC310)*$C$5, $F$14)*'⑫ Roll-out Plan'!$O$35</f>
        <v>0</v>
      </c>
      <c r="CD976" s="121" t="n">
        <f aca="false">MIN((CD309+CD310)*$C$5, $F$14)*'⑫ Roll-out Plan'!$O$35</f>
        <v>0</v>
      </c>
      <c r="CE976" s="121" t="n">
        <f aca="false">MIN((CE309+CE310)*$C$5, $F$14)*'⑫ Roll-out Plan'!$O$35</f>
        <v>0</v>
      </c>
      <c r="CF976" s="121" t="n">
        <f aca="false">MIN((CF309+CF310)*$C$5, $F$14)*'⑫ Roll-out Plan'!$O$35</f>
        <v>0</v>
      </c>
      <c r="CG976" s="121" t="n">
        <f aca="false">MIN((CG309+CG310)*$C$5, $F$14)*'⑫ Roll-out Plan'!$O$35</f>
        <v>0</v>
      </c>
      <c r="CH976" s="121" t="n">
        <f aca="false">MIN((CH309+CH310)*$C$5, $F$14)*'⑫ Roll-out Plan'!$O$35</f>
        <v>0</v>
      </c>
      <c r="CI976" s="121" t="n">
        <f aca="false">MIN((CI309+CI310)*$C$5, $F$14)*'⑫ Roll-out Plan'!$O$35</f>
        <v>0</v>
      </c>
      <c r="CJ976" s="121" t="n">
        <f aca="false">MIN((CJ309+CJ310)*$C$5, $F$14)*'⑫ Roll-out Plan'!$O$35</f>
        <v>0</v>
      </c>
      <c r="CK976" s="121" t="n">
        <f aca="false">MIN((CK309+CK310)*$C$5, $F$14)*'⑫ Roll-out Plan'!$O$35</f>
        <v>0</v>
      </c>
      <c r="CL976" s="121" t="n">
        <f aca="false">MIN((CL309+CL310)*$C$5, $F$14)*'⑫ Roll-out Plan'!$O$35</f>
        <v>0</v>
      </c>
      <c r="CM976" s="121" t="n">
        <f aca="false">MIN((CM309+CM310)*$C$5, $F$14)*'⑫ Roll-out Plan'!$O$35</f>
        <v>0</v>
      </c>
      <c r="CN976" s="121" t="n">
        <f aca="false">MIN((CN309+CN310)*$C$5, $F$14)*'⑫ Roll-out Plan'!$O$35</f>
        <v>0</v>
      </c>
      <c r="CO976" s="121" t="n">
        <f aca="false">MIN((CO309+CO310)*$C$5, $F$14)*'⑫ Roll-out Plan'!$O$35</f>
        <v>0</v>
      </c>
      <c r="CP976" s="121" t="n">
        <f aca="false">MIN((CP309+CP310)*$C$5, $F$14)*'⑫ Roll-out Plan'!$O$35</f>
        <v>0</v>
      </c>
      <c r="CQ976" s="121" t="n">
        <f aca="false">MIN((CQ309+CQ310)*$C$5, $F$14)*'⑫ Roll-out Plan'!$O$35</f>
        <v>0</v>
      </c>
      <c r="CR976" s="121" t="n">
        <f aca="false">MIN((CR309+CR310)*$C$5, $F$14)*'⑫ Roll-out Plan'!$O$35</f>
        <v>0</v>
      </c>
      <c r="CS976" s="121" t="n">
        <f aca="false">MIN((CS309+CS310)*$C$5, $F$14)*'⑫ Roll-out Plan'!$O$35</f>
        <v>0</v>
      </c>
      <c r="CT976" s="121" t="n">
        <f aca="false">MIN((CT309+CT310)*$C$5, $F$14)*'⑫ Roll-out Plan'!$O$35</f>
        <v>0</v>
      </c>
      <c r="CU976" s="121" t="n">
        <f aca="false">MIN((CU309+CU310)*$C$5, $F$14)*'⑫ Roll-out Plan'!$O$35</f>
        <v>0</v>
      </c>
      <c r="CV976" s="121" t="n">
        <f aca="false">MIN((CV309+CV310)*$C$5, $F$14)*'⑫ Roll-out Plan'!$O$35</f>
        <v>0</v>
      </c>
      <c r="CW976" s="121" t="n">
        <f aca="false">MIN((CW309+CW310)*$C$5, $F$14)*'⑫ Roll-out Plan'!$O$35</f>
        <v>0</v>
      </c>
      <c r="CX976" s="121" t="n">
        <f aca="false">MIN((CX309+CX310)*$C$5, $F$14)*'⑫ Roll-out Plan'!$O$35</f>
        <v>0</v>
      </c>
      <c r="CY976" s="121" t="n">
        <f aca="false">MIN((CY309+CY310)*$C$5, $F$14)*'⑫ Roll-out Plan'!$O$35</f>
        <v>0</v>
      </c>
      <c r="CZ976" s="121" t="n">
        <f aca="false">MIN((CZ309+CZ310)*$C$5, $F$14)*'⑫ Roll-out Plan'!$O$35</f>
        <v>0</v>
      </c>
      <c r="DA976" s="121" t="n">
        <f aca="false">MIN((DA309+DA310)*$C$5, $F$14)*'⑫ Roll-out Plan'!$O$35</f>
        <v>0</v>
      </c>
      <c r="DB976" s="121" t="n">
        <f aca="false">MIN((DB309+DB310)*$C$5, $F$14)*'⑫ Roll-out Plan'!$O$35</f>
        <v>0</v>
      </c>
      <c r="DC976" s="121" t="n">
        <f aca="false">MIN((DC309+DC310)*$C$5, $F$14)*'⑫ Roll-out Plan'!$O$35</f>
        <v>0</v>
      </c>
      <c r="DD976" s="121" t="n">
        <f aca="false">MIN((DD309+DD310)*$C$5, $F$14)*'⑫ Roll-out Plan'!$O$35</f>
        <v>0</v>
      </c>
      <c r="DE976" s="121" t="n">
        <f aca="false">MIN((DE309+DE310)*$C$5, $F$14)*'⑫ Roll-out Plan'!$O$35</f>
        <v>0</v>
      </c>
      <c r="DF976" s="121" t="n">
        <f aca="false">MIN((DF309+DF310)*$C$5, $F$14)*'⑫ Roll-out Plan'!$O$35</f>
        <v>0</v>
      </c>
      <c r="DG976" s="121" t="n">
        <f aca="false">MIN((DG309+DG310)*$C$5, $F$14)*'⑫ Roll-out Plan'!$O$35</f>
        <v>0</v>
      </c>
      <c r="DH976" s="121" t="n">
        <f aca="false">MIN((DH309+DH310)*$C$5, $F$14)*'⑫ Roll-out Plan'!$O$35</f>
        <v>0</v>
      </c>
      <c r="DI976" s="121" t="n">
        <f aca="false">MIN((DI309+DI310)*$C$5, $F$14)*'⑫ Roll-out Plan'!$O$35</f>
        <v>0</v>
      </c>
      <c r="DJ976" s="121" t="n">
        <f aca="false">MIN((DJ309+DJ310)*$C$5, $F$14)*'⑫ Roll-out Plan'!$O$35</f>
        <v>0</v>
      </c>
      <c r="DK976" s="121" t="n">
        <f aca="false">MIN((DK309+DK310)*$C$5, $F$14)*'⑫ Roll-out Plan'!$O$35</f>
        <v>0</v>
      </c>
      <c r="DL976" s="121" t="n">
        <f aca="false">MIN((DL309+DL310)*$C$5, $F$14)*'⑫ Roll-out Plan'!$O$35</f>
        <v>6052.2</v>
      </c>
      <c r="DM976" s="121" t="n">
        <f aca="false">MIN((DM309+DM310)*$C$5, $F$14)*'⑫ Roll-out Plan'!$O$35</f>
        <v>6342.7056</v>
      </c>
      <c r="DN976" s="121" t="n">
        <f aca="false">MIN((DN309+DN310)*$C$5, $F$14)*'⑫ Roll-out Plan'!$O$35</f>
        <v>5660.985792</v>
      </c>
      <c r="DO976" s="121" t="n">
        <f aca="false">MIN((DO309+DO310)*$C$5, $F$14)*'⑫ Roll-out Plan'!$O$35</f>
        <v>6399.3277824</v>
      </c>
      <c r="DP976" s="121" t="n">
        <f aca="false">MIN((DP309+DP310)*$C$5, $F$14)*'⑫ Roll-out Plan'!$O$35</f>
        <v>10372.7049216</v>
      </c>
      <c r="DQ976" s="121" t="n">
        <f aca="false">MIN((DQ309+DQ310)*$C$5, $F$14)*'⑫ Roll-out Plan'!$O$35</f>
        <v>10151.6213568</v>
      </c>
      <c r="DR976" s="121" t="n">
        <f aca="false">MIN((DR309+DR310)*$C$5, $F$14)*'⑫ Roll-out Plan'!$O$35</f>
        <v>8667.1729536</v>
      </c>
      <c r="DS976" s="121" t="n">
        <f aca="false">MIN((DS309+DS310)*$C$5, $F$14)*'⑫ Roll-out Plan'!$O$35</f>
        <v>7655.6324544</v>
      </c>
      <c r="DT976" s="121" t="n">
        <f aca="false">MIN((DT309+DT310)*$C$5, $F$14)*'⑫ Roll-out Plan'!$O$35</f>
        <v>10117.73784</v>
      </c>
      <c r="DU976" s="121" t="n">
        <f aca="false">MIN((DU309+DU310)*$C$5, $F$14)*'⑫ Roll-out Plan'!$O$35</f>
        <v>12169.2091584</v>
      </c>
      <c r="DV976" s="121" t="n">
        <f aca="false">MIN((DV309+DV310)*$C$5, $F$14)*'⑫ Roll-out Plan'!$O$35</f>
        <v>10007.9883456</v>
      </c>
      <c r="DW976" s="121" t="n">
        <f aca="false">MIN((DW309+DW310)*$C$5, $F$14)*'⑫ Roll-out Plan'!$O$35</f>
        <v>14362.8785664</v>
      </c>
      <c r="DX976" s="121" t="n">
        <f aca="false">MIN((DX309+DX310)*$C$5, $F$14)*'⑫ Roll-out Plan'!$O$35</f>
        <v>14474.9785152</v>
      </c>
      <c r="DY976" s="121" t="n">
        <f aca="false">MIN((DY309+DY310)*$C$5, $F$14)*'⑫ Roll-out Plan'!$O$35</f>
        <v>14011.701312</v>
      </c>
      <c r="DZ976" s="121" t="n">
        <f aca="false">MIN((DZ309+DZ310)*$C$5, $F$14)*'⑫ Roll-out Plan'!$O$35</f>
        <v>12631.4827968</v>
      </c>
      <c r="EA976" s="121" t="n">
        <f aca="false">MIN((EA309+EA310)*$C$5, $F$14)*'⑫ Roll-out Plan'!$O$35</f>
        <v>16165.4746176</v>
      </c>
      <c r="EB976" s="121" t="n">
        <f aca="false">MIN((EB309+EB310)*$C$5, $F$14)*'⑫ Roll-out Plan'!$O$35</f>
        <v>27843.5004288</v>
      </c>
      <c r="EC976" s="121" t="n">
        <f aca="false">MIN((EC309+EC310)*$C$5, $F$14)*'⑫ Roll-out Plan'!$O$35</f>
        <v>25093.55417184</v>
      </c>
      <c r="ED976" s="121" t="n">
        <f aca="false">MIN((ED309+ED310)*$C$5, $F$14)*'⑫ Roll-out Plan'!$O$35</f>
        <v>22865.09891904</v>
      </c>
      <c r="EE976" s="121" t="n">
        <f aca="false">MIN((EE309+EE310)*$C$5, $F$14)*'⑫ Roll-out Plan'!$O$35</f>
        <v>18478.44851328</v>
      </c>
      <c r="EF976" s="121" t="n">
        <f aca="false">MIN((EF309+EF310)*$C$5, $F$14)*'⑫ Roll-out Plan'!$O$35</f>
        <v>25029.43254336</v>
      </c>
      <c r="EG976" s="121" t="n">
        <f aca="false">MIN((EG309+EG310)*$C$5, $F$14)*'⑫ Roll-out Plan'!$O$35</f>
        <v>27457.65793344</v>
      </c>
      <c r="EH976" s="121" t="n">
        <f aca="false">MIN((EH309+EH310)*$C$5, $F$14)*'⑫ Roll-out Plan'!$O$35</f>
        <v>23575.1214552</v>
      </c>
      <c r="EI976" s="121" t="n">
        <f aca="false">MIN((EI309+EI310)*$C$5, $F$14)*'⑫ Roll-out Plan'!$O$35</f>
        <v>30619.16391408</v>
      </c>
      <c r="EJ976" s="121" t="n">
        <f aca="false">MIN((EJ309+EJ310)*$C$5, $F$14)*'⑫ Roll-out Plan'!$O$35</f>
        <v>31674.8093256</v>
      </c>
      <c r="EK976" s="121" t="n">
        <f aca="false">MIN((EK309+EK310)*$C$5, $F$14)*'⑫ Roll-out Plan'!$O$35</f>
        <v>28180.9149804</v>
      </c>
      <c r="EL976" s="121" t="n">
        <f aca="false">MIN((EL309+EL310)*$C$5, $F$14)*'⑫ Roll-out Plan'!$O$35</f>
        <v>26349.87182856</v>
      </c>
      <c r="EM976" s="121" t="n">
        <f aca="false">MIN((EM309+EM310)*$C$5, $F$14)*'⑫ Roll-out Plan'!$O$35</f>
        <v>27336.19226016</v>
      </c>
      <c r="EN976" s="121" t="n">
        <f aca="false">MIN((EN309+EN310)*$C$5, $F$14)*'⑫ Roll-out Plan'!$O$35</f>
        <v>35000</v>
      </c>
      <c r="EO976" s="121" t="n">
        <f aca="false">MIN((EO309+EO310)*$C$5, $F$14)*'⑫ Roll-out Plan'!$O$35</f>
        <v>35000</v>
      </c>
      <c r="EP976" s="121" t="n">
        <f aca="false">MIN((EP309+EP310)*$C$5, $F$14)*'⑫ Roll-out Plan'!$O$35</f>
        <v>34324.67090136</v>
      </c>
      <c r="EQ976" s="121" t="n">
        <f aca="false">MIN((EQ309+EQ310)*$C$5, $F$14)*'⑫ Roll-out Plan'!$O$35</f>
        <v>28905.95621592</v>
      </c>
      <c r="ER976" s="121" t="n">
        <f aca="false">MIN((ER309+ER310)*$C$5, $F$14)*'⑫ Roll-out Plan'!$O$35</f>
        <v>35000</v>
      </c>
      <c r="ES976" s="9" t="n">
        <f aca="false">MIN((ES309+ES310)*$C$5, $F$14)*'⑫ Roll-out Plan'!$O$35</f>
        <v>35000</v>
      </c>
      <c r="ET976" s="9" t="n">
        <f aca="false">MIN((ET309+ET310)*$C$5, $F$14)*'⑫ Roll-out Plan'!$O$35</f>
        <v>34115.78328984</v>
      </c>
      <c r="EU976" s="9" t="n">
        <f aca="false">MIN((EU309+EU310)*$C$5, $F$14)*'⑫ Roll-out Plan'!$O$35</f>
        <v>35000</v>
      </c>
      <c r="EV976" s="9" t="n">
        <f aca="false">MIN((EV309+EV310)*$C$5, $F$14)*'⑫ Roll-out Plan'!$O$35</f>
        <v>35000</v>
      </c>
      <c r="EW976" s="9" t="n">
        <f aca="false">MIN((EW309+EW310)*$C$5, $F$14)*'⑫ Roll-out Plan'!$O$35</f>
        <v>35000</v>
      </c>
      <c r="EX976" s="9" t="n">
        <f aca="false">MIN((EX309+EX310)*$C$5, $F$14)*'⑫ Roll-out Plan'!$O$35</f>
        <v>35000</v>
      </c>
      <c r="EY976" s="9" t="n">
        <f aca="false">MIN((EY309+EY310)*$C$5, $F$14)*'⑫ Roll-out Plan'!$O$35</f>
        <v>35000</v>
      </c>
      <c r="EZ976" s="9" t="n">
        <f aca="false">MIN((EZ309+EZ310)*$C$5, $F$14)*'⑫ Roll-out Plan'!$O$35</f>
        <v>35000</v>
      </c>
      <c r="FA976" s="9" t="n">
        <f aca="false">MIN((FA309+FA310)*$C$5, $F$14)*'⑫ Roll-out Plan'!$O$35</f>
        <v>35000</v>
      </c>
      <c r="FB976" s="9" t="n">
        <f aca="false">MIN((FB309+FB310)*$C$5, $F$14)*'⑫ Roll-out Plan'!$O$35</f>
        <v>35000</v>
      </c>
      <c r="FC976" s="9" t="n">
        <f aca="false">MIN((FC309+FC310)*$C$5, $F$14)*'⑫ Roll-out Plan'!$O$35</f>
        <v>35000</v>
      </c>
      <c r="FD976" s="9" t="n">
        <f aca="false">MIN((FD309+FD310)*$C$5, $F$14)*'⑫ Roll-out Plan'!$O$35</f>
        <v>35000</v>
      </c>
      <c r="FE976" s="9" t="n">
        <f aca="false">MIN((FE309+FE310)*$C$5, $F$14)*'⑫ Roll-out Plan'!$O$35</f>
        <v>35000</v>
      </c>
      <c r="FF976" s="9" t="n">
        <f aca="false">MIN((FF309+FF310)*$C$5, $F$14)*'⑫ Roll-out Plan'!$O$35</f>
        <v>35000</v>
      </c>
      <c r="FG976" s="9" t="n">
        <f aca="false">MIN((FG309+FG310)*$C$5, $F$14)*'⑫ Roll-out Plan'!$O$35</f>
        <v>35000</v>
      </c>
      <c r="FH976" s="9" t="n">
        <f aca="false">MIN((FH309+FH310)*$C$5, $F$14)*'⑫ Roll-out Plan'!$O$35</f>
        <v>35000</v>
      </c>
      <c r="FI976" s="9" t="n">
        <f aca="false">MIN((FI309+FI310)*$C$5, $F$14)*'⑫ Roll-out Plan'!$O$35</f>
        <v>35000</v>
      </c>
      <c r="FJ976" s="9" t="n">
        <f aca="false">MIN((FJ309+FJ310)*$C$5, $F$14)*'⑫ Roll-out Plan'!$O$35</f>
        <v>35000</v>
      </c>
      <c r="FK976" s="9" t="n">
        <f aca="false">MIN((FK309+FK310)*$C$5, $F$14)*'⑫ Roll-out Plan'!$O$35</f>
        <v>35000</v>
      </c>
      <c r="FL976" s="9" t="n">
        <f aca="false">MIN((FL309+FL310)*$C$5, $F$14)*'⑫ Roll-out Plan'!$O$35</f>
        <v>35000</v>
      </c>
      <c r="FM976" s="9" t="n">
        <f aca="false">MIN((FM309+FM310)*$C$5, $F$14)*'⑫ Roll-out Plan'!$O$35</f>
        <v>35000</v>
      </c>
      <c r="FN976" s="9" t="n">
        <f aca="false">MIN((FN309+FN310)*$C$5, $F$14)*'⑫ Roll-out Plan'!$O$35</f>
        <v>35000</v>
      </c>
      <c r="FO976" s="9" t="n">
        <f aca="false">MIN((FO309+FO310)*$C$5, $F$14)*'⑫ Roll-out Plan'!$O$35</f>
        <v>35000</v>
      </c>
      <c r="FP976" s="9" t="n">
        <f aca="false">MIN((FP309+FP310)*$C$5, $F$14)*'⑫ Roll-out Plan'!$O$35</f>
        <v>35000</v>
      </c>
    </row>
    <row r="977" customFormat="false" ht="15" hidden="false" customHeight="false" outlineLevel="0" collapsed="false">
      <c r="B977" s="254" t="s">
        <v>1002</v>
      </c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121" t="n">
        <f aca="false">MIN((AC319+AC320)*$C$5, $F$15)*'⑫ Roll-out Plan'!$O$36</f>
        <v>0</v>
      </c>
      <c r="AD977" s="121" t="n">
        <f aca="false">MIN((AD319+AD320)*$C$5, $F$15)*'⑫ Roll-out Plan'!$O$36</f>
        <v>0</v>
      </c>
      <c r="AE977" s="121" t="n">
        <f aca="false">MIN((AE319+AE320)*$C$5, $F$15)*'⑫ Roll-out Plan'!$O$36</f>
        <v>0</v>
      </c>
      <c r="AF977" s="121" t="n">
        <f aca="false">MIN((AF319+AF320)*$C$5, $F$15)*'⑫ Roll-out Plan'!$O$36</f>
        <v>0</v>
      </c>
      <c r="AG977" s="121" t="n">
        <f aca="false">MIN((AG319+AG320)*$C$5, $F$15)*'⑫ Roll-out Plan'!$O$36</f>
        <v>0</v>
      </c>
      <c r="AH977" s="121" t="n">
        <f aca="false">MIN((AH319+AH320)*$C$5, $F$15)*'⑫ Roll-out Plan'!$O$36</f>
        <v>0</v>
      </c>
      <c r="AI977" s="121" t="n">
        <f aca="false">MIN((AI319+AI320)*$C$5, $F$15)*'⑫ Roll-out Plan'!$O$36</f>
        <v>0</v>
      </c>
      <c r="AJ977" s="121" t="n">
        <f aca="false">MIN((AJ319+AJ320)*$C$5, $F$15)*'⑫ Roll-out Plan'!$O$36</f>
        <v>0</v>
      </c>
      <c r="AK977" s="121" t="n">
        <f aca="false">MIN((AK319+AK320)*$C$5, $F$15)*'⑫ Roll-out Plan'!$O$36</f>
        <v>0</v>
      </c>
      <c r="AL977" s="121" t="n">
        <f aca="false">MIN((AL319+AL320)*$C$5, $F$15)*'⑫ Roll-out Plan'!$O$36</f>
        <v>0</v>
      </c>
      <c r="AM977" s="121" t="n">
        <f aca="false">MIN((AM319+AM320)*$C$5, $F$15)*'⑫ Roll-out Plan'!$O$36</f>
        <v>0</v>
      </c>
      <c r="AN977" s="121" t="n">
        <f aca="false">MIN((AN319+AN320)*$C$5, $F$15)*'⑫ Roll-out Plan'!$O$36</f>
        <v>0</v>
      </c>
      <c r="AO977" s="121" t="n">
        <f aca="false">MIN((AO319+AO320)*$C$5, $F$15)*'⑫ Roll-out Plan'!$O$36</f>
        <v>0</v>
      </c>
      <c r="AP977" s="121" t="n">
        <f aca="false">MIN((AP319+AP320)*$C$5, $F$15)*'⑫ Roll-out Plan'!$O$36</f>
        <v>0</v>
      </c>
      <c r="AQ977" s="121" t="n">
        <f aca="false">MIN((AQ319+AQ320)*$C$5, $F$15)*'⑫ Roll-out Plan'!$O$36</f>
        <v>0</v>
      </c>
      <c r="AR977" s="121" t="n">
        <f aca="false">MIN((AR319+AR320)*$C$5, $F$15)*'⑫ Roll-out Plan'!$O$36</f>
        <v>0</v>
      </c>
      <c r="AS977" s="121" t="n">
        <f aca="false">MIN((AS319+AS320)*$C$5, $F$15)*'⑫ Roll-out Plan'!$O$36</f>
        <v>0</v>
      </c>
      <c r="AT977" s="121" t="n">
        <f aca="false">MIN((AT319+AT320)*$C$5, $F$15)*'⑫ Roll-out Plan'!$O$36</f>
        <v>0</v>
      </c>
      <c r="AU977" s="121" t="n">
        <f aca="false">MIN((AU319+AU320)*$C$5, $F$15)*'⑫ Roll-out Plan'!$O$36</f>
        <v>0</v>
      </c>
      <c r="AV977" s="121" t="n">
        <f aca="false">MIN((AV319+AV320)*$C$5, $F$15)*'⑫ Roll-out Plan'!$O$36</f>
        <v>0</v>
      </c>
      <c r="AW977" s="121" t="n">
        <f aca="false">MIN((AW319+AW320)*$C$5, $F$15)*'⑫ Roll-out Plan'!$O$36</f>
        <v>0</v>
      </c>
      <c r="AX977" s="121" t="n">
        <f aca="false">MIN((AX319+AX320)*$C$5, $F$15)*'⑫ Roll-out Plan'!$O$36</f>
        <v>0</v>
      </c>
      <c r="AY977" s="121" t="n">
        <f aca="false">MIN((AY319+AY320)*$C$5, $F$15)*'⑫ Roll-out Plan'!$O$36</f>
        <v>0</v>
      </c>
      <c r="AZ977" s="121" t="n">
        <f aca="false">MIN((AZ319+AZ320)*$C$5, $F$15)*'⑫ Roll-out Plan'!$O$36</f>
        <v>0</v>
      </c>
      <c r="BA977" s="121" t="n">
        <f aca="false">MIN((BA319+BA320)*$C$5, $F$15)*'⑫ Roll-out Plan'!$O$36</f>
        <v>0</v>
      </c>
      <c r="BB977" s="121" t="n">
        <f aca="false">MIN((BB319+BB320)*$C$5, $F$15)*'⑫ Roll-out Plan'!$O$36</f>
        <v>0</v>
      </c>
      <c r="BC977" s="121" t="n">
        <f aca="false">MIN((BC319+BC320)*$C$5, $F$15)*'⑫ Roll-out Plan'!$O$36</f>
        <v>0</v>
      </c>
      <c r="BD977" s="121" t="n">
        <f aca="false">MIN((BD319+BD320)*$C$5, $F$15)*'⑫ Roll-out Plan'!$O$36</f>
        <v>0</v>
      </c>
      <c r="BE977" s="121" t="n">
        <f aca="false">MIN((BE319+BE320)*$C$5, $F$15)*'⑫ Roll-out Plan'!$O$36</f>
        <v>0</v>
      </c>
      <c r="BF977" s="121" t="n">
        <f aca="false">MIN((BF319+BF320)*$C$5, $F$15)*'⑫ Roll-out Plan'!$O$36</f>
        <v>0</v>
      </c>
      <c r="BG977" s="121" t="n">
        <f aca="false">MIN((BG319+BG320)*$C$5, $F$15)*'⑫ Roll-out Plan'!$O$36</f>
        <v>0</v>
      </c>
      <c r="BH977" s="121" t="n">
        <f aca="false">MIN((BH319+BH320)*$C$5, $F$15)*'⑫ Roll-out Plan'!$O$36</f>
        <v>0</v>
      </c>
      <c r="BI977" s="121" t="n">
        <f aca="false">MIN((BI319+BI320)*$C$5, $F$15)*'⑫ Roll-out Plan'!$O$36</f>
        <v>0</v>
      </c>
      <c r="BJ977" s="121" t="n">
        <f aca="false">MIN((BJ319+BJ320)*$C$5, $F$15)*'⑫ Roll-out Plan'!$O$36</f>
        <v>0</v>
      </c>
      <c r="BK977" s="121" t="n">
        <f aca="false">MIN((BK319+BK320)*$C$5, $F$15)*'⑫ Roll-out Plan'!$O$36</f>
        <v>0</v>
      </c>
      <c r="BL977" s="121" t="n">
        <f aca="false">MIN((BL319+BL320)*$C$5, $F$15)*'⑫ Roll-out Plan'!$O$36</f>
        <v>0</v>
      </c>
      <c r="BM977" s="121" t="n">
        <f aca="false">MIN((BM319+BM320)*$C$5, $F$15)*'⑫ Roll-out Plan'!$O$36</f>
        <v>0</v>
      </c>
      <c r="BN977" s="121" t="n">
        <f aca="false">MIN((BN319+BN320)*$C$5, $F$15)*'⑫ Roll-out Plan'!$O$36</f>
        <v>0</v>
      </c>
      <c r="BO977" s="121" t="n">
        <f aca="false">MIN((BO319+BO320)*$C$5, $F$15)*'⑫ Roll-out Plan'!$O$36</f>
        <v>0</v>
      </c>
      <c r="BP977" s="121" t="n">
        <f aca="false">MIN((BP319+BP320)*$C$5, $F$15)*'⑫ Roll-out Plan'!$O$36</f>
        <v>0</v>
      </c>
      <c r="BQ977" s="121" t="n">
        <f aca="false">MIN((BQ319+BQ320)*$C$5, $F$15)*'⑫ Roll-out Plan'!$O$36</f>
        <v>0</v>
      </c>
      <c r="BR977" s="121" t="n">
        <f aca="false">MIN((BR319+BR320)*$C$5, $F$15)*'⑫ Roll-out Plan'!$O$36</f>
        <v>0</v>
      </c>
      <c r="BS977" s="121" t="n">
        <f aca="false">MIN((BS319+BS320)*$C$5, $F$15)*'⑫ Roll-out Plan'!$O$36</f>
        <v>0</v>
      </c>
      <c r="BT977" s="121" t="n">
        <f aca="false">MIN((BT319+BT320)*$C$5, $F$15)*'⑫ Roll-out Plan'!$O$36</f>
        <v>0</v>
      </c>
      <c r="BU977" s="121" t="n">
        <f aca="false">MIN((BU319+BU320)*$C$5, $F$15)*'⑫ Roll-out Plan'!$O$36</f>
        <v>0</v>
      </c>
      <c r="BV977" s="121" t="n">
        <f aca="false">MIN((BV319+BV320)*$C$5, $F$15)*'⑫ Roll-out Plan'!$O$36</f>
        <v>0</v>
      </c>
      <c r="BW977" s="121" t="n">
        <f aca="false">MIN((BW319+BW320)*$C$5, $F$15)*'⑫ Roll-out Plan'!$O$36</f>
        <v>0</v>
      </c>
      <c r="BX977" s="121" t="n">
        <f aca="false">MIN((BX319+BX320)*$C$5, $F$15)*'⑫ Roll-out Plan'!$O$36</f>
        <v>0</v>
      </c>
      <c r="BY977" s="121" t="n">
        <f aca="false">MIN((BY319+BY320)*$C$5, $F$15)*'⑫ Roll-out Plan'!$O$36</f>
        <v>0</v>
      </c>
      <c r="BZ977" s="121" t="n">
        <f aca="false">MIN((BZ319+BZ320)*$C$5, $F$15)*'⑫ Roll-out Plan'!$O$36</f>
        <v>0</v>
      </c>
      <c r="CA977" s="121" t="n">
        <f aca="false">MIN((CA319+CA320)*$C$5, $F$15)*'⑫ Roll-out Plan'!$O$36</f>
        <v>0</v>
      </c>
      <c r="CB977" s="121" t="n">
        <f aca="false">MIN((CB319+CB320)*$C$5, $F$15)*'⑫ Roll-out Plan'!$O$36</f>
        <v>0</v>
      </c>
      <c r="CC977" s="121" t="n">
        <f aca="false">MIN((CC319+CC320)*$C$5, $F$15)*'⑫ Roll-out Plan'!$O$36</f>
        <v>0</v>
      </c>
      <c r="CD977" s="121" t="n">
        <f aca="false">MIN((CD319+CD320)*$C$5, $F$15)*'⑫ Roll-out Plan'!$O$36</f>
        <v>0</v>
      </c>
      <c r="CE977" s="121" t="n">
        <f aca="false">MIN((CE319+CE320)*$C$5, $F$15)*'⑫ Roll-out Plan'!$O$36</f>
        <v>0</v>
      </c>
      <c r="CF977" s="121" t="n">
        <f aca="false">MIN((CF319+CF320)*$C$5, $F$15)*'⑫ Roll-out Plan'!$O$36</f>
        <v>0</v>
      </c>
      <c r="CG977" s="121" t="n">
        <f aca="false">MIN((CG319+CG320)*$C$5, $F$15)*'⑫ Roll-out Plan'!$O$36</f>
        <v>0</v>
      </c>
      <c r="CH977" s="121" t="n">
        <f aca="false">MIN((CH319+CH320)*$C$5, $F$15)*'⑫ Roll-out Plan'!$O$36</f>
        <v>0</v>
      </c>
      <c r="CI977" s="121" t="n">
        <f aca="false">MIN((CI319+CI320)*$C$5, $F$15)*'⑫ Roll-out Plan'!$O$36</f>
        <v>0</v>
      </c>
      <c r="CJ977" s="121" t="n">
        <f aca="false">MIN((CJ319+CJ320)*$C$5, $F$15)*'⑫ Roll-out Plan'!$O$36</f>
        <v>0</v>
      </c>
      <c r="CK977" s="121" t="n">
        <f aca="false">MIN((CK319+CK320)*$C$5, $F$15)*'⑫ Roll-out Plan'!$O$36</f>
        <v>0</v>
      </c>
      <c r="CL977" s="121" t="n">
        <f aca="false">MIN((CL319+CL320)*$C$5, $F$15)*'⑫ Roll-out Plan'!$O$36</f>
        <v>0</v>
      </c>
      <c r="CM977" s="121" t="n">
        <f aca="false">MIN((CM319+CM320)*$C$5, $F$15)*'⑫ Roll-out Plan'!$O$36</f>
        <v>0</v>
      </c>
      <c r="CN977" s="121" t="n">
        <f aca="false">MIN((CN319+CN320)*$C$5, $F$15)*'⑫ Roll-out Plan'!$O$36</f>
        <v>0</v>
      </c>
      <c r="CO977" s="121" t="n">
        <f aca="false">MIN((CO319+CO320)*$C$5, $F$15)*'⑫ Roll-out Plan'!$O$36</f>
        <v>0</v>
      </c>
      <c r="CP977" s="121" t="n">
        <f aca="false">MIN((CP319+CP320)*$C$5, $F$15)*'⑫ Roll-out Plan'!$O$36</f>
        <v>0</v>
      </c>
      <c r="CQ977" s="121" t="n">
        <f aca="false">MIN((CQ319+CQ320)*$C$5, $F$15)*'⑫ Roll-out Plan'!$O$36</f>
        <v>0</v>
      </c>
      <c r="CR977" s="121" t="n">
        <f aca="false">MIN((CR319+CR320)*$C$5, $F$15)*'⑫ Roll-out Plan'!$O$36</f>
        <v>0</v>
      </c>
      <c r="CS977" s="121" t="n">
        <f aca="false">MIN((CS319+CS320)*$C$5, $F$15)*'⑫ Roll-out Plan'!$O$36</f>
        <v>0</v>
      </c>
      <c r="CT977" s="121" t="n">
        <f aca="false">MIN((CT319+CT320)*$C$5, $F$15)*'⑫ Roll-out Plan'!$O$36</f>
        <v>0</v>
      </c>
      <c r="CU977" s="121" t="n">
        <f aca="false">MIN((CU319+CU320)*$C$5, $F$15)*'⑫ Roll-out Plan'!$O$36</f>
        <v>0</v>
      </c>
      <c r="CV977" s="121" t="n">
        <f aca="false">MIN((CV319+CV320)*$C$5, $F$15)*'⑫ Roll-out Plan'!$O$36</f>
        <v>0</v>
      </c>
      <c r="CW977" s="121" t="n">
        <f aca="false">MIN((CW319+CW320)*$C$5, $F$15)*'⑫ Roll-out Plan'!$O$36</f>
        <v>0</v>
      </c>
      <c r="CX977" s="121" t="n">
        <f aca="false">MIN((CX319+CX320)*$C$5, $F$15)*'⑫ Roll-out Plan'!$O$36</f>
        <v>0</v>
      </c>
      <c r="CY977" s="121" t="n">
        <f aca="false">MIN((CY319+CY320)*$C$5, $F$15)*'⑫ Roll-out Plan'!$O$36</f>
        <v>0</v>
      </c>
      <c r="CZ977" s="121" t="n">
        <f aca="false">MIN((CZ319+CZ320)*$C$5, $F$15)*'⑫ Roll-out Plan'!$O$36</f>
        <v>0</v>
      </c>
      <c r="DA977" s="121" t="n">
        <f aca="false">MIN((DA319+DA320)*$C$5, $F$15)*'⑫ Roll-out Plan'!$O$36</f>
        <v>0</v>
      </c>
      <c r="DB977" s="121" t="n">
        <f aca="false">MIN((DB319+DB320)*$C$5, $F$15)*'⑫ Roll-out Plan'!$O$36</f>
        <v>0</v>
      </c>
      <c r="DC977" s="121" t="n">
        <f aca="false">MIN((DC319+DC320)*$C$5, $F$15)*'⑫ Roll-out Plan'!$O$36</f>
        <v>0</v>
      </c>
      <c r="DD977" s="121" t="n">
        <f aca="false">MIN((DD319+DD320)*$C$5, $F$15)*'⑫ Roll-out Plan'!$O$36</f>
        <v>0</v>
      </c>
      <c r="DE977" s="121" t="n">
        <f aca="false">MIN((DE319+DE320)*$C$5, $F$15)*'⑫ Roll-out Plan'!$O$36</f>
        <v>0</v>
      </c>
      <c r="DF977" s="121" t="n">
        <f aca="false">MIN((DF319+DF320)*$C$5, $F$15)*'⑫ Roll-out Plan'!$O$36</f>
        <v>0</v>
      </c>
      <c r="DG977" s="121" t="n">
        <f aca="false">MIN((DG319+DG320)*$C$5, $F$15)*'⑫ Roll-out Plan'!$O$36</f>
        <v>0</v>
      </c>
      <c r="DH977" s="121" t="n">
        <f aca="false">MIN((DH319+DH320)*$C$5, $F$15)*'⑫ Roll-out Plan'!$O$36</f>
        <v>0</v>
      </c>
      <c r="DI977" s="121" t="n">
        <f aca="false">MIN((DI319+DI320)*$C$5, $F$15)*'⑫ Roll-out Plan'!$O$36</f>
        <v>0</v>
      </c>
      <c r="DJ977" s="121" t="n">
        <f aca="false">MIN((DJ319+DJ320)*$C$5, $F$15)*'⑫ Roll-out Plan'!$O$36</f>
        <v>0</v>
      </c>
      <c r="DK977" s="121" t="n">
        <f aca="false">MIN((DK319+DK320)*$C$5, $F$15)*'⑫ Roll-out Plan'!$O$36</f>
        <v>5622.52</v>
      </c>
      <c r="DL977" s="121" t="n">
        <f aca="false">MIN((DL319+DL320)*$C$5, $F$15)*'⑫ Roll-out Plan'!$O$36</f>
        <v>6584.55256</v>
      </c>
      <c r="DM977" s="121" t="n">
        <f aca="false">MIN((DM319+DM320)*$C$5, $F$15)*'⑫ Roll-out Plan'!$O$36</f>
        <v>5754.823712</v>
      </c>
      <c r="DN977" s="121" t="n">
        <f aca="false">MIN((DN319+DN320)*$C$5, $F$15)*'⑫ Roll-out Plan'!$O$36</f>
        <v>5510.147152</v>
      </c>
      <c r="DO977" s="121" t="n">
        <f aca="false">MIN((DO319+DO320)*$C$5, $F$15)*'⑫ Roll-out Plan'!$O$36</f>
        <v>5771.0475904</v>
      </c>
      <c r="DP977" s="121" t="n">
        <f aca="false">MIN((DP319+DP320)*$C$5, $F$15)*'⑫ Roll-out Plan'!$O$36</f>
        <v>10237.8954416</v>
      </c>
      <c r="DQ977" s="121" t="n">
        <f aca="false">MIN((DQ319+DQ320)*$C$5, $F$15)*'⑫ Roll-out Plan'!$O$36</f>
        <v>9116.0359648</v>
      </c>
      <c r="DR977" s="121" t="n">
        <f aca="false">MIN((DR319+DR320)*$C$5, $F$15)*'⑫ Roll-out Plan'!$O$36</f>
        <v>8681.6439472</v>
      </c>
      <c r="DS977" s="121" t="n">
        <f aca="false">MIN((DS319+DS320)*$C$5, $F$15)*'⑫ Roll-out Plan'!$O$36</f>
        <v>6925.7348288</v>
      </c>
      <c r="DT977" s="121" t="n">
        <f aca="false">MIN((DT319+DT320)*$C$5, $F$15)*'⑫ Roll-out Plan'!$O$36</f>
        <v>9990.0237392</v>
      </c>
      <c r="DU977" s="121" t="n">
        <f aca="false">MIN((DU319+DU320)*$C$5, $F$15)*'⑫ Roll-out Plan'!$O$36</f>
        <v>10988.0947136</v>
      </c>
      <c r="DV977" s="121" t="n">
        <f aca="false">MIN((DV319+DV320)*$C$5, $F$15)*'⑫ Roll-out Plan'!$O$36</f>
        <v>9674.9764944</v>
      </c>
      <c r="DW977" s="121" t="n">
        <f aca="false">MIN((DW319+DW320)*$C$5, $F$15)*'⑫ Roll-out Plan'!$O$36</f>
        <v>12960.722896</v>
      </c>
      <c r="DX977" s="121" t="n">
        <f aca="false">MIN((DX319+DX320)*$C$5, $F$15)*'⑫ Roll-out Plan'!$O$36</f>
        <v>14340.0007264</v>
      </c>
      <c r="DY977" s="121" t="n">
        <f aca="false">MIN((DY319+DY320)*$C$5, $F$15)*'⑫ Roll-out Plan'!$O$36</f>
        <v>12649.3361056</v>
      </c>
      <c r="DZ977" s="121" t="n">
        <f aca="false">MIN((DZ319+DZ320)*$C$5, $F$15)*'⑫ Roll-out Plan'!$O$36</f>
        <v>13905.0115584</v>
      </c>
      <c r="EA977" s="121" t="n">
        <f aca="false">MIN((EA319+EA320)*$C$5, $F$15)*'⑫ Roll-out Plan'!$O$36</f>
        <v>15685.822624</v>
      </c>
      <c r="EB977" s="121" t="n">
        <f aca="false">MIN((EB319+EB320)*$C$5, $F$15)*'⑫ Roll-out Plan'!$O$36</f>
        <v>24944.2750816</v>
      </c>
      <c r="EC977" s="121" t="n">
        <f aca="false">MIN((EC319+EC320)*$C$5, $F$15)*'⑫ Roll-out Plan'!$O$36</f>
        <v>23791.53866376</v>
      </c>
      <c r="ED977" s="121" t="n">
        <f aca="false">MIN((ED319+ED320)*$C$5, $F$15)*'⑫ Roll-out Plan'!$O$36</f>
        <v>20619.99766392</v>
      </c>
      <c r="EE977" s="121" t="n">
        <f aca="false">MIN((EE319+EE320)*$C$5, $F$15)*'⑫ Roll-out Plan'!$O$36</f>
        <v>17446.58533432</v>
      </c>
      <c r="EF977" s="121" t="n">
        <f aca="false">MIN((EF319+EF320)*$C$5, $F$15)*'⑫ Roll-out Plan'!$O$36</f>
        <v>22467.5530828</v>
      </c>
      <c r="EG977" s="121" t="n">
        <f aca="false">MIN((EG319+EG320)*$C$5, $F$15)*'⑫ Roll-out Plan'!$O$36</f>
        <v>25493.3364558</v>
      </c>
      <c r="EH977" s="121" t="n">
        <f aca="false">MIN((EH319+EH320)*$C$5, $F$15)*'⑫ Roll-out Plan'!$O$36</f>
        <v>21235.50559172</v>
      </c>
      <c r="EI977" s="121" t="n">
        <f aca="false">MIN((EI319+EI320)*$C$5, $F$15)*'⑫ Roll-out Plan'!$O$36</f>
        <v>27000</v>
      </c>
      <c r="EJ977" s="121" t="n">
        <f aca="false">MIN((EJ319+EJ320)*$C$5, $F$15)*'⑫ Roll-out Plan'!$O$36</f>
        <v>27000</v>
      </c>
      <c r="EK977" s="121" t="n">
        <f aca="false">MIN((EK319+EK320)*$C$5, $F$15)*'⑫ Roll-out Plan'!$O$36</f>
        <v>26029.69636344</v>
      </c>
      <c r="EL977" s="121" t="n">
        <f aca="false">MIN((EL319+EL320)*$C$5, $F$15)*'⑫ Roll-out Plan'!$O$36</f>
        <v>23749.0901888</v>
      </c>
      <c r="EM977" s="121" t="n">
        <f aca="false">MIN((EM319+EM320)*$C$5, $F$15)*'⑫ Roll-out Plan'!$O$36</f>
        <v>25066.6880054</v>
      </c>
      <c r="EN977" s="121" t="n">
        <f aca="false">MIN((EN319+EN320)*$C$5, $F$15)*'⑫ Roll-out Plan'!$O$36</f>
        <v>27000</v>
      </c>
      <c r="EO977" s="121" t="n">
        <f aca="false">MIN((EO319+EO320)*$C$5, $F$15)*'⑫ Roll-out Plan'!$O$36</f>
        <v>27000</v>
      </c>
      <c r="EP977" s="121" t="n">
        <f aca="false">MIN((EP319+EP320)*$C$5, $F$15)*'⑫ Roll-out Plan'!$O$36</f>
        <v>27000</v>
      </c>
      <c r="EQ977" s="121" t="n">
        <f aca="false">MIN((EQ319+EQ320)*$C$5, $F$15)*'⑫ Roll-out Plan'!$O$36</f>
        <v>26044.61833764</v>
      </c>
      <c r="ER977" s="121" t="n">
        <f aca="false">MIN((ER319+ER320)*$C$5, $F$15)*'⑫ Roll-out Plan'!$O$36</f>
        <v>27000</v>
      </c>
      <c r="ES977" s="9" t="n">
        <f aca="false">MIN((ES319+ES320)*$C$5, $F$15)*'⑫ Roll-out Plan'!$O$36</f>
        <v>27000</v>
      </c>
      <c r="ET977" s="9" t="n">
        <f aca="false">MIN((ET319+ET320)*$C$5, $F$15)*'⑫ Roll-out Plan'!$O$36</f>
        <v>27000</v>
      </c>
      <c r="EU977" s="9" t="n">
        <f aca="false">MIN((EU319+EU320)*$C$5, $F$15)*'⑫ Roll-out Plan'!$O$36</f>
        <v>27000</v>
      </c>
      <c r="EV977" s="9" t="n">
        <f aca="false">MIN((EV319+EV320)*$C$5, $F$15)*'⑫ Roll-out Plan'!$O$36</f>
        <v>27000</v>
      </c>
      <c r="EW977" s="9" t="n">
        <f aca="false">MIN((EW319+EW320)*$C$5, $F$15)*'⑫ Roll-out Plan'!$O$36</f>
        <v>27000</v>
      </c>
      <c r="EX977" s="9" t="n">
        <f aca="false">MIN((EX319+EX320)*$C$5, $F$15)*'⑫ Roll-out Plan'!$O$36</f>
        <v>27000</v>
      </c>
      <c r="EY977" s="9" t="n">
        <f aca="false">MIN((EY319+EY320)*$C$5, $F$15)*'⑫ Roll-out Plan'!$O$36</f>
        <v>27000</v>
      </c>
      <c r="EZ977" s="9" t="n">
        <f aca="false">MIN((EZ319+EZ320)*$C$5, $F$15)*'⑫ Roll-out Plan'!$O$36</f>
        <v>27000</v>
      </c>
      <c r="FA977" s="9" t="n">
        <f aca="false">MIN((FA319+FA320)*$C$5, $F$15)*'⑫ Roll-out Plan'!$O$36</f>
        <v>27000</v>
      </c>
      <c r="FB977" s="9" t="n">
        <f aca="false">MIN((FB319+FB320)*$C$5, $F$15)*'⑫ Roll-out Plan'!$O$36</f>
        <v>27000</v>
      </c>
      <c r="FC977" s="9" t="n">
        <f aca="false">MIN((FC319+FC320)*$C$5, $F$15)*'⑫ Roll-out Plan'!$O$36</f>
        <v>27000</v>
      </c>
      <c r="FD977" s="9" t="n">
        <f aca="false">MIN((FD319+FD320)*$C$5, $F$15)*'⑫ Roll-out Plan'!$O$36</f>
        <v>27000</v>
      </c>
      <c r="FE977" s="9" t="n">
        <f aca="false">MIN((FE319+FE320)*$C$5, $F$15)*'⑫ Roll-out Plan'!$O$36</f>
        <v>27000</v>
      </c>
      <c r="FF977" s="9" t="n">
        <f aca="false">MIN((FF319+FF320)*$C$5, $F$15)*'⑫ Roll-out Plan'!$O$36</f>
        <v>27000</v>
      </c>
      <c r="FG977" s="9" t="n">
        <f aca="false">MIN((FG319+FG320)*$C$5, $F$15)*'⑫ Roll-out Plan'!$O$36</f>
        <v>27000</v>
      </c>
      <c r="FH977" s="9" t="n">
        <f aca="false">MIN((FH319+FH320)*$C$5, $F$15)*'⑫ Roll-out Plan'!$O$36</f>
        <v>27000</v>
      </c>
      <c r="FI977" s="9" t="n">
        <f aca="false">MIN((FI319+FI320)*$C$5, $F$15)*'⑫ Roll-out Plan'!$O$36</f>
        <v>27000</v>
      </c>
      <c r="FJ977" s="9" t="n">
        <f aca="false">MIN((FJ319+FJ320)*$C$5, $F$15)*'⑫ Roll-out Plan'!$O$36</f>
        <v>27000</v>
      </c>
      <c r="FK977" s="9" t="n">
        <f aca="false">MIN((FK319+FK320)*$C$5, $F$15)*'⑫ Roll-out Plan'!$O$36</f>
        <v>27000</v>
      </c>
      <c r="FL977" s="9" t="n">
        <f aca="false">MIN((FL319+FL320)*$C$5, $F$15)*'⑫ Roll-out Plan'!$O$36</f>
        <v>27000</v>
      </c>
      <c r="FM977" s="9" t="n">
        <f aca="false">MIN((FM319+FM320)*$C$5, $F$15)*'⑫ Roll-out Plan'!$O$36</f>
        <v>27000</v>
      </c>
      <c r="FN977" s="9" t="n">
        <f aca="false">MIN((FN319+FN320)*$C$5, $F$15)*'⑫ Roll-out Plan'!$O$36</f>
        <v>27000</v>
      </c>
      <c r="FO977" s="9" t="n">
        <f aca="false">MIN((FO319+FO320)*$C$5, $F$15)*'⑫ Roll-out Plan'!$O$36</f>
        <v>27000</v>
      </c>
      <c r="FP977" s="9" t="n">
        <f aca="false">MIN((FP319+FP320)*$C$5, $F$15)*'⑫ Roll-out Plan'!$O$36</f>
        <v>27000</v>
      </c>
    </row>
    <row r="978" customFormat="false" ht="15" hidden="false" customHeight="false" outlineLevel="0" collapsed="false">
      <c r="B978" s="254" t="s">
        <v>1003</v>
      </c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121" t="n">
        <f aca="false">MIN((AC329+AC330)*$C$5, $F$15)*'⑫ Roll-out Plan'!$O$37</f>
        <v>0</v>
      </c>
      <c r="AD978" s="121" t="n">
        <f aca="false">MIN((AD329+AD330)*$C$5, $F$15)*'⑫ Roll-out Plan'!$O$37</f>
        <v>0</v>
      </c>
      <c r="AE978" s="121" t="n">
        <f aca="false">MIN((AE329+AE330)*$C$5, $F$15)*'⑫ Roll-out Plan'!$O$37</f>
        <v>0</v>
      </c>
      <c r="AF978" s="121" t="n">
        <f aca="false">MIN((AF329+AF330)*$C$5, $F$15)*'⑫ Roll-out Plan'!$O$37</f>
        <v>0</v>
      </c>
      <c r="AG978" s="121" t="n">
        <f aca="false">MIN((AG329+AG330)*$C$5, $F$15)*'⑫ Roll-out Plan'!$O$37</f>
        <v>0</v>
      </c>
      <c r="AH978" s="121" t="n">
        <f aca="false">MIN((AH329+AH330)*$C$5, $F$15)*'⑫ Roll-out Plan'!$O$37</f>
        <v>0</v>
      </c>
      <c r="AI978" s="121" t="n">
        <f aca="false">MIN((AI329+AI330)*$C$5, $F$15)*'⑫ Roll-out Plan'!$O$37</f>
        <v>0</v>
      </c>
      <c r="AJ978" s="121" t="n">
        <f aca="false">MIN((AJ329+AJ330)*$C$5, $F$15)*'⑫ Roll-out Plan'!$O$37</f>
        <v>0</v>
      </c>
      <c r="AK978" s="121" t="n">
        <f aca="false">MIN((AK329+AK330)*$C$5, $F$15)*'⑫ Roll-out Plan'!$O$37</f>
        <v>0</v>
      </c>
      <c r="AL978" s="121" t="n">
        <f aca="false">MIN((AL329+AL330)*$C$5, $F$15)*'⑫ Roll-out Plan'!$O$37</f>
        <v>0</v>
      </c>
      <c r="AM978" s="121" t="n">
        <f aca="false">MIN((AM329+AM330)*$C$5, $F$15)*'⑫ Roll-out Plan'!$O$37</f>
        <v>0</v>
      </c>
      <c r="AN978" s="121" t="n">
        <f aca="false">MIN((AN329+AN330)*$C$5, $F$15)*'⑫ Roll-out Plan'!$O$37</f>
        <v>0</v>
      </c>
      <c r="AO978" s="121" t="n">
        <f aca="false">MIN((AO329+AO330)*$C$5, $F$15)*'⑫ Roll-out Plan'!$O$37</f>
        <v>0</v>
      </c>
      <c r="AP978" s="121" t="n">
        <f aca="false">MIN((AP329+AP330)*$C$5, $F$15)*'⑫ Roll-out Plan'!$O$37</f>
        <v>0</v>
      </c>
      <c r="AQ978" s="121" t="n">
        <f aca="false">MIN((AQ329+AQ330)*$C$5, $F$15)*'⑫ Roll-out Plan'!$O$37</f>
        <v>0</v>
      </c>
      <c r="AR978" s="121" t="n">
        <f aca="false">MIN((AR329+AR330)*$C$5, $F$15)*'⑫ Roll-out Plan'!$O$37</f>
        <v>0</v>
      </c>
      <c r="AS978" s="121" t="n">
        <f aca="false">MIN((AS329+AS330)*$C$5, $F$15)*'⑫ Roll-out Plan'!$O$37</f>
        <v>0</v>
      </c>
      <c r="AT978" s="121" t="n">
        <f aca="false">MIN((AT329+AT330)*$C$5, $F$15)*'⑫ Roll-out Plan'!$O$37</f>
        <v>0</v>
      </c>
      <c r="AU978" s="121" t="n">
        <f aca="false">MIN((AU329+AU330)*$C$5, $F$15)*'⑫ Roll-out Plan'!$O$37</f>
        <v>0</v>
      </c>
      <c r="AV978" s="121" t="n">
        <f aca="false">MIN((AV329+AV330)*$C$5, $F$15)*'⑫ Roll-out Plan'!$O$37</f>
        <v>0</v>
      </c>
      <c r="AW978" s="121" t="n">
        <f aca="false">MIN((AW329+AW330)*$C$5, $F$15)*'⑫ Roll-out Plan'!$O$37</f>
        <v>0</v>
      </c>
      <c r="AX978" s="121" t="n">
        <f aca="false">MIN((AX329+AX330)*$C$5, $F$15)*'⑫ Roll-out Plan'!$O$37</f>
        <v>0</v>
      </c>
      <c r="AY978" s="121" t="n">
        <f aca="false">MIN((AY329+AY330)*$C$5, $F$15)*'⑫ Roll-out Plan'!$O$37</f>
        <v>0</v>
      </c>
      <c r="AZ978" s="121" t="n">
        <f aca="false">MIN((AZ329+AZ330)*$C$5, $F$15)*'⑫ Roll-out Plan'!$O$37</f>
        <v>0</v>
      </c>
      <c r="BA978" s="121" t="n">
        <f aca="false">MIN((BA329+BA330)*$C$5, $F$15)*'⑫ Roll-out Plan'!$O$37</f>
        <v>0</v>
      </c>
      <c r="BB978" s="121" t="n">
        <f aca="false">MIN((BB329+BB330)*$C$5, $F$15)*'⑫ Roll-out Plan'!$O$37</f>
        <v>0</v>
      </c>
      <c r="BC978" s="121" t="n">
        <f aca="false">MIN((BC329+BC330)*$C$5, $F$15)*'⑫ Roll-out Plan'!$O$37</f>
        <v>0</v>
      </c>
      <c r="BD978" s="121" t="n">
        <f aca="false">MIN((BD329+BD330)*$C$5, $F$15)*'⑫ Roll-out Plan'!$O$37</f>
        <v>0</v>
      </c>
      <c r="BE978" s="121" t="n">
        <f aca="false">MIN((BE329+BE330)*$C$5, $F$15)*'⑫ Roll-out Plan'!$O$37</f>
        <v>0</v>
      </c>
      <c r="BF978" s="121" t="n">
        <f aca="false">MIN((BF329+BF330)*$C$5, $F$15)*'⑫ Roll-out Plan'!$O$37</f>
        <v>0</v>
      </c>
      <c r="BG978" s="121" t="n">
        <f aca="false">MIN((BG329+BG330)*$C$5, $F$15)*'⑫ Roll-out Plan'!$O$37</f>
        <v>0</v>
      </c>
      <c r="BH978" s="121" t="n">
        <f aca="false">MIN((BH329+BH330)*$C$5, $F$15)*'⑫ Roll-out Plan'!$O$37</f>
        <v>0</v>
      </c>
      <c r="BI978" s="121" t="n">
        <f aca="false">MIN((BI329+BI330)*$C$5, $F$15)*'⑫ Roll-out Plan'!$O$37</f>
        <v>0</v>
      </c>
      <c r="BJ978" s="121" t="n">
        <f aca="false">MIN((BJ329+BJ330)*$C$5, $F$15)*'⑫ Roll-out Plan'!$O$37</f>
        <v>0</v>
      </c>
      <c r="BK978" s="121" t="n">
        <f aca="false">MIN((BK329+BK330)*$C$5, $F$15)*'⑫ Roll-out Plan'!$O$37</f>
        <v>0</v>
      </c>
      <c r="BL978" s="121" t="n">
        <f aca="false">MIN((BL329+BL330)*$C$5, $F$15)*'⑫ Roll-out Plan'!$O$37</f>
        <v>0</v>
      </c>
      <c r="BM978" s="121" t="n">
        <f aca="false">MIN((BM329+BM330)*$C$5, $F$15)*'⑫ Roll-out Plan'!$O$37</f>
        <v>0</v>
      </c>
      <c r="BN978" s="121" t="n">
        <f aca="false">MIN((BN329+BN330)*$C$5, $F$15)*'⑫ Roll-out Plan'!$O$37</f>
        <v>0</v>
      </c>
      <c r="BO978" s="121" t="n">
        <f aca="false">MIN((BO329+BO330)*$C$5, $F$15)*'⑫ Roll-out Plan'!$O$37</f>
        <v>0</v>
      </c>
      <c r="BP978" s="121" t="n">
        <f aca="false">MIN((BP329+BP330)*$C$5, $F$15)*'⑫ Roll-out Plan'!$O$37</f>
        <v>0</v>
      </c>
      <c r="BQ978" s="121" t="n">
        <f aca="false">MIN((BQ329+BQ330)*$C$5, $F$15)*'⑫ Roll-out Plan'!$O$37</f>
        <v>0</v>
      </c>
      <c r="BR978" s="121" t="n">
        <f aca="false">MIN((BR329+BR330)*$C$5, $F$15)*'⑫ Roll-out Plan'!$O$37</f>
        <v>0</v>
      </c>
      <c r="BS978" s="121" t="n">
        <f aca="false">MIN((BS329+BS330)*$C$5, $F$15)*'⑫ Roll-out Plan'!$O$37</f>
        <v>0</v>
      </c>
      <c r="BT978" s="121" t="n">
        <f aca="false">MIN((BT329+BT330)*$C$5, $F$15)*'⑫ Roll-out Plan'!$O$37</f>
        <v>0</v>
      </c>
      <c r="BU978" s="121" t="n">
        <f aca="false">MIN((BU329+BU330)*$C$5, $F$15)*'⑫ Roll-out Plan'!$O$37</f>
        <v>0</v>
      </c>
      <c r="BV978" s="121" t="n">
        <f aca="false">MIN((BV329+BV330)*$C$5, $F$15)*'⑫ Roll-out Plan'!$O$37</f>
        <v>0</v>
      </c>
      <c r="BW978" s="121" t="n">
        <f aca="false">MIN((BW329+BW330)*$C$5, $F$15)*'⑫ Roll-out Plan'!$O$37</f>
        <v>0</v>
      </c>
      <c r="BX978" s="121" t="n">
        <f aca="false">MIN((BX329+BX330)*$C$5, $F$15)*'⑫ Roll-out Plan'!$O$37</f>
        <v>0</v>
      </c>
      <c r="BY978" s="121" t="n">
        <f aca="false">MIN((BY329+BY330)*$C$5, $F$15)*'⑫ Roll-out Plan'!$O$37</f>
        <v>0</v>
      </c>
      <c r="BZ978" s="121" t="n">
        <f aca="false">MIN((BZ329+BZ330)*$C$5, $F$15)*'⑫ Roll-out Plan'!$O$37</f>
        <v>0</v>
      </c>
      <c r="CA978" s="121" t="n">
        <f aca="false">MIN((CA329+CA330)*$C$5, $F$15)*'⑫ Roll-out Plan'!$O$37</f>
        <v>0</v>
      </c>
      <c r="CB978" s="121" t="n">
        <f aca="false">MIN((CB329+CB330)*$C$5, $F$15)*'⑫ Roll-out Plan'!$O$37</f>
        <v>0</v>
      </c>
      <c r="CC978" s="121" t="n">
        <f aca="false">MIN((CC329+CC330)*$C$5, $F$15)*'⑫ Roll-out Plan'!$O$37</f>
        <v>0</v>
      </c>
      <c r="CD978" s="121" t="n">
        <f aca="false">MIN((CD329+CD330)*$C$5, $F$15)*'⑫ Roll-out Plan'!$O$37</f>
        <v>0</v>
      </c>
      <c r="CE978" s="121" t="n">
        <f aca="false">MIN((CE329+CE330)*$C$5, $F$15)*'⑫ Roll-out Plan'!$O$37</f>
        <v>0</v>
      </c>
      <c r="CF978" s="121" t="n">
        <f aca="false">MIN((CF329+CF330)*$C$5, $F$15)*'⑫ Roll-out Plan'!$O$37</f>
        <v>0</v>
      </c>
      <c r="CG978" s="121" t="n">
        <f aca="false">MIN((CG329+CG330)*$C$5, $F$15)*'⑫ Roll-out Plan'!$O$37</f>
        <v>0</v>
      </c>
      <c r="CH978" s="121" t="n">
        <f aca="false">MIN((CH329+CH330)*$C$5, $F$15)*'⑫ Roll-out Plan'!$O$37</f>
        <v>0</v>
      </c>
      <c r="CI978" s="121" t="n">
        <f aca="false">MIN((CI329+CI330)*$C$5, $F$15)*'⑫ Roll-out Plan'!$O$37</f>
        <v>0</v>
      </c>
      <c r="CJ978" s="121" t="n">
        <f aca="false">MIN((CJ329+CJ330)*$C$5, $F$15)*'⑫ Roll-out Plan'!$O$37</f>
        <v>0</v>
      </c>
      <c r="CK978" s="121" t="n">
        <f aca="false">MIN((CK329+CK330)*$C$5, $F$15)*'⑫ Roll-out Plan'!$O$37</f>
        <v>0</v>
      </c>
      <c r="CL978" s="121" t="n">
        <f aca="false">MIN((CL329+CL330)*$C$5, $F$15)*'⑫ Roll-out Plan'!$O$37</f>
        <v>0</v>
      </c>
      <c r="CM978" s="121" t="n">
        <f aca="false">MIN((CM329+CM330)*$C$5, $F$15)*'⑫ Roll-out Plan'!$O$37</f>
        <v>0</v>
      </c>
      <c r="CN978" s="121" t="n">
        <f aca="false">MIN((CN329+CN330)*$C$5, $F$15)*'⑫ Roll-out Plan'!$O$37</f>
        <v>0</v>
      </c>
      <c r="CO978" s="121" t="n">
        <f aca="false">MIN((CO329+CO330)*$C$5, $F$15)*'⑫ Roll-out Plan'!$O$37</f>
        <v>0</v>
      </c>
      <c r="CP978" s="121" t="n">
        <f aca="false">MIN((CP329+CP330)*$C$5, $F$15)*'⑫ Roll-out Plan'!$O$37</f>
        <v>0</v>
      </c>
      <c r="CQ978" s="121" t="n">
        <f aca="false">MIN((CQ329+CQ330)*$C$5, $F$15)*'⑫ Roll-out Plan'!$O$37</f>
        <v>0</v>
      </c>
      <c r="CR978" s="121" t="n">
        <f aca="false">MIN((CR329+CR330)*$C$5, $F$15)*'⑫ Roll-out Plan'!$O$37</f>
        <v>0</v>
      </c>
      <c r="CS978" s="121" t="n">
        <f aca="false">MIN((CS329+CS330)*$C$5, $F$15)*'⑫ Roll-out Plan'!$O$37</f>
        <v>0</v>
      </c>
      <c r="CT978" s="121" t="n">
        <f aca="false">MIN((CT329+CT330)*$C$5, $F$15)*'⑫ Roll-out Plan'!$O$37</f>
        <v>0</v>
      </c>
      <c r="CU978" s="121" t="n">
        <f aca="false">MIN((CU329+CU330)*$C$5, $F$15)*'⑫ Roll-out Plan'!$O$37</f>
        <v>0</v>
      </c>
      <c r="CV978" s="121" t="n">
        <f aca="false">MIN((CV329+CV330)*$C$5, $F$15)*'⑫ Roll-out Plan'!$O$37</f>
        <v>0</v>
      </c>
      <c r="CW978" s="121" t="n">
        <f aca="false">MIN((CW329+CW330)*$C$5, $F$15)*'⑫ Roll-out Plan'!$O$37</f>
        <v>0</v>
      </c>
      <c r="CX978" s="121" t="n">
        <f aca="false">MIN((CX329+CX330)*$C$5, $F$15)*'⑫ Roll-out Plan'!$O$37</f>
        <v>0</v>
      </c>
      <c r="CY978" s="121" t="n">
        <f aca="false">MIN((CY329+CY330)*$C$5, $F$15)*'⑫ Roll-out Plan'!$O$37</f>
        <v>0</v>
      </c>
      <c r="CZ978" s="121" t="n">
        <f aca="false">MIN((CZ329+CZ330)*$C$5, $F$15)*'⑫ Roll-out Plan'!$O$37</f>
        <v>0</v>
      </c>
      <c r="DA978" s="121" t="n">
        <f aca="false">MIN((DA329+DA330)*$C$5, $F$15)*'⑫ Roll-out Plan'!$O$37</f>
        <v>0</v>
      </c>
      <c r="DB978" s="121" t="n">
        <f aca="false">MIN((DB329+DB330)*$C$5, $F$15)*'⑫ Roll-out Plan'!$O$37</f>
        <v>0</v>
      </c>
      <c r="DC978" s="121" t="n">
        <f aca="false">MIN((DC329+DC330)*$C$5, $F$15)*'⑫ Roll-out Plan'!$O$37</f>
        <v>0</v>
      </c>
      <c r="DD978" s="121" t="n">
        <f aca="false">MIN((DD329+DD330)*$C$5, $F$15)*'⑫ Roll-out Plan'!$O$37</f>
        <v>0</v>
      </c>
      <c r="DE978" s="121" t="n">
        <f aca="false">MIN((DE329+DE330)*$C$5, $F$15)*'⑫ Roll-out Plan'!$O$37</f>
        <v>0</v>
      </c>
      <c r="DF978" s="121" t="n">
        <f aca="false">MIN((DF329+DF330)*$C$5, $F$15)*'⑫ Roll-out Plan'!$O$37</f>
        <v>0</v>
      </c>
      <c r="DG978" s="121" t="n">
        <f aca="false">MIN((DG329+DG330)*$C$5, $F$15)*'⑫ Roll-out Plan'!$O$37</f>
        <v>0</v>
      </c>
      <c r="DH978" s="121" t="n">
        <f aca="false">MIN((DH329+DH330)*$C$5, $F$15)*'⑫ Roll-out Plan'!$O$37</f>
        <v>0</v>
      </c>
      <c r="DI978" s="121" t="n">
        <f aca="false">MIN((DI329+DI330)*$C$5, $F$15)*'⑫ Roll-out Plan'!$O$37</f>
        <v>0</v>
      </c>
      <c r="DJ978" s="121" t="n">
        <f aca="false">MIN((DJ329+DJ330)*$C$5, $F$15)*'⑫ Roll-out Plan'!$O$37</f>
        <v>0</v>
      </c>
      <c r="DK978" s="121" t="n">
        <f aca="false">MIN((DK329+DK330)*$C$5, $F$15)*'⑫ Roll-out Plan'!$O$37</f>
        <v>0</v>
      </c>
      <c r="DL978" s="121" t="n">
        <f aca="false">MIN((DL329+DL330)*$C$5, $F$15)*'⑫ Roll-out Plan'!$O$37</f>
        <v>0</v>
      </c>
      <c r="DM978" s="121" t="n">
        <f aca="false">MIN((DM329+DM330)*$C$5, $F$15)*'⑫ Roll-out Plan'!$O$37</f>
        <v>0</v>
      </c>
      <c r="DN978" s="121" t="n">
        <f aca="false">MIN((DN329+DN330)*$C$5, $F$15)*'⑫ Roll-out Plan'!$O$37</f>
        <v>0</v>
      </c>
      <c r="DO978" s="121" t="n">
        <f aca="false">MIN((DO329+DO330)*$C$5, $F$15)*'⑫ Roll-out Plan'!$O$37</f>
        <v>0</v>
      </c>
      <c r="DP978" s="121" t="n">
        <f aca="false">MIN((DP329+DP330)*$C$5, $F$15)*'⑫ Roll-out Plan'!$O$37</f>
        <v>0</v>
      </c>
      <c r="DQ978" s="121" t="n">
        <f aca="false">MIN((DQ329+DQ330)*$C$5, $F$15)*'⑫ Roll-out Plan'!$O$37</f>
        <v>5622.52</v>
      </c>
      <c r="DR978" s="121" t="n">
        <f aca="false">MIN((DR329+DR330)*$C$5, $F$15)*'⑫ Roll-out Plan'!$O$37</f>
        <v>5838.11456</v>
      </c>
      <c r="DS978" s="121" t="n">
        <f aca="false">MIN((DS329+DS330)*$C$5, $F$15)*'⑫ Roll-out Plan'!$O$37</f>
        <v>4592.939648</v>
      </c>
      <c r="DT978" s="121" t="n">
        <f aca="false">MIN((DT329+DT330)*$C$5, $F$15)*'⑫ Roll-out Plan'!$O$37</f>
        <v>6640.1263232</v>
      </c>
      <c r="DU978" s="121" t="n">
        <f aca="false">MIN((DU329+DU330)*$C$5, $F$15)*'⑫ Roll-out Plan'!$O$37</f>
        <v>7295.2856192</v>
      </c>
      <c r="DV978" s="121" t="n">
        <f aca="false">MIN((DV329+DV330)*$C$5, $F$15)*'⑫ Roll-out Plan'!$O$37</f>
        <v>6479.585928</v>
      </c>
      <c r="DW978" s="121" t="n">
        <f aca="false">MIN((DW329+DW330)*$C$5, $F$15)*'⑫ Roll-out Plan'!$O$37</f>
        <v>8645.9157408</v>
      </c>
      <c r="DX978" s="121" t="n">
        <f aca="false">MIN((DX329+DX330)*$C$5, $F$15)*'⑫ Roll-out Plan'!$O$37</f>
        <v>9698.1722976</v>
      </c>
      <c r="DY978" s="121" t="n">
        <f aca="false">MIN((DY329+DY330)*$C$5, $F$15)*'⑫ Roll-out Plan'!$O$37</f>
        <v>8488.0819104</v>
      </c>
      <c r="DZ978" s="121" t="n">
        <f aca="false">MIN((DZ329+DZ330)*$C$5, $F$15)*'⑫ Roll-out Plan'!$O$37</f>
        <v>8283.4144272</v>
      </c>
      <c r="EA978" s="121" t="n">
        <f aca="false">MIN((EA329+EA330)*$C$5, $F$15)*'⑫ Roll-out Plan'!$O$37</f>
        <v>8740.6997952</v>
      </c>
      <c r="EB978" s="121" t="n">
        <f aca="false">MIN((EB329+EB330)*$C$5, $F$15)*'⑫ Roll-out Plan'!$O$37</f>
        <v>15085.9268832</v>
      </c>
      <c r="EC978" s="121" t="n">
        <f aca="false">MIN((EC329+EC330)*$C$5, $F$15)*'⑫ Roll-out Plan'!$O$37</f>
        <v>13573.3216544</v>
      </c>
      <c r="ED978" s="121" t="n">
        <f aca="false">MIN((ED329+ED330)*$C$5, $F$15)*'⑫ Roll-out Plan'!$O$37</f>
        <v>12890.2824144</v>
      </c>
      <c r="EE978" s="121" t="n">
        <f aca="false">MIN((EE329+EE330)*$C$5, $F$15)*'⑫ Roll-out Plan'!$O$37</f>
        <v>10368.3611712</v>
      </c>
      <c r="EF978" s="121" t="n">
        <f aca="false">MIN((EF329+EF330)*$C$5, $F$15)*'⑫ Roll-out Plan'!$O$37</f>
        <v>16674.2693952</v>
      </c>
      <c r="EG978" s="121" t="n">
        <f aca="false">MIN((EG329+EG330)*$C$5, $F$15)*'⑫ Roll-out Plan'!$O$37</f>
        <v>19719.6433728</v>
      </c>
      <c r="EH978" s="121" t="n">
        <f aca="false">MIN((EH329+EH330)*$C$5, $F$15)*'⑫ Roll-out Plan'!$O$37</f>
        <v>16279.82131072</v>
      </c>
      <c r="EI978" s="121" t="n">
        <f aca="false">MIN((EI329+EI330)*$C$5, $F$15)*'⑫ Roll-out Plan'!$O$37</f>
        <v>22675.312952</v>
      </c>
      <c r="EJ978" s="121" t="n">
        <f aca="false">MIN((EJ329+EJ330)*$C$5, $F$15)*'⑫ Roll-out Plan'!$O$37</f>
        <v>22770.15594592</v>
      </c>
      <c r="EK978" s="121" t="n">
        <f aca="false">MIN((EK329+EK330)*$C$5, $F$15)*'⑫ Roll-out Plan'!$O$37</f>
        <v>21108.89128832</v>
      </c>
      <c r="EL978" s="121" t="n">
        <f aca="false">MIN((EL329+EL330)*$C$5, $F$15)*'⑫ Roll-out Plan'!$O$37</f>
        <v>19108.8748416</v>
      </c>
      <c r="EM978" s="121" t="n">
        <f aca="false">MIN((EM329+EM330)*$C$5, $F$15)*'⑫ Roll-out Plan'!$O$37</f>
        <v>20507.7820526</v>
      </c>
      <c r="EN978" s="121" t="n">
        <f aca="false">MIN((EN329+EN330)*$C$5, $F$15)*'⑫ Roll-out Plan'!$O$37</f>
        <v>27000</v>
      </c>
      <c r="EO978" s="121" t="n">
        <f aca="false">MIN((EO329+EO330)*$C$5, $F$15)*'⑫ Roll-out Plan'!$O$37</f>
        <v>27000</v>
      </c>
      <c r="EP978" s="121" t="n">
        <f aca="false">MIN((EP329+EP330)*$C$5, $F$15)*'⑫ Roll-out Plan'!$O$37</f>
        <v>25855.07136176</v>
      </c>
      <c r="EQ978" s="121" t="n">
        <f aca="false">MIN((EQ329+EQ330)*$C$5, $F$15)*'⑫ Roll-out Plan'!$O$37</f>
        <v>21732.20385552</v>
      </c>
      <c r="ER978" s="121" t="n">
        <f aca="false">MIN((ER329+ER330)*$C$5, $F$15)*'⑫ Roll-out Plan'!$O$37</f>
        <v>27000</v>
      </c>
      <c r="ES978" s="9" t="n">
        <f aca="false">MIN((ES329+ES330)*$C$5, $F$15)*'⑫ Roll-out Plan'!$O$37</f>
        <v>27000</v>
      </c>
      <c r="ET978" s="9" t="n">
        <f aca="false">MIN((ET329+ET330)*$C$5, $F$15)*'⑫ Roll-out Plan'!$O$37</f>
        <v>25867.70206212</v>
      </c>
      <c r="EU978" s="9" t="n">
        <f aca="false">MIN((EU329+EU330)*$C$5, $F$15)*'⑫ Roll-out Plan'!$O$37</f>
        <v>27000</v>
      </c>
      <c r="EV978" s="9" t="n">
        <f aca="false">MIN((EV329+EV330)*$C$5, $F$15)*'⑫ Roll-out Plan'!$O$37</f>
        <v>27000</v>
      </c>
      <c r="EW978" s="9" t="n">
        <f aca="false">MIN((EW329+EW330)*$C$5, $F$15)*'⑫ Roll-out Plan'!$O$37</f>
        <v>27000</v>
      </c>
      <c r="EX978" s="9" t="n">
        <f aca="false">MIN((EX329+EX330)*$C$5, $F$15)*'⑫ Roll-out Plan'!$O$37</f>
        <v>27000</v>
      </c>
      <c r="EY978" s="9" t="n">
        <f aca="false">MIN((EY329+EY330)*$C$5, $F$15)*'⑫ Roll-out Plan'!$O$37</f>
        <v>27000</v>
      </c>
      <c r="EZ978" s="9" t="n">
        <f aca="false">MIN((EZ329+EZ330)*$C$5, $F$15)*'⑫ Roll-out Plan'!$O$37</f>
        <v>27000</v>
      </c>
      <c r="FA978" s="9" t="n">
        <f aca="false">MIN((FA329+FA330)*$C$5, $F$15)*'⑫ Roll-out Plan'!$O$37</f>
        <v>27000</v>
      </c>
      <c r="FB978" s="9" t="n">
        <f aca="false">MIN((FB329+FB330)*$C$5, $F$15)*'⑫ Roll-out Plan'!$O$37</f>
        <v>27000</v>
      </c>
      <c r="FC978" s="9" t="n">
        <f aca="false">MIN((FC329+FC330)*$C$5, $F$15)*'⑫ Roll-out Plan'!$O$37</f>
        <v>27000</v>
      </c>
      <c r="FD978" s="9" t="n">
        <f aca="false">MIN((FD329+FD330)*$C$5, $F$15)*'⑫ Roll-out Plan'!$O$37</f>
        <v>27000</v>
      </c>
      <c r="FE978" s="9" t="n">
        <f aca="false">MIN((FE329+FE330)*$C$5, $F$15)*'⑫ Roll-out Plan'!$O$37</f>
        <v>27000</v>
      </c>
      <c r="FF978" s="9" t="n">
        <f aca="false">MIN((FF329+FF330)*$C$5, $F$15)*'⑫ Roll-out Plan'!$O$37</f>
        <v>27000</v>
      </c>
      <c r="FG978" s="9" t="n">
        <f aca="false">MIN((FG329+FG330)*$C$5, $F$15)*'⑫ Roll-out Plan'!$O$37</f>
        <v>27000</v>
      </c>
      <c r="FH978" s="9" t="n">
        <f aca="false">MIN((FH329+FH330)*$C$5, $F$15)*'⑫ Roll-out Plan'!$O$37</f>
        <v>27000</v>
      </c>
      <c r="FI978" s="9" t="n">
        <f aca="false">MIN((FI329+FI330)*$C$5, $F$15)*'⑫ Roll-out Plan'!$O$37</f>
        <v>27000</v>
      </c>
      <c r="FJ978" s="9" t="n">
        <f aca="false">MIN((FJ329+FJ330)*$C$5, $F$15)*'⑫ Roll-out Plan'!$O$37</f>
        <v>27000</v>
      </c>
      <c r="FK978" s="9" t="n">
        <f aca="false">MIN((FK329+FK330)*$C$5, $F$15)*'⑫ Roll-out Plan'!$O$37</f>
        <v>27000</v>
      </c>
      <c r="FL978" s="9" t="n">
        <f aca="false">MIN((FL329+FL330)*$C$5, $F$15)*'⑫ Roll-out Plan'!$O$37</f>
        <v>27000</v>
      </c>
      <c r="FM978" s="9" t="n">
        <f aca="false">MIN((FM329+FM330)*$C$5, $F$15)*'⑫ Roll-out Plan'!$O$37</f>
        <v>27000</v>
      </c>
      <c r="FN978" s="9" t="n">
        <f aca="false">MIN((FN329+FN330)*$C$5, $F$15)*'⑫ Roll-out Plan'!$O$37</f>
        <v>27000</v>
      </c>
      <c r="FO978" s="9" t="n">
        <f aca="false">MIN((FO329+FO330)*$C$5, $F$15)*'⑫ Roll-out Plan'!$O$37</f>
        <v>27000</v>
      </c>
      <c r="FP978" s="9" t="n">
        <f aca="false">MIN((FP329+FP330)*$C$5, $F$15)*'⑫ Roll-out Plan'!$O$37</f>
        <v>27000</v>
      </c>
    </row>
    <row r="979" customFormat="false" ht="15" hidden="false" customHeight="false" outlineLevel="0" collapsed="false">
      <c r="B979" s="254" t="s">
        <v>1004</v>
      </c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121" t="n">
        <f aca="false">MIN((AC339+AC340)*$C$5, $F$16)*'⑫ Roll-out Plan'!$O$38</f>
        <v>0</v>
      </c>
      <c r="AD979" s="121" t="n">
        <f aca="false">MIN((AD339+AD340)*$C$5, $F$16)*'⑫ Roll-out Plan'!$O$38</f>
        <v>0</v>
      </c>
      <c r="AE979" s="121" t="n">
        <f aca="false">MIN((AE339+AE340)*$C$5, $F$16)*'⑫ Roll-out Plan'!$O$38</f>
        <v>0</v>
      </c>
      <c r="AF979" s="121" t="n">
        <f aca="false">MIN((AF339+AF340)*$C$5, $F$16)*'⑫ Roll-out Plan'!$O$38</f>
        <v>0</v>
      </c>
      <c r="AG979" s="121" t="n">
        <f aca="false">MIN((AG339+AG340)*$C$5, $F$16)*'⑫ Roll-out Plan'!$O$38</f>
        <v>0</v>
      </c>
      <c r="AH979" s="121" t="n">
        <f aca="false">MIN((AH339+AH340)*$C$5, $F$16)*'⑫ Roll-out Plan'!$O$38</f>
        <v>0</v>
      </c>
      <c r="AI979" s="121" t="n">
        <f aca="false">MIN((AI339+AI340)*$C$5, $F$16)*'⑫ Roll-out Plan'!$O$38</f>
        <v>0</v>
      </c>
      <c r="AJ979" s="121" t="n">
        <f aca="false">MIN((AJ339+AJ340)*$C$5, $F$16)*'⑫ Roll-out Plan'!$O$38</f>
        <v>0</v>
      </c>
      <c r="AK979" s="121" t="n">
        <f aca="false">MIN((AK339+AK340)*$C$5, $F$16)*'⑫ Roll-out Plan'!$O$38</f>
        <v>0</v>
      </c>
      <c r="AL979" s="121" t="n">
        <f aca="false">MIN((AL339+AL340)*$C$5, $F$16)*'⑫ Roll-out Plan'!$O$38</f>
        <v>0</v>
      </c>
      <c r="AM979" s="121" t="n">
        <f aca="false">MIN((AM339+AM340)*$C$5, $F$16)*'⑫ Roll-out Plan'!$O$38</f>
        <v>0</v>
      </c>
      <c r="AN979" s="121" t="n">
        <f aca="false">MIN((AN339+AN340)*$C$5, $F$16)*'⑫ Roll-out Plan'!$O$38</f>
        <v>0</v>
      </c>
      <c r="AO979" s="121" t="n">
        <f aca="false">MIN((AO339+AO340)*$C$5, $F$16)*'⑫ Roll-out Plan'!$O$38</f>
        <v>0</v>
      </c>
      <c r="AP979" s="121" t="n">
        <f aca="false">MIN((AP339+AP340)*$C$5, $F$16)*'⑫ Roll-out Plan'!$O$38</f>
        <v>0</v>
      </c>
      <c r="AQ979" s="121" t="n">
        <f aca="false">MIN((AQ339+AQ340)*$C$5, $F$16)*'⑫ Roll-out Plan'!$O$38</f>
        <v>0</v>
      </c>
      <c r="AR979" s="121" t="n">
        <f aca="false">MIN((AR339+AR340)*$C$5, $F$16)*'⑫ Roll-out Plan'!$O$38</f>
        <v>0</v>
      </c>
      <c r="AS979" s="121" t="n">
        <f aca="false">MIN((AS339+AS340)*$C$5, $F$16)*'⑫ Roll-out Plan'!$O$38</f>
        <v>0</v>
      </c>
      <c r="AT979" s="121" t="n">
        <f aca="false">MIN((AT339+AT340)*$C$5, $F$16)*'⑫ Roll-out Plan'!$O$38</f>
        <v>0</v>
      </c>
      <c r="AU979" s="121" t="n">
        <f aca="false">MIN((AU339+AU340)*$C$5, $F$16)*'⑫ Roll-out Plan'!$O$38</f>
        <v>0</v>
      </c>
      <c r="AV979" s="121" t="n">
        <f aca="false">MIN((AV339+AV340)*$C$5, $F$16)*'⑫ Roll-out Plan'!$O$38</f>
        <v>0</v>
      </c>
      <c r="AW979" s="121" t="n">
        <f aca="false">MIN((AW339+AW340)*$C$5, $F$16)*'⑫ Roll-out Plan'!$O$38</f>
        <v>0</v>
      </c>
      <c r="AX979" s="121" t="n">
        <f aca="false">MIN((AX339+AX340)*$C$5, $F$16)*'⑫ Roll-out Plan'!$O$38</f>
        <v>0</v>
      </c>
      <c r="AY979" s="121" t="n">
        <f aca="false">MIN((AY339+AY340)*$C$5, $F$16)*'⑫ Roll-out Plan'!$O$38</f>
        <v>0</v>
      </c>
      <c r="AZ979" s="121" t="n">
        <f aca="false">MIN((AZ339+AZ340)*$C$5, $F$16)*'⑫ Roll-out Plan'!$O$38</f>
        <v>0</v>
      </c>
      <c r="BA979" s="121" t="n">
        <f aca="false">MIN((BA339+BA340)*$C$5, $F$16)*'⑫ Roll-out Plan'!$O$38</f>
        <v>0</v>
      </c>
      <c r="BB979" s="121" t="n">
        <f aca="false">MIN((BB339+BB340)*$C$5, $F$16)*'⑫ Roll-out Plan'!$O$38</f>
        <v>0</v>
      </c>
      <c r="BC979" s="121" t="n">
        <f aca="false">MIN((BC339+BC340)*$C$5, $F$16)*'⑫ Roll-out Plan'!$O$38</f>
        <v>0</v>
      </c>
      <c r="BD979" s="121" t="n">
        <f aca="false">MIN((BD339+BD340)*$C$5, $F$16)*'⑫ Roll-out Plan'!$O$38</f>
        <v>0</v>
      </c>
      <c r="BE979" s="121" t="n">
        <f aca="false">MIN((BE339+BE340)*$C$5, $F$16)*'⑫ Roll-out Plan'!$O$38</f>
        <v>0</v>
      </c>
      <c r="BF979" s="121" t="n">
        <f aca="false">MIN((BF339+BF340)*$C$5, $F$16)*'⑫ Roll-out Plan'!$O$38</f>
        <v>0</v>
      </c>
      <c r="BG979" s="121" t="n">
        <f aca="false">MIN((BG339+BG340)*$C$5, $F$16)*'⑫ Roll-out Plan'!$O$38</f>
        <v>0</v>
      </c>
      <c r="BH979" s="121" t="n">
        <f aca="false">MIN((BH339+BH340)*$C$5, $F$16)*'⑫ Roll-out Plan'!$O$38</f>
        <v>0</v>
      </c>
      <c r="BI979" s="121" t="n">
        <f aca="false">MIN((BI339+BI340)*$C$5, $F$16)*'⑫ Roll-out Plan'!$O$38</f>
        <v>0</v>
      </c>
      <c r="BJ979" s="121" t="n">
        <f aca="false">MIN((BJ339+BJ340)*$C$5, $F$16)*'⑫ Roll-out Plan'!$O$38</f>
        <v>0</v>
      </c>
      <c r="BK979" s="121" t="n">
        <f aca="false">MIN((BK339+BK340)*$C$5, $F$16)*'⑫ Roll-out Plan'!$O$38</f>
        <v>0</v>
      </c>
      <c r="BL979" s="121" t="n">
        <f aca="false">MIN((BL339+BL340)*$C$5, $F$16)*'⑫ Roll-out Plan'!$O$38</f>
        <v>0</v>
      </c>
      <c r="BM979" s="121" t="n">
        <f aca="false">MIN((BM339+BM340)*$C$5, $F$16)*'⑫ Roll-out Plan'!$O$38</f>
        <v>0</v>
      </c>
      <c r="BN979" s="121" t="n">
        <f aca="false">MIN((BN339+BN340)*$C$5, $F$16)*'⑫ Roll-out Plan'!$O$38</f>
        <v>0</v>
      </c>
      <c r="BO979" s="121" t="n">
        <f aca="false">MIN((BO339+BO340)*$C$5, $F$16)*'⑫ Roll-out Plan'!$O$38</f>
        <v>0</v>
      </c>
      <c r="BP979" s="121" t="n">
        <f aca="false">MIN((BP339+BP340)*$C$5, $F$16)*'⑫ Roll-out Plan'!$O$38</f>
        <v>0</v>
      </c>
      <c r="BQ979" s="121" t="n">
        <f aca="false">MIN((BQ339+BQ340)*$C$5, $F$16)*'⑫ Roll-out Plan'!$O$38</f>
        <v>0</v>
      </c>
      <c r="BR979" s="121" t="n">
        <f aca="false">MIN((BR339+BR340)*$C$5, $F$16)*'⑫ Roll-out Plan'!$O$38</f>
        <v>0</v>
      </c>
      <c r="BS979" s="121" t="n">
        <f aca="false">MIN((BS339+BS340)*$C$5, $F$16)*'⑫ Roll-out Plan'!$O$38</f>
        <v>0</v>
      </c>
      <c r="BT979" s="121" t="n">
        <f aca="false">MIN((BT339+BT340)*$C$5, $F$16)*'⑫ Roll-out Plan'!$O$38</f>
        <v>0</v>
      </c>
      <c r="BU979" s="121" t="n">
        <f aca="false">MIN((BU339+BU340)*$C$5, $F$16)*'⑫ Roll-out Plan'!$O$38</f>
        <v>0</v>
      </c>
      <c r="BV979" s="121" t="n">
        <f aca="false">MIN((BV339+BV340)*$C$5, $F$16)*'⑫ Roll-out Plan'!$O$38</f>
        <v>0</v>
      </c>
      <c r="BW979" s="121" t="n">
        <f aca="false">MIN((BW339+BW340)*$C$5, $F$16)*'⑫ Roll-out Plan'!$O$38</f>
        <v>0</v>
      </c>
      <c r="BX979" s="121" t="n">
        <f aca="false">MIN((BX339+BX340)*$C$5, $F$16)*'⑫ Roll-out Plan'!$O$38</f>
        <v>0</v>
      </c>
      <c r="BY979" s="121" t="n">
        <f aca="false">MIN((BY339+BY340)*$C$5, $F$16)*'⑫ Roll-out Plan'!$O$38</f>
        <v>0</v>
      </c>
      <c r="BZ979" s="121" t="n">
        <f aca="false">MIN((BZ339+BZ340)*$C$5, $F$16)*'⑫ Roll-out Plan'!$O$38</f>
        <v>0</v>
      </c>
      <c r="CA979" s="121" t="n">
        <f aca="false">MIN((CA339+CA340)*$C$5, $F$16)*'⑫ Roll-out Plan'!$O$38</f>
        <v>0</v>
      </c>
      <c r="CB979" s="121" t="n">
        <f aca="false">MIN((CB339+CB340)*$C$5, $F$16)*'⑫ Roll-out Plan'!$O$38</f>
        <v>0</v>
      </c>
      <c r="CC979" s="121" t="n">
        <f aca="false">MIN((CC339+CC340)*$C$5, $F$16)*'⑫ Roll-out Plan'!$O$38</f>
        <v>0</v>
      </c>
      <c r="CD979" s="121" t="n">
        <f aca="false">MIN((CD339+CD340)*$C$5, $F$16)*'⑫ Roll-out Plan'!$O$38</f>
        <v>0</v>
      </c>
      <c r="CE979" s="121" t="n">
        <f aca="false">MIN((CE339+CE340)*$C$5, $F$16)*'⑫ Roll-out Plan'!$O$38</f>
        <v>0</v>
      </c>
      <c r="CF979" s="121" t="n">
        <f aca="false">MIN((CF339+CF340)*$C$5, $F$16)*'⑫ Roll-out Plan'!$O$38</f>
        <v>0</v>
      </c>
      <c r="CG979" s="121" t="n">
        <f aca="false">MIN((CG339+CG340)*$C$5, $F$16)*'⑫ Roll-out Plan'!$O$38</f>
        <v>0</v>
      </c>
      <c r="CH979" s="121" t="n">
        <f aca="false">MIN((CH339+CH340)*$C$5, $F$16)*'⑫ Roll-out Plan'!$O$38</f>
        <v>0</v>
      </c>
      <c r="CI979" s="121" t="n">
        <f aca="false">MIN((CI339+CI340)*$C$5, $F$16)*'⑫ Roll-out Plan'!$O$38</f>
        <v>0</v>
      </c>
      <c r="CJ979" s="121" t="n">
        <f aca="false">MIN((CJ339+CJ340)*$C$5, $F$16)*'⑫ Roll-out Plan'!$O$38</f>
        <v>0</v>
      </c>
      <c r="CK979" s="121" t="n">
        <f aca="false">MIN((CK339+CK340)*$C$5, $F$16)*'⑫ Roll-out Plan'!$O$38</f>
        <v>0</v>
      </c>
      <c r="CL979" s="121" t="n">
        <f aca="false">MIN((CL339+CL340)*$C$5, $F$16)*'⑫ Roll-out Plan'!$O$38</f>
        <v>0</v>
      </c>
      <c r="CM979" s="121" t="n">
        <f aca="false">MIN((CM339+CM340)*$C$5, $F$16)*'⑫ Roll-out Plan'!$O$38</f>
        <v>0</v>
      </c>
      <c r="CN979" s="121" t="n">
        <f aca="false">MIN((CN339+CN340)*$C$5, $F$16)*'⑫ Roll-out Plan'!$O$38</f>
        <v>0</v>
      </c>
      <c r="CO979" s="121" t="n">
        <f aca="false">MIN((CO339+CO340)*$C$5, $F$16)*'⑫ Roll-out Plan'!$O$38</f>
        <v>0</v>
      </c>
      <c r="CP979" s="121" t="n">
        <f aca="false">MIN((CP339+CP340)*$C$5, $F$16)*'⑫ Roll-out Plan'!$O$38</f>
        <v>0</v>
      </c>
      <c r="CQ979" s="121" t="n">
        <f aca="false">MIN((CQ339+CQ340)*$C$5, $F$16)*'⑫ Roll-out Plan'!$O$38</f>
        <v>0</v>
      </c>
      <c r="CR979" s="121" t="n">
        <f aca="false">MIN((CR339+CR340)*$C$5, $F$16)*'⑫ Roll-out Plan'!$O$38</f>
        <v>0</v>
      </c>
      <c r="CS979" s="121" t="n">
        <f aca="false">MIN((CS339+CS340)*$C$5, $F$16)*'⑫ Roll-out Plan'!$O$38</f>
        <v>0</v>
      </c>
      <c r="CT979" s="121" t="n">
        <f aca="false">MIN((CT339+CT340)*$C$5, $F$16)*'⑫ Roll-out Plan'!$O$38</f>
        <v>0</v>
      </c>
      <c r="CU979" s="121" t="n">
        <f aca="false">MIN((CU339+CU340)*$C$5, $F$16)*'⑫ Roll-out Plan'!$O$38</f>
        <v>0</v>
      </c>
      <c r="CV979" s="121" t="n">
        <f aca="false">MIN((CV339+CV340)*$C$5, $F$16)*'⑫ Roll-out Plan'!$O$38</f>
        <v>0</v>
      </c>
      <c r="CW979" s="121" t="n">
        <f aca="false">MIN((CW339+CW340)*$C$5, $F$16)*'⑫ Roll-out Plan'!$O$38</f>
        <v>0</v>
      </c>
      <c r="CX979" s="121" t="n">
        <f aca="false">MIN((CX339+CX340)*$C$5, $F$16)*'⑫ Roll-out Plan'!$O$38</f>
        <v>0</v>
      </c>
      <c r="CY979" s="121" t="n">
        <f aca="false">MIN((CY339+CY340)*$C$5, $F$16)*'⑫ Roll-out Plan'!$O$38</f>
        <v>0</v>
      </c>
      <c r="CZ979" s="121" t="n">
        <f aca="false">MIN((CZ339+CZ340)*$C$5, $F$16)*'⑫ Roll-out Plan'!$O$38</f>
        <v>0</v>
      </c>
      <c r="DA979" s="121" t="n">
        <f aca="false">MIN((DA339+DA340)*$C$5, $F$16)*'⑫ Roll-out Plan'!$O$38</f>
        <v>0</v>
      </c>
      <c r="DB979" s="121" t="n">
        <f aca="false">MIN((DB339+DB340)*$C$5, $F$16)*'⑫ Roll-out Plan'!$O$38</f>
        <v>0</v>
      </c>
      <c r="DC979" s="121" t="n">
        <f aca="false">MIN((DC339+DC340)*$C$5, $F$16)*'⑫ Roll-out Plan'!$O$38</f>
        <v>0</v>
      </c>
      <c r="DD979" s="121" t="n">
        <f aca="false">MIN((DD339+DD340)*$C$5, $F$16)*'⑫ Roll-out Plan'!$O$38</f>
        <v>0</v>
      </c>
      <c r="DE979" s="121" t="n">
        <f aca="false">MIN((DE339+DE340)*$C$5, $F$16)*'⑫ Roll-out Plan'!$O$38</f>
        <v>0</v>
      </c>
      <c r="DF979" s="121" t="n">
        <f aca="false">MIN((DF339+DF340)*$C$5, $F$16)*'⑫ Roll-out Plan'!$O$38</f>
        <v>0</v>
      </c>
      <c r="DG979" s="121" t="n">
        <f aca="false">MIN((DG339+DG340)*$C$5, $F$16)*'⑫ Roll-out Plan'!$O$38</f>
        <v>0</v>
      </c>
      <c r="DH979" s="121" t="n">
        <f aca="false">MIN((DH339+DH340)*$C$5, $F$16)*'⑫ Roll-out Plan'!$O$38</f>
        <v>0</v>
      </c>
      <c r="DI979" s="121" t="n">
        <f aca="false">MIN((DI339+DI340)*$C$5, $F$16)*'⑫ Roll-out Plan'!$O$38</f>
        <v>0</v>
      </c>
      <c r="DJ979" s="121" t="n">
        <f aca="false">MIN((DJ339+DJ340)*$C$5, $F$16)*'⑫ Roll-out Plan'!$O$38</f>
        <v>0</v>
      </c>
      <c r="DK979" s="121" t="n">
        <f aca="false">MIN((DK339+DK340)*$C$5, $F$16)*'⑫ Roll-out Plan'!$O$38</f>
        <v>0</v>
      </c>
      <c r="DL979" s="121" t="n">
        <f aca="false">MIN((DL339+DL340)*$C$5, $F$16)*'⑫ Roll-out Plan'!$O$38</f>
        <v>0</v>
      </c>
      <c r="DM979" s="121" t="n">
        <f aca="false">MIN((DM339+DM340)*$C$5, $F$16)*'⑫ Roll-out Plan'!$O$38</f>
        <v>0</v>
      </c>
      <c r="DN979" s="121" t="n">
        <f aca="false">MIN((DN339+DN340)*$C$5, $F$16)*'⑫ Roll-out Plan'!$O$38</f>
        <v>0</v>
      </c>
      <c r="DO979" s="121" t="n">
        <f aca="false">MIN((DO339+DO340)*$C$5, $F$16)*'⑫ Roll-out Plan'!$O$38</f>
        <v>0</v>
      </c>
      <c r="DP979" s="121" t="n">
        <f aca="false">MIN((DP339+DP340)*$C$5, $F$16)*'⑫ Roll-out Plan'!$O$38</f>
        <v>0</v>
      </c>
      <c r="DQ979" s="121" t="n">
        <f aca="false">MIN((DQ339+DQ340)*$C$5, $F$16)*'⑫ Roll-out Plan'!$O$38</f>
        <v>0</v>
      </c>
      <c r="DR979" s="121" t="n">
        <f aca="false">MIN((DR339+DR340)*$C$5, $F$16)*'⑫ Roll-out Plan'!$O$38</f>
        <v>0</v>
      </c>
      <c r="DS979" s="121" t="n">
        <f aca="false">MIN((DS339+DS340)*$C$5, $F$16)*'⑫ Roll-out Plan'!$O$38</f>
        <v>0</v>
      </c>
      <c r="DT979" s="121" t="n">
        <f aca="false">MIN((DT339+DT340)*$C$5, $F$16)*'⑫ Roll-out Plan'!$O$38</f>
        <v>0</v>
      </c>
      <c r="DU979" s="121" t="n">
        <f aca="false">MIN((DU339+DU340)*$C$5, $F$16)*'⑫ Roll-out Plan'!$O$38</f>
        <v>0</v>
      </c>
      <c r="DV979" s="121" t="n">
        <f aca="false">MIN((DV339+DV340)*$C$5, $F$16)*'⑫ Roll-out Plan'!$O$38</f>
        <v>0</v>
      </c>
      <c r="DW979" s="121" t="n">
        <f aca="false">MIN((DW339+DW340)*$C$5, $F$16)*'⑫ Roll-out Plan'!$O$38</f>
        <v>0</v>
      </c>
      <c r="DX979" s="121" t="n">
        <f aca="false">MIN((DX339+DX340)*$C$5, $F$16)*'⑫ Roll-out Plan'!$O$38</f>
        <v>0</v>
      </c>
      <c r="DY979" s="121" t="n">
        <f aca="false">MIN((DY339+DY340)*$C$5, $F$16)*'⑫ Roll-out Plan'!$O$38</f>
        <v>0</v>
      </c>
      <c r="DZ979" s="121" t="n">
        <f aca="false">MIN((DZ339+DZ340)*$C$5, $F$16)*'⑫ Roll-out Plan'!$O$38</f>
        <v>0</v>
      </c>
      <c r="EA979" s="121" t="n">
        <f aca="false">MIN((EA339+EA340)*$C$5, $F$16)*'⑫ Roll-out Plan'!$O$38</f>
        <v>0</v>
      </c>
      <c r="EB979" s="121" t="n">
        <f aca="false">MIN((EB339+EB340)*$C$5, $F$16)*'⑫ Roll-out Plan'!$O$38</f>
        <v>0</v>
      </c>
      <c r="EC979" s="121" t="n">
        <f aca="false">MIN((EC339+EC340)*$C$5, $F$16)*'⑫ Roll-out Plan'!$O$38</f>
        <v>0</v>
      </c>
      <c r="ED979" s="121" t="n">
        <f aca="false">MIN((ED339+ED340)*$C$5, $F$16)*'⑫ Roll-out Plan'!$O$38</f>
        <v>2766.72</v>
      </c>
      <c r="EE979" s="121" t="n">
        <f aca="false">MIN((EE339+EE340)*$C$5, $F$16)*'⑫ Roll-out Plan'!$O$38</f>
        <v>2636.68416</v>
      </c>
      <c r="EF979" s="121" t="n">
        <f aca="false">MIN((EF339+EF340)*$C$5, $F$16)*'⑫ Roll-out Plan'!$O$38</f>
        <v>3868.427904</v>
      </c>
      <c r="EG979" s="121" t="n">
        <f aca="false">MIN((EG339+EG340)*$C$5, $F$16)*'⑫ Roll-out Plan'!$O$38</f>
        <v>4755.6320064</v>
      </c>
      <c r="EH979" s="121" t="n">
        <f aca="false">MIN((EH339+EH340)*$C$5, $F$16)*'⑫ Roll-out Plan'!$O$38</f>
        <v>3876.8525664</v>
      </c>
      <c r="EI979" s="121" t="n">
        <f aca="false">MIN((EI339+EI340)*$C$5, $F$16)*'⑫ Roll-out Plan'!$O$38</f>
        <v>5798.952896</v>
      </c>
      <c r="EJ979" s="121" t="n">
        <f aca="false">MIN((EJ339+EJ340)*$C$5, $F$16)*'⑫ Roll-out Plan'!$O$38</f>
        <v>6441.7449536</v>
      </c>
      <c r="EK979" s="121" t="n">
        <f aca="false">MIN((EK339+EK340)*$C$5, $F$16)*'⑫ Roll-out Plan'!$O$38</f>
        <v>6185.970912</v>
      </c>
      <c r="EL979" s="121" t="n">
        <f aca="false">MIN((EL339+EL340)*$C$5, $F$16)*'⑫ Roll-out Plan'!$O$38</f>
        <v>6095.7435616</v>
      </c>
      <c r="EM979" s="121" t="n">
        <f aca="false">MIN((EM339+EM340)*$C$5, $F$16)*'⑫ Roll-out Plan'!$O$38</f>
        <v>6401.544512</v>
      </c>
      <c r="EN979" s="121" t="n">
        <f aca="false">MIN((EN339+EN340)*$C$5, $F$16)*'⑫ Roll-out Plan'!$O$38</f>
        <v>10999.5057568</v>
      </c>
      <c r="EO979" s="121" t="n">
        <f aca="false">MIN((EO339+EO340)*$C$5, $F$16)*'⑫ Roll-out Plan'!$O$38</f>
        <v>10455.0844288</v>
      </c>
      <c r="EP979" s="121" t="n">
        <f aca="false">MIN((EP339+EP340)*$C$5, $F$16)*'⑫ Roll-out Plan'!$O$38</f>
        <v>9575.9683712</v>
      </c>
      <c r="EQ979" s="121" t="n">
        <f aca="false">MIN((EQ339+EQ340)*$C$5, $F$16)*'⑫ Roll-out Plan'!$O$38</f>
        <v>8120.369312</v>
      </c>
      <c r="ER979" s="121" t="n">
        <f aca="false">MIN((ER339+ER340)*$C$5, $F$16)*'⑫ Roll-out Plan'!$O$38</f>
        <v>10583.9582464</v>
      </c>
      <c r="ES979" s="9" t="n">
        <f aca="false">MIN((ES339+ES340)*$C$5, $F$16)*'⑫ Roll-out Plan'!$O$38</f>
        <v>13964.1615168</v>
      </c>
      <c r="ET979" s="9" t="n">
        <f aca="false">MIN((ET339+ET340)*$C$5, $F$16)*'⑫ Roll-out Plan'!$O$38</f>
        <v>11984.1306816</v>
      </c>
      <c r="EU979" s="9" t="n">
        <f aca="false">MIN((EU339+EU340)*$C$5, $F$16)*'⑫ Roll-out Plan'!$O$38</f>
        <v>16418.36389248</v>
      </c>
      <c r="EV979" s="9" t="n">
        <f aca="false">MIN((EV339+EV340)*$C$5, $F$16)*'⑫ Roll-out Plan'!$O$38</f>
        <v>16850.65190336</v>
      </c>
      <c r="EW979" s="9" t="n">
        <f aca="false">MIN((EW339+EW340)*$C$5, $F$16)*'⑫ Roll-out Plan'!$O$38</f>
        <v>14827.53217088</v>
      </c>
      <c r="EX979" s="9" t="n">
        <f aca="false">MIN((EX339+EX340)*$C$5, $F$16)*'⑫ Roll-out Plan'!$O$38</f>
        <v>13618.58135792</v>
      </c>
      <c r="EY979" s="9" t="n">
        <f aca="false">MIN((EY339+EY340)*$C$5, $F$16)*'⑫ Roll-out Plan'!$O$38</f>
        <v>14395.51933336</v>
      </c>
      <c r="EZ979" s="9" t="n">
        <f aca="false">MIN((EZ339+EZ340)*$C$5, $F$16)*'⑫ Roll-out Plan'!$O$38</f>
        <v>22772.96419816</v>
      </c>
      <c r="FA979" s="9" t="n">
        <f aca="false">MIN((FA339+FA340)*$C$5, $F$16)*'⑫ Roll-out Plan'!$O$38</f>
        <v>20975.242112</v>
      </c>
      <c r="FB979" s="9" t="n">
        <f aca="false">MIN((FB339+FB340)*$C$5, $F$16)*'⑫ Roll-out Plan'!$O$38</f>
        <v>18240.21189232</v>
      </c>
      <c r="FC979" s="9" t="n">
        <f aca="false">MIN((FC339+FC340)*$C$5, $F$16)*'⑫ Roll-out Plan'!$O$38</f>
        <v>15017.54012528</v>
      </c>
      <c r="FD979" s="9" t="n">
        <f aca="false">MIN((FD339+FD340)*$C$5, $F$16)*'⑫ Roll-out Plan'!$O$38</f>
        <v>19263.89368112</v>
      </c>
      <c r="FE979" s="9" t="n">
        <f aca="false">MIN((FE339+FE340)*$C$5, $F$16)*'⑫ Roll-out Plan'!$O$38</f>
        <v>21451.13708848</v>
      </c>
      <c r="FF979" s="9" t="n">
        <f aca="false">MIN((FF339+FF340)*$C$5, $F$16)*'⑫ Roll-out Plan'!$O$38</f>
        <v>18248.22062448</v>
      </c>
      <c r="FG979" s="9" t="n">
        <f aca="false">MIN((FG339+FG340)*$C$5, $F$16)*'⑫ Roll-out Plan'!$O$38</f>
        <v>23000</v>
      </c>
      <c r="FH979" s="9" t="n">
        <f aca="false">MIN((FH339+FH340)*$C$5, $F$16)*'⑫ Roll-out Plan'!$O$38</f>
        <v>23000</v>
      </c>
      <c r="FI979" s="9" t="n">
        <f aca="false">MIN((FI339+FI340)*$C$5, $F$16)*'⑫ Roll-out Plan'!$O$38</f>
        <v>21335.99219664</v>
      </c>
      <c r="FJ979" s="9" t="n">
        <f aca="false">MIN((FJ339+FJ340)*$C$5, $F$16)*'⑫ Roll-out Plan'!$O$38</f>
        <v>19746.36630384</v>
      </c>
      <c r="FK979" s="9" t="n">
        <f aca="false">MIN((FK339+FK340)*$C$5, $F$16)*'⑫ Roll-out Plan'!$O$38</f>
        <v>20533.58529552</v>
      </c>
      <c r="FL979" s="9" t="n">
        <f aca="false">MIN((FL339+FL340)*$C$5, $F$16)*'⑫ Roll-out Plan'!$O$38</f>
        <v>23000</v>
      </c>
      <c r="FM979" s="9" t="n">
        <f aca="false">MIN((FM339+FM340)*$C$5, $F$16)*'⑫ Roll-out Plan'!$O$38</f>
        <v>23000</v>
      </c>
      <c r="FN979" s="9" t="n">
        <f aca="false">MIN((FN339+FN340)*$C$5, $F$16)*'⑫ Roll-out Plan'!$O$38</f>
        <v>23000</v>
      </c>
      <c r="FO979" s="9" t="n">
        <f aca="false">MIN((FO339+FO340)*$C$5, $F$16)*'⑫ Roll-out Plan'!$O$38</f>
        <v>21353.44674144</v>
      </c>
      <c r="FP979" s="9" t="n">
        <f aca="false">MIN((FP339+FP340)*$C$5, $F$16)*'⑫ Roll-out Plan'!$O$38</f>
        <v>23000</v>
      </c>
    </row>
    <row r="980" customFormat="false" ht="15" hidden="false" customHeight="false" outlineLevel="0" collapsed="false">
      <c r="B980" s="254" t="s">
        <v>1005</v>
      </c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121" t="n">
        <f aca="false">MIN((AC349+AC350)*$C$5, $F$16)*'⑫ Roll-out Plan'!$O$39</f>
        <v>0</v>
      </c>
      <c r="AD980" s="121" t="n">
        <f aca="false">MIN((AD349+AD350)*$C$5, $F$16)*'⑫ Roll-out Plan'!$O$39</f>
        <v>0</v>
      </c>
      <c r="AE980" s="121" t="n">
        <f aca="false">MIN((AE349+AE350)*$C$5, $F$16)*'⑫ Roll-out Plan'!$O$39</f>
        <v>0</v>
      </c>
      <c r="AF980" s="121" t="n">
        <f aca="false">MIN((AF349+AF350)*$C$5, $F$16)*'⑫ Roll-out Plan'!$O$39</f>
        <v>0</v>
      </c>
      <c r="AG980" s="121" t="n">
        <f aca="false">MIN((AG349+AG350)*$C$5, $F$16)*'⑫ Roll-out Plan'!$O$39</f>
        <v>0</v>
      </c>
      <c r="AH980" s="121" t="n">
        <f aca="false">MIN((AH349+AH350)*$C$5, $F$16)*'⑫ Roll-out Plan'!$O$39</f>
        <v>0</v>
      </c>
      <c r="AI980" s="121" t="n">
        <f aca="false">MIN((AI349+AI350)*$C$5, $F$16)*'⑫ Roll-out Plan'!$O$39</f>
        <v>0</v>
      </c>
      <c r="AJ980" s="121" t="n">
        <f aca="false">MIN((AJ349+AJ350)*$C$5, $F$16)*'⑫ Roll-out Plan'!$O$39</f>
        <v>0</v>
      </c>
      <c r="AK980" s="121" t="n">
        <f aca="false">MIN((AK349+AK350)*$C$5, $F$16)*'⑫ Roll-out Plan'!$O$39</f>
        <v>0</v>
      </c>
      <c r="AL980" s="121" t="n">
        <f aca="false">MIN((AL349+AL350)*$C$5, $F$16)*'⑫ Roll-out Plan'!$O$39</f>
        <v>0</v>
      </c>
      <c r="AM980" s="121" t="n">
        <f aca="false">MIN((AM349+AM350)*$C$5, $F$16)*'⑫ Roll-out Plan'!$O$39</f>
        <v>0</v>
      </c>
      <c r="AN980" s="121" t="n">
        <f aca="false">MIN((AN349+AN350)*$C$5, $F$16)*'⑫ Roll-out Plan'!$O$39</f>
        <v>0</v>
      </c>
      <c r="AO980" s="121" t="n">
        <f aca="false">MIN((AO349+AO350)*$C$5, $F$16)*'⑫ Roll-out Plan'!$O$39</f>
        <v>0</v>
      </c>
      <c r="AP980" s="121" t="n">
        <f aca="false">MIN((AP349+AP350)*$C$5, $F$16)*'⑫ Roll-out Plan'!$O$39</f>
        <v>0</v>
      </c>
      <c r="AQ980" s="121" t="n">
        <f aca="false">MIN((AQ349+AQ350)*$C$5, $F$16)*'⑫ Roll-out Plan'!$O$39</f>
        <v>0</v>
      </c>
      <c r="AR980" s="121" t="n">
        <f aca="false">MIN((AR349+AR350)*$C$5, $F$16)*'⑫ Roll-out Plan'!$O$39</f>
        <v>0</v>
      </c>
      <c r="AS980" s="121" t="n">
        <f aca="false">MIN((AS349+AS350)*$C$5, $F$16)*'⑫ Roll-out Plan'!$O$39</f>
        <v>0</v>
      </c>
      <c r="AT980" s="121" t="n">
        <f aca="false">MIN((AT349+AT350)*$C$5, $F$16)*'⑫ Roll-out Plan'!$O$39</f>
        <v>0</v>
      </c>
      <c r="AU980" s="121" t="n">
        <f aca="false">MIN((AU349+AU350)*$C$5, $F$16)*'⑫ Roll-out Plan'!$O$39</f>
        <v>0</v>
      </c>
      <c r="AV980" s="121" t="n">
        <f aca="false">MIN((AV349+AV350)*$C$5, $F$16)*'⑫ Roll-out Plan'!$O$39</f>
        <v>0</v>
      </c>
      <c r="AW980" s="121" t="n">
        <f aca="false">MIN((AW349+AW350)*$C$5, $F$16)*'⑫ Roll-out Plan'!$O$39</f>
        <v>0</v>
      </c>
      <c r="AX980" s="121" t="n">
        <f aca="false">MIN((AX349+AX350)*$C$5, $F$16)*'⑫ Roll-out Plan'!$O$39</f>
        <v>0</v>
      </c>
      <c r="AY980" s="121" t="n">
        <f aca="false">MIN((AY349+AY350)*$C$5, $F$16)*'⑫ Roll-out Plan'!$O$39</f>
        <v>0</v>
      </c>
      <c r="AZ980" s="121" t="n">
        <f aca="false">MIN((AZ349+AZ350)*$C$5, $F$16)*'⑫ Roll-out Plan'!$O$39</f>
        <v>0</v>
      </c>
      <c r="BA980" s="121" t="n">
        <f aca="false">MIN((BA349+BA350)*$C$5, $F$16)*'⑫ Roll-out Plan'!$O$39</f>
        <v>0</v>
      </c>
      <c r="BB980" s="121" t="n">
        <f aca="false">MIN((BB349+BB350)*$C$5, $F$16)*'⑫ Roll-out Plan'!$O$39</f>
        <v>0</v>
      </c>
      <c r="BC980" s="121" t="n">
        <f aca="false">MIN((BC349+BC350)*$C$5, $F$16)*'⑫ Roll-out Plan'!$O$39</f>
        <v>0</v>
      </c>
      <c r="BD980" s="121" t="n">
        <f aca="false">MIN((BD349+BD350)*$C$5, $F$16)*'⑫ Roll-out Plan'!$O$39</f>
        <v>0</v>
      </c>
      <c r="BE980" s="121" t="n">
        <f aca="false">MIN((BE349+BE350)*$C$5, $F$16)*'⑫ Roll-out Plan'!$O$39</f>
        <v>0</v>
      </c>
      <c r="BF980" s="121" t="n">
        <f aca="false">MIN((BF349+BF350)*$C$5, $F$16)*'⑫ Roll-out Plan'!$O$39</f>
        <v>0</v>
      </c>
      <c r="BG980" s="121" t="n">
        <f aca="false">MIN((BG349+BG350)*$C$5, $F$16)*'⑫ Roll-out Plan'!$O$39</f>
        <v>0</v>
      </c>
      <c r="BH980" s="121" t="n">
        <f aca="false">MIN((BH349+BH350)*$C$5, $F$16)*'⑫ Roll-out Plan'!$O$39</f>
        <v>0</v>
      </c>
      <c r="BI980" s="121" t="n">
        <f aca="false">MIN((BI349+BI350)*$C$5, $F$16)*'⑫ Roll-out Plan'!$O$39</f>
        <v>0</v>
      </c>
      <c r="BJ980" s="121" t="n">
        <f aca="false">MIN((BJ349+BJ350)*$C$5, $F$16)*'⑫ Roll-out Plan'!$O$39</f>
        <v>0</v>
      </c>
      <c r="BK980" s="121" t="n">
        <f aca="false">MIN((BK349+BK350)*$C$5, $F$16)*'⑫ Roll-out Plan'!$O$39</f>
        <v>0</v>
      </c>
      <c r="BL980" s="121" t="n">
        <f aca="false">MIN((BL349+BL350)*$C$5, $F$16)*'⑫ Roll-out Plan'!$O$39</f>
        <v>0</v>
      </c>
      <c r="BM980" s="121" t="n">
        <f aca="false">MIN((BM349+BM350)*$C$5, $F$16)*'⑫ Roll-out Plan'!$O$39</f>
        <v>0</v>
      </c>
      <c r="BN980" s="121" t="n">
        <f aca="false">MIN((BN349+BN350)*$C$5, $F$16)*'⑫ Roll-out Plan'!$O$39</f>
        <v>0</v>
      </c>
      <c r="BO980" s="121" t="n">
        <f aca="false">MIN((BO349+BO350)*$C$5, $F$16)*'⑫ Roll-out Plan'!$O$39</f>
        <v>0</v>
      </c>
      <c r="BP980" s="121" t="n">
        <f aca="false">MIN((BP349+BP350)*$C$5, $F$16)*'⑫ Roll-out Plan'!$O$39</f>
        <v>0</v>
      </c>
      <c r="BQ980" s="121" t="n">
        <f aca="false">MIN((BQ349+BQ350)*$C$5, $F$16)*'⑫ Roll-out Plan'!$O$39</f>
        <v>0</v>
      </c>
      <c r="BR980" s="121" t="n">
        <f aca="false">MIN((BR349+BR350)*$C$5, $F$16)*'⑫ Roll-out Plan'!$O$39</f>
        <v>0</v>
      </c>
      <c r="BS980" s="121" t="n">
        <f aca="false">MIN((BS349+BS350)*$C$5, $F$16)*'⑫ Roll-out Plan'!$O$39</f>
        <v>0</v>
      </c>
      <c r="BT980" s="121" t="n">
        <f aca="false">MIN((BT349+BT350)*$C$5, $F$16)*'⑫ Roll-out Plan'!$O$39</f>
        <v>0</v>
      </c>
      <c r="BU980" s="121" t="n">
        <f aca="false">MIN((BU349+BU350)*$C$5, $F$16)*'⑫ Roll-out Plan'!$O$39</f>
        <v>0</v>
      </c>
      <c r="BV980" s="121" t="n">
        <f aca="false">MIN((BV349+BV350)*$C$5, $F$16)*'⑫ Roll-out Plan'!$O$39</f>
        <v>0</v>
      </c>
      <c r="BW980" s="121" t="n">
        <f aca="false">MIN((BW349+BW350)*$C$5, $F$16)*'⑫ Roll-out Plan'!$O$39</f>
        <v>0</v>
      </c>
      <c r="BX980" s="121" t="n">
        <f aca="false">MIN((BX349+BX350)*$C$5, $F$16)*'⑫ Roll-out Plan'!$O$39</f>
        <v>0</v>
      </c>
      <c r="BY980" s="121" t="n">
        <f aca="false">MIN((BY349+BY350)*$C$5, $F$16)*'⑫ Roll-out Plan'!$O$39</f>
        <v>0</v>
      </c>
      <c r="BZ980" s="121" t="n">
        <f aca="false">MIN((BZ349+BZ350)*$C$5, $F$16)*'⑫ Roll-out Plan'!$O$39</f>
        <v>0</v>
      </c>
      <c r="CA980" s="121" t="n">
        <f aca="false">MIN((CA349+CA350)*$C$5, $F$16)*'⑫ Roll-out Plan'!$O$39</f>
        <v>0</v>
      </c>
      <c r="CB980" s="121" t="n">
        <f aca="false">MIN((CB349+CB350)*$C$5, $F$16)*'⑫ Roll-out Plan'!$O$39</f>
        <v>0</v>
      </c>
      <c r="CC980" s="121" t="n">
        <f aca="false">MIN((CC349+CC350)*$C$5, $F$16)*'⑫ Roll-out Plan'!$O$39</f>
        <v>0</v>
      </c>
      <c r="CD980" s="121" t="n">
        <f aca="false">MIN((CD349+CD350)*$C$5, $F$16)*'⑫ Roll-out Plan'!$O$39</f>
        <v>0</v>
      </c>
      <c r="CE980" s="121" t="n">
        <f aca="false">MIN((CE349+CE350)*$C$5, $F$16)*'⑫ Roll-out Plan'!$O$39</f>
        <v>0</v>
      </c>
      <c r="CF980" s="121" t="n">
        <f aca="false">MIN((CF349+CF350)*$C$5, $F$16)*'⑫ Roll-out Plan'!$O$39</f>
        <v>0</v>
      </c>
      <c r="CG980" s="121" t="n">
        <f aca="false">MIN((CG349+CG350)*$C$5, $F$16)*'⑫ Roll-out Plan'!$O$39</f>
        <v>0</v>
      </c>
      <c r="CH980" s="121" t="n">
        <f aca="false">MIN((CH349+CH350)*$C$5, $F$16)*'⑫ Roll-out Plan'!$O$39</f>
        <v>0</v>
      </c>
      <c r="CI980" s="121" t="n">
        <f aca="false">MIN((CI349+CI350)*$C$5, $F$16)*'⑫ Roll-out Plan'!$O$39</f>
        <v>0</v>
      </c>
      <c r="CJ980" s="121" t="n">
        <f aca="false">MIN((CJ349+CJ350)*$C$5, $F$16)*'⑫ Roll-out Plan'!$O$39</f>
        <v>0</v>
      </c>
      <c r="CK980" s="121" t="n">
        <f aca="false">MIN((CK349+CK350)*$C$5, $F$16)*'⑫ Roll-out Plan'!$O$39</f>
        <v>0</v>
      </c>
      <c r="CL980" s="121" t="n">
        <f aca="false">MIN((CL349+CL350)*$C$5, $F$16)*'⑫ Roll-out Plan'!$O$39</f>
        <v>0</v>
      </c>
      <c r="CM980" s="121" t="n">
        <f aca="false">MIN((CM349+CM350)*$C$5, $F$16)*'⑫ Roll-out Plan'!$O$39</f>
        <v>0</v>
      </c>
      <c r="CN980" s="121" t="n">
        <f aca="false">MIN((CN349+CN350)*$C$5, $F$16)*'⑫ Roll-out Plan'!$O$39</f>
        <v>0</v>
      </c>
      <c r="CO980" s="121" t="n">
        <f aca="false">MIN((CO349+CO350)*$C$5, $F$16)*'⑫ Roll-out Plan'!$O$39</f>
        <v>0</v>
      </c>
      <c r="CP980" s="121" t="n">
        <f aca="false">MIN((CP349+CP350)*$C$5, $F$16)*'⑫ Roll-out Plan'!$O$39</f>
        <v>0</v>
      </c>
      <c r="CQ980" s="121" t="n">
        <f aca="false">MIN((CQ349+CQ350)*$C$5, $F$16)*'⑫ Roll-out Plan'!$O$39</f>
        <v>0</v>
      </c>
      <c r="CR980" s="121" t="n">
        <f aca="false">MIN((CR349+CR350)*$C$5, $F$16)*'⑫ Roll-out Plan'!$O$39</f>
        <v>0</v>
      </c>
      <c r="CS980" s="121" t="n">
        <f aca="false">MIN((CS349+CS350)*$C$5, $F$16)*'⑫ Roll-out Plan'!$O$39</f>
        <v>0</v>
      </c>
      <c r="CT980" s="121" t="n">
        <f aca="false">MIN((CT349+CT350)*$C$5, $F$16)*'⑫ Roll-out Plan'!$O$39</f>
        <v>0</v>
      </c>
      <c r="CU980" s="121" t="n">
        <f aca="false">MIN((CU349+CU350)*$C$5, $F$16)*'⑫ Roll-out Plan'!$O$39</f>
        <v>0</v>
      </c>
      <c r="CV980" s="121" t="n">
        <f aca="false">MIN((CV349+CV350)*$C$5, $F$16)*'⑫ Roll-out Plan'!$O$39</f>
        <v>0</v>
      </c>
      <c r="CW980" s="121" t="n">
        <f aca="false">MIN((CW349+CW350)*$C$5, $F$16)*'⑫ Roll-out Plan'!$O$39</f>
        <v>0</v>
      </c>
      <c r="CX980" s="121" t="n">
        <f aca="false">MIN((CX349+CX350)*$C$5, $F$16)*'⑫ Roll-out Plan'!$O$39</f>
        <v>0</v>
      </c>
      <c r="CY980" s="121" t="n">
        <f aca="false">MIN((CY349+CY350)*$C$5, $F$16)*'⑫ Roll-out Plan'!$O$39</f>
        <v>0</v>
      </c>
      <c r="CZ980" s="121" t="n">
        <f aca="false">MIN((CZ349+CZ350)*$C$5, $F$16)*'⑫ Roll-out Plan'!$O$39</f>
        <v>0</v>
      </c>
      <c r="DA980" s="121" t="n">
        <f aca="false">MIN((DA349+DA350)*$C$5, $F$16)*'⑫ Roll-out Plan'!$O$39</f>
        <v>0</v>
      </c>
      <c r="DB980" s="121" t="n">
        <f aca="false">MIN((DB349+DB350)*$C$5, $F$16)*'⑫ Roll-out Plan'!$O$39</f>
        <v>0</v>
      </c>
      <c r="DC980" s="121" t="n">
        <f aca="false">MIN((DC349+DC350)*$C$5, $F$16)*'⑫ Roll-out Plan'!$O$39</f>
        <v>0</v>
      </c>
      <c r="DD980" s="121" t="n">
        <f aca="false">MIN((DD349+DD350)*$C$5, $F$16)*'⑫ Roll-out Plan'!$O$39</f>
        <v>0</v>
      </c>
      <c r="DE980" s="121" t="n">
        <f aca="false">MIN((DE349+DE350)*$C$5, $F$16)*'⑫ Roll-out Plan'!$O$39</f>
        <v>0</v>
      </c>
      <c r="DF980" s="121" t="n">
        <f aca="false">MIN((DF349+DF350)*$C$5, $F$16)*'⑫ Roll-out Plan'!$O$39</f>
        <v>0</v>
      </c>
      <c r="DG980" s="121" t="n">
        <f aca="false">MIN((DG349+DG350)*$C$5, $F$16)*'⑫ Roll-out Plan'!$O$39</f>
        <v>0</v>
      </c>
      <c r="DH980" s="121" t="n">
        <f aca="false">MIN((DH349+DH350)*$C$5, $F$16)*'⑫ Roll-out Plan'!$O$39</f>
        <v>0</v>
      </c>
      <c r="DI980" s="121" t="n">
        <f aca="false">MIN((DI349+DI350)*$C$5, $F$16)*'⑫ Roll-out Plan'!$O$39</f>
        <v>0</v>
      </c>
      <c r="DJ980" s="121" t="n">
        <f aca="false">MIN((DJ349+DJ350)*$C$5, $F$16)*'⑫ Roll-out Plan'!$O$39</f>
        <v>0</v>
      </c>
      <c r="DK980" s="121" t="n">
        <f aca="false">MIN((DK349+DK350)*$C$5, $F$16)*'⑫ Roll-out Plan'!$O$39</f>
        <v>0</v>
      </c>
      <c r="DL980" s="121" t="n">
        <f aca="false">MIN((DL349+DL350)*$C$5, $F$16)*'⑫ Roll-out Plan'!$O$39</f>
        <v>0</v>
      </c>
      <c r="DM980" s="121" t="n">
        <f aca="false">MIN((DM349+DM350)*$C$5, $F$16)*'⑫ Roll-out Plan'!$O$39</f>
        <v>0</v>
      </c>
      <c r="DN980" s="121" t="n">
        <f aca="false">MIN((DN349+DN350)*$C$5, $F$16)*'⑫ Roll-out Plan'!$O$39</f>
        <v>0</v>
      </c>
      <c r="DO980" s="121" t="n">
        <f aca="false">MIN((DO349+DO350)*$C$5, $F$16)*'⑫ Roll-out Plan'!$O$39</f>
        <v>0</v>
      </c>
      <c r="DP980" s="121" t="n">
        <f aca="false">MIN((DP349+DP350)*$C$5, $F$16)*'⑫ Roll-out Plan'!$O$39</f>
        <v>0</v>
      </c>
      <c r="DQ980" s="121" t="n">
        <f aca="false">MIN((DQ349+DQ350)*$C$5, $F$16)*'⑫ Roll-out Plan'!$O$39</f>
        <v>0</v>
      </c>
      <c r="DR980" s="121" t="n">
        <f aca="false">MIN((DR349+DR350)*$C$5, $F$16)*'⑫ Roll-out Plan'!$O$39</f>
        <v>0</v>
      </c>
      <c r="DS980" s="121" t="n">
        <f aca="false">MIN((DS349+DS350)*$C$5, $F$16)*'⑫ Roll-out Plan'!$O$39</f>
        <v>0</v>
      </c>
      <c r="DT980" s="121" t="n">
        <f aca="false">MIN((DT349+DT350)*$C$5, $F$16)*'⑫ Roll-out Plan'!$O$39</f>
        <v>0</v>
      </c>
      <c r="DU980" s="121" t="n">
        <f aca="false">MIN((DU349+DU350)*$C$5, $F$16)*'⑫ Roll-out Plan'!$O$39</f>
        <v>0</v>
      </c>
      <c r="DV980" s="121" t="n">
        <f aca="false">MIN((DV349+DV350)*$C$5, $F$16)*'⑫ Roll-out Plan'!$O$39</f>
        <v>0</v>
      </c>
      <c r="DW980" s="121" t="n">
        <f aca="false">MIN((DW349+DW350)*$C$5, $F$16)*'⑫ Roll-out Plan'!$O$39</f>
        <v>0</v>
      </c>
      <c r="DX980" s="121" t="n">
        <f aca="false">MIN((DX349+DX350)*$C$5, $F$16)*'⑫ Roll-out Plan'!$O$39</f>
        <v>0</v>
      </c>
      <c r="DY980" s="121" t="n">
        <f aca="false">MIN((DY349+DY350)*$C$5, $F$16)*'⑫ Roll-out Plan'!$O$39</f>
        <v>0</v>
      </c>
      <c r="DZ980" s="121" t="n">
        <f aca="false">MIN((DZ349+DZ350)*$C$5, $F$16)*'⑫ Roll-out Plan'!$O$39</f>
        <v>0</v>
      </c>
      <c r="EA980" s="121" t="n">
        <f aca="false">MIN((EA349+EA350)*$C$5, $F$16)*'⑫ Roll-out Plan'!$O$39</f>
        <v>0</v>
      </c>
      <c r="EB980" s="121" t="n">
        <f aca="false">MIN((EB349+EB350)*$C$5, $F$16)*'⑫ Roll-out Plan'!$O$39</f>
        <v>0</v>
      </c>
      <c r="EC980" s="121" t="n">
        <f aca="false">MIN((EC349+EC350)*$C$5, $F$16)*'⑫ Roll-out Plan'!$O$39</f>
        <v>0</v>
      </c>
      <c r="ED980" s="121" t="n">
        <f aca="false">MIN((ED349+ED350)*$C$5, $F$16)*'⑫ Roll-out Plan'!$O$39</f>
        <v>0</v>
      </c>
      <c r="EE980" s="121" t="n">
        <f aca="false">MIN((EE349+EE350)*$C$5, $F$16)*'⑫ Roll-out Plan'!$O$39</f>
        <v>2075.04</v>
      </c>
      <c r="EF980" s="121" t="n">
        <f aca="false">MIN((EF349+EF350)*$C$5, $F$16)*'⑫ Roll-out Plan'!$O$39</f>
        <v>3499.20912</v>
      </c>
      <c r="EG980" s="121" t="n">
        <f aca="false">MIN((EG349+EG350)*$C$5, $F$16)*'⑫ Roll-out Plan'!$O$39</f>
        <v>4185.494016</v>
      </c>
      <c r="EH980" s="121" t="n">
        <f aca="false">MIN((EH349+EH350)*$C$5, $F$16)*'⑫ Roll-out Plan'!$O$39</f>
        <v>3771.8555424</v>
      </c>
      <c r="EI980" s="121" t="n">
        <f aca="false">MIN((EI349+EI350)*$C$5, $F$16)*'⑫ Roll-out Plan'!$O$39</f>
        <v>5086.3103808</v>
      </c>
      <c r="EJ980" s="121" t="n">
        <f aca="false">MIN((EJ349+EJ350)*$C$5, $F$16)*'⑫ Roll-out Plan'!$O$39</f>
        <v>5692.6278464</v>
      </c>
      <c r="EK980" s="121" t="n">
        <f aca="false">MIN((EK349+EK350)*$C$5, $F$16)*'⑫ Roll-out Plan'!$O$39</f>
        <v>5508.6963008</v>
      </c>
      <c r="EL980" s="121" t="n">
        <f aca="false">MIN((EL349+EL350)*$C$5, $F$16)*'⑫ Roll-out Plan'!$O$39</f>
        <v>5402.8369824</v>
      </c>
      <c r="EM980" s="121" t="n">
        <f aca="false">MIN((EM349+EM350)*$C$5, $F$16)*'⑫ Roll-out Plan'!$O$39</f>
        <v>6261.1703616</v>
      </c>
      <c r="EN980" s="121" t="n">
        <f aca="false">MIN((EN349+EN350)*$C$5, $F$16)*'⑫ Roll-out Plan'!$O$39</f>
        <v>10084.8926816</v>
      </c>
      <c r="EO980" s="121" t="n">
        <f aca="false">MIN((EO349+EO350)*$C$5, $F$16)*'⑫ Roll-out Plan'!$O$39</f>
        <v>9635.1300672</v>
      </c>
      <c r="EP980" s="121" t="n">
        <f aca="false">MIN((EP349+EP350)*$C$5, $F$16)*'⑫ Roll-out Plan'!$O$39</f>
        <v>8810.8504</v>
      </c>
      <c r="EQ980" s="121" t="n">
        <f aca="false">MIN((EQ349+EQ350)*$C$5, $F$16)*'⑫ Roll-out Plan'!$O$39</f>
        <v>7470.8080128</v>
      </c>
      <c r="ER980" s="121" t="n">
        <f aca="false">MIN((ER349+ER350)*$C$5, $F$16)*'⑫ Roll-out Plan'!$O$39</f>
        <v>10427.1497792</v>
      </c>
      <c r="ES980" s="9" t="n">
        <f aca="false">MIN((ES349+ES350)*$C$5, $F$16)*'⑫ Roll-out Plan'!$O$39</f>
        <v>11414.2693632</v>
      </c>
      <c r="ET980" s="9" t="n">
        <f aca="false">MIN((ET349+ET350)*$C$5, $F$16)*'⑫ Roll-out Plan'!$O$39</f>
        <v>11155.922272</v>
      </c>
      <c r="EU980" s="9" t="n">
        <f aca="false">MIN((EU349+EU350)*$C$5, $F$16)*'⑫ Roll-out Plan'!$O$39</f>
        <v>15565.889504</v>
      </c>
      <c r="EV980" s="9" t="n">
        <f aca="false">MIN((EV349+EV350)*$C$5, $F$16)*'⑫ Roll-out Plan'!$O$39</f>
        <v>16162.42015872</v>
      </c>
      <c r="EW980" s="9" t="n">
        <f aca="false">MIN((EW349+EW350)*$C$5, $F$16)*'⑫ Roll-out Plan'!$O$39</f>
        <v>14559.83518</v>
      </c>
      <c r="EX980" s="9" t="n">
        <f aca="false">MIN((EX349+EX350)*$C$5, $F$16)*'⑫ Roll-out Plan'!$O$39</f>
        <v>13104.11715184</v>
      </c>
      <c r="EY980" s="9" t="n">
        <f aca="false">MIN((EY349+EY350)*$C$5, $F$16)*'⑫ Roll-out Plan'!$O$39</f>
        <v>13867.45762072</v>
      </c>
      <c r="EZ980" s="9" t="n">
        <f aca="false">MIN((EZ349+EZ350)*$C$5, $F$16)*'⑫ Roll-out Plan'!$O$39</f>
        <v>22003.22303784</v>
      </c>
      <c r="FA980" s="9" t="n">
        <f aca="false">MIN((FA349+FA350)*$C$5, $F$16)*'⑫ Roll-out Plan'!$O$39</f>
        <v>20260.01778592</v>
      </c>
      <c r="FB980" s="9" t="n">
        <f aca="false">MIN((FB349+FB350)*$C$5, $F$16)*'⑫ Roll-out Plan'!$O$39</f>
        <v>17915.97398096</v>
      </c>
      <c r="FC980" s="9" t="n">
        <f aca="false">MIN((FC349+FC350)*$C$5, $F$16)*'⑫ Roll-out Plan'!$O$39</f>
        <v>14584.74626576</v>
      </c>
      <c r="FD980" s="9" t="n">
        <f aca="false">MIN((FD349+FD350)*$C$5, $F$16)*'⑫ Roll-out Plan'!$O$39</f>
        <v>18637.46446672</v>
      </c>
      <c r="FE980" s="9" t="n">
        <f aca="false">MIN((FE349+FE350)*$C$5, $F$16)*'⑫ Roll-out Plan'!$O$39</f>
        <v>20712.0705528</v>
      </c>
      <c r="FF980" s="9" t="n">
        <f aca="false">MIN((FF349+FF350)*$C$5, $F$16)*'⑫ Roll-out Plan'!$O$39</f>
        <v>17698.34332464</v>
      </c>
      <c r="FG980" s="9" t="n">
        <f aca="false">MIN((FG349+FG350)*$C$5, $F$16)*'⑫ Roll-out Plan'!$O$39</f>
        <v>22865.10992304</v>
      </c>
      <c r="FH980" s="9" t="n">
        <f aca="false">MIN((FH349+FH350)*$C$5, $F$16)*'⑫ Roll-out Plan'!$O$39</f>
        <v>22930.45984944</v>
      </c>
      <c r="FI980" s="9" t="n">
        <f aca="false">MIN((FI349+FI350)*$C$5, $F$16)*'⑫ Roll-out Plan'!$O$39</f>
        <v>20671.738692</v>
      </c>
      <c r="FJ980" s="9" t="n">
        <f aca="false">MIN((FJ349+FJ350)*$C$5, $F$16)*'⑫ Roll-out Plan'!$O$39</f>
        <v>19195.30346448</v>
      </c>
      <c r="FK980" s="9" t="n">
        <f aca="false">MIN((FK349+FK350)*$C$5, $F$16)*'⑫ Roll-out Plan'!$O$39</f>
        <v>19979.3013024</v>
      </c>
      <c r="FL980" s="9" t="n">
        <f aca="false">MIN((FL349+FL350)*$C$5, $F$16)*'⑫ Roll-out Plan'!$O$39</f>
        <v>23000</v>
      </c>
      <c r="FM980" s="9" t="n">
        <f aca="false">MIN((FM349+FM350)*$C$5, $F$16)*'⑫ Roll-out Plan'!$O$39</f>
        <v>23000</v>
      </c>
      <c r="FN980" s="9" t="n">
        <f aca="false">MIN((FN349+FN350)*$C$5, $F$16)*'⑫ Roll-out Plan'!$O$39</f>
        <v>23000</v>
      </c>
      <c r="FO980" s="9" t="n">
        <f aca="false">MIN((FO349+FO350)*$C$5, $F$16)*'⑫ Roll-out Plan'!$O$39</f>
        <v>20794.37908944</v>
      </c>
      <c r="FP980" s="9" t="n">
        <f aca="false">MIN((FP349+FP350)*$C$5, $F$16)*'⑫ Roll-out Plan'!$O$39</f>
        <v>23000</v>
      </c>
    </row>
    <row r="981" customFormat="false" ht="15" hidden="false" customHeight="false" outlineLevel="0" collapsed="false">
      <c r="B981" s="254" t="s">
        <v>1006</v>
      </c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121" t="n">
        <f aca="false">MIN((AC359+AC360)*$C$5, $F$16)*'⑫ Roll-out Plan'!$O$40</f>
        <v>0</v>
      </c>
      <c r="AD981" s="121" t="n">
        <f aca="false">MIN((AD359+AD360)*$C$5, $F$16)*'⑫ Roll-out Plan'!$O$40</f>
        <v>0</v>
      </c>
      <c r="AE981" s="121" t="n">
        <f aca="false">MIN((AE359+AE360)*$C$5, $F$16)*'⑫ Roll-out Plan'!$O$40</f>
        <v>0</v>
      </c>
      <c r="AF981" s="121" t="n">
        <f aca="false">MIN((AF359+AF360)*$C$5, $F$16)*'⑫ Roll-out Plan'!$O$40</f>
        <v>0</v>
      </c>
      <c r="AG981" s="121" t="n">
        <f aca="false">MIN((AG359+AG360)*$C$5, $F$16)*'⑫ Roll-out Plan'!$O$40</f>
        <v>0</v>
      </c>
      <c r="AH981" s="121" t="n">
        <f aca="false">MIN((AH359+AH360)*$C$5, $F$16)*'⑫ Roll-out Plan'!$O$40</f>
        <v>0</v>
      </c>
      <c r="AI981" s="121" t="n">
        <f aca="false">MIN((AI359+AI360)*$C$5, $F$16)*'⑫ Roll-out Plan'!$O$40</f>
        <v>0</v>
      </c>
      <c r="AJ981" s="121" t="n">
        <f aca="false">MIN((AJ359+AJ360)*$C$5, $F$16)*'⑫ Roll-out Plan'!$O$40</f>
        <v>0</v>
      </c>
      <c r="AK981" s="121" t="n">
        <f aca="false">MIN((AK359+AK360)*$C$5, $F$16)*'⑫ Roll-out Plan'!$O$40</f>
        <v>0</v>
      </c>
      <c r="AL981" s="121" t="n">
        <f aca="false">MIN((AL359+AL360)*$C$5, $F$16)*'⑫ Roll-out Plan'!$O$40</f>
        <v>0</v>
      </c>
      <c r="AM981" s="121" t="n">
        <f aca="false">MIN((AM359+AM360)*$C$5, $F$16)*'⑫ Roll-out Plan'!$O$40</f>
        <v>0</v>
      </c>
      <c r="AN981" s="121" t="n">
        <f aca="false">MIN((AN359+AN360)*$C$5, $F$16)*'⑫ Roll-out Plan'!$O$40</f>
        <v>0</v>
      </c>
      <c r="AO981" s="121" t="n">
        <f aca="false">MIN((AO359+AO360)*$C$5, $F$16)*'⑫ Roll-out Plan'!$O$40</f>
        <v>0</v>
      </c>
      <c r="AP981" s="121" t="n">
        <f aca="false">MIN((AP359+AP360)*$C$5, $F$16)*'⑫ Roll-out Plan'!$O$40</f>
        <v>0</v>
      </c>
      <c r="AQ981" s="121" t="n">
        <f aca="false">MIN((AQ359+AQ360)*$C$5, $F$16)*'⑫ Roll-out Plan'!$O$40</f>
        <v>0</v>
      </c>
      <c r="AR981" s="121" t="n">
        <f aca="false">MIN((AR359+AR360)*$C$5, $F$16)*'⑫ Roll-out Plan'!$O$40</f>
        <v>0</v>
      </c>
      <c r="AS981" s="121" t="n">
        <f aca="false">MIN((AS359+AS360)*$C$5, $F$16)*'⑫ Roll-out Plan'!$O$40</f>
        <v>0</v>
      </c>
      <c r="AT981" s="121" t="n">
        <f aca="false">MIN((AT359+AT360)*$C$5, $F$16)*'⑫ Roll-out Plan'!$O$40</f>
        <v>0</v>
      </c>
      <c r="AU981" s="121" t="n">
        <f aca="false">MIN((AU359+AU360)*$C$5, $F$16)*'⑫ Roll-out Plan'!$O$40</f>
        <v>0</v>
      </c>
      <c r="AV981" s="121" t="n">
        <f aca="false">MIN((AV359+AV360)*$C$5, $F$16)*'⑫ Roll-out Plan'!$O$40</f>
        <v>0</v>
      </c>
      <c r="AW981" s="121" t="n">
        <f aca="false">MIN((AW359+AW360)*$C$5, $F$16)*'⑫ Roll-out Plan'!$O$40</f>
        <v>0</v>
      </c>
      <c r="AX981" s="121" t="n">
        <f aca="false">MIN((AX359+AX360)*$C$5, $F$16)*'⑫ Roll-out Plan'!$O$40</f>
        <v>0</v>
      </c>
      <c r="AY981" s="121" t="n">
        <f aca="false">MIN((AY359+AY360)*$C$5, $F$16)*'⑫ Roll-out Plan'!$O$40</f>
        <v>0</v>
      </c>
      <c r="AZ981" s="121" t="n">
        <f aca="false">MIN((AZ359+AZ360)*$C$5, $F$16)*'⑫ Roll-out Plan'!$O$40</f>
        <v>0</v>
      </c>
      <c r="BA981" s="121" t="n">
        <f aca="false">MIN((BA359+BA360)*$C$5, $F$16)*'⑫ Roll-out Plan'!$O$40</f>
        <v>0</v>
      </c>
      <c r="BB981" s="121" t="n">
        <f aca="false">MIN((BB359+BB360)*$C$5, $F$16)*'⑫ Roll-out Plan'!$O$40</f>
        <v>0</v>
      </c>
      <c r="BC981" s="121" t="n">
        <f aca="false">MIN((BC359+BC360)*$C$5, $F$16)*'⑫ Roll-out Plan'!$O$40</f>
        <v>0</v>
      </c>
      <c r="BD981" s="121" t="n">
        <f aca="false">MIN((BD359+BD360)*$C$5, $F$16)*'⑫ Roll-out Plan'!$O$40</f>
        <v>0</v>
      </c>
      <c r="BE981" s="121" t="n">
        <f aca="false">MIN((BE359+BE360)*$C$5, $F$16)*'⑫ Roll-out Plan'!$O$40</f>
        <v>0</v>
      </c>
      <c r="BF981" s="121" t="n">
        <f aca="false">MIN((BF359+BF360)*$C$5, $F$16)*'⑫ Roll-out Plan'!$O$40</f>
        <v>0</v>
      </c>
      <c r="BG981" s="121" t="n">
        <f aca="false">MIN((BG359+BG360)*$C$5, $F$16)*'⑫ Roll-out Plan'!$O$40</f>
        <v>0</v>
      </c>
      <c r="BH981" s="121" t="n">
        <f aca="false">MIN((BH359+BH360)*$C$5, $F$16)*'⑫ Roll-out Plan'!$O$40</f>
        <v>0</v>
      </c>
      <c r="BI981" s="121" t="n">
        <f aca="false">MIN((BI359+BI360)*$C$5, $F$16)*'⑫ Roll-out Plan'!$O$40</f>
        <v>0</v>
      </c>
      <c r="BJ981" s="121" t="n">
        <f aca="false">MIN((BJ359+BJ360)*$C$5, $F$16)*'⑫ Roll-out Plan'!$O$40</f>
        <v>0</v>
      </c>
      <c r="BK981" s="121" t="n">
        <f aca="false">MIN((BK359+BK360)*$C$5, $F$16)*'⑫ Roll-out Plan'!$O$40</f>
        <v>0</v>
      </c>
      <c r="BL981" s="121" t="n">
        <f aca="false">MIN((BL359+BL360)*$C$5, $F$16)*'⑫ Roll-out Plan'!$O$40</f>
        <v>0</v>
      </c>
      <c r="BM981" s="121" t="n">
        <f aca="false">MIN((BM359+BM360)*$C$5, $F$16)*'⑫ Roll-out Plan'!$O$40</f>
        <v>0</v>
      </c>
      <c r="BN981" s="121" t="n">
        <f aca="false">MIN((BN359+BN360)*$C$5, $F$16)*'⑫ Roll-out Plan'!$O$40</f>
        <v>0</v>
      </c>
      <c r="BO981" s="121" t="n">
        <f aca="false">MIN((BO359+BO360)*$C$5, $F$16)*'⑫ Roll-out Plan'!$O$40</f>
        <v>0</v>
      </c>
      <c r="BP981" s="121" t="n">
        <f aca="false">MIN((BP359+BP360)*$C$5, $F$16)*'⑫ Roll-out Plan'!$O$40</f>
        <v>0</v>
      </c>
      <c r="BQ981" s="121" t="n">
        <f aca="false">MIN((BQ359+BQ360)*$C$5, $F$16)*'⑫ Roll-out Plan'!$O$40</f>
        <v>0</v>
      </c>
      <c r="BR981" s="121" t="n">
        <f aca="false">MIN((BR359+BR360)*$C$5, $F$16)*'⑫ Roll-out Plan'!$O$40</f>
        <v>0</v>
      </c>
      <c r="BS981" s="121" t="n">
        <f aca="false">MIN((BS359+BS360)*$C$5, $F$16)*'⑫ Roll-out Plan'!$O$40</f>
        <v>0</v>
      </c>
      <c r="BT981" s="121" t="n">
        <f aca="false">MIN((BT359+BT360)*$C$5, $F$16)*'⑫ Roll-out Plan'!$O$40</f>
        <v>0</v>
      </c>
      <c r="BU981" s="121" t="n">
        <f aca="false">MIN((BU359+BU360)*$C$5, $F$16)*'⑫ Roll-out Plan'!$O$40</f>
        <v>0</v>
      </c>
      <c r="BV981" s="121" t="n">
        <f aca="false">MIN((BV359+BV360)*$C$5, $F$16)*'⑫ Roll-out Plan'!$O$40</f>
        <v>0</v>
      </c>
      <c r="BW981" s="121" t="n">
        <f aca="false">MIN((BW359+BW360)*$C$5, $F$16)*'⑫ Roll-out Plan'!$O$40</f>
        <v>0</v>
      </c>
      <c r="BX981" s="121" t="n">
        <f aca="false">MIN((BX359+BX360)*$C$5, $F$16)*'⑫ Roll-out Plan'!$O$40</f>
        <v>0</v>
      </c>
      <c r="BY981" s="121" t="n">
        <f aca="false">MIN((BY359+BY360)*$C$5, $F$16)*'⑫ Roll-out Plan'!$O$40</f>
        <v>0</v>
      </c>
      <c r="BZ981" s="121" t="n">
        <f aca="false">MIN((BZ359+BZ360)*$C$5, $F$16)*'⑫ Roll-out Plan'!$O$40</f>
        <v>0</v>
      </c>
      <c r="CA981" s="121" t="n">
        <f aca="false">MIN((CA359+CA360)*$C$5, $F$16)*'⑫ Roll-out Plan'!$O$40</f>
        <v>0</v>
      </c>
      <c r="CB981" s="121" t="n">
        <f aca="false">MIN((CB359+CB360)*$C$5, $F$16)*'⑫ Roll-out Plan'!$O$40</f>
        <v>0</v>
      </c>
      <c r="CC981" s="121" t="n">
        <f aca="false">MIN((CC359+CC360)*$C$5, $F$16)*'⑫ Roll-out Plan'!$O$40</f>
        <v>0</v>
      </c>
      <c r="CD981" s="121" t="n">
        <f aca="false">MIN((CD359+CD360)*$C$5, $F$16)*'⑫ Roll-out Plan'!$O$40</f>
        <v>0</v>
      </c>
      <c r="CE981" s="121" t="n">
        <f aca="false">MIN((CE359+CE360)*$C$5, $F$16)*'⑫ Roll-out Plan'!$O$40</f>
        <v>0</v>
      </c>
      <c r="CF981" s="121" t="n">
        <f aca="false">MIN((CF359+CF360)*$C$5, $F$16)*'⑫ Roll-out Plan'!$O$40</f>
        <v>0</v>
      </c>
      <c r="CG981" s="121" t="n">
        <f aca="false">MIN((CG359+CG360)*$C$5, $F$16)*'⑫ Roll-out Plan'!$O$40</f>
        <v>0</v>
      </c>
      <c r="CH981" s="121" t="n">
        <f aca="false">MIN((CH359+CH360)*$C$5, $F$16)*'⑫ Roll-out Plan'!$O$40</f>
        <v>0</v>
      </c>
      <c r="CI981" s="121" t="n">
        <f aca="false">MIN((CI359+CI360)*$C$5, $F$16)*'⑫ Roll-out Plan'!$O$40</f>
        <v>0</v>
      </c>
      <c r="CJ981" s="121" t="n">
        <f aca="false">MIN((CJ359+CJ360)*$C$5, $F$16)*'⑫ Roll-out Plan'!$O$40</f>
        <v>0</v>
      </c>
      <c r="CK981" s="121" t="n">
        <f aca="false">MIN((CK359+CK360)*$C$5, $F$16)*'⑫ Roll-out Plan'!$O$40</f>
        <v>0</v>
      </c>
      <c r="CL981" s="121" t="n">
        <f aca="false">MIN((CL359+CL360)*$C$5, $F$16)*'⑫ Roll-out Plan'!$O$40</f>
        <v>0</v>
      </c>
      <c r="CM981" s="121" t="n">
        <f aca="false">MIN((CM359+CM360)*$C$5, $F$16)*'⑫ Roll-out Plan'!$O$40</f>
        <v>0</v>
      </c>
      <c r="CN981" s="121" t="n">
        <f aca="false">MIN((CN359+CN360)*$C$5, $F$16)*'⑫ Roll-out Plan'!$O$40</f>
        <v>0</v>
      </c>
      <c r="CO981" s="121" t="n">
        <f aca="false">MIN((CO359+CO360)*$C$5, $F$16)*'⑫ Roll-out Plan'!$O$40</f>
        <v>0</v>
      </c>
      <c r="CP981" s="121" t="n">
        <f aca="false">MIN((CP359+CP360)*$C$5, $F$16)*'⑫ Roll-out Plan'!$O$40</f>
        <v>0</v>
      </c>
      <c r="CQ981" s="121" t="n">
        <f aca="false">MIN((CQ359+CQ360)*$C$5, $F$16)*'⑫ Roll-out Plan'!$O$40</f>
        <v>0</v>
      </c>
      <c r="CR981" s="121" t="n">
        <f aca="false">MIN((CR359+CR360)*$C$5, $F$16)*'⑫ Roll-out Plan'!$O$40</f>
        <v>0</v>
      </c>
      <c r="CS981" s="121" t="n">
        <f aca="false">MIN((CS359+CS360)*$C$5, $F$16)*'⑫ Roll-out Plan'!$O$40</f>
        <v>0</v>
      </c>
      <c r="CT981" s="121" t="n">
        <f aca="false">MIN((CT359+CT360)*$C$5, $F$16)*'⑫ Roll-out Plan'!$O$40</f>
        <v>0</v>
      </c>
      <c r="CU981" s="121" t="n">
        <f aca="false">MIN((CU359+CU360)*$C$5, $F$16)*'⑫ Roll-out Plan'!$O$40</f>
        <v>0</v>
      </c>
      <c r="CV981" s="121" t="n">
        <f aca="false">MIN((CV359+CV360)*$C$5, $F$16)*'⑫ Roll-out Plan'!$O$40</f>
        <v>0</v>
      </c>
      <c r="CW981" s="121" t="n">
        <f aca="false">MIN((CW359+CW360)*$C$5, $F$16)*'⑫ Roll-out Plan'!$O$40</f>
        <v>0</v>
      </c>
      <c r="CX981" s="121" t="n">
        <f aca="false">MIN((CX359+CX360)*$C$5, $F$16)*'⑫ Roll-out Plan'!$O$40</f>
        <v>0</v>
      </c>
      <c r="CY981" s="121" t="n">
        <f aca="false">MIN((CY359+CY360)*$C$5, $F$16)*'⑫ Roll-out Plan'!$O$40</f>
        <v>0</v>
      </c>
      <c r="CZ981" s="121" t="n">
        <f aca="false">MIN((CZ359+CZ360)*$C$5, $F$16)*'⑫ Roll-out Plan'!$O$40</f>
        <v>0</v>
      </c>
      <c r="DA981" s="121" t="n">
        <f aca="false">MIN((DA359+DA360)*$C$5, $F$16)*'⑫ Roll-out Plan'!$O$40</f>
        <v>0</v>
      </c>
      <c r="DB981" s="121" t="n">
        <f aca="false">MIN((DB359+DB360)*$C$5, $F$16)*'⑫ Roll-out Plan'!$O$40</f>
        <v>0</v>
      </c>
      <c r="DC981" s="121" t="n">
        <f aca="false">MIN((DC359+DC360)*$C$5, $F$16)*'⑫ Roll-out Plan'!$O$40</f>
        <v>0</v>
      </c>
      <c r="DD981" s="121" t="n">
        <f aca="false">MIN((DD359+DD360)*$C$5, $F$16)*'⑫ Roll-out Plan'!$O$40</f>
        <v>0</v>
      </c>
      <c r="DE981" s="121" t="n">
        <f aca="false">MIN((DE359+DE360)*$C$5, $F$16)*'⑫ Roll-out Plan'!$O$40</f>
        <v>0</v>
      </c>
      <c r="DF981" s="121" t="n">
        <f aca="false">MIN((DF359+DF360)*$C$5, $F$16)*'⑫ Roll-out Plan'!$O$40</f>
        <v>0</v>
      </c>
      <c r="DG981" s="121" t="n">
        <f aca="false">MIN((DG359+DG360)*$C$5, $F$16)*'⑫ Roll-out Plan'!$O$40</f>
        <v>0</v>
      </c>
      <c r="DH981" s="121" t="n">
        <f aca="false">MIN((DH359+DH360)*$C$5, $F$16)*'⑫ Roll-out Plan'!$O$40</f>
        <v>0</v>
      </c>
      <c r="DI981" s="121" t="n">
        <f aca="false">MIN((DI359+DI360)*$C$5, $F$16)*'⑫ Roll-out Plan'!$O$40</f>
        <v>0</v>
      </c>
      <c r="DJ981" s="121" t="n">
        <f aca="false">MIN((DJ359+DJ360)*$C$5, $F$16)*'⑫ Roll-out Plan'!$O$40</f>
        <v>0</v>
      </c>
      <c r="DK981" s="121" t="n">
        <f aca="false">MIN((DK359+DK360)*$C$5, $F$16)*'⑫ Roll-out Plan'!$O$40</f>
        <v>0</v>
      </c>
      <c r="DL981" s="121" t="n">
        <f aca="false">MIN((DL359+DL360)*$C$5, $F$16)*'⑫ Roll-out Plan'!$O$40</f>
        <v>0</v>
      </c>
      <c r="DM981" s="121" t="n">
        <f aca="false">MIN((DM359+DM360)*$C$5, $F$16)*'⑫ Roll-out Plan'!$O$40</f>
        <v>0</v>
      </c>
      <c r="DN981" s="121" t="n">
        <f aca="false">MIN((DN359+DN360)*$C$5, $F$16)*'⑫ Roll-out Plan'!$O$40</f>
        <v>0</v>
      </c>
      <c r="DO981" s="121" t="n">
        <f aca="false">MIN((DO359+DO360)*$C$5, $F$16)*'⑫ Roll-out Plan'!$O$40</f>
        <v>0</v>
      </c>
      <c r="DP981" s="121" t="n">
        <f aca="false">MIN((DP359+DP360)*$C$5, $F$16)*'⑫ Roll-out Plan'!$O$40</f>
        <v>0</v>
      </c>
      <c r="DQ981" s="121" t="n">
        <f aca="false">MIN((DQ359+DQ360)*$C$5, $F$16)*'⑫ Roll-out Plan'!$O$40</f>
        <v>0</v>
      </c>
      <c r="DR981" s="121" t="n">
        <f aca="false">MIN((DR359+DR360)*$C$5, $F$16)*'⑫ Roll-out Plan'!$O$40</f>
        <v>0</v>
      </c>
      <c r="DS981" s="121" t="n">
        <f aca="false">MIN((DS359+DS360)*$C$5, $F$16)*'⑫ Roll-out Plan'!$O$40</f>
        <v>0</v>
      </c>
      <c r="DT981" s="121" t="n">
        <f aca="false">MIN((DT359+DT360)*$C$5, $F$16)*'⑫ Roll-out Plan'!$O$40</f>
        <v>0</v>
      </c>
      <c r="DU981" s="121" t="n">
        <f aca="false">MIN((DU359+DU360)*$C$5, $F$16)*'⑫ Roll-out Plan'!$O$40</f>
        <v>3112.56</v>
      </c>
      <c r="DV981" s="121" t="n">
        <f aca="false">MIN((DV359+DV360)*$C$5, $F$16)*'⑫ Roll-out Plan'!$O$40</f>
        <v>2997.97168</v>
      </c>
      <c r="DW981" s="121" t="n">
        <f aca="false">MIN((DW359+DW360)*$C$5, $F$16)*'⑫ Roll-out Plan'!$O$40</f>
        <v>4399.269248</v>
      </c>
      <c r="DX981" s="121" t="n">
        <f aca="false">MIN((DX359+DX360)*$C$5, $F$16)*'⑫ Roll-out Plan'!$O$40</f>
        <v>4908.7469024</v>
      </c>
      <c r="DY981" s="121" t="n">
        <f aca="false">MIN((DY359+DY360)*$C$5, $F$16)*'⑫ Roll-out Plan'!$O$40</f>
        <v>4295.932256</v>
      </c>
      <c r="DZ981" s="121" t="n">
        <f aca="false">MIN((DZ359+DZ360)*$C$5, $F$16)*'⑫ Roll-out Plan'!$O$40</f>
        <v>4260.1908448</v>
      </c>
      <c r="EA981" s="121" t="n">
        <f aca="false">MIN((EA359+EA360)*$C$5, $F$16)*'⑫ Roll-out Plan'!$O$40</f>
        <v>4944.082528</v>
      </c>
      <c r="EB981" s="121" t="n">
        <f aca="false">MIN((EB359+EB360)*$C$5, $F$16)*'⑫ Roll-out Plan'!$O$40</f>
        <v>8821.1840992</v>
      </c>
      <c r="EC981" s="121" t="n">
        <f aca="false">MIN((EC359+EC360)*$C$5, $F$16)*'⑫ Roll-out Plan'!$O$40</f>
        <v>8693.6429184</v>
      </c>
      <c r="ED981" s="121" t="n">
        <f aca="false">MIN((ED359+ED360)*$C$5, $F$16)*'⑫ Roll-out Plan'!$O$40</f>
        <v>7470.7526784</v>
      </c>
      <c r="EE981" s="121" t="n">
        <f aca="false">MIN((EE359+EE360)*$C$5, $F$16)*'⑫ Roll-out Plan'!$O$40</f>
        <v>6340.5936704</v>
      </c>
      <c r="EF981" s="121" t="n">
        <f aca="false">MIN((EF359+EF360)*$C$5, $F$16)*'⑫ Roll-out Plan'!$O$40</f>
        <v>8884.4036512</v>
      </c>
      <c r="EG981" s="121" t="n">
        <f aca="false">MIN((EG359+EG360)*$C$5, $F$16)*'⑫ Roll-out Plan'!$O$40</f>
        <v>10387.5949056</v>
      </c>
      <c r="EH981" s="121" t="n">
        <f aca="false">MIN((EH359+EH360)*$C$5, $F$16)*'⑫ Roll-out Plan'!$O$40</f>
        <v>9025.8891008</v>
      </c>
      <c r="EI981" s="121" t="n">
        <f aca="false">MIN((EI359+EI360)*$C$5, $F$16)*'⑫ Roll-out Plan'!$O$40</f>
        <v>11913.4225408</v>
      </c>
      <c r="EJ981" s="121" t="n">
        <f aca="false">MIN((EJ359+EJ360)*$C$5, $F$16)*'⑫ Roll-out Plan'!$O$40</f>
        <v>14354.573376</v>
      </c>
      <c r="EK981" s="121" t="n">
        <f aca="false">MIN((EK359+EK360)*$C$5, $F$16)*'⑫ Roll-out Plan'!$O$40</f>
        <v>13219.987616</v>
      </c>
      <c r="EL981" s="121" t="n">
        <f aca="false">MIN((EL359+EL360)*$C$5, $F$16)*'⑫ Roll-out Plan'!$O$40</f>
        <v>12297.6968928</v>
      </c>
      <c r="EM981" s="121" t="n">
        <f aca="false">MIN((EM359+EM360)*$C$5, $F$16)*'⑫ Roll-out Plan'!$O$40</f>
        <v>13114.91427664</v>
      </c>
      <c r="EN981" s="121" t="n">
        <f aca="false">MIN((EN359+EN360)*$C$5, $F$16)*'⑫ Roll-out Plan'!$O$40</f>
        <v>20561.76526096</v>
      </c>
      <c r="EO981" s="121" t="n">
        <f aca="false">MIN((EO359+EO360)*$C$5, $F$16)*'⑫ Roll-out Plan'!$O$40</f>
        <v>18911.8321348</v>
      </c>
      <c r="EP981" s="121" t="n">
        <f aca="false">MIN((EP359+EP360)*$C$5, $F$16)*'⑫ Roll-out Plan'!$O$40</f>
        <v>16678.2994268</v>
      </c>
      <c r="EQ981" s="121" t="n">
        <f aca="false">MIN((EQ359+EQ360)*$C$5, $F$16)*'⑫ Roll-out Plan'!$O$40</f>
        <v>13765.73362648</v>
      </c>
      <c r="ER981" s="121" t="n">
        <f aca="false">MIN((ER359+ER360)*$C$5, $F$16)*'⑫ Roll-out Plan'!$O$40</f>
        <v>17894.69456104</v>
      </c>
      <c r="ES981" s="9" t="n">
        <f aca="false">MIN((ES359+ES360)*$C$5, $F$16)*'⑫ Roll-out Plan'!$O$40</f>
        <v>19576.40369696</v>
      </c>
      <c r="ET981" s="9" t="n">
        <f aca="false">MIN((ET359+ET360)*$C$5, $F$16)*'⑫ Roll-out Plan'!$O$40</f>
        <v>16517.3253168</v>
      </c>
      <c r="EU981" s="9" t="n">
        <f aca="false">MIN((EU359+EU360)*$C$5, $F$16)*'⑫ Roll-out Plan'!$O$40</f>
        <v>21549.41905248</v>
      </c>
      <c r="EV981" s="9" t="n">
        <f aca="false">MIN((EV359+EV360)*$C$5, $F$16)*'⑫ Roll-out Plan'!$O$40</f>
        <v>22001.9327088</v>
      </c>
      <c r="EW981" s="9" t="n">
        <f aca="false">MIN((EW359+EW360)*$C$5, $F$16)*'⑫ Roll-out Plan'!$O$40</f>
        <v>19844.96874624</v>
      </c>
      <c r="EX981" s="9" t="n">
        <f aca="false">MIN((EX359+EX360)*$C$5, $F$16)*'⑫ Roll-out Plan'!$O$40</f>
        <v>18122.53060992</v>
      </c>
      <c r="EY981" s="9" t="n">
        <f aca="false">MIN((EY359+EY360)*$C$5, $F$16)*'⑫ Roll-out Plan'!$O$40</f>
        <v>18845.66683296</v>
      </c>
      <c r="EZ981" s="9" t="n">
        <f aca="false">MIN((EZ359+EZ360)*$C$5, $F$16)*'⑫ Roll-out Plan'!$O$40</f>
        <v>23000</v>
      </c>
      <c r="FA981" s="9" t="n">
        <f aca="false">MIN((FA359+FA360)*$C$5, $F$16)*'⑫ Roll-out Plan'!$O$40</f>
        <v>23000</v>
      </c>
      <c r="FB981" s="9" t="n">
        <f aca="false">MIN((FB359+FB360)*$C$5, $F$16)*'⑫ Roll-out Plan'!$O$40</f>
        <v>23000</v>
      </c>
      <c r="FC981" s="9" t="n">
        <f aca="false">MIN((FC359+FC360)*$C$5, $F$16)*'⑫ Roll-out Plan'!$O$40</f>
        <v>19590.6359352</v>
      </c>
      <c r="FD981" s="9" t="n">
        <f aca="false">MIN((FD359+FD360)*$C$5, $F$16)*'⑫ Roll-out Plan'!$O$40</f>
        <v>23000</v>
      </c>
      <c r="FE981" s="9" t="n">
        <f aca="false">MIN((FE359+FE360)*$C$5, $F$16)*'⑫ Roll-out Plan'!$O$40</f>
        <v>23000</v>
      </c>
      <c r="FF981" s="9" t="n">
        <f aca="false">MIN((FF359+FF360)*$C$5, $F$16)*'⑫ Roll-out Plan'!$O$40</f>
        <v>23000</v>
      </c>
      <c r="FG981" s="9" t="n">
        <f aca="false">MIN((FG359+FG360)*$C$5, $F$16)*'⑫ Roll-out Plan'!$O$40</f>
        <v>23000</v>
      </c>
      <c r="FH981" s="9" t="n">
        <f aca="false">MIN((FH359+FH360)*$C$5, $F$16)*'⑫ Roll-out Plan'!$O$40</f>
        <v>23000</v>
      </c>
      <c r="FI981" s="9" t="n">
        <f aca="false">MIN((FI359+FI360)*$C$5, $F$16)*'⑫ Roll-out Plan'!$O$40</f>
        <v>23000</v>
      </c>
      <c r="FJ981" s="9" t="n">
        <f aca="false">MIN((FJ359+FJ360)*$C$5, $F$16)*'⑫ Roll-out Plan'!$O$40</f>
        <v>23000</v>
      </c>
      <c r="FK981" s="9" t="n">
        <f aca="false">MIN((FK359+FK360)*$C$5, $F$16)*'⑫ Roll-out Plan'!$O$40</f>
        <v>23000</v>
      </c>
      <c r="FL981" s="9" t="n">
        <f aca="false">MIN((FL359+FL360)*$C$5, $F$16)*'⑫ Roll-out Plan'!$O$40</f>
        <v>23000</v>
      </c>
      <c r="FM981" s="9" t="n">
        <f aca="false">MIN((FM359+FM360)*$C$5, $F$16)*'⑫ Roll-out Plan'!$O$40</f>
        <v>23000</v>
      </c>
      <c r="FN981" s="9" t="n">
        <f aca="false">MIN((FN359+FN360)*$C$5, $F$16)*'⑫ Roll-out Plan'!$O$40</f>
        <v>23000</v>
      </c>
      <c r="FO981" s="9" t="n">
        <f aca="false">MIN((FO359+FO360)*$C$5, $F$16)*'⑫ Roll-out Plan'!$O$40</f>
        <v>23000</v>
      </c>
      <c r="FP981" s="9" t="n">
        <f aca="false">MIN((FP359+FP360)*$C$5, $F$16)*'⑫ Roll-out Plan'!$O$40</f>
        <v>23000</v>
      </c>
    </row>
    <row r="982" customFormat="false" ht="15" hidden="false" customHeight="false" outlineLevel="0" collapsed="false">
      <c r="B982" s="254" t="s">
        <v>1007</v>
      </c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121" t="n">
        <f aca="false">MIN((AC369+AC370)*$C$5, $F$14)*'⑫ Roll-out Plan'!$O$41</f>
        <v>0</v>
      </c>
      <c r="AD982" s="121" t="n">
        <f aca="false">MIN((AD369+AD370)*$C$5, $F$14)*'⑫ Roll-out Plan'!$O$41</f>
        <v>0</v>
      </c>
      <c r="AE982" s="121" t="n">
        <f aca="false">MIN((AE369+AE370)*$C$5, $F$14)*'⑫ Roll-out Plan'!$O$41</f>
        <v>0</v>
      </c>
      <c r="AF982" s="121" t="n">
        <f aca="false">MIN((AF369+AF370)*$C$5, $F$14)*'⑫ Roll-out Plan'!$O$41</f>
        <v>0</v>
      </c>
      <c r="AG982" s="121" t="n">
        <f aca="false">MIN((AG369+AG370)*$C$5, $F$14)*'⑫ Roll-out Plan'!$O$41</f>
        <v>0</v>
      </c>
      <c r="AH982" s="121" t="n">
        <f aca="false">MIN((AH369+AH370)*$C$5, $F$14)*'⑫ Roll-out Plan'!$O$41</f>
        <v>0</v>
      </c>
      <c r="AI982" s="121" t="n">
        <f aca="false">MIN((AI369+AI370)*$C$5, $F$14)*'⑫ Roll-out Plan'!$O$41</f>
        <v>0</v>
      </c>
      <c r="AJ982" s="121" t="n">
        <f aca="false">MIN((AJ369+AJ370)*$C$5, $F$14)*'⑫ Roll-out Plan'!$O$41</f>
        <v>0</v>
      </c>
      <c r="AK982" s="121" t="n">
        <f aca="false">MIN((AK369+AK370)*$C$5, $F$14)*'⑫ Roll-out Plan'!$O$41</f>
        <v>0</v>
      </c>
      <c r="AL982" s="121" t="n">
        <f aca="false">MIN((AL369+AL370)*$C$5, $F$14)*'⑫ Roll-out Plan'!$O$41</f>
        <v>0</v>
      </c>
      <c r="AM982" s="121" t="n">
        <f aca="false">MIN((AM369+AM370)*$C$5, $F$14)*'⑫ Roll-out Plan'!$O$41</f>
        <v>0</v>
      </c>
      <c r="AN982" s="121" t="n">
        <f aca="false">MIN((AN369+AN370)*$C$5, $F$14)*'⑫ Roll-out Plan'!$O$41</f>
        <v>0</v>
      </c>
      <c r="AO982" s="121" t="n">
        <f aca="false">MIN((AO369+AO370)*$C$5, $F$14)*'⑫ Roll-out Plan'!$O$41</f>
        <v>0</v>
      </c>
      <c r="AP982" s="121" t="n">
        <f aca="false">MIN((AP369+AP370)*$C$5, $F$14)*'⑫ Roll-out Plan'!$O$41</f>
        <v>0</v>
      </c>
      <c r="AQ982" s="121" t="n">
        <f aca="false">MIN((AQ369+AQ370)*$C$5, $F$14)*'⑫ Roll-out Plan'!$O$41</f>
        <v>0</v>
      </c>
      <c r="AR982" s="121" t="n">
        <f aca="false">MIN((AR369+AR370)*$C$5, $F$14)*'⑫ Roll-out Plan'!$O$41</f>
        <v>0</v>
      </c>
      <c r="AS982" s="121" t="n">
        <f aca="false">MIN((AS369+AS370)*$C$5, $F$14)*'⑫ Roll-out Plan'!$O$41</f>
        <v>0</v>
      </c>
      <c r="AT982" s="121" t="n">
        <f aca="false">MIN((AT369+AT370)*$C$5, $F$14)*'⑫ Roll-out Plan'!$O$41</f>
        <v>0</v>
      </c>
      <c r="AU982" s="121" t="n">
        <f aca="false">MIN((AU369+AU370)*$C$5, $F$14)*'⑫ Roll-out Plan'!$O$41</f>
        <v>0</v>
      </c>
      <c r="AV982" s="121" t="n">
        <f aca="false">MIN((AV369+AV370)*$C$5, $F$14)*'⑫ Roll-out Plan'!$O$41</f>
        <v>0</v>
      </c>
      <c r="AW982" s="121" t="n">
        <f aca="false">MIN((AW369+AW370)*$C$5, $F$14)*'⑫ Roll-out Plan'!$O$41</f>
        <v>0</v>
      </c>
      <c r="AX982" s="121" t="n">
        <f aca="false">MIN((AX369+AX370)*$C$5, $F$14)*'⑫ Roll-out Plan'!$O$41</f>
        <v>0</v>
      </c>
      <c r="AY982" s="121" t="n">
        <f aca="false">MIN((AY369+AY370)*$C$5, $F$14)*'⑫ Roll-out Plan'!$O$41</f>
        <v>0</v>
      </c>
      <c r="AZ982" s="121" t="n">
        <f aca="false">MIN((AZ369+AZ370)*$C$5, $F$14)*'⑫ Roll-out Plan'!$O$41</f>
        <v>0</v>
      </c>
      <c r="BA982" s="121" t="n">
        <f aca="false">MIN((BA369+BA370)*$C$5, $F$14)*'⑫ Roll-out Plan'!$O$41</f>
        <v>0</v>
      </c>
      <c r="BB982" s="121" t="n">
        <f aca="false">MIN((BB369+BB370)*$C$5, $F$14)*'⑫ Roll-out Plan'!$O$41</f>
        <v>0</v>
      </c>
      <c r="BC982" s="121" t="n">
        <f aca="false">MIN((BC369+BC370)*$C$5, $F$14)*'⑫ Roll-out Plan'!$O$41</f>
        <v>0</v>
      </c>
      <c r="BD982" s="121" t="n">
        <f aca="false">MIN((BD369+BD370)*$C$5, $F$14)*'⑫ Roll-out Plan'!$O$41</f>
        <v>0</v>
      </c>
      <c r="BE982" s="121" t="n">
        <f aca="false">MIN((BE369+BE370)*$C$5, $F$14)*'⑫ Roll-out Plan'!$O$41</f>
        <v>0</v>
      </c>
      <c r="BF982" s="121" t="n">
        <f aca="false">MIN((BF369+BF370)*$C$5, $F$14)*'⑫ Roll-out Plan'!$O$41</f>
        <v>0</v>
      </c>
      <c r="BG982" s="121" t="n">
        <f aca="false">MIN((BG369+BG370)*$C$5, $F$14)*'⑫ Roll-out Plan'!$O$41</f>
        <v>0</v>
      </c>
      <c r="BH982" s="121" t="n">
        <f aca="false">MIN((BH369+BH370)*$C$5, $F$14)*'⑫ Roll-out Plan'!$O$41</f>
        <v>0</v>
      </c>
      <c r="BI982" s="121" t="n">
        <f aca="false">MIN((BI369+BI370)*$C$5, $F$14)*'⑫ Roll-out Plan'!$O$41</f>
        <v>0</v>
      </c>
      <c r="BJ982" s="121" t="n">
        <f aca="false">MIN((BJ369+BJ370)*$C$5, $F$14)*'⑫ Roll-out Plan'!$O$41</f>
        <v>0</v>
      </c>
      <c r="BK982" s="121" t="n">
        <f aca="false">MIN((BK369+BK370)*$C$5, $F$14)*'⑫ Roll-out Plan'!$O$41</f>
        <v>0</v>
      </c>
      <c r="BL982" s="121" t="n">
        <f aca="false">MIN((BL369+BL370)*$C$5, $F$14)*'⑫ Roll-out Plan'!$O$41</f>
        <v>0</v>
      </c>
      <c r="BM982" s="121" t="n">
        <f aca="false">MIN((BM369+BM370)*$C$5, $F$14)*'⑫ Roll-out Plan'!$O$41</f>
        <v>0</v>
      </c>
      <c r="BN982" s="121" t="n">
        <f aca="false">MIN((BN369+BN370)*$C$5, $F$14)*'⑫ Roll-out Plan'!$O$41</f>
        <v>0</v>
      </c>
      <c r="BO982" s="121" t="n">
        <f aca="false">MIN((BO369+BO370)*$C$5, $F$14)*'⑫ Roll-out Plan'!$O$41</f>
        <v>0</v>
      </c>
      <c r="BP982" s="121" t="n">
        <f aca="false">MIN((BP369+BP370)*$C$5, $F$14)*'⑫ Roll-out Plan'!$O$41</f>
        <v>0</v>
      </c>
      <c r="BQ982" s="121" t="n">
        <f aca="false">MIN((BQ369+BQ370)*$C$5, $F$14)*'⑫ Roll-out Plan'!$O$41</f>
        <v>0</v>
      </c>
      <c r="BR982" s="121" t="n">
        <f aca="false">MIN((BR369+BR370)*$C$5, $F$14)*'⑫ Roll-out Plan'!$O$41</f>
        <v>0</v>
      </c>
      <c r="BS982" s="121" t="n">
        <f aca="false">MIN((BS369+BS370)*$C$5, $F$14)*'⑫ Roll-out Plan'!$O$41</f>
        <v>0</v>
      </c>
      <c r="BT982" s="121" t="n">
        <f aca="false">MIN((BT369+BT370)*$C$5, $F$14)*'⑫ Roll-out Plan'!$O$41</f>
        <v>0</v>
      </c>
      <c r="BU982" s="121" t="n">
        <f aca="false">MIN((BU369+BU370)*$C$5, $F$14)*'⑫ Roll-out Plan'!$O$41</f>
        <v>0</v>
      </c>
      <c r="BV982" s="121" t="n">
        <f aca="false">MIN((BV369+BV370)*$C$5, $F$14)*'⑫ Roll-out Plan'!$O$41</f>
        <v>0</v>
      </c>
      <c r="BW982" s="121" t="n">
        <f aca="false">MIN((BW369+BW370)*$C$5, $F$14)*'⑫ Roll-out Plan'!$O$41</f>
        <v>0</v>
      </c>
      <c r="BX982" s="121" t="n">
        <f aca="false">MIN((BX369+BX370)*$C$5, $F$14)*'⑫ Roll-out Plan'!$O$41</f>
        <v>0</v>
      </c>
      <c r="BY982" s="121" t="n">
        <f aca="false">MIN((BY369+BY370)*$C$5, $F$14)*'⑫ Roll-out Plan'!$O$41</f>
        <v>0</v>
      </c>
      <c r="BZ982" s="121" t="n">
        <f aca="false">MIN((BZ369+BZ370)*$C$5, $F$14)*'⑫ Roll-out Plan'!$O$41</f>
        <v>0</v>
      </c>
      <c r="CA982" s="121" t="n">
        <f aca="false">MIN((CA369+CA370)*$C$5, $F$14)*'⑫ Roll-out Plan'!$O$41</f>
        <v>0</v>
      </c>
      <c r="CB982" s="121" t="n">
        <f aca="false">MIN((CB369+CB370)*$C$5, $F$14)*'⑫ Roll-out Plan'!$O$41</f>
        <v>0</v>
      </c>
      <c r="CC982" s="121" t="n">
        <f aca="false">MIN((CC369+CC370)*$C$5, $F$14)*'⑫ Roll-out Plan'!$O$41</f>
        <v>0</v>
      </c>
      <c r="CD982" s="121" t="n">
        <f aca="false">MIN((CD369+CD370)*$C$5, $F$14)*'⑫ Roll-out Plan'!$O$41</f>
        <v>0</v>
      </c>
      <c r="CE982" s="121" t="n">
        <f aca="false">MIN((CE369+CE370)*$C$5, $F$14)*'⑫ Roll-out Plan'!$O$41</f>
        <v>0</v>
      </c>
      <c r="CF982" s="121" t="n">
        <f aca="false">MIN((CF369+CF370)*$C$5, $F$14)*'⑫ Roll-out Plan'!$O$41</f>
        <v>0</v>
      </c>
      <c r="CG982" s="121" t="n">
        <f aca="false">MIN((CG369+CG370)*$C$5, $F$14)*'⑫ Roll-out Plan'!$O$41</f>
        <v>0</v>
      </c>
      <c r="CH982" s="121" t="n">
        <f aca="false">MIN((CH369+CH370)*$C$5, $F$14)*'⑫ Roll-out Plan'!$O$41</f>
        <v>0</v>
      </c>
      <c r="CI982" s="121" t="n">
        <f aca="false">MIN((CI369+CI370)*$C$5, $F$14)*'⑫ Roll-out Plan'!$O$41</f>
        <v>0</v>
      </c>
      <c r="CJ982" s="121" t="n">
        <f aca="false">MIN((CJ369+CJ370)*$C$5, $F$14)*'⑫ Roll-out Plan'!$O$41</f>
        <v>0</v>
      </c>
      <c r="CK982" s="121" t="n">
        <f aca="false">MIN((CK369+CK370)*$C$5, $F$14)*'⑫ Roll-out Plan'!$O$41</f>
        <v>0</v>
      </c>
      <c r="CL982" s="121" t="n">
        <f aca="false">MIN((CL369+CL370)*$C$5, $F$14)*'⑫ Roll-out Plan'!$O$41</f>
        <v>0</v>
      </c>
      <c r="CM982" s="121" t="n">
        <f aca="false">MIN((CM369+CM370)*$C$5, $F$14)*'⑫ Roll-out Plan'!$O$41</f>
        <v>0</v>
      </c>
      <c r="CN982" s="121" t="n">
        <f aca="false">MIN((CN369+CN370)*$C$5, $F$14)*'⑫ Roll-out Plan'!$O$41</f>
        <v>0</v>
      </c>
      <c r="CO982" s="121" t="n">
        <f aca="false">MIN((CO369+CO370)*$C$5, $F$14)*'⑫ Roll-out Plan'!$O$41</f>
        <v>0</v>
      </c>
      <c r="CP982" s="121" t="n">
        <f aca="false">MIN((CP369+CP370)*$C$5, $F$14)*'⑫ Roll-out Plan'!$O$41</f>
        <v>0</v>
      </c>
      <c r="CQ982" s="121" t="n">
        <f aca="false">MIN((CQ369+CQ370)*$C$5, $F$14)*'⑫ Roll-out Plan'!$O$41</f>
        <v>0</v>
      </c>
      <c r="CR982" s="121" t="n">
        <f aca="false">MIN((CR369+CR370)*$C$5, $F$14)*'⑫ Roll-out Plan'!$O$41</f>
        <v>0</v>
      </c>
      <c r="CS982" s="121" t="n">
        <f aca="false">MIN((CS369+CS370)*$C$5, $F$14)*'⑫ Roll-out Plan'!$O$41</f>
        <v>0</v>
      </c>
      <c r="CT982" s="121" t="n">
        <f aca="false">MIN((CT369+CT370)*$C$5, $F$14)*'⑫ Roll-out Plan'!$O$41</f>
        <v>0</v>
      </c>
      <c r="CU982" s="121" t="n">
        <f aca="false">MIN((CU369+CU370)*$C$5, $F$14)*'⑫ Roll-out Plan'!$O$41</f>
        <v>0</v>
      </c>
      <c r="CV982" s="121" t="n">
        <f aca="false">MIN((CV369+CV370)*$C$5, $F$14)*'⑫ Roll-out Plan'!$O$41</f>
        <v>0</v>
      </c>
      <c r="CW982" s="121" t="n">
        <f aca="false">MIN((CW369+CW370)*$C$5, $F$14)*'⑫ Roll-out Plan'!$O$41</f>
        <v>0</v>
      </c>
      <c r="CX982" s="121" t="n">
        <f aca="false">MIN((CX369+CX370)*$C$5, $F$14)*'⑫ Roll-out Plan'!$O$41</f>
        <v>0</v>
      </c>
      <c r="CY982" s="121" t="n">
        <f aca="false">MIN((CY369+CY370)*$C$5, $F$14)*'⑫ Roll-out Plan'!$O$41</f>
        <v>0</v>
      </c>
      <c r="CZ982" s="121" t="n">
        <f aca="false">MIN((CZ369+CZ370)*$C$5, $F$14)*'⑫ Roll-out Plan'!$O$41</f>
        <v>0</v>
      </c>
      <c r="DA982" s="121" t="n">
        <f aca="false">MIN((DA369+DA370)*$C$5, $F$14)*'⑫ Roll-out Plan'!$O$41</f>
        <v>0</v>
      </c>
      <c r="DB982" s="121" t="n">
        <f aca="false">MIN((DB369+DB370)*$C$5, $F$14)*'⑫ Roll-out Plan'!$O$41</f>
        <v>0</v>
      </c>
      <c r="DC982" s="121" t="n">
        <f aca="false">MIN((DC369+DC370)*$C$5, $F$14)*'⑫ Roll-out Plan'!$O$41</f>
        <v>0</v>
      </c>
      <c r="DD982" s="121" t="n">
        <f aca="false">MIN((DD369+DD370)*$C$5, $F$14)*'⑫ Roll-out Plan'!$O$41</f>
        <v>0</v>
      </c>
      <c r="DE982" s="121" t="n">
        <f aca="false">MIN((DE369+DE370)*$C$5, $F$14)*'⑫ Roll-out Plan'!$O$41</f>
        <v>0</v>
      </c>
      <c r="DF982" s="121" t="n">
        <f aca="false">MIN((DF369+DF370)*$C$5, $F$14)*'⑫ Roll-out Plan'!$O$41</f>
        <v>0</v>
      </c>
      <c r="DG982" s="121" t="n">
        <f aca="false">MIN((DG369+DG370)*$C$5, $F$14)*'⑫ Roll-out Plan'!$O$41</f>
        <v>0</v>
      </c>
      <c r="DH982" s="121" t="n">
        <f aca="false">MIN((DH369+DH370)*$C$5, $F$14)*'⑫ Roll-out Plan'!$O$41</f>
        <v>0</v>
      </c>
      <c r="DI982" s="121" t="n">
        <f aca="false">MIN((DI369+DI370)*$C$5, $F$14)*'⑫ Roll-out Plan'!$O$41</f>
        <v>0</v>
      </c>
      <c r="DJ982" s="121" t="n">
        <f aca="false">MIN((DJ369+DJ370)*$C$5, $F$14)*'⑫ Roll-out Plan'!$O$41</f>
        <v>0</v>
      </c>
      <c r="DK982" s="121" t="n">
        <f aca="false">MIN((DK369+DK370)*$C$5, $F$14)*'⑫ Roll-out Plan'!$O$41</f>
        <v>0</v>
      </c>
      <c r="DL982" s="121" t="n">
        <f aca="false">MIN((DL369+DL370)*$C$5, $F$14)*'⑫ Roll-out Plan'!$O$41</f>
        <v>0</v>
      </c>
      <c r="DM982" s="121" t="n">
        <f aca="false">MIN((DM369+DM370)*$C$5, $F$14)*'⑫ Roll-out Plan'!$O$41</f>
        <v>0</v>
      </c>
      <c r="DN982" s="121" t="n">
        <f aca="false">MIN((DN369+DN370)*$C$5, $F$14)*'⑫ Roll-out Plan'!$O$41</f>
        <v>0</v>
      </c>
      <c r="DO982" s="121" t="n">
        <f aca="false">MIN((DO369+DO370)*$C$5, $F$14)*'⑫ Roll-out Plan'!$O$41</f>
        <v>0</v>
      </c>
      <c r="DP982" s="121" t="n">
        <f aca="false">MIN((DP369+DP370)*$C$5, $F$14)*'⑫ Roll-out Plan'!$O$41</f>
        <v>0</v>
      </c>
      <c r="DQ982" s="121" t="n">
        <f aca="false">MIN((DQ369+DQ370)*$C$5, $F$14)*'⑫ Roll-out Plan'!$O$41</f>
        <v>0</v>
      </c>
      <c r="DR982" s="121" t="n">
        <f aca="false">MIN((DR369+DR370)*$C$5, $F$14)*'⑫ Roll-out Plan'!$O$41</f>
        <v>0</v>
      </c>
      <c r="DS982" s="121" t="n">
        <f aca="false">MIN((DS369+DS370)*$C$5, $F$14)*'⑫ Roll-out Plan'!$O$41</f>
        <v>0</v>
      </c>
      <c r="DT982" s="121" t="n">
        <f aca="false">MIN((DT369+DT370)*$C$5, $F$14)*'⑫ Roll-out Plan'!$O$41</f>
        <v>0</v>
      </c>
      <c r="DU982" s="121" t="n">
        <f aca="false">MIN((DU369+DU370)*$C$5, $F$14)*'⑫ Roll-out Plan'!$O$41</f>
        <v>0</v>
      </c>
      <c r="DV982" s="121" t="n">
        <f aca="false">MIN((DV369+DV370)*$C$5, $F$14)*'⑫ Roll-out Plan'!$O$41</f>
        <v>0</v>
      </c>
      <c r="DW982" s="121" t="n">
        <f aca="false">MIN((DW369+DW370)*$C$5, $F$14)*'⑫ Roll-out Plan'!$O$41</f>
        <v>0</v>
      </c>
      <c r="DX982" s="121" t="n">
        <f aca="false">MIN((DX369+DX370)*$C$5, $F$14)*'⑫ Roll-out Plan'!$O$41</f>
        <v>0</v>
      </c>
      <c r="DY982" s="121" t="n">
        <f aca="false">MIN((DY369+DY370)*$C$5, $F$14)*'⑫ Roll-out Plan'!$O$41</f>
        <v>0</v>
      </c>
      <c r="DZ982" s="121" t="n">
        <f aca="false">MIN((DZ369+DZ370)*$C$5, $F$14)*'⑫ Roll-out Plan'!$O$41</f>
        <v>0</v>
      </c>
      <c r="EA982" s="121" t="n">
        <f aca="false">MIN((EA369+EA370)*$C$5, $F$14)*'⑫ Roll-out Plan'!$O$41</f>
        <v>0</v>
      </c>
      <c r="EB982" s="121" t="n">
        <f aca="false">MIN((EB369+EB370)*$C$5, $F$14)*'⑫ Roll-out Plan'!$O$41</f>
        <v>0</v>
      </c>
      <c r="EC982" s="121" t="n">
        <f aca="false">MIN((EC369+EC370)*$C$5, $F$14)*'⑫ Roll-out Plan'!$O$41</f>
        <v>0</v>
      </c>
      <c r="ED982" s="121" t="n">
        <f aca="false">MIN((ED369+ED370)*$C$5, $F$14)*'⑫ Roll-out Plan'!$O$41</f>
        <v>0</v>
      </c>
      <c r="EE982" s="121" t="n">
        <f aca="false">MIN((EE369+EE370)*$C$5, $F$14)*'⑫ Roll-out Plan'!$O$41</f>
        <v>0</v>
      </c>
      <c r="EF982" s="121" t="n">
        <f aca="false">MIN((EF369+EF370)*$C$5, $F$14)*'⑫ Roll-out Plan'!$O$41</f>
        <v>5612.04</v>
      </c>
      <c r="EG982" s="121" t="n">
        <f aca="false">MIN((EG369+EG370)*$C$5, $F$14)*'⑫ Roll-out Plan'!$O$41</f>
        <v>7254.71712</v>
      </c>
      <c r="EH982" s="121" t="n">
        <f aca="false">MIN((EH369+EH370)*$C$5, $F$14)*'⑫ Roll-out Plan'!$O$41</f>
        <v>6349.396032</v>
      </c>
      <c r="EI982" s="121" t="n">
        <f aca="false">MIN((EI369+EI370)*$C$5, $F$14)*'⑫ Roll-out Plan'!$O$41</f>
        <v>9549.8698176</v>
      </c>
      <c r="EJ982" s="121" t="n">
        <f aca="false">MIN((EJ369+EJ370)*$C$5, $F$14)*'⑫ Roll-out Plan'!$O$41</f>
        <v>9586.8696672</v>
      </c>
      <c r="EK982" s="121" t="n">
        <f aca="false">MIN((EK369+EK370)*$C$5, $F$14)*'⑫ Roll-out Plan'!$O$41</f>
        <v>9302.1301632</v>
      </c>
      <c r="EL982" s="121" t="n">
        <f aca="false">MIN((EL369+EL370)*$C$5, $F$14)*'⑫ Roll-out Plan'!$O$41</f>
        <v>9202.8564768</v>
      </c>
      <c r="EM982" s="121" t="n">
        <f aca="false">MIN((EM369+EM370)*$C$5, $F$14)*'⑫ Roll-out Plan'!$O$41</f>
        <v>10602.7677504</v>
      </c>
      <c r="EN982" s="121" t="n">
        <f aca="false">MIN((EN369+EN370)*$C$5, $F$14)*'⑫ Roll-out Plan'!$O$41</f>
        <v>18997.9394304</v>
      </c>
      <c r="EO982" s="121" t="n">
        <f aca="false">MIN((EO369+EO370)*$C$5, $F$14)*'⑫ Roll-out Plan'!$O$41</f>
        <v>16964.4530496</v>
      </c>
      <c r="EP982" s="121" t="n">
        <f aca="false">MIN((EP369+EP370)*$C$5, $F$14)*'⑫ Roll-out Plan'!$O$41</f>
        <v>15516.7580064</v>
      </c>
      <c r="EQ982" s="121" t="n">
        <f aca="false">MIN((EQ369+EQ370)*$C$5, $F$14)*'⑫ Roll-out Plan'!$O$41</f>
        <v>13138.511904</v>
      </c>
      <c r="ER982" s="121" t="n">
        <f aca="false">MIN((ER369+ER370)*$C$5, $F$14)*'⑫ Roll-out Plan'!$O$41</f>
        <v>18429.5256096</v>
      </c>
      <c r="ES982" s="9" t="n">
        <f aca="false">MIN((ES369+ES370)*$C$5, $F$14)*'⑫ Roll-out Plan'!$O$41</f>
        <v>21474.702144</v>
      </c>
      <c r="ET982" s="9" t="n">
        <f aca="false">MIN((ET369+ET370)*$C$5, $F$14)*'⑫ Roll-out Plan'!$O$41</f>
        <v>17571.6009504</v>
      </c>
      <c r="EU982" s="9" t="n">
        <f aca="false">MIN((EU369+EU370)*$C$5, $F$14)*'⑫ Roll-out Plan'!$O$41</f>
        <v>27961.7450112</v>
      </c>
      <c r="EV982" s="9" t="n">
        <f aca="false">MIN((EV369+EV370)*$C$5, $F$14)*'⑫ Roll-out Plan'!$O$41</f>
        <v>29311.7421408</v>
      </c>
      <c r="EW982" s="9" t="n">
        <f aca="false">MIN((EW369+EW370)*$C$5, $F$14)*'⑫ Roll-out Plan'!$O$41</f>
        <v>26673.93632736</v>
      </c>
      <c r="EX982" s="9" t="n">
        <f aca="false">MIN((EX369+EX370)*$C$5, $F$14)*'⑫ Roll-out Plan'!$O$41</f>
        <v>24581.17712064</v>
      </c>
      <c r="EY982" s="9" t="n">
        <f aca="false">MIN((EY369+EY370)*$C$5, $F$14)*'⑫ Roll-out Plan'!$O$41</f>
        <v>25524.04385664</v>
      </c>
      <c r="EZ982" s="9" t="n">
        <f aca="false">MIN((EZ369+EZ370)*$C$5, $F$14)*'⑫ Roll-out Plan'!$O$41</f>
        <v>35000</v>
      </c>
      <c r="FA982" s="9" t="n">
        <f aca="false">MIN((FA369+FA370)*$C$5, $F$14)*'⑫ Roll-out Plan'!$O$41</f>
        <v>35000</v>
      </c>
      <c r="FB982" s="9" t="n">
        <f aca="false">MIN((FB369+FB370)*$C$5, $F$14)*'⑫ Roll-out Plan'!$O$41</f>
        <v>33044.4827076</v>
      </c>
      <c r="FC982" s="9" t="n">
        <f aca="false">MIN((FC369+FC370)*$C$5, $F$14)*'⑫ Roll-out Plan'!$O$41</f>
        <v>27313.82310888</v>
      </c>
      <c r="FD982" s="9" t="n">
        <f aca="false">MIN((FD369+FD370)*$C$5, $F$14)*'⑫ Roll-out Plan'!$O$41</f>
        <v>34730.26425624</v>
      </c>
      <c r="FE982" s="9" t="n">
        <f aca="false">MIN((FE369+FE370)*$C$5, $F$14)*'⑫ Roll-out Plan'!$O$41</f>
        <v>35000</v>
      </c>
      <c r="FF982" s="9" t="n">
        <f aca="false">MIN((FF369+FF370)*$C$5, $F$14)*'⑫ Roll-out Plan'!$O$41</f>
        <v>32632.95555576</v>
      </c>
      <c r="FG982" s="9" t="n">
        <f aca="false">MIN((FG369+FG370)*$C$5, $F$14)*'⑫ Roll-out Plan'!$O$41</f>
        <v>35000</v>
      </c>
      <c r="FH982" s="9" t="n">
        <f aca="false">MIN((FH369+FH370)*$C$5, $F$14)*'⑫ Roll-out Plan'!$O$41</f>
        <v>35000</v>
      </c>
      <c r="FI982" s="9" t="n">
        <f aca="false">MIN((FI369+FI370)*$C$5, $F$14)*'⑫ Roll-out Plan'!$O$41</f>
        <v>35000</v>
      </c>
      <c r="FJ982" s="9" t="n">
        <f aca="false">MIN((FJ369+FJ370)*$C$5, $F$14)*'⑫ Roll-out Plan'!$O$41</f>
        <v>35000</v>
      </c>
      <c r="FK982" s="9" t="n">
        <f aca="false">MIN((FK369+FK370)*$C$5, $F$14)*'⑫ Roll-out Plan'!$O$41</f>
        <v>35000</v>
      </c>
      <c r="FL982" s="9" t="n">
        <f aca="false">MIN((FL369+FL370)*$C$5, $F$14)*'⑫ Roll-out Plan'!$O$41</f>
        <v>35000</v>
      </c>
      <c r="FM982" s="9" t="n">
        <f aca="false">MIN((FM369+FM370)*$C$5, $F$14)*'⑫ Roll-out Plan'!$O$41</f>
        <v>35000</v>
      </c>
      <c r="FN982" s="9" t="n">
        <f aca="false">MIN((FN369+FN370)*$C$5, $F$14)*'⑫ Roll-out Plan'!$O$41</f>
        <v>35000</v>
      </c>
      <c r="FO982" s="9" t="n">
        <f aca="false">MIN((FO369+FO370)*$C$5, $F$14)*'⑫ Roll-out Plan'!$O$41</f>
        <v>35000</v>
      </c>
      <c r="FP982" s="9" t="n">
        <f aca="false">MIN((FP369+FP370)*$C$5, $F$14)*'⑫ Roll-out Plan'!$O$41</f>
        <v>35000</v>
      </c>
    </row>
    <row r="983" customFormat="false" ht="15" hidden="false" customHeight="false" outlineLevel="0" collapsed="false">
      <c r="B983" s="254" t="s">
        <v>1008</v>
      </c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121" t="n">
        <f aca="false">MIN((AC379+AC380)*$C$5, $F$15)*'⑫ Roll-out Plan'!$O$42</f>
        <v>0</v>
      </c>
      <c r="AD983" s="121" t="n">
        <f aca="false">MIN((AD379+AD380)*$C$5, $F$15)*'⑫ Roll-out Plan'!$O$42</f>
        <v>0</v>
      </c>
      <c r="AE983" s="121" t="n">
        <f aca="false">MIN((AE379+AE380)*$C$5, $F$15)*'⑫ Roll-out Plan'!$O$42</f>
        <v>0</v>
      </c>
      <c r="AF983" s="121" t="n">
        <f aca="false">MIN((AF379+AF380)*$C$5, $F$15)*'⑫ Roll-out Plan'!$O$42</f>
        <v>0</v>
      </c>
      <c r="AG983" s="121" t="n">
        <f aca="false">MIN((AG379+AG380)*$C$5, $F$15)*'⑫ Roll-out Plan'!$O$42</f>
        <v>0</v>
      </c>
      <c r="AH983" s="121" t="n">
        <f aca="false">MIN((AH379+AH380)*$C$5, $F$15)*'⑫ Roll-out Plan'!$O$42</f>
        <v>0</v>
      </c>
      <c r="AI983" s="121" t="n">
        <f aca="false">MIN((AI379+AI380)*$C$5, $F$15)*'⑫ Roll-out Plan'!$O$42</f>
        <v>0</v>
      </c>
      <c r="AJ983" s="121" t="n">
        <f aca="false">MIN((AJ379+AJ380)*$C$5, $F$15)*'⑫ Roll-out Plan'!$O$42</f>
        <v>0</v>
      </c>
      <c r="AK983" s="121" t="n">
        <f aca="false">MIN((AK379+AK380)*$C$5, $F$15)*'⑫ Roll-out Plan'!$O$42</f>
        <v>0</v>
      </c>
      <c r="AL983" s="121" t="n">
        <f aca="false">MIN((AL379+AL380)*$C$5, $F$15)*'⑫ Roll-out Plan'!$O$42</f>
        <v>0</v>
      </c>
      <c r="AM983" s="121" t="n">
        <f aca="false">MIN((AM379+AM380)*$C$5, $F$15)*'⑫ Roll-out Plan'!$O$42</f>
        <v>0</v>
      </c>
      <c r="AN983" s="121" t="n">
        <f aca="false">MIN((AN379+AN380)*$C$5, $F$15)*'⑫ Roll-out Plan'!$O$42</f>
        <v>0</v>
      </c>
      <c r="AO983" s="121" t="n">
        <f aca="false">MIN((AO379+AO380)*$C$5, $F$15)*'⑫ Roll-out Plan'!$O$42</f>
        <v>0</v>
      </c>
      <c r="AP983" s="121" t="n">
        <f aca="false">MIN((AP379+AP380)*$C$5, $F$15)*'⑫ Roll-out Plan'!$O$42</f>
        <v>0</v>
      </c>
      <c r="AQ983" s="121" t="n">
        <f aca="false">MIN((AQ379+AQ380)*$C$5, $F$15)*'⑫ Roll-out Plan'!$O$42</f>
        <v>0</v>
      </c>
      <c r="AR983" s="121" t="n">
        <f aca="false">MIN((AR379+AR380)*$C$5, $F$15)*'⑫ Roll-out Plan'!$O$42</f>
        <v>0</v>
      </c>
      <c r="AS983" s="121" t="n">
        <f aca="false">MIN((AS379+AS380)*$C$5, $F$15)*'⑫ Roll-out Plan'!$O$42</f>
        <v>0</v>
      </c>
      <c r="AT983" s="121" t="n">
        <f aca="false">MIN((AT379+AT380)*$C$5, $F$15)*'⑫ Roll-out Plan'!$O$42</f>
        <v>0</v>
      </c>
      <c r="AU983" s="121" t="n">
        <f aca="false">MIN((AU379+AU380)*$C$5, $F$15)*'⑫ Roll-out Plan'!$O$42</f>
        <v>0</v>
      </c>
      <c r="AV983" s="121" t="n">
        <f aca="false">MIN((AV379+AV380)*$C$5, $F$15)*'⑫ Roll-out Plan'!$O$42</f>
        <v>0</v>
      </c>
      <c r="AW983" s="121" t="n">
        <f aca="false">MIN((AW379+AW380)*$C$5, $F$15)*'⑫ Roll-out Plan'!$O$42</f>
        <v>0</v>
      </c>
      <c r="AX983" s="121" t="n">
        <f aca="false">MIN((AX379+AX380)*$C$5, $F$15)*'⑫ Roll-out Plan'!$O$42</f>
        <v>0</v>
      </c>
      <c r="AY983" s="121" t="n">
        <f aca="false">MIN((AY379+AY380)*$C$5, $F$15)*'⑫ Roll-out Plan'!$O$42</f>
        <v>0</v>
      </c>
      <c r="AZ983" s="121" t="n">
        <f aca="false">MIN((AZ379+AZ380)*$C$5, $F$15)*'⑫ Roll-out Plan'!$O$42</f>
        <v>0</v>
      </c>
      <c r="BA983" s="121" t="n">
        <f aca="false">MIN((BA379+BA380)*$C$5, $F$15)*'⑫ Roll-out Plan'!$O$42</f>
        <v>0</v>
      </c>
      <c r="BB983" s="121" t="n">
        <f aca="false">MIN((BB379+BB380)*$C$5, $F$15)*'⑫ Roll-out Plan'!$O$42</f>
        <v>0</v>
      </c>
      <c r="BC983" s="121" t="n">
        <f aca="false">MIN((BC379+BC380)*$C$5, $F$15)*'⑫ Roll-out Plan'!$O$42</f>
        <v>0</v>
      </c>
      <c r="BD983" s="121" t="n">
        <f aca="false">MIN((BD379+BD380)*$C$5, $F$15)*'⑫ Roll-out Plan'!$O$42</f>
        <v>0</v>
      </c>
      <c r="BE983" s="121" t="n">
        <f aca="false">MIN((BE379+BE380)*$C$5, $F$15)*'⑫ Roll-out Plan'!$O$42</f>
        <v>0</v>
      </c>
      <c r="BF983" s="121" t="n">
        <f aca="false">MIN((BF379+BF380)*$C$5, $F$15)*'⑫ Roll-out Plan'!$O$42</f>
        <v>0</v>
      </c>
      <c r="BG983" s="121" t="n">
        <f aca="false">MIN((BG379+BG380)*$C$5, $F$15)*'⑫ Roll-out Plan'!$O$42</f>
        <v>0</v>
      </c>
      <c r="BH983" s="121" t="n">
        <f aca="false">MIN((BH379+BH380)*$C$5, $F$15)*'⑫ Roll-out Plan'!$O$42</f>
        <v>0</v>
      </c>
      <c r="BI983" s="121" t="n">
        <f aca="false">MIN((BI379+BI380)*$C$5, $F$15)*'⑫ Roll-out Plan'!$O$42</f>
        <v>0</v>
      </c>
      <c r="BJ983" s="121" t="n">
        <f aca="false">MIN((BJ379+BJ380)*$C$5, $F$15)*'⑫ Roll-out Plan'!$O$42</f>
        <v>0</v>
      </c>
      <c r="BK983" s="121" t="n">
        <f aca="false">MIN((BK379+BK380)*$C$5, $F$15)*'⑫ Roll-out Plan'!$O$42</f>
        <v>0</v>
      </c>
      <c r="BL983" s="121" t="n">
        <f aca="false">MIN((BL379+BL380)*$C$5, $F$15)*'⑫ Roll-out Plan'!$O$42</f>
        <v>0</v>
      </c>
      <c r="BM983" s="121" t="n">
        <f aca="false">MIN((BM379+BM380)*$C$5, $F$15)*'⑫ Roll-out Plan'!$O$42</f>
        <v>0</v>
      </c>
      <c r="BN983" s="121" t="n">
        <f aca="false">MIN((BN379+BN380)*$C$5, $F$15)*'⑫ Roll-out Plan'!$O$42</f>
        <v>0</v>
      </c>
      <c r="BO983" s="121" t="n">
        <f aca="false">MIN((BO379+BO380)*$C$5, $F$15)*'⑫ Roll-out Plan'!$O$42</f>
        <v>0</v>
      </c>
      <c r="BP983" s="121" t="n">
        <f aca="false">MIN((BP379+BP380)*$C$5, $F$15)*'⑫ Roll-out Plan'!$O$42</f>
        <v>0</v>
      </c>
      <c r="BQ983" s="121" t="n">
        <f aca="false">MIN((BQ379+BQ380)*$C$5, $F$15)*'⑫ Roll-out Plan'!$O$42</f>
        <v>0</v>
      </c>
      <c r="BR983" s="121" t="n">
        <f aca="false">MIN((BR379+BR380)*$C$5, $F$15)*'⑫ Roll-out Plan'!$O$42</f>
        <v>0</v>
      </c>
      <c r="BS983" s="121" t="n">
        <f aca="false">MIN((BS379+BS380)*$C$5, $F$15)*'⑫ Roll-out Plan'!$O$42</f>
        <v>0</v>
      </c>
      <c r="BT983" s="121" t="n">
        <f aca="false">MIN((BT379+BT380)*$C$5, $F$15)*'⑫ Roll-out Plan'!$O$42</f>
        <v>0</v>
      </c>
      <c r="BU983" s="121" t="n">
        <f aca="false">MIN((BU379+BU380)*$C$5, $F$15)*'⑫ Roll-out Plan'!$O$42</f>
        <v>0</v>
      </c>
      <c r="BV983" s="121" t="n">
        <f aca="false">MIN((BV379+BV380)*$C$5, $F$15)*'⑫ Roll-out Plan'!$O$42</f>
        <v>0</v>
      </c>
      <c r="BW983" s="121" t="n">
        <f aca="false">MIN((BW379+BW380)*$C$5, $F$15)*'⑫ Roll-out Plan'!$O$42</f>
        <v>0</v>
      </c>
      <c r="BX983" s="121" t="n">
        <f aca="false">MIN((BX379+BX380)*$C$5, $F$15)*'⑫ Roll-out Plan'!$O$42</f>
        <v>0</v>
      </c>
      <c r="BY983" s="121" t="n">
        <f aca="false">MIN((BY379+BY380)*$C$5, $F$15)*'⑫ Roll-out Plan'!$O$42</f>
        <v>0</v>
      </c>
      <c r="BZ983" s="121" t="n">
        <f aca="false">MIN((BZ379+BZ380)*$C$5, $F$15)*'⑫ Roll-out Plan'!$O$42</f>
        <v>0</v>
      </c>
      <c r="CA983" s="121" t="n">
        <f aca="false">MIN((CA379+CA380)*$C$5, $F$15)*'⑫ Roll-out Plan'!$O$42</f>
        <v>0</v>
      </c>
      <c r="CB983" s="121" t="n">
        <f aca="false">MIN((CB379+CB380)*$C$5, $F$15)*'⑫ Roll-out Plan'!$O$42</f>
        <v>0</v>
      </c>
      <c r="CC983" s="121" t="n">
        <f aca="false">MIN((CC379+CC380)*$C$5, $F$15)*'⑫ Roll-out Plan'!$O$42</f>
        <v>0</v>
      </c>
      <c r="CD983" s="121" t="n">
        <f aca="false">MIN((CD379+CD380)*$C$5, $F$15)*'⑫ Roll-out Plan'!$O$42</f>
        <v>0</v>
      </c>
      <c r="CE983" s="121" t="n">
        <f aca="false">MIN((CE379+CE380)*$C$5, $F$15)*'⑫ Roll-out Plan'!$O$42</f>
        <v>0</v>
      </c>
      <c r="CF983" s="121" t="n">
        <f aca="false">MIN((CF379+CF380)*$C$5, $F$15)*'⑫ Roll-out Plan'!$O$42</f>
        <v>0</v>
      </c>
      <c r="CG983" s="121" t="n">
        <f aca="false">MIN((CG379+CG380)*$C$5, $F$15)*'⑫ Roll-out Plan'!$O$42</f>
        <v>0</v>
      </c>
      <c r="CH983" s="121" t="n">
        <f aca="false">MIN((CH379+CH380)*$C$5, $F$15)*'⑫ Roll-out Plan'!$O$42</f>
        <v>0</v>
      </c>
      <c r="CI983" s="121" t="n">
        <f aca="false">MIN((CI379+CI380)*$C$5, $F$15)*'⑫ Roll-out Plan'!$O$42</f>
        <v>0</v>
      </c>
      <c r="CJ983" s="121" t="n">
        <f aca="false">MIN((CJ379+CJ380)*$C$5, $F$15)*'⑫ Roll-out Plan'!$O$42</f>
        <v>0</v>
      </c>
      <c r="CK983" s="121" t="n">
        <f aca="false">MIN((CK379+CK380)*$C$5, $F$15)*'⑫ Roll-out Plan'!$O$42</f>
        <v>0</v>
      </c>
      <c r="CL983" s="121" t="n">
        <f aca="false">MIN((CL379+CL380)*$C$5, $F$15)*'⑫ Roll-out Plan'!$O$42</f>
        <v>0</v>
      </c>
      <c r="CM983" s="121" t="n">
        <f aca="false">MIN((CM379+CM380)*$C$5, $F$15)*'⑫ Roll-out Plan'!$O$42</f>
        <v>0</v>
      </c>
      <c r="CN983" s="121" t="n">
        <f aca="false">MIN((CN379+CN380)*$C$5, $F$15)*'⑫ Roll-out Plan'!$O$42</f>
        <v>0</v>
      </c>
      <c r="CO983" s="121" t="n">
        <f aca="false">MIN((CO379+CO380)*$C$5, $F$15)*'⑫ Roll-out Plan'!$O$42</f>
        <v>0</v>
      </c>
      <c r="CP983" s="121" t="n">
        <f aca="false">MIN((CP379+CP380)*$C$5, $F$15)*'⑫ Roll-out Plan'!$O$42</f>
        <v>0</v>
      </c>
      <c r="CQ983" s="121" t="n">
        <f aca="false">MIN((CQ379+CQ380)*$C$5, $F$15)*'⑫ Roll-out Plan'!$O$42</f>
        <v>0</v>
      </c>
      <c r="CR983" s="121" t="n">
        <f aca="false">MIN((CR379+CR380)*$C$5, $F$15)*'⑫ Roll-out Plan'!$O$42</f>
        <v>0</v>
      </c>
      <c r="CS983" s="121" t="n">
        <f aca="false">MIN((CS379+CS380)*$C$5, $F$15)*'⑫ Roll-out Plan'!$O$42</f>
        <v>0</v>
      </c>
      <c r="CT983" s="121" t="n">
        <f aca="false">MIN((CT379+CT380)*$C$5, $F$15)*'⑫ Roll-out Plan'!$O$42</f>
        <v>0</v>
      </c>
      <c r="CU983" s="121" t="n">
        <f aca="false">MIN((CU379+CU380)*$C$5, $F$15)*'⑫ Roll-out Plan'!$O$42</f>
        <v>0</v>
      </c>
      <c r="CV983" s="121" t="n">
        <f aca="false">MIN((CV379+CV380)*$C$5, $F$15)*'⑫ Roll-out Plan'!$O$42</f>
        <v>0</v>
      </c>
      <c r="CW983" s="121" t="n">
        <f aca="false">MIN((CW379+CW380)*$C$5, $F$15)*'⑫ Roll-out Plan'!$O$42</f>
        <v>0</v>
      </c>
      <c r="CX983" s="121" t="n">
        <f aca="false">MIN((CX379+CX380)*$C$5, $F$15)*'⑫ Roll-out Plan'!$O$42</f>
        <v>0</v>
      </c>
      <c r="CY983" s="121" t="n">
        <f aca="false">MIN((CY379+CY380)*$C$5, $F$15)*'⑫ Roll-out Plan'!$O$42</f>
        <v>0</v>
      </c>
      <c r="CZ983" s="121" t="n">
        <f aca="false">MIN((CZ379+CZ380)*$C$5, $F$15)*'⑫ Roll-out Plan'!$O$42</f>
        <v>0</v>
      </c>
      <c r="DA983" s="121" t="n">
        <f aca="false">MIN((DA379+DA380)*$C$5, $F$15)*'⑫ Roll-out Plan'!$O$42</f>
        <v>0</v>
      </c>
      <c r="DB983" s="121" t="n">
        <f aca="false">MIN((DB379+DB380)*$C$5, $F$15)*'⑫ Roll-out Plan'!$O$42</f>
        <v>0</v>
      </c>
      <c r="DC983" s="121" t="n">
        <f aca="false">MIN((DC379+DC380)*$C$5, $F$15)*'⑫ Roll-out Plan'!$O$42</f>
        <v>0</v>
      </c>
      <c r="DD983" s="121" t="n">
        <f aca="false">MIN((DD379+DD380)*$C$5, $F$15)*'⑫ Roll-out Plan'!$O$42</f>
        <v>0</v>
      </c>
      <c r="DE983" s="121" t="n">
        <f aca="false">MIN((DE379+DE380)*$C$5, $F$15)*'⑫ Roll-out Plan'!$O$42</f>
        <v>0</v>
      </c>
      <c r="DF983" s="121" t="n">
        <f aca="false">MIN((DF379+DF380)*$C$5, $F$15)*'⑫ Roll-out Plan'!$O$42</f>
        <v>0</v>
      </c>
      <c r="DG983" s="121" t="n">
        <f aca="false">MIN((DG379+DG380)*$C$5, $F$15)*'⑫ Roll-out Plan'!$O$42</f>
        <v>0</v>
      </c>
      <c r="DH983" s="121" t="n">
        <f aca="false">MIN((DH379+DH380)*$C$5, $F$15)*'⑫ Roll-out Plan'!$O$42</f>
        <v>0</v>
      </c>
      <c r="DI983" s="121" t="n">
        <f aca="false">MIN((DI379+DI380)*$C$5, $F$15)*'⑫ Roll-out Plan'!$O$42</f>
        <v>0</v>
      </c>
      <c r="DJ983" s="121" t="n">
        <f aca="false">MIN((DJ379+DJ380)*$C$5, $F$15)*'⑫ Roll-out Plan'!$O$42</f>
        <v>0</v>
      </c>
      <c r="DK983" s="121" t="n">
        <f aca="false">MIN((DK379+DK380)*$C$5, $F$15)*'⑫ Roll-out Plan'!$O$42</f>
        <v>0</v>
      </c>
      <c r="DL983" s="121" t="n">
        <f aca="false">MIN((DL379+DL380)*$C$5, $F$15)*'⑫ Roll-out Plan'!$O$42</f>
        <v>0</v>
      </c>
      <c r="DM983" s="121" t="n">
        <f aca="false">MIN((DM379+DM380)*$C$5, $F$15)*'⑫ Roll-out Plan'!$O$42</f>
        <v>0</v>
      </c>
      <c r="DN983" s="121" t="n">
        <f aca="false">MIN((DN379+DN380)*$C$5, $F$15)*'⑫ Roll-out Plan'!$O$42</f>
        <v>0</v>
      </c>
      <c r="DO983" s="121" t="n">
        <f aca="false">MIN((DO379+DO380)*$C$5, $F$15)*'⑫ Roll-out Plan'!$O$42</f>
        <v>0</v>
      </c>
      <c r="DP983" s="121" t="n">
        <f aca="false">MIN((DP379+DP380)*$C$5, $F$15)*'⑫ Roll-out Plan'!$O$42</f>
        <v>0</v>
      </c>
      <c r="DQ983" s="121" t="n">
        <f aca="false">MIN((DQ379+DQ380)*$C$5, $F$15)*'⑫ Roll-out Plan'!$O$42</f>
        <v>0</v>
      </c>
      <c r="DR983" s="121" t="n">
        <f aca="false">MIN((DR379+DR380)*$C$5, $F$15)*'⑫ Roll-out Plan'!$O$42</f>
        <v>0</v>
      </c>
      <c r="DS983" s="121" t="n">
        <f aca="false">MIN((DS379+DS380)*$C$5, $F$15)*'⑫ Roll-out Plan'!$O$42</f>
        <v>0</v>
      </c>
      <c r="DT983" s="121" t="n">
        <f aca="false">MIN((DT379+DT380)*$C$5, $F$15)*'⑫ Roll-out Plan'!$O$42</f>
        <v>0</v>
      </c>
      <c r="DU983" s="121" t="n">
        <f aca="false">MIN((DU379+DU380)*$C$5, $F$15)*'⑫ Roll-out Plan'!$O$42</f>
        <v>0</v>
      </c>
      <c r="DV983" s="121" t="n">
        <f aca="false">MIN((DV379+DV380)*$C$5, $F$15)*'⑫ Roll-out Plan'!$O$42</f>
        <v>3974.54</v>
      </c>
      <c r="DW983" s="121" t="n">
        <f aca="false">MIN((DW379+DW380)*$C$5, $F$15)*'⑫ Roll-out Plan'!$O$42</f>
        <v>6693.51312</v>
      </c>
      <c r="DX983" s="121" t="n">
        <f aca="false">MIN((DX379+DX380)*$C$5, $F$15)*'⑫ Roll-out Plan'!$O$42</f>
        <v>7259.64272</v>
      </c>
      <c r="DY983" s="121" t="n">
        <f aca="false">MIN((DY379+DY380)*$C$5, $F$15)*'⑫ Roll-out Plan'!$O$42</f>
        <v>7036.8048032</v>
      </c>
      <c r="DZ983" s="121" t="n">
        <f aca="false">MIN((DZ379+DZ380)*$C$5, $F$15)*'⑫ Roll-out Plan'!$O$42</f>
        <v>6307.3351808</v>
      </c>
      <c r="EA983" s="121" t="n">
        <f aca="false">MIN((EA379+EA380)*$C$5, $F$15)*'⑫ Roll-out Plan'!$O$42</f>
        <v>7347.431584</v>
      </c>
      <c r="EB983" s="121" t="n">
        <f aca="false">MIN((EB379+EB380)*$C$5, $F$15)*'⑫ Roll-out Plan'!$O$42</f>
        <v>13239.9023408</v>
      </c>
      <c r="EC983" s="121" t="n">
        <f aca="false">MIN((EC379+EC380)*$C$5, $F$15)*'⑫ Roll-out Plan'!$O$42</f>
        <v>12965.7327552</v>
      </c>
      <c r="ED983" s="121" t="n">
        <f aca="false">MIN((ED379+ED380)*$C$5, $F$15)*'⑫ Roll-out Plan'!$O$42</f>
        <v>12267.136584</v>
      </c>
      <c r="EE983" s="121" t="n">
        <f aca="false">MIN((EE379+EE380)*$C$5, $F$15)*'⑫ Roll-out Plan'!$O$42</f>
        <v>9780.8737504</v>
      </c>
      <c r="EF983" s="121" t="n">
        <f aca="false">MIN((EF379+EF380)*$C$5, $F$15)*'⑫ Roll-out Plan'!$O$42</f>
        <v>13770.1951616</v>
      </c>
      <c r="EG983" s="121" t="n">
        <f aca="false">MIN((EG379+EG380)*$C$5, $F$15)*'⑫ Roll-out Plan'!$O$42</f>
        <v>16075.4904032</v>
      </c>
      <c r="EH983" s="121" t="n">
        <f aca="false">MIN((EH379+EH380)*$C$5, $F$15)*'⑫ Roll-out Plan'!$O$42</f>
        <v>13970.1474832</v>
      </c>
      <c r="EI983" s="121" t="n">
        <f aca="false">MIN((EI379+EI380)*$C$5, $F$15)*'⑫ Roll-out Plan'!$O$42</f>
        <v>19754.355648</v>
      </c>
      <c r="EJ983" s="121" t="n">
        <f aca="false">MIN((EJ379+EJ380)*$C$5, $F$15)*'⑫ Roll-out Plan'!$O$42</f>
        <v>19771.068104</v>
      </c>
      <c r="EK983" s="121" t="n">
        <f aca="false">MIN((EK379+EK380)*$C$5, $F$15)*'⑫ Roll-out Plan'!$O$42</f>
        <v>20737.0325504</v>
      </c>
      <c r="EL983" s="121" t="n">
        <f aca="false">MIN((EL379+EL380)*$C$5, $F$15)*'⑫ Roll-out Plan'!$O$42</f>
        <v>19538.6912912</v>
      </c>
      <c r="EM983" s="121" t="n">
        <f aca="false">MIN((EM379+EM380)*$C$5, $F$15)*'⑫ Roll-out Plan'!$O$42</f>
        <v>21082.24054352</v>
      </c>
      <c r="EN983" s="121" t="n">
        <f aca="false">MIN((EN379+EN380)*$C$5, $F$15)*'⑫ Roll-out Plan'!$O$42</f>
        <v>27000</v>
      </c>
      <c r="EO983" s="121" t="n">
        <f aca="false">MIN((EO379+EO380)*$C$5, $F$15)*'⑫ Roll-out Plan'!$O$42</f>
        <v>27000</v>
      </c>
      <c r="EP983" s="121" t="n">
        <f aca="false">MIN((EP379+EP380)*$C$5, $F$15)*'⑫ Roll-out Plan'!$O$42</f>
        <v>27000</v>
      </c>
      <c r="EQ983" s="121" t="n">
        <f aca="false">MIN((EQ379+EQ380)*$C$5, $F$15)*'⑫ Roll-out Plan'!$O$42</f>
        <v>22251.675458</v>
      </c>
      <c r="ER983" s="121" t="n">
        <f aca="false">MIN((ER379+ER380)*$C$5, $F$15)*'⑫ Roll-out Plan'!$O$42</f>
        <v>27000</v>
      </c>
      <c r="ES983" s="9" t="n">
        <f aca="false">MIN((ES379+ES380)*$C$5, $F$15)*'⑫ Roll-out Plan'!$O$42</f>
        <v>27000</v>
      </c>
      <c r="ET983" s="9" t="n">
        <f aca="false">MIN((ET379+ET380)*$C$5, $F$15)*'⑫ Roll-out Plan'!$O$42</f>
        <v>27000</v>
      </c>
      <c r="EU983" s="9" t="n">
        <f aca="false">MIN((EU379+EU380)*$C$5, $F$15)*'⑫ Roll-out Plan'!$O$42</f>
        <v>27000</v>
      </c>
      <c r="EV983" s="9" t="n">
        <f aca="false">MIN((EV379+EV380)*$C$5, $F$15)*'⑫ Roll-out Plan'!$O$42</f>
        <v>27000</v>
      </c>
      <c r="EW983" s="9" t="n">
        <f aca="false">MIN((EW379+EW380)*$C$5, $F$15)*'⑫ Roll-out Plan'!$O$42</f>
        <v>27000</v>
      </c>
      <c r="EX983" s="9" t="n">
        <f aca="false">MIN((EX379+EX380)*$C$5, $F$15)*'⑫ Roll-out Plan'!$O$42</f>
        <v>27000</v>
      </c>
      <c r="EY983" s="9" t="n">
        <f aca="false">MIN((EY379+EY380)*$C$5, $F$15)*'⑫ Roll-out Plan'!$O$42</f>
        <v>27000</v>
      </c>
      <c r="EZ983" s="9" t="n">
        <f aca="false">MIN((EZ379+EZ380)*$C$5, $F$15)*'⑫ Roll-out Plan'!$O$42</f>
        <v>27000</v>
      </c>
      <c r="FA983" s="9" t="n">
        <f aca="false">MIN((FA379+FA380)*$C$5, $F$15)*'⑫ Roll-out Plan'!$O$42</f>
        <v>27000</v>
      </c>
      <c r="FB983" s="9" t="n">
        <f aca="false">MIN((FB379+FB380)*$C$5, $F$15)*'⑫ Roll-out Plan'!$O$42</f>
        <v>27000</v>
      </c>
      <c r="FC983" s="9" t="n">
        <f aca="false">MIN((FC379+FC380)*$C$5, $F$15)*'⑫ Roll-out Plan'!$O$42</f>
        <v>27000</v>
      </c>
      <c r="FD983" s="9" t="n">
        <f aca="false">MIN((FD379+FD380)*$C$5, $F$15)*'⑫ Roll-out Plan'!$O$42</f>
        <v>27000</v>
      </c>
      <c r="FE983" s="9" t="n">
        <f aca="false">MIN((FE379+FE380)*$C$5, $F$15)*'⑫ Roll-out Plan'!$O$42</f>
        <v>27000</v>
      </c>
      <c r="FF983" s="9" t="n">
        <f aca="false">MIN((FF379+FF380)*$C$5, $F$15)*'⑫ Roll-out Plan'!$O$42</f>
        <v>27000</v>
      </c>
      <c r="FG983" s="9" t="n">
        <f aca="false">MIN((FG379+FG380)*$C$5, $F$15)*'⑫ Roll-out Plan'!$O$42</f>
        <v>27000</v>
      </c>
      <c r="FH983" s="9" t="n">
        <f aca="false">MIN((FH379+FH380)*$C$5, $F$15)*'⑫ Roll-out Plan'!$O$42</f>
        <v>27000</v>
      </c>
      <c r="FI983" s="9" t="n">
        <f aca="false">MIN((FI379+FI380)*$C$5, $F$15)*'⑫ Roll-out Plan'!$O$42</f>
        <v>27000</v>
      </c>
      <c r="FJ983" s="9" t="n">
        <f aca="false">MIN((FJ379+FJ380)*$C$5, $F$15)*'⑫ Roll-out Plan'!$O$42</f>
        <v>27000</v>
      </c>
      <c r="FK983" s="9" t="n">
        <f aca="false">MIN((FK379+FK380)*$C$5, $F$15)*'⑫ Roll-out Plan'!$O$42</f>
        <v>27000</v>
      </c>
      <c r="FL983" s="9" t="n">
        <f aca="false">MIN((FL379+FL380)*$C$5, $F$15)*'⑫ Roll-out Plan'!$O$42</f>
        <v>27000</v>
      </c>
      <c r="FM983" s="9" t="n">
        <f aca="false">MIN((FM379+FM380)*$C$5, $F$15)*'⑫ Roll-out Plan'!$O$42</f>
        <v>27000</v>
      </c>
      <c r="FN983" s="9" t="n">
        <f aca="false">MIN((FN379+FN380)*$C$5, $F$15)*'⑫ Roll-out Plan'!$O$42</f>
        <v>27000</v>
      </c>
      <c r="FO983" s="9" t="n">
        <f aca="false">MIN((FO379+FO380)*$C$5, $F$15)*'⑫ Roll-out Plan'!$O$42</f>
        <v>27000</v>
      </c>
      <c r="FP983" s="9" t="n">
        <f aca="false">MIN((FP379+FP380)*$C$5, $F$15)*'⑫ Roll-out Plan'!$O$42</f>
        <v>27000</v>
      </c>
    </row>
    <row r="984" customFormat="false" ht="15" hidden="false" customHeight="false" outlineLevel="0" collapsed="false">
      <c r="B984" s="254" t="s">
        <v>1009</v>
      </c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121" t="n">
        <f aca="false">MIN((AC389+AC390)*$C$5, $F$16)*'⑫ Roll-out Plan'!$O$43</f>
        <v>0</v>
      </c>
      <c r="AD984" s="121" t="n">
        <f aca="false">MIN((AD389+AD390)*$C$5, $F$16)*'⑫ Roll-out Plan'!$O$43</f>
        <v>0</v>
      </c>
      <c r="AE984" s="121" t="n">
        <f aca="false">MIN((AE389+AE390)*$C$5, $F$16)*'⑫ Roll-out Plan'!$O$43</f>
        <v>0</v>
      </c>
      <c r="AF984" s="121" t="n">
        <f aca="false">MIN((AF389+AF390)*$C$5, $F$16)*'⑫ Roll-out Plan'!$O$43</f>
        <v>0</v>
      </c>
      <c r="AG984" s="121" t="n">
        <f aca="false">MIN((AG389+AG390)*$C$5, $F$16)*'⑫ Roll-out Plan'!$O$43</f>
        <v>0</v>
      </c>
      <c r="AH984" s="121" t="n">
        <f aca="false">MIN((AH389+AH390)*$C$5, $F$16)*'⑫ Roll-out Plan'!$O$43</f>
        <v>0</v>
      </c>
      <c r="AI984" s="121" t="n">
        <f aca="false">MIN((AI389+AI390)*$C$5, $F$16)*'⑫ Roll-out Plan'!$O$43</f>
        <v>0</v>
      </c>
      <c r="AJ984" s="121" t="n">
        <f aca="false">MIN((AJ389+AJ390)*$C$5, $F$16)*'⑫ Roll-out Plan'!$O$43</f>
        <v>0</v>
      </c>
      <c r="AK984" s="121" t="n">
        <f aca="false">MIN((AK389+AK390)*$C$5, $F$16)*'⑫ Roll-out Plan'!$O$43</f>
        <v>0</v>
      </c>
      <c r="AL984" s="121" t="n">
        <f aca="false">MIN((AL389+AL390)*$C$5, $F$16)*'⑫ Roll-out Plan'!$O$43</f>
        <v>0</v>
      </c>
      <c r="AM984" s="121" t="n">
        <f aca="false">MIN((AM389+AM390)*$C$5, $F$16)*'⑫ Roll-out Plan'!$O$43</f>
        <v>0</v>
      </c>
      <c r="AN984" s="121" t="n">
        <f aca="false">MIN((AN389+AN390)*$C$5, $F$16)*'⑫ Roll-out Plan'!$O$43</f>
        <v>0</v>
      </c>
      <c r="AO984" s="121" t="n">
        <f aca="false">MIN((AO389+AO390)*$C$5, $F$16)*'⑫ Roll-out Plan'!$O$43</f>
        <v>0</v>
      </c>
      <c r="AP984" s="121" t="n">
        <f aca="false">MIN((AP389+AP390)*$C$5, $F$16)*'⑫ Roll-out Plan'!$O$43</f>
        <v>0</v>
      </c>
      <c r="AQ984" s="121" t="n">
        <f aca="false">MIN((AQ389+AQ390)*$C$5, $F$16)*'⑫ Roll-out Plan'!$O$43</f>
        <v>0</v>
      </c>
      <c r="AR984" s="121" t="n">
        <f aca="false">MIN((AR389+AR390)*$C$5, $F$16)*'⑫ Roll-out Plan'!$O$43</f>
        <v>0</v>
      </c>
      <c r="AS984" s="121" t="n">
        <f aca="false">MIN((AS389+AS390)*$C$5, $F$16)*'⑫ Roll-out Plan'!$O$43</f>
        <v>0</v>
      </c>
      <c r="AT984" s="121" t="n">
        <f aca="false">MIN((AT389+AT390)*$C$5, $F$16)*'⑫ Roll-out Plan'!$O$43</f>
        <v>0</v>
      </c>
      <c r="AU984" s="121" t="n">
        <f aca="false">MIN((AU389+AU390)*$C$5, $F$16)*'⑫ Roll-out Plan'!$O$43</f>
        <v>0</v>
      </c>
      <c r="AV984" s="121" t="n">
        <f aca="false">MIN((AV389+AV390)*$C$5, $F$16)*'⑫ Roll-out Plan'!$O$43</f>
        <v>0</v>
      </c>
      <c r="AW984" s="121" t="n">
        <f aca="false">MIN((AW389+AW390)*$C$5, $F$16)*'⑫ Roll-out Plan'!$O$43</f>
        <v>0</v>
      </c>
      <c r="AX984" s="121" t="n">
        <f aca="false">MIN((AX389+AX390)*$C$5, $F$16)*'⑫ Roll-out Plan'!$O$43</f>
        <v>0</v>
      </c>
      <c r="AY984" s="121" t="n">
        <f aca="false">MIN((AY389+AY390)*$C$5, $F$16)*'⑫ Roll-out Plan'!$O$43</f>
        <v>0</v>
      </c>
      <c r="AZ984" s="121" t="n">
        <f aca="false">MIN((AZ389+AZ390)*$C$5, $F$16)*'⑫ Roll-out Plan'!$O$43</f>
        <v>0</v>
      </c>
      <c r="BA984" s="121" t="n">
        <f aca="false">MIN((BA389+BA390)*$C$5, $F$16)*'⑫ Roll-out Plan'!$O$43</f>
        <v>0</v>
      </c>
      <c r="BB984" s="121" t="n">
        <f aca="false">MIN((BB389+BB390)*$C$5, $F$16)*'⑫ Roll-out Plan'!$O$43</f>
        <v>0</v>
      </c>
      <c r="BC984" s="121" t="n">
        <f aca="false">MIN((BC389+BC390)*$C$5, $F$16)*'⑫ Roll-out Plan'!$O$43</f>
        <v>0</v>
      </c>
      <c r="BD984" s="121" t="n">
        <f aca="false">MIN((BD389+BD390)*$C$5, $F$16)*'⑫ Roll-out Plan'!$O$43</f>
        <v>0</v>
      </c>
      <c r="BE984" s="121" t="n">
        <f aca="false">MIN((BE389+BE390)*$C$5, $F$16)*'⑫ Roll-out Plan'!$O$43</f>
        <v>0</v>
      </c>
      <c r="BF984" s="121" t="n">
        <f aca="false">MIN((BF389+BF390)*$C$5, $F$16)*'⑫ Roll-out Plan'!$O$43</f>
        <v>0</v>
      </c>
      <c r="BG984" s="121" t="n">
        <f aca="false">MIN((BG389+BG390)*$C$5, $F$16)*'⑫ Roll-out Plan'!$O$43</f>
        <v>0</v>
      </c>
      <c r="BH984" s="121" t="n">
        <f aca="false">MIN((BH389+BH390)*$C$5, $F$16)*'⑫ Roll-out Plan'!$O$43</f>
        <v>0</v>
      </c>
      <c r="BI984" s="121" t="n">
        <f aca="false">MIN((BI389+BI390)*$C$5, $F$16)*'⑫ Roll-out Plan'!$O$43</f>
        <v>0</v>
      </c>
      <c r="BJ984" s="121" t="n">
        <f aca="false">MIN((BJ389+BJ390)*$C$5, $F$16)*'⑫ Roll-out Plan'!$O$43</f>
        <v>0</v>
      </c>
      <c r="BK984" s="121" t="n">
        <f aca="false">MIN((BK389+BK390)*$C$5, $F$16)*'⑫ Roll-out Plan'!$O$43</f>
        <v>0</v>
      </c>
      <c r="BL984" s="121" t="n">
        <f aca="false">MIN((BL389+BL390)*$C$5, $F$16)*'⑫ Roll-out Plan'!$O$43</f>
        <v>0</v>
      </c>
      <c r="BM984" s="121" t="n">
        <f aca="false">MIN((BM389+BM390)*$C$5, $F$16)*'⑫ Roll-out Plan'!$O$43</f>
        <v>0</v>
      </c>
      <c r="BN984" s="121" t="n">
        <f aca="false">MIN((BN389+BN390)*$C$5, $F$16)*'⑫ Roll-out Plan'!$O$43</f>
        <v>0</v>
      </c>
      <c r="BO984" s="121" t="n">
        <f aca="false">MIN((BO389+BO390)*$C$5, $F$16)*'⑫ Roll-out Plan'!$O$43</f>
        <v>0</v>
      </c>
      <c r="BP984" s="121" t="n">
        <f aca="false">MIN((BP389+BP390)*$C$5, $F$16)*'⑫ Roll-out Plan'!$O$43</f>
        <v>0</v>
      </c>
      <c r="BQ984" s="121" t="n">
        <f aca="false">MIN((BQ389+BQ390)*$C$5, $F$16)*'⑫ Roll-out Plan'!$O$43</f>
        <v>0</v>
      </c>
      <c r="BR984" s="121" t="n">
        <f aca="false">MIN((BR389+BR390)*$C$5, $F$16)*'⑫ Roll-out Plan'!$O$43</f>
        <v>0</v>
      </c>
      <c r="BS984" s="121" t="n">
        <f aca="false">MIN((BS389+BS390)*$C$5, $F$16)*'⑫ Roll-out Plan'!$O$43</f>
        <v>0</v>
      </c>
      <c r="BT984" s="121" t="n">
        <f aca="false">MIN((BT389+BT390)*$C$5, $F$16)*'⑫ Roll-out Plan'!$O$43</f>
        <v>0</v>
      </c>
      <c r="BU984" s="121" t="n">
        <f aca="false">MIN((BU389+BU390)*$C$5, $F$16)*'⑫ Roll-out Plan'!$O$43</f>
        <v>0</v>
      </c>
      <c r="BV984" s="121" t="n">
        <f aca="false">MIN((BV389+BV390)*$C$5, $F$16)*'⑫ Roll-out Plan'!$O$43</f>
        <v>0</v>
      </c>
      <c r="BW984" s="121" t="n">
        <f aca="false">MIN((BW389+BW390)*$C$5, $F$16)*'⑫ Roll-out Plan'!$O$43</f>
        <v>0</v>
      </c>
      <c r="BX984" s="121" t="n">
        <f aca="false">MIN((BX389+BX390)*$C$5, $F$16)*'⑫ Roll-out Plan'!$O$43</f>
        <v>0</v>
      </c>
      <c r="BY984" s="121" t="n">
        <f aca="false">MIN((BY389+BY390)*$C$5, $F$16)*'⑫ Roll-out Plan'!$O$43</f>
        <v>0</v>
      </c>
      <c r="BZ984" s="121" t="n">
        <f aca="false">MIN((BZ389+BZ390)*$C$5, $F$16)*'⑫ Roll-out Plan'!$O$43</f>
        <v>0</v>
      </c>
      <c r="CA984" s="121" t="n">
        <f aca="false">MIN((CA389+CA390)*$C$5, $F$16)*'⑫ Roll-out Plan'!$O$43</f>
        <v>0</v>
      </c>
      <c r="CB984" s="121" t="n">
        <f aca="false">MIN((CB389+CB390)*$C$5, $F$16)*'⑫ Roll-out Plan'!$O$43</f>
        <v>0</v>
      </c>
      <c r="CC984" s="121" t="n">
        <f aca="false">MIN((CC389+CC390)*$C$5, $F$16)*'⑫ Roll-out Plan'!$O$43</f>
        <v>0</v>
      </c>
      <c r="CD984" s="121" t="n">
        <f aca="false">MIN((CD389+CD390)*$C$5, $F$16)*'⑫ Roll-out Plan'!$O$43</f>
        <v>0</v>
      </c>
      <c r="CE984" s="121" t="n">
        <f aca="false">MIN((CE389+CE390)*$C$5, $F$16)*'⑫ Roll-out Plan'!$O$43</f>
        <v>0</v>
      </c>
      <c r="CF984" s="121" t="n">
        <f aca="false">MIN((CF389+CF390)*$C$5, $F$16)*'⑫ Roll-out Plan'!$O$43</f>
        <v>0</v>
      </c>
      <c r="CG984" s="121" t="n">
        <f aca="false">MIN((CG389+CG390)*$C$5, $F$16)*'⑫ Roll-out Plan'!$O$43</f>
        <v>0</v>
      </c>
      <c r="CH984" s="121" t="n">
        <f aca="false">MIN((CH389+CH390)*$C$5, $F$16)*'⑫ Roll-out Plan'!$O$43</f>
        <v>0</v>
      </c>
      <c r="CI984" s="121" t="n">
        <f aca="false">MIN((CI389+CI390)*$C$5, $F$16)*'⑫ Roll-out Plan'!$O$43</f>
        <v>0</v>
      </c>
      <c r="CJ984" s="121" t="n">
        <f aca="false">MIN((CJ389+CJ390)*$C$5, $F$16)*'⑫ Roll-out Plan'!$O$43</f>
        <v>0</v>
      </c>
      <c r="CK984" s="121" t="n">
        <f aca="false">MIN((CK389+CK390)*$C$5, $F$16)*'⑫ Roll-out Plan'!$O$43</f>
        <v>0</v>
      </c>
      <c r="CL984" s="121" t="n">
        <f aca="false">MIN((CL389+CL390)*$C$5, $F$16)*'⑫ Roll-out Plan'!$O$43</f>
        <v>0</v>
      </c>
      <c r="CM984" s="121" t="n">
        <f aca="false">MIN((CM389+CM390)*$C$5, $F$16)*'⑫ Roll-out Plan'!$O$43</f>
        <v>0</v>
      </c>
      <c r="CN984" s="121" t="n">
        <f aca="false">MIN((CN389+CN390)*$C$5, $F$16)*'⑫ Roll-out Plan'!$O$43</f>
        <v>0</v>
      </c>
      <c r="CO984" s="121" t="n">
        <f aca="false">MIN((CO389+CO390)*$C$5, $F$16)*'⑫ Roll-out Plan'!$O$43</f>
        <v>0</v>
      </c>
      <c r="CP984" s="121" t="n">
        <f aca="false">MIN((CP389+CP390)*$C$5, $F$16)*'⑫ Roll-out Plan'!$O$43</f>
        <v>0</v>
      </c>
      <c r="CQ984" s="121" t="n">
        <f aca="false">MIN((CQ389+CQ390)*$C$5, $F$16)*'⑫ Roll-out Plan'!$O$43</f>
        <v>0</v>
      </c>
      <c r="CR984" s="121" t="n">
        <f aca="false">MIN((CR389+CR390)*$C$5, $F$16)*'⑫ Roll-out Plan'!$O$43</f>
        <v>0</v>
      </c>
      <c r="CS984" s="121" t="n">
        <f aca="false">MIN((CS389+CS390)*$C$5, $F$16)*'⑫ Roll-out Plan'!$O$43</f>
        <v>0</v>
      </c>
      <c r="CT984" s="121" t="n">
        <f aca="false">MIN((CT389+CT390)*$C$5, $F$16)*'⑫ Roll-out Plan'!$O$43</f>
        <v>0</v>
      </c>
      <c r="CU984" s="121" t="n">
        <f aca="false">MIN((CU389+CU390)*$C$5, $F$16)*'⑫ Roll-out Plan'!$O$43</f>
        <v>0</v>
      </c>
      <c r="CV984" s="121" t="n">
        <f aca="false">MIN((CV389+CV390)*$C$5, $F$16)*'⑫ Roll-out Plan'!$O$43</f>
        <v>0</v>
      </c>
      <c r="CW984" s="121" t="n">
        <f aca="false">MIN((CW389+CW390)*$C$5, $F$16)*'⑫ Roll-out Plan'!$O$43</f>
        <v>0</v>
      </c>
      <c r="CX984" s="121" t="n">
        <f aca="false">MIN((CX389+CX390)*$C$5, $F$16)*'⑫ Roll-out Plan'!$O$43</f>
        <v>0</v>
      </c>
      <c r="CY984" s="121" t="n">
        <f aca="false">MIN((CY389+CY390)*$C$5, $F$16)*'⑫ Roll-out Plan'!$O$43</f>
        <v>0</v>
      </c>
      <c r="CZ984" s="121" t="n">
        <f aca="false">MIN((CZ389+CZ390)*$C$5, $F$16)*'⑫ Roll-out Plan'!$O$43</f>
        <v>0</v>
      </c>
      <c r="DA984" s="121" t="n">
        <f aca="false">MIN((DA389+DA390)*$C$5, $F$16)*'⑫ Roll-out Plan'!$O$43</f>
        <v>0</v>
      </c>
      <c r="DB984" s="121" t="n">
        <f aca="false">MIN((DB389+DB390)*$C$5, $F$16)*'⑫ Roll-out Plan'!$O$43</f>
        <v>0</v>
      </c>
      <c r="DC984" s="121" t="n">
        <f aca="false">MIN((DC389+DC390)*$C$5, $F$16)*'⑫ Roll-out Plan'!$O$43</f>
        <v>0</v>
      </c>
      <c r="DD984" s="121" t="n">
        <f aca="false">MIN((DD389+DD390)*$C$5, $F$16)*'⑫ Roll-out Plan'!$O$43</f>
        <v>0</v>
      </c>
      <c r="DE984" s="121" t="n">
        <f aca="false">MIN((DE389+DE390)*$C$5, $F$16)*'⑫ Roll-out Plan'!$O$43</f>
        <v>0</v>
      </c>
      <c r="DF984" s="121" t="n">
        <f aca="false">MIN((DF389+DF390)*$C$5, $F$16)*'⑫ Roll-out Plan'!$O$43</f>
        <v>0</v>
      </c>
      <c r="DG984" s="121" t="n">
        <f aca="false">MIN((DG389+DG390)*$C$5, $F$16)*'⑫ Roll-out Plan'!$O$43</f>
        <v>0</v>
      </c>
      <c r="DH984" s="121" t="n">
        <f aca="false">MIN((DH389+DH390)*$C$5, $F$16)*'⑫ Roll-out Plan'!$O$43</f>
        <v>0</v>
      </c>
      <c r="DI984" s="121" t="n">
        <f aca="false">MIN((DI389+DI390)*$C$5, $F$16)*'⑫ Roll-out Plan'!$O$43</f>
        <v>0</v>
      </c>
      <c r="DJ984" s="121" t="n">
        <f aca="false">MIN((DJ389+DJ390)*$C$5, $F$16)*'⑫ Roll-out Plan'!$O$43</f>
        <v>0</v>
      </c>
      <c r="DK984" s="121" t="n">
        <f aca="false">MIN((DK389+DK390)*$C$5, $F$16)*'⑫ Roll-out Plan'!$O$43</f>
        <v>0</v>
      </c>
      <c r="DL984" s="121" t="n">
        <f aca="false">MIN((DL389+DL390)*$C$5, $F$16)*'⑫ Roll-out Plan'!$O$43</f>
        <v>0</v>
      </c>
      <c r="DM984" s="121" t="n">
        <f aca="false">MIN((DM389+DM390)*$C$5, $F$16)*'⑫ Roll-out Plan'!$O$43</f>
        <v>0</v>
      </c>
      <c r="DN984" s="121" t="n">
        <f aca="false">MIN((DN389+DN390)*$C$5, $F$16)*'⑫ Roll-out Plan'!$O$43</f>
        <v>0</v>
      </c>
      <c r="DO984" s="121" t="n">
        <f aca="false">MIN((DO389+DO390)*$C$5, $F$16)*'⑫ Roll-out Plan'!$O$43</f>
        <v>0</v>
      </c>
      <c r="DP984" s="121" t="n">
        <f aca="false">MIN((DP389+DP390)*$C$5, $F$16)*'⑫ Roll-out Plan'!$O$43</f>
        <v>0</v>
      </c>
      <c r="DQ984" s="121" t="n">
        <f aca="false">MIN((DQ389+DQ390)*$C$5, $F$16)*'⑫ Roll-out Plan'!$O$43</f>
        <v>0</v>
      </c>
      <c r="DR984" s="121" t="n">
        <f aca="false">MIN((DR389+DR390)*$C$5, $F$16)*'⑫ Roll-out Plan'!$O$43</f>
        <v>0</v>
      </c>
      <c r="DS984" s="121" t="n">
        <f aca="false">MIN((DS389+DS390)*$C$5, $F$16)*'⑫ Roll-out Plan'!$O$43</f>
        <v>0</v>
      </c>
      <c r="DT984" s="121" t="n">
        <f aca="false">MIN((DT389+DT390)*$C$5, $F$16)*'⑫ Roll-out Plan'!$O$43</f>
        <v>0</v>
      </c>
      <c r="DU984" s="121" t="n">
        <f aca="false">MIN((DU389+DU390)*$C$5, $F$16)*'⑫ Roll-out Plan'!$O$43</f>
        <v>0</v>
      </c>
      <c r="DV984" s="121" t="n">
        <f aca="false">MIN((DV389+DV390)*$C$5, $F$16)*'⑫ Roll-out Plan'!$O$43</f>
        <v>0</v>
      </c>
      <c r="DW984" s="121" t="n">
        <f aca="false">MIN((DW389+DW390)*$C$5, $F$16)*'⑫ Roll-out Plan'!$O$43</f>
        <v>0</v>
      </c>
      <c r="DX984" s="121" t="n">
        <f aca="false">MIN((DX389+DX390)*$C$5, $F$16)*'⑫ Roll-out Plan'!$O$43</f>
        <v>0</v>
      </c>
      <c r="DY984" s="121" t="n">
        <f aca="false">MIN((DY389+DY390)*$C$5, $F$16)*'⑫ Roll-out Plan'!$O$43</f>
        <v>2651.44</v>
      </c>
      <c r="DZ984" s="121" t="n">
        <f aca="false">MIN((DZ389+DZ390)*$C$5, $F$16)*'⑫ Roll-out Plan'!$O$43</f>
        <v>2875.54432</v>
      </c>
      <c r="EA984" s="121" t="n">
        <f aca="false">MIN((EA389+EA390)*$C$5, $F$16)*'⑫ Roll-out Plan'!$O$43</f>
        <v>3276.349824</v>
      </c>
      <c r="EB984" s="121" t="n">
        <f aca="false">MIN((EB389+EB390)*$C$5, $F$16)*'⑫ Roll-out Plan'!$O$43</f>
        <v>6000.66984</v>
      </c>
      <c r="EC984" s="121" t="n">
        <f aca="false">MIN((EC389+EC390)*$C$5, $F$16)*'⑫ Roll-out Plan'!$O$43</f>
        <v>5362.2630336</v>
      </c>
      <c r="ED984" s="121" t="n">
        <f aca="false">MIN((ED389+ED390)*$C$5, $F$16)*'⑫ Roll-out Plan'!$O$43</f>
        <v>5086.3334368</v>
      </c>
      <c r="EE984" s="121" t="n">
        <f aca="false">MIN((EE389+EE390)*$C$5, $F$16)*'⑫ Roll-out Plan'!$O$43</f>
        <v>4457.6839296</v>
      </c>
      <c r="EF984" s="121" t="n">
        <f aca="false">MIN((EF389+EF390)*$C$5, $F$16)*'⑫ Roll-out Plan'!$O$43</f>
        <v>6526.8815392</v>
      </c>
      <c r="EG984" s="121" t="n">
        <f aca="false">MIN((EG389+EG390)*$C$5, $F$16)*'⑫ Roll-out Plan'!$O$43</f>
        <v>7919.3947712</v>
      </c>
      <c r="EH984" s="121" t="n">
        <f aca="false">MIN((EH389+EH390)*$C$5, $F$16)*'⑫ Roll-out Plan'!$O$43</f>
        <v>6466.700768</v>
      </c>
      <c r="EI984" s="121" t="n">
        <f aca="false">MIN((EI389+EI390)*$C$5, $F$16)*'⑫ Roll-out Plan'!$O$43</f>
        <v>9220.5647424</v>
      </c>
      <c r="EJ984" s="121" t="n">
        <f aca="false">MIN((EJ389+EJ390)*$C$5, $F$16)*'⑫ Roll-out Plan'!$O$43</f>
        <v>9822.9765216</v>
      </c>
      <c r="EK984" s="121" t="n">
        <f aca="false">MIN((EK389+EK390)*$C$5, $F$16)*'⑫ Roll-out Plan'!$O$43</f>
        <v>9171.538464</v>
      </c>
      <c r="EL984" s="121" t="n">
        <f aca="false">MIN((EL389+EL390)*$C$5, $F$16)*'⑫ Roll-out Plan'!$O$43</f>
        <v>8742.5308608</v>
      </c>
      <c r="EM984" s="121" t="n">
        <f aca="false">MIN((EM389+EM390)*$C$5, $F$16)*'⑫ Roll-out Plan'!$O$43</f>
        <v>9094.1809728</v>
      </c>
      <c r="EN984" s="121" t="n">
        <f aca="false">MIN((EN389+EN390)*$C$5, $F$16)*'⑫ Roll-out Plan'!$O$43</f>
        <v>17467.0503744</v>
      </c>
      <c r="EO984" s="121" t="n">
        <f aca="false">MIN((EO389+EO390)*$C$5, $F$16)*'⑫ Roll-out Plan'!$O$43</f>
        <v>16362.3728576</v>
      </c>
      <c r="EP984" s="121" t="n">
        <f aca="false">MIN((EP389+EP390)*$C$5, $F$16)*'⑫ Roll-out Plan'!$O$43</f>
        <v>14582.83976512</v>
      </c>
      <c r="EQ984" s="121" t="n">
        <f aca="false">MIN((EQ389+EQ390)*$C$5, $F$16)*'⑫ Roll-out Plan'!$O$43</f>
        <v>11977.3983296</v>
      </c>
      <c r="ER984" s="121" t="n">
        <f aca="false">MIN((ER389+ER390)*$C$5, $F$16)*'⑫ Roll-out Plan'!$O$43</f>
        <v>15466.65002432</v>
      </c>
      <c r="ES984" s="9" t="n">
        <f aca="false">MIN((ES389+ES390)*$C$5, $F$16)*'⑫ Roll-out Plan'!$O$43</f>
        <v>17297.39083864</v>
      </c>
      <c r="ET984" s="9" t="n">
        <f aca="false">MIN((ET389+ET390)*$C$5, $F$16)*'⑫ Roll-out Plan'!$O$43</f>
        <v>14592.06735272</v>
      </c>
      <c r="EU984" s="9" t="n">
        <f aca="false">MIN((EU389+EU390)*$C$5, $F$16)*'⑫ Roll-out Plan'!$O$43</f>
        <v>19349.6747972</v>
      </c>
      <c r="EV984" s="9" t="n">
        <f aca="false">MIN((EV389+EV390)*$C$5, $F$16)*'⑫ Roll-out Plan'!$O$43</f>
        <v>19750.99168328</v>
      </c>
      <c r="EW984" s="9" t="n">
        <f aca="false">MIN((EW389+EW390)*$C$5, $F$16)*'⑫ Roll-out Plan'!$O$43</f>
        <v>17513.08444512</v>
      </c>
      <c r="EX984" s="9" t="n">
        <f aca="false">MIN((EX389+EX390)*$C$5, $F$16)*'⑫ Roll-out Plan'!$O$43</f>
        <v>16041.09072544</v>
      </c>
      <c r="EY984" s="9" t="n">
        <f aca="false">MIN((EY389+EY390)*$C$5, $F$16)*'⑫ Roll-out Plan'!$O$43</f>
        <v>16854.82780608</v>
      </c>
      <c r="EZ984" s="9" t="n">
        <f aca="false">MIN((EZ389+EZ390)*$C$5, $F$16)*'⑫ Roll-out Plan'!$O$43</f>
        <v>23000</v>
      </c>
      <c r="FA984" s="9" t="n">
        <f aca="false">MIN((FA389+FA390)*$C$5, $F$16)*'⑫ Roll-out Plan'!$O$43</f>
        <v>23000</v>
      </c>
      <c r="FB984" s="9" t="n">
        <f aca="false">MIN((FB389+FB390)*$C$5, $F$16)*'⑫ Roll-out Plan'!$O$43</f>
        <v>21007.2138672</v>
      </c>
      <c r="FC984" s="9" t="n">
        <f aca="false">MIN((FC389+FC390)*$C$5, $F$16)*'⑫ Roll-out Plan'!$O$43</f>
        <v>17502.8033136</v>
      </c>
      <c r="FD984" s="9" t="n">
        <f aca="false">MIN((FD389+FD390)*$C$5, $F$16)*'⑫ Roll-out Plan'!$O$43</f>
        <v>22059.8816592</v>
      </c>
      <c r="FE984" s="9" t="n">
        <f aca="false">MIN((FE389+FE390)*$C$5, $F$16)*'⑫ Roll-out Plan'!$O$43</f>
        <v>23000</v>
      </c>
      <c r="FF984" s="9" t="n">
        <f aca="false">MIN((FF389+FF390)*$C$5, $F$16)*'⑫ Roll-out Plan'!$O$43</f>
        <v>20869.54948848</v>
      </c>
      <c r="FG984" s="9" t="n">
        <f aca="false">MIN((FG389+FG390)*$C$5, $F$16)*'⑫ Roll-out Plan'!$O$43</f>
        <v>23000</v>
      </c>
      <c r="FH984" s="9" t="n">
        <f aca="false">MIN((FH389+FH390)*$C$5, $F$16)*'⑫ Roll-out Plan'!$O$43</f>
        <v>23000</v>
      </c>
      <c r="FI984" s="9" t="n">
        <f aca="false">MIN((FI389+FI390)*$C$5, $F$16)*'⑫ Roll-out Plan'!$O$43</f>
        <v>23000</v>
      </c>
      <c r="FJ984" s="9" t="n">
        <f aca="false">MIN((FJ389+FJ390)*$C$5, $F$16)*'⑫ Roll-out Plan'!$O$43</f>
        <v>22592.3507568</v>
      </c>
      <c r="FK984" s="9" t="n">
        <f aca="false">MIN((FK389+FK390)*$C$5, $F$16)*'⑫ Roll-out Plan'!$O$43</f>
        <v>23000</v>
      </c>
      <c r="FL984" s="9" t="n">
        <f aca="false">MIN((FL389+FL390)*$C$5, $F$16)*'⑫ Roll-out Plan'!$O$43</f>
        <v>23000</v>
      </c>
      <c r="FM984" s="9" t="n">
        <f aca="false">MIN((FM389+FM390)*$C$5, $F$16)*'⑫ Roll-out Plan'!$O$43</f>
        <v>23000</v>
      </c>
      <c r="FN984" s="9" t="n">
        <f aca="false">MIN((FN389+FN390)*$C$5, $F$16)*'⑫ Roll-out Plan'!$O$43</f>
        <v>23000</v>
      </c>
      <c r="FO984" s="9" t="n">
        <f aca="false">MIN((FO389+FO390)*$C$5, $F$16)*'⑫ Roll-out Plan'!$O$43</f>
        <v>23000</v>
      </c>
      <c r="FP984" s="9" t="n">
        <f aca="false">MIN((FP389+FP390)*$C$5, $F$16)*'⑫ Roll-out Plan'!$O$43</f>
        <v>23000</v>
      </c>
    </row>
    <row r="985" customFormat="false" ht="15" hidden="false" customHeight="false" outlineLevel="0" collapsed="false">
      <c r="B985" s="254" t="s">
        <v>1010</v>
      </c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121" t="n">
        <f aca="false">MIN((AC399+AC400)*$C$5,$F$15)*'⑫ Roll-out Plan'!$O$44</f>
        <v>0</v>
      </c>
      <c r="AD985" s="121" t="n">
        <f aca="false">MIN((AD399+AD400)*$C$5,$F$15)*'⑫ Roll-out Plan'!$O$44</f>
        <v>0</v>
      </c>
      <c r="AE985" s="121" t="n">
        <f aca="false">MIN((AE399+AE400)*$C$5,$F$15)*'⑫ Roll-out Plan'!$O$44</f>
        <v>0</v>
      </c>
      <c r="AF985" s="121" t="n">
        <f aca="false">MIN((AF399+AF400)*$C$5,$F$15)*'⑫ Roll-out Plan'!$O$44</f>
        <v>0</v>
      </c>
      <c r="AG985" s="121" t="n">
        <f aca="false">MIN((AG399+AG400)*$C$5,$F$15)*'⑫ Roll-out Plan'!$O$44</f>
        <v>0</v>
      </c>
      <c r="AH985" s="121" t="n">
        <f aca="false">MIN((AH399+AH400)*$C$5,$F$15)*'⑫ Roll-out Plan'!$O$44</f>
        <v>0</v>
      </c>
      <c r="AI985" s="121" t="n">
        <f aca="false">MIN((AI399+AI400)*$C$5,$F$15)*'⑫ Roll-out Plan'!$O$44</f>
        <v>0</v>
      </c>
      <c r="AJ985" s="121" t="n">
        <f aca="false">MIN((AJ399+AJ400)*$C$5,$F$15)*'⑫ Roll-out Plan'!$O$44</f>
        <v>0</v>
      </c>
      <c r="AK985" s="121" t="n">
        <f aca="false">MIN((AK399+AK400)*$C$5,$F$15)*'⑫ Roll-out Plan'!$O$44</f>
        <v>0</v>
      </c>
      <c r="AL985" s="121" t="n">
        <f aca="false">MIN((AL399+AL400)*$C$5,$F$15)*'⑫ Roll-out Plan'!$O$44</f>
        <v>0</v>
      </c>
      <c r="AM985" s="121" t="n">
        <f aca="false">MIN((AM399+AM400)*$C$5,$F$15)*'⑫ Roll-out Plan'!$O$44</f>
        <v>0</v>
      </c>
      <c r="AN985" s="121" t="n">
        <f aca="false">MIN((AN399+AN400)*$C$5,$F$15)*'⑫ Roll-out Plan'!$O$44</f>
        <v>0</v>
      </c>
      <c r="AO985" s="121" t="n">
        <f aca="false">MIN((AO399+AO400)*$C$5,$F$15)*'⑫ Roll-out Plan'!$O$44</f>
        <v>0</v>
      </c>
      <c r="AP985" s="121" t="n">
        <f aca="false">MIN((AP399+AP400)*$C$5,$F$15)*'⑫ Roll-out Plan'!$O$44</f>
        <v>0</v>
      </c>
      <c r="AQ985" s="121" t="n">
        <f aca="false">MIN((AQ399+AQ400)*$C$5,$F$15)*'⑫ Roll-out Plan'!$O$44</f>
        <v>0</v>
      </c>
      <c r="AR985" s="121" t="n">
        <f aca="false">MIN((AR399+AR400)*$C$5,$F$15)*'⑫ Roll-out Plan'!$O$44</f>
        <v>0</v>
      </c>
      <c r="AS985" s="121" t="n">
        <f aca="false">MIN((AS399+AS400)*$C$5,$F$15)*'⑫ Roll-out Plan'!$O$44</f>
        <v>0</v>
      </c>
      <c r="AT985" s="121" t="n">
        <f aca="false">MIN((AT399+AT400)*$C$5,$F$15)*'⑫ Roll-out Plan'!$O$44</f>
        <v>0</v>
      </c>
      <c r="AU985" s="121" t="n">
        <f aca="false">MIN((AU399+AU400)*$C$5,$F$15)*'⑫ Roll-out Plan'!$O$44</f>
        <v>0</v>
      </c>
      <c r="AV985" s="121" t="n">
        <f aca="false">MIN((AV399+AV400)*$C$5,$F$15)*'⑫ Roll-out Plan'!$O$44</f>
        <v>0</v>
      </c>
      <c r="AW985" s="121" t="n">
        <f aca="false">MIN((AW399+AW400)*$C$5,$F$15)*'⑫ Roll-out Plan'!$O$44</f>
        <v>0</v>
      </c>
      <c r="AX985" s="121" t="n">
        <f aca="false">MIN((AX399+AX400)*$C$5,$F$15)*'⑫ Roll-out Plan'!$O$44</f>
        <v>0</v>
      </c>
      <c r="AY985" s="121" t="n">
        <f aca="false">MIN((AY399+AY400)*$C$5,$F$15)*'⑫ Roll-out Plan'!$O$44</f>
        <v>0</v>
      </c>
      <c r="AZ985" s="121" t="n">
        <f aca="false">MIN((AZ399+AZ400)*$C$5,$F$15)*'⑫ Roll-out Plan'!$O$44</f>
        <v>0</v>
      </c>
      <c r="BA985" s="121" t="n">
        <f aca="false">MIN((BA399+BA400)*$C$5,$F$15)*'⑫ Roll-out Plan'!$O$44</f>
        <v>0</v>
      </c>
      <c r="BB985" s="121" t="n">
        <f aca="false">MIN((BB399+BB400)*$C$5,$F$15)*'⑫ Roll-out Plan'!$O$44</f>
        <v>0</v>
      </c>
      <c r="BC985" s="121" t="n">
        <f aca="false">MIN((BC399+BC400)*$C$5,$F$15)*'⑫ Roll-out Plan'!$O$44</f>
        <v>0</v>
      </c>
      <c r="BD985" s="121" t="n">
        <f aca="false">MIN((BD399+BD400)*$C$5,$F$15)*'⑫ Roll-out Plan'!$O$44</f>
        <v>0</v>
      </c>
      <c r="BE985" s="121" t="n">
        <f aca="false">MIN((BE399+BE400)*$C$5,$F$15)*'⑫ Roll-out Plan'!$O$44</f>
        <v>0</v>
      </c>
      <c r="BF985" s="121" t="n">
        <f aca="false">MIN((BF399+BF400)*$C$5,$F$15)*'⑫ Roll-out Plan'!$O$44</f>
        <v>0</v>
      </c>
      <c r="BG985" s="121" t="n">
        <f aca="false">MIN((BG399+BG400)*$C$5,$F$15)*'⑫ Roll-out Plan'!$O$44</f>
        <v>0</v>
      </c>
      <c r="BH985" s="121" t="n">
        <f aca="false">MIN((BH399+BH400)*$C$5,$F$15)*'⑫ Roll-out Plan'!$O$44</f>
        <v>0</v>
      </c>
      <c r="BI985" s="121" t="n">
        <f aca="false">MIN((BI399+BI400)*$C$5,$F$15)*'⑫ Roll-out Plan'!$O$44</f>
        <v>0</v>
      </c>
      <c r="BJ985" s="121" t="n">
        <f aca="false">MIN((BJ399+BJ400)*$C$5,$F$15)*'⑫ Roll-out Plan'!$O$44</f>
        <v>0</v>
      </c>
      <c r="BK985" s="121" t="n">
        <f aca="false">MIN((BK399+BK400)*$C$5,$F$15)*'⑫ Roll-out Plan'!$O$44</f>
        <v>0</v>
      </c>
      <c r="BL985" s="121" t="n">
        <f aca="false">MIN((BL399+BL400)*$C$5,$F$15)*'⑫ Roll-out Plan'!$O$44</f>
        <v>0</v>
      </c>
      <c r="BM985" s="121" t="n">
        <f aca="false">MIN((BM399+BM400)*$C$5,$F$15)*'⑫ Roll-out Plan'!$O$44</f>
        <v>0</v>
      </c>
      <c r="BN985" s="121" t="n">
        <f aca="false">MIN((BN399+BN400)*$C$5,$F$15)*'⑫ Roll-out Plan'!$O$44</f>
        <v>0</v>
      </c>
      <c r="BO985" s="121" t="n">
        <f aca="false">MIN((BO399+BO400)*$C$5,$F$15)*'⑫ Roll-out Plan'!$O$44</f>
        <v>0</v>
      </c>
      <c r="BP985" s="121" t="n">
        <f aca="false">MIN((BP399+BP400)*$C$5,$F$15)*'⑫ Roll-out Plan'!$O$44</f>
        <v>0</v>
      </c>
      <c r="BQ985" s="121" t="n">
        <f aca="false">MIN((BQ399+BQ400)*$C$5,$F$15)*'⑫ Roll-out Plan'!$O$44</f>
        <v>0</v>
      </c>
      <c r="BR985" s="121" t="n">
        <f aca="false">MIN((BR399+BR400)*$C$5,$F$15)*'⑫ Roll-out Plan'!$O$44</f>
        <v>0</v>
      </c>
      <c r="BS985" s="121" t="n">
        <f aca="false">MIN((BS399+BS400)*$C$5,$F$15)*'⑫ Roll-out Plan'!$O$44</f>
        <v>0</v>
      </c>
      <c r="BT985" s="121" t="n">
        <f aca="false">MIN((BT399+BT400)*$C$5,$F$15)*'⑫ Roll-out Plan'!$O$44</f>
        <v>0</v>
      </c>
      <c r="BU985" s="121" t="n">
        <f aca="false">MIN((BU399+BU400)*$C$5,$F$15)*'⑫ Roll-out Plan'!$O$44</f>
        <v>0</v>
      </c>
      <c r="BV985" s="121" t="n">
        <f aca="false">MIN((BV399+BV400)*$C$5,$F$15)*'⑫ Roll-out Plan'!$O$44</f>
        <v>0</v>
      </c>
      <c r="BW985" s="121" t="n">
        <f aca="false">MIN((BW399+BW400)*$C$5,$F$15)*'⑫ Roll-out Plan'!$O$44</f>
        <v>0</v>
      </c>
      <c r="BX985" s="121" t="n">
        <f aca="false">MIN((BX399+BX400)*$C$5,$F$15)*'⑫ Roll-out Plan'!$O$44</f>
        <v>0</v>
      </c>
      <c r="BY985" s="121" t="n">
        <f aca="false">MIN((BY399+BY400)*$C$5,$F$15)*'⑫ Roll-out Plan'!$O$44</f>
        <v>0</v>
      </c>
      <c r="BZ985" s="121" t="n">
        <f aca="false">MIN((BZ399+BZ400)*$C$5,$F$15)*'⑫ Roll-out Plan'!$O$44</f>
        <v>0</v>
      </c>
      <c r="CA985" s="121" t="n">
        <f aca="false">MIN((CA399+CA400)*$C$5,$F$15)*'⑫ Roll-out Plan'!$O$44</f>
        <v>0</v>
      </c>
      <c r="CB985" s="121" t="n">
        <f aca="false">MIN((CB399+CB400)*$C$5,$F$15)*'⑫ Roll-out Plan'!$O$44</f>
        <v>0</v>
      </c>
      <c r="CC985" s="121" t="n">
        <f aca="false">MIN((CC399+CC400)*$C$5,$F$15)*'⑫ Roll-out Plan'!$O$44</f>
        <v>0</v>
      </c>
      <c r="CD985" s="121" t="n">
        <f aca="false">MIN((CD399+CD400)*$C$5,$F$15)*'⑫ Roll-out Plan'!$O$44</f>
        <v>0</v>
      </c>
      <c r="CE985" s="121" t="n">
        <f aca="false">MIN((CE399+CE400)*$C$5,$F$15)*'⑫ Roll-out Plan'!$O$44</f>
        <v>0</v>
      </c>
      <c r="CF985" s="121" t="n">
        <f aca="false">MIN((CF399+CF400)*$C$5,$F$15)*'⑫ Roll-out Plan'!$O$44</f>
        <v>0</v>
      </c>
      <c r="CG985" s="121" t="n">
        <f aca="false">MIN((CG399+CG400)*$C$5,$F$15)*'⑫ Roll-out Plan'!$O$44</f>
        <v>0</v>
      </c>
      <c r="CH985" s="121" t="n">
        <f aca="false">MIN((CH399+CH400)*$C$5,$F$15)*'⑫ Roll-out Plan'!$O$44</f>
        <v>0</v>
      </c>
      <c r="CI985" s="121" t="n">
        <f aca="false">MIN((CI399+CI400)*$C$5,$F$15)*'⑫ Roll-out Plan'!$O$44</f>
        <v>0</v>
      </c>
      <c r="CJ985" s="121" t="n">
        <f aca="false">MIN((CJ399+CJ400)*$C$5,$F$15)*'⑫ Roll-out Plan'!$O$44</f>
        <v>0</v>
      </c>
      <c r="CK985" s="121" t="n">
        <f aca="false">MIN((CK399+CK400)*$C$5,$F$15)*'⑫ Roll-out Plan'!$O$44</f>
        <v>0</v>
      </c>
      <c r="CL985" s="121" t="n">
        <f aca="false">MIN((CL399+CL400)*$C$5,$F$15)*'⑫ Roll-out Plan'!$O$44</f>
        <v>0</v>
      </c>
      <c r="CM985" s="121" t="n">
        <f aca="false">MIN((CM399+CM400)*$C$5,$F$15)*'⑫ Roll-out Plan'!$O$44</f>
        <v>0</v>
      </c>
      <c r="CN985" s="121" t="n">
        <f aca="false">MIN((CN399+CN400)*$C$5,$F$15)*'⑫ Roll-out Plan'!$O$44</f>
        <v>0</v>
      </c>
      <c r="CO985" s="121" t="n">
        <f aca="false">MIN((CO399+CO400)*$C$5,$F$15)*'⑫ Roll-out Plan'!$O$44</f>
        <v>0</v>
      </c>
      <c r="CP985" s="121" t="n">
        <f aca="false">MIN((CP399+CP400)*$C$5,$F$15)*'⑫ Roll-out Plan'!$O$44</f>
        <v>0</v>
      </c>
      <c r="CQ985" s="121" t="n">
        <f aca="false">MIN((CQ399+CQ400)*$C$5,$F$15)*'⑫ Roll-out Plan'!$O$44</f>
        <v>0</v>
      </c>
      <c r="CR985" s="121" t="n">
        <f aca="false">MIN((CR399+CR400)*$C$5,$F$15)*'⑫ Roll-out Plan'!$O$44</f>
        <v>0</v>
      </c>
      <c r="CS985" s="121" t="n">
        <f aca="false">MIN((CS399+CS400)*$C$5,$F$15)*'⑫ Roll-out Plan'!$O$44</f>
        <v>0</v>
      </c>
      <c r="CT985" s="121" t="n">
        <f aca="false">MIN((CT399+CT400)*$C$5,$F$15)*'⑫ Roll-out Plan'!$O$44</f>
        <v>0</v>
      </c>
      <c r="CU985" s="121" t="n">
        <f aca="false">MIN((CU399+CU400)*$C$5,$F$15)*'⑫ Roll-out Plan'!$O$44</f>
        <v>0</v>
      </c>
      <c r="CV985" s="121" t="n">
        <f aca="false">MIN((CV399+CV400)*$C$5,$F$15)*'⑫ Roll-out Plan'!$O$44</f>
        <v>0</v>
      </c>
      <c r="CW985" s="121" t="n">
        <f aca="false">MIN((CW399+CW400)*$C$5,$F$15)*'⑫ Roll-out Plan'!$O$44</f>
        <v>0</v>
      </c>
      <c r="CX985" s="121" t="n">
        <f aca="false">MIN((CX399+CX400)*$C$5,$F$15)*'⑫ Roll-out Plan'!$O$44</f>
        <v>0</v>
      </c>
      <c r="CY985" s="121" t="n">
        <f aca="false">MIN((CY399+CY400)*$C$5,$F$15)*'⑫ Roll-out Plan'!$O$44</f>
        <v>0</v>
      </c>
      <c r="CZ985" s="121" t="n">
        <f aca="false">MIN((CZ399+CZ400)*$C$5,$F$15)*'⑫ Roll-out Plan'!$O$44</f>
        <v>0</v>
      </c>
      <c r="DA985" s="121" t="n">
        <f aca="false">MIN((DA399+DA400)*$C$5,$F$15)*'⑫ Roll-out Plan'!$O$44</f>
        <v>0</v>
      </c>
      <c r="DB985" s="121" t="n">
        <f aca="false">MIN((DB399+DB400)*$C$5,$F$15)*'⑫ Roll-out Plan'!$O$44</f>
        <v>0</v>
      </c>
      <c r="DC985" s="121" t="n">
        <f aca="false">MIN((DC399+DC400)*$C$5,$F$15)*'⑫ Roll-out Plan'!$O$44</f>
        <v>0</v>
      </c>
      <c r="DD985" s="121" t="n">
        <f aca="false">MIN((DD399+DD400)*$C$5,$F$15)*'⑫ Roll-out Plan'!$O$44</f>
        <v>0</v>
      </c>
      <c r="DE985" s="121" t="n">
        <f aca="false">MIN((DE399+DE400)*$C$5,$F$15)*'⑫ Roll-out Plan'!$O$44</f>
        <v>0</v>
      </c>
      <c r="DF985" s="121" t="n">
        <f aca="false">MIN((DF399+DF400)*$C$5,$F$15)*'⑫ Roll-out Plan'!$O$44</f>
        <v>0</v>
      </c>
      <c r="DG985" s="121" t="n">
        <f aca="false">MIN((DG399+DG400)*$C$5,$F$15)*'⑫ Roll-out Plan'!$O$44</f>
        <v>0</v>
      </c>
      <c r="DH985" s="121" t="n">
        <f aca="false">MIN((DH399+DH400)*$C$5,$F$15)*'⑫ Roll-out Plan'!$O$44</f>
        <v>0</v>
      </c>
      <c r="DI985" s="121" t="n">
        <f aca="false">MIN((DI399+DI400)*$C$5,$F$15)*'⑫ Roll-out Plan'!$O$44</f>
        <v>0</v>
      </c>
      <c r="DJ985" s="121" t="n">
        <f aca="false">MIN((DJ399+DJ400)*$C$5,$F$15)*'⑫ Roll-out Plan'!$O$44</f>
        <v>0</v>
      </c>
      <c r="DK985" s="121" t="n">
        <f aca="false">MIN((DK399+DK400)*$C$5,$F$15)*'⑫ Roll-out Plan'!$O$44</f>
        <v>0</v>
      </c>
      <c r="DL985" s="121" t="n">
        <f aca="false">MIN((DL399+DL400)*$C$5,$F$15)*'⑫ Roll-out Plan'!$O$44</f>
        <v>0</v>
      </c>
      <c r="DM985" s="121" t="n">
        <f aca="false">MIN((DM399+DM400)*$C$5,$F$15)*'⑫ Roll-out Plan'!$O$44</f>
        <v>0</v>
      </c>
      <c r="DN985" s="121" t="n">
        <f aca="false">MIN((DN399+DN400)*$C$5,$F$15)*'⑫ Roll-out Plan'!$O$44</f>
        <v>0</v>
      </c>
      <c r="DO985" s="121" t="n">
        <f aca="false">MIN((DO399+DO400)*$C$5,$F$15)*'⑫ Roll-out Plan'!$O$44</f>
        <v>0</v>
      </c>
      <c r="DP985" s="121" t="n">
        <f aca="false">MIN((DP399+DP400)*$C$5,$F$15)*'⑫ Roll-out Plan'!$O$44</f>
        <v>0</v>
      </c>
      <c r="DQ985" s="121" t="n">
        <f aca="false">MIN((DQ399+DQ400)*$C$5,$F$15)*'⑫ Roll-out Plan'!$O$44</f>
        <v>0</v>
      </c>
      <c r="DR985" s="121" t="n">
        <f aca="false">MIN((DR399+DR400)*$C$5,$F$15)*'⑫ Roll-out Plan'!$O$44</f>
        <v>0</v>
      </c>
      <c r="DS985" s="121" t="n">
        <f aca="false">MIN((DS399+DS400)*$C$5,$F$15)*'⑫ Roll-out Plan'!$O$44</f>
        <v>0</v>
      </c>
      <c r="DT985" s="121" t="n">
        <f aca="false">MIN((DT399+DT400)*$C$5,$F$15)*'⑫ Roll-out Plan'!$O$44</f>
        <v>0</v>
      </c>
      <c r="DU985" s="121" t="n">
        <f aca="false">MIN((DU399+DU400)*$C$5,$F$15)*'⑫ Roll-out Plan'!$O$44</f>
        <v>0</v>
      </c>
      <c r="DV985" s="121" t="n">
        <f aca="false">MIN((DV399+DV400)*$C$5,$F$15)*'⑫ Roll-out Plan'!$O$44</f>
        <v>0</v>
      </c>
      <c r="DW985" s="121" t="n">
        <f aca="false">MIN((DW399+DW400)*$C$5,$F$15)*'⑫ Roll-out Plan'!$O$44</f>
        <v>0</v>
      </c>
      <c r="DX985" s="121" t="n">
        <f aca="false">MIN((DX399+DX400)*$C$5,$F$15)*'⑫ Roll-out Plan'!$O$44</f>
        <v>5331.7</v>
      </c>
      <c r="DY985" s="121" t="n">
        <f aca="false">MIN((DY399+DY400)*$C$5,$F$15)*'⑫ Roll-out Plan'!$O$44</f>
        <v>5587.6216</v>
      </c>
      <c r="DZ985" s="121" t="n">
        <f aca="false">MIN((DZ399+DZ400)*$C$5,$F$15)*'⑫ Roll-out Plan'!$O$44</f>
        <v>5374.818912</v>
      </c>
      <c r="EA985" s="121" t="n">
        <f aca="false">MIN((EA399+EA400)*$C$5,$F$15)*'⑫ Roll-out Plan'!$O$44</f>
        <v>6297.8583264</v>
      </c>
      <c r="EB985" s="121" t="n">
        <f aca="false">MIN((EB399+EB400)*$C$5,$F$15)*'⑫ Roll-out Plan'!$O$44</f>
        <v>10255.2670896</v>
      </c>
      <c r="EC985" s="121" t="n">
        <f aca="false">MIN((EC399+EC400)*$C$5,$F$15)*'⑫ Roll-out Plan'!$O$44</f>
        <v>10219.182144</v>
      </c>
      <c r="ED985" s="121" t="n">
        <f aca="false">MIN((ED399+ED400)*$C$5,$F$15)*'⑫ Roll-out Plan'!$O$44</f>
        <v>9677.365096</v>
      </c>
      <c r="EE985" s="121" t="n">
        <f aca="false">MIN((EE399+EE400)*$C$5,$F$15)*'⑫ Roll-out Plan'!$O$44</f>
        <v>8432.8803968</v>
      </c>
      <c r="EF985" s="121" t="n">
        <f aca="false">MIN((EF399+EF400)*$C$5,$F$15)*'⑫ Roll-out Plan'!$O$44</f>
        <v>12384.3719424</v>
      </c>
      <c r="EG985" s="121" t="n">
        <f aca="false">MIN((EG399+EG400)*$C$5,$F$15)*'⑫ Roll-out Plan'!$O$44</f>
        <v>13587.1724416</v>
      </c>
      <c r="EH985" s="121" t="n">
        <f aca="false">MIN((EH399+EH400)*$C$5,$F$15)*'⑫ Roll-out Plan'!$O$44</f>
        <v>11840.5695632</v>
      </c>
      <c r="EI985" s="121" t="n">
        <f aca="false">MIN((EI399+EI400)*$C$5,$F$15)*'⑫ Roll-out Plan'!$O$44</f>
        <v>16816.0809824</v>
      </c>
      <c r="EJ985" s="121" t="n">
        <f aca="false">MIN((EJ399+EJ400)*$C$5,$F$15)*'⑫ Roll-out Plan'!$O$44</f>
        <v>17948.8442704</v>
      </c>
      <c r="EK985" s="121" t="n">
        <f aca="false">MIN((EK399+EK400)*$C$5,$F$15)*'⑫ Roll-out Plan'!$O$44</f>
        <v>16738.0946912</v>
      </c>
      <c r="EL985" s="121" t="n">
        <f aca="false">MIN((EL399+EL400)*$C$5,$F$15)*'⑫ Roll-out Plan'!$O$44</f>
        <v>14991.9105936</v>
      </c>
      <c r="EM985" s="121" t="n">
        <f aca="false">MIN((EM399+EM400)*$C$5,$F$15)*'⑫ Roll-out Plan'!$O$44</f>
        <v>18678.942064</v>
      </c>
      <c r="EN985" s="121" t="n">
        <f aca="false">MIN((EN399+EN400)*$C$5,$F$15)*'⑫ Roll-out Plan'!$O$44</f>
        <v>27000</v>
      </c>
      <c r="EO985" s="121" t="n">
        <f aca="false">MIN((EO399+EO400)*$C$5,$F$15)*'⑫ Roll-out Plan'!$O$44</f>
        <v>27000</v>
      </c>
      <c r="EP985" s="121" t="n">
        <f aca="false">MIN((EP399+EP400)*$C$5,$F$15)*'⑫ Roll-out Plan'!$O$44</f>
        <v>25610.7181936</v>
      </c>
      <c r="EQ985" s="121" t="n">
        <f aca="false">MIN((EQ399+EQ400)*$C$5,$F$15)*'⑫ Roll-out Plan'!$O$44</f>
        <v>20590.30261536</v>
      </c>
      <c r="ER985" s="121" t="n">
        <f aca="false">MIN((ER399+ER400)*$C$5,$F$15)*'⑫ Roll-out Plan'!$O$44</f>
        <v>27000</v>
      </c>
      <c r="ES985" s="9" t="n">
        <f aca="false">MIN((ES399+ES400)*$C$5,$F$15)*'⑫ Roll-out Plan'!$O$44</f>
        <v>27000</v>
      </c>
      <c r="ET985" s="9" t="n">
        <f aca="false">MIN((ET399+ET400)*$C$5,$F$15)*'⑫ Roll-out Plan'!$O$44</f>
        <v>25496.55059844</v>
      </c>
      <c r="EU985" s="9" t="n">
        <f aca="false">MIN((EU399+EU400)*$C$5,$F$15)*'⑫ Roll-out Plan'!$O$44</f>
        <v>27000</v>
      </c>
      <c r="EV985" s="9" t="n">
        <f aca="false">MIN((EV399+EV400)*$C$5,$F$15)*'⑫ Roll-out Plan'!$O$44</f>
        <v>27000</v>
      </c>
      <c r="EW985" s="9" t="n">
        <f aca="false">MIN((EW399+EW400)*$C$5,$F$15)*'⑫ Roll-out Plan'!$O$44</f>
        <v>27000</v>
      </c>
      <c r="EX985" s="9" t="n">
        <f aca="false">MIN((EX399+EX400)*$C$5,$F$15)*'⑫ Roll-out Plan'!$O$44</f>
        <v>27000</v>
      </c>
      <c r="EY985" s="9" t="n">
        <f aca="false">MIN((EY399+EY400)*$C$5,$F$15)*'⑫ Roll-out Plan'!$O$44</f>
        <v>27000</v>
      </c>
      <c r="EZ985" s="9" t="n">
        <f aca="false">MIN((EZ399+EZ400)*$C$5,$F$15)*'⑫ Roll-out Plan'!$O$44</f>
        <v>27000</v>
      </c>
      <c r="FA985" s="9" t="n">
        <f aca="false">MIN((FA399+FA400)*$C$5,$F$15)*'⑫ Roll-out Plan'!$O$44</f>
        <v>27000</v>
      </c>
      <c r="FB985" s="9" t="n">
        <f aca="false">MIN((FB399+FB400)*$C$5,$F$15)*'⑫ Roll-out Plan'!$O$44</f>
        <v>27000</v>
      </c>
      <c r="FC985" s="9" t="n">
        <f aca="false">MIN((FC399+FC400)*$C$5,$F$15)*'⑫ Roll-out Plan'!$O$44</f>
        <v>27000</v>
      </c>
      <c r="FD985" s="9" t="n">
        <f aca="false">MIN((FD399+FD400)*$C$5,$F$15)*'⑫ Roll-out Plan'!$O$44</f>
        <v>27000</v>
      </c>
      <c r="FE985" s="9" t="n">
        <f aca="false">MIN((FE399+FE400)*$C$5,$F$15)*'⑫ Roll-out Plan'!$O$44</f>
        <v>27000</v>
      </c>
      <c r="FF985" s="9" t="n">
        <f aca="false">MIN((FF399+FF400)*$C$5,$F$15)*'⑫ Roll-out Plan'!$O$44</f>
        <v>27000</v>
      </c>
      <c r="FG985" s="9" t="n">
        <f aca="false">MIN((FG399+FG400)*$C$5,$F$15)*'⑫ Roll-out Plan'!$O$44</f>
        <v>27000</v>
      </c>
      <c r="FH985" s="9" t="n">
        <f aca="false">MIN((FH399+FH400)*$C$5,$F$15)*'⑫ Roll-out Plan'!$O$44</f>
        <v>27000</v>
      </c>
      <c r="FI985" s="9" t="n">
        <f aca="false">MIN((FI399+FI400)*$C$5,$F$15)*'⑫ Roll-out Plan'!$O$44</f>
        <v>27000</v>
      </c>
      <c r="FJ985" s="9" t="n">
        <f aca="false">MIN((FJ399+FJ400)*$C$5,$F$15)*'⑫ Roll-out Plan'!$O$44</f>
        <v>27000</v>
      </c>
      <c r="FK985" s="9" t="n">
        <f aca="false">MIN((FK399+FK400)*$C$5,$F$15)*'⑫ Roll-out Plan'!$O$44</f>
        <v>27000</v>
      </c>
      <c r="FL985" s="9" t="n">
        <f aca="false">MIN((FL399+FL400)*$C$5,$F$15)*'⑫ Roll-out Plan'!$O$44</f>
        <v>27000</v>
      </c>
      <c r="FM985" s="9" t="n">
        <f aca="false">MIN((FM399+FM400)*$C$5,$F$15)*'⑫ Roll-out Plan'!$O$44</f>
        <v>27000</v>
      </c>
      <c r="FN985" s="9" t="n">
        <f aca="false">MIN((FN399+FN400)*$C$5,$F$15)*'⑫ Roll-out Plan'!$O$44</f>
        <v>27000</v>
      </c>
      <c r="FO985" s="9" t="n">
        <f aca="false">MIN((FO399+FO400)*$C$5,$F$15)*'⑫ Roll-out Plan'!$O$44</f>
        <v>27000</v>
      </c>
      <c r="FP985" s="9" t="n">
        <f aca="false">MIN((FP399+FP400)*$C$5,$F$15)*'⑫ Roll-out Plan'!$O$44</f>
        <v>27000</v>
      </c>
    </row>
    <row r="986" customFormat="false" ht="15" hidden="false" customHeight="false" outlineLevel="0" collapsed="false">
      <c r="B986" s="254" t="s">
        <v>1011</v>
      </c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121" t="n">
        <f aca="false">MIN((AC409+AC410)*$C$5,$F$15)*'⑫ Roll-out Plan'!$O$45</f>
        <v>0</v>
      </c>
      <c r="AD986" s="121" t="n">
        <f aca="false">MIN((AD409+AD410)*$C$5,$F$15)*'⑫ Roll-out Plan'!$O$45</f>
        <v>0</v>
      </c>
      <c r="AE986" s="121" t="n">
        <f aca="false">MIN((AE409+AE410)*$C$5,$F$15)*'⑫ Roll-out Plan'!$O$45</f>
        <v>0</v>
      </c>
      <c r="AF986" s="121" t="n">
        <f aca="false">MIN((AF409+AF410)*$C$5,$F$15)*'⑫ Roll-out Plan'!$O$45</f>
        <v>0</v>
      </c>
      <c r="AG986" s="121" t="n">
        <f aca="false">MIN((AG409+AG410)*$C$5,$F$15)*'⑫ Roll-out Plan'!$O$45</f>
        <v>0</v>
      </c>
      <c r="AH986" s="121" t="n">
        <f aca="false">MIN((AH409+AH410)*$C$5,$F$15)*'⑫ Roll-out Plan'!$O$45</f>
        <v>0</v>
      </c>
      <c r="AI986" s="121" t="n">
        <f aca="false">MIN((AI409+AI410)*$C$5,$F$15)*'⑫ Roll-out Plan'!$O$45</f>
        <v>0</v>
      </c>
      <c r="AJ986" s="121" t="n">
        <f aca="false">MIN((AJ409+AJ410)*$C$5,$F$15)*'⑫ Roll-out Plan'!$O$45</f>
        <v>0</v>
      </c>
      <c r="AK986" s="121" t="n">
        <f aca="false">MIN((AK409+AK410)*$C$5,$F$15)*'⑫ Roll-out Plan'!$O$45</f>
        <v>0</v>
      </c>
      <c r="AL986" s="121" t="n">
        <f aca="false">MIN((AL409+AL410)*$C$5,$F$15)*'⑫ Roll-out Plan'!$O$45</f>
        <v>0</v>
      </c>
      <c r="AM986" s="121" t="n">
        <f aca="false">MIN((AM409+AM410)*$C$5,$F$15)*'⑫ Roll-out Plan'!$O$45</f>
        <v>0</v>
      </c>
      <c r="AN986" s="121" t="n">
        <f aca="false">MIN((AN409+AN410)*$C$5,$F$15)*'⑫ Roll-out Plan'!$O$45</f>
        <v>0</v>
      </c>
      <c r="AO986" s="121" t="n">
        <f aca="false">MIN((AO409+AO410)*$C$5,$F$15)*'⑫ Roll-out Plan'!$O$45</f>
        <v>0</v>
      </c>
      <c r="AP986" s="121" t="n">
        <f aca="false">MIN((AP409+AP410)*$C$5,$F$15)*'⑫ Roll-out Plan'!$O$45</f>
        <v>0</v>
      </c>
      <c r="AQ986" s="121" t="n">
        <f aca="false">MIN((AQ409+AQ410)*$C$5,$F$15)*'⑫ Roll-out Plan'!$O$45</f>
        <v>0</v>
      </c>
      <c r="AR986" s="121" t="n">
        <f aca="false">MIN((AR409+AR410)*$C$5,$F$15)*'⑫ Roll-out Plan'!$O$45</f>
        <v>0</v>
      </c>
      <c r="AS986" s="121" t="n">
        <f aca="false">MIN((AS409+AS410)*$C$5,$F$15)*'⑫ Roll-out Plan'!$O$45</f>
        <v>0</v>
      </c>
      <c r="AT986" s="121" t="n">
        <f aca="false">MIN((AT409+AT410)*$C$5,$F$15)*'⑫ Roll-out Plan'!$O$45</f>
        <v>0</v>
      </c>
      <c r="AU986" s="121" t="n">
        <f aca="false">MIN((AU409+AU410)*$C$5,$F$15)*'⑫ Roll-out Plan'!$O$45</f>
        <v>0</v>
      </c>
      <c r="AV986" s="121" t="n">
        <f aca="false">MIN((AV409+AV410)*$C$5,$F$15)*'⑫ Roll-out Plan'!$O$45</f>
        <v>0</v>
      </c>
      <c r="AW986" s="121" t="n">
        <f aca="false">MIN((AW409+AW410)*$C$5,$F$15)*'⑫ Roll-out Plan'!$O$45</f>
        <v>0</v>
      </c>
      <c r="AX986" s="121" t="n">
        <f aca="false">MIN((AX409+AX410)*$C$5,$F$15)*'⑫ Roll-out Plan'!$O$45</f>
        <v>0</v>
      </c>
      <c r="AY986" s="121" t="n">
        <f aca="false">MIN((AY409+AY410)*$C$5,$F$15)*'⑫ Roll-out Plan'!$O$45</f>
        <v>0</v>
      </c>
      <c r="AZ986" s="121" t="n">
        <f aca="false">MIN((AZ409+AZ410)*$C$5,$F$15)*'⑫ Roll-out Plan'!$O$45</f>
        <v>0</v>
      </c>
      <c r="BA986" s="121" t="n">
        <f aca="false">MIN((BA409+BA410)*$C$5,$F$15)*'⑫ Roll-out Plan'!$O$45</f>
        <v>0</v>
      </c>
      <c r="BB986" s="121" t="n">
        <f aca="false">MIN((BB409+BB410)*$C$5,$F$15)*'⑫ Roll-out Plan'!$O$45</f>
        <v>0</v>
      </c>
      <c r="BC986" s="121" t="n">
        <f aca="false">MIN((BC409+BC410)*$C$5,$F$15)*'⑫ Roll-out Plan'!$O$45</f>
        <v>0</v>
      </c>
      <c r="BD986" s="121" t="n">
        <f aca="false">MIN((BD409+BD410)*$C$5,$F$15)*'⑫ Roll-out Plan'!$O$45</f>
        <v>0</v>
      </c>
      <c r="BE986" s="121" t="n">
        <f aca="false">MIN((BE409+BE410)*$C$5,$F$15)*'⑫ Roll-out Plan'!$O$45</f>
        <v>0</v>
      </c>
      <c r="BF986" s="121" t="n">
        <f aca="false">MIN((BF409+BF410)*$C$5,$F$15)*'⑫ Roll-out Plan'!$O$45</f>
        <v>0</v>
      </c>
      <c r="BG986" s="121" t="n">
        <f aca="false">MIN((BG409+BG410)*$C$5,$F$15)*'⑫ Roll-out Plan'!$O$45</f>
        <v>0</v>
      </c>
      <c r="BH986" s="121" t="n">
        <f aca="false">MIN((BH409+BH410)*$C$5,$F$15)*'⑫ Roll-out Plan'!$O$45</f>
        <v>0</v>
      </c>
      <c r="BI986" s="121" t="n">
        <f aca="false">MIN((BI409+BI410)*$C$5,$F$15)*'⑫ Roll-out Plan'!$O$45</f>
        <v>0</v>
      </c>
      <c r="BJ986" s="121" t="n">
        <f aca="false">MIN((BJ409+BJ410)*$C$5,$F$15)*'⑫ Roll-out Plan'!$O$45</f>
        <v>0</v>
      </c>
      <c r="BK986" s="121" t="n">
        <f aca="false">MIN((BK409+BK410)*$C$5,$F$15)*'⑫ Roll-out Plan'!$O$45</f>
        <v>0</v>
      </c>
      <c r="BL986" s="121" t="n">
        <f aca="false">MIN((BL409+BL410)*$C$5,$F$15)*'⑫ Roll-out Plan'!$O$45</f>
        <v>0</v>
      </c>
      <c r="BM986" s="121" t="n">
        <f aca="false">MIN((BM409+BM410)*$C$5,$F$15)*'⑫ Roll-out Plan'!$O$45</f>
        <v>0</v>
      </c>
      <c r="BN986" s="121" t="n">
        <f aca="false">MIN((BN409+BN410)*$C$5,$F$15)*'⑫ Roll-out Plan'!$O$45</f>
        <v>0</v>
      </c>
      <c r="BO986" s="121" t="n">
        <f aca="false">MIN((BO409+BO410)*$C$5,$F$15)*'⑫ Roll-out Plan'!$O$45</f>
        <v>0</v>
      </c>
      <c r="BP986" s="121" t="n">
        <f aca="false">MIN((BP409+BP410)*$C$5,$F$15)*'⑫ Roll-out Plan'!$O$45</f>
        <v>0</v>
      </c>
      <c r="BQ986" s="121" t="n">
        <f aca="false">MIN((BQ409+BQ410)*$C$5,$F$15)*'⑫ Roll-out Plan'!$O$45</f>
        <v>0</v>
      </c>
      <c r="BR986" s="121" t="n">
        <f aca="false">MIN((BR409+BR410)*$C$5,$F$15)*'⑫ Roll-out Plan'!$O$45</f>
        <v>0</v>
      </c>
      <c r="BS986" s="121" t="n">
        <f aca="false">MIN((BS409+BS410)*$C$5,$F$15)*'⑫ Roll-out Plan'!$O$45</f>
        <v>0</v>
      </c>
      <c r="BT986" s="121" t="n">
        <f aca="false">MIN((BT409+BT410)*$C$5,$F$15)*'⑫ Roll-out Plan'!$O$45</f>
        <v>0</v>
      </c>
      <c r="BU986" s="121" t="n">
        <f aca="false">MIN((BU409+BU410)*$C$5,$F$15)*'⑫ Roll-out Plan'!$O$45</f>
        <v>0</v>
      </c>
      <c r="BV986" s="121" t="n">
        <f aca="false">MIN((BV409+BV410)*$C$5,$F$15)*'⑫ Roll-out Plan'!$O$45</f>
        <v>0</v>
      </c>
      <c r="BW986" s="121" t="n">
        <f aca="false">MIN((BW409+BW410)*$C$5,$F$15)*'⑫ Roll-out Plan'!$O$45</f>
        <v>0</v>
      </c>
      <c r="BX986" s="121" t="n">
        <f aca="false">MIN((BX409+BX410)*$C$5,$F$15)*'⑫ Roll-out Plan'!$O$45</f>
        <v>0</v>
      </c>
      <c r="BY986" s="121" t="n">
        <f aca="false">MIN((BY409+BY410)*$C$5,$F$15)*'⑫ Roll-out Plan'!$O$45</f>
        <v>0</v>
      </c>
      <c r="BZ986" s="121" t="n">
        <f aca="false">MIN((BZ409+BZ410)*$C$5,$F$15)*'⑫ Roll-out Plan'!$O$45</f>
        <v>0</v>
      </c>
      <c r="CA986" s="121" t="n">
        <f aca="false">MIN((CA409+CA410)*$C$5,$F$15)*'⑫ Roll-out Plan'!$O$45</f>
        <v>0</v>
      </c>
      <c r="CB986" s="121" t="n">
        <f aca="false">MIN((CB409+CB410)*$C$5,$F$15)*'⑫ Roll-out Plan'!$O$45</f>
        <v>0</v>
      </c>
      <c r="CC986" s="121" t="n">
        <f aca="false">MIN((CC409+CC410)*$C$5,$F$15)*'⑫ Roll-out Plan'!$O$45</f>
        <v>0</v>
      </c>
      <c r="CD986" s="121" t="n">
        <f aca="false">MIN((CD409+CD410)*$C$5,$F$15)*'⑫ Roll-out Plan'!$O$45</f>
        <v>0</v>
      </c>
      <c r="CE986" s="121" t="n">
        <f aca="false">MIN((CE409+CE410)*$C$5,$F$15)*'⑫ Roll-out Plan'!$O$45</f>
        <v>0</v>
      </c>
      <c r="CF986" s="121" t="n">
        <f aca="false">MIN((CF409+CF410)*$C$5,$F$15)*'⑫ Roll-out Plan'!$O$45</f>
        <v>0</v>
      </c>
      <c r="CG986" s="121" t="n">
        <f aca="false">MIN((CG409+CG410)*$C$5,$F$15)*'⑫ Roll-out Plan'!$O$45</f>
        <v>0</v>
      </c>
      <c r="CH986" s="121" t="n">
        <f aca="false">MIN((CH409+CH410)*$C$5,$F$15)*'⑫ Roll-out Plan'!$O$45</f>
        <v>0</v>
      </c>
      <c r="CI986" s="121" t="n">
        <f aca="false">MIN((CI409+CI410)*$C$5,$F$15)*'⑫ Roll-out Plan'!$O$45</f>
        <v>0</v>
      </c>
      <c r="CJ986" s="121" t="n">
        <f aca="false">MIN((CJ409+CJ410)*$C$5,$F$15)*'⑫ Roll-out Plan'!$O$45</f>
        <v>0</v>
      </c>
      <c r="CK986" s="121" t="n">
        <f aca="false">MIN((CK409+CK410)*$C$5,$F$15)*'⑫ Roll-out Plan'!$O$45</f>
        <v>0</v>
      </c>
      <c r="CL986" s="121" t="n">
        <f aca="false">MIN((CL409+CL410)*$C$5,$F$15)*'⑫ Roll-out Plan'!$O$45</f>
        <v>0</v>
      </c>
      <c r="CM986" s="121" t="n">
        <f aca="false">MIN((CM409+CM410)*$C$5,$F$15)*'⑫ Roll-out Plan'!$O$45</f>
        <v>0</v>
      </c>
      <c r="CN986" s="121" t="n">
        <f aca="false">MIN((CN409+CN410)*$C$5,$F$15)*'⑫ Roll-out Plan'!$O$45</f>
        <v>0</v>
      </c>
      <c r="CO986" s="121" t="n">
        <f aca="false">MIN((CO409+CO410)*$C$5,$F$15)*'⑫ Roll-out Plan'!$O$45</f>
        <v>0</v>
      </c>
      <c r="CP986" s="121" t="n">
        <f aca="false">MIN((CP409+CP410)*$C$5,$F$15)*'⑫ Roll-out Plan'!$O$45</f>
        <v>0</v>
      </c>
      <c r="CQ986" s="121" t="n">
        <f aca="false">MIN((CQ409+CQ410)*$C$5,$F$15)*'⑫ Roll-out Plan'!$O$45</f>
        <v>0</v>
      </c>
      <c r="CR986" s="121" t="n">
        <f aca="false">MIN((CR409+CR410)*$C$5,$F$15)*'⑫ Roll-out Plan'!$O$45</f>
        <v>0</v>
      </c>
      <c r="CS986" s="121" t="n">
        <f aca="false">MIN((CS409+CS410)*$C$5,$F$15)*'⑫ Roll-out Plan'!$O$45</f>
        <v>0</v>
      </c>
      <c r="CT986" s="121" t="n">
        <f aca="false">MIN((CT409+CT410)*$C$5,$F$15)*'⑫ Roll-out Plan'!$O$45</f>
        <v>0</v>
      </c>
      <c r="CU986" s="121" t="n">
        <f aca="false">MIN((CU409+CU410)*$C$5,$F$15)*'⑫ Roll-out Plan'!$O$45</f>
        <v>0</v>
      </c>
      <c r="CV986" s="121" t="n">
        <f aca="false">MIN((CV409+CV410)*$C$5,$F$15)*'⑫ Roll-out Plan'!$O$45</f>
        <v>0</v>
      </c>
      <c r="CW986" s="121" t="n">
        <f aca="false">MIN((CW409+CW410)*$C$5,$F$15)*'⑫ Roll-out Plan'!$O$45</f>
        <v>0</v>
      </c>
      <c r="CX986" s="121" t="n">
        <f aca="false">MIN((CX409+CX410)*$C$5,$F$15)*'⑫ Roll-out Plan'!$O$45</f>
        <v>0</v>
      </c>
      <c r="CY986" s="121" t="n">
        <f aca="false">MIN((CY409+CY410)*$C$5,$F$15)*'⑫ Roll-out Plan'!$O$45</f>
        <v>0</v>
      </c>
      <c r="CZ986" s="121" t="n">
        <f aca="false">MIN((CZ409+CZ410)*$C$5,$F$15)*'⑫ Roll-out Plan'!$O$45</f>
        <v>0</v>
      </c>
      <c r="DA986" s="121" t="n">
        <f aca="false">MIN((DA409+DA410)*$C$5,$F$15)*'⑫ Roll-out Plan'!$O$45</f>
        <v>0</v>
      </c>
      <c r="DB986" s="121" t="n">
        <f aca="false">MIN((DB409+DB410)*$C$5,$F$15)*'⑫ Roll-out Plan'!$O$45</f>
        <v>0</v>
      </c>
      <c r="DC986" s="121" t="n">
        <f aca="false">MIN((DC409+DC410)*$C$5,$F$15)*'⑫ Roll-out Plan'!$O$45</f>
        <v>0</v>
      </c>
      <c r="DD986" s="121" t="n">
        <f aca="false">MIN((DD409+DD410)*$C$5,$F$15)*'⑫ Roll-out Plan'!$O$45</f>
        <v>0</v>
      </c>
      <c r="DE986" s="121" t="n">
        <f aca="false">MIN((DE409+DE410)*$C$5,$F$15)*'⑫ Roll-out Plan'!$O$45</f>
        <v>0</v>
      </c>
      <c r="DF986" s="121" t="n">
        <f aca="false">MIN((DF409+DF410)*$C$5,$F$15)*'⑫ Roll-out Plan'!$O$45</f>
        <v>0</v>
      </c>
      <c r="DG986" s="121" t="n">
        <f aca="false">MIN((DG409+DG410)*$C$5,$F$15)*'⑫ Roll-out Plan'!$O$45</f>
        <v>0</v>
      </c>
      <c r="DH986" s="121" t="n">
        <f aca="false">MIN((DH409+DH410)*$C$5,$F$15)*'⑫ Roll-out Plan'!$O$45</f>
        <v>0</v>
      </c>
      <c r="DI986" s="121" t="n">
        <f aca="false">MIN((DI409+DI410)*$C$5,$F$15)*'⑫ Roll-out Plan'!$O$45</f>
        <v>0</v>
      </c>
      <c r="DJ986" s="121" t="n">
        <f aca="false">MIN((DJ409+DJ410)*$C$5,$F$15)*'⑫ Roll-out Plan'!$O$45</f>
        <v>0</v>
      </c>
      <c r="DK986" s="121" t="n">
        <f aca="false">MIN((DK409+DK410)*$C$5,$F$15)*'⑫ Roll-out Plan'!$O$45</f>
        <v>0</v>
      </c>
      <c r="DL986" s="121" t="n">
        <f aca="false">MIN((DL409+DL410)*$C$5,$F$15)*'⑫ Roll-out Plan'!$O$45</f>
        <v>0</v>
      </c>
      <c r="DM986" s="121" t="n">
        <f aca="false">MIN((DM409+DM410)*$C$5,$F$15)*'⑫ Roll-out Plan'!$O$45</f>
        <v>0</v>
      </c>
      <c r="DN986" s="121" t="n">
        <f aca="false">MIN((DN409+DN410)*$C$5,$F$15)*'⑫ Roll-out Plan'!$O$45</f>
        <v>0</v>
      </c>
      <c r="DO986" s="121" t="n">
        <f aca="false">MIN((DO409+DO410)*$C$5,$F$15)*'⑫ Roll-out Plan'!$O$45</f>
        <v>0</v>
      </c>
      <c r="DP986" s="121" t="n">
        <f aca="false">MIN((DP409+DP410)*$C$5,$F$15)*'⑫ Roll-out Plan'!$O$45</f>
        <v>0</v>
      </c>
      <c r="DQ986" s="121" t="n">
        <f aca="false">MIN((DQ409+DQ410)*$C$5,$F$15)*'⑫ Roll-out Plan'!$O$45</f>
        <v>0</v>
      </c>
      <c r="DR986" s="121" t="n">
        <f aca="false">MIN((DR409+DR410)*$C$5,$F$15)*'⑫ Roll-out Plan'!$O$45</f>
        <v>0</v>
      </c>
      <c r="DS986" s="121" t="n">
        <f aca="false">MIN((DS409+DS410)*$C$5,$F$15)*'⑫ Roll-out Plan'!$O$45</f>
        <v>0</v>
      </c>
      <c r="DT986" s="121" t="n">
        <f aca="false">MIN((DT409+DT410)*$C$5,$F$15)*'⑫ Roll-out Plan'!$O$45</f>
        <v>0</v>
      </c>
      <c r="DU986" s="121" t="n">
        <f aca="false">MIN((DU409+DU410)*$C$5,$F$15)*'⑫ Roll-out Plan'!$O$45</f>
        <v>0</v>
      </c>
      <c r="DV986" s="121" t="n">
        <f aca="false">MIN((DV409+DV410)*$C$5,$F$15)*'⑫ Roll-out Plan'!$O$45</f>
        <v>0</v>
      </c>
      <c r="DW986" s="121" t="n">
        <f aca="false">MIN((DW409+DW410)*$C$5,$F$15)*'⑫ Roll-out Plan'!$O$45</f>
        <v>5622.52</v>
      </c>
      <c r="DX986" s="121" t="n">
        <f aca="false">MIN((DX409+DX410)*$C$5,$F$15)*'⑫ Roll-out Plan'!$O$45</f>
        <v>6584.55256</v>
      </c>
      <c r="DY986" s="121" t="n">
        <f aca="false">MIN((DY409+DY410)*$C$5,$F$15)*'⑫ Roll-out Plan'!$O$45</f>
        <v>6200.747712</v>
      </c>
      <c r="DZ986" s="121" t="n">
        <f aca="false">MIN((DZ409+DZ410)*$C$5,$F$15)*'⑫ Roll-out Plan'!$O$45</f>
        <v>6148.865424</v>
      </c>
      <c r="EA986" s="121" t="n">
        <f aca="false">MIN((EA409+EA410)*$C$5,$F$15)*'⑫ Roll-out Plan'!$O$45</f>
        <v>6464.0677728</v>
      </c>
      <c r="EB986" s="121" t="n">
        <f aca="false">MIN((EB409+EB410)*$C$5,$F$15)*'⑫ Roll-out Plan'!$O$45</f>
        <v>11712.8414192</v>
      </c>
      <c r="EC986" s="121" t="n">
        <f aca="false">MIN((EC409+EC410)*$C$5,$F$15)*'⑫ Roll-out Plan'!$O$45</f>
        <v>11570.7273792</v>
      </c>
      <c r="ED986" s="121" t="n">
        <f aca="false">MIN((ED409+ED410)*$C$5,$F$15)*'⑫ Roll-out Plan'!$O$45</f>
        <v>10880.3982512</v>
      </c>
      <c r="EE986" s="121" t="n">
        <f aca="false">MIN((EE409+EE410)*$C$5,$F$15)*'⑫ Roll-out Plan'!$O$45</f>
        <v>9518.3292096</v>
      </c>
      <c r="EF986" s="121" t="n">
        <f aca="false">MIN((EF409+EF410)*$C$5,$F$15)*'⑫ Roll-out Plan'!$O$45</f>
        <v>12621.6965728</v>
      </c>
      <c r="EG986" s="121" t="n">
        <f aca="false">MIN((EG409+EG410)*$C$5,$F$15)*'⑫ Roll-out Plan'!$O$45</f>
        <v>14813.4556864</v>
      </c>
      <c r="EH986" s="121" t="n">
        <f aca="false">MIN((EH409+EH410)*$C$5,$F$15)*'⑫ Roll-out Plan'!$O$45</f>
        <v>12852.7937776</v>
      </c>
      <c r="EI986" s="121" t="n">
        <f aca="false">MIN((EI409+EI410)*$C$5,$F$15)*'⑫ Roll-out Plan'!$O$45</f>
        <v>18276.3541216</v>
      </c>
      <c r="EJ986" s="121" t="n">
        <f aca="false">MIN((EJ409+EJ410)*$C$5,$F$15)*'⑫ Roll-out Plan'!$O$45</f>
        <v>19458.0837424</v>
      </c>
      <c r="EK986" s="121" t="n">
        <f aca="false">MIN((EK409+EK410)*$C$5,$F$15)*'⑫ Roll-out Plan'!$O$45</f>
        <v>17059.0048672</v>
      </c>
      <c r="EL986" s="121" t="n">
        <f aca="false">MIN((EL409+EL410)*$C$5,$F$15)*'⑫ Roll-out Plan'!$O$45</f>
        <v>18234.530328</v>
      </c>
      <c r="EM986" s="121" t="n">
        <f aca="false">MIN((EM409+EM410)*$C$5,$F$15)*'⑫ Roll-out Plan'!$O$45</f>
        <v>19963.6219648</v>
      </c>
      <c r="EN986" s="121" t="n">
        <f aca="false">MIN((EN409+EN410)*$C$5,$F$15)*'⑫ Roll-out Plan'!$O$45</f>
        <v>27000</v>
      </c>
      <c r="EO986" s="121" t="n">
        <f aca="false">MIN((EO409+EO410)*$C$5,$F$15)*'⑫ Roll-out Plan'!$O$45</f>
        <v>27000</v>
      </c>
      <c r="EP986" s="121" t="n">
        <f aca="false">MIN((EP409+EP410)*$C$5,$F$15)*'⑫ Roll-out Plan'!$O$45</f>
        <v>26092.83687528</v>
      </c>
      <c r="EQ986" s="121" t="n">
        <f aca="false">MIN((EQ409+EQ410)*$C$5,$F$15)*'⑫ Roll-out Plan'!$O$45</f>
        <v>21431.330402</v>
      </c>
      <c r="ER986" s="121" t="n">
        <f aca="false">MIN((ER409+ER410)*$C$5,$F$15)*'⑫ Roll-out Plan'!$O$45</f>
        <v>27000</v>
      </c>
      <c r="ES986" s="9" t="n">
        <f aca="false">MIN((ES409+ES410)*$C$5,$F$15)*'⑫ Roll-out Plan'!$O$45</f>
        <v>27000</v>
      </c>
      <c r="ET986" s="9" t="n">
        <f aca="false">MIN((ET409+ET410)*$C$5,$F$15)*'⑫ Roll-out Plan'!$O$45</f>
        <v>26495.16637564</v>
      </c>
      <c r="EU986" s="9" t="n">
        <f aca="false">MIN((EU409+EU410)*$C$5,$F$15)*'⑫ Roll-out Plan'!$O$45</f>
        <v>27000</v>
      </c>
      <c r="EV986" s="9" t="n">
        <f aca="false">MIN((EV409+EV410)*$C$5,$F$15)*'⑫ Roll-out Plan'!$O$45</f>
        <v>27000</v>
      </c>
      <c r="EW986" s="9" t="n">
        <f aca="false">MIN((EW409+EW410)*$C$5,$F$15)*'⑫ Roll-out Plan'!$O$45</f>
        <v>27000</v>
      </c>
      <c r="EX986" s="9" t="n">
        <f aca="false">MIN((EX409+EX410)*$C$5,$F$15)*'⑫ Roll-out Plan'!$O$45</f>
        <v>27000</v>
      </c>
      <c r="EY986" s="9" t="n">
        <f aca="false">MIN((EY409+EY410)*$C$5,$F$15)*'⑫ Roll-out Plan'!$O$45</f>
        <v>27000</v>
      </c>
      <c r="EZ986" s="9" t="n">
        <f aca="false">MIN((EZ409+EZ410)*$C$5,$F$15)*'⑫ Roll-out Plan'!$O$45</f>
        <v>27000</v>
      </c>
      <c r="FA986" s="9" t="n">
        <f aca="false">MIN((FA409+FA410)*$C$5,$F$15)*'⑫ Roll-out Plan'!$O$45</f>
        <v>27000</v>
      </c>
      <c r="FB986" s="9" t="n">
        <f aca="false">MIN((FB409+FB410)*$C$5,$F$15)*'⑫ Roll-out Plan'!$O$45</f>
        <v>27000</v>
      </c>
      <c r="FC986" s="9" t="n">
        <f aca="false">MIN((FC409+FC410)*$C$5,$F$15)*'⑫ Roll-out Plan'!$O$45</f>
        <v>27000</v>
      </c>
      <c r="FD986" s="9" t="n">
        <f aca="false">MIN((FD409+FD410)*$C$5,$F$15)*'⑫ Roll-out Plan'!$O$45</f>
        <v>27000</v>
      </c>
      <c r="FE986" s="9" t="n">
        <f aca="false">MIN((FE409+FE410)*$C$5,$F$15)*'⑫ Roll-out Plan'!$O$45</f>
        <v>27000</v>
      </c>
      <c r="FF986" s="9" t="n">
        <f aca="false">MIN((FF409+FF410)*$C$5,$F$15)*'⑫ Roll-out Plan'!$O$45</f>
        <v>27000</v>
      </c>
      <c r="FG986" s="9" t="n">
        <f aca="false">MIN((FG409+FG410)*$C$5,$F$15)*'⑫ Roll-out Plan'!$O$45</f>
        <v>27000</v>
      </c>
      <c r="FH986" s="9" t="n">
        <f aca="false">MIN((FH409+FH410)*$C$5,$F$15)*'⑫ Roll-out Plan'!$O$45</f>
        <v>27000</v>
      </c>
      <c r="FI986" s="9" t="n">
        <f aca="false">MIN((FI409+FI410)*$C$5,$F$15)*'⑫ Roll-out Plan'!$O$45</f>
        <v>27000</v>
      </c>
      <c r="FJ986" s="9" t="n">
        <f aca="false">MIN((FJ409+FJ410)*$C$5,$F$15)*'⑫ Roll-out Plan'!$O$45</f>
        <v>27000</v>
      </c>
      <c r="FK986" s="9" t="n">
        <f aca="false">MIN((FK409+FK410)*$C$5,$F$15)*'⑫ Roll-out Plan'!$O$45</f>
        <v>27000</v>
      </c>
      <c r="FL986" s="9" t="n">
        <f aca="false">MIN((FL409+FL410)*$C$5,$F$15)*'⑫ Roll-out Plan'!$O$45</f>
        <v>27000</v>
      </c>
      <c r="FM986" s="9" t="n">
        <f aca="false">MIN((FM409+FM410)*$C$5,$F$15)*'⑫ Roll-out Plan'!$O$45</f>
        <v>27000</v>
      </c>
      <c r="FN986" s="9" t="n">
        <f aca="false">MIN((FN409+FN410)*$C$5,$F$15)*'⑫ Roll-out Plan'!$O$45</f>
        <v>27000</v>
      </c>
      <c r="FO986" s="9" t="n">
        <f aca="false">MIN((FO409+FO410)*$C$5,$F$15)*'⑫ Roll-out Plan'!$O$45</f>
        <v>27000</v>
      </c>
      <c r="FP986" s="9" t="n">
        <f aca="false">MIN((FP409+FP410)*$C$5,$F$15)*'⑫ Roll-out Plan'!$O$45</f>
        <v>27000</v>
      </c>
    </row>
    <row r="987" customFormat="false" ht="15" hidden="false" customHeight="false" outlineLevel="0" collapsed="false">
      <c r="B987" s="254" t="s">
        <v>1012</v>
      </c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121" t="n">
        <f aca="false">MIN((AC419+AC420)*$C$5,$F$15)*'⑫ Roll-out Plan'!$O$46</f>
        <v>0</v>
      </c>
      <c r="AD987" s="121" t="n">
        <f aca="false">MIN((AD419+AD420)*$C$5,$F$15)*'⑫ Roll-out Plan'!$O$46</f>
        <v>0</v>
      </c>
      <c r="AE987" s="121" t="n">
        <f aca="false">MIN((AE419+AE420)*$C$5,$F$15)*'⑫ Roll-out Plan'!$O$46</f>
        <v>0</v>
      </c>
      <c r="AF987" s="121" t="n">
        <f aca="false">MIN((AF419+AF420)*$C$5,$F$15)*'⑫ Roll-out Plan'!$O$46</f>
        <v>0</v>
      </c>
      <c r="AG987" s="121" t="n">
        <f aca="false">MIN((AG419+AG420)*$C$5,$F$15)*'⑫ Roll-out Plan'!$O$46</f>
        <v>0</v>
      </c>
      <c r="AH987" s="121" t="n">
        <f aca="false">MIN((AH419+AH420)*$C$5,$F$15)*'⑫ Roll-out Plan'!$O$46</f>
        <v>0</v>
      </c>
      <c r="AI987" s="121" t="n">
        <f aca="false">MIN((AI419+AI420)*$C$5,$F$15)*'⑫ Roll-out Plan'!$O$46</f>
        <v>0</v>
      </c>
      <c r="AJ987" s="121" t="n">
        <f aca="false">MIN((AJ419+AJ420)*$C$5,$F$15)*'⑫ Roll-out Plan'!$O$46</f>
        <v>0</v>
      </c>
      <c r="AK987" s="121" t="n">
        <f aca="false">MIN((AK419+AK420)*$C$5,$F$15)*'⑫ Roll-out Plan'!$O$46</f>
        <v>0</v>
      </c>
      <c r="AL987" s="121" t="n">
        <f aca="false">MIN((AL419+AL420)*$C$5,$F$15)*'⑫ Roll-out Plan'!$O$46</f>
        <v>0</v>
      </c>
      <c r="AM987" s="121" t="n">
        <f aca="false">MIN((AM419+AM420)*$C$5,$F$15)*'⑫ Roll-out Plan'!$O$46</f>
        <v>0</v>
      </c>
      <c r="AN987" s="121" t="n">
        <f aca="false">MIN((AN419+AN420)*$C$5,$F$15)*'⑫ Roll-out Plan'!$O$46</f>
        <v>0</v>
      </c>
      <c r="AO987" s="121" t="n">
        <f aca="false">MIN((AO419+AO420)*$C$5,$F$15)*'⑫ Roll-out Plan'!$O$46</f>
        <v>0</v>
      </c>
      <c r="AP987" s="121" t="n">
        <f aca="false">MIN((AP419+AP420)*$C$5,$F$15)*'⑫ Roll-out Plan'!$O$46</f>
        <v>0</v>
      </c>
      <c r="AQ987" s="121" t="n">
        <f aca="false">MIN((AQ419+AQ420)*$C$5,$F$15)*'⑫ Roll-out Plan'!$O$46</f>
        <v>0</v>
      </c>
      <c r="AR987" s="121" t="n">
        <f aca="false">MIN((AR419+AR420)*$C$5,$F$15)*'⑫ Roll-out Plan'!$O$46</f>
        <v>0</v>
      </c>
      <c r="AS987" s="121" t="n">
        <f aca="false">MIN((AS419+AS420)*$C$5,$F$15)*'⑫ Roll-out Plan'!$O$46</f>
        <v>0</v>
      </c>
      <c r="AT987" s="121" t="n">
        <f aca="false">MIN((AT419+AT420)*$C$5,$F$15)*'⑫ Roll-out Plan'!$O$46</f>
        <v>0</v>
      </c>
      <c r="AU987" s="121" t="n">
        <f aca="false">MIN((AU419+AU420)*$C$5,$F$15)*'⑫ Roll-out Plan'!$O$46</f>
        <v>0</v>
      </c>
      <c r="AV987" s="121" t="n">
        <f aca="false">MIN((AV419+AV420)*$C$5,$F$15)*'⑫ Roll-out Plan'!$O$46</f>
        <v>0</v>
      </c>
      <c r="AW987" s="121" t="n">
        <f aca="false">MIN((AW419+AW420)*$C$5,$F$15)*'⑫ Roll-out Plan'!$O$46</f>
        <v>0</v>
      </c>
      <c r="AX987" s="121" t="n">
        <f aca="false">MIN((AX419+AX420)*$C$5,$F$15)*'⑫ Roll-out Plan'!$O$46</f>
        <v>0</v>
      </c>
      <c r="AY987" s="121" t="n">
        <f aca="false">MIN((AY419+AY420)*$C$5,$F$15)*'⑫ Roll-out Plan'!$O$46</f>
        <v>0</v>
      </c>
      <c r="AZ987" s="121" t="n">
        <f aca="false">MIN((AZ419+AZ420)*$C$5,$F$15)*'⑫ Roll-out Plan'!$O$46</f>
        <v>0</v>
      </c>
      <c r="BA987" s="121" t="n">
        <f aca="false">MIN((BA419+BA420)*$C$5,$F$15)*'⑫ Roll-out Plan'!$O$46</f>
        <v>0</v>
      </c>
      <c r="BB987" s="121" t="n">
        <f aca="false">MIN((BB419+BB420)*$C$5,$F$15)*'⑫ Roll-out Plan'!$O$46</f>
        <v>0</v>
      </c>
      <c r="BC987" s="121" t="n">
        <f aca="false">MIN((BC419+BC420)*$C$5,$F$15)*'⑫ Roll-out Plan'!$O$46</f>
        <v>0</v>
      </c>
      <c r="BD987" s="121" t="n">
        <f aca="false">MIN((BD419+BD420)*$C$5,$F$15)*'⑫ Roll-out Plan'!$O$46</f>
        <v>0</v>
      </c>
      <c r="BE987" s="121" t="n">
        <f aca="false">MIN((BE419+BE420)*$C$5,$F$15)*'⑫ Roll-out Plan'!$O$46</f>
        <v>0</v>
      </c>
      <c r="BF987" s="121" t="n">
        <f aca="false">MIN((BF419+BF420)*$C$5,$F$15)*'⑫ Roll-out Plan'!$O$46</f>
        <v>0</v>
      </c>
      <c r="BG987" s="121" t="n">
        <f aca="false">MIN((BG419+BG420)*$C$5,$F$15)*'⑫ Roll-out Plan'!$O$46</f>
        <v>0</v>
      </c>
      <c r="BH987" s="121" t="n">
        <f aca="false">MIN((BH419+BH420)*$C$5,$F$15)*'⑫ Roll-out Plan'!$O$46</f>
        <v>0</v>
      </c>
      <c r="BI987" s="121" t="n">
        <f aca="false">MIN((BI419+BI420)*$C$5,$F$15)*'⑫ Roll-out Plan'!$O$46</f>
        <v>0</v>
      </c>
      <c r="BJ987" s="121" t="n">
        <f aca="false">MIN((BJ419+BJ420)*$C$5,$F$15)*'⑫ Roll-out Plan'!$O$46</f>
        <v>0</v>
      </c>
      <c r="BK987" s="121" t="n">
        <f aca="false">MIN((BK419+BK420)*$C$5,$F$15)*'⑫ Roll-out Plan'!$O$46</f>
        <v>0</v>
      </c>
      <c r="BL987" s="121" t="n">
        <f aca="false">MIN((BL419+BL420)*$C$5,$F$15)*'⑫ Roll-out Plan'!$O$46</f>
        <v>0</v>
      </c>
      <c r="BM987" s="121" t="n">
        <f aca="false">MIN((BM419+BM420)*$C$5,$F$15)*'⑫ Roll-out Plan'!$O$46</f>
        <v>0</v>
      </c>
      <c r="BN987" s="121" t="n">
        <f aca="false">MIN((BN419+BN420)*$C$5,$F$15)*'⑫ Roll-out Plan'!$O$46</f>
        <v>0</v>
      </c>
      <c r="BO987" s="121" t="n">
        <f aca="false">MIN((BO419+BO420)*$C$5,$F$15)*'⑫ Roll-out Plan'!$O$46</f>
        <v>0</v>
      </c>
      <c r="BP987" s="121" t="n">
        <f aca="false">MIN((BP419+BP420)*$C$5,$F$15)*'⑫ Roll-out Plan'!$O$46</f>
        <v>0</v>
      </c>
      <c r="BQ987" s="121" t="n">
        <f aca="false">MIN((BQ419+BQ420)*$C$5,$F$15)*'⑫ Roll-out Plan'!$O$46</f>
        <v>0</v>
      </c>
      <c r="BR987" s="121" t="n">
        <f aca="false">MIN((BR419+BR420)*$C$5,$F$15)*'⑫ Roll-out Plan'!$O$46</f>
        <v>0</v>
      </c>
      <c r="BS987" s="121" t="n">
        <f aca="false">MIN((BS419+BS420)*$C$5,$F$15)*'⑫ Roll-out Plan'!$O$46</f>
        <v>0</v>
      </c>
      <c r="BT987" s="121" t="n">
        <f aca="false">MIN((BT419+BT420)*$C$5,$F$15)*'⑫ Roll-out Plan'!$O$46</f>
        <v>0</v>
      </c>
      <c r="BU987" s="121" t="n">
        <f aca="false">MIN((BU419+BU420)*$C$5,$F$15)*'⑫ Roll-out Plan'!$O$46</f>
        <v>0</v>
      </c>
      <c r="BV987" s="121" t="n">
        <f aca="false">MIN((BV419+BV420)*$C$5,$F$15)*'⑫ Roll-out Plan'!$O$46</f>
        <v>0</v>
      </c>
      <c r="BW987" s="121" t="n">
        <f aca="false">MIN((BW419+BW420)*$C$5,$F$15)*'⑫ Roll-out Plan'!$O$46</f>
        <v>0</v>
      </c>
      <c r="BX987" s="121" t="n">
        <f aca="false">MIN((BX419+BX420)*$C$5,$F$15)*'⑫ Roll-out Plan'!$O$46</f>
        <v>0</v>
      </c>
      <c r="BY987" s="121" t="n">
        <f aca="false">MIN((BY419+BY420)*$C$5,$F$15)*'⑫ Roll-out Plan'!$O$46</f>
        <v>0</v>
      </c>
      <c r="BZ987" s="121" t="n">
        <f aca="false">MIN((BZ419+BZ420)*$C$5,$F$15)*'⑫ Roll-out Plan'!$O$46</f>
        <v>0</v>
      </c>
      <c r="CA987" s="121" t="n">
        <f aca="false">MIN((CA419+CA420)*$C$5,$F$15)*'⑫ Roll-out Plan'!$O$46</f>
        <v>0</v>
      </c>
      <c r="CB987" s="121" t="n">
        <f aca="false">MIN((CB419+CB420)*$C$5,$F$15)*'⑫ Roll-out Plan'!$O$46</f>
        <v>0</v>
      </c>
      <c r="CC987" s="121" t="n">
        <f aca="false">MIN((CC419+CC420)*$C$5,$F$15)*'⑫ Roll-out Plan'!$O$46</f>
        <v>0</v>
      </c>
      <c r="CD987" s="121" t="n">
        <f aca="false">MIN((CD419+CD420)*$C$5,$F$15)*'⑫ Roll-out Plan'!$O$46</f>
        <v>0</v>
      </c>
      <c r="CE987" s="121" t="n">
        <f aca="false">MIN((CE419+CE420)*$C$5,$F$15)*'⑫ Roll-out Plan'!$O$46</f>
        <v>0</v>
      </c>
      <c r="CF987" s="121" t="n">
        <f aca="false">MIN((CF419+CF420)*$C$5,$F$15)*'⑫ Roll-out Plan'!$O$46</f>
        <v>0</v>
      </c>
      <c r="CG987" s="121" t="n">
        <f aca="false">MIN((CG419+CG420)*$C$5,$F$15)*'⑫ Roll-out Plan'!$O$46</f>
        <v>0</v>
      </c>
      <c r="CH987" s="121" t="n">
        <f aca="false">MIN((CH419+CH420)*$C$5,$F$15)*'⑫ Roll-out Plan'!$O$46</f>
        <v>0</v>
      </c>
      <c r="CI987" s="121" t="n">
        <f aca="false">MIN((CI419+CI420)*$C$5,$F$15)*'⑫ Roll-out Plan'!$O$46</f>
        <v>0</v>
      </c>
      <c r="CJ987" s="121" t="n">
        <f aca="false">MIN((CJ419+CJ420)*$C$5,$F$15)*'⑫ Roll-out Plan'!$O$46</f>
        <v>0</v>
      </c>
      <c r="CK987" s="121" t="n">
        <f aca="false">MIN((CK419+CK420)*$C$5,$F$15)*'⑫ Roll-out Plan'!$O$46</f>
        <v>0</v>
      </c>
      <c r="CL987" s="121" t="n">
        <f aca="false">MIN((CL419+CL420)*$C$5,$F$15)*'⑫ Roll-out Plan'!$O$46</f>
        <v>0</v>
      </c>
      <c r="CM987" s="121" t="n">
        <f aca="false">MIN((CM419+CM420)*$C$5,$F$15)*'⑫ Roll-out Plan'!$O$46</f>
        <v>0</v>
      </c>
      <c r="CN987" s="121" t="n">
        <f aca="false">MIN((CN419+CN420)*$C$5,$F$15)*'⑫ Roll-out Plan'!$O$46</f>
        <v>0</v>
      </c>
      <c r="CO987" s="121" t="n">
        <f aca="false">MIN((CO419+CO420)*$C$5,$F$15)*'⑫ Roll-out Plan'!$O$46</f>
        <v>0</v>
      </c>
      <c r="CP987" s="121" t="n">
        <f aca="false">MIN((CP419+CP420)*$C$5,$F$15)*'⑫ Roll-out Plan'!$O$46</f>
        <v>0</v>
      </c>
      <c r="CQ987" s="121" t="n">
        <f aca="false">MIN((CQ419+CQ420)*$C$5,$F$15)*'⑫ Roll-out Plan'!$O$46</f>
        <v>0</v>
      </c>
      <c r="CR987" s="121" t="n">
        <f aca="false">MIN((CR419+CR420)*$C$5,$F$15)*'⑫ Roll-out Plan'!$O$46</f>
        <v>0</v>
      </c>
      <c r="CS987" s="121" t="n">
        <f aca="false">MIN((CS419+CS420)*$C$5,$F$15)*'⑫ Roll-out Plan'!$O$46</f>
        <v>0</v>
      </c>
      <c r="CT987" s="121" t="n">
        <f aca="false">MIN((CT419+CT420)*$C$5,$F$15)*'⑫ Roll-out Plan'!$O$46</f>
        <v>0</v>
      </c>
      <c r="CU987" s="121" t="n">
        <f aca="false">MIN((CU419+CU420)*$C$5,$F$15)*'⑫ Roll-out Plan'!$O$46</f>
        <v>0</v>
      </c>
      <c r="CV987" s="121" t="n">
        <f aca="false">MIN((CV419+CV420)*$C$5,$F$15)*'⑫ Roll-out Plan'!$O$46</f>
        <v>0</v>
      </c>
      <c r="CW987" s="121" t="n">
        <f aca="false">MIN((CW419+CW420)*$C$5,$F$15)*'⑫ Roll-out Plan'!$O$46</f>
        <v>0</v>
      </c>
      <c r="CX987" s="121" t="n">
        <f aca="false">MIN((CX419+CX420)*$C$5,$F$15)*'⑫ Roll-out Plan'!$O$46</f>
        <v>0</v>
      </c>
      <c r="CY987" s="121" t="n">
        <f aca="false">MIN((CY419+CY420)*$C$5,$F$15)*'⑫ Roll-out Plan'!$O$46</f>
        <v>0</v>
      </c>
      <c r="CZ987" s="121" t="n">
        <f aca="false">MIN((CZ419+CZ420)*$C$5,$F$15)*'⑫ Roll-out Plan'!$O$46</f>
        <v>0</v>
      </c>
      <c r="DA987" s="121" t="n">
        <f aca="false">MIN((DA419+DA420)*$C$5,$F$15)*'⑫ Roll-out Plan'!$O$46</f>
        <v>0</v>
      </c>
      <c r="DB987" s="121" t="n">
        <f aca="false">MIN((DB419+DB420)*$C$5,$F$15)*'⑫ Roll-out Plan'!$O$46</f>
        <v>0</v>
      </c>
      <c r="DC987" s="121" t="n">
        <f aca="false">MIN((DC419+DC420)*$C$5,$F$15)*'⑫ Roll-out Plan'!$O$46</f>
        <v>0</v>
      </c>
      <c r="DD987" s="121" t="n">
        <f aca="false">MIN((DD419+DD420)*$C$5,$F$15)*'⑫ Roll-out Plan'!$O$46</f>
        <v>0</v>
      </c>
      <c r="DE987" s="121" t="n">
        <f aca="false">MIN((DE419+DE420)*$C$5,$F$15)*'⑫ Roll-out Plan'!$O$46</f>
        <v>0</v>
      </c>
      <c r="DF987" s="121" t="n">
        <f aca="false">MIN((DF419+DF420)*$C$5,$F$15)*'⑫ Roll-out Plan'!$O$46</f>
        <v>0</v>
      </c>
      <c r="DG987" s="121" t="n">
        <f aca="false">MIN((DG419+DG420)*$C$5,$F$15)*'⑫ Roll-out Plan'!$O$46</f>
        <v>0</v>
      </c>
      <c r="DH987" s="121" t="n">
        <f aca="false">MIN((DH419+DH420)*$C$5,$F$15)*'⑫ Roll-out Plan'!$O$46</f>
        <v>0</v>
      </c>
      <c r="DI987" s="121" t="n">
        <f aca="false">MIN((DI419+DI420)*$C$5,$F$15)*'⑫ Roll-out Plan'!$O$46</f>
        <v>0</v>
      </c>
      <c r="DJ987" s="121" t="n">
        <f aca="false">MIN((DJ419+DJ420)*$C$5,$F$15)*'⑫ Roll-out Plan'!$O$46</f>
        <v>0</v>
      </c>
      <c r="DK987" s="121" t="n">
        <f aca="false">MIN((DK419+DK420)*$C$5,$F$15)*'⑫ Roll-out Plan'!$O$46</f>
        <v>0</v>
      </c>
      <c r="DL987" s="121" t="n">
        <f aca="false">MIN((DL419+DL420)*$C$5,$F$15)*'⑫ Roll-out Plan'!$O$46</f>
        <v>0</v>
      </c>
      <c r="DM987" s="121" t="n">
        <f aca="false">MIN((DM419+DM420)*$C$5,$F$15)*'⑫ Roll-out Plan'!$O$46</f>
        <v>0</v>
      </c>
      <c r="DN987" s="121" t="n">
        <f aca="false">MIN((DN419+DN420)*$C$5,$F$15)*'⑫ Roll-out Plan'!$O$46</f>
        <v>0</v>
      </c>
      <c r="DO987" s="121" t="n">
        <f aca="false">MIN((DO419+DO420)*$C$5,$F$15)*'⑫ Roll-out Plan'!$O$46</f>
        <v>0</v>
      </c>
      <c r="DP987" s="121" t="n">
        <f aca="false">MIN((DP419+DP420)*$C$5,$F$15)*'⑫ Roll-out Plan'!$O$46</f>
        <v>0</v>
      </c>
      <c r="DQ987" s="121" t="n">
        <f aca="false">MIN((DQ419+DQ420)*$C$5,$F$15)*'⑫ Roll-out Plan'!$O$46</f>
        <v>0</v>
      </c>
      <c r="DR987" s="121" t="n">
        <f aca="false">MIN((DR419+DR420)*$C$5,$F$15)*'⑫ Roll-out Plan'!$O$46</f>
        <v>0</v>
      </c>
      <c r="DS987" s="121" t="n">
        <f aca="false">MIN((DS419+DS420)*$C$5,$F$15)*'⑫ Roll-out Plan'!$O$46</f>
        <v>0</v>
      </c>
      <c r="DT987" s="121" t="n">
        <f aca="false">MIN((DT419+DT420)*$C$5,$F$15)*'⑫ Roll-out Plan'!$O$46</f>
        <v>0</v>
      </c>
      <c r="DU987" s="121" t="n">
        <f aca="false">MIN((DU419+DU420)*$C$5,$F$15)*'⑫ Roll-out Plan'!$O$46</f>
        <v>0</v>
      </c>
      <c r="DV987" s="121" t="n">
        <f aca="false">MIN((DV419+DV420)*$C$5,$F$15)*'⑫ Roll-out Plan'!$O$46</f>
        <v>0</v>
      </c>
      <c r="DW987" s="121" t="n">
        <f aca="false">MIN((DW419+DW420)*$C$5,$F$15)*'⑫ Roll-out Plan'!$O$46</f>
        <v>0</v>
      </c>
      <c r="DX987" s="121" t="n">
        <f aca="false">MIN((DX419+DX420)*$C$5,$F$15)*'⑫ Roll-out Plan'!$O$46</f>
        <v>0</v>
      </c>
      <c r="DY987" s="121" t="n">
        <f aca="false">MIN((DY419+DY420)*$C$5,$F$15)*'⑫ Roll-out Plan'!$O$46</f>
        <v>0</v>
      </c>
      <c r="DZ987" s="121" t="n">
        <f aca="false">MIN((DZ419+DZ420)*$C$5,$F$15)*'⑫ Roll-out Plan'!$O$46</f>
        <v>0</v>
      </c>
      <c r="EA987" s="121" t="n">
        <f aca="false">MIN((EA419+EA420)*$C$5,$F$15)*'⑫ Roll-out Plan'!$O$46</f>
        <v>0</v>
      </c>
      <c r="EB987" s="121" t="n">
        <f aca="false">MIN((EB419+EB420)*$C$5,$F$15)*'⑫ Roll-out Plan'!$O$46</f>
        <v>0</v>
      </c>
      <c r="EC987" s="121" t="n">
        <f aca="false">MIN((EC419+EC420)*$C$5,$F$15)*'⑫ Roll-out Plan'!$O$46</f>
        <v>0</v>
      </c>
      <c r="ED987" s="121" t="n">
        <f aca="false">MIN((ED419+ED420)*$C$5,$F$15)*'⑫ Roll-out Plan'!$O$46</f>
        <v>0</v>
      </c>
      <c r="EE987" s="121" t="n">
        <f aca="false">MIN((EE419+EE420)*$C$5,$F$15)*'⑫ Roll-out Plan'!$O$46</f>
        <v>0</v>
      </c>
      <c r="EF987" s="121" t="n">
        <f aca="false">MIN((EF419+EF420)*$C$5,$F$15)*'⑫ Roll-out Plan'!$O$46</f>
        <v>0</v>
      </c>
      <c r="EG987" s="121" t="n">
        <f aca="false">MIN((EG419+EG420)*$C$5,$F$15)*'⑫ Roll-out Plan'!$O$46</f>
        <v>0</v>
      </c>
      <c r="EH987" s="121" t="n">
        <f aca="false">MIN((EH419+EH420)*$C$5,$F$15)*'⑫ Roll-out Plan'!$O$46</f>
        <v>0</v>
      </c>
      <c r="EI987" s="121" t="n">
        <f aca="false">MIN((EI419+EI420)*$C$5,$F$15)*'⑫ Roll-out Plan'!$O$46</f>
        <v>0</v>
      </c>
      <c r="EJ987" s="121" t="n">
        <f aca="false">MIN((EJ419+EJ420)*$C$5,$F$15)*'⑫ Roll-out Plan'!$O$46</f>
        <v>0</v>
      </c>
      <c r="EK987" s="121" t="n">
        <f aca="false">MIN((EK419+EK420)*$C$5,$F$15)*'⑫ Roll-out Plan'!$O$46</f>
        <v>0</v>
      </c>
      <c r="EL987" s="121" t="n">
        <f aca="false">MIN((EL419+EL420)*$C$5,$F$15)*'⑫ Roll-out Plan'!$O$46</f>
        <v>0</v>
      </c>
      <c r="EM987" s="121" t="n">
        <f aca="false">MIN((EM419+EM420)*$C$5,$F$15)*'⑫ Roll-out Plan'!$O$46</f>
        <v>4071.48</v>
      </c>
      <c r="EN987" s="121" t="n">
        <f aca="false">MIN((EN419+EN420)*$C$5,$F$15)*'⑫ Roll-out Plan'!$O$46</f>
        <v>8092.16344</v>
      </c>
      <c r="EO987" s="121" t="n">
        <f aca="false">MIN((EO419+EO420)*$C$5,$F$15)*'⑫ Roll-out Plan'!$O$46</f>
        <v>7787.77184</v>
      </c>
      <c r="EP987" s="121" t="n">
        <f aca="false">MIN((EP419+EP420)*$C$5,$F$15)*'⑫ Roll-out Plan'!$O$46</f>
        <v>7369.7820704</v>
      </c>
      <c r="EQ987" s="121" t="n">
        <f aca="false">MIN((EQ419+EQ420)*$C$5,$F$15)*'⑫ Roll-out Plan'!$O$46</f>
        <v>5855.796416</v>
      </c>
      <c r="ER987" s="121" t="n">
        <f aca="false">MIN((ER419+ER420)*$C$5,$F$15)*'⑫ Roll-out Plan'!$O$46</f>
        <v>8663.838008</v>
      </c>
      <c r="ES987" s="9" t="n">
        <f aca="false">MIN((ES419+ES420)*$C$5,$F$15)*'⑫ Roll-out Plan'!$O$46</f>
        <v>10543.9233888</v>
      </c>
      <c r="ET987" s="9" t="n">
        <f aca="false">MIN((ET419+ET420)*$C$5,$F$15)*'⑫ Roll-out Plan'!$O$46</f>
        <v>9410.004576</v>
      </c>
      <c r="EU987" s="9" t="n">
        <f aca="false">MIN((EU419+EU420)*$C$5,$F$15)*'⑫ Roll-out Plan'!$O$46</f>
        <v>13988.1473024</v>
      </c>
      <c r="EV987" s="9" t="n">
        <f aca="false">MIN((EV419+EV420)*$C$5,$F$15)*'⑫ Roll-out Plan'!$O$46</f>
        <v>14011.4982096</v>
      </c>
      <c r="EW987" s="9" t="n">
        <f aca="false">MIN((EW419+EW420)*$C$5,$F$15)*'⑫ Roll-out Plan'!$O$46</f>
        <v>13085.5661056</v>
      </c>
      <c r="EX987" s="9" t="n">
        <f aca="false">MIN((EX419+EX420)*$C$5,$F$15)*'⑫ Roll-out Plan'!$O$46</f>
        <v>12475.673912</v>
      </c>
      <c r="EY987" s="9" t="n">
        <f aca="false">MIN((EY419+EY420)*$C$5,$F$15)*'⑫ Roll-out Plan'!$O$46</f>
        <v>13877.6667232</v>
      </c>
      <c r="EZ987" s="9" t="n">
        <f aca="false">MIN((EZ419+EZ420)*$C$5,$F$15)*'⑫ Roll-out Plan'!$O$46</f>
        <v>23540.676944</v>
      </c>
      <c r="FA987" s="9" t="n">
        <f aca="false">MIN((FA419+FA420)*$C$5,$F$15)*'⑫ Roll-out Plan'!$O$46</f>
        <v>21086.156144</v>
      </c>
      <c r="FB987" s="9" t="n">
        <f aca="false">MIN((FB419+FB420)*$C$5,$F$15)*'⑫ Roll-out Plan'!$O$46</f>
        <v>21666.4622496</v>
      </c>
      <c r="FC987" s="9" t="n">
        <f aca="false">MIN((FC419+FC420)*$C$5,$F$15)*'⑫ Roll-out Plan'!$O$46</f>
        <v>18174.000992</v>
      </c>
      <c r="FD987" s="9" t="n">
        <f aca="false">MIN((FD419+FD420)*$C$5,$F$15)*'⑫ Roll-out Plan'!$O$46</f>
        <v>24558.84009056</v>
      </c>
      <c r="FE987" s="9" t="n">
        <f aca="false">MIN((FE419+FE420)*$C$5,$F$15)*'⑫ Roll-out Plan'!$O$46</f>
        <v>27000</v>
      </c>
      <c r="FF987" s="9" t="n">
        <f aca="false">MIN((FF419+FF420)*$C$5,$F$15)*'⑫ Roll-out Plan'!$O$46</f>
        <v>22784.2560628</v>
      </c>
      <c r="FG987" s="9" t="n">
        <f aca="false">MIN((FG419+FG420)*$C$5,$F$15)*'⑫ Roll-out Plan'!$O$46</f>
        <v>27000</v>
      </c>
      <c r="FH987" s="9" t="n">
        <f aca="false">MIN((FH419+FH420)*$C$5,$F$15)*'⑫ Roll-out Plan'!$O$46</f>
        <v>27000</v>
      </c>
      <c r="FI987" s="9" t="n">
        <f aca="false">MIN((FI419+FI420)*$C$5,$F$15)*'⑫ Roll-out Plan'!$O$46</f>
        <v>27000</v>
      </c>
      <c r="FJ987" s="9" t="n">
        <f aca="false">MIN((FJ419+FJ420)*$C$5,$F$15)*'⑫ Roll-out Plan'!$O$46</f>
        <v>25728.48303828</v>
      </c>
      <c r="FK987" s="9" t="n">
        <f aca="false">MIN((FK419+FK420)*$C$5,$F$15)*'⑫ Roll-out Plan'!$O$46</f>
        <v>26663.36483696</v>
      </c>
      <c r="FL987" s="9" t="n">
        <f aca="false">MIN((FL419+FL420)*$C$5,$F$15)*'⑫ Roll-out Plan'!$O$46</f>
        <v>27000</v>
      </c>
      <c r="FM987" s="9" t="n">
        <f aca="false">MIN((FM419+FM420)*$C$5,$F$15)*'⑫ Roll-out Plan'!$O$46</f>
        <v>27000</v>
      </c>
      <c r="FN987" s="9" t="n">
        <f aca="false">MIN((FN419+FN420)*$C$5,$F$15)*'⑫ Roll-out Plan'!$O$46</f>
        <v>27000</v>
      </c>
      <c r="FO987" s="9" t="n">
        <f aca="false">MIN((FO419+FO420)*$C$5,$F$15)*'⑫ Roll-out Plan'!$O$46</f>
        <v>27000</v>
      </c>
      <c r="FP987" s="9" t="n">
        <f aca="false">MIN((FP419+FP420)*$C$5,$F$15)*'⑫ Roll-out Plan'!$O$46</f>
        <v>27000</v>
      </c>
    </row>
    <row r="988" customFormat="false" ht="15" hidden="false" customHeight="false" outlineLevel="0" collapsed="false">
      <c r="B988" s="254" t="s">
        <v>1013</v>
      </c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121" t="n">
        <f aca="false">MIN((AC429+AC430)*$C$5,$F$16)*'⑫ Roll-out Plan'!$O$47</f>
        <v>0</v>
      </c>
      <c r="AD988" s="121" t="n">
        <f aca="false">MIN((AD429+AD430)*$C$5,$F$16)*'⑫ Roll-out Plan'!$O$47</f>
        <v>0</v>
      </c>
      <c r="AE988" s="121" t="n">
        <f aca="false">MIN((AE429+AE430)*$C$5,$F$16)*'⑫ Roll-out Plan'!$O$47</f>
        <v>0</v>
      </c>
      <c r="AF988" s="121" t="n">
        <f aca="false">MIN((AF429+AF430)*$C$5,$F$16)*'⑫ Roll-out Plan'!$O$47</f>
        <v>0</v>
      </c>
      <c r="AG988" s="121" t="n">
        <f aca="false">MIN((AG429+AG430)*$C$5,$F$16)*'⑫ Roll-out Plan'!$O$47</f>
        <v>0</v>
      </c>
      <c r="AH988" s="121" t="n">
        <f aca="false">MIN((AH429+AH430)*$C$5,$F$16)*'⑫ Roll-out Plan'!$O$47</f>
        <v>0</v>
      </c>
      <c r="AI988" s="121" t="n">
        <f aca="false">MIN((AI429+AI430)*$C$5,$F$16)*'⑫ Roll-out Plan'!$O$47</f>
        <v>0</v>
      </c>
      <c r="AJ988" s="121" t="n">
        <f aca="false">MIN((AJ429+AJ430)*$C$5,$F$16)*'⑫ Roll-out Plan'!$O$47</f>
        <v>0</v>
      </c>
      <c r="AK988" s="121" t="n">
        <f aca="false">MIN((AK429+AK430)*$C$5,$F$16)*'⑫ Roll-out Plan'!$O$47</f>
        <v>0</v>
      </c>
      <c r="AL988" s="121" t="n">
        <f aca="false">MIN((AL429+AL430)*$C$5,$F$16)*'⑫ Roll-out Plan'!$O$47</f>
        <v>0</v>
      </c>
      <c r="AM988" s="121" t="n">
        <f aca="false">MIN((AM429+AM430)*$C$5,$F$16)*'⑫ Roll-out Plan'!$O$47</f>
        <v>0</v>
      </c>
      <c r="AN988" s="121" t="n">
        <f aca="false">MIN((AN429+AN430)*$C$5,$F$16)*'⑫ Roll-out Plan'!$O$47</f>
        <v>0</v>
      </c>
      <c r="AO988" s="121" t="n">
        <f aca="false">MIN((AO429+AO430)*$C$5,$F$16)*'⑫ Roll-out Plan'!$O$47</f>
        <v>0</v>
      </c>
      <c r="AP988" s="121" t="n">
        <f aca="false">MIN((AP429+AP430)*$C$5,$F$16)*'⑫ Roll-out Plan'!$O$47</f>
        <v>0</v>
      </c>
      <c r="AQ988" s="121" t="n">
        <f aca="false">MIN((AQ429+AQ430)*$C$5,$F$16)*'⑫ Roll-out Plan'!$O$47</f>
        <v>0</v>
      </c>
      <c r="AR988" s="121" t="n">
        <f aca="false">MIN((AR429+AR430)*$C$5,$F$16)*'⑫ Roll-out Plan'!$O$47</f>
        <v>0</v>
      </c>
      <c r="AS988" s="121" t="n">
        <f aca="false">MIN((AS429+AS430)*$C$5,$F$16)*'⑫ Roll-out Plan'!$O$47</f>
        <v>0</v>
      </c>
      <c r="AT988" s="121" t="n">
        <f aca="false">MIN((AT429+AT430)*$C$5,$F$16)*'⑫ Roll-out Plan'!$O$47</f>
        <v>0</v>
      </c>
      <c r="AU988" s="121" t="n">
        <f aca="false">MIN((AU429+AU430)*$C$5,$F$16)*'⑫ Roll-out Plan'!$O$47</f>
        <v>0</v>
      </c>
      <c r="AV988" s="121" t="n">
        <f aca="false">MIN((AV429+AV430)*$C$5,$F$16)*'⑫ Roll-out Plan'!$O$47</f>
        <v>0</v>
      </c>
      <c r="AW988" s="121" t="n">
        <f aca="false">MIN((AW429+AW430)*$C$5,$F$16)*'⑫ Roll-out Plan'!$O$47</f>
        <v>0</v>
      </c>
      <c r="AX988" s="121" t="n">
        <f aca="false">MIN((AX429+AX430)*$C$5,$F$16)*'⑫ Roll-out Plan'!$O$47</f>
        <v>0</v>
      </c>
      <c r="AY988" s="121" t="n">
        <f aca="false">MIN((AY429+AY430)*$C$5,$F$16)*'⑫ Roll-out Plan'!$O$47</f>
        <v>0</v>
      </c>
      <c r="AZ988" s="121" t="n">
        <f aca="false">MIN((AZ429+AZ430)*$C$5,$F$16)*'⑫ Roll-out Plan'!$O$47</f>
        <v>0</v>
      </c>
      <c r="BA988" s="121" t="n">
        <f aca="false">MIN((BA429+BA430)*$C$5,$F$16)*'⑫ Roll-out Plan'!$O$47</f>
        <v>0</v>
      </c>
      <c r="BB988" s="121" t="n">
        <f aca="false">MIN((BB429+BB430)*$C$5,$F$16)*'⑫ Roll-out Plan'!$O$47</f>
        <v>0</v>
      </c>
      <c r="BC988" s="121" t="n">
        <f aca="false">MIN((BC429+BC430)*$C$5,$F$16)*'⑫ Roll-out Plan'!$O$47</f>
        <v>0</v>
      </c>
      <c r="BD988" s="121" t="n">
        <f aca="false">MIN((BD429+BD430)*$C$5,$F$16)*'⑫ Roll-out Plan'!$O$47</f>
        <v>0</v>
      </c>
      <c r="BE988" s="121" t="n">
        <f aca="false">MIN((BE429+BE430)*$C$5,$F$16)*'⑫ Roll-out Plan'!$O$47</f>
        <v>0</v>
      </c>
      <c r="BF988" s="121" t="n">
        <f aca="false">MIN((BF429+BF430)*$C$5,$F$16)*'⑫ Roll-out Plan'!$O$47</f>
        <v>0</v>
      </c>
      <c r="BG988" s="121" t="n">
        <f aca="false">MIN((BG429+BG430)*$C$5,$F$16)*'⑫ Roll-out Plan'!$O$47</f>
        <v>0</v>
      </c>
      <c r="BH988" s="121" t="n">
        <f aca="false">MIN((BH429+BH430)*$C$5,$F$16)*'⑫ Roll-out Plan'!$O$47</f>
        <v>0</v>
      </c>
      <c r="BI988" s="121" t="n">
        <f aca="false">MIN((BI429+BI430)*$C$5,$F$16)*'⑫ Roll-out Plan'!$O$47</f>
        <v>0</v>
      </c>
      <c r="BJ988" s="121" t="n">
        <f aca="false">MIN((BJ429+BJ430)*$C$5,$F$16)*'⑫ Roll-out Plan'!$O$47</f>
        <v>0</v>
      </c>
      <c r="BK988" s="121" t="n">
        <f aca="false">MIN((BK429+BK430)*$C$5,$F$16)*'⑫ Roll-out Plan'!$O$47</f>
        <v>0</v>
      </c>
      <c r="BL988" s="121" t="n">
        <f aca="false">MIN((BL429+BL430)*$C$5,$F$16)*'⑫ Roll-out Plan'!$O$47</f>
        <v>0</v>
      </c>
      <c r="BM988" s="121" t="n">
        <f aca="false">MIN((BM429+BM430)*$C$5,$F$16)*'⑫ Roll-out Plan'!$O$47</f>
        <v>0</v>
      </c>
      <c r="BN988" s="121" t="n">
        <f aca="false">MIN((BN429+BN430)*$C$5,$F$16)*'⑫ Roll-out Plan'!$O$47</f>
        <v>0</v>
      </c>
      <c r="BO988" s="121" t="n">
        <f aca="false">MIN((BO429+BO430)*$C$5,$F$16)*'⑫ Roll-out Plan'!$O$47</f>
        <v>0</v>
      </c>
      <c r="BP988" s="121" t="n">
        <f aca="false">MIN((BP429+BP430)*$C$5,$F$16)*'⑫ Roll-out Plan'!$O$47</f>
        <v>0</v>
      </c>
      <c r="BQ988" s="121" t="n">
        <f aca="false">MIN((BQ429+BQ430)*$C$5,$F$16)*'⑫ Roll-out Plan'!$O$47</f>
        <v>0</v>
      </c>
      <c r="BR988" s="121" t="n">
        <f aca="false">MIN((BR429+BR430)*$C$5,$F$16)*'⑫ Roll-out Plan'!$O$47</f>
        <v>0</v>
      </c>
      <c r="BS988" s="121" t="n">
        <f aca="false">MIN((BS429+BS430)*$C$5,$F$16)*'⑫ Roll-out Plan'!$O$47</f>
        <v>0</v>
      </c>
      <c r="BT988" s="121" t="n">
        <f aca="false">MIN((BT429+BT430)*$C$5,$F$16)*'⑫ Roll-out Plan'!$O$47</f>
        <v>0</v>
      </c>
      <c r="BU988" s="121" t="n">
        <f aca="false">MIN((BU429+BU430)*$C$5,$F$16)*'⑫ Roll-out Plan'!$O$47</f>
        <v>0</v>
      </c>
      <c r="BV988" s="121" t="n">
        <f aca="false">MIN((BV429+BV430)*$C$5,$F$16)*'⑫ Roll-out Plan'!$O$47</f>
        <v>0</v>
      </c>
      <c r="BW988" s="121" t="n">
        <f aca="false">MIN((BW429+BW430)*$C$5,$F$16)*'⑫ Roll-out Plan'!$O$47</f>
        <v>0</v>
      </c>
      <c r="BX988" s="121" t="n">
        <f aca="false">MIN((BX429+BX430)*$C$5,$F$16)*'⑫ Roll-out Plan'!$O$47</f>
        <v>0</v>
      </c>
      <c r="BY988" s="121" t="n">
        <f aca="false">MIN((BY429+BY430)*$C$5,$F$16)*'⑫ Roll-out Plan'!$O$47</f>
        <v>0</v>
      </c>
      <c r="BZ988" s="121" t="n">
        <f aca="false">MIN((BZ429+BZ430)*$C$5,$F$16)*'⑫ Roll-out Plan'!$O$47</f>
        <v>0</v>
      </c>
      <c r="CA988" s="121" t="n">
        <f aca="false">MIN((CA429+CA430)*$C$5,$F$16)*'⑫ Roll-out Plan'!$O$47</f>
        <v>0</v>
      </c>
      <c r="CB988" s="121" t="n">
        <f aca="false">MIN((CB429+CB430)*$C$5,$F$16)*'⑫ Roll-out Plan'!$O$47</f>
        <v>0</v>
      </c>
      <c r="CC988" s="121" t="n">
        <f aca="false">MIN((CC429+CC430)*$C$5,$F$16)*'⑫ Roll-out Plan'!$O$47</f>
        <v>0</v>
      </c>
      <c r="CD988" s="121" t="n">
        <f aca="false">MIN((CD429+CD430)*$C$5,$F$16)*'⑫ Roll-out Plan'!$O$47</f>
        <v>0</v>
      </c>
      <c r="CE988" s="121" t="n">
        <f aca="false">MIN((CE429+CE430)*$C$5,$F$16)*'⑫ Roll-out Plan'!$O$47</f>
        <v>0</v>
      </c>
      <c r="CF988" s="121" t="n">
        <f aca="false">MIN((CF429+CF430)*$C$5,$F$16)*'⑫ Roll-out Plan'!$O$47</f>
        <v>0</v>
      </c>
      <c r="CG988" s="121" t="n">
        <f aca="false">MIN((CG429+CG430)*$C$5,$F$16)*'⑫ Roll-out Plan'!$O$47</f>
        <v>0</v>
      </c>
      <c r="CH988" s="121" t="n">
        <f aca="false">MIN((CH429+CH430)*$C$5,$F$16)*'⑫ Roll-out Plan'!$O$47</f>
        <v>0</v>
      </c>
      <c r="CI988" s="121" t="n">
        <f aca="false">MIN((CI429+CI430)*$C$5,$F$16)*'⑫ Roll-out Plan'!$O$47</f>
        <v>0</v>
      </c>
      <c r="CJ988" s="121" t="n">
        <f aca="false">MIN((CJ429+CJ430)*$C$5,$F$16)*'⑫ Roll-out Plan'!$O$47</f>
        <v>0</v>
      </c>
      <c r="CK988" s="121" t="n">
        <f aca="false">MIN((CK429+CK430)*$C$5,$F$16)*'⑫ Roll-out Plan'!$O$47</f>
        <v>0</v>
      </c>
      <c r="CL988" s="121" t="n">
        <f aca="false">MIN((CL429+CL430)*$C$5,$F$16)*'⑫ Roll-out Plan'!$O$47</f>
        <v>0</v>
      </c>
      <c r="CM988" s="121" t="n">
        <f aca="false">MIN((CM429+CM430)*$C$5,$F$16)*'⑫ Roll-out Plan'!$O$47</f>
        <v>0</v>
      </c>
      <c r="CN988" s="121" t="n">
        <f aca="false">MIN((CN429+CN430)*$C$5,$F$16)*'⑫ Roll-out Plan'!$O$47</f>
        <v>0</v>
      </c>
      <c r="CO988" s="121" t="n">
        <f aca="false">MIN((CO429+CO430)*$C$5,$F$16)*'⑫ Roll-out Plan'!$O$47</f>
        <v>0</v>
      </c>
      <c r="CP988" s="121" t="n">
        <f aca="false">MIN((CP429+CP430)*$C$5,$F$16)*'⑫ Roll-out Plan'!$O$47</f>
        <v>0</v>
      </c>
      <c r="CQ988" s="121" t="n">
        <f aca="false">MIN((CQ429+CQ430)*$C$5,$F$16)*'⑫ Roll-out Plan'!$O$47</f>
        <v>0</v>
      </c>
      <c r="CR988" s="121" t="n">
        <f aca="false">MIN((CR429+CR430)*$C$5,$F$16)*'⑫ Roll-out Plan'!$O$47</f>
        <v>0</v>
      </c>
      <c r="CS988" s="121" t="n">
        <f aca="false">MIN((CS429+CS430)*$C$5,$F$16)*'⑫ Roll-out Plan'!$O$47</f>
        <v>0</v>
      </c>
      <c r="CT988" s="121" t="n">
        <f aca="false">MIN((CT429+CT430)*$C$5,$F$16)*'⑫ Roll-out Plan'!$O$47</f>
        <v>0</v>
      </c>
      <c r="CU988" s="121" t="n">
        <f aca="false">MIN((CU429+CU430)*$C$5,$F$16)*'⑫ Roll-out Plan'!$O$47</f>
        <v>0</v>
      </c>
      <c r="CV988" s="121" t="n">
        <f aca="false">MIN((CV429+CV430)*$C$5,$F$16)*'⑫ Roll-out Plan'!$O$47</f>
        <v>0</v>
      </c>
      <c r="CW988" s="121" t="n">
        <f aca="false">MIN((CW429+CW430)*$C$5,$F$16)*'⑫ Roll-out Plan'!$O$47</f>
        <v>0</v>
      </c>
      <c r="CX988" s="121" t="n">
        <f aca="false">MIN((CX429+CX430)*$C$5,$F$16)*'⑫ Roll-out Plan'!$O$47</f>
        <v>0</v>
      </c>
      <c r="CY988" s="121" t="n">
        <f aca="false">MIN((CY429+CY430)*$C$5,$F$16)*'⑫ Roll-out Plan'!$O$47</f>
        <v>0</v>
      </c>
      <c r="CZ988" s="121" t="n">
        <f aca="false">MIN((CZ429+CZ430)*$C$5,$F$16)*'⑫ Roll-out Plan'!$O$47</f>
        <v>0</v>
      </c>
      <c r="DA988" s="121" t="n">
        <f aca="false">MIN((DA429+DA430)*$C$5,$F$16)*'⑫ Roll-out Plan'!$O$47</f>
        <v>0</v>
      </c>
      <c r="DB988" s="121" t="n">
        <f aca="false">MIN((DB429+DB430)*$C$5,$F$16)*'⑫ Roll-out Plan'!$O$47</f>
        <v>0</v>
      </c>
      <c r="DC988" s="121" t="n">
        <f aca="false">MIN((DC429+DC430)*$C$5,$F$16)*'⑫ Roll-out Plan'!$O$47</f>
        <v>0</v>
      </c>
      <c r="DD988" s="121" t="n">
        <f aca="false">MIN((DD429+DD430)*$C$5,$F$16)*'⑫ Roll-out Plan'!$O$47</f>
        <v>0</v>
      </c>
      <c r="DE988" s="121" t="n">
        <f aca="false">MIN((DE429+DE430)*$C$5,$F$16)*'⑫ Roll-out Plan'!$O$47</f>
        <v>0</v>
      </c>
      <c r="DF988" s="121" t="n">
        <f aca="false">MIN((DF429+DF430)*$C$5,$F$16)*'⑫ Roll-out Plan'!$O$47</f>
        <v>0</v>
      </c>
      <c r="DG988" s="121" t="n">
        <f aca="false">MIN((DG429+DG430)*$C$5,$F$16)*'⑫ Roll-out Plan'!$O$47</f>
        <v>0</v>
      </c>
      <c r="DH988" s="121" t="n">
        <f aca="false">MIN((DH429+DH430)*$C$5,$F$16)*'⑫ Roll-out Plan'!$O$47</f>
        <v>0</v>
      </c>
      <c r="DI988" s="121" t="n">
        <f aca="false">MIN((DI429+DI430)*$C$5,$F$16)*'⑫ Roll-out Plan'!$O$47</f>
        <v>0</v>
      </c>
      <c r="DJ988" s="121" t="n">
        <f aca="false">MIN((DJ429+DJ430)*$C$5,$F$16)*'⑫ Roll-out Plan'!$O$47</f>
        <v>0</v>
      </c>
      <c r="DK988" s="121" t="n">
        <f aca="false">MIN((DK429+DK430)*$C$5,$F$16)*'⑫ Roll-out Plan'!$O$47</f>
        <v>0</v>
      </c>
      <c r="DL988" s="121" t="n">
        <f aca="false">MIN((DL429+DL430)*$C$5,$F$16)*'⑫ Roll-out Plan'!$O$47</f>
        <v>0</v>
      </c>
      <c r="DM988" s="121" t="n">
        <f aca="false">MIN((DM429+DM430)*$C$5,$F$16)*'⑫ Roll-out Plan'!$O$47</f>
        <v>0</v>
      </c>
      <c r="DN988" s="121" t="n">
        <f aca="false">MIN((DN429+DN430)*$C$5,$F$16)*'⑫ Roll-out Plan'!$O$47</f>
        <v>0</v>
      </c>
      <c r="DO988" s="121" t="n">
        <f aca="false">MIN((DO429+DO430)*$C$5,$F$16)*'⑫ Roll-out Plan'!$O$47</f>
        <v>0</v>
      </c>
      <c r="DP988" s="121" t="n">
        <f aca="false">MIN((DP429+DP430)*$C$5,$F$16)*'⑫ Roll-out Plan'!$O$47</f>
        <v>0</v>
      </c>
      <c r="DQ988" s="121" t="n">
        <f aca="false">MIN((DQ429+DQ430)*$C$5,$F$16)*'⑫ Roll-out Plan'!$O$47</f>
        <v>0</v>
      </c>
      <c r="DR988" s="121" t="n">
        <f aca="false">MIN((DR429+DR430)*$C$5,$F$16)*'⑫ Roll-out Plan'!$O$47</f>
        <v>0</v>
      </c>
      <c r="DS988" s="121" t="n">
        <f aca="false">MIN((DS429+DS430)*$C$5,$F$16)*'⑫ Roll-out Plan'!$O$47</f>
        <v>0</v>
      </c>
      <c r="DT988" s="121" t="n">
        <f aca="false">MIN((DT429+DT430)*$C$5,$F$16)*'⑫ Roll-out Plan'!$O$47</f>
        <v>0</v>
      </c>
      <c r="DU988" s="121" t="n">
        <f aca="false">MIN((DU429+DU430)*$C$5,$F$16)*'⑫ Roll-out Plan'!$O$47</f>
        <v>0</v>
      </c>
      <c r="DV988" s="121" t="n">
        <f aca="false">MIN((DV429+DV430)*$C$5,$F$16)*'⑫ Roll-out Plan'!$O$47</f>
        <v>0</v>
      </c>
      <c r="DW988" s="121" t="n">
        <f aca="false">MIN((DW429+DW430)*$C$5,$F$16)*'⑫ Roll-out Plan'!$O$47</f>
        <v>0</v>
      </c>
      <c r="DX988" s="121" t="n">
        <f aca="false">MIN((DX429+DX430)*$C$5,$F$16)*'⑫ Roll-out Plan'!$O$47</f>
        <v>0</v>
      </c>
      <c r="DY988" s="121" t="n">
        <f aca="false">MIN((DY429+DY430)*$C$5,$F$16)*'⑫ Roll-out Plan'!$O$47</f>
        <v>0</v>
      </c>
      <c r="DZ988" s="121" t="n">
        <f aca="false">MIN((DZ429+DZ430)*$C$5,$F$16)*'⑫ Roll-out Plan'!$O$47</f>
        <v>0</v>
      </c>
      <c r="EA988" s="121" t="n">
        <f aca="false">MIN((EA429+EA430)*$C$5,$F$16)*'⑫ Roll-out Plan'!$O$47</f>
        <v>0</v>
      </c>
      <c r="EB988" s="121" t="n">
        <f aca="false">MIN((EB429+EB430)*$C$5,$F$16)*'⑫ Roll-out Plan'!$O$47</f>
        <v>0</v>
      </c>
      <c r="EC988" s="121" t="n">
        <f aca="false">MIN((EC429+EC430)*$C$5,$F$16)*'⑫ Roll-out Plan'!$O$47</f>
        <v>0</v>
      </c>
      <c r="ED988" s="121" t="n">
        <f aca="false">MIN((ED429+ED430)*$C$5,$F$16)*'⑫ Roll-out Plan'!$O$47</f>
        <v>0</v>
      </c>
      <c r="EE988" s="121" t="n">
        <f aca="false">MIN((EE429+EE430)*$C$5,$F$16)*'⑫ Roll-out Plan'!$O$47</f>
        <v>0</v>
      </c>
      <c r="EF988" s="121" t="n">
        <f aca="false">MIN((EF429+EF430)*$C$5,$F$16)*'⑫ Roll-out Plan'!$O$47</f>
        <v>0</v>
      </c>
      <c r="EG988" s="121" t="n">
        <f aca="false">MIN((EG429+EG430)*$C$5,$F$16)*'⑫ Roll-out Plan'!$O$47</f>
        <v>0</v>
      </c>
      <c r="EH988" s="121" t="n">
        <f aca="false">MIN((EH429+EH430)*$C$5,$F$16)*'⑫ Roll-out Plan'!$O$47</f>
        <v>0</v>
      </c>
      <c r="EI988" s="121" t="n">
        <f aca="false">MIN((EI429+EI430)*$C$5,$F$16)*'⑫ Roll-out Plan'!$O$47</f>
        <v>0</v>
      </c>
      <c r="EJ988" s="121" t="n">
        <f aca="false">MIN((EJ429+EJ430)*$C$5,$F$16)*'⑫ Roll-out Plan'!$O$47</f>
        <v>0</v>
      </c>
      <c r="EK988" s="121" t="n">
        <f aca="false">MIN((EK429+EK430)*$C$5,$F$16)*'⑫ Roll-out Plan'!$O$47</f>
        <v>0</v>
      </c>
      <c r="EL988" s="121" t="n">
        <f aca="false">MIN((EL429+EL430)*$C$5,$F$16)*'⑫ Roll-out Plan'!$O$47</f>
        <v>2305.6</v>
      </c>
      <c r="EM988" s="121" t="n">
        <f aca="false">MIN((EM429+EM430)*$C$5,$F$16)*'⑫ Roll-out Plan'!$O$47</f>
        <v>2958.0848</v>
      </c>
      <c r="EN988" s="121" t="n">
        <f aca="false">MIN((EN429+EN430)*$C$5,$F$16)*'⑫ Roll-out Plan'!$O$47</f>
        <v>5292.366464</v>
      </c>
      <c r="EO988" s="121" t="n">
        <f aca="false">MIN((EO429+EO430)*$C$5,$F$16)*'⑫ Roll-out Plan'!$O$47</f>
        <v>5240.3244608</v>
      </c>
      <c r="EP988" s="121" t="n">
        <f aca="false">MIN((EP429+EP430)*$C$5,$F$16)*'⑫ Roll-out Plan'!$O$47</f>
        <v>4488.357632</v>
      </c>
      <c r="EQ988" s="121" t="n">
        <f aca="false">MIN((EQ429+EQ430)*$C$5,$F$16)*'⑫ Roll-out Plan'!$O$47</f>
        <v>3940.0582848</v>
      </c>
      <c r="ER988" s="121" t="n">
        <f aca="false">MIN((ER429+ER430)*$C$5,$F$16)*'⑫ Roll-out Plan'!$O$47</f>
        <v>5822.3824032</v>
      </c>
      <c r="ES988" s="9" t="n">
        <f aca="false">MIN((ES429+ES430)*$C$5,$F$16)*'⑫ Roll-out Plan'!$O$47</f>
        <v>7022.8299328</v>
      </c>
      <c r="ET988" s="9" t="n">
        <f aca="false">MIN((ET429+ET430)*$C$5,$F$16)*'⑫ Roll-out Plan'!$O$47</f>
        <v>6306.991856</v>
      </c>
      <c r="EU988" s="9" t="n">
        <f aca="false">MIN((EU429+EU430)*$C$5,$F$16)*'⑫ Roll-out Plan'!$O$47</f>
        <v>8454.589088</v>
      </c>
      <c r="EV988" s="9" t="n">
        <f aca="false">MIN((EV429+EV430)*$C$5,$F$16)*'⑫ Roll-out Plan'!$O$47</f>
        <v>9053.9436416</v>
      </c>
      <c r="EW988" s="9" t="n">
        <f aca="false">MIN((EW429+EW430)*$C$5,$F$16)*'⑫ Roll-out Plan'!$O$47</f>
        <v>8438.864896</v>
      </c>
      <c r="EX988" s="9" t="n">
        <f aca="false">MIN((EX429+EX430)*$C$5,$F$16)*'⑫ Roll-out Plan'!$O$47</f>
        <v>8056.6286944</v>
      </c>
      <c r="EY988" s="9" t="n">
        <f aca="false">MIN((EY429+EY430)*$C$5,$F$16)*'⑫ Roll-out Plan'!$O$47</f>
        <v>8936.2565952</v>
      </c>
      <c r="EZ988" s="9" t="n">
        <f aca="false">MIN((EZ429+EZ430)*$C$5,$F$16)*'⑫ Roll-out Plan'!$O$47</f>
        <v>14153.9262304</v>
      </c>
      <c r="FA988" s="9" t="n">
        <f aca="false">MIN((FA429+FA430)*$C$5,$F$16)*'⑫ Roll-out Plan'!$O$47</f>
        <v>15259.0418112</v>
      </c>
      <c r="FB988" s="9" t="n">
        <f aca="false">MIN((FB429+FB430)*$C$5,$F$16)*'⑫ Roll-out Plan'!$O$47</f>
        <v>13803.3090272</v>
      </c>
      <c r="FC988" s="9" t="n">
        <f aca="false">MIN((FC429+FC430)*$C$5,$F$16)*'⑫ Roll-out Plan'!$O$47</f>
        <v>11422.34265216</v>
      </c>
      <c r="FD988" s="9" t="n">
        <f aca="false">MIN((FD429+FD430)*$C$5,$F$16)*'⑫ Roll-out Plan'!$O$47</f>
        <v>15215.46735456</v>
      </c>
      <c r="FE988" s="9" t="n">
        <f aca="false">MIN((FE429+FE430)*$C$5,$F$16)*'⑫ Roll-out Plan'!$O$47</f>
        <v>16679.61926752</v>
      </c>
      <c r="FF988" s="9" t="n">
        <f aca="false">MIN((FF429+FF430)*$C$5,$F$16)*'⑫ Roll-out Plan'!$O$47</f>
        <v>14054.0695416</v>
      </c>
      <c r="FG988" s="9" t="n">
        <f aca="false">MIN((FG429+FG430)*$C$5,$F$16)*'⑫ Roll-out Plan'!$O$47</f>
        <v>18664.9375352</v>
      </c>
      <c r="FH988" s="9" t="n">
        <f aca="false">MIN((FH429+FH430)*$C$5,$F$16)*'⑫ Roll-out Plan'!$O$47</f>
        <v>19073.750388</v>
      </c>
      <c r="FI988" s="9" t="n">
        <f aca="false">MIN((FI429+FI430)*$C$5,$F$16)*'⑫ Roll-out Plan'!$O$47</f>
        <v>17195.91838536</v>
      </c>
      <c r="FJ988" s="9" t="n">
        <f aca="false">MIN((FJ429+FJ430)*$C$5,$F$16)*'⑫ Roll-out Plan'!$O$47</f>
        <v>15587.19866616</v>
      </c>
      <c r="FK988" s="9" t="n">
        <f aca="false">MIN((FK429+FK430)*$C$5,$F$16)*'⑫ Roll-out Plan'!$O$47</f>
        <v>16288.51284632</v>
      </c>
      <c r="FL988" s="9" t="n">
        <f aca="false">MIN((FL429+FL430)*$C$5,$F$16)*'⑫ Roll-out Plan'!$O$47</f>
        <v>23000</v>
      </c>
      <c r="FM988" s="9" t="n">
        <f aca="false">MIN((FM429+FM430)*$C$5,$F$16)*'⑫ Roll-out Plan'!$O$47</f>
        <v>23000</v>
      </c>
      <c r="FN988" s="9" t="n">
        <f aca="false">MIN((FN429+FN430)*$C$5,$F$16)*'⑫ Roll-out Plan'!$O$47</f>
        <v>20644.04394008</v>
      </c>
      <c r="FO988" s="9" t="n">
        <f aca="false">MIN((FO429+FO430)*$C$5,$F$16)*'⑫ Roll-out Plan'!$O$47</f>
        <v>17028.64733592</v>
      </c>
      <c r="FP988" s="9" t="n">
        <f aca="false">MIN((FP429+FP430)*$C$5,$F$16)*'⑫ Roll-out Plan'!$O$47</f>
        <v>21372.50010456</v>
      </c>
    </row>
    <row r="989" customFormat="false" ht="15" hidden="false" customHeight="false" outlineLevel="0" collapsed="false">
      <c r="B989" s="254" t="s">
        <v>1014</v>
      </c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121" t="n">
        <f aca="false">MIN((AC439+AC440)*$C$5,$F$15)*'⑫ Roll-out Plan'!$O$48</f>
        <v>0</v>
      </c>
      <c r="AD989" s="121" t="n">
        <f aca="false">MIN((AD439+AD440)*$C$5,$F$15)*'⑫ Roll-out Plan'!$O$48</f>
        <v>0</v>
      </c>
      <c r="AE989" s="121" t="n">
        <f aca="false">MIN((AE439+AE440)*$C$5,$F$15)*'⑫ Roll-out Plan'!$O$48</f>
        <v>0</v>
      </c>
      <c r="AF989" s="121" t="n">
        <f aca="false">MIN((AF439+AF440)*$C$5,$F$15)*'⑫ Roll-out Plan'!$O$48</f>
        <v>0</v>
      </c>
      <c r="AG989" s="121" t="n">
        <f aca="false">MIN((AG439+AG440)*$C$5,$F$15)*'⑫ Roll-out Plan'!$O$48</f>
        <v>0</v>
      </c>
      <c r="AH989" s="121" t="n">
        <f aca="false">MIN((AH439+AH440)*$C$5,$F$15)*'⑫ Roll-out Plan'!$O$48</f>
        <v>0</v>
      </c>
      <c r="AI989" s="121" t="n">
        <f aca="false">MIN((AI439+AI440)*$C$5,$F$15)*'⑫ Roll-out Plan'!$O$48</f>
        <v>0</v>
      </c>
      <c r="AJ989" s="121" t="n">
        <f aca="false">MIN((AJ439+AJ440)*$C$5,$F$15)*'⑫ Roll-out Plan'!$O$48</f>
        <v>0</v>
      </c>
      <c r="AK989" s="121" t="n">
        <f aca="false">MIN((AK439+AK440)*$C$5,$F$15)*'⑫ Roll-out Plan'!$O$48</f>
        <v>0</v>
      </c>
      <c r="AL989" s="121" t="n">
        <f aca="false">MIN((AL439+AL440)*$C$5,$F$15)*'⑫ Roll-out Plan'!$O$48</f>
        <v>0</v>
      </c>
      <c r="AM989" s="121" t="n">
        <f aca="false">MIN((AM439+AM440)*$C$5,$F$15)*'⑫ Roll-out Plan'!$O$48</f>
        <v>0</v>
      </c>
      <c r="AN989" s="121" t="n">
        <f aca="false">MIN((AN439+AN440)*$C$5,$F$15)*'⑫ Roll-out Plan'!$O$48</f>
        <v>0</v>
      </c>
      <c r="AO989" s="121" t="n">
        <f aca="false">MIN((AO439+AO440)*$C$5,$F$15)*'⑫ Roll-out Plan'!$O$48</f>
        <v>0</v>
      </c>
      <c r="AP989" s="121" t="n">
        <f aca="false">MIN((AP439+AP440)*$C$5,$F$15)*'⑫ Roll-out Plan'!$O$48</f>
        <v>0</v>
      </c>
      <c r="AQ989" s="121" t="n">
        <f aca="false">MIN((AQ439+AQ440)*$C$5,$F$15)*'⑫ Roll-out Plan'!$O$48</f>
        <v>0</v>
      </c>
      <c r="AR989" s="121" t="n">
        <f aca="false">MIN((AR439+AR440)*$C$5,$F$15)*'⑫ Roll-out Plan'!$O$48</f>
        <v>0</v>
      </c>
      <c r="AS989" s="121" t="n">
        <f aca="false">MIN((AS439+AS440)*$C$5,$F$15)*'⑫ Roll-out Plan'!$O$48</f>
        <v>0</v>
      </c>
      <c r="AT989" s="121" t="n">
        <f aca="false">MIN((AT439+AT440)*$C$5,$F$15)*'⑫ Roll-out Plan'!$O$48</f>
        <v>0</v>
      </c>
      <c r="AU989" s="121" t="n">
        <f aca="false">MIN((AU439+AU440)*$C$5,$F$15)*'⑫ Roll-out Plan'!$O$48</f>
        <v>0</v>
      </c>
      <c r="AV989" s="121" t="n">
        <f aca="false">MIN((AV439+AV440)*$C$5,$F$15)*'⑫ Roll-out Plan'!$O$48</f>
        <v>0</v>
      </c>
      <c r="AW989" s="121" t="n">
        <f aca="false">MIN((AW439+AW440)*$C$5,$F$15)*'⑫ Roll-out Plan'!$O$48</f>
        <v>0</v>
      </c>
      <c r="AX989" s="121" t="n">
        <f aca="false">MIN((AX439+AX440)*$C$5,$F$15)*'⑫ Roll-out Plan'!$O$48</f>
        <v>0</v>
      </c>
      <c r="AY989" s="121" t="n">
        <f aca="false">MIN((AY439+AY440)*$C$5,$F$15)*'⑫ Roll-out Plan'!$O$48</f>
        <v>0</v>
      </c>
      <c r="AZ989" s="121" t="n">
        <f aca="false">MIN((AZ439+AZ440)*$C$5,$F$15)*'⑫ Roll-out Plan'!$O$48</f>
        <v>0</v>
      </c>
      <c r="BA989" s="121" t="n">
        <f aca="false">MIN((BA439+BA440)*$C$5,$F$15)*'⑫ Roll-out Plan'!$O$48</f>
        <v>0</v>
      </c>
      <c r="BB989" s="121" t="n">
        <f aca="false">MIN((BB439+BB440)*$C$5,$F$15)*'⑫ Roll-out Plan'!$O$48</f>
        <v>0</v>
      </c>
      <c r="BC989" s="121" t="n">
        <f aca="false">MIN((BC439+BC440)*$C$5,$F$15)*'⑫ Roll-out Plan'!$O$48</f>
        <v>0</v>
      </c>
      <c r="BD989" s="121" t="n">
        <f aca="false">MIN((BD439+BD440)*$C$5,$F$15)*'⑫ Roll-out Plan'!$O$48</f>
        <v>0</v>
      </c>
      <c r="BE989" s="121" t="n">
        <f aca="false">MIN((BE439+BE440)*$C$5,$F$15)*'⑫ Roll-out Plan'!$O$48</f>
        <v>0</v>
      </c>
      <c r="BF989" s="121" t="n">
        <f aca="false">MIN((BF439+BF440)*$C$5,$F$15)*'⑫ Roll-out Plan'!$O$48</f>
        <v>0</v>
      </c>
      <c r="BG989" s="121" t="n">
        <f aca="false">MIN((BG439+BG440)*$C$5,$F$15)*'⑫ Roll-out Plan'!$O$48</f>
        <v>0</v>
      </c>
      <c r="BH989" s="121" t="n">
        <f aca="false">MIN((BH439+BH440)*$C$5,$F$15)*'⑫ Roll-out Plan'!$O$48</f>
        <v>0</v>
      </c>
      <c r="BI989" s="121" t="n">
        <f aca="false">MIN((BI439+BI440)*$C$5,$F$15)*'⑫ Roll-out Plan'!$O$48</f>
        <v>0</v>
      </c>
      <c r="BJ989" s="121" t="n">
        <f aca="false">MIN((BJ439+BJ440)*$C$5,$F$15)*'⑫ Roll-out Plan'!$O$48</f>
        <v>0</v>
      </c>
      <c r="BK989" s="121" t="n">
        <f aca="false">MIN((BK439+BK440)*$C$5,$F$15)*'⑫ Roll-out Plan'!$O$48</f>
        <v>0</v>
      </c>
      <c r="BL989" s="121" t="n">
        <f aca="false">MIN((BL439+BL440)*$C$5,$F$15)*'⑫ Roll-out Plan'!$O$48</f>
        <v>0</v>
      </c>
      <c r="BM989" s="121" t="n">
        <f aca="false">MIN((BM439+BM440)*$C$5,$F$15)*'⑫ Roll-out Plan'!$O$48</f>
        <v>0</v>
      </c>
      <c r="BN989" s="121" t="n">
        <f aca="false">MIN((BN439+BN440)*$C$5,$F$15)*'⑫ Roll-out Plan'!$O$48</f>
        <v>0</v>
      </c>
      <c r="BO989" s="121" t="n">
        <f aca="false">MIN((BO439+BO440)*$C$5,$F$15)*'⑫ Roll-out Plan'!$O$48</f>
        <v>0</v>
      </c>
      <c r="BP989" s="121" t="n">
        <f aca="false">MIN((BP439+BP440)*$C$5,$F$15)*'⑫ Roll-out Plan'!$O$48</f>
        <v>0</v>
      </c>
      <c r="BQ989" s="121" t="n">
        <f aca="false">MIN((BQ439+BQ440)*$C$5,$F$15)*'⑫ Roll-out Plan'!$O$48</f>
        <v>0</v>
      </c>
      <c r="BR989" s="121" t="n">
        <f aca="false">MIN((BR439+BR440)*$C$5,$F$15)*'⑫ Roll-out Plan'!$O$48</f>
        <v>0</v>
      </c>
      <c r="BS989" s="121" t="n">
        <f aca="false">MIN((BS439+BS440)*$C$5,$F$15)*'⑫ Roll-out Plan'!$O$48</f>
        <v>0</v>
      </c>
      <c r="BT989" s="121" t="n">
        <f aca="false">MIN((BT439+BT440)*$C$5,$F$15)*'⑫ Roll-out Plan'!$O$48</f>
        <v>0</v>
      </c>
      <c r="BU989" s="121" t="n">
        <f aca="false">MIN((BU439+BU440)*$C$5,$F$15)*'⑫ Roll-out Plan'!$O$48</f>
        <v>0</v>
      </c>
      <c r="BV989" s="121" t="n">
        <f aca="false">MIN((BV439+BV440)*$C$5,$F$15)*'⑫ Roll-out Plan'!$O$48</f>
        <v>0</v>
      </c>
      <c r="BW989" s="121" t="n">
        <f aca="false">MIN((BW439+BW440)*$C$5,$F$15)*'⑫ Roll-out Plan'!$O$48</f>
        <v>0</v>
      </c>
      <c r="BX989" s="121" t="n">
        <f aca="false">MIN((BX439+BX440)*$C$5,$F$15)*'⑫ Roll-out Plan'!$O$48</f>
        <v>0</v>
      </c>
      <c r="BY989" s="121" t="n">
        <f aca="false">MIN((BY439+BY440)*$C$5,$F$15)*'⑫ Roll-out Plan'!$O$48</f>
        <v>0</v>
      </c>
      <c r="BZ989" s="121" t="n">
        <f aca="false">MIN((BZ439+BZ440)*$C$5,$F$15)*'⑫ Roll-out Plan'!$O$48</f>
        <v>0</v>
      </c>
      <c r="CA989" s="121" t="n">
        <f aca="false">MIN((CA439+CA440)*$C$5,$F$15)*'⑫ Roll-out Plan'!$O$48</f>
        <v>0</v>
      </c>
      <c r="CB989" s="121" t="n">
        <f aca="false">MIN((CB439+CB440)*$C$5,$F$15)*'⑫ Roll-out Plan'!$O$48</f>
        <v>0</v>
      </c>
      <c r="CC989" s="121" t="n">
        <f aca="false">MIN((CC439+CC440)*$C$5,$F$15)*'⑫ Roll-out Plan'!$O$48</f>
        <v>0</v>
      </c>
      <c r="CD989" s="121" t="n">
        <f aca="false">MIN((CD439+CD440)*$C$5,$F$15)*'⑫ Roll-out Plan'!$O$48</f>
        <v>0</v>
      </c>
      <c r="CE989" s="121" t="n">
        <f aca="false">MIN((CE439+CE440)*$C$5,$F$15)*'⑫ Roll-out Plan'!$O$48</f>
        <v>0</v>
      </c>
      <c r="CF989" s="121" t="n">
        <f aca="false">MIN((CF439+CF440)*$C$5,$F$15)*'⑫ Roll-out Plan'!$O$48</f>
        <v>0</v>
      </c>
      <c r="CG989" s="121" t="n">
        <f aca="false">MIN((CG439+CG440)*$C$5,$F$15)*'⑫ Roll-out Plan'!$O$48</f>
        <v>0</v>
      </c>
      <c r="CH989" s="121" t="n">
        <f aca="false">MIN((CH439+CH440)*$C$5,$F$15)*'⑫ Roll-out Plan'!$O$48</f>
        <v>0</v>
      </c>
      <c r="CI989" s="121" t="n">
        <f aca="false">MIN((CI439+CI440)*$C$5,$F$15)*'⑫ Roll-out Plan'!$O$48</f>
        <v>0</v>
      </c>
      <c r="CJ989" s="121" t="n">
        <f aca="false">MIN((CJ439+CJ440)*$C$5,$F$15)*'⑫ Roll-out Plan'!$O$48</f>
        <v>0</v>
      </c>
      <c r="CK989" s="121" t="n">
        <f aca="false">MIN((CK439+CK440)*$C$5,$F$15)*'⑫ Roll-out Plan'!$O$48</f>
        <v>0</v>
      </c>
      <c r="CL989" s="121" t="n">
        <f aca="false">MIN((CL439+CL440)*$C$5,$F$15)*'⑫ Roll-out Plan'!$O$48</f>
        <v>0</v>
      </c>
      <c r="CM989" s="121" t="n">
        <f aca="false">MIN((CM439+CM440)*$C$5,$F$15)*'⑫ Roll-out Plan'!$O$48</f>
        <v>0</v>
      </c>
      <c r="CN989" s="121" t="n">
        <f aca="false">MIN((CN439+CN440)*$C$5,$F$15)*'⑫ Roll-out Plan'!$O$48</f>
        <v>0</v>
      </c>
      <c r="CO989" s="121" t="n">
        <f aca="false">MIN((CO439+CO440)*$C$5,$F$15)*'⑫ Roll-out Plan'!$O$48</f>
        <v>0</v>
      </c>
      <c r="CP989" s="121" t="n">
        <f aca="false">MIN((CP439+CP440)*$C$5,$F$15)*'⑫ Roll-out Plan'!$O$48</f>
        <v>0</v>
      </c>
      <c r="CQ989" s="121" t="n">
        <f aca="false">MIN((CQ439+CQ440)*$C$5,$F$15)*'⑫ Roll-out Plan'!$O$48</f>
        <v>0</v>
      </c>
      <c r="CR989" s="121" t="n">
        <f aca="false">MIN((CR439+CR440)*$C$5,$F$15)*'⑫ Roll-out Plan'!$O$48</f>
        <v>0</v>
      </c>
      <c r="CS989" s="121" t="n">
        <f aca="false">MIN((CS439+CS440)*$C$5,$F$15)*'⑫ Roll-out Plan'!$O$48</f>
        <v>0</v>
      </c>
      <c r="CT989" s="121" t="n">
        <f aca="false">MIN((CT439+CT440)*$C$5,$F$15)*'⑫ Roll-out Plan'!$O$48</f>
        <v>0</v>
      </c>
      <c r="CU989" s="121" t="n">
        <f aca="false">MIN((CU439+CU440)*$C$5,$F$15)*'⑫ Roll-out Plan'!$O$48</f>
        <v>0</v>
      </c>
      <c r="CV989" s="121" t="n">
        <f aca="false">MIN((CV439+CV440)*$C$5,$F$15)*'⑫ Roll-out Plan'!$O$48</f>
        <v>0</v>
      </c>
      <c r="CW989" s="121" t="n">
        <f aca="false">MIN((CW439+CW440)*$C$5,$F$15)*'⑫ Roll-out Plan'!$O$48</f>
        <v>0</v>
      </c>
      <c r="CX989" s="121" t="n">
        <f aca="false">MIN((CX439+CX440)*$C$5,$F$15)*'⑫ Roll-out Plan'!$O$48</f>
        <v>0</v>
      </c>
      <c r="CY989" s="121" t="n">
        <f aca="false">MIN((CY439+CY440)*$C$5,$F$15)*'⑫ Roll-out Plan'!$O$48</f>
        <v>0</v>
      </c>
      <c r="CZ989" s="121" t="n">
        <f aca="false">MIN((CZ439+CZ440)*$C$5,$F$15)*'⑫ Roll-out Plan'!$O$48</f>
        <v>0</v>
      </c>
      <c r="DA989" s="121" t="n">
        <f aca="false">MIN((DA439+DA440)*$C$5,$F$15)*'⑫ Roll-out Plan'!$O$48</f>
        <v>0</v>
      </c>
      <c r="DB989" s="121" t="n">
        <f aca="false">MIN((DB439+DB440)*$C$5,$F$15)*'⑫ Roll-out Plan'!$O$48</f>
        <v>0</v>
      </c>
      <c r="DC989" s="121" t="n">
        <f aca="false">MIN((DC439+DC440)*$C$5,$F$15)*'⑫ Roll-out Plan'!$O$48</f>
        <v>0</v>
      </c>
      <c r="DD989" s="121" t="n">
        <f aca="false">MIN((DD439+DD440)*$C$5,$F$15)*'⑫ Roll-out Plan'!$O$48</f>
        <v>0</v>
      </c>
      <c r="DE989" s="121" t="n">
        <f aca="false">MIN((DE439+DE440)*$C$5,$F$15)*'⑫ Roll-out Plan'!$O$48</f>
        <v>0</v>
      </c>
      <c r="DF989" s="121" t="n">
        <f aca="false">MIN((DF439+DF440)*$C$5,$F$15)*'⑫ Roll-out Plan'!$O$48</f>
        <v>0</v>
      </c>
      <c r="DG989" s="121" t="n">
        <f aca="false">MIN((DG439+DG440)*$C$5,$F$15)*'⑫ Roll-out Plan'!$O$48</f>
        <v>0</v>
      </c>
      <c r="DH989" s="121" t="n">
        <f aca="false">MIN((DH439+DH440)*$C$5,$F$15)*'⑫ Roll-out Plan'!$O$48</f>
        <v>0</v>
      </c>
      <c r="DI989" s="121" t="n">
        <f aca="false">MIN((DI439+DI440)*$C$5,$F$15)*'⑫ Roll-out Plan'!$O$48</f>
        <v>0</v>
      </c>
      <c r="DJ989" s="121" t="n">
        <f aca="false">MIN((DJ439+DJ440)*$C$5,$F$15)*'⑫ Roll-out Plan'!$O$48</f>
        <v>0</v>
      </c>
      <c r="DK989" s="121" t="n">
        <f aca="false">MIN((DK439+DK440)*$C$5,$F$15)*'⑫ Roll-out Plan'!$O$48</f>
        <v>0</v>
      </c>
      <c r="DL989" s="121" t="n">
        <f aca="false">MIN((DL439+DL440)*$C$5,$F$15)*'⑫ Roll-out Plan'!$O$48</f>
        <v>0</v>
      </c>
      <c r="DM989" s="121" t="n">
        <f aca="false">MIN((DM439+DM440)*$C$5,$F$15)*'⑫ Roll-out Plan'!$O$48</f>
        <v>0</v>
      </c>
      <c r="DN989" s="121" t="n">
        <f aca="false">MIN((DN439+DN440)*$C$5,$F$15)*'⑫ Roll-out Plan'!$O$48</f>
        <v>0</v>
      </c>
      <c r="DO989" s="121" t="n">
        <f aca="false">MIN((DO439+DO440)*$C$5,$F$15)*'⑫ Roll-out Plan'!$O$48</f>
        <v>0</v>
      </c>
      <c r="DP989" s="121" t="n">
        <f aca="false">MIN((DP439+DP440)*$C$5,$F$15)*'⑫ Roll-out Plan'!$O$48</f>
        <v>0</v>
      </c>
      <c r="DQ989" s="121" t="n">
        <f aca="false">MIN((DQ439+DQ440)*$C$5,$F$15)*'⑫ Roll-out Plan'!$O$48</f>
        <v>0</v>
      </c>
      <c r="DR989" s="121" t="n">
        <f aca="false">MIN((DR439+DR440)*$C$5,$F$15)*'⑫ Roll-out Plan'!$O$48</f>
        <v>0</v>
      </c>
      <c r="DS989" s="121" t="n">
        <f aca="false">MIN((DS439+DS440)*$C$5,$F$15)*'⑫ Roll-out Plan'!$O$48</f>
        <v>0</v>
      </c>
      <c r="DT989" s="121" t="n">
        <f aca="false">MIN((DT439+DT440)*$C$5,$F$15)*'⑫ Roll-out Plan'!$O$48</f>
        <v>0</v>
      </c>
      <c r="DU989" s="121" t="n">
        <f aca="false">MIN((DU439+DU440)*$C$5,$F$15)*'⑫ Roll-out Plan'!$O$48</f>
        <v>0</v>
      </c>
      <c r="DV989" s="121" t="n">
        <f aca="false">MIN((DV439+DV440)*$C$5,$F$15)*'⑫ Roll-out Plan'!$O$48</f>
        <v>0</v>
      </c>
      <c r="DW989" s="121" t="n">
        <f aca="false">MIN((DW439+DW440)*$C$5,$F$15)*'⑫ Roll-out Plan'!$O$48</f>
        <v>0</v>
      </c>
      <c r="DX989" s="121" t="n">
        <f aca="false">MIN((DX439+DX440)*$C$5,$F$15)*'⑫ Roll-out Plan'!$O$48</f>
        <v>0</v>
      </c>
      <c r="DY989" s="121" t="n">
        <f aca="false">MIN((DY439+DY440)*$C$5,$F$15)*'⑫ Roll-out Plan'!$O$48</f>
        <v>0</v>
      </c>
      <c r="DZ989" s="121" t="n">
        <f aca="false">MIN((DZ439+DZ440)*$C$5,$F$15)*'⑫ Roll-out Plan'!$O$48</f>
        <v>0</v>
      </c>
      <c r="EA989" s="121" t="n">
        <f aca="false">MIN((EA439+EA440)*$C$5,$F$15)*'⑫ Roll-out Plan'!$O$48</f>
        <v>0</v>
      </c>
      <c r="EB989" s="121" t="n">
        <f aca="false">MIN((EB439+EB440)*$C$5,$F$15)*'⑫ Roll-out Plan'!$O$48</f>
        <v>0</v>
      </c>
      <c r="EC989" s="121" t="n">
        <f aca="false">MIN((EC439+EC440)*$C$5,$F$15)*'⑫ Roll-out Plan'!$O$48</f>
        <v>0</v>
      </c>
      <c r="ED989" s="121" t="n">
        <f aca="false">MIN((ED439+ED440)*$C$5,$F$15)*'⑫ Roll-out Plan'!$O$48</f>
        <v>0</v>
      </c>
      <c r="EE989" s="121" t="n">
        <f aca="false">MIN((EE439+EE440)*$C$5,$F$15)*'⑫ Roll-out Plan'!$O$48</f>
        <v>0</v>
      </c>
      <c r="EF989" s="121" t="n">
        <f aca="false">MIN((EF439+EF440)*$C$5,$F$15)*'⑫ Roll-out Plan'!$O$48</f>
        <v>0</v>
      </c>
      <c r="EG989" s="121" t="n">
        <f aca="false">MIN((EG439+EG440)*$C$5,$F$15)*'⑫ Roll-out Plan'!$O$48</f>
        <v>0</v>
      </c>
      <c r="EH989" s="121" t="n">
        <f aca="false">MIN((EH439+EH440)*$C$5,$F$15)*'⑫ Roll-out Plan'!$O$48</f>
        <v>0</v>
      </c>
      <c r="EI989" s="121" t="n">
        <f aca="false">MIN((EI439+EI440)*$C$5,$F$15)*'⑫ Roll-out Plan'!$O$48</f>
        <v>0</v>
      </c>
      <c r="EJ989" s="121" t="n">
        <f aca="false">MIN((EJ439+EJ440)*$C$5,$F$15)*'⑫ Roll-out Plan'!$O$48</f>
        <v>0</v>
      </c>
      <c r="EK989" s="121" t="n">
        <f aca="false">MIN((EK439+EK440)*$C$5,$F$15)*'⑫ Roll-out Plan'!$O$48</f>
        <v>0</v>
      </c>
      <c r="EL989" s="121" t="n">
        <f aca="false">MIN((EL439+EL440)*$C$5,$F$15)*'⑫ Roll-out Plan'!$O$48</f>
        <v>0</v>
      </c>
      <c r="EM989" s="121" t="n">
        <f aca="false">MIN((EM439+EM440)*$C$5,$F$15)*'⑫ Roll-out Plan'!$O$48</f>
        <v>0</v>
      </c>
      <c r="EN989" s="121" t="n">
        <f aca="false">MIN((EN439+EN440)*$C$5,$F$15)*'⑫ Roll-out Plan'!$O$48</f>
        <v>6882.74</v>
      </c>
      <c r="EO989" s="121" t="n">
        <f aca="false">MIN((EO439+EO440)*$C$5,$F$15)*'⑫ Roll-out Plan'!$O$48</f>
        <v>7065.76272</v>
      </c>
      <c r="EP989" s="121" t="n">
        <f aca="false">MIN((EP439+EP440)*$C$5,$F$15)*'⑫ Roll-out Plan'!$O$48</f>
        <v>6496.53104</v>
      </c>
      <c r="EQ989" s="121" t="n">
        <f aca="false">MIN((EQ439+EQ440)*$C$5,$F$15)*'⑫ Roll-out Plan'!$O$48</f>
        <v>5689.0285952</v>
      </c>
      <c r="ER989" s="121" t="n">
        <f aca="false">MIN((ER439+ER440)*$C$5,$F$15)*'⑫ Roll-out Plan'!$O$48</f>
        <v>7602.2752112</v>
      </c>
      <c r="ES989" s="9" t="n">
        <f aca="false">MIN((ES439+ES440)*$C$5,$F$15)*'⑫ Roll-out Plan'!$O$48</f>
        <v>9321.4246816</v>
      </c>
      <c r="ET989" s="9" t="n">
        <f aca="false">MIN((ET439+ET440)*$C$5,$F$15)*'⑫ Roll-out Plan'!$O$48</f>
        <v>8380.9050464</v>
      </c>
      <c r="EU989" s="9" t="n">
        <f aca="false">MIN((EU439+EU440)*$C$5,$F$15)*'⑫ Roll-out Plan'!$O$48</f>
        <v>12400.2390816</v>
      </c>
      <c r="EV989" s="9" t="n">
        <f aca="false">MIN((EV439+EV440)*$C$5,$F$15)*'⑫ Roll-out Plan'!$O$48</f>
        <v>13726.742776</v>
      </c>
      <c r="EW989" s="9" t="n">
        <f aca="false">MIN((EW439+EW440)*$C$5,$F$15)*'⑫ Roll-out Plan'!$O$48</f>
        <v>12036.147952</v>
      </c>
      <c r="EX989" s="9" t="n">
        <f aca="false">MIN((EX439+EX440)*$C$5,$F$15)*'⑫ Roll-out Plan'!$O$48</f>
        <v>11495.649288</v>
      </c>
      <c r="EY989" s="9" t="n">
        <f aca="false">MIN((EY439+EY440)*$C$5,$F$15)*'⑫ Roll-out Plan'!$O$48</f>
        <v>12772.3956192</v>
      </c>
      <c r="EZ989" s="9" t="n">
        <f aca="false">MIN((EZ439+EZ440)*$C$5,$F$15)*'⑫ Roll-out Plan'!$O$48</f>
        <v>21811.344896</v>
      </c>
      <c r="FA989" s="9" t="n">
        <f aca="false">MIN((FA439+FA440)*$C$5,$F$15)*'⑫ Roll-out Plan'!$O$48</f>
        <v>20745.5012288</v>
      </c>
      <c r="FB989" s="9" t="n">
        <f aca="false">MIN((FB439+FB440)*$C$5,$F$15)*'⑫ Roll-out Plan'!$O$48</f>
        <v>17830.2284864</v>
      </c>
      <c r="FC989" s="9" t="n">
        <f aca="false">MIN((FC439+FC440)*$C$5,$F$15)*'⑫ Roll-out Plan'!$O$48</f>
        <v>16921.1639424</v>
      </c>
      <c r="FD989" s="9" t="n">
        <f aca="false">MIN((FD439+FD440)*$C$5,$F$15)*'⑫ Roll-out Plan'!$O$48</f>
        <v>23284.1659488</v>
      </c>
      <c r="FE989" s="9" t="n">
        <f aca="false">MIN((FE439+FE440)*$C$5,$F$15)*'⑫ Roll-out Plan'!$O$48</f>
        <v>26521.06312112</v>
      </c>
      <c r="FF989" s="9" t="n">
        <f aca="false">MIN((FF439+FF440)*$C$5,$F$15)*'⑫ Roll-out Plan'!$O$48</f>
        <v>22359.64218912</v>
      </c>
      <c r="FG989" s="9" t="n">
        <f aca="false">MIN((FG439+FG440)*$C$5,$F$15)*'⑫ Roll-out Plan'!$O$48</f>
        <v>27000</v>
      </c>
      <c r="FH989" s="9" t="n">
        <f aca="false">MIN((FH439+FH440)*$C$5,$F$15)*'⑫ Roll-out Plan'!$O$48</f>
        <v>27000</v>
      </c>
      <c r="FI989" s="9" t="n">
        <f aca="false">MIN((FI439+FI440)*$C$5,$F$15)*'⑫ Roll-out Plan'!$O$48</f>
        <v>26919.0659954</v>
      </c>
      <c r="FJ989" s="9" t="n">
        <f aca="false">MIN((FJ439+FJ440)*$C$5,$F$15)*'⑫ Roll-out Plan'!$O$48</f>
        <v>24792.26870236</v>
      </c>
      <c r="FK989" s="9" t="n">
        <f aca="false">MIN((FK439+FK440)*$C$5,$F$15)*'⑫ Roll-out Plan'!$O$48</f>
        <v>26181.01349928</v>
      </c>
      <c r="FL989" s="9" t="n">
        <f aca="false">MIN((FL439+FL440)*$C$5,$F$15)*'⑫ Roll-out Plan'!$O$48</f>
        <v>27000</v>
      </c>
      <c r="FM989" s="9" t="n">
        <f aca="false">MIN((FM439+FM440)*$C$5,$F$15)*'⑫ Roll-out Plan'!$O$48</f>
        <v>27000</v>
      </c>
      <c r="FN989" s="9" t="n">
        <f aca="false">MIN((FN439+FN440)*$C$5,$F$15)*'⑫ Roll-out Plan'!$O$48</f>
        <v>27000</v>
      </c>
      <c r="FO989" s="9" t="n">
        <f aca="false">MIN((FO439+FO440)*$C$5,$F$15)*'⑫ Roll-out Plan'!$O$48</f>
        <v>27000</v>
      </c>
      <c r="FP989" s="9" t="n">
        <f aca="false">MIN((FP439+FP440)*$C$5,$F$15)*'⑫ Roll-out Plan'!$O$48</f>
        <v>27000</v>
      </c>
    </row>
    <row r="990" customFormat="false" ht="15" hidden="false" customHeight="false" outlineLevel="0" collapsed="false">
      <c r="B990" s="254" t="s">
        <v>1015</v>
      </c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121" t="n">
        <f aca="false">MIN((AC449+AC450)*$C$5,$F$16)*'⑫ Roll-out Plan'!$O$49</f>
        <v>0</v>
      </c>
      <c r="AD990" s="121" t="n">
        <f aca="false">MIN((AD449+AD450)*$C$5,$F$16)*'⑫ Roll-out Plan'!$O$49</f>
        <v>0</v>
      </c>
      <c r="AE990" s="121" t="n">
        <f aca="false">MIN((AE449+AE450)*$C$5,$F$16)*'⑫ Roll-out Plan'!$O$49</f>
        <v>0</v>
      </c>
      <c r="AF990" s="121" t="n">
        <f aca="false">MIN((AF449+AF450)*$C$5,$F$16)*'⑫ Roll-out Plan'!$O$49</f>
        <v>0</v>
      </c>
      <c r="AG990" s="121" t="n">
        <f aca="false">MIN((AG449+AG450)*$C$5,$F$16)*'⑫ Roll-out Plan'!$O$49</f>
        <v>0</v>
      </c>
      <c r="AH990" s="121" t="n">
        <f aca="false">MIN((AH449+AH450)*$C$5,$F$16)*'⑫ Roll-out Plan'!$O$49</f>
        <v>0</v>
      </c>
      <c r="AI990" s="121" t="n">
        <f aca="false">MIN((AI449+AI450)*$C$5,$F$16)*'⑫ Roll-out Plan'!$O$49</f>
        <v>0</v>
      </c>
      <c r="AJ990" s="121" t="n">
        <f aca="false">MIN((AJ449+AJ450)*$C$5,$F$16)*'⑫ Roll-out Plan'!$O$49</f>
        <v>0</v>
      </c>
      <c r="AK990" s="121" t="n">
        <f aca="false">MIN((AK449+AK450)*$C$5,$F$16)*'⑫ Roll-out Plan'!$O$49</f>
        <v>0</v>
      </c>
      <c r="AL990" s="121" t="n">
        <f aca="false">MIN((AL449+AL450)*$C$5,$F$16)*'⑫ Roll-out Plan'!$O$49</f>
        <v>0</v>
      </c>
      <c r="AM990" s="121" t="n">
        <f aca="false">MIN((AM449+AM450)*$C$5,$F$16)*'⑫ Roll-out Plan'!$O$49</f>
        <v>0</v>
      </c>
      <c r="AN990" s="121" t="n">
        <f aca="false">MIN((AN449+AN450)*$C$5,$F$16)*'⑫ Roll-out Plan'!$O$49</f>
        <v>0</v>
      </c>
      <c r="AO990" s="121" t="n">
        <f aca="false">MIN((AO449+AO450)*$C$5,$F$16)*'⑫ Roll-out Plan'!$O$49</f>
        <v>0</v>
      </c>
      <c r="AP990" s="121" t="n">
        <f aca="false">MIN((AP449+AP450)*$C$5,$F$16)*'⑫ Roll-out Plan'!$O$49</f>
        <v>0</v>
      </c>
      <c r="AQ990" s="121" t="n">
        <f aca="false">MIN((AQ449+AQ450)*$C$5,$F$16)*'⑫ Roll-out Plan'!$O$49</f>
        <v>0</v>
      </c>
      <c r="AR990" s="121" t="n">
        <f aca="false">MIN((AR449+AR450)*$C$5,$F$16)*'⑫ Roll-out Plan'!$O$49</f>
        <v>0</v>
      </c>
      <c r="AS990" s="121" t="n">
        <f aca="false">MIN((AS449+AS450)*$C$5,$F$16)*'⑫ Roll-out Plan'!$O$49</f>
        <v>0</v>
      </c>
      <c r="AT990" s="121" t="n">
        <f aca="false">MIN((AT449+AT450)*$C$5,$F$16)*'⑫ Roll-out Plan'!$O$49</f>
        <v>0</v>
      </c>
      <c r="AU990" s="121" t="n">
        <f aca="false">MIN((AU449+AU450)*$C$5,$F$16)*'⑫ Roll-out Plan'!$O$49</f>
        <v>0</v>
      </c>
      <c r="AV990" s="121" t="n">
        <f aca="false">MIN((AV449+AV450)*$C$5,$F$16)*'⑫ Roll-out Plan'!$O$49</f>
        <v>0</v>
      </c>
      <c r="AW990" s="121" t="n">
        <f aca="false">MIN((AW449+AW450)*$C$5,$F$16)*'⑫ Roll-out Plan'!$O$49</f>
        <v>0</v>
      </c>
      <c r="AX990" s="121" t="n">
        <f aca="false">MIN((AX449+AX450)*$C$5,$F$16)*'⑫ Roll-out Plan'!$O$49</f>
        <v>0</v>
      </c>
      <c r="AY990" s="121" t="n">
        <f aca="false">MIN((AY449+AY450)*$C$5,$F$16)*'⑫ Roll-out Plan'!$O$49</f>
        <v>0</v>
      </c>
      <c r="AZ990" s="121" t="n">
        <f aca="false">MIN((AZ449+AZ450)*$C$5,$F$16)*'⑫ Roll-out Plan'!$O$49</f>
        <v>0</v>
      </c>
      <c r="BA990" s="121" t="n">
        <f aca="false">MIN((BA449+BA450)*$C$5,$F$16)*'⑫ Roll-out Plan'!$O$49</f>
        <v>0</v>
      </c>
      <c r="BB990" s="121" t="n">
        <f aca="false">MIN((BB449+BB450)*$C$5,$F$16)*'⑫ Roll-out Plan'!$O$49</f>
        <v>0</v>
      </c>
      <c r="BC990" s="121" t="n">
        <f aca="false">MIN((BC449+BC450)*$C$5,$F$16)*'⑫ Roll-out Plan'!$O$49</f>
        <v>0</v>
      </c>
      <c r="BD990" s="121" t="n">
        <f aca="false">MIN((BD449+BD450)*$C$5,$F$16)*'⑫ Roll-out Plan'!$O$49</f>
        <v>0</v>
      </c>
      <c r="BE990" s="121" t="n">
        <f aca="false">MIN((BE449+BE450)*$C$5,$F$16)*'⑫ Roll-out Plan'!$O$49</f>
        <v>0</v>
      </c>
      <c r="BF990" s="121" t="n">
        <f aca="false">MIN((BF449+BF450)*$C$5,$F$16)*'⑫ Roll-out Plan'!$O$49</f>
        <v>0</v>
      </c>
      <c r="BG990" s="121" t="n">
        <f aca="false">MIN((BG449+BG450)*$C$5,$F$16)*'⑫ Roll-out Plan'!$O$49</f>
        <v>0</v>
      </c>
      <c r="BH990" s="121" t="n">
        <f aca="false">MIN((BH449+BH450)*$C$5,$F$16)*'⑫ Roll-out Plan'!$O$49</f>
        <v>0</v>
      </c>
      <c r="BI990" s="121" t="n">
        <f aca="false">MIN((BI449+BI450)*$C$5,$F$16)*'⑫ Roll-out Plan'!$O$49</f>
        <v>0</v>
      </c>
      <c r="BJ990" s="121" t="n">
        <f aca="false">MIN((BJ449+BJ450)*$C$5,$F$16)*'⑫ Roll-out Plan'!$O$49</f>
        <v>0</v>
      </c>
      <c r="BK990" s="121" t="n">
        <f aca="false">MIN((BK449+BK450)*$C$5,$F$16)*'⑫ Roll-out Plan'!$O$49</f>
        <v>0</v>
      </c>
      <c r="BL990" s="121" t="n">
        <f aca="false">MIN((BL449+BL450)*$C$5,$F$16)*'⑫ Roll-out Plan'!$O$49</f>
        <v>0</v>
      </c>
      <c r="BM990" s="121" t="n">
        <f aca="false">MIN((BM449+BM450)*$C$5,$F$16)*'⑫ Roll-out Plan'!$O$49</f>
        <v>0</v>
      </c>
      <c r="BN990" s="121" t="n">
        <f aca="false">MIN((BN449+BN450)*$C$5,$F$16)*'⑫ Roll-out Plan'!$O$49</f>
        <v>0</v>
      </c>
      <c r="BO990" s="121" t="n">
        <f aca="false">MIN((BO449+BO450)*$C$5,$F$16)*'⑫ Roll-out Plan'!$O$49</f>
        <v>0</v>
      </c>
      <c r="BP990" s="121" t="n">
        <f aca="false">MIN((BP449+BP450)*$C$5,$F$16)*'⑫ Roll-out Plan'!$O$49</f>
        <v>0</v>
      </c>
      <c r="BQ990" s="121" t="n">
        <f aca="false">MIN((BQ449+BQ450)*$C$5,$F$16)*'⑫ Roll-out Plan'!$O$49</f>
        <v>0</v>
      </c>
      <c r="BR990" s="121" t="n">
        <f aca="false">MIN((BR449+BR450)*$C$5,$F$16)*'⑫ Roll-out Plan'!$O$49</f>
        <v>0</v>
      </c>
      <c r="BS990" s="121" t="n">
        <f aca="false">MIN((BS449+BS450)*$C$5,$F$16)*'⑫ Roll-out Plan'!$O$49</f>
        <v>0</v>
      </c>
      <c r="BT990" s="121" t="n">
        <f aca="false">MIN((BT449+BT450)*$C$5,$F$16)*'⑫ Roll-out Plan'!$O$49</f>
        <v>0</v>
      </c>
      <c r="BU990" s="121" t="n">
        <f aca="false">MIN((BU449+BU450)*$C$5,$F$16)*'⑫ Roll-out Plan'!$O$49</f>
        <v>0</v>
      </c>
      <c r="BV990" s="121" t="n">
        <f aca="false">MIN((BV449+BV450)*$C$5,$F$16)*'⑫ Roll-out Plan'!$O$49</f>
        <v>0</v>
      </c>
      <c r="BW990" s="121" t="n">
        <f aca="false">MIN((BW449+BW450)*$C$5,$F$16)*'⑫ Roll-out Plan'!$O$49</f>
        <v>0</v>
      </c>
      <c r="BX990" s="121" t="n">
        <f aca="false">MIN((BX449+BX450)*$C$5,$F$16)*'⑫ Roll-out Plan'!$O$49</f>
        <v>0</v>
      </c>
      <c r="BY990" s="121" t="n">
        <f aca="false">MIN((BY449+BY450)*$C$5,$F$16)*'⑫ Roll-out Plan'!$O$49</f>
        <v>0</v>
      </c>
      <c r="BZ990" s="121" t="n">
        <f aca="false">MIN((BZ449+BZ450)*$C$5,$F$16)*'⑫ Roll-out Plan'!$O$49</f>
        <v>0</v>
      </c>
      <c r="CA990" s="121" t="n">
        <f aca="false">MIN((CA449+CA450)*$C$5,$F$16)*'⑫ Roll-out Plan'!$O$49</f>
        <v>0</v>
      </c>
      <c r="CB990" s="121" t="n">
        <f aca="false">MIN((CB449+CB450)*$C$5,$F$16)*'⑫ Roll-out Plan'!$O$49</f>
        <v>0</v>
      </c>
      <c r="CC990" s="121" t="n">
        <f aca="false">MIN((CC449+CC450)*$C$5,$F$16)*'⑫ Roll-out Plan'!$O$49</f>
        <v>0</v>
      </c>
      <c r="CD990" s="121" t="n">
        <f aca="false">MIN((CD449+CD450)*$C$5,$F$16)*'⑫ Roll-out Plan'!$O$49</f>
        <v>0</v>
      </c>
      <c r="CE990" s="121" t="n">
        <f aca="false">MIN((CE449+CE450)*$C$5,$F$16)*'⑫ Roll-out Plan'!$O$49</f>
        <v>0</v>
      </c>
      <c r="CF990" s="121" t="n">
        <f aca="false">MIN((CF449+CF450)*$C$5,$F$16)*'⑫ Roll-out Plan'!$O$49</f>
        <v>0</v>
      </c>
      <c r="CG990" s="121" t="n">
        <f aca="false">MIN((CG449+CG450)*$C$5,$F$16)*'⑫ Roll-out Plan'!$O$49</f>
        <v>0</v>
      </c>
      <c r="CH990" s="121" t="n">
        <f aca="false">MIN((CH449+CH450)*$C$5,$F$16)*'⑫ Roll-out Plan'!$O$49</f>
        <v>0</v>
      </c>
      <c r="CI990" s="121" t="n">
        <f aca="false">MIN((CI449+CI450)*$C$5,$F$16)*'⑫ Roll-out Plan'!$O$49</f>
        <v>0</v>
      </c>
      <c r="CJ990" s="121" t="n">
        <f aca="false">MIN((CJ449+CJ450)*$C$5,$F$16)*'⑫ Roll-out Plan'!$O$49</f>
        <v>0</v>
      </c>
      <c r="CK990" s="121" t="n">
        <f aca="false">MIN((CK449+CK450)*$C$5,$F$16)*'⑫ Roll-out Plan'!$O$49</f>
        <v>0</v>
      </c>
      <c r="CL990" s="121" t="n">
        <f aca="false">MIN((CL449+CL450)*$C$5,$F$16)*'⑫ Roll-out Plan'!$O$49</f>
        <v>0</v>
      </c>
      <c r="CM990" s="121" t="n">
        <f aca="false">MIN((CM449+CM450)*$C$5,$F$16)*'⑫ Roll-out Plan'!$O$49</f>
        <v>0</v>
      </c>
      <c r="CN990" s="121" t="n">
        <f aca="false">MIN((CN449+CN450)*$C$5,$F$16)*'⑫ Roll-out Plan'!$O$49</f>
        <v>0</v>
      </c>
      <c r="CO990" s="121" t="n">
        <f aca="false">MIN((CO449+CO450)*$C$5,$F$16)*'⑫ Roll-out Plan'!$O$49</f>
        <v>0</v>
      </c>
      <c r="CP990" s="121" t="n">
        <f aca="false">MIN((CP449+CP450)*$C$5,$F$16)*'⑫ Roll-out Plan'!$O$49</f>
        <v>0</v>
      </c>
      <c r="CQ990" s="121" t="n">
        <f aca="false">MIN((CQ449+CQ450)*$C$5,$F$16)*'⑫ Roll-out Plan'!$O$49</f>
        <v>0</v>
      </c>
      <c r="CR990" s="121" t="n">
        <f aca="false">MIN((CR449+CR450)*$C$5,$F$16)*'⑫ Roll-out Plan'!$O$49</f>
        <v>0</v>
      </c>
      <c r="CS990" s="121" t="n">
        <f aca="false">MIN((CS449+CS450)*$C$5,$F$16)*'⑫ Roll-out Plan'!$O$49</f>
        <v>0</v>
      </c>
      <c r="CT990" s="121" t="n">
        <f aca="false">MIN((CT449+CT450)*$C$5,$F$16)*'⑫ Roll-out Plan'!$O$49</f>
        <v>0</v>
      </c>
      <c r="CU990" s="121" t="n">
        <f aca="false">MIN((CU449+CU450)*$C$5,$F$16)*'⑫ Roll-out Plan'!$O$49</f>
        <v>0</v>
      </c>
      <c r="CV990" s="121" t="n">
        <f aca="false">MIN((CV449+CV450)*$C$5,$F$16)*'⑫ Roll-out Plan'!$O$49</f>
        <v>0</v>
      </c>
      <c r="CW990" s="121" t="n">
        <f aca="false">MIN((CW449+CW450)*$C$5,$F$16)*'⑫ Roll-out Plan'!$O$49</f>
        <v>0</v>
      </c>
      <c r="CX990" s="121" t="n">
        <f aca="false">MIN((CX449+CX450)*$C$5,$F$16)*'⑫ Roll-out Plan'!$O$49</f>
        <v>0</v>
      </c>
      <c r="CY990" s="121" t="n">
        <f aca="false">MIN((CY449+CY450)*$C$5,$F$16)*'⑫ Roll-out Plan'!$O$49</f>
        <v>0</v>
      </c>
      <c r="CZ990" s="121" t="n">
        <f aca="false">MIN((CZ449+CZ450)*$C$5,$F$16)*'⑫ Roll-out Plan'!$O$49</f>
        <v>0</v>
      </c>
      <c r="DA990" s="121" t="n">
        <f aca="false">MIN((DA449+DA450)*$C$5,$F$16)*'⑫ Roll-out Plan'!$O$49</f>
        <v>0</v>
      </c>
      <c r="DB990" s="121" t="n">
        <f aca="false">MIN((DB449+DB450)*$C$5,$F$16)*'⑫ Roll-out Plan'!$O$49</f>
        <v>0</v>
      </c>
      <c r="DC990" s="121" t="n">
        <f aca="false">MIN((DC449+DC450)*$C$5,$F$16)*'⑫ Roll-out Plan'!$O$49</f>
        <v>0</v>
      </c>
      <c r="DD990" s="121" t="n">
        <f aca="false">MIN((DD449+DD450)*$C$5,$F$16)*'⑫ Roll-out Plan'!$O$49</f>
        <v>0</v>
      </c>
      <c r="DE990" s="121" t="n">
        <f aca="false">MIN((DE449+DE450)*$C$5,$F$16)*'⑫ Roll-out Plan'!$O$49</f>
        <v>0</v>
      </c>
      <c r="DF990" s="121" t="n">
        <f aca="false">MIN((DF449+DF450)*$C$5,$F$16)*'⑫ Roll-out Plan'!$O$49</f>
        <v>0</v>
      </c>
      <c r="DG990" s="121" t="n">
        <f aca="false">MIN((DG449+DG450)*$C$5,$F$16)*'⑫ Roll-out Plan'!$O$49</f>
        <v>0</v>
      </c>
      <c r="DH990" s="121" t="n">
        <f aca="false">MIN((DH449+DH450)*$C$5,$F$16)*'⑫ Roll-out Plan'!$O$49</f>
        <v>0</v>
      </c>
      <c r="DI990" s="121" t="n">
        <f aca="false">MIN((DI449+DI450)*$C$5,$F$16)*'⑫ Roll-out Plan'!$O$49</f>
        <v>0</v>
      </c>
      <c r="DJ990" s="121" t="n">
        <f aca="false">MIN((DJ449+DJ450)*$C$5,$F$16)*'⑫ Roll-out Plan'!$O$49</f>
        <v>0</v>
      </c>
      <c r="DK990" s="121" t="n">
        <f aca="false">MIN((DK449+DK450)*$C$5,$F$16)*'⑫ Roll-out Plan'!$O$49</f>
        <v>0</v>
      </c>
      <c r="DL990" s="121" t="n">
        <f aca="false">MIN((DL449+DL450)*$C$5,$F$16)*'⑫ Roll-out Plan'!$O$49</f>
        <v>0</v>
      </c>
      <c r="DM990" s="121" t="n">
        <f aca="false">MIN((DM449+DM450)*$C$5,$F$16)*'⑫ Roll-out Plan'!$O$49</f>
        <v>0</v>
      </c>
      <c r="DN990" s="121" t="n">
        <f aca="false">MIN((DN449+DN450)*$C$5,$F$16)*'⑫ Roll-out Plan'!$O$49</f>
        <v>0</v>
      </c>
      <c r="DO990" s="121" t="n">
        <f aca="false">MIN((DO449+DO450)*$C$5,$F$16)*'⑫ Roll-out Plan'!$O$49</f>
        <v>0</v>
      </c>
      <c r="DP990" s="121" t="n">
        <f aca="false">MIN((DP449+DP450)*$C$5,$F$16)*'⑫ Roll-out Plan'!$O$49</f>
        <v>0</v>
      </c>
      <c r="DQ990" s="121" t="n">
        <f aca="false">MIN((DQ449+DQ450)*$C$5,$F$16)*'⑫ Roll-out Plan'!$O$49</f>
        <v>0</v>
      </c>
      <c r="DR990" s="121" t="n">
        <f aca="false">MIN((DR449+DR450)*$C$5,$F$16)*'⑫ Roll-out Plan'!$O$49</f>
        <v>0</v>
      </c>
      <c r="DS990" s="121" t="n">
        <f aca="false">MIN((DS449+DS450)*$C$5,$F$16)*'⑫ Roll-out Plan'!$O$49</f>
        <v>0</v>
      </c>
      <c r="DT990" s="121" t="n">
        <f aca="false">MIN((DT449+DT450)*$C$5,$F$16)*'⑫ Roll-out Plan'!$O$49</f>
        <v>0</v>
      </c>
      <c r="DU990" s="121" t="n">
        <f aca="false">MIN((DU449+DU450)*$C$5,$F$16)*'⑫ Roll-out Plan'!$O$49</f>
        <v>0</v>
      </c>
      <c r="DV990" s="121" t="n">
        <f aca="false">MIN((DV449+DV450)*$C$5,$F$16)*'⑫ Roll-out Plan'!$O$49</f>
        <v>0</v>
      </c>
      <c r="DW990" s="121" t="n">
        <f aca="false">MIN((DW449+DW450)*$C$5,$F$16)*'⑫ Roll-out Plan'!$O$49</f>
        <v>0</v>
      </c>
      <c r="DX990" s="121" t="n">
        <f aca="false">MIN((DX449+DX450)*$C$5,$F$16)*'⑫ Roll-out Plan'!$O$49</f>
        <v>0</v>
      </c>
      <c r="DY990" s="121" t="n">
        <f aca="false">MIN((DY449+DY450)*$C$5,$F$16)*'⑫ Roll-out Plan'!$O$49</f>
        <v>0</v>
      </c>
      <c r="DZ990" s="121" t="n">
        <f aca="false">MIN((DZ449+DZ450)*$C$5,$F$16)*'⑫ Roll-out Plan'!$O$49</f>
        <v>0</v>
      </c>
      <c r="EA990" s="121" t="n">
        <f aca="false">MIN((EA449+EA450)*$C$5,$F$16)*'⑫ Roll-out Plan'!$O$49</f>
        <v>0</v>
      </c>
      <c r="EB990" s="121" t="n">
        <f aca="false">MIN((EB449+EB450)*$C$5,$F$16)*'⑫ Roll-out Plan'!$O$49</f>
        <v>0</v>
      </c>
      <c r="EC990" s="121" t="n">
        <f aca="false">MIN((EC449+EC450)*$C$5,$F$16)*'⑫ Roll-out Plan'!$O$49</f>
        <v>0</v>
      </c>
      <c r="ED990" s="121" t="n">
        <f aca="false">MIN((ED449+ED450)*$C$5,$F$16)*'⑫ Roll-out Plan'!$O$49</f>
        <v>0</v>
      </c>
      <c r="EE990" s="121" t="n">
        <f aca="false">MIN((EE449+EE450)*$C$5,$F$16)*'⑫ Roll-out Plan'!$O$49</f>
        <v>0</v>
      </c>
      <c r="EF990" s="121" t="n">
        <f aca="false">MIN((EF449+EF450)*$C$5,$F$16)*'⑫ Roll-out Plan'!$O$49</f>
        <v>0</v>
      </c>
      <c r="EG990" s="121" t="n">
        <f aca="false">MIN((EG449+EG450)*$C$5,$F$16)*'⑫ Roll-out Plan'!$O$49</f>
        <v>3112.56</v>
      </c>
      <c r="EH990" s="121" t="n">
        <f aca="false">MIN((EH449+EH450)*$C$5,$F$16)*'⑫ Roll-out Plan'!$O$49</f>
        <v>2997.97168</v>
      </c>
      <c r="EI990" s="121" t="n">
        <f aca="false">MIN((EI449+EI450)*$C$5,$F$16)*'⑫ Roll-out Plan'!$O$49</f>
        <v>4399.269248</v>
      </c>
      <c r="EJ990" s="121" t="n">
        <f aca="false">MIN((EJ449+EJ450)*$C$5,$F$16)*'⑫ Roll-out Plan'!$O$49</f>
        <v>4908.7469024</v>
      </c>
      <c r="EK990" s="121" t="n">
        <f aca="false">MIN((EK449+EK450)*$C$5,$F$16)*'⑫ Roll-out Plan'!$O$49</f>
        <v>4295.932256</v>
      </c>
      <c r="EL990" s="121" t="n">
        <f aca="false">MIN((EL449+EL450)*$C$5,$F$16)*'⑫ Roll-out Plan'!$O$49</f>
        <v>4260.1908448</v>
      </c>
      <c r="EM990" s="121" t="n">
        <f aca="false">MIN((EM449+EM450)*$C$5,$F$16)*'⑫ Roll-out Plan'!$O$49</f>
        <v>4944.082528</v>
      </c>
      <c r="EN990" s="121" t="n">
        <f aca="false">MIN((EN449+EN450)*$C$5,$F$16)*'⑫ Roll-out Plan'!$O$49</f>
        <v>8821.1840992</v>
      </c>
      <c r="EO990" s="121" t="n">
        <f aca="false">MIN((EO449+EO450)*$C$5,$F$16)*'⑫ Roll-out Plan'!$O$49</f>
        <v>8693.6429184</v>
      </c>
      <c r="EP990" s="121" t="n">
        <f aca="false">MIN((EP449+EP450)*$C$5,$F$16)*'⑫ Roll-out Plan'!$O$49</f>
        <v>7470.7526784</v>
      </c>
      <c r="EQ990" s="121" t="n">
        <f aca="false">MIN((EQ449+EQ450)*$C$5,$F$16)*'⑫ Roll-out Plan'!$O$49</f>
        <v>6340.5936704</v>
      </c>
      <c r="ER990" s="121" t="n">
        <f aca="false">MIN((ER449+ER450)*$C$5,$F$16)*'⑫ Roll-out Plan'!$O$49</f>
        <v>8884.4036512</v>
      </c>
      <c r="ES990" s="9" t="n">
        <f aca="false">MIN((ES449+ES450)*$C$5,$F$16)*'⑫ Roll-out Plan'!$O$49</f>
        <v>10387.5949056</v>
      </c>
      <c r="ET990" s="9" t="n">
        <f aca="false">MIN((ET449+ET450)*$C$5,$F$16)*'⑫ Roll-out Plan'!$O$49</f>
        <v>9025.8891008</v>
      </c>
      <c r="EU990" s="9" t="n">
        <f aca="false">MIN((EU449+EU450)*$C$5,$F$16)*'⑫ Roll-out Plan'!$O$49</f>
        <v>11913.4225408</v>
      </c>
      <c r="EV990" s="9" t="n">
        <f aca="false">MIN((EV449+EV450)*$C$5,$F$16)*'⑫ Roll-out Plan'!$O$49</f>
        <v>14354.573376</v>
      </c>
      <c r="EW990" s="9" t="n">
        <f aca="false">MIN((EW449+EW450)*$C$5,$F$16)*'⑫ Roll-out Plan'!$O$49</f>
        <v>13219.987616</v>
      </c>
      <c r="EX990" s="9" t="n">
        <f aca="false">MIN((EX449+EX450)*$C$5,$F$16)*'⑫ Roll-out Plan'!$O$49</f>
        <v>12297.6968928</v>
      </c>
      <c r="EY990" s="9" t="n">
        <f aca="false">MIN((EY449+EY450)*$C$5,$F$16)*'⑫ Roll-out Plan'!$O$49</f>
        <v>13114.91427664</v>
      </c>
      <c r="EZ990" s="9" t="n">
        <f aca="false">MIN((EZ449+EZ450)*$C$5,$F$16)*'⑫ Roll-out Plan'!$O$49</f>
        <v>20561.76526096</v>
      </c>
      <c r="FA990" s="9" t="n">
        <f aca="false">MIN((FA449+FA450)*$C$5,$F$16)*'⑫ Roll-out Plan'!$O$49</f>
        <v>18911.8321348</v>
      </c>
      <c r="FB990" s="9" t="n">
        <f aca="false">MIN((FB449+FB450)*$C$5,$F$16)*'⑫ Roll-out Plan'!$O$49</f>
        <v>16678.2994268</v>
      </c>
      <c r="FC990" s="9" t="n">
        <f aca="false">MIN((FC449+FC450)*$C$5,$F$16)*'⑫ Roll-out Plan'!$O$49</f>
        <v>13765.73362648</v>
      </c>
      <c r="FD990" s="9" t="n">
        <f aca="false">MIN((FD449+FD450)*$C$5,$F$16)*'⑫ Roll-out Plan'!$O$49</f>
        <v>17894.69456104</v>
      </c>
      <c r="FE990" s="9" t="n">
        <f aca="false">MIN((FE449+FE450)*$C$5,$F$16)*'⑫ Roll-out Plan'!$O$49</f>
        <v>19576.40369696</v>
      </c>
      <c r="FF990" s="9" t="n">
        <f aca="false">MIN((FF449+FF450)*$C$5,$F$16)*'⑫ Roll-out Plan'!$O$49</f>
        <v>16517.3253168</v>
      </c>
      <c r="FG990" s="9" t="n">
        <f aca="false">MIN((FG449+FG450)*$C$5,$F$16)*'⑫ Roll-out Plan'!$O$49</f>
        <v>21549.41905248</v>
      </c>
      <c r="FH990" s="9" t="n">
        <f aca="false">MIN((FH449+FH450)*$C$5,$F$16)*'⑫ Roll-out Plan'!$O$49</f>
        <v>22001.9327088</v>
      </c>
      <c r="FI990" s="9" t="n">
        <f aca="false">MIN((FI449+FI450)*$C$5,$F$16)*'⑫ Roll-out Plan'!$O$49</f>
        <v>19844.96874624</v>
      </c>
      <c r="FJ990" s="9" t="n">
        <f aca="false">MIN((FJ449+FJ450)*$C$5,$F$16)*'⑫ Roll-out Plan'!$O$49</f>
        <v>18122.53060992</v>
      </c>
      <c r="FK990" s="9" t="n">
        <f aca="false">MIN((FK449+FK450)*$C$5,$F$16)*'⑫ Roll-out Plan'!$O$49</f>
        <v>18845.66683296</v>
      </c>
      <c r="FL990" s="9" t="n">
        <f aca="false">MIN((FL449+FL450)*$C$5,$F$16)*'⑫ Roll-out Plan'!$O$49</f>
        <v>23000</v>
      </c>
      <c r="FM990" s="9" t="n">
        <f aca="false">MIN((FM449+FM450)*$C$5,$F$16)*'⑫ Roll-out Plan'!$O$49</f>
        <v>23000</v>
      </c>
      <c r="FN990" s="9" t="n">
        <f aca="false">MIN((FN449+FN450)*$C$5,$F$16)*'⑫ Roll-out Plan'!$O$49</f>
        <v>23000</v>
      </c>
      <c r="FO990" s="9" t="n">
        <f aca="false">MIN((FO449+FO450)*$C$5,$F$16)*'⑫ Roll-out Plan'!$O$49</f>
        <v>19590.6359352</v>
      </c>
      <c r="FP990" s="9" t="n">
        <f aca="false">MIN((FP449+FP450)*$C$5,$F$16)*'⑫ Roll-out Plan'!$O$49</f>
        <v>23000</v>
      </c>
    </row>
    <row r="991" customFormat="false" ht="15" hidden="false" customHeight="false" outlineLevel="0" collapsed="false">
      <c r="B991" s="254" t="s">
        <v>1016</v>
      </c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121" t="n">
        <f aca="false">MIN((AC459+AC460)*$C$5,$F$16)*'⑫ Roll-out Plan'!$O$50</f>
        <v>0</v>
      </c>
      <c r="AD991" s="121" t="n">
        <f aca="false">MIN((AD459+AD460)*$C$5,$F$16)*'⑫ Roll-out Plan'!$O$50</f>
        <v>0</v>
      </c>
      <c r="AE991" s="121" t="n">
        <f aca="false">MIN((AE459+AE460)*$C$5,$F$16)*'⑫ Roll-out Plan'!$O$50</f>
        <v>0</v>
      </c>
      <c r="AF991" s="121" t="n">
        <f aca="false">MIN((AF459+AF460)*$C$5,$F$16)*'⑫ Roll-out Plan'!$O$50</f>
        <v>0</v>
      </c>
      <c r="AG991" s="121" t="n">
        <f aca="false">MIN((AG459+AG460)*$C$5,$F$16)*'⑫ Roll-out Plan'!$O$50</f>
        <v>0</v>
      </c>
      <c r="AH991" s="121" t="n">
        <f aca="false">MIN((AH459+AH460)*$C$5,$F$16)*'⑫ Roll-out Plan'!$O$50</f>
        <v>0</v>
      </c>
      <c r="AI991" s="121" t="n">
        <f aca="false">MIN((AI459+AI460)*$C$5,$F$16)*'⑫ Roll-out Plan'!$O$50</f>
        <v>0</v>
      </c>
      <c r="AJ991" s="121" t="n">
        <f aca="false">MIN((AJ459+AJ460)*$C$5,$F$16)*'⑫ Roll-out Plan'!$O$50</f>
        <v>0</v>
      </c>
      <c r="AK991" s="121" t="n">
        <f aca="false">MIN((AK459+AK460)*$C$5,$F$16)*'⑫ Roll-out Plan'!$O$50</f>
        <v>0</v>
      </c>
      <c r="AL991" s="121" t="n">
        <f aca="false">MIN((AL459+AL460)*$C$5,$F$16)*'⑫ Roll-out Plan'!$O$50</f>
        <v>0</v>
      </c>
      <c r="AM991" s="121" t="n">
        <f aca="false">MIN((AM459+AM460)*$C$5,$F$16)*'⑫ Roll-out Plan'!$O$50</f>
        <v>0</v>
      </c>
      <c r="AN991" s="121" t="n">
        <f aca="false">MIN((AN459+AN460)*$C$5,$F$16)*'⑫ Roll-out Plan'!$O$50</f>
        <v>0</v>
      </c>
      <c r="AO991" s="121" t="n">
        <f aca="false">MIN((AO459+AO460)*$C$5,$F$16)*'⑫ Roll-out Plan'!$O$50</f>
        <v>0</v>
      </c>
      <c r="AP991" s="121" t="n">
        <f aca="false">MIN((AP459+AP460)*$C$5,$F$16)*'⑫ Roll-out Plan'!$O$50</f>
        <v>0</v>
      </c>
      <c r="AQ991" s="121" t="n">
        <f aca="false">MIN((AQ459+AQ460)*$C$5,$F$16)*'⑫ Roll-out Plan'!$O$50</f>
        <v>0</v>
      </c>
      <c r="AR991" s="121" t="n">
        <f aca="false">MIN((AR459+AR460)*$C$5,$F$16)*'⑫ Roll-out Plan'!$O$50</f>
        <v>0</v>
      </c>
      <c r="AS991" s="121" t="n">
        <f aca="false">MIN((AS459+AS460)*$C$5,$F$16)*'⑫ Roll-out Plan'!$O$50</f>
        <v>0</v>
      </c>
      <c r="AT991" s="121" t="n">
        <f aca="false">MIN((AT459+AT460)*$C$5,$F$16)*'⑫ Roll-out Plan'!$O$50</f>
        <v>0</v>
      </c>
      <c r="AU991" s="121" t="n">
        <f aca="false">MIN((AU459+AU460)*$C$5,$F$16)*'⑫ Roll-out Plan'!$O$50</f>
        <v>0</v>
      </c>
      <c r="AV991" s="121" t="n">
        <f aca="false">MIN((AV459+AV460)*$C$5,$F$16)*'⑫ Roll-out Plan'!$O$50</f>
        <v>0</v>
      </c>
      <c r="AW991" s="121" t="n">
        <f aca="false">MIN((AW459+AW460)*$C$5,$F$16)*'⑫ Roll-out Plan'!$O$50</f>
        <v>0</v>
      </c>
      <c r="AX991" s="121" t="n">
        <f aca="false">MIN((AX459+AX460)*$C$5,$F$16)*'⑫ Roll-out Plan'!$O$50</f>
        <v>0</v>
      </c>
      <c r="AY991" s="121" t="n">
        <f aca="false">MIN((AY459+AY460)*$C$5,$F$16)*'⑫ Roll-out Plan'!$O$50</f>
        <v>0</v>
      </c>
      <c r="AZ991" s="121" t="n">
        <f aca="false">MIN((AZ459+AZ460)*$C$5,$F$16)*'⑫ Roll-out Plan'!$O$50</f>
        <v>0</v>
      </c>
      <c r="BA991" s="121" t="n">
        <f aca="false">MIN((BA459+BA460)*$C$5,$F$16)*'⑫ Roll-out Plan'!$O$50</f>
        <v>0</v>
      </c>
      <c r="BB991" s="121" t="n">
        <f aca="false">MIN((BB459+BB460)*$C$5,$F$16)*'⑫ Roll-out Plan'!$O$50</f>
        <v>0</v>
      </c>
      <c r="BC991" s="121" t="n">
        <f aca="false">MIN((BC459+BC460)*$C$5,$F$16)*'⑫ Roll-out Plan'!$O$50</f>
        <v>0</v>
      </c>
      <c r="BD991" s="121" t="n">
        <f aca="false">MIN((BD459+BD460)*$C$5,$F$16)*'⑫ Roll-out Plan'!$O$50</f>
        <v>0</v>
      </c>
      <c r="BE991" s="121" t="n">
        <f aca="false">MIN((BE459+BE460)*$C$5,$F$16)*'⑫ Roll-out Plan'!$O$50</f>
        <v>0</v>
      </c>
      <c r="BF991" s="121" t="n">
        <f aca="false">MIN((BF459+BF460)*$C$5,$F$16)*'⑫ Roll-out Plan'!$O$50</f>
        <v>0</v>
      </c>
      <c r="BG991" s="121" t="n">
        <f aca="false">MIN((BG459+BG460)*$C$5,$F$16)*'⑫ Roll-out Plan'!$O$50</f>
        <v>0</v>
      </c>
      <c r="BH991" s="121" t="n">
        <f aca="false">MIN((BH459+BH460)*$C$5,$F$16)*'⑫ Roll-out Plan'!$O$50</f>
        <v>0</v>
      </c>
      <c r="BI991" s="121" t="n">
        <f aca="false">MIN((BI459+BI460)*$C$5,$F$16)*'⑫ Roll-out Plan'!$O$50</f>
        <v>0</v>
      </c>
      <c r="BJ991" s="121" t="n">
        <f aca="false">MIN((BJ459+BJ460)*$C$5,$F$16)*'⑫ Roll-out Plan'!$O$50</f>
        <v>0</v>
      </c>
      <c r="BK991" s="121" t="n">
        <f aca="false">MIN((BK459+BK460)*$C$5,$F$16)*'⑫ Roll-out Plan'!$O$50</f>
        <v>0</v>
      </c>
      <c r="BL991" s="121" t="n">
        <f aca="false">MIN((BL459+BL460)*$C$5,$F$16)*'⑫ Roll-out Plan'!$O$50</f>
        <v>0</v>
      </c>
      <c r="BM991" s="121" t="n">
        <f aca="false">MIN((BM459+BM460)*$C$5,$F$16)*'⑫ Roll-out Plan'!$O$50</f>
        <v>0</v>
      </c>
      <c r="BN991" s="121" t="n">
        <f aca="false">MIN((BN459+BN460)*$C$5,$F$16)*'⑫ Roll-out Plan'!$O$50</f>
        <v>0</v>
      </c>
      <c r="BO991" s="121" t="n">
        <f aca="false">MIN((BO459+BO460)*$C$5,$F$16)*'⑫ Roll-out Plan'!$O$50</f>
        <v>0</v>
      </c>
      <c r="BP991" s="121" t="n">
        <f aca="false">MIN((BP459+BP460)*$C$5,$F$16)*'⑫ Roll-out Plan'!$O$50</f>
        <v>0</v>
      </c>
      <c r="BQ991" s="121" t="n">
        <f aca="false">MIN((BQ459+BQ460)*$C$5,$F$16)*'⑫ Roll-out Plan'!$O$50</f>
        <v>0</v>
      </c>
      <c r="BR991" s="121" t="n">
        <f aca="false">MIN((BR459+BR460)*$C$5,$F$16)*'⑫ Roll-out Plan'!$O$50</f>
        <v>0</v>
      </c>
      <c r="BS991" s="121" t="n">
        <f aca="false">MIN((BS459+BS460)*$C$5,$F$16)*'⑫ Roll-out Plan'!$O$50</f>
        <v>0</v>
      </c>
      <c r="BT991" s="121" t="n">
        <f aca="false">MIN((BT459+BT460)*$C$5,$F$16)*'⑫ Roll-out Plan'!$O$50</f>
        <v>0</v>
      </c>
      <c r="BU991" s="121" t="n">
        <f aca="false">MIN((BU459+BU460)*$C$5,$F$16)*'⑫ Roll-out Plan'!$O$50</f>
        <v>0</v>
      </c>
      <c r="BV991" s="121" t="n">
        <f aca="false">MIN((BV459+BV460)*$C$5,$F$16)*'⑫ Roll-out Plan'!$O$50</f>
        <v>0</v>
      </c>
      <c r="BW991" s="121" t="n">
        <f aca="false">MIN((BW459+BW460)*$C$5,$F$16)*'⑫ Roll-out Plan'!$O$50</f>
        <v>0</v>
      </c>
      <c r="BX991" s="121" t="n">
        <f aca="false">MIN((BX459+BX460)*$C$5,$F$16)*'⑫ Roll-out Plan'!$O$50</f>
        <v>0</v>
      </c>
      <c r="BY991" s="121" t="n">
        <f aca="false">MIN((BY459+BY460)*$C$5,$F$16)*'⑫ Roll-out Plan'!$O$50</f>
        <v>0</v>
      </c>
      <c r="BZ991" s="121" t="n">
        <f aca="false">MIN((BZ459+BZ460)*$C$5,$F$16)*'⑫ Roll-out Plan'!$O$50</f>
        <v>0</v>
      </c>
      <c r="CA991" s="121" t="n">
        <f aca="false">MIN((CA459+CA460)*$C$5,$F$16)*'⑫ Roll-out Plan'!$O$50</f>
        <v>0</v>
      </c>
      <c r="CB991" s="121" t="n">
        <f aca="false">MIN((CB459+CB460)*$C$5,$F$16)*'⑫ Roll-out Plan'!$O$50</f>
        <v>0</v>
      </c>
      <c r="CC991" s="121" t="n">
        <f aca="false">MIN((CC459+CC460)*$C$5,$F$16)*'⑫ Roll-out Plan'!$O$50</f>
        <v>0</v>
      </c>
      <c r="CD991" s="121" t="n">
        <f aca="false">MIN((CD459+CD460)*$C$5,$F$16)*'⑫ Roll-out Plan'!$O$50</f>
        <v>0</v>
      </c>
      <c r="CE991" s="121" t="n">
        <f aca="false">MIN((CE459+CE460)*$C$5,$F$16)*'⑫ Roll-out Plan'!$O$50</f>
        <v>0</v>
      </c>
      <c r="CF991" s="121" t="n">
        <f aca="false">MIN((CF459+CF460)*$C$5,$F$16)*'⑫ Roll-out Plan'!$O$50</f>
        <v>0</v>
      </c>
      <c r="CG991" s="121" t="n">
        <f aca="false">MIN((CG459+CG460)*$C$5,$F$16)*'⑫ Roll-out Plan'!$O$50</f>
        <v>0</v>
      </c>
      <c r="CH991" s="121" t="n">
        <f aca="false">MIN((CH459+CH460)*$C$5,$F$16)*'⑫ Roll-out Plan'!$O$50</f>
        <v>0</v>
      </c>
      <c r="CI991" s="121" t="n">
        <f aca="false">MIN((CI459+CI460)*$C$5,$F$16)*'⑫ Roll-out Plan'!$O$50</f>
        <v>0</v>
      </c>
      <c r="CJ991" s="121" t="n">
        <f aca="false">MIN((CJ459+CJ460)*$C$5,$F$16)*'⑫ Roll-out Plan'!$O$50</f>
        <v>0</v>
      </c>
      <c r="CK991" s="121" t="n">
        <f aca="false">MIN((CK459+CK460)*$C$5,$F$16)*'⑫ Roll-out Plan'!$O$50</f>
        <v>0</v>
      </c>
      <c r="CL991" s="121" t="n">
        <f aca="false">MIN((CL459+CL460)*$C$5,$F$16)*'⑫ Roll-out Plan'!$O$50</f>
        <v>0</v>
      </c>
      <c r="CM991" s="121" t="n">
        <f aca="false">MIN((CM459+CM460)*$C$5,$F$16)*'⑫ Roll-out Plan'!$O$50</f>
        <v>0</v>
      </c>
      <c r="CN991" s="121" t="n">
        <f aca="false">MIN((CN459+CN460)*$C$5,$F$16)*'⑫ Roll-out Plan'!$O$50</f>
        <v>0</v>
      </c>
      <c r="CO991" s="121" t="n">
        <f aca="false">MIN((CO459+CO460)*$C$5,$F$16)*'⑫ Roll-out Plan'!$O$50</f>
        <v>0</v>
      </c>
      <c r="CP991" s="121" t="n">
        <f aca="false">MIN((CP459+CP460)*$C$5,$F$16)*'⑫ Roll-out Plan'!$O$50</f>
        <v>0</v>
      </c>
      <c r="CQ991" s="121" t="n">
        <f aca="false">MIN((CQ459+CQ460)*$C$5,$F$16)*'⑫ Roll-out Plan'!$O$50</f>
        <v>0</v>
      </c>
      <c r="CR991" s="121" t="n">
        <f aca="false">MIN((CR459+CR460)*$C$5,$F$16)*'⑫ Roll-out Plan'!$O$50</f>
        <v>0</v>
      </c>
      <c r="CS991" s="121" t="n">
        <f aca="false">MIN((CS459+CS460)*$C$5,$F$16)*'⑫ Roll-out Plan'!$O$50</f>
        <v>0</v>
      </c>
      <c r="CT991" s="121" t="n">
        <f aca="false">MIN((CT459+CT460)*$C$5,$F$16)*'⑫ Roll-out Plan'!$O$50</f>
        <v>0</v>
      </c>
      <c r="CU991" s="121" t="n">
        <f aca="false">MIN((CU459+CU460)*$C$5,$F$16)*'⑫ Roll-out Plan'!$O$50</f>
        <v>0</v>
      </c>
      <c r="CV991" s="121" t="n">
        <f aca="false">MIN((CV459+CV460)*$C$5,$F$16)*'⑫ Roll-out Plan'!$O$50</f>
        <v>0</v>
      </c>
      <c r="CW991" s="121" t="n">
        <f aca="false">MIN((CW459+CW460)*$C$5,$F$16)*'⑫ Roll-out Plan'!$O$50</f>
        <v>0</v>
      </c>
      <c r="CX991" s="121" t="n">
        <f aca="false">MIN((CX459+CX460)*$C$5,$F$16)*'⑫ Roll-out Plan'!$O$50</f>
        <v>0</v>
      </c>
      <c r="CY991" s="121" t="n">
        <f aca="false">MIN((CY459+CY460)*$C$5,$F$16)*'⑫ Roll-out Plan'!$O$50</f>
        <v>0</v>
      </c>
      <c r="CZ991" s="121" t="n">
        <f aca="false">MIN((CZ459+CZ460)*$C$5,$F$16)*'⑫ Roll-out Plan'!$O$50</f>
        <v>0</v>
      </c>
      <c r="DA991" s="121" t="n">
        <f aca="false">MIN((DA459+DA460)*$C$5,$F$16)*'⑫ Roll-out Plan'!$O$50</f>
        <v>0</v>
      </c>
      <c r="DB991" s="121" t="n">
        <f aca="false">MIN((DB459+DB460)*$C$5,$F$16)*'⑫ Roll-out Plan'!$O$50</f>
        <v>0</v>
      </c>
      <c r="DC991" s="121" t="n">
        <f aca="false">MIN((DC459+DC460)*$C$5,$F$16)*'⑫ Roll-out Plan'!$O$50</f>
        <v>0</v>
      </c>
      <c r="DD991" s="121" t="n">
        <f aca="false">MIN((DD459+DD460)*$C$5,$F$16)*'⑫ Roll-out Plan'!$O$50</f>
        <v>0</v>
      </c>
      <c r="DE991" s="121" t="n">
        <f aca="false">MIN((DE459+DE460)*$C$5,$F$16)*'⑫ Roll-out Plan'!$O$50</f>
        <v>0</v>
      </c>
      <c r="DF991" s="121" t="n">
        <f aca="false">MIN((DF459+DF460)*$C$5,$F$16)*'⑫ Roll-out Plan'!$O$50</f>
        <v>0</v>
      </c>
      <c r="DG991" s="121" t="n">
        <f aca="false">MIN((DG459+DG460)*$C$5,$F$16)*'⑫ Roll-out Plan'!$O$50</f>
        <v>0</v>
      </c>
      <c r="DH991" s="121" t="n">
        <f aca="false">MIN((DH459+DH460)*$C$5,$F$16)*'⑫ Roll-out Plan'!$O$50</f>
        <v>0</v>
      </c>
      <c r="DI991" s="121" t="n">
        <f aca="false">MIN((DI459+DI460)*$C$5,$F$16)*'⑫ Roll-out Plan'!$O$50</f>
        <v>0</v>
      </c>
      <c r="DJ991" s="121" t="n">
        <f aca="false">MIN((DJ459+DJ460)*$C$5,$F$16)*'⑫ Roll-out Plan'!$O$50</f>
        <v>0</v>
      </c>
      <c r="DK991" s="121" t="n">
        <f aca="false">MIN((DK459+DK460)*$C$5,$F$16)*'⑫ Roll-out Plan'!$O$50</f>
        <v>0</v>
      </c>
      <c r="DL991" s="121" t="n">
        <f aca="false">MIN((DL459+DL460)*$C$5,$F$16)*'⑫ Roll-out Plan'!$O$50</f>
        <v>0</v>
      </c>
      <c r="DM991" s="121" t="n">
        <f aca="false">MIN((DM459+DM460)*$C$5,$F$16)*'⑫ Roll-out Plan'!$O$50</f>
        <v>0</v>
      </c>
      <c r="DN991" s="121" t="n">
        <f aca="false">MIN((DN459+DN460)*$C$5,$F$16)*'⑫ Roll-out Plan'!$O$50</f>
        <v>0</v>
      </c>
      <c r="DO991" s="121" t="n">
        <f aca="false">MIN((DO459+DO460)*$C$5,$F$16)*'⑫ Roll-out Plan'!$O$50</f>
        <v>0</v>
      </c>
      <c r="DP991" s="121" t="n">
        <f aca="false">MIN((DP459+DP460)*$C$5,$F$16)*'⑫ Roll-out Plan'!$O$50</f>
        <v>0</v>
      </c>
      <c r="DQ991" s="121" t="n">
        <f aca="false">MIN((DQ459+DQ460)*$C$5,$F$16)*'⑫ Roll-out Plan'!$O$50</f>
        <v>0</v>
      </c>
      <c r="DR991" s="121" t="n">
        <f aca="false">MIN((DR459+DR460)*$C$5,$F$16)*'⑫ Roll-out Plan'!$O$50</f>
        <v>0</v>
      </c>
      <c r="DS991" s="121" t="n">
        <f aca="false">MIN((DS459+DS460)*$C$5,$F$16)*'⑫ Roll-out Plan'!$O$50</f>
        <v>0</v>
      </c>
      <c r="DT991" s="121" t="n">
        <f aca="false">MIN((DT459+DT460)*$C$5,$F$16)*'⑫ Roll-out Plan'!$O$50</f>
        <v>0</v>
      </c>
      <c r="DU991" s="121" t="n">
        <f aca="false">MIN((DU459+DU460)*$C$5,$F$16)*'⑫ Roll-out Plan'!$O$50</f>
        <v>0</v>
      </c>
      <c r="DV991" s="121" t="n">
        <f aca="false">MIN((DV459+DV460)*$C$5,$F$16)*'⑫ Roll-out Plan'!$O$50</f>
        <v>0</v>
      </c>
      <c r="DW991" s="121" t="n">
        <f aca="false">MIN((DW459+DW460)*$C$5,$F$16)*'⑫ Roll-out Plan'!$O$50</f>
        <v>0</v>
      </c>
      <c r="DX991" s="121" t="n">
        <f aca="false">MIN((DX459+DX460)*$C$5,$F$16)*'⑫ Roll-out Plan'!$O$50</f>
        <v>0</v>
      </c>
      <c r="DY991" s="121" t="n">
        <f aca="false">MIN((DY459+DY460)*$C$5,$F$16)*'⑫ Roll-out Plan'!$O$50</f>
        <v>0</v>
      </c>
      <c r="DZ991" s="121" t="n">
        <f aca="false">MIN((DZ459+DZ460)*$C$5,$F$16)*'⑫ Roll-out Plan'!$O$50</f>
        <v>0</v>
      </c>
      <c r="EA991" s="121" t="n">
        <f aca="false">MIN((EA459+EA460)*$C$5,$F$16)*'⑫ Roll-out Plan'!$O$50</f>
        <v>0</v>
      </c>
      <c r="EB991" s="121" t="n">
        <f aca="false">MIN((EB459+EB460)*$C$5,$F$16)*'⑫ Roll-out Plan'!$O$50</f>
        <v>0</v>
      </c>
      <c r="EC991" s="121" t="n">
        <f aca="false">MIN((EC459+EC460)*$C$5,$F$16)*'⑫ Roll-out Plan'!$O$50</f>
        <v>0</v>
      </c>
      <c r="ED991" s="121" t="n">
        <f aca="false">MIN((ED459+ED460)*$C$5,$F$16)*'⑫ Roll-out Plan'!$O$50</f>
        <v>0</v>
      </c>
      <c r="EE991" s="121" t="n">
        <f aca="false">MIN((EE459+EE460)*$C$5,$F$16)*'⑫ Roll-out Plan'!$O$50</f>
        <v>0</v>
      </c>
      <c r="EF991" s="121" t="n">
        <f aca="false">MIN((EF459+EF460)*$C$5,$F$16)*'⑫ Roll-out Plan'!$O$50</f>
        <v>0</v>
      </c>
      <c r="EG991" s="121" t="n">
        <f aca="false">MIN((EG459+EG460)*$C$5,$F$16)*'⑫ Roll-out Plan'!$O$50</f>
        <v>0</v>
      </c>
      <c r="EH991" s="121" t="n">
        <f aca="false">MIN((EH459+EH460)*$C$5,$F$16)*'⑫ Roll-out Plan'!$O$50</f>
        <v>2363.24</v>
      </c>
      <c r="EI991" s="121" t="n">
        <f aca="false">MIN((EI459+EI460)*$C$5,$F$16)*'⑫ Roll-out Plan'!$O$50</f>
        <v>3979.92672</v>
      </c>
      <c r="EJ991" s="121" t="n">
        <f aca="false">MIN((EJ459+EJ460)*$C$5,$F$16)*'⑫ Roll-out Plan'!$O$50</f>
        <v>4316.54432</v>
      </c>
      <c r="EK991" s="121" t="n">
        <f aca="false">MIN((EK459+EK460)*$C$5,$F$16)*'⑫ Roll-out Plan'!$O$50</f>
        <v>4184.0460992</v>
      </c>
      <c r="EL991" s="121" t="n">
        <f aca="false">MIN((EL459+EL460)*$C$5,$F$16)*'⑫ Roll-out Plan'!$O$50</f>
        <v>3750.3074048</v>
      </c>
      <c r="EM991" s="121" t="n">
        <f aca="false">MIN((EM459+EM460)*$C$5,$F$16)*'⑫ Roll-out Plan'!$O$50</f>
        <v>4368.743104</v>
      </c>
      <c r="EN991" s="121" t="n">
        <f aca="false">MIN((EN459+EN460)*$C$5,$F$16)*'⑫ Roll-out Plan'!$O$50</f>
        <v>7872.3743648</v>
      </c>
      <c r="EO991" s="121" t="n">
        <f aca="false">MIN((EO459+EO460)*$C$5,$F$16)*'⑫ Roll-out Plan'!$O$50</f>
        <v>7709.3546112</v>
      </c>
      <c r="EP991" s="121" t="n">
        <f aca="false">MIN((EP459+EP460)*$C$5,$F$16)*'⑫ Roll-out Plan'!$O$50</f>
        <v>7293.973104</v>
      </c>
      <c r="EQ991" s="121" t="n">
        <f aca="false">MIN((EQ459+EQ460)*$C$5,$F$16)*'⑫ Roll-out Plan'!$O$50</f>
        <v>5815.6546624</v>
      </c>
      <c r="ER991" s="121" t="n">
        <f aca="false">MIN((ER459+ER460)*$C$5,$F$16)*'⑫ Roll-out Plan'!$O$50</f>
        <v>8187.6836096</v>
      </c>
      <c r="ES991" s="9" t="n">
        <f aca="false">MIN((ES459+ES460)*$C$5,$F$16)*'⑫ Roll-out Plan'!$O$50</f>
        <v>9558.3996992</v>
      </c>
      <c r="ET991" s="9" t="n">
        <f aca="false">MIN((ET459+ET460)*$C$5,$F$16)*'⑫ Roll-out Plan'!$O$50</f>
        <v>8306.5741792</v>
      </c>
      <c r="EU991" s="9" t="n">
        <f aca="false">MIN((EU459+EU460)*$C$5,$F$16)*'⑫ Roll-out Plan'!$O$50</f>
        <v>11745.833088</v>
      </c>
      <c r="EV991" s="9" t="n">
        <f aca="false">MIN((EV459+EV460)*$C$5,$F$16)*'⑫ Roll-out Plan'!$O$50</f>
        <v>11755.770224</v>
      </c>
      <c r="EW991" s="9" t="n">
        <f aca="false">MIN((EW459+EW460)*$C$5,$F$16)*'⑫ Roll-out Plan'!$O$50</f>
        <v>12330.1274624</v>
      </c>
      <c r="EX991" s="9" t="n">
        <f aca="false">MIN((EX459+EX460)*$C$5,$F$16)*'⑫ Roll-out Plan'!$O$50</f>
        <v>11617.6002272</v>
      </c>
      <c r="EY991" s="9" t="n">
        <f aca="false">MIN((EY459+EY460)*$C$5,$F$16)*'⑫ Roll-out Plan'!$O$50</f>
        <v>12535.38626912</v>
      </c>
      <c r="EZ991" s="9" t="n">
        <f aca="false">MIN((EZ459+EZ460)*$C$5,$F$16)*'⑫ Roll-out Plan'!$O$50</f>
        <v>20296.66437568</v>
      </c>
      <c r="FA991" s="9" t="n">
        <f aca="false">MIN((FA459+FA460)*$C$5,$F$16)*'⑫ Roll-out Plan'!$O$50</f>
        <v>18258.50475328</v>
      </c>
      <c r="FB991" s="9" t="n">
        <f aca="false">MIN((FB459+FB460)*$C$5,$F$16)*'⑫ Roll-out Plan'!$O$50</f>
        <v>16076.78717744</v>
      </c>
      <c r="FC991" s="9" t="n">
        <f aca="false">MIN((FC459+FC460)*$C$5,$F$16)*'⑫ Roll-out Plan'!$O$50</f>
        <v>13230.725948</v>
      </c>
      <c r="FD991" s="9" t="n">
        <f aca="false">MIN((FD459+FD460)*$C$5,$F$16)*'⑫ Roll-out Plan'!$O$50</f>
        <v>17264.07180608</v>
      </c>
      <c r="FE991" s="9" t="n">
        <f aca="false">MIN((FE459+FE460)*$C$5,$F$16)*'⑫ Roll-out Plan'!$O$50</f>
        <v>19255.63652056</v>
      </c>
      <c r="FF991" s="9" t="n">
        <f aca="false">MIN((FF459+FF460)*$C$5,$F$16)*'⑫ Roll-out Plan'!$O$50</f>
        <v>16056.20635432</v>
      </c>
      <c r="FG991" s="9" t="n">
        <f aca="false">MIN((FG459+FG460)*$C$5,$F$16)*'⑫ Roll-out Plan'!$O$50</f>
        <v>20859.99404456</v>
      </c>
      <c r="FH991" s="9" t="n">
        <f aca="false">MIN((FH459+FH460)*$C$5,$F$16)*'⑫ Roll-out Plan'!$O$50</f>
        <v>21246.00128552</v>
      </c>
      <c r="FI991" s="9" t="n">
        <f aca="false">MIN((FI459+FI460)*$C$5,$F$16)*'⑫ Roll-out Plan'!$O$50</f>
        <v>19270.2145988</v>
      </c>
      <c r="FJ991" s="9" t="n">
        <f aca="false">MIN((FJ459+FJ460)*$C$5,$F$16)*'⑫ Roll-out Plan'!$O$50</f>
        <v>17766.57329128</v>
      </c>
      <c r="FK991" s="9" t="n">
        <f aca="false">MIN((FK459+FK460)*$C$5,$F$16)*'⑫ Roll-out Plan'!$O$50</f>
        <v>18349.58114088</v>
      </c>
      <c r="FL991" s="9" t="n">
        <f aca="false">MIN((FL459+FL460)*$C$5,$F$16)*'⑫ Roll-out Plan'!$O$50</f>
        <v>23000</v>
      </c>
      <c r="FM991" s="9" t="n">
        <f aca="false">MIN((FM459+FM460)*$C$5,$F$16)*'⑫ Roll-out Plan'!$O$50</f>
        <v>23000</v>
      </c>
      <c r="FN991" s="9" t="n">
        <f aca="false">MIN((FN459+FN460)*$C$5,$F$16)*'⑫ Roll-out Plan'!$O$50</f>
        <v>22789.02961896</v>
      </c>
      <c r="FO991" s="9" t="n">
        <f aca="false">MIN((FO459+FO460)*$C$5,$F$16)*'⑫ Roll-out Plan'!$O$50</f>
        <v>19157.14520808</v>
      </c>
      <c r="FP991" s="9" t="n">
        <f aca="false">MIN((FP459+FP460)*$C$5,$F$16)*'⑫ Roll-out Plan'!$O$50</f>
        <v>23000</v>
      </c>
    </row>
    <row r="992" customFormat="false" ht="15" hidden="false" customHeight="false" outlineLevel="0" collapsed="false">
      <c r="B992" s="254" t="s">
        <v>1017</v>
      </c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121" t="n">
        <f aca="false">MIN((AC469+AC470)*$C$5,$F$16)*'⑫ Roll-out Plan'!$O$51</f>
        <v>0</v>
      </c>
      <c r="AD992" s="121" t="n">
        <f aca="false">MIN((AD469+AD470)*$C$5,$F$16)*'⑫ Roll-out Plan'!$O$51</f>
        <v>0</v>
      </c>
      <c r="AE992" s="121" t="n">
        <f aca="false">MIN((AE469+AE470)*$C$5,$F$16)*'⑫ Roll-out Plan'!$O$51</f>
        <v>0</v>
      </c>
      <c r="AF992" s="121" t="n">
        <f aca="false">MIN((AF469+AF470)*$C$5,$F$16)*'⑫ Roll-out Plan'!$O$51</f>
        <v>0</v>
      </c>
      <c r="AG992" s="121" t="n">
        <f aca="false">MIN((AG469+AG470)*$C$5,$F$16)*'⑫ Roll-out Plan'!$O$51</f>
        <v>0</v>
      </c>
      <c r="AH992" s="121" t="n">
        <f aca="false">MIN((AH469+AH470)*$C$5,$F$16)*'⑫ Roll-out Plan'!$O$51</f>
        <v>0</v>
      </c>
      <c r="AI992" s="121" t="n">
        <f aca="false">MIN((AI469+AI470)*$C$5,$F$16)*'⑫ Roll-out Plan'!$O$51</f>
        <v>0</v>
      </c>
      <c r="AJ992" s="121" t="n">
        <f aca="false">MIN((AJ469+AJ470)*$C$5,$F$16)*'⑫ Roll-out Plan'!$O$51</f>
        <v>0</v>
      </c>
      <c r="AK992" s="121" t="n">
        <f aca="false">MIN((AK469+AK470)*$C$5,$F$16)*'⑫ Roll-out Plan'!$O$51</f>
        <v>0</v>
      </c>
      <c r="AL992" s="121" t="n">
        <f aca="false">MIN((AL469+AL470)*$C$5,$F$16)*'⑫ Roll-out Plan'!$O$51</f>
        <v>0</v>
      </c>
      <c r="AM992" s="121" t="n">
        <f aca="false">MIN((AM469+AM470)*$C$5,$F$16)*'⑫ Roll-out Plan'!$O$51</f>
        <v>0</v>
      </c>
      <c r="AN992" s="121" t="n">
        <f aca="false">MIN((AN469+AN470)*$C$5,$F$16)*'⑫ Roll-out Plan'!$O$51</f>
        <v>0</v>
      </c>
      <c r="AO992" s="121" t="n">
        <f aca="false">MIN((AO469+AO470)*$C$5,$F$16)*'⑫ Roll-out Plan'!$O$51</f>
        <v>0</v>
      </c>
      <c r="AP992" s="121" t="n">
        <f aca="false">MIN((AP469+AP470)*$C$5,$F$16)*'⑫ Roll-out Plan'!$O$51</f>
        <v>0</v>
      </c>
      <c r="AQ992" s="121" t="n">
        <f aca="false">MIN((AQ469+AQ470)*$C$5,$F$16)*'⑫ Roll-out Plan'!$O$51</f>
        <v>0</v>
      </c>
      <c r="AR992" s="121" t="n">
        <f aca="false">MIN((AR469+AR470)*$C$5,$F$16)*'⑫ Roll-out Plan'!$O$51</f>
        <v>0</v>
      </c>
      <c r="AS992" s="121" t="n">
        <f aca="false">MIN((AS469+AS470)*$C$5,$F$16)*'⑫ Roll-out Plan'!$O$51</f>
        <v>0</v>
      </c>
      <c r="AT992" s="121" t="n">
        <f aca="false">MIN((AT469+AT470)*$C$5,$F$16)*'⑫ Roll-out Plan'!$O$51</f>
        <v>0</v>
      </c>
      <c r="AU992" s="121" t="n">
        <f aca="false">MIN((AU469+AU470)*$C$5,$F$16)*'⑫ Roll-out Plan'!$O$51</f>
        <v>0</v>
      </c>
      <c r="AV992" s="121" t="n">
        <f aca="false">MIN((AV469+AV470)*$C$5,$F$16)*'⑫ Roll-out Plan'!$O$51</f>
        <v>0</v>
      </c>
      <c r="AW992" s="121" t="n">
        <f aca="false">MIN((AW469+AW470)*$C$5,$F$16)*'⑫ Roll-out Plan'!$O$51</f>
        <v>0</v>
      </c>
      <c r="AX992" s="121" t="n">
        <f aca="false">MIN((AX469+AX470)*$C$5,$F$16)*'⑫ Roll-out Plan'!$O$51</f>
        <v>0</v>
      </c>
      <c r="AY992" s="121" t="n">
        <f aca="false">MIN((AY469+AY470)*$C$5,$F$16)*'⑫ Roll-out Plan'!$O$51</f>
        <v>0</v>
      </c>
      <c r="AZ992" s="121" t="n">
        <f aca="false">MIN((AZ469+AZ470)*$C$5,$F$16)*'⑫ Roll-out Plan'!$O$51</f>
        <v>0</v>
      </c>
      <c r="BA992" s="121" t="n">
        <f aca="false">MIN((BA469+BA470)*$C$5,$F$16)*'⑫ Roll-out Plan'!$O$51</f>
        <v>0</v>
      </c>
      <c r="BB992" s="121" t="n">
        <f aca="false">MIN((BB469+BB470)*$C$5,$F$16)*'⑫ Roll-out Plan'!$O$51</f>
        <v>0</v>
      </c>
      <c r="BC992" s="121" t="n">
        <f aca="false">MIN((BC469+BC470)*$C$5,$F$16)*'⑫ Roll-out Plan'!$O$51</f>
        <v>0</v>
      </c>
      <c r="BD992" s="121" t="n">
        <f aca="false">MIN((BD469+BD470)*$C$5,$F$16)*'⑫ Roll-out Plan'!$O$51</f>
        <v>0</v>
      </c>
      <c r="BE992" s="121" t="n">
        <f aca="false">MIN((BE469+BE470)*$C$5,$F$16)*'⑫ Roll-out Plan'!$O$51</f>
        <v>0</v>
      </c>
      <c r="BF992" s="121" t="n">
        <f aca="false">MIN((BF469+BF470)*$C$5,$F$16)*'⑫ Roll-out Plan'!$O$51</f>
        <v>0</v>
      </c>
      <c r="BG992" s="121" t="n">
        <f aca="false">MIN((BG469+BG470)*$C$5,$F$16)*'⑫ Roll-out Plan'!$O$51</f>
        <v>0</v>
      </c>
      <c r="BH992" s="121" t="n">
        <f aca="false">MIN((BH469+BH470)*$C$5,$F$16)*'⑫ Roll-out Plan'!$O$51</f>
        <v>0</v>
      </c>
      <c r="BI992" s="121" t="n">
        <f aca="false">MIN((BI469+BI470)*$C$5,$F$16)*'⑫ Roll-out Plan'!$O$51</f>
        <v>0</v>
      </c>
      <c r="BJ992" s="121" t="n">
        <f aca="false">MIN((BJ469+BJ470)*$C$5,$F$16)*'⑫ Roll-out Plan'!$O$51</f>
        <v>0</v>
      </c>
      <c r="BK992" s="121" t="n">
        <f aca="false">MIN((BK469+BK470)*$C$5,$F$16)*'⑫ Roll-out Plan'!$O$51</f>
        <v>0</v>
      </c>
      <c r="BL992" s="121" t="n">
        <f aca="false">MIN((BL469+BL470)*$C$5,$F$16)*'⑫ Roll-out Plan'!$O$51</f>
        <v>0</v>
      </c>
      <c r="BM992" s="121" t="n">
        <f aca="false">MIN((BM469+BM470)*$C$5,$F$16)*'⑫ Roll-out Plan'!$O$51</f>
        <v>0</v>
      </c>
      <c r="BN992" s="121" t="n">
        <f aca="false">MIN((BN469+BN470)*$C$5,$F$16)*'⑫ Roll-out Plan'!$O$51</f>
        <v>0</v>
      </c>
      <c r="BO992" s="121" t="n">
        <f aca="false">MIN((BO469+BO470)*$C$5,$F$16)*'⑫ Roll-out Plan'!$O$51</f>
        <v>0</v>
      </c>
      <c r="BP992" s="121" t="n">
        <f aca="false">MIN((BP469+BP470)*$C$5,$F$16)*'⑫ Roll-out Plan'!$O$51</f>
        <v>0</v>
      </c>
      <c r="BQ992" s="121" t="n">
        <f aca="false">MIN((BQ469+BQ470)*$C$5,$F$16)*'⑫ Roll-out Plan'!$O$51</f>
        <v>0</v>
      </c>
      <c r="BR992" s="121" t="n">
        <f aca="false">MIN((BR469+BR470)*$C$5,$F$16)*'⑫ Roll-out Plan'!$O$51</f>
        <v>0</v>
      </c>
      <c r="BS992" s="121" t="n">
        <f aca="false">MIN((BS469+BS470)*$C$5,$F$16)*'⑫ Roll-out Plan'!$O$51</f>
        <v>0</v>
      </c>
      <c r="BT992" s="121" t="n">
        <f aca="false">MIN((BT469+BT470)*$C$5,$F$16)*'⑫ Roll-out Plan'!$O$51</f>
        <v>0</v>
      </c>
      <c r="BU992" s="121" t="n">
        <f aca="false">MIN((BU469+BU470)*$C$5,$F$16)*'⑫ Roll-out Plan'!$O$51</f>
        <v>0</v>
      </c>
      <c r="BV992" s="121" t="n">
        <f aca="false">MIN((BV469+BV470)*$C$5,$F$16)*'⑫ Roll-out Plan'!$O$51</f>
        <v>0</v>
      </c>
      <c r="BW992" s="121" t="n">
        <f aca="false">MIN((BW469+BW470)*$C$5,$F$16)*'⑫ Roll-out Plan'!$O$51</f>
        <v>0</v>
      </c>
      <c r="BX992" s="121" t="n">
        <f aca="false">MIN((BX469+BX470)*$C$5,$F$16)*'⑫ Roll-out Plan'!$O$51</f>
        <v>0</v>
      </c>
      <c r="BY992" s="121" t="n">
        <f aca="false">MIN((BY469+BY470)*$C$5,$F$16)*'⑫ Roll-out Plan'!$O$51</f>
        <v>0</v>
      </c>
      <c r="BZ992" s="121" t="n">
        <f aca="false">MIN((BZ469+BZ470)*$C$5,$F$16)*'⑫ Roll-out Plan'!$O$51</f>
        <v>0</v>
      </c>
      <c r="CA992" s="121" t="n">
        <f aca="false">MIN((CA469+CA470)*$C$5,$F$16)*'⑫ Roll-out Plan'!$O$51</f>
        <v>0</v>
      </c>
      <c r="CB992" s="121" t="n">
        <f aca="false">MIN((CB469+CB470)*$C$5,$F$16)*'⑫ Roll-out Plan'!$O$51</f>
        <v>0</v>
      </c>
      <c r="CC992" s="121" t="n">
        <f aca="false">MIN((CC469+CC470)*$C$5,$F$16)*'⑫ Roll-out Plan'!$O$51</f>
        <v>0</v>
      </c>
      <c r="CD992" s="121" t="n">
        <f aca="false">MIN((CD469+CD470)*$C$5,$F$16)*'⑫ Roll-out Plan'!$O$51</f>
        <v>0</v>
      </c>
      <c r="CE992" s="121" t="n">
        <f aca="false">MIN((CE469+CE470)*$C$5,$F$16)*'⑫ Roll-out Plan'!$O$51</f>
        <v>0</v>
      </c>
      <c r="CF992" s="121" t="n">
        <f aca="false">MIN((CF469+CF470)*$C$5,$F$16)*'⑫ Roll-out Plan'!$O$51</f>
        <v>0</v>
      </c>
      <c r="CG992" s="121" t="n">
        <f aca="false">MIN((CG469+CG470)*$C$5,$F$16)*'⑫ Roll-out Plan'!$O$51</f>
        <v>0</v>
      </c>
      <c r="CH992" s="121" t="n">
        <f aca="false">MIN((CH469+CH470)*$C$5,$F$16)*'⑫ Roll-out Plan'!$O$51</f>
        <v>0</v>
      </c>
      <c r="CI992" s="121" t="n">
        <f aca="false">MIN((CI469+CI470)*$C$5,$F$16)*'⑫ Roll-out Plan'!$O$51</f>
        <v>0</v>
      </c>
      <c r="CJ992" s="121" t="n">
        <f aca="false">MIN((CJ469+CJ470)*$C$5,$F$16)*'⑫ Roll-out Plan'!$O$51</f>
        <v>0</v>
      </c>
      <c r="CK992" s="121" t="n">
        <f aca="false">MIN((CK469+CK470)*$C$5,$F$16)*'⑫ Roll-out Plan'!$O$51</f>
        <v>0</v>
      </c>
      <c r="CL992" s="121" t="n">
        <f aca="false">MIN((CL469+CL470)*$C$5,$F$16)*'⑫ Roll-out Plan'!$O$51</f>
        <v>0</v>
      </c>
      <c r="CM992" s="121" t="n">
        <f aca="false">MIN((CM469+CM470)*$C$5,$F$16)*'⑫ Roll-out Plan'!$O$51</f>
        <v>0</v>
      </c>
      <c r="CN992" s="121" t="n">
        <f aca="false">MIN((CN469+CN470)*$C$5,$F$16)*'⑫ Roll-out Plan'!$O$51</f>
        <v>0</v>
      </c>
      <c r="CO992" s="121" t="n">
        <f aca="false">MIN((CO469+CO470)*$C$5,$F$16)*'⑫ Roll-out Plan'!$O$51</f>
        <v>0</v>
      </c>
      <c r="CP992" s="121" t="n">
        <f aca="false">MIN((CP469+CP470)*$C$5,$F$16)*'⑫ Roll-out Plan'!$O$51</f>
        <v>0</v>
      </c>
      <c r="CQ992" s="121" t="n">
        <f aca="false">MIN((CQ469+CQ470)*$C$5,$F$16)*'⑫ Roll-out Plan'!$O$51</f>
        <v>0</v>
      </c>
      <c r="CR992" s="121" t="n">
        <f aca="false">MIN((CR469+CR470)*$C$5,$F$16)*'⑫ Roll-out Plan'!$O$51</f>
        <v>0</v>
      </c>
      <c r="CS992" s="121" t="n">
        <f aca="false">MIN((CS469+CS470)*$C$5,$F$16)*'⑫ Roll-out Plan'!$O$51</f>
        <v>0</v>
      </c>
      <c r="CT992" s="121" t="n">
        <f aca="false">MIN((CT469+CT470)*$C$5,$F$16)*'⑫ Roll-out Plan'!$O$51</f>
        <v>0</v>
      </c>
      <c r="CU992" s="121" t="n">
        <f aca="false">MIN((CU469+CU470)*$C$5,$F$16)*'⑫ Roll-out Plan'!$O$51</f>
        <v>0</v>
      </c>
      <c r="CV992" s="121" t="n">
        <f aca="false">MIN((CV469+CV470)*$C$5,$F$16)*'⑫ Roll-out Plan'!$O$51</f>
        <v>0</v>
      </c>
      <c r="CW992" s="121" t="n">
        <f aca="false">MIN((CW469+CW470)*$C$5,$F$16)*'⑫ Roll-out Plan'!$O$51</f>
        <v>0</v>
      </c>
      <c r="CX992" s="121" t="n">
        <f aca="false">MIN((CX469+CX470)*$C$5,$F$16)*'⑫ Roll-out Plan'!$O$51</f>
        <v>0</v>
      </c>
      <c r="CY992" s="121" t="n">
        <f aca="false">MIN((CY469+CY470)*$C$5,$F$16)*'⑫ Roll-out Plan'!$O$51</f>
        <v>0</v>
      </c>
      <c r="CZ992" s="121" t="n">
        <f aca="false">MIN((CZ469+CZ470)*$C$5,$F$16)*'⑫ Roll-out Plan'!$O$51</f>
        <v>0</v>
      </c>
      <c r="DA992" s="121" t="n">
        <f aca="false">MIN((DA469+DA470)*$C$5,$F$16)*'⑫ Roll-out Plan'!$O$51</f>
        <v>0</v>
      </c>
      <c r="DB992" s="121" t="n">
        <f aca="false">MIN((DB469+DB470)*$C$5,$F$16)*'⑫ Roll-out Plan'!$O$51</f>
        <v>0</v>
      </c>
      <c r="DC992" s="121" t="n">
        <f aca="false">MIN((DC469+DC470)*$C$5,$F$16)*'⑫ Roll-out Plan'!$O$51</f>
        <v>0</v>
      </c>
      <c r="DD992" s="121" t="n">
        <f aca="false">MIN((DD469+DD470)*$C$5,$F$16)*'⑫ Roll-out Plan'!$O$51</f>
        <v>0</v>
      </c>
      <c r="DE992" s="121" t="n">
        <f aca="false">MIN((DE469+DE470)*$C$5,$F$16)*'⑫ Roll-out Plan'!$O$51</f>
        <v>0</v>
      </c>
      <c r="DF992" s="121" t="n">
        <f aca="false">MIN((DF469+DF470)*$C$5,$F$16)*'⑫ Roll-out Plan'!$O$51</f>
        <v>0</v>
      </c>
      <c r="DG992" s="121" t="n">
        <f aca="false">MIN((DG469+DG470)*$C$5,$F$16)*'⑫ Roll-out Plan'!$O$51</f>
        <v>0</v>
      </c>
      <c r="DH992" s="121" t="n">
        <f aca="false">MIN((DH469+DH470)*$C$5,$F$16)*'⑫ Roll-out Plan'!$O$51</f>
        <v>0</v>
      </c>
      <c r="DI992" s="121" t="n">
        <f aca="false">MIN((DI469+DI470)*$C$5,$F$16)*'⑫ Roll-out Plan'!$O$51</f>
        <v>0</v>
      </c>
      <c r="DJ992" s="121" t="n">
        <f aca="false">MIN((DJ469+DJ470)*$C$5,$F$16)*'⑫ Roll-out Plan'!$O$51</f>
        <v>0</v>
      </c>
      <c r="DK992" s="121" t="n">
        <f aca="false">MIN((DK469+DK470)*$C$5,$F$16)*'⑫ Roll-out Plan'!$O$51</f>
        <v>0</v>
      </c>
      <c r="DL992" s="121" t="n">
        <f aca="false">MIN((DL469+DL470)*$C$5,$F$16)*'⑫ Roll-out Plan'!$O$51</f>
        <v>0</v>
      </c>
      <c r="DM992" s="121" t="n">
        <f aca="false">MIN((DM469+DM470)*$C$5,$F$16)*'⑫ Roll-out Plan'!$O$51</f>
        <v>0</v>
      </c>
      <c r="DN992" s="121" t="n">
        <f aca="false">MIN((DN469+DN470)*$C$5,$F$16)*'⑫ Roll-out Plan'!$O$51</f>
        <v>0</v>
      </c>
      <c r="DO992" s="121" t="n">
        <f aca="false">MIN((DO469+DO470)*$C$5,$F$16)*'⑫ Roll-out Plan'!$O$51</f>
        <v>0</v>
      </c>
      <c r="DP992" s="121" t="n">
        <f aca="false">MIN((DP469+DP470)*$C$5,$F$16)*'⑫ Roll-out Plan'!$O$51</f>
        <v>0</v>
      </c>
      <c r="DQ992" s="121" t="n">
        <f aca="false">MIN((DQ469+DQ470)*$C$5,$F$16)*'⑫ Roll-out Plan'!$O$51</f>
        <v>0</v>
      </c>
      <c r="DR992" s="121" t="n">
        <f aca="false">MIN((DR469+DR470)*$C$5,$F$16)*'⑫ Roll-out Plan'!$O$51</f>
        <v>0</v>
      </c>
      <c r="DS992" s="121" t="n">
        <f aca="false">MIN((DS469+DS470)*$C$5,$F$16)*'⑫ Roll-out Plan'!$O$51</f>
        <v>0</v>
      </c>
      <c r="DT992" s="121" t="n">
        <f aca="false">MIN((DT469+DT470)*$C$5,$F$16)*'⑫ Roll-out Plan'!$O$51</f>
        <v>0</v>
      </c>
      <c r="DU992" s="121" t="n">
        <f aca="false">MIN((DU469+DU470)*$C$5,$F$16)*'⑫ Roll-out Plan'!$O$51</f>
        <v>0</v>
      </c>
      <c r="DV992" s="121" t="n">
        <f aca="false">MIN((DV469+DV470)*$C$5,$F$16)*'⑫ Roll-out Plan'!$O$51</f>
        <v>0</v>
      </c>
      <c r="DW992" s="121" t="n">
        <f aca="false">MIN((DW469+DW470)*$C$5,$F$16)*'⑫ Roll-out Plan'!$O$51</f>
        <v>0</v>
      </c>
      <c r="DX992" s="121" t="n">
        <f aca="false">MIN((DX469+DX470)*$C$5,$F$16)*'⑫ Roll-out Plan'!$O$51</f>
        <v>0</v>
      </c>
      <c r="DY992" s="121" t="n">
        <f aca="false">MIN((DY469+DY470)*$C$5,$F$16)*'⑫ Roll-out Plan'!$O$51</f>
        <v>0</v>
      </c>
      <c r="DZ992" s="121" t="n">
        <f aca="false">MIN((DZ469+DZ470)*$C$5,$F$16)*'⑫ Roll-out Plan'!$O$51</f>
        <v>0</v>
      </c>
      <c r="EA992" s="121" t="n">
        <f aca="false">MIN((EA469+EA470)*$C$5,$F$16)*'⑫ Roll-out Plan'!$O$51</f>
        <v>0</v>
      </c>
      <c r="EB992" s="121" t="n">
        <f aca="false">MIN((EB469+EB470)*$C$5,$F$16)*'⑫ Roll-out Plan'!$O$51</f>
        <v>0</v>
      </c>
      <c r="EC992" s="121" t="n">
        <f aca="false">MIN((EC469+EC470)*$C$5,$F$16)*'⑫ Roll-out Plan'!$O$51</f>
        <v>0</v>
      </c>
      <c r="ED992" s="121" t="n">
        <f aca="false">MIN((ED469+ED470)*$C$5,$F$16)*'⑫ Roll-out Plan'!$O$51</f>
        <v>0</v>
      </c>
      <c r="EE992" s="121" t="n">
        <f aca="false">MIN((EE469+EE470)*$C$5,$F$16)*'⑫ Roll-out Plan'!$O$51</f>
        <v>0</v>
      </c>
      <c r="EF992" s="121" t="n">
        <f aca="false">MIN((EF469+EF470)*$C$5,$F$16)*'⑫ Roll-out Plan'!$O$51</f>
        <v>0</v>
      </c>
      <c r="EG992" s="121" t="n">
        <f aca="false">MIN((EG469+EG470)*$C$5,$F$16)*'⑫ Roll-out Plan'!$O$51</f>
        <v>0</v>
      </c>
      <c r="EH992" s="121" t="n">
        <f aca="false">MIN((EH469+EH470)*$C$5,$F$16)*'⑫ Roll-out Plan'!$O$51</f>
        <v>0</v>
      </c>
      <c r="EI992" s="121" t="n">
        <f aca="false">MIN((EI469+EI470)*$C$5,$F$16)*'⑫ Roll-out Plan'!$O$51</f>
        <v>0</v>
      </c>
      <c r="EJ992" s="121" t="n">
        <f aca="false">MIN((EJ469+EJ470)*$C$5,$F$16)*'⑫ Roll-out Plan'!$O$51</f>
        <v>0</v>
      </c>
      <c r="EK992" s="121" t="n">
        <f aca="false">MIN((EK469+EK470)*$C$5,$F$16)*'⑫ Roll-out Plan'!$O$51</f>
        <v>0</v>
      </c>
      <c r="EL992" s="121" t="n">
        <f aca="false">MIN((EL469+EL470)*$C$5,$F$16)*'⑫ Roll-out Plan'!$O$51</f>
        <v>0</v>
      </c>
      <c r="EM992" s="121" t="n">
        <f aca="false">MIN((EM469+EM470)*$C$5,$F$16)*'⑫ Roll-out Plan'!$O$51</f>
        <v>0</v>
      </c>
      <c r="EN992" s="121" t="n">
        <f aca="false">MIN((EN469+EN470)*$C$5,$F$16)*'⑫ Roll-out Plan'!$O$51</f>
        <v>0</v>
      </c>
      <c r="EO992" s="121" t="n">
        <f aca="false">MIN((EO469+EO470)*$C$5,$F$16)*'⑫ Roll-out Plan'!$O$51</f>
        <v>3343.12</v>
      </c>
      <c r="EP992" s="121" t="n">
        <f aca="false">MIN((EP469+EP470)*$C$5,$F$16)*'⑫ Roll-out Plan'!$O$51</f>
        <v>3471.31136</v>
      </c>
      <c r="EQ992" s="121" t="n">
        <f aca="false">MIN((EQ469+EQ470)*$C$5,$F$16)*'⑫ Roll-out Plan'!$O$51</f>
        <v>2938.441088</v>
      </c>
      <c r="ER992" s="121" t="n">
        <f aca="false">MIN((ER469+ER470)*$C$5,$F$16)*'⑫ Roll-out Plan'!$O$51</f>
        <v>4415.6897312</v>
      </c>
      <c r="ES992" s="9" t="n">
        <f aca="false">MIN((ES469+ES470)*$C$5,$F$16)*'⑫ Roll-out Plan'!$O$51</f>
        <v>4864.7145536</v>
      </c>
      <c r="ET992" s="9" t="n">
        <f aca="false">MIN((ET469+ET470)*$C$5,$F$16)*'⑫ Roll-out Plan'!$O$51</f>
        <v>4397.5446592</v>
      </c>
      <c r="EU992" s="9" t="n">
        <f aca="false">MIN((EU469+EU470)*$C$5,$F$16)*'⑫ Roll-out Plan'!$O$51</f>
        <v>6559.3121088</v>
      </c>
      <c r="EV992" s="9" t="n">
        <f aca="false">MIN((EV469+EV470)*$C$5,$F$16)*'⑫ Roll-out Plan'!$O$51</f>
        <v>7232.1415232</v>
      </c>
      <c r="EW992" s="9" t="n">
        <f aca="false">MIN((EW469+EW470)*$C$5,$F$16)*'⑫ Roll-out Plan'!$O$51</f>
        <v>6978.0459584</v>
      </c>
      <c r="EX992" s="9" t="n">
        <f aca="false">MIN((EX469+EX470)*$C$5,$F$16)*'⑫ Roll-out Plan'!$O$51</f>
        <v>6251.6344</v>
      </c>
      <c r="EY992" s="9" t="n">
        <f aca="false">MIN((EY469+EY470)*$C$5,$F$16)*'⑫ Roll-out Plan'!$O$51</f>
        <v>6994.2312704</v>
      </c>
      <c r="EZ992" s="9" t="n">
        <f aca="false">MIN((EZ469+EZ470)*$C$5,$F$16)*'⑫ Roll-out Plan'!$O$51</f>
        <v>11931.295552</v>
      </c>
      <c r="FA992" s="9" t="n">
        <f aca="false">MIN((FA469+FA470)*$C$5,$F$16)*'⑫ Roll-out Plan'!$O$51</f>
        <v>11362.042912</v>
      </c>
      <c r="FB992" s="9" t="n">
        <f aca="false">MIN((FB469+FB470)*$C$5,$F$16)*'⑫ Roll-out Plan'!$O$51</f>
        <v>10396.1486816</v>
      </c>
      <c r="FC992" s="9" t="n">
        <f aca="false">MIN((FC469+FC470)*$C$5,$F$16)*'⑫ Roll-out Plan'!$O$51</f>
        <v>8302.8068288</v>
      </c>
      <c r="FD992" s="9" t="n">
        <f aca="false">MIN((FD469+FD470)*$C$5,$F$16)*'⑫ Roll-out Plan'!$O$51</f>
        <v>13004.944304</v>
      </c>
      <c r="FE992" s="9" t="n">
        <f aca="false">MIN((FE469+FE470)*$C$5,$F$16)*'⑫ Roll-out Plan'!$O$51</f>
        <v>14919.2885952</v>
      </c>
      <c r="FF992" s="9" t="n">
        <f aca="false">MIN((FF469+FF470)*$C$5,$F$16)*'⑫ Roll-out Plan'!$O$51</f>
        <v>12687.04172032</v>
      </c>
      <c r="FG992" s="9" t="n">
        <f aca="false">MIN((FG469+FG470)*$C$5,$F$16)*'⑫ Roll-out Plan'!$O$51</f>
        <v>17120.69023104</v>
      </c>
      <c r="FH992" s="9" t="n">
        <f aca="false">MIN((FH469+FH470)*$C$5,$F$16)*'⑫ Roll-out Plan'!$O$51</f>
        <v>17137.56537856</v>
      </c>
      <c r="FI992" s="9" t="n">
        <f aca="false">MIN((FI469+FI470)*$C$5,$F$16)*'⑫ Roll-out Plan'!$O$51</f>
        <v>15398.53602936</v>
      </c>
      <c r="FJ992" s="9" t="n">
        <f aca="false">MIN((FJ469+FJ470)*$C$5,$F$16)*'⑫ Roll-out Plan'!$O$51</f>
        <v>14159.01480488</v>
      </c>
      <c r="FK992" s="9" t="n">
        <f aca="false">MIN((FK469+FK470)*$C$5,$F$16)*'⑫ Roll-out Plan'!$O$51</f>
        <v>14967.75853232</v>
      </c>
      <c r="FL992" s="9" t="n">
        <f aca="false">MIN((FL469+FL470)*$C$5,$F$16)*'⑫ Roll-out Plan'!$O$51</f>
        <v>23000</v>
      </c>
      <c r="FM992" s="9" t="n">
        <f aca="false">MIN((FM469+FM470)*$C$5,$F$16)*'⑫ Roll-out Plan'!$O$51</f>
        <v>21324.09218808</v>
      </c>
      <c r="FN992" s="9" t="n">
        <f aca="false">MIN((FN469+FN470)*$C$5,$F$16)*'⑫ Roll-out Plan'!$O$51</f>
        <v>18732.50095288</v>
      </c>
      <c r="FO992" s="9" t="n">
        <f aca="false">MIN((FO469+FO470)*$C$5,$F$16)*'⑫ Roll-out Plan'!$O$51</f>
        <v>15567.07815608</v>
      </c>
      <c r="FP992" s="9" t="n">
        <f aca="false">MIN((FP469+FP470)*$C$5,$F$16)*'⑫ Roll-out Plan'!$O$51</f>
        <v>19974.0739308</v>
      </c>
    </row>
    <row r="993" customFormat="false" ht="15" hidden="false" customHeight="false" outlineLevel="0" collapsed="false">
      <c r="B993" s="254" t="s">
        <v>1018</v>
      </c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121" t="n">
        <f aca="false">MIN((AC479+AC480)*$C$5,$F$16)*'⑫ Roll-out Plan'!$O$52</f>
        <v>0</v>
      </c>
      <c r="AD993" s="121" t="n">
        <f aca="false">MIN((AD479+AD480)*$C$5,$F$16)*'⑫ Roll-out Plan'!$O$52</f>
        <v>0</v>
      </c>
      <c r="AE993" s="121" t="n">
        <f aca="false">MIN((AE479+AE480)*$C$5,$F$16)*'⑫ Roll-out Plan'!$O$52</f>
        <v>0</v>
      </c>
      <c r="AF993" s="121" t="n">
        <f aca="false">MIN((AF479+AF480)*$C$5,$F$16)*'⑫ Roll-out Plan'!$O$52</f>
        <v>0</v>
      </c>
      <c r="AG993" s="121" t="n">
        <f aca="false">MIN((AG479+AG480)*$C$5,$F$16)*'⑫ Roll-out Plan'!$O$52</f>
        <v>0</v>
      </c>
      <c r="AH993" s="121" t="n">
        <f aca="false">MIN((AH479+AH480)*$C$5,$F$16)*'⑫ Roll-out Plan'!$O$52</f>
        <v>0</v>
      </c>
      <c r="AI993" s="121" t="n">
        <f aca="false">MIN((AI479+AI480)*$C$5,$F$16)*'⑫ Roll-out Plan'!$O$52</f>
        <v>0</v>
      </c>
      <c r="AJ993" s="121" t="n">
        <f aca="false">MIN((AJ479+AJ480)*$C$5,$F$16)*'⑫ Roll-out Plan'!$O$52</f>
        <v>0</v>
      </c>
      <c r="AK993" s="121" t="n">
        <f aca="false">MIN((AK479+AK480)*$C$5,$F$16)*'⑫ Roll-out Plan'!$O$52</f>
        <v>0</v>
      </c>
      <c r="AL993" s="121" t="n">
        <f aca="false">MIN((AL479+AL480)*$C$5,$F$16)*'⑫ Roll-out Plan'!$O$52</f>
        <v>0</v>
      </c>
      <c r="AM993" s="121" t="n">
        <f aca="false">MIN((AM479+AM480)*$C$5,$F$16)*'⑫ Roll-out Plan'!$O$52</f>
        <v>0</v>
      </c>
      <c r="AN993" s="121" t="n">
        <f aca="false">MIN((AN479+AN480)*$C$5,$F$16)*'⑫ Roll-out Plan'!$O$52</f>
        <v>0</v>
      </c>
      <c r="AO993" s="121" t="n">
        <f aca="false">MIN((AO479+AO480)*$C$5,$F$16)*'⑫ Roll-out Plan'!$O$52</f>
        <v>0</v>
      </c>
      <c r="AP993" s="121" t="n">
        <f aca="false">MIN((AP479+AP480)*$C$5,$F$16)*'⑫ Roll-out Plan'!$O$52</f>
        <v>0</v>
      </c>
      <c r="AQ993" s="121" t="n">
        <f aca="false">MIN((AQ479+AQ480)*$C$5,$F$16)*'⑫ Roll-out Plan'!$O$52</f>
        <v>0</v>
      </c>
      <c r="AR993" s="121" t="n">
        <f aca="false">MIN((AR479+AR480)*$C$5,$F$16)*'⑫ Roll-out Plan'!$O$52</f>
        <v>0</v>
      </c>
      <c r="AS993" s="121" t="n">
        <f aca="false">MIN((AS479+AS480)*$C$5,$F$16)*'⑫ Roll-out Plan'!$O$52</f>
        <v>0</v>
      </c>
      <c r="AT993" s="121" t="n">
        <f aca="false">MIN((AT479+AT480)*$C$5,$F$16)*'⑫ Roll-out Plan'!$O$52</f>
        <v>0</v>
      </c>
      <c r="AU993" s="121" t="n">
        <f aca="false">MIN((AU479+AU480)*$C$5,$F$16)*'⑫ Roll-out Plan'!$O$52</f>
        <v>0</v>
      </c>
      <c r="AV993" s="121" t="n">
        <f aca="false">MIN((AV479+AV480)*$C$5,$F$16)*'⑫ Roll-out Plan'!$O$52</f>
        <v>0</v>
      </c>
      <c r="AW993" s="121" t="n">
        <f aca="false">MIN((AW479+AW480)*$C$5,$F$16)*'⑫ Roll-out Plan'!$O$52</f>
        <v>0</v>
      </c>
      <c r="AX993" s="121" t="n">
        <f aca="false">MIN((AX479+AX480)*$C$5,$F$16)*'⑫ Roll-out Plan'!$O$52</f>
        <v>0</v>
      </c>
      <c r="AY993" s="121" t="n">
        <f aca="false">MIN((AY479+AY480)*$C$5,$F$16)*'⑫ Roll-out Plan'!$O$52</f>
        <v>0</v>
      </c>
      <c r="AZ993" s="121" t="n">
        <f aca="false">MIN((AZ479+AZ480)*$C$5,$F$16)*'⑫ Roll-out Plan'!$O$52</f>
        <v>0</v>
      </c>
      <c r="BA993" s="121" t="n">
        <f aca="false">MIN((BA479+BA480)*$C$5,$F$16)*'⑫ Roll-out Plan'!$O$52</f>
        <v>0</v>
      </c>
      <c r="BB993" s="121" t="n">
        <f aca="false">MIN((BB479+BB480)*$C$5,$F$16)*'⑫ Roll-out Plan'!$O$52</f>
        <v>0</v>
      </c>
      <c r="BC993" s="121" t="n">
        <f aca="false">MIN((BC479+BC480)*$C$5,$F$16)*'⑫ Roll-out Plan'!$O$52</f>
        <v>0</v>
      </c>
      <c r="BD993" s="121" t="n">
        <f aca="false">MIN((BD479+BD480)*$C$5,$F$16)*'⑫ Roll-out Plan'!$O$52</f>
        <v>0</v>
      </c>
      <c r="BE993" s="121" t="n">
        <f aca="false">MIN((BE479+BE480)*$C$5,$F$16)*'⑫ Roll-out Plan'!$O$52</f>
        <v>0</v>
      </c>
      <c r="BF993" s="121" t="n">
        <f aca="false">MIN((BF479+BF480)*$C$5,$F$16)*'⑫ Roll-out Plan'!$O$52</f>
        <v>0</v>
      </c>
      <c r="BG993" s="121" t="n">
        <f aca="false">MIN((BG479+BG480)*$C$5,$F$16)*'⑫ Roll-out Plan'!$O$52</f>
        <v>0</v>
      </c>
      <c r="BH993" s="121" t="n">
        <f aca="false">MIN((BH479+BH480)*$C$5,$F$16)*'⑫ Roll-out Plan'!$O$52</f>
        <v>0</v>
      </c>
      <c r="BI993" s="121" t="n">
        <f aca="false">MIN((BI479+BI480)*$C$5,$F$16)*'⑫ Roll-out Plan'!$O$52</f>
        <v>0</v>
      </c>
      <c r="BJ993" s="121" t="n">
        <f aca="false">MIN((BJ479+BJ480)*$C$5,$F$16)*'⑫ Roll-out Plan'!$O$52</f>
        <v>0</v>
      </c>
      <c r="BK993" s="121" t="n">
        <f aca="false">MIN((BK479+BK480)*$C$5,$F$16)*'⑫ Roll-out Plan'!$O$52</f>
        <v>0</v>
      </c>
      <c r="BL993" s="121" t="n">
        <f aca="false">MIN((BL479+BL480)*$C$5,$F$16)*'⑫ Roll-out Plan'!$O$52</f>
        <v>0</v>
      </c>
      <c r="BM993" s="121" t="n">
        <f aca="false">MIN((BM479+BM480)*$C$5,$F$16)*'⑫ Roll-out Plan'!$O$52</f>
        <v>0</v>
      </c>
      <c r="BN993" s="121" t="n">
        <f aca="false">MIN((BN479+BN480)*$C$5,$F$16)*'⑫ Roll-out Plan'!$O$52</f>
        <v>0</v>
      </c>
      <c r="BO993" s="121" t="n">
        <f aca="false">MIN((BO479+BO480)*$C$5,$F$16)*'⑫ Roll-out Plan'!$O$52</f>
        <v>0</v>
      </c>
      <c r="BP993" s="121" t="n">
        <f aca="false">MIN((BP479+BP480)*$C$5,$F$16)*'⑫ Roll-out Plan'!$O$52</f>
        <v>0</v>
      </c>
      <c r="BQ993" s="121" t="n">
        <f aca="false">MIN((BQ479+BQ480)*$C$5,$F$16)*'⑫ Roll-out Plan'!$O$52</f>
        <v>0</v>
      </c>
      <c r="BR993" s="121" t="n">
        <f aca="false">MIN((BR479+BR480)*$C$5,$F$16)*'⑫ Roll-out Plan'!$O$52</f>
        <v>0</v>
      </c>
      <c r="BS993" s="121" t="n">
        <f aca="false">MIN((BS479+BS480)*$C$5,$F$16)*'⑫ Roll-out Plan'!$O$52</f>
        <v>0</v>
      </c>
      <c r="BT993" s="121" t="n">
        <f aca="false">MIN((BT479+BT480)*$C$5,$F$16)*'⑫ Roll-out Plan'!$O$52</f>
        <v>0</v>
      </c>
      <c r="BU993" s="121" t="n">
        <f aca="false">MIN((BU479+BU480)*$C$5,$F$16)*'⑫ Roll-out Plan'!$O$52</f>
        <v>0</v>
      </c>
      <c r="BV993" s="121" t="n">
        <f aca="false">MIN((BV479+BV480)*$C$5,$F$16)*'⑫ Roll-out Plan'!$O$52</f>
        <v>0</v>
      </c>
      <c r="BW993" s="121" t="n">
        <f aca="false">MIN((BW479+BW480)*$C$5,$F$16)*'⑫ Roll-out Plan'!$O$52</f>
        <v>0</v>
      </c>
      <c r="BX993" s="121" t="n">
        <f aca="false">MIN((BX479+BX480)*$C$5,$F$16)*'⑫ Roll-out Plan'!$O$52</f>
        <v>0</v>
      </c>
      <c r="BY993" s="121" t="n">
        <f aca="false">MIN((BY479+BY480)*$C$5,$F$16)*'⑫ Roll-out Plan'!$O$52</f>
        <v>0</v>
      </c>
      <c r="BZ993" s="121" t="n">
        <f aca="false">MIN((BZ479+BZ480)*$C$5,$F$16)*'⑫ Roll-out Plan'!$O$52</f>
        <v>0</v>
      </c>
      <c r="CA993" s="121" t="n">
        <f aca="false">MIN((CA479+CA480)*$C$5,$F$16)*'⑫ Roll-out Plan'!$O$52</f>
        <v>0</v>
      </c>
      <c r="CB993" s="121" t="n">
        <f aca="false">MIN((CB479+CB480)*$C$5,$F$16)*'⑫ Roll-out Plan'!$O$52</f>
        <v>0</v>
      </c>
      <c r="CC993" s="121" t="n">
        <f aca="false">MIN((CC479+CC480)*$C$5,$F$16)*'⑫ Roll-out Plan'!$O$52</f>
        <v>0</v>
      </c>
      <c r="CD993" s="121" t="n">
        <f aca="false">MIN((CD479+CD480)*$C$5,$F$16)*'⑫ Roll-out Plan'!$O$52</f>
        <v>0</v>
      </c>
      <c r="CE993" s="121" t="n">
        <f aca="false">MIN((CE479+CE480)*$C$5,$F$16)*'⑫ Roll-out Plan'!$O$52</f>
        <v>0</v>
      </c>
      <c r="CF993" s="121" t="n">
        <f aca="false">MIN((CF479+CF480)*$C$5,$F$16)*'⑫ Roll-out Plan'!$O$52</f>
        <v>0</v>
      </c>
      <c r="CG993" s="121" t="n">
        <f aca="false">MIN((CG479+CG480)*$C$5,$F$16)*'⑫ Roll-out Plan'!$O$52</f>
        <v>0</v>
      </c>
      <c r="CH993" s="121" t="n">
        <f aca="false">MIN((CH479+CH480)*$C$5,$F$16)*'⑫ Roll-out Plan'!$O$52</f>
        <v>0</v>
      </c>
      <c r="CI993" s="121" t="n">
        <f aca="false">MIN((CI479+CI480)*$C$5,$F$16)*'⑫ Roll-out Plan'!$O$52</f>
        <v>0</v>
      </c>
      <c r="CJ993" s="121" t="n">
        <f aca="false">MIN((CJ479+CJ480)*$C$5,$F$16)*'⑫ Roll-out Plan'!$O$52</f>
        <v>0</v>
      </c>
      <c r="CK993" s="121" t="n">
        <f aca="false">MIN((CK479+CK480)*$C$5,$F$16)*'⑫ Roll-out Plan'!$O$52</f>
        <v>0</v>
      </c>
      <c r="CL993" s="121" t="n">
        <f aca="false">MIN((CL479+CL480)*$C$5,$F$16)*'⑫ Roll-out Plan'!$O$52</f>
        <v>0</v>
      </c>
      <c r="CM993" s="121" t="n">
        <f aca="false">MIN((CM479+CM480)*$C$5,$F$16)*'⑫ Roll-out Plan'!$O$52</f>
        <v>0</v>
      </c>
      <c r="CN993" s="121" t="n">
        <f aca="false">MIN((CN479+CN480)*$C$5,$F$16)*'⑫ Roll-out Plan'!$O$52</f>
        <v>0</v>
      </c>
      <c r="CO993" s="121" t="n">
        <f aca="false">MIN((CO479+CO480)*$C$5,$F$16)*'⑫ Roll-out Plan'!$O$52</f>
        <v>0</v>
      </c>
      <c r="CP993" s="121" t="n">
        <f aca="false">MIN((CP479+CP480)*$C$5,$F$16)*'⑫ Roll-out Plan'!$O$52</f>
        <v>0</v>
      </c>
      <c r="CQ993" s="121" t="n">
        <f aca="false">MIN((CQ479+CQ480)*$C$5,$F$16)*'⑫ Roll-out Plan'!$O$52</f>
        <v>0</v>
      </c>
      <c r="CR993" s="121" t="n">
        <f aca="false">MIN((CR479+CR480)*$C$5,$F$16)*'⑫ Roll-out Plan'!$O$52</f>
        <v>0</v>
      </c>
      <c r="CS993" s="121" t="n">
        <f aca="false">MIN((CS479+CS480)*$C$5,$F$16)*'⑫ Roll-out Plan'!$O$52</f>
        <v>0</v>
      </c>
      <c r="CT993" s="121" t="n">
        <f aca="false">MIN((CT479+CT480)*$C$5,$F$16)*'⑫ Roll-out Plan'!$O$52</f>
        <v>0</v>
      </c>
      <c r="CU993" s="121" t="n">
        <f aca="false">MIN((CU479+CU480)*$C$5,$F$16)*'⑫ Roll-out Plan'!$O$52</f>
        <v>0</v>
      </c>
      <c r="CV993" s="121" t="n">
        <f aca="false">MIN((CV479+CV480)*$C$5,$F$16)*'⑫ Roll-out Plan'!$O$52</f>
        <v>0</v>
      </c>
      <c r="CW993" s="121" t="n">
        <f aca="false">MIN((CW479+CW480)*$C$5,$F$16)*'⑫ Roll-out Plan'!$O$52</f>
        <v>0</v>
      </c>
      <c r="CX993" s="121" t="n">
        <f aca="false">MIN((CX479+CX480)*$C$5,$F$16)*'⑫ Roll-out Plan'!$O$52</f>
        <v>0</v>
      </c>
      <c r="CY993" s="121" t="n">
        <f aca="false">MIN((CY479+CY480)*$C$5,$F$16)*'⑫ Roll-out Plan'!$O$52</f>
        <v>0</v>
      </c>
      <c r="CZ993" s="121" t="n">
        <f aca="false">MIN((CZ479+CZ480)*$C$5,$F$16)*'⑫ Roll-out Plan'!$O$52</f>
        <v>0</v>
      </c>
      <c r="DA993" s="121" t="n">
        <f aca="false">MIN((DA479+DA480)*$C$5,$F$16)*'⑫ Roll-out Plan'!$O$52</f>
        <v>0</v>
      </c>
      <c r="DB993" s="121" t="n">
        <f aca="false">MIN((DB479+DB480)*$C$5,$F$16)*'⑫ Roll-out Plan'!$O$52</f>
        <v>0</v>
      </c>
      <c r="DC993" s="121" t="n">
        <f aca="false">MIN((DC479+DC480)*$C$5,$F$16)*'⑫ Roll-out Plan'!$O$52</f>
        <v>0</v>
      </c>
      <c r="DD993" s="121" t="n">
        <f aca="false">MIN((DD479+DD480)*$C$5,$F$16)*'⑫ Roll-out Plan'!$O$52</f>
        <v>0</v>
      </c>
      <c r="DE993" s="121" t="n">
        <f aca="false">MIN((DE479+DE480)*$C$5,$F$16)*'⑫ Roll-out Plan'!$O$52</f>
        <v>0</v>
      </c>
      <c r="DF993" s="121" t="n">
        <f aca="false">MIN((DF479+DF480)*$C$5,$F$16)*'⑫ Roll-out Plan'!$O$52</f>
        <v>0</v>
      </c>
      <c r="DG993" s="121" t="n">
        <f aca="false">MIN((DG479+DG480)*$C$5,$F$16)*'⑫ Roll-out Plan'!$O$52</f>
        <v>0</v>
      </c>
      <c r="DH993" s="121" t="n">
        <f aca="false">MIN((DH479+DH480)*$C$5,$F$16)*'⑫ Roll-out Plan'!$O$52</f>
        <v>0</v>
      </c>
      <c r="DI993" s="121" t="n">
        <f aca="false">MIN((DI479+DI480)*$C$5,$F$16)*'⑫ Roll-out Plan'!$O$52</f>
        <v>0</v>
      </c>
      <c r="DJ993" s="121" t="n">
        <f aca="false">MIN((DJ479+DJ480)*$C$5,$F$16)*'⑫ Roll-out Plan'!$O$52</f>
        <v>0</v>
      </c>
      <c r="DK993" s="121" t="n">
        <f aca="false">MIN((DK479+DK480)*$C$5,$F$16)*'⑫ Roll-out Plan'!$O$52</f>
        <v>0</v>
      </c>
      <c r="DL993" s="121" t="n">
        <f aca="false">MIN((DL479+DL480)*$C$5,$F$16)*'⑫ Roll-out Plan'!$O$52</f>
        <v>0</v>
      </c>
      <c r="DM993" s="121" t="n">
        <f aca="false">MIN((DM479+DM480)*$C$5,$F$16)*'⑫ Roll-out Plan'!$O$52</f>
        <v>0</v>
      </c>
      <c r="DN993" s="121" t="n">
        <f aca="false">MIN((DN479+DN480)*$C$5,$F$16)*'⑫ Roll-out Plan'!$O$52</f>
        <v>0</v>
      </c>
      <c r="DO993" s="121" t="n">
        <f aca="false">MIN((DO479+DO480)*$C$5,$F$16)*'⑫ Roll-out Plan'!$O$52</f>
        <v>0</v>
      </c>
      <c r="DP993" s="121" t="n">
        <f aca="false">MIN((DP479+DP480)*$C$5,$F$16)*'⑫ Roll-out Plan'!$O$52</f>
        <v>0</v>
      </c>
      <c r="DQ993" s="121" t="n">
        <f aca="false">MIN((DQ479+DQ480)*$C$5,$F$16)*'⑫ Roll-out Plan'!$O$52</f>
        <v>0</v>
      </c>
      <c r="DR993" s="121" t="n">
        <f aca="false">MIN((DR479+DR480)*$C$5,$F$16)*'⑫ Roll-out Plan'!$O$52</f>
        <v>0</v>
      </c>
      <c r="DS993" s="121" t="n">
        <f aca="false">MIN((DS479+DS480)*$C$5,$F$16)*'⑫ Roll-out Plan'!$O$52</f>
        <v>0</v>
      </c>
      <c r="DT993" s="121" t="n">
        <f aca="false">MIN((DT479+DT480)*$C$5,$F$16)*'⑫ Roll-out Plan'!$O$52</f>
        <v>0</v>
      </c>
      <c r="DU993" s="121" t="n">
        <f aca="false">MIN((DU479+DU480)*$C$5,$F$16)*'⑫ Roll-out Plan'!$O$52</f>
        <v>0</v>
      </c>
      <c r="DV993" s="121" t="n">
        <f aca="false">MIN((DV479+DV480)*$C$5,$F$16)*'⑫ Roll-out Plan'!$O$52</f>
        <v>0</v>
      </c>
      <c r="DW993" s="121" t="n">
        <f aca="false">MIN((DW479+DW480)*$C$5,$F$16)*'⑫ Roll-out Plan'!$O$52</f>
        <v>0</v>
      </c>
      <c r="DX993" s="121" t="n">
        <f aca="false">MIN((DX479+DX480)*$C$5,$F$16)*'⑫ Roll-out Plan'!$O$52</f>
        <v>0</v>
      </c>
      <c r="DY993" s="121" t="n">
        <f aca="false">MIN((DY479+DY480)*$C$5,$F$16)*'⑫ Roll-out Plan'!$O$52</f>
        <v>0</v>
      </c>
      <c r="DZ993" s="121" t="n">
        <f aca="false">MIN((DZ479+DZ480)*$C$5,$F$16)*'⑫ Roll-out Plan'!$O$52</f>
        <v>0</v>
      </c>
      <c r="EA993" s="121" t="n">
        <f aca="false">MIN((EA479+EA480)*$C$5,$F$16)*'⑫ Roll-out Plan'!$O$52</f>
        <v>0</v>
      </c>
      <c r="EB993" s="121" t="n">
        <f aca="false">MIN((EB479+EB480)*$C$5,$F$16)*'⑫ Roll-out Plan'!$O$52</f>
        <v>0</v>
      </c>
      <c r="EC993" s="121" t="n">
        <f aca="false">MIN((EC479+EC480)*$C$5,$F$16)*'⑫ Roll-out Plan'!$O$52</f>
        <v>0</v>
      </c>
      <c r="ED993" s="121" t="n">
        <f aca="false">MIN((ED479+ED480)*$C$5,$F$16)*'⑫ Roll-out Plan'!$O$52</f>
        <v>0</v>
      </c>
      <c r="EE993" s="121" t="n">
        <f aca="false">MIN((EE479+EE480)*$C$5,$F$16)*'⑫ Roll-out Plan'!$O$52</f>
        <v>0</v>
      </c>
      <c r="EF993" s="121" t="n">
        <f aca="false">MIN((EF479+EF480)*$C$5,$F$16)*'⑫ Roll-out Plan'!$O$52</f>
        <v>0</v>
      </c>
      <c r="EG993" s="121" t="n">
        <f aca="false">MIN((EG479+EG480)*$C$5,$F$16)*'⑫ Roll-out Plan'!$O$52</f>
        <v>0</v>
      </c>
      <c r="EH993" s="121" t="n">
        <f aca="false">MIN((EH479+EH480)*$C$5,$F$16)*'⑫ Roll-out Plan'!$O$52</f>
        <v>0</v>
      </c>
      <c r="EI993" s="121" t="n">
        <f aca="false">MIN((EI479+EI480)*$C$5,$F$16)*'⑫ Roll-out Plan'!$O$52</f>
        <v>3343.12</v>
      </c>
      <c r="EJ993" s="121" t="n">
        <f aca="false">MIN((EJ479+EJ480)*$C$5,$F$16)*'⑫ Roll-out Plan'!$O$52</f>
        <v>3915.13936</v>
      </c>
      <c r="EK993" s="121" t="n">
        <f aca="false">MIN((EK479+EK480)*$C$5,$F$16)*'⑫ Roll-out Plan'!$O$52</f>
        <v>3686.931072</v>
      </c>
      <c r="EL993" s="121" t="n">
        <f aca="false">MIN((EL479+EL480)*$C$5,$F$16)*'⑫ Roll-out Plan'!$O$52</f>
        <v>3656.082144</v>
      </c>
      <c r="EM993" s="121" t="n">
        <f aca="false">MIN((EM479+EM480)*$C$5,$F$16)*'⑫ Roll-out Plan'!$O$52</f>
        <v>3843.4997568</v>
      </c>
      <c r="EN993" s="121" t="n">
        <f aca="false">MIN((EN479+EN480)*$C$5,$F$16)*'⑫ Roll-out Plan'!$O$52</f>
        <v>6964.3921952</v>
      </c>
      <c r="EO993" s="121" t="n">
        <f aca="false">MIN((EO479+EO480)*$C$5,$F$16)*'⑫ Roll-out Plan'!$O$52</f>
        <v>6879.8919552</v>
      </c>
      <c r="EP993" s="121" t="n">
        <f aca="false">MIN((EP479+EP480)*$C$5,$F$16)*'⑫ Roll-out Plan'!$O$52</f>
        <v>6469.4259872</v>
      </c>
      <c r="EQ993" s="121" t="n">
        <f aca="false">MIN((EQ479+EQ480)*$C$5,$F$16)*'⑫ Roll-out Plan'!$O$52</f>
        <v>5659.5470976</v>
      </c>
      <c r="ER993" s="121" t="n">
        <f aca="false">MIN((ER479+ER480)*$C$5,$F$16)*'⑫ Roll-out Plan'!$O$52</f>
        <v>7504.7925568</v>
      </c>
      <c r="ES993" s="9" t="n">
        <f aca="false">MIN((ES479+ES480)*$C$5,$F$16)*'⑫ Roll-out Plan'!$O$52</f>
        <v>8808.0006784</v>
      </c>
      <c r="ET993" s="9" t="n">
        <f aca="false">MIN((ET479+ET480)*$C$5,$F$16)*'⑫ Roll-out Plan'!$O$52</f>
        <v>7642.2017056</v>
      </c>
      <c r="EU993" s="9" t="n">
        <f aca="false">MIN((EU479+EU480)*$C$5,$F$16)*'⑫ Roll-out Plan'!$O$52</f>
        <v>10867.0213696</v>
      </c>
      <c r="EV993" s="9" t="n">
        <f aca="false">MIN((EV479+EV480)*$C$5,$F$16)*'⑫ Roll-out Plan'!$O$52</f>
        <v>11569.6714144</v>
      </c>
      <c r="EW993" s="9" t="n">
        <f aca="false">MIN((EW479+EW480)*$C$5,$F$16)*'⑫ Roll-out Plan'!$O$52</f>
        <v>10143.1920832</v>
      </c>
      <c r="EX993" s="9" t="n">
        <f aca="false">MIN((EX479+EX480)*$C$5,$F$16)*'⑫ Roll-out Plan'!$O$52</f>
        <v>10842.153168</v>
      </c>
      <c r="EY993" s="9" t="n">
        <f aca="false">MIN((EY479+EY480)*$C$5,$F$16)*'⑫ Roll-out Plan'!$O$52</f>
        <v>11870.2617088</v>
      </c>
      <c r="EZ993" s="9" t="n">
        <f aca="false">MIN((EZ479+EZ480)*$C$5,$F$16)*'⑫ Roll-out Plan'!$O$52</f>
        <v>19534.7770112</v>
      </c>
      <c r="FA993" s="9" t="n">
        <f aca="false">MIN((FA479+FA480)*$C$5,$F$16)*'⑫ Roll-out Plan'!$O$52</f>
        <v>17986.35979888</v>
      </c>
      <c r="FB993" s="9" t="n">
        <f aca="false">MIN((FB479+FB480)*$C$5,$F$16)*'⑫ Roll-out Plan'!$O$52</f>
        <v>15514.65976368</v>
      </c>
      <c r="FC993" s="9" t="n">
        <f aca="false">MIN((FC479+FC480)*$C$5,$F$16)*'⑫ Roll-out Plan'!$O$52</f>
        <v>12742.953212</v>
      </c>
      <c r="FD993" s="9" t="n">
        <f aca="false">MIN((FD479+FD480)*$C$5,$F$16)*'⑫ Roll-out Plan'!$O$52</f>
        <v>16658.98737536</v>
      </c>
      <c r="FE993" s="9" t="n">
        <f aca="false">MIN((FE479+FE480)*$C$5,$F$16)*'⑫ Roll-out Plan'!$O$52</f>
        <v>18599.16072696</v>
      </c>
      <c r="FF993" s="9" t="n">
        <f aca="false">MIN((FF479+FF480)*$C$5,$F$16)*'⑫ Roll-out Plan'!$O$52</f>
        <v>15753.88270984</v>
      </c>
      <c r="FG993" s="9" t="n">
        <f aca="false">MIN((FG479+FG480)*$C$5,$F$16)*'⑫ Roll-out Plan'!$O$52</f>
        <v>20361.2314356</v>
      </c>
      <c r="FH993" s="9" t="n">
        <f aca="false">MIN((FH479+FH480)*$C$5,$F$16)*'⑫ Roll-out Plan'!$O$52</f>
        <v>20583.45623048</v>
      </c>
      <c r="FI993" s="9" t="n">
        <f aca="false">MIN((FI479+FI480)*$C$5,$F$16)*'⑫ Roll-out Plan'!$O$52</f>
        <v>18601.51774184</v>
      </c>
      <c r="FJ993" s="9" t="n">
        <f aca="false">MIN((FJ479+FJ480)*$C$5,$F$16)*'⑫ Roll-out Plan'!$O$52</f>
        <v>17245.87289832</v>
      </c>
      <c r="FK993" s="9" t="n">
        <f aca="false">MIN((FK479+FK480)*$C$5,$F$16)*'⑫ Roll-out Plan'!$O$52</f>
        <v>18018.72615752</v>
      </c>
      <c r="FL993" s="9" t="n">
        <f aca="false">MIN((FL479+FL480)*$C$5,$F$16)*'⑫ Roll-out Plan'!$O$52</f>
        <v>23000</v>
      </c>
      <c r="FM993" s="9" t="n">
        <f aca="false">MIN((FM479+FM480)*$C$5,$F$16)*'⑫ Roll-out Plan'!$O$52</f>
        <v>23000</v>
      </c>
      <c r="FN993" s="9" t="n">
        <f aca="false">MIN((FN479+FN480)*$C$5,$F$16)*'⑫ Roll-out Plan'!$O$52</f>
        <v>22215.61583208</v>
      </c>
      <c r="FO993" s="9" t="n">
        <f aca="false">MIN((FO479+FO480)*$C$5,$F$16)*'⑫ Roll-out Plan'!$O$52</f>
        <v>18633.02330472</v>
      </c>
      <c r="FP993" s="9" t="n">
        <f aca="false">MIN((FP479+FP480)*$C$5,$F$16)*'⑫ Roll-out Plan'!$O$52</f>
        <v>23000</v>
      </c>
    </row>
    <row r="994" customFormat="false" ht="15" hidden="false" customHeight="false" outlineLevel="0" collapsed="false">
      <c r="B994" s="254" t="s">
        <v>1019</v>
      </c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121" t="n">
        <f aca="false">MIN((AC489+AC490)*$C$5,$F$15)*'⑫ Roll-out Plan'!$O$53</f>
        <v>0</v>
      </c>
      <c r="AD994" s="121" t="n">
        <f aca="false">MIN((AD489+AD490)*$C$5,$F$15)*'⑫ Roll-out Plan'!$O$53</f>
        <v>0</v>
      </c>
      <c r="AE994" s="121" t="n">
        <f aca="false">MIN((AE489+AE490)*$C$5,$F$15)*'⑫ Roll-out Plan'!$O$53</f>
        <v>0</v>
      </c>
      <c r="AF994" s="121" t="n">
        <f aca="false">MIN((AF489+AF490)*$C$5,$F$15)*'⑫ Roll-out Plan'!$O$53</f>
        <v>0</v>
      </c>
      <c r="AG994" s="121" t="n">
        <f aca="false">MIN((AG489+AG490)*$C$5,$F$15)*'⑫ Roll-out Plan'!$O$53</f>
        <v>0</v>
      </c>
      <c r="AH994" s="121" t="n">
        <f aca="false">MIN((AH489+AH490)*$C$5,$F$15)*'⑫ Roll-out Plan'!$O$53</f>
        <v>0</v>
      </c>
      <c r="AI994" s="121" t="n">
        <f aca="false">MIN((AI489+AI490)*$C$5,$F$15)*'⑫ Roll-out Plan'!$O$53</f>
        <v>0</v>
      </c>
      <c r="AJ994" s="121" t="n">
        <f aca="false">MIN((AJ489+AJ490)*$C$5,$F$15)*'⑫ Roll-out Plan'!$O$53</f>
        <v>0</v>
      </c>
      <c r="AK994" s="121" t="n">
        <f aca="false">MIN((AK489+AK490)*$C$5,$F$15)*'⑫ Roll-out Plan'!$O$53</f>
        <v>0</v>
      </c>
      <c r="AL994" s="121" t="n">
        <f aca="false">MIN((AL489+AL490)*$C$5,$F$15)*'⑫ Roll-out Plan'!$O$53</f>
        <v>0</v>
      </c>
      <c r="AM994" s="121" t="n">
        <f aca="false">MIN((AM489+AM490)*$C$5,$F$15)*'⑫ Roll-out Plan'!$O$53</f>
        <v>0</v>
      </c>
      <c r="AN994" s="121" t="n">
        <f aca="false">MIN((AN489+AN490)*$C$5,$F$15)*'⑫ Roll-out Plan'!$O$53</f>
        <v>0</v>
      </c>
      <c r="AO994" s="121" t="n">
        <f aca="false">MIN((AO489+AO490)*$C$5,$F$15)*'⑫ Roll-out Plan'!$O$53</f>
        <v>0</v>
      </c>
      <c r="AP994" s="121" t="n">
        <f aca="false">MIN((AP489+AP490)*$C$5,$F$15)*'⑫ Roll-out Plan'!$O$53</f>
        <v>0</v>
      </c>
      <c r="AQ994" s="121" t="n">
        <f aca="false">MIN((AQ489+AQ490)*$C$5,$F$15)*'⑫ Roll-out Plan'!$O$53</f>
        <v>0</v>
      </c>
      <c r="AR994" s="121" t="n">
        <f aca="false">MIN((AR489+AR490)*$C$5,$F$15)*'⑫ Roll-out Plan'!$O$53</f>
        <v>0</v>
      </c>
      <c r="AS994" s="121" t="n">
        <f aca="false">MIN((AS489+AS490)*$C$5,$F$15)*'⑫ Roll-out Plan'!$O$53</f>
        <v>0</v>
      </c>
      <c r="AT994" s="121" t="n">
        <f aca="false">MIN((AT489+AT490)*$C$5,$F$15)*'⑫ Roll-out Plan'!$O$53</f>
        <v>0</v>
      </c>
      <c r="AU994" s="121" t="n">
        <f aca="false">MIN((AU489+AU490)*$C$5,$F$15)*'⑫ Roll-out Plan'!$O$53</f>
        <v>0</v>
      </c>
      <c r="AV994" s="121" t="n">
        <f aca="false">MIN((AV489+AV490)*$C$5,$F$15)*'⑫ Roll-out Plan'!$O$53</f>
        <v>0</v>
      </c>
      <c r="AW994" s="121" t="n">
        <f aca="false">MIN((AW489+AW490)*$C$5,$F$15)*'⑫ Roll-out Plan'!$O$53</f>
        <v>0</v>
      </c>
      <c r="AX994" s="121" t="n">
        <f aca="false">MIN((AX489+AX490)*$C$5,$F$15)*'⑫ Roll-out Plan'!$O$53</f>
        <v>0</v>
      </c>
      <c r="AY994" s="121" t="n">
        <f aca="false">MIN((AY489+AY490)*$C$5,$F$15)*'⑫ Roll-out Plan'!$O$53</f>
        <v>0</v>
      </c>
      <c r="AZ994" s="121" t="n">
        <f aca="false">MIN((AZ489+AZ490)*$C$5,$F$15)*'⑫ Roll-out Plan'!$O$53</f>
        <v>0</v>
      </c>
      <c r="BA994" s="121" t="n">
        <f aca="false">MIN((BA489+BA490)*$C$5,$F$15)*'⑫ Roll-out Plan'!$O$53</f>
        <v>0</v>
      </c>
      <c r="BB994" s="121" t="n">
        <f aca="false">MIN((BB489+BB490)*$C$5,$F$15)*'⑫ Roll-out Plan'!$O$53</f>
        <v>0</v>
      </c>
      <c r="BC994" s="121" t="n">
        <f aca="false">MIN((BC489+BC490)*$C$5,$F$15)*'⑫ Roll-out Plan'!$O$53</f>
        <v>0</v>
      </c>
      <c r="BD994" s="121" t="n">
        <f aca="false">MIN((BD489+BD490)*$C$5,$F$15)*'⑫ Roll-out Plan'!$O$53</f>
        <v>0</v>
      </c>
      <c r="BE994" s="121" t="n">
        <f aca="false">MIN((BE489+BE490)*$C$5,$F$15)*'⑫ Roll-out Plan'!$O$53</f>
        <v>0</v>
      </c>
      <c r="BF994" s="121" t="n">
        <f aca="false">MIN((BF489+BF490)*$C$5,$F$15)*'⑫ Roll-out Plan'!$O$53</f>
        <v>0</v>
      </c>
      <c r="BG994" s="121" t="n">
        <f aca="false">MIN((BG489+BG490)*$C$5,$F$15)*'⑫ Roll-out Plan'!$O$53</f>
        <v>0</v>
      </c>
      <c r="BH994" s="121" t="n">
        <f aca="false">MIN((BH489+BH490)*$C$5,$F$15)*'⑫ Roll-out Plan'!$O$53</f>
        <v>0</v>
      </c>
      <c r="BI994" s="121" t="n">
        <f aca="false">MIN((BI489+BI490)*$C$5,$F$15)*'⑫ Roll-out Plan'!$O$53</f>
        <v>0</v>
      </c>
      <c r="BJ994" s="121" t="n">
        <f aca="false">MIN((BJ489+BJ490)*$C$5,$F$15)*'⑫ Roll-out Plan'!$O$53</f>
        <v>0</v>
      </c>
      <c r="BK994" s="121" t="n">
        <f aca="false">MIN((BK489+BK490)*$C$5,$F$15)*'⑫ Roll-out Plan'!$O$53</f>
        <v>0</v>
      </c>
      <c r="BL994" s="121" t="n">
        <f aca="false">MIN((BL489+BL490)*$C$5,$F$15)*'⑫ Roll-out Plan'!$O$53</f>
        <v>0</v>
      </c>
      <c r="BM994" s="121" t="n">
        <f aca="false">MIN((BM489+BM490)*$C$5,$F$15)*'⑫ Roll-out Plan'!$O$53</f>
        <v>0</v>
      </c>
      <c r="BN994" s="121" t="n">
        <f aca="false">MIN((BN489+BN490)*$C$5,$F$15)*'⑫ Roll-out Plan'!$O$53</f>
        <v>0</v>
      </c>
      <c r="BO994" s="121" t="n">
        <f aca="false">MIN((BO489+BO490)*$C$5,$F$15)*'⑫ Roll-out Plan'!$O$53</f>
        <v>0</v>
      </c>
      <c r="BP994" s="121" t="n">
        <f aca="false">MIN((BP489+BP490)*$C$5,$F$15)*'⑫ Roll-out Plan'!$O$53</f>
        <v>0</v>
      </c>
      <c r="BQ994" s="121" t="n">
        <f aca="false">MIN((BQ489+BQ490)*$C$5,$F$15)*'⑫ Roll-out Plan'!$O$53</f>
        <v>0</v>
      </c>
      <c r="BR994" s="121" t="n">
        <f aca="false">MIN((BR489+BR490)*$C$5,$F$15)*'⑫ Roll-out Plan'!$O$53</f>
        <v>0</v>
      </c>
      <c r="BS994" s="121" t="n">
        <f aca="false">MIN((BS489+BS490)*$C$5,$F$15)*'⑫ Roll-out Plan'!$O$53</f>
        <v>0</v>
      </c>
      <c r="BT994" s="121" t="n">
        <f aca="false">MIN((BT489+BT490)*$C$5,$F$15)*'⑫ Roll-out Plan'!$O$53</f>
        <v>0</v>
      </c>
      <c r="BU994" s="121" t="n">
        <f aca="false">MIN((BU489+BU490)*$C$5,$F$15)*'⑫ Roll-out Plan'!$O$53</f>
        <v>0</v>
      </c>
      <c r="BV994" s="121" t="n">
        <f aca="false">MIN((BV489+BV490)*$C$5,$F$15)*'⑫ Roll-out Plan'!$O$53</f>
        <v>0</v>
      </c>
      <c r="BW994" s="121" t="n">
        <f aca="false">MIN((BW489+BW490)*$C$5,$F$15)*'⑫ Roll-out Plan'!$O$53</f>
        <v>0</v>
      </c>
      <c r="BX994" s="121" t="n">
        <f aca="false">MIN((BX489+BX490)*$C$5,$F$15)*'⑫ Roll-out Plan'!$O$53</f>
        <v>0</v>
      </c>
      <c r="BY994" s="121" t="n">
        <f aca="false">MIN((BY489+BY490)*$C$5,$F$15)*'⑫ Roll-out Plan'!$O$53</f>
        <v>0</v>
      </c>
      <c r="BZ994" s="121" t="n">
        <f aca="false">MIN((BZ489+BZ490)*$C$5,$F$15)*'⑫ Roll-out Plan'!$O$53</f>
        <v>0</v>
      </c>
      <c r="CA994" s="121" t="n">
        <f aca="false">MIN((CA489+CA490)*$C$5,$F$15)*'⑫ Roll-out Plan'!$O$53</f>
        <v>0</v>
      </c>
      <c r="CB994" s="121" t="n">
        <f aca="false">MIN((CB489+CB490)*$C$5,$F$15)*'⑫ Roll-out Plan'!$O$53</f>
        <v>0</v>
      </c>
      <c r="CC994" s="121" t="n">
        <f aca="false">MIN((CC489+CC490)*$C$5,$F$15)*'⑫ Roll-out Plan'!$O$53</f>
        <v>0</v>
      </c>
      <c r="CD994" s="121" t="n">
        <f aca="false">MIN((CD489+CD490)*$C$5,$F$15)*'⑫ Roll-out Plan'!$O$53</f>
        <v>0</v>
      </c>
      <c r="CE994" s="121" t="n">
        <f aca="false">MIN((CE489+CE490)*$C$5,$F$15)*'⑫ Roll-out Plan'!$O$53</f>
        <v>0</v>
      </c>
      <c r="CF994" s="121" t="n">
        <f aca="false">MIN((CF489+CF490)*$C$5,$F$15)*'⑫ Roll-out Plan'!$O$53</f>
        <v>0</v>
      </c>
      <c r="CG994" s="121" t="n">
        <f aca="false">MIN((CG489+CG490)*$C$5,$F$15)*'⑫ Roll-out Plan'!$O$53</f>
        <v>0</v>
      </c>
      <c r="CH994" s="121" t="n">
        <f aca="false">MIN((CH489+CH490)*$C$5,$F$15)*'⑫ Roll-out Plan'!$O$53</f>
        <v>0</v>
      </c>
      <c r="CI994" s="121" t="n">
        <f aca="false">MIN((CI489+CI490)*$C$5,$F$15)*'⑫ Roll-out Plan'!$O$53</f>
        <v>0</v>
      </c>
      <c r="CJ994" s="121" t="n">
        <f aca="false">MIN((CJ489+CJ490)*$C$5,$F$15)*'⑫ Roll-out Plan'!$O$53</f>
        <v>0</v>
      </c>
      <c r="CK994" s="121" t="n">
        <f aca="false">MIN((CK489+CK490)*$C$5,$F$15)*'⑫ Roll-out Plan'!$O$53</f>
        <v>0</v>
      </c>
      <c r="CL994" s="121" t="n">
        <f aca="false">MIN((CL489+CL490)*$C$5,$F$15)*'⑫ Roll-out Plan'!$O$53</f>
        <v>0</v>
      </c>
      <c r="CM994" s="121" t="n">
        <f aca="false">MIN((CM489+CM490)*$C$5,$F$15)*'⑫ Roll-out Plan'!$O$53</f>
        <v>0</v>
      </c>
      <c r="CN994" s="121" t="n">
        <f aca="false">MIN((CN489+CN490)*$C$5,$F$15)*'⑫ Roll-out Plan'!$O$53</f>
        <v>0</v>
      </c>
      <c r="CO994" s="121" t="n">
        <f aca="false">MIN((CO489+CO490)*$C$5,$F$15)*'⑫ Roll-out Plan'!$O$53</f>
        <v>0</v>
      </c>
      <c r="CP994" s="121" t="n">
        <f aca="false">MIN((CP489+CP490)*$C$5,$F$15)*'⑫ Roll-out Plan'!$O$53</f>
        <v>0</v>
      </c>
      <c r="CQ994" s="121" t="n">
        <f aca="false">MIN((CQ489+CQ490)*$C$5,$F$15)*'⑫ Roll-out Plan'!$O$53</f>
        <v>0</v>
      </c>
      <c r="CR994" s="121" t="n">
        <f aca="false">MIN((CR489+CR490)*$C$5,$F$15)*'⑫ Roll-out Plan'!$O$53</f>
        <v>0</v>
      </c>
      <c r="CS994" s="121" t="n">
        <f aca="false">MIN((CS489+CS490)*$C$5,$F$15)*'⑫ Roll-out Plan'!$O$53</f>
        <v>0</v>
      </c>
      <c r="CT994" s="121" t="n">
        <f aca="false">MIN((CT489+CT490)*$C$5,$F$15)*'⑫ Roll-out Plan'!$O$53</f>
        <v>0</v>
      </c>
      <c r="CU994" s="121" t="n">
        <f aca="false">MIN((CU489+CU490)*$C$5,$F$15)*'⑫ Roll-out Plan'!$O$53</f>
        <v>0</v>
      </c>
      <c r="CV994" s="121" t="n">
        <f aca="false">MIN((CV489+CV490)*$C$5,$F$15)*'⑫ Roll-out Plan'!$O$53</f>
        <v>0</v>
      </c>
      <c r="CW994" s="121" t="n">
        <f aca="false">MIN((CW489+CW490)*$C$5,$F$15)*'⑫ Roll-out Plan'!$O$53</f>
        <v>0</v>
      </c>
      <c r="CX994" s="121" t="n">
        <f aca="false">MIN((CX489+CX490)*$C$5,$F$15)*'⑫ Roll-out Plan'!$O$53</f>
        <v>0</v>
      </c>
      <c r="CY994" s="121" t="n">
        <f aca="false">MIN((CY489+CY490)*$C$5,$F$15)*'⑫ Roll-out Plan'!$O$53</f>
        <v>0</v>
      </c>
      <c r="CZ994" s="121" t="n">
        <f aca="false">MIN((CZ489+CZ490)*$C$5,$F$15)*'⑫ Roll-out Plan'!$O$53</f>
        <v>0</v>
      </c>
      <c r="DA994" s="121" t="n">
        <f aca="false">MIN((DA489+DA490)*$C$5,$F$15)*'⑫ Roll-out Plan'!$O$53</f>
        <v>0</v>
      </c>
      <c r="DB994" s="121" t="n">
        <f aca="false">MIN((DB489+DB490)*$C$5,$F$15)*'⑫ Roll-out Plan'!$O$53</f>
        <v>0</v>
      </c>
      <c r="DC994" s="121" t="n">
        <f aca="false">MIN((DC489+DC490)*$C$5,$F$15)*'⑫ Roll-out Plan'!$O$53</f>
        <v>0</v>
      </c>
      <c r="DD994" s="121" t="n">
        <f aca="false">MIN((DD489+DD490)*$C$5,$F$15)*'⑫ Roll-out Plan'!$O$53</f>
        <v>0</v>
      </c>
      <c r="DE994" s="121" t="n">
        <f aca="false">MIN((DE489+DE490)*$C$5,$F$15)*'⑫ Roll-out Plan'!$O$53</f>
        <v>0</v>
      </c>
      <c r="DF994" s="121" t="n">
        <f aca="false">MIN((DF489+DF490)*$C$5,$F$15)*'⑫ Roll-out Plan'!$O$53</f>
        <v>0</v>
      </c>
      <c r="DG994" s="121" t="n">
        <f aca="false">MIN((DG489+DG490)*$C$5,$F$15)*'⑫ Roll-out Plan'!$O$53</f>
        <v>0</v>
      </c>
      <c r="DH994" s="121" t="n">
        <f aca="false">MIN((DH489+DH490)*$C$5,$F$15)*'⑫ Roll-out Plan'!$O$53</f>
        <v>0</v>
      </c>
      <c r="DI994" s="121" t="n">
        <f aca="false">MIN((DI489+DI490)*$C$5,$F$15)*'⑫ Roll-out Plan'!$O$53</f>
        <v>0</v>
      </c>
      <c r="DJ994" s="121" t="n">
        <f aca="false">MIN((DJ489+DJ490)*$C$5,$F$15)*'⑫ Roll-out Plan'!$O$53</f>
        <v>0</v>
      </c>
      <c r="DK994" s="121" t="n">
        <f aca="false">MIN((DK489+DK490)*$C$5,$F$15)*'⑫ Roll-out Plan'!$O$53</f>
        <v>0</v>
      </c>
      <c r="DL994" s="121" t="n">
        <f aca="false">MIN((DL489+DL490)*$C$5,$F$15)*'⑫ Roll-out Plan'!$O$53</f>
        <v>0</v>
      </c>
      <c r="DM994" s="121" t="n">
        <f aca="false">MIN((DM489+DM490)*$C$5,$F$15)*'⑫ Roll-out Plan'!$O$53</f>
        <v>0</v>
      </c>
      <c r="DN994" s="121" t="n">
        <f aca="false">MIN((DN489+DN490)*$C$5,$F$15)*'⑫ Roll-out Plan'!$O$53</f>
        <v>0</v>
      </c>
      <c r="DO994" s="121" t="n">
        <f aca="false">MIN((DO489+DO490)*$C$5,$F$15)*'⑫ Roll-out Plan'!$O$53</f>
        <v>0</v>
      </c>
      <c r="DP994" s="121" t="n">
        <f aca="false">MIN((DP489+DP490)*$C$5,$F$15)*'⑫ Roll-out Plan'!$O$53</f>
        <v>0</v>
      </c>
      <c r="DQ994" s="121" t="n">
        <f aca="false">MIN((DQ489+DQ490)*$C$5,$F$15)*'⑫ Roll-out Plan'!$O$53</f>
        <v>0</v>
      </c>
      <c r="DR994" s="121" t="n">
        <f aca="false">MIN((DR489+DR490)*$C$5,$F$15)*'⑫ Roll-out Plan'!$O$53</f>
        <v>0</v>
      </c>
      <c r="DS994" s="121" t="n">
        <f aca="false">MIN((DS489+DS490)*$C$5,$F$15)*'⑫ Roll-out Plan'!$O$53</f>
        <v>0</v>
      </c>
      <c r="DT994" s="121" t="n">
        <f aca="false">MIN((DT489+DT490)*$C$5,$F$15)*'⑫ Roll-out Plan'!$O$53</f>
        <v>0</v>
      </c>
      <c r="DU994" s="121" t="n">
        <f aca="false">MIN((DU489+DU490)*$C$5,$F$15)*'⑫ Roll-out Plan'!$O$53</f>
        <v>0</v>
      </c>
      <c r="DV994" s="121" t="n">
        <f aca="false">MIN((DV489+DV490)*$C$5,$F$15)*'⑫ Roll-out Plan'!$O$53</f>
        <v>0</v>
      </c>
      <c r="DW994" s="121" t="n">
        <f aca="false">MIN((DW489+DW490)*$C$5,$F$15)*'⑫ Roll-out Plan'!$O$53</f>
        <v>0</v>
      </c>
      <c r="DX994" s="121" t="n">
        <f aca="false">MIN((DX489+DX490)*$C$5,$F$15)*'⑫ Roll-out Plan'!$O$53</f>
        <v>0</v>
      </c>
      <c r="DY994" s="121" t="n">
        <f aca="false">MIN((DY489+DY490)*$C$5,$F$15)*'⑫ Roll-out Plan'!$O$53</f>
        <v>0</v>
      </c>
      <c r="DZ994" s="121" t="n">
        <f aca="false">MIN((DZ489+DZ490)*$C$5,$F$15)*'⑫ Roll-out Plan'!$O$53</f>
        <v>0</v>
      </c>
      <c r="EA994" s="121" t="n">
        <f aca="false">MIN((EA489+EA490)*$C$5,$F$15)*'⑫ Roll-out Plan'!$O$53</f>
        <v>0</v>
      </c>
      <c r="EB994" s="121" t="n">
        <f aca="false">MIN((EB489+EB490)*$C$5,$F$15)*'⑫ Roll-out Plan'!$O$53</f>
        <v>0</v>
      </c>
      <c r="EC994" s="121" t="n">
        <f aca="false">MIN((EC489+EC490)*$C$5,$F$15)*'⑫ Roll-out Plan'!$O$53</f>
        <v>0</v>
      </c>
      <c r="ED994" s="121" t="n">
        <f aca="false">MIN((ED489+ED490)*$C$5,$F$15)*'⑫ Roll-out Plan'!$O$53</f>
        <v>0</v>
      </c>
      <c r="EE994" s="121" t="n">
        <f aca="false">MIN((EE489+EE490)*$C$5,$F$15)*'⑫ Roll-out Plan'!$O$53</f>
        <v>0</v>
      </c>
      <c r="EF994" s="121" t="n">
        <f aca="false">MIN((EF489+EF490)*$C$5,$F$15)*'⑫ Roll-out Plan'!$O$53</f>
        <v>0</v>
      </c>
      <c r="EG994" s="121" t="n">
        <f aca="false">MIN((EG489+EG490)*$C$5,$F$15)*'⑫ Roll-out Plan'!$O$53</f>
        <v>5234.76</v>
      </c>
      <c r="EH994" s="121" t="n">
        <f aca="false">MIN((EH489+EH490)*$C$5,$F$15)*'⑫ Roll-out Plan'!$O$53</f>
        <v>5042.04328</v>
      </c>
      <c r="EI994" s="121" t="n">
        <f aca="false">MIN((EI489+EI490)*$C$5,$F$15)*'⑫ Roll-out Plan'!$O$53</f>
        <v>7398.771008</v>
      </c>
      <c r="EJ994" s="121" t="n">
        <f aca="false">MIN((EJ489+EJ490)*$C$5,$F$15)*'⑫ Roll-out Plan'!$O$53</f>
        <v>8255.6197904</v>
      </c>
      <c r="EK994" s="121" t="n">
        <f aca="false">MIN((EK489+EK490)*$C$5,$F$15)*'⑫ Roll-out Plan'!$O$53</f>
        <v>7224.976976</v>
      </c>
      <c r="EL994" s="121" t="n">
        <f aca="false">MIN((EL489+EL490)*$C$5,$F$15)*'⑫ Roll-out Plan'!$O$53</f>
        <v>7164.8664208</v>
      </c>
      <c r="EM994" s="121" t="n">
        <f aca="false">MIN((EM489+EM490)*$C$5,$F$15)*'⑫ Roll-out Plan'!$O$53</f>
        <v>8315.047888</v>
      </c>
      <c r="EN994" s="121" t="n">
        <f aca="false">MIN((EN489+EN490)*$C$5,$F$15)*'⑫ Roll-out Plan'!$O$53</f>
        <v>14835.6278032</v>
      </c>
      <c r="EO994" s="121" t="n">
        <f aca="false">MIN((EO489+EO490)*$C$5,$F$15)*'⑫ Roll-out Plan'!$O$53</f>
        <v>14621.1267264</v>
      </c>
      <c r="EP994" s="121" t="n">
        <f aca="false">MIN((EP489+EP490)*$C$5,$F$15)*'⑫ Roll-out Plan'!$O$53</f>
        <v>12564.4476864</v>
      </c>
      <c r="EQ994" s="121" t="n">
        <f aca="false">MIN((EQ489+EQ490)*$C$5,$F$15)*'⑫ Roll-out Plan'!$O$53</f>
        <v>10663.7257184</v>
      </c>
      <c r="ER994" s="121" t="n">
        <f aca="false">MIN((ER489+ER490)*$C$5,$F$15)*'⑫ Roll-out Plan'!$O$53</f>
        <v>14941.9515952</v>
      </c>
      <c r="ES994" s="9" t="n">
        <f aca="false">MIN((ES489+ES490)*$C$5,$F$15)*'⑫ Roll-out Plan'!$O$53</f>
        <v>17470.0459776</v>
      </c>
      <c r="ET994" s="9" t="n">
        <f aca="false">MIN((ET489+ET490)*$C$5,$F$15)*'⑫ Roll-out Plan'!$O$53</f>
        <v>15179.9043968</v>
      </c>
      <c r="EU994" s="9" t="n">
        <f aca="false">MIN((EU489+EU490)*$C$5,$F$15)*'⑫ Roll-out Plan'!$O$53</f>
        <v>20036.2106368</v>
      </c>
      <c r="EV994" s="9" t="n">
        <f aca="false">MIN((EV489+EV490)*$C$5,$F$15)*'⑫ Roll-out Plan'!$O$53</f>
        <v>24141.782496</v>
      </c>
      <c r="EW994" s="9" t="n">
        <f aca="false">MIN((EW489+EW490)*$C$5,$F$15)*'⑫ Roll-out Plan'!$O$53</f>
        <v>22233.615536</v>
      </c>
      <c r="EX994" s="9" t="n">
        <f aca="false">MIN((EX489+EX490)*$C$5,$F$15)*'⑫ Roll-out Plan'!$O$53</f>
        <v>20682.4902288</v>
      </c>
      <c r="EY994" s="9" t="n">
        <f aca="false">MIN((EY489+EY490)*$C$5,$F$15)*'⑫ Roll-out Plan'!$O$53</f>
        <v>22056.90128344</v>
      </c>
      <c r="EZ994" s="9" t="n">
        <f aca="false">MIN((EZ489+EZ490)*$C$5,$F$15)*'⑫ Roll-out Plan'!$O$53</f>
        <v>27000</v>
      </c>
      <c r="FA994" s="9" t="n">
        <f aca="false">MIN((FA489+FA490)*$C$5,$F$15)*'⑫ Roll-out Plan'!$O$53</f>
        <v>27000</v>
      </c>
      <c r="FB994" s="9" t="n">
        <f aca="false">MIN((FB489+FB490)*$C$5,$F$15)*'⑫ Roll-out Plan'!$O$53</f>
        <v>27000</v>
      </c>
      <c r="FC994" s="9" t="n">
        <f aca="false">MIN((FC489+FC490)*$C$5,$F$15)*'⑫ Roll-out Plan'!$O$53</f>
        <v>23151.46109908</v>
      </c>
      <c r="FD994" s="9" t="n">
        <f aca="false">MIN((FD489+FD490)*$C$5,$F$15)*'⑫ Roll-out Plan'!$O$53</f>
        <v>27000</v>
      </c>
      <c r="FE994" s="9" t="n">
        <f aca="false">MIN((FE489+FE490)*$C$5,$F$15)*'⑫ Roll-out Plan'!$O$53</f>
        <v>27000</v>
      </c>
      <c r="FF994" s="9" t="n">
        <f aca="false">MIN((FF489+FF490)*$C$5,$F$15)*'⑫ Roll-out Plan'!$O$53</f>
        <v>27000</v>
      </c>
      <c r="FG994" s="9" t="n">
        <f aca="false">MIN((FG489+FG490)*$C$5,$F$15)*'⑫ Roll-out Plan'!$O$53</f>
        <v>27000</v>
      </c>
      <c r="FH994" s="9" t="n">
        <f aca="false">MIN((FH489+FH490)*$C$5,$F$15)*'⑫ Roll-out Plan'!$O$53</f>
        <v>27000</v>
      </c>
      <c r="FI994" s="9" t="n">
        <f aca="false">MIN((FI489+FI490)*$C$5,$F$15)*'⑫ Roll-out Plan'!$O$53</f>
        <v>27000</v>
      </c>
      <c r="FJ994" s="9" t="n">
        <f aca="false">MIN((FJ489+FJ490)*$C$5,$F$15)*'⑫ Roll-out Plan'!$O$53</f>
        <v>27000</v>
      </c>
      <c r="FK994" s="9" t="n">
        <f aca="false">MIN((FK489+FK490)*$C$5,$F$15)*'⑫ Roll-out Plan'!$O$53</f>
        <v>27000</v>
      </c>
      <c r="FL994" s="9" t="n">
        <f aca="false">MIN((FL489+FL490)*$C$5,$F$15)*'⑫ Roll-out Plan'!$O$53</f>
        <v>27000</v>
      </c>
      <c r="FM994" s="9" t="n">
        <f aca="false">MIN((FM489+FM490)*$C$5,$F$15)*'⑫ Roll-out Plan'!$O$53</f>
        <v>27000</v>
      </c>
      <c r="FN994" s="9" t="n">
        <f aca="false">MIN((FN489+FN490)*$C$5,$F$15)*'⑫ Roll-out Plan'!$O$53</f>
        <v>27000</v>
      </c>
      <c r="FO994" s="9" t="n">
        <f aca="false">MIN((FO489+FO490)*$C$5,$F$15)*'⑫ Roll-out Plan'!$O$53</f>
        <v>27000</v>
      </c>
      <c r="FP994" s="9" t="n">
        <f aca="false">MIN((FP489+FP490)*$C$5,$F$15)*'⑫ Roll-out Plan'!$O$53</f>
        <v>27000</v>
      </c>
    </row>
    <row r="995" customFormat="false" ht="15" hidden="false" customHeight="false" outlineLevel="0" collapsed="false">
      <c r="B995" s="254" t="s">
        <v>1020</v>
      </c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121" t="n">
        <f aca="false">MIN((AC499+AC500)*$C$5,$F$15)*'⑫ Roll-out Plan'!$O$54</f>
        <v>0</v>
      </c>
      <c r="AD995" s="121" t="n">
        <f aca="false">MIN((AD499+AD500)*$C$5,$F$15)*'⑫ Roll-out Plan'!$O$54</f>
        <v>0</v>
      </c>
      <c r="AE995" s="121" t="n">
        <f aca="false">MIN((AE499+AE500)*$C$5,$F$15)*'⑫ Roll-out Plan'!$O$54</f>
        <v>0</v>
      </c>
      <c r="AF995" s="121" t="n">
        <f aca="false">MIN((AF499+AF500)*$C$5,$F$15)*'⑫ Roll-out Plan'!$O$54</f>
        <v>0</v>
      </c>
      <c r="AG995" s="121" t="n">
        <f aca="false">MIN((AG499+AG500)*$C$5,$F$15)*'⑫ Roll-out Plan'!$O$54</f>
        <v>0</v>
      </c>
      <c r="AH995" s="121" t="n">
        <f aca="false">MIN((AH499+AH500)*$C$5,$F$15)*'⑫ Roll-out Plan'!$O$54</f>
        <v>0</v>
      </c>
      <c r="AI995" s="121" t="n">
        <f aca="false">MIN((AI499+AI500)*$C$5,$F$15)*'⑫ Roll-out Plan'!$O$54</f>
        <v>0</v>
      </c>
      <c r="AJ995" s="121" t="n">
        <f aca="false">MIN((AJ499+AJ500)*$C$5,$F$15)*'⑫ Roll-out Plan'!$O$54</f>
        <v>0</v>
      </c>
      <c r="AK995" s="121" t="n">
        <f aca="false">MIN((AK499+AK500)*$C$5,$F$15)*'⑫ Roll-out Plan'!$O$54</f>
        <v>0</v>
      </c>
      <c r="AL995" s="121" t="n">
        <f aca="false">MIN((AL499+AL500)*$C$5,$F$15)*'⑫ Roll-out Plan'!$O$54</f>
        <v>0</v>
      </c>
      <c r="AM995" s="121" t="n">
        <f aca="false">MIN((AM499+AM500)*$C$5,$F$15)*'⑫ Roll-out Plan'!$O$54</f>
        <v>0</v>
      </c>
      <c r="AN995" s="121" t="n">
        <f aca="false">MIN((AN499+AN500)*$C$5,$F$15)*'⑫ Roll-out Plan'!$O$54</f>
        <v>0</v>
      </c>
      <c r="AO995" s="121" t="n">
        <f aca="false">MIN((AO499+AO500)*$C$5,$F$15)*'⑫ Roll-out Plan'!$O$54</f>
        <v>0</v>
      </c>
      <c r="AP995" s="121" t="n">
        <f aca="false">MIN((AP499+AP500)*$C$5,$F$15)*'⑫ Roll-out Plan'!$O$54</f>
        <v>0</v>
      </c>
      <c r="AQ995" s="121" t="n">
        <f aca="false">MIN((AQ499+AQ500)*$C$5,$F$15)*'⑫ Roll-out Plan'!$O$54</f>
        <v>0</v>
      </c>
      <c r="AR995" s="121" t="n">
        <f aca="false">MIN((AR499+AR500)*$C$5,$F$15)*'⑫ Roll-out Plan'!$O$54</f>
        <v>0</v>
      </c>
      <c r="AS995" s="121" t="n">
        <f aca="false">MIN((AS499+AS500)*$C$5,$F$15)*'⑫ Roll-out Plan'!$O$54</f>
        <v>0</v>
      </c>
      <c r="AT995" s="121" t="n">
        <f aca="false">MIN((AT499+AT500)*$C$5,$F$15)*'⑫ Roll-out Plan'!$O$54</f>
        <v>0</v>
      </c>
      <c r="AU995" s="121" t="n">
        <f aca="false">MIN((AU499+AU500)*$C$5,$F$15)*'⑫ Roll-out Plan'!$O$54</f>
        <v>0</v>
      </c>
      <c r="AV995" s="121" t="n">
        <f aca="false">MIN((AV499+AV500)*$C$5,$F$15)*'⑫ Roll-out Plan'!$O$54</f>
        <v>0</v>
      </c>
      <c r="AW995" s="121" t="n">
        <f aca="false">MIN((AW499+AW500)*$C$5,$F$15)*'⑫ Roll-out Plan'!$O$54</f>
        <v>0</v>
      </c>
      <c r="AX995" s="121" t="n">
        <f aca="false">MIN((AX499+AX500)*$C$5,$F$15)*'⑫ Roll-out Plan'!$O$54</f>
        <v>0</v>
      </c>
      <c r="AY995" s="121" t="n">
        <f aca="false">MIN((AY499+AY500)*$C$5,$F$15)*'⑫ Roll-out Plan'!$O$54</f>
        <v>0</v>
      </c>
      <c r="AZ995" s="121" t="n">
        <f aca="false">MIN((AZ499+AZ500)*$C$5,$F$15)*'⑫ Roll-out Plan'!$O$54</f>
        <v>0</v>
      </c>
      <c r="BA995" s="121" t="n">
        <f aca="false">MIN((BA499+BA500)*$C$5,$F$15)*'⑫ Roll-out Plan'!$O$54</f>
        <v>0</v>
      </c>
      <c r="BB995" s="121" t="n">
        <f aca="false">MIN((BB499+BB500)*$C$5,$F$15)*'⑫ Roll-out Plan'!$O$54</f>
        <v>0</v>
      </c>
      <c r="BC995" s="121" t="n">
        <f aca="false">MIN((BC499+BC500)*$C$5,$F$15)*'⑫ Roll-out Plan'!$O$54</f>
        <v>0</v>
      </c>
      <c r="BD995" s="121" t="n">
        <f aca="false">MIN((BD499+BD500)*$C$5,$F$15)*'⑫ Roll-out Plan'!$O$54</f>
        <v>0</v>
      </c>
      <c r="BE995" s="121" t="n">
        <f aca="false">MIN((BE499+BE500)*$C$5,$F$15)*'⑫ Roll-out Plan'!$O$54</f>
        <v>0</v>
      </c>
      <c r="BF995" s="121" t="n">
        <f aca="false">MIN((BF499+BF500)*$C$5,$F$15)*'⑫ Roll-out Plan'!$O$54</f>
        <v>0</v>
      </c>
      <c r="BG995" s="121" t="n">
        <f aca="false">MIN((BG499+BG500)*$C$5,$F$15)*'⑫ Roll-out Plan'!$O$54</f>
        <v>0</v>
      </c>
      <c r="BH995" s="121" t="n">
        <f aca="false">MIN((BH499+BH500)*$C$5,$F$15)*'⑫ Roll-out Plan'!$O$54</f>
        <v>0</v>
      </c>
      <c r="BI995" s="121" t="n">
        <f aca="false">MIN((BI499+BI500)*$C$5,$F$15)*'⑫ Roll-out Plan'!$O$54</f>
        <v>0</v>
      </c>
      <c r="BJ995" s="121" t="n">
        <f aca="false">MIN((BJ499+BJ500)*$C$5,$F$15)*'⑫ Roll-out Plan'!$O$54</f>
        <v>0</v>
      </c>
      <c r="BK995" s="121" t="n">
        <f aca="false">MIN((BK499+BK500)*$C$5,$F$15)*'⑫ Roll-out Plan'!$O$54</f>
        <v>0</v>
      </c>
      <c r="BL995" s="121" t="n">
        <f aca="false">MIN((BL499+BL500)*$C$5,$F$15)*'⑫ Roll-out Plan'!$O$54</f>
        <v>0</v>
      </c>
      <c r="BM995" s="121" t="n">
        <f aca="false">MIN((BM499+BM500)*$C$5,$F$15)*'⑫ Roll-out Plan'!$O$54</f>
        <v>0</v>
      </c>
      <c r="BN995" s="121" t="n">
        <f aca="false">MIN((BN499+BN500)*$C$5,$F$15)*'⑫ Roll-out Plan'!$O$54</f>
        <v>0</v>
      </c>
      <c r="BO995" s="121" t="n">
        <f aca="false">MIN((BO499+BO500)*$C$5,$F$15)*'⑫ Roll-out Plan'!$O$54</f>
        <v>0</v>
      </c>
      <c r="BP995" s="121" t="n">
        <f aca="false">MIN((BP499+BP500)*$C$5,$F$15)*'⑫ Roll-out Plan'!$O$54</f>
        <v>0</v>
      </c>
      <c r="BQ995" s="121" t="n">
        <f aca="false">MIN((BQ499+BQ500)*$C$5,$F$15)*'⑫ Roll-out Plan'!$O$54</f>
        <v>0</v>
      </c>
      <c r="BR995" s="121" t="n">
        <f aca="false">MIN((BR499+BR500)*$C$5,$F$15)*'⑫ Roll-out Plan'!$O$54</f>
        <v>0</v>
      </c>
      <c r="BS995" s="121" t="n">
        <f aca="false">MIN((BS499+BS500)*$C$5,$F$15)*'⑫ Roll-out Plan'!$O$54</f>
        <v>0</v>
      </c>
      <c r="BT995" s="121" t="n">
        <f aca="false">MIN((BT499+BT500)*$C$5,$F$15)*'⑫ Roll-out Plan'!$O$54</f>
        <v>0</v>
      </c>
      <c r="BU995" s="121" t="n">
        <f aca="false">MIN((BU499+BU500)*$C$5,$F$15)*'⑫ Roll-out Plan'!$O$54</f>
        <v>0</v>
      </c>
      <c r="BV995" s="121" t="n">
        <f aca="false">MIN((BV499+BV500)*$C$5,$F$15)*'⑫ Roll-out Plan'!$O$54</f>
        <v>0</v>
      </c>
      <c r="BW995" s="121" t="n">
        <f aca="false">MIN((BW499+BW500)*$C$5,$F$15)*'⑫ Roll-out Plan'!$O$54</f>
        <v>0</v>
      </c>
      <c r="BX995" s="121" t="n">
        <f aca="false">MIN((BX499+BX500)*$C$5,$F$15)*'⑫ Roll-out Plan'!$O$54</f>
        <v>0</v>
      </c>
      <c r="BY995" s="121" t="n">
        <f aca="false">MIN((BY499+BY500)*$C$5,$F$15)*'⑫ Roll-out Plan'!$O$54</f>
        <v>0</v>
      </c>
      <c r="BZ995" s="121" t="n">
        <f aca="false">MIN((BZ499+BZ500)*$C$5,$F$15)*'⑫ Roll-out Plan'!$O$54</f>
        <v>0</v>
      </c>
      <c r="CA995" s="121" t="n">
        <f aca="false">MIN((CA499+CA500)*$C$5,$F$15)*'⑫ Roll-out Plan'!$O$54</f>
        <v>0</v>
      </c>
      <c r="CB995" s="121" t="n">
        <f aca="false">MIN((CB499+CB500)*$C$5,$F$15)*'⑫ Roll-out Plan'!$O$54</f>
        <v>0</v>
      </c>
      <c r="CC995" s="121" t="n">
        <f aca="false">MIN((CC499+CC500)*$C$5,$F$15)*'⑫ Roll-out Plan'!$O$54</f>
        <v>0</v>
      </c>
      <c r="CD995" s="121" t="n">
        <f aca="false">MIN((CD499+CD500)*$C$5,$F$15)*'⑫ Roll-out Plan'!$O$54</f>
        <v>0</v>
      </c>
      <c r="CE995" s="121" t="n">
        <f aca="false">MIN((CE499+CE500)*$C$5,$F$15)*'⑫ Roll-out Plan'!$O$54</f>
        <v>0</v>
      </c>
      <c r="CF995" s="121" t="n">
        <f aca="false">MIN((CF499+CF500)*$C$5,$F$15)*'⑫ Roll-out Plan'!$O$54</f>
        <v>0</v>
      </c>
      <c r="CG995" s="121" t="n">
        <f aca="false">MIN((CG499+CG500)*$C$5,$F$15)*'⑫ Roll-out Plan'!$O$54</f>
        <v>0</v>
      </c>
      <c r="CH995" s="121" t="n">
        <f aca="false">MIN((CH499+CH500)*$C$5,$F$15)*'⑫ Roll-out Plan'!$O$54</f>
        <v>0</v>
      </c>
      <c r="CI995" s="121" t="n">
        <f aca="false">MIN((CI499+CI500)*$C$5,$F$15)*'⑫ Roll-out Plan'!$O$54</f>
        <v>0</v>
      </c>
      <c r="CJ995" s="121" t="n">
        <f aca="false">MIN((CJ499+CJ500)*$C$5,$F$15)*'⑫ Roll-out Plan'!$O$54</f>
        <v>0</v>
      </c>
      <c r="CK995" s="121" t="n">
        <f aca="false">MIN((CK499+CK500)*$C$5,$F$15)*'⑫ Roll-out Plan'!$O$54</f>
        <v>0</v>
      </c>
      <c r="CL995" s="121" t="n">
        <f aca="false">MIN((CL499+CL500)*$C$5,$F$15)*'⑫ Roll-out Plan'!$O$54</f>
        <v>0</v>
      </c>
      <c r="CM995" s="121" t="n">
        <f aca="false">MIN((CM499+CM500)*$C$5,$F$15)*'⑫ Roll-out Plan'!$O$54</f>
        <v>0</v>
      </c>
      <c r="CN995" s="121" t="n">
        <f aca="false">MIN((CN499+CN500)*$C$5,$F$15)*'⑫ Roll-out Plan'!$O$54</f>
        <v>0</v>
      </c>
      <c r="CO995" s="121" t="n">
        <f aca="false">MIN((CO499+CO500)*$C$5,$F$15)*'⑫ Roll-out Plan'!$O$54</f>
        <v>0</v>
      </c>
      <c r="CP995" s="121" t="n">
        <f aca="false">MIN((CP499+CP500)*$C$5,$F$15)*'⑫ Roll-out Plan'!$O$54</f>
        <v>0</v>
      </c>
      <c r="CQ995" s="121" t="n">
        <f aca="false">MIN((CQ499+CQ500)*$C$5,$F$15)*'⑫ Roll-out Plan'!$O$54</f>
        <v>0</v>
      </c>
      <c r="CR995" s="121" t="n">
        <f aca="false">MIN((CR499+CR500)*$C$5,$F$15)*'⑫ Roll-out Plan'!$O$54</f>
        <v>0</v>
      </c>
      <c r="CS995" s="121" t="n">
        <f aca="false">MIN((CS499+CS500)*$C$5,$F$15)*'⑫ Roll-out Plan'!$O$54</f>
        <v>0</v>
      </c>
      <c r="CT995" s="121" t="n">
        <f aca="false">MIN((CT499+CT500)*$C$5,$F$15)*'⑫ Roll-out Plan'!$O$54</f>
        <v>0</v>
      </c>
      <c r="CU995" s="121" t="n">
        <f aca="false">MIN((CU499+CU500)*$C$5,$F$15)*'⑫ Roll-out Plan'!$O$54</f>
        <v>0</v>
      </c>
      <c r="CV995" s="121" t="n">
        <f aca="false">MIN((CV499+CV500)*$C$5,$F$15)*'⑫ Roll-out Plan'!$O$54</f>
        <v>0</v>
      </c>
      <c r="CW995" s="121" t="n">
        <f aca="false">MIN((CW499+CW500)*$C$5,$F$15)*'⑫ Roll-out Plan'!$O$54</f>
        <v>0</v>
      </c>
      <c r="CX995" s="121" t="n">
        <f aca="false">MIN((CX499+CX500)*$C$5,$F$15)*'⑫ Roll-out Plan'!$O$54</f>
        <v>0</v>
      </c>
      <c r="CY995" s="121" t="n">
        <f aca="false">MIN((CY499+CY500)*$C$5,$F$15)*'⑫ Roll-out Plan'!$O$54</f>
        <v>0</v>
      </c>
      <c r="CZ995" s="121" t="n">
        <f aca="false">MIN((CZ499+CZ500)*$C$5,$F$15)*'⑫ Roll-out Plan'!$O$54</f>
        <v>0</v>
      </c>
      <c r="DA995" s="121" t="n">
        <f aca="false">MIN((DA499+DA500)*$C$5,$F$15)*'⑫ Roll-out Plan'!$O$54</f>
        <v>0</v>
      </c>
      <c r="DB995" s="121" t="n">
        <f aca="false">MIN((DB499+DB500)*$C$5,$F$15)*'⑫ Roll-out Plan'!$O$54</f>
        <v>0</v>
      </c>
      <c r="DC995" s="121" t="n">
        <f aca="false">MIN((DC499+DC500)*$C$5,$F$15)*'⑫ Roll-out Plan'!$O$54</f>
        <v>0</v>
      </c>
      <c r="DD995" s="121" t="n">
        <f aca="false">MIN((DD499+DD500)*$C$5,$F$15)*'⑫ Roll-out Plan'!$O$54</f>
        <v>0</v>
      </c>
      <c r="DE995" s="121" t="n">
        <f aca="false">MIN((DE499+DE500)*$C$5,$F$15)*'⑫ Roll-out Plan'!$O$54</f>
        <v>0</v>
      </c>
      <c r="DF995" s="121" t="n">
        <f aca="false">MIN((DF499+DF500)*$C$5,$F$15)*'⑫ Roll-out Plan'!$O$54</f>
        <v>0</v>
      </c>
      <c r="DG995" s="121" t="n">
        <f aca="false">MIN((DG499+DG500)*$C$5,$F$15)*'⑫ Roll-out Plan'!$O$54</f>
        <v>0</v>
      </c>
      <c r="DH995" s="121" t="n">
        <f aca="false">MIN((DH499+DH500)*$C$5,$F$15)*'⑫ Roll-out Plan'!$O$54</f>
        <v>0</v>
      </c>
      <c r="DI995" s="121" t="n">
        <f aca="false">MIN((DI499+DI500)*$C$5,$F$15)*'⑫ Roll-out Plan'!$O$54</f>
        <v>0</v>
      </c>
      <c r="DJ995" s="121" t="n">
        <f aca="false">MIN((DJ499+DJ500)*$C$5,$F$15)*'⑫ Roll-out Plan'!$O$54</f>
        <v>0</v>
      </c>
      <c r="DK995" s="121" t="n">
        <f aca="false">MIN((DK499+DK500)*$C$5,$F$15)*'⑫ Roll-out Plan'!$O$54</f>
        <v>0</v>
      </c>
      <c r="DL995" s="121" t="n">
        <f aca="false">MIN((DL499+DL500)*$C$5,$F$15)*'⑫ Roll-out Plan'!$O$54</f>
        <v>0</v>
      </c>
      <c r="DM995" s="121" t="n">
        <f aca="false">MIN((DM499+DM500)*$C$5,$F$15)*'⑫ Roll-out Plan'!$O$54</f>
        <v>0</v>
      </c>
      <c r="DN995" s="121" t="n">
        <f aca="false">MIN((DN499+DN500)*$C$5,$F$15)*'⑫ Roll-out Plan'!$O$54</f>
        <v>0</v>
      </c>
      <c r="DO995" s="121" t="n">
        <f aca="false">MIN((DO499+DO500)*$C$5,$F$15)*'⑫ Roll-out Plan'!$O$54</f>
        <v>0</v>
      </c>
      <c r="DP995" s="121" t="n">
        <f aca="false">MIN((DP499+DP500)*$C$5,$F$15)*'⑫ Roll-out Plan'!$O$54</f>
        <v>0</v>
      </c>
      <c r="DQ995" s="121" t="n">
        <f aca="false">MIN((DQ499+DQ500)*$C$5,$F$15)*'⑫ Roll-out Plan'!$O$54</f>
        <v>0</v>
      </c>
      <c r="DR995" s="121" t="n">
        <f aca="false">MIN((DR499+DR500)*$C$5,$F$15)*'⑫ Roll-out Plan'!$O$54</f>
        <v>0</v>
      </c>
      <c r="DS995" s="121" t="n">
        <f aca="false">MIN((DS499+DS500)*$C$5,$F$15)*'⑫ Roll-out Plan'!$O$54</f>
        <v>0</v>
      </c>
      <c r="DT995" s="121" t="n">
        <f aca="false">MIN((DT499+DT500)*$C$5,$F$15)*'⑫ Roll-out Plan'!$O$54</f>
        <v>0</v>
      </c>
      <c r="DU995" s="121" t="n">
        <f aca="false">MIN((DU499+DU500)*$C$5,$F$15)*'⑫ Roll-out Plan'!$O$54</f>
        <v>0</v>
      </c>
      <c r="DV995" s="121" t="n">
        <f aca="false">MIN((DV499+DV500)*$C$5,$F$15)*'⑫ Roll-out Plan'!$O$54</f>
        <v>0</v>
      </c>
      <c r="DW995" s="121" t="n">
        <f aca="false">MIN((DW499+DW500)*$C$5,$F$15)*'⑫ Roll-out Plan'!$O$54</f>
        <v>0</v>
      </c>
      <c r="DX995" s="121" t="n">
        <f aca="false">MIN((DX499+DX500)*$C$5,$F$15)*'⑫ Roll-out Plan'!$O$54</f>
        <v>0</v>
      </c>
      <c r="DY995" s="121" t="n">
        <f aca="false">MIN((DY499+DY500)*$C$5,$F$15)*'⑫ Roll-out Plan'!$O$54</f>
        <v>0</v>
      </c>
      <c r="DZ995" s="121" t="n">
        <f aca="false">MIN((DZ499+DZ500)*$C$5,$F$15)*'⑫ Roll-out Plan'!$O$54</f>
        <v>0</v>
      </c>
      <c r="EA995" s="121" t="n">
        <f aca="false">MIN((EA499+EA500)*$C$5,$F$15)*'⑫ Roll-out Plan'!$O$54</f>
        <v>0</v>
      </c>
      <c r="EB995" s="121" t="n">
        <f aca="false">MIN((EB499+EB500)*$C$5,$F$15)*'⑫ Roll-out Plan'!$O$54</f>
        <v>0</v>
      </c>
      <c r="EC995" s="121" t="n">
        <f aca="false">MIN((EC499+EC500)*$C$5,$F$15)*'⑫ Roll-out Plan'!$O$54</f>
        <v>0</v>
      </c>
      <c r="ED995" s="121" t="n">
        <f aca="false">MIN((ED499+ED500)*$C$5,$F$15)*'⑫ Roll-out Plan'!$O$54</f>
        <v>0</v>
      </c>
      <c r="EE995" s="121" t="n">
        <f aca="false">MIN((EE499+EE500)*$C$5,$F$15)*'⑫ Roll-out Plan'!$O$54</f>
        <v>0</v>
      </c>
      <c r="EF995" s="121" t="n">
        <f aca="false">MIN((EF499+EF500)*$C$5,$F$15)*'⑫ Roll-out Plan'!$O$54</f>
        <v>0</v>
      </c>
      <c r="EG995" s="121" t="n">
        <f aca="false">MIN((EG499+EG500)*$C$5,$F$15)*'⑫ Roll-out Plan'!$O$54</f>
        <v>0</v>
      </c>
      <c r="EH995" s="121" t="n">
        <f aca="false">MIN((EH499+EH500)*$C$5,$F$15)*'⑫ Roll-out Plan'!$O$54</f>
        <v>3974.54</v>
      </c>
      <c r="EI995" s="121" t="n">
        <f aca="false">MIN((EI499+EI500)*$C$5,$F$15)*'⑫ Roll-out Plan'!$O$54</f>
        <v>6693.51312</v>
      </c>
      <c r="EJ995" s="121" t="n">
        <f aca="false">MIN((EJ499+EJ500)*$C$5,$F$15)*'⑫ Roll-out Plan'!$O$54</f>
        <v>7259.64272</v>
      </c>
      <c r="EK995" s="121" t="n">
        <f aca="false">MIN((EK499+EK500)*$C$5,$F$15)*'⑫ Roll-out Plan'!$O$54</f>
        <v>7036.8048032</v>
      </c>
      <c r="EL995" s="121" t="n">
        <f aca="false">MIN((EL499+EL500)*$C$5,$F$15)*'⑫ Roll-out Plan'!$O$54</f>
        <v>6307.3351808</v>
      </c>
      <c r="EM995" s="121" t="n">
        <f aca="false">MIN((EM499+EM500)*$C$5,$F$15)*'⑫ Roll-out Plan'!$O$54</f>
        <v>7347.431584</v>
      </c>
      <c r="EN995" s="121" t="n">
        <f aca="false">MIN((EN499+EN500)*$C$5,$F$15)*'⑫ Roll-out Plan'!$O$54</f>
        <v>13239.9023408</v>
      </c>
      <c r="EO995" s="121" t="n">
        <f aca="false">MIN((EO499+EO500)*$C$5,$F$15)*'⑫ Roll-out Plan'!$O$54</f>
        <v>12965.7327552</v>
      </c>
      <c r="EP995" s="121" t="n">
        <f aca="false">MIN((EP499+EP500)*$C$5,$F$15)*'⑫ Roll-out Plan'!$O$54</f>
        <v>12267.136584</v>
      </c>
      <c r="EQ995" s="121" t="n">
        <f aca="false">MIN((EQ499+EQ500)*$C$5,$F$15)*'⑫ Roll-out Plan'!$O$54</f>
        <v>9780.8737504</v>
      </c>
      <c r="ER995" s="121" t="n">
        <f aca="false">MIN((ER499+ER500)*$C$5,$F$15)*'⑫ Roll-out Plan'!$O$54</f>
        <v>13770.1951616</v>
      </c>
      <c r="ES995" s="9" t="n">
        <f aca="false">MIN((ES499+ES500)*$C$5,$F$15)*'⑫ Roll-out Plan'!$O$54</f>
        <v>16075.4904032</v>
      </c>
      <c r="ET995" s="9" t="n">
        <f aca="false">MIN((ET499+ET500)*$C$5,$F$15)*'⑫ Roll-out Plan'!$O$54</f>
        <v>13970.1474832</v>
      </c>
      <c r="EU995" s="9" t="n">
        <f aca="false">MIN((EU499+EU500)*$C$5,$F$15)*'⑫ Roll-out Plan'!$O$54</f>
        <v>19754.355648</v>
      </c>
      <c r="EV995" s="9" t="n">
        <f aca="false">MIN((EV499+EV500)*$C$5,$F$15)*'⑫ Roll-out Plan'!$O$54</f>
        <v>19771.068104</v>
      </c>
      <c r="EW995" s="9" t="n">
        <f aca="false">MIN((EW499+EW500)*$C$5,$F$15)*'⑫ Roll-out Plan'!$O$54</f>
        <v>20737.0325504</v>
      </c>
      <c r="EX995" s="9" t="n">
        <f aca="false">MIN((EX499+EX500)*$C$5,$F$15)*'⑫ Roll-out Plan'!$O$54</f>
        <v>19538.6912912</v>
      </c>
      <c r="EY995" s="9" t="n">
        <f aca="false">MIN((EY499+EY500)*$C$5,$F$15)*'⑫ Roll-out Plan'!$O$54</f>
        <v>21082.24054352</v>
      </c>
      <c r="EZ995" s="9" t="n">
        <f aca="false">MIN((EZ499+EZ500)*$C$5,$F$15)*'⑫ Roll-out Plan'!$O$54</f>
        <v>27000</v>
      </c>
      <c r="FA995" s="9" t="n">
        <f aca="false">MIN((FA499+FA500)*$C$5,$F$15)*'⑫ Roll-out Plan'!$O$54</f>
        <v>27000</v>
      </c>
      <c r="FB995" s="9" t="n">
        <f aca="false">MIN((FB499+FB500)*$C$5,$F$15)*'⑫ Roll-out Plan'!$O$54</f>
        <v>27000</v>
      </c>
      <c r="FC995" s="9" t="n">
        <f aca="false">MIN((FC499+FC500)*$C$5,$F$15)*'⑫ Roll-out Plan'!$O$54</f>
        <v>22251.675458</v>
      </c>
      <c r="FD995" s="9" t="n">
        <f aca="false">MIN((FD499+FD500)*$C$5,$F$15)*'⑫ Roll-out Plan'!$O$54</f>
        <v>27000</v>
      </c>
      <c r="FE995" s="9" t="n">
        <f aca="false">MIN((FE499+FE500)*$C$5,$F$15)*'⑫ Roll-out Plan'!$O$54</f>
        <v>27000</v>
      </c>
      <c r="FF995" s="9" t="n">
        <f aca="false">MIN((FF499+FF500)*$C$5,$F$15)*'⑫ Roll-out Plan'!$O$54</f>
        <v>27000</v>
      </c>
      <c r="FG995" s="9" t="n">
        <f aca="false">MIN((FG499+FG500)*$C$5,$F$15)*'⑫ Roll-out Plan'!$O$54</f>
        <v>27000</v>
      </c>
      <c r="FH995" s="9" t="n">
        <f aca="false">MIN((FH499+FH500)*$C$5,$F$15)*'⑫ Roll-out Plan'!$O$54</f>
        <v>27000</v>
      </c>
      <c r="FI995" s="9" t="n">
        <f aca="false">MIN((FI499+FI500)*$C$5,$F$15)*'⑫ Roll-out Plan'!$O$54</f>
        <v>27000</v>
      </c>
      <c r="FJ995" s="9" t="n">
        <f aca="false">MIN((FJ499+FJ500)*$C$5,$F$15)*'⑫ Roll-out Plan'!$O$54</f>
        <v>27000</v>
      </c>
      <c r="FK995" s="9" t="n">
        <f aca="false">MIN((FK499+FK500)*$C$5,$F$15)*'⑫ Roll-out Plan'!$O$54</f>
        <v>27000</v>
      </c>
      <c r="FL995" s="9" t="n">
        <f aca="false">MIN((FL499+FL500)*$C$5,$F$15)*'⑫ Roll-out Plan'!$O$54</f>
        <v>27000</v>
      </c>
      <c r="FM995" s="9" t="n">
        <f aca="false">MIN((FM499+FM500)*$C$5,$F$15)*'⑫ Roll-out Plan'!$O$54</f>
        <v>27000</v>
      </c>
      <c r="FN995" s="9" t="n">
        <f aca="false">MIN((FN499+FN500)*$C$5,$F$15)*'⑫ Roll-out Plan'!$O$54</f>
        <v>27000</v>
      </c>
      <c r="FO995" s="9" t="n">
        <f aca="false">MIN((FO499+FO500)*$C$5,$F$15)*'⑫ Roll-out Plan'!$O$54</f>
        <v>27000</v>
      </c>
      <c r="FP995" s="9" t="n">
        <f aca="false">MIN((FP499+FP500)*$C$5,$F$15)*'⑫ Roll-out Plan'!$O$54</f>
        <v>27000</v>
      </c>
    </row>
    <row r="996" customFormat="false" ht="15" hidden="false" customHeight="false" outlineLevel="0" collapsed="false">
      <c r="B996" s="254" t="s">
        <v>1021</v>
      </c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121" t="n">
        <f aca="false">MIN((AC509+AC510)*$C$5,$F$14)*'⑫ Roll-out Plan'!$O$55</f>
        <v>0</v>
      </c>
      <c r="AD996" s="121" t="n">
        <f aca="false">MIN((AD509+AD510)*$C$5,$F$14)*'⑫ Roll-out Plan'!$O$55</f>
        <v>0</v>
      </c>
      <c r="AE996" s="121" t="n">
        <f aca="false">MIN((AE509+AE510)*$C$5,$F$14)*'⑫ Roll-out Plan'!$O$55</f>
        <v>0</v>
      </c>
      <c r="AF996" s="121" t="n">
        <f aca="false">MIN((AF509+AF510)*$C$5,$F$14)*'⑫ Roll-out Plan'!$O$55</f>
        <v>0</v>
      </c>
      <c r="AG996" s="121" t="n">
        <f aca="false">MIN((AG509+AG510)*$C$5,$F$14)*'⑫ Roll-out Plan'!$O$55</f>
        <v>0</v>
      </c>
      <c r="AH996" s="121" t="n">
        <f aca="false">MIN((AH509+AH510)*$C$5,$F$14)*'⑫ Roll-out Plan'!$O$55</f>
        <v>0</v>
      </c>
      <c r="AI996" s="121" t="n">
        <f aca="false">MIN((AI509+AI510)*$C$5,$F$14)*'⑫ Roll-out Plan'!$O$55</f>
        <v>0</v>
      </c>
      <c r="AJ996" s="121" t="n">
        <f aca="false">MIN((AJ509+AJ510)*$C$5,$F$14)*'⑫ Roll-out Plan'!$O$55</f>
        <v>0</v>
      </c>
      <c r="AK996" s="121" t="n">
        <f aca="false">MIN((AK509+AK510)*$C$5,$F$14)*'⑫ Roll-out Plan'!$O$55</f>
        <v>0</v>
      </c>
      <c r="AL996" s="121" t="n">
        <f aca="false">MIN((AL509+AL510)*$C$5,$F$14)*'⑫ Roll-out Plan'!$O$55</f>
        <v>0</v>
      </c>
      <c r="AM996" s="121" t="n">
        <f aca="false">MIN((AM509+AM510)*$C$5,$F$14)*'⑫ Roll-out Plan'!$O$55</f>
        <v>0</v>
      </c>
      <c r="AN996" s="121" t="n">
        <f aca="false">MIN((AN509+AN510)*$C$5,$F$14)*'⑫ Roll-out Plan'!$O$55</f>
        <v>0</v>
      </c>
      <c r="AO996" s="121" t="n">
        <f aca="false">MIN((AO509+AO510)*$C$5,$F$14)*'⑫ Roll-out Plan'!$O$55</f>
        <v>0</v>
      </c>
      <c r="AP996" s="121" t="n">
        <f aca="false">MIN((AP509+AP510)*$C$5,$F$14)*'⑫ Roll-out Plan'!$O$55</f>
        <v>0</v>
      </c>
      <c r="AQ996" s="121" t="n">
        <f aca="false">MIN((AQ509+AQ510)*$C$5,$F$14)*'⑫ Roll-out Plan'!$O$55</f>
        <v>0</v>
      </c>
      <c r="AR996" s="121" t="n">
        <f aca="false">MIN((AR509+AR510)*$C$5,$F$14)*'⑫ Roll-out Plan'!$O$55</f>
        <v>0</v>
      </c>
      <c r="AS996" s="121" t="n">
        <f aca="false">MIN((AS509+AS510)*$C$5,$F$14)*'⑫ Roll-out Plan'!$O$55</f>
        <v>0</v>
      </c>
      <c r="AT996" s="121" t="n">
        <f aca="false">MIN((AT509+AT510)*$C$5,$F$14)*'⑫ Roll-out Plan'!$O$55</f>
        <v>0</v>
      </c>
      <c r="AU996" s="121" t="n">
        <f aca="false">MIN((AU509+AU510)*$C$5,$F$14)*'⑫ Roll-out Plan'!$O$55</f>
        <v>0</v>
      </c>
      <c r="AV996" s="121" t="n">
        <f aca="false">MIN((AV509+AV510)*$C$5,$F$14)*'⑫ Roll-out Plan'!$O$55</f>
        <v>0</v>
      </c>
      <c r="AW996" s="121" t="n">
        <f aca="false">MIN((AW509+AW510)*$C$5,$F$14)*'⑫ Roll-out Plan'!$O$55</f>
        <v>0</v>
      </c>
      <c r="AX996" s="121" t="n">
        <f aca="false">MIN((AX509+AX510)*$C$5,$F$14)*'⑫ Roll-out Plan'!$O$55</f>
        <v>0</v>
      </c>
      <c r="AY996" s="121" t="n">
        <f aca="false">MIN((AY509+AY510)*$C$5,$F$14)*'⑫ Roll-out Plan'!$O$55</f>
        <v>0</v>
      </c>
      <c r="AZ996" s="121" t="n">
        <f aca="false">MIN((AZ509+AZ510)*$C$5,$F$14)*'⑫ Roll-out Plan'!$O$55</f>
        <v>0</v>
      </c>
      <c r="BA996" s="121" t="n">
        <f aca="false">MIN((BA509+BA510)*$C$5,$F$14)*'⑫ Roll-out Plan'!$O$55</f>
        <v>0</v>
      </c>
      <c r="BB996" s="121" t="n">
        <f aca="false">MIN((BB509+BB510)*$C$5,$F$14)*'⑫ Roll-out Plan'!$O$55</f>
        <v>0</v>
      </c>
      <c r="BC996" s="121" t="n">
        <f aca="false">MIN((BC509+BC510)*$C$5,$F$14)*'⑫ Roll-out Plan'!$O$55</f>
        <v>0</v>
      </c>
      <c r="BD996" s="121" t="n">
        <f aca="false">MIN((BD509+BD510)*$C$5,$F$14)*'⑫ Roll-out Plan'!$O$55</f>
        <v>0</v>
      </c>
      <c r="BE996" s="121" t="n">
        <f aca="false">MIN((BE509+BE510)*$C$5,$F$14)*'⑫ Roll-out Plan'!$O$55</f>
        <v>0</v>
      </c>
      <c r="BF996" s="121" t="n">
        <f aca="false">MIN((BF509+BF510)*$C$5,$F$14)*'⑫ Roll-out Plan'!$O$55</f>
        <v>0</v>
      </c>
      <c r="BG996" s="121" t="n">
        <f aca="false">MIN((BG509+BG510)*$C$5,$F$14)*'⑫ Roll-out Plan'!$O$55</f>
        <v>0</v>
      </c>
      <c r="BH996" s="121" t="n">
        <f aca="false">MIN((BH509+BH510)*$C$5,$F$14)*'⑫ Roll-out Plan'!$O$55</f>
        <v>0</v>
      </c>
      <c r="BI996" s="121" t="n">
        <f aca="false">MIN((BI509+BI510)*$C$5,$F$14)*'⑫ Roll-out Plan'!$O$55</f>
        <v>0</v>
      </c>
      <c r="BJ996" s="121" t="n">
        <f aca="false">MIN((BJ509+BJ510)*$C$5,$F$14)*'⑫ Roll-out Plan'!$O$55</f>
        <v>0</v>
      </c>
      <c r="BK996" s="121" t="n">
        <f aca="false">MIN((BK509+BK510)*$C$5,$F$14)*'⑫ Roll-out Plan'!$O$55</f>
        <v>0</v>
      </c>
      <c r="BL996" s="121" t="n">
        <f aca="false">MIN((BL509+BL510)*$C$5,$F$14)*'⑫ Roll-out Plan'!$O$55</f>
        <v>0</v>
      </c>
      <c r="BM996" s="121" t="n">
        <f aca="false">MIN((BM509+BM510)*$C$5,$F$14)*'⑫ Roll-out Plan'!$O$55</f>
        <v>0</v>
      </c>
      <c r="BN996" s="121" t="n">
        <f aca="false">MIN((BN509+BN510)*$C$5,$F$14)*'⑫ Roll-out Plan'!$O$55</f>
        <v>0</v>
      </c>
      <c r="BO996" s="121" t="n">
        <f aca="false">MIN((BO509+BO510)*$C$5,$F$14)*'⑫ Roll-out Plan'!$O$55</f>
        <v>0</v>
      </c>
      <c r="BP996" s="121" t="n">
        <f aca="false">MIN((BP509+BP510)*$C$5,$F$14)*'⑫ Roll-out Plan'!$O$55</f>
        <v>0</v>
      </c>
      <c r="BQ996" s="121" t="n">
        <f aca="false">MIN((BQ509+BQ510)*$C$5,$F$14)*'⑫ Roll-out Plan'!$O$55</f>
        <v>0</v>
      </c>
      <c r="BR996" s="121" t="n">
        <f aca="false">MIN((BR509+BR510)*$C$5,$F$14)*'⑫ Roll-out Plan'!$O$55</f>
        <v>0</v>
      </c>
      <c r="BS996" s="121" t="n">
        <f aca="false">MIN((BS509+BS510)*$C$5,$F$14)*'⑫ Roll-out Plan'!$O$55</f>
        <v>0</v>
      </c>
      <c r="BT996" s="121" t="n">
        <f aca="false">MIN((BT509+BT510)*$C$5,$F$14)*'⑫ Roll-out Plan'!$O$55</f>
        <v>0</v>
      </c>
      <c r="BU996" s="121" t="n">
        <f aca="false">MIN((BU509+BU510)*$C$5,$F$14)*'⑫ Roll-out Plan'!$O$55</f>
        <v>0</v>
      </c>
      <c r="BV996" s="121" t="n">
        <f aca="false">MIN((BV509+BV510)*$C$5,$F$14)*'⑫ Roll-out Plan'!$O$55</f>
        <v>0</v>
      </c>
      <c r="BW996" s="121" t="n">
        <f aca="false">MIN((BW509+BW510)*$C$5,$F$14)*'⑫ Roll-out Plan'!$O$55</f>
        <v>0</v>
      </c>
      <c r="BX996" s="121" t="n">
        <f aca="false">MIN((BX509+BX510)*$C$5,$F$14)*'⑫ Roll-out Plan'!$O$55</f>
        <v>0</v>
      </c>
      <c r="BY996" s="121" t="n">
        <f aca="false">MIN((BY509+BY510)*$C$5,$F$14)*'⑫ Roll-out Plan'!$O$55</f>
        <v>0</v>
      </c>
      <c r="BZ996" s="121" t="n">
        <f aca="false">MIN((BZ509+BZ510)*$C$5,$F$14)*'⑫ Roll-out Plan'!$O$55</f>
        <v>0</v>
      </c>
      <c r="CA996" s="121" t="n">
        <f aca="false">MIN((CA509+CA510)*$C$5,$F$14)*'⑫ Roll-out Plan'!$O$55</f>
        <v>0</v>
      </c>
      <c r="CB996" s="121" t="n">
        <f aca="false">MIN((CB509+CB510)*$C$5,$F$14)*'⑫ Roll-out Plan'!$O$55</f>
        <v>0</v>
      </c>
      <c r="CC996" s="121" t="n">
        <f aca="false">MIN((CC509+CC510)*$C$5,$F$14)*'⑫ Roll-out Plan'!$O$55</f>
        <v>0</v>
      </c>
      <c r="CD996" s="121" t="n">
        <f aca="false">MIN((CD509+CD510)*$C$5,$F$14)*'⑫ Roll-out Plan'!$O$55</f>
        <v>0</v>
      </c>
      <c r="CE996" s="121" t="n">
        <f aca="false">MIN((CE509+CE510)*$C$5,$F$14)*'⑫ Roll-out Plan'!$O$55</f>
        <v>0</v>
      </c>
      <c r="CF996" s="121" t="n">
        <f aca="false">MIN((CF509+CF510)*$C$5,$F$14)*'⑫ Roll-out Plan'!$O$55</f>
        <v>0</v>
      </c>
      <c r="CG996" s="121" t="n">
        <f aca="false">MIN((CG509+CG510)*$C$5,$F$14)*'⑫ Roll-out Plan'!$O$55</f>
        <v>0</v>
      </c>
      <c r="CH996" s="121" t="n">
        <f aca="false">MIN((CH509+CH510)*$C$5,$F$14)*'⑫ Roll-out Plan'!$O$55</f>
        <v>0</v>
      </c>
      <c r="CI996" s="121" t="n">
        <f aca="false">MIN((CI509+CI510)*$C$5,$F$14)*'⑫ Roll-out Plan'!$O$55</f>
        <v>0</v>
      </c>
      <c r="CJ996" s="121" t="n">
        <f aca="false">MIN((CJ509+CJ510)*$C$5,$F$14)*'⑫ Roll-out Plan'!$O$55</f>
        <v>0</v>
      </c>
      <c r="CK996" s="121" t="n">
        <f aca="false">MIN((CK509+CK510)*$C$5,$F$14)*'⑫ Roll-out Plan'!$O$55</f>
        <v>0</v>
      </c>
      <c r="CL996" s="121" t="n">
        <f aca="false">MIN((CL509+CL510)*$C$5,$F$14)*'⑫ Roll-out Plan'!$O$55</f>
        <v>0</v>
      </c>
      <c r="CM996" s="121" t="n">
        <f aca="false">MIN((CM509+CM510)*$C$5,$F$14)*'⑫ Roll-out Plan'!$O$55</f>
        <v>0</v>
      </c>
      <c r="CN996" s="121" t="n">
        <f aca="false">MIN((CN509+CN510)*$C$5,$F$14)*'⑫ Roll-out Plan'!$O$55</f>
        <v>0</v>
      </c>
      <c r="CO996" s="121" t="n">
        <f aca="false">MIN((CO509+CO510)*$C$5,$F$14)*'⑫ Roll-out Plan'!$O$55</f>
        <v>0</v>
      </c>
      <c r="CP996" s="121" t="n">
        <f aca="false">MIN((CP509+CP510)*$C$5,$F$14)*'⑫ Roll-out Plan'!$O$55</f>
        <v>0</v>
      </c>
      <c r="CQ996" s="121" t="n">
        <f aca="false">MIN((CQ509+CQ510)*$C$5,$F$14)*'⑫ Roll-out Plan'!$O$55</f>
        <v>0</v>
      </c>
      <c r="CR996" s="121" t="n">
        <f aca="false">MIN((CR509+CR510)*$C$5,$F$14)*'⑫ Roll-out Plan'!$O$55</f>
        <v>0</v>
      </c>
      <c r="CS996" s="121" t="n">
        <f aca="false">MIN((CS509+CS510)*$C$5,$F$14)*'⑫ Roll-out Plan'!$O$55</f>
        <v>0</v>
      </c>
      <c r="CT996" s="121" t="n">
        <f aca="false">MIN((CT509+CT510)*$C$5,$F$14)*'⑫ Roll-out Plan'!$O$55</f>
        <v>0</v>
      </c>
      <c r="CU996" s="121" t="n">
        <f aca="false">MIN((CU509+CU510)*$C$5,$F$14)*'⑫ Roll-out Plan'!$O$55</f>
        <v>0</v>
      </c>
      <c r="CV996" s="121" t="n">
        <f aca="false">MIN((CV509+CV510)*$C$5,$F$14)*'⑫ Roll-out Plan'!$O$55</f>
        <v>0</v>
      </c>
      <c r="CW996" s="121" t="n">
        <f aca="false">MIN((CW509+CW510)*$C$5,$F$14)*'⑫ Roll-out Plan'!$O$55</f>
        <v>0</v>
      </c>
      <c r="CX996" s="121" t="n">
        <f aca="false">MIN((CX509+CX510)*$C$5,$F$14)*'⑫ Roll-out Plan'!$O$55</f>
        <v>0</v>
      </c>
      <c r="CY996" s="121" t="n">
        <f aca="false">MIN((CY509+CY510)*$C$5,$F$14)*'⑫ Roll-out Plan'!$O$55</f>
        <v>0</v>
      </c>
      <c r="CZ996" s="121" t="n">
        <f aca="false">MIN((CZ509+CZ510)*$C$5,$F$14)*'⑫ Roll-out Plan'!$O$55</f>
        <v>0</v>
      </c>
      <c r="DA996" s="121" t="n">
        <f aca="false">MIN((DA509+DA510)*$C$5,$F$14)*'⑫ Roll-out Plan'!$O$55</f>
        <v>0</v>
      </c>
      <c r="DB996" s="121" t="n">
        <f aca="false">MIN((DB509+DB510)*$C$5,$F$14)*'⑫ Roll-out Plan'!$O$55</f>
        <v>0</v>
      </c>
      <c r="DC996" s="121" t="n">
        <f aca="false">MIN((DC509+DC510)*$C$5,$F$14)*'⑫ Roll-out Plan'!$O$55</f>
        <v>0</v>
      </c>
      <c r="DD996" s="121" t="n">
        <f aca="false">MIN((DD509+DD510)*$C$5,$F$14)*'⑫ Roll-out Plan'!$O$55</f>
        <v>0</v>
      </c>
      <c r="DE996" s="121" t="n">
        <f aca="false">MIN((DE509+DE510)*$C$5,$F$14)*'⑫ Roll-out Plan'!$O$55</f>
        <v>0</v>
      </c>
      <c r="DF996" s="121" t="n">
        <f aca="false">MIN((DF509+DF510)*$C$5,$F$14)*'⑫ Roll-out Plan'!$O$55</f>
        <v>0</v>
      </c>
      <c r="DG996" s="121" t="n">
        <f aca="false">MIN((DG509+DG510)*$C$5,$F$14)*'⑫ Roll-out Plan'!$O$55</f>
        <v>0</v>
      </c>
      <c r="DH996" s="121" t="n">
        <f aca="false">MIN((DH509+DH510)*$C$5,$F$14)*'⑫ Roll-out Plan'!$O$55</f>
        <v>0</v>
      </c>
      <c r="DI996" s="121" t="n">
        <f aca="false">MIN((DI509+DI510)*$C$5,$F$14)*'⑫ Roll-out Plan'!$O$55</f>
        <v>0</v>
      </c>
      <c r="DJ996" s="121" t="n">
        <f aca="false">MIN((DJ509+DJ510)*$C$5,$F$14)*'⑫ Roll-out Plan'!$O$55</f>
        <v>0</v>
      </c>
      <c r="DK996" s="121" t="n">
        <f aca="false">MIN((DK509+DK510)*$C$5,$F$14)*'⑫ Roll-out Plan'!$O$55</f>
        <v>0</v>
      </c>
      <c r="DL996" s="121" t="n">
        <f aca="false">MIN((DL509+DL510)*$C$5,$F$14)*'⑫ Roll-out Plan'!$O$55</f>
        <v>0</v>
      </c>
      <c r="DM996" s="121" t="n">
        <f aca="false">MIN((DM509+DM510)*$C$5,$F$14)*'⑫ Roll-out Plan'!$O$55</f>
        <v>0</v>
      </c>
      <c r="DN996" s="121" t="n">
        <f aca="false">MIN((DN509+DN510)*$C$5,$F$14)*'⑫ Roll-out Plan'!$O$55</f>
        <v>0</v>
      </c>
      <c r="DO996" s="121" t="n">
        <f aca="false">MIN((DO509+DO510)*$C$5,$F$14)*'⑫ Roll-out Plan'!$O$55</f>
        <v>0</v>
      </c>
      <c r="DP996" s="121" t="n">
        <f aca="false">MIN((DP509+DP510)*$C$5,$F$14)*'⑫ Roll-out Plan'!$O$55</f>
        <v>0</v>
      </c>
      <c r="DQ996" s="121" t="n">
        <f aca="false">MIN((DQ509+DQ510)*$C$5,$F$14)*'⑫ Roll-out Plan'!$O$55</f>
        <v>0</v>
      </c>
      <c r="DR996" s="121" t="n">
        <f aca="false">MIN((DR509+DR510)*$C$5,$F$14)*'⑫ Roll-out Plan'!$O$55</f>
        <v>0</v>
      </c>
      <c r="DS996" s="121" t="n">
        <f aca="false">MIN((DS509+DS510)*$C$5,$F$14)*'⑫ Roll-out Plan'!$O$55</f>
        <v>0</v>
      </c>
      <c r="DT996" s="121" t="n">
        <f aca="false">MIN((DT509+DT510)*$C$5,$F$14)*'⑫ Roll-out Plan'!$O$55</f>
        <v>0</v>
      </c>
      <c r="DU996" s="121" t="n">
        <f aca="false">MIN((DU509+DU510)*$C$5,$F$14)*'⑫ Roll-out Plan'!$O$55</f>
        <v>0</v>
      </c>
      <c r="DV996" s="121" t="n">
        <f aca="false">MIN((DV509+DV510)*$C$5,$F$14)*'⑫ Roll-out Plan'!$O$55</f>
        <v>0</v>
      </c>
      <c r="DW996" s="121" t="n">
        <f aca="false">MIN((DW509+DW510)*$C$5,$F$14)*'⑫ Roll-out Plan'!$O$55</f>
        <v>0</v>
      </c>
      <c r="DX996" s="121" t="n">
        <f aca="false">MIN((DX509+DX510)*$C$5,$F$14)*'⑫ Roll-out Plan'!$O$55</f>
        <v>0</v>
      </c>
      <c r="DY996" s="121" t="n">
        <f aca="false">MIN((DY509+DY510)*$C$5,$F$14)*'⑫ Roll-out Plan'!$O$55</f>
        <v>0</v>
      </c>
      <c r="DZ996" s="121" t="n">
        <f aca="false">MIN((DZ509+DZ510)*$C$5,$F$14)*'⑫ Roll-out Plan'!$O$55</f>
        <v>0</v>
      </c>
      <c r="EA996" s="121" t="n">
        <f aca="false">MIN((EA509+EA510)*$C$5,$F$14)*'⑫ Roll-out Plan'!$O$55</f>
        <v>0</v>
      </c>
      <c r="EB996" s="121" t="n">
        <f aca="false">MIN((EB509+EB510)*$C$5,$F$14)*'⑫ Roll-out Plan'!$O$55</f>
        <v>0</v>
      </c>
      <c r="EC996" s="121" t="n">
        <f aca="false">MIN((EC509+EC510)*$C$5,$F$14)*'⑫ Roll-out Plan'!$O$55</f>
        <v>0</v>
      </c>
      <c r="ED996" s="121" t="n">
        <f aca="false">MIN((ED509+ED510)*$C$5,$F$14)*'⑫ Roll-out Plan'!$O$55</f>
        <v>0</v>
      </c>
      <c r="EE996" s="121" t="n">
        <f aca="false">MIN((EE509+EE510)*$C$5,$F$14)*'⑫ Roll-out Plan'!$O$55</f>
        <v>0</v>
      </c>
      <c r="EF996" s="121" t="n">
        <f aca="false">MIN((EF509+EF510)*$C$5,$F$14)*'⑫ Roll-out Plan'!$O$55</f>
        <v>0</v>
      </c>
      <c r="EG996" s="121" t="n">
        <f aca="false">MIN((EG509+EG510)*$C$5,$F$14)*'⑫ Roll-out Plan'!$O$55</f>
        <v>0</v>
      </c>
      <c r="EH996" s="121" t="n">
        <f aca="false">MIN((EH509+EH510)*$C$5,$F$14)*'⑫ Roll-out Plan'!$O$55</f>
        <v>0</v>
      </c>
      <c r="EI996" s="121" t="n">
        <f aca="false">MIN((EI509+EI510)*$C$5,$F$14)*'⑫ Roll-out Plan'!$O$55</f>
        <v>0</v>
      </c>
      <c r="EJ996" s="121" t="n">
        <f aca="false">MIN((EJ509+EJ510)*$C$5,$F$14)*'⑫ Roll-out Plan'!$O$55</f>
        <v>0</v>
      </c>
      <c r="EK996" s="121" t="n">
        <f aca="false">MIN((EK509+EK510)*$C$5,$F$14)*'⑫ Roll-out Plan'!$O$55</f>
        <v>0</v>
      </c>
      <c r="EL996" s="121" t="n">
        <f aca="false">MIN((EL509+EL510)*$C$5,$F$14)*'⑫ Roll-out Plan'!$O$55</f>
        <v>0</v>
      </c>
      <c r="EM996" s="121" t="n">
        <f aca="false">MIN((EM509+EM510)*$C$5,$F$14)*'⑫ Roll-out Plan'!$O$55</f>
        <v>0</v>
      </c>
      <c r="EN996" s="121" t="n">
        <f aca="false">MIN((EN509+EN510)*$C$5,$F$14)*'⑫ Roll-out Plan'!$O$55</f>
        <v>0</v>
      </c>
      <c r="EO996" s="121" t="n">
        <f aca="false">MIN((EO509+EO510)*$C$5,$F$14)*'⑫ Roll-out Plan'!$O$55</f>
        <v>0</v>
      </c>
      <c r="EP996" s="121" t="n">
        <f aca="false">MIN((EP509+EP510)*$C$5,$F$14)*'⑫ Roll-out Plan'!$O$55</f>
        <v>5281.92</v>
      </c>
      <c r="EQ996" s="121" t="n">
        <f aca="false">MIN((EQ509+EQ510)*$C$5,$F$14)*'⑫ Roll-out Plan'!$O$55</f>
        <v>5033.66976</v>
      </c>
      <c r="ER996" s="121" t="n">
        <f aca="false">MIN((ER509+ER510)*$C$5,$F$14)*'⑫ Roll-out Plan'!$O$55</f>
        <v>7385.180544</v>
      </c>
      <c r="ES996" s="9" t="n">
        <f aca="false">MIN((ES509+ES510)*$C$5,$F$14)*'⑫ Roll-out Plan'!$O$55</f>
        <v>9078.9338304</v>
      </c>
      <c r="ET996" s="9" t="n">
        <f aca="false">MIN((ET509+ET510)*$C$5,$F$14)*'⑫ Roll-out Plan'!$O$55</f>
        <v>7401.2639904</v>
      </c>
      <c r="EU996" s="9" t="n">
        <f aca="false">MIN((EU509+EU510)*$C$5,$F$14)*'⑫ Roll-out Plan'!$O$55</f>
        <v>11070.728256</v>
      </c>
      <c r="EV996" s="9" t="n">
        <f aca="false">MIN((EV509+EV510)*$C$5,$F$14)*'⑫ Roll-out Plan'!$O$55</f>
        <v>12297.8767296</v>
      </c>
      <c r="EW996" s="9" t="n">
        <f aca="false">MIN((EW509+EW510)*$C$5,$F$14)*'⑫ Roll-out Plan'!$O$55</f>
        <v>11809.580832</v>
      </c>
      <c r="EX996" s="9" t="n">
        <f aca="false">MIN((EX509+EX510)*$C$5,$F$14)*'⑫ Roll-out Plan'!$O$55</f>
        <v>11637.3286176</v>
      </c>
      <c r="EY996" s="9" t="n">
        <f aca="false">MIN((EY509+EY510)*$C$5,$F$14)*'⑫ Roll-out Plan'!$O$55</f>
        <v>12221.130432</v>
      </c>
      <c r="EZ996" s="9" t="n">
        <f aca="false">MIN((EZ509+EZ510)*$C$5,$F$14)*'⑫ Roll-out Plan'!$O$55</f>
        <v>20999.0564448</v>
      </c>
      <c r="FA996" s="9" t="n">
        <f aca="false">MIN((FA509+FA510)*$C$5,$F$14)*'⑫ Roll-out Plan'!$O$55</f>
        <v>19959.7066368</v>
      </c>
      <c r="FB996" s="9" t="n">
        <f aca="false">MIN((FB509+FB510)*$C$5,$F$14)*'⑫ Roll-out Plan'!$O$55</f>
        <v>18281.3941632</v>
      </c>
      <c r="FC996" s="9" t="n">
        <f aca="false">MIN((FC509+FC510)*$C$5,$F$14)*'⑫ Roll-out Plan'!$O$55</f>
        <v>15502.523232</v>
      </c>
      <c r="FD996" s="9" t="n">
        <f aca="false">MIN((FD509+FD510)*$C$5,$F$14)*'⑫ Roll-out Plan'!$O$55</f>
        <v>20205.7384704</v>
      </c>
      <c r="FE996" s="9" t="n">
        <f aca="false">MIN((FE509+FE510)*$C$5,$F$14)*'⑫ Roll-out Plan'!$O$55</f>
        <v>26658.8538048</v>
      </c>
      <c r="FF996" s="9" t="n">
        <f aca="false">MIN((FF509+FF510)*$C$5,$F$14)*'⑫ Roll-out Plan'!$O$55</f>
        <v>22878.7949376</v>
      </c>
      <c r="FG996" s="9" t="n">
        <f aca="false">MIN((FG509+FG510)*$C$5,$F$14)*'⑫ Roll-out Plan'!$O$55</f>
        <v>31344.14924928</v>
      </c>
      <c r="FH996" s="9" t="n">
        <f aca="false">MIN((FH509+FH510)*$C$5,$F$14)*'⑫ Roll-out Plan'!$O$55</f>
        <v>32169.42636096</v>
      </c>
      <c r="FI996" s="9" t="n">
        <f aca="false">MIN((FI509+FI510)*$C$5,$F$14)*'⑫ Roll-out Plan'!$O$55</f>
        <v>28307.10687168</v>
      </c>
      <c r="FJ996" s="9" t="n">
        <f aca="false">MIN((FJ509+FJ510)*$C$5,$F$14)*'⑫ Roll-out Plan'!$O$55</f>
        <v>25999.10986512</v>
      </c>
      <c r="FK996" s="9" t="n">
        <f aca="false">MIN((FK509+FK510)*$C$5,$F$14)*'⑫ Roll-out Plan'!$O$55</f>
        <v>27482.35509096</v>
      </c>
      <c r="FL996" s="9" t="n">
        <f aca="false">MIN((FL509+FL510)*$C$5,$F$14)*'⑫ Roll-out Plan'!$O$55</f>
        <v>35000</v>
      </c>
      <c r="FM996" s="9" t="n">
        <f aca="false">MIN((FM509+FM510)*$C$5,$F$14)*'⑫ Roll-out Plan'!$O$55</f>
        <v>35000</v>
      </c>
      <c r="FN996" s="9" t="n">
        <f aca="false">MIN((FN509+FN510)*$C$5,$F$14)*'⑫ Roll-out Plan'!$O$55</f>
        <v>34822.22270352</v>
      </c>
      <c r="FO996" s="9" t="n">
        <f aca="false">MIN((FO509+FO510)*$C$5,$F$14)*'⑫ Roll-out Plan'!$O$55</f>
        <v>28669.84933008</v>
      </c>
      <c r="FP996" s="9" t="n">
        <f aca="false">MIN((FP509+FP510)*$C$5,$F$14)*'⑫ Roll-out Plan'!$O$55</f>
        <v>35000</v>
      </c>
    </row>
    <row r="997" customFormat="false" ht="15" hidden="false" customHeight="false" outlineLevel="0" collapsed="false">
      <c r="B997" s="254" t="s">
        <v>1022</v>
      </c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121" t="n">
        <f aca="false">MIN((AC519+AC520)*$C$5,$F$15)*'⑫ Roll-out Plan'!$O$56</f>
        <v>0</v>
      </c>
      <c r="AD997" s="121" t="n">
        <f aca="false">MIN((AD519+AD520)*$C$5,$F$15)*'⑫ Roll-out Plan'!$O$56</f>
        <v>0</v>
      </c>
      <c r="AE997" s="121" t="n">
        <f aca="false">MIN((AE519+AE520)*$C$5,$F$15)*'⑫ Roll-out Plan'!$O$56</f>
        <v>0</v>
      </c>
      <c r="AF997" s="121" t="n">
        <f aca="false">MIN((AF519+AF520)*$C$5,$F$15)*'⑫ Roll-out Plan'!$O$56</f>
        <v>0</v>
      </c>
      <c r="AG997" s="121" t="n">
        <f aca="false">MIN((AG519+AG520)*$C$5,$F$15)*'⑫ Roll-out Plan'!$O$56</f>
        <v>0</v>
      </c>
      <c r="AH997" s="121" t="n">
        <f aca="false">MIN((AH519+AH520)*$C$5,$F$15)*'⑫ Roll-out Plan'!$O$56</f>
        <v>0</v>
      </c>
      <c r="AI997" s="121" t="n">
        <f aca="false">MIN((AI519+AI520)*$C$5,$F$15)*'⑫ Roll-out Plan'!$O$56</f>
        <v>0</v>
      </c>
      <c r="AJ997" s="121" t="n">
        <f aca="false">MIN((AJ519+AJ520)*$C$5,$F$15)*'⑫ Roll-out Plan'!$O$56</f>
        <v>0</v>
      </c>
      <c r="AK997" s="121" t="n">
        <f aca="false">MIN((AK519+AK520)*$C$5,$F$15)*'⑫ Roll-out Plan'!$O$56</f>
        <v>0</v>
      </c>
      <c r="AL997" s="121" t="n">
        <f aca="false">MIN((AL519+AL520)*$C$5,$F$15)*'⑫ Roll-out Plan'!$O$56</f>
        <v>0</v>
      </c>
      <c r="AM997" s="121" t="n">
        <f aca="false">MIN((AM519+AM520)*$C$5,$F$15)*'⑫ Roll-out Plan'!$O$56</f>
        <v>0</v>
      </c>
      <c r="AN997" s="121" t="n">
        <f aca="false">MIN((AN519+AN520)*$C$5,$F$15)*'⑫ Roll-out Plan'!$O$56</f>
        <v>0</v>
      </c>
      <c r="AO997" s="121" t="n">
        <f aca="false">MIN((AO519+AO520)*$C$5,$F$15)*'⑫ Roll-out Plan'!$O$56</f>
        <v>0</v>
      </c>
      <c r="AP997" s="121" t="n">
        <f aca="false">MIN((AP519+AP520)*$C$5,$F$15)*'⑫ Roll-out Plan'!$O$56</f>
        <v>0</v>
      </c>
      <c r="AQ997" s="121" t="n">
        <f aca="false">MIN((AQ519+AQ520)*$C$5,$F$15)*'⑫ Roll-out Plan'!$O$56</f>
        <v>0</v>
      </c>
      <c r="AR997" s="121" t="n">
        <f aca="false">MIN((AR519+AR520)*$C$5,$F$15)*'⑫ Roll-out Plan'!$O$56</f>
        <v>0</v>
      </c>
      <c r="AS997" s="121" t="n">
        <f aca="false">MIN((AS519+AS520)*$C$5,$F$15)*'⑫ Roll-out Plan'!$O$56</f>
        <v>0</v>
      </c>
      <c r="AT997" s="121" t="n">
        <f aca="false">MIN((AT519+AT520)*$C$5,$F$15)*'⑫ Roll-out Plan'!$O$56</f>
        <v>0</v>
      </c>
      <c r="AU997" s="121" t="n">
        <f aca="false">MIN((AU519+AU520)*$C$5,$F$15)*'⑫ Roll-out Plan'!$O$56</f>
        <v>0</v>
      </c>
      <c r="AV997" s="121" t="n">
        <f aca="false">MIN((AV519+AV520)*$C$5,$F$15)*'⑫ Roll-out Plan'!$O$56</f>
        <v>0</v>
      </c>
      <c r="AW997" s="121" t="n">
        <f aca="false">MIN((AW519+AW520)*$C$5,$F$15)*'⑫ Roll-out Plan'!$O$56</f>
        <v>0</v>
      </c>
      <c r="AX997" s="121" t="n">
        <f aca="false">MIN((AX519+AX520)*$C$5,$F$15)*'⑫ Roll-out Plan'!$O$56</f>
        <v>0</v>
      </c>
      <c r="AY997" s="121" t="n">
        <f aca="false">MIN((AY519+AY520)*$C$5,$F$15)*'⑫ Roll-out Plan'!$O$56</f>
        <v>0</v>
      </c>
      <c r="AZ997" s="121" t="n">
        <f aca="false">MIN((AZ519+AZ520)*$C$5,$F$15)*'⑫ Roll-out Plan'!$O$56</f>
        <v>0</v>
      </c>
      <c r="BA997" s="121" t="n">
        <f aca="false">MIN((BA519+BA520)*$C$5,$F$15)*'⑫ Roll-out Plan'!$O$56</f>
        <v>0</v>
      </c>
      <c r="BB997" s="121" t="n">
        <f aca="false">MIN((BB519+BB520)*$C$5,$F$15)*'⑫ Roll-out Plan'!$O$56</f>
        <v>0</v>
      </c>
      <c r="BC997" s="121" t="n">
        <f aca="false">MIN((BC519+BC520)*$C$5,$F$15)*'⑫ Roll-out Plan'!$O$56</f>
        <v>0</v>
      </c>
      <c r="BD997" s="121" t="n">
        <f aca="false">MIN((BD519+BD520)*$C$5,$F$15)*'⑫ Roll-out Plan'!$O$56</f>
        <v>0</v>
      </c>
      <c r="BE997" s="121" t="n">
        <f aca="false">MIN((BE519+BE520)*$C$5,$F$15)*'⑫ Roll-out Plan'!$O$56</f>
        <v>0</v>
      </c>
      <c r="BF997" s="121" t="n">
        <f aca="false">MIN((BF519+BF520)*$C$5,$F$15)*'⑫ Roll-out Plan'!$O$56</f>
        <v>0</v>
      </c>
      <c r="BG997" s="121" t="n">
        <f aca="false">MIN((BG519+BG520)*$C$5,$F$15)*'⑫ Roll-out Plan'!$O$56</f>
        <v>0</v>
      </c>
      <c r="BH997" s="121" t="n">
        <f aca="false">MIN((BH519+BH520)*$C$5,$F$15)*'⑫ Roll-out Plan'!$O$56</f>
        <v>0</v>
      </c>
      <c r="BI997" s="121" t="n">
        <f aca="false">MIN((BI519+BI520)*$C$5,$F$15)*'⑫ Roll-out Plan'!$O$56</f>
        <v>0</v>
      </c>
      <c r="BJ997" s="121" t="n">
        <f aca="false">MIN((BJ519+BJ520)*$C$5,$F$15)*'⑫ Roll-out Plan'!$O$56</f>
        <v>0</v>
      </c>
      <c r="BK997" s="121" t="n">
        <f aca="false">MIN((BK519+BK520)*$C$5,$F$15)*'⑫ Roll-out Plan'!$O$56</f>
        <v>0</v>
      </c>
      <c r="BL997" s="121" t="n">
        <f aca="false">MIN((BL519+BL520)*$C$5,$F$15)*'⑫ Roll-out Plan'!$O$56</f>
        <v>0</v>
      </c>
      <c r="BM997" s="121" t="n">
        <f aca="false">MIN((BM519+BM520)*$C$5,$F$15)*'⑫ Roll-out Plan'!$O$56</f>
        <v>0</v>
      </c>
      <c r="BN997" s="121" t="n">
        <f aca="false">MIN((BN519+BN520)*$C$5,$F$15)*'⑫ Roll-out Plan'!$O$56</f>
        <v>0</v>
      </c>
      <c r="BO997" s="121" t="n">
        <f aca="false">MIN((BO519+BO520)*$C$5,$F$15)*'⑫ Roll-out Plan'!$O$56</f>
        <v>0</v>
      </c>
      <c r="BP997" s="121" t="n">
        <f aca="false">MIN((BP519+BP520)*$C$5,$F$15)*'⑫ Roll-out Plan'!$O$56</f>
        <v>0</v>
      </c>
      <c r="BQ997" s="121" t="n">
        <f aca="false">MIN((BQ519+BQ520)*$C$5,$F$15)*'⑫ Roll-out Plan'!$O$56</f>
        <v>0</v>
      </c>
      <c r="BR997" s="121" t="n">
        <f aca="false">MIN((BR519+BR520)*$C$5,$F$15)*'⑫ Roll-out Plan'!$O$56</f>
        <v>0</v>
      </c>
      <c r="BS997" s="121" t="n">
        <f aca="false">MIN((BS519+BS520)*$C$5,$F$15)*'⑫ Roll-out Plan'!$O$56</f>
        <v>0</v>
      </c>
      <c r="BT997" s="121" t="n">
        <f aca="false">MIN((BT519+BT520)*$C$5,$F$15)*'⑫ Roll-out Plan'!$O$56</f>
        <v>0</v>
      </c>
      <c r="BU997" s="121" t="n">
        <f aca="false">MIN((BU519+BU520)*$C$5,$F$15)*'⑫ Roll-out Plan'!$O$56</f>
        <v>0</v>
      </c>
      <c r="BV997" s="121" t="n">
        <f aca="false">MIN((BV519+BV520)*$C$5,$F$15)*'⑫ Roll-out Plan'!$O$56</f>
        <v>0</v>
      </c>
      <c r="BW997" s="121" t="n">
        <f aca="false">MIN((BW519+BW520)*$C$5,$F$15)*'⑫ Roll-out Plan'!$O$56</f>
        <v>0</v>
      </c>
      <c r="BX997" s="121" t="n">
        <f aca="false">MIN((BX519+BX520)*$C$5,$F$15)*'⑫ Roll-out Plan'!$O$56</f>
        <v>0</v>
      </c>
      <c r="BY997" s="121" t="n">
        <f aca="false">MIN((BY519+BY520)*$C$5,$F$15)*'⑫ Roll-out Plan'!$O$56</f>
        <v>0</v>
      </c>
      <c r="BZ997" s="121" t="n">
        <f aca="false">MIN((BZ519+BZ520)*$C$5,$F$15)*'⑫ Roll-out Plan'!$O$56</f>
        <v>0</v>
      </c>
      <c r="CA997" s="121" t="n">
        <f aca="false">MIN((CA519+CA520)*$C$5,$F$15)*'⑫ Roll-out Plan'!$O$56</f>
        <v>0</v>
      </c>
      <c r="CB997" s="121" t="n">
        <f aca="false">MIN((CB519+CB520)*$C$5,$F$15)*'⑫ Roll-out Plan'!$O$56</f>
        <v>0</v>
      </c>
      <c r="CC997" s="121" t="n">
        <f aca="false">MIN((CC519+CC520)*$C$5,$F$15)*'⑫ Roll-out Plan'!$O$56</f>
        <v>0</v>
      </c>
      <c r="CD997" s="121" t="n">
        <f aca="false">MIN((CD519+CD520)*$C$5,$F$15)*'⑫ Roll-out Plan'!$O$56</f>
        <v>0</v>
      </c>
      <c r="CE997" s="121" t="n">
        <f aca="false">MIN((CE519+CE520)*$C$5,$F$15)*'⑫ Roll-out Plan'!$O$56</f>
        <v>0</v>
      </c>
      <c r="CF997" s="121" t="n">
        <f aca="false">MIN((CF519+CF520)*$C$5,$F$15)*'⑫ Roll-out Plan'!$O$56</f>
        <v>0</v>
      </c>
      <c r="CG997" s="121" t="n">
        <f aca="false">MIN((CG519+CG520)*$C$5,$F$15)*'⑫ Roll-out Plan'!$O$56</f>
        <v>0</v>
      </c>
      <c r="CH997" s="121" t="n">
        <f aca="false">MIN((CH519+CH520)*$C$5,$F$15)*'⑫ Roll-out Plan'!$O$56</f>
        <v>0</v>
      </c>
      <c r="CI997" s="121" t="n">
        <f aca="false">MIN((CI519+CI520)*$C$5,$F$15)*'⑫ Roll-out Plan'!$O$56</f>
        <v>0</v>
      </c>
      <c r="CJ997" s="121" t="n">
        <f aca="false">MIN((CJ519+CJ520)*$C$5,$F$15)*'⑫ Roll-out Plan'!$O$56</f>
        <v>0</v>
      </c>
      <c r="CK997" s="121" t="n">
        <f aca="false">MIN((CK519+CK520)*$C$5,$F$15)*'⑫ Roll-out Plan'!$O$56</f>
        <v>0</v>
      </c>
      <c r="CL997" s="121" t="n">
        <f aca="false">MIN((CL519+CL520)*$C$5,$F$15)*'⑫ Roll-out Plan'!$O$56</f>
        <v>0</v>
      </c>
      <c r="CM997" s="121" t="n">
        <f aca="false">MIN((CM519+CM520)*$C$5,$F$15)*'⑫ Roll-out Plan'!$O$56</f>
        <v>0</v>
      </c>
      <c r="CN997" s="121" t="n">
        <f aca="false">MIN((CN519+CN520)*$C$5,$F$15)*'⑫ Roll-out Plan'!$O$56</f>
        <v>0</v>
      </c>
      <c r="CO997" s="121" t="n">
        <f aca="false">MIN((CO519+CO520)*$C$5,$F$15)*'⑫ Roll-out Plan'!$O$56</f>
        <v>0</v>
      </c>
      <c r="CP997" s="121" t="n">
        <f aca="false">MIN((CP519+CP520)*$C$5,$F$15)*'⑫ Roll-out Plan'!$O$56</f>
        <v>0</v>
      </c>
      <c r="CQ997" s="121" t="n">
        <f aca="false">MIN((CQ519+CQ520)*$C$5,$F$15)*'⑫ Roll-out Plan'!$O$56</f>
        <v>0</v>
      </c>
      <c r="CR997" s="121" t="n">
        <f aca="false">MIN((CR519+CR520)*$C$5,$F$15)*'⑫ Roll-out Plan'!$O$56</f>
        <v>0</v>
      </c>
      <c r="CS997" s="121" t="n">
        <f aca="false">MIN((CS519+CS520)*$C$5,$F$15)*'⑫ Roll-out Plan'!$O$56</f>
        <v>0</v>
      </c>
      <c r="CT997" s="121" t="n">
        <f aca="false">MIN((CT519+CT520)*$C$5,$F$15)*'⑫ Roll-out Plan'!$O$56</f>
        <v>0</v>
      </c>
      <c r="CU997" s="121" t="n">
        <f aca="false">MIN((CU519+CU520)*$C$5,$F$15)*'⑫ Roll-out Plan'!$O$56</f>
        <v>0</v>
      </c>
      <c r="CV997" s="121" t="n">
        <f aca="false">MIN((CV519+CV520)*$C$5,$F$15)*'⑫ Roll-out Plan'!$O$56</f>
        <v>0</v>
      </c>
      <c r="CW997" s="121" t="n">
        <f aca="false">MIN((CW519+CW520)*$C$5,$F$15)*'⑫ Roll-out Plan'!$O$56</f>
        <v>0</v>
      </c>
      <c r="CX997" s="121" t="n">
        <f aca="false">MIN((CX519+CX520)*$C$5,$F$15)*'⑫ Roll-out Plan'!$O$56</f>
        <v>0</v>
      </c>
      <c r="CY997" s="121" t="n">
        <f aca="false">MIN((CY519+CY520)*$C$5,$F$15)*'⑫ Roll-out Plan'!$O$56</f>
        <v>0</v>
      </c>
      <c r="CZ997" s="121" t="n">
        <f aca="false">MIN((CZ519+CZ520)*$C$5,$F$15)*'⑫ Roll-out Plan'!$O$56</f>
        <v>0</v>
      </c>
      <c r="DA997" s="121" t="n">
        <f aca="false">MIN((DA519+DA520)*$C$5,$F$15)*'⑫ Roll-out Plan'!$O$56</f>
        <v>0</v>
      </c>
      <c r="DB997" s="121" t="n">
        <f aca="false">MIN((DB519+DB520)*$C$5,$F$15)*'⑫ Roll-out Plan'!$O$56</f>
        <v>0</v>
      </c>
      <c r="DC997" s="121" t="n">
        <f aca="false">MIN((DC519+DC520)*$C$5,$F$15)*'⑫ Roll-out Plan'!$O$56</f>
        <v>0</v>
      </c>
      <c r="DD997" s="121" t="n">
        <f aca="false">MIN((DD519+DD520)*$C$5,$F$15)*'⑫ Roll-out Plan'!$O$56</f>
        <v>0</v>
      </c>
      <c r="DE997" s="121" t="n">
        <f aca="false">MIN((DE519+DE520)*$C$5,$F$15)*'⑫ Roll-out Plan'!$O$56</f>
        <v>0</v>
      </c>
      <c r="DF997" s="121" t="n">
        <f aca="false">MIN((DF519+DF520)*$C$5,$F$15)*'⑫ Roll-out Plan'!$O$56</f>
        <v>0</v>
      </c>
      <c r="DG997" s="121" t="n">
        <f aca="false">MIN((DG519+DG520)*$C$5,$F$15)*'⑫ Roll-out Plan'!$O$56</f>
        <v>0</v>
      </c>
      <c r="DH997" s="121" t="n">
        <f aca="false">MIN((DH519+DH520)*$C$5,$F$15)*'⑫ Roll-out Plan'!$O$56</f>
        <v>0</v>
      </c>
      <c r="DI997" s="121" t="n">
        <f aca="false">MIN((DI519+DI520)*$C$5,$F$15)*'⑫ Roll-out Plan'!$O$56</f>
        <v>0</v>
      </c>
      <c r="DJ997" s="121" t="n">
        <f aca="false">MIN((DJ519+DJ520)*$C$5,$F$15)*'⑫ Roll-out Plan'!$O$56</f>
        <v>0</v>
      </c>
      <c r="DK997" s="121" t="n">
        <f aca="false">MIN((DK519+DK520)*$C$5,$F$15)*'⑫ Roll-out Plan'!$O$56</f>
        <v>0</v>
      </c>
      <c r="DL997" s="121" t="n">
        <f aca="false">MIN((DL519+DL520)*$C$5,$F$15)*'⑫ Roll-out Plan'!$O$56</f>
        <v>0</v>
      </c>
      <c r="DM997" s="121" t="n">
        <f aca="false">MIN((DM519+DM520)*$C$5,$F$15)*'⑫ Roll-out Plan'!$O$56</f>
        <v>0</v>
      </c>
      <c r="DN997" s="121" t="n">
        <f aca="false">MIN((DN519+DN520)*$C$5,$F$15)*'⑫ Roll-out Plan'!$O$56</f>
        <v>0</v>
      </c>
      <c r="DO997" s="121" t="n">
        <f aca="false">MIN((DO519+DO520)*$C$5,$F$15)*'⑫ Roll-out Plan'!$O$56</f>
        <v>0</v>
      </c>
      <c r="DP997" s="121" t="n">
        <f aca="false">MIN((DP519+DP520)*$C$5,$F$15)*'⑫ Roll-out Plan'!$O$56</f>
        <v>0</v>
      </c>
      <c r="DQ997" s="121" t="n">
        <f aca="false">MIN((DQ519+DQ520)*$C$5,$F$15)*'⑫ Roll-out Plan'!$O$56</f>
        <v>0</v>
      </c>
      <c r="DR997" s="121" t="n">
        <f aca="false">MIN((DR519+DR520)*$C$5,$F$15)*'⑫ Roll-out Plan'!$O$56</f>
        <v>0</v>
      </c>
      <c r="DS997" s="121" t="n">
        <f aca="false">MIN((DS519+DS520)*$C$5,$F$15)*'⑫ Roll-out Plan'!$O$56</f>
        <v>0</v>
      </c>
      <c r="DT997" s="121" t="n">
        <f aca="false">MIN((DT519+DT520)*$C$5,$F$15)*'⑫ Roll-out Plan'!$O$56</f>
        <v>0</v>
      </c>
      <c r="DU997" s="121" t="n">
        <f aca="false">MIN((DU519+DU520)*$C$5,$F$15)*'⑫ Roll-out Plan'!$O$56</f>
        <v>0</v>
      </c>
      <c r="DV997" s="121" t="n">
        <f aca="false">MIN((DV519+DV520)*$C$5,$F$15)*'⑫ Roll-out Plan'!$O$56</f>
        <v>0</v>
      </c>
      <c r="DW997" s="121" t="n">
        <f aca="false">MIN((DW519+DW520)*$C$5,$F$15)*'⑫ Roll-out Plan'!$O$56</f>
        <v>0</v>
      </c>
      <c r="DX997" s="121" t="n">
        <f aca="false">MIN((DX519+DX520)*$C$5,$F$15)*'⑫ Roll-out Plan'!$O$56</f>
        <v>0</v>
      </c>
      <c r="DY997" s="121" t="n">
        <f aca="false">MIN((DY519+DY520)*$C$5,$F$15)*'⑫ Roll-out Plan'!$O$56</f>
        <v>0</v>
      </c>
      <c r="DZ997" s="121" t="n">
        <f aca="false">MIN((DZ519+DZ520)*$C$5,$F$15)*'⑫ Roll-out Plan'!$O$56</f>
        <v>0</v>
      </c>
      <c r="EA997" s="121" t="n">
        <f aca="false">MIN((EA519+EA520)*$C$5,$F$15)*'⑫ Roll-out Plan'!$O$56</f>
        <v>0</v>
      </c>
      <c r="EB997" s="121" t="n">
        <f aca="false">MIN((EB519+EB520)*$C$5,$F$15)*'⑫ Roll-out Plan'!$O$56</f>
        <v>0</v>
      </c>
      <c r="EC997" s="121" t="n">
        <f aca="false">MIN((EC519+EC520)*$C$5,$F$15)*'⑫ Roll-out Plan'!$O$56</f>
        <v>0</v>
      </c>
      <c r="ED997" s="121" t="n">
        <f aca="false">MIN((ED519+ED520)*$C$5,$F$15)*'⑫ Roll-out Plan'!$O$56</f>
        <v>0</v>
      </c>
      <c r="EE997" s="121" t="n">
        <f aca="false">MIN((EE519+EE520)*$C$5,$F$15)*'⑫ Roll-out Plan'!$O$56</f>
        <v>0</v>
      </c>
      <c r="EF997" s="121" t="n">
        <f aca="false">MIN((EF519+EF520)*$C$5,$F$15)*'⑫ Roll-out Plan'!$O$56</f>
        <v>0</v>
      </c>
      <c r="EG997" s="121" t="n">
        <f aca="false">MIN((EG519+EG520)*$C$5,$F$15)*'⑫ Roll-out Plan'!$O$56</f>
        <v>0</v>
      </c>
      <c r="EH997" s="121" t="n">
        <f aca="false">MIN((EH519+EH520)*$C$5,$F$15)*'⑫ Roll-out Plan'!$O$56</f>
        <v>0</v>
      </c>
      <c r="EI997" s="121" t="n">
        <f aca="false">MIN((EI519+EI520)*$C$5,$F$15)*'⑫ Roll-out Plan'!$O$56</f>
        <v>5622.52</v>
      </c>
      <c r="EJ997" s="121" t="n">
        <f aca="false">MIN((EJ519+EJ520)*$C$5,$F$15)*'⑫ Roll-out Plan'!$O$56</f>
        <v>6584.55256</v>
      </c>
      <c r="EK997" s="121" t="n">
        <f aca="false">MIN((EK519+EK520)*$C$5,$F$15)*'⑫ Roll-out Plan'!$O$56</f>
        <v>6200.747712</v>
      </c>
      <c r="EL997" s="121" t="n">
        <f aca="false">MIN((EL519+EL520)*$C$5,$F$15)*'⑫ Roll-out Plan'!$O$56</f>
        <v>6148.865424</v>
      </c>
      <c r="EM997" s="121" t="n">
        <f aca="false">MIN((EM519+EM520)*$C$5,$F$15)*'⑫ Roll-out Plan'!$O$56</f>
        <v>6464.0677728</v>
      </c>
      <c r="EN997" s="121" t="n">
        <f aca="false">MIN((EN519+EN520)*$C$5,$F$15)*'⑫ Roll-out Plan'!$O$56</f>
        <v>11712.8414192</v>
      </c>
      <c r="EO997" s="121" t="n">
        <f aca="false">MIN((EO519+EO520)*$C$5,$F$15)*'⑫ Roll-out Plan'!$O$56</f>
        <v>11570.7273792</v>
      </c>
      <c r="EP997" s="121" t="n">
        <f aca="false">MIN((EP519+EP520)*$C$5,$F$15)*'⑫ Roll-out Plan'!$O$56</f>
        <v>10880.3982512</v>
      </c>
      <c r="EQ997" s="121" t="n">
        <f aca="false">MIN((EQ519+EQ520)*$C$5,$F$15)*'⑫ Roll-out Plan'!$O$56</f>
        <v>9518.3292096</v>
      </c>
      <c r="ER997" s="121" t="n">
        <f aca="false">MIN((ER519+ER520)*$C$5,$F$15)*'⑫ Roll-out Plan'!$O$56</f>
        <v>12621.6965728</v>
      </c>
      <c r="ES997" s="9" t="n">
        <f aca="false">MIN((ES519+ES520)*$C$5,$F$15)*'⑫ Roll-out Plan'!$O$56</f>
        <v>14813.4556864</v>
      </c>
      <c r="ET997" s="9" t="n">
        <f aca="false">MIN((ET519+ET520)*$C$5,$F$15)*'⑫ Roll-out Plan'!$O$56</f>
        <v>12852.7937776</v>
      </c>
      <c r="EU997" s="9" t="n">
        <f aca="false">MIN((EU519+EU520)*$C$5,$F$15)*'⑫ Roll-out Plan'!$O$56</f>
        <v>18276.3541216</v>
      </c>
      <c r="EV997" s="9" t="n">
        <f aca="false">MIN((EV519+EV520)*$C$5,$F$15)*'⑫ Roll-out Plan'!$O$56</f>
        <v>19458.0837424</v>
      </c>
      <c r="EW997" s="9" t="n">
        <f aca="false">MIN((EW519+EW520)*$C$5,$F$15)*'⑫ Roll-out Plan'!$O$56</f>
        <v>17059.0048672</v>
      </c>
      <c r="EX997" s="9" t="n">
        <f aca="false">MIN((EX519+EX520)*$C$5,$F$15)*'⑫ Roll-out Plan'!$O$56</f>
        <v>18234.530328</v>
      </c>
      <c r="EY997" s="9" t="n">
        <f aca="false">MIN((EY519+EY520)*$C$5,$F$15)*'⑫ Roll-out Plan'!$O$56</f>
        <v>19963.6219648</v>
      </c>
      <c r="EZ997" s="9" t="n">
        <f aca="false">MIN((EZ519+EZ520)*$C$5,$F$15)*'⑫ Roll-out Plan'!$O$56</f>
        <v>27000</v>
      </c>
      <c r="FA997" s="9" t="n">
        <f aca="false">MIN((FA519+FA520)*$C$5,$F$15)*'⑫ Roll-out Plan'!$O$56</f>
        <v>27000</v>
      </c>
      <c r="FB997" s="9" t="n">
        <f aca="false">MIN((FB519+FB520)*$C$5,$F$15)*'⑫ Roll-out Plan'!$O$56</f>
        <v>26092.83687528</v>
      </c>
      <c r="FC997" s="9" t="n">
        <f aca="false">MIN((FC519+FC520)*$C$5,$F$15)*'⑫ Roll-out Plan'!$O$56</f>
        <v>21431.330402</v>
      </c>
      <c r="FD997" s="9" t="n">
        <f aca="false">MIN((FD519+FD520)*$C$5,$F$15)*'⑫ Roll-out Plan'!$O$56</f>
        <v>27000</v>
      </c>
      <c r="FE997" s="9" t="n">
        <f aca="false">MIN((FE519+FE520)*$C$5,$F$15)*'⑫ Roll-out Plan'!$O$56</f>
        <v>27000</v>
      </c>
      <c r="FF997" s="9" t="n">
        <f aca="false">MIN((FF519+FF520)*$C$5,$F$15)*'⑫ Roll-out Plan'!$O$56</f>
        <v>26495.16637564</v>
      </c>
      <c r="FG997" s="9" t="n">
        <f aca="false">MIN((FG519+FG520)*$C$5,$F$15)*'⑫ Roll-out Plan'!$O$56</f>
        <v>27000</v>
      </c>
      <c r="FH997" s="9" t="n">
        <f aca="false">MIN((FH519+FH520)*$C$5,$F$15)*'⑫ Roll-out Plan'!$O$56</f>
        <v>27000</v>
      </c>
      <c r="FI997" s="9" t="n">
        <f aca="false">MIN((FI519+FI520)*$C$5,$F$15)*'⑫ Roll-out Plan'!$O$56</f>
        <v>27000</v>
      </c>
      <c r="FJ997" s="9" t="n">
        <f aca="false">MIN((FJ519+FJ520)*$C$5,$F$15)*'⑫ Roll-out Plan'!$O$56</f>
        <v>27000</v>
      </c>
      <c r="FK997" s="9" t="n">
        <f aca="false">MIN((FK519+FK520)*$C$5,$F$15)*'⑫ Roll-out Plan'!$O$56</f>
        <v>27000</v>
      </c>
      <c r="FL997" s="9" t="n">
        <f aca="false">MIN((FL519+FL520)*$C$5,$F$15)*'⑫ Roll-out Plan'!$O$56</f>
        <v>27000</v>
      </c>
      <c r="FM997" s="9" t="n">
        <f aca="false">MIN((FM519+FM520)*$C$5,$F$15)*'⑫ Roll-out Plan'!$O$56</f>
        <v>27000</v>
      </c>
      <c r="FN997" s="9" t="n">
        <f aca="false">MIN((FN519+FN520)*$C$5,$F$15)*'⑫ Roll-out Plan'!$O$56</f>
        <v>27000</v>
      </c>
      <c r="FO997" s="9" t="n">
        <f aca="false">MIN((FO519+FO520)*$C$5,$F$15)*'⑫ Roll-out Plan'!$O$56</f>
        <v>27000</v>
      </c>
      <c r="FP997" s="9" t="n">
        <f aca="false">MIN((FP519+FP520)*$C$5,$F$15)*'⑫ Roll-out Plan'!$O$56</f>
        <v>27000</v>
      </c>
    </row>
    <row r="998" customFormat="false" ht="15" hidden="false" customHeight="false" outlineLevel="0" collapsed="false">
      <c r="B998" s="254" t="s">
        <v>1023</v>
      </c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121" t="n">
        <f aca="false">MIN((AC529+AC530)*$C$5,$F$16)*'⑫ Roll-out Plan'!$O$57</f>
        <v>0</v>
      </c>
      <c r="AD998" s="121" t="n">
        <f aca="false">MIN((AD529+AD530)*$C$5,$F$16)*'⑫ Roll-out Plan'!$O$57</f>
        <v>0</v>
      </c>
      <c r="AE998" s="121" t="n">
        <f aca="false">MIN((AE529+AE530)*$C$5,$F$16)*'⑫ Roll-out Plan'!$O$57</f>
        <v>0</v>
      </c>
      <c r="AF998" s="121" t="n">
        <f aca="false">MIN((AF529+AF530)*$C$5,$F$16)*'⑫ Roll-out Plan'!$O$57</f>
        <v>0</v>
      </c>
      <c r="AG998" s="121" t="n">
        <f aca="false">MIN((AG529+AG530)*$C$5,$F$16)*'⑫ Roll-out Plan'!$O$57</f>
        <v>0</v>
      </c>
      <c r="AH998" s="121" t="n">
        <f aca="false">MIN((AH529+AH530)*$C$5,$F$16)*'⑫ Roll-out Plan'!$O$57</f>
        <v>0</v>
      </c>
      <c r="AI998" s="121" t="n">
        <f aca="false">MIN((AI529+AI530)*$C$5,$F$16)*'⑫ Roll-out Plan'!$O$57</f>
        <v>0</v>
      </c>
      <c r="AJ998" s="121" t="n">
        <f aca="false">MIN((AJ529+AJ530)*$C$5,$F$16)*'⑫ Roll-out Plan'!$O$57</f>
        <v>0</v>
      </c>
      <c r="AK998" s="121" t="n">
        <f aca="false">MIN((AK529+AK530)*$C$5,$F$16)*'⑫ Roll-out Plan'!$O$57</f>
        <v>0</v>
      </c>
      <c r="AL998" s="121" t="n">
        <f aca="false">MIN((AL529+AL530)*$C$5,$F$16)*'⑫ Roll-out Plan'!$O$57</f>
        <v>0</v>
      </c>
      <c r="AM998" s="121" t="n">
        <f aca="false">MIN((AM529+AM530)*$C$5,$F$16)*'⑫ Roll-out Plan'!$O$57</f>
        <v>0</v>
      </c>
      <c r="AN998" s="121" t="n">
        <f aca="false">MIN((AN529+AN530)*$C$5,$F$16)*'⑫ Roll-out Plan'!$O$57</f>
        <v>0</v>
      </c>
      <c r="AO998" s="121" t="n">
        <f aca="false">MIN((AO529+AO530)*$C$5,$F$16)*'⑫ Roll-out Plan'!$O$57</f>
        <v>0</v>
      </c>
      <c r="AP998" s="121" t="n">
        <f aca="false">MIN((AP529+AP530)*$C$5,$F$16)*'⑫ Roll-out Plan'!$O$57</f>
        <v>0</v>
      </c>
      <c r="AQ998" s="121" t="n">
        <f aca="false">MIN((AQ529+AQ530)*$C$5,$F$16)*'⑫ Roll-out Plan'!$O$57</f>
        <v>0</v>
      </c>
      <c r="AR998" s="121" t="n">
        <f aca="false">MIN((AR529+AR530)*$C$5,$F$16)*'⑫ Roll-out Plan'!$O$57</f>
        <v>0</v>
      </c>
      <c r="AS998" s="121" t="n">
        <f aca="false">MIN((AS529+AS530)*$C$5,$F$16)*'⑫ Roll-out Plan'!$O$57</f>
        <v>0</v>
      </c>
      <c r="AT998" s="121" t="n">
        <f aca="false">MIN((AT529+AT530)*$C$5,$F$16)*'⑫ Roll-out Plan'!$O$57</f>
        <v>0</v>
      </c>
      <c r="AU998" s="121" t="n">
        <f aca="false">MIN((AU529+AU530)*$C$5,$F$16)*'⑫ Roll-out Plan'!$O$57</f>
        <v>0</v>
      </c>
      <c r="AV998" s="121" t="n">
        <f aca="false">MIN((AV529+AV530)*$C$5,$F$16)*'⑫ Roll-out Plan'!$O$57</f>
        <v>0</v>
      </c>
      <c r="AW998" s="121" t="n">
        <f aca="false">MIN((AW529+AW530)*$C$5,$F$16)*'⑫ Roll-out Plan'!$O$57</f>
        <v>0</v>
      </c>
      <c r="AX998" s="121" t="n">
        <f aca="false">MIN((AX529+AX530)*$C$5,$F$16)*'⑫ Roll-out Plan'!$O$57</f>
        <v>0</v>
      </c>
      <c r="AY998" s="121" t="n">
        <f aca="false">MIN((AY529+AY530)*$C$5,$F$16)*'⑫ Roll-out Plan'!$O$57</f>
        <v>0</v>
      </c>
      <c r="AZ998" s="121" t="n">
        <f aca="false">MIN((AZ529+AZ530)*$C$5,$F$16)*'⑫ Roll-out Plan'!$O$57</f>
        <v>0</v>
      </c>
      <c r="BA998" s="121" t="n">
        <f aca="false">MIN((BA529+BA530)*$C$5,$F$16)*'⑫ Roll-out Plan'!$O$57</f>
        <v>0</v>
      </c>
      <c r="BB998" s="121" t="n">
        <f aca="false">MIN((BB529+BB530)*$C$5,$F$16)*'⑫ Roll-out Plan'!$O$57</f>
        <v>0</v>
      </c>
      <c r="BC998" s="121" t="n">
        <f aca="false">MIN((BC529+BC530)*$C$5,$F$16)*'⑫ Roll-out Plan'!$O$57</f>
        <v>0</v>
      </c>
      <c r="BD998" s="121" t="n">
        <f aca="false">MIN((BD529+BD530)*$C$5,$F$16)*'⑫ Roll-out Plan'!$O$57</f>
        <v>0</v>
      </c>
      <c r="BE998" s="121" t="n">
        <f aca="false">MIN((BE529+BE530)*$C$5,$F$16)*'⑫ Roll-out Plan'!$O$57</f>
        <v>0</v>
      </c>
      <c r="BF998" s="121" t="n">
        <f aca="false">MIN((BF529+BF530)*$C$5,$F$16)*'⑫ Roll-out Plan'!$O$57</f>
        <v>0</v>
      </c>
      <c r="BG998" s="121" t="n">
        <f aca="false">MIN((BG529+BG530)*$C$5,$F$16)*'⑫ Roll-out Plan'!$O$57</f>
        <v>0</v>
      </c>
      <c r="BH998" s="121" t="n">
        <f aca="false">MIN((BH529+BH530)*$C$5,$F$16)*'⑫ Roll-out Plan'!$O$57</f>
        <v>0</v>
      </c>
      <c r="BI998" s="121" t="n">
        <f aca="false">MIN((BI529+BI530)*$C$5,$F$16)*'⑫ Roll-out Plan'!$O$57</f>
        <v>0</v>
      </c>
      <c r="BJ998" s="121" t="n">
        <f aca="false">MIN((BJ529+BJ530)*$C$5,$F$16)*'⑫ Roll-out Plan'!$O$57</f>
        <v>0</v>
      </c>
      <c r="BK998" s="121" t="n">
        <f aca="false">MIN((BK529+BK530)*$C$5,$F$16)*'⑫ Roll-out Plan'!$O$57</f>
        <v>0</v>
      </c>
      <c r="BL998" s="121" t="n">
        <f aca="false">MIN((BL529+BL530)*$C$5,$F$16)*'⑫ Roll-out Plan'!$O$57</f>
        <v>0</v>
      </c>
      <c r="BM998" s="121" t="n">
        <f aca="false">MIN((BM529+BM530)*$C$5,$F$16)*'⑫ Roll-out Plan'!$O$57</f>
        <v>0</v>
      </c>
      <c r="BN998" s="121" t="n">
        <f aca="false">MIN((BN529+BN530)*$C$5,$F$16)*'⑫ Roll-out Plan'!$O$57</f>
        <v>0</v>
      </c>
      <c r="BO998" s="121" t="n">
        <f aca="false">MIN((BO529+BO530)*$C$5,$F$16)*'⑫ Roll-out Plan'!$O$57</f>
        <v>0</v>
      </c>
      <c r="BP998" s="121" t="n">
        <f aca="false">MIN((BP529+BP530)*$C$5,$F$16)*'⑫ Roll-out Plan'!$O$57</f>
        <v>0</v>
      </c>
      <c r="BQ998" s="121" t="n">
        <f aca="false">MIN((BQ529+BQ530)*$C$5,$F$16)*'⑫ Roll-out Plan'!$O$57</f>
        <v>0</v>
      </c>
      <c r="BR998" s="121" t="n">
        <f aca="false">MIN((BR529+BR530)*$C$5,$F$16)*'⑫ Roll-out Plan'!$O$57</f>
        <v>0</v>
      </c>
      <c r="BS998" s="121" t="n">
        <f aca="false">MIN((BS529+BS530)*$C$5,$F$16)*'⑫ Roll-out Plan'!$O$57</f>
        <v>0</v>
      </c>
      <c r="BT998" s="121" t="n">
        <f aca="false">MIN((BT529+BT530)*$C$5,$F$16)*'⑫ Roll-out Plan'!$O$57</f>
        <v>0</v>
      </c>
      <c r="BU998" s="121" t="n">
        <f aca="false">MIN((BU529+BU530)*$C$5,$F$16)*'⑫ Roll-out Plan'!$O$57</f>
        <v>0</v>
      </c>
      <c r="BV998" s="121" t="n">
        <f aca="false">MIN((BV529+BV530)*$C$5,$F$16)*'⑫ Roll-out Plan'!$O$57</f>
        <v>0</v>
      </c>
      <c r="BW998" s="121" t="n">
        <f aca="false">MIN((BW529+BW530)*$C$5,$F$16)*'⑫ Roll-out Plan'!$O$57</f>
        <v>0</v>
      </c>
      <c r="BX998" s="121" t="n">
        <f aca="false">MIN((BX529+BX530)*$C$5,$F$16)*'⑫ Roll-out Plan'!$O$57</f>
        <v>0</v>
      </c>
      <c r="BY998" s="121" t="n">
        <f aca="false">MIN((BY529+BY530)*$C$5,$F$16)*'⑫ Roll-out Plan'!$O$57</f>
        <v>0</v>
      </c>
      <c r="BZ998" s="121" t="n">
        <f aca="false">MIN((BZ529+BZ530)*$C$5,$F$16)*'⑫ Roll-out Plan'!$O$57</f>
        <v>0</v>
      </c>
      <c r="CA998" s="121" t="n">
        <f aca="false">MIN((CA529+CA530)*$C$5,$F$16)*'⑫ Roll-out Plan'!$O$57</f>
        <v>0</v>
      </c>
      <c r="CB998" s="121" t="n">
        <f aca="false">MIN((CB529+CB530)*$C$5,$F$16)*'⑫ Roll-out Plan'!$O$57</f>
        <v>0</v>
      </c>
      <c r="CC998" s="121" t="n">
        <f aca="false">MIN((CC529+CC530)*$C$5,$F$16)*'⑫ Roll-out Plan'!$O$57</f>
        <v>0</v>
      </c>
      <c r="CD998" s="121" t="n">
        <f aca="false">MIN((CD529+CD530)*$C$5,$F$16)*'⑫ Roll-out Plan'!$O$57</f>
        <v>0</v>
      </c>
      <c r="CE998" s="121" t="n">
        <f aca="false">MIN((CE529+CE530)*$C$5,$F$16)*'⑫ Roll-out Plan'!$O$57</f>
        <v>0</v>
      </c>
      <c r="CF998" s="121" t="n">
        <f aca="false">MIN((CF529+CF530)*$C$5,$F$16)*'⑫ Roll-out Plan'!$O$57</f>
        <v>0</v>
      </c>
      <c r="CG998" s="121" t="n">
        <f aca="false">MIN((CG529+CG530)*$C$5,$F$16)*'⑫ Roll-out Plan'!$O$57</f>
        <v>0</v>
      </c>
      <c r="CH998" s="121" t="n">
        <f aca="false">MIN((CH529+CH530)*$C$5,$F$16)*'⑫ Roll-out Plan'!$O$57</f>
        <v>0</v>
      </c>
      <c r="CI998" s="121" t="n">
        <f aca="false">MIN((CI529+CI530)*$C$5,$F$16)*'⑫ Roll-out Plan'!$O$57</f>
        <v>0</v>
      </c>
      <c r="CJ998" s="121" t="n">
        <f aca="false">MIN((CJ529+CJ530)*$C$5,$F$16)*'⑫ Roll-out Plan'!$O$57</f>
        <v>0</v>
      </c>
      <c r="CK998" s="121" t="n">
        <f aca="false">MIN((CK529+CK530)*$C$5,$F$16)*'⑫ Roll-out Plan'!$O$57</f>
        <v>0</v>
      </c>
      <c r="CL998" s="121" t="n">
        <f aca="false">MIN((CL529+CL530)*$C$5,$F$16)*'⑫ Roll-out Plan'!$O$57</f>
        <v>0</v>
      </c>
      <c r="CM998" s="121" t="n">
        <f aca="false">MIN((CM529+CM530)*$C$5,$F$16)*'⑫ Roll-out Plan'!$O$57</f>
        <v>0</v>
      </c>
      <c r="CN998" s="121" t="n">
        <f aca="false">MIN((CN529+CN530)*$C$5,$F$16)*'⑫ Roll-out Plan'!$O$57</f>
        <v>0</v>
      </c>
      <c r="CO998" s="121" t="n">
        <f aca="false">MIN((CO529+CO530)*$C$5,$F$16)*'⑫ Roll-out Plan'!$O$57</f>
        <v>0</v>
      </c>
      <c r="CP998" s="121" t="n">
        <f aca="false">MIN((CP529+CP530)*$C$5,$F$16)*'⑫ Roll-out Plan'!$O$57</f>
        <v>0</v>
      </c>
      <c r="CQ998" s="121" t="n">
        <f aca="false">MIN((CQ529+CQ530)*$C$5,$F$16)*'⑫ Roll-out Plan'!$O$57</f>
        <v>0</v>
      </c>
      <c r="CR998" s="121" t="n">
        <f aca="false">MIN((CR529+CR530)*$C$5,$F$16)*'⑫ Roll-out Plan'!$O$57</f>
        <v>0</v>
      </c>
      <c r="CS998" s="121" t="n">
        <f aca="false">MIN((CS529+CS530)*$C$5,$F$16)*'⑫ Roll-out Plan'!$O$57</f>
        <v>0</v>
      </c>
      <c r="CT998" s="121" t="n">
        <f aca="false">MIN((CT529+CT530)*$C$5,$F$16)*'⑫ Roll-out Plan'!$O$57</f>
        <v>0</v>
      </c>
      <c r="CU998" s="121" t="n">
        <f aca="false">MIN((CU529+CU530)*$C$5,$F$16)*'⑫ Roll-out Plan'!$O$57</f>
        <v>0</v>
      </c>
      <c r="CV998" s="121" t="n">
        <f aca="false">MIN((CV529+CV530)*$C$5,$F$16)*'⑫ Roll-out Plan'!$O$57</f>
        <v>0</v>
      </c>
      <c r="CW998" s="121" t="n">
        <f aca="false">MIN((CW529+CW530)*$C$5,$F$16)*'⑫ Roll-out Plan'!$O$57</f>
        <v>0</v>
      </c>
      <c r="CX998" s="121" t="n">
        <f aca="false">MIN((CX529+CX530)*$C$5,$F$16)*'⑫ Roll-out Plan'!$O$57</f>
        <v>0</v>
      </c>
      <c r="CY998" s="121" t="n">
        <f aca="false">MIN((CY529+CY530)*$C$5,$F$16)*'⑫ Roll-out Plan'!$O$57</f>
        <v>0</v>
      </c>
      <c r="CZ998" s="121" t="n">
        <f aca="false">MIN((CZ529+CZ530)*$C$5,$F$16)*'⑫ Roll-out Plan'!$O$57</f>
        <v>0</v>
      </c>
      <c r="DA998" s="121" t="n">
        <f aca="false">MIN((DA529+DA530)*$C$5,$F$16)*'⑫ Roll-out Plan'!$O$57</f>
        <v>0</v>
      </c>
      <c r="DB998" s="121" t="n">
        <f aca="false">MIN((DB529+DB530)*$C$5,$F$16)*'⑫ Roll-out Plan'!$O$57</f>
        <v>0</v>
      </c>
      <c r="DC998" s="121" t="n">
        <f aca="false">MIN((DC529+DC530)*$C$5,$F$16)*'⑫ Roll-out Plan'!$O$57</f>
        <v>0</v>
      </c>
      <c r="DD998" s="121" t="n">
        <f aca="false">MIN((DD529+DD530)*$C$5,$F$16)*'⑫ Roll-out Plan'!$O$57</f>
        <v>0</v>
      </c>
      <c r="DE998" s="121" t="n">
        <f aca="false">MIN((DE529+DE530)*$C$5,$F$16)*'⑫ Roll-out Plan'!$O$57</f>
        <v>0</v>
      </c>
      <c r="DF998" s="121" t="n">
        <f aca="false">MIN((DF529+DF530)*$C$5,$F$16)*'⑫ Roll-out Plan'!$O$57</f>
        <v>0</v>
      </c>
      <c r="DG998" s="121" t="n">
        <f aca="false">MIN((DG529+DG530)*$C$5,$F$16)*'⑫ Roll-out Plan'!$O$57</f>
        <v>0</v>
      </c>
      <c r="DH998" s="121" t="n">
        <f aca="false">MIN((DH529+DH530)*$C$5,$F$16)*'⑫ Roll-out Plan'!$O$57</f>
        <v>0</v>
      </c>
      <c r="DI998" s="121" t="n">
        <f aca="false">MIN((DI529+DI530)*$C$5,$F$16)*'⑫ Roll-out Plan'!$O$57</f>
        <v>0</v>
      </c>
      <c r="DJ998" s="121" t="n">
        <f aca="false">MIN((DJ529+DJ530)*$C$5,$F$16)*'⑫ Roll-out Plan'!$O$57</f>
        <v>0</v>
      </c>
      <c r="DK998" s="121" t="n">
        <f aca="false">MIN((DK529+DK530)*$C$5,$F$16)*'⑫ Roll-out Plan'!$O$57</f>
        <v>0</v>
      </c>
      <c r="DL998" s="121" t="n">
        <f aca="false">MIN((DL529+DL530)*$C$5,$F$16)*'⑫ Roll-out Plan'!$O$57</f>
        <v>0</v>
      </c>
      <c r="DM998" s="121" t="n">
        <f aca="false">MIN((DM529+DM530)*$C$5,$F$16)*'⑫ Roll-out Plan'!$O$57</f>
        <v>0</v>
      </c>
      <c r="DN998" s="121" t="n">
        <f aca="false">MIN((DN529+DN530)*$C$5,$F$16)*'⑫ Roll-out Plan'!$O$57</f>
        <v>0</v>
      </c>
      <c r="DO998" s="121" t="n">
        <f aca="false">MIN((DO529+DO530)*$C$5,$F$16)*'⑫ Roll-out Plan'!$O$57</f>
        <v>0</v>
      </c>
      <c r="DP998" s="121" t="n">
        <f aca="false">MIN((DP529+DP530)*$C$5,$F$16)*'⑫ Roll-out Plan'!$O$57</f>
        <v>0</v>
      </c>
      <c r="DQ998" s="121" t="n">
        <f aca="false">MIN((DQ529+DQ530)*$C$5,$F$16)*'⑫ Roll-out Plan'!$O$57</f>
        <v>0</v>
      </c>
      <c r="DR998" s="121" t="n">
        <f aca="false">MIN((DR529+DR530)*$C$5,$F$16)*'⑫ Roll-out Plan'!$O$57</f>
        <v>0</v>
      </c>
      <c r="DS998" s="121" t="n">
        <f aca="false">MIN((DS529+DS530)*$C$5,$F$16)*'⑫ Roll-out Plan'!$O$57</f>
        <v>0</v>
      </c>
      <c r="DT998" s="121" t="n">
        <f aca="false">MIN((DT529+DT530)*$C$5,$F$16)*'⑫ Roll-out Plan'!$O$57</f>
        <v>0</v>
      </c>
      <c r="DU998" s="121" t="n">
        <f aca="false">MIN((DU529+DU530)*$C$5,$F$16)*'⑫ Roll-out Plan'!$O$57</f>
        <v>0</v>
      </c>
      <c r="DV998" s="121" t="n">
        <f aca="false">MIN((DV529+DV530)*$C$5,$F$16)*'⑫ Roll-out Plan'!$O$57</f>
        <v>0</v>
      </c>
      <c r="DW998" s="121" t="n">
        <f aca="false">MIN((DW529+DW530)*$C$5,$F$16)*'⑫ Roll-out Plan'!$O$57</f>
        <v>0</v>
      </c>
      <c r="DX998" s="121" t="n">
        <f aca="false">MIN((DX529+DX530)*$C$5,$F$16)*'⑫ Roll-out Plan'!$O$57</f>
        <v>0</v>
      </c>
      <c r="DY998" s="121" t="n">
        <f aca="false">MIN((DY529+DY530)*$C$5,$F$16)*'⑫ Roll-out Plan'!$O$57</f>
        <v>0</v>
      </c>
      <c r="DZ998" s="121" t="n">
        <f aca="false">MIN((DZ529+DZ530)*$C$5,$F$16)*'⑫ Roll-out Plan'!$O$57</f>
        <v>0</v>
      </c>
      <c r="EA998" s="121" t="n">
        <f aca="false">MIN((EA529+EA530)*$C$5,$F$16)*'⑫ Roll-out Plan'!$O$57</f>
        <v>0</v>
      </c>
      <c r="EB998" s="121" t="n">
        <f aca="false">MIN((EB529+EB530)*$C$5,$F$16)*'⑫ Roll-out Plan'!$O$57</f>
        <v>0</v>
      </c>
      <c r="EC998" s="121" t="n">
        <f aca="false">MIN((EC529+EC530)*$C$5,$F$16)*'⑫ Roll-out Plan'!$O$57</f>
        <v>0</v>
      </c>
      <c r="ED998" s="121" t="n">
        <f aca="false">MIN((ED529+ED530)*$C$5,$F$16)*'⑫ Roll-out Plan'!$O$57</f>
        <v>0</v>
      </c>
      <c r="EE998" s="121" t="n">
        <f aca="false">MIN((EE529+EE530)*$C$5,$F$16)*'⑫ Roll-out Plan'!$O$57</f>
        <v>0</v>
      </c>
      <c r="EF998" s="121" t="n">
        <f aca="false">MIN((EF529+EF530)*$C$5,$F$16)*'⑫ Roll-out Plan'!$O$57</f>
        <v>0</v>
      </c>
      <c r="EG998" s="121" t="n">
        <f aca="false">MIN((EG529+EG530)*$C$5,$F$16)*'⑫ Roll-out Plan'!$O$57</f>
        <v>0</v>
      </c>
      <c r="EH998" s="121" t="n">
        <f aca="false">MIN((EH529+EH530)*$C$5,$F$16)*'⑫ Roll-out Plan'!$O$57</f>
        <v>0</v>
      </c>
      <c r="EI998" s="121" t="n">
        <f aca="false">MIN((EI529+EI530)*$C$5,$F$16)*'⑫ Roll-out Plan'!$O$57</f>
        <v>0</v>
      </c>
      <c r="EJ998" s="121" t="n">
        <f aca="false">MIN((EJ529+EJ530)*$C$5,$F$16)*'⑫ Roll-out Plan'!$O$57</f>
        <v>3170.2</v>
      </c>
      <c r="EK998" s="121" t="n">
        <f aca="false">MIN((EK529+EK530)*$C$5,$F$16)*'⑫ Roll-out Plan'!$O$57</f>
        <v>3322.3696</v>
      </c>
      <c r="EL998" s="121" t="n">
        <f aca="false">MIN((EL529+EL530)*$C$5,$F$16)*'⑫ Roll-out Plan'!$O$57</f>
        <v>3195.838272</v>
      </c>
      <c r="EM998" s="121" t="n">
        <f aca="false">MIN((EM529+EM530)*$C$5,$F$16)*'⑫ Roll-out Plan'!$O$57</f>
        <v>3744.6725184</v>
      </c>
      <c r="EN998" s="121" t="n">
        <f aca="false">MIN((EN529+EN530)*$C$5,$F$16)*'⑫ Roll-out Plan'!$O$57</f>
        <v>6097.7263776</v>
      </c>
      <c r="EO998" s="121" t="n">
        <f aca="false">MIN((EO529+EO530)*$C$5,$F$16)*'⑫ Roll-out Plan'!$O$57</f>
        <v>6076.270464</v>
      </c>
      <c r="EP998" s="121" t="n">
        <f aca="false">MIN((EP529+EP530)*$C$5,$F$16)*'⑫ Roll-out Plan'!$O$57</f>
        <v>5754.108976</v>
      </c>
      <c r="EQ998" s="121" t="n">
        <f aca="false">MIN((EQ529+EQ530)*$C$5,$F$16)*'⑫ Roll-out Plan'!$O$57</f>
        <v>5014.1451008</v>
      </c>
      <c r="ER998" s="121" t="n">
        <f aca="false">MIN((ER529+ER530)*$C$5,$F$16)*'⑫ Roll-out Plan'!$O$57</f>
        <v>7363.6806144</v>
      </c>
      <c r="ES998" s="9" t="n">
        <f aca="false">MIN((ES529+ES530)*$C$5,$F$16)*'⑫ Roll-out Plan'!$O$57</f>
        <v>8078.8592896</v>
      </c>
      <c r="ET998" s="9" t="n">
        <f aca="false">MIN((ET529+ET530)*$C$5,$F$16)*'⑫ Roll-out Plan'!$O$57</f>
        <v>7040.3386592</v>
      </c>
      <c r="EU998" s="9" t="n">
        <f aca="false">MIN((EU529+EU530)*$C$5,$F$16)*'⑫ Roll-out Plan'!$O$57</f>
        <v>9998.7508544</v>
      </c>
      <c r="EV998" s="9" t="n">
        <f aca="false">MIN((EV529+EV530)*$C$5,$F$16)*'⑫ Roll-out Plan'!$O$57</f>
        <v>10672.2857824</v>
      </c>
      <c r="EW998" s="9" t="n">
        <f aca="false">MIN((EW529+EW530)*$C$5,$F$16)*'⑫ Roll-out Plan'!$O$57</f>
        <v>9952.3806272</v>
      </c>
      <c r="EX998" s="9" t="n">
        <f aca="false">MIN((EX529+EX530)*$C$5,$F$16)*'⑫ Roll-out Plan'!$O$57</f>
        <v>8914.1090016</v>
      </c>
      <c r="EY998" s="9" t="n">
        <f aca="false">MIN((EY529+EY530)*$C$5,$F$16)*'⑫ Roll-out Plan'!$O$57</f>
        <v>11106.397984</v>
      </c>
      <c r="EZ998" s="9" t="n">
        <f aca="false">MIN((EZ529+EZ530)*$C$5,$F$16)*'⑫ Roll-out Plan'!$O$57</f>
        <v>18537.1577248</v>
      </c>
      <c r="FA998" s="9" t="n">
        <f aca="false">MIN((FA529+FA530)*$C$5,$F$16)*'⑫ Roll-out Plan'!$O$57</f>
        <v>17251.59528224</v>
      </c>
      <c r="FB998" s="9" t="n">
        <f aca="false">MIN((FB529+FB530)*$C$5,$F$16)*'⑫ Roll-out Plan'!$O$57</f>
        <v>15227.9946016</v>
      </c>
      <c r="FC998" s="9" t="n">
        <f aca="false">MIN((FC529+FC530)*$C$5,$F$16)*'⑫ Roll-out Plan'!$O$57</f>
        <v>12242.88263616</v>
      </c>
      <c r="FD998" s="9" t="n">
        <f aca="false">MIN((FD529+FD530)*$C$5,$F$16)*'⑫ Roll-out Plan'!$O$57</f>
        <v>16059.2890568</v>
      </c>
      <c r="FE998" s="9" t="n">
        <f aca="false">MIN((FE529+FE530)*$C$5,$F$16)*'⑫ Roll-out Plan'!$O$57</f>
        <v>17929.75535912</v>
      </c>
      <c r="FF998" s="9" t="n">
        <f aca="false">MIN((FF529+FF530)*$C$5,$F$16)*'⑫ Roll-out Plan'!$O$57</f>
        <v>15160.11116664</v>
      </c>
      <c r="FG998" s="9" t="n">
        <f aca="false">MIN((FG529+FG530)*$C$5,$F$16)*'⑫ Roll-out Plan'!$O$57</f>
        <v>20040.66611448</v>
      </c>
      <c r="FH998" s="9" t="n">
        <f aca="false">MIN((FH529+FH530)*$C$5,$F$16)*'⑫ Roll-out Plan'!$O$57</f>
        <v>20073.3323164</v>
      </c>
      <c r="FI998" s="9" t="n">
        <f aca="false">MIN((FI529+FI530)*$C$5,$F$16)*'⑫ Roll-out Plan'!$O$57</f>
        <v>17979.96879096</v>
      </c>
      <c r="FJ998" s="9" t="n">
        <f aca="false">MIN((FJ529+FJ530)*$C$5,$F$16)*'⑫ Roll-out Plan'!$O$57</f>
        <v>16607.62310328</v>
      </c>
      <c r="FK998" s="9" t="n">
        <f aca="false">MIN((FK529+FK530)*$C$5,$F$16)*'⑫ Roll-out Plan'!$O$57</f>
        <v>17486.8110956</v>
      </c>
      <c r="FL998" s="9" t="n">
        <f aca="false">MIN((FL529+FL530)*$C$5,$F$16)*'⑫ Roll-out Plan'!$O$57</f>
        <v>23000</v>
      </c>
      <c r="FM998" s="9" t="n">
        <f aca="false">MIN((FM529+FM530)*$C$5,$F$16)*'⑫ Roll-out Plan'!$O$57</f>
        <v>23000</v>
      </c>
      <c r="FN998" s="9" t="n">
        <f aca="false">MIN((FN529+FN530)*$C$5,$F$16)*'⑫ Roll-out Plan'!$O$57</f>
        <v>21522.27234168</v>
      </c>
      <c r="FO998" s="9" t="n">
        <f aca="false">MIN((FO529+FO530)*$C$5,$F$16)*'⑫ Roll-out Plan'!$O$57</f>
        <v>18095.80029048</v>
      </c>
      <c r="FP998" s="9" t="n">
        <f aca="false">MIN((FP529+FP530)*$C$5,$F$16)*'⑫ Roll-out Plan'!$O$57</f>
        <v>22628.33091288</v>
      </c>
    </row>
    <row r="999" customFormat="false" ht="15" hidden="false" customHeight="false" outlineLevel="0" collapsed="false">
      <c r="B999" s="36" t="s">
        <v>926</v>
      </c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40" t="n">
        <f aca="false">MIN((AC539+AC540)*$C$5,$F$14)*'⑫ Roll-out Plan'!$O$58</f>
        <v>0</v>
      </c>
      <c r="AD999" s="40" t="n">
        <f aca="false">MIN((AD539+AD540)*$C$5,$F$14)*'⑫ Roll-out Plan'!$O$58</f>
        <v>0</v>
      </c>
      <c r="AE999" s="40" t="n">
        <f aca="false">MIN((AE539+AE540)*$C$5,$F$14)*'⑫ Roll-out Plan'!$O$58</f>
        <v>0</v>
      </c>
      <c r="AF999" s="40" t="n">
        <f aca="false">MIN((AF539+AF540)*$C$5,$F$14)*'⑫ Roll-out Plan'!$O$58</f>
        <v>0</v>
      </c>
      <c r="AG999" s="40" t="n">
        <f aca="false">MIN((AG539+AG540)*$C$5,$F$14)*'⑫ Roll-out Plan'!$O$58</f>
        <v>0</v>
      </c>
      <c r="AH999" s="40" t="n">
        <f aca="false">MIN((AH539+AH540)*$C$5,$F$14)*'⑫ Roll-out Plan'!$O$58</f>
        <v>0</v>
      </c>
      <c r="AI999" s="40" t="n">
        <f aca="false">MIN((AI539+AI540)*$C$5,$F$14)*'⑫ Roll-out Plan'!$O$58</f>
        <v>0</v>
      </c>
      <c r="AJ999" s="40" t="n">
        <f aca="false">MIN((AJ539+AJ540)*$C$5,$F$14)*'⑫ Roll-out Plan'!$O$58</f>
        <v>0</v>
      </c>
      <c r="AK999" s="40" t="n">
        <f aca="false">MIN((AK539+AK540)*$C$5,$F$14)*'⑫ Roll-out Plan'!$O$58</f>
        <v>0</v>
      </c>
      <c r="AL999" s="40" t="n">
        <f aca="false">MIN((AL539+AL540)*$C$5,$F$14)*'⑫ Roll-out Plan'!$O$58</f>
        <v>0</v>
      </c>
      <c r="AM999" s="40" t="n">
        <f aca="false">MIN((AM539+AM540)*$C$5,$F$14)*'⑫ Roll-out Plan'!$O$58</f>
        <v>0</v>
      </c>
      <c r="AN999" s="40" t="n">
        <f aca="false">MIN((AN539+AN540)*$C$5,$F$14)*'⑫ Roll-out Plan'!$O$58</f>
        <v>0</v>
      </c>
      <c r="AO999" s="40" t="n">
        <f aca="false">MIN((AO539+AO540)*$C$5,$F$14)*'⑫ Roll-out Plan'!$O$58</f>
        <v>0</v>
      </c>
      <c r="AP999" s="40" t="n">
        <f aca="false">MIN((AP539+AP540)*$C$5,$F$14)*'⑫ Roll-out Plan'!$O$58</f>
        <v>0</v>
      </c>
      <c r="AQ999" s="40" t="n">
        <f aca="false">MIN((AQ539+AQ540)*$C$5,$F$14)*'⑫ Roll-out Plan'!$O$58</f>
        <v>0</v>
      </c>
      <c r="AR999" s="40" t="n">
        <f aca="false">MIN((AR539+AR540)*$C$5,$F$14)*'⑫ Roll-out Plan'!$O$58</f>
        <v>0</v>
      </c>
      <c r="AS999" s="40" t="n">
        <f aca="false">MIN((AS539+AS540)*$C$5,$F$14)*'⑫ Roll-out Plan'!$O$58</f>
        <v>0</v>
      </c>
      <c r="AT999" s="40" t="n">
        <f aca="false">MIN((AT539+AT540)*$C$5,$F$14)*'⑫ Roll-out Plan'!$O$58</f>
        <v>0</v>
      </c>
      <c r="AU999" s="40" t="n">
        <f aca="false">MIN((AU539+AU540)*$C$5,$F$14)*'⑫ Roll-out Plan'!$O$58</f>
        <v>0</v>
      </c>
      <c r="AV999" s="40" t="n">
        <f aca="false">MIN((AV539+AV540)*$C$5,$F$14)*'⑫ Roll-out Plan'!$O$58</f>
        <v>0</v>
      </c>
      <c r="AW999" s="40" t="n">
        <f aca="false">MIN((AW539+AW540)*$C$5,$F$14)*'⑫ Roll-out Plan'!$O$58</f>
        <v>0</v>
      </c>
      <c r="AX999" s="40" t="n">
        <f aca="false">MIN((AX539+AX540)*$C$5,$F$14)*'⑫ Roll-out Plan'!$O$58</f>
        <v>0</v>
      </c>
      <c r="AY999" s="40" t="n">
        <f aca="false">MIN((AY539+AY540)*$C$5,$F$14)*'⑫ Roll-out Plan'!$O$58</f>
        <v>0</v>
      </c>
      <c r="AZ999" s="40" t="n">
        <f aca="false">MIN((AZ539+AZ540)*$C$5,$F$14)*'⑫ Roll-out Plan'!$O$58</f>
        <v>0</v>
      </c>
      <c r="BA999" s="40" t="n">
        <f aca="false">MIN((BA539+BA540)*$C$5,$F$14)*'⑫ Roll-out Plan'!$O$58</f>
        <v>0</v>
      </c>
      <c r="BB999" s="40" t="n">
        <f aca="false">MIN((BB539+BB540)*$C$5,$F$14)*'⑫ Roll-out Plan'!$O$58</f>
        <v>0</v>
      </c>
      <c r="BC999" s="40" t="n">
        <f aca="false">MIN((BC539+BC540)*$C$5,$F$14)*'⑫ Roll-out Plan'!$O$58</f>
        <v>0</v>
      </c>
      <c r="BD999" s="40" t="n">
        <f aca="false">MIN((BD539+BD540)*$C$5,$F$14)*'⑫ Roll-out Plan'!$O$58</f>
        <v>0</v>
      </c>
      <c r="BE999" s="40" t="n">
        <f aca="false">MIN((BE539+BE540)*$C$5,$F$14)*'⑫ Roll-out Plan'!$O$58</f>
        <v>0</v>
      </c>
      <c r="BF999" s="40" t="n">
        <f aca="false">MIN((BF539+BF540)*$C$5,$F$14)*'⑫ Roll-out Plan'!$O$58</f>
        <v>0</v>
      </c>
      <c r="BG999" s="40" t="n">
        <f aca="false">MIN((BG539+BG540)*$C$5,$F$14)*'⑫ Roll-out Plan'!$O$58</f>
        <v>0</v>
      </c>
      <c r="BH999" s="40" t="n">
        <f aca="false">MIN((BH539+BH540)*$C$5,$F$14)*'⑫ Roll-out Plan'!$O$58</f>
        <v>0</v>
      </c>
      <c r="BI999" s="40" t="n">
        <f aca="false">MIN((BI539+BI540)*$C$5,$F$14)*'⑫ Roll-out Plan'!$O$58</f>
        <v>0</v>
      </c>
      <c r="BJ999" s="40" t="n">
        <f aca="false">MIN((BJ539+BJ540)*$C$5,$F$14)*'⑫ Roll-out Plan'!$O$58</f>
        <v>0</v>
      </c>
      <c r="BK999" s="40" t="n">
        <f aca="false">MIN((BK539+BK540)*$C$5,$F$14)*'⑫ Roll-out Plan'!$O$58</f>
        <v>0</v>
      </c>
      <c r="BL999" s="40" t="n">
        <f aca="false">MIN((BL539+BL540)*$C$5,$F$14)*'⑫ Roll-out Plan'!$O$58</f>
        <v>0</v>
      </c>
      <c r="BM999" s="40" t="n">
        <f aca="false">MIN((BM539+BM540)*$C$5,$F$14)*'⑫ Roll-out Plan'!$O$58</f>
        <v>0</v>
      </c>
      <c r="BN999" s="40" t="n">
        <f aca="false">MIN((BN539+BN540)*$C$5,$F$14)*'⑫ Roll-out Plan'!$O$58</f>
        <v>0</v>
      </c>
      <c r="BO999" s="40" t="n">
        <f aca="false">MIN((BO539+BO540)*$C$5,$F$14)*'⑫ Roll-out Plan'!$O$58</f>
        <v>0</v>
      </c>
      <c r="BP999" s="40" t="n">
        <f aca="false">MIN((BP539+BP540)*$C$5,$F$14)*'⑫ Roll-out Plan'!$O$58</f>
        <v>0</v>
      </c>
      <c r="BQ999" s="40" t="n">
        <f aca="false">MIN((BQ539+BQ540)*$C$5,$F$14)*'⑫ Roll-out Plan'!$O$58</f>
        <v>0</v>
      </c>
      <c r="BR999" s="40" t="n">
        <f aca="false">MIN((BR539+BR540)*$C$5,$F$14)*'⑫ Roll-out Plan'!$O$58</f>
        <v>0</v>
      </c>
      <c r="BS999" s="40" t="n">
        <f aca="false">MIN((BS539+BS540)*$C$5,$F$14)*'⑫ Roll-out Plan'!$O$58</f>
        <v>0</v>
      </c>
      <c r="BT999" s="40" t="n">
        <f aca="false">MIN((BT539+BT540)*$C$5,$F$14)*'⑫ Roll-out Plan'!$O$58</f>
        <v>0</v>
      </c>
      <c r="BU999" s="40" t="n">
        <f aca="false">MIN((BU539+BU540)*$C$5,$F$14)*'⑫ Roll-out Plan'!$O$58</f>
        <v>0</v>
      </c>
      <c r="BV999" s="40" t="n">
        <f aca="false">MIN((BV539+BV540)*$C$5,$F$14)*'⑫ Roll-out Plan'!$O$58</f>
        <v>0</v>
      </c>
      <c r="BW999" s="40" t="n">
        <f aca="false">MIN((BW539+BW540)*$C$5,$F$14)*'⑫ Roll-out Plan'!$O$58</f>
        <v>0</v>
      </c>
      <c r="BX999" s="40" t="n">
        <f aca="false">MIN((BX539+BX540)*$C$5,$F$14)*'⑫ Roll-out Plan'!$O$58</f>
        <v>0</v>
      </c>
      <c r="BY999" s="40" t="n">
        <f aca="false">MIN((BY539+BY540)*$C$5,$F$14)*'⑫ Roll-out Plan'!$O$58</f>
        <v>0</v>
      </c>
      <c r="BZ999" s="40" t="n">
        <f aca="false">MIN((BZ539+BZ540)*$C$5,$F$14)*'⑫ Roll-out Plan'!$O$58</f>
        <v>0</v>
      </c>
      <c r="CA999" s="40" t="n">
        <f aca="false">MIN((CA539+CA540)*$C$5,$F$14)*'⑫ Roll-out Plan'!$O$58</f>
        <v>0</v>
      </c>
      <c r="CB999" s="40" t="n">
        <f aca="false">MIN((CB539+CB540)*$C$5,$F$14)*'⑫ Roll-out Plan'!$O$58</f>
        <v>0</v>
      </c>
      <c r="CC999" s="40" t="n">
        <f aca="false">MIN((CC539+CC540)*$C$5,$F$14)*'⑫ Roll-out Plan'!$O$58</f>
        <v>0</v>
      </c>
      <c r="CD999" s="40" t="n">
        <f aca="false">MIN((CD539+CD540)*$C$5,$F$14)*'⑫ Roll-out Plan'!$O$58</f>
        <v>0</v>
      </c>
      <c r="CE999" s="40" t="n">
        <f aca="false">MIN((CE539+CE540)*$C$5,$F$14)*'⑫ Roll-out Plan'!$O$58</f>
        <v>0</v>
      </c>
      <c r="CF999" s="40" t="n">
        <f aca="false">MIN((CF539+CF540)*$C$5,$F$14)*'⑫ Roll-out Plan'!$O$58</f>
        <v>0</v>
      </c>
      <c r="CG999" s="40" t="n">
        <f aca="false">MIN((CG539+CG540)*$C$5,$F$14)*'⑫ Roll-out Plan'!$O$58</f>
        <v>0</v>
      </c>
      <c r="CH999" s="40" t="n">
        <f aca="false">MIN((CH539+CH540)*$C$5,$F$14)*'⑫ Roll-out Plan'!$O$58</f>
        <v>0</v>
      </c>
      <c r="CI999" s="40" t="n">
        <f aca="false">MIN((CI539+CI540)*$C$5,$F$14)*'⑫ Roll-out Plan'!$O$58</f>
        <v>0</v>
      </c>
      <c r="CJ999" s="40" t="n">
        <f aca="false">MIN((CJ539+CJ540)*$C$5,$F$14)*'⑫ Roll-out Plan'!$O$58</f>
        <v>0</v>
      </c>
      <c r="CK999" s="40" t="n">
        <f aca="false">MIN((CK539+CK540)*$C$5,$F$14)*'⑫ Roll-out Plan'!$O$58</f>
        <v>0</v>
      </c>
      <c r="CL999" s="40" t="n">
        <f aca="false">MIN((CL539+CL540)*$C$5,$F$14)*'⑫ Roll-out Plan'!$O$58</f>
        <v>0</v>
      </c>
      <c r="CM999" s="40" t="n">
        <f aca="false">MIN((CM539+CM540)*$C$5,$F$14)*'⑫ Roll-out Plan'!$O$58</f>
        <v>0</v>
      </c>
      <c r="CN999" s="40" t="n">
        <f aca="false">MIN((CN539+CN540)*$C$5,$F$14)*'⑫ Roll-out Plan'!$O$58</f>
        <v>0</v>
      </c>
      <c r="CO999" s="40" t="n">
        <f aca="false">MIN((CO539+CO540)*$C$5,$F$14)*'⑫ Roll-out Plan'!$O$58</f>
        <v>0</v>
      </c>
      <c r="CP999" s="40" t="n">
        <f aca="false">MIN((CP539+CP540)*$C$5,$F$14)*'⑫ Roll-out Plan'!$O$58</f>
        <v>0</v>
      </c>
      <c r="CQ999" s="40" t="n">
        <f aca="false">MIN((CQ539+CQ540)*$C$5,$F$14)*'⑫ Roll-out Plan'!$O$58</f>
        <v>0</v>
      </c>
      <c r="CR999" s="40" t="n">
        <f aca="false">MIN((CR539+CR540)*$C$5,$F$14)*'⑫ Roll-out Plan'!$O$58</f>
        <v>0</v>
      </c>
      <c r="CS999" s="40" t="n">
        <f aca="false">MIN((CS539+CS540)*$C$5,$F$14)*'⑫ Roll-out Plan'!$O$58</f>
        <v>0</v>
      </c>
      <c r="CT999" s="40" t="n">
        <f aca="false">MIN((CT539+CT540)*$C$5,$F$14)*'⑫ Roll-out Plan'!$O$58</f>
        <v>0</v>
      </c>
      <c r="CU999" s="40" t="n">
        <f aca="false">MIN((CU539+CU540)*$C$5,$F$14)*'⑫ Roll-out Plan'!$O$58</f>
        <v>0</v>
      </c>
      <c r="CV999" s="40" t="n">
        <f aca="false">MIN((CV539+CV540)*$C$5,$F$14)*'⑫ Roll-out Plan'!$O$58</f>
        <v>0</v>
      </c>
      <c r="CW999" s="40" t="n">
        <f aca="false">MIN((CW539+CW540)*$C$5,$F$14)*'⑫ Roll-out Plan'!$O$58</f>
        <v>0</v>
      </c>
      <c r="CX999" s="40" t="n">
        <f aca="false">MIN((CX539+CX540)*$C$5,$F$14)*'⑫ Roll-out Plan'!$O$58</f>
        <v>0</v>
      </c>
      <c r="CY999" s="40" t="n">
        <f aca="false">MIN((CY539+CY540)*$C$5,$F$14)*'⑫ Roll-out Plan'!$O$58</f>
        <v>0</v>
      </c>
      <c r="CZ999" s="40" t="n">
        <f aca="false">MIN((CZ539+CZ540)*$C$5,$F$14)*'⑫ Roll-out Plan'!$O$58</f>
        <v>0</v>
      </c>
      <c r="DA999" s="40" t="n">
        <f aca="false">MIN((DA539+DA540)*$C$5,$F$14)*'⑫ Roll-out Plan'!$O$58</f>
        <v>0</v>
      </c>
      <c r="DB999" s="40" t="n">
        <f aca="false">MIN((DB539+DB540)*$C$5,$F$14)*'⑫ Roll-out Plan'!$O$58</f>
        <v>0</v>
      </c>
      <c r="DC999" s="40" t="n">
        <f aca="false">MIN((DC539+DC540)*$C$5,$F$14)*'⑫ Roll-out Plan'!$O$58</f>
        <v>0</v>
      </c>
      <c r="DD999" s="40" t="n">
        <f aca="false">MIN((DD539+DD540)*$C$5,$F$14)*'⑫ Roll-out Plan'!$O$58</f>
        <v>0</v>
      </c>
      <c r="DE999" s="40" t="n">
        <f aca="false">MIN((DE539+DE540)*$C$5,$F$14)*'⑫ Roll-out Plan'!$O$58</f>
        <v>0</v>
      </c>
      <c r="DF999" s="40" t="n">
        <f aca="false">MIN((DF539+DF540)*$C$5,$F$14)*'⑫ Roll-out Plan'!$O$58</f>
        <v>0</v>
      </c>
      <c r="DG999" s="40" t="n">
        <f aca="false">MIN((DG539+DG540)*$C$5,$F$14)*'⑫ Roll-out Plan'!$O$58</f>
        <v>0</v>
      </c>
      <c r="DH999" s="40" t="n">
        <f aca="false">MIN((DH539+DH540)*$C$5,$F$14)*'⑫ Roll-out Plan'!$O$58</f>
        <v>0</v>
      </c>
      <c r="DI999" s="40" t="n">
        <f aca="false">MIN((DI539+DI540)*$C$5,$F$14)*'⑫ Roll-out Plan'!$O$58</f>
        <v>0</v>
      </c>
      <c r="DJ999" s="40" t="n">
        <f aca="false">MIN((DJ539+DJ540)*$C$5,$F$14)*'⑫ Roll-out Plan'!$O$58</f>
        <v>0</v>
      </c>
      <c r="DK999" s="40" t="n">
        <f aca="false">MIN((DK539+DK540)*$C$5,$F$14)*'⑫ Roll-out Plan'!$O$58</f>
        <v>0</v>
      </c>
      <c r="DL999" s="40" t="n">
        <f aca="false">MIN((DL539+DL540)*$C$5,$F$14)*'⑫ Roll-out Plan'!$O$58</f>
        <v>0</v>
      </c>
      <c r="DM999" s="40" t="n">
        <f aca="false">MIN((DM539+DM540)*$C$5,$F$14)*'⑫ Roll-out Plan'!$O$58</f>
        <v>0</v>
      </c>
      <c r="DN999" s="40" t="n">
        <f aca="false">MIN((DN539+DN540)*$C$5,$F$14)*'⑫ Roll-out Plan'!$O$58</f>
        <v>0</v>
      </c>
      <c r="DO999" s="40" t="n">
        <f aca="false">MIN((DO539+DO540)*$C$5,$F$14)*'⑫ Roll-out Plan'!$O$58</f>
        <v>0</v>
      </c>
      <c r="DP999" s="40" t="n">
        <f aca="false">MIN((DP539+DP540)*$C$5,$F$14)*'⑫ Roll-out Plan'!$O$58</f>
        <v>0</v>
      </c>
      <c r="DQ999" s="40" t="n">
        <f aca="false">MIN((DQ539+DQ540)*$C$5,$F$14)*'⑫ Roll-out Plan'!$O$58</f>
        <v>0</v>
      </c>
      <c r="DR999" s="40" t="n">
        <f aca="false">MIN((DR539+DR540)*$C$5,$F$14)*'⑫ Roll-out Plan'!$O$58</f>
        <v>0</v>
      </c>
      <c r="DS999" s="40" t="n">
        <f aca="false">MIN((DS539+DS540)*$C$5,$F$14)*'⑫ Roll-out Plan'!$O$58</f>
        <v>0</v>
      </c>
      <c r="DT999" s="40" t="n">
        <f aca="false">MIN((DT539+DT540)*$C$5,$F$14)*'⑫ Roll-out Plan'!$O$58</f>
        <v>0</v>
      </c>
      <c r="DU999" s="40" t="n">
        <f aca="false">MIN((DU539+DU540)*$C$5,$F$14)*'⑫ Roll-out Plan'!$O$58</f>
        <v>0</v>
      </c>
      <c r="DV999" s="40" t="n">
        <f aca="false">MIN((DV539+DV540)*$C$5,$F$14)*'⑫ Roll-out Plan'!$O$58</f>
        <v>0</v>
      </c>
      <c r="DW999" s="40" t="n">
        <f aca="false">MIN((DW539+DW540)*$C$5,$F$14)*'⑫ Roll-out Plan'!$O$58</f>
        <v>0</v>
      </c>
      <c r="DX999" s="40" t="n">
        <f aca="false">MIN((DX539+DX540)*$C$5,$F$14)*'⑫ Roll-out Plan'!$O$58</f>
        <v>0</v>
      </c>
      <c r="DY999" s="40" t="n">
        <f aca="false">MIN((DY539+DY540)*$C$5,$F$14)*'⑫ Roll-out Plan'!$O$58</f>
        <v>0</v>
      </c>
      <c r="DZ999" s="40" t="n">
        <f aca="false">MIN((DZ539+DZ540)*$C$5,$F$14)*'⑫ Roll-out Plan'!$O$58</f>
        <v>0</v>
      </c>
      <c r="EA999" s="40" t="n">
        <f aca="false">MIN((EA539+EA540)*$C$5,$F$14)*'⑫ Roll-out Plan'!$O$58</f>
        <v>0</v>
      </c>
      <c r="EB999" s="40" t="n">
        <f aca="false">MIN((EB539+EB540)*$C$5,$F$14)*'⑫ Roll-out Plan'!$O$58</f>
        <v>0</v>
      </c>
      <c r="EC999" s="40" t="n">
        <f aca="false">MIN((EC539+EC540)*$C$5,$F$14)*'⑫ Roll-out Plan'!$O$58</f>
        <v>0</v>
      </c>
      <c r="ED999" s="40" t="n">
        <f aca="false">MIN((ED539+ED540)*$C$5,$F$14)*'⑫ Roll-out Plan'!$O$58</f>
        <v>0</v>
      </c>
      <c r="EE999" s="40" t="n">
        <f aca="false">MIN((EE539+EE540)*$C$5,$F$14)*'⑫ Roll-out Plan'!$O$58</f>
        <v>0</v>
      </c>
      <c r="EF999" s="40" t="n">
        <f aca="false">MIN((EF539+EF540)*$C$5,$F$14)*'⑫ Roll-out Plan'!$O$58</f>
        <v>0</v>
      </c>
      <c r="EG999" s="40" t="n">
        <f aca="false">MIN((EG539+EG540)*$C$5,$F$14)*'⑫ Roll-out Plan'!$O$58</f>
        <v>0</v>
      </c>
      <c r="EH999" s="40" t="n">
        <f aca="false">MIN((EH539+EH540)*$C$5,$F$14)*'⑫ Roll-out Plan'!$O$58</f>
        <v>0</v>
      </c>
      <c r="EI999" s="40" t="n">
        <f aca="false">MIN((EI539+EI540)*$C$5,$F$14)*'⑫ Roll-out Plan'!$O$58</f>
        <v>0</v>
      </c>
      <c r="EJ999" s="40" t="n">
        <f aca="false">MIN((EJ539+EJ540)*$C$5,$F$14)*'⑫ Roll-out Plan'!$O$58</f>
        <v>0</v>
      </c>
      <c r="EK999" s="40" t="n">
        <f aca="false">MIN((EK539+EK540)*$C$5,$F$14)*'⑫ Roll-out Plan'!$O$58</f>
        <v>0</v>
      </c>
      <c r="EL999" s="40" t="n">
        <f aca="false">MIN((EL539+EL540)*$C$5,$F$14)*'⑫ Roll-out Plan'!$O$58</f>
        <v>0</v>
      </c>
      <c r="EM999" s="40" t="n">
        <f aca="false">MIN((EM539+EM540)*$C$5,$F$14)*'⑫ Roll-out Plan'!$O$58</f>
        <v>0</v>
      </c>
      <c r="EN999" s="40" t="n">
        <f aca="false">MIN((EN539+EN540)*$C$5,$F$14)*'⑫ Roll-out Plan'!$O$58</f>
        <v>0</v>
      </c>
      <c r="EO999" s="40" t="n">
        <f aca="false">MIN((EO539+EO540)*$C$5,$F$14)*'⑫ Roll-out Plan'!$O$58</f>
        <v>0</v>
      </c>
      <c r="EP999" s="40" t="n">
        <f aca="false">MIN((EP539+EP540)*$C$5,$F$14)*'⑫ Roll-out Plan'!$O$58</f>
        <v>0</v>
      </c>
      <c r="EQ999" s="40" t="n">
        <f aca="false">MIN((EQ539+EQ540)*$C$5,$F$14)*'⑫ Roll-out Plan'!$O$58</f>
        <v>0</v>
      </c>
      <c r="ER999" s="40" t="n">
        <f aca="false">MIN((ER539+ER540)*$C$5,$F$14)*'⑫ Roll-out Plan'!$O$58</f>
        <v>0</v>
      </c>
      <c r="ES999" s="40" t="n">
        <f aca="false">MIN((ES539+ES540)*$C$5,$F$14)*'⑫ Roll-out Plan'!$O$58</f>
        <v>0</v>
      </c>
      <c r="ET999" s="40" t="n">
        <f aca="false">MIN((ET539+ET540)*$C$5,$F$14)*'⑫ Roll-out Plan'!$O$58</f>
        <v>0</v>
      </c>
      <c r="EU999" s="40" t="n">
        <f aca="false">MIN((EU539+EU540)*$C$5,$F$14)*'⑫ Roll-out Plan'!$O$58</f>
        <v>0</v>
      </c>
      <c r="EV999" s="40" t="n">
        <f aca="false">MIN((EV539+EV540)*$C$5,$F$14)*'⑫ Roll-out Plan'!$O$58</f>
        <v>0</v>
      </c>
      <c r="EW999" s="40" t="n">
        <f aca="false">MIN((EW539+EW540)*$C$5,$F$14)*'⑫ Roll-out Plan'!$O$58</f>
        <v>5061.84</v>
      </c>
      <c r="EX999" s="40" t="n">
        <f aca="false">MIN((EX539+EX540)*$C$5,$F$14)*'⑫ Roll-out Plan'!$O$58</f>
        <v>5489.67552</v>
      </c>
      <c r="EY999" s="40" t="n">
        <f aca="false">MIN((EY539+EY540)*$C$5,$F$14)*'⑫ Roll-out Plan'!$O$58</f>
        <v>6254.849664</v>
      </c>
      <c r="EZ999" s="40" t="n">
        <f aca="false">MIN((EZ539+EZ540)*$C$5,$F$14)*'⑫ Roll-out Plan'!$O$58</f>
        <v>11455.82424</v>
      </c>
      <c r="FA999" s="40" t="n">
        <f aca="false">MIN((FA539+FA540)*$C$5,$F$14)*'⑫ Roll-out Plan'!$O$58</f>
        <v>10237.0476096</v>
      </c>
      <c r="FB999" s="40" t="n">
        <f aca="false">MIN((FB539+FB540)*$C$5,$F$14)*'⑫ Roll-out Plan'!$O$58</f>
        <v>9710.2729248</v>
      </c>
      <c r="FC999" s="40" t="n">
        <f aca="false">MIN((FC539+FC540)*$C$5,$F$14)*'⑫ Roll-out Plan'!$O$58</f>
        <v>8510.1238656</v>
      </c>
      <c r="FD999" s="40" t="n">
        <f aca="false">MIN((FD539+FD540)*$C$5,$F$14)*'⑫ Roll-out Plan'!$O$58</f>
        <v>12460.4102112</v>
      </c>
      <c r="FE999" s="40" t="n">
        <f aca="false">MIN((FE539+FE540)*$C$5,$F$14)*'⑫ Roll-out Plan'!$O$58</f>
        <v>15118.8445632</v>
      </c>
      <c r="FF999" s="40" t="n">
        <f aca="false">MIN((FF539+FF540)*$C$5,$F$14)*'⑫ Roll-out Plan'!$O$58</f>
        <v>12345.519648</v>
      </c>
      <c r="FG999" s="40" t="n">
        <f aca="false">MIN((FG539+FG540)*$C$5,$F$14)*'⑫ Roll-out Plan'!$O$58</f>
        <v>17602.8963264</v>
      </c>
      <c r="FH999" s="40" t="n">
        <f aca="false">MIN((FH539+FH540)*$C$5,$F$14)*'⑫ Roll-out Plan'!$O$58</f>
        <v>18752.9551776</v>
      </c>
      <c r="FI999" s="40" t="n">
        <f aca="false">MIN((FI539+FI540)*$C$5,$F$14)*'⑫ Roll-out Plan'!$O$58</f>
        <v>17509.300704</v>
      </c>
      <c r="FJ999" s="40" t="n">
        <f aca="false">MIN((FJ539+FJ540)*$C$5,$F$14)*'⑫ Roll-out Plan'!$O$58</f>
        <v>16690.2861888</v>
      </c>
      <c r="FK999" s="40" t="n">
        <f aca="false">MIN((FK539+FK540)*$C$5,$F$14)*'⑫ Roll-out Plan'!$O$58</f>
        <v>17361.6182208</v>
      </c>
      <c r="FL999" s="40" t="n">
        <f aca="false">MIN((FL539+FL540)*$C$5,$F$14)*'⑫ Roll-out Plan'!$O$58</f>
        <v>33346.1870784</v>
      </c>
      <c r="FM999" s="40" t="n">
        <f aca="false">MIN((FM539+FM540)*$C$5,$F$14)*'⑫ Roll-out Plan'!$O$58</f>
        <v>31237.2572736</v>
      </c>
      <c r="FN999" s="40" t="n">
        <f aca="false">MIN((FN539+FN540)*$C$5,$F$14)*'⑫ Roll-out Plan'!$O$58</f>
        <v>27839.96682432</v>
      </c>
      <c r="FO999" s="40" t="n">
        <f aca="false">MIN((FO539+FO540)*$C$5,$F$14)*'⑫ Roll-out Plan'!$O$58</f>
        <v>22865.9422656</v>
      </c>
      <c r="FP999" s="40" t="n">
        <f aca="false">MIN((FP539+FP540)*$C$5,$F$14)*'⑫ Roll-out Plan'!$O$58</f>
        <v>29527.24095552</v>
      </c>
    </row>
    <row r="1000" customFormat="false" ht="15" hidden="false" customHeight="false" outlineLevel="0" collapsed="false">
      <c r="B1000" s="36" t="s">
        <v>927</v>
      </c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40" t="n">
        <f aca="false">MIN((AC549+AC550)*$C$5,$F$15)*'⑫ Roll-out Plan'!$O$59</f>
        <v>0</v>
      </c>
      <c r="AD1000" s="40" t="n">
        <f aca="false">MIN((AD549+AD550)*$C$5,$F$15)*'⑫ Roll-out Plan'!$O$59</f>
        <v>0</v>
      </c>
      <c r="AE1000" s="40" t="n">
        <f aca="false">MIN((AE549+AE550)*$C$5,$F$15)*'⑫ Roll-out Plan'!$O$59</f>
        <v>0</v>
      </c>
      <c r="AF1000" s="40" t="n">
        <f aca="false">MIN((AF549+AF550)*$C$5,$F$15)*'⑫ Roll-out Plan'!$O$59</f>
        <v>0</v>
      </c>
      <c r="AG1000" s="40" t="n">
        <f aca="false">MIN((AG549+AG550)*$C$5,$F$15)*'⑫ Roll-out Plan'!$O$59</f>
        <v>0</v>
      </c>
      <c r="AH1000" s="40" t="n">
        <f aca="false">MIN((AH549+AH550)*$C$5,$F$15)*'⑫ Roll-out Plan'!$O$59</f>
        <v>0</v>
      </c>
      <c r="AI1000" s="40" t="n">
        <f aca="false">MIN((AI549+AI550)*$C$5,$F$15)*'⑫ Roll-out Plan'!$O$59</f>
        <v>0</v>
      </c>
      <c r="AJ1000" s="40" t="n">
        <f aca="false">MIN((AJ549+AJ550)*$C$5,$F$15)*'⑫ Roll-out Plan'!$O$59</f>
        <v>0</v>
      </c>
      <c r="AK1000" s="40" t="n">
        <f aca="false">MIN((AK549+AK550)*$C$5,$F$15)*'⑫ Roll-out Plan'!$O$59</f>
        <v>0</v>
      </c>
      <c r="AL1000" s="40" t="n">
        <f aca="false">MIN((AL549+AL550)*$C$5,$F$15)*'⑫ Roll-out Plan'!$O$59</f>
        <v>0</v>
      </c>
      <c r="AM1000" s="40" t="n">
        <f aca="false">MIN((AM549+AM550)*$C$5,$F$15)*'⑫ Roll-out Plan'!$O$59</f>
        <v>0</v>
      </c>
      <c r="AN1000" s="40" t="n">
        <f aca="false">MIN((AN549+AN550)*$C$5,$F$15)*'⑫ Roll-out Plan'!$O$59</f>
        <v>0</v>
      </c>
      <c r="AO1000" s="40" t="n">
        <f aca="false">MIN((AO549+AO550)*$C$5,$F$15)*'⑫ Roll-out Plan'!$O$59</f>
        <v>0</v>
      </c>
      <c r="AP1000" s="40" t="n">
        <f aca="false">MIN((AP549+AP550)*$C$5,$F$15)*'⑫ Roll-out Plan'!$O$59</f>
        <v>0</v>
      </c>
      <c r="AQ1000" s="40" t="n">
        <f aca="false">MIN((AQ549+AQ550)*$C$5,$F$15)*'⑫ Roll-out Plan'!$O$59</f>
        <v>0</v>
      </c>
      <c r="AR1000" s="40" t="n">
        <f aca="false">MIN((AR549+AR550)*$C$5,$F$15)*'⑫ Roll-out Plan'!$O$59</f>
        <v>0</v>
      </c>
      <c r="AS1000" s="40" t="n">
        <f aca="false">MIN((AS549+AS550)*$C$5,$F$15)*'⑫ Roll-out Plan'!$O$59</f>
        <v>0</v>
      </c>
      <c r="AT1000" s="40" t="n">
        <f aca="false">MIN((AT549+AT550)*$C$5,$F$15)*'⑫ Roll-out Plan'!$O$59</f>
        <v>0</v>
      </c>
      <c r="AU1000" s="40" t="n">
        <f aca="false">MIN((AU549+AU550)*$C$5,$F$15)*'⑫ Roll-out Plan'!$O$59</f>
        <v>0</v>
      </c>
      <c r="AV1000" s="40" t="n">
        <f aca="false">MIN((AV549+AV550)*$C$5,$F$15)*'⑫ Roll-out Plan'!$O$59</f>
        <v>0</v>
      </c>
      <c r="AW1000" s="40" t="n">
        <f aca="false">MIN((AW549+AW550)*$C$5,$F$15)*'⑫ Roll-out Plan'!$O$59</f>
        <v>0</v>
      </c>
      <c r="AX1000" s="40" t="n">
        <f aca="false">MIN((AX549+AX550)*$C$5,$F$15)*'⑫ Roll-out Plan'!$O$59</f>
        <v>0</v>
      </c>
      <c r="AY1000" s="40" t="n">
        <f aca="false">MIN((AY549+AY550)*$C$5,$F$15)*'⑫ Roll-out Plan'!$O$59</f>
        <v>0</v>
      </c>
      <c r="AZ1000" s="40" t="n">
        <f aca="false">MIN((AZ549+AZ550)*$C$5,$F$15)*'⑫ Roll-out Plan'!$O$59</f>
        <v>0</v>
      </c>
      <c r="BA1000" s="40" t="n">
        <f aca="false">MIN((BA549+BA550)*$C$5,$F$15)*'⑫ Roll-out Plan'!$O$59</f>
        <v>0</v>
      </c>
      <c r="BB1000" s="40" t="n">
        <f aca="false">MIN((BB549+BB550)*$C$5,$F$15)*'⑫ Roll-out Plan'!$O$59</f>
        <v>0</v>
      </c>
      <c r="BC1000" s="40" t="n">
        <f aca="false">MIN((BC549+BC550)*$C$5,$F$15)*'⑫ Roll-out Plan'!$O$59</f>
        <v>0</v>
      </c>
      <c r="BD1000" s="40" t="n">
        <f aca="false">MIN((BD549+BD550)*$C$5,$F$15)*'⑫ Roll-out Plan'!$O$59</f>
        <v>0</v>
      </c>
      <c r="BE1000" s="40" t="n">
        <f aca="false">MIN((BE549+BE550)*$C$5,$F$15)*'⑫ Roll-out Plan'!$O$59</f>
        <v>0</v>
      </c>
      <c r="BF1000" s="40" t="n">
        <f aca="false">MIN((BF549+BF550)*$C$5,$F$15)*'⑫ Roll-out Plan'!$O$59</f>
        <v>0</v>
      </c>
      <c r="BG1000" s="40" t="n">
        <f aca="false">MIN((BG549+BG550)*$C$5,$F$15)*'⑫ Roll-out Plan'!$O$59</f>
        <v>0</v>
      </c>
      <c r="BH1000" s="40" t="n">
        <f aca="false">MIN((BH549+BH550)*$C$5,$F$15)*'⑫ Roll-out Plan'!$O$59</f>
        <v>0</v>
      </c>
      <c r="BI1000" s="40" t="n">
        <f aca="false">MIN((BI549+BI550)*$C$5,$F$15)*'⑫ Roll-out Plan'!$O$59</f>
        <v>0</v>
      </c>
      <c r="BJ1000" s="40" t="n">
        <f aca="false">MIN((BJ549+BJ550)*$C$5,$F$15)*'⑫ Roll-out Plan'!$O$59</f>
        <v>0</v>
      </c>
      <c r="BK1000" s="40" t="n">
        <f aca="false">MIN((BK549+BK550)*$C$5,$F$15)*'⑫ Roll-out Plan'!$O$59</f>
        <v>0</v>
      </c>
      <c r="BL1000" s="40" t="n">
        <f aca="false">MIN((BL549+BL550)*$C$5,$F$15)*'⑫ Roll-out Plan'!$O$59</f>
        <v>0</v>
      </c>
      <c r="BM1000" s="40" t="n">
        <f aca="false">MIN((BM549+BM550)*$C$5,$F$15)*'⑫ Roll-out Plan'!$O$59</f>
        <v>0</v>
      </c>
      <c r="BN1000" s="40" t="n">
        <f aca="false">MIN((BN549+BN550)*$C$5,$F$15)*'⑫ Roll-out Plan'!$O$59</f>
        <v>0</v>
      </c>
      <c r="BO1000" s="40" t="n">
        <f aca="false">MIN((BO549+BO550)*$C$5,$F$15)*'⑫ Roll-out Plan'!$O$59</f>
        <v>0</v>
      </c>
      <c r="BP1000" s="40" t="n">
        <f aca="false">MIN((BP549+BP550)*$C$5,$F$15)*'⑫ Roll-out Plan'!$O$59</f>
        <v>0</v>
      </c>
      <c r="BQ1000" s="40" t="n">
        <f aca="false">MIN((BQ549+BQ550)*$C$5,$F$15)*'⑫ Roll-out Plan'!$O$59</f>
        <v>0</v>
      </c>
      <c r="BR1000" s="40" t="n">
        <f aca="false">MIN((BR549+BR550)*$C$5,$F$15)*'⑫ Roll-out Plan'!$O$59</f>
        <v>0</v>
      </c>
      <c r="BS1000" s="40" t="n">
        <f aca="false">MIN((BS549+BS550)*$C$5,$F$15)*'⑫ Roll-out Plan'!$O$59</f>
        <v>0</v>
      </c>
      <c r="BT1000" s="40" t="n">
        <f aca="false">MIN((BT549+BT550)*$C$5,$F$15)*'⑫ Roll-out Plan'!$O$59</f>
        <v>0</v>
      </c>
      <c r="BU1000" s="40" t="n">
        <f aca="false">MIN((BU549+BU550)*$C$5,$F$15)*'⑫ Roll-out Plan'!$O$59</f>
        <v>0</v>
      </c>
      <c r="BV1000" s="40" t="n">
        <f aca="false">MIN((BV549+BV550)*$C$5,$F$15)*'⑫ Roll-out Plan'!$O$59</f>
        <v>0</v>
      </c>
      <c r="BW1000" s="40" t="n">
        <f aca="false">MIN((BW549+BW550)*$C$5,$F$15)*'⑫ Roll-out Plan'!$O$59</f>
        <v>0</v>
      </c>
      <c r="BX1000" s="40" t="n">
        <f aca="false">MIN((BX549+BX550)*$C$5,$F$15)*'⑫ Roll-out Plan'!$O$59</f>
        <v>0</v>
      </c>
      <c r="BY1000" s="40" t="n">
        <f aca="false">MIN((BY549+BY550)*$C$5,$F$15)*'⑫ Roll-out Plan'!$O$59</f>
        <v>0</v>
      </c>
      <c r="BZ1000" s="40" t="n">
        <f aca="false">MIN((BZ549+BZ550)*$C$5,$F$15)*'⑫ Roll-out Plan'!$O$59</f>
        <v>0</v>
      </c>
      <c r="CA1000" s="40" t="n">
        <f aca="false">MIN((CA549+CA550)*$C$5,$F$15)*'⑫ Roll-out Plan'!$O$59</f>
        <v>0</v>
      </c>
      <c r="CB1000" s="40" t="n">
        <f aca="false">MIN((CB549+CB550)*$C$5,$F$15)*'⑫ Roll-out Plan'!$O$59</f>
        <v>0</v>
      </c>
      <c r="CC1000" s="40" t="n">
        <f aca="false">MIN((CC549+CC550)*$C$5,$F$15)*'⑫ Roll-out Plan'!$O$59</f>
        <v>0</v>
      </c>
      <c r="CD1000" s="40" t="n">
        <f aca="false">MIN((CD549+CD550)*$C$5,$F$15)*'⑫ Roll-out Plan'!$O$59</f>
        <v>0</v>
      </c>
      <c r="CE1000" s="40" t="n">
        <f aca="false">MIN((CE549+CE550)*$C$5,$F$15)*'⑫ Roll-out Plan'!$O$59</f>
        <v>0</v>
      </c>
      <c r="CF1000" s="40" t="n">
        <f aca="false">MIN((CF549+CF550)*$C$5,$F$15)*'⑫ Roll-out Plan'!$O$59</f>
        <v>0</v>
      </c>
      <c r="CG1000" s="40" t="n">
        <f aca="false">MIN((CG549+CG550)*$C$5,$F$15)*'⑫ Roll-out Plan'!$O$59</f>
        <v>0</v>
      </c>
      <c r="CH1000" s="40" t="n">
        <f aca="false">MIN((CH549+CH550)*$C$5,$F$15)*'⑫ Roll-out Plan'!$O$59</f>
        <v>0</v>
      </c>
      <c r="CI1000" s="40" t="n">
        <f aca="false">MIN((CI549+CI550)*$C$5,$F$15)*'⑫ Roll-out Plan'!$O$59</f>
        <v>0</v>
      </c>
      <c r="CJ1000" s="40" t="n">
        <f aca="false">MIN((CJ549+CJ550)*$C$5,$F$15)*'⑫ Roll-out Plan'!$O$59</f>
        <v>0</v>
      </c>
      <c r="CK1000" s="40" t="n">
        <f aca="false">MIN((CK549+CK550)*$C$5,$F$15)*'⑫ Roll-out Plan'!$O$59</f>
        <v>0</v>
      </c>
      <c r="CL1000" s="40" t="n">
        <f aca="false">MIN((CL549+CL550)*$C$5,$F$15)*'⑫ Roll-out Plan'!$O$59</f>
        <v>0</v>
      </c>
      <c r="CM1000" s="40" t="n">
        <f aca="false">MIN((CM549+CM550)*$C$5,$F$15)*'⑫ Roll-out Plan'!$O$59</f>
        <v>0</v>
      </c>
      <c r="CN1000" s="40" t="n">
        <f aca="false">MIN((CN549+CN550)*$C$5,$F$15)*'⑫ Roll-out Plan'!$O$59</f>
        <v>0</v>
      </c>
      <c r="CO1000" s="40" t="n">
        <f aca="false">MIN((CO549+CO550)*$C$5,$F$15)*'⑫ Roll-out Plan'!$O$59</f>
        <v>0</v>
      </c>
      <c r="CP1000" s="40" t="n">
        <f aca="false">MIN((CP549+CP550)*$C$5,$F$15)*'⑫ Roll-out Plan'!$O$59</f>
        <v>0</v>
      </c>
      <c r="CQ1000" s="40" t="n">
        <f aca="false">MIN((CQ549+CQ550)*$C$5,$F$15)*'⑫ Roll-out Plan'!$O$59</f>
        <v>0</v>
      </c>
      <c r="CR1000" s="40" t="n">
        <f aca="false">MIN((CR549+CR550)*$C$5,$F$15)*'⑫ Roll-out Plan'!$O$59</f>
        <v>0</v>
      </c>
      <c r="CS1000" s="40" t="n">
        <f aca="false">MIN((CS549+CS550)*$C$5,$F$15)*'⑫ Roll-out Plan'!$O$59</f>
        <v>0</v>
      </c>
      <c r="CT1000" s="40" t="n">
        <f aca="false">MIN((CT549+CT550)*$C$5,$F$15)*'⑫ Roll-out Plan'!$O$59</f>
        <v>0</v>
      </c>
      <c r="CU1000" s="40" t="n">
        <f aca="false">MIN((CU549+CU550)*$C$5,$F$15)*'⑫ Roll-out Plan'!$O$59</f>
        <v>0</v>
      </c>
      <c r="CV1000" s="40" t="n">
        <f aca="false">MIN((CV549+CV550)*$C$5,$F$15)*'⑫ Roll-out Plan'!$O$59</f>
        <v>0</v>
      </c>
      <c r="CW1000" s="40" t="n">
        <f aca="false">MIN((CW549+CW550)*$C$5,$F$15)*'⑫ Roll-out Plan'!$O$59</f>
        <v>0</v>
      </c>
      <c r="CX1000" s="40" t="n">
        <f aca="false">MIN((CX549+CX550)*$C$5,$F$15)*'⑫ Roll-out Plan'!$O$59</f>
        <v>0</v>
      </c>
      <c r="CY1000" s="40" t="n">
        <f aca="false">MIN((CY549+CY550)*$C$5,$F$15)*'⑫ Roll-out Plan'!$O$59</f>
        <v>0</v>
      </c>
      <c r="CZ1000" s="40" t="n">
        <f aca="false">MIN((CZ549+CZ550)*$C$5,$F$15)*'⑫ Roll-out Plan'!$O$59</f>
        <v>0</v>
      </c>
      <c r="DA1000" s="40" t="n">
        <f aca="false">MIN((DA549+DA550)*$C$5,$F$15)*'⑫ Roll-out Plan'!$O$59</f>
        <v>0</v>
      </c>
      <c r="DB1000" s="40" t="n">
        <f aca="false">MIN((DB549+DB550)*$C$5,$F$15)*'⑫ Roll-out Plan'!$O$59</f>
        <v>0</v>
      </c>
      <c r="DC1000" s="40" t="n">
        <f aca="false">MIN((DC549+DC550)*$C$5,$F$15)*'⑫ Roll-out Plan'!$O$59</f>
        <v>0</v>
      </c>
      <c r="DD1000" s="40" t="n">
        <f aca="false">MIN((DD549+DD550)*$C$5,$F$15)*'⑫ Roll-out Plan'!$O$59</f>
        <v>0</v>
      </c>
      <c r="DE1000" s="40" t="n">
        <f aca="false">MIN((DE549+DE550)*$C$5,$F$15)*'⑫ Roll-out Plan'!$O$59</f>
        <v>0</v>
      </c>
      <c r="DF1000" s="40" t="n">
        <f aca="false">MIN((DF549+DF550)*$C$5,$F$15)*'⑫ Roll-out Plan'!$O$59</f>
        <v>0</v>
      </c>
      <c r="DG1000" s="40" t="n">
        <f aca="false">MIN((DG549+DG550)*$C$5,$F$15)*'⑫ Roll-out Plan'!$O$59</f>
        <v>0</v>
      </c>
      <c r="DH1000" s="40" t="n">
        <f aca="false">MIN((DH549+DH550)*$C$5,$F$15)*'⑫ Roll-out Plan'!$O$59</f>
        <v>0</v>
      </c>
      <c r="DI1000" s="40" t="n">
        <f aca="false">MIN((DI549+DI550)*$C$5,$F$15)*'⑫ Roll-out Plan'!$O$59</f>
        <v>0</v>
      </c>
      <c r="DJ1000" s="40" t="n">
        <f aca="false">MIN((DJ549+DJ550)*$C$5,$F$15)*'⑫ Roll-out Plan'!$O$59</f>
        <v>0</v>
      </c>
      <c r="DK1000" s="40" t="n">
        <f aca="false">MIN((DK549+DK550)*$C$5,$F$15)*'⑫ Roll-out Plan'!$O$59</f>
        <v>0</v>
      </c>
      <c r="DL1000" s="40" t="n">
        <f aca="false">MIN((DL549+DL550)*$C$5,$F$15)*'⑫ Roll-out Plan'!$O$59</f>
        <v>0</v>
      </c>
      <c r="DM1000" s="40" t="n">
        <f aca="false">MIN((DM549+DM550)*$C$5,$F$15)*'⑫ Roll-out Plan'!$O$59</f>
        <v>0</v>
      </c>
      <c r="DN1000" s="40" t="n">
        <f aca="false">MIN((DN549+DN550)*$C$5,$F$15)*'⑫ Roll-out Plan'!$O$59</f>
        <v>0</v>
      </c>
      <c r="DO1000" s="40" t="n">
        <f aca="false">MIN((DO549+DO550)*$C$5,$F$15)*'⑫ Roll-out Plan'!$O$59</f>
        <v>0</v>
      </c>
      <c r="DP1000" s="40" t="n">
        <f aca="false">MIN((DP549+DP550)*$C$5,$F$15)*'⑫ Roll-out Plan'!$O$59</f>
        <v>0</v>
      </c>
      <c r="DQ1000" s="40" t="n">
        <f aca="false">MIN((DQ549+DQ550)*$C$5,$F$15)*'⑫ Roll-out Plan'!$O$59</f>
        <v>0</v>
      </c>
      <c r="DR1000" s="40" t="n">
        <f aca="false">MIN((DR549+DR550)*$C$5,$F$15)*'⑫ Roll-out Plan'!$O$59</f>
        <v>0</v>
      </c>
      <c r="DS1000" s="40" t="n">
        <f aca="false">MIN((DS549+DS550)*$C$5,$F$15)*'⑫ Roll-out Plan'!$O$59</f>
        <v>0</v>
      </c>
      <c r="DT1000" s="40" t="n">
        <f aca="false">MIN((DT549+DT550)*$C$5,$F$15)*'⑫ Roll-out Plan'!$O$59</f>
        <v>0</v>
      </c>
      <c r="DU1000" s="40" t="n">
        <f aca="false">MIN((DU549+DU550)*$C$5,$F$15)*'⑫ Roll-out Plan'!$O$59</f>
        <v>0</v>
      </c>
      <c r="DV1000" s="40" t="n">
        <f aca="false">MIN((DV549+DV550)*$C$5,$F$15)*'⑫ Roll-out Plan'!$O$59</f>
        <v>0</v>
      </c>
      <c r="DW1000" s="40" t="n">
        <f aca="false">MIN((DW549+DW550)*$C$5,$F$15)*'⑫ Roll-out Plan'!$O$59</f>
        <v>0</v>
      </c>
      <c r="DX1000" s="40" t="n">
        <f aca="false">MIN((DX549+DX550)*$C$5,$F$15)*'⑫ Roll-out Plan'!$O$59</f>
        <v>0</v>
      </c>
      <c r="DY1000" s="40" t="n">
        <f aca="false">MIN((DY549+DY550)*$C$5,$F$15)*'⑫ Roll-out Plan'!$O$59</f>
        <v>0</v>
      </c>
      <c r="DZ1000" s="40" t="n">
        <f aca="false">MIN((DZ549+DZ550)*$C$5,$F$15)*'⑫ Roll-out Plan'!$O$59</f>
        <v>0</v>
      </c>
      <c r="EA1000" s="40" t="n">
        <f aca="false">MIN((EA549+EA550)*$C$5,$F$15)*'⑫ Roll-out Plan'!$O$59</f>
        <v>0</v>
      </c>
      <c r="EB1000" s="40" t="n">
        <f aca="false">MIN((EB549+EB550)*$C$5,$F$15)*'⑫ Roll-out Plan'!$O$59</f>
        <v>0</v>
      </c>
      <c r="EC1000" s="40" t="n">
        <f aca="false">MIN((EC549+EC550)*$C$5,$F$15)*'⑫ Roll-out Plan'!$O$59</f>
        <v>0</v>
      </c>
      <c r="ED1000" s="40" t="n">
        <f aca="false">MIN((ED549+ED550)*$C$5,$F$15)*'⑫ Roll-out Plan'!$O$59</f>
        <v>0</v>
      </c>
      <c r="EE1000" s="40" t="n">
        <f aca="false">MIN((EE549+EE550)*$C$5,$F$15)*'⑫ Roll-out Plan'!$O$59</f>
        <v>0</v>
      </c>
      <c r="EF1000" s="40" t="n">
        <f aca="false">MIN((EF549+EF550)*$C$5,$F$15)*'⑫ Roll-out Plan'!$O$59</f>
        <v>0</v>
      </c>
      <c r="EG1000" s="40" t="n">
        <f aca="false">MIN((EG549+EG550)*$C$5,$F$15)*'⑫ Roll-out Plan'!$O$59</f>
        <v>0</v>
      </c>
      <c r="EH1000" s="40" t="n">
        <f aca="false">MIN((EH549+EH550)*$C$5,$F$15)*'⑫ Roll-out Plan'!$O$59</f>
        <v>0</v>
      </c>
      <c r="EI1000" s="40" t="n">
        <f aca="false">MIN((EI549+EI550)*$C$5,$F$15)*'⑫ Roll-out Plan'!$O$59</f>
        <v>0</v>
      </c>
      <c r="EJ1000" s="40" t="n">
        <f aca="false">MIN((EJ549+EJ550)*$C$5,$F$15)*'⑫ Roll-out Plan'!$O$59</f>
        <v>0</v>
      </c>
      <c r="EK1000" s="40" t="n">
        <f aca="false">MIN((EK549+EK550)*$C$5,$F$15)*'⑫ Roll-out Plan'!$O$59</f>
        <v>0</v>
      </c>
      <c r="EL1000" s="40" t="n">
        <f aca="false">MIN((EL549+EL550)*$C$5,$F$15)*'⑫ Roll-out Plan'!$O$59</f>
        <v>0</v>
      </c>
      <c r="EM1000" s="40" t="n">
        <f aca="false">MIN((EM549+EM550)*$C$5,$F$15)*'⑫ Roll-out Plan'!$O$59</f>
        <v>0</v>
      </c>
      <c r="EN1000" s="40" t="n">
        <f aca="false">MIN((EN549+EN550)*$C$5,$F$15)*'⑫ Roll-out Plan'!$O$59</f>
        <v>0</v>
      </c>
      <c r="EO1000" s="40" t="n">
        <f aca="false">MIN((EO549+EO550)*$C$5,$F$15)*'⑫ Roll-out Plan'!$O$59</f>
        <v>0</v>
      </c>
      <c r="EP1000" s="40" t="n">
        <f aca="false">MIN((EP549+EP550)*$C$5,$F$15)*'⑫ Roll-out Plan'!$O$59</f>
        <v>0</v>
      </c>
      <c r="EQ1000" s="40" t="n">
        <f aca="false">MIN((EQ549+EQ550)*$C$5,$F$15)*'⑫ Roll-out Plan'!$O$59</f>
        <v>0</v>
      </c>
      <c r="ER1000" s="40" t="n">
        <f aca="false">MIN((ER549+ER550)*$C$5,$F$15)*'⑫ Roll-out Plan'!$O$59</f>
        <v>0</v>
      </c>
      <c r="ES1000" s="40" t="n">
        <f aca="false">MIN((ES549+ES550)*$C$5,$F$15)*'⑫ Roll-out Plan'!$O$59</f>
        <v>0</v>
      </c>
      <c r="ET1000" s="40" t="n">
        <f aca="false">MIN((ET549+ET550)*$C$5,$F$15)*'⑫ Roll-out Plan'!$O$59</f>
        <v>0</v>
      </c>
      <c r="EU1000" s="40" t="n">
        <f aca="false">MIN((EU549+EU550)*$C$5,$F$15)*'⑫ Roll-out Plan'!$O$59</f>
        <v>0</v>
      </c>
      <c r="EV1000" s="40" t="n">
        <f aca="false">MIN((EV549+EV550)*$C$5,$F$15)*'⑫ Roll-out Plan'!$O$59</f>
        <v>0</v>
      </c>
      <c r="EW1000" s="40" t="n">
        <f aca="false">MIN((EW549+EW550)*$C$5,$F$15)*'⑫ Roll-out Plan'!$O$59</f>
        <v>0</v>
      </c>
      <c r="EX1000" s="40" t="n">
        <f aca="false">MIN((EX549+EX550)*$C$5,$F$15)*'⑫ Roll-out Plan'!$O$59</f>
        <v>3877.6</v>
      </c>
      <c r="EY1000" s="40" t="n">
        <f aca="false">MIN((EY549+EY550)*$C$5,$F$15)*'⑫ Roll-out Plan'!$O$59</f>
        <v>4974.9608</v>
      </c>
      <c r="EZ1000" s="40" t="n">
        <f aca="false">MIN((EZ549+EZ550)*$C$5,$F$15)*'⑫ Roll-out Plan'!$O$59</f>
        <v>8900.798144</v>
      </c>
      <c r="FA1000" s="40" t="n">
        <f aca="false">MIN((FA549+FA550)*$C$5,$F$15)*'⑫ Roll-out Plan'!$O$59</f>
        <v>8813.2729568</v>
      </c>
      <c r="FB1000" s="40" t="n">
        <f aca="false">MIN((FB549+FB550)*$C$5,$F$15)*'⑫ Roll-out Plan'!$O$59</f>
        <v>7548.601472</v>
      </c>
      <c r="FC1000" s="40" t="n">
        <f aca="false">MIN((FC549+FC550)*$C$5,$F$15)*'⑫ Roll-out Plan'!$O$59</f>
        <v>6626.4616608</v>
      </c>
      <c r="FD1000" s="40" t="n">
        <f aca="false">MIN((FD549+FD550)*$C$5,$F$15)*'⑫ Roll-out Plan'!$O$59</f>
        <v>9792.1885872</v>
      </c>
      <c r="FE1000" s="40" t="n">
        <f aca="false">MIN((FE549+FE550)*$C$5,$F$15)*'⑫ Roll-out Plan'!$O$59</f>
        <v>11811.1230688</v>
      </c>
      <c r="FF1000" s="40" t="n">
        <f aca="false">MIN((FF549+FF550)*$C$5,$F$15)*'⑫ Roll-out Plan'!$O$59</f>
        <v>10607.213576</v>
      </c>
      <c r="FG1000" s="40" t="n">
        <f aca="false">MIN((FG549+FG550)*$C$5,$F$15)*'⑫ Roll-out Plan'!$O$59</f>
        <v>14219.081648</v>
      </c>
      <c r="FH1000" s="40" t="n">
        <f aca="false">MIN((FH549+FH550)*$C$5,$F$15)*'⑫ Roll-out Plan'!$O$59</f>
        <v>15227.0870336</v>
      </c>
      <c r="FI1000" s="40" t="n">
        <f aca="false">MIN((FI549+FI550)*$C$5,$F$15)*'⑫ Roll-out Plan'!$O$59</f>
        <v>14192.636416</v>
      </c>
      <c r="FJ1000" s="40" t="n">
        <f aca="false">MIN((FJ549+FJ550)*$C$5,$F$15)*'⑫ Roll-out Plan'!$O$59</f>
        <v>13549.7846224</v>
      </c>
      <c r="FK1000" s="40" t="n">
        <f aca="false">MIN((FK549+FK550)*$C$5,$F$15)*'⑫ Roll-out Plan'!$O$59</f>
        <v>15029.1588192</v>
      </c>
      <c r="FL1000" s="40" t="n">
        <f aca="false">MIN((FL549+FL550)*$C$5,$F$15)*'⑫ Roll-out Plan'!$O$59</f>
        <v>23804.3304784</v>
      </c>
      <c r="FM1000" s="40" t="n">
        <f aca="false">MIN((FM549+FM550)*$C$5,$F$15)*'⑫ Roll-out Plan'!$O$59</f>
        <v>25662.9339552</v>
      </c>
      <c r="FN1000" s="40" t="n">
        <f aca="false">MIN((FN549+FN550)*$C$5,$F$15)*'⑫ Roll-out Plan'!$O$59</f>
        <v>23214.6560912</v>
      </c>
      <c r="FO1000" s="40" t="n">
        <f aca="false">MIN((FO549+FO550)*$C$5,$F$15)*'⑫ Roll-out Plan'!$O$59</f>
        <v>19210.30355136</v>
      </c>
      <c r="FP1000" s="40" t="n">
        <f aca="false">MIN((FP549+FP550)*$C$5,$F$15)*'⑫ Roll-out Plan'!$O$59</f>
        <v>25589.64964176</v>
      </c>
    </row>
    <row r="1001" customFormat="false" ht="15" hidden="false" customHeight="false" outlineLevel="0" collapsed="false">
      <c r="B1001" s="36" t="s">
        <v>928</v>
      </c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40" t="n">
        <f aca="false">MIN((AC559+AC560)*$C$5,$F$15)*'⑫ Roll-out Plan'!$O$60</f>
        <v>0</v>
      </c>
      <c r="AD1001" s="40" t="n">
        <f aca="false">MIN((AD559+AD560)*$C$5,$F$15)*'⑫ Roll-out Plan'!$O$60</f>
        <v>0</v>
      </c>
      <c r="AE1001" s="40" t="n">
        <f aca="false">MIN((AE559+AE560)*$C$5,$F$15)*'⑫ Roll-out Plan'!$O$60</f>
        <v>0</v>
      </c>
      <c r="AF1001" s="40" t="n">
        <f aca="false">MIN((AF559+AF560)*$C$5,$F$15)*'⑫ Roll-out Plan'!$O$60</f>
        <v>0</v>
      </c>
      <c r="AG1001" s="40" t="n">
        <f aca="false">MIN((AG559+AG560)*$C$5,$F$15)*'⑫ Roll-out Plan'!$O$60</f>
        <v>0</v>
      </c>
      <c r="AH1001" s="40" t="n">
        <f aca="false">MIN((AH559+AH560)*$C$5,$F$15)*'⑫ Roll-out Plan'!$O$60</f>
        <v>0</v>
      </c>
      <c r="AI1001" s="40" t="n">
        <f aca="false">MIN((AI559+AI560)*$C$5,$F$15)*'⑫ Roll-out Plan'!$O$60</f>
        <v>0</v>
      </c>
      <c r="AJ1001" s="40" t="n">
        <f aca="false">MIN((AJ559+AJ560)*$C$5,$F$15)*'⑫ Roll-out Plan'!$O$60</f>
        <v>0</v>
      </c>
      <c r="AK1001" s="40" t="n">
        <f aca="false">MIN((AK559+AK560)*$C$5,$F$15)*'⑫ Roll-out Plan'!$O$60</f>
        <v>0</v>
      </c>
      <c r="AL1001" s="40" t="n">
        <f aca="false">MIN((AL559+AL560)*$C$5,$F$15)*'⑫ Roll-out Plan'!$O$60</f>
        <v>0</v>
      </c>
      <c r="AM1001" s="40" t="n">
        <f aca="false">MIN((AM559+AM560)*$C$5,$F$15)*'⑫ Roll-out Plan'!$O$60</f>
        <v>0</v>
      </c>
      <c r="AN1001" s="40" t="n">
        <f aca="false">MIN((AN559+AN560)*$C$5,$F$15)*'⑫ Roll-out Plan'!$O$60</f>
        <v>0</v>
      </c>
      <c r="AO1001" s="40" t="n">
        <f aca="false">MIN((AO559+AO560)*$C$5,$F$15)*'⑫ Roll-out Plan'!$O$60</f>
        <v>0</v>
      </c>
      <c r="AP1001" s="40" t="n">
        <f aca="false">MIN((AP559+AP560)*$C$5,$F$15)*'⑫ Roll-out Plan'!$O$60</f>
        <v>0</v>
      </c>
      <c r="AQ1001" s="40" t="n">
        <f aca="false">MIN((AQ559+AQ560)*$C$5,$F$15)*'⑫ Roll-out Plan'!$O$60</f>
        <v>0</v>
      </c>
      <c r="AR1001" s="40" t="n">
        <f aca="false">MIN((AR559+AR560)*$C$5,$F$15)*'⑫ Roll-out Plan'!$O$60</f>
        <v>0</v>
      </c>
      <c r="AS1001" s="40" t="n">
        <f aca="false">MIN((AS559+AS560)*$C$5,$F$15)*'⑫ Roll-out Plan'!$O$60</f>
        <v>0</v>
      </c>
      <c r="AT1001" s="40" t="n">
        <f aca="false">MIN((AT559+AT560)*$C$5,$F$15)*'⑫ Roll-out Plan'!$O$60</f>
        <v>0</v>
      </c>
      <c r="AU1001" s="40" t="n">
        <f aca="false">MIN((AU559+AU560)*$C$5,$F$15)*'⑫ Roll-out Plan'!$O$60</f>
        <v>0</v>
      </c>
      <c r="AV1001" s="40" t="n">
        <f aca="false">MIN((AV559+AV560)*$C$5,$F$15)*'⑫ Roll-out Plan'!$O$60</f>
        <v>0</v>
      </c>
      <c r="AW1001" s="40" t="n">
        <f aca="false">MIN((AW559+AW560)*$C$5,$F$15)*'⑫ Roll-out Plan'!$O$60</f>
        <v>0</v>
      </c>
      <c r="AX1001" s="40" t="n">
        <f aca="false">MIN((AX559+AX560)*$C$5,$F$15)*'⑫ Roll-out Plan'!$O$60</f>
        <v>0</v>
      </c>
      <c r="AY1001" s="40" t="n">
        <f aca="false">MIN((AY559+AY560)*$C$5,$F$15)*'⑫ Roll-out Plan'!$O$60</f>
        <v>0</v>
      </c>
      <c r="AZ1001" s="40" t="n">
        <f aca="false">MIN((AZ559+AZ560)*$C$5,$F$15)*'⑫ Roll-out Plan'!$O$60</f>
        <v>0</v>
      </c>
      <c r="BA1001" s="40" t="n">
        <f aca="false">MIN((BA559+BA560)*$C$5,$F$15)*'⑫ Roll-out Plan'!$O$60</f>
        <v>0</v>
      </c>
      <c r="BB1001" s="40" t="n">
        <f aca="false">MIN((BB559+BB560)*$C$5,$F$15)*'⑫ Roll-out Plan'!$O$60</f>
        <v>0</v>
      </c>
      <c r="BC1001" s="40" t="n">
        <f aca="false">MIN((BC559+BC560)*$C$5,$F$15)*'⑫ Roll-out Plan'!$O$60</f>
        <v>0</v>
      </c>
      <c r="BD1001" s="40" t="n">
        <f aca="false">MIN((BD559+BD560)*$C$5,$F$15)*'⑫ Roll-out Plan'!$O$60</f>
        <v>0</v>
      </c>
      <c r="BE1001" s="40" t="n">
        <f aca="false">MIN((BE559+BE560)*$C$5,$F$15)*'⑫ Roll-out Plan'!$O$60</f>
        <v>0</v>
      </c>
      <c r="BF1001" s="40" t="n">
        <f aca="false">MIN((BF559+BF560)*$C$5,$F$15)*'⑫ Roll-out Plan'!$O$60</f>
        <v>0</v>
      </c>
      <c r="BG1001" s="40" t="n">
        <f aca="false">MIN((BG559+BG560)*$C$5,$F$15)*'⑫ Roll-out Plan'!$O$60</f>
        <v>0</v>
      </c>
      <c r="BH1001" s="40" t="n">
        <f aca="false">MIN((BH559+BH560)*$C$5,$F$15)*'⑫ Roll-out Plan'!$O$60</f>
        <v>0</v>
      </c>
      <c r="BI1001" s="40" t="n">
        <f aca="false">MIN((BI559+BI560)*$C$5,$F$15)*'⑫ Roll-out Plan'!$O$60</f>
        <v>0</v>
      </c>
      <c r="BJ1001" s="40" t="n">
        <f aca="false">MIN((BJ559+BJ560)*$C$5,$F$15)*'⑫ Roll-out Plan'!$O$60</f>
        <v>0</v>
      </c>
      <c r="BK1001" s="40" t="n">
        <f aca="false">MIN((BK559+BK560)*$C$5,$F$15)*'⑫ Roll-out Plan'!$O$60</f>
        <v>0</v>
      </c>
      <c r="BL1001" s="40" t="n">
        <f aca="false">MIN((BL559+BL560)*$C$5,$F$15)*'⑫ Roll-out Plan'!$O$60</f>
        <v>0</v>
      </c>
      <c r="BM1001" s="40" t="n">
        <f aca="false">MIN((BM559+BM560)*$C$5,$F$15)*'⑫ Roll-out Plan'!$O$60</f>
        <v>0</v>
      </c>
      <c r="BN1001" s="40" t="n">
        <f aca="false">MIN((BN559+BN560)*$C$5,$F$15)*'⑫ Roll-out Plan'!$O$60</f>
        <v>0</v>
      </c>
      <c r="BO1001" s="40" t="n">
        <f aca="false">MIN((BO559+BO560)*$C$5,$F$15)*'⑫ Roll-out Plan'!$O$60</f>
        <v>0</v>
      </c>
      <c r="BP1001" s="40" t="n">
        <f aca="false">MIN((BP559+BP560)*$C$5,$F$15)*'⑫ Roll-out Plan'!$O$60</f>
        <v>0</v>
      </c>
      <c r="BQ1001" s="40" t="n">
        <f aca="false">MIN((BQ559+BQ560)*$C$5,$F$15)*'⑫ Roll-out Plan'!$O$60</f>
        <v>0</v>
      </c>
      <c r="BR1001" s="40" t="n">
        <f aca="false">MIN((BR559+BR560)*$C$5,$F$15)*'⑫ Roll-out Plan'!$O$60</f>
        <v>0</v>
      </c>
      <c r="BS1001" s="40" t="n">
        <f aca="false">MIN((BS559+BS560)*$C$5,$F$15)*'⑫ Roll-out Plan'!$O$60</f>
        <v>0</v>
      </c>
      <c r="BT1001" s="40" t="n">
        <f aca="false">MIN((BT559+BT560)*$C$5,$F$15)*'⑫ Roll-out Plan'!$O$60</f>
        <v>0</v>
      </c>
      <c r="BU1001" s="40" t="n">
        <f aca="false">MIN((BU559+BU560)*$C$5,$F$15)*'⑫ Roll-out Plan'!$O$60</f>
        <v>0</v>
      </c>
      <c r="BV1001" s="40" t="n">
        <f aca="false">MIN((BV559+BV560)*$C$5,$F$15)*'⑫ Roll-out Plan'!$O$60</f>
        <v>0</v>
      </c>
      <c r="BW1001" s="40" t="n">
        <f aca="false">MIN((BW559+BW560)*$C$5,$F$15)*'⑫ Roll-out Plan'!$O$60</f>
        <v>0</v>
      </c>
      <c r="BX1001" s="40" t="n">
        <f aca="false">MIN((BX559+BX560)*$C$5,$F$15)*'⑫ Roll-out Plan'!$O$60</f>
        <v>0</v>
      </c>
      <c r="BY1001" s="40" t="n">
        <f aca="false">MIN((BY559+BY560)*$C$5,$F$15)*'⑫ Roll-out Plan'!$O$60</f>
        <v>0</v>
      </c>
      <c r="BZ1001" s="40" t="n">
        <f aca="false">MIN((BZ559+BZ560)*$C$5,$F$15)*'⑫ Roll-out Plan'!$O$60</f>
        <v>0</v>
      </c>
      <c r="CA1001" s="40" t="n">
        <f aca="false">MIN((CA559+CA560)*$C$5,$F$15)*'⑫ Roll-out Plan'!$O$60</f>
        <v>0</v>
      </c>
      <c r="CB1001" s="40" t="n">
        <f aca="false">MIN((CB559+CB560)*$C$5,$F$15)*'⑫ Roll-out Plan'!$O$60</f>
        <v>0</v>
      </c>
      <c r="CC1001" s="40" t="n">
        <f aca="false">MIN((CC559+CC560)*$C$5,$F$15)*'⑫ Roll-out Plan'!$O$60</f>
        <v>0</v>
      </c>
      <c r="CD1001" s="40" t="n">
        <f aca="false">MIN((CD559+CD560)*$C$5,$F$15)*'⑫ Roll-out Plan'!$O$60</f>
        <v>0</v>
      </c>
      <c r="CE1001" s="40" t="n">
        <f aca="false">MIN((CE559+CE560)*$C$5,$F$15)*'⑫ Roll-out Plan'!$O$60</f>
        <v>0</v>
      </c>
      <c r="CF1001" s="40" t="n">
        <f aca="false">MIN((CF559+CF560)*$C$5,$F$15)*'⑫ Roll-out Plan'!$O$60</f>
        <v>0</v>
      </c>
      <c r="CG1001" s="40" t="n">
        <f aca="false">MIN((CG559+CG560)*$C$5,$F$15)*'⑫ Roll-out Plan'!$O$60</f>
        <v>0</v>
      </c>
      <c r="CH1001" s="40" t="n">
        <f aca="false">MIN((CH559+CH560)*$C$5,$F$15)*'⑫ Roll-out Plan'!$O$60</f>
        <v>0</v>
      </c>
      <c r="CI1001" s="40" t="n">
        <f aca="false">MIN((CI559+CI560)*$C$5,$F$15)*'⑫ Roll-out Plan'!$O$60</f>
        <v>0</v>
      </c>
      <c r="CJ1001" s="40" t="n">
        <f aca="false">MIN((CJ559+CJ560)*$C$5,$F$15)*'⑫ Roll-out Plan'!$O$60</f>
        <v>0</v>
      </c>
      <c r="CK1001" s="40" t="n">
        <f aca="false">MIN((CK559+CK560)*$C$5,$F$15)*'⑫ Roll-out Plan'!$O$60</f>
        <v>0</v>
      </c>
      <c r="CL1001" s="40" t="n">
        <f aca="false">MIN((CL559+CL560)*$C$5,$F$15)*'⑫ Roll-out Plan'!$O$60</f>
        <v>0</v>
      </c>
      <c r="CM1001" s="40" t="n">
        <f aca="false">MIN((CM559+CM560)*$C$5,$F$15)*'⑫ Roll-out Plan'!$O$60</f>
        <v>0</v>
      </c>
      <c r="CN1001" s="40" t="n">
        <f aca="false">MIN((CN559+CN560)*$C$5,$F$15)*'⑫ Roll-out Plan'!$O$60</f>
        <v>0</v>
      </c>
      <c r="CO1001" s="40" t="n">
        <f aca="false">MIN((CO559+CO560)*$C$5,$F$15)*'⑫ Roll-out Plan'!$O$60</f>
        <v>0</v>
      </c>
      <c r="CP1001" s="40" t="n">
        <f aca="false">MIN((CP559+CP560)*$C$5,$F$15)*'⑫ Roll-out Plan'!$O$60</f>
        <v>0</v>
      </c>
      <c r="CQ1001" s="40" t="n">
        <f aca="false">MIN((CQ559+CQ560)*$C$5,$F$15)*'⑫ Roll-out Plan'!$O$60</f>
        <v>0</v>
      </c>
      <c r="CR1001" s="40" t="n">
        <f aca="false">MIN((CR559+CR560)*$C$5,$F$15)*'⑫ Roll-out Plan'!$O$60</f>
        <v>0</v>
      </c>
      <c r="CS1001" s="40" t="n">
        <f aca="false">MIN((CS559+CS560)*$C$5,$F$15)*'⑫ Roll-out Plan'!$O$60</f>
        <v>0</v>
      </c>
      <c r="CT1001" s="40" t="n">
        <f aca="false">MIN((CT559+CT560)*$C$5,$F$15)*'⑫ Roll-out Plan'!$O$60</f>
        <v>0</v>
      </c>
      <c r="CU1001" s="40" t="n">
        <f aca="false">MIN((CU559+CU560)*$C$5,$F$15)*'⑫ Roll-out Plan'!$O$60</f>
        <v>0</v>
      </c>
      <c r="CV1001" s="40" t="n">
        <f aca="false">MIN((CV559+CV560)*$C$5,$F$15)*'⑫ Roll-out Plan'!$O$60</f>
        <v>0</v>
      </c>
      <c r="CW1001" s="40" t="n">
        <f aca="false">MIN((CW559+CW560)*$C$5,$F$15)*'⑫ Roll-out Plan'!$O$60</f>
        <v>0</v>
      </c>
      <c r="CX1001" s="40" t="n">
        <f aca="false">MIN((CX559+CX560)*$C$5,$F$15)*'⑫ Roll-out Plan'!$O$60</f>
        <v>0</v>
      </c>
      <c r="CY1001" s="40" t="n">
        <f aca="false">MIN((CY559+CY560)*$C$5,$F$15)*'⑫ Roll-out Plan'!$O$60</f>
        <v>0</v>
      </c>
      <c r="CZ1001" s="40" t="n">
        <f aca="false">MIN((CZ559+CZ560)*$C$5,$F$15)*'⑫ Roll-out Plan'!$O$60</f>
        <v>0</v>
      </c>
      <c r="DA1001" s="40" t="n">
        <f aca="false">MIN((DA559+DA560)*$C$5,$F$15)*'⑫ Roll-out Plan'!$O$60</f>
        <v>0</v>
      </c>
      <c r="DB1001" s="40" t="n">
        <f aca="false">MIN((DB559+DB560)*$C$5,$F$15)*'⑫ Roll-out Plan'!$O$60</f>
        <v>0</v>
      </c>
      <c r="DC1001" s="40" t="n">
        <f aca="false">MIN((DC559+DC560)*$C$5,$F$15)*'⑫ Roll-out Plan'!$O$60</f>
        <v>0</v>
      </c>
      <c r="DD1001" s="40" t="n">
        <f aca="false">MIN((DD559+DD560)*$C$5,$F$15)*'⑫ Roll-out Plan'!$O$60</f>
        <v>0</v>
      </c>
      <c r="DE1001" s="40" t="n">
        <f aca="false">MIN((DE559+DE560)*$C$5,$F$15)*'⑫ Roll-out Plan'!$O$60</f>
        <v>0</v>
      </c>
      <c r="DF1001" s="40" t="n">
        <f aca="false">MIN((DF559+DF560)*$C$5,$F$15)*'⑫ Roll-out Plan'!$O$60</f>
        <v>0</v>
      </c>
      <c r="DG1001" s="40" t="n">
        <f aca="false">MIN((DG559+DG560)*$C$5,$F$15)*'⑫ Roll-out Plan'!$O$60</f>
        <v>0</v>
      </c>
      <c r="DH1001" s="40" t="n">
        <f aca="false">MIN((DH559+DH560)*$C$5,$F$15)*'⑫ Roll-out Plan'!$O$60</f>
        <v>0</v>
      </c>
      <c r="DI1001" s="40" t="n">
        <f aca="false">MIN((DI559+DI560)*$C$5,$F$15)*'⑫ Roll-out Plan'!$O$60</f>
        <v>0</v>
      </c>
      <c r="DJ1001" s="40" t="n">
        <f aca="false">MIN((DJ559+DJ560)*$C$5,$F$15)*'⑫ Roll-out Plan'!$O$60</f>
        <v>0</v>
      </c>
      <c r="DK1001" s="40" t="n">
        <f aca="false">MIN((DK559+DK560)*$C$5,$F$15)*'⑫ Roll-out Plan'!$O$60</f>
        <v>0</v>
      </c>
      <c r="DL1001" s="40" t="n">
        <f aca="false">MIN((DL559+DL560)*$C$5,$F$15)*'⑫ Roll-out Plan'!$O$60</f>
        <v>0</v>
      </c>
      <c r="DM1001" s="40" t="n">
        <f aca="false">MIN((DM559+DM560)*$C$5,$F$15)*'⑫ Roll-out Plan'!$O$60</f>
        <v>0</v>
      </c>
      <c r="DN1001" s="40" t="n">
        <f aca="false">MIN((DN559+DN560)*$C$5,$F$15)*'⑫ Roll-out Plan'!$O$60</f>
        <v>0</v>
      </c>
      <c r="DO1001" s="40" t="n">
        <f aca="false">MIN((DO559+DO560)*$C$5,$F$15)*'⑫ Roll-out Plan'!$O$60</f>
        <v>0</v>
      </c>
      <c r="DP1001" s="40" t="n">
        <f aca="false">MIN((DP559+DP560)*$C$5,$F$15)*'⑫ Roll-out Plan'!$O$60</f>
        <v>0</v>
      </c>
      <c r="DQ1001" s="40" t="n">
        <f aca="false">MIN((DQ559+DQ560)*$C$5,$F$15)*'⑫ Roll-out Plan'!$O$60</f>
        <v>0</v>
      </c>
      <c r="DR1001" s="40" t="n">
        <f aca="false">MIN((DR559+DR560)*$C$5,$F$15)*'⑫ Roll-out Plan'!$O$60</f>
        <v>0</v>
      </c>
      <c r="DS1001" s="40" t="n">
        <f aca="false">MIN((DS559+DS560)*$C$5,$F$15)*'⑫ Roll-out Plan'!$O$60</f>
        <v>0</v>
      </c>
      <c r="DT1001" s="40" t="n">
        <f aca="false">MIN((DT559+DT560)*$C$5,$F$15)*'⑫ Roll-out Plan'!$O$60</f>
        <v>0</v>
      </c>
      <c r="DU1001" s="40" t="n">
        <f aca="false">MIN((DU559+DU560)*$C$5,$F$15)*'⑫ Roll-out Plan'!$O$60</f>
        <v>0</v>
      </c>
      <c r="DV1001" s="40" t="n">
        <f aca="false">MIN((DV559+DV560)*$C$5,$F$15)*'⑫ Roll-out Plan'!$O$60</f>
        <v>0</v>
      </c>
      <c r="DW1001" s="40" t="n">
        <f aca="false">MIN((DW559+DW560)*$C$5,$F$15)*'⑫ Roll-out Plan'!$O$60</f>
        <v>0</v>
      </c>
      <c r="DX1001" s="40" t="n">
        <f aca="false">MIN((DX559+DX560)*$C$5,$F$15)*'⑫ Roll-out Plan'!$O$60</f>
        <v>0</v>
      </c>
      <c r="DY1001" s="40" t="n">
        <f aca="false">MIN((DY559+DY560)*$C$5,$F$15)*'⑫ Roll-out Plan'!$O$60</f>
        <v>0</v>
      </c>
      <c r="DZ1001" s="40" t="n">
        <f aca="false">MIN((DZ559+DZ560)*$C$5,$F$15)*'⑫ Roll-out Plan'!$O$60</f>
        <v>0</v>
      </c>
      <c r="EA1001" s="40" t="n">
        <f aca="false">MIN((EA559+EA560)*$C$5,$F$15)*'⑫ Roll-out Plan'!$O$60</f>
        <v>0</v>
      </c>
      <c r="EB1001" s="40" t="n">
        <f aca="false">MIN((EB559+EB560)*$C$5,$F$15)*'⑫ Roll-out Plan'!$O$60</f>
        <v>0</v>
      </c>
      <c r="EC1001" s="40" t="n">
        <f aca="false">MIN((EC559+EC560)*$C$5,$F$15)*'⑫ Roll-out Plan'!$O$60</f>
        <v>0</v>
      </c>
      <c r="ED1001" s="40" t="n">
        <f aca="false">MIN((ED559+ED560)*$C$5,$F$15)*'⑫ Roll-out Plan'!$O$60</f>
        <v>0</v>
      </c>
      <c r="EE1001" s="40" t="n">
        <f aca="false">MIN((EE559+EE560)*$C$5,$F$15)*'⑫ Roll-out Plan'!$O$60</f>
        <v>0</v>
      </c>
      <c r="EF1001" s="40" t="n">
        <f aca="false">MIN((EF559+EF560)*$C$5,$F$15)*'⑫ Roll-out Plan'!$O$60</f>
        <v>0</v>
      </c>
      <c r="EG1001" s="40" t="n">
        <f aca="false">MIN((EG559+EG560)*$C$5,$F$15)*'⑫ Roll-out Plan'!$O$60</f>
        <v>0</v>
      </c>
      <c r="EH1001" s="40" t="n">
        <f aca="false">MIN((EH559+EH560)*$C$5,$F$15)*'⑫ Roll-out Plan'!$O$60</f>
        <v>0</v>
      </c>
      <c r="EI1001" s="40" t="n">
        <f aca="false">MIN((EI559+EI560)*$C$5,$F$15)*'⑫ Roll-out Plan'!$O$60</f>
        <v>0</v>
      </c>
      <c r="EJ1001" s="40" t="n">
        <f aca="false">MIN((EJ559+EJ560)*$C$5,$F$15)*'⑫ Roll-out Plan'!$O$60</f>
        <v>0</v>
      </c>
      <c r="EK1001" s="40" t="n">
        <f aca="false">MIN((EK559+EK560)*$C$5,$F$15)*'⑫ Roll-out Plan'!$O$60</f>
        <v>0</v>
      </c>
      <c r="EL1001" s="40" t="n">
        <f aca="false">MIN((EL559+EL560)*$C$5,$F$15)*'⑫ Roll-out Plan'!$O$60</f>
        <v>0</v>
      </c>
      <c r="EM1001" s="40" t="n">
        <f aca="false">MIN((EM559+EM560)*$C$5,$F$15)*'⑫ Roll-out Plan'!$O$60</f>
        <v>0</v>
      </c>
      <c r="EN1001" s="40" t="n">
        <f aca="false">MIN((EN559+EN560)*$C$5,$F$15)*'⑫ Roll-out Plan'!$O$60</f>
        <v>0</v>
      </c>
      <c r="EO1001" s="40" t="n">
        <f aca="false">MIN((EO559+EO560)*$C$5,$F$15)*'⑫ Roll-out Plan'!$O$60</f>
        <v>0</v>
      </c>
      <c r="EP1001" s="40" t="n">
        <f aca="false">MIN((EP559+EP560)*$C$5,$F$15)*'⑫ Roll-out Plan'!$O$60</f>
        <v>0</v>
      </c>
      <c r="EQ1001" s="40" t="n">
        <f aca="false">MIN((EQ559+EQ560)*$C$5,$F$15)*'⑫ Roll-out Plan'!$O$60</f>
        <v>0</v>
      </c>
      <c r="ER1001" s="40" t="n">
        <f aca="false">MIN((ER559+ER560)*$C$5,$F$15)*'⑫ Roll-out Plan'!$O$60</f>
        <v>0</v>
      </c>
      <c r="ES1001" s="40" t="n">
        <f aca="false">MIN((ES559+ES560)*$C$5,$F$15)*'⑫ Roll-out Plan'!$O$60</f>
        <v>0</v>
      </c>
      <c r="ET1001" s="40" t="n">
        <f aca="false">MIN((ET559+ET560)*$C$5,$F$15)*'⑫ Roll-out Plan'!$O$60</f>
        <v>0</v>
      </c>
      <c r="EU1001" s="40" t="n">
        <f aca="false">MIN((EU559+EU560)*$C$5,$F$15)*'⑫ Roll-out Plan'!$O$60</f>
        <v>0</v>
      </c>
      <c r="EV1001" s="40" t="n">
        <f aca="false">MIN((EV559+EV560)*$C$5,$F$15)*'⑫ Roll-out Plan'!$O$60</f>
        <v>0</v>
      </c>
      <c r="EW1001" s="40" t="n">
        <f aca="false">MIN((EW559+EW560)*$C$5,$F$15)*'⑫ Roll-out Plan'!$O$60</f>
        <v>0</v>
      </c>
      <c r="EX1001" s="40" t="n">
        <f aca="false">MIN((EX559+EX560)*$C$5,$F$15)*'⑫ Roll-out Plan'!$O$60</f>
        <v>0</v>
      </c>
      <c r="EY1001" s="40" t="n">
        <f aca="false">MIN((EY559+EY560)*$C$5,$F$15)*'⑫ Roll-out Plan'!$O$60</f>
        <v>0</v>
      </c>
      <c r="EZ1001" s="40" t="n">
        <f aca="false">MIN((EZ559+EZ560)*$C$5,$F$15)*'⑫ Roll-out Plan'!$O$60</f>
        <v>0</v>
      </c>
      <c r="FA1001" s="40" t="n">
        <f aca="false">MIN((FA559+FA560)*$C$5,$F$15)*'⑫ Roll-out Plan'!$O$60</f>
        <v>0</v>
      </c>
      <c r="FB1001" s="40" t="n">
        <f aca="false">MIN((FB559+FB560)*$C$5,$F$15)*'⑫ Roll-out Plan'!$O$60</f>
        <v>0</v>
      </c>
      <c r="FC1001" s="40" t="n">
        <f aca="false">MIN((FC559+FC560)*$C$5,$F$15)*'⑫ Roll-out Plan'!$O$60</f>
        <v>0</v>
      </c>
      <c r="FD1001" s="40" t="n">
        <f aca="false">MIN((FD559+FD560)*$C$5,$F$15)*'⑫ Roll-out Plan'!$O$60</f>
        <v>0</v>
      </c>
      <c r="FE1001" s="40" t="n">
        <f aca="false">MIN((FE559+FE560)*$C$5,$F$15)*'⑫ Roll-out Plan'!$O$60</f>
        <v>0</v>
      </c>
      <c r="FF1001" s="40" t="n">
        <f aca="false">MIN((FF559+FF560)*$C$5,$F$15)*'⑫ Roll-out Plan'!$O$60</f>
        <v>0</v>
      </c>
      <c r="FG1001" s="40" t="n">
        <f aca="false">MIN((FG559+FG560)*$C$5,$F$15)*'⑫ Roll-out Plan'!$O$60</f>
        <v>0</v>
      </c>
      <c r="FH1001" s="40" t="n">
        <f aca="false">MIN((FH559+FH560)*$C$5,$F$15)*'⑫ Roll-out Plan'!$O$60</f>
        <v>0</v>
      </c>
      <c r="FI1001" s="40" t="n">
        <f aca="false">MIN((FI559+FI560)*$C$5,$F$15)*'⑫ Roll-out Plan'!$O$60</f>
        <v>0</v>
      </c>
      <c r="FJ1001" s="40" t="n">
        <f aca="false">MIN((FJ559+FJ560)*$C$5,$F$15)*'⑫ Roll-out Plan'!$O$60</f>
        <v>0</v>
      </c>
      <c r="FK1001" s="40" t="n">
        <f aca="false">MIN((FK559+FK560)*$C$5,$F$15)*'⑫ Roll-out Plan'!$O$60</f>
        <v>0</v>
      </c>
      <c r="FL1001" s="40" t="n">
        <f aca="false">MIN((FL559+FL560)*$C$5,$F$15)*'⑫ Roll-out Plan'!$O$60</f>
        <v>0</v>
      </c>
      <c r="FM1001" s="40" t="n">
        <f aca="false">MIN((FM559+FM560)*$C$5,$F$15)*'⑫ Roll-out Plan'!$O$60</f>
        <v>0</v>
      </c>
      <c r="FN1001" s="40" t="n">
        <f aca="false">MIN((FN559+FN560)*$C$5,$F$15)*'⑫ Roll-out Plan'!$O$60</f>
        <v>0</v>
      </c>
      <c r="FO1001" s="40" t="n">
        <f aca="false">MIN((FO559+FO560)*$C$5,$F$15)*'⑫ Roll-out Plan'!$O$60</f>
        <v>0</v>
      </c>
      <c r="FP1001" s="40" t="n">
        <f aca="false">MIN((FP559+FP560)*$C$5,$F$15)*'⑫ Roll-out Plan'!$O$60</f>
        <v>0</v>
      </c>
    </row>
    <row r="1002" customFormat="false" ht="15" hidden="false" customHeight="false" outlineLevel="0" collapsed="false">
      <c r="B1002" s="36" t="s">
        <v>929</v>
      </c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40" t="n">
        <f aca="false">MIN((AC569+AC570)*$C$5,$F$14)*'⑫ Roll-out Plan'!$O$61</f>
        <v>0</v>
      </c>
      <c r="AD1002" s="40" t="n">
        <f aca="false">MIN((AD569+AD570)*$C$5,$F$14)*'⑫ Roll-out Plan'!$O$61</f>
        <v>0</v>
      </c>
      <c r="AE1002" s="40" t="n">
        <f aca="false">MIN((AE569+AE570)*$C$5,$F$14)*'⑫ Roll-out Plan'!$O$61</f>
        <v>0</v>
      </c>
      <c r="AF1002" s="40" t="n">
        <f aca="false">MIN((AF569+AF570)*$C$5,$F$14)*'⑫ Roll-out Plan'!$O$61</f>
        <v>0</v>
      </c>
      <c r="AG1002" s="40" t="n">
        <f aca="false">MIN((AG569+AG570)*$C$5,$F$14)*'⑫ Roll-out Plan'!$O$61</f>
        <v>0</v>
      </c>
      <c r="AH1002" s="40" t="n">
        <f aca="false">MIN((AH569+AH570)*$C$5,$F$14)*'⑫ Roll-out Plan'!$O$61</f>
        <v>0</v>
      </c>
      <c r="AI1002" s="40" t="n">
        <f aca="false">MIN((AI569+AI570)*$C$5,$F$14)*'⑫ Roll-out Plan'!$O$61</f>
        <v>0</v>
      </c>
      <c r="AJ1002" s="40" t="n">
        <f aca="false">MIN((AJ569+AJ570)*$C$5,$F$14)*'⑫ Roll-out Plan'!$O$61</f>
        <v>0</v>
      </c>
      <c r="AK1002" s="40" t="n">
        <f aca="false">MIN((AK569+AK570)*$C$5,$F$14)*'⑫ Roll-out Plan'!$O$61</f>
        <v>0</v>
      </c>
      <c r="AL1002" s="40" t="n">
        <f aca="false">MIN((AL569+AL570)*$C$5,$F$14)*'⑫ Roll-out Plan'!$O$61</f>
        <v>0</v>
      </c>
      <c r="AM1002" s="40" t="n">
        <f aca="false">MIN((AM569+AM570)*$C$5,$F$14)*'⑫ Roll-out Plan'!$O$61</f>
        <v>0</v>
      </c>
      <c r="AN1002" s="40" t="n">
        <f aca="false">MIN((AN569+AN570)*$C$5,$F$14)*'⑫ Roll-out Plan'!$O$61</f>
        <v>0</v>
      </c>
      <c r="AO1002" s="40" t="n">
        <f aca="false">MIN((AO569+AO570)*$C$5,$F$14)*'⑫ Roll-out Plan'!$O$61</f>
        <v>0</v>
      </c>
      <c r="AP1002" s="40" t="n">
        <f aca="false">MIN((AP569+AP570)*$C$5,$F$14)*'⑫ Roll-out Plan'!$O$61</f>
        <v>0</v>
      </c>
      <c r="AQ1002" s="40" t="n">
        <f aca="false">MIN((AQ569+AQ570)*$C$5,$F$14)*'⑫ Roll-out Plan'!$O$61</f>
        <v>0</v>
      </c>
      <c r="AR1002" s="40" t="n">
        <f aca="false">MIN((AR569+AR570)*$C$5,$F$14)*'⑫ Roll-out Plan'!$O$61</f>
        <v>0</v>
      </c>
      <c r="AS1002" s="40" t="n">
        <f aca="false">MIN((AS569+AS570)*$C$5,$F$14)*'⑫ Roll-out Plan'!$O$61</f>
        <v>0</v>
      </c>
      <c r="AT1002" s="40" t="n">
        <f aca="false">MIN((AT569+AT570)*$C$5,$F$14)*'⑫ Roll-out Plan'!$O$61</f>
        <v>0</v>
      </c>
      <c r="AU1002" s="40" t="n">
        <f aca="false">MIN((AU569+AU570)*$C$5,$F$14)*'⑫ Roll-out Plan'!$O$61</f>
        <v>0</v>
      </c>
      <c r="AV1002" s="40" t="n">
        <f aca="false">MIN((AV569+AV570)*$C$5,$F$14)*'⑫ Roll-out Plan'!$O$61</f>
        <v>0</v>
      </c>
      <c r="AW1002" s="40" t="n">
        <f aca="false">MIN((AW569+AW570)*$C$5,$F$14)*'⑫ Roll-out Plan'!$O$61</f>
        <v>0</v>
      </c>
      <c r="AX1002" s="40" t="n">
        <f aca="false">MIN((AX569+AX570)*$C$5,$F$14)*'⑫ Roll-out Plan'!$O$61</f>
        <v>0</v>
      </c>
      <c r="AY1002" s="40" t="n">
        <f aca="false">MIN((AY569+AY570)*$C$5,$F$14)*'⑫ Roll-out Plan'!$O$61</f>
        <v>0</v>
      </c>
      <c r="AZ1002" s="40" t="n">
        <f aca="false">MIN((AZ569+AZ570)*$C$5,$F$14)*'⑫ Roll-out Plan'!$O$61</f>
        <v>0</v>
      </c>
      <c r="BA1002" s="40" t="n">
        <f aca="false">MIN((BA569+BA570)*$C$5,$F$14)*'⑫ Roll-out Plan'!$O$61</f>
        <v>0</v>
      </c>
      <c r="BB1002" s="40" t="n">
        <f aca="false">MIN((BB569+BB570)*$C$5,$F$14)*'⑫ Roll-out Plan'!$O$61</f>
        <v>0</v>
      </c>
      <c r="BC1002" s="40" t="n">
        <f aca="false">MIN((BC569+BC570)*$C$5,$F$14)*'⑫ Roll-out Plan'!$O$61</f>
        <v>0</v>
      </c>
      <c r="BD1002" s="40" t="n">
        <f aca="false">MIN((BD569+BD570)*$C$5,$F$14)*'⑫ Roll-out Plan'!$O$61</f>
        <v>0</v>
      </c>
      <c r="BE1002" s="40" t="n">
        <f aca="false">MIN((BE569+BE570)*$C$5,$F$14)*'⑫ Roll-out Plan'!$O$61</f>
        <v>0</v>
      </c>
      <c r="BF1002" s="40" t="n">
        <f aca="false">MIN((BF569+BF570)*$C$5,$F$14)*'⑫ Roll-out Plan'!$O$61</f>
        <v>0</v>
      </c>
      <c r="BG1002" s="40" t="n">
        <f aca="false">MIN((BG569+BG570)*$C$5,$F$14)*'⑫ Roll-out Plan'!$O$61</f>
        <v>0</v>
      </c>
      <c r="BH1002" s="40" t="n">
        <f aca="false">MIN((BH569+BH570)*$C$5,$F$14)*'⑫ Roll-out Plan'!$O$61</f>
        <v>0</v>
      </c>
      <c r="BI1002" s="40" t="n">
        <f aca="false">MIN((BI569+BI570)*$C$5,$F$14)*'⑫ Roll-out Plan'!$O$61</f>
        <v>0</v>
      </c>
      <c r="BJ1002" s="40" t="n">
        <f aca="false">MIN((BJ569+BJ570)*$C$5,$F$14)*'⑫ Roll-out Plan'!$O$61</f>
        <v>0</v>
      </c>
      <c r="BK1002" s="40" t="n">
        <f aca="false">MIN((BK569+BK570)*$C$5,$F$14)*'⑫ Roll-out Plan'!$O$61</f>
        <v>0</v>
      </c>
      <c r="BL1002" s="40" t="n">
        <f aca="false">MIN((BL569+BL570)*$C$5,$F$14)*'⑫ Roll-out Plan'!$O$61</f>
        <v>0</v>
      </c>
      <c r="BM1002" s="40" t="n">
        <f aca="false">MIN((BM569+BM570)*$C$5,$F$14)*'⑫ Roll-out Plan'!$O$61</f>
        <v>0</v>
      </c>
      <c r="BN1002" s="40" t="n">
        <f aca="false">MIN((BN569+BN570)*$C$5,$F$14)*'⑫ Roll-out Plan'!$O$61</f>
        <v>0</v>
      </c>
      <c r="BO1002" s="40" t="n">
        <f aca="false">MIN((BO569+BO570)*$C$5,$F$14)*'⑫ Roll-out Plan'!$O$61</f>
        <v>0</v>
      </c>
      <c r="BP1002" s="40" t="n">
        <f aca="false">MIN((BP569+BP570)*$C$5,$F$14)*'⑫ Roll-out Plan'!$O$61</f>
        <v>0</v>
      </c>
      <c r="BQ1002" s="40" t="n">
        <f aca="false">MIN((BQ569+BQ570)*$C$5,$F$14)*'⑫ Roll-out Plan'!$O$61</f>
        <v>0</v>
      </c>
      <c r="BR1002" s="40" t="n">
        <f aca="false">MIN((BR569+BR570)*$C$5,$F$14)*'⑫ Roll-out Plan'!$O$61</f>
        <v>0</v>
      </c>
      <c r="BS1002" s="40" t="n">
        <f aca="false">MIN((BS569+BS570)*$C$5,$F$14)*'⑫ Roll-out Plan'!$O$61</f>
        <v>0</v>
      </c>
      <c r="BT1002" s="40" t="n">
        <f aca="false">MIN((BT569+BT570)*$C$5,$F$14)*'⑫ Roll-out Plan'!$O$61</f>
        <v>0</v>
      </c>
      <c r="BU1002" s="40" t="n">
        <f aca="false">MIN((BU569+BU570)*$C$5,$F$14)*'⑫ Roll-out Plan'!$O$61</f>
        <v>0</v>
      </c>
      <c r="BV1002" s="40" t="n">
        <f aca="false">MIN((BV569+BV570)*$C$5,$F$14)*'⑫ Roll-out Plan'!$O$61</f>
        <v>0</v>
      </c>
      <c r="BW1002" s="40" t="n">
        <f aca="false">MIN((BW569+BW570)*$C$5,$F$14)*'⑫ Roll-out Plan'!$O$61</f>
        <v>0</v>
      </c>
      <c r="BX1002" s="40" t="n">
        <f aca="false">MIN((BX569+BX570)*$C$5,$F$14)*'⑫ Roll-out Plan'!$O$61</f>
        <v>0</v>
      </c>
      <c r="BY1002" s="40" t="n">
        <f aca="false">MIN((BY569+BY570)*$C$5,$F$14)*'⑫ Roll-out Plan'!$O$61</f>
        <v>0</v>
      </c>
      <c r="BZ1002" s="40" t="n">
        <f aca="false">MIN((BZ569+BZ570)*$C$5,$F$14)*'⑫ Roll-out Plan'!$O$61</f>
        <v>0</v>
      </c>
      <c r="CA1002" s="40" t="n">
        <f aca="false">MIN((CA569+CA570)*$C$5,$F$14)*'⑫ Roll-out Plan'!$O$61</f>
        <v>0</v>
      </c>
      <c r="CB1002" s="40" t="n">
        <f aca="false">MIN((CB569+CB570)*$C$5,$F$14)*'⑫ Roll-out Plan'!$O$61</f>
        <v>0</v>
      </c>
      <c r="CC1002" s="40" t="n">
        <f aca="false">MIN((CC569+CC570)*$C$5,$F$14)*'⑫ Roll-out Plan'!$O$61</f>
        <v>0</v>
      </c>
      <c r="CD1002" s="40" t="n">
        <f aca="false">MIN((CD569+CD570)*$C$5,$F$14)*'⑫ Roll-out Plan'!$O$61</f>
        <v>0</v>
      </c>
      <c r="CE1002" s="40" t="n">
        <f aca="false">MIN((CE569+CE570)*$C$5,$F$14)*'⑫ Roll-out Plan'!$O$61</f>
        <v>0</v>
      </c>
      <c r="CF1002" s="40" t="n">
        <f aca="false">MIN((CF569+CF570)*$C$5,$F$14)*'⑫ Roll-out Plan'!$O$61</f>
        <v>0</v>
      </c>
      <c r="CG1002" s="40" t="n">
        <f aca="false">MIN((CG569+CG570)*$C$5,$F$14)*'⑫ Roll-out Plan'!$O$61</f>
        <v>0</v>
      </c>
      <c r="CH1002" s="40" t="n">
        <f aca="false">MIN((CH569+CH570)*$C$5,$F$14)*'⑫ Roll-out Plan'!$O$61</f>
        <v>0</v>
      </c>
      <c r="CI1002" s="40" t="n">
        <f aca="false">MIN((CI569+CI570)*$C$5,$F$14)*'⑫ Roll-out Plan'!$O$61</f>
        <v>0</v>
      </c>
      <c r="CJ1002" s="40" t="n">
        <f aca="false">MIN((CJ569+CJ570)*$C$5,$F$14)*'⑫ Roll-out Plan'!$O$61</f>
        <v>0</v>
      </c>
      <c r="CK1002" s="40" t="n">
        <f aca="false">MIN((CK569+CK570)*$C$5,$F$14)*'⑫ Roll-out Plan'!$O$61</f>
        <v>0</v>
      </c>
      <c r="CL1002" s="40" t="n">
        <f aca="false">MIN((CL569+CL570)*$C$5,$F$14)*'⑫ Roll-out Plan'!$O$61</f>
        <v>0</v>
      </c>
      <c r="CM1002" s="40" t="n">
        <f aca="false">MIN((CM569+CM570)*$C$5,$F$14)*'⑫ Roll-out Plan'!$O$61</f>
        <v>0</v>
      </c>
      <c r="CN1002" s="40" t="n">
        <f aca="false">MIN((CN569+CN570)*$C$5,$F$14)*'⑫ Roll-out Plan'!$O$61</f>
        <v>0</v>
      </c>
      <c r="CO1002" s="40" t="n">
        <f aca="false">MIN((CO569+CO570)*$C$5,$F$14)*'⑫ Roll-out Plan'!$O$61</f>
        <v>0</v>
      </c>
      <c r="CP1002" s="40" t="n">
        <f aca="false">MIN((CP569+CP570)*$C$5,$F$14)*'⑫ Roll-out Plan'!$O$61</f>
        <v>0</v>
      </c>
      <c r="CQ1002" s="40" t="n">
        <f aca="false">MIN((CQ569+CQ570)*$C$5,$F$14)*'⑫ Roll-out Plan'!$O$61</f>
        <v>0</v>
      </c>
      <c r="CR1002" s="40" t="n">
        <f aca="false">MIN((CR569+CR570)*$C$5,$F$14)*'⑫ Roll-out Plan'!$O$61</f>
        <v>0</v>
      </c>
      <c r="CS1002" s="40" t="n">
        <f aca="false">MIN((CS569+CS570)*$C$5,$F$14)*'⑫ Roll-out Plan'!$O$61</f>
        <v>0</v>
      </c>
      <c r="CT1002" s="40" t="n">
        <f aca="false">MIN((CT569+CT570)*$C$5,$F$14)*'⑫ Roll-out Plan'!$O$61</f>
        <v>0</v>
      </c>
      <c r="CU1002" s="40" t="n">
        <f aca="false">MIN((CU569+CU570)*$C$5,$F$14)*'⑫ Roll-out Plan'!$O$61</f>
        <v>0</v>
      </c>
      <c r="CV1002" s="40" t="n">
        <f aca="false">MIN((CV569+CV570)*$C$5,$F$14)*'⑫ Roll-out Plan'!$O$61</f>
        <v>0</v>
      </c>
      <c r="CW1002" s="40" t="n">
        <f aca="false">MIN((CW569+CW570)*$C$5,$F$14)*'⑫ Roll-out Plan'!$O$61</f>
        <v>0</v>
      </c>
      <c r="CX1002" s="40" t="n">
        <f aca="false">MIN((CX569+CX570)*$C$5,$F$14)*'⑫ Roll-out Plan'!$O$61</f>
        <v>0</v>
      </c>
      <c r="CY1002" s="40" t="n">
        <f aca="false">MIN((CY569+CY570)*$C$5,$F$14)*'⑫ Roll-out Plan'!$O$61</f>
        <v>0</v>
      </c>
      <c r="CZ1002" s="40" t="n">
        <f aca="false">MIN((CZ569+CZ570)*$C$5,$F$14)*'⑫ Roll-out Plan'!$O$61</f>
        <v>0</v>
      </c>
      <c r="DA1002" s="40" t="n">
        <f aca="false">MIN((DA569+DA570)*$C$5,$F$14)*'⑫ Roll-out Plan'!$O$61</f>
        <v>0</v>
      </c>
      <c r="DB1002" s="40" t="n">
        <f aca="false">MIN((DB569+DB570)*$C$5,$F$14)*'⑫ Roll-out Plan'!$O$61</f>
        <v>0</v>
      </c>
      <c r="DC1002" s="40" t="n">
        <f aca="false">MIN((DC569+DC570)*$C$5,$F$14)*'⑫ Roll-out Plan'!$O$61</f>
        <v>0</v>
      </c>
      <c r="DD1002" s="40" t="n">
        <f aca="false">MIN((DD569+DD570)*$C$5,$F$14)*'⑫ Roll-out Plan'!$O$61</f>
        <v>0</v>
      </c>
      <c r="DE1002" s="40" t="n">
        <f aca="false">MIN((DE569+DE570)*$C$5,$F$14)*'⑫ Roll-out Plan'!$O$61</f>
        <v>0</v>
      </c>
      <c r="DF1002" s="40" t="n">
        <f aca="false">MIN((DF569+DF570)*$C$5,$F$14)*'⑫ Roll-out Plan'!$O$61</f>
        <v>0</v>
      </c>
      <c r="DG1002" s="40" t="n">
        <f aca="false">MIN((DG569+DG570)*$C$5,$F$14)*'⑫ Roll-out Plan'!$O$61</f>
        <v>0</v>
      </c>
      <c r="DH1002" s="40" t="n">
        <f aca="false">MIN((DH569+DH570)*$C$5,$F$14)*'⑫ Roll-out Plan'!$O$61</f>
        <v>0</v>
      </c>
      <c r="DI1002" s="40" t="n">
        <f aca="false">MIN((DI569+DI570)*$C$5,$F$14)*'⑫ Roll-out Plan'!$O$61</f>
        <v>0</v>
      </c>
      <c r="DJ1002" s="40" t="n">
        <f aca="false">MIN((DJ569+DJ570)*$C$5,$F$14)*'⑫ Roll-out Plan'!$O$61</f>
        <v>0</v>
      </c>
      <c r="DK1002" s="40" t="n">
        <f aca="false">MIN((DK569+DK570)*$C$5,$F$14)*'⑫ Roll-out Plan'!$O$61</f>
        <v>0</v>
      </c>
      <c r="DL1002" s="40" t="n">
        <f aca="false">MIN((DL569+DL570)*$C$5,$F$14)*'⑫ Roll-out Plan'!$O$61</f>
        <v>0</v>
      </c>
      <c r="DM1002" s="40" t="n">
        <f aca="false">MIN((DM569+DM570)*$C$5,$F$14)*'⑫ Roll-out Plan'!$O$61</f>
        <v>0</v>
      </c>
      <c r="DN1002" s="40" t="n">
        <f aca="false">MIN((DN569+DN570)*$C$5,$F$14)*'⑫ Roll-out Plan'!$O$61</f>
        <v>0</v>
      </c>
      <c r="DO1002" s="40" t="n">
        <f aca="false">MIN((DO569+DO570)*$C$5,$F$14)*'⑫ Roll-out Plan'!$O$61</f>
        <v>0</v>
      </c>
      <c r="DP1002" s="40" t="n">
        <f aca="false">MIN((DP569+DP570)*$C$5,$F$14)*'⑫ Roll-out Plan'!$O$61</f>
        <v>0</v>
      </c>
      <c r="DQ1002" s="40" t="n">
        <f aca="false">MIN((DQ569+DQ570)*$C$5,$F$14)*'⑫ Roll-out Plan'!$O$61</f>
        <v>0</v>
      </c>
      <c r="DR1002" s="40" t="n">
        <f aca="false">MIN((DR569+DR570)*$C$5,$F$14)*'⑫ Roll-out Plan'!$O$61</f>
        <v>0</v>
      </c>
      <c r="DS1002" s="40" t="n">
        <f aca="false">MIN((DS569+DS570)*$C$5,$F$14)*'⑫ Roll-out Plan'!$O$61</f>
        <v>0</v>
      </c>
      <c r="DT1002" s="40" t="n">
        <f aca="false">MIN((DT569+DT570)*$C$5,$F$14)*'⑫ Roll-out Plan'!$O$61</f>
        <v>0</v>
      </c>
      <c r="DU1002" s="40" t="n">
        <f aca="false">MIN((DU569+DU570)*$C$5,$F$14)*'⑫ Roll-out Plan'!$O$61</f>
        <v>0</v>
      </c>
      <c r="DV1002" s="40" t="n">
        <f aca="false">MIN((DV569+DV570)*$C$5,$F$14)*'⑫ Roll-out Plan'!$O$61</f>
        <v>0</v>
      </c>
      <c r="DW1002" s="40" t="n">
        <f aca="false">MIN((DW569+DW570)*$C$5,$F$14)*'⑫ Roll-out Plan'!$O$61</f>
        <v>0</v>
      </c>
      <c r="DX1002" s="40" t="n">
        <f aca="false">MIN((DX569+DX570)*$C$5,$F$14)*'⑫ Roll-out Plan'!$O$61</f>
        <v>0</v>
      </c>
      <c r="DY1002" s="40" t="n">
        <f aca="false">MIN((DY569+DY570)*$C$5,$F$14)*'⑫ Roll-out Plan'!$O$61</f>
        <v>0</v>
      </c>
      <c r="DZ1002" s="40" t="n">
        <f aca="false">MIN((DZ569+DZ570)*$C$5,$F$14)*'⑫ Roll-out Plan'!$O$61</f>
        <v>0</v>
      </c>
      <c r="EA1002" s="40" t="n">
        <f aca="false">MIN((EA569+EA570)*$C$5,$F$14)*'⑫ Roll-out Plan'!$O$61</f>
        <v>0</v>
      </c>
      <c r="EB1002" s="40" t="n">
        <f aca="false">MIN((EB569+EB570)*$C$5,$F$14)*'⑫ Roll-out Plan'!$O$61</f>
        <v>0</v>
      </c>
      <c r="EC1002" s="40" t="n">
        <f aca="false">MIN((EC569+EC570)*$C$5,$F$14)*'⑫ Roll-out Plan'!$O$61</f>
        <v>0</v>
      </c>
      <c r="ED1002" s="40" t="n">
        <f aca="false">MIN((ED569+ED570)*$C$5,$F$14)*'⑫ Roll-out Plan'!$O$61</f>
        <v>0</v>
      </c>
      <c r="EE1002" s="40" t="n">
        <f aca="false">MIN((EE569+EE570)*$C$5,$F$14)*'⑫ Roll-out Plan'!$O$61</f>
        <v>0</v>
      </c>
      <c r="EF1002" s="40" t="n">
        <f aca="false">MIN((EF569+EF570)*$C$5,$F$14)*'⑫ Roll-out Plan'!$O$61</f>
        <v>0</v>
      </c>
      <c r="EG1002" s="40" t="n">
        <f aca="false">MIN((EG569+EG570)*$C$5,$F$14)*'⑫ Roll-out Plan'!$O$61</f>
        <v>0</v>
      </c>
      <c r="EH1002" s="40" t="n">
        <f aca="false">MIN((EH569+EH570)*$C$5,$F$14)*'⑫ Roll-out Plan'!$O$61</f>
        <v>0</v>
      </c>
      <c r="EI1002" s="40" t="n">
        <f aca="false">MIN((EI569+EI570)*$C$5,$F$14)*'⑫ Roll-out Plan'!$O$61</f>
        <v>0</v>
      </c>
      <c r="EJ1002" s="40" t="n">
        <f aca="false">MIN((EJ569+EJ570)*$C$5,$F$14)*'⑫ Roll-out Plan'!$O$61</f>
        <v>0</v>
      </c>
      <c r="EK1002" s="40" t="n">
        <f aca="false">MIN((EK569+EK570)*$C$5,$F$14)*'⑫ Roll-out Plan'!$O$61</f>
        <v>0</v>
      </c>
      <c r="EL1002" s="40" t="n">
        <f aca="false">MIN((EL569+EL570)*$C$5,$F$14)*'⑫ Roll-out Plan'!$O$61</f>
        <v>0</v>
      </c>
      <c r="EM1002" s="40" t="n">
        <f aca="false">MIN((EM569+EM570)*$C$5,$F$14)*'⑫ Roll-out Plan'!$O$61</f>
        <v>0</v>
      </c>
      <c r="EN1002" s="40" t="n">
        <f aca="false">MIN((EN569+EN570)*$C$5,$F$14)*'⑫ Roll-out Plan'!$O$61</f>
        <v>0</v>
      </c>
      <c r="EO1002" s="40" t="n">
        <f aca="false">MIN((EO569+EO570)*$C$5,$F$14)*'⑫ Roll-out Plan'!$O$61</f>
        <v>0</v>
      </c>
      <c r="EP1002" s="40" t="n">
        <f aca="false">MIN((EP569+EP570)*$C$5,$F$14)*'⑫ Roll-out Plan'!$O$61</f>
        <v>0</v>
      </c>
      <c r="EQ1002" s="40" t="n">
        <f aca="false">MIN((EQ569+EQ570)*$C$5,$F$14)*'⑫ Roll-out Plan'!$O$61</f>
        <v>0</v>
      </c>
      <c r="ER1002" s="40" t="n">
        <f aca="false">MIN((ER569+ER570)*$C$5,$F$14)*'⑫ Roll-out Plan'!$O$61</f>
        <v>0</v>
      </c>
      <c r="ES1002" s="40" t="n">
        <f aca="false">MIN((ES569+ES570)*$C$5,$F$14)*'⑫ Roll-out Plan'!$O$61</f>
        <v>0</v>
      </c>
      <c r="ET1002" s="40" t="n">
        <f aca="false">MIN((ET569+ET570)*$C$5,$F$14)*'⑫ Roll-out Plan'!$O$61</f>
        <v>0</v>
      </c>
      <c r="EU1002" s="40" t="n">
        <f aca="false">MIN((EU569+EU570)*$C$5,$F$14)*'⑫ Roll-out Plan'!$O$61</f>
        <v>0</v>
      </c>
      <c r="EV1002" s="40" t="n">
        <f aca="false">MIN((EV569+EV570)*$C$5,$F$14)*'⑫ Roll-out Plan'!$O$61</f>
        <v>0</v>
      </c>
      <c r="EW1002" s="40" t="n">
        <f aca="false">MIN((EW569+EW570)*$C$5,$F$14)*'⑫ Roll-out Plan'!$O$61</f>
        <v>0</v>
      </c>
      <c r="EX1002" s="40" t="n">
        <f aca="false">MIN((EX569+EX570)*$C$5,$F$14)*'⑫ Roll-out Plan'!$O$61</f>
        <v>0</v>
      </c>
      <c r="EY1002" s="40" t="n">
        <f aca="false">MIN((EY569+EY570)*$C$5,$F$14)*'⑫ Roll-out Plan'!$O$61</f>
        <v>0</v>
      </c>
      <c r="EZ1002" s="40" t="n">
        <f aca="false">MIN((EZ569+EZ570)*$C$5,$F$14)*'⑫ Roll-out Plan'!$O$61</f>
        <v>0</v>
      </c>
      <c r="FA1002" s="40" t="n">
        <f aca="false">MIN((FA569+FA570)*$C$5,$F$14)*'⑫ Roll-out Plan'!$O$61</f>
        <v>0</v>
      </c>
      <c r="FB1002" s="40" t="n">
        <f aca="false">MIN((FB569+FB570)*$C$5,$F$14)*'⑫ Roll-out Plan'!$O$61</f>
        <v>0</v>
      </c>
      <c r="FC1002" s="40" t="n">
        <f aca="false">MIN((FC569+FC570)*$C$5,$F$14)*'⑫ Roll-out Plan'!$O$61</f>
        <v>0</v>
      </c>
      <c r="FD1002" s="40" t="n">
        <f aca="false">MIN((FD569+FD570)*$C$5,$F$14)*'⑫ Roll-out Plan'!$O$61</f>
        <v>0</v>
      </c>
      <c r="FE1002" s="40" t="n">
        <f aca="false">MIN((FE569+FE570)*$C$5,$F$14)*'⑫ Roll-out Plan'!$O$61</f>
        <v>0</v>
      </c>
      <c r="FF1002" s="40" t="n">
        <f aca="false">MIN((FF569+FF570)*$C$5,$F$14)*'⑫ Roll-out Plan'!$O$61</f>
        <v>0</v>
      </c>
      <c r="FG1002" s="40" t="n">
        <f aca="false">MIN((FG569+FG570)*$C$5,$F$14)*'⑫ Roll-out Plan'!$O$61</f>
        <v>0</v>
      </c>
      <c r="FH1002" s="40" t="n">
        <f aca="false">MIN((FH569+FH570)*$C$5,$F$14)*'⑫ Roll-out Plan'!$O$61</f>
        <v>0</v>
      </c>
      <c r="FI1002" s="40" t="n">
        <f aca="false">MIN((FI569+FI570)*$C$5,$F$14)*'⑫ Roll-out Plan'!$O$61</f>
        <v>0</v>
      </c>
      <c r="FJ1002" s="40" t="n">
        <f aca="false">MIN((FJ569+FJ570)*$C$5,$F$14)*'⑫ Roll-out Plan'!$O$61</f>
        <v>0</v>
      </c>
      <c r="FK1002" s="40" t="n">
        <f aca="false">MIN((FK569+FK570)*$C$5,$F$14)*'⑫ Roll-out Plan'!$O$61</f>
        <v>0</v>
      </c>
      <c r="FL1002" s="40" t="n">
        <f aca="false">MIN((FL569+FL570)*$C$5,$F$14)*'⑫ Roll-out Plan'!$O$61</f>
        <v>0</v>
      </c>
      <c r="FM1002" s="40" t="n">
        <f aca="false">MIN((FM569+FM570)*$C$5,$F$14)*'⑫ Roll-out Plan'!$O$61</f>
        <v>0</v>
      </c>
      <c r="FN1002" s="40" t="n">
        <f aca="false">MIN((FN569+FN570)*$C$5,$F$14)*'⑫ Roll-out Plan'!$O$61</f>
        <v>0</v>
      </c>
      <c r="FO1002" s="40" t="n">
        <f aca="false">MIN((FO569+FO570)*$C$5,$F$14)*'⑫ Roll-out Plan'!$O$61</f>
        <v>0</v>
      </c>
      <c r="FP1002" s="40" t="n">
        <f aca="false">MIN((FP569+FP570)*$C$5,$F$14)*'⑫ Roll-out Plan'!$O$61</f>
        <v>0</v>
      </c>
    </row>
    <row r="1003" customFormat="false" ht="15" hidden="false" customHeight="false" outlineLevel="0" collapsed="false">
      <c r="B1003" s="36" t="s">
        <v>930</v>
      </c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40" t="n">
        <f aca="false">MIN((AC579+AC580)*$C$5,$F$15)*'⑫ Roll-out Plan'!$O$62</f>
        <v>0</v>
      </c>
      <c r="AD1003" s="40" t="n">
        <f aca="false">MIN((AD579+AD580)*$C$5,$F$15)*'⑫ Roll-out Plan'!$O$62</f>
        <v>0</v>
      </c>
      <c r="AE1003" s="40" t="n">
        <f aca="false">MIN((AE579+AE580)*$C$5,$F$15)*'⑫ Roll-out Plan'!$O$62</f>
        <v>0</v>
      </c>
      <c r="AF1003" s="40" t="n">
        <f aca="false">MIN((AF579+AF580)*$C$5,$F$15)*'⑫ Roll-out Plan'!$O$62</f>
        <v>0</v>
      </c>
      <c r="AG1003" s="40" t="n">
        <f aca="false">MIN((AG579+AG580)*$C$5,$F$15)*'⑫ Roll-out Plan'!$O$62</f>
        <v>0</v>
      </c>
      <c r="AH1003" s="40" t="n">
        <f aca="false">MIN((AH579+AH580)*$C$5,$F$15)*'⑫ Roll-out Plan'!$O$62</f>
        <v>0</v>
      </c>
      <c r="AI1003" s="40" t="n">
        <f aca="false">MIN((AI579+AI580)*$C$5,$F$15)*'⑫ Roll-out Plan'!$O$62</f>
        <v>0</v>
      </c>
      <c r="AJ1003" s="40" t="n">
        <f aca="false">MIN((AJ579+AJ580)*$C$5,$F$15)*'⑫ Roll-out Plan'!$O$62</f>
        <v>0</v>
      </c>
      <c r="AK1003" s="40" t="n">
        <f aca="false">MIN((AK579+AK580)*$C$5,$F$15)*'⑫ Roll-out Plan'!$O$62</f>
        <v>0</v>
      </c>
      <c r="AL1003" s="40" t="n">
        <f aca="false">MIN((AL579+AL580)*$C$5,$F$15)*'⑫ Roll-out Plan'!$O$62</f>
        <v>0</v>
      </c>
      <c r="AM1003" s="40" t="n">
        <f aca="false">MIN((AM579+AM580)*$C$5,$F$15)*'⑫ Roll-out Plan'!$O$62</f>
        <v>0</v>
      </c>
      <c r="AN1003" s="40" t="n">
        <f aca="false">MIN((AN579+AN580)*$C$5,$F$15)*'⑫ Roll-out Plan'!$O$62</f>
        <v>0</v>
      </c>
      <c r="AO1003" s="40" t="n">
        <f aca="false">MIN((AO579+AO580)*$C$5,$F$15)*'⑫ Roll-out Plan'!$O$62</f>
        <v>0</v>
      </c>
      <c r="AP1003" s="40" t="n">
        <f aca="false">MIN((AP579+AP580)*$C$5,$F$15)*'⑫ Roll-out Plan'!$O$62</f>
        <v>0</v>
      </c>
      <c r="AQ1003" s="40" t="n">
        <f aca="false">MIN((AQ579+AQ580)*$C$5,$F$15)*'⑫ Roll-out Plan'!$O$62</f>
        <v>0</v>
      </c>
      <c r="AR1003" s="40" t="n">
        <f aca="false">MIN((AR579+AR580)*$C$5,$F$15)*'⑫ Roll-out Plan'!$O$62</f>
        <v>0</v>
      </c>
      <c r="AS1003" s="40" t="n">
        <f aca="false">MIN((AS579+AS580)*$C$5,$F$15)*'⑫ Roll-out Plan'!$O$62</f>
        <v>0</v>
      </c>
      <c r="AT1003" s="40" t="n">
        <f aca="false">MIN((AT579+AT580)*$C$5,$F$15)*'⑫ Roll-out Plan'!$O$62</f>
        <v>0</v>
      </c>
      <c r="AU1003" s="40" t="n">
        <f aca="false">MIN((AU579+AU580)*$C$5,$F$15)*'⑫ Roll-out Plan'!$O$62</f>
        <v>0</v>
      </c>
      <c r="AV1003" s="40" t="n">
        <f aca="false">MIN((AV579+AV580)*$C$5,$F$15)*'⑫ Roll-out Plan'!$O$62</f>
        <v>0</v>
      </c>
      <c r="AW1003" s="40" t="n">
        <f aca="false">MIN((AW579+AW580)*$C$5,$F$15)*'⑫ Roll-out Plan'!$O$62</f>
        <v>0</v>
      </c>
      <c r="AX1003" s="40" t="n">
        <f aca="false">MIN((AX579+AX580)*$C$5,$F$15)*'⑫ Roll-out Plan'!$O$62</f>
        <v>0</v>
      </c>
      <c r="AY1003" s="40" t="n">
        <f aca="false">MIN((AY579+AY580)*$C$5,$F$15)*'⑫ Roll-out Plan'!$O$62</f>
        <v>0</v>
      </c>
      <c r="AZ1003" s="40" t="n">
        <f aca="false">MIN((AZ579+AZ580)*$C$5,$F$15)*'⑫ Roll-out Plan'!$O$62</f>
        <v>0</v>
      </c>
      <c r="BA1003" s="40" t="n">
        <f aca="false">MIN((BA579+BA580)*$C$5,$F$15)*'⑫ Roll-out Plan'!$O$62</f>
        <v>0</v>
      </c>
      <c r="BB1003" s="40" t="n">
        <f aca="false">MIN((BB579+BB580)*$C$5,$F$15)*'⑫ Roll-out Plan'!$O$62</f>
        <v>0</v>
      </c>
      <c r="BC1003" s="40" t="n">
        <f aca="false">MIN((BC579+BC580)*$C$5,$F$15)*'⑫ Roll-out Plan'!$O$62</f>
        <v>0</v>
      </c>
      <c r="BD1003" s="40" t="n">
        <f aca="false">MIN((BD579+BD580)*$C$5,$F$15)*'⑫ Roll-out Plan'!$O$62</f>
        <v>0</v>
      </c>
      <c r="BE1003" s="40" t="n">
        <f aca="false">MIN((BE579+BE580)*$C$5,$F$15)*'⑫ Roll-out Plan'!$O$62</f>
        <v>0</v>
      </c>
      <c r="BF1003" s="40" t="n">
        <f aca="false">MIN((BF579+BF580)*$C$5,$F$15)*'⑫ Roll-out Plan'!$O$62</f>
        <v>0</v>
      </c>
      <c r="BG1003" s="40" t="n">
        <f aca="false">MIN((BG579+BG580)*$C$5,$F$15)*'⑫ Roll-out Plan'!$O$62</f>
        <v>0</v>
      </c>
      <c r="BH1003" s="40" t="n">
        <f aca="false">MIN((BH579+BH580)*$C$5,$F$15)*'⑫ Roll-out Plan'!$O$62</f>
        <v>0</v>
      </c>
      <c r="BI1003" s="40" t="n">
        <f aca="false">MIN((BI579+BI580)*$C$5,$F$15)*'⑫ Roll-out Plan'!$O$62</f>
        <v>0</v>
      </c>
      <c r="BJ1003" s="40" t="n">
        <f aca="false">MIN((BJ579+BJ580)*$C$5,$F$15)*'⑫ Roll-out Plan'!$O$62</f>
        <v>0</v>
      </c>
      <c r="BK1003" s="40" t="n">
        <f aca="false">MIN((BK579+BK580)*$C$5,$F$15)*'⑫ Roll-out Plan'!$O$62</f>
        <v>0</v>
      </c>
      <c r="BL1003" s="40" t="n">
        <f aca="false">MIN((BL579+BL580)*$C$5,$F$15)*'⑫ Roll-out Plan'!$O$62</f>
        <v>0</v>
      </c>
      <c r="BM1003" s="40" t="n">
        <f aca="false">MIN((BM579+BM580)*$C$5,$F$15)*'⑫ Roll-out Plan'!$O$62</f>
        <v>0</v>
      </c>
      <c r="BN1003" s="40" t="n">
        <f aca="false">MIN((BN579+BN580)*$C$5,$F$15)*'⑫ Roll-out Plan'!$O$62</f>
        <v>0</v>
      </c>
      <c r="BO1003" s="40" t="n">
        <f aca="false">MIN((BO579+BO580)*$C$5,$F$15)*'⑫ Roll-out Plan'!$O$62</f>
        <v>0</v>
      </c>
      <c r="BP1003" s="40" t="n">
        <f aca="false">MIN((BP579+BP580)*$C$5,$F$15)*'⑫ Roll-out Plan'!$O$62</f>
        <v>0</v>
      </c>
      <c r="BQ1003" s="40" t="n">
        <f aca="false">MIN((BQ579+BQ580)*$C$5,$F$15)*'⑫ Roll-out Plan'!$O$62</f>
        <v>0</v>
      </c>
      <c r="BR1003" s="40" t="n">
        <f aca="false">MIN((BR579+BR580)*$C$5,$F$15)*'⑫ Roll-out Plan'!$O$62</f>
        <v>0</v>
      </c>
      <c r="BS1003" s="40" t="n">
        <f aca="false">MIN((BS579+BS580)*$C$5,$F$15)*'⑫ Roll-out Plan'!$O$62</f>
        <v>0</v>
      </c>
      <c r="BT1003" s="40" t="n">
        <f aca="false">MIN((BT579+BT580)*$C$5,$F$15)*'⑫ Roll-out Plan'!$O$62</f>
        <v>0</v>
      </c>
      <c r="BU1003" s="40" t="n">
        <f aca="false">MIN((BU579+BU580)*$C$5,$F$15)*'⑫ Roll-out Plan'!$O$62</f>
        <v>0</v>
      </c>
      <c r="BV1003" s="40" t="n">
        <f aca="false">MIN((BV579+BV580)*$C$5,$F$15)*'⑫ Roll-out Plan'!$O$62</f>
        <v>0</v>
      </c>
      <c r="BW1003" s="40" t="n">
        <f aca="false">MIN((BW579+BW580)*$C$5,$F$15)*'⑫ Roll-out Plan'!$O$62</f>
        <v>0</v>
      </c>
      <c r="BX1003" s="40" t="n">
        <f aca="false">MIN((BX579+BX580)*$C$5,$F$15)*'⑫ Roll-out Plan'!$O$62</f>
        <v>0</v>
      </c>
      <c r="BY1003" s="40" t="n">
        <f aca="false">MIN((BY579+BY580)*$C$5,$F$15)*'⑫ Roll-out Plan'!$O$62</f>
        <v>0</v>
      </c>
      <c r="BZ1003" s="40" t="n">
        <f aca="false">MIN((BZ579+BZ580)*$C$5,$F$15)*'⑫ Roll-out Plan'!$O$62</f>
        <v>0</v>
      </c>
      <c r="CA1003" s="40" t="n">
        <f aca="false">MIN((CA579+CA580)*$C$5,$F$15)*'⑫ Roll-out Plan'!$O$62</f>
        <v>0</v>
      </c>
      <c r="CB1003" s="40" t="n">
        <f aca="false">MIN((CB579+CB580)*$C$5,$F$15)*'⑫ Roll-out Plan'!$O$62</f>
        <v>0</v>
      </c>
      <c r="CC1003" s="40" t="n">
        <f aca="false">MIN((CC579+CC580)*$C$5,$F$15)*'⑫ Roll-out Plan'!$O$62</f>
        <v>0</v>
      </c>
      <c r="CD1003" s="40" t="n">
        <f aca="false">MIN((CD579+CD580)*$C$5,$F$15)*'⑫ Roll-out Plan'!$O$62</f>
        <v>0</v>
      </c>
      <c r="CE1003" s="40" t="n">
        <f aca="false">MIN((CE579+CE580)*$C$5,$F$15)*'⑫ Roll-out Plan'!$O$62</f>
        <v>0</v>
      </c>
      <c r="CF1003" s="40" t="n">
        <f aca="false">MIN((CF579+CF580)*$C$5,$F$15)*'⑫ Roll-out Plan'!$O$62</f>
        <v>0</v>
      </c>
      <c r="CG1003" s="40" t="n">
        <f aca="false">MIN((CG579+CG580)*$C$5,$F$15)*'⑫ Roll-out Plan'!$O$62</f>
        <v>0</v>
      </c>
      <c r="CH1003" s="40" t="n">
        <f aca="false">MIN((CH579+CH580)*$C$5,$F$15)*'⑫ Roll-out Plan'!$O$62</f>
        <v>0</v>
      </c>
      <c r="CI1003" s="40" t="n">
        <f aca="false">MIN((CI579+CI580)*$C$5,$F$15)*'⑫ Roll-out Plan'!$O$62</f>
        <v>0</v>
      </c>
      <c r="CJ1003" s="40" t="n">
        <f aca="false">MIN((CJ579+CJ580)*$C$5,$F$15)*'⑫ Roll-out Plan'!$O$62</f>
        <v>0</v>
      </c>
      <c r="CK1003" s="40" t="n">
        <f aca="false">MIN((CK579+CK580)*$C$5,$F$15)*'⑫ Roll-out Plan'!$O$62</f>
        <v>0</v>
      </c>
      <c r="CL1003" s="40" t="n">
        <f aca="false">MIN((CL579+CL580)*$C$5,$F$15)*'⑫ Roll-out Plan'!$O$62</f>
        <v>0</v>
      </c>
      <c r="CM1003" s="40" t="n">
        <f aca="false">MIN((CM579+CM580)*$C$5,$F$15)*'⑫ Roll-out Plan'!$O$62</f>
        <v>0</v>
      </c>
      <c r="CN1003" s="40" t="n">
        <f aca="false">MIN((CN579+CN580)*$C$5,$F$15)*'⑫ Roll-out Plan'!$O$62</f>
        <v>0</v>
      </c>
      <c r="CO1003" s="40" t="n">
        <f aca="false">MIN((CO579+CO580)*$C$5,$F$15)*'⑫ Roll-out Plan'!$O$62</f>
        <v>0</v>
      </c>
      <c r="CP1003" s="40" t="n">
        <f aca="false">MIN((CP579+CP580)*$C$5,$F$15)*'⑫ Roll-out Plan'!$O$62</f>
        <v>0</v>
      </c>
      <c r="CQ1003" s="40" t="n">
        <f aca="false">MIN((CQ579+CQ580)*$C$5,$F$15)*'⑫ Roll-out Plan'!$O$62</f>
        <v>0</v>
      </c>
      <c r="CR1003" s="40" t="n">
        <f aca="false">MIN((CR579+CR580)*$C$5,$F$15)*'⑫ Roll-out Plan'!$O$62</f>
        <v>0</v>
      </c>
      <c r="CS1003" s="40" t="n">
        <f aca="false">MIN((CS579+CS580)*$C$5,$F$15)*'⑫ Roll-out Plan'!$O$62</f>
        <v>0</v>
      </c>
      <c r="CT1003" s="40" t="n">
        <f aca="false">MIN((CT579+CT580)*$C$5,$F$15)*'⑫ Roll-out Plan'!$O$62</f>
        <v>0</v>
      </c>
      <c r="CU1003" s="40" t="n">
        <f aca="false">MIN((CU579+CU580)*$C$5,$F$15)*'⑫ Roll-out Plan'!$O$62</f>
        <v>0</v>
      </c>
      <c r="CV1003" s="40" t="n">
        <f aca="false">MIN((CV579+CV580)*$C$5,$F$15)*'⑫ Roll-out Plan'!$O$62</f>
        <v>0</v>
      </c>
      <c r="CW1003" s="40" t="n">
        <f aca="false">MIN((CW579+CW580)*$C$5,$F$15)*'⑫ Roll-out Plan'!$O$62</f>
        <v>0</v>
      </c>
      <c r="CX1003" s="40" t="n">
        <f aca="false">MIN((CX579+CX580)*$C$5,$F$15)*'⑫ Roll-out Plan'!$O$62</f>
        <v>0</v>
      </c>
      <c r="CY1003" s="40" t="n">
        <f aca="false">MIN((CY579+CY580)*$C$5,$F$15)*'⑫ Roll-out Plan'!$O$62</f>
        <v>0</v>
      </c>
      <c r="CZ1003" s="40" t="n">
        <f aca="false">MIN((CZ579+CZ580)*$C$5,$F$15)*'⑫ Roll-out Plan'!$O$62</f>
        <v>0</v>
      </c>
      <c r="DA1003" s="40" t="n">
        <f aca="false">MIN((DA579+DA580)*$C$5,$F$15)*'⑫ Roll-out Plan'!$O$62</f>
        <v>0</v>
      </c>
      <c r="DB1003" s="40" t="n">
        <f aca="false">MIN((DB579+DB580)*$C$5,$F$15)*'⑫ Roll-out Plan'!$O$62</f>
        <v>0</v>
      </c>
      <c r="DC1003" s="40" t="n">
        <f aca="false">MIN((DC579+DC580)*$C$5,$F$15)*'⑫ Roll-out Plan'!$O$62</f>
        <v>0</v>
      </c>
      <c r="DD1003" s="40" t="n">
        <f aca="false">MIN((DD579+DD580)*$C$5,$F$15)*'⑫ Roll-out Plan'!$O$62</f>
        <v>0</v>
      </c>
      <c r="DE1003" s="40" t="n">
        <f aca="false">MIN((DE579+DE580)*$C$5,$F$15)*'⑫ Roll-out Plan'!$O$62</f>
        <v>0</v>
      </c>
      <c r="DF1003" s="40" t="n">
        <f aca="false">MIN((DF579+DF580)*$C$5,$F$15)*'⑫ Roll-out Plan'!$O$62</f>
        <v>0</v>
      </c>
      <c r="DG1003" s="40" t="n">
        <f aca="false">MIN((DG579+DG580)*$C$5,$F$15)*'⑫ Roll-out Plan'!$O$62</f>
        <v>0</v>
      </c>
      <c r="DH1003" s="40" t="n">
        <f aca="false">MIN((DH579+DH580)*$C$5,$F$15)*'⑫ Roll-out Plan'!$O$62</f>
        <v>0</v>
      </c>
      <c r="DI1003" s="40" t="n">
        <f aca="false">MIN((DI579+DI580)*$C$5,$F$15)*'⑫ Roll-out Plan'!$O$62</f>
        <v>0</v>
      </c>
      <c r="DJ1003" s="40" t="n">
        <f aca="false">MIN((DJ579+DJ580)*$C$5,$F$15)*'⑫ Roll-out Plan'!$O$62</f>
        <v>0</v>
      </c>
      <c r="DK1003" s="40" t="n">
        <f aca="false">MIN((DK579+DK580)*$C$5,$F$15)*'⑫ Roll-out Plan'!$O$62</f>
        <v>0</v>
      </c>
      <c r="DL1003" s="40" t="n">
        <f aca="false">MIN((DL579+DL580)*$C$5,$F$15)*'⑫ Roll-out Plan'!$O$62</f>
        <v>0</v>
      </c>
      <c r="DM1003" s="40" t="n">
        <f aca="false">MIN((DM579+DM580)*$C$5,$F$15)*'⑫ Roll-out Plan'!$O$62</f>
        <v>0</v>
      </c>
      <c r="DN1003" s="40" t="n">
        <f aca="false">MIN((DN579+DN580)*$C$5,$F$15)*'⑫ Roll-out Plan'!$O$62</f>
        <v>0</v>
      </c>
      <c r="DO1003" s="40" t="n">
        <f aca="false">MIN((DO579+DO580)*$C$5,$F$15)*'⑫ Roll-out Plan'!$O$62</f>
        <v>0</v>
      </c>
      <c r="DP1003" s="40" t="n">
        <f aca="false">MIN((DP579+DP580)*$C$5,$F$15)*'⑫ Roll-out Plan'!$O$62</f>
        <v>0</v>
      </c>
      <c r="DQ1003" s="40" t="n">
        <f aca="false">MIN((DQ579+DQ580)*$C$5,$F$15)*'⑫ Roll-out Plan'!$O$62</f>
        <v>0</v>
      </c>
      <c r="DR1003" s="40" t="n">
        <f aca="false">MIN((DR579+DR580)*$C$5,$F$15)*'⑫ Roll-out Plan'!$O$62</f>
        <v>0</v>
      </c>
      <c r="DS1003" s="40" t="n">
        <f aca="false">MIN((DS579+DS580)*$C$5,$F$15)*'⑫ Roll-out Plan'!$O$62</f>
        <v>0</v>
      </c>
      <c r="DT1003" s="40" t="n">
        <f aca="false">MIN((DT579+DT580)*$C$5,$F$15)*'⑫ Roll-out Plan'!$O$62</f>
        <v>0</v>
      </c>
      <c r="DU1003" s="40" t="n">
        <f aca="false">MIN((DU579+DU580)*$C$5,$F$15)*'⑫ Roll-out Plan'!$O$62</f>
        <v>0</v>
      </c>
      <c r="DV1003" s="40" t="n">
        <f aca="false">MIN((DV579+DV580)*$C$5,$F$15)*'⑫ Roll-out Plan'!$O$62</f>
        <v>0</v>
      </c>
      <c r="DW1003" s="40" t="n">
        <f aca="false">MIN((DW579+DW580)*$C$5,$F$15)*'⑫ Roll-out Plan'!$O$62</f>
        <v>0</v>
      </c>
      <c r="DX1003" s="40" t="n">
        <f aca="false">MIN((DX579+DX580)*$C$5,$F$15)*'⑫ Roll-out Plan'!$O$62</f>
        <v>0</v>
      </c>
      <c r="DY1003" s="40" t="n">
        <f aca="false">MIN((DY579+DY580)*$C$5,$F$15)*'⑫ Roll-out Plan'!$O$62</f>
        <v>0</v>
      </c>
      <c r="DZ1003" s="40" t="n">
        <f aca="false">MIN((DZ579+DZ580)*$C$5,$F$15)*'⑫ Roll-out Plan'!$O$62</f>
        <v>0</v>
      </c>
      <c r="EA1003" s="40" t="n">
        <f aca="false">MIN((EA579+EA580)*$C$5,$F$15)*'⑫ Roll-out Plan'!$O$62</f>
        <v>0</v>
      </c>
      <c r="EB1003" s="40" t="n">
        <f aca="false">MIN((EB579+EB580)*$C$5,$F$15)*'⑫ Roll-out Plan'!$O$62</f>
        <v>0</v>
      </c>
      <c r="EC1003" s="40" t="n">
        <f aca="false">MIN((EC579+EC580)*$C$5,$F$15)*'⑫ Roll-out Plan'!$O$62</f>
        <v>0</v>
      </c>
      <c r="ED1003" s="40" t="n">
        <f aca="false">MIN((ED579+ED580)*$C$5,$F$15)*'⑫ Roll-out Plan'!$O$62</f>
        <v>0</v>
      </c>
      <c r="EE1003" s="40" t="n">
        <f aca="false">MIN((EE579+EE580)*$C$5,$F$15)*'⑫ Roll-out Plan'!$O$62</f>
        <v>0</v>
      </c>
      <c r="EF1003" s="40" t="n">
        <f aca="false">MIN((EF579+EF580)*$C$5,$F$15)*'⑫ Roll-out Plan'!$O$62</f>
        <v>0</v>
      </c>
      <c r="EG1003" s="40" t="n">
        <f aca="false">MIN((EG579+EG580)*$C$5,$F$15)*'⑫ Roll-out Plan'!$O$62</f>
        <v>0</v>
      </c>
      <c r="EH1003" s="40" t="n">
        <f aca="false">MIN((EH579+EH580)*$C$5,$F$15)*'⑫ Roll-out Plan'!$O$62</f>
        <v>0</v>
      </c>
      <c r="EI1003" s="40" t="n">
        <f aca="false">MIN((EI579+EI580)*$C$5,$F$15)*'⑫ Roll-out Plan'!$O$62</f>
        <v>0</v>
      </c>
      <c r="EJ1003" s="40" t="n">
        <f aca="false">MIN((EJ579+EJ580)*$C$5,$F$15)*'⑫ Roll-out Plan'!$O$62</f>
        <v>0</v>
      </c>
      <c r="EK1003" s="40" t="n">
        <f aca="false">MIN((EK579+EK580)*$C$5,$F$15)*'⑫ Roll-out Plan'!$O$62</f>
        <v>0</v>
      </c>
      <c r="EL1003" s="40" t="n">
        <f aca="false">MIN((EL579+EL580)*$C$5,$F$15)*'⑫ Roll-out Plan'!$O$62</f>
        <v>0</v>
      </c>
      <c r="EM1003" s="40" t="n">
        <f aca="false">MIN((EM579+EM580)*$C$5,$F$15)*'⑫ Roll-out Plan'!$O$62</f>
        <v>0</v>
      </c>
      <c r="EN1003" s="40" t="n">
        <f aca="false">MIN((EN579+EN580)*$C$5,$F$15)*'⑫ Roll-out Plan'!$O$62</f>
        <v>0</v>
      </c>
      <c r="EO1003" s="40" t="n">
        <f aca="false">MIN((EO579+EO580)*$C$5,$F$15)*'⑫ Roll-out Plan'!$O$62</f>
        <v>0</v>
      </c>
      <c r="EP1003" s="40" t="n">
        <f aca="false">MIN((EP579+EP580)*$C$5,$F$15)*'⑫ Roll-out Plan'!$O$62</f>
        <v>0</v>
      </c>
      <c r="EQ1003" s="40" t="n">
        <f aca="false">MIN((EQ579+EQ580)*$C$5,$F$15)*'⑫ Roll-out Plan'!$O$62</f>
        <v>0</v>
      </c>
      <c r="ER1003" s="40" t="n">
        <f aca="false">MIN((ER579+ER580)*$C$5,$F$15)*'⑫ Roll-out Plan'!$O$62</f>
        <v>0</v>
      </c>
      <c r="ES1003" s="40" t="n">
        <f aca="false">MIN((ES579+ES580)*$C$5,$F$15)*'⑫ Roll-out Plan'!$O$62</f>
        <v>0</v>
      </c>
      <c r="ET1003" s="40" t="n">
        <f aca="false">MIN((ET579+ET580)*$C$5,$F$15)*'⑫ Roll-out Plan'!$O$62</f>
        <v>0</v>
      </c>
      <c r="EU1003" s="40" t="n">
        <f aca="false">MIN((EU579+EU580)*$C$5,$F$15)*'⑫ Roll-out Plan'!$O$62</f>
        <v>0</v>
      </c>
      <c r="EV1003" s="40" t="n">
        <f aca="false">MIN((EV579+EV580)*$C$5,$F$15)*'⑫ Roll-out Plan'!$O$62</f>
        <v>0</v>
      </c>
      <c r="EW1003" s="40" t="n">
        <f aca="false">MIN((EW579+EW580)*$C$5,$F$15)*'⑫ Roll-out Plan'!$O$62</f>
        <v>0</v>
      </c>
      <c r="EX1003" s="40" t="n">
        <f aca="false">MIN((EX579+EX580)*$C$5,$F$15)*'⑫ Roll-out Plan'!$O$62</f>
        <v>0</v>
      </c>
      <c r="EY1003" s="40" t="n">
        <f aca="false">MIN((EY579+EY580)*$C$5,$F$15)*'⑫ Roll-out Plan'!$O$62</f>
        <v>0</v>
      </c>
      <c r="EZ1003" s="40" t="n">
        <f aca="false">MIN((EZ579+EZ580)*$C$5,$F$15)*'⑫ Roll-out Plan'!$O$62</f>
        <v>0</v>
      </c>
      <c r="FA1003" s="40" t="n">
        <f aca="false">MIN((FA579+FA580)*$C$5,$F$15)*'⑫ Roll-out Plan'!$O$62</f>
        <v>0</v>
      </c>
      <c r="FB1003" s="40" t="n">
        <f aca="false">MIN((FB579+FB580)*$C$5,$F$15)*'⑫ Roll-out Plan'!$O$62</f>
        <v>0</v>
      </c>
      <c r="FC1003" s="40" t="n">
        <f aca="false">MIN((FC579+FC580)*$C$5,$F$15)*'⑫ Roll-out Plan'!$O$62</f>
        <v>0</v>
      </c>
      <c r="FD1003" s="40" t="n">
        <f aca="false">MIN((FD579+FD580)*$C$5,$F$15)*'⑫ Roll-out Plan'!$O$62</f>
        <v>0</v>
      </c>
      <c r="FE1003" s="40" t="n">
        <f aca="false">MIN((FE579+FE580)*$C$5,$F$15)*'⑫ Roll-out Plan'!$O$62</f>
        <v>0</v>
      </c>
      <c r="FF1003" s="40" t="n">
        <f aca="false">MIN((FF579+FF580)*$C$5,$F$15)*'⑫ Roll-out Plan'!$O$62</f>
        <v>0</v>
      </c>
      <c r="FG1003" s="40" t="n">
        <f aca="false">MIN((FG579+FG580)*$C$5,$F$15)*'⑫ Roll-out Plan'!$O$62</f>
        <v>0</v>
      </c>
      <c r="FH1003" s="40" t="n">
        <f aca="false">MIN((FH579+FH580)*$C$5,$F$15)*'⑫ Roll-out Plan'!$O$62</f>
        <v>0</v>
      </c>
      <c r="FI1003" s="40" t="n">
        <f aca="false">MIN((FI579+FI580)*$C$5,$F$15)*'⑫ Roll-out Plan'!$O$62</f>
        <v>0</v>
      </c>
      <c r="FJ1003" s="40" t="n">
        <f aca="false">MIN((FJ579+FJ580)*$C$5,$F$15)*'⑫ Roll-out Plan'!$O$62</f>
        <v>0</v>
      </c>
      <c r="FK1003" s="40" t="n">
        <f aca="false">MIN((FK579+FK580)*$C$5,$F$15)*'⑫ Roll-out Plan'!$O$62</f>
        <v>0</v>
      </c>
      <c r="FL1003" s="40" t="n">
        <f aca="false">MIN((FL579+FL580)*$C$5,$F$15)*'⑫ Roll-out Plan'!$O$62</f>
        <v>0</v>
      </c>
      <c r="FM1003" s="40" t="n">
        <f aca="false">MIN((FM579+FM580)*$C$5,$F$15)*'⑫ Roll-out Plan'!$O$62</f>
        <v>0</v>
      </c>
      <c r="FN1003" s="40" t="n">
        <f aca="false">MIN((FN579+FN580)*$C$5,$F$15)*'⑫ Roll-out Plan'!$O$62</f>
        <v>0</v>
      </c>
      <c r="FO1003" s="40" t="n">
        <f aca="false">MIN((FO579+FO580)*$C$5,$F$15)*'⑫ Roll-out Plan'!$O$62</f>
        <v>0</v>
      </c>
      <c r="FP1003" s="40" t="n">
        <f aca="false">MIN((FP579+FP580)*$C$5,$F$15)*'⑫ Roll-out Plan'!$O$62</f>
        <v>0</v>
      </c>
    </row>
    <row r="1004" customFormat="false" ht="15" hidden="false" customHeight="false" outlineLevel="0" collapsed="false">
      <c r="B1004" s="36" t="s">
        <v>931</v>
      </c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40" t="n">
        <f aca="false">MIN((AC589+AC590)*$C$5,$F$15)*'⑫ Roll-out Plan'!$O$63</f>
        <v>0</v>
      </c>
      <c r="AD1004" s="40" t="n">
        <f aca="false">MIN((AD589+AD590)*$C$5,$F$15)*'⑫ Roll-out Plan'!$O$63</f>
        <v>0</v>
      </c>
      <c r="AE1004" s="40" t="n">
        <f aca="false">MIN((AE589+AE590)*$C$5,$F$15)*'⑫ Roll-out Plan'!$O$63</f>
        <v>0</v>
      </c>
      <c r="AF1004" s="40" t="n">
        <f aca="false">MIN((AF589+AF590)*$C$5,$F$15)*'⑫ Roll-out Plan'!$O$63</f>
        <v>0</v>
      </c>
      <c r="AG1004" s="40" t="n">
        <f aca="false">MIN((AG589+AG590)*$C$5,$F$15)*'⑫ Roll-out Plan'!$O$63</f>
        <v>0</v>
      </c>
      <c r="AH1004" s="40" t="n">
        <f aca="false">MIN((AH589+AH590)*$C$5,$F$15)*'⑫ Roll-out Plan'!$O$63</f>
        <v>0</v>
      </c>
      <c r="AI1004" s="40" t="n">
        <f aca="false">MIN((AI589+AI590)*$C$5,$F$15)*'⑫ Roll-out Plan'!$O$63</f>
        <v>0</v>
      </c>
      <c r="AJ1004" s="40" t="n">
        <f aca="false">MIN((AJ589+AJ590)*$C$5,$F$15)*'⑫ Roll-out Plan'!$O$63</f>
        <v>0</v>
      </c>
      <c r="AK1004" s="40" t="n">
        <f aca="false">MIN((AK589+AK590)*$C$5,$F$15)*'⑫ Roll-out Plan'!$O$63</f>
        <v>0</v>
      </c>
      <c r="AL1004" s="40" t="n">
        <f aca="false">MIN((AL589+AL590)*$C$5,$F$15)*'⑫ Roll-out Plan'!$O$63</f>
        <v>0</v>
      </c>
      <c r="AM1004" s="40" t="n">
        <f aca="false">MIN((AM589+AM590)*$C$5,$F$15)*'⑫ Roll-out Plan'!$O$63</f>
        <v>0</v>
      </c>
      <c r="AN1004" s="40" t="n">
        <f aca="false">MIN((AN589+AN590)*$C$5,$F$15)*'⑫ Roll-out Plan'!$O$63</f>
        <v>0</v>
      </c>
      <c r="AO1004" s="40" t="n">
        <f aca="false">MIN((AO589+AO590)*$C$5,$F$15)*'⑫ Roll-out Plan'!$O$63</f>
        <v>0</v>
      </c>
      <c r="AP1004" s="40" t="n">
        <f aca="false">MIN((AP589+AP590)*$C$5,$F$15)*'⑫ Roll-out Plan'!$O$63</f>
        <v>0</v>
      </c>
      <c r="AQ1004" s="40" t="n">
        <f aca="false">MIN((AQ589+AQ590)*$C$5,$F$15)*'⑫ Roll-out Plan'!$O$63</f>
        <v>0</v>
      </c>
      <c r="AR1004" s="40" t="n">
        <f aca="false">MIN((AR589+AR590)*$C$5,$F$15)*'⑫ Roll-out Plan'!$O$63</f>
        <v>0</v>
      </c>
      <c r="AS1004" s="40" t="n">
        <f aca="false">MIN((AS589+AS590)*$C$5,$F$15)*'⑫ Roll-out Plan'!$O$63</f>
        <v>0</v>
      </c>
      <c r="AT1004" s="40" t="n">
        <f aca="false">MIN((AT589+AT590)*$C$5,$F$15)*'⑫ Roll-out Plan'!$O$63</f>
        <v>0</v>
      </c>
      <c r="AU1004" s="40" t="n">
        <f aca="false">MIN((AU589+AU590)*$C$5,$F$15)*'⑫ Roll-out Plan'!$O$63</f>
        <v>0</v>
      </c>
      <c r="AV1004" s="40" t="n">
        <f aca="false">MIN((AV589+AV590)*$C$5,$F$15)*'⑫ Roll-out Plan'!$O$63</f>
        <v>0</v>
      </c>
      <c r="AW1004" s="40" t="n">
        <f aca="false">MIN((AW589+AW590)*$C$5,$F$15)*'⑫ Roll-out Plan'!$O$63</f>
        <v>0</v>
      </c>
      <c r="AX1004" s="40" t="n">
        <f aca="false">MIN((AX589+AX590)*$C$5,$F$15)*'⑫ Roll-out Plan'!$O$63</f>
        <v>0</v>
      </c>
      <c r="AY1004" s="40" t="n">
        <f aca="false">MIN((AY589+AY590)*$C$5,$F$15)*'⑫ Roll-out Plan'!$O$63</f>
        <v>0</v>
      </c>
      <c r="AZ1004" s="40" t="n">
        <f aca="false">MIN((AZ589+AZ590)*$C$5,$F$15)*'⑫ Roll-out Plan'!$O$63</f>
        <v>0</v>
      </c>
      <c r="BA1004" s="40" t="n">
        <f aca="false">MIN((BA589+BA590)*$C$5,$F$15)*'⑫ Roll-out Plan'!$O$63</f>
        <v>0</v>
      </c>
      <c r="BB1004" s="40" t="n">
        <f aca="false">MIN((BB589+BB590)*$C$5,$F$15)*'⑫ Roll-out Plan'!$O$63</f>
        <v>0</v>
      </c>
      <c r="BC1004" s="40" t="n">
        <f aca="false">MIN((BC589+BC590)*$C$5,$F$15)*'⑫ Roll-out Plan'!$O$63</f>
        <v>0</v>
      </c>
      <c r="BD1004" s="40" t="n">
        <f aca="false">MIN((BD589+BD590)*$C$5,$F$15)*'⑫ Roll-out Plan'!$O$63</f>
        <v>0</v>
      </c>
      <c r="BE1004" s="40" t="n">
        <f aca="false">MIN((BE589+BE590)*$C$5,$F$15)*'⑫ Roll-out Plan'!$O$63</f>
        <v>0</v>
      </c>
      <c r="BF1004" s="40" t="n">
        <f aca="false">MIN((BF589+BF590)*$C$5,$F$15)*'⑫ Roll-out Plan'!$O$63</f>
        <v>0</v>
      </c>
      <c r="BG1004" s="40" t="n">
        <f aca="false">MIN((BG589+BG590)*$C$5,$F$15)*'⑫ Roll-out Plan'!$O$63</f>
        <v>0</v>
      </c>
      <c r="BH1004" s="40" t="n">
        <f aca="false">MIN((BH589+BH590)*$C$5,$F$15)*'⑫ Roll-out Plan'!$O$63</f>
        <v>0</v>
      </c>
      <c r="BI1004" s="40" t="n">
        <f aca="false">MIN((BI589+BI590)*$C$5,$F$15)*'⑫ Roll-out Plan'!$O$63</f>
        <v>0</v>
      </c>
      <c r="BJ1004" s="40" t="n">
        <f aca="false">MIN((BJ589+BJ590)*$C$5,$F$15)*'⑫ Roll-out Plan'!$O$63</f>
        <v>0</v>
      </c>
      <c r="BK1004" s="40" t="n">
        <f aca="false">MIN((BK589+BK590)*$C$5,$F$15)*'⑫ Roll-out Plan'!$O$63</f>
        <v>0</v>
      </c>
      <c r="BL1004" s="40" t="n">
        <f aca="false">MIN((BL589+BL590)*$C$5,$F$15)*'⑫ Roll-out Plan'!$O$63</f>
        <v>0</v>
      </c>
      <c r="BM1004" s="40" t="n">
        <f aca="false">MIN((BM589+BM590)*$C$5,$F$15)*'⑫ Roll-out Plan'!$O$63</f>
        <v>0</v>
      </c>
      <c r="BN1004" s="40" t="n">
        <f aca="false">MIN((BN589+BN590)*$C$5,$F$15)*'⑫ Roll-out Plan'!$O$63</f>
        <v>0</v>
      </c>
      <c r="BO1004" s="40" t="n">
        <f aca="false">MIN((BO589+BO590)*$C$5,$F$15)*'⑫ Roll-out Plan'!$O$63</f>
        <v>0</v>
      </c>
      <c r="BP1004" s="40" t="n">
        <f aca="false">MIN((BP589+BP590)*$C$5,$F$15)*'⑫ Roll-out Plan'!$O$63</f>
        <v>0</v>
      </c>
      <c r="BQ1004" s="40" t="n">
        <f aca="false">MIN((BQ589+BQ590)*$C$5,$F$15)*'⑫ Roll-out Plan'!$O$63</f>
        <v>0</v>
      </c>
      <c r="BR1004" s="40" t="n">
        <f aca="false">MIN((BR589+BR590)*$C$5,$F$15)*'⑫ Roll-out Plan'!$O$63</f>
        <v>0</v>
      </c>
      <c r="BS1004" s="40" t="n">
        <f aca="false">MIN((BS589+BS590)*$C$5,$F$15)*'⑫ Roll-out Plan'!$O$63</f>
        <v>0</v>
      </c>
      <c r="BT1004" s="40" t="n">
        <f aca="false">MIN((BT589+BT590)*$C$5,$F$15)*'⑫ Roll-out Plan'!$O$63</f>
        <v>0</v>
      </c>
      <c r="BU1004" s="40" t="n">
        <f aca="false">MIN((BU589+BU590)*$C$5,$F$15)*'⑫ Roll-out Plan'!$O$63</f>
        <v>0</v>
      </c>
      <c r="BV1004" s="40" t="n">
        <f aca="false">MIN((BV589+BV590)*$C$5,$F$15)*'⑫ Roll-out Plan'!$O$63</f>
        <v>0</v>
      </c>
      <c r="BW1004" s="40" t="n">
        <f aca="false">MIN((BW589+BW590)*$C$5,$F$15)*'⑫ Roll-out Plan'!$O$63</f>
        <v>0</v>
      </c>
      <c r="BX1004" s="40" t="n">
        <f aca="false">MIN((BX589+BX590)*$C$5,$F$15)*'⑫ Roll-out Plan'!$O$63</f>
        <v>0</v>
      </c>
      <c r="BY1004" s="40" t="n">
        <f aca="false">MIN((BY589+BY590)*$C$5,$F$15)*'⑫ Roll-out Plan'!$O$63</f>
        <v>0</v>
      </c>
      <c r="BZ1004" s="40" t="n">
        <f aca="false">MIN((BZ589+BZ590)*$C$5,$F$15)*'⑫ Roll-out Plan'!$O$63</f>
        <v>0</v>
      </c>
      <c r="CA1004" s="40" t="n">
        <f aca="false">MIN((CA589+CA590)*$C$5,$F$15)*'⑫ Roll-out Plan'!$O$63</f>
        <v>0</v>
      </c>
      <c r="CB1004" s="40" t="n">
        <f aca="false">MIN((CB589+CB590)*$C$5,$F$15)*'⑫ Roll-out Plan'!$O$63</f>
        <v>0</v>
      </c>
      <c r="CC1004" s="40" t="n">
        <f aca="false">MIN((CC589+CC590)*$C$5,$F$15)*'⑫ Roll-out Plan'!$O$63</f>
        <v>0</v>
      </c>
      <c r="CD1004" s="40" t="n">
        <f aca="false">MIN((CD589+CD590)*$C$5,$F$15)*'⑫ Roll-out Plan'!$O$63</f>
        <v>0</v>
      </c>
      <c r="CE1004" s="40" t="n">
        <f aca="false">MIN((CE589+CE590)*$C$5,$F$15)*'⑫ Roll-out Plan'!$O$63</f>
        <v>0</v>
      </c>
      <c r="CF1004" s="40" t="n">
        <f aca="false">MIN((CF589+CF590)*$C$5,$F$15)*'⑫ Roll-out Plan'!$O$63</f>
        <v>0</v>
      </c>
      <c r="CG1004" s="40" t="n">
        <f aca="false">MIN((CG589+CG590)*$C$5,$F$15)*'⑫ Roll-out Plan'!$O$63</f>
        <v>0</v>
      </c>
      <c r="CH1004" s="40" t="n">
        <f aca="false">MIN((CH589+CH590)*$C$5,$F$15)*'⑫ Roll-out Plan'!$O$63</f>
        <v>0</v>
      </c>
      <c r="CI1004" s="40" t="n">
        <f aca="false">MIN((CI589+CI590)*$C$5,$F$15)*'⑫ Roll-out Plan'!$O$63</f>
        <v>0</v>
      </c>
      <c r="CJ1004" s="40" t="n">
        <f aca="false">MIN((CJ589+CJ590)*$C$5,$F$15)*'⑫ Roll-out Plan'!$O$63</f>
        <v>0</v>
      </c>
      <c r="CK1004" s="40" t="n">
        <f aca="false">MIN((CK589+CK590)*$C$5,$F$15)*'⑫ Roll-out Plan'!$O$63</f>
        <v>0</v>
      </c>
      <c r="CL1004" s="40" t="n">
        <f aca="false">MIN((CL589+CL590)*$C$5,$F$15)*'⑫ Roll-out Plan'!$O$63</f>
        <v>0</v>
      </c>
      <c r="CM1004" s="40" t="n">
        <f aca="false">MIN((CM589+CM590)*$C$5,$F$15)*'⑫ Roll-out Plan'!$O$63</f>
        <v>0</v>
      </c>
      <c r="CN1004" s="40" t="n">
        <f aca="false">MIN((CN589+CN590)*$C$5,$F$15)*'⑫ Roll-out Plan'!$O$63</f>
        <v>0</v>
      </c>
      <c r="CO1004" s="40" t="n">
        <f aca="false">MIN((CO589+CO590)*$C$5,$F$15)*'⑫ Roll-out Plan'!$O$63</f>
        <v>0</v>
      </c>
      <c r="CP1004" s="40" t="n">
        <f aca="false">MIN((CP589+CP590)*$C$5,$F$15)*'⑫ Roll-out Plan'!$O$63</f>
        <v>0</v>
      </c>
      <c r="CQ1004" s="40" t="n">
        <f aca="false">MIN((CQ589+CQ590)*$C$5,$F$15)*'⑫ Roll-out Plan'!$O$63</f>
        <v>0</v>
      </c>
      <c r="CR1004" s="40" t="n">
        <f aca="false">MIN((CR589+CR590)*$C$5,$F$15)*'⑫ Roll-out Plan'!$O$63</f>
        <v>0</v>
      </c>
      <c r="CS1004" s="40" t="n">
        <f aca="false">MIN((CS589+CS590)*$C$5,$F$15)*'⑫ Roll-out Plan'!$O$63</f>
        <v>0</v>
      </c>
      <c r="CT1004" s="40" t="n">
        <f aca="false">MIN((CT589+CT590)*$C$5,$F$15)*'⑫ Roll-out Plan'!$O$63</f>
        <v>0</v>
      </c>
      <c r="CU1004" s="40" t="n">
        <f aca="false">MIN((CU589+CU590)*$C$5,$F$15)*'⑫ Roll-out Plan'!$O$63</f>
        <v>0</v>
      </c>
      <c r="CV1004" s="40" t="n">
        <f aca="false">MIN((CV589+CV590)*$C$5,$F$15)*'⑫ Roll-out Plan'!$O$63</f>
        <v>0</v>
      </c>
      <c r="CW1004" s="40" t="n">
        <f aca="false">MIN((CW589+CW590)*$C$5,$F$15)*'⑫ Roll-out Plan'!$O$63</f>
        <v>0</v>
      </c>
      <c r="CX1004" s="40" t="n">
        <f aca="false">MIN((CX589+CX590)*$C$5,$F$15)*'⑫ Roll-out Plan'!$O$63</f>
        <v>0</v>
      </c>
      <c r="CY1004" s="40" t="n">
        <f aca="false">MIN((CY589+CY590)*$C$5,$F$15)*'⑫ Roll-out Plan'!$O$63</f>
        <v>0</v>
      </c>
      <c r="CZ1004" s="40" t="n">
        <f aca="false">MIN((CZ589+CZ590)*$C$5,$F$15)*'⑫ Roll-out Plan'!$O$63</f>
        <v>0</v>
      </c>
      <c r="DA1004" s="40" t="n">
        <f aca="false">MIN((DA589+DA590)*$C$5,$F$15)*'⑫ Roll-out Plan'!$O$63</f>
        <v>0</v>
      </c>
      <c r="DB1004" s="40" t="n">
        <f aca="false">MIN((DB589+DB590)*$C$5,$F$15)*'⑫ Roll-out Plan'!$O$63</f>
        <v>0</v>
      </c>
      <c r="DC1004" s="40" t="n">
        <f aca="false">MIN((DC589+DC590)*$C$5,$F$15)*'⑫ Roll-out Plan'!$O$63</f>
        <v>0</v>
      </c>
      <c r="DD1004" s="40" t="n">
        <f aca="false">MIN((DD589+DD590)*$C$5,$F$15)*'⑫ Roll-out Plan'!$O$63</f>
        <v>0</v>
      </c>
      <c r="DE1004" s="40" t="n">
        <f aca="false">MIN((DE589+DE590)*$C$5,$F$15)*'⑫ Roll-out Plan'!$O$63</f>
        <v>0</v>
      </c>
      <c r="DF1004" s="40" t="n">
        <f aca="false">MIN((DF589+DF590)*$C$5,$F$15)*'⑫ Roll-out Plan'!$O$63</f>
        <v>0</v>
      </c>
      <c r="DG1004" s="40" t="n">
        <f aca="false">MIN((DG589+DG590)*$C$5,$F$15)*'⑫ Roll-out Plan'!$O$63</f>
        <v>0</v>
      </c>
      <c r="DH1004" s="40" t="n">
        <f aca="false">MIN((DH589+DH590)*$C$5,$F$15)*'⑫ Roll-out Plan'!$O$63</f>
        <v>0</v>
      </c>
      <c r="DI1004" s="40" t="n">
        <f aca="false">MIN((DI589+DI590)*$C$5,$F$15)*'⑫ Roll-out Plan'!$O$63</f>
        <v>0</v>
      </c>
      <c r="DJ1004" s="40" t="n">
        <f aca="false">MIN((DJ589+DJ590)*$C$5,$F$15)*'⑫ Roll-out Plan'!$O$63</f>
        <v>0</v>
      </c>
      <c r="DK1004" s="40" t="n">
        <f aca="false">MIN((DK589+DK590)*$C$5,$F$15)*'⑫ Roll-out Plan'!$O$63</f>
        <v>0</v>
      </c>
      <c r="DL1004" s="40" t="n">
        <f aca="false">MIN((DL589+DL590)*$C$5,$F$15)*'⑫ Roll-out Plan'!$O$63</f>
        <v>0</v>
      </c>
      <c r="DM1004" s="40" t="n">
        <f aca="false">MIN((DM589+DM590)*$C$5,$F$15)*'⑫ Roll-out Plan'!$O$63</f>
        <v>0</v>
      </c>
      <c r="DN1004" s="40" t="n">
        <f aca="false">MIN((DN589+DN590)*$C$5,$F$15)*'⑫ Roll-out Plan'!$O$63</f>
        <v>0</v>
      </c>
      <c r="DO1004" s="40" t="n">
        <f aca="false">MIN((DO589+DO590)*$C$5,$F$15)*'⑫ Roll-out Plan'!$O$63</f>
        <v>0</v>
      </c>
      <c r="DP1004" s="40" t="n">
        <f aca="false">MIN((DP589+DP590)*$C$5,$F$15)*'⑫ Roll-out Plan'!$O$63</f>
        <v>0</v>
      </c>
      <c r="DQ1004" s="40" t="n">
        <f aca="false">MIN((DQ589+DQ590)*$C$5,$F$15)*'⑫ Roll-out Plan'!$O$63</f>
        <v>0</v>
      </c>
      <c r="DR1004" s="40" t="n">
        <f aca="false">MIN((DR589+DR590)*$C$5,$F$15)*'⑫ Roll-out Plan'!$O$63</f>
        <v>0</v>
      </c>
      <c r="DS1004" s="40" t="n">
        <f aca="false">MIN((DS589+DS590)*$C$5,$F$15)*'⑫ Roll-out Plan'!$O$63</f>
        <v>0</v>
      </c>
      <c r="DT1004" s="40" t="n">
        <f aca="false">MIN((DT589+DT590)*$C$5,$F$15)*'⑫ Roll-out Plan'!$O$63</f>
        <v>0</v>
      </c>
      <c r="DU1004" s="40" t="n">
        <f aca="false">MIN((DU589+DU590)*$C$5,$F$15)*'⑫ Roll-out Plan'!$O$63</f>
        <v>0</v>
      </c>
      <c r="DV1004" s="40" t="n">
        <f aca="false">MIN((DV589+DV590)*$C$5,$F$15)*'⑫ Roll-out Plan'!$O$63</f>
        <v>0</v>
      </c>
      <c r="DW1004" s="40" t="n">
        <f aca="false">MIN((DW589+DW590)*$C$5,$F$15)*'⑫ Roll-out Plan'!$O$63</f>
        <v>0</v>
      </c>
      <c r="DX1004" s="40" t="n">
        <f aca="false">MIN((DX589+DX590)*$C$5,$F$15)*'⑫ Roll-out Plan'!$O$63</f>
        <v>0</v>
      </c>
      <c r="DY1004" s="40" t="n">
        <f aca="false">MIN((DY589+DY590)*$C$5,$F$15)*'⑫ Roll-out Plan'!$O$63</f>
        <v>0</v>
      </c>
      <c r="DZ1004" s="40" t="n">
        <f aca="false">MIN((DZ589+DZ590)*$C$5,$F$15)*'⑫ Roll-out Plan'!$O$63</f>
        <v>0</v>
      </c>
      <c r="EA1004" s="40" t="n">
        <f aca="false">MIN((EA589+EA590)*$C$5,$F$15)*'⑫ Roll-out Plan'!$O$63</f>
        <v>0</v>
      </c>
      <c r="EB1004" s="40" t="n">
        <f aca="false">MIN((EB589+EB590)*$C$5,$F$15)*'⑫ Roll-out Plan'!$O$63</f>
        <v>0</v>
      </c>
      <c r="EC1004" s="40" t="n">
        <f aca="false">MIN((EC589+EC590)*$C$5,$F$15)*'⑫ Roll-out Plan'!$O$63</f>
        <v>0</v>
      </c>
      <c r="ED1004" s="40" t="n">
        <f aca="false">MIN((ED589+ED590)*$C$5,$F$15)*'⑫ Roll-out Plan'!$O$63</f>
        <v>0</v>
      </c>
      <c r="EE1004" s="40" t="n">
        <f aca="false">MIN((EE589+EE590)*$C$5,$F$15)*'⑫ Roll-out Plan'!$O$63</f>
        <v>0</v>
      </c>
      <c r="EF1004" s="40" t="n">
        <f aca="false">MIN((EF589+EF590)*$C$5,$F$15)*'⑫ Roll-out Plan'!$O$63</f>
        <v>0</v>
      </c>
      <c r="EG1004" s="40" t="n">
        <f aca="false">MIN((EG589+EG590)*$C$5,$F$15)*'⑫ Roll-out Plan'!$O$63</f>
        <v>0</v>
      </c>
      <c r="EH1004" s="40" t="n">
        <f aca="false">MIN((EH589+EH590)*$C$5,$F$15)*'⑫ Roll-out Plan'!$O$63</f>
        <v>0</v>
      </c>
      <c r="EI1004" s="40" t="n">
        <f aca="false">MIN((EI589+EI590)*$C$5,$F$15)*'⑫ Roll-out Plan'!$O$63</f>
        <v>0</v>
      </c>
      <c r="EJ1004" s="40" t="n">
        <f aca="false">MIN((EJ589+EJ590)*$C$5,$F$15)*'⑫ Roll-out Plan'!$O$63</f>
        <v>0</v>
      </c>
      <c r="EK1004" s="40" t="n">
        <f aca="false">MIN((EK589+EK590)*$C$5,$F$15)*'⑫ Roll-out Plan'!$O$63</f>
        <v>0</v>
      </c>
      <c r="EL1004" s="40" t="n">
        <f aca="false">MIN((EL589+EL590)*$C$5,$F$15)*'⑫ Roll-out Plan'!$O$63</f>
        <v>0</v>
      </c>
      <c r="EM1004" s="40" t="n">
        <f aca="false">MIN((EM589+EM590)*$C$5,$F$15)*'⑫ Roll-out Plan'!$O$63</f>
        <v>0</v>
      </c>
      <c r="EN1004" s="40" t="n">
        <f aca="false">MIN((EN589+EN590)*$C$5,$F$15)*'⑫ Roll-out Plan'!$O$63</f>
        <v>0</v>
      </c>
      <c r="EO1004" s="40" t="n">
        <f aca="false">MIN((EO589+EO590)*$C$5,$F$15)*'⑫ Roll-out Plan'!$O$63</f>
        <v>0</v>
      </c>
      <c r="EP1004" s="40" t="n">
        <f aca="false">MIN((EP589+EP590)*$C$5,$F$15)*'⑫ Roll-out Plan'!$O$63</f>
        <v>0</v>
      </c>
      <c r="EQ1004" s="40" t="n">
        <f aca="false">MIN((EQ589+EQ590)*$C$5,$F$15)*'⑫ Roll-out Plan'!$O$63</f>
        <v>0</v>
      </c>
      <c r="ER1004" s="40" t="n">
        <f aca="false">MIN((ER589+ER590)*$C$5,$F$15)*'⑫ Roll-out Plan'!$O$63</f>
        <v>0</v>
      </c>
      <c r="ES1004" s="40" t="n">
        <f aca="false">MIN((ES589+ES590)*$C$5,$F$15)*'⑫ Roll-out Plan'!$O$63</f>
        <v>0</v>
      </c>
      <c r="ET1004" s="40" t="n">
        <f aca="false">MIN((ET589+ET590)*$C$5,$F$15)*'⑫ Roll-out Plan'!$O$63</f>
        <v>0</v>
      </c>
      <c r="EU1004" s="40" t="n">
        <f aca="false">MIN((EU589+EU590)*$C$5,$F$15)*'⑫ Roll-out Plan'!$O$63</f>
        <v>0</v>
      </c>
      <c r="EV1004" s="40" t="n">
        <f aca="false">MIN((EV589+EV590)*$C$5,$F$15)*'⑫ Roll-out Plan'!$O$63</f>
        <v>0</v>
      </c>
      <c r="EW1004" s="40" t="n">
        <f aca="false">MIN((EW589+EW590)*$C$5,$F$15)*'⑫ Roll-out Plan'!$O$63</f>
        <v>0</v>
      </c>
      <c r="EX1004" s="40" t="n">
        <f aca="false">MIN((EX589+EX590)*$C$5,$F$15)*'⑫ Roll-out Plan'!$O$63</f>
        <v>0</v>
      </c>
      <c r="EY1004" s="40" t="n">
        <f aca="false">MIN((EY589+EY590)*$C$5,$F$15)*'⑫ Roll-out Plan'!$O$63</f>
        <v>0</v>
      </c>
      <c r="EZ1004" s="40" t="n">
        <f aca="false">MIN((EZ589+EZ590)*$C$5,$F$15)*'⑫ Roll-out Plan'!$O$63</f>
        <v>0</v>
      </c>
      <c r="FA1004" s="40" t="n">
        <f aca="false">MIN((FA589+FA590)*$C$5,$F$15)*'⑫ Roll-out Plan'!$O$63</f>
        <v>0</v>
      </c>
      <c r="FB1004" s="40" t="n">
        <f aca="false">MIN((FB589+FB590)*$C$5,$F$15)*'⑫ Roll-out Plan'!$O$63</f>
        <v>0</v>
      </c>
      <c r="FC1004" s="40" t="n">
        <f aca="false">MIN((FC589+FC590)*$C$5,$F$15)*'⑫ Roll-out Plan'!$O$63</f>
        <v>0</v>
      </c>
      <c r="FD1004" s="40" t="n">
        <f aca="false">MIN((FD589+FD590)*$C$5,$F$15)*'⑫ Roll-out Plan'!$O$63</f>
        <v>0</v>
      </c>
      <c r="FE1004" s="40" t="n">
        <f aca="false">MIN((FE589+FE590)*$C$5,$F$15)*'⑫ Roll-out Plan'!$O$63</f>
        <v>0</v>
      </c>
      <c r="FF1004" s="40" t="n">
        <f aca="false">MIN((FF589+FF590)*$C$5,$F$15)*'⑫ Roll-out Plan'!$O$63</f>
        <v>0</v>
      </c>
      <c r="FG1004" s="40" t="n">
        <f aca="false">MIN((FG589+FG590)*$C$5,$F$15)*'⑫ Roll-out Plan'!$O$63</f>
        <v>0</v>
      </c>
      <c r="FH1004" s="40" t="n">
        <f aca="false">MIN((FH589+FH590)*$C$5,$F$15)*'⑫ Roll-out Plan'!$O$63</f>
        <v>0</v>
      </c>
      <c r="FI1004" s="40" t="n">
        <f aca="false">MIN((FI589+FI590)*$C$5,$F$15)*'⑫ Roll-out Plan'!$O$63</f>
        <v>0</v>
      </c>
      <c r="FJ1004" s="40" t="n">
        <f aca="false">MIN((FJ589+FJ590)*$C$5,$F$15)*'⑫ Roll-out Plan'!$O$63</f>
        <v>0</v>
      </c>
      <c r="FK1004" s="40" t="n">
        <f aca="false">MIN((FK589+FK590)*$C$5,$F$15)*'⑫ Roll-out Plan'!$O$63</f>
        <v>0</v>
      </c>
      <c r="FL1004" s="40" t="n">
        <f aca="false">MIN((FL589+FL590)*$C$5,$F$15)*'⑫ Roll-out Plan'!$O$63</f>
        <v>0</v>
      </c>
      <c r="FM1004" s="40" t="n">
        <f aca="false">MIN((FM589+FM590)*$C$5,$F$15)*'⑫ Roll-out Plan'!$O$63</f>
        <v>0</v>
      </c>
      <c r="FN1004" s="40" t="n">
        <f aca="false">MIN((FN589+FN590)*$C$5,$F$15)*'⑫ Roll-out Plan'!$O$63</f>
        <v>0</v>
      </c>
      <c r="FO1004" s="40" t="n">
        <f aca="false">MIN((FO589+FO590)*$C$5,$F$15)*'⑫ Roll-out Plan'!$O$63</f>
        <v>0</v>
      </c>
      <c r="FP1004" s="40" t="n">
        <f aca="false">MIN((FP589+FP590)*$C$5,$F$15)*'⑫ Roll-out Plan'!$O$63</f>
        <v>0</v>
      </c>
    </row>
    <row r="1005" customFormat="false" ht="15" hidden="false" customHeight="false" outlineLevel="0" collapsed="false">
      <c r="B1005" s="36" t="s">
        <v>932</v>
      </c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40" t="n">
        <f aca="false">MIN((AC599+AC600)*$C$5,$F$14)*'⑫ Roll-out Plan'!$O$64</f>
        <v>0</v>
      </c>
      <c r="AD1005" s="40" t="n">
        <f aca="false">MIN((AD599+AD600)*$C$5,$F$14)*'⑫ Roll-out Plan'!$O$64</f>
        <v>0</v>
      </c>
      <c r="AE1005" s="40" t="n">
        <f aca="false">MIN((AE599+AE600)*$C$5,$F$14)*'⑫ Roll-out Plan'!$O$64</f>
        <v>0</v>
      </c>
      <c r="AF1005" s="40" t="n">
        <f aca="false">MIN((AF599+AF600)*$C$5,$F$14)*'⑫ Roll-out Plan'!$O$64</f>
        <v>0</v>
      </c>
      <c r="AG1005" s="40" t="n">
        <f aca="false">MIN((AG599+AG600)*$C$5,$F$14)*'⑫ Roll-out Plan'!$O$64</f>
        <v>0</v>
      </c>
      <c r="AH1005" s="40" t="n">
        <f aca="false">MIN((AH599+AH600)*$C$5,$F$14)*'⑫ Roll-out Plan'!$O$64</f>
        <v>0</v>
      </c>
      <c r="AI1005" s="40" t="n">
        <f aca="false">MIN((AI599+AI600)*$C$5,$F$14)*'⑫ Roll-out Plan'!$O$64</f>
        <v>0</v>
      </c>
      <c r="AJ1005" s="40" t="n">
        <f aca="false">MIN((AJ599+AJ600)*$C$5,$F$14)*'⑫ Roll-out Plan'!$O$64</f>
        <v>0</v>
      </c>
      <c r="AK1005" s="40" t="n">
        <f aca="false">MIN((AK599+AK600)*$C$5,$F$14)*'⑫ Roll-out Plan'!$O$64</f>
        <v>0</v>
      </c>
      <c r="AL1005" s="40" t="n">
        <f aca="false">MIN((AL599+AL600)*$C$5,$F$14)*'⑫ Roll-out Plan'!$O$64</f>
        <v>0</v>
      </c>
      <c r="AM1005" s="40" t="n">
        <f aca="false">MIN((AM599+AM600)*$C$5,$F$14)*'⑫ Roll-out Plan'!$O$64</f>
        <v>0</v>
      </c>
      <c r="AN1005" s="40" t="n">
        <f aca="false">MIN((AN599+AN600)*$C$5,$F$14)*'⑫ Roll-out Plan'!$O$64</f>
        <v>0</v>
      </c>
      <c r="AO1005" s="40" t="n">
        <f aca="false">MIN((AO599+AO600)*$C$5,$F$14)*'⑫ Roll-out Plan'!$O$64</f>
        <v>0</v>
      </c>
      <c r="AP1005" s="40" t="n">
        <f aca="false">MIN((AP599+AP600)*$C$5,$F$14)*'⑫ Roll-out Plan'!$O$64</f>
        <v>0</v>
      </c>
      <c r="AQ1005" s="40" t="n">
        <f aca="false">MIN((AQ599+AQ600)*$C$5,$F$14)*'⑫ Roll-out Plan'!$O$64</f>
        <v>0</v>
      </c>
      <c r="AR1005" s="40" t="n">
        <f aca="false">MIN((AR599+AR600)*$C$5,$F$14)*'⑫ Roll-out Plan'!$O$64</f>
        <v>0</v>
      </c>
      <c r="AS1005" s="40" t="n">
        <f aca="false">MIN((AS599+AS600)*$C$5,$F$14)*'⑫ Roll-out Plan'!$O$64</f>
        <v>0</v>
      </c>
      <c r="AT1005" s="40" t="n">
        <f aca="false">MIN((AT599+AT600)*$C$5,$F$14)*'⑫ Roll-out Plan'!$O$64</f>
        <v>0</v>
      </c>
      <c r="AU1005" s="40" t="n">
        <f aca="false">MIN((AU599+AU600)*$C$5,$F$14)*'⑫ Roll-out Plan'!$O$64</f>
        <v>0</v>
      </c>
      <c r="AV1005" s="40" t="n">
        <f aca="false">MIN((AV599+AV600)*$C$5,$F$14)*'⑫ Roll-out Plan'!$O$64</f>
        <v>0</v>
      </c>
      <c r="AW1005" s="40" t="n">
        <f aca="false">MIN((AW599+AW600)*$C$5,$F$14)*'⑫ Roll-out Plan'!$O$64</f>
        <v>0</v>
      </c>
      <c r="AX1005" s="40" t="n">
        <f aca="false">MIN((AX599+AX600)*$C$5,$F$14)*'⑫ Roll-out Plan'!$O$64</f>
        <v>0</v>
      </c>
      <c r="AY1005" s="40" t="n">
        <f aca="false">MIN((AY599+AY600)*$C$5,$F$14)*'⑫ Roll-out Plan'!$O$64</f>
        <v>0</v>
      </c>
      <c r="AZ1005" s="40" t="n">
        <f aca="false">MIN((AZ599+AZ600)*$C$5,$F$14)*'⑫ Roll-out Plan'!$O$64</f>
        <v>0</v>
      </c>
      <c r="BA1005" s="40" t="n">
        <f aca="false">MIN((BA599+BA600)*$C$5,$F$14)*'⑫ Roll-out Plan'!$O$64</f>
        <v>0</v>
      </c>
      <c r="BB1005" s="40" t="n">
        <f aca="false">MIN((BB599+BB600)*$C$5,$F$14)*'⑫ Roll-out Plan'!$O$64</f>
        <v>0</v>
      </c>
      <c r="BC1005" s="40" t="n">
        <f aca="false">MIN((BC599+BC600)*$C$5,$F$14)*'⑫ Roll-out Plan'!$O$64</f>
        <v>0</v>
      </c>
      <c r="BD1005" s="40" t="n">
        <f aca="false">MIN((BD599+BD600)*$C$5,$F$14)*'⑫ Roll-out Plan'!$O$64</f>
        <v>0</v>
      </c>
      <c r="BE1005" s="40" t="n">
        <f aca="false">MIN((BE599+BE600)*$C$5,$F$14)*'⑫ Roll-out Plan'!$O$64</f>
        <v>0</v>
      </c>
      <c r="BF1005" s="40" t="n">
        <f aca="false">MIN((BF599+BF600)*$C$5,$F$14)*'⑫ Roll-out Plan'!$O$64</f>
        <v>0</v>
      </c>
      <c r="BG1005" s="40" t="n">
        <f aca="false">MIN((BG599+BG600)*$C$5,$F$14)*'⑫ Roll-out Plan'!$O$64</f>
        <v>0</v>
      </c>
      <c r="BH1005" s="40" t="n">
        <f aca="false">MIN((BH599+BH600)*$C$5,$F$14)*'⑫ Roll-out Plan'!$O$64</f>
        <v>0</v>
      </c>
      <c r="BI1005" s="40" t="n">
        <f aca="false">MIN((BI599+BI600)*$C$5,$F$14)*'⑫ Roll-out Plan'!$O$64</f>
        <v>0</v>
      </c>
      <c r="BJ1005" s="40" t="n">
        <f aca="false">MIN((BJ599+BJ600)*$C$5,$F$14)*'⑫ Roll-out Plan'!$O$64</f>
        <v>0</v>
      </c>
      <c r="BK1005" s="40" t="n">
        <f aca="false">MIN((BK599+BK600)*$C$5,$F$14)*'⑫ Roll-out Plan'!$O$64</f>
        <v>0</v>
      </c>
      <c r="BL1005" s="40" t="n">
        <f aca="false">MIN((BL599+BL600)*$C$5,$F$14)*'⑫ Roll-out Plan'!$O$64</f>
        <v>0</v>
      </c>
      <c r="BM1005" s="40" t="n">
        <f aca="false">MIN((BM599+BM600)*$C$5,$F$14)*'⑫ Roll-out Plan'!$O$64</f>
        <v>0</v>
      </c>
      <c r="BN1005" s="40" t="n">
        <f aca="false">MIN((BN599+BN600)*$C$5,$F$14)*'⑫ Roll-out Plan'!$O$64</f>
        <v>0</v>
      </c>
      <c r="BO1005" s="40" t="n">
        <f aca="false">MIN((BO599+BO600)*$C$5,$F$14)*'⑫ Roll-out Plan'!$O$64</f>
        <v>0</v>
      </c>
      <c r="BP1005" s="40" t="n">
        <f aca="false">MIN((BP599+BP600)*$C$5,$F$14)*'⑫ Roll-out Plan'!$O$64</f>
        <v>0</v>
      </c>
      <c r="BQ1005" s="40" t="n">
        <f aca="false">MIN((BQ599+BQ600)*$C$5,$F$14)*'⑫ Roll-out Plan'!$O$64</f>
        <v>0</v>
      </c>
      <c r="BR1005" s="40" t="n">
        <f aca="false">MIN((BR599+BR600)*$C$5,$F$14)*'⑫ Roll-out Plan'!$O$64</f>
        <v>0</v>
      </c>
      <c r="BS1005" s="40" t="n">
        <f aca="false">MIN((BS599+BS600)*$C$5,$F$14)*'⑫ Roll-out Plan'!$O$64</f>
        <v>0</v>
      </c>
      <c r="BT1005" s="40" t="n">
        <f aca="false">MIN((BT599+BT600)*$C$5,$F$14)*'⑫ Roll-out Plan'!$O$64</f>
        <v>0</v>
      </c>
      <c r="BU1005" s="40" t="n">
        <f aca="false">MIN((BU599+BU600)*$C$5,$F$14)*'⑫ Roll-out Plan'!$O$64</f>
        <v>0</v>
      </c>
      <c r="BV1005" s="40" t="n">
        <f aca="false">MIN((BV599+BV600)*$C$5,$F$14)*'⑫ Roll-out Plan'!$O$64</f>
        <v>0</v>
      </c>
      <c r="BW1005" s="40" t="n">
        <f aca="false">MIN((BW599+BW600)*$C$5,$F$14)*'⑫ Roll-out Plan'!$O$64</f>
        <v>0</v>
      </c>
      <c r="BX1005" s="40" t="n">
        <f aca="false">MIN((BX599+BX600)*$C$5,$F$14)*'⑫ Roll-out Plan'!$O$64</f>
        <v>0</v>
      </c>
      <c r="BY1005" s="40" t="n">
        <f aca="false">MIN((BY599+BY600)*$C$5,$F$14)*'⑫ Roll-out Plan'!$O$64</f>
        <v>0</v>
      </c>
      <c r="BZ1005" s="40" t="n">
        <f aca="false">MIN((BZ599+BZ600)*$C$5,$F$14)*'⑫ Roll-out Plan'!$O$64</f>
        <v>0</v>
      </c>
      <c r="CA1005" s="40" t="n">
        <f aca="false">MIN((CA599+CA600)*$C$5,$F$14)*'⑫ Roll-out Plan'!$O$64</f>
        <v>0</v>
      </c>
      <c r="CB1005" s="40" t="n">
        <f aca="false">MIN((CB599+CB600)*$C$5,$F$14)*'⑫ Roll-out Plan'!$O$64</f>
        <v>0</v>
      </c>
      <c r="CC1005" s="40" t="n">
        <f aca="false">MIN((CC599+CC600)*$C$5,$F$14)*'⑫ Roll-out Plan'!$O$64</f>
        <v>0</v>
      </c>
      <c r="CD1005" s="40" t="n">
        <f aca="false">MIN((CD599+CD600)*$C$5,$F$14)*'⑫ Roll-out Plan'!$O$64</f>
        <v>0</v>
      </c>
      <c r="CE1005" s="40" t="n">
        <f aca="false">MIN((CE599+CE600)*$C$5,$F$14)*'⑫ Roll-out Plan'!$O$64</f>
        <v>0</v>
      </c>
      <c r="CF1005" s="40" t="n">
        <f aca="false">MIN((CF599+CF600)*$C$5,$F$14)*'⑫ Roll-out Plan'!$O$64</f>
        <v>0</v>
      </c>
      <c r="CG1005" s="40" t="n">
        <f aca="false">MIN((CG599+CG600)*$C$5,$F$14)*'⑫ Roll-out Plan'!$O$64</f>
        <v>0</v>
      </c>
      <c r="CH1005" s="40" t="n">
        <f aca="false">MIN((CH599+CH600)*$C$5,$F$14)*'⑫ Roll-out Plan'!$O$64</f>
        <v>0</v>
      </c>
      <c r="CI1005" s="40" t="n">
        <f aca="false">MIN((CI599+CI600)*$C$5,$F$14)*'⑫ Roll-out Plan'!$O$64</f>
        <v>0</v>
      </c>
      <c r="CJ1005" s="40" t="n">
        <f aca="false">MIN((CJ599+CJ600)*$C$5,$F$14)*'⑫ Roll-out Plan'!$O$64</f>
        <v>0</v>
      </c>
      <c r="CK1005" s="40" t="n">
        <f aca="false">MIN((CK599+CK600)*$C$5,$F$14)*'⑫ Roll-out Plan'!$O$64</f>
        <v>0</v>
      </c>
      <c r="CL1005" s="40" t="n">
        <f aca="false">MIN((CL599+CL600)*$C$5,$F$14)*'⑫ Roll-out Plan'!$O$64</f>
        <v>0</v>
      </c>
      <c r="CM1005" s="40" t="n">
        <f aca="false">MIN((CM599+CM600)*$C$5,$F$14)*'⑫ Roll-out Plan'!$O$64</f>
        <v>0</v>
      </c>
      <c r="CN1005" s="40" t="n">
        <f aca="false">MIN((CN599+CN600)*$C$5,$F$14)*'⑫ Roll-out Plan'!$O$64</f>
        <v>0</v>
      </c>
      <c r="CO1005" s="40" t="n">
        <f aca="false">MIN((CO599+CO600)*$C$5,$F$14)*'⑫ Roll-out Plan'!$O$64</f>
        <v>0</v>
      </c>
      <c r="CP1005" s="40" t="n">
        <f aca="false">MIN((CP599+CP600)*$C$5,$F$14)*'⑫ Roll-out Plan'!$O$64</f>
        <v>0</v>
      </c>
      <c r="CQ1005" s="40" t="n">
        <f aca="false">MIN((CQ599+CQ600)*$C$5,$F$14)*'⑫ Roll-out Plan'!$O$64</f>
        <v>0</v>
      </c>
      <c r="CR1005" s="40" t="n">
        <f aca="false">MIN((CR599+CR600)*$C$5,$F$14)*'⑫ Roll-out Plan'!$O$64</f>
        <v>0</v>
      </c>
      <c r="CS1005" s="40" t="n">
        <f aca="false">MIN((CS599+CS600)*$C$5,$F$14)*'⑫ Roll-out Plan'!$O$64</f>
        <v>0</v>
      </c>
      <c r="CT1005" s="40" t="n">
        <f aca="false">MIN((CT599+CT600)*$C$5,$F$14)*'⑫ Roll-out Plan'!$O$64</f>
        <v>0</v>
      </c>
      <c r="CU1005" s="40" t="n">
        <f aca="false">MIN((CU599+CU600)*$C$5,$F$14)*'⑫ Roll-out Plan'!$O$64</f>
        <v>0</v>
      </c>
      <c r="CV1005" s="40" t="n">
        <f aca="false">MIN((CV599+CV600)*$C$5,$F$14)*'⑫ Roll-out Plan'!$O$64</f>
        <v>0</v>
      </c>
      <c r="CW1005" s="40" t="n">
        <f aca="false">MIN((CW599+CW600)*$C$5,$F$14)*'⑫ Roll-out Plan'!$O$64</f>
        <v>0</v>
      </c>
      <c r="CX1005" s="40" t="n">
        <f aca="false">MIN((CX599+CX600)*$C$5,$F$14)*'⑫ Roll-out Plan'!$O$64</f>
        <v>0</v>
      </c>
      <c r="CY1005" s="40" t="n">
        <f aca="false">MIN((CY599+CY600)*$C$5,$F$14)*'⑫ Roll-out Plan'!$O$64</f>
        <v>0</v>
      </c>
      <c r="CZ1005" s="40" t="n">
        <f aca="false">MIN((CZ599+CZ600)*$C$5,$F$14)*'⑫ Roll-out Plan'!$O$64</f>
        <v>0</v>
      </c>
      <c r="DA1005" s="40" t="n">
        <f aca="false">MIN((DA599+DA600)*$C$5,$F$14)*'⑫ Roll-out Plan'!$O$64</f>
        <v>0</v>
      </c>
      <c r="DB1005" s="40" t="n">
        <f aca="false">MIN((DB599+DB600)*$C$5,$F$14)*'⑫ Roll-out Plan'!$O$64</f>
        <v>0</v>
      </c>
      <c r="DC1005" s="40" t="n">
        <f aca="false">MIN((DC599+DC600)*$C$5,$F$14)*'⑫ Roll-out Plan'!$O$64</f>
        <v>0</v>
      </c>
      <c r="DD1005" s="40" t="n">
        <f aca="false">MIN((DD599+DD600)*$C$5,$F$14)*'⑫ Roll-out Plan'!$O$64</f>
        <v>0</v>
      </c>
      <c r="DE1005" s="40" t="n">
        <f aca="false">MIN((DE599+DE600)*$C$5,$F$14)*'⑫ Roll-out Plan'!$O$64</f>
        <v>0</v>
      </c>
      <c r="DF1005" s="40" t="n">
        <f aca="false">MIN((DF599+DF600)*$C$5,$F$14)*'⑫ Roll-out Plan'!$O$64</f>
        <v>0</v>
      </c>
      <c r="DG1005" s="40" t="n">
        <f aca="false">MIN((DG599+DG600)*$C$5,$F$14)*'⑫ Roll-out Plan'!$O$64</f>
        <v>0</v>
      </c>
      <c r="DH1005" s="40" t="n">
        <f aca="false">MIN((DH599+DH600)*$C$5,$F$14)*'⑫ Roll-out Plan'!$O$64</f>
        <v>0</v>
      </c>
      <c r="DI1005" s="40" t="n">
        <f aca="false">MIN((DI599+DI600)*$C$5,$F$14)*'⑫ Roll-out Plan'!$O$64</f>
        <v>0</v>
      </c>
      <c r="DJ1005" s="40" t="n">
        <f aca="false">MIN((DJ599+DJ600)*$C$5,$F$14)*'⑫ Roll-out Plan'!$O$64</f>
        <v>0</v>
      </c>
      <c r="DK1005" s="40" t="n">
        <f aca="false">MIN((DK599+DK600)*$C$5,$F$14)*'⑫ Roll-out Plan'!$O$64</f>
        <v>0</v>
      </c>
      <c r="DL1005" s="40" t="n">
        <f aca="false">MIN((DL599+DL600)*$C$5,$F$14)*'⑫ Roll-out Plan'!$O$64</f>
        <v>0</v>
      </c>
      <c r="DM1005" s="40" t="n">
        <f aca="false">MIN((DM599+DM600)*$C$5,$F$14)*'⑫ Roll-out Plan'!$O$64</f>
        <v>0</v>
      </c>
      <c r="DN1005" s="40" t="n">
        <f aca="false">MIN((DN599+DN600)*$C$5,$F$14)*'⑫ Roll-out Plan'!$O$64</f>
        <v>0</v>
      </c>
      <c r="DO1005" s="40" t="n">
        <f aca="false">MIN((DO599+DO600)*$C$5,$F$14)*'⑫ Roll-out Plan'!$O$64</f>
        <v>0</v>
      </c>
      <c r="DP1005" s="40" t="n">
        <f aca="false">MIN((DP599+DP600)*$C$5,$F$14)*'⑫ Roll-out Plan'!$O$64</f>
        <v>0</v>
      </c>
      <c r="DQ1005" s="40" t="n">
        <f aca="false">MIN((DQ599+DQ600)*$C$5,$F$14)*'⑫ Roll-out Plan'!$O$64</f>
        <v>0</v>
      </c>
      <c r="DR1005" s="40" t="n">
        <f aca="false">MIN((DR599+DR600)*$C$5,$F$14)*'⑫ Roll-out Plan'!$O$64</f>
        <v>0</v>
      </c>
      <c r="DS1005" s="40" t="n">
        <f aca="false">MIN((DS599+DS600)*$C$5,$F$14)*'⑫ Roll-out Plan'!$O$64</f>
        <v>0</v>
      </c>
      <c r="DT1005" s="40" t="n">
        <f aca="false">MIN((DT599+DT600)*$C$5,$F$14)*'⑫ Roll-out Plan'!$O$64</f>
        <v>0</v>
      </c>
      <c r="DU1005" s="40" t="n">
        <f aca="false">MIN((DU599+DU600)*$C$5,$F$14)*'⑫ Roll-out Plan'!$O$64</f>
        <v>0</v>
      </c>
      <c r="DV1005" s="40" t="n">
        <f aca="false">MIN((DV599+DV600)*$C$5,$F$14)*'⑫ Roll-out Plan'!$O$64</f>
        <v>0</v>
      </c>
      <c r="DW1005" s="40" t="n">
        <f aca="false">MIN((DW599+DW600)*$C$5,$F$14)*'⑫ Roll-out Plan'!$O$64</f>
        <v>0</v>
      </c>
      <c r="DX1005" s="40" t="n">
        <f aca="false">MIN((DX599+DX600)*$C$5,$F$14)*'⑫ Roll-out Plan'!$O$64</f>
        <v>0</v>
      </c>
      <c r="DY1005" s="40" t="n">
        <f aca="false">MIN((DY599+DY600)*$C$5,$F$14)*'⑫ Roll-out Plan'!$O$64</f>
        <v>0</v>
      </c>
      <c r="DZ1005" s="40" t="n">
        <f aca="false">MIN((DZ599+DZ600)*$C$5,$F$14)*'⑫ Roll-out Plan'!$O$64</f>
        <v>0</v>
      </c>
      <c r="EA1005" s="40" t="n">
        <f aca="false">MIN((EA599+EA600)*$C$5,$F$14)*'⑫ Roll-out Plan'!$O$64</f>
        <v>0</v>
      </c>
      <c r="EB1005" s="40" t="n">
        <f aca="false">MIN((EB599+EB600)*$C$5,$F$14)*'⑫ Roll-out Plan'!$O$64</f>
        <v>0</v>
      </c>
      <c r="EC1005" s="40" t="n">
        <f aca="false">MIN((EC599+EC600)*$C$5,$F$14)*'⑫ Roll-out Plan'!$O$64</f>
        <v>0</v>
      </c>
      <c r="ED1005" s="40" t="n">
        <f aca="false">MIN((ED599+ED600)*$C$5,$F$14)*'⑫ Roll-out Plan'!$O$64</f>
        <v>0</v>
      </c>
      <c r="EE1005" s="40" t="n">
        <f aca="false">MIN((EE599+EE600)*$C$5,$F$14)*'⑫ Roll-out Plan'!$O$64</f>
        <v>0</v>
      </c>
      <c r="EF1005" s="40" t="n">
        <f aca="false">MIN((EF599+EF600)*$C$5,$F$14)*'⑫ Roll-out Plan'!$O$64</f>
        <v>0</v>
      </c>
      <c r="EG1005" s="40" t="n">
        <f aca="false">MIN((EG599+EG600)*$C$5,$F$14)*'⑫ Roll-out Plan'!$O$64</f>
        <v>0</v>
      </c>
      <c r="EH1005" s="40" t="n">
        <f aca="false">MIN((EH599+EH600)*$C$5,$F$14)*'⑫ Roll-out Plan'!$O$64</f>
        <v>0</v>
      </c>
      <c r="EI1005" s="40" t="n">
        <f aca="false">MIN((EI599+EI600)*$C$5,$F$14)*'⑫ Roll-out Plan'!$O$64</f>
        <v>0</v>
      </c>
      <c r="EJ1005" s="40" t="n">
        <f aca="false">MIN((EJ599+EJ600)*$C$5,$F$14)*'⑫ Roll-out Plan'!$O$64</f>
        <v>0</v>
      </c>
      <c r="EK1005" s="40" t="n">
        <f aca="false">MIN((EK599+EK600)*$C$5,$F$14)*'⑫ Roll-out Plan'!$O$64</f>
        <v>0</v>
      </c>
      <c r="EL1005" s="40" t="n">
        <f aca="false">MIN((EL599+EL600)*$C$5,$F$14)*'⑫ Roll-out Plan'!$O$64</f>
        <v>0</v>
      </c>
      <c r="EM1005" s="40" t="n">
        <f aca="false">MIN((EM599+EM600)*$C$5,$F$14)*'⑫ Roll-out Plan'!$O$64</f>
        <v>0</v>
      </c>
      <c r="EN1005" s="40" t="n">
        <f aca="false">MIN((EN599+EN600)*$C$5,$F$14)*'⑫ Roll-out Plan'!$O$64</f>
        <v>0</v>
      </c>
      <c r="EO1005" s="40" t="n">
        <f aca="false">MIN((EO599+EO600)*$C$5,$F$14)*'⑫ Roll-out Plan'!$O$64</f>
        <v>0</v>
      </c>
      <c r="EP1005" s="40" t="n">
        <f aca="false">MIN((EP599+EP600)*$C$5,$F$14)*'⑫ Roll-out Plan'!$O$64</f>
        <v>0</v>
      </c>
      <c r="EQ1005" s="40" t="n">
        <f aca="false">MIN((EQ599+EQ600)*$C$5,$F$14)*'⑫ Roll-out Plan'!$O$64</f>
        <v>0</v>
      </c>
      <c r="ER1005" s="40" t="n">
        <f aca="false">MIN((ER599+ER600)*$C$5,$F$14)*'⑫ Roll-out Plan'!$O$64</f>
        <v>0</v>
      </c>
      <c r="ES1005" s="40" t="n">
        <f aca="false">MIN((ES599+ES600)*$C$5,$F$14)*'⑫ Roll-out Plan'!$O$64</f>
        <v>0</v>
      </c>
      <c r="ET1005" s="40" t="n">
        <f aca="false">MIN((ET599+ET600)*$C$5,$F$14)*'⑫ Roll-out Plan'!$O$64</f>
        <v>0</v>
      </c>
      <c r="EU1005" s="40" t="n">
        <f aca="false">MIN((EU599+EU600)*$C$5,$F$14)*'⑫ Roll-out Plan'!$O$64</f>
        <v>0</v>
      </c>
      <c r="EV1005" s="40" t="n">
        <f aca="false">MIN((EV599+EV600)*$C$5,$F$14)*'⑫ Roll-out Plan'!$O$64</f>
        <v>0</v>
      </c>
      <c r="EW1005" s="40" t="n">
        <f aca="false">MIN((EW599+EW600)*$C$5,$F$14)*'⑫ Roll-out Plan'!$O$64</f>
        <v>0</v>
      </c>
      <c r="EX1005" s="40" t="n">
        <f aca="false">MIN((EX599+EX600)*$C$5,$F$14)*'⑫ Roll-out Plan'!$O$64</f>
        <v>0</v>
      </c>
      <c r="EY1005" s="40" t="n">
        <f aca="false">MIN((EY599+EY600)*$C$5,$F$14)*'⑫ Roll-out Plan'!$O$64</f>
        <v>0</v>
      </c>
      <c r="EZ1005" s="40" t="n">
        <f aca="false">MIN((EZ599+EZ600)*$C$5,$F$14)*'⑫ Roll-out Plan'!$O$64</f>
        <v>0</v>
      </c>
      <c r="FA1005" s="40" t="n">
        <f aca="false">MIN((FA599+FA600)*$C$5,$F$14)*'⑫ Roll-out Plan'!$O$64</f>
        <v>0</v>
      </c>
      <c r="FB1005" s="40" t="n">
        <f aca="false">MIN((FB599+FB600)*$C$5,$F$14)*'⑫ Roll-out Plan'!$O$64</f>
        <v>0</v>
      </c>
      <c r="FC1005" s="40" t="n">
        <f aca="false">MIN((FC599+FC600)*$C$5,$F$14)*'⑫ Roll-out Plan'!$O$64</f>
        <v>0</v>
      </c>
      <c r="FD1005" s="40" t="n">
        <f aca="false">MIN((FD599+FD600)*$C$5,$F$14)*'⑫ Roll-out Plan'!$O$64</f>
        <v>0</v>
      </c>
      <c r="FE1005" s="40" t="n">
        <f aca="false">MIN((FE599+FE600)*$C$5,$F$14)*'⑫ Roll-out Plan'!$O$64</f>
        <v>0</v>
      </c>
      <c r="FF1005" s="40" t="n">
        <f aca="false">MIN((FF599+FF600)*$C$5,$F$14)*'⑫ Roll-out Plan'!$O$64</f>
        <v>0</v>
      </c>
      <c r="FG1005" s="40" t="n">
        <f aca="false">MIN((FG599+FG600)*$C$5,$F$14)*'⑫ Roll-out Plan'!$O$64</f>
        <v>0</v>
      </c>
      <c r="FH1005" s="40" t="n">
        <f aca="false">MIN((FH599+FH600)*$C$5,$F$14)*'⑫ Roll-out Plan'!$O$64</f>
        <v>0</v>
      </c>
      <c r="FI1005" s="40" t="n">
        <f aca="false">MIN((FI599+FI600)*$C$5,$F$14)*'⑫ Roll-out Plan'!$O$64</f>
        <v>0</v>
      </c>
      <c r="FJ1005" s="40" t="n">
        <f aca="false">MIN((FJ599+FJ600)*$C$5,$F$14)*'⑫ Roll-out Plan'!$O$64</f>
        <v>0</v>
      </c>
      <c r="FK1005" s="40" t="n">
        <f aca="false">MIN((FK599+FK600)*$C$5,$F$14)*'⑫ Roll-out Plan'!$O$64</f>
        <v>0</v>
      </c>
      <c r="FL1005" s="40" t="n">
        <f aca="false">MIN((FL599+FL600)*$C$5,$F$14)*'⑫ Roll-out Plan'!$O$64</f>
        <v>0</v>
      </c>
      <c r="FM1005" s="40" t="n">
        <f aca="false">MIN((FM599+FM600)*$C$5,$F$14)*'⑫ Roll-out Plan'!$O$64</f>
        <v>0</v>
      </c>
      <c r="FN1005" s="40" t="n">
        <f aca="false">MIN((FN599+FN600)*$C$5,$F$14)*'⑫ Roll-out Plan'!$O$64</f>
        <v>0</v>
      </c>
      <c r="FO1005" s="40" t="n">
        <f aca="false">MIN((FO599+FO600)*$C$5,$F$14)*'⑫ Roll-out Plan'!$O$64</f>
        <v>0</v>
      </c>
      <c r="FP1005" s="40" t="n">
        <f aca="false">MIN((FP599+FP600)*$C$5,$F$14)*'⑫ Roll-out Plan'!$O$64</f>
        <v>0</v>
      </c>
    </row>
    <row r="1006" customFormat="false" ht="15" hidden="false" customHeight="false" outlineLevel="0" collapsed="false">
      <c r="B1006" s="36" t="s">
        <v>933</v>
      </c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40" t="n">
        <f aca="false">MIN((AC609+AC610)*$C$5,$F$15)*'⑫ Roll-out Plan'!$O$65</f>
        <v>0</v>
      </c>
      <c r="AD1006" s="40" t="n">
        <f aca="false">MIN((AD609+AD610)*$C$5,$F$15)*'⑫ Roll-out Plan'!$O$65</f>
        <v>0</v>
      </c>
      <c r="AE1006" s="40" t="n">
        <f aca="false">MIN((AE609+AE610)*$C$5,$F$15)*'⑫ Roll-out Plan'!$O$65</f>
        <v>0</v>
      </c>
      <c r="AF1006" s="40" t="n">
        <f aca="false">MIN((AF609+AF610)*$C$5,$F$15)*'⑫ Roll-out Plan'!$O$65</f>
        <v>0</v>
      </c>
      <c r="AG1006" s="40" t="n">
        <f aca="false">MIN((AG609+AG610)*$C$5,$F$15)*'⑫ Roll-out Plan'!$O$65</f>
        <v>0</v>
      </c>
      <c r="AH1006" s="40" t="n">
        <f aca="false">MIN((AH609+AH610)*$C$5,$F$15)*'⑫ Roll-out Plan'!$O$65</f>
        <v>0</v>
      </c>
      <c r="AI1006" s="40" t="n">
        <f aca="false">MIN((AI609+AI610)*$C$5,$F$15)*'⑫ Roll-out Plan'!$O$65</f>
        <v>0</v>
      </c>
      <c r="AJ1006" s="40" t="n">
        <f aca="false">MIN((AJ609+AJ610)*$C$5,$F$15)*'⑫ Roll-out Plan'!$O$65</f>
        <v>0</v>
      </c>
      <c r="AK1006" s="40" t="n">
        <f aca="false">MIN((AK609+AK610)*$C$5,$F$15)*'⑫ Roll-out Plan'!$O$65</f>
        <v>0</v>
      </c>
      <c r="AL1006" s="40" t="n">
        <f aca="false">MIN((AL609+AL610)*$C$5,$F$15)*'⑫ Roll-out Plan'!$O$65</f>
        <v>0</v>
      </c>
      <c r="AM1006" s="40" t="n">
        <f aca="false">MIN((AM609+AM610)*$C$5,$F$15)*'⑫ Roll-out Plan'!$O$65</f>
        <v>0</v>
      </c>
      <c r="AN1006" s="40" t="n">
        <f aca="false">MIN((AN609+AN610)*$C$5,$F$15)*'⑫ Roll-out Plan'!$O$65</f>
        <v>0</v>
      </c>
      <c r="AO1006" s="40" t="n">
        <f aca="false">MIN((AO609+AO610)*$C$5,$F$15)*'⑫ Roll-out Plan'!$O$65</f>
        <v>0</v>
      </c>
      <c r="AP1006" s="40" t="n">
        <f aca="false">MIN((AP609+AP610)*$C$5,$F$15)*'⑫ Roll-out Plan'!$O$65</f>
        <v>0</v>
      </c>
      <c r="AQ1006" s="40" t="n">
        <f aca="false">MIN((AQ609+AQ610)*$C$5,$F$15)*'⑫ Roll-out Plan'!$O$65</f>
        <v>0</v>
      </c>
      <c r="AR1006" s="40" t="n">
        <f aca="false">MIN((AR609+AR610)*$C$5,$F$15)*'⑫ Roll-out Plan'!$O$65</f>
        <v>0</v>
      </c>
      <c r="AS1006" s="40" t="n">
        <f aca="false">MIN((AS609+AS610)*$C$5,$F$15)*'⑫ Roll-out Plan'!$O$65</f>
        <v>0</v>
      </c>
      <c r="AT1006" s="40" t="n">
        <f aca="false">MIN((AT609+AT610)*$C$5,$F$15)*'⑫ Roll-out Plan'!$O$65</f>
        <v>0</v>
      </c>
      <c r="AU1006" s="40" t="n">
        <f aca="false">MIN((AU609+AU610)*$C$5,$F$15)*'⑫ Roll-out Plan'!$O$65</f>
        <v>0</v>
      </c>
      <c r="AV1006" s="40" t="n">
        <f aca="false">MIN((AV609+AV610)*$C$5,$F$15)*'⑫ Roll-out Plan'!$O$65</f>
        <v>0</v>
      </c>
      <c r="AW1006" s="40" t="n">
        <f aca="false">MIN((AW609+AW610)*$C$5,$F$15)*'⑫ Roll-out Plan'!$O$65</f>
        <v>0</v>
      </c>
      <c r="AX1006" s="40" t="n">
        <f aca="false">MIN((AX609+AX610)*$C$5,$F$15)*'⑫ Roll-out Plan'!$O$65</f>
        <v>0</v>
      </c>
      <c r="AY1006" s="40" t="n">
        <f aca="false">MIN((AY609+AY610)*$C$5,$F$15)*'⑫ Roll-out Plan'!$O$65</f>
        <v>0</v>
      </c>
      <c r="AZ1006" s="40" t="n">
        <f aca="false">MIN((AZ609+AZ610)*$C$5,$F$15)*'⑫ Roll-out Plan'!$O$65</f>
        <v>0</v>
      </c>
      <c r="BA1006" s="40" t="n">
        <f aca="false">MIN((BA609+BA610)*$C$5,$F$15)*'⑫ Roll-out Plan'!$O$65</f>
        <v>0</v>
      </c>
      <c r="BB1006" s="40" t="n">
        <f aca="false">MIN((BB609+BB610)*$C$5,$F$15)*'⑫ Roll-out Plan'!$O$65</f>
        <v>0</v>
      </c>
      <c r="BC1006" s="40" t="n">
        <f aca="false">MIN((BC609+BC610)*$C$5,$F$15)*'⑫ Roll-out Plan'!$O$65</f>
        <v>0</v>
      </c>
      <c r="BD1006" s="40" t="n">
        <f aca="false">MIN((BD609+BD610)*$C$5,$F$15)*'⑫ Roll-out Plan'!$O$65</f>
        <v>0</v>
      </c>
      <c r="BE1006" s="40" t="n">
        <f aca="false">MIN((BE609+BE610)*$C$5,$F$15)*'⑫ Roll-out Plan'!$O$65</f>
        <v>0</v>
      </c>
      <c r="BF1006" s="40" t="n">
        <f aca="false">MIN((BF609+BF610)*$C$5,$F$15)*'⑫ Roll-out Plan'!$O$65</f>
        <v>0</v>
      </c>
      <c r="BG1006" s="40" t="n">
        <f aca="false">MIN((BG609+BG610)*$C$5,$F$15)*'⑫ Roll-out Plan'!$O$65</f>
        <v>0</v>
      </c>
      <c r="BH1006" s="40" t="n">
        <f aca="false">MIN((BH609+BH610)*$C$5,$F$15)*'⑫ Roll-out Plan'!$O$65</f>
        <v>0</v>
      </c>
      <c r="BI1006" s="40" t="n">
        <f aca="false">MIN((BI609+BI610)*$C$5,$F$15)*'⑫ Roll-out Plan'!$O$65</f>
        <v>0</v>
      </c>
      <c r="BJ1006" s="40" t="n">
        <f aca="false">MIN((BJ609+BJ610)*$C$5,$F$15)*'⑫ Roll-out Plan'!$O$65</f>
        <v>0</v>
      </c>
      <c r="BK1006" s="40" t="n">
        <f aca="false">MIN((BK609+BK610)*$C$5,$F$15)*'⑫ Roll-out Plan'!$O$65</f>
        <v>0</v>
      </c>
      <c r="BL1006" s="40" t="n">
        <f aca="false">MIN((BL609+BL610)*$C$5,$F$15)*'⑫ Roll-out Plan'!$O$65</f>
        <v>0</v>
      </c>
      <c r="BM1006" s="40" t="n">
        <f aca="false">MIN((BM609+BM610)*$C$5,$F$15)*'⑫ Roll-out Plan'!$O$65</f>
        <v>0</v>
      </c>
      <c r="BN1006" s="40" t="n">
        <f aca="false">MIN((BN609+BN610)*$C$5,$F$15)*'⑫ Roll-out Plan'!$O$65</f>
        <v>0</v>
      </c>
      <c r="BO1006" s="40" t="n">
        <f aca="false">MIN((BO609+BO610)*$C$5,$F$15)*'⑫ Roll-out Plan'!$O$65</f>
        <v>0</v>
      </c>
      <c r="BP1006" s="40" t="n">
        <f aca="false">MIN((BP609+BP610)*$C$5,$F$15)*'⑫ Roll-out Plan'!$O$65</f>
        <v>0</v>
      </c>
      <c r="BQ1006" s="40" t="n">
        <f aca="false">MIN((BQ609+BQ610)*$C$5,$F$15)*'⑫ Roll-out Plan'!$O$65</f>
        <v>0</v>
      </c>
      <c r="BR1006" s="40" t="n">
        <f aca="false">MIN((BR609+BR610)*$C$5,$F$15)*'⑫ Roll-out Plan'!$O$65</f>
        <v>0</v>
      </c>
      <c r="BS1006" s="40" t="n">
        <f aca="false">MIN((BS609+BS610)*$C$5,$F$15)*'⑫ Roll-out Plan'!$O$65</f>
        <v>0</v>
      </c>
      <c r="BT1006" s="40" t="n">
        <f aca="false">MIN((BT609+BT610)*$C$5,$F$15)*'⑫ Roll-out Plan'!$O$65</f>
        <v>0</v>
      </c>
      <c r="BU1006" s="40" t="n">
        <f aca="false">MIN((BU609+BU610)*$C$5,$F$15)*'⑫ Roll-out Plan'!$O$65</f>
        <v>0</v>
      </c>
      <c r="BV1006" s="40" t="n">
        <f aca="false">MIN((BV609+BV610)*$C$5,$F$15)*'⑫ Roll-out Plan'!$O$65</f>
        <v>0</v>
      </c>
      <c r="BW1006" s="40" t="n">
        <f aca="false">MIN((BW609+BW610)*$C$5,$F$15)*'⑫ Roll-out Plan'!$O$65</f>
        <v>0</v>
      </c>
      <c r="BX1006" s="40" t="n">
        <f aca="false">MIN((BX609+BX610)*$C$5,$F$15)*'⑫ Roll-out Plan'!$O$65</f>
        <v>0</v>
      </c>
      <c r="BY1006" s="40" t="n">
        <f aca="false">MIN((BY609+BY610)*$C$5,$F$15)*'⑫ Roll-out Plan'!$O$65</f>
        <v>0</v>
      </c>
      <c r="BZ1006" s="40" t="n">
        <f aca="false">MIN((BZ609+BZ610)*$C$5,$F$15)*'⑫ Roll-out Plan'!$O$65</f>
        <v>0</v>
      </c>
      <c r="CA1006" s="40" t="n">
        <f aca="false">MIN((CA609+CA610)*$C$5,$F$15)*'⑫ Roll-out Plan'!$O$65</f>
        <v>0</v>
      </c>
      <c r="CB1006" s="40" t="n">
        <f aca="false">MIN((CB609+CB610)*$C$5,$F$15)*'⑫ Roll-out Plan'!$O$65</f>
        <v>0</v>
      </c>
      <c r="CC1006" s="40" t="n">
        <f aca="false">MIN((CC609+CC610)*$C$5,$F$15)*'⑫ Roll-out Plan'!$O$65</f>
        <v>0</v>
      </c>
      <c r="CD1006" s="40" t="n">
        <f aca="false">MIN((CD609+CD610)*$C$5,$F$15)*'⑫ Roll-out Plan'!$O$65</f>
        <v>0</v>
      </c>
      <c r="CE1006" s="40" t="n">
        <f aca="false">MIN((CE609+CE610)*$C$5,$F$15)*'⑫ Roll-out Plan'!$O$65</f>
        <v>0</v>
      </c>
      <c r="CF1006" s="40" t="n">
        <f aca="false">MIN((CF609+CF610)*$C$5,$F$15)*'⑫ Roll-out Plan'!$O$65</f>
        <v>0</v>
      </c>
      <c r="CG1006" s="40" t="n">
        <f aca="false">MIN((CG609+CG610)*$C$5,$F$15)*'⑫ Roll-out Plan'!$O$65</f>
        <v>0</v>
      </c>
      <c r="CH1006" s="40" t="n">
        <f aca="false">MIN((CH609+CH610)*$C$5,$F$15)*'⑫ Roll-out Plan'!$O$65</f>
        <v>0</v>
      </c>
      <c r="CI1006" s="40" t="n">
        <f aca="false">MIN((CI609+CI610)*$C$5,$F$15)*'⑫ Roll-out Plan'!$O$65</f>
        <v>0</v>
      </c>
      <c r="CJ1006" s="40" t="n">
        <f aca="false">MIN((CJ609+CJ610)*$C$5,$F$15)*'⑫ Roll-out Plan'!$O$65</f>
        <v>0</v>
      </c>
      <c r="CK1006" s="40" t="n">
        <f aca="false">MIN((CK609+CK610)*$C$5,$F$15)*'⑫ Roll-out Plan'!$O$65</f>
        <v>0</v>
      </c>
      <c r="CL1006" s="40" t="n">
        <f aca="false">MIN((CL609+CL610)*$C$5,$F$15)*'⑫ Roll-out Plan'!$O$65</f>
        <v>0</v>
      </c>
      <c r="CM1006" s="40" t="n">
        <f aca="false">MIN((CM609+CM610)*$C$5,$F$15)*'⑫ Roll-out Plan'!$O$65</f>
        <v>0</v>
      </c>
      <c r="CN1006" s="40" t="n">
        <f aca="false">MIN((CN609+CN610)*$C$5,$F$15)*'⑫ Roll-out Plan'!$O$65</f>
        <v>0</v>
      </c>
      <c r="CO1006" s="40" t="n">
        <f aca="false">MIN((CO609+CO610)*$C$5,$F$15)*'⑫ Roll-out Plan'!$O$65</f>
        <v>0</v>
      </c>
      <c r="CP1006" s="40" t="n">
        <f aca="false">MIN((CP609+CP610)*$C$5,$F$15)*'⑫ Roll-out Plan'!$O$65</f>
        <v>0</v>
      </c>
      <c r="CQ1006" s="40" t="n">
        <f aca="false">MIN((CQ609+CQ610)*$C$5,$F$15)*'⑫ Roll-out Plan'!$O$65</f>
        <v>0</v>
      </c>
      <c r="CR1006" s="40" t="n">
        <f aca="false">MIN((CR609+CR610)*$C$5,$F$15)*'⑫ Roll-out Plan'!$O$65</f>
        <v>0</v>
      </c>
      <c r="CS1006" s="40" t="n">
        <f aca="false">MIN((CS609+CS610)*$C$5,$F$15)*'⑫ Roll-out Plan'!$O$65</f>
        <v>0</v>
      </c>
      <c r="CT1006" s="40" t="n">
        <f aca="false">MIN((CT609+CT610)*$C$5,$F$15)*'⑫ Roll-out Plan'!$O$65</f>
        <v>0</v>
      </c>
      <c r="CU1006" s="40" t="n">
        <f aca="false">MIN((CU609+CU610)*$C$5,$F$15)*'⑫ Roll-out Plan'!$O$65</f>
        <v>0</v>
      </c>
      <c r="CV1006" s="40" t="n">
        <f aca="false">MIN((CV609+CV610)*$C$5,$F$15)*'⑫ Roll-out Plan'!$O$65</f>
        <v>0</v>
      </c>
      <c r="CW1006" s="40" t="n">
        <f aca="false">MIN((CW609+CW610)*$C$5,$F$15)*'⑫ Roll-out Plan'!$O$65</f>
        <v>0</v>
      </c>
      <c r="CX1006" s="40" t="n">
        <f aca="false">MIN((CX609+CX610)*$C$5,$F$15)*'⑫ Roll-out Plan'!$O$65</f>
        <v>0</v>
      </c>
      <c r="CY1006" s="40" t="n">
        <f aca="false">MIN((CY609+CY610)*$C$5,$F$15)*'⑫ Roll-out Plan'!$O$65</f>
        <v>0</v>
      </c>
      <c r="CZ1006" s="40" t="n">
        <f aca="false">MIN((CZ609+CZ610)*$C$5,$F$15)*'⑫ Roll-out Plan'!$O$65</f>
        <v>0</v>
      </c>
      <c r="DA1006" s="40" t="n">
        <f aca="false">MIN((DA609+DA610)*$C$5,$F$15)*'⑫ Roll-out Plan'!$O$65</f>
        <v>0</v>
      </c>
      <c r="DB1006" s="40" t="n">
        <f aca="false">MIN((DB609+DB610)*$C$5,$F$15)*'⑫ Roll-out Plan'!$O$65</f>
        <v>0</v>
      </c>
      <c r="DC1006" s="40" t="n">
        <f aca="false">MIN((DC609+DC610)*$C$5,$F$15)*'⑫ Roll-out Plan'!$O$65</f>
        <v>0</v>
      </c>
      <c r="DD1006" s="40" t="n">
        <f aca="false">MIN((DD609+DD610)*$C$5,$F$15)*'⑫ Roll-out Plan'!$O$65</f>
        <v>0</v>
      </c>
      <c r="DE1006" s="40" t="n">
        <f aca="false">MIN((DE609+DE610)*$C$5,$F$15)*'⑫ Roll-out Plan'!$O$65</f>
        <v>0</v>
      </c>
      <c r="DF1006" s="40" t="n">
        <f aca="false">MIN((DF609+DF610)*$C$5,$F$15)*'⑫ Roll-out Plan'!$O$65</f>
        <v>0</v>
      </c>
      <c r="DG1006" s="40" t="n">
        <f aca="false">MIN((DG609+DG610)*$C$5,$F$15)*'⑫ Roll-out Plan'!$O$65</f>
        <v>0</v>
      </c>
      <c r="DH1006" s="40" t="n">
        <f aca="false">MIN((DH609+DH610)*$C$5,$F$15)*'⑫ Roll-out Plan'!$O$65</f>
        <v>0</v>
      </c>
      <c r="DI1006" s="40" t="n">
        <f aca="false">MIN((DI609+DI610)*$C$5,$F$15)*'⑫ Roll-out Plan'!$O$65</f>
        <v>0</v>
      </c>
      <c r="DJ1006" s="40" t="n">
        <f aca="false">MIN((DJ609+DJ610)*$C$5,$F$15)*'⑫ Roll-out Plan'!$O$65</f>
        <v>0</v>
      </c>
      <c r="DK1006" s="40" t="n">
        <f aca="false">MIN((DK609+DK610)*$C$5,$F$15)*'⑫ Roll-out Plan'!$O$65</f>
        <v>0</v>
      </c>
      <c r="DL1006" s="40" t="n">
        <f aca="false">MIN((DL609+DL610)*$C$5,$F$15)*'⑫ Roll-out Plan'!$O$65</f>
        <v>0</v>
      </c>
      <c r="DM1006" s="40" t="n">
        <f aca="false">MIN((DM609+DM610)*$C$5,$F$15)*'⑫ Roll-out Plan'!$O$65</f>
        <v>0</v>
      </c>
      <c r="DN1006" s="40" t="n">
        <f aca="false">MIN((DN609+DN610)*$C$5,$F$15)*'⑫ Roll-out Plan'!$O$65</f>
        <v>0</v>
      </c>
      <c r="DO1006" s="40" t="n">
        <f aca="false">MIN((DO609+DO610)*$C$5,$F$15)*'⑫ Roll-out Plan'!$O$65</f>
        <v>0</v>
      </c>
      <c r="DP1006" s="40" t="n">
        <f aca="false">MIN((DP609+DP610)*$C$5,$F$15)*'⑫ Roll-out Plan'!$O$65</f>
        <v>0</v>
      </c>
      <c r="DQ1006" s="40" t="n">
        <f aca="false">MIN((DQ609+DQ610)*$C$5,$F$15)*'⑫ Roll-out Plan'!$O$65</f>
        <v>0</v>
      </c>
      <c r="DR1006" s="40" t="n">
        <f aca="false">MIN((DR609+DR610)*$C$5,$F$15)*'⑫ Roll-out Plan'!$O$65</f>
        <v>0</v>
      </c>
      <c r="DS1006" s="40" t="n">
        <f aca="false">MIN((DS609+DS610)*$C$5,$F$15)*'⑫ Roll-out Plan'!$O$65</f>
        <v>0</v>
      </c>
      <c r="DT1006" s="40" t="n">
        <f aca="false">MIN((DT609+DT610)*$C$5,$F$15)*'⑫ Roll-out Plan'!$O$65</f>
        <v>0</v>
      </c>
      <c r="DU1006" s="40" t="n">
        <f aca="false">MIN((DU609+DU610)*$C$5,$F$15)*'⑫ Roll-out Plan'!$O$65</f>
        <v>0</v>
      </c>
      <c r="DV1006" s="40" t="n">
        <f aca="false">MIN((DV609+DV610)*$C$5,$F$15)*'⑫ Roll-out Plan'!$O$65</f>
        <v>0</v>
      </c>
      <c r="DW1006" s="40" t="n">
        <f aca="false">MIN((DW609+DW610)*$C$5,$F$15)*'⑫ Roll-out Plan'!$O$65</f>
        <v>0</v>
      </c>
      <c r="DX1006" s="40" t="n">
        <f aca="false">MIN((DX609+DX610)*$C$5,$F$15)*'⑫ Roll-out Plan'!$O$65</f>
        <v>0</v>
      </c>
      <c r="DY1006" s="40" t="n">
        <f aca="false">MIN((DY609+DY610)*$C$5,$F$15)*'⑫ Roll-out Plan'!$O$65</f>
        <v>0</v>
      </c>
      <c r="DZ1006" s="40" t="n">
        <f aca="false">MIN((DZ609+DZ610)*$C$5,$F$15)*'⑫ Roll-out Plan'!$O$65</f>
        <v>0</v>
      </c>
      <c r="EA1006" s="40" t="n">
        <f aca="false">MIN((EA609+EA610)*$C$5,$F$15)*'⑫ Roll-out Plan'!$O$65</f>
        <v>0</v>
      </c>
      <c r="EB1006" s="40" t="n">
        <f aca="false">MIN((EB609+EB610)*$C$5,$F$15)*'⑫ Roll-out Plan'!$O$65</f>
        <v>0</v>
      </c>
      <c r="EC1006" s="40" t="n">
        <f aca="false">MIN((EC609+EC610)*$C$5,$F$15)*'⑫ Roll-out Plan'!$O$65</f>
        <v>0</v>
      </c>
      <c r="ED1006" s="40" t="n">
        <f aca="false">MIN((ED609+ED610)*$C$5,$F$15)*'⑫ Roll-out Plan'!$O$65</f>
        <v>0</v>
      </c>
      <c r="EE1006" s="40" t="n">
        <f aca="false">MIN((EE609+EE610)*$C$5,$F$15)*'⑫ Roll-out Plan'!$O$65</f>
        <v>0</v>
      </c>
      <c r="EF1006" s="40" t="n">
        <f aca="false">MIN((EF609+EF610)*$C$5,$F$15)*'⑫ Roll-out Plan'!$O$65</f>
        <v>0</v>
      </c>
      <c r="EG1006" s="40" t="n">
        <f aca="false">MIN((EG609+EG610)*$C$5,$F$15)*'⑫ Roll-out Plan'!$O$65</f>
        <v>0</v>
      </c>
      <c r="EH1006" s="40" t="n">
        <f aca="false">MIN((EH609+EH610)*$C$5,$F$15)*'⑫ Roll-out Plan'!$O$65</f>
        <v>0</v>
      </c>
      <c r="EI1006" s="40" t="n">
        <f aca="false">MIN((EI609+EI610)*$C$5,$F$15)*'⑫ Roll-out Plan'!$O$65</f>
        <v>0</v>
      </c>
      <c r="EJ1006" s="40" t="n">
        <f aca="false">MIN((EJ609+EJ610)*$C$5,$F$15)*'⑫ Roll-out Plan'!$O$65</f>
        <v>0</v>
      </c>
      <c r="EK1006" s="40" t="n">
        <f aca="false">MIN((EK609+EK610)*$C$5,$F$15)*'⑫ Roll-out Plan'!$O$65</f>
        <v>0</v>
      </c>
      <c r="EL1006" s="40" t="n">
        <f aca="false">MIN((EL609+EL610)*$C$5,$F$15)*'⑫ Roll-out Plan'!$O$65</f>
        <v>0</v>
      </c>
      <c r="EM1006" s="40" t="n">
        <f aca="false">MIN((EM609+EM610)*$C$5,$F$15)*'⑫ Roll-out Plan'!$O$65</f>
        <v>0</v>
      </c>
      <c r="EN1006" s="40" t="n">
        <f aca="false">MIN((EN609+EN610)*$C$5,$F$15)*'⑫ Roll-out Plan'!$O$65</f>
        <v>0</v>
      </c>
      <c r="EO1006" s="40" t="n">
        <f aca="false">MIN((EO609+EO610)*$C$5,$F$15)*'⑫ Roll-out Plan'!$O$65</f>
        <v>0</v>
      </c>
      <c r="EP1006" s="40" t="n">
        <f aca="false">MIN((EP609+EP610)*$C$5,$F$15)*'⑫ Roll-out Plan'!$O$65</f>
        <v>0</v>
      </c>
      <c r="EQ1006" s="40" t="n">
        <f aca="false">MIN((EQ609+EQ610)*$C$5,$F$15)*'⑫ Roll-out Plan'!$O$65</f>
        <v>0</v>
      </c>
      <c r="ER1006" s="40" t="n">
        <f aca="false">MIN((ER609+ER610)*$C$5,$F$15)*'⑫ Roll-out Plan'!$O$65</f>
        <v>0</v>
      </c>
      <c r="ES1006" s="40" t="n">
        <f aca="false">MIN((ES609+ES610)*$C$5,$F$15)*'⑫ Roll-out Plan'!$O$65</f>
        <v>0</v>
      </c>
      <c r="ET1006" s="40" t="n">
        <f aca="false">MIN((ET609+ET610)*$C$5,$F$15)*'⑫ Roll-out Plan'!$O$65</f>
        <v>0</v>
      </c>
      <c r="EU1006" s="40" t="n">
        <f aca="false">MIN((EU609+EU610)*$C$5,$F$15)*'⑫ Roll-out Plan'!$O$65</f>
        <v>0</v>
      </c>
      <c r="EV1006" s="40" t="n">
        <f aca="false">MIN((EV609+EV610)*$C$5,$F$15)*'⑫ Roll-out Plan'!$O$65</f>
        <v>0</v>
      </c>
      <c r="EW1006" s="40" t="n">
        <f aca="false">MIN((EW609+EW610)*$C$5,$F$15)*'⑫ Roll-out Plan'!$O$65</f>
        <v>0</v>
      </c>
      <c r="EX1006" s="40" t="n">
        <f aca="false">MIN((EX609+EX610)*$C$5,$F$15)*'⑫ Roll-out Plan'!$O$65</f>
        <v>0</v>
      </c>
      <c r="EY1006" s="40" t="n">
        <f aca="false">MIN((EY609+EY610)*$C$5,$F$15)*'⑫ Roll-out Plan'!$O$65</f>
        <v>0</v>
      </c>
      <c r="EZ1006" s="40" t="n">
        <f aca="false">MIN((EZ609+EZ610)*$C$5,$F$15)*'⑫ Roll-out Plan'!$O$65</f>
        <v>0</v>
      </c>
      <c r="FA1006" s="40" t="n">
        <f aca="false">MIN((FA609+FA610)*$C$5,$F$15)*'⑫ Roll-out Plan'!$O$65</f>
        <v>0</v>
      </c>
      <c r="FB1006" s="40" t="n">
        <f aca="false">MIN((FB609+FB610)*$C$5,$F$15)*'⑫ Roll-out Plan'!$O$65</f>
        <v>0</v>
      </c>
      <c r="FC1006" s="40" t="n">
        <f aca="false">MIN((FC609+FC610)*$C$5,$F$15)*'⑫ Roll-out Plan'!$O$65</f>
        <v>0</v>
      </c>
      <c r="FD1006" s="40" t="n">
        <f aca="false">MIN((FD609+FD610)*$C$5,$F$15)*'⑫ Roll-out Plan'!$O$65</f>
        <v>0</v>
      </c>
      <c r="FE1006" s="40" t="n">
        <f aca="false">MIN((FE609+FE610)*$C$5,$F$15)*'⑫ Roll-out Plan'!$O$65</f>
        <v>0</v>
      </c>
      <c r="FF1006" s="40" t="n">
        <f aca="false">MIN((FF609+FF610)*$C$5,$F$15)*'⑫ Roll-out Plan'!$O$65</f>
        <v>0</v>
      </c>
      <c r="FG1006" s="40" t="n">
        <f aca="false">MIN((FG609+FG610)*$C$5,$F$15)*'⑫ Roll-out Plan'!$O$65</f>
        <v>0</v>
      </c>
      <c r="FH1006" s="40" t="n">
        <f aca="false">MIN((FH609+FH610)*$C$5,$F$15)*'⑫ Roll-out Plan'!$O$65</f>
        <v>0</v>
      </c>
      <c r="FI1006" s="40" t="n">
        <f aca="false">MIN((FI609+FI610)*$C$5,$F$15)*'⑫ Roll-out Plan'!$O$65</f>
        <v>0</v>
      </c>
      <c r="FJ1006" s="40" t="n">
        <f aca="false">MIN((FJ609+FJ610)*$C$5,$F$15)*'⑫ Roll-out Plan'!$O$65</f>
        <v>0</v>
      </c>
      <c r="FK1006" s="40" t="n">
        <f aca="false">MIN((FK609+FK610)*$C$5,$F$15)*'⑫ Roll-out Plan'!$O$65</f>
        <v>0</v>
      </c>
      <c r="FL1006" s="40" t="n">
        <f aca="false">MIN((FL609+FL610)*$C$5,$F$15)*'⑫ Roll-out Plan'!$O$65</f>
        <v>0</v>
      </c>
      <c r="FM1006" s="40" t="n">
        <f aca="false">MIN((FM609+FM610)*$C$5,$F$15)*'⑫ Roll-out Plan'!$O$65</f>
        <v>0</v>
      </c>
      <c r="FN1006" s="40" t="n">
        <f aca="false">MIN((FN609+FN610)*$C$5,$F$15)*'⑫ Roll-out Plan'!$O$65</f>
        <v>0</v>
      </c>
      <c r="FO1006" s="40" t="n">
        <f aca="false">MIN((FO609+FO610)*$C$5,$F$15)*'⑫ Roll-out Plan'!$O$65</f>
        <v>0</v>
      </c>
      <c r="FP1006" s="40" t="n">
        <f aca="false">MIN((FP609+FP610)*$C$5,$F$15)*'⑫ Roll-out Plan'!$O$65</f>
        <v>0</v>
      </c>
    </row>
    <row r="1007" customFormat="false" ht="15" hidden="false" customHeight="false" outlineLevel="0" collapsed="false">
      <c r="B1007" s="36" t="s">
        <v>934</v>
      </c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40" t="n">
        <f aca="false">MIN((AC619+AC620)*$C$5,$F$15)*'⑫ Roll-out Plan'!$O$66</f>
        <v>0</v>
      </c>
      <c r="AD1007" s="40" t="n">
        <f aca="false">MIN((AD619+AD620)*$C$5,$F$15)*'⑫ Roll-out Plan'!$O$66</f>
        <v>0</v>
      </c>
      <c r="AE1007" s="40" t="n">
        <f aca="false">MIN((AE619+AE620)*$C$5,$F$15)*'⑫ Roll-out Plan'!$O$66</f>
        <v>0</v>
      </c>
      <c r="AF1007" s="40" t="n">
        <f aca="false">MIN((AF619+AF620)*$C$5,$F$15)*'⑫ Roll-out Plan'!$O$66</f>
        <v>0</v>
      </c>
      <c r="AG1007" s="40" t="n">
        <f aca="false">MIN((AG619+AG620)*$C$5,$F$15)*'⑫ Roll-out Plan'!$O$66</f>
        <v>0</v>
      </c>
      <c r="AH1007" s="40" t="n">
        <f aca="false">MIN((AH619+AH620)*$C$5,$F$15)*'⑫ Roll-out Plan'!$O$66</f>
        <v>0</v>
      </c>
      <c r="AI1007" s="40" t="n">
        <f aca="false">MIN((AI619+AI620)*$C$5,$F$15)*'⑫ Roll-out Plan'!$O$66</f>
        <v>0</v>
      </c>
      <c r="AJ1007" s="40" t="n">
        <f aca="false">MIN((AJ619+AJ620)*$C$5,$F$15)*'⑫ Roll-out Plan'!$O$66</f>
        <v>0</v>
      </c>
      <c r="AK1007" s="40" t="n">
        <f aca="false">MIN((AK619+AK620)*$C$5,$F$15)*'⑫ Roll-out Plan'!$O$66</f>
        <v>0</v>
      </c>
      <c r="AL1007" s="40" t="n">
        <f aca="false">MIN((AL619+AL620)*$C$5,$F$15)*'⑫ Roll-out Plan'!$O$66</f>
        <v>0</v>
      </c>
      <c r="AM1007" s="40" t="n">
        <f aca="false">MIN((AM619+AM620)*$C$5,$F$15)*'⑫ Roll-out Plan'!$O$66</f>
        <v>0</v>
      </c>
      <c r="AN1007" s="40" t="n">
        <f aca="false">MIN((AN619+AN620)*$C$5,$F$15)*'⑫ Roll-out Plan'!$O$66</f>
        <v>0</v>
      </c>
      <c r="AO1007" s="40" t="n">
        <f aca="false">MIN((AO619+AO620)*$C$5,$F$15)*'⑫ Roll-out Plan'!$O$66</f>
        <v>0</v>
      </c>
      <c r="AP1007" s="40" t="n">
        <f aca="false">MIN((AP619+AP620)*$C$5,$F$15)*'⑫ Roll-out Plan'!$O$66</f>
        <v>0</v>
      </c>
      <c r="AQ1007" s="40" t="n">
        <f aca="false">MIN((AQ619+AQ620)*$C$5,$F$15)*'⑫ Roll-out Plan'!$O$66</f>
        <v>0</v>
      </c>
      <c r="AR1007" s="40" t="n">
        <f aca="false">MIN((AR619+AR620)*$C$5,$F$15)*'⑫ Roll-out Plan'!$O$66</f>
        <v>0</v>
      </c>
      <c r="AS1007" s="40" t="n">
        <f aca="false">MIN((AS619+AS620)*$C$5,$F$15)*'⑫ Roll-out Plan'!$O$66</f>
        <v>0</v>
      </c>
      <c r="AT1007" s="40" t="n">
        <f aca="false">MIN((AT619+AT620)*$C$5,$F$15)*'⑫ Roll-out Plan'!$O$66</f>
        <v>0</v>
      </c>
      <c r="AU1007" s="40" t="n">
        <f aca="false">MIN((AU619+AU620)*$C$5,$F$15)*'⑫ Roll-out Plan'!$O$66</f>
        <v>0</v>
      </c>
      <c r="AV1007" s="40" t="n">
        <f aca="false">MIN((AV619+AV620)*$C$5,$F$15)*'⑫ Roll-out Plan'!$O$66</f>
        <v>0</v>
      </c>
      <c r="AW1007" s="40" t="n">
        <f aca="false">MIN((AW619+AW620)*$C$5,$F$15)*'⑫ Roll-out Plan'!$O$66</f>
        <v>0</v>
      </c>
      <c r="AX1007" s="40" t="n">
        <f aca="false">MIN((AX619+AX620)*$C$5,$F$15)*'⑫ Roll-out Plan'!$O$66</f>
        <v>0</v>
      </c>
      <c r="AY1007" s="40" t="n">
        <f aca="false">MIN((AY619+AY620)*$C$5,$F$15)*'⑫ Roll-out Plan'!$O$66</f>
        <v>0</v>
      </c>
      <c r="AZ1007" s="40" t="n">
        <f aca="false">MIN((AZ619+AZ620)*$C$5,$F$15)*'⑫ Roll-out Plan'!$O$66</f>
        <v>0</v>
      </c>
      <c r="BA1007" s="40" t="n">
        <f aca="false">MIN((BA619+BA620)*$C$5,$F$15)*'⑫ Roll-out Plan'!$O$66</f>
        <v>0</v>
      </c>
      <c r="BB1007" s="40" t="n">
        <f aca="false">MIN((BB619+BB620)*$C$5,$F$15)*'⑫ Roll-out Plan'!$O$66</f>
        <v>0</v>
      </c>
      <c r="BC1007" s="40" t="n">
        <f aca="false">MIN((BC619+BC620)*$C$5,$F$15)*'⑫ Roll-out Plan'!$O$66</f>
        <v>0</v>
      </c>
      <c r="BD1007" s="40" t="n">
        <f aca="false">MIN((BD619+BD620)*$C$5,$F$15)*'⑫ Roll-out Plan'!$O$66</f>
        <v>0</v>
      </c>
      <c r="BE1007" s="40" t="n">
        <f aca="false">MIN((BE619+BE620)*$C$5,$F$15)*'⑫ Roll-out Plan'!$O$66</f>
        <v>0</v>
      </c>
      <c r="BF1007" s="40" t="n">
        <f aca="false">MIN((BF619+BF620)*$C$5,$F$15)*'⑫ Roll-out Plan'!$O$66</f>
        <v>0</v>
      </c>
      <c r="BG1007" s="40" t="n">
        <f aca="false">MIN((BG619+BG620)*$C$5,$F$15)*'⑫ Roll-out Plan'!$O$66</f>
        <v>0</v>
      </c>
      <c r="BH1007" s="40" t="n">
        <f aca="false">MIN((BH619+BH620)*$C$5,$F$15)*'⑫ Roll-out Plan'!$O$66</f>
        <v>0</v>
      </c>
      <c r="BI1007" s="40" t="n">
        <f aca="false">MIN((BI619+BI620)*$C$5,$F$15)*'⑫ Roll-out Plan'!$O$66</f>
        <v>0</v>
      </c>
      <c r="BJ1007" s="40" t="n">
        <f aca="false">MIN((BJ619+BJ620)*$C$5,$F$15)*'⑫ Roll-out Plan'!$O$66</f>
        <v>0</v>
      </c>
      <c r="BK1007" s="40" t="n">
        <f aca="false">MIN((BK619+BK620)*$C$5,$F$15)*'⑫ Roll-out Plan'!$O$66</f>
        <v>0</v>
      </c>
      <c r="BL1007" s="40" t="n">
        <f aca="false">MIN((BL619+BL620)*$C$5,$F$15)*'⑫ Roll-out Plan'!$O$66</f>
        <v>0</v>
      </c>
      <c r="BM1007" s="40" t="n">
        <f aca="false">MIN((BM619+BM620)*$C$5,$F$15)*'⑫ Roll-out Plan'!$O$66</f>
        <v>0</v>
      </c>
      <c r="BN1007" s="40" t="n">
        <f aca="false">MIN((BN619+BN620)*$C$5,$F$15)*'⑫ Roll-out Plan'!$O$66</f>
        <v>0</v>
      </c>
      <c r="BO1007" s="40" t="n">
        <f aca="false">MIN((BO619+BO620)*$C$5,$F$15)*'⑫ Roll-out Plan'!$O$66</f>
        <v>0</v>
      </c>
      <c r="BP1007" s="40" t="n">
        <f aca="false">MIN((BP619+BP620)*$C$5,$F$15)*'⑫ Roll-out Plan'!$O$66</f>
        <v>0</v>
      </c>
      <c r="BQ1007" s="40" t="n">
        <f aca="false">MIN((BQ619+BQ620)*$C$5,$F$15)*'⑫ Roll-out Plan'!$O$66</f>
        <v>0</v>
      </c>
      <c r="BR1007" s="40" t="n">
        <f aca="false">MIN((BR619+BR620)*$C$5,$F$15)*'⑫ Roll-out Plan'!$O$66</f>
        <v>0</v>
      </c>
      <c r="BS1007" s="40" t="n">
        <f aca="false">MIN((BS619+BS620)*$C$5,$F$15)*'⑫ Roll-out Plan'!$O$66</f>
        <v>0</v>
      </c>
      <c r="BT1007" s="40" t="n">
        <f aca="false">MIN((BT619+BT620)*$C$5,$F$15)*'⑫ Roll-out Plan'!$O$66</f>
        <v>0</v>
      </c>
      <c r="BU1007" s="40" t="n">
        <f aca="false">MIN((BU619+BU620)*$C$5,$F$15)*'⑫ Roll-out Plan'!$O$66</f>
        <v>0</v>
      </c>
      <c r="BV1007" s="40" t="n">
        <f aca="false">MIN((BV619+BV620)*$C$5,$F$15)*'⑫ Roll-out Plan'!$O$66</f>
        <v>0</v>
      </c>
      <c r="BW1007" s="40" t="n">
        <f aca="false">MIN((BW619+BW620)*$C$5,$F$15)*'⑫ Roll-out Plan'!$O$66</f>
        <v>0</v>
      </c>
      <c r="BX1007" s="40" t="n">
        <f aca="false">MIN((BX619+BX620)*$C$5,$F$15)*'⑫ Roll-out Plan'!$O$66</f>
        <v>0</v>
      </c>
      <c r="BY1007" s="40" t="n">
        <f aca="false">MIN((BY619+BY620)*$C$5,$F$15)*'⑫ Roll-out Plan'!$O$66</f>
        <v>0</v>
      </c>
      <c r="BZ1007" s="40" t="n">
        <f aca="false">MIN((BZ619+BZ620)*$C$5,$F$15)*'⑫ Roll-out Plan'!$O$66</f>
        <v>0</v>
      </c>
      <c r="CA1007" s="40" t="n">
        <f aca="false">MIN((CA619+CA620)*$C$5,$F$15)*'⑫ Roll-out Plan'!$O$66</f>
        <v>0</v>
      </c>
      <c r="CB1007" s="40" t="n">
        <f aca="false">MIN((CB619+CB620)*$C$5,$F$15)*'⑫ Roll-out Plan'!$O$66</f>
        <v>0</v>
      </c>
      <c r="CC1007" s="40" t="n">
        <f aca="false">MIN((CC619+CC620)*$C$5,$F$15)*'⑫ Roll-out Plan'!$O$66</f>
        <v>0</v>
      </c>
      <c r="CD1007" s="40" t="n">
        <f aca="false">MIN((CD619+CD620)*$C$5,$F$15)*'⑫ Roll-out Plan'!$O$66</f>
        <v>0</v>
      </c>
      <c r="CE1007" s="40" t="n">
        <f aca="false">MIN((CE619+CE620)*$C$5,$F$15)*'⑫ Roll-out Plan'!$O$66</f>
        <v>0</v>
      </c>
      <c r="CF1007" s="40" t="n">
        <f aca="false">MIN((CF619+CF620)*$C$5,$F$15)*'⑫ Roll-out Plan'!$O$66</f>
        <v>0</v>
      </c>
      <c r="CG1007" s="40" t="n">
        <f aca="false">MIN((CG619+CG620)*$C$5,$F$15)*'⑫ Roll-out Plan'!$O$66</f>
        <v>0</v>
      </c>
      <c r="CH1007" s="40" t="n">
        <f aca="false">MIN((CH619+CH620)*$C$5,$F$15)*'⑫ Roll-out Plan'!$O$66</f>
        <v>0</v>
      </c>
      <c r="CI1007" s="40" t="n">
        <f aca="false">MIN((CI619+CI620)*$C$5,$F$15)*'⑫ Roll-out Plan'!$O$66</f>
        <v>0</v>
      </c>
      <c r="CJ1007" s="40" t="n">
        <f aca="false">MIN((CJ619+CJ620)*$C$5,$F$15)*'⑫ Roll-out Plan'!$O$66</f>
        <v>0</v>
      </c>
      <c r="CK1007" s="40" t="n">
        <f aca="false">MIN((CK619+CK620)*$C$5,$F$15)*'⑫ Roll-out Plan'!$O$66</f>
        <v>0</v>
      </c>
      <c r="CL1007" s="40" t="n">
        <f aca="false">MIN((CL619+CL620)*$C$5,$F$15)*'⑫ Roll-out Plan'!$O$66</f>
        <v>0</v>
      </c>
      <c r="CM1007" s="40" t="n">
        <f aca="false">MIN((CM619+CM620)*$C$5,$F$15)*'⑫ Roll-out Plan'!$O$66</f>
        <v>0</v>
      </c>
      <c r="CN1007" s="40" t="n">
        <f aca="false">MIN((CN619+CN620)*$C$5,$F$15)*'⑫ Roll-out Plan'!$O$66</f>
        <v>0</v>
      </c>
      <c r="CO1007" s="40" t="n">
        <f aca="false">MIN((CO619+CO620)*$C$5,$F$15)*'⑫ Roll-out Plan'!$O$66</f>
        <v>0</v>
      </c>
      <c r="CP1007" s="40" t="n">
        <f aca="false">MIN((CP619+CP620)*$C$5,$F$15)*'⑫ Roll-out Plan'!$O$66</f>
        <v>0</v>
      </c>
      <c r="CQ1007" s="40" t="n">
        <f aca="false">MIN((CQ619+CQ620)*$C$5,$F$15)*'⑫ Roll-out Plan'!$O$66</f>
        <v>0</v>
      </c>
      <c r="CR1007" s="40" t="n">
        <f aca="false">MIN((CR619+CR620)*$C$5,$F$15)*'⑫ Roll-out Plan'!$O$66</f>
        <v>0</v>
      </c>
      <c r="CS1007" s="40" t="n">
        <f aca="false">MIN((CS619+CS620)*$C$5,$F$15)*'⑫ Roll-out Plan'!$O$66</f>
        <v>0</v>
      </c>
      <c r="CT1007" s="40" t="n">
        <f aca="false">MIN((CT619+CT620)*$C$5,$F$15)*'⑫ Roll-out Plan'!$O$66</f>
        <v>0</v>
      </c>
      <c r="CU1007" s="40" t="n">
        <f aca="false">MIN((CU619+CU620)*$C$5,$F$15)*'⑫ Roll-out Plan'!$O$66</f>
        <v>0</v>
      </c>
      <c r="CV1007" s="40" t="n">
        <f aca="false">MIN((CV619+CV620)*$C$5,$F$15)*'⑫ Roll-out Plan'!$O$66</f>
        <v>0</v>
      </c>
      <c r="CW1007" s="40" t="n">
        <f aca="false">MIN((CW619+CW620)*$C$5,$F$15)*'⑫ Roll-out Plan'!$O$66</f>
        <v>0</v>
      </c>
      <c r="CX1007" s="40" t="n">
        <f aca="false">MIN((CX619+CX620)*$C$5,$F$15)*'⑫ Roll-out Plan'!$O$66</f>
        <v>0</v>
      </c>
      <c r="CY1007" s="40" t="n">
        <f aca="false">MIN((CY619+CY620)*$C$5,$F$15)*'⑫ Roll-out Plan'!$O$66</f>
        <v>0</v>
      </c>
      <c r="CZ1007" s="40" t="n">
        <f aca="false">MIN((CZ619+CZ620)*$C$5,$F$15)*'⑫ Roll-out Plan'!$O$66</f>
        <v>0</v>
      </c>
      <c r="DA1007" s="40" t="n">
        <f aca="false">MIN((DA619+DA620)*$C$5,$F$15)*'⑫ Roll-out Plan'!$O$66</f>
        <v>0</v>
      </c>
      <c r="DB1007" s="40" t="n">
        <f aca="false">MIN((DB619+DB620)*$C$5,$F$15)*'⑫ Roll-out Plan'!$O$66</f>
        <v>0</v>
      </c>
      <c r="DC1007" s="40" t="n">
        <f aca="false">MIN((DC619+DC620)*$C$5,$F$15)*'⑫ Roll-out Plan'!$O$66</f>
        <v>0</v>
      </c>
      <c r="DD1007" s="40" t="n">
        <f aca="false">MIN((DD619+DD620)*$C$5,$F$15)*'⑫ Roll-out Plan'!$O$66</f>
        <v>0</v>
      </c>
      <c r="DE1007" s="40" t="n">
        <f aca="false">MIN((DE619+DE620)*$C$5,$F$15)*'⑫ Roll-out Plan'!$O$66</f>
        <v>0</v>
      </c>
      <c r="DF1007" s="40" t="n">
        <f aca="false">MIN((DF619+DF620)*$C$5,$F$15)*'⑫ Roll-out Plan'!$O$66</f>
        <v>0</v>
      </c>
      <c r="DG1007" s="40" t="n">
        <f aca="false">MIN((DG619+DG620)*$C$5,$F$15)*'⑫ Roll-out Plan'!$O$66</f>
        <v>0</v>
      </c>
      <c r="DH1007" s="40" t="n">
        <f aca="false">MIN((DH619+DH620)*$C$5,$F$15)*'⑫ Roll-out Plan'!$O$66</f>
        <v>0</v>
      </c>
      <c r="DI1007" s="40" t="n">
        <f aca="false">MIN((DI619+DI620)*$C$5,$F$15)*'⑫ Roll-out Plan'!$O$66</f>
        <v>0</v>
      </c>
      <c r="DJ1007" s="40" t="n">
        <f aca="false">MIN((DJ619+DJ620)*$C$5,$F$15)*'⑫ Roll-out Plan'!$O$66</f>
        <v>0</v>
      </c>
      <c r="DK1007" s="40" t="n">
        <f aca="false">MIN((DK619+DK620)*$C$5,$F$15)*'⑫ Roll-out Plan'!$O$66</f>
        <v>0</v>
      </c>
      <c r="DL1007" s="40" t="n">
        <f aca="false">MIN((DL619+DL620)*$C$5,$F$15)*'⑫ Roll-out Plan'!$O$66</f>
        <v>0</v>
      </c>
      <c r="DM1007" s="40" t="n">
        <f aca="false">MIN((DM619+DM620)*$C$5,$F$15)*'⑫ Roll-out Plan'!$O$66</f>
        <v>0</v>
      </c>
      <c r="DN1007" s="40" t="n">
        <f aca="false">MIN((DN619+DN620)*$C$5,$F$15)*'⑫ Roll-out Plan'!$O$66</f>
        <v>0</v>
      </c>
      <c r="DO1007" s="40" t="n">
        <f aca="false">MIN((DO619+DO620)*$C$5,$F$15)*'⑫ Roll-out Plan'!$O$66</f>
        <v>0</v>
      </c>
      <c r="DP1007" s="40" t="n">
        <f aca="false">MIN((DP619+DP620)*$C$5,$F$15)*'⑫ Roll-out Plan'!$O$66</f>
        <v>0</v>
      </c>
      <c r="DQ1007" s="40" t="n">
        <f aca="false">MIN((DQ619+DQ620)*$C$5,$F$15)*'⑫ Roll-out Plan'!$O$66</f>
        <v>0</v>
      </c>
      <c r="DR1007" s="40" t="n">
        <f aca="false">MIN((DR619+DR620)*$C$5,$F$15)*'⑫ Roll-out Plan'!$O$66</f>
        <v>0</v>
      </c>
      <c r="DS1007" s="40" t="n">
        <f aca="false">MIN((DS619+DS620)*$C$5,$F$15)*'⑫ Roll-out Plan'!$O$66</f>
        <v>0</v>
      </c>
      <c r="DT1007" s="40" t="n">
        <f aca="false">MIN((DT619+DT620)*$C$5,$F$15)*'⑫ Roll-out Plan'!$O$66</f>
        <v>0</v>
      </c>
      <c r="DU1007" s="40" t="n">
        <f aca="false">MIN((DU619+DU620)*$C$5,$F$15)*'⑫ Roll-out Plan'!$O$66</f>
        <v>0</v>
      </c>
      <c r="DV1007" s="40" t="n">
        <f aca="false">MIN((DV619+DV620)*$C$5,$F$15)*'⑫ Roll-out Plan'!$O$66</f>
        <v>0</v>
      </c>
      <c r="DW1007" s="40" t="n">
        <f aca="false">MIN((DW619+DW620)*$C$5,$F$15)*'⑫ Roll-out Plan'!$O$66</f>
        <v>0</v>
      </c>
      <c r="DX1007" s="40" t="n">
        <f aca="false">MIN((DX619+DX620)*$C$5,$F$15)*'⑫ Roll-out Plan'!$O$66</f>
        <v>0</v>
      </c>
      <c r="DY1007" s="40" t="n">
        <f aca="false">MIN((DY619+DY620)*$C$5,$F$15)*'⑫ Roll-out Plan'!$O$66</f>
        <v>0</v>
      </c>
      <c r="DZ1007" s="40" t="n">
        <f aca="false">MIN((DZ619+DZ620)*$C$5,$F$15)*'⑫ Roll-out Plan'!$O$66</f>
        <v>0</v>
      </c>
      <c r="EA1007" s="40" t="n">
        <f aca="false">MIN((EA619+EA620)*$C$5,$F$15)*'⑫ Roll-out Plan'!$O$66</f>
        <v>0</v>
      </c>
      <c r="EB1007" s="40" t="n">
        <f aca="false">MIN((EB619+EB620)*$C$5,$F$15)*'⑫ Roll-out Plan'!$O$66</f>
        <v>0</v>
      </c>
      <c r="EC1007" s="40" t="n">
        <f aca="false">MIN((EC619+EC620)*$C$5,$F$15)*'⑫ Roll-out Plan'!$O$66</f>
        <v>0</v>
      </c>
      <c r="ED1007" s="40" t="n">
        <f aca="false">MIN((ED619+ED620)*$C$5,$F$15)*'⑫ Roll-out Plan'!$O$66</f>
        <v>0</v>
      </c>
      <c r="EE1007" s="40" t="n">
        <f aca="false">MIN((EE619+EE620)*$C$5,$F$15)*'⑫ Roll-out Plan'!$O$66</f>
        <v>0</v>
      </c>
      <c r="EF1007" s="40" t="n">
        <f aca="false">MIN((EF619+EF620)*$C$5,$F$15)*'⑫ Roll-out Plan'!$O$66</f>
        <v>0</v>
      </c>
      <c r="EG1007" s="40" t="n">
        <f aca="false">MIN((EG619+EG620)*$C$5,$F$15)*'⑫ Roll-out Plan'!$O$66</f>
        <v>0</v>
      </c>
      <c r="EH1007" s="40" t="n">
        <f aca="false">MIN((EH619+EH620)*$C$5,$F$15)*'⑫ Roll-out Plan'!$O$66</f>
        <v>0</v>
      </c>
      <c r="EI1007" s="40" t="n">
        <f aca="false">MIN((EI619+EI620)*$C$5,$F$15)*'⑫ Roll-out Plan'!$O$66</f>
        <v>0</v>
      </c>
      <c r="EJ1007" s="40" t="n">
        <f aca="false">MIN((EJ619+EJ620)*$C$5,$F$15)*'⑫ Roll-out Plan'!$O$66</f>
        <v>0</v>
      </c>
      <c r="EK1007" s="40" t="n">
        <f aca="false">MIN((EK619+EK620)*$C$5,$F$15)*'⑫ Roll-out Plan'!$O$66</f>
        <v>0</v>
      </c>
      <c r="EL1007" s="40" t="n">
        <f aca="false">MIN((EL619+EL620)*$C$5,$F$15)*'⑫ Roll-out Plan'!$O$66</f>
        <v>0</v>
      </c>
      <c r="EM1007" s="40" t="n">
        <f aca="false">MIN((EM619+EM620)*$C$5,$F$15)*'⑫ Roll-out Plan'!$O$66</f>
        <v>0</v>
      </c>
      <c r="EN1007" s="40" t="n">
        <f aca="false">MIN((EN619+EN620)*$C$5,$F$15)*'⑫ Roll-out Plan'!$O$66</f>
        <v>0</v>
      </c>
      <c r="EO1007" s="40" t="n">
        <f aca="false">MIN((EO619+EO620)*$C$5,$F$15)*'⑫ Roll-out Plan'!$O$66</f>
        <v>0</v>
      </c>
      <c r="EP1007" s="40" t="n">
        <f aca="false">MIN((EP619+EP620)*$C$5,$F$15)*'⑫ Roll-out Plan'!$O$66</f>
        <v>0</v>
      </c>
      <c r="EQ1007" s="40" t="n">
        <f aca="false">MIN((EQ619+EQ620)*$C$5,$F$15)*'⑫ Roll-out Plan'!$O$66</f>
        <v>0</v>
      </c>
      <c r="ER1007" s="40" t="n">
        <f aca="false">MIN((ER619+ER620)*$C$5,$F$15)*'⑫ Roll-out Plan'!$O$66</f>
        <v>0</v>
      </c>
      <c r="ES1007" s="40" t="n">
        <f aca="false">MIN((ES619+ES620)*$C$5,$F$15)*'⑫ Roll-out Plan'!$O$66</f>
        <v>0</v>
      </c>
      <c r="ET1007" s="40" t="n">
        <f aca="false">MIN((ET619+ET620)*$C$5,$F$15)*'⑫ Roll-out Plan'!$O$66</f>
        <v>0</v>
      </c>
      <c r="EU1007" s="40" t="n">
        <f aca="false">MIN((EU619+EU620)*$C$5,$F$15)*'⑫ Roll-out Plan'!$O$66</f>
        <v>0</v>
      </c>
      <c r="EV1007" s="40" t="n">
        <f aca="false">MIN((EV619+EV620)*$C$5,$F$15)*'⑫ Roll-out Plan'!$O$66</f>
        <v>0</v>
      </c>
      <c r="EW1007" s="40" t="n">
        <f aca="false">MIN((EW619+EW620)*$C$5,$F$15)*'⑫ Roll-out Plan'!$O$66</f>
        <v>0</v>
      </c>
      <c r="EX1007" s="40" t="n">
        <f aca="false">MIN((EX619+EX620)*$C$5,$F$15)*'⑫ Roll-out Plan'!$O$66</f>
        <v>0</v>
      </c>
      <c r="EY1007" s="40" t="n">
        <f aca="false">MIN((EY619+EY620)*$C$5,$F$15)*'⑫ Roll-out Plan'!$O$66</f>
        <v>0</v>
      </c>
      <c r="EZ1007" s="40" t="n">
        <f aca="false">MIN((EZ619+EZ620)*$C$5,$F$15)*'⑫ Roll-out Plan'!$O$66</f>
        <v>0</v>
      </c>
      <c r="FA1007" s="40" t="n">
        <f aca="false">MIN((FA619+FA620)*$C$5,$F$15)*'⑫ Roll-out Plan'!$O$66</f>
        <v>0</v>
      </c>
      <c r="FB1007" s="40" t="n">
        <f aca="false">MIN((FB619+FB620)*$C$5,$F$15)*'⑫ Roll-out Plan'!$O$66</f>
        <v>0</v>
      </c>
      <c r="FC1007" s="40" t="n">
        <f aca="false">MIN((FC619+FC620)*$C$5,$F$15)*'⑫ Roll-out Plan'!$O$66</f>
        <v>0</v>
      </c>
      <c r="FD1007" s="40" t="n">
        <f aca="false">MIN((FD619+FD620)*$C$5,$F$15)*'⑫ Roll-out Plan'!$O$66</f>
        <v>0</v>
      </c>
      <c r="FE1007" s="40" t="n">
        <f aca="false">MIN((FE619+FE620)*$C$5,$F$15)*'⑫ Roll-out Plan'!$O$66</f>
        <v>0</v>
      </c>
      <c r="FF1007" s="40" t="n">
        <f aca="false">MIN((FF619+FF620)*$C$5,$F$15)*'⑫ Roll-out Plan'!$O$66</f>
        <v>0</v>
      </c>
      <c r="FG1007" s="40" t="n">
        <f aca="false">MIN((FG619+FG620)*$C$5,$F$15)*'⑫ Roll-out Plan'!$O$66</f>
        <v>0</v>
      </c>
      <c r="FH1007" s="40" t="n">
        <f aca="false">MIN((FH619+FH620)*$C$5,$F$15)*'⑫ Roll-out Plan'!$O$66</f>
        <v>0</v>
      </c>
      <c r="FI1007" s="40" t="n">
        <f aca="false">MIN((FI619+FI620)*$C$5,$F$15)*'⑫ Roll-out Plan'!$O$66</f>
        <v>0</v>
      </c>
      <c r="FJ1007" s="40" t="n">
        <f aca="false">MIN((FJ619+FJ620)*$C$5,$F$15)*'⑫ Roll-out Plan'!$O$66</f>
        <v>0</v>
      </c>
      <c r="FK1007" s="40" t="n">
        <f aca="false">MIN((FK619+FK620)*$C$5,$F$15)*'⑫ Roll-out Plan'!$O$66</f>
        <v>0</v>
      </c>
      <c r="FL1007" s="40" t="n">
        <f aca="false">MIN((FL619+FL620)*$C$5,$F$15)*'⑫ Roll-out Plan'!$O$66</f>
        <v>0</v>
      </c>
      <c r="FM1007" s="40" t="n">
        <f aca="false">MIN((FM619+FM620)*$C$5,$F$15)*'⑫ Roll-out Plan'!$O$66</f>
        <v>0</v>
      </c>
      <c r="FN1007" s="40" t="n">
        <f aca="false">MIN((FN619+FN620)*$C$5,$F$15)*'⑫ Roll-out Plan'!$O$66</f>
        <v>0</v>
      </c>
      <c r="FO1007" s="40" t="n">
        <f aca="false">MIN((FO619+FO620)*$C$5,$F$15)*'⑫ Roll-out Plan'!$O$66</f>
        <v>0</v>
      </c>
      <c r="FP1007" s="40" t="n">
        <f aca="false">MIN((FP619+FP620)*$C$5,$F$15)*'⑫ Roll-out Plan'!$O$66</f>
        <v>0</v>
      </c>
    </row>
    <row r="1008" customFormat="false" ht="15" hidden="false" customHeight="false" outlineLevel="0" collapsed="false">
      <c r="B1008" s="9" t="s">
        <v>935</v>
      </c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 t="n">
        <f aca="false">MIN((AC629+AC630)*$C$5,$F$14)*'⑫ Roll-out Plan'!$O$67</f>
        <v>0</v>
      </c>
      <c r="AD1008" s="9" t="n">
        <f aca="false">MIN((AD629+AD630)*$C$5,$F$14)*'⑫ Roll-out Plan'!$O$67</f>
        <v>0</v>
      </c>
      <c r="AE1008" s="9" t="n">
        <f aca="false">MIN((AE629+AE630)*$C$5,$F$14)*'⑫ Roll-out Plan'!$O$67</f>
        <v>0</v>
      </c>
      <c r="AF1008" s="9" t="n">
        <f aca="false">MIN((AF629+AF630)*$C$5,$F$14)*'⑫ Roll-out Plan'!$O$67</f>
        <v>0</v>
      </c>
      <c r="AG1008" s="9" t="n">
        <f aca="false">MIN((AG629+AG630)*$C$5,$F$14)*'⑫ Roll-out Plan'!$O$67</f>
        <v>0</v>
      </c>
      <c r="AH1008" s="9" t="n">
        <f aca="false">MIN((AH629+AH630)*$C$5,$F$14)*'⑫ Roll-out Plan'!$O$67</f>
        <v>0</v>
      </c>
      <c r="AI1008" s="9" t="n">
        <f aca="false">MIN((AI629+AI630)*$C$5,$F$14)*'⑫ Roll-out Plan'!$O$67</f>
        <v>0</v>
      </c>
      <c r="AJ1008" s="9" t="n">
        <f aca="false">MIN((AJ629+AJ630)*$C$5,$F$14)*'⑫ Roll-out Plan'!$O$67</f>
        <v>0</v>
      </c>
      <c r="AK1008" s="9" t="n">
        <f aca="false">MIN((AK629+AK630)*$C$5,$F$14)*'⑫ Roll-out Plan'!$O$67</f>
        <v>0</v>
      </c>
      <c r="AL1008" s="9" t="n">
        <f aca="false">MIN((AL629+AL630)*$C$5,$F$14)*'⑫ Roll-out Plan'!$O$67</f>
        <v>0</v>
      </c>
      <c r="AM1008" s="9" t="n">
        <f aca="false">MIN((AM629+AM630)*$C$5,$F$14)*'⑫ Roll-out Plan'!$O$67</f>
        <v>0</v>
      </c>
      <c r="AN1008" s="9" t="n">
        <f aca="false">MIN((AN629+AN630)*$C$5,$F$14)*'⑫ Roll-out Plan'!$O$67</f>
        <v>0</v>
      </c>
      <c r="AO1008" s="9" t="n">
        <f aca="false">MIN((AO629+AO630)*$C$5,$F$14)*'⑫ Roll-out Plan'!$O$67</f>
        <v>0</v>
      </c>
      <c r="AP1008" s="9" t="n">
        <f aca="false">MIN((AP629+AP630)*$C$5,$F$14)*'⑫ Roll-out Plan'!$O$67</f>
        <v>0</v>
      </c>
      <c r="AQ1008" s="9" t="n">
        <f aca="false">MIN((AQ629+AQ630)*$C$5,$F$14)*'⑫ Roll-out Plan'!$O$67</f>
        <v>0</v>
      </c>
      <c r="AR1008" s="9" t="n">
        <f aca="false">MIN((AR629+AR630)*$C$5,$F$14)*'⑫ Roll-out Plan'!$O$67</f>
        <v>0</v>
      </c>
      <c r="AS1008" s="9" t="n">
        <f aca="false">MIN((AS629+AS630)*$C$5,$F$14)*'⑫ Roll-out Plan'!$O$67</f>
        <v>0</v>
      </c>
      <c r="AT1008" s="9" t="n">
        <f aca="false">MIN((AT629+AT630)*$C$5,$F$14)*'⑫ Roll-out Plan'!$O$67</f>
        <v>0</v>
      </c>
      <c r="AU1008" s="9" t="n">
        <f aca="false">MIN((AU629+AU630)*$C$5,$F$14)*'⑫ Roll-out Plan'!$O$67</f>
        <v>0</v>
      </c>
      <c r="AV1008" s="9" t="n">
        <f aca="false">MIN((AV629+AV630)*$C$5,$F$14)*'⑫ Roll-out Plan'!$O$67</f>
        <v>0</v>
      </c>
      <c r="AW1008" s="9" t="n">
        <f aca="false">MIN((AW629+AW630)*$C$5,$F$14)*'⑫ Roll-out Plan'!$O$67</f>
        <v>0</v>
      </c>
      <c r="AX1008" s="9" t="n">
        <f aca="false">MIN((AX629+AX630)*$C$5,$F$14)*'⑫ Roll-out Plan'!$O$67</f>
        <v>0</v>
      </c>
      <c r="AY1008" s="9" t="n">
        <f aca="false">MIN((AY629+AY630)*$C$5,$F$14)*'⑫ Roll-out Plan'!$O$67</f>
        <v>0</v>
      </c>
      <c r="AZ1008" s="9" t="n">
        <f aca="false">MIN((AZ629+AZ630)*$C$5,$F$14)*'⑫ Roll-out Plan'!$O$67</f>
        <v>0</v>
      </c>
      <c r="BA1008" s="9" t="n">
        <f aca="false">MIN((BA629+BA630)*$C$5,$F$14)*'⑫ Roll-out Plan'!$O$67</f>
        <v>0</v>
      </c>
      <c r="BB1008" s="9" t="n">
        <f aca="false">MIN((BB629+BB630)*$C$5,$F$14)*'⑫ Roll-out Plan'!$O$67</f>
        <v>0</v>
      </c>
      <c r="BC1008" s="9" t="n">
        <f aca="false">MIN((BC629+BC630)*$C$5,$F$14)*'⑫ Roll-out Plan'!$O$67</f>
        <v>0</v>
      </c>
      <c r="BD1008" s="9" t="n">
        <f aca="false">MIN((BD629+BD630)*$C$5,$F$14)*'⑫ Roll-out Plan'!$O$67</f>
        <v>0</v>
      </c>
      <c r="BE1008" s="9" t="n">
        <f aca="false">MIN((BE629+BE630)*$C$5,$F$14)*'⑫ Roll-out Plan'!$O$67</f>
        <v>0</v>
      </c>
      <c r="BF1008" s="9" t="n">
        <f aca="false">MIN((BF629+BF630)*$C$5,$F$14)*'⑫ Roll-out Plan'!$O$67</f>
        <v>0</v>
      </c>
      <c r="BG1008" s="9" t="n">
        <f aca="false">MIN((BG629+BG630)*$C$5,$F$14)*'⑫ Roll-out Plan'!$O$67</f>
        <v>0</v>
      </c>
      <c r="BH1008" s="9" t="n">
        <f aca="false">MIN((BH629+BH630)*$C$5,$F$14)*'⑫ Roll-out Plan'!$O$67</f>
        <v>0</v>
      </c>
      <c r="BI1008" s="9" t="n">
        <f aca="false">MIN((BI629+BI630)*$C$5,$F$14)*'⑫ Roll-out Plan'!$O$67</f>
        <v>0</v>
      </c>
      <c r="BJ1008" s="9" t="n">
        <f aca="false">MIN((BJ629+BJ630)*$C$5,$F$14)*'⑫ Roll-out Plan'!$O$67</f>
        <v>0</v>
      </c>
      <c r="BK1008" s="9" t="n">
        <f aca="false">MIN((BK629+BK630)*$C$5,$F$14)*'⑫ Roll-out Plan'!$O$67</f>
        <v>0</v>
      </c>
      <c r="BL1008" s="9" t="n">
        <f aca="false">MIN((BL629+BL630)*$C$5,$F$14)*'⑫ Roll-out Plan'!$O$67</f>
        <v>0</v>
      </c>
      <c r="BM1008" s="9" t="n">
        <f aca="false">MIN((BM629+BM630)*$C$5,$F$14)*'⑫ Roll-out Plan'!$O$67</f>
        <v>0</v>
      </c>
      <c r="BN1008" s="9" t="n">
        <f aca="false">MIN((BN629+BN630)*$C$5,$F$14)*'⑫ Roll-out Plan'!$O$67</f>
        <v>0</v>
      </c>
      <c r="BO1008" s="9" t="n">
        <f aca="false">MIN((BO629+BO630)*$C$5,$F$14)*'⑫ Roll-out Plan'!$O$67</f>
        <v>0</v>
      </c>
      <c r="BP1008" s="9" t="n">
        <f aca="false">MIN((BP629+BP630)*$C$5,$F$14)*'⑫ Roll-out Plan'!$O$67</f>
        <v>0</v>
      </c>
      <c r="BQ1008" s="9" t="n">
        <f aca="false">MIN((BQ629+BQ630)*$C$5,$F$14)*'⑫ Roll-out Plan'!$O$67</f>
        <v>0</v>
      </c>
      <c r="BR1008" s="9" t="n">
        <f aca="false">MIN((BR629+BR630)*$C$5,$F$14)*'⑫ Roll-out Plan'!$O$67</f>
        <v>0</v>
      </c>
      <c r="BS1008" s="9" t="n">
        <f aca="false">MIN((BS629+BS630)*$C$5,$F$14)*'⑫ Roll-out Plan'!$O$67</f>
        <v>0</v>
      </c>
      <c r="BT1008" s="9" t="n">
        <f aca="false">MIN((BT629+BT630)*$C$5,$F$14)*'⑫ Roll-out Plan'!$O$67</f>
        <v>0</v>
      </c>
      <c r="BU1008" s="9" t="n">
        <f aca="false">MIN((BU629+BU630)*$C$5,$F$14)*'⑫ Roll-out Plan'!$O$67</f>
        <v>0</v>
      </c>
      <c r="BV1008" s="9" t="n">
        <f aca="false">MIN((BV629+BV630)*$C$5,$F$14)*'⑫ Roll-out Plan'!$O$67</f>
        <v>0</v>
      </c>
      <c r="BW1008" s="9" t="n">
        <f aca="false">MIN((BW629+BW630)*$C$5,$F$14)*'⑫ Roll-out Plan'!$O$67</f>
        <v>0</v>
      </c>
      <c r="BX1008" s="9" t="n">
        <f aca="false">MIN((BX629+BX630)*$C$5,$F$14)*'⑫ Roll-out Plan'!$O$67</f>
        <v>0</v>
      </c>
      <c r="BY1008" s="9" t="n">
        <f aca="false">MIN((BY629+BY630)*$C$5,$F$14)*'⑫ Roll-out Plan'!$O$67</f>
        <v>0</v>
      </c>
      <c r="BZ1008" s="9" t="n">
        <f aca="false">MIN((BZ629+BZ630)*$C$5,$F$14)*'⑫ Roll-out Plan'!$O$67</f>
        <v>0</v>
      </c>
      <c r="CA1008" s="9" t="n">
        <f aca="false">MIN((CA629+CA630)*$C$5,$F$14)*'⑫ Roll-out Plan'!$O$67</f>
        <v>0</v>
      </c>
      <c r="CB1008" s="9" t="n">
        <f aca="false">MIN((CB629+CB630)*$C$5,$F$14)*'⑫ Roll-out Plan'!$O$67</f>
        <v>0</v>
      </c>
      <c r="CC1008" s="9" t="n">
        <f aca="false">MIN((CC629+CC630)*$C$5,$F$14)*'⑫ Roll-out Plan'!$O$67</f>
        <v>0</v>
      </c>
      <c r="CD1008" s="9" t="n">
        <f aca="false">MIN((CD629+CD630)*$C$5,$F$14)*'⑫ Roll-out Plan'!$O$67</f>
        <v>0</v>
      </c>
      <c r="CE1008" s="9" t="n">
        <f aca="false">MIN((CE629+CE630)*$C$5,$F$14)*'⑫ Roll-out Plan'!$O$67</f>
        <v>0</v>
      </c>
      <c r="CF1008" s="9" t="n">
        <f aca="false">MIN((CF629+CF630)*$C$5,$F$14)*'⑫ Roll-out Plan'!$O$67</f>
        <v>0</v>
      </c>
      <c r="CG1008" s="9" t="n">
        <f aca="false">MIN((CG629+CG630)*$C$5,$F$14)*'⑫ Roll-out Plan'!$O$67</f>
        <v>0</v>
      </c>
      <c r="CH1008" s="9" t="n">
        <f aca="false">MIN((CH629+CH630)*$C$5,$F$14)*'⑫ Roll-out Plan'!$O$67</f>
        <v>0</v>
      </c>
      <c r="CI1008" s="9" t="n">
        <f aca="false">MIN((CI629+CI630)*$C$5,$F$14)*'⑫ Roll-out Plan'!$O$67</f>
        <v>0</v>
      </c>
      <c r="CJ1008" s="9" t="n">
        <f aca="false">MIN((CJ629+CJ630)*$C$5,$F$14)*'⑫ Roll-out Plan'!$O$67</f>
        <v>0</v>
      </c>
      <c r="CK1008" s="9" t="n">
        <f aca="false">MIN((CK629+CK630)*$C$5,$F$14)*'⑫ Roll-out Plan'!$O$67</f>
        <v>0</v>
      </c>
      <c r="CL1008" s="9" t="n">
        <f aca="false">MIN((CL629+CL630)*$C$5,$F$14)*'⑫ Roll-out Plan'!$O$67</f>
        <v>0</v>
      </c>
      <c r="CM1008" s="9" t="n">
        <f aca="false">MIN((CM629+CM630)*$C$5,$F$14)*'⑫ Roll-out Plan'!$O$67</f>
        <v>0</v>
      </c>
      <c r="CN1008" s="9" t="n">
        <f aca="false">MIN((CN629+CN630)*$C$5,$F$14)*'⑫ Roll-out Plan'!$O$67</f>
        <v>0</v>
      </c>
      <c r="CO1008" s="9" t="n">
        <f aca="false">MIN((CO629+CO630)*$C$5,$F$14)*'⑫ Roll-out Plan'!$O$67</f>
        <v>0</v>
      </c>
      <c r="CP1008" s="9" t="n">
        <f aca="false">MIN((CP629+CP630)*$C$5,$F$14)*'⑫ Roll-out Plan'!$O$67</f>
        <v>0</v>
      </c>
      <c r="CQ1008" s="9" t="n">
        <f aca="false">MIN((CQ629+CQ630)*$C$5,$F$14)*'⑫ Roll-out Plan'!$O$67</f>
        <v>0</v>
      </c>
      <c r="CR1008" s="9" t="n">
        <f aca="false">MIN((CR629+CR630)*$C$5,$F$14)*'⑫ Roll-out Plan'!$O$67</f>
        <v>0</v>
      </c>
      <c r="CS1008" s="9" t="n">
        <f aca="false">MIN((CS629+CS630)*$C$5,$F$14)*'⑫ Roll-out Plan'!$O$67</f>
        <v>0</v>
      </c>
      <c r="CT1008" s="9" t="n">
        <f aca="false">MIN((CT629+CT630)*$C$5,$F$14)*'⑫ Roll-out Plan'!$O$67</f>
        <v>0</v>
      </c>
      <c r="CU1008" s="9" t="n">
        <f aca="false">MIN((CU629+CU630)*$C$5,$F$14)*'⑫ Roll-out Plan'!$O$67</f>
        <v>0</v>
      </c>
      <c r="CV1008" s="9" t="n">
        <f aca="false">MIN((CV629+CV630)*$C$5,$F$14)*'⑫ Roll-out Plan'!$O$67</f>
        <v>0</v>
      </c>
      <c r="CW1008" s="9" t="n">
        <f aca="false">MIN((CW629+CW630)*$C$5,$F$14)*'⑫ Roll-out Plan'!$O$67</f>
        <v>0</v>
      </c>
      <c r="CX1008" s="9" t="n">
        <f aca="false">MIN((CX629+CX630)*$C$5,$F$14)*'⑫ Roll-out Plan'!$O$67</f>
        <v>0</v>
      </c>
      <c r="CY1008" s="9" t="n">
        <f aca="false">MIN((CY629+CY630)*$C$5,$F$14)*'⑫ Roll-out Plan'!$O$67</f>
        <v>0</v>
      </c>
      <c r="CZ1008" s="9" t="n">
        <f aca="false">MIN((CZ629+CZ630)*$C$5,$F$14)*'⑫ Roll-out Plan'!$O$67</f>
        <v>0</v>
      </c>
      <c r="DA1008" s="9" t="n">
        <f aca="false">MIN((DA629+DA630)*$C$5,$F$14)*'⑫ Roll-out Plan'!$O$67</f>
        <v>0</v>
      </c>
      <c r="DB1008" s="9" t="n">
        <f aca="false">MIN((DB629+DB630)*$C$5,$F$14)*'⑫ Roll-out Plan'!$O$67</f>
        <v>0</v>
      </c>
      <c r="DC1008" s="9" t="n">
        <f aca="false">MIN((DC629+DC630)*$C$5,$F$14)*'⑫ Roll-out Plan'!$O$67</f>
        <v>0</v>
      </c>
      <c r="DD1008" s="9" t="n">
        <f aca="false">MIN((DD629+DD630)*$C$5,$F$14)*'⑫ Roll-out Plan'!$O$67</f>
        <v>0</v>
      </c>
      <c r="DE1008" s="9" t="n">
        <f aca="false">MIN((DE629+DE630)*$C$5,$F$14)*'⑫ Roll-out Plan'!$O$67</f>
        <v>0</v>
      </c>
      <c r="DF1008" s="9" t="n">
        <f aca="false">MIN((DF629+DF630)*$C$5,$F$14)*'⑫ Roll-out Plan'!$O$67</f>
        <v>0</v>
      </c>
      <c r="DG1008" s="9" t="n">
        <f aca="false">MIN((DG629+DG630)*$C$5,$F$14)*'⑫ Roll-out Plan'!$O$67</f>
        <v>0</v>
      </c>
      <c r="DH1008" s="9" t="n">
        <f aca="false">MIN((DH629+DH630)*$C$5,$F$14)*'⑫ Roll-out Plan'!$O$67</f>
        <v>0</v>
      </c>
      <c r="DI1008" s="9" t="n">
        <f aca="false">MIN((DI629+DI630)*$C$5,$F$14)*'⑫ Roll-out Plan'!$O$67</f>
        <v>0</v>
      </c>
      <c r="DJ1008" s="9" t="n">
        <f aca="false">MIN((DJ629+DJ630)*$C$5,$F$14)*'⑫ Roll-out Plan'!$O$67</f>
        <v>0</v>
      </c>
      <c r="DK1008" s="9" t="n">
        <f aca="false">MIN((DK629+DK630)*$C$5,$F$14)*'⑫ Roll-out Plan'!$O$67</f>
        <v>0</v>
      </c>
      <c r="DL1008" s="9" t="n">
        <f aca="false">MIN((DL629+DL630)*$C$5,$F$14)*'⑫ Roll-out Plan'!$O$67</f>
        <v>0</v>
      </c>
      <c r="DM1008" s="9" t="n">
        <f aca="false">MIN((DM629+DM630)*$C$5,$F$14)*'⑫ Roll-out Plan'!$O$67</f>
        <v>0</v>
      </c>
      <c r="DN1008" s="9" t="n">
        <f aca="false">MIN((DN629+DN630)*$C$5,$F$14)*'⑫ Roll-out Plan'!$O$67</f>
        <v>0</v>
      </c>
      <c r="DO1008" s="9" t="n">
        <f aca="false">MIN((DO629+DO630)*$C$5,$F$14)*'⑫ Roll-out Plan'!$O$67</f>
        <v>0</v>
      </c>
      <c r="DP1008" s="9" t="n">
        <f aca="false">MIN((DP629+DP630)*$C$5,$F$14)*'⑫ Roll-out Plan'!$O$67</f>
        <v>0</v>
      </c>
      <c r="DQ1008" s="9" t="n">
        <f aca="false">MIN((DQ629+DQ630)*$C$5,$F$14)*'⑫ Roll-out Plan'!$O$67</f>
        <v>0</v>
      </c>
      <c r="DR1008" s="9" t="n">
        <f aca="false">MIN((DR629+DR630)*$C$5,$F$14)*'⑫ Roll-out Plan'!$O$67</f>
        <v>0</v>
      </c>
      <c r="DS1008" s="9" t="n">
        <f aca="false">MIN((DS629+DS630)*$C$5,$F$14)*'⑫ Roll-out Plan'!$O$67</f>
        <v>0</v>
      </c>
      <c r="DT1008" s="9" t="n">
        <f aca="false">MIN((DT629+DT630)*$C$5,$F$14)*'⑫ Roll-out Plan'!$O$67</f>
        <v>0</v>
      </c>
      <c r="DU1008" s="9" t="n">
        <f aca="false">MIN((DU629+DU630)*$C$5,$F$14)*'⑫ Roll-out Plan'!$O$67</f>
        <v>0</v>
      </c>
      <c r="DV1008" s="9" t="n">
        <f aca="false">MIN((DV629+DV630)*$C$5,$F$14)*'⑫ Roll-out Plan'!$O$67</f>
        <v>0</v>
      </c>
      <c r="DW1008" s="9" t="n">
        <f aca="false">MIN((DW629+DW630)*$C$5,$F$14)*'⑫ Roll-out Plan'!$O$67</f>
        <v>0</v>
      </c>
      <c r="DX1008" s="9" t="n">
        <f aca="false">MIN((DX629+DX630)*$C$5,$F$14)*'⑫ Roll-out Plan'!$O$67</f>
        <v>0</v>
      </c>
      <c r="DY1008" s="9" t="n">
        <f aca="false">MIN((DY629+DY630)*$C$5,$F$14)*'⑫ Roll-out Plan'!$O$67</f>
        <v>0</v>
      </c>
      <c r="DZ1008" s="9" t="n">
        <f aca="false">MIN((DZ629+DZ630)*$C$5,$F$14)*'⑫ Roll-out Plan'!$O$67</f>
        <v>0</v>
      </c>
      <c r="EA1008" s="9" t="n">
        <f aca="false">MIN((EA629+EA630)*$C$5,$F$14)*'⑫ Roll-out Plan'!$O$67</f>
        <v>0</v>
      </c>
      <c r="EB1008" s="9" t="n">
        <f aca="false">MIN((EB629+EB630)*$C$5,$F$14)*'⑫ Roll-out Plan'!$O$67</f>
        <v>0</v>
      </c>
      <c r="EC1008" s="9" t="n">
        <f aca="false">MIN((EC629+EC630)*$C$5,$F$14)*'⑫ Roll-out Plan'!$O$67</f>
        <v>0</v>
      </c>
      <c r="ED1008" s="9" t="n">
        <f aca="false">MIN((ED629+ED630)*$C$5,$F$14)*'⑫ Roll-out Plan'!$O$67</f>
        <v>0</v>
      </c>
      <c r="EE1008" s="9" t="n">
        <f aca="false">MIN((EE629+EE630)*$C$5,$F$14)*'⑫ Roll-out Plan'!$O$67</f>
        <v>0</v>
      </c>
      <c r="EF1008" s="9" t="n">
        <f aca="false">MIN((EF629+EF630)*$C$5,$F$14)*'⑫ Roll-out Plan'!$O$67</f>
        <v>0</v>
      </c>
      <c r="EG1008" s="9" t="n">
        <f aca="false">MIN((EG629+EG630)*$C$5,$F$14)*'⑫ Roll-out Plan'!$O$67</f>
        <v>0</v>
      </c>
      <c r="EH1008" s="9" t="n">
        <f aca="false">MIN((EH629+EH630)*$C$5,$F$14)*'⑫ Roll-out Plan'!$O$67</f>
        <v>0</v>
      </c>
      <c r="EI1008" s="9" t="n">
        <f aca="false">MIN((EI629+EI630)*$C$5,$F$14)*'⑫ Roll-out Plan'!$O$67</f>
        <v>0</v>
      </c>
      <c r="EJ1008" s="9" t="n">
        <f aca="false">MIN((EJ629+EJ630)*$C$5,$F$14)*'⑫ Roll-out Plan'!$O$67</f>
        <v>0</v>
      </c>
      <c r="EK1008" s="9" t="n">
        <f aca="false">MIN((EK629+EK630)*$C$5,$F$14)*'⑫ Roll-out Plan'!$O$67</f>
        <v>0</v>
      </c>
      <c r="EL1008" s="9" t="n">
        <f aca="false">MIN((EL629+EL630)*$C$5,$F$14)*'⑫ Roll-out Plan'!$O$67</f>
        <v>0</v>
      </c>
      <c r="EM1008" s="9" t="n">
        <f aca="false">MIN((EM629+EM630)*$C$5,$F$14)*'⑫ Roll-out Plan'!$O$67</f>
        <v>0</v>
      </c>
      <c r="EN1008" s="9" t="n">
        <f aca="false">MIN((EN629+EN630)*$C$5,$F$14)*'⑫ Roll-out Plan'!$O$67</f>
        <v>0</v>
      </c>
      <c r="EO1008" s="9" t="n">
        <f aca="false">MIN((EO629+EO630)*$C$5,$F$14)*'⑫ Roll-out Plan'!$O$67</f>
        <v>0</v>
      </c>
      <c r="EP1008" s="9" t="n">
        <f aca="false">MIN((EP629+EP630)*$C$5,$F$14)*'⑫ Roll-out Plan'!$O$67</f>
        <v>0</v>
      </c>
      <c r="EQ1008" s="9" t="n">
        <f aca="false">MIN((EQ629+EQ630)*$C$5,$F$14)*'⑫ Roll-out Plan'!$O$67</f>
        <v>0</v>
      </c>
      <c r="ER1008" s="9" t="n">
        <f aca="false">MIN((ER629+ER630)*$C$5,$F$14)*'⑫ Roll-out Plan'!$O$67</f>
        <v>0</v>
      </c>
      <c r="ES1008" s="9" t="n">
        <f aca="false">MIN((ES629+ES630)*$C$5,$F$14)*'⑫ Roll-out Plan'!$O$67</f>
        <v>0</v>
      </c>
      <c r="ET1008" s="9" t="n">
        <f aca="false">MIN((ET629+ET630)*$C$5,$F$14)*'⑫ Roll-out Plan'!$O$67</f>
        <v>0</v>
      </c>
      <c r="EU1008" s="9" t="n">
        <f aca="false">MIN((EU629+EU630)*$C$5,$F$14)*'⑫ Roll-out Plan'!$O$67</f>
        <v>0</v>
      </c>
      <c r="EV1008" s="9" t="n">
        <f aca="false">MIN((EV629+EV630)*$C$5,$F$14)*'⑫ Roll-out Plan'!$O$67</f>
        <v>0</v>
      </c>
      <c r="EW1008" s="9" t="n">
        <f aca="false">MIN((EW629+EW630)*$C$5,$F$14)*'⑫ Roll-out Plan'!$O$67</f>
        <v>0</v>
      </c>
      <c r="EX1008" s="9" t="n">
        <f aca="false">MIN((EX629+EX630)*$C$5,$F$14)*'⑫ Roll-out Plan'!$O$67</f>
        <v>0</v>
      </c>
      <c r="EY1008" s="9" t="n">
        <f aca="false">MIN((EY629+EY630)*$C$5,$F$14)*'⑫ Roll-out Plan'!$O$67</f>
        <v>0</v>
      </c>
      <c r="EZ1008" s="9" t="n">
        <f aca="false">MIN((EZ629+EZ630)*$C$5,$F$14)*'⑫ Roll-out Plan'!$O$67</f>
        <v>0</v>
      </c>
      <c r="FA1008" s="9" t="n">
        <f aca="false">MIN((FA629+FA630)*$C$5,$F$14)*'⑫ Roll-out Plan'!$O$67</f>
        <v>0</v>
      </c>
      <c r="FB1008" s="9" t="n">
        <f aca="false">MIN((FB629+FB630)*$C$5,$F$14)*'⑫ Roll-out Plan'!$O$67</f>
        <v>0</v>
      </c>
      <c r="FC1008" s="9" t="n">
        <f aca="false">MIN((FC629+FC630)*$C$5,$F$14)*'⑫ Roll-out Plan'!$O$67</f>
        <v>0</v>
      </c>
      <c r="FD1008" s="9" t="n">
        <f aca="false">MIN((FD629+FD630)*$C$5,$F$14)*'⑫ Roll-out Plan'!$O$67</f>
        <v>0</v>
      </c>
      <c r="FE1008" s="9" t="n">
        <f aca="false">MIN((FE629+FE630)*$C$5,$F$14)*'⑫ Roll-out Plan'!$O$67</f>
        <v>0</v>
      </c>
      <c r="FF1008" s="9" t="n">
        <f aca="false">MIN((FF629+FF630)*$C$5,$F$14)*'⑫ Roll-out Plan'!$O$67</f>
        <v>0</v>
      </c>
      <c r="FG1008" s="9" t="n">
        <f aca="false">MIN((FG629+FG630)*$C$5,$F$14)*'⑫ Roll-out Plan'!$O$67</f>
        <v>0</v>
      </c>
      <c r="FH1008" s="9" t="n">
        <f aca="false">MIN((FH629+FH630)*$C$5,$F$14)*'⑫ Roll-out Plan'!$O$67</f>
        <v>0</v>
      </c>
      <c r="FI1008" s="9" t="n">
        <f aca="false">MIN((FI629+FI630)*$C$5,$F$14)*'⑫ Roll-out Plan'!$O$67</f>
        <v>0</v>
      </c>
      <c r="FJ1008" s="9" t="n">
        <f aca="false">MIN((FJ629+FJ630)*$C$5,$F$14)*'⑫ Roll-out Plan'!$O$67</f>
        <v>0</v>
      </c>
      <c r="FK1008" s="9" t="n">
        <f aca="false">MIN((FK629+FK630)*$C$5,$F$14)*'⑫ Roll-out Plan'!$O$67</f>
        <v>0</v>
      </c>
      <c r="FL1008" s="9" t="n">
        <f aca="false">MIN((FL629+FL630)*$C$5,$F$14)*'⑫ Roll-out Plan'!$O$67</f>
        <v>0</v>
      </c>
      <c r="FM1008" s="9" t="n">
        <f aca="false">MIN((FM629+FM630)*$C$5,$F$14)*'⑫ Roll-out Plan'!$O$67</f>
        <v>0</v>
      </c>
      <c r="FN1008" s="9" t="n">
        <f aca="false">MIN((FN629+FN630)*$C$5,$F$14)*'⑫ Roll-out Plan'!$O$67</f>
        <v>0</v>
      </c>
      <c r="FO1008" s="9" t="n">
        <f aca="false">MIN((FO629+FO630)*$C$5,$F$14)*'⑫ Roll-out Plan'!$O$67</f>
        <v>0</v>
      </c>
      <c r="FP1008" s="9" t="n">
        <f aca="false">MIN((FP629+FP630)*$C$5,$F$14)*'⑫ Roll-out Plan'!$O$67</f>
        <v>0</v>
      </c>
    </row>
    <row r="1009" customFormat="false" ht="15" hidden="false" customHeight="false" outlineLevel="0" collapsed="false">
      <c r="B1009" s="9" t="s">
        <v>936</v>
      </c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 t="n">
        <f aca="false">MIN((AC639+AC640)*$C$5,$F$15)*'⑫ Roll-out Plan'!$O$68</f>
        <v>0</v>
      </c>
      <c r="AD1009" s="9" t="n">
        <f aca="false">MIN((AD639+AD640)*$C$5,$F$15)*'⑫ Roll-out Plan'!$O$68</f>
        <v>0</v>
      </c>
      <c r="AE1009" s="9" t="n">
        <f aca="false">MIN((AE639+AE640)*$C$5,$F$15)*'⑫ Roll-out Plan'!$O$68</f>
        <v>0</v>
      </c>
      <c r="AF1009" s="9" t="n">
        <f aca="false">MIN((AF639+AF640)*$C$5,$F$15)*'⑫ Roll-out Plan'!$O$68</f>
        <v>0</v>
      </c>
      <c r="AG1009" s="9" t="n">
        <f aca="false">MIN((AG639+AG640)*$C$5,$F$15)*'⑫ Roll-out Plan'!$O$68</f>
        <v>0</v>
      </c>
      <c r="AH1009" s="9" t="n">
        <f aca="false">MIN((AH639+AH640)*$C$5,$F$15)*'⑫ Roll-out Plan'!$O$68</f>
        <v>0</v>
      </c>
      <c r="AI1009" s="9" t="n">
        <f aca="false">MIN((AI639+AI640)*$C$5,$F$15)*'⑫ Roll-out Plan'!$O$68</f>
        <v>0</v>
      </c>
      <c r="AJ1009" s="9" t="n">
        <f aca="false">MIN((AJ639+AJ640)*$C$5,$F$15)*'⑫ Roll-out Plan'!$O$68</f>
        <v>0</v>
      </c>
      <c r="AK1009" s="9" t="n">
        <f aca="false">MIN((AK639+AK640)*$C$5,$F$15)*'⑫ Roll-out Plan'!$O$68</f>
        <v>0</v>
      </c>
      <c r="AL1009" s="9" t="n">
        <f aca="false">MIN((AL639+AL640)*$C$5,$F$15)*'⑫ Roll-out Plan'!$O$68</f>
        <v>0</v>
      </c>
      <c r="AM1009" s="9" t="n">
        <f aca="false">MIN((AM639+AM640)*$C$5,$F$15)*'⑫ Roll-out Plan'!$O$68</f>
        <v>0</v>
      </c>
      <c r="AN1009" s="9" t="n">
        <f aca="false">MIN((AN639+AN640)*$C$5,$F$15)*'⑫ Roll-out Plan'!$O$68</f>
        <v>0</v>
      </c>
      <c r="AO1009" s="9" t="n">
        <f aca="false">MIN((AO639+AO640)*$C$5,$F$15)*'⑫ Roll-out Plan'!$O$68</f>
        <v>0</v>
      </c>
      <c r="AP1009" s="9" t="n">
        <f aca="false">MIN((AP639+AP640)*$C$5,$F$15)*'⑫ Roll-out Plan'!$O$68</f>
        <v>0</v>
      </c>
      <c r="AQ1009" s="9" t="n">
        <f aca="false">MIN((AQ639+AQ640)*$C$5,$F$15)*'⑫ Roll-out Plan'!$O$68</f>
        <v>0</v>
      </c>
      <c r="AR1009" s="9" t="n">
        <f aca="false">MIN((AR639+AR640)*$C$5,$F$15)*'⑫ Roll-out Plan'!$O$68</f>
        <v>0</v>
      </c>
      <c r="AS1009" s="9" t="n">
        <f aca="false">MIN((AS639+AS640)*$C$5,$F$15)*'⑫ Roll-out Plan'!$O$68</f>
        <v>0</v>
      </c>
      <c r="AT1009" s="9" t="n">
        <f aca="false">MIN((AT639+AT640)*$C$5,$F$15)*'⑫ Roll-out Plan'!$O$68</f>
        <v>0</v>
      </c>
      <c r="AU1009" s="9" t="n">
        <f aca="false">MIN((AU639+AU640)*$C$5,$F$15)*'⑫ Roll-out Plan'!$O$68</f>
        <v>0</v>
      </c>
      <c r="AV1009" s="9" t="n">
        <f aca="false">MIN((AV639+AV640)*$C$5,$F$15)*'⑫ Roll-out Plan'!$O$68</f>
        <v>0</v>
      </c>
      <c r="AW1009" s="9" t="n">
        <f aca="false">MIN((AW639+AW640)*$C$5,$F$15)*'⑫ Roll-out Plan'!$O$68</f>
        <v>0</v>
      </c>
      <c r="AX1009" s="9" t="n">
        <f aca="false">MIN((AX639+AX640)*$C$5,$F$15)*'⑫ Roll-out Plan'!$O$68</f>
        <v>0</v>
      </c>
      <c r="AY1009" s="9" t="n">
        <f aca="false">MIN((AY639+AY640)*$C$5,$F$15)*'⑫ Roll-out Plan'!$O$68</f>
        <v>0</v>
      </c>
      <c r="AZ1009" s="9" t="n">
        <f aca="false">MIN((AZ639+AZ640)*$C$5,$F$15)*'⑫ Roll-out Plan'!$O$68</f>
        <v>0</v>
      </c>
      <c r="BA1009" s="9" t="n">
        <f aca="false">MIN((BA639+BA640)*$C$5,$F$15)*'⑫ Roll-out Plan'!$O$68</f>
        <v>0</v>
      </c>
      <c r="BB1009" s="9" t="n">
        <f aca="false">MIN((BB639+BB640)*$C$5,$F$15)*'⑫ Roll-out Plan'!$O$68</f>
        <v>0</v>
      </c>
      <c r="BC1009" s="9" t="n">
        <f aca="false">MIN((BC639+BC640)*$C$5,$F$15)*'⑫ Roll-out Plan'!$O$68</f>
        <v>0</v>
      </c>
      <c r="BD1009" s="9" t="n">
        <f aca="false">MIN((BD639+BD640)*$C$5,$F$15)*'⑫ Roll-out Plan'!$O$68</f>
        <v>0</v>
      </c>
      <c r="BE1009" s="9" t="n">
        <f aca="false">MIN((BE639+BE640)*$C$5,$F$15)*'⑫ Roll-out Plan'!$O$68</f>
        <v>0</v>
      </c>
      <c r="BF1009" s="9" t="n">
        <f aca="false">MIN((BF639+BF640)*$C$5,$F$15)*'⑫ Roll-out Plan'!$O$68</f>
        <v>0</v>
      </c>
      <c r="BG1009" s="9" t="n">
        <f aca="false">MIN((BG639+BG640)*$C$5,$F$15)*'⑫ Roll-out Plan'!$O$68</f>
        <v>0</v>
      </c>
      <c r="BH1009" s="9" t="n">
        <f aca="false">MIN((BH639+BH640)*$C$5,$F$15)*'⑫ Roll-out Plan'!$O$68</f>
        <v>0</v>
      </c>
      <c r="BI1009" s="9" t="n">
        <f aca="false">MIN((BI639+BI640)*$C$5,$F$15)*'⑫ Roll-out Plan'!$O$68</f>
        <v>0</v>
      </c>
      <c r="BJ1009" s="9" t="n">
        <f aca="false">MIN((BJ639+BJ640)*$C$5,$F$15)*'⑫ Roll-out Plan'!$O$68</f>
        <v>0</v>
      </c>
      <c r="BK1009" s="9" t="n">
        <f aca="false">MIN((BK639+BK640)*$C$5,$F$15)*'⑫ Roll-out Plan'!$O$68</f>
        <v>0</v>
      </c>
      <c r="BL1009" s="9" t="n">
        <f aca="false">MIN((BL639+BL640)*$C$5,$F$15)*'⑫ Roll-out Plan'!$O$68</f>
        <v>0</v>
      </c>
      <c r="BM1009" s="9" t="n">
        <f aca="false">MIN((BM639+BM640)*$C$5,$F$15)*'⑫ Roll-out Plan'!$O$68</f>
        <v>0</v>
      </c>
      <c r="BN1009" s="9" t="n">
        <f aca="false">MIN((BN639+BN640)*$C$5,$F$15)*'⑫ Roll-out Plan'!$O$68</f>
        <v>0</v>
      </c>
      <c r="BO1009" s="9" t="n">
        <f aca="false">MIN((BO639+BO640)*$C$5,$F$15)*'⑫ Roll-out Plan'!$O$68</f>
        <v>0</v>
      </c>
      <c r="BP1009" s="9" t="n">
        <f aca="false">MIN((BP639+BP640)*$C$5,$F$15)*'⑫ Roll-out Plan'!$O$68</f>
        <v>0</v>
      </c>
      <c r="BQ1009" s="9" t="n">
        <f aca="false">MIN((BQ639+BQ640)*$C$5,$F$15)*'⑫ Roll-out Plan'!$O$68</f>
        <v>0</v>
      </c>
      <c r="BR1009" s="9" t="n">
        <f aca="false">MIN((BR639+BR640)*$C$5,$F$15)*'⑫ Roll-out Plan'!$O$68</f>
        <v>0</v>
      </c>
      <c r="BS1009" s="9" t="n">
        <f aca="false">MIN((BS639+BS640)*$C$5,$F$15)*'⑫ Roll-out Plan'!$O$68</f>
        <v>0</v>
      </c>
      <c r="BT1009" s="9" t="n">
        <f aca="false">MIN((BT639+BT640)*$C$5,$F$15)*'⑫ Roll-out Plan'!$O$68</f>
        <v>0</v>
      </c>
      <c r="BU1009" s="9" t="n">
        <f aca="false">MIN((BU639+BU640)*$C$5,$F$15)*'⑫ Roll-out Plan'!$O$68</f>
        <v>0</v>
      </c>
      <c r="BV1009" s="9" t="n">
        <f aca="false">MIN((BV639+BV640)*$C$5,$F$15)*'⑫ Roll-out Plan'!$O$68</f>
        <v>0</v>
      </c>
      <c r="BW1009" s="9" t="n">
        <f aca="false">MIN((BW639+BW640)*$C$5,$F$15)*'⑫ Roll-out Plan'!$O$68</f>
        <v>0</v>
      </c>
      <c r="BX1009" s="9" t="n">
        <f aca="false">MIN((BX639+BX640)*$C$5,$F$15)*'⑫ Roll-out Plan'!$O$68</f>
        <v>0</v>
      </c>
      <c r="BY1009" s="9" t="n">
        <f aca="false">MIN((BY639+BY640)*$C$5,$F$15)*'⑫ Roll-out Plan'!$O$68</f>
        <v>0</v>
      </c>
      <c r="BZ1009" s="9" t="n">
        <f aca="false">MIN((BZ639+BZ640)*$C$5,$F$15)*'⑫ Roll-out Plan'!$O$68</f>
        <v>0</v>
      </c>
      <c r="CA1009" s="9" t="n">
        <f aca="false">MIN((CA639+CA640)*$C$5,$F$15)*'⑫ Roll-out Plan'!$O$68</f>
        <v>0</v>
      </c>
      <c r="CB1009" s="9" t="n">
        <f aca="false">MIN((CB639+CB640)*$C$5,$F$15)*'⑫ Roll-out Plan'!$O$68</f>
        <v>0</v>
      </c>
      <c r="CC1009" s="9" t="n">
        <f aca="false">MIN((CC639+CC640)*$C$5,$F$15)*'⑫ Roll-out Plan'!$O$68</f>
        <v>0</v>
      </c>
      <c r="CD1009" s="9" t="n">
        <f aca="false">MIN((CD639+CD640)*$C$5,$F$15)*'⑫ Roll-out Plan'!$O$68</f>
        <v>0</v>
      </c>
      <c r="CE1009" s="9" t="n">
        <f aca="false">MIN((CE639+CE640)*$C$5,$F$15)*'⑫ Roll-out Plan'!$O$68</f>
        <v>0</v>
      </c>
      <c r="CF1009" s="9" t="n">
        <f aca="false">MIN((CF639+CF640)*$C$5,$F$15)*'⑫ Roll-out Plan'!$O$68</f>
        <v>0</v>
      </c>
      <c r="CG1009" s="9" t="n">
        <f aca="false">MIN((CG639+CG640)*$C$5,$F$15)*'⑫ Roll-out Plan'!$O$68</f>
        <v>0</v>
      </c>
      <c r="CH1009" s="9" t="n">
        <f aca="false">MIN((CH639+CH640)*$C$5,$F$15)*'⑫ Roll-out Plan'!$O$68</f>
        <v>0</v>
      </c>
      <c r="CI1009" s="9" t="n">
        <f aca="false">MIN((CI639+CI640)*$C$5,$F$15)*'⑫ Roll-out Plan'!$O$68</f>
        <v>0</v>
      </c>
      <c r="CJ1009" s="9" t="n">
        <f aca="false">MIN((CJ639+CJ640)*$C$5,$F$15)*'⑫ Roll-out Plan'!$O$68</f>
        <v>0</v>
      </c>
      <c r="CK1009" s="9" t="n">
        <f aca="false">MIN((CK639+CK640)*$C$5,$F$15)*'⑫ Roll-out Plan'!$O$68</f>
        <v>0</v>
      </c>
      <c r="CL1009" s="9" t="n">
        <f aca="false">MIN((CL639+CL640)*$C$5,$F$15)*'⑫ Roll-out Plan'!$O$68</f>
        <v>0</v>
      </c>
      <c r="CM1009" s="9" t="n">
        <f aca="false">MIN((CM639+CM640)*$C$5,$F$15)*'⑫ Roll-out Plan'!$O$68</f>
        <v>0</v>
      </c>
      <c r="CN1009" s="9" t="n">
        <f aca="false">MIN((CN639+CN640)*$C$5,$F$15)*'⑫ Roll-out Plan'!$O$68</f>
        <v>0</v>
      </c>
      <c r="CO1009" s="9" t="n">
        <f aca="false">MIN((CO639+CO640)*$C$5,$F$15)*'⑫ Roll-out Plan'!$O$68</f>
        <v>0</v>
      </c>
      <c r="CP1009" s="9" t="n">
        <f aca="false">MIN((CP639+CP640)*$C$5,$F$15)*'⑫ Roll-out Plan'!$O$68</f>
        <v>0</v>
      </c>
      <c r="CQ1009" s="9" t="n">
        <f aca="false">MIN((CQ639+CQ640)*$C$5,$F$15)*'⑫ Roll-out Plan'!$O$68</f>
        <v>0</v>
      </c>
      <c r="CR1009" s="9" t="n">
        <f aca="false">MIN((CR639+CR640)*$C$5,$F$15)*'⑫ Roll-out Plan'!$O$68</f>
        <v>0</v>
      </c>
      <c r="CS1009" s="9" t="n">
        <f aca="false">MIN((CS639+CS640)*$C$5,$F$15)*'⑫ Roll-out Plan'!$O$68</f>
        <v>0</v>
      </c>
      <c r="CT1009" s="9" t="n">
        <f aca="false">MIN((CT639+CT640)*$C$5,$F$15)*'⑫ Roll-out Plan'!$O$68</f>
        <v>0</v>
      </c>
      <c r="CU1009" s="9" t="n">
        <f aca="false">MIN((CU639+CU640)*$C$5,$F$15)*'⑫ Roll-out Plan'!$O$68</f>
        <v>0</v>
      </c>
      <c r="CV1009" s="9" t="n">
        <f aca="false">MIN((CV639+CV640)*$C$5,$F$15)*'⑫ Roll-out Plan'!$O$68</f>
        <v>0</v>
      </c>
      <c r="CW1009" s="9" t="n">
        <f aca="false">MIN((CW639+CW640)*$C$5,$F$15)*'⑫ Roll-out Plan'!$O$68</f>
        <v>0</v>
      </c>
      <c r="CX1009" s="9" t="n">
        <f aca="false">MIN((CX639+CX640)*$C$5,$F$15)*'⑫ Roll-out Plan'!$O$68</f>
        <v>0</v>
      </c>
      <c r="CY1009" s="9" t="n">
        <f aca="false">MIN((CY639+CY640)*$C$5,$F$15)*'⑫ Roll-out Plan'!$O$68</f>
        <v>0</v>
      </c>
      <c r="CZ1009" s="9" t="n">
        <f aca="false">MIN((CZ639+CZ640)*$C$5,$F$15)*'⑫ Roll-out Plan'!$O$68</f>
        <v>0</v>
      </c>
      <c r="DA1009" s="9" t="n">
        <f aca="false">MIN((DA639+DA640)*$C$5,$F$15)*'⑫ Roll-out Plan'!$O$68</f>
        <v>0</v>
      </c>
      <c r="DB1009" s="9" t="n">
        <f aca="false">MIN((DB639+DB640)*$C$5,$F$15)*'⑫ Roll-out Plan'!$O$68</f>
        <v>0</v>
      </c>
      <c r="DC1009" s="9" t="n">
        <f aca="false">MIN((DC639+DC640)*$C$5,$F$15)*'⑫ Roll-out Plan'!$O$68</f>
        <v>0</v>
      </c>
      <c r="DD1009" s="9" t="n">
        <f aca="false">MIN((DD639+DD640)*$C$5,$F$15)*'⑫ Roll-out Plan'!$O$68</f>
        <v>0</v>
      </c>
      <c r="DE1009" s="9" t="n">
        <f aca="false">MIN((DE639+DE640)*$C$5,$F$15)*'⑫ Roll-out Plan'!$O$68</f>
        <v>0</v>
      </c>
      <c r="DF1009" s="9" t="n">
        <f aca="false">MIN((DF639+DF640)*$C$5,$F$15)*'⑫ Roll-out Plan'!$O$68</f>
        <v>0</v>
      </c>
      <c r="DG1009" s="9" t="n">
        <f aca="false">MIN((DG639+DG640)*$C$5,$F$15)*'⑫ Roll-out Plan'!$O$68</f>
        <v>0</v>
      </c>
      <c r="DH1009" s="9" t="n">
        <f aca="false">MIN((DH639+DH640)*$C$5,$F$15)*'⑫ Roll-out Plan'!$O$68</f>
        <v>0</v>
      </c>
      <c r="DI1009" s="9" t="n">
        <f aca="false">MIN((DI639+DI640)*$C$5,$F$15)*'⑫ Roll-out Plan'!$O$68</f>
        <v>0</v>
      </c>
      <c r="DJ1009" s="9" t="n">
        <f aca="false">MIN((DJ639+DJ640)*$C$5,$F$15)*'⑫ Roll-out Plan'!$O$68</f>
        <v>0</v>
      </c>
      <c r="DK1009" s="9" t="n">
        <f aca="false">MIN((DK639+DK640)*$C$5,$F$15)*'⑫ Roll-out Plan'!$O$68</f>
        <v>0</v>
      </c>
      <c r="DL1009" s="9" t="n">
        <f aca="false">MIN((DL639+DL640)*$C$5,$F$15)*'⑫ Roll-out Plan'!$O$68</f>
        <v>0</v>
      </c>
      <c r="DM1009" s="9" t="n">
        <f aca="false">MIN((DM639+DM640)*$C$5,$F$15)*'⑫ Roll-out Plan'!$O$68</f>
        <v>0</v>
      </c>
      <c r="DN1009" s="9" t="n">
        <f aca="false">MIN((DN639+DN640)*$C$5,$F$15)*'⑫ Roll-out Plan'!$O$68</f>
        <v>0</v>
      </c>
      <c r="DO1009" s="9" t="n">
        <f aca="false">MIN((DO639+DO640)*$C$5,$F$15)*'⑫ Roll-out Plan'!$O$68</f>
        <v>0</v>
      </c>
      <c r="DP1009" s="9" t="n">
        <f aca="false">MIN((DP639+DP640)*$C$5,$F$15)*'⑫ Roll-out Plan'!$O$68</f>
        <v>0</v>
      </c>
      <c r="DQ1009" s="9" t="n">
        <f aca="false">MIN((DQ639+DQ640)*$C$5,$F$15)*'⑫ Roll-out Plan'!$O$68</f>
        <v>0</v>
      </c>
      <c r="DR1009" s="9" t="n">
        <f aca="false">MIN((DR639+DR640)*$C$5,$F$15)*'⑫ Roll-out Plan'!$O$68</f>
        <v>0</v>
      </c>
      <c r="DS1009" s="9" t="n">
        <f aca="false">MIN((DS639+DS640)*$C$5,$F$15)*'⑫ Roll-out Plan'!$O$68</f>
        <v>0</v>
      </c>
      <c r="DT1009" s="9" t="n">
        <f aca="false">MIN((DT639+DT640)*$C$5,$F$15)*'⑫ Roll-out Plan'!$O$68</f>
        <v>0</v>
      </c>
      <c r="DU1009" s="9" t="n">
        <f aca="false">MIN((DU639+DU640)*$C$5,$F$15)*'⑫ Roll-out Plan'!$O$68</f>
        <v>0</v>
      </c>
      <c r="DV1009" s="9" t="n">
        <f aca="false">MIN((DV639+DV640)*$C$5,$F$15)*'⑫ Roll-out Plan'!$O$68</f>
        <v>0</v>
      </c>
      <c r="DW1009" s="9" t="n">
        <f aca="false">MIN((DW639+DW640)*$C$5,$F$15)*'⑫ Roll-out Plan'!$O$68</f>
        <v>0</v>
      </c>
      <c r="DX1009" s="9" t="n">
        <f aca="false">MIN((DX639+DX640)*$C$5,$F$15)*'⑫ Roll-out Plan'!$O$68</f>
        <v>0</v>
      </c>
      <c r="DY1009" s="9" t="n">
        <f aca="false">MIN((DY639+DY640)*$C$5,$F$15)*'⑫ Roll-out Plan'!$O$68</f>
        <v>0</v>
      </c>
      <c r="DZ1009" s="9" t="n">
        <f aca="false">MIN((DZ639+DZ640)*$C$5,$F$15)*'⑫ Roll-out Plan'!$O$68</f>
        <v>0</v>
      </c>
      <c r="EA1009" s="9" t="n">
        <f aca="false">MIN((EA639+EA640)*$C$5,$F$15)*'⑫ Roll-out Plan'!$O$68</f>
        <v>0</v>
      </c>
      <c r="EB1009" s="9" t="n">
        <f aca="false">MIN((EB639+EB640)*$C$5,$F$15)*'⑫ Roll-out Plan'!$O$68</f>
        <v>0</v>
      </c>
      <c r="EC1009" s="9" t="n">
        <f aca="false">MIN((EC639+EC640)*$C$5,$F$15)*'⑫ Roll-out Plan'!$O$68</f>
        <v>0</v>
      </c>
      <c r="ED1009" s="9" t="n">
        <f aca="false">MIN((ED639+ED640)*$C$5,$F$15)*'⑫ Roll-out Plan'!$O$68</f>
        <v>0</v>
      </c>
      <c r="EE1009" s="9" t="n">
        <f aca="false">MIN((EE639+EE640)*$C$5,$F$15)*'⑫ Roll-out Plan'!$O$68</f>
        <v>0</v>
      </c>
      <c r="EF1009" s="9" t="n">
        <f aca="false">MIN((EF639+EF640)*$C$5,$F$15)*'⑫ Roll-out Plan'!$O$68</f>
        <v>0</v>
      </c>
      <c r="EG1009" s="9" t="n">
        <f aca="false">MIN((EG639+EG640)*$C$5,$F$15)*'⑫ Roll-out Plan'!$O$68</f>
        <v>0</v>
      </c>
      <c r="EH1009" s="9" t="n">
        <f aca="false">MIN((EH639+EH640)*$C$5,$F$15)*'⑫ Roll-out Plan'!$O$68</f>
        <v>0</v>
      </c>
      <c r="EI1009" s="9" t="n">
        <f aca="false">MIN((EI639+EI640)*$C$5,$F$15)*'⑫ Roll-out Plan'!$O$68</f>
        <v>0</v>
      </c>
      <c r="EJ1009" s="9" t="n">
        <f aca="false">MIN((EJ639+EJ640)*$C$5,$F$15)*'⑫ Roll-out Plan'!$O$68</f>
        <v>0</v>
      </c>
      <c r="EK1009" s="9" t="n">
        <f aca="false">MIN((EK639+EK640)*$C$5,$F$15)*'⑫ Roll-out Plan'!$O$68</f>
        <v>0</v>
      </c>
      <c r="EL1009" s="9" t="n">
        <f aca="false">MIN((EL639+EL640)*$C$5,$F$15)*'⑫ Roll-out Plan'!$O$68</f>
        <v>0</v>
      </c>
      <c r="EM1009" s="9" t="n">
        <f aca="false">MIN((EM639+EM640)*$C$5,$F$15)*'⑫ Roll-out Plan'!$O$68</f>
        <v>0</v>
      </c>
      <c r="EN1009" s="9" t="n">
        <f aca="false">MIN((EN639+EN640)*$C$5,$F$15)*'⑫ Roll-out Plan'!$O$68</f>
        <v>0</v>
      </c>
      <c r="EO1009" s="9" t="n">
        <f aca="false">MIN((EO639+EO640)*$C$5,$F$15)*'⑫ Roll-out Plan'!$O$68</f>
        <v>0</v>
      </c>
      <c r="EP1009" s="9" t="n">
        <f aca="false">MIN((EP639+EP640)*$C$5,$F$15)*'⑫ Roll-out Plan'!$O$68</f>
        <v>0</v>
      </c>
      <c r="EQ1009" s="9" t="n">
        <f aca="false">MIN((EQ639+EQ640)*$C$5,$F$15)*'⑫ Roll-out Plan'!$O$68</f>
        <v>0</v>
      </c>
      <c r="ER1009" s="9" t="n">
        <f aca="false">MIN((ER639+ER640)*$C$5,$F$15)*'⑫ Roll-out Plan'!$O$68</f>
        <v>0</v>
      </c>
      <c r="ES1009" s="9" t="n">
        <f aca="false">MIN((ES639+ES640)*$C$5,$F$15)*'⑫ Roll-out Plan'!$O$68</f>
        <v>0</v>
      </c>
      <c r="ET1009" s="9" t="n">
        <f aca="false">MIN((ET639+ET640)*$C$5,$F$15)*'⑫ Roll-out Plan'!$O$68</f>
        <v>0</v>
      </c>
      <c r="EU1009" s="9" t="n">
        <f aca="false">MIN((EU639+EU640)*$C$5,$F$15)*'⑫ Roll-out Plan'!$O$68</f>
        <v>0</v>
      </c>
      <c r="EV1009" s="9" t="n">
        <f aca="false">MIN((EV639+EV640)*$C$5,$F$15)*'⑫ Roll-out Plan'!$O$68</f>
        <v>0</v>
      </c>
      <c r="EW1009" s="9" t="n">
        <f aca="false">MIN((EW639+EW640)*$C$5,$F$15)*'⑫ Roll-out Plan'!$O$68</f>
        <v>0</v>
      </c>
      <c r="EX1009" s="9" t="n">
        <f aca="false">MIN((EX639+EX640)*$C$5,$F$15)*'⑫ Roll-out Plan'!$O$68</f>
        <v>0</v>
      </c>
      <c r="EY1009" s="9" t="n">
        <f aca="false">MIN((EY639+EY640)*$C$5,$F$15)*'⑫ Roll-out Plan'!$O$68</f>
        <v>0</v>
      </c>
      <c r="EZ1009" s="9" t="n">
        <f aca="false">MIN((EZ639+EZ640)*$C$5,$F$15)*'⑫ Roll-out Plan'!$O$68</f>
        <v>0</v>
      </c>
      <c r="FA1009" s="9" t="n">
        <f aca="false">MIN((FA639+FA640)*$C$5,$F$15)*'⑫ Roll-out Plan'!$O$68</f>
        <v>0</v>
      </c>
      <c r="FB1009" s="9" t="n">
        <f aca="false">MIN((FB639+FB640)*$C$5,$F$15)*'⑫ Roll-out Plan'!$O$68</f>
        <v>0</v>
      </c>
      <c r="FC1009" s="9" t="n">
        <f aca="false">MIN((FC639+FC640)*$C$5,$F$15)*'⑫ Roll-out Plan'!$O$68</f>
        <v>0</v>
      </c>
      <c r="FD1009" s="9" t="n">
        <f aca="false">MIN((FD639+FD640)*$C$5,$F$15)*'⑫ Roll-out Plan'!$O$68</f>
        <v>0</v>
      </c>
      <c r="FE1009" s="9" t="n">
        <f aca="false">MIN((FE639+FE640)*$C$5,$F$15)*'⑫ Roll-out Plan'!$O$68</f>
        <v>0</v>
      </c>
      <c r="FF1009" s="9" t="n">
        <f aca="false">MIN((FF639+FF640)*$C$5,$F$15)*'⑫ Roll-out Plan'!$O$68</f>
        <v>0</v>
      </c>
      <c r="FG1009" s="9" t="n">
        <f aca="false">MIN((FG639+FG640)*$C$5,$F$15)*'⑫ Roll-out Plan'!$O$68</f>
        <v>0</v>
      </c>
      <c r="FH1009" s="9" t="n">
        <f aca="false">MIN((FH639+FH640)*$C$5,$F$15)*'⑫ Roll-out Plan'!$O$68</f>
        <v>0</v>
      </c>
      <c r="FI1009" s="9" t="n">
        <f aca="false">MIN((FI639+FI640)*$C$5,$F$15)*'⑫ Roll-out Plan'!$O$68</f>
        <v>0</v>
      </c>
      <c r="FJ1009" s="9" t="n">
        <f aca="false">MIN((FJ639+FJ640)*$C$5,$F$15)*'⑫ Roll-out Plan'!$O$68</f>
        <v>0</v>
      </c>
      <c r="FK1009" s="9" t="n">
        <f aca="false">MIN((FK639+FK640)*$C$5,$F$15)*'⑫ Roll-out Plan'!$O$68</f>
        <v>0</v>
      </c>
      <c r="FL1009" s="9" t="n">
        <f aca="false">MIN((FL639+FL640)*$C$5,$F$15)*'⑫ Roll-out Plan'!$O$68</f>
        <v>0</v>
      </c>
      <c r="FM1009" s="9" t="n">
        <f aca="false">MIN((FM639+FM640)*$C$5,$F$15)*'⑫ Roll-out Plan'!$O$68</f>
        <v>0</v>
      </c>
      <c r="FN1009" s="9" t="n">
        <f aca="false">MIN((FN639+FN640)*$C$5,$F$15)*'⑫ Roll-out Plan'!$O$68</f>
        <v>0</v>
      </c>
      <c r="FO1009" s="9" t="n">
        <f aca="false">MIN((FO639+FO640)*$C$5,$F$15)*'⑫ Roll-out Plan'!$O$68</f>
        <v>0</v>
      </c>
      <c r="FP1009" s="9" t="n">
        <f aca="false">MIN((FP639+FP640)*$C$5,$F$15)*'⑫ Roll-out Plan'!$O$68</f>
        <v>0</v>
      </c>
    </row>
    <row r="1010" customFormat="false" ht="15" hidden="false" customHeight="false" outlineLevel="0" collapsed="false">
      <c r="B1010" s="9" t="s">
        <v>937</v>
      </c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 t="n">
        <f aca="false">MIN((AC649+AC650)*$C$5,$F$14)*'⑫ Roll-out Plan'!$O$69</f>
        <v>0</v>
      </c>
      <c r="AD1010" s="9" t="n">
        <f aca="false">MIN((AD649+AD650)*$C$5,$F$14)*'⑫ Roll-out Plan'!$O$69</f>
        <v>0</v>
      </c>
      <c r="AE1010" s="9" t="n">
        <f aca="false">MIN((AE649+AE650)*$C$5,$F$14)*'⑫ Roll-out Plan'!$O$69</f>
        <v>0</v>
      </c>
      <c r="AF1010" s="9" t="n">
        <f aca="false">MIN((AF649+AF650)*$C$5,$F$14)*'⑫ Roll-out Plan'!$O$69</f>
        <v>0</v>
      </c>
      <c r="AG1010" s="9" t="n">
        <f aca="false">MIN((AG649+AG650)*$C$5,$F$14)*'⑫ Roll-out Plan'!$O$69</f>
        <v>0</v>
      </c>
      <c r="AH1010" s="9" t="n">
        <f aca="false">MIN((AH649+AH650)*$C$5,$F$14)*'⑫ Roll-out Plan'!$O$69</f>
        <v>0</v>
      </c>
      <c r="AI1010" s="9" t="n">
        <f aca="false">MIN((AI649+AI650)*$C$5,$F$14)*'⑫ Roll-out Plan'!$O$69</f>
        <v>0</v>
      </c>
      <c r="AJ1010" s="9" t="n">
        <f aca="false">MIN((AJ649+AJ650)*$C$5,$F$14)*'⑫ Roll-out Plan'!$O$69</f>
        <v>0</v>
      </c>
      <c r="AK1010" s="9" t="n">
        <f aca="false">MIN((AK649+AK650)*$C$5,$F$14)*'⑫ Roll-out Plan'!$O$69</f>
        <v>0</v>
      </c>
      <c r="AL1010" s="9" t="n">
        <f aca="false">MIN((AL649+AL650)*$C$5,$F$14)*'⑫ Roll-out Plan'!$O$69</f>
        <v>0</v>
      </c>
      <c r="AM1010" s="9" t="n">
        <f aca="false">MIN((AM649+AM650)*$C$5,$F$14)*'⑫ Roll-out Plan'!$O$69</f>
        <v>0</v>
      </c>
      <c r="AN1010" s="9" t="n">
        <f aca="false">MIN((AN649+AN650)*$C$5,$F$14)*'⑫ Roll-out Plan'!$O$69</f>
        <v>0</v>
      </c>
      <c r="AO1010" s="9" t="n">
        <f aca="false">MIN((AO649+AO650)*$C$5,$F$14)*'⑫ Roll-out Plan'!$O$69</f>
        <v>0</v>
      </c>
      <c r="AP1010" s="9" t="n">
        <f aca="false">MIN((AP649+AP650)*$C$5,$F$14)*'⑫ Roll-out Plan'!$O$69</f>
        <v>0</v>
      </c>
      <c r="AQ1010" s="9" t="n">
        <f aca="false">MIN((AQ649+AQ650)*$C$5,$F$14)*'⑫ Roll-out Plan'!$O$69</f>
        <v>0</v>
      </c>
      <c r="AR1010" s="9" t="n">
        <f aca="false">MIN((AR649+AR650)*$C$5,$F$14)*'⑫ Roll-out Plan'!$O$69</f>
        <v>0</v>
      </c>
      <c r="AS1010" s="9" t="n">
        <f aca="false">MIN((AS649+AS650)*$C$5,$F$14)*'⑫ Roll-out Plan'!$O$69</f>
        <v>0</v>
      </c>
      <c r="AT1010" s="9" t="n">
        <f aca="false">MIN((AT649+AT650)*$C$5,$F$14)*'⑫ Roll-out Plan'!$O$69</f>
        <v>0</v>
      </c>
      <c r="AU1010" s="9" t="n">
        <f aca="false">MIN((AU649+AU650)*$C$5,$F$14)*'⑫ Roll-out Plan'!$O$69</f>
        <v>0</v>
      </c>
      <c r="AV1010" s="9" t="n">
        <f aca="false">MIN((AV649+AV650)*$C$5,$F$14)*'⑫ Roll-out Plan'!$O$69</f>
        <v>0</v>
      </c>
      <c r="AW1010" s="9" t="n">
        <f aca="false">MIN((AW649+AW650)*$C$5,$F$14)*'⑫ Roll-out Plan'!$O$69</f>
        <v>0</v>
      </c>
      <c r="AX1010" s="9" t="n">
        <f aca="false">MIN((AX649+AX650)*$C$5,$F$14)*'⑫ Roll-out Plan'!$O$69</f>
        <v>0</v>
      </c>
      <c r="AY1010" s="9" t="n">
        <f aca="false">MIN((AY649+AY650)*$C$5,$F$14)*'⑫ Roll-out Plan'!$O$69</f>
        <v>0</v>
      </c>
      <c r="AZ1010" s="9" t="n">
        <f aca="false">MIN((AZ649+AZ650)*$C$5,$F$14)*'⑫ Roll-out Plan'!$O$69</f>
        <v>0</v>
      </c>
      <c r="BA1010" s="9" t="n">
        <f aca="false">MIN((BA649+BA650)*$C$5,$F$14)*'⑫ Roll-out Plan'!$O$69</f>
        <v>0</v>
      </c>
      <c r="BB1010" s="9" t="n">
        <f aca="false">MIN((BB649+BB650)*$C$5,$F$14)*'⑫ Roll-out Plan'!$O$69</f>
        <v>0</v>
      </c>
      <c r="BC1010" s="9" t="n">
        <f aca="false">MIN((BC649+BC650)*$C$5,$F$14)*'⑫ Roll-out Plan'!$O$69</f>
        <v>0</v>
      </c>
      <c r="BD1010" s="9" t="n">
        <f aca="false">MIN((BD649+BD650)*$C$5,$F$14)*'⑫ Roll-out Plan'!$O$69</f>
        <v>0</v>
      </c>
      <c r="BE1010" s="9" t="n">
        <f aca="false">MIN((BE649+BE650)*$C$5,$F$14)*'⑫ Roll-out Plan'!$O$69</f>
        <v>0</v>
      </c>
      <c r="BF1010" s="9" t="n">
        <f aca="false">MIN((BF649+BF650)*$C$5,$F$14)*'⑫ Roll-out Plan'!$O$69</f>
        <v>0</v>
      </c>
      <c r="BG1010" s="9" t="n">
        <f aca="false">MIN((BG649+BG650)*$C$5,$F$14)*'⑫ Roll-out Plan'!$O$69</f>
        <v>0</v>
      </c>
      <c r="BH1010" s="9" t="n">
        <f aca="false">MIN((BH649+BH650)*$C$5,$F$14)*'⑫ Roll-out Plan'!$O$69</f>
        <v>0</v>
      </c>
      <c r="BI1010" s="9" t="n">
        <f aca="false">MIN((BI649+BI650)*$C$5,$F$14)*'⑫ Roll-out Plan'!$O$69</f>
        <v>0</v>
      </c>
      <c r="BJ1010" s="9" t="n">
        <f aca="false">MIN((BJ649+BJ650)*$C$5,$F$14)*'⑫ Roll-out Plan'!$O$69</f>
        <v>0</v>
      </c>
      <c r="BK1010" s="9" t="n">
        <f aca="false">MIN((BK649+BK650)*$C$5,$F$14)*'⑫ Roll-out Plan'!$O$69</f>
        <v>0</v>
      </c>
      <c r="BL1010" s="9" t="n">
        <f aca="false">MIN((BL649+BL650)*$C$5,$F$14)*'⑫ Roll-out Plan'!$O$69</f>
        <v>0</v>
      </c>
      <c r="BM1010" s="9" t="n">
        <f aca="false">MIN((BM649+BM650)*$C$5,$F$14)*'⑫ Roll-out Plan'!$O$69</f>
        <v>0</v>
      </c>
      <c r="BN1010" s="9" t="n">
        <f aca="false">MIN((BN649+BN650)*$C$5,$F$14)*'⑫ Roll-out Plan'!$O$69</f>
        <v>0</v>
      </c>
      <c r="BO1010" s="9" t="n">
        <f aca="false">MIN((BO649+BO650)*$C$5,$F$14)*'⑫ Roll-out Plan'!$O$69</f>
        <v>0</v>
      </c>
      <c r="BP1010" s="9" t="n">
        <f aca="false">MIN((BP649+BP650)*$C$5,$F$14)*'⑫ Roll-out Plan'!$O$69</f>
        <v>0</v>
      </c>
      <c r="BQ1010" s="9" t="n">
        <f aca="false">MIN((BQ649+BQ650)*$C$5,$F$14)*'⑫ Roll-out Plan'!$O$69</f>
        <v>0</v>
      </c>
      <c r="BR1010" s="9" t="n">
        <f aca="false">MIN((BR649+BR650)*$C$5,$F$14)*'⑫ Roll-out Plan'!$O$69</f>
        <v>0</v>
      </c>
      <c r="BS1010" s="9" t="n">
        <f aca="false">MIN((BS649+BS650)*$C$5,$F$14)*'⑫ Roll-out Plan'!$O$69</f>
        <v>0</v>
      </c>
      <c r="BT1010" s="9" t="n">
        <f aca="false">MIN((BT649+BT650)*$C$5,$F$14)*'⑫ Roll-out Plan'!$O$69</f>
        <v>0</v>
      </c>
      <c r="BU1010" s="9" t="n">
        <f aca="false">MIN((BU649+BU650)*$C$5,$F$14)*'⑫ Roll-out Plan'!$O$69</f>
        <v>0</v>
      </c>
      <c r="BV1010" s="9" t="n">
        <f aca="false">MIN((BV649+BV650)*$C$5,$F$14)*'⑫ Roll-out Plan'!$O$69</f>
        <v>0</v>
      </c>
      <c r="BW1010" s="9" t="n">
        <f aca="false">MIN((BW649+BW650)*$C$5,$F$14)*'⑫ Roll-out Plan'!$O$69</f>
        <v>0</v>
      </c>
      <c r="BX1010" s="9" t="n">
        <f aca="false">MIN((BX649+BX650)*$C$5,$F$14)*'⑫ Roll-out Plan'!$O$69</f>
        <v>0</v>
      </c>
      <c r="BY1010" s="9" t="n">
        <f aca="false">MIN((BY649+BY650)*$C$5,$F$14)*'⑫ Roll-out Plan'!$O$69</f>
        <v>0</v>
      </c>
      <c r="BZ1010" s="9" t="n">
        <f aca="false">MIN((BZ649+BZ650)*$C$5,$F$14)*'⑫ Roll-out Plan'!$O$69</f>
        <v>0</v>
      </c>
      <c r="CA1010" s="9" t="n">
        <f aca="false">MIN((CA649+CA650)*$C$5,$F$14)*'⑫ Roll-out Plan'!$O$69</f>
        <v>0</v>
      </c>
      <c r="CB1010" s="9" t="n">
        <f aca="false">MIN((CB649+CB650)*$C$5,$F$14)*'⑫ Roll-out Plan'!$O$69</f>
        <v>0</v>
      </c>
      <c r="CC1010" s="9" t="n">
        <f aca="false">MIN((CC649+CC650)*$C$5,$F$14)*'⑫ Roll-out Plan'!$O$69</f>
        <v>0</v>
      </c>
      <c r="CD1010" s="9" t="n">
        <f aca="false">MIN((CD649+CD650)*$C$5,$F$14)*'⑫ Roll-out Plan'!$O$69</f>
        <v>0</v>
      </c>
      <c r="CE1010" s="9" t="n">
        <f aca="false">MIN((CE649+CE650)*$C$5,$F$14)*'⑫ Roll-out Plan'!$O$69</f>
        <v>0</v>
      </c>
      <c r="CF1010" s="9" t="n">
        <f aca="false">MIN((CF649+CF650)*$C$5,$F$14)*'⑫ Roll-out Plan'!$O$69</f>
        <v>0</v>
      </c>
      <c r="CG1010" s="9" t="n">
        <f aca="false">MIN((CG649+CG650)*$C$5,$F$14)*'⑫ Roll-out Plan'!$O$69</f>
        <v>0</v>
      </c>
      <c r="CH1010" s="9" t="n">
        <f aca="false">MIN((CH649+CH650)*$C$5,$F$14)*'⑫ Roll-out Plan'!$O$69</f>
        <v>0</v>
      </c>
      <c r="CI1010" s="9" t="n">
        <f aca="false">MIN((CI649+CI650)*$C$5,$F$14)*'⑫ Roll-out Plan'!$O$69</f>
        <v>0</v>
      </c>
      <c r="CJ1010" s="9" t="n">
        <f aca="false">MIN((CJ649+CJ650)*$C$5,$F$14)*'⑫ Roll-out Plan'!$O$69</f>
        <v>0</v>
      </c>
      <c r="CK1010" s="9" t="n">
        <f aca="false">MIN((CK649+CK650)*$C$5,$F$14)*'⑫ Roll-out Plan'!$O$69</f>
        <v>0</v>
      </c>
      <c r="CL1010" s="9" t="n">
        <f aca="false">MIN((CL649+CL650)*$C$5,$F$14)*'⑫ Roll-out Plan'!$O$69</f>
        <v>0</v>
      </c>
      <c r="CM1010" s="9" t="n">
        <f aca="false">MIN((CM649+CM650)*$C$5,$F$14)*'⑫ Roll-out Plan'!$O$69</f>
        <v>0</v>
      </c>
      <c r="CN1010" s="9" t="n">
        <f aca="false">MIN((CN649+CN650)*$C$5,$F$14)*'⑫ Roll-out Plan'!$O$69</f>
        <v>0</v>
      </c>
      <c r="CO1010" s="9" t="n">
        <f aca="false">MIN((CO649+CO650)*$C$5,$F$14)*'⑫ Roll-out Plan'!$O$69</f>
        <v>0</v>
      </c>
      <c r="CP1010" s="9" t="n">
        <f aca="false">MIN((CP649+CP650)*$C$5,$F$14)*'⑫ Roll-out Plan'!$O$69</f>
        <v>0</v>
      </c>
      <c r="CQ1010" s="9" t="n">
        <f aca="false">MIN((CQ649+CQ650)*$C$5,$F$14)*'⑫ Roll-out Plan'!$O$69</f>
        <v>0</v>
      </c>
      <c r="CR1010" s="9" t="n">
        <f aca="false">MIN((CR649+CR650)*$C$5,$F$14)*'⑫ Roll-out Plan'!$O$69</f>
        <v>0</v>
      </c>
      <c r="CS1010" s="9" t="n">
        <f aca="false">MIN((CS649+CS650)*$C$5,$F$14)*'⑫ Roll-out Plan'!$O$69</f>
        <v>0</v>
      </c>
      <c r="CT1010" s="9" t="n">
        <f aca="false">MIN((CT649+CT650)*$C$5,$F$14)*'⑫ Roll-out Plan'!$O$69</f>
        <v>0</v>
      </c>
      <c r="CU1010" s="9" t="n">
        <f aca="false">MIN((CU649+CU650)*$C$5,$F$14)*'⑫ Roll-out Plan'!$O$69</f>
        <v>0</v>
      </c>
      <c r="CV1010" s="9" t="n">
        <f aca="false">MIN((CV649+CV650)*$C$5,$F$14)*'⑫ Roll-out Plan'!$O$69</f>
        <v>0</v>
      </c>
      <c r="CW1010" s="9" t="n">
        <f aca="false">MIN((CW649+CW650)*$C$5,$F$14)*'⑫ Roll-out Plan'!$O$69</f>
        <v>0</v>
      </c>
      <c r="CX1010" s="9" t="n">
        <f aca="false">MIN((CX649+CX650)*$C$5,$F$14)*'⑫ Roll-out Plan'!$O$69</f>
        <v>0</v>
      </c>
      <c r="CY1010" s="9" t="n">
        <f aca="false">MIN((CY649+CY650)*$C$5,$F$14)*'⑫ Roll-out Plan'!$O$69</f>
        <v>0</v>
      </c>
      <c r="CZ1010" s="9" t="n">
        <f aca="false">MIN((CZ649+CZ650)*$C$5,$F$14)*'⑫ Roll-out Plan'!$O$69</f>
        <v>0</v>
      </c>
      <c r="DA1010" s="9" t="n">
        <f aca="false">MIN((DA649+DA650)*$C$5,$F$14)*'⑫ Roll-out Plan'!$O$69</f>
        <v>0</v>
      </c>
      <c r="DB1010" s="9" t="n">
        <f aca="false">MIN((DB649+DB650)*$C$5,$F$14)*'⑫ Roll-out Plan'!$O$69</f>
        <v>0</v>
      </c>
      <c r="DC1010" s="9" t="n">
        <f aca="false">MIN((DC649+DC650)*$C$5,$F$14)*'⑫ Roll-out Plan'!$O$69</f>
        <v>0</v>
      </c>
      <c r="DD1010" s="9" t="n">
        <f aca="false">MIN((DD649+DD650)*$C$5,$F$14)*'⑫ Roll-out Plan'!$O$69</f>
        <v>0</v>
      </c>
      <c r="DE1010" s="9" t="n">
        <f aca="false">MIN((DE649+DE650)*$C$5,$F$14)*'⑫ Roll-out Plan'!$O$69</f>
        <v>0</v>
      </c>
      <c r="DF1010" s="9" t="n">
        <f aca="false">MIN((DF649+DF650)*$C$5,$F$14)*'⑫ Roll-out Plan'!$O$69</f>
        <v>0</v>
      </c>
      <c r="DG1010" s="9" t="n">
        <f aca="false">MIN((DG649+DG650)*$C$5,$F$14)*'⑫ Roll-out Plan'!$O$69</f>
        <v>0</v>
      </c>
      <c r="DH1010" s="9" t="n">
        <f aca="false">MIN((DH649+DH650)*$C$5,$F$14)*'⑫ Roll-out Plan'!$O$69</f>
        <v>0</v>
      </c>
      <c r="DI1010" s="9" t="n">
        <f aca="false">MIN((DI649+DI650)*$C$5,$F$14)*'⑫ Roll-out Plan'!$O$69</f>
        <v>0</v>
      </c>
      <c r="DJ1010" s="9" t="n">
        <f aca="false">MIN((DJ649+DJ650)*$C$5,$F$14)*'⑫ Roll-out Plan'!$O$69</f>
        <v>0</v>
      </c>
      <c r="DK1010" s="9" t="n">
        <f aca="false">MIN((DK649+DK650)*$C$5,$F$14)*'⑫ Roll-out Plan'!$O$69</f>
        <v>0</v>
      </c>
      <c r="DL1010" s="9" t="n">
        <f aca="false">MIN((DL649+DL650)*$C$5,$F$14)*'⑫ Roll-out Plan'!$O$69</f>
        <v>0</v>
      </c>
      <c r="DM1010" s="9" t="n">
        <f aca="false">MIN((DM649+DM650)*$C$5,$F$14)*'⑫ Roll-out Plan'!$O$69</f>
        <v>0</v>
      </c>
      <c r="DN1010" s="9" t="n">
        <f aca="false">MIN((DN649+DN650)*$C$5,$F$14)*'⑫ Roll-out Plan'!$O$69</f>
        <v>0</v>
      </c>
      <c r="DO1010" s="9" t="n">
        <f aca="false">MIN((DO649+DO650)*$C$5,$F$14)*'⑫ Roll-out Plan'!$O$69</f>
        <v>0</v>
      </c>
      <c r="DP1010" s="9" t="n">
        <f aca="false">MIN((DP649+DP650)*$C$5,$F$14)*'⑫ Roll-out Plan'!$O$69</f>
        <v>0</v>
      </c>
      <c r="DQ1010" s="9" t="n">
        <f aca="false">MIN((DQ649+DQ650)*$C$5,$F$14)*'⑫ Roll-out Plan'!$O$69</f>
        <v>0</v>
      </c>
      <c r="DR1010" s="9" t="n">
        <f aca="false">MIN((DR649+DR650)*$C$5,$F$14)*'⑫ Roll-out Plan'!$O$69</f>
        <v>0</v>
      </c>
      <c r="DS1010" s="9" t="n">
        <f aca="false">MIN((DS649+DS650)*$C$5,$F$14)*'⑫ Roll-out Plan'!$O$69</f>
        <v>0</v>
      </c>
      <c r="DT1010" s="9" t="n">
        <f aca="false">MIN((DT649+DT650)*$C$5,$F$14)*'⑫ Roll-out Plan'!$O$69</f>
        <v>0</v>
      </c>
      <c r="DU1010" s="9" t="n">
        <f aca="false">MIN((DU649+DU650)*$C$5,$F$14)*'⑫ Roll-out Plan'!$O$69</f>
        <v>0</v>
      </c>
      <c r="DV1010" s="9" t="n">
        <f aca="false">MIN((DV649+DV650)*$C$5,$F$14)*'⑫ Roll-out Plan'!$O$69</f>
        <v>0</v>
      </c>
      <c r="DW1010" s="9" t="n">
        <f aca="false">MIN((DW649+DW650)*$C$5,$F$14)*'⑫ Roll-out Plan'!$O$69</f>
        <v>0</v>
      </c>
      <c r="DX1010" s="9" t="n">
        <f aca="false">MIN((DX649+DX650)*$C$5,$F$14)*'⑫ Roll-out Plan'!$O$69</f>
        <v>0</v>
      </c>
      <c r="DY1010" s="9" t="n">
        <f aca="false">MIN((DY649+DY650)*$C$5,$F$14)*'⑫ Roll-out Plan'!$O$69</f>
        <v>0</v>
      </c>
      <c r="DZ1010" s="9" t="n">
        <f aca="false">MIN((DZ649+DZ650)*$C$5,$F$14)*'⑫ Roll-out Plan'!$O$69</f>
        <v>0</v>
      </c>
      <c r="EA1010" s="9" t="n">
        <f aca="false">MIN((EA649+EA650)*$C$5,$F$14)*'⑫ Roll-out Plan'!$O$69</f>
        <v>0</v>
      </c>
      <c r="EB1010" s="9" t="n">
        <f aca="false">MIN((EB649+EB650)*$C$5,$F$14)*'⑫ Roll-out Plan'!$O$69</f>
        <v>0</v>
      </c>
      <c r="EC1010" s="9" t="n">
        <f aca="false">MIN((EC649+EC650)*$C$5,$F$14)*'⑫ Roll-out Plan'!$O$69</f>
        <v>0</v>
      </c>
      <c r="ED1010" s="9" t="n">
        <f aca="false">MIN((ED649+ED650)*$C$5,$F$14)*'⑫ Roll-out Plan'!$O$69</f>
        <v>0</v>
      </c>
      <c r="EE1010" s="9" t="n">
        <f aca="false">MIN((EE649+EE650)*$C$5,$F$14)*'⑫ Roll-out Plan'!$O$69</f>
        <v>0</v>
      </c>
      <c r="EF1010" s="9" t="n">
        <f aca="false">MIN((EF649+EF650)*$C$5,$F$14)*'⑫ Roll-out Plan'!$O$69</f>
        <v>0</v>
      </c>
      <c r="EG1010" s="9" t="n">
        <f aca="false">MIN((EG649+EG650)*$C$5,$F$14)*'⑫ Roll-out Plan'!$O$69</f>
        <v>0</v>
      </c>
      <c r="EH1010" s="9" t="n">
        <f aca="false">MIN((EH649+EH650)*$C$5,$F$14)*'⑫ Roll-out Plan'!$O$69</f>
        <v>0</v>
      </c>
      <c r="EI1010" s="9" t="n">
        <f aca="false">MIN((EI649+EI650)*$C$5,$F$14)*'⑫ Roll-out Plan'!$O$69</f>
        <v>0</v>
      </c>
      <c r="EJ1010" s="9" t="n">
        <f aca="false">MIN((EJ649+EJ650)*$C$5,$F$14)*'⑫ Roll-out Plan'!$O$69</f>
        <v>0</v>
      </c>
      <c r="EK1010" s="9" t="n">
        <f aca="false">MIN((EK649+EK650)*$C$5,$F$14)*'⑫ Roll-out Plan'!$O$69</f>
        <v>0</v>
      </c>
      <c r="EL1010" s="9" t="n">
        <f aca="false">MIN((EL649+EL650)*$C$5,$F$14)*'⑫ Roll-out Plan'!$O$69</f>
        <v>0</v>
      </c>
      <c r="EM1010" s="9" t="n">
        <f aca="false">MIN((EM649+EM650)*$C$5,$F$14)*'⑫ Roll-out Plan'!$O$69</f>
        <v>0</v>
      </c>
      <c r="EN1010" s="9" t="n">
        <f aca="false">MIN((EN649+EN650)*$C$5,$F$14)*'⑫ Roll-out Plan'!$O$69</f>
        <v>0</v>
      </c>
      <c r="EO1010" s="9" t="n">
        <f aca="false">MIN((EO649+EO650)*$C$5,$F$14)*'⑫ Roll-out Plan'!$O$69</f>
        <v>0</v>
      </c>
      <c r="EP1010" s="9" t="n">
        <f aca="false">MIN((EP649+EP650)*$C$5,$F$14)*'⑫ Roll-out Plan'!$O$69</f>
        <v>0</v>
      </c>
      <c r="EQ1010" s="9" t="n">
        <f aca="false">MIN((EQ649+EQ650)*$C$5,$F$14)*'⑫ Roll-out Plan'!$O$69</f>
        <v>0</v>
      </c>
      <c r="ER1010" s="9" t="n">
        <f aca="false">MIN((ER649+ER650)*$C$5,$F$14)*'⑫ Roll-out Plan'!$O$69</f>
        <v>0</v>
      </c>
      <c r="ES1010" s="9" t="n">
        <f aca="false">MIN((ES649+ES650)*$C$5,$F$14)*'⑫ Roll-out Plan'!$O$69</f>
        <v>0</v>
      </c>
      <c r="ET1010" s="9" t="n">
        <f aca="false">MIN((ET649+ET650)*$C$5,$F$14)*'⑫ Roll-out Plan'!$O$69</f>
        <v>0</v>
      </c>
      <c r="EU1010" s="9" t="n">
        <f aca="false">MIN((EU649+EU650)*$C$5,$F$14)*'⑫ Roll-out Plan'!$O$69</f>
        <v>0</v>
      </c>
      <c r="EV1010" s="9" t="n">
        <f aca="false">MIN((EV649+EV650)*$C$5,$F$14)*'⑫ Roll-out Plan'!$O$69</f>
        <v>0</v>
      </c>
      <c r="EW1010" s="9" t="n">
        <f aca="false">MIN((EW649+EW650)*$C$5,$F$14)*'⑫ Roll-out Plan'!$O$69</f>
        <v>0</v>
      </c>
      <c r="EX1010" s="9" t="n">
        <f aca="false">MIN((EX649+EX650)*$C$5,$F$14)*'⑫ Roll-out Plan'!$O$69</f>
        <v>0</v>
      </c>
      <c r="EY1010" s="9" t="n">
        <f aca="false">MIN((EY649+EY650)*$C$5,$F$14)*'⑫ Roll-out Plan'!$O$69</f>
        <v>0</v>
      </c>
      <c r="EZ1010" s="9" t="n">
        <f aca="false">MIN((EZ649+EZ650)*$C$5,$F$14)*'⑫ Roll-out Plan'!$O$69</f>
        <v>0</v>
      </c>
      <c r="FA1010" s="9" t="n">
        <f aca="false">MIN((FA649+FA650)*$C$5,$F$14)*'⑫ Roll-out Plan'!$O$69</f>
        <v>0</v>
      </c>
      <c r="FB1010" s="9" t="n">
        <f aca="false">MIN((FB649+FB650)*$C$5,$F$14)*'⑫ Roll-out Plan'!$O$69</f>
        <v>0</v>
      </c>
      <c r="FC1010" s="9" t="n">
        <f aca="false">MIN((FC649+FC650)*$C$5,$F$14)*'⑫ Roll-out Plan'!$O$69</f>
        <v>0</v>
      </c>
      <c r="FD1010" s="9" t="n">
        <f aca="false">MIN((FD649+FD650)*$C$5,$F$14)*'⑫ Roll-out Plan'!$O$69</f>
        <v>0</v>
      </c>
      <c r="FE1010" s="9" t="n">
        <f aca="false">MIN((FE649+FE650)*$C$5,$F$14)*'⑫ Roll-out Plan'!$O$69</f>
        <v>0</v>
      </c>
      <c r="FF1010" s="9" t="n">
        <f aca="false">MIN((FF649+FF650)*$C$5,$F$14)*'⑫ Roll-out Plan'!$O$69</f>
        <v>0</v>
      </c>
      <c r="FG1010" s="9" t="n">
        <f aca="false">MIN((FG649+FG650)*$C$5,$F$14)*'⑫ Roll-out Plan'!$O$69</f>
        <v>0</v>
      </c>
      <c r="FH1010" s="9" t="n">
        <f aca="false">MIN((FH649+FH650)*$C$5,$F$14)*'⑫ Roll-out Plan'!$O$69</f>
        <v>0</v>
      </c>
      <c r="FI1010" s="9" t="n">
        <f aca="false">MIN((FI649+FI650)*$C$5,$F$14)*'⑫ Roll-out Plan'!$O$69</f>
        <v>0</v>
      </c>
      <c r="FJ1010" s="9" t="n">
        <f aca="false">MIN((FJ649+FJ650)*$C$5,$F$14)*'⑫ Roll-out Plan'!$O$69</f>
        <v>0</v>
      </c>
      <c r="FK1010" s="9" t="n">
        <f aca="false">MIN((FK649+FK650)*$C$5,$F$14)*'⑫ Roll-out Plan'!$O$69</f>
        <v>0</v>
      </c>
      <c r="FL1010" s="9" t="n">
        <f aca="false">MIN((FL649+FL650)*$C$5,$F$14)*'⑫ Roll-out Plan'!$O$69</f>
        <v>0</v>
      </c>
      <c r="FM1010" s="9" t="n">
        <f aca="false">MIN((FM649+FM650)*$C$5,$F$14)*'⑫ Roll-out Plan'!$O$69</f>
        <v>0</v>
      </c>
      <c r="FN1010" s="9" t="n">
        <f aca="false">MIN((FN649+FN650)*$C$5,$F$14)*'⑫ Roll-out Plan'!$O$69</f>
        <v>0</v>
      </c>
      <c r="FO1010" s="9" t="n">
        <f aca="false">MIN((FO649+FO650)*$C$5,$F$14)*'⑫ Roll-out Plan'!$O$69</f>
        <v>0</v>
      </c>
      <c r="FP1010" s="9" t="n">
        <f aca="false">MIN((FP649+FP650)*$C$5,$F$14)*'⑫ Roll-out Plan'!$O$69</f>
        <v>0</v>
      </c>
    </row>
    <row r="1011" customFormat="false" ht="15" hidden="false" customHeight="false" outlineLevel="0" collapsed="false">
      <c r="B1011" s="9" t="s">
        <v>938</v>
      </c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 t="n">
        <f aca="false">MIN((AC659+AC660)*$C$5,$F$15)*'⑫ Roll-out Plan'!$O$70</f>
        <v>0</v>
      </c>
      <c r="AD1011" s="9" t="n">
        <f aca="false">MIN((AD659+AD660)*$C$5,$F$15)*'⑫ Roll-out Plan'!$O$70</f>
        <v>0</v>
      </c>
      <c r="AE1011" s="9" t="n">
        <f aca="false">MIN((AE659+AE660)*$C$5,$F$15)*'⑫ Roll-out Plan'!$O$70</f>
        <v>0</v>
      </c>
      <c r="AF1011" s="9" t="n">
        <f aca="false">MIN((AF659+AF660)*$C$5,$F$15)*'⑫ Roll-out Plan'!$O$70</f>
        <v>0</v>
      </c>
      <c r="AG1011" s="9" t="n">
        <f aca="false">MIN((AG659+AG660)*$C$5,$F$15)*'⑫ Roll-out Plan'!$O$70</f>
        <v>0</v>
      </c>
      <c r="AH1011" s="9" t="n">
        <f aca="false">MIN((AH659+AH660)*$C$5,$F$15)*'⑫ Roll-out Plan'!$O$70</f>
        <v>0</v>
      </c>
      <c r="AI1011" s="9" t="n">
        <f aca="false">MIN((AI659+AI660)*$C$5,$F$15)*'⑫ Roll-out Plan'!$O$70</f>
        <v>0</v>
      </c>
      <c r="AJ1011" s="9" t="n">
        <f aca="false">MIN((AJ659+AJ660)*$C$5,$F$15)*'⑫ Roll-out Plan'!$O$70</f>
        <v>0</v>
      </c>
      <c r="AK1011" s="9" t="n">
        <f aca="false">MIN((AK659+AK660)*$C$5,$F$15)*'⑫ Roll-out Plan'!$O$70</f>
        <v>0</v>
      </c>
      <c r="AL1011" s="9" t="n">
        <f aca="false">MIN((AL659+AL660)*$C$5,$F$15)*'⑫ Roll-out Plan'!$O$70</f>
        <v>0</v>
      </c>
      <c r="AM1011" s="9" t="n">
        <f aca="false">MIN((AM659+AM660)*$C$5,$F$15)*'⑫ Roll-out Plan'!$O$70</f>
        <v>0</v>
      </c>
      <c r="AN1011" s="9" t="n">
        <f aca="false">MIN((AN659+AN660)*$C$5,$F$15)*'⑫ Roll-out Plan'!$O$70</f>
        <v>0</v>
      </c>
      <c r="AO1011" s="9" t="n">
        <f aca="false">MIN((AO659+AO660)*$C$5,$F$15)*'⑫ Roll-out Plan'!$O$70</f>
        <v>0</v>
      </c>
      <c r="AP1011" s="9" t="n">
        <f aca="false">MIN((AP659+AP660)*$C$5,$F$15)*'⑫ Roll-out Plan'!$O$70</f>
        <v>0</v>
      </c>
      <c r="AQ1011" s="9" t="n">
        <f aca="false">MIN((AQ659+AQ660)*$C$5,$F$15)*'⑫ Roll-out Plan'!$O$70</f>
        <v>0</v>
      </c>
      <c r="AR1011" s="9" t="n">
        <f aca="false">MIN((AR659+AR660)*$C$5,$F$15)*'⑫ Roll-out Plan'!$O$70</f>
        <v>0</v>
      </c>
      <c r="AS1011" s="9" t="n">
        <f aca="false">MIN((AS659+AS660)*$C$5,$F$15)*'⑫ Roll-out Plan'!$O$70</f>
        <v>0</v>
      </c>
      <c r="AT1011" s="9" t="n">
        <f aca="false">MIN((AT659+AT660)*$C$5,$F$15)*'⑫ Roll-out Plan'!$O$70</f>
        <v>0</v>
      </c>
      <c r="AU1011" s="9" t="n">
        <f aca="false">MIN((AU659+AU660)*$C$5,$F$15)*'⑫ Roll-out Plan'!$O$70</f>
        <v>0</v>
      </c>
      <c r="AV1011" s="9" t="n">
        <f aca="false">MIN((AV659+AV660)*$C$5,$F$15)*'⑫ Roll-out Plan'!$O$70</f>
        <v>0</v>
      </c>
      <c r="AW1011" s="9" t="n">
        <f aca="false">MIN((AW659+AW660)*$C$5,$F$15)*'⑫ Roll-out Plan'!$O$70</f>
        <v>0</v>
      </c>
      <c r="AX1011" s="9" t="n">
        <f aca="false">MIN((AX659+AX660)*$C$5,$F$15)*'⑫ Roll-out Plan'!$O$70</f>
        <v>0</v>
      </c>
      <c r="AY1011" s="9" t="n">
        <f aca="false">MIN((AY659+AY660)*$C$5,$F$15)*'⑫ Roll-out Plan'!$O$70</f>
        <v>0</v>
      </c>
      <c r="AZ1011" s="9" t="n">
        <f aca="false">MIN((AZ659+AZ660)*$C$5,$F$15)*'⑫ Roll-out Plan'!$O$70</f>
        <v>0</v>
      </c>
      <c r="BA1011" s="9" t="n">
        <f aca="false">MIN((BA659+BA660)*$C$5,$F$15)*'⑫ Roll-out Plan'!$O$70</f>
        <v>0</v>
      </c>
      <c r="BB1011" s="9" t="n">
        <f aca="false">MIN((BB659+BB660)*$C$5,$F$15)*'⑫ Roll-out Plan'!$O$70</f>
        <v>0</v>
      </c>
      <c r="BC1011" s="9" t="n">
        <f aca="false">MIN((BC659+BC660)*$C$5,$F$15)*'⑫ Roll-out Plan'!$O$70</f>
        <v>0</v>
      </c>
      <c r="BD1011" s="9" t="n">
        <f aca="false">MIN((BD659+BD660)*$C$5,$F$15)*'⑫ Roll-out Plan'!$O$70</f>
        <v>0</v>
      </c>
      <c r="BE1011" s="9" t="n">
        <f aca="false">MIN((BE659+BE660)*$C$5,$F$15)*'⑫ Roll-out Plan'!$O$70</f>
        <v>0</v>
      </c>
      <c r="BF1011" s="9" t="n">
        <f aca="false">MIN((BF659+BF660)*$C$5,$F$15)*'⑫ Roll-out Plan'!$O$70</f>
        <v>0</v>
      </c>
      <c r="BG1011" s="9" t="n">
        <f aca="false">MIN((BG659+BG660)*$C$5,$F$15)*'⑫ Roll-out Plan'!$O$70</f>
        <v>0</v>
      </c>
      <c r="BH1011" s="9" t="n">
        <f aca="false">MIN((BH659+BH660)*$C$5,$F$15)*'⑫ Roll-out Plan'!$O$70</f>
        <v>0</v>
      </c>
      <c r="BI1011" s="9" t="n">
        <f aca="false">MIN((BI659+BI660)*$C$5,$F$15)*'⑫ Roll-out Plan'!$O$70</f>
        <v>0</v>
      </c>
      <c r="BJ1011" s="9" t="n">
        <f aca="false">MIN((BJ659+BJ660)*$C$5,$F$15)*'⑫ Roll-out Plan'!$O$70</f>
        <v>0</v>
      </c>
      <c r="BK1011" s="9" t="n">
        <f aca="false">MIN((BK659+BK660)*$C$5,$F$15)*'⑫ Roll-out Plan'!$O$70</f>
        <v>0</v>
      </c>
      <c r="BL1011" s="9" t="n">
        <f aca="false">MIN((BL659+BL660)*$C$5,$F$15)*'⑫ Roll-out Plan'!$O$70</f>
        <v>0</v>
      </c>
      <c r="BM1011" s="9" t="n">
        <f aca="false">MIN((BM659+BM660)*$C$5,$F$15)*'⑫ Roll-out Plan'!$O$70</f>
        <v>0</v>
      </c>
      <c r="BN1011" s="9" t="n">
        <f aca="false">MIN((BN659+BN660)*$C$5,$F$15)*'⑫ Roll-out Plan'!$O$70</f>
        <v>0</v>
      </c>
      <c r="BO1011" s="9" t="n">
        <f aca="false">MIN((BO659+BO660)*$C$5,$F$15)*'⑫ Roll-out Plan'!$O$70</f>
        <v>0</v>
      </c>
      <c r="BP1011" s="9" t="n">
        <f aca="false">MIN((BP659+BP660)*$C$5,$F$15)*'⑫ Roll-out Plan'!$O$70</f>
        <v>0</v>
      </c>
      <c r="BQ1011" s="9" t="n">
        <f aca="false">MIN((BQ659+BQ660)*$C$5,$F$15)*'⑫ Roll-out Plan'!$O$70</f>
        <v>0</v>
      </c>
      <c r="BR1011" s="9" t="n">
        <f aca="false">MIN((BR659+BR660)*$C$5,$F$15)*'⑫ Roll-out Plan'!$O$70</f>
        <v>0</v>
      </c>
      <c r="BS1011" s="9" t="n">
        <f aca="false">MIN((BS659+BS660)*$C$5,$F$15)*'⑫ Roll-out Plan'!$O$70</f>
        <v>0</v>
      </c>
      <c r="BT1011" s="9" t="n">
        <f aca="false">MIN((BT659+BT660)*$C$5,$F$15)*'⑫ Roll-out Plan'!$O$70</f>
        <v>0</v>
      </c>
      <c r="BU1011" s="9" t="n">
        <f aca="false">MIN((BU659+BU660)*$C$5,$F$15)*'⑫ Roll-out Plan'!$O$70</f>
        <v>0</v>
      </c>
      <c r="BV1011" s="9" t="n">
        <f aca="false">MIN((BV659+BV660)*$C$5,$F$15)*'⑫ Roll-out Plan'!$O$70</f>
        <v>0</v>
      </c>
      <c r="BW1011" s="9" t="n">
        <f aca="false">MIN((BW659+BW660)*$C$5,$F$15)*'⑫ Roll-out Plan'!$O$70</f>
        <v>0</v>
      </c>
      <c r="BX1011" s="9" t="n">
        <f aca="false">MIN((BX659+BX660)*$C$5,$F$15)*'⑫ Roll-out Plan'!$O$70</f>
        <v>0</v>
      </c>
      <c r="BY1011" s="9" t="n">
        <f aca="false">MIN((BY659+BY660)*$C$5,$F$15)*'⑫ Roll-out Plan'!$O$70</f>
        <v>0</v>
      </c>
      <c r="BZ1011" s="9" t="n">
        <f aca="false">MIN((BZ659+BZ660)*$C$5,$F$15)*'⑫ Roll-out Plan'!$O$70</f>
        <v>0</v>
      </c>
      <c r="CA1011" s="9" t="n">
        <f aca="false">MIN((CA659+CA660)*$C$5,$F$15)*'⑫ Roll-out Plan'!$O$70</f>
        <v>0</v>
      </c>
      <c r="CB1011" s="9" t="n">
        <f aca="false">MIN((CB659+CB660)*$C$5,$F$15)*'⑫ Roll-out Plan'!$O$70</f>
        <v>0</v>
      </c>
      <c r="CC1011" s="9" t="n">
        <f aca="false">MIN((CC659+CC660)*$C$5,$F$15)*'⑫ Roll-out Plan'!$O$70</f>
        <v>0</v>
      </c>
      <c r="CD1011" s="9" t="n">
        <f aca="false">MIN((CD659+CD660)*$C$5,$F$15)*'⑫ Roll-out Plan'!$O$70</f>
        <v>0</v>
      </c>
      <c r="CE1011" s="9" t="n">
        <f aca="false">MIN((CE659+CE660)*$C$5,$F$15)*'⑫ Roll-out Plan'!$O$70</f>
        <v>0</v>
      </c>
      <c r="CF1011" s="9" t="n">
        <f aca="false">MIN((CF659+CF660)*$C$5,$F$15)*'⑫ Roll-out Plan'!$O$70</f>
        <v>0</v>
      </c>
      <c r="CG1011" s="9" t="n">
        <f aca="false">MIN((CG659+CG660)*$C$5,$F$15)*'⑫ Roll-out Plan'!$O$70</f>
        <v>0</v>
      </c>
      <c r="CH1011" s="9" t="n">
        <f aca="false">MIN((CH659+CH660)*$C$5,$F$15)*'⑫ Roll-out Plan'!$O$70</f>
        <v>0</v>
      </c>
      <c r="CI1011" s="9" t="n">
        <f aca="false">MIN((CI659+CI660)*$C$5,$F$15)*'⑫ Roll-out Plan'!$O$70</f>
        <v>0</v>
      </c>
      <c r="CJ1011" s="9" t="n">
        <f aca="false">MIN((CJ659+CJ660)*$C$5,$F$15)*'⑫ Roll-out Plan'!$O$70</f>
        <v>0</v>
      </c>
      <c r="CK1011" s="9" t="n">
        <f aca="false">MIN((CK659+CK660)*$C$5,$F$15)*'⑫ Roll-out Plan'!$O$70</f>
        <v>0</v>
      </c>
      <c r="CL1011" s="9" t="n">
        <f aca="false">MIN((CL659+CL660)*$C$5,$F$15)*'⑫ Roll-out Plan'!$O$70</f>
        <v>0</v>
      </c>
      <c r="CM1011" s="9" t="n">
        <f aca="false">MIN((CM659+CM660)*$C$5,$F$15)*'⑫ Roll-out Plan'!$O$70</f>
        <v>0</v>
      </c>
      <c r="CN1011" s="9" t="n">
        <f aca="false">MIN((CN659+CN660)*$C$5,$F$15)*'⑫ Roll-out Plan'!$O$70</f>
        <v>0</v>
      </c>
      <c r="CO1011" s="9" t="n">
        <f aca="false">MIN((CO659+CO660)*$C$5,$F$15)*'⑫ Roll-out Plan'!$O$70</f>
        <v>0</v>
      </c>
      <c r="CP1011" s="9" t="n">
        <f aca="false">MIN((CP659+CP660)*$C$5,$F$15)*'⑫ Roll-out Plan'!$O$70</f>
        <v>0</v>
      </c>
      <c r="CQ1011" s="9" t="n">
        <f aca="false">MIN((CQ659+CQ660)*$C$5,$F$15)*'⑫ Roll-out Plan'!$O$70</f>
        <v>0</v>
      </c>
      <c r="CR1011" s="9" t="n">
        <f aca="false">MIN((CR659+CR660)*$C$5,$F$15)*'⑫ Roll-out Plan'!$O$70</f>
        <v>0</v>
      </c>
      <c r="CS1011" s="9" t="n">
        <f aca="false">MIN((CS659+CS660)*$C$5,$F$15)*'⑫ Roll-out Plan'!$O$70</f>
        <v>0</v>
      </c>
      <c r="CT1011" s="9" t="n">
        <f aca="false">MIN((CT659+CT660)*$C$5,$F$15)*'⑫ Roll-out Plan'!$O$70</f>
        <v>0</v>
      </c>
      <c r="CU1011" s="9" t="n">
        <f aca="false">MIN((CU659+CU660)*$C$5,$F$15)*'⑫ Roll-out Plan'!$O$70</f>
        <v>0</v>
      </c>
      <c r="CV1011" s="9" t="n">
        <f aca="false">MIN((CV659+CV660)*$C$5,$F$15)*'⑫ Roll-out Plan'!$O$70</f>
        <v>0</v>
      </c>
      <c r="CW1011" s="9" t="n">
        <f aca="false">MIN((CW659+CW660)*$C$5,$F$15)*'⑫ Roll-out Plan'!$O$70</f>
        <v>0</v>
      </c>
      <c r="CX1011" s="9" t="n">
        <f aca="false">MIN((CX659+CX660)*$C$5,$F$15)*'⑫ Roll-out Plan'!$O$70</f>
        <v>0</v>
      </c>
      <c r="CY1011" s="9" t="n">
        <f aca="false">MIN((CY659+CY660)*$C$5,$F$15)*'⑫ Roll-out Plan'!$O$70</f>
        <v>0</v>
      </c>
      <c r="CZ1011" s="9" t="n">
        <f aca="false">MIN((CZ659+CZ660)*$C$5,$F$15)*'⑫ Roll-out Plan'!$O$70</f>
        <v>0</v>
      </c>
      <c r="DA1011" s="9" t="n">
        <f aca="false">MIN((DA659+DA660)*$C$5,$F$15)*'⑫ Roll-out Plan'!$O$70</f>
        <v>0</v>
      </c>
      <c r="DB1011" s="9" t="n">
        <f aca="false">MIN((DB659+DB660)*$C$5,$F$15)*'⑫ Roll-out Plan'!$O$70</f>
        <v>0</v>
      </c>
      <c r="DC1011" s="9" t="n">
        <f aca="false">MIN((DC659+DC660)*$C$5,$F$15)*'⑫ Roll-out Plan'!$O$70</f>
        <v>0</v>
      </c>
      <c r="DD1011" s="9" t="n">
        <f aca="false">MIN((DD659+DD660)*$C$5,$F$15)*'⑫ Roll-out Plan'!$O$70</f>
        <v>0</v>
      </c>
      <c r="DE1011" s="9" t="n">
        <f aca="false">MIN((DE659+DE660)*$C$5,$F$15)*'⑫ Roll-out Plan'!$O$70</f>
        <v>0</v>
      </c>
      <c r="DF1011" s="9" t="n">
        <f aca="false">MIN((DF659+DF660)*$C$5,$F$15)*'⑫ Roll-out Plan'!$O$70</f>
        <v>0</v>
      </c>
      <c r="DG1011" s="9" t="n">
        <f aca="false">MIN((DG659+DG660)*$C$5,$F$15)*'⑫ Roll-out Plan'!$O$70</f>
        <v>0</v>
      </c>
      <c r="DH1011" s="9" t="n">
        <f aca="false">MIN((DH659+DH660)*$C$5,$F$15)*'⑫ Roll-out Plan'!$O$70</f>
        <v>0</v>
      </c>
      <c r="DI1011" s="9" t="n">
        <f aca="false">MIN((DI659+DI660)*$C$5,$F$15)*'⑫ Roll-out Plan'!$O$70</f>
        <v>0</v>
      </c>
      <c r="DJ1011" s="9" t="n">
        <f aca="false">MIN((DJ659+DJ660)*$C$5,$F$15)*'⑫ Roll-out Plan'!$O$70</f>
        <v>0</v>
      </c>
      <c r="DK1011" s="9" t="n">
        <f aca="false">MIN((DK659+DK660)*$C$5,$F$15)*'⑫ Roll-out Plan'!$O$70</f>
        <v>0</v>
      </c>
      <c r="DL1011" s="9" t="n">
        <f aca="false">MIN((DL659+DL660)*$C$5,$F$15)*'⑫ Roll-out Plan'!$O$70</f>
        <v>0</v>
      </c>
      <c r="DM1011" s="9" t="n">
        <f aca="false">MIN((DM659+DM660)*$C$5,$F$15)*'⑫ Roll-out Plan'!$O$70</f>
        <v>0</v>
      </c>
      <c r="DN1011" s="9" t="n">
        <f aca="false">MIN((DN659+DN660)*$C$5,$F$15)*'⑫ Roll-out Plan'!$O$70</f>
        <v>0</v>
      </c>
      <c r="DO1011" s="9" t="n">
        <f aca="false">MIN((DO659+DO660)*$C$5,$F$15)*'⑫ Roll-out Plan'!$O$70</f>
        <v>0</v>
      </c>
      <c r="DP1011" s="9" t="n">
        <f aca="false">MIN((DP659+DP660)*$C$5,$F$15)*'⑫ Roll-out Plan'!$O$70</f>
        <v>0</v>
      </c>
      <c r="DQ1011" s="9" t="n">
        <f aca="false">MIN((DQ659+DQ660)*$C$5,$F$15)*'⑫ Roll-out Plan'!$O$70</f>
        <v>0</v>
      </c>
      <c r="DR1011" s="9" t="n">
        <f aca="false">MIN((DR659+DR660)*$C$5,$F$15)*'⑫ Roll-out Plan'!$O$70</f>
        <v>0</v>
      </c>
      <c r="DS1011" s="9" t="n">
        <f aca="false">MIN((DS659+DS660)*$C$5,$F$15)*'⑫ Roll-out Plan'!$O$70</f>
        <v>0</v>
      </c>
      <c r="DT1011" s="9" t="n">
        <f aca="false">MIN((DT659+DT660)*$C$5,$F$15)*'⑫ Roll-out Plan'!$O$70</f>
        <v>0</v>
      </c>
      <c r="DU1011" s="9" t="n">
        <f aca="false">MIN((DU659+DU660)*$C$5,$F$15)*'⑫ Roll-out Plan'!$O$70</f>
        <v>0</v>
      </c>
      <c r="DV1011" s="9" t="n">
        <f aca="false">MIN((DV659+DV660)*$C$5,$F$15)*'⑫ Roll-out Plan'!$O$70</f>
        <v>0</v>
      </c>
      <c r="DW1011" s="9" t="n">
        <f aca="false">MIN((DW659+DW660)*$C$5,$F$15)*'⑫ Roll-out Plan'!$O$70</f>
        <v>0</v>
      </c>
      <c r="DX1011" s="9" t="n">
        <f aca="false">MIN((DX659+DX660)*$C$5,$F$15)*'⑫ Roll-out Plan'!$O$70</f>
        <v>0</v>
      </c>
      <c r="DY1011" s="9" t="n">
        <f aca="false">MIN((DY659+DY660)*$C$5,$F$15)*'⑫ Roll-out Plan'!$O$70</f>
        <v>0</v>
      </c>
      <c r="DZ1011" s="9" t="n">
        <f aca="false">MIN((DZ659+DZ660)*$C$5,$F$15)*'⑫ Roll-out Plan'!$O$70</f>
        <v>0</v>
      </c>
      <c r="EA1011" s="9" t="n">
        <f aca="false">MIN((EA659+EA660)*$C$5,$F$15)*'⑫ Roll-out Plan'!$O$70</f>
        <v>0</v>
      </c>
      <c r="EB1011" s="9" t="n">
        <f aca="false">MIN((EB659+EB660)*$C$5,$F$15)*'⑫ Roll-out Plan'!$O$70</f>
        <v>0</v>
      </c>
      <c r="EC1011" s="9" t="n">
        <f aca="false">MIN((EC659+EC660)*$C$5,$F$15)*'⑫ Roll-out Plan'!$O$70</f>
        <v>0</v>
      </c>
      <c r="ED1011" s="9" t="n">
        <f aca="false">MIN((ED659+ED660)*$C$5,$F$15)*'⑫ Roll-out Plan'!$O$70</f>
        <v>0</v>
      </c>
      <c r="EE1011" s="9" t="n">
        <f aca="false">MIN((EE659+EE660)*$C$5,$F$15)*'⑫ Roll-out Plan'!$O$70</f>
        <v>0</v>
      </c>
      <c r="EF1011" s="9" t="n">
        <f aca="false">MIN((EF659+EF660)*$C$5,$F$15)*'⑫ Roll-out Plan'!$O$70</f>
        <v>0</v>
      </c>
      <c r="EG1011" s="9" t="n">
        <f aca="false">MIN((EG659+EG660)*$C$5,$F$15)*'⑫ Roll-out Plan'!$O$70</f>
        <v>0</v>
      </c>
      <c r="EH1011" s="9" t="n">
        <f aca="false">MIN((EH659+EH660)*$C$5,$F$15)*'⑫ Roll-out Plan'!$O$70</f>
        <v>0</v>
      </c>
      <c r="EI1011" s="9" t="n">
        <f aca="false">MIN((EI659+EI660)*$C$5,$F$15)*'⑫ Roll-out Plan'!$O$70</f>
        <v>0</v>
      </c>
      <c r="EJ1011" s="9" t="n">
        <f aca="false">MIN((EJ659+EJ660)*$C$5,$F$15)*'⑫ Roll-out Plan'!$O$70</f>
        <v>0</v>
      </c>
      <c r="EK1011" s="9" t="n">
        <f aca="false">MIN((EK659+EK660)*$C$5,$F$15)*'⑫ Roll-out Plan'!$O$70</f>
        <v>0</v>
      </c>
      <c r="EL1011" s="9" t="n">
        <f aca="false">MIN((EL659+EL660)*$C$5,$F$15)*'⑫ Roll-out Plan'!$O$70</f>
        <v>0</v>
      </c>
      <c r="EM1011" s="9" t="n">
        <f aca="false">MIN((EM659+EM660)*$C$5,$F$15)*'⑫ Roll-out Plan'!$O$70</f>
        <v>0</v>
      </c>
      <c r="EN1011" s="9" t="n">
        <f aca="false">MIN((EN659+EN660)*$C$5,$F$15)*'⑫ Roll-out Plan'!$O$70</f>
        <v>0</v>
      </c>
      <c r="EO1011" s="9" t="n">
        <f aca="false">MIN((EO659+EO660)*$C$5,$F$15)*'⑫ Roll-out Plan'!$O$70</f>
        <v>0</v>
      </c>
      <c r="EP1011" s="9" t="n">
        <f aca="false">MIN((EP659+EP660)*$C$5,$F$15)*'⑫ Roll-out Plan'!$O$70</f>
        <v>0</v>
      </c>
      <c r="EQ1011" s="9" t="n">
        <f aca="false">MIN((EQ659+EQ660)*$C$5,$F$15)*'⑫ Roll-out Plan'!$O$70</f>
        <v>0</v>
      </c>
      <c r="ER1011" s="9" t="n">
        <f aca="false">MIN((ER659+ER660)*$C$5,$F$15)*'⑫ Roll-out Plan'!$O$70</f>
        <v>0</v>
      </c>
      <c r="ES1011" s="9" t="n">
        <f aca="false">MIN((ES659+ES660)*$C$5,$F$15)*'⑫ Roll-out Plan'!$O$70</f>
        <v>0</v>
      </c>
      <c r="ET1011" s="9" t="n">
        <f aca="false">MIN((ET659+ET660)*$C$5,$F$15)*'⑫ Roll-out Plan'!$O$70</f>
        <v>0</v>
      </c>
      <c r="EU1011" s="9" t="n">
        <f aca="false">MIN((EU659+EU660)*$C$5,$F$15)*'⑫ Roll-out Plan'!$O$70</f>
        <v>0</v>
      </c>
      <c r="EV1011" s="9" t="n">
        <f aca="false">MIN((EV659+EV660)*$C$5,$F$15)*'⑫ Roll-out Plan'!$O$70</f>
        <v>0</v>
      </c>
      <c r="EW1011" s="9" t="n">
        <f aca="false">MIN((EW659+EW660)*$C$5,$F$15)*'⑫ Roll-out Plan'!$O$70</f>
        <v>0</v>
      </c>
      <c r="EX1011" s="9" t="n">
        <f aca="false">MIN((EX659+EX660)*$C$5,$F$15)*'⑫ Roll-out Plan'!$O$70</f>
        <v>0</v>
      </c>
      <c r="EY1011" s="9" t="n">
        <f aca="false">MIN((EY659+EY660)*$C$5,$F$15)*'⑫ Roll-out Plan'!$O$70</f>
        <v>0</v>
      </c>
      <c r="EZ1011" s="9" t="n">
        <f aca="false">MIN((EZ659+EZ660)*$C$5,$F$15)*'⑫ Roll-out Plan'!$O$70</f>
        <v>0</v>
      </c>
      <c r="FA1011" s="9" t="n">
        <f aca="false">MIN((FA659+FA660)*$C$5,$F$15)*'⑫ Roll-out Plan'!$O$70</f>
        <v>0</v>
      </c>
      <c r="FB1011" s="9" t="n">
        <f aca="false">MIN((FB659+FB660)*$C$5,$F$15)*'⑫ Roll-out Plan'!$O$70</f>
        <v>0</v>
      </c>
      <c r="FC1011" s="9" t="n">
        <f aca="false">MIN((FC659+FC660)*$C$5,$F$15)*'⑫ Roll-out Plan'!$O$70</f>
        <v>0</v>
      </c>
      <c r="FD1011" s="9" t="n">
        <f aca="false">MIN((FD659+FD660)*$C$5,$F$15)*'⑫ Roll-out Plan'!$O$70</f>
        <v>0</v>
      </c>
      <c r="FE1011" s="9" t="n">
        <f aca="false">MIN((FE659+FE660)*$C$5,$F$15)*'⑫ Roll-out Plan'!$O$70</f>
        <v>0</v>
      </c>
      <c r="FF1011" s="9" t="n">
        <f aca="false">MIN((FF659+FF660)*$C$5,$F$15)*'⑫ Roll-out Plan'!$O$70</f>
        <v>0</v>
      </c>
      <c r="FG1011" s="9" t="n">
        <f aca="false">MIN((FG659+FG660)*$C$5,$F$15)*'⑫ Roll-out Plan'!$O$70</f>
        <v>0</v>
      </c>
      <c r="FH1011" s="9" t="n">
        <f aca="false">MIN((FH659+FH660)*$C$5,$F$15)*'⑫ Roll-out Plan'!$O$70</f>
        <v>0</v>
      </c>
      <c r="FI1011" s="9" t="n">
        <f aca="false">MIN((FI659+FI660)*$C$5,$F$15)*'⑫ Roll-out Plan'!$O$70</f>
        <v>0</v>
      </c>
      <c r="FJ1011" s="9" t="n">
        <f aca="false">MIN((FJ659+FJ660)*$C$5,$F$15)*'⑫ Roll-out Plan'!$O$70</f>
        <v>0</v>
      </c>
      <c r="FK1011" s="9" t="n">
        <f aca="false">MIN((FK659+FK660)*$C$5,$F$15)*'⑫ Roll-out Plan'!$O$70</f>
        <v>0</v>
      </c>
      <c r="FL1011" s="9" t="n">
        <f aca="false">MIN((FL659+FL660)*$C$5,$F$15)*'⑫ Roll-out Plan'!$O$70</f>
        <v>0</v>
      </c>
      <c r="FM1011" s="9" t="n">
        <f aca="false">MIN((FM659+FM660)*$C$5,$F$15)*'⑫ Roll-out Plan'!$O$70</f>
        <v>0</v>
      </c>
      <c r="FN1011" s="9" t="n">
        <f aca="false">MIN((FN659+FN660)*$C$5,$F$15)*'⑫ Roll-out Plan'!$O$70</f>
        <v>0</v>
      </c>
      <c r="FO1011" s="9" t="n">
        <f aca="false">MIN((FO659+FO660)*$C$5,$F$15)*'⑫ Roll-out Plan'!$O$70</f>
        <v>0</v>
      </c>
      <c r="FP1011" s="9" t="n">
        <f aca="false">MIN((FP659+FP660)*$C$5,$F$15)*'⑫ Roll-out Plan'!$O$70</f>
        <v>0</v>
      </c>
    </row>
    <row r="1012" customFormat="false" ht="15" hidden="false" customHeight="false" outlineLevel="0" collapsed="false">
      <c r="B1012" s="9" t="s">
        <v>939</v>
      </c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 t="n">
        <f aca="false">MIN((AC669+AC670)*$C$5,$F$14)*'⑫ Roll-out Plan'!$O$71</f>
        <v>0</v>
      </c>
      <c r="AD1012" s="9" t="n">
        <f aca="false">MIN((AD669+AD670)*$C$5,$F$14)*'⑫ Roll-out Plan'!$O$71</f>
        <v>0</v>
      </c>
      <c r="AE1012" s="9" t="n">
        <f aca="false">MIN((AE669+AE670)*$C$5,$F$14)*'⑫ Roll-out Plan'!$O$71</f>
        <v>0</v>
      </c>
      <c r="AF1012" s="9" t="n">
        <f aca="false">MIN((AF669+AF670)*$C$5,$F$14)*'⑫ Roll-out Plan'!$O$71</f>
        <v>0</v>
      </c>
      <c r="AG1012" s="9" t="n">
        <f aca="false">MIN((AG669+AG670)*$C$5,$F$14)*'⑫ Roll-out Plan'!$O$71</f>
        <v>0</v>
      </c>
      <c r="AH1012" s="9" t="n">
        <f aca="false">MIN((AH669+AH670)*$C$5,$F$14)*'⑫ Roll-out Plan'!$O$71</f>
        <v>0</v>
      </c>
      <c r="AI1012" s="9" t="n">
        <f aca="false">MIN((AI669+AI670)*$C$5,$F$14)*'⑫ Roll-out Plan'!$O$71</f>
        <v>0</v>
      </c>
      <c r="AJ1012" s="9" t="n">
        <f aca="false">MIN((AJ669+AJ670)*$C$5,$F$14)*'⑫ Roll-out Plan'!$O$71</f>
        <v>0</v>
      </c>
      <c r="AK1012" s="9" t="n">
        <f aca="false">MIN((AK669+AK670)*$C$5,$F$14)*'⑫ Roll-out Plan'!$O$71</f>
        <v>0</v>
      </c>
      <c r="AL1012" s="9" t="n">
        <f aca="false">MIN((AL669+AL670)*$C$5,$F$14)*'⑫ Roll-out Plan'!$O$71</f>
        <v>0</v>
      </c>
      <c r="AM1012" s="9" t="n">
        <f aca="false">MIN((AM669+AM670)*$C$5,$F$14)*'⑫ Roll-out Plan'!$O$71</f>
        <v>0</v>
      </c>
      <c r="AN1012" s="9" t="n">
        <f aca="false">MIN((AN669+AN670)*$C$5,$F$14)*'⑫ Roll-out Plan'!$O$71</f>
        <v>0</v>
      </c>
      <c r="AO1012" s="9" t="n">
        <f aca="false">MIN((AO669+AO670)*$C$5,$F$14)*'⑫ Roll-out Plan'!$O$71</f>
        <v>0</v>
      </c>
      <c r="AP1012" s="9" t="n">
        <f aca="false">MIN((AP669+AP670)*$C$5,$F$14)*'⑫ Roll-out Plan'!$O$71</f>
        <v>0</v>
      </c>
      <c r="AQ1012" s="9" t="n">
        <f aca="false">MIN((AQ669+AQ670)*$C$5,$F$14)*'⑫ Roll-out Plan'!$O$71</f>
        <v>0</v>
      </c>
      <c r="AR1012" s="9" t="n">
        <f aca="false">MIN((AR669+AR670)*$C$5,$F$14)*'⑫ Roll-out Plan'!$O$71</f>
        <v>0</v>
      </c>
      <c r="AS1012" s="9" t="n">
        <f aca="false">MIN((AS669+AS670)*$C$5,$F$14)*'⑫ Roll-out Plan'!$O$71</f>
        <v>0</v>
      </c>
      <c r="AT1012" s="9" t="n">
        <f aca="false">MIN((AT669+AT670)*$C$5,$F$14)*'⑫ Roll-out Plan'!$O$71</f>
        <v>0</v>
      </c>
      <c r="AU1012" s="9" t="n">
        <f aca="false">MIN((AU669+AU670)*$C$5,$F$14)*'⑫ Roll-out Plan'!$O$71</f>
        <v>0</v>
      </c>
      <c r="AV1012" s="9" t="n">
        <f aca="false">MIN((AV669+AV670)*$C$5,$F$14)*'⑫ Roll-out Plan'!$O$71</f>
        <v>0</v>
      </c>
      <c r="AW1012" s="9" t="n">
        <f aca="false">MIN((AW669+AW670)*$C$5,$F$14)*'⑫ Roll-out Plan'!$O$71</f>
        <v>0</v>
      </c>
      <c r="AX1012" s="9" t="n">
        <f aca="false">MIN((AX669+AX670)*$C$5,$F$14)*'⑫ Roll-out Plan'!$O$71</f>
        <v>0</v>
      </c>
      <c r="AY1012" s="9" t="n">
        <f aca="false">MIN((AY669+AY670)*$C$5,$F$14)*'⑫ Roll-out Plan'!$O$71</f>
        <v>0</v>
      </c>
      <c r="AZ1012" s="9" t="n">
        <f aca="false">MIN((AZ669+AZ670)*$C$5,$F$14)*'⑫ Roll-out Plan'!$O$71</f>
        <v>0</v>
      </c>
      <c r="BA1012" s="9" t="n">
        <f aca="false">MIN((BA669+BA670)*$C$5,$F$14)*'⑫ Roll-out Plan'!$O$71</f>
        <v>0</v>
      </c>
      <c r="BB1012" s="9" t="n">
        <f aca="false">MIN((BB669+BB670)*$C$5,$F$14)*'⑫ Roll-out Plan'!$O$71</f>
        <v>0</v>
      </c>
      <c r="BC1012" s="9" t="n">
        <f aca="false">MIN((BC669+BC670)*$C$5,$F$14)*'⑫ Roll-out Plan'!$O$71</f>
        <v>0</v>
      </c>
      <c r="BD1012" s="9" t="n">
        <f aca="false">MIN((BD669+BD670)*$C$5,$F$14)*'⑫ Roll-out Plan'!$O$71</f>
        <v>0</v>
      </c>
      <c r="BE1012" s="9" t="n">
        <f aca="false">MIN((BE669+BE670)*$C$5,$F$14)*'⑫ Roll-out Plan'!$O$71</f>
        <v>0</v>
      </c>
      <c r="BF1012" s="9" t="n">
        <f aca="false">MIN((BF669+BF670)*$C$5,$F$14)*'⑫ Roll-out Plan'!$O$71</f>
        <v>0</v>
      </c>
      <c r="BG1012" s="9" t="n">
        <f aca="false">MIN((BG669+BG670)*$C$5,$F$14)*'⑫ Roll-out Plan'!$O$71</f>
        <v>0</v>
      </c>
      <c r="BH1012" s="9" t="n">
        <f aca="false">MIN((BH669+BH670)*$C$5,$F$14)*'⑫ Roll-out Plan'!$O$71</f>
        <v>0</v>
      </c>
      <c r="BI1012" s="9" t="n">
        <f aca="false">MIN((BI669+BI670)*$C$5,$F$14)*'⑫ Roll-out Plan'!$O$71</f>
        <v>0</v>
      </c>
      <c r="BJ1012" s="9" t="n">
        <f aca="false">MIN((BJ669+BJ670)*$C$5,$F$14)*'⑫ Roll-out Plan'!$O$71</f>
        <v>0</v>
      </c>
      <c r="BK1012" s="9" t="n">
        <f aca="false">MIN((BK669+BK670)*$C$5,$F$14)*'⑫ Roll-out Plan'!$O$71</f>
        <v>0</v>
      </c>
      <c r="BL1012" s="9" t="n">
        <f aca="false">MIN((BL669+BL670)*$C$5,$F$14)*'⑫ Roll-out Plan'!$O$71</f>
        <v>0</v>
      </c>
      <c r="BM1012" s="9" t="n">
        <f aca="false">MIN((BM669+BM670)*$C$5,$F$14)*'⑫ Roll-out Plan'!$O$71</f>
        <v>0</v>
      </c>
      <c r="BN1012" s="9" t="n">
        <f aca="false">MIN((BN669+BN670)*$C$5,$F$14)*'⑫ Roll-out Plan'!$O$71</f>
        <v>0</v>
      </c>
      <c r="BO1012" s="9" t="n">
        <f aca="false">MIN((BO669+BO670)*$C$5,$F$14)*'⑫ Roll-out Plan'!$O$71</f>
        <v>0</v>
      </c>
      <c r="BP1012" s="9" t="n">
        <f aca="false">MIN((BP669+BP670)*$C$5,$F$14)*'⑫ Roll-out Plan'!$O$71</f>
        <v>0</v>
      </c>
      <c r="BQ1012" s="9" t="n">
        <f aca="false">MIN((BQ669+BQ670)*$C$5,$F$14)*'⑫ Roll-out Plan'!$O$71</f>
        <v>0</v>
      </c>
      <c r="BR1012" s="9" t="n">
        <f aca="false">MIN((BR669+BR670)*$C$5,$F$14)*'⑫ Roll-out Plan'!$O$71</f>
        <v>0</v>
      </c>
      <c r="BS1012" s="9" t="n">
        <f aca="false">MIN((BS669+BS670)*$C$5,$F$14)*'⑫ Roll-out Plan'!$O$71</f>
        <v>0</v>
      </c>
      <c r="BT1012" s="9" t="n">
        <f aca="false">MIN((BT669+BT670)*$C$5,$F$14)*'⑫ Roll-out Plan'!$O$71</f>
        <v>0</v>
      </c>
      <c r="BU1012" s="9" t="n">
        <f aca="false">MIN((BU669+BU670)*$C$5,$F$14)*'⑫ Roll-out Plan'!$O$71</f>
        <v>0</v>
      </c>
      <c r="BV1012" s="9" t="n">
        <f aca="false">MIN((BV669+BV670)*$C$5,$F$14)*'⑫ Roll-out Plan'!$O$71</f>
        <v>0</v>
      </c>
      <c r="BW1012" s="9" t="n">
        <f aca="false">MIN((BW669+BW670)*$C$5,$F$14)*'⑫ Roll-out Plan'!$O$71</f>
        <v>0</v>
      </c>
      <c r="BX1012" s="9" t="n">
        <f aca="false">MIN((BX669+BX670)*$C$5,$F$14)*'⑫ Roll-out Plan'!$O$71</f>
        <v>0</v>
      </c>
      <c r="BY1012" s="9" t="n">
        <f aca="false">MIN((BY669+BY670)*$C$5,$F$14)*'⑫ Roll-out Plan'!$O$71</f>
        <v>0</v>
      </c>
      <c r="BZ1012" s="9" t="n">
        <f aca="false">MIN((BZ669+BZ670)*$C$5,$F$14)*'⑫ Roll-out Plan'!$O$71</f>
        <v>0</v>
      </c>
      <c r="CA1012" s="9" t="n">
        <f aca="false">MIN((CA669+CA670)*$C$5,$F$14)*'⑫ Roll-out Plan'!$O$71</f>
        <v>0</v>
      </c>
      <c r="CB1012" s="9" t="n">
        <f aca="false">MIN((CB669+CB670)*$C$5,$F$14)*'⑫ Roll-out Plan'!$O$71</f>
        <v>0</v>
      </c>
      <c r="CC1012" s="9" t="n">
        <f aca="false">MIN((CC669+CC670)*$C$5,$F$14)*'⑫ Roll-out Plan'!$O$71</f>
        <v>0</v>
      </c>
      <c r="CD1012" s="9" t="n">
        <f aca="false">MIN((CD669+CD670)*$C$5,$F$14)*'⑫ Roll-out Plan'!$O$71</f>
        <v>0</v>
      </c>
      <c r="CE1012" s="9" t="n">
        <f aca="false">MIN((CE669+CE670)*$C$5,$F$14)*'⑫ Roll-out Plan'!$O$71</f>
        <v>0</v>
      </c>
      <c r="CF1012" s="9" t="n">
        <f aca="false">MIN((CF669+CF670)*$C$5,$F$14)*'⑫ Roll-out Plan'!$O$71</f>
        <v>0</v>
      </c>
      <c r="CG1012" s="9" t="n">
        <f aca="false">MIN((CG669+CG670)*$C$5,$F$14)*'⑫ Roll-out Plan'!$O$71</f>
        <v>0</v>
      </c>
      <c r="CH1012" s="9" t="n">
        <f aca="false">MIN((CH669+CH670)*$C$5,$F$14)*'⑫ Roll-out Plan'!$O$71</f>
        <v>0</v>
      </c>
      <c r="CI1012" s="9" t="n">
        <f aca="false">MIN((CI669+CI670)*$C$5,$F$14)*'⑫ Roll-out Plan'!$O$71</f>
        <v>0</v>
      </c>
      <c r="CJ1012" s="9" t="n">
        <f aca="false">MIN((CJ669+CJ670)*$C$5,$F$14)*'⑫ Roll-out Plan'!$O$71</f>
        <v>0</v>
      </c>
      <c r="CK1012" s="9" t="n">
        <f aca="false">MIN((CK669+CK670)*$C$5,$F$14)*'⑫ Roll-out Plan'!$O$71</f>
        <v>0</v>
      </c>
      <c r="CL1012" s="9" t="n">
        <f aca="false">MIN((CL669+CL670)*$C$5,$F$14)*'⑫ Roll-out Plan'!$O$71</f>
        <v>0</v>
      </c>
      <c r="CM1012" s="9" t="n">
        <f aca="false">MIN((CM669+CM670)*$C$5,$F$14)*'⑫ Roll-out Plan'!$O$71</f>
        <v>0</v>
      </c>
      <c r="CN1012" s="9" t="n">
        <f aca="false">MIN((CN669+CN670)*$C$5,$F$14)*'⑫ Roll-out Plan'!$O$71</f>
        <v>0</v>
      </c>
      <c r="CO1012" s="9" t="n">
        <f aca="false">MIN((CO669+CO670)*$C$5,$F$14)*'⑫ Roll-out Plan'!$O$71</f>
        <v>0</v>
      </c>
      <c r="CP1012" s="9" t="n">
        <f aca="false">MIN((CP669+CP670)*$C$5,$F$14)*'⑫ Roll-out Plan'!$O$71</f>
        <v>0</v>
      </c>
      <c r="CQ1012" s="9" t="n">
        <f aca="false">MIN((CQ669+CQ670)*$C$5,$F$14)*'⑫ Roll-out Plan'!$O$71</f>
        <v>0</v>
      </c>
      <c r="CR1012" s="9" t="n">
        <f aca="false">MIN((CR669+CR670)*$C$5,$F$14)*'⑫ Roll-out Plan'!$O$71</f>
        <v>0</v>
      </c>
      <c r="CS1012" s="9" t="n">
        <f aca="false">MIN((CS669+CS670)*$C$5,$F$14)*'⑫ Roll-out Plan'!$O$71</f>
        <v>0</v>
      </c>
      <c r="CT1012" s="9" t="n">
        <f aca="false">MIN((CT669+CT670)*$C$5,$F$14)*'⑫ Roll-out Plan'!$O$71</f>
        <v>0</v>
      </c>
      <c r="CU1012" s="9" t="n">
        <f aca="false">MIN((CU669+CU670)*$C$5,$F$14)*'⑫ Roll-out Plan'!$O$71</f>
        <v>0</v>
      </c>
      <c r="CV1012" s="9" t="n">
        <f aca="false">MIN((CV669+CV670)*$C$5,$F$14)*'⑫ Roll-out Plan'!$O$71</f>
        <v>0</v>
      </c>
      <c r="CW1012" s="9" t="n">
        <f aca="false">MIN((CW669+CW670)*$C$5,$F$14)*'⑫ Roll-out Plan'!$O$71</f>
        <v>0</v>
      </c>
      <c r="CX1012" s="9" t="n">
        <f aca="false">MIN((CX669+CX670)*$C$5,$F$14)*'⑫ Roll-out Plan'!$O$71</f>
        <v>0</v>
      </c>
      <c r="CY1012" s="9" t="n">
        <f aca="false">MIN((CY669+CY670)*$C$5,$F$14)*'⑫ Roll-out Plan'!$O$71</f>
        <v>0</v>
      </c>
      <c r="CZ1012" s="9" t="n">
        <f aca="false">MIN((CZ669+CZ670)*$C$5,$F$14)*'⑫ Roll-out Plan'!$O$71</f>
        <v>0</v>
      </c>
      <c r="DA1012" s="9" t="n">
        <f aca="false">MIN((DA669+DA670)*$C$5,$F$14)*'⑫ Roll-out Plan'!$O$71</f>
        <v>0</v>
      </c>
      <c r="DB1012" s="9" t="n">
        <f aca="false">MIN((DB669+DB670)*$C$5,$F$14)*'⑫ Roll-out Plan'!$O$71</f>
        <v>0</v>
      </c>
      <c r="DC1012" s="9" t="n">
        <f aca="false">MIN((DC669+DC670)*$C$5,$F$14)*'⑫ Roll-out Plan'!$O$71</f>
        <v>0</v>
      </c>
      <c r="DD1012" s="9" t="n">
        <f aca="false">MIN((DD669+DD670)*$C$5,$F$14)*'⑫ Roll-out Plan'!$O$71</f>
        <v>0</v>
      </c>
      <c r="DE1012" s="9" t="n">
        <f aca="false">MIN((DE669+DE670)*$C$5,$F$14)*'⑫ Roll-out Plan'!$O$71</f>
        <v>0</v>
      </c>
      <c r="DF1012" s="9" t="n">
        <f aca="false">MIN((DF669+DF670)*$C$5,$F$14)*'⑫ Roll-out Plan'!$O$71</f>
        <v>0</v>
      </c>
      <c r="DG1012" s="9" t="n">
        <f aca="false">MIN((DG669+DG670)*$C$5,$F$14)*'⑫ Roll-out Plan'!$O$71</f>
        <v>0</v>
      </c>
      <c r="DH1012" s="9" t="n">
        <f aca="false">MIN((DH669+DH670)*$C$5,$F$14)*'⑫ Roll-out Plan'!$O$71</f>
        <v>0</v>
      </c>
      <c r="DI1012" s="9" t="n">
        <f aca="false">MIN((DI669+DI670)*$C$5,$F$14)*'⑫ Roll-out Plan'!$O$71</f>
        <v>0</v>
      </c>
      <c r="DJ1012" s="9" t="n">
        <f aca="false">MIN((DJ669+DJ670)*$C$5,$F$14)*'⑫ Roll-out Plan'!$O$71</f>
        <v>0</v>
      </c>
      <c r="DK1012" s="9" t="n">
        <f aca="false">MIN((DK669+DK670)*$C$5,$F$14)*'⑫ Roll-out Plan'!$O$71</f>
        <v>0</v>
      </c>
      <c r="DL1012" s="9" t="n">
        <f aca="false">MIN((DL669+DL670)*$C$5,$F$14)*'⑫ Roll-out Plan'!$O$71</f>
        <v>0</v>
      </c>
      <c r="DM1012" s="9" t="n">
        <f aca="false">MIN((DM669+DM670)*$C$5,$F$14)*'⑫ Roll-out Plan'!$O$71</f>
        <v>0</v>
      </c>
      <c r="DN1012" s="9" t="n">
        <f aca="false">MIN((DN669+DN670)*$C$5,$F$14)*'⑫ Roll-out Plan'!$O$71</f>
        <v>0</v>
      </c>
      <c r="DO1012" s="9" t="n">
        <f aca="false">MIN((DO669+DO670)*$C$5,$F$14)*'⑫ Roll-out Plan'!$O$71</f>
        <v>0</v>
      </c>
      <c r="DP1012" s="9" t="n">
        <f aca="false">MIN((DP669+DP670)*$C$5,$F$14)*'⑫ Roll-out Plan'!$O$71</f>
        <v>0</v>
      </c>
      <c r="DQ1012" s="9" t="n">
        <f aca="false">MIN((DQ669+DQ670)*$C$5,$F$14)*'⑫ Roll-out Plan'!$O$71</f>
        <v>0</v>
      </c>
      <c r="DR1012" s="9" t="n">
        <f aca="false">MIN((DR669+DR670)*$C$5,$F$14)*'⑫ Roll-out Plan'!$O$71</f>
        <v>0</v>
      </c>
      <c r="DS1012" s="9" t="n">
        <f aca="false">MIN((DS669+DS670)*$C$5,$F$14)*'⑫ Roll-out Plan'!$O$71</f>
        <v>0</v>
      </c>
      <c r="DT1012" s="9" t="n">
        <f aca="false">MIN((DT669+DT670)*$C$5,$F$14)*'⑫ Roll-out Plan'!$O$71</f>
        <v>0</v>
      </c>
      <c r="DU1012" s="9" t="n">
        <f aca="false">MIN((DU669+DU670)*$C$5,$F$14)*'⑫ Roll-out Plan'!$O$71</f>
        <v>0</v>
      </c>
      <c r="DV1012" s="9" t="n">
        <f aca="false">MIN((DV669+DV670)*$C$5,$F$14)*'⑫ Roll-out Plan'!$O$71</f>
        <v>0</v>
      </c>
      <c r="DW1012" s="9" t="n">
        <f aca="false">MIN((DW669+DW670)*$C$5,$F$14)*'⑫ Roll-out Plan'!$O$71</f>
        <v>0</v>
      </c>
      <c r="DX1012" s="9" t="n">
        <f aca="false">MIN((DX669+DX670)*$C$5,$F$14)*'⑫ Roll-out Plan'!$O$71</f>
        <v>0</v>
      </c>
      <c r="DY1012" s="9" t="n">
        <f aca="false">MIN((DY669+DY670)*$C$5,$F$14)*'⑫ Roll-out Plan'!$O$71</f>
        <v>0</v>
      </c>
      <c r="DZ1012" s="9" t="n">
        <f aca="false">MIN((DZ669+DZ670)*$C$5,$F$14)*'⑫ Roll-out Plan'!$O$71</f>
        <v>0</v>
      </c>
      <c r="EA1012" s="9" t="n">
        <f aca="false">MIN((EA669+EA670)*$C$5,$F$14)*'⑫ Roll-out Plan'!$O$71</f>
        <v>0</v>
      </c>
      <c r="EB1012" s="9" t="n">
        <f aca="false">MIN((EB669+EB670)*$C$5,$F$14)*'⑫ Roll-out Plan'!$O$71</f>
        <v>0</v>
      </c>
      <c r="EC1012" s="9" t="n">
        <f aca="false">MIN((EC669+EC670)*$C$5,$F$14)*'⑫ Roll-out Plan'!$O$71</f>
        <v>0</v>
      </c>
      <c r="ED1012" s="9" t="n">
        <f aca="false">MIN((ED669+ED670)*$C$5,$F$14)*'⑫ Roll-out Plan'!$O$71</f>
        <v>0</v>
      </c>
      <c r="EE1012" s="9" t="n">
        <f aca="false">MIN((EE669+EE670)*$C$5,$F$14)*'⑫ Roll-out Plan'!$O$71</f>
        <v>0</v>
      </c>
      <c r="EF1012" s="9" t="n">
        <f aca="false">MIN((EF669+EF670)*$C$5,$F$14)*'⑫ Roll-out Plan'!$O$71</f>
        <v>0</v>
      </c>
      <c r="EG1012" s="9" t="n">
        <f aca="false">MIN((EG669+EG670)*$C$5,$F$14)*'⑫ Roll-out Plan'!$O$71</f>
        <v>0</v>
      </c>
      <c r="EH1012" s="9" t="n">
        <f aca="false">MIN((EH669+EH670)*$C$5,$F$14)*'⑫ Roll-out Plan'!$O$71</f>
        <v>0</v>
      </c>
      <c r="EI1012" s="9" t="n">
        <f aca="false">MIN((EI669+EI670)*$C$5,$F$14)*'⑫ Roll-out Plan'!$O$71</f>
        <v>0</v>
      </c>
      <c r="EJ1012" s="9" t="n">
        <f aca="false">MIN((EJ669+EJ670)*$C$5,$F$14)*'⑫ Roll-out Plan'!$O$71</f>
        <v>0</v>
      </c>
      <c r="EK1012" s="9" t="n">
        <f aca="false">MIN((EK669+EK670)*$C$5,$F$14)*'⑫ Roll-out Plan'!$O$71</f>
        <v>0</v>
      </c>
      <c r="EL1012" s="9" t="n">
        <f aca="false">MIN((EL669+EL670)*$C$5,$F$14)*'⑫ Roll-out Plan'!$O$71</f>
        <v>0</v>
      </c>
      <c r="EM1012" s="9" t="n">
        <f aca="false">MIN((EM669+EM670)*$C$5,$F$14)*'⑫ Roll-out Plan'!$O$71</f>
        <v>0</v>
      </c>
      <c r="EN1012" s="9" t="n">
        <f aca="false">MIN((EN669+EN670)*$C$5,$F$14)*'⑫ Roll-out Plan'!$O$71</f>
        <v>0</v>
      </c>
      <c r="EO1012" s="9" t="n">
        <f aca="false">MIN((EO669+EO670)*$C$5,$F$14)*'⑫ Roll-out Plan'!$O$71</f>
        <v>0</v>
      </c>
      <c r="EP1012" s="9" t="n">
        <f aca="false">MIN((EP669+EP670)*$C$5,$F$14)*'⑫ Roll-out Plan'!$O$71</f>
        <v>0</v>
      </c>
      <c r="EQ1012" s="9" t="n">
        <f aca="false">MIN((EQ669+EQ670)*$C$5,$F$14)*'⑫ Roll-out Plan'!$O$71</f>
        <v>0</v>
      </c>
      <c r="ER1012" s="9" t="n">
        <f aca="false">MIN((ER669+ER670)*$C$5,$F$14)*'⑫ Roll-out Plan'!$O$71</f>
        <v>0</v>
      </c>
      <c r="ES1012" s="9" t="n">
        <f aca="false">MIN((ES669+ES670)*$C$5,$F$14)*'⑫ Roll-out Plan'!$O$71</f>
        <v>0</v>
      </c>
      <c r="ET1012" s="9" t="n">
        <f aca="false">MIN((ET669+ET670)*$C$5,$F$14)*'⑫ Roll-out Plan'!$O$71</f>
        <v>0</v>
      </c>
      <c r="EU1012" s="9" t="n">
        <f aca="false">MIN((EU669+EU670)*$C$5,$F$14)*'⑫ Roll-out Plan'!$O$71</f>
        <v>0</v>
      </c>
      <c r="EV1012" s="9" t="n">
        <f aca="false">MIN((EV669+EV670)*$C$5,$F$14)*'⑫ Roll-out Plan'!$O$71</f>
        <v>0</v>
      </c>
      <c r="EW1012" s="9" t="n">
        <f aca="false">MIN((EW669+EW670)*$C$5,$F$14)*'⑫ Roll-out Plan'!$O$71</f>
        <v>0</v>
      </c>
      <c r="EX1012" s="9" t="n">
        <f aca="false">MIN((EX669+EX670)*$C$5,$F$14)*'⑫ Roll-out Plan'!$O$71</f>
        <v>0</v>
      </c>
      <c r="EY1012" s="9" t="n">
        <f aca="false">MIN((EY669+EY670)*$C$5,$F$14)*'⑫ Roll-out Plan'!$O$71</f>
        <v>0</v>
      </c>
      <c r="EZ1012" s="9" t="n">
        <f aca="false">MIN((EZ669+EZ670)*$C$5,$F$14)*'⑫ Roll-out Plan'!$O$71</f>
        <v>0</v>
      </c>
      <c r="FA1012" s="9" t="n">
        <f aca="false">MIN((FA669+FA670)*$C$5,$F$14)*'⑫ Roll-out Plan'!$O$71</f>
        <v>0</v>
      </c>
      <c r="FB1012" s="9" t="n">
        <f aca="false">MIN((FB669+FB670)*$C$5,$F$14)*'⑫ Roll-out Plan'!$O$71</f>
        <v>0</v>
      </c>
      <c r="FC1012" s="9" t="n">
        <f aca="false">MIN((FC669+FC670)*$C$5,$F$14)*'⑫ Roll-out Plan'!$O$71</f>
        <v>0</v>
      </c>
      <c r="FD1012" s="9" t="n">
        <f aca="false">MIN((FD669+FD670)*$C$5,$F$14)*'⑫ Roll-out Plan'!$O$71</f>
        <v>0</v>
      </c>
      <c r="FE1012" s="9" t="n">
        <f aca="false">MIN((FE669+FE670)*$C$5,$F$14)*'⑫ Roll-out Plan'!$O$71</f>
        <v>0</v>
      </c>
      <c r="FF1012" s="9" t="n">
        <f aca="false">MIN((FF669+FF670)*$C$5,$F$14)*'⑫ Roll-out Plan'!$O$71</f>
        <v>0</v>
      </c>
      <c r="FG1012" s="9" t="n">
        <f aca="false">MIN((FG669+FG670)*$C$5,$F$14)*'⑫ Roll-out Plan'!$O$71</f>
        <v>0</v>
      </c>
      <c r="FH1012" s="9" t="n">
        <f aca="false">MIN((FH669+FH670)*$C$5,$F$14)*'⑫ Roll-out Plan'!$O$71</f>
        <v>0</v>
      </c>
      <c r="FI1012" s="9" t="n">
        <f aca="false">MIN((FI669+FI670)*$C$5,$F$14)*'⑫ Roll-out Plan'!$O$71</f>
        <v>0</v>
      </c>
      <c r="FJ1012" s="9" t="n">
        <f aca="false">MIN((FJ669+FJ670)*$C$5,$F$14)*'⑫ Roll-out Plan'!$O$71</f>
        <v>0</v>
      </c>
      <c r="FK1012" s="9" t="n">
        <f aca="false">MIN((FK669+FK670)*$C$5,$F$14)*'⑫ Roll-out Plan'!$O$71</f>
        <v>0</v>
      </c>
      <c r="FL1012" s="9" t="n">
        <f aca="false">MIN((FL669+FL670)*$C$5,$F$14)*'⑫ Roll-out Plan'!$O$71</f>
        <v>0</v>
      </c>
      <c r="FM1012" s="9" t="n">
        <f aca="false">MIN((FM669+FM670)*$C$5,$F$14)*'⑫ Roll-out Plan'!$O$71</f>
        <v>0</v>
      </c>
      <c r="FN1012" s="9" t="n">
        <f aca="false">MIN((FN669+FN670)*$C$5,$F$14)*'⑫ Roll-out Plan'!$O$71</f>
        <v>0</v>
      </c>
      <c r="FO1012" s="9" t="n">
        <f aca="false">MIN((FO669+FO670)*$C$5,$F$14)*'⑫ Roll-out Plan'!$O$71</f>
        <v>0</v>
      </c>
      <c r="FP1012" s="9" t="n">
        <f aca="false">MIN((FP669+FP670)*$C$5,$F$14)*'⑫ Roll-out Plan'!$O$71</f>
        <v>0</v>
      </c>
    </row>
    <row r="1013" customFormat="false" ht="15" hidden="false" customHeight="false" outlineLevel="0" collapsed="false">
      <c r="B1013" s="9" t="s">
        <v>940</v>
      </c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 t="n">
        <f aca="false">MIN((AC679+AC680)*$C$5,$F$15)*'⑫ Roll-out Plan'!$O$72</f>
        <v>0</v>
      </c>
      <c r="AD1013" s="9" t="n">
        <f aca="false">MIN((AD679+AD680)*$C$5,$F$15)*'⑫ Roll-out Plan'!$O$72</f>
        <v>0</v>
      </c>
      <c r="AE1013" s="9" t="n">
        <f aca="false">MIN((AE679+AE680)*$C$5,$F$15)*'⑫ Roll-out Plan'!$O$72</f>
        <v>0</v>
      </c>
      <c r="AF1013" s="9" t="n">
        <f aca="false">MIN((AF679+AF680)*$C$5,$F$15)*'⑫ Roll-out Plan'!$O$72</f>
        <v>0</v>
      </c>
      <c r="AG1013" s="9" t="n">
        <f aca="false">MIN((AG679+AG680)*$C$5,$F$15)*'⑫ Roll-out Plan'!$O$72</f>
        <v>0</v>
      </c>
      <c r="AH1013" s="9" t="n">
        <f aca="false">MIN((AH679+AH680)*$C$5,$F$15)*'⑫ Roll-out Plan'!$O$72</f>
        <v>0</v>
      </c>
      <c r="AI1013" s="9" t="n">
        <f aca="false">MIN((AI679+AI680)*$C$5,$F$15)*'⑫ Roll-out Plan'!$O$72</f>
        <v>0</v>
      </c>
      <c r="AJ1013" s="9" t="n">
        <f aca="false">MIN((AJ679+AJ680)*$C$5,$F$15)*'⑫ Roll-out Plan'!$O$72</f>
        <v>0</v>
      </c>
      <c r="AK1013" s="9" t="n">
        <f aca="false">MIN((AK679+AK680)*$C$5,$F$15)*'⑫ Roll-out Plan'!$O$72</f>
        <v>0</v>
      </c>
      <c r="AL1013" s="9" t="n">
        <f aca="false">MIN((AL679+AL680)*$C$5,$F$15)*'⑫ Roll-out Plan'!$O$72</f>
        <v>0</v>
      </c>
      <c r="AM1013" s="9" t="n">
        <f aca="false">MIN((AM679+AM680)*$C$5,$F$15)*'⑫ Roll-out Plan'!$O$72</f>
        <v>0</v>
      </c>
      <c r="AN1013" s="9" t="n">
        <f aca="false">MIN((AN679+AN680)*$C$5,$F$15)*'⑫ Roll-out Plan'!$O$72</f>
        <v>0</v>
      </c>
      <c r="AO1013" s="9" t="n">
        <f aca="false">MIN((AO679+AO680)*$C$5,$F$15)*'⑫ Roll-out Plan'!$O$72</f>
        <v>0</v>
      </c>
      <c r="AP1013" s="9" t="n">
        <f aca="false">MIN((AP679+AP680)*$C$5,$F$15)*'⑫ Roll-out Plan'!$O$72</f>
        <v>0</v>
      </c>
      <c r="AQ1013" s="9" t="n">
        <f aca="false">MIN((AQ679+AQ680)*$C$5,$F$15)*'⑫ Roll-out Plan'!$O$72</f>
        <v>0</v>
      </c>
      <c r="AR1013" s="9" t="n">
        <f aca="false">MIN((AR679+AR680)*$C$5,$F$15)*'⑫ Roll-out Plan'!$O$72</f>
        <v>0</v>
      </c>
      <c r="AS1013" s="9" t="n">
        <f aca="false">MIN((AS679+AS680)*$C$5,$F$15)*'⑫ Roll-out Plan'!$O$72</f>
        <v>0</v>
      </c>
      <c r="AT1013" s="9" t="n">
        <f aca="false">MIN((AT679+AT680)*$C$5,$F$15)*'⑫ Roll-out Plan'!$O$72</f>
        <v>0</v>
      </c>
      <c r="AU1013" s="9" t="n">
        <f aca="false">MIN((AU679+AU680)*$C$5,$F$15)*'⑫ Roll-out Plan'!$O$72</f>
        <v>0</v>
      </c>
      <c r="AV1013" s="9" t="n">
        <f aca="false">MIN((AV679+AV680)*$C$5,$F$15)*'⑫ Roll-out Plan'!$O$72</f>
        <v>0</v>
      </c>
      <c r="AW1013" s="9" t="n">
        <f aca="false">MIN((AW679+AW680)*$C$5,$F$15)*'⑫ Roll-out Plan'!$O$72</f>
        <v>0</v>
      </c>
      <c r="AX1013" s="9" t="n">
        <f aca="false">MIN((AX679+AX680)*$C$5,$F$15)*'⑫ Roll-out Plan'!$O$72</f>
        <v>0</v>
      </c>
      <c r="AY1013" s="9" t="n">
        <f aca="false">MIN((AY679+AY680)*$C$5,$F$15)*'⑫ Roll-out Plan'!$O$72</f>
        <v>0</v>
      </c>
      <c r="AZ1013" s="9" t="n">
        <f aca="false">MIN((AZ679+AZ680)*$C$5,$F$15)*'⑫ Roll-out Plan'!$O$72</f>
        <v>0</v>
      </c>
      <c r="BA1013" s="9" t="n">
        <f aca="false">MIN((BA679+BA680)*$C$5,$F$15)*'⑫ Roll-out Plan'!$O$72</f>
        <v>0</v>
      </c>
      <c r="BB1013" s="9" t="n">
        <f aca="false">MIN((BB679+BB680)*$C$5,$F$15)*'⑫ Roll-out Plan'!$O$72</f>
        <v>0</v>
      </c>
      <c r="BC1013" s="9" t="n">
        <f aca="false">MIN((BC679+BC680)*$C$5,$F$15)*'⑫ Roll-out Plan'!$O$72</f>
        <v>0</v>
      </c>
      <c r="BD1013" s="9" t="n">
        <f aca="false">MIN((BD679+BD680)*$C$5,$F$15)*'⑫ Roll-out Plan'!$O$72</f>
        <v>0</v>
      </c>
      <c r="BE1013" s="9" t="n">
        <f aca="false">MIN((BE679+BE680)*$C$5,$F$15)*'⑫ Roll-out Plan'!$O$72</f>
        <v>0</v>
      </c>
      <c r="BF1013" s="9" t="n">
        <f aca="false">MIN((BF679+BF680)*$C$5,$F$15)*'⑫ Roll-out Plan'!$O$72</f>
        <v>0</v>
      </c>
      <c r="BG1013" s="9" t="n">
        <f aca="false">MIN((BG679+BG680)*$C$5,$F$15)*'⑫ Roll-out Plan'!$O$72</f>
        <v>0</v>
      </c>
      <c r="BH1013" s="9" t="n">
        <f aca="false">MIN((BH679+BH680)*$C$5,$F$15)*'⑫ Roll-out Plan'!$O$72</f>
        <v>0</v>
      </c>
      <c r="BI1013" s="9" t="n">
        <f aca="false">MIN((BI679+BI680)*$C$5,$F$15)*'⑫ Roll-out Plan'!$O$72</f>
        <v>0</v>
      </c>
      <c r="BJ1013" s="9" t="n">
        <f aca="false">MIN((BJ679+BJ680)*$C$5,$F$15)*'⑫ Roll-out Plan'!$O$72</f>
        <v>0</v>
      </c>
      <c r="BK1013" s="9" t="n">
        <f aca="false">MIN((BK679+BK680)*$C$5,$F$15)*'⑫ Roll-out Plan'!$O$72</f>
        <v>0</v>
      </c>
      <c r="BL1013" s="9" t="n">
        <f aca="false">MIN((BL679+BL680)*$C$5,$F$15)*'⑫ Roll-out Plan'!$O$72</f>
        <v>0</v>
      </c>
      <c r="BM1013" s="9" t="n">
        <f aca="false">MIN((BM679+BM680)*$C$5,$F$15)*'⑫ Roll-out Plan'!$O$72</f>
        <v>0</v>
      </c>
      <c r="BN1013" s="9" t="n">
        <f aca="false">MIN((BN679+BN680)*$C$5,$F$15)*'⑫ Roll-out Plan'!$O$72</f>
        <v>0</v>
      </c>
      <c r="BO1013" s="9" t="n">
        <f aca="false">MIN((BO679+BO680)*$C$5,$F$15)*'⑫ Roll-out Plan'!$O$72</f>
        <v>0</v>
      </c>
      <c r="BP1013" s="9" t="n">
        <f aca="false">MIN((BP679+BP680)*$C$5,$F$15)*'⑫ Roll-out Plan'!$O$72</f>
        <v>0</v>
      </c>
      <c r="BQ1013" s="9" t="n">
        <f aca="false">MIN((BQ679+BQ680)*$C$5,$F$15)*'⑫ Roll-out Plan'!$O$72</f>
        <v>0</v>
      </c>
      <c r="BR1013" s="9" t="n">
        <f aca="false">MIN((BR679+BR680)*$C$5,$F$15)*'⑫ Roll-out Plan'!$O$72</f>
        <v>0</v>
      </c>
      <c r="BS1013" s="9" t="n">
        <f aca="false">MIN((BS679+BS680)*$C$5,$F$15)*'⑫ Roll-out Plan'!$O$72</f>
        <v>0</v>
      </c>
      <c r="BT1013" s="9" t="n">
        <f aca="false">MIN((BT679+BT680)*$C$5,$F$15)*'⑫ Roll-out Plan'!$O$72</f>
        <v>0</v>
      </c>
      <c r="BU1013" s="9" t="n">
        <f aca="false">MIN((BU679+BU680)*$C$5,$F$15)*'⑫ Roll-out Plan'!$O$72</f>
        <v>0</v>
      </c>
      <c r="BV1013" s="9" t="n">
        <f aca="false">MIN((BV679+BV680)*$C$5,$F$15)*'⑫ Roll-out Plan'!$O$72</f>
        <v>0</v>
      </c>
      <c r="BW1013" s="9" t="n">
        <f aca="false">MIN((BW679+BW680)*$C$5,$F$15)*'⑫ Roll-out Plan'!$O$72</f>
        <v>0</v>
      </c>
      <c r="BX1013" s="9" t="n">
        <f aca="false">MIN((BX679+BX680)*$C$5,$F$15)*'⑫ Roll-out Plan'!$O$72</f>
        <v>0</v>
      </c>
      <c r="BY1013" s="9" t="n">
        <f aca="false">MIN((BY679+BY680)*$C$5,$F$15)*'⑫ Roll-out Plan'!$O$72</f>
        <v>0</v>
      </c>
      <c r="BZ1013" s="9" t="n">
        <f aca="false">MIN((BZ679+BZ680)*$C$5,$F$15)*'⑫ Roll-out Plan'!$O$72</f>
        <v>0</v>
      </c>
      <c r="CA1013" s="9" t="n">
        <f aca="false">MIN((CA679+CA680)*$C$5,$F$15)*'⑫ Roll-out Plan'!$O$72</f>
        <v>0</v>
      </c>
      <c r="CB1013" s="9" t="n">
        <f aca="false">MIN((CB679+CB680)*$C$5,$F$15)*'⑫ Roll-out Plan'!$O$72</f>
        <v>0</v>
      </c>
      <c r="CC1013" s="9" t="n">
        <f aca="false">MIN((CC679+CC680)*$C$5,$F$15)*'⑫ Roll-out Plan'!$O$72</f>
        <v>0</v>
      </c>
      <c r="CD1013" s="9" t="n">
        <f aca="false">MIN((CD679+CD680)*$C$5,$F$15)*'⑫ Roll-out Plan'!$O$72</f>
        <v>0</v>
      </c>
      <c r="CE1013" s="9" t="n">
        <f aca="false">MIN((CE679+CE680)*$C$5,$F$15)*'⑫ Roll-out Plan'!$O$72</f>
        <v>0</v>
      </c>
      <c r="CF1013" s="9" t="n">
        <f aca="false">MIN((CF679+CF680)*$C$5,$F$15)*'⑫ Roll-out Plan'!$O$72</f>
        <v>0</v>
      </c>
      <c r="CG1013" s="9" t="n">
        <f aca="false">MIN((CG679+CG680)*$C$5,$F$15)*'⑫ Roll-out Plan'!$O$72</f>
        <v>0</v>
      </c>
      <c r="CH1013" s="9" t="n">
        <f aca="false">MIN((CH679+CH680)*$C$5,$F$15)*'⑫ Roll-out Plan'!$O$72</f>
        <v>0</v>
      </c>
      <c r="CI1013" s="9" t="n">
        <f aca="false">MIN((CI679+CI680)*$C$5,$F$15)*'⑫ Roll-out Plan'!$O$72</f>
        <v>0</v>
      </c>
      <c r="CJ1013" s="9" t="n">
        <f aca="false">MIN((CJ679+CJ680)*$C$5,$F$15)*'⑫ Roll-out Plan'!$O$72</f>
        <v>0</v>
      </c>
      <c r="CK1013" s="9" t="n">
        <f aca="false">MIN((CK679+CK680)*$C$5,$F$15)*'⑫ Roll-out Plan'!$O$72</f>
        <v>0</v>
      </c>
      <c r="CL1013" s="9" t="n">
        <f aca="false">MIN((CL679+CL680)*$C$5,$F$15)*'⑫ Roll-out Plan'!$O$72</f>
        <v>0</v>
      </c>
      <c r="CM1013" s="9" t="n">
        <f aca="false">MIN((CM679+CM680)*$C$5,$F$15)*'⑫ Roll-out Plan'!$O$72</f>
        <v>0</v>
      </c>
      <c r="CN1013" s="9" t="n">
        <f aca="false">MIN((CN679+CN680)*$C$5,$F$15)*'⑫ Roll-out Plan'!$O$72</f>
        <v>0</v>
      </c>
      <c r="CO1013" s="9" t="n">
        <f aca="false">MIN((CO679+CO680)*$C$5,$F$15)*'⑫ Roll-out Plan'!$O$72</f>
        <v>0</v>
      </c>
      <c r="CP1013" s="9" t="n">
        <f aca="false">MIN((CP679+CP680)*$C$5,$F$15)*'⑫ Roll-out Plan'!$O$72</f>
        <v>0</v>
      </c>
      <c r="CQ1013" s="9" t="n">
        <f aca="false">MIN((CQ679+CQ680)*$C$5,$F$15)*'⑫ Roll-out Plan'!$O$72</f>
        <v>0</v>
      </c>
      <c r="CR1013" s="9" t="n">
        <f aca="false">MIN((CR679+CR680)*$C$5,$F$15)*'⑫ Roll-out Plan'!$O$72</f>
        <v>0</v>
      </c>
      <c r="CS1013" s="9" t="n">
        <f aca="false">MIN((CS679+CS680)*$C$5,$F$15)*'⑫ Roll-out Plan'!$O$72</f>
        <v>0</v>
      </c>
      <c r="CT1013" s="9" t="n">
        <f aca="false">MIN((CT679+CT680)*$C$5,$F$15)*'⑫ Roll-out Plan'!$O$72</f>
        <v>0</v>
      </c>
      <c r="CU1013" s="9" t="n">
        <f aca="false">MIN((CU679+CU680)*$C$5,$F$15)*'⑫ Roll-out Plan'!$O$72</f>
        <v>0</v>
      </c>
      <c r="CV1013" s="9" t="n">
        <f aca="false">MIN((CV679+CV680)*$C$5,$F$15)*'⑫ Roll-out Plan'!$O$72</f>
        <v>0</v>
      </c>
      <c r="CW1013" s="9" t="n">
        <f aca="false">MIN((CW679+CW680)*$C$5,$F$15)*'⑫ Roll-out Plan'!$O$72</f>
        <v>0</v>
      </c>
      <c r="CX1013" s="9" t="n">
        <f aca="false">MIN((CX679+CX680)*$C$5,$F$15)*'⑫ Roll-out Plan'!$O$72</f>
        <v>0</v>
      </c>
      <c r="CY1013" s="9" t="n">
        <f aca="false">MIN((CY679+CY680)*$C$5,$F$15)*'⑫ Roll-out Plan'!$O$72</f>
        <v>0</v>
      </c>
      <c r="CZ1013" s="9" t="n">
        <f aca="false">MIN((CZ679+CZ680)*$C$5,$F$15)*'⑫ Roll-out Plan'!$O$72</f>
        <v>0</v>
      </c>
      <c r="DA1013" s="9" t="n">
        <f aca="false">MIN((DA679+DA680)*$C$5,$F$15)*'⑫ Roll-out Plan'!$O$72</f>
        <v>0</v>
      </c>
      <c r="DB1013" s="9" t="n">
        <f aca="false">MIN((DB679+DB680)*$C$5,$F$15)*'⑫ Roll-out Plan'!$O$72</f>
        <v>0</v>
      </c>
      <c r="DC1013" s="9" t="n">
        <f aca="false">MIN((DC679+DC680)*$C$5,$F$15)*'⑫ Roll-out Plan'!$O$72</f>
        <v>0</v>
      </c>
      <c r="DD1013" s="9" t="n">
        <f aca="false">MIN((DD679+DD680)*$C$5,$F$15)*'⑫ Roll-out Plan'!$O$72</f>
        <v>0</v>
      </c>
      <c r="DE1013" s="9" t="n">
        <f aca="false">MIN((DE679+DE680)*$C$5,$F$15)*'⑫ Roll-out Plan'!$O$72</f>
        <v>0</v>
      </c>
      <c r="DF1013" s="9" t="n">
        <f aca="false">MIN((DF679+DF680)*$C$5,$F$15)*'⑫ Roll-out Plan'!$O$72</f>
        <v>0</v>
      </c>
      <c r="DG1013" s="9" t="n">
        <f aca="false">MIN((DG679+DG680)*$C$5,$F$15)*'⑫ Roll-out Plan'!$O$72</f>
        <v>0</v>
      </c>
      <c r="DH1013" s="9" t="n">
        <f aca="false">MIN((DH679+DH680)*$C$5,$F$15)*'⑫ Roll-out Plan'!$O$72</f>
        <v>0</v>
      </c>
      <c r="DI1013" s="9" t="n">
        <f aca="false">MIN((DI679+DI680)*$C$5,$F$15)*'⑫ Roll-out Plan'!$O$72</f>
        <v>0</v>
      </c>
      <c r="DJ1013" s="9" t="n">
        <f aca="false">MIN((DJ679+DJ680)*$C$5,$F$15)*'⑫ Roll-out Plan'!$O$72</f>
        <v>0</v>
      </c>
      <c r="DK1013" s="9" t="n">
        <f aca="false">MIN((DK679+DK680)*$C$5,$F$15)*'⑫ Roll-out Plan'!$O$72</f>
        <v>0</v>
      </c>
      <c r="DL1013" s="9" t="n">
        <f aca="false">MIN((DL679+DL680)*$C$5,$F$15)*'⑫ Roll-out Plan'!$O$72</f>
        <v>0</v>
      </c>
      <c r="DM1013" s="9" t="n">
        <f aca="false">MIN((DM679+DM680)*$C$5,$F$15)*'⑫ Roll-out Plan'!$O$72</f>
        <v>0</v>
      </c>
      <c r="DN1013" s="9" t="n">
        <f aca="false">MIN((DN679+DN680)*$C$5,$F$15)*'⑫ Roll-out Plan'!$O$72</f>
        <v>0</v>
      </c>
      <c r="DO1013" s="9" t="n">
        <f aca="false">MIN((DO679+DO680)*$C$5,$F$15)*'⑫ Roll-out Plan'!$O$72</f>
        <v>0</v>
      </c>
      <c r="DP1013" s="9" t="n">
        <f aca="false">MIN((DP679+DP680)*$C$5,$F$15)*'⑫ Roll-out Plan'!$O$72</f>
        <v>0</v>
      </c>
      <c r="DQ1013" s="9" t="n">
        <f aca="false">MIN((DQ679+DQ680)*$C$5,$F$15)*'⑫ Roll-out Plan'!$O$72</f>
        <v>0</v>
      </c>
      <c r="DR1013" s="9" t="n">
        <f aca="false">MIN((DR679+DR680)*$C$5,$F$15)*'⑫ Roll-out Plan'!$O$72</f>
        <v>0</v>
      </c>
      <c r="DS1013" s="9" t="n">
        <f aca="false">MIN((DS679+DS680)*$C$5,$F$15)*'⑫ Roll-out Plan'!$O$72</f>
        <v>0</v>
      </c>
      <c r="DT1013" s="9" t="n">
        <f aca="false">MIN((DT679+DT680)*$C$5,$F$15)*'⑫ Roll-out Plan'!$O$72</f>
        <v>0</v>
      </c>
      <c r="DU1013" s="9" t="n">
        <f aca="false">MIN((DU679+DU680)*$C$5,$F$15)*'⑫ Roll-out Plan'!$O$72</f>
        <v>0</v>
      </c>
      <c r="DV1013" s="9" t="n">
        <f aca="false">MIN((DV679+DV680)*$C$5,$F$15)*'⑫ Roll-out Plan'!$O$72</f>
        <v>0</v>
      </c>
      <c r="DW1013" s="9" t="n">
        <f aca="false">MIN((DW679+DW680)*$C$5,$F$15)*'⑫ Roll-out Plan'!$O$72</f>
        <v>0</v>
      </c>
      <c r="DX1013" s="9" t="n">
        <f aca="false">MIN((DX679+DX680)*$C$5,$F$15)*'⑫ Roll-out Plan'!$O$72</f>
        <v>0</v>
      </c>
      <c r="DY1013" s="9" t="n">
        <f aca="false">MIN((DY679+DY680)*$C$5,$F$15)*'⑫ Roll-out Plan'!$O$72</f>
        <v>0</v>
      </c>
      <c r="DZ1013" s="9" t="n">
        <f aca="false">MIN((DZ679+DZ680)*$C$5,$F$15)*'⑫ Roll-out Plan'!$O$72</f>
        <v>0</v>
      </c>
      <c r="EA1013" s="9" t="n">
        <f aca="false">MIN((EA679+EA680)*$C$5,$F$15)*'⑫ Roll-out Plan'!$O$72</f>
        <v>0</v>
      </c>
      <c r="EB1013" s="9" t="n">
        <f aca="false">MIN((EB679+EB680)*$C$5,$F$15)*'⑫ Roll-out Plan'!$O$72</f>
        <v>0</v>
      </c>
      <c r="EC1013" s="9" t="n">
        <f aca="false">MIN((EC679+EC680)*$C$5,$F$15)*'⑫ Roll-out Plan'!$O$72</f>
        <v>0</v>
      </c>
      <c r="ED1013" s="9" t="n">
        <f aca="false">MIN((ED679+ED680)*$C$5,$F$15)*'⑫ Roll-out Plan'!$O$72</f>
        <v>0</v>
      </c>
      <c r="EE1013" s="9" t="n">
        <f aca="false">MIN((EE679+EE680)*$C$5,$F$15)*'⑫ Roll-out Plan'!$O$72</f>
        <v>0</v>
      </c>
      <c r="EF1013" s="9" t="n">
        <f aca="false">MIN((EF679+EF680)*$C$5,$F$15)*'⑫ Roll-out Plan'!$O$72</f>
        <v>0</v>
      </c>
      <c r="EG1013" s="9" t="n">
        <f aca="false">MIN((EG679+EG680)*$C$5,$F$15)*'⑫ Roll-out Plan'!$O$72</f>
        <v>0</v>
      </c>
      <c r="EH1013" s="9" t="n">
        <f aca="false">MIN((EH679+EH680)*$C$5,$F$15)*'⑫ Roll-out Plan'!$O$72</f>
        <v>0</v>
      </c>
      <c r="EI1013" s="9" t="n">
        <f aca="false">MIN((EI679+EI680)*$C$5,$F$15)*'⑫ Roll-out Plan'!$O$72</f>
        <v>0</v>
      </c>
      <c r="EJ1013" s="9" t="n">
        <f aca="false">MIN((EJ679+EJ680)*$C$5,$F$15)*'⑫ Roll-out Plan'!$O$72</f>
        <v>0</v>
      </c>
      <c r="EK1013" s="9" t="n">
        <f aca="false">MIN((EK679+EK680)*$C$5,$F$15)*'⑫ Roll-out Plan'!$O$72</f>
        <v>0</v>
      </c>
      <c r="EL1013" s="9" t="n">
        <f aca="false">MIN((EL679+EL680)*$C$5,$F$15)*'⑫ Roll-out Plan'!$O$72</f>
        <v>0</v>
      </c>
      <c r="EM1013" s="9" t="n">
        <f aca="false">MIN((EM679+EM680)*$C$5,$F$15)*'⑫ Roll-out Plan'!$O$72</f>
        <v>0</v>
      </c>
      <c r="EN1013" s="9" t="n">
        <f aca="false">MIN((EN679+EN680)*$C$5,$F$15)*'⑫ Roll-out Plan'!$O$72</f>
        <v>0</v>
      </c>
      <c r="EO1013" s="9" t="n">
        <f aca="false">MIN((EO679+EO680)*$C$5,$F$15)*'⑫ Roll-out Plan'!$O$72</f>
        <v>0</v>
      </c>
      <c r="EP1013" s="9" t="n">
        <f aca="false">MIN((EP679+EP680)*$C$5,$F$15)*'⑫ Roll-out Plan'!$O$72</f>
        <v>0</v>
      </c>
      <c r="EQ1013" s="9" t="n">
        <f aca="false">MIN((EQ679+EQ680)*$C$5,$F$15)*'⑫ Roll-out Plan'!$O$72</f>
        <v>0</v>
      </c>
      <c r="ER1013" s="9" t="n">
        <f aca="false">MIN((ER679+ER680)*$C$5,$F$15)*'⑫ Roll-out Plan'!$O$72</f>
        <v>0</v>
      </c>
      <c r="ES1013" s="9" t="n">
        <f aca="false">MIN((ES679+ES680)*$C$5,$F$15)*'⑫ Roll-out Plan'!$O$72</f>
        <v>0</v>
      </c>
      <c r="ET1013" s="9" t="n">
        <f aca="false">MIN((ET679+ET680)*$C$5,$F$15)*'⑫ Roll-out Plan'!$O$72</f>
        <v>0</v>
      </c>
      <c r="EU1013" s="9" t="n">
        <f aca="false">MIN((EU679+EU680)*$C$5,$F$15)*'⑫ Roll-out Plan'!$O$72</f>
        <v>0</v>
      </c>
      <c r="EV1013" s="9" t="n">
        <f aca="false">MIN((EV679+EV680)*$C$5,$F$15)*'⑫ Roll-out Plan'!$O$72</f>
        <v>0</v>
      </c>
      <c r="EW1013" s="9" t="n">
        <f aca="false">MIN((EW679+EW680)*$C$5,$F$15)*'⑫ Roll-out Plan'!$O$72</f>
        <v>0</v>
      </c>
      <c r="EX1013" s="9" t="n">
        <f aca="false">MIN((EX679+EX680)*$C$5,$F$15)*'⑫ Roll-out Plan'!$O$72</f>
        <v>0</v>
      </c>
      <c r="EY1013" s="9" t="n">
        <f aca="false">MIN((EY679+EY680)*$C$5,$F$15)*'⑫ Roll-out Plan'!$O$72</f>
        <v>0</v>
      </c>
      <c r="EZ1013" s="9" t="n">
        <f aca="false">MIN((EZ679+EZ680)*$C$5,$F$15)*'⑫ Roll-out Plan'!$O$72</f>
        <v>0</v>
      </c>
      <c r="FA1013" s="9" t="n">
        <f aca="false">MIN((FA679+FA680)*$C$5,$F$15)*'⑫ Roll-out Plan'!$O$72</f>
        <v>0</v>
      </c>
      <c r="FB1013" s="9" t="n">
        <f aca="false">MIN((FB679+FB680)*$C$5,$F$15)*'⑫ Roll-out Plan'!$O$72</f>
        <v>0</v>
      </c>
      <c r="FC1013" s="9" t="n">
        <f aca="false">MIN((FC679+FC680)*$C$5,$F$15)*'⑫ Roll-out Plan'!$O$72</f>
        <v>0</v>
      </c>
      <c r="FD1013" s="9" t="n">
        <f aca="false">MIN((FD679+FD680)*$C$5,$F$15)*'⑫ Roll-out Plan'!$O$72</f>
        <v>0</v>
      </c>
      <c r="FE1013" s="9" t="n">
        <f aca="false">MIN((FE679+FE680)*$C$5,$F$15)*'⑫ Roll-out Plan'!$O$72</f>
        <v>0</v>
      </c>
      <c r="FF1013" s="9" t="n">
        <f aca="false">MIN((FF679+FF680)*$C$5,$F$15)*'⑫ Roll-out Plan'!$O$72</f>
        <v>0</v>
      </c>
      <c r="FG1013" s="9" t="n">
        <f aca="false">MIN((FG679+FG680)*$C$5,$F$15)*'⑫ Roll-out Plan'!$O$72</f>
        <v>0</v>
      </c>
      <c r="FH1013" s="9" t="n">
        <f aca="false">MIN((FH679+FH680)*$C$5,$F$15)*'⑫ Roll-out Plan'!$O$72</f>
        <v>0</v>
      </c>
      <c r="FI1013" s="9" t="n">
        <f aca="false">MIN((FI679+FI680)*$C$5,$F$15)*'⑫ Roll-out Plan'!$O$72</f>
        <v>0</v>
      </c>
      <c r="FJ1013" s="9" t="n">
        <f aca="false">MIN((FJ679+FJ680)*$C$5,$F$15)*'⑫ Roll-out Plan'!$O$72</f>
        <v>0</v>
      </c>
      <c r="FK1013" s="9" t="n">
        <f aca="false">MIN((FK679+FK680)*$C$5,$F$15)*'⑫ Roll-out Plan'!$O$72</f>
        <v>0</v>
      </c>
      <c r="FL1013" s="9" t="n">
        <f aca="false">MIN((FL679+FL680)*$C$5,$F$15)*'⑫ Roll-out Plan'!$O$72</f>
        <v>0</v>
      </c>
      <c r="FM1013" s="9" t="n">
        <f aca="false">MIN((FM679+FM680)*$C$5,$F$15)*'⑫ Roll-out Plan'!$O$72</f>
        <v>0</v>
      </c>
      <c r="FN1013" s="9" t="n">
        <f aca="false">MIN((FN679+FN680)*$C$5,$F$15)*'⑫ Roll-out Plan'!$O$72</f>
        <v>0</v>
      </c>
      <c r="FO1013" s="9" t="n">
        <f aca="false">MIN((FO679+FO680)*$C$5,$F$15)*'⑫ Roll-out Plan'!$O$72</f>
        <v>0</v>
      </c>
      <c r="FP1013" s="9" t="n">
        <f aca="false">MIN((FP679+FP680)*$C$5,$F$15)*'⑫ Roll-out Plan'!$O$72</f>
        <v>0</v>
      </c>
    </row>
    <row r="1014" customFormat="false" ht="15" hidden="false" customHeight="false" outlineLevel="0" collapsed="false">
      <c r="B1014" s="9" t="s">
        <v>941</v>
      </c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121" t="n">
        <f aca="false">MIN((AC689+AC690)*$C$5,$F$15)*'⑫ Roll-out Plan'!$O$73</f>
        <v>0</v>
      </c>
      <c r="AD1014" s="9" t="n">
        <f aca="false">MIN((AD689+AD690)*$C$5,$F$15)*'⑫ Roll-out Plan'!$O$73</f>
        <v>0</v>
      </c>
      <c r="AE1014" s="9" t="n">
        <f aca="false">MIN((AE689+AE690)*$C$5,$F$15)*'⑫ Roll-out Plan'!$O$73</f>
        <v>0</v>
      </c>
      <c r="AF1014" s="9" t="n">
        <f aca="false">MIN((AF689+AF690)*$C$5,$F$15)*'⑫ Roll-out Plan'!$O$73</f>
        <v>0</v>
      </c>
      <c r="AG1014" s="9" t="n">
        <f aca="false">MIN((AG689+AG690)*$C$5,$F$15)*'⑫ Roll-out Plan'!$O$73</f>
        <v>0</v>
      </c>
      <c r="AH1014" s="9" t="n">
        <f aca="false">MIN((AH689+AH690)*$C$5,$F$15)*'⑫ Roll-out Plan'!$O$73</f>
        <v>0</v>
      </c>
      <c r="AI1014" s="9" t="n">
        <f aca="false">MIN((AI689+AI690)*$C$5,$F$15)*'⑫ Roll-out Plan'!$O$73</f>
        <v>0</v>
      </c>
      <c r="AJ1014" s="9" t="n">
        <f aca="false">MIN((AJ689+AJ690)*$C$5,$F$15)*'⑫ Roll-out Plan'!$O$73</f>
        <v>0</v>
      </c>
      <c r="AK1014" s="9" t="n">
        <f aca="false">MIN((AK689+AK690)*$C$5,$F$15)*'⑫ Roll-out Plan'!$O$73</f>
        <v>0</v>
      </c>
      <c r="AL1014" s="9" t="n">
        <f aca="false">MIN((AL689+AL690)*$C$5,$F$15)*'⑫ Roll-out Plan'!$O$73</f>
        <v>0</v>
      </c>
      <c r="AM1014" s="9" t="n">
        <f aca="false">MIN((AM689+AM690)*$C$5,$F$15)*'⑫ Roll-out Plan'!$O$73</f>
        <v>0</v>
      </c>
      <c r="AN1014" s="9" t="n">
        <f aca="false">MIN((AN689+AN690)*$C$5,$F$15)*'⑫ Roll-out Plan'!$O$73</f>
        <v>0</v>
      </c>
      <c r="AO1014" s="9" t="n">
        <f aca="false">MIN((AO689+AO690)*$C$5,$F$15)*'⑫ Roll-out Plan'!$O$73</f>
        <v>0</v>
      </c>
      <c r="AP1014" s="9" t="n">
        <f aca="false">MIN((AP689+AP690)*$C$5,$F$15)*'⑫ Roll-out Plan'!$O$73</f>
        <v>0</v>
      </c>
      <c r="AQ1014" s="9" t="n">
        <f aca="false">MIN((AQ689+AQ690)*$C$5,$F$15)*'⑫ Roll-out Plan'!$O$73</f>
        <v>0</v>
      </c>
      <c r="AR1014" s="9" t="n">
        <f aca="false">MIN((AR689+AR690)*$C$5,$F$15)*'⑫ Roll-out Plan'!$O$73</f>
        <v>0</v>
      </c>
      <c r="AS1014" s="9" t="n">
        <f aca="false">MIN((AS689+AS690)*$C$5,$F$15)*'⑫ Roll-out Plan'!$O$73</f>
        <v>0</v>
      </c>
      <c r="AT1014" s="9" t="n">
        <f aca="false">MIN((AT689+AT690)*$C$5,$F$15)*'⑫ Roll-out Plan'!$O$73</f>
        <v>0</v>
      </c>
      <c r="AU1014" s="9" t="n">
        <f aca="false">MIN((AU689+AU690)*$C$5,$F$15)*'⑫ Roll-out Plan'!$O$73</f>
        <v>0</v>
      </c>
      <c r="AV1014" s="9" t="n">
        <f aca="false">MIN((AV689+AV690)*$C$5,$F$15)*'⑫ Roll-out Plan'!$O$73</f>
        <v>0</v>
      </c>
      <c r="AW1014" s="9" t="n">
        <f aca="false">MIN((AW689+AW690)*$C$5,$F$15)*'⑫ Roll-out Plan'!$O$73</f>
        <v>0</v>
      </c>
      <c r="AX1014" s="9" t="n">
        <f aca="false">MIN((AX689+AX690)*$C$5,$F$15)*'⑫ Roll-out Plan'!$O$73</f>
        <v>0</v>
      </c>
      <c r="AY1014" s="9" t="n">
        <f aca="false">MIN((AY689+AY690)*$C$5,$F$15)*'⑫ Roll-out Plan'!$O$73</f>
        <v>0</v>
      </c>
      <c r="AZ1014" s="9" t="n">
        <f aca="false">MIN((AZ689+AZ690)*$C$5,$F$15)*'⑫ Roll-out Plan'!$O$73</f>
        <v>0</v>
      </c>
      <c r="BA1014" s="9" t="n">
        <f aca="false">MIN((BA689+BA690)*$C$5,$F$15)*'⑫ Roll-out Plan'!$O$73</f>
        <v>0</v>
      </c>
      <c r="BB1014" s="9" t="n">
        <f aca="false">MIN((BB689+BB690)*$C$5,$F$15)*'⑫ Roll-out Plan'!$O$73</f>
        <v>0</v>
      </c>
      <c r="BC1014" s="9" t="n">
        <f aca="false">MIN((BC689+BC690)*$C$5,$F$15)*'⑫ Roll-out Plan'!$O$73</f>
        <v>0</v>
      </c>
      <c r="BD1014" s="9" t="n">
        <f aca="false">MIN((BD689+BD690)*$C$5,$F$15)*'⑫ Roll-out Plan'!$O$73</f>
        <v>0</v>
      </c>
      <c r="BE1014" s="9" t="n">
        <f aca="false">MIN((BE689+BE690)*$C$5,$F$15)*'⑫ Roll-out Plan'!$O$73</f>
        <v>0</v>
      </c>
      <c r="BF1014" s="9" t="n">
        <f aca="false">MIN((BF689+BF690)*$C$5,$F$15)*'⑫ Roll-out Plan'!$O$73</f>
        <v>0</v>
      </c>
      <c r="BG1014" s="9" t="n">
        <f aca="false">MIN((BG689+BG690)*$C$5,$F$15)*'⑫ Roll-out Plan'!$O$73</f>
        <v>0</v>
      </c>
      <c r="BH1014" s="9" t="n">
        <f aca="false">MIN((BH689+BH690)*$C$5,$F$15)*'⑫ Roll-out Plan'!$O$73</f>
        <v>0</v>
      </c>
      <c r="BI1014" s="9" t="n">
        <f aca="false">MIN((BI689+BI690)*$C$5,$F$15)*'⑫ Roll-out Plan'!$O$73</f>
        <v>0</v>
      </c>
      <c r="BJ1014" s="9" t="n">
        <f aca="false">MIN((BJ689+BJ690)*$C$5,$F$15)*'⑫ Roll-out Plan'!$O$73</f>
        <v>0</v>
      </c>
      <c r="BK1014" s="9" t="n">
        <f aca="false">MIN((BK689+BK690)*$C$5,$F$15)*'⑫ Roll-out Plan'!$O$73</f>
        <v>0</v>
      </c>
      <c r="BL1014" s="9" t="n">
        <f aca="false">MIN((BL689+BL690)*$C$5,$F$15)*'⑫ Roll-out Plan'!$O$73</f>
        <v>0</v>
      </c>
      <c r="BM1014" s="9" t="n">
        <f aca="false">MIN((BM689+BM690)*$C$5,$F$15)*'⑫ Roll-out Plan'!$O$73</f>
        <v>0</v>
      </c>
      <c r="BN1014" s="9" t="n">
        <f aca="false">MIN((BN689+BN690)*$C$5,$F$15)*'⑫ Roll-out Plan'!$O$73</f>
        <v>0</v>
      </c>
      <c r="BO1014" s="9" t="n">
        <f aca="false">MIN((BO689+BO690)*$C$5,$F$15)*'⑫ Roll-out Plan'!$O$73</f>
        <v>0</v>
      </c>
      <c r="BP1014" s="9" t="n">
        <f aca="false">MIN((BP689+BP690)*$C$5,$F$15)*'⑫ Roll-out Plan'!$O$73</f>
        <v>0</v>
      </c>
      <c r="BQ1014" s="9" t="n">
        <f aca="false">MIN((BQ689+BQ690)*$C$5,$F$15)*'⑫ Roll-out Plan'!$O$73</f>
        <v>0</v>
      </c>
      <c r="BR1014" s="9" t="n">
        <f aca="false">MIN((BR689+BR690)*$C$5,$F$15)*'⑫ Roll-out Plan'!$O$73</f>
        <v>0</v>
      </c>
      <c r="BS1014" s="9" t="n">
        <f aca="false">MIN((BS689+BS690)*$C$5,$F$15)*'⑫ Roll-out Plan'!$O$73</f>
        <v>0</v>
      </c>
      <c r="BT1014" s="9" t="n">
        <f aca="false">MIN((BT689+BT690)*$C$5,$F$15)*'⑫ Roll-out Plan'!$O$73</f>
        <v>0</v>
      </c>
      <c r="BU1014" s="9" t="n">
        <f aca="false">MIN((BU689+BU690)*$C$5,$F$15)*'⑫ Roll-out Plan'!$O$73</f>
        <v>0</v>
      </c>
      <c r="BV1014" s="9" t="n">
        <f aca="false">MIN((BV689+BV690)*$C$5,$F$15)*'⑫ Roll-out Plan'!$O$73</f>
        <v>0</v>
      </c>
      <c r="BW1014" s="9" t="n">
        <f aca="false">MIN((BW689+BW690)*$C$5,$F$15)*'⑫ Roll-out Plan'!$O$73</f>
        <v>0</v>
      </c>
      <c r="BX1014" s="9" t="n">
        <f aca="false">MIN((BX689+BX690)*$C$5,$F$15)*'⑫ Roll-out Plan'!$O$73</f>
        <v>0</v>
      </c>
      <c r="BY1014" s="9" t="n">
        <f aca="false">MIN((BY689+BY690)*$C$5,$F$15)*'⑫ Roll-out Plan'!$O$73</f>
        <v>0</v>
      </c>
      <c r="BZ1014" s="9" t="n">
        <f aca="false">MIN((BZ689+BZ690)*$C$5,$F$15)*'⑫ Roll-out Plan'!$O$73</f>
        <v>0</v>
      </c>
      <c r="CA1014" s="9" t="n">
        <f aca="false">MIN((CA689+CA690)*$C$5,$F$15)*'⑫ Roll-out Plan'!$O$73</f>
        <v>0</v>
      </c>
      <c r="CB1014" s="9" t="n">
        <f aca="false">MIN((CB689+CB690)*$C$5,$F$15)*'⑫ Roll-out Plan'!$O$73</f>
        <v>0</v>
      </c>
      <c r="CC1014" s="9" t="n">
        <f aca="false">MIN((CC689+CC690)*$C$5,$F$15)*'⑫ Roll-out Plan'!$O$73</f>
        <v>0</v>
      </c>
      <c r="CD1014" s="9" t="n">
        <f aca="false">MIN((CD689+CD690)*$C$5,$F$15)*'⑫ Roll-out Plan'!$O$73</f>
        <v>0</v>
      </c>
      <c r="CE1014" s="9" t="n">
        <f aca="false">MIN((CE689+CE690)*$C$5,$F$15)*'⑫ Roll-out Plan'!$O$73</f>
        <v>0</v>
      </c>
      <c r="CF1014" s="9" t="n">
        <f aca="false">MIN((CF689+CF690)*$C$5,$F$15)*'⑫ Roll-out Plan'!$O$73</f>
        <v>0</v>
      </c>
      <c r="CG1014" s="9" t="n">
        <f aca="false">MIN((CG689+CG690)*$C$5,$F$15)*'⑫ Roll-out Plan'!$O$73</f>
        <v>0</v>
      </c>
      <c r="CH1014" s="9" t="n">
        <f aca="false">MIN((CH689+CH690)*$C$5,$F$15)*'⑫ Roll-out Plan'!$O$73</f>
        <v>0</v>
      </c>
      <c r="CI1014" s="9" t="n">
        <f aca="false">MIN((CI689+CI690)*$C$5,$F$15)*'⑫ Roll-out Plan'!$O$73</f>
        <v>0</v>
      </c>
      <c r="CJ1014" s="9" t="n">
        <f aca="false">MIN((CJ689+CJ690)*$C$5,$F$15)*'⑫ Roll-out Plan'!$O$73</f>
        <v>0</v>
      </c>
      <c r="CK1014" s="9" t="n">
        <f aca="false">MIN((CK689+CK690)*$C$5,$F$15)*'⑫ Roll-out Plan'!$O$73</f>
        <v>0</v>
      </c>
      <c r="CL1014" s="9" t="n">
        <f aca="false">MIN((CL689+CL690)*$C$5,$F$15)*'⑫ Roll-out Plan'!$O$73</f>
        <v>0</v>
      </c>
      <c r="CM1014" s="9" t="n">
        <f aca="false">MIN((CM689+CM690)*$C$5,$F$15)*'⑫ Roll-out Plan'!$O$73</f>
        <v>0</v>
      </c>
      <c r="CN1014" s="9" t="n">
        <f aca="false">MIN((CN689+CN690)*$C$5,$F$15)*'⑫ Roll-out Plan'!$O$73</f>
        <v>0</v>
      </c>
      <c r="CO1014" s="9" t="n">
        <f aca="false">MIN((CO689+CO690)*$C$5,$F$15)*'⑫ Roll-out Plan'!$O$73</f>
        <v>0</v>
      </c>
      <c r="CP1014" s="9" t="n">
        <f aca="false">MIN((CP689+CP690)*$C$5,$F$15)*'⑫ Roll-out Plan'!$O$73</f>
        <v>0</v>
      </c>
      <c r="CQ1014" s="9" t="n">
        <f aca="false">MIN((CQ689+CQ690)*$C$5,$F$15)*'⑫ Roll-out Plan'!$O$73</f>
        <v>0</v>
      </c>
      <c r="CR1014" s="9" t="n">
        <f aca="false">MIN((CR689+CR690)*$C$5,$F$15)*'⑫ Roll-out Plan'!$O$73</f>
        <v>0</v>
      </c>
      <c r="CS1014" s="9" t="n">
        <f aca="false">MIN((CS689+CS690)*$C$5,$F$15)*'⑫ Roll-out Plan'!$O$73</f>
        <v>0</v>
      </c>
      <c r="CT1014" s="9" t="n">
        <f aca="false">MIN((CT689+CT690)*$C$5,$F$15)*'⑫ Roll-out Plan'!$O$73</f>
        <v>0</v>
      </c>
      <c r="CU1014" s="9" t="n">
        <f aca="false">MIN((CU689+CU690)*$C$5,$F$15)*'⑫ Roll-out Plan'!$O$73</f>
        <v>0</v>
      </c>
      <c r="CV1014" s="9" t="n">
        <f aca="false">MIN((CV689+CV690)*$C$5,$F$15)*'⑫ Roll-out Plan'!$O$73</f>
        <v>0</v>
      </c>
      <c r="CW1014" s="9" t="n">
        <f aca="false">MIN((CW689+CW690)*$C$5,$F$15)*'⑫ Roll-out Plan'!$O$73</f>
        <v>5234.76</v>
      </c>
      <c r="CX1014" s="9" t="n">
        <f aca="false">MIN((CX689+CX690)*$C$5,$F$15)*'⑫ Roll-out Plan'!$O$73</f>
        <v>5042.04328</v>
      </c>
      <c r="CY1014" s="9" t="n">
        <f aca="false">MIN((CY689+CY690)*$C$5,$F$15)*'⑫ Roll-out Plan'!$O$73</f>
        <v>7398.771008</v>
      </c>
      <c r="CZ1014" s="9" t="n">
        <f aca="false">MIN((CZ689+CZ690)*$C$5,$F$15)*'⑫ Roll-out Plan'!$O$73</f>
        <v>8255.6197904</v>
      </c>
      <c r="DA1014" s="9" t="n">
        <f aca="false">MIN((DA689+DA690)*$C$5,$F$15)*'⑫ Roll-out Plan'!$O$73</f>
        <v>7224.976976</v>
      </c>
      <c r="DB1014" s="9" t="n">
        <f aca="false">MIN((DB689+DB690)*$C$5,$F$15)*'⑫ Roll-out Plan'!$O$73</f>
        <v>7164.8664208</v>
      </c>
      <c r="DC1014" s="9" t="n">
        <f aca="false">MIN((DC689+DC690)*$C$5,$F$15)*'⑫ Roll-out Plan'!$O$73</f>
        <v>8315.047888</v>
      </c>
      <c r="DD1014" s="9" t="n">
        <f aca="false">MIN((DD689+DD690)*$C$5,$F$15)*'⑫ Roll-out Plan'!$O$73</f>
        <v>14835.6278032</v>
      </c>
      <c r="DE1014" s="9" t="n">
        <f aca="false">MIN((DE689+DE690)*$C$5,$F$15)*'⑫ Roll-out Plan'!$O$73</f>
        <v>14621.1267264</v>
      </c>
      <c r="DF1014" s="9" t="n">
        <f aca="false">MIN((DF689+DF690)*$C$5,$F$15)*'⑫ Roll-out Plan'!$O$73</f>
        <v>12564.4476864</v>
      </c>
      <c r="DG1014" s="9" t="n">
        <f aca="false">MIN((DG689+DG690)*$C$5,$F$15)*'⑫ Roll-out Plan'!$O$73</f>
        <v>10663.7257184</v>
      </c>
      <c r="DH1014" s="9" t="n">
        <f aca="false">MIN((DH689+DH690)*$C$5,$F$15)*'⑫ Roll-out Plan'!$O$73</f>
        <v>14941.9515952</v>
      </c>
      <c r="DI1014" s="9" t="n">
        <f aca="false">MIN((DI689+DI690)*$C$5,$F$15)*'⑫ Roll-out Plan'!$O$73</f>
        <v>17470.0459776</v>
      </c>
      <c r="DJ1014" s="9" t="n">
        <f aca="false">MIN((DJ689+DJ690)*$C$5,$F$15)*'⑫ Roll-out Plan'!$O$73</f>
        <v>15179.9043968</v>
      </c>
      <c r="DK1014" s="9" t="n">
        <f aca="false">MIN((DK689+DK690)*$C$5,$F$15)*'⑫ Roll-out Plan'!$O$73</f>
        <v>20036.2106368</v>
      </c>
      <c r="DL1014" s="9" t="n">
        <f aca="false">MIN((DL689+DL690)*$C$5,$F$15)*'⑫ Roll-out Plan'!$O$73</f>
        <v>24141.782496</v>
      </c>
      <c r="DM1014" s="9" t="n">
        <f aca="false">MIN((DM689+DM690)*$C$5,$F$15)*'⑫ Roll-out Plan'!$O$73</f>
        <v>22233.615536</v>
      </c>
      <c r="DN1014" s="9" t="n">
        <f aca="false">MIN((DN689+DN690)*$C$5,$F$15)*'⑫ Roll-out Plan'!$O$73</f>
        <v>20682.4902288</v>
      </c>
      <c r="DO1014" s="9" t="n">
        <f aca="false">MIN((DO689+DO690)*$C$5,$F$15)*'⑫ Roll-out Plan'!$O$73</f>
        <v>22056.90128344</v>
      </c>
      <c r="DP1014" s="9" t="n">
        <f aca="false">MIN((DP689+DP690)*$C$5,$F$15)*'⑫ Roll-out Plan'!$O$73</f>
        <v>27000</v>
      </c>
      <c r="DQ1014" s="9" t="n">
        <f aca="false">MIN((DQ689+DQ690)*$C$5,$F$15)*'⑫ Roll-out Plan'!$O$73</f>
        <v>27000</v>
      </c>
      <c r="DR1014" s="9" t="n">
        <f aca="false">MIN((DR689+DR690)*$C$5,$F$15)*'⑫ Roll-out Plan'!$O$73</f>
        <v>27000</v>
      </c>
      <c r="DS1014" s="9" t="n">
        <f aca="false">MIN((DS689+DS690)*$C$5,$F$15)*'⑫ Roll-out Plan'!$O$73</f>
        <v>23151.46109908</v>
      </c>
      <c r="DT1014" s="9" t="n">
        <f aca="false">MIN((DT689+DT690)*$C$5,$F$15)*'⑫ Roll-out Plan'!$O$73</f>
        <v>27000</v>
      </c>
      <c r="DU1014" s="9" t="n">
        <f aca="false">MIN((DU689+DU690)*$C$5,$F$15)*'⑫ Roll-out Plan'!$O$73</f>
        <v>27000</v>
      </c>
      <c r="DV1014" s="9" t="n">
        <f aca="false">MIN((DV689+DV690)*$C$5,$F$15)*'⑫ Roll-out Plan'!$O$73</f>
        <v>27000</v>
      </c>
      <c r="DW1014" s="9" t="n">
        <f aca="false">MIN((DW689+DW690)*$C$5,$F$15)*'⑫ Roll-out Plan'!$O$73</f>
        <v>27000</v>
      </c>
      <c r="DX1014" s="9" t="n">
        <f aca="false">MIN((DX689+DX690)*$C$5,$F$15)*'⑫ Roll-out Plan'!$O$73</f>
        <v>27000</v>
      </c>
      <c r="DY1014" s="9" t="n">
        <f aca="false">MIN((DY689+DY690)*$C$5,$F$15)*'⑫ Roll-out Plan'!$O$73</f>
        <v>27000</v>
      </c>
      <c r="DZ1014" s="9" t="n">
        <f aca="false">MIN((DZ689+DZ690)*$C$5,$F$15)*'⑫ Roll-out Plan'!$O$73</f>
        <v>27000</v>
      </c>
      <c r="EA1014" s="9" t="n">
        <f aca="false">MIN((EA689+EA690)*$C$5,$F$15)*'⑫ Roll-out Plan'!$O$73</f>
        <v>27000</v>
      </c>
      <c r="EB1014" s="9" t="n">
        <f aca="false">MIN((EB689+EB690)*$C$5,$F$15)*'⑫ Roll-out Plan'!$O$73</f>
        <v>27000</v>
      </c>
      <c r="EC1014" s="9" t="n">
        <f aca="false">MIN((EC689+EC690)*$C$5,$F$15)*'⑫ Roll-out Plan'!$O$73</f>
        <v>27000</v>
      </c>
      <c r="ED1014" s="9" t="n">
        <f aca="false">MIN((ED689+ED690)*$C$5,$F$15)*'⑫ Roll-out Plan'!$O$73</f>
        <v>27000</v>
      </c>
      <c r="EE1014" s="9" t="n">
        <f aca="false">MIN((EE689+EE690)*$C$5,$F$15)*'⑫ Roll-out Plan'!$O$73</f>
        <v>27000</v>
      </c>
      <c r="EF1014" s="9" t="n">
        <f aca="false">MIN((EF689+EF690)*$C$5,$F$15)*'⑫ Roll-out Plan'!$O$73</f>
        <v>27000</v>
      </c>
      <c r="EG1014" s="9" t="n">
        <f aca="false">MIN((EG689+EG690)*$C$5,$F$15)*'⑫ Roll-out Plan'!$O$73</f>
        <v>27000</v>
      </c>
      <c r="EH1014" s="9" t="n">
        <f aca="false">MIN((EH689+EH690)*$C$5,$F$15)*'⑫ Roll-out Plan'!$O$73</f>
        <v>27000</v>
      </c>
      <c r="EI1014" s="9" t="n">
        <f aca="false">MIN((EI689+EI690)*$C$5,$F$15)*'⑫ Roll-out Plan'!$O$73</f>
        <v>27000</v>
      </c>
      <c r="EJ1014" s="9" t="n">
        <f aca="false">MIN((EJ689+EJ690)*$C$5,$F$15)*'⑫ Roll-out Plan'!$O$73</f>
        <v>27000</v>
      </c>
      <c r="EK1014" s="9" t="n">
        <f aca="false">MIN((EK689+EK690)*$C$5,$F$15)*'⑫ Roll-out Plan'!$O$73</f>
        <v>27000</v>
      </c>
      <c r="EL1014" s="9" t="n">
        <f aca="false">MIN((EL689+EL690)*$C$5,$F$15)*'⑫ Roll-out Plan'!$O$73</f>
        <v>27000</v>
      </c>
      <c r="EM1014" s="9" t="n">
        <f aca="false">MIN((EM689+EM690)*$C$5,$F$15)*'⑫ Roll-out Plan'!$O$73</f>
        <v>27000</v>
      </c>
      <c r="EN1014" s="9" t="n">
        <f aca="false">MIN((EN689+EN690)*$C$5,$F$15)*'⑫ Roll-out Plan'!$O$73</f>
        <v>27000</v>
      </c>
      <c r="EO1014" s="9" t="n">
        <f aca="false">MIN((EO689+EO690)*$C$5,$F$15)*'⑫ Roll-out Plan'!$O$73</f>
        <v>27000</v>
      </c>
      <c r="EP1014" s="9" t="n">
        <f aca="false">MIN((EP689+EP690)*$C$5,$F$15)*'⑫ Roll-out Plan'!$O$73</f>
        <v>27000</v>
      </c>
      <c r="EQ1014" s="9" t="n">
        <f aca="false">MIN((EQ689+EQ690)*$C$5,$F$15)*'⑫ Roll-out Plan'!$O$73</f>
        <v>27000</v>
      </c>
      <c r="ER1014" s="9" t="n">
        <f aca="false">MIN((ER689+ER690)*$C$5,$F$15)*'⑫ Roll-out Plan'!$O$73</f>
        <v>27000</v>
      </c>
      <c r="ES1014" s="9" t="n">
        <f aca="false">MIN((ES689+ES690)*$C$5,$F$15)*'⑫ Roll-out Plan'!$O$73</f>
        <v>27000</v>
      </c>
      <c r="ET1014" s="9" t="n">
        <f aca="false">MIN((ET689+ET690)*$C$5,$F$15)*'⑫ Roll-out Plan'!$O$73</f>
        <v>27000</v>
      </c>
      <c r="EU1014" s="9" t="n">
        <f aca="false">MIN((EU689+EU690)*$C$5,$F$15)*'⑫ Roll-out Plan'!$O$73</f>
        <v>27000</v>
      </c>
      <c r="EV1014" s="9" t="n">
        <f aca="false">MIN((EV689+EV690)*$C$5,$F$15)*'⑫ Roll-out Plan'!$O$73</f>
        <v>27000</v>
      </c>
      <c r="EW1014" s="9" t="n">
        <f aca="false">MIN((EW689+EW690)*$C$5,$F$15)*'⑫ Roll-out Plan'!$O$73</f>
        <v>27000</v>
      </c>
      <c r="EX1014" s="9" t="n">
        <f aca="false">MIN((EX689+EX690)*$C$5,$F$15)*'⑫ Roll-out Plan'!$O$73</f>
        <v>27000</v>
      </c>
      <c r="EY1014" s="9" t="n">
        <f aca="false">MIN((EY689+EY690)*$C$5,$F$15)*'⑫ Roll-out Plan'!$O$73</f>
        <v>27000</v>
      </c>
      <c r="EZ1014" s="9" t="n">
        <f aca="false">MIN((EZ689+EZ690)*$C$5,$F$15)*'⑫ Roll-out Plan'!$O$73</f>
        <v>27000</v>
      </c>
      <c r="FA1014" s="9" t="n">
        <f aca="false">MIN((FA689+FA690)*$C$5,$F$15)*'⑫ Roll-out Plan'!$O$73</f>
        <v>27000</v>
      </c>
      <c r="FB1014" s="9" t="n">
        <f aca="false">MIN((FB689+FB690)*$C$5,$F$15)*'⑫ Roll-out Plan'!$O$73</f>
        <v>27000</v>
      </c>
      <c r="FC1014" s="9" t="n">
        <f aca="false">MIN((FC689+FC690)*$C$5,$F$15)*'⑫ Roll-out Plan'!$O$73</f>
        <v>27000</v>
      </c>
      <c r="FD1014" s="9" t="n">
        <f aca="false">MIN((FD689+FD690)*$C$5,$F$15)*'⑫ Roll-out Plan'!$O$73</f>
        <v>27000</v>
      </c>
      <c r="FE1014" s="9" t="n">
        <f aca="false">MIN((FE689+FE690)*$C$5,$F$15)*'⑫ Roll-out Plan'!$O$73</f>
        <v>27000</v>
      </c>
      <c r="FF1014" s="9" t="n">
        <f aca="false">MIN((FF689+FF690)*$C$5,$F$15)*'⑫ Roll-out Plan'!$O$73</f>
        <v>27000</v>
      </c>
      <c r="FG1014" s="9" t="n">
        <f aca="false">MIN((FG689+FG690)*$C$5,$F$15)*'⑫ Roll-out Plan'!$O$73</f>
        <v>27000</v>
      </c>
      <c r="FH1014" s="9" t="n">
        <f aca="false">MIN((FH689+FH690)*$C$5,$F$15)*'⑫ Roll-out Plan'!$O$73</f>
        <v>27000</v>
      </c>
      <c r="FI1014" s="9" t="n">
        <f aca="false">MIN((FI689+FI690)*$C$5,$F$15)*'⑫ Roll-out Plan'!$O$73</f>
        <v>27000</v>
      </c>
      <c r="FJ1014" s="9" t="n">
        <f aca="false">MIN((FJ689+FJ690)*$C$5,$F$15)*'⑫ Roll-out Plan'!$O$73</f>
        <v>27000</v>
      </c>
      <c r="FK1014" s="9" t="n">
        <f aca="false">MIN((FK689+FK690)*$C$5,$F$15)*'⑫ Roll-out Plan'!$O$73</f>
        <v>27000</v>
      </c>
      <c r="FL1014" s="9" t="n">
        <f aca="false">MIN((FL689+FL690)*$C$5,$F$15)*'⑫ Roll-out Plan'!$O$73</f>
        <v>27000</v>
      </c>
      <c r="FM1014" s="9" t="n">
        <f aca="false">MIN((FM689+FM690)*$C$5,$F$15)*'⑫ Roll-out Plan'!$O$73</f>
        <v>27000</v>
      </c>
      <c r="FN1014" s="9" t="n">
        <f aca="false">MIN((FN689+FN690)*$C$5,$F$15)*'⑫ Roll-out Plan'!$O$73</f>
        <v>27000</v>
      </c>
      <c r="FO1014" s="9" t="n">
        <f aca="false">MIN((FO689+FO690)*$C$5,$F$15)*'⑫ Roll-out Plan'!$O$73</f>
        <v>27000</v>
      </c>
      <c r="FP1014" s="9" t="n">
        <f aca="false">MIN((FP689+FP690)*$C$5,$F$15)*'⑫ Roll-out Plan'!$O$73</f>
        <v>27000</v>
      </c>
    </row>
    <row r="1015" customFormat="false" ht="15" hidden="false" customHeight="false" outlineLevel="0" collapsed="false">
      <c r="B1015" s="9" t="s">
        <v>942</v>
      </c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121" t="n">
        <f aca="false">MIN((AC699+AC700)*$C$5,$F$16)*'⑫ Roll-out Plan'!$O$74</f>
        <v>0</v>
      </c>
      <c r="AD1015" s="9" t="n">
        <f aca="false">MIN((AD699+AD700)*$C$5,$F$16)*'⑫ Roll-out Plan'!$O$74</f>
        <v>0</v>
      </c>
      <c r="AE1015" s="9" t="n">
        <f aca="false">MIN((AE699+AE700)*$C$5,$F$16)*'⑫ Roll-out Plan'!$O$74</f>
        <v>0</v>
      </c>
      <c r="AF1015" s="9" t="n">
        <f aca="false">MIN((AF699+AF700)*$C$5,$F$16)*'⑫ Roll-out Plan'!$O$74</f>
        <v>0</v>
      </c>
      <c r="AG1015" s="9" t="n">
        <f aca="false">MIN((AG699+AG700)*$C$5,$F$16)*'⑫ Roll-out Plan'!$O$74</f>
        <v>0</v>
      </c>
      <c r="AH1015" s="9" t="n">
        <f aca="false">MIN((AH699+AH700)*$C$5,$F$16)*'⑫ Roll-out Plan'!$O$74</f>
        <v>0</v>
      </c>
      <c r="AI1015" s="9" t="n">
        <f aca="false">MIN((AI699+AI700)*$C$5,$F$16)*'⑫ Roll-out Plan'!$O$74</f>
        <v>0</v>
      </c>
      <c r="AJ1015" s="9" t="n">
        <f aca="false">MIN((AJ699+AJ700)*$C$5,$F$16)*'⑫ Roll-out Plan'!$O$74</f>
        <v>0</v>
      </c>
      <c r="AK1015" s="9" t="n">
        <f aca="false">MIN((AK699+AK700)*$C$5,$F$16)*'⑫ Roll-out Plan'!$O$74</f>
        <v>0</v>
      </c>
      <c r="AL1015" s="9" t="n">
        <f aca="false">MIN((AL699+AL700)*$C$5,$F$16)*'⑫ Roll-out Plan'!$O$74</f>
        <v>0</v>
      </c>
      <c r="AM1015" s="9" t="n">
        <f aca="false">MIN((AM699+AM700)*$C$5,$F$16)*'⑫ Roll-out Plan'!$O$74</f>
        <v>0</v>
      </c>
      <c r="AN1015" s="9" t="n">
        <f aca="false">MIN((AN699+AN700)*$C$5,$F$16)*'⑫ Roll-out Plan'!$O$74</f>
        <v>0</v>
      </c>
      <c r="AO1015" s="9" t="n">
        <f aca="false">MIN((AO699+AO700)*$C$5,$F$16)*'⑫ Roll-out Plan'!$O$74</f>
        <v>0</v>
      </c>
      <c r="AP1015" s="9" t="n">
        <f aca="false">MIN((AP699+AP700)*$C$5,$F$16)*'⑫ Roll-out Plan'!$O$74</f>
        <v>0</v>
      </c>
      <c r="AQ1015" s="9" t="n">
        <f aca="false">MIN((AQ699+AQ700)*$C$5,$F$16)*'⑫ Roll-out Plan'!$O$74</f>
        <v>0</v>
      </c>
      <c r="AR1015" s="9" t="n">
        <f aca="false">MIN((AR699+AR700)*$C$5,$F$16)*'⑫ Roll-out Plan'!$O$74</f>
        <v>0</v>
      </c>
      <c r="AS1015" s="9" t="n">
        <f aca="false">MIN((AS699+AS700)*$C$5,$F$16)*'⑫ Roll-out Plan'!$O$74</f>
        <v>0</v>
      </c>
      <c r="AT1015" s="9" t="n">
        <f aca="false">MIN((AT699+AT700)*$C$5,$F$16)*'⑫ Roll-out Plan'!$O$74</f>
        <v>0</v>
      </c>
      <c r="AU1015" s="9" t="n">
        <f aca="false">MIN((AU699+AU700)*$C$5,$F$16)*'⑫ Roll-out Plan'!$O$74</f>
        <v>0</v>
      </c>
      <c r="AV1015" s="9" t="n">
        <f aca="false">MIN((AV699+AV700)*$C$5,$F$16)*'⑫ Roll-out Plan'!$O$74</f>
        <v>0</v>
      </c>
      <c r="AW1015" s="9" t="n">
        <f aca="false">MIN((AW699+AW700)*$C$5,$F$16)*'⑫ Roll-out Plan'!$O$74</f>
        <v>0</v>
      </c>
      <c r="AX1015" s="9" t="n">
        <f aca="false">MIN((AX699+AX700)*$C$5,$F$16)*'⑫ Roll-out Plan'!$O$74</f>
        <v>0</v>
      </c>
      <c r="AY1015" s="9" t="n">
        <f aca="false">MIN((AY699+AY700)*$C$5,$F$16)*'⑫ Roll-out Plan'!$O$74</f>
        <v>0</v>
      </c>
      <c r="AZ1015" s="9" t="n">
        <f aca="false">MIN((AZ699+AZ700)*$C$5,$F$16)*'⑫ Roll-out Plan'!$O$74</f>
        <v>0</v>
      </c>
      <c r="BA1015" s="9" t="n">
        <f aca="false">MIN((BA699+BA700)*$C$5,$F$16)*'⑫ Roll-out Plan'!$O$74</f>
        <v>0</v>
      </c>
      <c r="BB1015" s="9" t="n">
        <f aca="false">MIN((BB699+BB700)*$C$5,$F$16)*'⑫ Roll-out Plan'!$O$74</f>
        <v>0</v>
      </c>
      <c r="BC1015" s="9" t="n">
        <f aca="false">MIN((BC699+BC700)*$C$5,$F$16)*'⑫ Roll-out Plan'!$O$74</f>
        <v>0</v>
      </c>
      <c r="BD1015" s="9" t="n">
        <f aca="false">MIN((BD699+BD700)*$C$5,$F$16)*'⑫ Roll-out Plan'!$O$74</f>
        <v>0</v>
      </c>
      <c r="BE1015" s="9" t="n">
        <f aca="false">MIN((BE699+BE700)*$C$5,$F$16)*'⑫ Roll-out Plan'!$O$74</f>
        <v>0</v>
      </c>
      <c r="BF1015" s="9" t="n">
        <f aca="false">MIN((BF699+BF700)*$C$5,$F$16)*'⑫ Roll-out Plan'!$O$74</f>
        <v>0</v>
      </c>
      <c r="BG1015" s="9" t="n">
        <f aca="false">MIN((BG699+BG700)*$C$5,$F$16)*'⑫ Roll-out Plan'!$O$74</f>
        <v>0</v>
      </c>
      <c r="BH1015" s="9" t="n">
        <f aca="false">MIN((BH699+BH700)*$C$5,$F$16)*'⑫ Roll-out Plan'!$O$74</f>
        <v>0</v>
      </c>
      <c r="BI1015" s="9" t="n">
        <f aca="false">MIN((BI699+BI700)*$C$5,$F$16)*'⑫ Roll-out Plan'!$O$74</f>
        <v>0</v>
      </c>
      <c r="BJ1015" s="9" t="n">
        <f aca="false">MIN((BJ699+BJ700)*$C$5,$F$16)*'⑫ Roll-out Plan'!$O$74</f>
        <v>0</v>
      </c>
      <c r="BK1015" s="9" t="n">
        <f aca="false">MIN((BK699+BK700)*$C$5,$F$16)*'⑫ Roll-out Plan'!$O$74</f>
        <v>0</v>
      </c>
      <c r="BL1015" s="9" t="n">
        <f aca="false">MIN((BL699+BL700)*$C$5,$F$16)*'⑫ Roll-out Plan'!$O$74</f>
        <v>0</v>
      </c>
      <c r="BM1015" s="9" t="n">
        <f aca="false">MIN((BM699+BM700)*$C$5,$F$16)*'⑫ Roll-out Plan'!$O$74</f>
        <v>0</v>
      </c>
      <c r="BN1015" s="9" t="n">
        <f aca="false">MIN((BN699+BN700)*$C$5,$F$16)*'⑫ Roll-out Plan'!$O$74</f>
        <v>0</v>
      </c>
      <c r="BO1015" s="9" t="n">
        <f aca="false">MIN((BO699+BO700)*$C$5,$F$16)*'⑫ Roll-out Plan'!$O$74</f>
        <v>0</v>
      </c>
      <c r="BP1015" s="9" t="n">
        <f aca="false">MIN((BP699+BP700)*$C$5,$F$16)*'⑫ Roll-out Plan'!$O$74</f>
        <v>0</v>
      </c>
      <c r="BQ1015" s="9" t="n">
        <f aca="false">MIN((BQ699+BQ700)*$C$5,$F$16)*'⑫ Roll-out Plan'!$O$74</f>
        <v>0</v>
      </c>
      <c r="BR1015" s="9" t="n">
        <f aca="false">MIN((BR699+BR700)*$C$5,$F$16)*'⑫ Roll-out Plan'!$O$74</f>
        <v>0</v>
      </c>
      <c r="BS1015" s="9" t="n">
        <f aca="false">MIN((BS699+BS700)*$C$5,$F$16)*'⑫ Roll-out Plan'!$O$74</f>
        <v>0</v>
      </c>
      <c r="BT1015" s="9" t="n">
        <f aca="false">MIN((BT699+BT700)*$C$5,$F$16)*'⑫ Roll-out Plan'!$O$74</f>
        <v>0</v>
      </c>
      <c r="BU1015" s="9" t="n">
        <f aca="false">MIN((BU699+BU700)*$C$5,$F$16)*'⑫ Roll-out Plan'!$O$74</f>
        <v>0</v>
      </c>
      <c r="BV1015" s="9" t="n">
        <f aca="false">MIN((BV699+BV700)*$C$5,$F$16)*'⑫ Roll-out Plan'!$O$74</f>
        <v>0</v>
      </c>
      <c r="BW1015" s="9" t="n">
        <f aca="false">MIN((BW699+BW700)*$C$5,$F$16)*'⑫ Roll-out Plan'!$O$74</f>
        <v>0</v>
      </c>
      <c r="BX1015" s="9" t="n">
        <f aca="false">MIN((BX699+BX700)*$C$5,$F$16)*'⑫ Roll-out Plan'!$O$74</f>
        <v>0</v>
      </c>
      <c r="BY1015" s="9" t="n">
        <f aca="false">MIN((BY699+BY700)*$C$5,$F$16)*'⑫ Roll-out Plan'!$O$74</f>
        <v>0</v>
      </c>
      <c r="BZ1015" s="9" t="n">
        <f aca="false">MIN((BZ699+BZ700)*$C$5,$F$16)*'⑫ Roll-out Plan'!$O$74</f>
        <v>0</v>
      </c>
      <c r="CA1015" s="9" t="n">
        <f aca="false">MIN((CA699+CA700)*$C$5,$F$16)*'⑫ Roll-out Plan'!$O$74</f>
        <v>0</v>
      </c>
      <c r="CB1015" s="9" t="n">
        <f aca="false">MIN((CB699+CB700)*$C$5,$F$16)*'⑫ Roll-out Plan'!$O$74</f>
        <v>0</v>
      </c>
      <c r="CC1015" s="9" t="n">
        <f aca="false">MIN((CC699+CC700)*$C$5,$F$16)*'⑫ Roll-out Plan'!$O$74</f>
        <v>0</v>
      </c>
      <c r="CD1015" s="9" t="n">
        <f aca="false">MIN((CD699+CD700)*$C$5,$F$16)*'⑫ Roll-out Plan'!$O$74</f>
        <v>0</v>
      </c>
      <c r="CE1015" s="9" t="n">
        <f aca="false">MIN((CE699+CE700)*$C$5,$F$16)*'⑫ Roll-out Plan'!$O$74</f>
        <v>0</v>
      </c>
      <c r="CF1015" s="9" t="n">
        <f aca="false">MIN((CF699+CF700)*$C$5,$F$16)*'⑫ Roll-out Plan'!$O$74</f>
        <v>0</v>
      </c>
      <c r="CG1015" s="9" t="n">
        <f aca="false">MIN((CG699+CG700)*$C$5,$F$16)*'⑫ Roll-out Plan'!$O$74</f>
        <v>0</v>
      </c>
      <c r="CH1015" s="9" t="n">
        <f aca="false">MIN((CH699+CH700)*$C$5,$F$16)*'⑫ Roll-out Plan'!$O$74</f>
        <v>0</v>
      </c>
      <c r="CI1015" s="9" t="n">
        <f aca="false">MIN((CI699+CI700)*$C$5,$F$16)*'⑫ Roll-out Plan'!$O$74</f>
        <v>0</v>
      </c>
      <c r="CJ1015" s="9" t="n">
        <f aca="false">MIN((CJ699+CJ700)*$C$5,$F$16)*'⑫ Roll-out Plan'!$O$74</f>
        <v>0</v>
      </c>
      <c r="CK1015" s="9" t="n">
        <f aca="false">MIN((CK699+CK700)*$C$5,$F$16)*'⑫ Roll-out Plan'!$O$74</f>
        <v>0</v>
      </c>
      <c r="CL1015" s="9" t="n">
        <f aca="false">MIN((CL699+CL700)*$C$5,$F$16)*'⑫ Roll-out Plan'!$O$74</f>
        <v>0</v>
      </c>
      <c r="CM1015" s="9" t="n">
        <f aca="false">MIN((CM699+CM700)*$C$5,$F$16)*'⑫ Roll-out Plan'!$O$74</f>
        <v>0</v>
      </c>
      <c r="CN1015" s="9" t="n">
        <f aca="false">MIN((CN699+CN700)*$C$5,$F$16)*'⑫ Roll-out Plan'!$O$74</f>
        <v>0</v>
      </c>
      <c r="CO1015" s="9" t="n">
        <f aca="false">MIN((CO699+CO700)*$C$5,$F$16)*'⑫ Roll-out Plan'!$O$74</f>
        <v>0</v>
      </c>
      <c r="CP1015" s="9" t="n">
        <f aca="false">MIN((CP699+CP700)*$C$5,$F$16)*'⑫ Roll-out Plan'!$O$74</f>
        <v>0</v>
      </c>
      <c r="CQ1015" s="9" t="n">
        <f aca="false">MIN((CQ699+CQ700)*$C$5,$F$16)*'⑫ Roll-out Plan'!$O$74</f>
        <v>0</v>
      </c>
      <c r="CR1015" s="9" t="n">
        <f aca="false">MIN((CR699+CR700)*$C$5,$F$16)*'⑫ Roll-out Plan'!$O$74</f>
        <v>0</v>
      </c>
      <c r="CS1015" s="9" t="n">
        <f aca="false">MIN((CS699+CS700)*$C$5,$F$16)*'⑫ Roll-out Plan'!$O$74</f>
        <v>0</v>
      </c>
      <c r="CT1015" s="9" t="n">
        <f aca="false">MIN((CT699+CT700)*$C$5,$F$16)*'⑫ Roll-out Plan'!$O$74</f>
        <v>0</v>
      </c>
      <c r="CU1015" s="9" t="n">
        <f aca="false">MIN((CU699+CU700)*$C$5,$F$16)*'⑫ Roll-out Plan'!$O$74</f>
        <v>0</v>
      </c>
      <c r="CV1015" s="9" t="n">
        <f aca="false">MIN((CV699+CV700)*$C$5,$F$16)*'⑫ Roll-out Plan'!$O$74</f>
        <v>0</v>
      </c>
      <c r="CW1015" s="9" t="n">
        <f aca="false">MIN((CW699+CW700)*$C$5,$F$16)*'⑫ Roll-out Plan'!$O$74</f>
        <v>0</v>
      </c>
      <c r="CX1015" s="9" t="n">
        <f aca="false">MIN((CX699+CX700)*$C$5,$F$16)*'⑫ Roll-out Plan'!$O$74</f>
        <v>2363.24</v>
      </c>
      <c r="CY1015" s="9" t="n">
        <f aca="false">MIN((CY699+CY700)*$C$5,$F$16)*'⑫ Roll-out Plan'!$O$74</f>
        <v>3979.92672</v>
      </c>
      <c r="CZ1015" s="9" t="n">
        <f aca="false">MIN((CZ699+CZ700)*$C$5,$F$16)*'⑫ Roll-out Plan'!$O$74</f>
        <v>4316.54432</v>
      </c>
      <c r="DA1015" s="9" t="n">
        <f aca="false">MIN((DA699+DA700)*$C$5,$F$16)*'⑫ Roll-out Plan'!$O$74</f>
        <v>4184.0460992</v>
      </c>
      <c r="DB1015" s="9" t="n">
        <f aca="false">MIN((DB699+DB700)*$C$5,$F$16)*'⑫ Roll-out Plan'!$O$74</f>
        <v>3750.3074048</v>
      </c>
      <c r="DC1015" s="9" t="n">
        <f aca="false">MIN((DC699+DC700)*$C$5,$F$16)*'⑫ Roll-out Plan'!$O$74</f>
        <v>4368.743104</v>
      </c>
      <c r="DD1015" s="9" t="n">
        <f aca="false">MIN((DD699+DD700)*$C$5,$F$16)*'⑫ Roll-out Plan'!$O$74</f>
        <v>7872.3743648</v>
      </c>
      <c r="DE1015" s="9" t="n">
        <f aca="false">MIN((DE699+DE700)*$C$5,$F$16)*'⑫ Roll-out Plan'!$O$74</f>
        <v>7709.3546112</v>
      </c>
      <c r="DF1015" s="9" t="n">
        <f aca="false">MIN((DF699+DF700)*$C$5,$F$16)*'⑫ Roll-out Plan'!$O$74</f>
        <v>7293.973104</v>
      </c>
      <c r="DG1015" s="9" t="n">
        <f aca="false">MIN((DG699+DG700)*$C$5,$F$16)*'⑫ Roll-out Plan'!$O$74</f>
        <v>5815.6546624</v>
      </c>
      <c r="DH1015" s="9" t="n">
        <f aca="false">MIN((DH699+DH700)*$C$5,$F$16)*'⑫ Roll-out Plan'!$O$74</f>
        <v>8187.6836096</v>
      </c>
      <c r="DI1015" s="9" t="n">
        <f aca="false">MIN((DI699+DI700)*$C$5,$F$16)*'⑫ Roll-out Plan'!$O$74</f>
        <v>9558.3996992</v>
      </c>
      <c r="DJ1015" s="9" t="n">
        <f aca="false">MIN((DJ699+DJ700)*$C$5,$F$16)*'⑫ Roll-out Plan'!$O$74</f>
        <v>8306.5741792</v>
      </c>
      <c r="DK1015" s="9" t="n">
        <f aca="false">MIN((DK699+DK700)*$C$5,$F$16)*'⑫ Roll-out Plan'!$O$74</f>
        <v>11745.833088</v>
      </c>
      <c r="DL1015" s="9" t="n">
        <f aca="false">MIN((DL699+DL700)*$C$5,$F$16)*'⑫ Roll-out Plan'!$O$74</f>
        <v>11755.770224</v>
      </c>
      <c r="DM1015" s="9" t="n">
        <f aca="false">MIN((DM699+DM700)*$C$5,$F$16)*'⑫ Roll-out Plan'!$O$74</f>
        <v>12330.1274624</v>
      </c>
      <c r="DN1015" s="9" t="n">
        <f aca="false">MIN((DN699+DN700)*$C$5,$F$16)*'⑫ Roll-out Plan'!$O$74</f>
        <v>11617.6002272</v>
      </c>
      <c r="DO1015" s="9" t="n">
        <f aca="false">MIN((DO699+DO700)*$C$5,$F$16)*'⑫ Roll-out Plan'!$O$74</f>
        <v>12535.38626912</v>
      </c>
      <c r="DP1015" s="9" t="n">
        <f aca="false">MIN((DP699+DP700)*$C$5,$F$16)*'⑫ Roll-out Plan'!$O$74</f>
        <v>20296.66437568</v>
      </c>
      <c r="DQ1015" s="9" t="n">
        <f aca="false">MIN((DQ699+DQ700)*$C$5,$F$16)*'⑫ Roll-out Plan'!$O$74</f>
        <v>18258.50475328</v>
      </c>
      <c r="DR1015" s="9" t="n">
        <f aca="false">MIN((DR699+DR700)*$C$5,$F$16)*'⑫ Roll-out Plan'!$O$74</f>
        <v>16076.78717744</v>
      </c>
      <c r="DS1015" s="9" t="n">
        <f aca="false">MIN((DS699+DS700)*$C$5,$F$16)*'⑫ Roll-out Plan'!$O$74</f>
        <v>13230.725948</v>
      </c>
      <c r="DT1015" s="9" t="n">
        <f aca="false">MIN((DT699+DT700)*$C$5,$F$16)*'⑫ Roll-out Plan'!$O$74</f>
        <v>17264.07180608</v>
      </c>
      <c r="DU1015" s="9" t="n">
        <f aca="false">MIN((DU699+DU700)*$C$5,$F$16)*'⑫ Roll-out Plan'!$O$74</f>
        <v>19255.63652056</v>
      </c>
      <c r="DV1015" s="9" t="n">
        <f aca="false">MIN((DV699+DV700)*$C$5,$F$16)*'⑫ Roll-out Plan'!$O$74</f>
        <v>16056.20635432</v>
      </c>
      <c r="DW1015" s="9" t="n">
        <f aca="false">MIN((DW699+DW700)*$C$5,$F$16)*'⑫ Roll-out Plan'!$O$74</f>
        <v>20859.99404456</v>
      </c>
      <c r="DX1015" s="9" t="n">
        <f aca="false">MIN((DX699+DX700)*$C$5,$F$16)*'⑫ Roll-out Plan'!$O$74</f>
        <v>21246.00128552</v>
      </c>
      <c r="DY1015" s="9" t="n">
        <f aca="false">MIN((DY699+DY700)*$C$5,$F$16)*'⑫ Roll-out Plan'!$O$74</f>
        <v>19270.2145988</v>
      </c>
      <c r="DZ1015" s="9" t="n">
        <f aca="false">MIN((DZ699+DZ700)*$C$5,$F$16)*'⑫ Roll-out Plan'!$O$74</f>
        <v>17766.57329128</v>
      </c>
      <c r="EA1015" s="9" t="n">
        <f aca="false">MIN((EA699+EA700)*$C$5,$F$16)*'⑫ Roll-out Plan'!$O$74</f>
        <v>18349.58114088</v>
      </c>
      <c r="EB1015" s="9" t="n">
        <f aca="false">MIN((EB699+EB700)*$C$5,$F$16)*'⑫ Roll-out Plan'!$O$74</f>
        <v>23000</v>
      </c>
      <c r="EC1015" s="9" t="n">
        <f aca="false">MIN((EC699+EC700)*$C$5,$F$16)*'⑫ Roll-out Plan'!$O$74</f>
        <v>23000</v>
      </c>
      <c r="ED1015" s="9" t="n">
        <f aca="false">MIN((ED699+ED700)*$C$5,$F$16)*'⑫ Roll-out Plan'!$O$74</f>
        <v>22789.02961896</v>
      </c>
      <c r="EE1015" s="9" t="n">
        <f aca="false">MIN((EE699+EE700)*$C$5,$F$16)*'⑫ Roll-out Plan'!$O$74</f>
        <v>19157.14520808</v>
      </c>
      <c r="EF1015" s="9" t="n">
        <f aca="false">MIN((EF699+EF700)*$C$5,$F$16)*'⑫ Roll-out Plan'!$O$74</f>
        <v>23000</v>
      </c>
      <c r="EG1015" s="9" t="n">
        <f aca="false">MIN((EG699+EG700)*$C$5,$F$16)*'⑫ Roll-out Plan'!$O$74</f>
        <v>23000</v>
      </c>
      <c r="EH1015" s="9" t="n">
        <f aca="false">MIN((EH699+EH700)*$C$5,$F$16)*'⑫ Roll-out Plan'!$O$74</f>
        <v>22577.43848184</v>
      </c>
      <c r="EI1015" s="9" t="n">
        <f aca="false">MIN((EI699+EI700)*$C$5,$F$16)*'⑫ Roll-out Plan'!$O$74</f>
        <v>23000</v>
      </c>
      <c r="EJ1015" s="9" t="n">
        <f aca="false">MIN((EJ699+EJ700)*$C$5,$F$16)*'⑫ Roll-out Plan'!$O$74</f>
        <v>23000</v>
      </c>
      <c r="EK1015" s="9" t="n">
        <f aca="false">MIN((EK699+EK700)*$C$5,$F$16)*'⑫ Roll-out Plan'!$O$74</f>
        <v>23000</v>
      </c>
      <c r="EL1015" s="9" t="n">
        <f aca="false">MIN((EL699+EL700)*$C$5,$F$16)*'⑫ Roll-out Plan'!$O$74</f>
        <v>23000</v>
      </c>
      <c r="EM1015" s="9" t="n">
        <f aca="false">MIN((EM699+EM700)*$C$5,$F$16)*'⑫ Roll-out Plan'!$O$74</f>
        <v>23000</v>
      </c>
      <c r="EN1015" s="9" t="n">
        <f aca="false">MIN((EN699+EN700)*$C$5,$F$16)*'⑫ Roll-out Plan'!$O$74</f>
        <v>23000</v>
      </c>
      <c r="EO1015" s="9" t="n">
        <f aca="false">MIN((EO699+EO700)*$C$5,$F$16)*'⑫ Roll-out Plan'!$O$74</f>
        <v>23000</v>
      </c>
      <c r="EP1015" s="9" t="n">
        <f aca="false">MIN((EP699+EP700)*$C$5,$F$16)*'⑫ Roll-out Plan'!$O$74</f>
        <v>23000</v>
      </c>
      <c r="EQ1015" s="9" t="n">
        <f aca="false">MIN((EQ699+EQ700)*$C$5,$F$16)*'⑫ Roll-out Plan'!$O$74</f>
        <v>23000</v>
      </c>
      <c r="ER1015" s="9" t="n">
        <f aca="false">MIN((ER699+ER700)*$C$5,$F$16)*'⑫ Roll-out Plan'!$O$74</f>
        <v>23000</v>
      </c>
      <c r="ES1015" s="9" t="n">
        <f aca="false">MIN((ES699+ES700)*$C$5,$F$16)*'⑫ Roll-out Plan'!$O$74</f>
        <v>23000</v>
      </c>
      <c r="ET1015" s="9" t="n">
        <f aca="false">MIN((ET699+ET700)*$C$5,$F$16)*'⑫ Roll-out Plan'!$O$74</f>
        <v>23000</v>
      </c>
      <c r="EU1015" s="9" t="n">
        <f aca="false">MIN((EU699+EU700)*$C$5,$F$16)*'⑫ Roll-out Plan'!$O$74</f>
        <v>23000</v>
      </c>
      <c r="EV1015" s="9" t="n">
        <f aca="false">MIN((EV699+EV700)*$C$5,$F$16)*'⑫ Roll-out Plan'!$O$74</f>
        <v>23000</v>
      </c>
      <c r="EW1015" s="9" t="n">
        <f aca="false">MIN((EW699+EW700)*$C$5,$F$16)*'⑫ Roll-out Plan'!$O$74</f>
        <v>23000</v>
      </c>
      <c r="EX1015" s="9" t="n">
        <f aca="false">MIN((EX699+EX700)*$C$5,$F$16)*'⑫ Roll-out Plan'!$O$74</f>
        <v>23000</v>
      </c>
      <c r="EY1015" s="9" t="n">
        <f aca="false">MIN((EY699+EY700)*$C$5,$F$16)*'⑫ Roll-out Plan'!$O$74</f>
        <v>23000</v>
      </c>
      <c r="EZ1015" s="9" t="n">
        <f aca="false">MIN((EZ699+EZ700)*$C$5,$F$16)*'⑫ Roll-out Plan'!$O$74</f>
        <v>23000</v>
      </c>
      <c r="FA1015" s="9" t="n">
        <f aca="false">MIN((FA699+FA700)*$C$5,$F$16)*'⑫ Roll-out Plan'!$O$74</f>
        <v>23000</v>
      </c>
      <c r="FB1015" s="9" t="n">
        <f aca="false">MIN((FB699+FB700)*$C$5,$F$16)*'⑫ Roll-out Plan'!$O$74</f>
        <v>23000</v>
      </c>
      <c r="FC1015" s="9" t="n">
        <f aca="false">MIN((FC699+FC700)*$C$5,$F$16)*'⑫ Roll-out Plan'!$O$74</f>
        <v>23000</v>
      </c>
      <c r="FD1015" s="9" t="n">
        <f aca="false">MIN((FD699+FD700)*$C$5,$F$16)*'⑫ Roll-out Plan'!$O$74</f>
        <v>23000</v>
      </c>
      <c r="FE1015" s="9" t="n">
        <f aca="false">MIN((FE699+FE700)*$C$5,$F$16)*'⑫ Roll-out Plan'!$O$74</f>
        <v>23000</v>
      </c>
      <c r="FF1015" s="9" t="n">
        <f aca="false">MIN((FF699+FF700)*$C$5,$F$16)*'⑫ Roll-out Plan'!$O$74</f>
        <v>23000</v>
      </c>
      <c r="FG1015" s="9" t="n">
        <f aca="false">MIN((FG699+FG700)*$C$5,$F$16)*'⑫ Roll-out Plan'!$O$74</f>
        <v>23000</v>
      </c>
      <c r="FH1015" s="9" t="n">
        <f aca="false">MIN((FH699+FH700)*$C$5,$F$16)*'⑫ Roll-out Plan'!$O$74</f>
        <v>23000</v>
      </c>
      <c r="FI1015" s="9" t="n">
        <f aca="false">MIN((FI699+FI700)*$C$5,$F$16)*'⑫ Roll-out Plan'!$O$74</f>
        <v>23000</v>
      </c>
      <c r="FJ1015" s="9" t="n">
        <f aca="false">MIN((FJ699+FJ700)*$C$5,$F$16)*'⑫ Roll-out Plan'!$O$74</f>
        <v>23000</v>
      </c>
      <c r="FK1015" s="9" t="n">
        <f aca="false">MIN((FK699+FK700)*$C$5,$F$16)*'⑫ Roll-out Plan'!$O$74</f>
        <v>23000</v>
      </c>
      <c r="FL1015" s="9" t="n">
        <f aca="false">MIN((FL699+FL700)*$C$5,$F$16)*'⑫ Roll-out Plan'!$O$74</f>
        <v>23000</v>
      </c>
      <c r="FM1015" s="9" t="n">
        <f aca="false">MIN((FM699+FM700)*$C$5,$F$16)*'⑫ Roll-out Plan'!$O$74</f>
        <v>23000</v>
      </c>
      <c r="FN1015" s="9" t="n">
        <f aca="false">MIN((FN699+FN700)*$C$5,$F$16)*'⑫ Roll-out Plan'!$O$74</f>
        <v>23000</v>
      </c>
      <c r="FO1015" s="9" t="n">
        <f aca="false">MIN((FO699+FO700)*$C$5,$F$16)*'⑫ Roll-out Plan'!$O$74</f>
        <v>23000</v>
      </c>
      <c r="FP1015" s="9" t="n">
        <f aca="false">MIN((FP699+FP700)*$C$5,$F$16)*'⑫ Roll-out Plan'!$O$74</f>
        <v>23000</v>
      </c>
    </row>
    <row r="1016" customFormat="false" ht="15" hidden="false" customHeight="false" outlineLevel="0" collapsed="false">
      <c r="B1016" s="9" t="s">
        <v>943</v>
      </c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121" t="n">
        <f aca="false">MIN((AC709+AC710)*$C$5,$F$15)*'⑫ Roll-out Plan'!$O$75</f>
        <v>0</v>
      </c>
      <c r="AD1016" s="9" t="n">
        <f aca="false">MIN((AD709+AD710)*$C$5,$F$15)*'⑫ Roll-out Plan'!$O$75</f>
        <v>0</v>
      </c>
      <c r="AE1016" s="9" t="n">
        <f aca="false">MIN((AE709+AE710)*$C$5,$F$15)*'⑫ Roll-out Plan'!$O$75</f>
        <v>0</v>
      </c>
      <c r="AF1016" s="9" t="n">
        <f aca="false">MIN((AF709+AF710)*$C$5,$F$15)*'⑫ Roll-out Plan'!$O$75</f>
        <v>0</v>
      </c>
      <c r="AG1016" s="9" t="n">
        <f aca="false">MIN((AG709+AG710)*$C$5,$F$15)*'⑫ Roll-out Plan'!$O$75</f>
        <v>0</v>
      </c>
      <c r="AH1016" s="9" t="n">
        <f aca="false">MIN((AH709+AH710)*$C$5,$F$15)*'⑫ Roll-out Plan'!$O$75</f>
        <v>0</v>
      </c>
      <c r="AI1016" s="9" t="n">
        <f aca="false">MIN((AI709+AI710)*$C$5,$F$15)*'⑫ Roll-out Plan'!$O$75</f>
        <v>0</v>
      </c>
      <c r="AJ1016" s="9" t="n">
        <f aca="false">MIN((AJ709+AJ710)*$C$5,$F$15)*'⑫ Roll-out Plan'!$O$75</f>
        <v>0</v>
      </c>
      <c r="AK1016" s="9" t="n">
        <f aca="false">MIN((AK709+AK710)*$C$5,$F$15)*'⑫ Roll-out Plan'!$O$75</f>
        <v>0</v>
      </c>
      <c r="AL1016" s="9" t="n">
        <f aca="false">MIN((AL709+AL710)*$C$5,$F$15)*'⑫ Roll-out Plan'!$O$75</f>
        <v>0</v>
      </c>
      <c r="AM1016" s="9" t="n">
        <f aca="false">MIN((AM709+AM710)*$C$5,$F$15)*'⑫ Roll-out Plan'!$O$75</f>
        <v>0</v>
      </c>
      <c r="AN1016" s="9" t="n">
        <f aca="false">MIN((AN709+AN710)*$C$5,$F$15)*'⑫ Roll-out Plan'!$O$75</f>
        <v>0</v>
      </c>
      <c r="AO1016" s="9" t="n">
        <f aca="false">MIN((AO709+AO710)*$C$5,$F$15)*'⑫ Roll-out Plan'!$O$75</f>
        <v>0</v>
      </c>
      <c r="AP1016" s="9" t="n">
        <f aca="false">MIN((AP709+AP710)*$C$5,$F$15)*'⑫ Roll-out Plan'!$O$75</f>
        <v>0</v>
      </c>
      <c r="AQ1016" s="9" t="n">
        <f aca="false">MIN((AQ709+AQ710)*$C$5,$F$15)*'⑫ Roll-out Plan'!$O$75</f>
        <v>0</v>
      </c>
      <c r="AR1016" s="9" t="n">
        <f aca="false">MIN((AR709+AR710)*$C$5,$F$15)*'⑫ Roll-out Plan'!$O$75</f>
        <v>0</v>
      </c>
      <c r="AS1016" s="9" t="n">
        <f aca="false">MIN((AS709+AS710)*$C$5,$F$15)*'⑫ Roll-out Plan'!$O$75</f>
        <v>0</v>
      </c>
      <c r="AT1016" s="9" t="n">
        <f aca="false">MIN((AT709+AT710)*$C$5,$F$15)*'⑫ Roll-out Plan'!$O$75</f>
        <v>0</v>
      </c>
      <c r="AU1016" s="9" t="n">
        <f aca="false">MIN((AU709+AU710)*$C$5,$F$15)*'⑫ Roll-out Plan'!$O$75</f>
        <v>0</v>
      </c>
      <c r="AV1016" s="9" t="n">
        <f aca="false">MIN((AV709+AV710)*$C$5,$F$15)*'⑫ Roll-out Plan'!$O$75</f>
        <v>0</v>
      </c>
      <c r="AW1016" s="9" t="n">
        <f aca="false">MIN((AW709+AW710)*$C$5,$F$15)*'⑫ Roll-out Plan'!$O$75</f>
        <v>0</v>
      </c>
      <c r="AX1016" s="9" t="n">
        <f aca="false">MIN((AX709+AX710)*$C$5,$F$15)*'⑫ Roll-out Plan'!$O$75</f>
        <v>0</v>
      </c>
      <c r="AY1016" s="9" t="n">
        <f aca="false">MIN((AY709+AY710)*$C$5,$F$15)*'⑫ Roll-out Plan'!$O$75</f>
        <v>0</v>
      </c>
      <c r="AZ1016" s="9" t="n">
        <f aca="false">MIN((AZ709+AZ710)*$C$5,$F$15)*'⑫ Roll-out Plan'!$O$75</f>
        <v>0</v>
      </c>
      <c r="BA1016" s="9" t="n">
        <f aca="false">MIN((BA709+BA710)*$C$5,$F$15)*'⑫ Roll-out Plan'!$O$75</f>
        <v>0</v>
      </c>
      <c r="BB1016" s="9" t="n">
        <f aca="false">MIN((BB709+BB710)*$C$5,$F$15)*'⑫ Roll-out Plan'!$O$75</f>
        <v>0</v>
      </c>
      <c r="BC1016" s="9" t="n">
        <f aca="false">MIN((BC709+BC710)*$C$5,$F$15)*'⑫ Roll-out Plan'!$O$75</f>
        <v>0</v>
      </c>
      <c r="BD1016" s="9" t="n">
        <f aca="false">MIN((BD709+BD710)*$C$5,$F$15)*'⑫ Roll-out Plan'!$O$75</f>
        <v>0</v>
      </c>
      <c r="BE1016" s="9" t="n">
        <f aca="false">MIN((BE709+BE710)*$C$5,$F$15)*'⑫ Roll-out Plan'!$O$75</f>
        <v>0</v>
      </c>
      <c r="BF1016" s="9" t="n">
        <f aca="false">MIN((BF709+BF710)*$C$5,$F$15)*'⑫ Roll-out Plan'!$O$75</f>
        <v>0</v>
      </c>
      <c r="BG1016" s="9" t="n">
        <f aca="false">MIN((BG709+BG710)*$C$5,$F$15)*'⑫ Roll-out Plan'!$O$75</f>
        <v>0</v>
      </c>
      <c r="BH1016" s="9" t="n">
        <f aca="false">MIN((BH709+BH710)*$C$5,$F$15)*'⑫ Roll-out Plan'!$O$75</f>
        <v>0</v>
      </c>
      <c r="BI1016" s="9" t="n">
        <f aca="false">MIN((BI709+BI710)*$C$5,$F$15)*'⑫ Roll-out Plan'!$O$75</f>
        <v>0</v>
      </c>
      <c r="BJ1016" s="9" t="n">
        <f aca="false">MIN((BJ709+BJ710)*$C$5,$F$15)*'⑫ Roll-out Plan'!$O$75</f>
        <v>0</v>
      </c>
      <c r="BK1016" s="9" t="n">
        <f aca="false">MIN((BK709+BK710)*$C$5,$F$15)*'⑫ Roll-out Plan'!$O$75</f>
        <v>0</v>
      </c>
      <c r="BL1016" s="9" t="n">
        <f aca="false">MIN((BL709+BL710)*$C$5,$F$15)*'⑫ Roll-out Plan'!$O$75</f>
        <v>0</v>
      </c>
      <c r="BM1016" s="9" t="n">
        <f aca="false">MIN((BM709+BM710)*$C$5,$F$15)*'⑫ Roll-out Plan'!$O$75</f>
        <v>0</v>
      </c>
      <c r="BN1016" s="9" t="n">
        <f aca="false">MIN((BN709+BN710)*$C$5,$F$15)*'⑫ Roll-out Plan'!$O$75</f>
        <v>0</v>
      </c>
      <c r="BO1016" s="9" t="n">
        <f aca="false">MIN((BO709+BO710)*$C$5,$F$15)*'⑫ Roll-out Plan'!$O$75</f>
        <v>0</v>
      </c>
      <c r="BP1016" s="9" t="n">
        <f aca="false">MIN((BP709+BP710)*$C$5,$F$15)*'⑫ Roll-out Plan'!$O$75</f>
        <v>0</v>
      </c>
      <c r="BQ1016" s="9" t="n">
        <f aca="false">MIN((BQ709+BQ710)*$C$5,$F$15)*'⑫ Roll-out Plan'!$O$75</f>
        <v>0</v>
      </c>
      <c r="BR1016" s="9" t="n">
        <f aca="false">MIN((BR709+BR710)*$C$5,$F$15)*'⑫ Roll-out Plan'!$O$75</f>
        <v>0</v>
      </c>
      <c r="BS1016" s="9" t="n">
        <f aca="false">MIN((BS709+BS710)*$C$5,$F$15)*'⑫ Roll-out Plan'!$O$75</f>
        <v>0</v>
      </c>
      <c r="BT1016" s="9" t="n">
        <f aca="false">MIN((BT709+BT710)*$C$5,$F$15)*'⑫ Roll-out Plan'!$O$75</f>
        <v>0</v>
      </c>
      <c r="BU1016" s="9" t="n">
        <f aca="false">MIN((BU709+BU710)*$C$5,$F$15)*'⑫ Roll-out Plan'!$O$75</f>
        <v>0</v>
      </c>
      <c r="BV1016" s="9" t="n">
        <f aca="false">MIN((BV709+BV710)*$C$5,$F$15)*'⑫ Roll-out Plan'!$O$75</f>
        <v>0</v>
      </c>
      <c r="BW1016" s="9" t="n">
        <f aca="false">MIN((BW709+BW710)*$C$5,$F$15)*'⑫ Roll-out Plan'!$O$75</f>
        <v>0</v>
      </c>
      <c r="BX1016" s="9" t="n">
        <f aca="false">MIN((BX709+BX710)*$C$5,$F$15)*'⑫ Roll-out Plan'!$O$75</f>
        <v>0</v>
      </c>
      <c r="BY1016" s="9" t="n">
        <f aca="false">MIN((BY709+BY710)*$C$5,$F$15)*'⑫ Roll-out Plan'!$O$75</f>
        <v>0</v>
      </c>
      <c r="BZ1016" s="9" t="n">
        <f aca="false">MIN((BZ709+BZ710)*$C$5,$F$15)*'⑫ Roll-out Plan'!$O$75</f>
        <v>0</v>
      </c>
      <c r="CA1016" s="9" t="n">
        <f aca="false">MIN((CA709+CA710)*$C$5,$F$15)*'⑫ Roll-out Plan'!$O$75</f>
        <v>0</v>
      </c>
      <c r="CB1016" s="9" t="n">
        <f aca="false">MIN((CB709+CB710)*$C$5,$F$15)*'⑫ Roll-out Plan'!$O$75</f>
        <v>0</v>
      </c>
      <c r="CC1016" s="9" t="n">
        <f aca="false">MIN((CC709+CC710)*$C$5,$F$15)*'⑫ Roll-out Plan'!$O$75</f>
        <v>0</v>
      </c>
      <c r="CD1016" s="9" t="n">
        <f aca="false">MIN((CD709+CD710)*$C$5,$F$15)*'⑫ Roll-out Plan'!$O$75</f>
        <v>0</v>
      </c>
      <c r="CE1016" s="9" t="n">
        <f aca="false">MIN((CE709+CE710)*$C$5,$F$15)*'⑫ Roll-out Plan'!$O$75</f>
        <v>0</v>
      </c>
      <c r="CF1016" s="9" t="n">
        <f aca="false">MIN((CF709+CF710)*$C$5,$F$15)*'⑫ Roll-out Plan'!$O$75</f>
        <v>0</v>
      </c>
      <c r="CG1016" s="9" t="n">
        <f aca="false">MIN((CG709+CG710)*$C$5,$F$15)*'⑫ Roll-out Plan'!$O$75</f>
        <v>0</v>
      </c>
      <c r="CH1016" s="9" t="n">
        <f aca="false">MIN((CH709+CH710)*$C$5,$F$15)*'⑫ Roll-out Plan'!$O$75</f>
        <v>0</v>
      </c>
      <c r="CI1016" s="9" t="n">
        <f aca="false">MIN((CI709+CI710)*$C$5,$F$15)*'⑫ Roll-out Plan'!$O$75</f>
        <v>0</v>
      </c>
      <c r="CJ1016" s="9" t="n">
        <f aca="false">MIN((CJ709+CJ710)*$C$5,$F$15)*'⑫ Roll-out Plan'!$O$75</f>
        <v>0</v>
      </c>
      <c r="CK1016" s="9" t="n">
        <f aca="false">MIN((CK709+CK710)*$C$5,$F$15)*'⑫ Roll-out Plan'!$O$75</f>
        <v>0</v>
      </c>
      <c r="CL1016" s="9" t="n">
        <f aca="false">MIN((CL709+CL710)*$C$5,$F$15)*'⑫ Roll-out Plan'!$O$75</f>
        <v>0</v>
      </c>
      <c r="CM1016" s="9" t="n">
        <f aca="false">MIN((CM709+CM710)*$C$5,$F$15)*'⑫ Roll-out Plan'!$O$75</f>
        <v>0</v>
      </c>
      <c r="CN1016" s="9" t="n">
        <f aca="false">MIN((CN709+CN710)*$C$5,$F$15)*'⑫ Roll-out Plan'!$O$75</f>
        <v>0</v>
      </c>
      <c r="CO1016" s="9" t="n">
        <f aca="false">MIN((CO709+CO710)*$C$5,$F$15)*'⑫ Roll-out Plan'!$O$75</f>
        <v>0</v>
      </c>
      <c r="CP1016" s="9" t="n">
        <f aca="false">MIN((CP709+CP710)*$C$5,$F$15)*'⑫ Roll-out Plan'!$O$75</f>
        <v>0</v>
      </c>
      <c r="CQ1016" s="9" t="n">
        <f aca="false">MIN((CQ709+CQ710)*$C$5,$F$15)*'⑫ Roll-out Plan'!$O$75</f>
        <v>0</v>
      </c>
      <c r="CR1016" s="9" t="n">
        <f aca="false">MIN((CR709+CR710)*$C$5,$F$15)*'⑫ Roll-out Plan'!$O$75</f>
        <v>0</v>
      </c>
      <c r="CS1016" s="9" t="n">
        <f aca="false">MIN((CS709+CS710)*$C$5,$F$15)*'⑫ Roll-out Plan'!$O$75</f>
        <v>0</v>
      </c>
      <c r="CT1016" s="9" t="n">
        <f aca="false">MIN((CT709+CT710)*$C$5,$F$15)*'⑫ Roll-out Plan'!$O$75</f>
        <v>0</v>
      </c>
      <c r="CU1016" s="9" t="n">
        <f aca="false">MIN((CU709+CU710)*$C$5,$F$15)*'⑫ Roll-out Plan'!$O$75</f>
        <v>0</v>
      </c>
      <c r="CV1016" s="9" t="n">
        <f aca="false">MIN((CV709+CV710)*$C$5,$F$15)*'⑫ Roll-out Plan'!$O$75</f>
        <v>0</v>
      </c>
      <c r="CW1016" s="9" t="n">
        <f aca="false">MIN((CW709+CW710)*$C$5,$F$15)*'⑫ Roll-out Plan'!$O$75</f>
        <v>0</v>
      </c>
      <c r="CX1016" s="9" t="n">
        <f aca="false">MIN((CX709+CX710)*$C$5,$F$15)*'⑫ Roll-out Plan'!$O$75</f>
        <v>0</v>
      </c>
      <c r="CY1016" s="9" t="n">
        <f aca="false">MIN((CY709+CY710)*$C$5,$F$15)*'⑫ Roll-out Plan'!$O$75</f>
        <v>5622.52</v>
      </c>
      <c r="CZ1016" s="9" t="n">
        <f aca="false">MIN((CZ709+CZ710)*$C$5,$F$15)*'⑫ Roll-out Plan'!$O$75</f>
        <v>6584.55256</v>
      </c>
      <c r="DA1016" s="9" t="n">
        <f aca="false">MIN((DA709+DA710)*$C$5,$F$15)*'⑫ Roll-out Plan'!$O$75</f>
        <v>6200.747712</v>
      </c>
      <c r="DB1016" s="9" t="n">
        <f aca="false">MIN((DB709+DB710)*$C$5,$F$15)*'⑫ Roll-out Plan'!$O$75</f>
        <v>6148.865424</v>
      </c>
      <c r="DC1016" s="9" t="n">
        <f aca="false">MIN((DC709+DC710)*$C$5,$F$15)*'⑫ Roll-out Plan'!$O$75</f>
        <v>6464.0677728</v>
      </c>
      <c r="DD1016" s="9" t="n">
        <f aca="false">MIN((DD709+DD710)*$C$5,$F$15)*'⑫ Roll-out Plan'!$O$75</f>
        <v>11712.8414192</v>
      </c>
      <c r="DE1016" s="9" t="n">
        <f aca="false">MIN((DE709+DE710)*$C$5,$F$15)*'⑫ Roll-out Plan'!$O$75</f>
        <v>11570.7273792</v>
      </c>
      <c r="DF1016" s="9" t="n">
        <f aca="false">MIN((DF709+DF710)*$C$5,$F$15)*'⑫ Roll-out Plan'!$O$75</f>
        <v>10880.3982512</v>
      </c>
      <c r="DG1016" s="9" t="n">
        <f aca="false">MIN((DG709+DG710)*$C$5,$F$15)*'⑫ Roll-out Plan'!$O$75</f>
        <v>9518.3292096</v>
      </c>
      <c r="DH1016" s="9" t="n">
        <f aca="false">MIN((DH709+DH710)*$C$5,$F$15)*'⑫ Roll-out Plan'!$O$75</f>
        <v>12621.6965728</v>
      </c>
      <c r="DI1016" s="9" t="n">
        <f aca="false">MIN((DI709+DI710)*$C$5,$F$15)*'⑫ Roll-out Plan'!$O$75</f>
        <v>14813.4556864</v>
      </c>
      <c r="DJ1016" s="9" t="n">
        <f aca="false">MIN((DJ709+DJ710)*$C$5,$F$15)*'⑫ Roll-out Plan'!$O$75</f>
        <v>12852.7937776</v>
      </c>
      <c r="DK1016" s="9" t="n">
        <f aca="false">MIN((DK709+DK710)*$C$5,$F$15)*'⑫ Roll-out Plan'!$O$75</f>
        <v>18276.3541216</v>
      </c>
      <c r="DL1016" s="9" t="n">
        <f aca="false">MIN((DL709+DL710)*$C$5,$F$15)*'⑫ Roll-out Plan'!$O$75</f>
        <v>19458.0837424</v>
      </c>
      <c r="DM1016" s="9" t="n">
        <f aca="false">MIN((DM709+DM710)*$C$5,$F$15)*'⑫ Roll-out Plan'!$O$75</f>
        <v>17059.0048672</v>
      </c>
      <c r="DN1016" s="9" t="n">
        <f aca="false">MIN((DN709+DN710)*$C$5,$F$15)*'⑫ Roll-out Plan'!$O$75</f>
        <v>18234.530328</v>
      </c>
      <c r="DO1016" s="9" t="n">
        <f aca="false">MIN((DO709+DO710)*$C$5,$F$15)*'⑫ Roll-out Plan'!$O$75</f>
        <v>19963.6219648</v>
      </c>
      <c r="DP1016" s="9" t="n">
        <f aca="false">MIN((DP709+DP710)*$C$5,$F$15)*'⑫ Roll-out Plan'!$O$75</f>
        <v>27000</v>
      </c>
      <c r="DQ1016" s="9" t="n">
        <f aca="false">MIN((DQ709+DQ710)*$C$5,$F$15)*'⑫ Roll-out Plan'!$O$75</f>
        <v>27000</v>
      </c>
      <c r="DR1016" s="9" t="n">
        <f aca="false">MIN((DR709+DR710)*$C$5,$F$15)*'⑫ Roll-out Plan'!$O$75</f>
        <v>26092.83687528</v>
      </c>
      <c r="DS1016" s="9" t="n">
        <f aca="false">MIN((DS709+DS710)*$C$5,$F$15)*'⑫ Roll-out Plan'!$O$75</f>
        <v>21431.330402</v>
      </c>
      <c r="DT1016" s="9" t="n">
        <f aca="false">MIN((DT709+DT710)*$C$5,$F$15)*'⑫ Roll-out Plan'!$O$75</f>
        <v>27000</v>
      </c>
      <c r="DU1016" s="9" t="n">
        <f aca="false">MIN((DU709+DU710)*$C$5,$F$15)*'⑫ Roll-out Plan'!$O$75</f>
        <v>27000</v>
      </c>
      <c r="DV1016" s="9" t="n">
        <f aca="false">MIN((DV709+DV710)*$C$5,$F$15)*'⑫ Roll-out Plan'!$O$75</f>
        <v>26495.16637564</v>
      </c>
      <c r="DW1016" s="9" t="n">
        <f aca="false">MIN((DW709+DW710)*$C$5,$F$15)*'⑫ Roll-out Plan'!$O$75</f>
        <v>27000</v>
      </c>
      <c r="DX1016" s="9" t="n">
        <f aca="false">MIN((DX709+DX710)*$C$5,$F$15)*'⑫ Roll-out Plan'!$O$75</f>
        <v>27000</v>
      </c>
      <c r="DY1016" s="9" t="n">
        <f aca="false">MIN((DY709+DY710)*$C$5,$F$15)*'⑫ Roll-out Plan'!$O$75</f>
        <v>27000</v>
      </c>
      <c r="DZ1016" s="9" t="n">
        <f aca="false">MIN((DZ709+DZ710)*$C$5,$F$15)*'⑫ Roll-out Plan'!$O$75</f>
        <v>27000</v>
      </c>
      <c r="EA1016" s="9" t="n">
        <f aca="false">MIN((EA709+EA710)*$C$5,$F$15)*'⑫ Roll-out Plan'!$O$75</f>
        <v>27000</v>
      </c>
      <c r="EB1016" s="9" t="n">
        <f aca="false">MIN((EB709+EB710)*$C$5,$F$15)*'⑫ Roll-out Plan'!$O$75</f>
        <v>27000</v>
      </c>
      <c r="EC1016" s="9" t="n">
        <f aca="false">MIN((EC709+EC710)*$C$5,$F$15)*'⑫ Roll-out Plan'!$O$75</f>
        <v>27000</v>
      </c>
      <c r="ED1016" s="9" t="n">
        <f aca="false">MIN((ED709+ED710)*$C$5,$F$15)*'⑫ Roll-out Plan'!$O$75</f>
        <v>27000</v>
      </c>
      <c r="EE1016" s="9" t="n">
        <f aca="false">MIN((EE709+EE710)*$C$5,$F$15)*'⑫ Roll-out Plan'!$O$75</f>
        <v>27000</v>
      </c>
      <c r="EF1016" s="9" t="n">
        <f aca="false">MIN((EF709+EF710)*$C$5,$F$15)*'⑫ Roll-out Plan'!$O$75</f>
        <v>27000</v>
      </c>
      <c r="EG1016" s="9" t="n">
        <f aca="false">MIN((EG709+EG710)*$C$5,$F$15)*'⑫ Roll-out Plan'!$O$75</f>
        <v>27000</v>
      </c>
      <c r="EH1016" s="9" t="n">
        <f aca="false">MIN((EH709+EH710)*$C$5,$F$15)*'⑫ Roll-out Plan'!$O$75</f>
        <v>27000</v>
      </c>
      <c r="EI1016" s="9" t="n">
        <f aca="false">MIN((EI709+EI710)*$C$5,$F$15)*'⑫ Roll-out Plan'!$O$75</f>
        <v>27000</v>
      </c>
      <c r="EJ1016" s="9" t="n">
        <f aca="false">MIN((EJ709+EJ710)*$C$5,$F$15)*'⑫ Roll-out Plan'!$O$75</f>
        <v>27000</v>
      </c>
      <c r="EK1016" s="9" t="n">
        <f aca="false">MIN((EK709+EK710)*$C$5,$F$15)*'⑫ Roll-out Plan'!$O$75</f>
        <v>27000</v>
      </c>
      <c r="EL1016" s="9" t="n">
        <f aca="false">MIN((EL709+EL710)*$C$5,$F$15)*'⑫ Roll-out Plan'!$O$75</f>
        <v>27000</v>
      </c>
      <c r="EM1016" s="9" t="n">
        <f aca="false">MIN((EM709+EM710)*$C$5,$F$15)*'⑫ Roll-out Plan'!$O$75</f>
        <v>27000</v>
      </c>
      <c r="EN1016" s="9" t="n">
        <f aca="false">MIN((EN709+EN710)*$C$5,$F$15)*'⑫ Roll-out Plan'!$O$75</f>
        <v>27000</v>
      </c>
      <c r="EO1016" s="9" t="n">
        <f aca="false">MIN((EO709+EO710)*$C$5,$F$15)*'⑫ Roll-out Plan'!$O$75</f>
        <v>27000</v>
      </c>
      <c r="EP1016" s="9" t="n">
        <f aca="false">MIN((EP709+EP710)*$C$5,$F$15)*'⑫ Roll-out Plan'!$O$75</f>
        <v>27000</v>
      </c>
      <c r="EQ1016" s="9" t="n">
        <f aca="false">MIN((EQ709+EQ710)*$C$5,$F$15)*'⑫ Roll-out Plan'!$O$75</f>
        <v>27000</v>
      </c>
      <c r="ER1016" s="9" t="n">
        <f aca="false">MIN((ER709+ER710)*$C$5,$F$15)*'⑫ Roll-out Plan'!$O$75</f>
        <v>27000</v>
      </c>
      <c r="ES1016" s="9" t="n">
        <f aca="false">MIN((ES709+ES710)*$C$5,$F$15)*'⑫ Roll-out Plan'!$O$75</f>
        <v>27000</v>
      </c>
      <c r="ET1016" s="9" t="n">
        <f aca="false">MIN((ET709+ET710)*$C$5,$F$15)*'⑫ Roll-out Plan'!$O$75</f>
        <v>27000</v>
      </c>
      <c r="EU1016" s="9" t="n">
        <f aca="false">MIN((EU709+EU710)*$C$5,$F$15)*'⑫ Roll-out Plan'!$O$75</f>
        <v>27000</v>
      </c>
      <c r="EV1016" s="9" t="n">
        <f aca="false">MIN((EV709+EV710)*$C$5,$F$15)*'⑫ Roll-out Plan'!$O$75</f>
        <v>27000</v>
      </c>
      <c r="EW1016" s="9" t="n">
        <f aca="false">MIN((EW709+EW710)*$C$5,$F$15)*'⑫ Roll-out Plan'!$O$75</f>
        <v>27000</v>
      </c>
      <c r="EX1016" s="9" t="n">
        <f aca="false">MIN((EX709+EX710)*$C$5,$F$15)*'⑫ Roll-out Plan'!$O$75</f>
        <v>27000</v>
      </c>
      <c r="EY1016" s="9" t="n">
        <f aca="false">MIN((EY709+EY710)*$C$5,$F$15)*'⑫ Roll-out Plan'!$O$75</f>
        <v>27000</v>
      </c>
      <c r="EZ1016" s="9" t="n">
        <f aca="false">MIN((EZ709+EZ710)*$C$5,$F$15)*'⑫ Roll-out Plan'!$O$75</f>
        <v>27000</v>
      </c>
      <c r="FA1016" s="9" t="n">
        <f aca="false">MIN((FA709+FA710)*$C$5,$F$15)*'⑫ Roll-out Plan'!$O$75</f>
        <v>27000</v>
      </c>
      <c r="FB1016" s="9" t="n">
        <f aca="false">MIN((FB709+FB710)*$C$5,$F$15)*'⑫ Roll-out Plan'!$O$75</f>
        <v>27000</v>
      </c>
      <c r="FC1016" s="9" t="n">
        <f aca="false">MIN((FC709+FC710)*$C$5,$F$15)*'⑫ Roll-out Plan'!$O$75</f>
        <v>27000</v>
      </c>
      <c r="FD1016" s="9" t="n">
        <f aca="false">MIN((FD709+FD710)*$C$5,$F$15)*'⑫ Roll-out Plan'!$O$75</f>
        <v>27000</v>
      </c>
      <c r="FE1016" s="9" t="n">
        <f aca="false">MIN((FE709+FE710)*$C$5,$F$15)*'⑫ Roll-out Plan'!$O$75</f>
        <v>27000</v>
      </c>
      <c r="FF1016" s="9" t="n">
        <f aca="false">MIN((FF709+FF710)*$C$5,$F$15)*'⑫ Roll-out Plan'!$O$75</f>
        <v>27000</v>
      </c>
      <c r="FG1016" s="9" t="n">
        <f aca="false">MIN((FG709+FG710)*$C$5,$F$15)*'⑫ Roll-out Plan'!$O$75</f>
        <v>27000</v>
      </c>
      <c r="FH1016" s="9" t="n">
        <f aca="false">MIN((FH709+FH710)*$C$5,$F$15)*'⑫ Roll-out Plan'!$O$75</f>
        <v>27000</v>
      </c>
      <c r="FI1016" s="9" t="n">
        <f aca="false">MIN((FI709+FI710)*$C$5,$F$15)*'⑫ Roll-out Plan'!$O$75</f>
        <v>27000</v>
      </c>
      <c r="FJ1016" s="9" t="n">
        <f aca="false">MIN((FJ709+FJ710)*$C$5,$F$15)*'⑫ Roll-out Plan'!$O$75</f>
        <v>27000</v>
      </c>
      <c r="FK1016" s="9" t="n">
        <f aca="false">MIN((FK709+FK710)*$C$5,$F$15)*'⑫ Roll-out Plan'!$O$75</f>
        <v>27000</v>
      </c>
      <c r="FL1016" s="9" t="n">
        <f aca="false">MIN((FL709+FL710)*$C$5,$F$15)*'⑫ Roll-out Plan'!$O$75</f>
        <v>27000</v>
      </c>
      <c r="FM1016" s="9" t="n">
        <f aca="false">MIN((FM709+FM710)*$C$5,$F$15)*'⑫ Roll-out Plan'!$O$75</f>
        <v>27000</v>
      </c>
      <c r="FN1016" s="9" t="n">
        <f aca="false">MIN((FN709+FN710)*$C$5,$F$15)*'⑫ Roll-out Plan'!$O$75</f>
        <v>27000</v>
      </c>
      <c r="FO1016" s="9" t="n">
        <f aca="false">MIN((FO709+FO710)*$C$5,$F$15)*'⑫ Roll-out Plan'!$O$75</f>
        <v>27000</v>
      </c>
      <c r="FP1016" s="9" t="n">
        <f aca="false">MIN((FP709+FP710)*$C$5,$F$15)*'⑫ Roll-out Plan'!$O$75</f>
        <v>27000</v>
      </c>
    </row>
    <row r="1017" customFormat="false" ht="15" hidden="false" customHeight="false" outlineLevel="0" collapsed="false">
      <c r="B1017" s="9" t="s">
        <v>944</v>
      </c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121" t="n">
        <f aca="false">MIN((AC719+AC720)*$C$5,$F$14)*'⑫ Roll-out Plan'!$O$76</f>
        <v>0</v>
      </c>
      <c r="AD1017" s="9" t="n">
        <f aca="false">MIN((AD719+AD720)*$C$5,$F$14)*'⑫ Roll-out Plan'!$O$76</f>
        <v>0</v>
      </c>
      <c r="AE1017" s="9" t="n">
        <f aca="false">MIN((AE719+AE720)*$C$5,$F$14)*'⑫ Roll-out Plan'!$O$76</f>
        <v>0</v>
      </c>
      <c r="AF1017" s="9" t="n">
        <f aca="false">MIN((AF719+AF720)*$C$5,$F$14)*'⑫ Roll-out Plan'!$O$76</f>
        <v>0</v>
      </c>
      <c r="AG1017" s="9" t="n">
        <f aca="false">MIN((AG719+AG720)*$C$5,$F$14)*'⑫ Roll-out Plan'!$O$76</f>
        <v>0</v>
      </c>
      <c r="AH1017" s="9" t="n">
        <f aca="false">MIN((AH719+AH720)*$C$5,$F$14)*'⑫ Roll-out Plan'!$O$76</f>
        <v>0</v>
      </c>
      <c r="AI1017" s="9" t="n">
        <f aca="false">MIN((AI719+AI720)*$C$5,$F$14)*'⑫ Roll-out Plan'!$O$76</f>
        <v>0</v>
      </c>
      <c r="AJ1017" s="9" t="n">
        <f aca="false">MIN((AJ719+AJ720)*$C$5,$F$14)*'⑫ Roll-out Plan'!$O$76</f>
        <v>0</v>
      </c>
      <c r="AK1017" s="9" t="n">
        <f aca="false">MIN((AK719+AK720)*$C$5,$F$14)*'⑫ Roll-out Plan'!$O$76</f>
        <v>0</v>
      </c>
      <c r="AL1017" s="9" t="n">
        <f aca="false">MIN((AL719+AL720)*$C$5,$F$14)*'⑫ Roll-out Plan'!$O$76</f>
        <v>0</v>
      </c>
      <c r="AM1017" s="9" t="n">
        <f aca="false">MIN((AM719+AM720)*$C$5,$F$14)*'⑫ Roll-out Plan'!$O$76</f>
        <v>0</v>
      </c>
      <c r="AN1017" s="9" t="n">
        <f aca="false">MIN((AN719+AN720)*$C$5,$F$14)*'⑫ Roll-out Plan'!$O$76</f>
        <v>0</v>
      </c>
      <c r="AO1017" s="9" t="n">
        <f aca="false">MIN((AO719+AO720)*$C$5,$F$14)*'⑫ Roll-out Plan'!$O$76</f>
        <v>0</v>
      </c>
      <c r="AP1017" s="9" t="n">
        <f aca="false">MIN((AP719+AP720)*$C$5,$F$14)*'⑫ Roll-out Plan'!$O$76</f>
        <v>0</v>
      </c>
      <c r="AQ1017" s="9" t="n">
        <f aca="false">MIN((AQ719+AQ720)*$C$5,$F$14)*'⑫ Roll-out Plan'!$O$76</f>
        <v>0</v>
      </c>
      <c r="AR1017" s="9" t="n">
        <f aca="false">MIN((AR719+AR720)*$C$5,$F$14)*'⑫ Roll-out Plan'!$O$76</f>
        <v>0</v>
      </c>
      <c r="AS1017" s="9" t="n">
        <f aca="false">MIN((AS719+AS720)*$C$5,$F$14)*'⑫ Roll-out Plan'!$O$76</f>
        <v>0</v>
      </c>
      <c r="AT1017" s="9" t="n">
        <f aca="false">MIN((AT719+AT720)*$C$5,$F$14)*'⑫ Roll-out Plan'!$O$76</f>
        <v>0</v>
      </c>
      <c r="AU1017" s="9" t="n">
        <f aca="false">MIN((AU719+AU720)*$C$5,$F$14)*'⑫ Roll-out Plan'!$O$76</f>
        <v>0</v>
      </c>
      <c r="AV1017" s="9" t="n">
        <f aca="false">MIN((AV719+AV720)*$C$5,$F$14)*'⑫ Roll-out Plan'!$O$76</f>
        <v>0</v>
      </c>
      <c r="AW1017" s="9" t="n">
        <f aca="false">MIN((AW719+AW720)*$C$5,$F$14)*'⑫ Roll-out Plan'!$O$76</f>
        <v>0</v>
      </c>
      <c r="AX1017" s="9" t="n">
        <f aca="false">MIN((AX719+AX720)*$C$5,$F$14)*'⑫ Roll-out Plan'!$O$76</f>
        <v>0</v>
      </c>
      <c r="AY1017" s="9" t="n">
        <f aca="false">MIN((AY719+AY720)*$C$5,$F$14)*'⑫ Roll-out Plan'!$O$76</f>
        <v>0</v>
      </c>
      <c r="AZ1017" s="9" t="n">
        <f aca="false">MIN((AZ719+AZ720)*$C$5,$F$14)*'⑫ Roll-out Plan'!$O$76</f>
        <v>0</v>
      </c>
      <c r="BA1017" s="9" t="n">
        <f aca="false">MIN((BA719+BA720)*$C$5,$F$14)*'⑫ Roll-out Plan'!$O$76</f>
        <v>0</v>
      </c>
      <c r="BB1017" s="9" t="n">
        <f aca="false">MIN((BB719+BB720)*$C$5,$F$14)*'⑫ Roll-out Plan'!$O$76</f>
        <v>0</v>
      </c>
      <c r="BC1017" s="9" t="n">
        <f aca="false">MIN((BC719+BC720)*$C$5,$F$14)*'⑫ Roll-out Plan'!$O$76</f>
        <v>0</v>
      </c>
      <c r="BD1017" s="9" t="n">
        <f aca="false">MIN((BD719+BD720)*$C$5,$F$14)*'⑫ Roll-out Plan'!$O$76</f>
        <v>0</v>
      </c>
      <c r="BE1017" s="9" t="n">
        <f aca="false">MIN((BE719+BE720)*$C$5,$F$14)*'⑫ Roll-out Plan'!$O$76</f>
        <v>0</v>
      </c>
      <c r="BF1017" s="9" t="n">
        <f aca="false">MIN((BF719+BF720)*$C$5,$F$14)*'⑫ Roll-out Plan'!$O$76</f>
        <v>0</v>
      </c>
      <c r="BG1017" s="9" t="n">
        <f aca="false">MIN((BG719+BG720)*$C$5,$F$14)*'⑫ Roll-out Plan'!$O$76</f>
        <v>0</v>
      </c>
      <c r="BH1017" s="9" t="n">
        <f aca="false">MIN((BH719+BH720)*$C$5,$F$14)*'⑫ Roll-out Plan'!$O$76</f>
        <v>0</v>
      </c>
      <c r="BI1017" s="9" t="n">
        <f aca="false">MIN((BI719+BI720)*$C$5,$F$14)*'⑫ Roll-out Plan'!$O$76</f>
        <v>0</v>
      </c>
      <c r="BJ1017" s="9" t="n">
        <f aca="false">MIN((BJ719+BJ720)*$C$5,$F$14)*'⑫ Roll-out Plan'!$O$76</f>
        <v>0</v>
      </c>
      <c r="BK1017" s="9" t="n">
        <f aca="false">MIN((BK719+BK720)*$C$5,$F$14)*'⑫ Roll-out Plan'!$O$76</f>
        <v>0</v>
      </c>
      <c r="BL1017" s="9" t="n">
        <f aca="false">MIN((BL719+BL720)*$C$5,$F$14)*'⑫ Roll-out Plan'!$O$76</f>
        <v>0</v>
      </c>
      <c r="BM1017" s="9" t="n">
        <f aca="false">MIN((BM719+BM720)*$C$5,$F$14)*'⑫ Roll-out Plan'!$O$76</f>
        <v>0</v>
      </c>
      <c r="BN1017" s="9" t="n">
        <f aca="false">MIN((BN719+BN720)*$C$5,$F$14)*'⑫ Roll-out Plan'!$O$76</f>
        <v>0</v>
      </c>
      <c r="BO1017" s="9" t="n">
        <f aca="false">MIN((BO719+BO720)*$C$5,$F$14)*'⑫ Roll-out Plan'!$O$76</f>
        <v>0</v>
      </c>
      <c r="BP1017" s="9" t="n">
        <f aca="false">MIN((BP719+BP720)*$C$5,$F$14)*'⑫ Roll-out Plan'!$O$76</f>
        <v>0</v>
      </c>
      <c r="BQ1017" s="9" t="n">
        <f aca="false">MIN((BQ719+BQ720)*$C$5,$F$14)*'⑫ Roll-out Plan'!$O$76</f>
        <v>0</v>
      </c>
      <c r="BR1017" s="9" t="n">
        <f aca="false">MIN((BR719+BR720)*$C$5,$F$14)*'⑫ Roll-out Plan'!$O$76</f>
        <v>0</v>
      </c>
      <c r="BS1017" s="9" t="n">
        <f aca="false">MIN((BS719+BS720)*$C$5,$F$14)*'⑫ Roll-out Plan'!$O$76</f>
        <v>0</v>
      </c>
      <c r="BT1017" s="9" t="n">
        <f aca="false">MIN((BT719+BT720)*$C$5,$F$14)*'⑫ Roll-out Plan'!$O$76</f>
        <v>0</v>
      </c>
      <c r="BU1017" s="9" t="n">
        <f aca="false">MIN((BU719+BU720)*$C$5,$F$14)*'⑫ Roll-out Plan'!$O$76</f>
        <v>0</v>
      </c>
      <c r="BV1017" s="9" t="n">
        <f aca="false">MIN((BV719+BV720)*$C$5,$F$14)*'⑫ Roll-out Plan'!$O$76</f>
        <v>0</v>
      </c>
      <c r="BW1017" s="9" t="n">
        <f aca="false">MIN((BW719+BW720)*$C$5,$F$14)*'⑫ Roll-out Plan'!$O$76</f>
        <v>0</v>
      </c>
      <c r="BX1017" s="9" t="n">
        <f aca="false">MIN((BX719+BX720)*$C$5,$F$14)*'⑫ Roll-out Plan'!$O$76</f>
        <v>0</v>
      </c>
      <c r="BY1017" s="9" t="n">
        <f aca="false">MIN((BY719+BY720)*$C$5,$F$14)*'⑫ Roll-out Plan'!$O$76</f>
        <v>0</v>
      </c>
      <c r="BZ1017" s="9" t="n">
        <f aca="false">MIN((BZ719+BZ720)*$C$5,$F$14)*'⑫ Roll-out Plan'!$O$76</f>
        <v>0</v>
      </c>
      <c r="CA1017" s="9" t="n">
        <f aca="false">MIN((CA719+CA720)*$C$5,$F$14)*'⑫ Roll-out Plan'!$O$76</f>
        <v>0</v>
      </c>
      <c r="CB1017" s="9" t="n">
        <f aca="false">MIN((CB719+CB720)*$C$5,$F$14)*'⑫ Roll-out Plan'!$O$76</f>
        <v>0</v>
      </c>
      <c r="CC1017" s="9" t="n">
        <f aca="false">MIN((CC719+CC720)*$C$5,$F$14)*'⑫ Roll-out Plan'!$O$76</f>
        <v>0</v>
      </c>
      <c r="CD1017" s="9" t="n">
        <f aca="false">MIN((CD719+CD720)*$C$5,$F$14)*'⑫ Roll-out Plan'!$O$76</f>
        <v>0</v>
      </c>
      <c r="CE1017" s="9" t="n">
        <f aca="false">MIN((CE719+CE720)*$C$5,$F$14)*'⑫ Roll-out Plan'!$O$76</f>
        <v>0</v>
      </c>
      <c r="CF1017" s="9" t="n">
        <f aca="false">MIN((CF719+CF720)*$C$5,$F$14)*'⑫ Roll-out Plan'!$O$76</f>
        <v>0</v>
      </c>
      <c r="CG1017" s="9" t="n">
        <f aca="false">MIN((CG719+CG720)*$C$5,$F$14)*'⑫ Roll-out Plan'!$O$76</f>
        <v>0</v>
      </c>
      <c r="CH1017" s="9" t="n">
        <f aca="false">MIN((CH719+CH720)*$C$5,$F$14)*'⑫ Roll-out Plan'!$O$76</f>
        <v>0</v>
      </c>
      <c r="CI1017" s="9" t="n">
        <f aca="false">MIN((CI719+CI720)*$C$5,$F$14)*'⑫ Roll-out Plan'!$O$76</f>
        <v>0</v>
      </c>
      <c r="CJ1017" s="9" t="n">
        <f aca="false">MIN((CJ719+CJ720)*$C$5,$F$14)*'⑫ Roll-out Plan'!$O$76</f>
        <v>0</v>
      </c>
      <c r="CK1017" s="9" t="n">
        <f aca="false">MIN((CK719+CK720)*$C$5,$F$14)*'⑫ Roll-out Plan'!$O$76</f>
        <v>0</v>
      </c>
      <c r="CL1017" s="9" t="n">
        <f aca="false">MIN((CL719+CL720)*$C$5,$F$14)*'⑫ Roll-out Plan'!$O$76</f>
        <v>0</v>
      </c>
      <c r="CM1017" s="9" t="n">
        <f aca="false">MIN((CM719+CM720)*$C$5,$F$14)*'⑫ Roll-out Plan'!$O$76</f>
        <v>0</v>
      </c>
      <c r="CN1017" s="9" t="n">
        <f aca="false">MIN((CN719+CN720)*$C$5,$F$14)*'⑫ Roll-out Plan'!$O$76</f>
        <v>0</v>
      </c>
      <c r="CO1017" s="9" t="n">
        <f aca="false">MIN((CO719+CO720)*$C$5,$F$14)*'⑫ Roll-out Plan'!$O$76</f>
        <v>0</v>
      </c>
      <c r="CP1017" s="9" t="n">
        <f aca="false">MIN((CP719+CP720)*$C$5,$F$14)*'⑫ Roll-out Plan'!$O$76</f>
        <v>0</v>
      </c>
      <c r="CQ1017" s="9" t="n">
        <f aca="false">MIN((CQ719+CQ720)*$C$5,$F$14)*'⑫ Roll-out Plan'!$O$76</f>
        <v>0</v>
      </c>
      <c r="CR1017" s="9" t="n">
        <f aca="false">MIN((CR719+CR720)*$C$5,$F$14)*'⑫ Roll-out Plan'!$O$76</f>
        <v>0</v>
      </c>
      <c r="CS1017" s="9" t="n">
        <f aca="false">MIN((CS719+CS720)*$C$5,$F$14)*'⑫ Roll-out Plan'!$O$76</f>
        <v>0</v>
      </c>
      <c r="CT1017" s="9" t="n">
        <f aca="false">MIN((CT719+CT720)*$C$5,$F$14)*'⑫ Roll-out Plan'!$O$76</f>
        <v>0</v>
      </c>
      <c r="CU1017" s="9" t="n">
        <f aca="false">MIN((CU719+CU720)*$C$5,$F$14)*'⑫ Roll-out Plan'!$O$76</f>
        <v>0</v>
      </c>
      <c r="CV1017" s="9" t="n">
        <f aca="false">MIN((CV719+CV720)*$C$5,$F$14)*'⑫ Roll-out Plan'!$O$76</f>
        <v>0</v>
      </c>
      <c r="CW1017" s="9" t="n">
        <f aca="false">MIN((CW719+CW720)*$C$5,$F$14)*'⑫ Roll-out Plan'!$O$76</f>
        <v>0</v>
      </c>
      <c r="CX1017" s="9" t="n">
        <f aca="false">MIN((CX719+CX720)*$C$5,$F$14)*'⑫ Roll-out Plan'!$O$76</f>
        <v>0</v>
      </c>
      <c r="CY1017" s="9" t="n">
        <f aca="false">MIN((CY719+CY720)*$C$5,$F$14)*'⑫ Roll-out Plan'!$O$76</f>
        <v>0</v>
      </c>
      <c r="CZ1017" s="9" t="n">
        <f aca="false">MIN((CZ719+CZ720)*$C$5,$F$14)*'⑫ Roll-out Plan'!$O$76</f>
        <v>6052.2</v>
      </c>
      <c r="DA1017" s="9" t="n">
        <f aca="false">MIN((DA719+DA720)*$C$5,$F$14)*'⑫ Roll-out Plan'!$O$76</f>
        <v>6342.7056</v>
      </c>
      <c r="DB1017" s="9" t="n">
        <f aca="false">MIN((DB719+DB720)*$C$5,$F$14)*'⑫ Roll-out Plan'!$O$76</f>
        <v>6101.145792</v>
      </c>
      <c r="DC1017" s="9" t="n">
        <f aca="false">MIN((DC719+DC720)*$C$5,$F$14)*'⑫ Roll-out Plan'!$O$76</f>
        <v>7148.9202624</v>
      </c>
      <c r="DD1017" s="9" t="n">
        <f aca="false">MIN((DD719+DD720)*$C$5,$F$14)*'⑫ Roll-out Plan'!$O$76</f>
        <v>11641.1139936</v>
      </c>
      <c r="DE1017" s="9" t="n">
        <f aca="false">MIN((DE719+DE720)*$C$5,$F$14)*'⑫ Roll-out Plan'!$O$76</f>
        <v>11600.152704</v>
      </c>
      <c r="DF1017" s="9" t="n">
        <f aca="false">MIN((DF719+DF720)*$C$5,$F$14)*'⑫ Roll-out Plan'!$O$76</f>
        <v>10985.117136</v>
      </c>
      <c r="DG1017" s="9" t="n">
        <f aca="false">MIN((DG719+DG720)*$C$5,$F$14)*'⑫ Roll-out Plan'!$O$76</f>
        <v>9572.4588288</v>
      </c>
      <c r="DH1017" s="9" t="n">
        <f aca="false">MIN((DH719+DH720)*$C$5,$F$14)*'⑫ Roll-out Plan'!$O$76</f>
        <v>14057.9357184</v>
      </c>
      <c r="DI1017" s="9" t="n">
        <f aca="false">MIN((DI719+DI720)*$C$5,$F$14)*'⑫ Roll-out Plan'!$O$76</f>
        <v>15423.2768256</v>
      </c>
      <c r="DJ1017" s="9" t="n">
        <f aca="false">MIN((DJ719+DJ720)*$C$5,$F$14)*'⑫ Roll-out Plan'!$O$76</f>
        <v>13440.6465312</v>
      </c>
      <c r="DK1017" s="9" t="n">
        <f aca="false">MIN((DK719+DK720)*$C$5,$F$14)*'⑫ Roll-out Plan'!$O$76</f>
        <v>19088.5243584</v>
      </c>
      <c r="DL1017" s="9" t="n">
        <f aca="false">MIN((DL719+DL720)*$C$5,$F$14)*'⑫ Roll-out Plan'!$O$76</f>
        <v>20374.3637664</v>
      </c>
      <c r="DM1017" s="9" t="n">
        <f aca="false">MIN((DM719+DM720)*$C$5,$F$14)*'⑫ Roll-out Plan'!$O$76</f>
        <v>18999.9993792</v>
      </c>
      <c r="DN1017" s="9" t="n">
        <f aca="false">MIN((DN719+DN720)*$C$5,$F$14)*'⑫ Roll-out Plan'!$O$76</f>
        <v>17017.8444576</v>
      </c>
      <c r="DO1017" s="9" t="n">
        <f aca="false">MIN((DO719+DO720)*$C$5,$F$14)*'⑫ Roll-out Plan'!$O$76</f>
        <v>21203.123424</v>
      </c>
      <c r="DP1017" s="9" t="n">
        <f aca="false">MIN((DP719+DP720)*$C$5,$F$14)*'⑫ Roll-out Plan'!$O$76</f>
        <v>35000</v>
      </c>
      <c r="DQ1017" s="9" t="n">
        <f aca="false">MIN((DQ719+DQ720)*$C$5,$F$14)*'⑫ Roll-out Plan'!$O$76</f>
        <v>32934.86372064</v>
      </c>
      <c r="DR1017" s="9" t="n">
        <f aca="false">MIN((DR719+DR720)*$C$5,$F$14)*'⑫ Roll-out Plan'!$O$76</f>
        <v>29071.6260576</v>
      </c>
      <c r="DS1017" s="9" t="n">
        <f aca="false">MIN((DS719+DS720)*$C$5,$F$14)*'⑫ Roll-out Plan'!$O$76</f>
        <v>23372.77594176</v>
      </c>
      <c r="DT1017" s="9" t="n">
        <f aca="false">MIN((DT719+DT720)*$C$5,$F$14)*'⑫ Roll-out Plan'!$O$76</f>
        <v>30658.6427448</v>
      </c>
      <c r="DU1017" s="9" t="n">
        <f aca="false">MIN((DU719+DU720)*$C$5,$F$14)*'⑫ Roll-out Plan'!$O$76</f>
        <v>34229.53295832</v>
      </c>
      <c r="DV1017" s="9" t="n">
        <f aca="false">MIN((DV719+DV720)*$C$5,$F$14)*'⑫ Roll-out Plan'!$O$76</f>
        <v>28942.03040904</v>
      </c>
      <c r="DW1017" s="9" t="n">
        <f aca="false">MIN((DW719+DW720)*$C$5,$F$14)*'⑫ Roll-out Plan'!$O$76</f>
        <v>35000</v>
      </c>
      <c r="DX1017" s="9" t="n">
        <f aca="false">MIN((DX719+DX720)*$C$5,$F$14)*'⑫ Roll-out Plan'!$O$76</f>
        <v>35000</v>
      </c>
      <c r="DY1017" s="9" t="n">
        <f aca="false">MIN((DY719+DY720)*$C$5,$F$14)*'⑫ Roll-out Plan'!$O$76</f>
        <v>34325.39496456</v>
      </c>
      <c r="DZ1017" s="9" t="n">
        <f aca="false">MIN((DZ719+DZ720)*$C$5,$F$14)*'⑫ Roll-out Plan'!$O$76</f>
        <v>31705.46228808</v>
      </c>
      <c r="EA1017" s="9" t="n">
        <f aca="false">MIN((EA719+EA720)*$C$5,$F$14)*'⑫ Roll-out Plan'!$O$76</f>
        <v>33383.9120916</v>
      </c>
      <c r="EB1017" s="9" t="n">
        <f aca="false">MIN((EB719+EB720)*$C$5,$F$14)*'⑫ Roll-out Plan'!$O$76</f>
        <v>35000</v>
      </c>
      <c r="EC1017" s="9" t="n">
        <f aca="false">MIN((EC719+EC720)*$C$5,$F$14)*'⑫ Roll-out Plan'!$O$76</f>
        <v>35000</v>
      </c>
      <c r="ED1017" s="9" t="n">
        <f aca="false">MIN((ED719+ED720)*$C$5,$F$14)*'⑫ Roll-out Plan'!$O$76</f>
        <v>35000</v>
      </c>
      <c r="EE1017" s="9" t="n">
        <f aca="false">MIN((EE719+EE720)*$C$5,$F$14)*'⑫ Roll-out Plan'!$O$76</f>
        <v>34546.52782728</v>
      </c>
      <c r="EF1017" s="9" t="n">
        <f aca="false">MIN((EF719+EF720)*$C$5,$F$14)*'⑫ Roll-out Plan'!$O$76</f>
        <v>35000</v>
      </c>
      <c r="EG1017" s="9" t="n">
        <f aca="false">MIN((EG719+EG720)*$C$5,$F$14)*'⑫ Roll-out Plan'!$O$76</f>
        <v>35000</v>
      </c>
      <c r="EH1017" s="9" t="n">
        <f aca="false">MIN((EH719+EH720)*$C$5,$F$14)*'⑫ Roll-out Plan'!$O$76</f>
        <v>35000</v>
      </c>
      <c r="EI1017" s="9" t="n">
        <f aca="false">MIN((EI719+EI720)*$C$5,$F$14)*'⑫ Roll-out Plan'!$O$76</f>
        <v>35000</v>
      </c>
      <c r="EJ1017" s="9" t="n">
        <f aca="false">MIN((EJ719+EJ720)*$C$5,$F$14)*'⑫ Roll-out Plan'!$O$76</f>
        <v>35000</v>
      </c>
      <c r="EK1017" s="9" t="n">
        <f aca="false">MIN((EK719+EK720)*$C$5,$F$14)*'⑫ Roll-out Plan'!$O$76</f>
        <v>35000</v>
      </c>
      <c r="EL1017" s="9" t="n">
        <f aca="false">MIN((EL719+EL720)*$C$5,$F$14)*'⑫ Roll-out Plan'!$O$76</f>
        <v>35000</v>
      </c>
      <c r="EM1017" s="9" t="n">
        <f aca="false">MIN((EM719+EM720)*$C$5,$F$14)*'⑫ Roll-out Plan'!$O$76</f>
        <v>35000</v>
      </c>
      <c r="EN1017" s="9" t="n">
        <f aca="false">MIN((EN719+EN720)*$C$5,$F$14)*'⑫ Roll-out Plan'!$O$76</f>
        <v>35000</v>
      </c>
      <c r="EO1017" s="9" t="n">
        <f aca="false">MIN((EO719+EO720)*$C$5,$F$14)*'⑫ Roll-out Plan'!$O$76</f>
        <v>35000</v>
      </c>
      <c r="EP1017" s="9" t="n">
        <f aca="false">MIN((EP719+EP720)*$C$5,$F$14)*'⑫ Roll-out Plan'!$O$76</f>
        <v>35000</v>
      </c>
      <c r="EQ1017" s="9" t="n">
        <f aca="false">MIN((EQ719+EQ720)*$C$5,$F$14)*'⑫ Roll-out Plan'!$O$76</f>
        <v>35000</v>
      </c>
      <c r="ER1017" s="9" t="n">
        <f aca="false">MIN((ER719+ER720)*$C$5,$F$14)*'⑫ Roll-out Plan'!$O$76</f>
        <v>35000</v>
      </c>
      <c r="ES1017" s="9" t="n">
        <f aca="false">MIN((ES719+ES720)*$C$5,$F$14)*'⑫ Roll-out Plan'!$O$76</f>
        <v>35000</v>
      </c>
      <c r="ET1017" s="9" t="n">
        <f aca="false">MIN((ET719+ET720)*$C$5,$F$14)*'⑫ Roll-out Plan'!$O$76</f>
        <v>35000</v>
      </c>
      <c r="EU1017" s="9" t="n">
        <f aca="false">MIN((EU719+EU720)*$C$5,$F$14)*'⑫ Roll-out Plan'!$O$76</f>
        <v>35000</v>
      </c>
      <c r="EV1017" s="9" t="n">
        <f aca="false">MIN((EV719+EV720)*$C$5,$F$14)*'⑫ Roll-out Plan'!$O$76</f>
        <v>35000</v>
      </c>
      <c r="EW1017" s="9" t="n">
        <f aca="false">MIN((EW719+EW720)*$C$5,$F$14)*'⑫ Roll-out Plan'!$O$76</f>
        <v>35000</v>
      </c>
      <c r="EX1017" s="9" t="n">
        <f aca="false">MIN((EX719+EX720)*$C$5,$F$14)*'⑫ Roll-out Plan'!$O$76</f>
        <v>35000</v>
      </c>
      <c r="EY1017" s="9" t="n">
        <f aca="false">MIN((EY719+EY720)*$C$5,$F$14)*'⑫ Roll-out Plan'!$O$76</f>
        <v>35000</v>
      </c>
      <c r="EZ1017" s="9" t="n">
        <f aca="false">MIN((EZ719+EZ720)*$C$5,$F$14)*'⑫ Roll-out Plan'!$O$76</f>
        <v>35000</v>
      </c>
      <c r="FA1017" s="9" t="n">
        <f aca="false">MIN((FA719+FA720)*$C$5,$F$14)*'⑫ Roll-out Plan'!$O$76</f>
        <v>35000</v>
      </c>
      <c r="FB1017" s="9" t="n">
        <f aca="false">MIN((FB719+FB720)*$C$5,$F$14)*'⑫ Roll-out Plan'!$O$76</f>
        <v>35000</v>
      </c>
      <c r="FC1017" s="9" t="n">
        <f aca="false">MIN((FC719+FC720)*$C$5,$F$14)*'⑫ Roll-out Plan'!$O$76</f>
        <v>35000</v>
      </c>
      <c r="FD1017" s="9" t="n">
        <f aca="false">MIN((FD719+FD720)*$C$5,$F$14)*'⑫ Roll-out Plan'!$O$76</f>
        <v>35000</v>
      </c>
      <c r="FE1017" s="9" t="n">
        <f aca="false">MIN((FE719+FE720)*$C$5,$F$14)*'⑫ Roll-out Plan'!$O$76</f>
        <v>35000</v>
      </c>
      <c r="FF1017" s="9" t="n">
        <f aca="false">MIN((FF719+FF720)*$C$5,$F$14)*'⑫ Roll-out Plan'!$O$76</f>
        <v>35000</v>
      </c>
      <c r="FG1017" s="9" t="n">
        <f aca="false">MIN((FG719+FG720)*$C$5,$F$14)*'⑫ Roll-out Plan'!$O$76</f>
        <v>35000</v>
      </c>
      <c r="FH1017" s="9" t="n">
        <f aca="false">MIN((FH719+FH720)*$C$5,$F$14)*'⑫ Roll-out Plan'!$O$76</f>
        <v>35000</v>
      </c>
      <c r="FI1017" s="9" t="n">
        <f aca="false">MIN((FI719+FI720)*$C$5,$F$14)*'⑫ Roll-out Plan'!$O$76</f>
        <v>35000</v>
      </c>
      <c r="FJ1017" s="9" t="n">
        <f aca="false">MIN((FJ719+FJ720)*$C$5,$F$14)*'⑫ Roll-out Plan'!$O$76</f>
        <v>35000</v>
      </c>
      <c r="FK1017" s="9" t="n">
        <f aca="false">MIN((FK719+FK720)*$C$5,$F$14)*'⑫ Roll-out Plan'!$O$76</f>
        <v>35000</v>
      </c>
      <c r="FL1017" s="9" t="n">
        <f aca="false">MIN((FL719+FL720)*$C$5,$F$14)*'⑫ Roll-out Plan'!$O$76</f>
        <v>35000</v>
      </c>
      <c r="FM1017" s="9" t="n">
        <f aca="false">MIN((FM719+FM720)*$C$5,$F$14)*'⑫ Roll-out Plan'!$O$76</f>
        <v>35000</v>
      </c>
      <c r="FN1017" s="9" t="n">
        <f aca="false">MIN((FN719+FN720)*$C$5,$F$14)*'⑫ Roll-out Plan'!$O$76</f>
        <v>35000</v>
      </c>
      <c r="FO1017" s="9" t="n">
        <f aca="false">MIN((FO719+FO720)*$C$5,$F$14)*'⑫ Roll-out Plan'!$O$76</f>
        <v>35000</v>
      </c>
      <c r="FP1017" s="9" t="n">
        <f aca="false">MIN((FP719+FP720)*$C$5,$F$14)*'⑫ Roll-out Plan'!$O$76</f>
        <v>35000</v>
      </c>
    </row>
    <row r="1018" customFormat="false" ht="15" hidden="false" customHeight="false" outlineLevel="0" collapsed="false">
      <c r="B1018" s="9" t="s">
        <v>945</v>
      </c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121" t="n">
        <f aca="false">MIN((AC729+AC730)*$C$5,$F$15)*'⑫ Roll-out Plan'!$O$77</f>
        <v>0</v>
      </c>
      <c r="AD1018" s="9" t="n">
        <f aca="false">MIN((AD729+AD730)*$C$5,$F$15)*'⑫ Roll-out Plan'!$O$77</f>
        <v>0</v>
      </c>
      <c r="AE1018" s="9" t="n">
        <f aca="false">MIN((AE729+AE730)*$C$5,$F$15)*'⑫ Roll-out Plan'!$O$77</f>
        <v>0</v>
      </c>
      <c r="AF1018" s="9" t="n">
        <f aca="false">MIN((AF729+AF730)*$C$5,$F$15)*'⑫ Roll-out Plan'!$O$77</f>
        <v>0</v>
      </c>
      <c r="AG1018" s="9" t="n">
        <f aca="false">MIN((AG729+AG730)*$C$5,$F$15)*'⑫ Roll-out Plan'!$O$77</f>
        <v>0</v>
      </c>
      <c r="AH1018" s="9" t="n">
        <f aca="false">MIN((AH729+AH730)*$C$5,$F$15)*'⑫ Roll-out Plan'!$O$77</f>
        <v>0</v>
      </c>
      <c r="AI1018" s="9" t="n">
        <f aca="false">MIN((AI729+AI730)*$C$5,$F$15)*'⑫ Roll-out Plan'!$O$77</f>
        <v>0</v>
      </c>
      <c r="AJ1018" s="9" t="n">
        <f aca="false">MIN((AJ729+AJ730)*$C$5,$F$15)*'⑫ Roll-out Plan'!$O$77</f>
        <v>0</v>
      </c>
      <c r="AK1018" s="9" t="n">
        <f aca="false">MIN((AK729+AK730)*$C$5,$F$15)*'⑫ Roll-out Plan'!$O$77</f>
        <v>0</v>
      </c>
      <c r="AL1018" s="9" t="n">
        <f aca="false">MIN((AL729+AL730)*$C$5,$F$15)*'⑫ Roll-out Plan'!$O$77</f>
        <v>0</v>
      </c>
      <c r="AM1018" s="9" t="n">
        <f aca="false">MIN((AM729+AM730)*$C$5,$F$15)*'⑫ Roll-out Plan'!$O$77</f>
        <v>0</v>
      </c>
      <c r="AN1018" s="9" t="n">
        <f aca="false">MIN((AN729+AN730)*$C$5,$F$15)*'⑫ Roll-out Plan'!$O$77</f>
        <v>0</v>
      </c>
      <c r="AO1018" s="9" t="n">
        <f aca="false">MIN((AO729+AO730)*$C$5,$F$15)*'⑫ Roll-out Plan'!$O$77</f>
        <v>0</v>
      </c>
      <c r="AP1018" s="9" t="n">
        <f aca="false">MIN((AP729+AP730)*$C$5,$F$15)*'⑫ Roll-out Plan'!$O$77</f>
        <v>0</v>
      </c>
      <c r="AQ1018" s="9" t="n">
        <f aca="false">MIN((AQ729+AQ730)*$C$5,$F$15)*'⑫ Roll-out Plan'!$O$77</f>
        <v>0</v>
      </c>
      <c r="AR1018" s="9" t="n">
        <f aca="false">MIN((AR729+AR730)*$C$5,$F$15)*'⑫ Roll-out Plan'!$O$77</f>
        <v>0</v>
      </c>
      <c r="AS1018" s="9" t="n">
        <f aca="false">MIN((AS729+AS730)*$C$5,$F$15)*'⑫ Roll-out Plan'!$O$77</f>
        <v>0</v>
      </c>
      <c r="AT1018" s="9" t="n">
        <f aca="false">MIN((AT729+AT730)*$C$5,$F$15)*'⑫ Roll-out Plan'!$O$77</f>
        <v>0</v>
      </c>
      <c r="AU1018" s="9" t="n">
        <f aca="false">MIN((AU729+AU730)*$C$5,$F$15)*'⑫ Roll-out Plan'!$O$77</f>
        <v>0</v>
      </c>
      <c r="AV1018" s="9" t="n">
        <f aca="false">MIN((AV729+AV730)*$C$5,$F$15)*'⑫ Roll-out Plan'!$O$77</f>
        <v>0</v>
      </c>
      <c r="AW1018" s="9" t="n">
        <f aca="false">MIN((AW729+AW730)*$C$5,$F$15)*'⑫ Roll-out Plan'!$O$77</f>
        <v>0</v>
      </c>
      <c r="AX1018" s="9" t="n">
        <f aca="false">MIN((AX729+AX730)*$C$5,$F$15)*'⑫ Roll-out Plan'!$O$77</f>
        <v>0</v>
      </c>
      <c r="AY1018" s="9" t="n">
        <f aca="false">MIN((AY729+AY730)*$C$5,$F$15)*'⑫ Roll-out Plan'!$O$77</f>
        <v>0</v>
      </c>
      <c r="AZ1018" s="9" t="n">
        <f aca="false">MIN((AZ729+AZ730)*$C$5,$F$15)*'⑫ Roll-out Plan'!$O$77</f>
        <v>0</v>
      </c>
      <c r="BA1018" s="9" t="n">
        <f aca="false">MIN((BA729+BA730)*$C$5,$F$15)*'⑫ Roll-out Plan'!$O$77</f>
        <v>0</v>
      </c>
      <c r="BB1018" s="9" t="n">
        <f aca="false">MIN((BB729+BB730)*$C$5,$F$15)*'⑫ Roll-out Plan'!$O$77</f>
        <v>0</v>
      </c>
      <c r="BC1018" s="9" t="n">
        <f aca="false">MIN((BC729+BC730)*$C$5,$F$15)*'⑫ Roll-out Plan'!$O$77</f>
        <v>0</v>
      </c>
      <c r="BD1018" s="9" t="n">
        <f aca="false">MIN((BD729+BD730)*$C$5,$F$15)*'⑫ Roll-out Plan'!$O$77</f>
        <v>0</v>
      </c>
      <c r="BE1018" s="9" t="n">
        <f aca="false">MIN((BE729+BE730)*$C$5,$F$15)*'⑫ Roll-out Plan'!$O$77</f>
        <v>0</v>
      </c>
      <c r="BF1018" s="9" t="n">
        <f aca="false">MIN((BF729+BF730)*$C$5,$F$15)*'⑫ Roll-out Plan'!$O$77</f>
        <v>0</v>
      </c>
      <c r="BG1018" s="9" t="n">
        <f aca="false">MIN((BG729+BG730)*$C$5,$F$15)*'⑫ Roll-out Plan'!$O$77</f>
        <v>0</v>
      </c>
      <c r="BH1018" s="9" t="n">
        <f aca="false">MIN((BH729+BH730)*$C$5,$F$15)*'⑫ Roll-out Plan'!$O$77</f>
        <v>0</v>
      </c>
      <c r="BI1018" s="9" t="n">
        <f aca="false">MIN((BI729+BI730)*$C$5,$F$15)*'⑫ Roll-out Plan'!$O$77</f>
        <v>0</v>
      </c>
      <c r="BJ1018" s="9" t="n">
        <f aca="false">MIN((BJ729+BJ730)*$C$5,$F$15)*'⑫ Roll-out Plan'!$O$77</f>
        <v>0</v>
      </c>
      <c r="BK1018" s="9" t="n">
        <f aca="false">MIN((BK729+BK730)*$C$5,$F$15)*'⑫ Roll-out Plan'!$O$77</f>
        <v>0</v>
      </c>
      <c r="BL1018" s="9" t="n">
        <f aca="false">MIN((BL729+BL730)*$C$5,$F$15)*'⑫ Roll-out Plan'!$O$77</f>
        <v>0</v>
      </c>
      <c r="BM1018" s="9" t="n">
        <f aca="false">MIN((BM729+BM730)*$C$5,$F$15)*'⑫ Roll-out Plan'!$O$77</f>
        <v>0</v>
      </c>
      <c r="BN1018" s="9" t="n">
        <f aca="false">MIN((BN729+BN730)*$C$5,$F$15)*'⑫ Roll-out Plan'!$O$77</f>
        <v>0</v>
      </c>
      <c r="BO1018" s="9" t="n">
        <f aca="false">MIN((BO729+BO730)*$C$5,$F$15)*'⑫ Roll-out Plan'!$O$77</f>
        <v>0</v>
      </c>
      <c r="BP1018" s="9" t="n">
        <f aca="false">MIN((BP729+BP730)*$C$5,$F$15)*'⑫ Roll-out Plan'!$O$77</f>
        <v>0</v>
      </c>
      <c r="BQ1018" s="9" t="n">
        <f aca="false">MIN((BQ729+BQ730)*$C$5,$F$15)*'⑫ Roll-out Plan'!$O$77</f>
        <v>0</v>
      </c>
      <c r="BR1018" s="9" t="n">
        <f aca="false">MIN((BR729+BR730)*$C$5,$F$15)*'⑫ Roll-out Plan'!$O$77</f>
        <v>0</v>
      </c>
      <c r="BS1018" s="9" t="n">
        <f aca="false">MIN((BS729+BS730)*$C$5,$F$15)*'⑫ Roll-out Plan'!$O$77</f>
        <v>0</v>
      </c>
      <c r="BT1018" s="9" t="n">
        <f aca="false">MIN((BT729+BT730)*$C$5,$F$15)*'⑫ Roll-out Plan'!$O$77</f>
        <v>0</v>
      </c>
      <c r="BU1018" s="9" t="n">
        <f aca="false">MIN((BU729+BU730)*$C$5,$F$15)*'⑫ Roll-out Plan'!$O$77</f>
        <v>0</v>
      </c>
      <c r="BV1018" s="9" t="n">
        <f aca="false">MIN((BV729+BV730)*$C$5,$F$15)*'⑫ Roll-out Plan'!$O$77</f>
        <v>0</v>
      </c>
      <c r="BW1018" s="9" t="n">
        <f aca="false">MIN((BW729+BW730)*$C$5,$F$15)*'⑫ Roll-out Plan'!$O$77</f>
        <v>0</v>
      </c>
      <c r="BX1018" s="9" t="n">
        <f aca="false">MIN((BX729+BX730)*$C$5,$F$15)*'⑫ Roll-out Plan'!$O$77</f>
        <v>0</v>
      </c>
      <c r="BY1018" s="9" t="n">
        <f aca="false">MIN((BY729+BY730)*$C$5,$F$15)*'⑫ Roll-out Plan'!$O$77</f>
        <v>0</v>
      </c>
      <c r="BZ1018" s="9" t="n">
        <f aca="false">MIN((BZ729+BZ730)*$C$5,$F$15)*'⑫ Roll-out Plan'!$O$77</f>
        <v>0</v>
      </c>
      <c r="CA1018" s="9" t="n">
        <f aca="false">MIN((CA729+CA730)*$C$5,$F$15)*'⑫ Roll-out Plan'!$O$77</f>
        <v>0</v>
      </c>
      <c r="CB1018" s="9" t="n">
        <f aca="false">MIN((CB729+CB730)*$C$5,$F$15)*'⑫ Roll-out Plan'!$O$77</f>
        <v>0</v>
      </c>
      <c r="CC1018" s="9" t="n">
        <f aca="false">MIN((CC729+CC730)*$C$5,$F$15)*'⑫ Roll-out Plan'!$O$77</f>
        <v>0</v>
      </c>
      <c r="CD1018" s="9" t="n">
        <f aca="false">MIN((CD729+CD730)*$C$5,$F$15)*'⑫ Roll-out Plan'!$O$77</f>
        <v>0</v>
      </c>
      <c r="CE1018" s="9" t="n">
        <f aca="false">MIN((CE729+CE730)*$C$5,$F$15)*'⑫ Roll-out Plan'!$O$77</f>
        <v>0</v>
      </c>
      <c r="CF1018" s="9" t="n">
        <f aca="false">MIN((CF729+CF730)*$C$5,$F$15)*'⑫ Roll-out Plan'!$O$77</f>
        <v>0</v>
      </c>
      <c r="CG1018" s="9" t="n">
        <f aca="false">MIN((CG729+CG730)*$C$5,$F$15)*'⑫ Roll-out Plan'!$O$77</f>
        <v>0</v>
      </c>
      <c r="CH1018" s="9" t="n">
        <f aca="false">MIN((CH729+CH730)*$C$5,$F$15)*'⑫ Roll-out Plan'!$O$77</f>
        <v>0</v>
      </c>
      <c r="CI1018" s="9" t="n">
        <f aca="false">MIN((CI729+CI730)*$C$5,$F$15)*'⑫ Roll-out Plan'!$O$77</f>
        <v>0</v>
      </c>
      <c r="CJ1018" s="9" t="n">
        <f aca="false">MIN((CJ729+CJ730)*$C$5,$F$15)*'⑫ Roll-out Plan'!$O$77</f>
        <v>0</v>
      </c>
      <c r="CK1018" s="9" t="n">
        <f aca="false">MIN((CK729+CK730)*$C$5,$F$15)*'⑫ Roll-out Plan'!$O$77</f>
        <v>0</v>
      </c>
      <c r="CL1018" s="9" t="n">
        <f aca="false">MIN((CL729+CL730)*$C$5,$F$15)*'⑫ Roll-out Plan'!$O$77</f>
        <v>0</v>
      </c>
      <c r="CM1018" s="9" t="n">
        <f aca="false">MIN((CM729+CM730)*$C$5,$F$15)*'⑫ Roll-out Plan'!$O$77</f>
        <v>0</v>
      </c>
      <c r="CN1018" s="9" t="n">
        <f aca="false">MIN((CN729+CN730)*$C$5,$F$15)*'⑫ Roll-out Plan'!$O$77</f>
        <v>0</v>
      </c>
      <c r="CO1018" s="9" t="n">
        <f aca="false">MIN((CO729+CO730)*$C$5,$F$15)*'⑫ Roll-out Plan'!$O$77</f>
        <v>0</v>
      </c>
      <c r="CP1018" s="9" t="n">
        <f aca="false">MIN((CP729+CP730)*$C$5,$F$15)*'⑫ Roll-out Plan'!$O$77</f>
        <v>0</v>
      </c>
      <c r="CQ1018" s="9" t="n">
        <f aca="false">MIN((CQ729+CQ730)*$C$5,$F$15)*'⑫ Roll-out Plan'!$O$77</f>
        <v>0</v>
      </c>
      <c r="CR1018" s="9" t="n">
        <f aca="false">MIN((CR729+CR730)*$C$5,$F$15)*'⑫ Roll-out Plan'!$O$77</f>
        <v>0</v>
      </c>
      <c r="CS1018" s="9" t="n">
        <f aca="false">MIN((CS729+CS730)*$C$5,$F$15)*'⑫ Roll-out Plan'!$O$77</f>
        <v>0</v>
      </c>
      <c r="CT1018" s="9" t="n">
        <f aca="false">MIN((CT729+CT730)*$C$5,$F$15)*'⑫ Roll-out Plan'!$O$77</f>
        <v>0</v>
      </c>
      <c r="CU1018" s="9" t="n">
        <f aca="false">MIN((CU729+CU730)*$C$5,$F$15)*'⑫ Roll-out Plan'!$O$77</f>
        <v>0</v>
      </c>
      <c r="CV1018" s="9" t="n">
        <f aca="false">MIN((CV729+CV730)*$C$5,$F$15)*'⑫ Roll-out Plan'!$O$77</f>
        <v>0</v>
      </c>
      <c r="CW1018" s="9" t="n">
        <f aca="false">MIN((CW729+CW730)*$C$5,$F$15)*'⑫ Roll-out Plan'!$O$77</f>
        <v>0</v>
      </c>
      <c r="CX1018" s="9" t="n">
        <f aca="false">MIN((CX729+CX730)*$C$5,$F$15)*'⑫ Roll-out Plan'!$O$77</f>
        <v>0</v>
      </c>
      <c r="CY1018" s="9" t="n">
        <f aca="false">MIN((CY729+CY730)*$C$5,$F$15)*'⑫ Roll-out Plan'!$O$77</f>
        <v>0</v>
      </c>
      <c r="CZ1018" s="9" t="n">
        <f aca="false">MIN((CZ729+CZ730)*$C$5,$F$15)*'⑫ Roll-out Plan'!$O$77</f>
        <v>0</v>
      </c>
      <c r="DA1018" s="9" t="n">
        <f aca="false">MIN((DA729+DA730)*$C$5,$F$15)*'⑫ Roll-out Plan'!$O$77</f>
        <v>4459.24</v>
      </c>
      <c r="DB1018" s="9" t="n">
        <f aca="false">MIN((DB729+DB730)*$C$5,$F$15)*'⑫ Roll-out Plan'!$O$77</f>
        <v>4836.14272</v>
      </c>
      <c r="DC1018" s="9" t="n">
        <f aca="false">MIN((DC729+DC730)*$C$5,$F$15)*'⑫ Roll-out Plan'!$O$77</f>
        <v>5510.224704</v>
      </c>
      <c r="DD1018" s="9" t="n">
        <f aca="false">MIN((DD729+DD730)*$C$5,$F$15)*'⑫ Roll-out Plan'!$O$77</f>
        <v>10092.03564</v>
      </c>
      <c r="DE1018" s="9" t="n">
        <f aca="false">MIN((DE729+DE730)*$C$5,$F$15)*'⑫ Roll-out Plan'!$O$77</f>
        <v>9018.3514656</v>
      </c>
      <c r="DF1018" s="9" t="n">
        <f aca="false">MIN((DF729+DF730)*$C$5,$F$15)*'⑫ Roll-out Plan'!$O$77</f>
        <v>8554.2880528</v>
      </c>
      <c r="DG1018" s="9" t="n">
        <f aca="false">MIN((DG729+DG730)*$C$5,$F$15)*'⑫ Roll-out Plan'!$O$77</f>
        <v>7497.0138816</v>
      </c>
      <c r="DH1018" s="9" t="n">
        <f aca="false">MIN((DH729+DH730)*$C$5,$F$15)*'⑫ Roll-out Plan'!$O$77</f>
        <v>10977.0280432</v>
      </c>
      <c r="DI1018" s="9" t="n">
        <f aca="false">MIN((DI729+DI730)*$C$5,$F$15)*'⑫ Roll-out Plan'!$O$77</f>
        <v>13318.9821152</v>
      </c>
      <c r="DJ1018" s="9" t="n">
        <f aca="false">MIN((DJ729+DJ730)*$C$5,$F$15)*'⑫ Roll-out Plan'!$O$77</f>
        <v>10875.814928</v>
      </c>
      <c r="DK1018" s="9" t="n">
        <f aca="false">MIN((DK729+DK730)*$C$5,$F$15)*'⑫ Roll-out Plan'!$O$77</f>
        <v>15507.3134304</v>
      </c>
      <c r="DL1018" s="9" t="n">
        <f aca="false">MIN((DL729+DL730)*$C$5,$F$15)*'⑫ Roll-out Plan'!$O$77</f>
        <v>16520.4605136</v>
      </c>
      <c r="DM1018" s="9" t="n">
        <f aca="false">MIN((DM729+DM730)*$C$5,$F$15)*'⑫ Roll-out Plan'!$O$77</f>
        <v>15424.860144</v>
      </c>
      <c r="DN1018" s="9" t="n">
        <f aca="false">MIN((DN729+DN730)*$C$5,$F$15)*'⑫ Roll-out Plan'!$O$77</f>
        <v>14703.3473568</v>
      </c>
      <c r="DO1018" s="9" t="n">
        <f aca="false">MIN((DO729+DO730)*$C$5,$F$15)*'⑫ Roll-out Plan'!$O$77</f>
        <v>15294.7589088</v>
      </c>
      <c r="DP1018" s="9" t="n">
        <f aca="false">MIN((DP729+DP730)*$C$5,$F$15)*'⑫ Roll-out Plan'!$O$77</f>
        <v>27000</v>
      </c>
      <c r="DQ1018" s="9" t="n">
        <f aca="false">MIN((DQ729+DQ730)*$C$5,$F$15)*'⑫ Roll-out Plan'!$O$77</f>
        <v>27000</v>
      </c>
      <c r="DR1018" s="9" t="n">
        <f aca="false">MIN((DR729+DR730)*$C$5,$F$15)*'⑫ Roll-out Plan'!$O$77</f>
        <v>24525.68505952</v>
      </c>
      <c r="DS1018" s="9" t="n">
        <f aca="false">MIN((DS729+DS730)*$C$5,$F$15)*'⑫ Roll-out Plan'!$O$77</f>
        <v>20143.8062816</v>
      </c>
      <c r="DT1018" s="9" t="n">
        <f aca="false">MIN((DT729+DT730)*$C$5,$F$15)*'⑫ Roll-out Plan'!$O$77</f>
        <v>26012.09322272</v>
      </c>
      <c r="DU1018" s="9" t="n">
        <f aca="false">MIN((DU729+DU730)*$C$5,$F$15)*'⑫ Roll-out Plan'!$O$77</f>
        <v>27000</v>
      </c>
      <c r="DV1018" s="9" t="n">
        <f aca="false">MIN((DV729+DV730)*$C$5,$F$15)*'⑫ Roll-out Plan'!$O$77</f>
        <v>24541.20418412</v>
      </c>
      <c r="DW1018" s="9" t="n">
        <f aca="false">MIN((DW729+DW730)*$C$5,$F$15)*'⑫ Roll-out Plan'!$O$77</f>
        <v>27000</v>
      </c>
      <c r="DX1018" s="9" t="n">
        <f aca="false">MIN((DX729+DX730)*$C$5,$F$15)*'⑫ Roll-out Plan'!$O$77</f>
        <v>27000</v>
      </c>
      <c r="DY1018" s="9" t="n">
        <f aca="false">MIN((DY729+DY730)*$C$5,$F$15)*'⑫ Roll-out Plan'!$O$77</f>
        <v>27000</v>
      </c>
      <c r="DZ1018" s="9" t="n">
        <f aca="false">MIN((DZ729+DZ730)*$C$5,$F$15)*'⑫ Roll-out Plan'!$O$77</f>
        <v>26978.19803824</v>
      </c>
      <c r="EA1018" s="9" t="n">
        <f aca="false">MIN((EA729+EA730)*$C$5,$F$15)*'⑫ Roll-out Plan'!$O$77</f>
        <v>27000</v>
      </c>
      <c r="EB1018" s="9" t="n">
        <f aca="false">MIN((EB729+EB730)*$C$5,$F$15)*'⑫ Roll-out Plan'!$O$77</f>
        <v>27000</v>
      </c>
      <c r="EC1018" s="9" t="n">
        <f aca="false">MIN((EC729+EC730)*$C$5,$F$15)*'⑫ Roll-out Plan'!$O$77</f>
        <v>27000</v>
      </c>
      <c r="ED1018" s="9" t="n">
        <f aca="false">MIN((ED729+ED730)*$C$5,$F$15)*'⑫ Roll-out Plan'!$O$77</f>
        <v>27000</v>
      </c>
      <c r="EE1018" s="9" t="n">
        <f aca="false">MIN((EE729+EE730)*$C$5,$F$15)*'⑫ Roll-out Plan'!$O$77</f>
        <v>27000</v>
      </c>
      <c r="EF1018" s="9" t="n">
        <f aca="false">MIN((EF729+EF730)*$C$5,$F$15)*'⑫ Roll-out Plan'!$O$77</f>
        <v>27000</v>
      </c>
      <c r="EG1018" s="9" t="n">
        <f aca="false">MIN((EG729+EG730)*$C$5,$F$15)*'⑫ Roll-out Plan'!$O$77</f>
        <v>27000</v>
      </c>
      <c r="EH1018" s="9" t="n">
        <f aca="false">MIN((EH729+EH730)*$C$5,$F$15)*'⑫ Roll-out Plan'!$O$77</f>
        <v>27000</v>
      </c>
      <c r="EI1018" s="9" t="n">
        <f aca="false">MIN((EI729+EI730)*$C$5,$F$15)*'⑫ Roll-out Plan'!$O$77</f>
        <v>27000</v>
      </c>
      <c r="EJ1018" s="9" t="n">
        <f aca="false">MIN((EJ729+EJ730)*$C$5,$F$15)*'⑫ Roll-out Plan'!$O$77</f>
        <v>27000</v>
      </c>
      <c r="EK1018" s="9" t="n">
        <f aca="false">MIN((EK729+EK730)*$C$5,$F$15)*'⑫ Roll-out Plan'!$O$77</f>
        <v>27000</v>
      </c>
      <c r="EL1018" s="9" t="n">
        <f aca="false">MIN((EL729+EL730)*$C$5,$F$15)*'⑫ Roll-out Plan'!$O$77</f>
        <v>27000</v>
      </c>
      <c r="EM1018" s="9" t="n">
        <f aca="false">MIN((EM729+EM730)*$C$5,$F$15)*'⑫ Roll-out Plan'!$O$77</f>
        <v>27000</v>
      </c>
      <c r="EN1018" s="9" t="n">
        <f aca="false">MIN((EN729+EN730)*$C$5,$F$15)*'⑫ Roll-out Plan'!$O$77</f>
        <v>27000</v>
      </c>
      <c r="EO1018" s="9" t="n">
        <f aca="false">MIN((EO729+EO730)*$C$5,$F$15)*'⑫ Roll-out Plan'!$O$77</f>
        <v>27000</v>
      </c>
      <c r="EP1018" s="9" t="n">
        <f aca="false">MIN((EP729+EP730)*$C$5,$F$15)*'⑫ Roll-out Plan'!$O$77</f>
        <v>27000</v>
      </c>
      <c r="EQ1018" s="9" t="n">
        <f aca="false">MIN((EQ729+EQ730)*$C$5,$F$15)*'⑫ Roll-out Plan'!$O$77</f>
        <v>27000</v>
      </c>
      <c r="ER1018" s="9" t="n">
        <f aca="false">MIN((ER729+ER730)*$C$5,$F$15)*'⑫ Roll-out Plan'!$O$77</f>
        <v>27000</v>
      </c>
      <c r="ES1018" s="9" t="n">
        <f aca="false">MIN((ES729+ES730)*$C$5,$F$15)*'⑫ Roll-out Plan'!$O$77</f>
        <v>27000</v>
      </c>
      <c r="ET1018" s="9" t="n">
        <f aca="false">MIN((ET729+ET730)*$C$5,$F$15)*'⑫ Roll-out Plan'!$O$77</f>
        <v>27000</v>
      </c>
      <c r="EU1018" s="9" t="n">
        <f aca="false">MIN((EU729+EU730)*$C$5,$F$15)*'⑫ Roll-out Plan'!$O$77</f>
        <v>27000</v>
      </c>
      <c r="EV1018" s="9" t="n">
        <f aca="false">MIN((EV729+EV730)*$C$5,$F$15)*'⑫ Roll-out Plan'!$O$77</f>
        <v>27000</v>
      </c>
      <c r="EW1018" s="9" t="n">
        <f aca="false">MIN((EW729+EW730)*$C$5,$F$15)*'⑫ Roll-out Plan'!$O$77</f>
        <v>27000</v>
      </c>
      <c r="EX1018" s="9" t="n">
        <f aca="false">MIN((EX729+EX730)*$C$5,$F$15)*'⑫ Roll-out Plan'!$O$77</f>
        <v>27000</v>
      </c>
      <c r="EY1018" s="9" t="n">
        <f aca="false">MIN((EY729+EY730)*$C$5,$F$15)*'⑫ Roll-out Plan'!$O$77</f>
        <v>27000</v>
      </c>
      <c r="EZ1018" s="9" t="n">
        <f aca="false">MIN((EZ729+EZ730)*$C$5,$F$15)*'⑫ Roll-out Plan'!$O$77</f>
        <v>27000</v>
      </c>
      <c r="FA1018" s="9" t="n">
        <f aca="false">MIN((FA729+FA730)*$C$5,$F$15)*'⑫ Roll-out Plan'!$O$77</f>
        <v>27000</v>
      </c>
      <c r="FB1018" s="9" t="n">
        <f aca="false">MIN((FB729+FB730)*$C$5,$F$15)*'⑫ Roll-out Plan'!$O$77</f>
        <v>27000</v>
      </c>
      <c r="FC1018" s="9" t="n">
        <f aca="false">MIN((FC729+FC730)*$C$5,$F$15)*'⑫ Roll-out Plan'!$O$77</f>
        <v>27000</v>
      </c>
      <c r="FD1018" s="9" t="n">
        <f aca="false">MIN((FD729+FD730)*$C$5,$F$15)*'⑫ Roll-out Plan'!$O$77</f>
        <v>27000</v>
      </c>
      <c r="FE1018" s="9" t="n">
        <f aca="false">MIN((FE729+FE730)*$C$5,$F$15)*'⑫ Roll-out Plan'!$O$77</f>
        <v>27000</v>
      </c>
      <c r="FF1018" s="9" t="n">
        <f aca="false">MIN((FF729+FF730)*$C$5,$F$15)*'⑫ Roll-out Plan'!$O$77</f>
        <v>27000</v>
      </c>
      <c r="FG1018" s="9" t="n">
        <f aca="false">MIN((FG729+FG730)*$C$5,$F$15)*'⑫ Roll-out Plan'!$O$77</f>
        <v>27000</v>
      </c>
      <c r="FH1018" s="9" t="n">
        <f aca="false">MIN((FH729+FH730)*$C$5,$F$15)*'⑫ Roll-out Plan'!$O$77</f>
        <v>27000</v>
      </c>
      <c r="FI1018" s="9" t="n">
        <f aca="false">MIN((FI729+FI730)*$C$5,$F$15)*'⑫ Roll-out Plan'!$O$77</f>
        <v>27000</v>
      </c>
      <c r="FJ1018" s="9" t="n">
        <f aca="false">MIN((FJ729+FJ730)*$C$5,$F$15)*'⑫ Roll-out Plan'!$O$77</f>
        <v>27000</v>
      </c>
      <c r="FK1018" s="9" t="n">
        <f aca="false">MIN((FK729+FK730)*$C$5,$F$15)*'⑫ Roll-out Plan'!$O$77</f>
        <v>27000</v>
      </c>
      <c r="FL1018" s="9" t="n">
        <f aca="false">MIN((FL729+FL730)*$C$5,$F$15)*'⑫ Roll-out Plan'!$O$77</f>
        <v>27000</v>
      </c>
      <c r="FM1018" s="9" t="n">
        <f aca="false">MIN((FM729+FM730)*$C$5,$F$15)*'⑫ Roll-out Plan'!$O$77</f>
        <v>27000</v>
      </c>
      <c r="FN1018" s="9" t="n">
        <f aca="false">MIN((FN729+FN730)*$C$5,$F$15)*'⑫ Roll-out Plan'!$O$77</f>
        <v>27000</v>
      </c>
      <c r="FO1018" s="9" t="n">
        <f aca="false">MIN((FO729+FO730)*$C$5,$F$15)*'⑫ Roll-out Plan'!$O$77</f>
        <v>27000</v>
      </c>
      <c r="FP1018" s="9" t="n">
        <f aca="false">MIN((FP729+FP730)*$C$5,$F$15)*'⑫ Roll-out Plan'!$O$77</f>
        <v>27000</v>
      </c>
    </row>
    <row r="1019" customFormat="false" ht="15" hidden="false" customHeight="false" outlineLevel="0" collapsed="false">
      <c r="B1019" s="9" t="s">
        <v>946</v>
      </c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121" t="n">
        <f aca="false">MIN((AC739+AC740)*$C$5,$F$16)*'⑫ Roll-out Plan'!$O$78</f>
        <v>0</v>
      </c>
      <c r="AD1019" s="9" t="n">
        <f aca="false">MIN((AD739+AD740)*$C$5,$F$16)*'⑫ Roll-out Plan'!$O$78</f>
        <v>0</v>
      </c>
      <c r="AE1019" s="9" t="n">
        <f aca="false">MIN((AE739+AE740)*$C$5,$F$16)*'⑫ Roll-out Plan'!$O$78</f>
        <v>0</v>
      </c>
      <c r="AF1019" s="9" t="n">
        <f aca="false">MIN((AF739+AF740)*$C$5,$F$16)*'⑫ Roll-out Plan'!$O$78</f>
        <v>0</v>
      </c>
      <c r="AG1019" s="9" t="n">
        <f aca="false">MIN((AG739+AG740)*$C$5,$F$16)*'⑫ Roll-out Plan'!$O$78</f>
        <v>0</v>
      </c>
      <c r="AH1019" s="9" t="n">
        <f aca="false">MIN((AH739+AH740)*$C$5,$F$16)*'⑫ Roll-out Plan'!$O$78</f>
        <v>0</v>
      </c>
      <c r="AI1019" s="9" t="n">
        <f aca="false">MIN((AI739+AI740)*$C$5,$F$16)*'⑫ Roll-out Plan'!$O$78</f>
        <v>0</v>
      </c>
      <c r="AJ1019" s="9" t="n">
        <f aca="false">MIN((AJ739+AJ740)*$C$5,$F$16)*'⑫ Roll-out Plan'!$O$78</f>
        <v>0</v>
      </c>
      <c r="AK1019" s="9" t="n">
        <f aca="false">MIN((AK739+AK740)*$C$5,$F$16)*'⑫ Roll-out Plan'!$O$78</f>
        <v>0</v>
      </c>
      <c r="AL1019" s="9" t="n">
        <f aca="false">MIN((AL739+AL740)*$C$5,$F$16)*'⑫ Roll-out Plan'!$O$78</f>
        <v>0</v>
      </c>
      <c r="AM1019" s="9" t="n">
        <f aca="false">MIN((AM739+AM740)*$C$5,$F$16)*'⑫ Roll-out Plan'!$O$78</f>
        <v>0</v>
      </c>
      <c r="AN1019" s="9" t="n">
        <f aca="false">MIN((AN739+AN740)*$C$5,$F$16)*'⑫ Roll-out Plan'!$O$78</f>
        <v>0</v>
      </c>
      <c r="AO1019" s="9" t="n">
        <f aca="false">MIN((AO739+AO740)*$C$5,$F$16)*'⑫ Roll-out Plan'!$O$78</f>
        <v>0</v>
      </c>
      <c r="AP1019" s="9" t="n">
        <f aca="false">MIN((AP739+AP740)*$C$5,$F$16)*'⑫ Roll-out Plan'!$O$78</f>
        <v>0</v>
      </c>
      <c r="AQ1019" s="9" t="n">
        <f aca="false">MIN((AQ739+AQ740)*$C$5,$F$16)*'⑫ Roll-out Plan'!$O$78</f>
        <v>0</v>
      </c>
      <c r="AR1019" s="9" t="n">
        <f aca="false">MIN((AR739+AR740)*$C$5,$F$16)*'⑫ Roll-out Plan'!$O$78</f>
        <v>0</v>
      </c>
      <c r="AS1019" s="9" t="n">
        <f aca="false">MIN((AS739+AS740)*$C$5,$F$16)*'⑫ Roll-out Plan'!$O$78</f>
        <v>0</v>
      </c>
      <c r="AT1019" s="9" t="n">
        <f aca="false">MIN((AT739+AT740)*$C$5,$F$16)*'⑫ Roll-out Plan'!$O$78</f>
        <v>0</v>
      </c>
      <c r="AU1019" s="9" t="n">
        <f aca="false">MIN((AU739+AU740)*$C$5,$F$16)*'⑫ Roll-out Plan'!$O$78</f>
        <v>0</v>
      </c>
      <c r="AV1019" s="9" t="n">
        <f aca="false">MIN((AV739+AV740)*$C$5,$F$16)*'⑫ Roll-out Plan'!$O$78</f>
        <v>0</v>
      </c>
      <c r="AW1019" s="9" t="n">
        <f aca="false">MIN((AW739+AW740)*$C$5,$F$16)*'⑫ Roll-out Plan'!$O$78</f>
        <v>0</v>
      </c>
      <c r="AX1019" s="9" t="n">
        <f aca="false">MIN((AX739+AX740)*$C$5,$F$16)*'⑫ Roll-out Plan'!$O$78</f>
        <v>0</v>
      </c>
      <c r="AY1019" s="9" t="n">
        <f aca="false">MIN((AY739+AY740)*$C$5,$F$16)*'⑫ Roll-out Plan'!$O$78</f>
        <v>0</v>
      </c>
      <c r="AZ1019" s="9" t="n">
        <f aca="false">MIN((AZ739+AZ740)*$C$5,$F$16)*'⑫ Roll-out Plan'!$O$78</f>
        <v>0</v>
      </c>
      <c r="BA1019" s="9" t="n">
        <f aca="false">MIN((BA739+BA740)*$C$5,$F$16)*'⑫ Roll-out Plan'!$O$78</f>
        <v>0</v>
      </c>
      <c r="BB1019" s="9" t="n">
        <f aca="false">MIN((BB739+BB740)*$C$5,$F$16)*'⑫ Roll-out Plan'!$O$78</f>
        <v>0</v>
      </c>
      <c r="BC1019" s="9" t="n">
        <f aca="false">MIN((BC739+BC740)*$C$5,$F$16)*'⑫ Roll-out Plan'!$O$78</f>
        <v>0</v>
      </c>
      <c r="BD1019" s="9" t="n">
        <f aca="false">MIN((BD739+BD740)*$C$5,$F$16)*'⑫ Roll-out Plan'!$O$78</f>
        <v>0</v>
      </c>
      <c r="BE1019" s="9" t="n">
        <f aca="false">MIN((BE739+BE740)*$C$5,$F$16)*'⑫ Roll-out Plan'!$O$78</f>
        <v>0</v>
      </c>
      <c r="BF1019" s="9" t="n">
        <f aca="false">MIN((BF739+BF740)*$C$5,$F$16)*'⑫ Roll-out Plan'!$O$78</f>
        <v>0</v>
      </c>
      <c r="BG1019" s="9" t="n">
        <f aca="false">MIN((BG739+BG740)*$C$5,$F$16)*'⑫ Roll-out Plan'!$O$78</f>
        <v>0</v>
      </c>
      <c r="BH1019" s="9" t="n">
        <f aca="false">MIN((BH739+BH740)*$C$5,$F$16)*'⑫ Roll-out Plan'!$O$78</f>
        <v>0</v>
      </c>
      <c r="BI1019" s="9" t="n">
        <f aca="false">MIN((BI739+BI740)*$C$5,$F$16)*'⑫ Roll-out Plan'!$O$78</f>
        <v>0</v>
      </c>
      <c r="BJ1019" s="9" t="n">
        <f aca="false">MIN((BJ739+BJ740)*$C$5,$F$16)*'⑫ Roll-out Plan'!$O$78</f>
        <v>0</v>
      </c>
      <c r="BK1019" s="9" t="n">
        <f aca="false">MIN((BK739+BK740)*$C$5,$F$16)*'⑫ Roll-out Plan'!$O$78</f>
        <v>0</v>
      </c>
      <c r="BL1019" s="9" t="n">
        <f aca="false">MIN((BL739+BL740)*$C$5,$F$16)*'⑫ Roll-out Plan'!$O$78</f>
        <v>0</v>
      </c>
      <c r="BM1019" s="9" t="n">
        <f aca="false">MIN((BM739+BM740)*$C$5,$F$16)*'⑫ Roll-out Plan'!$O$78</f>
        <v>0</v>
      </c>
      <c r="BN1019" s="9" t="n">
        <f aca="false">MIN((BN739+BN740)*$C$5,$F$16)*'⑫ Roll-out Plan'!$O$78</f>
        <v>0</v>
      </c>
      <c r="BO1019" s="9" t="n">
        <f aca="false">MIN((BO739+BO740)*$C$5,$F$16)*'⑫ Roll-out Plan'!$O$78</f>
        <v>0</v>
      </c>
      <c r="BP1019" s="9" t="n">
        <f aca="false">MIN((BP739+BP740)*$C$5,$F$16)*'⑫ Roll-out Plan'!$O$78</f>
        <v>0</v>
      </c>
      <c r="BQ1019" s="9" t="n">
        <f aca="false">MIN((BQ739+BQ740)*$C$5,$F$16)*'⑫ Roll-out Plan'!$O$78</f>
        <v>0</v>
      </c>
      <c r="BR1019" s="9" t="n">
        <f aca="false">MIN((BR739+BR740)*$C$5,$F$16)*'⑫ Roll-out Plan'!$O$78</f>
        <v>0</v>
      </c>
      <c r="BS1019" s="9" t="n">
        <f aca="false">MIN((BS739+BS740)*$C$5,$F$16)*'⑫ Roll-out Plan'!$O$78</f>
        <v>0</v>
      </c>
      <c r="BT1019" s="9" t="n">
        <f aca="false">MIN((BT739+BT740)*$C$5,$F$16)*'⑫ Roll-out Plan'!$O$78</f>
        <v>0</v>
      </c>
      <c r="BU1019" s="9" t="n">
        <f aca="false">MIN((BU739+BU740)*$C$5,$F$16)*'⑫ Roll-out Plan'!$O$78</f>
        <v>0</v>
      </c>
      <c r="BV1019" s="9" t="n">
        <f aca="false">MIN((BV739+BV740)*$C$5,$F$16)*'⑫ Roll-out Plan'!$O$78</f>
        <v>0</v>
      </c>
      <c r="BW1019" s="9" t="n">
        <f aca="false">MIN((BW739+BW740)*$C$5,$F$16)*'⑫ Roll-out Plan'!$O$78</f>
        <v>0</v>
      </c>
      <c r="BX1019" s="9" t="n">
        <f aca="false">MIN((BX739+BX740)*$C$5,$F$16)*'⑫ Roll-out Plan'!$O$78</f>
        <v>0</v>
      </c>
      <c r="BY1019" s="9" t="n">
        <f aca="false">MIN((BY739+BY740)*$C$5,$F$16)*'⑫ Roll-out Plan'!$O$78</f>
        <v>0</v>
      </c>
      <c r="BZ1019" s="9" t="n">
        <f aca="false">MIN((BZ739+BZ740)*$C$5,$F$16)*'⑫ Roll-out Plan'!$O$78</f>
        <v>0</v>
      </c>
      <c r="CA1019" s="9" t="n">
        <f aca="false">MIN((CA739+CA740)*$C$5,$F$16)*'⑫ Roll-out Plan'!$O$78</f>
        <v>0</v>
      </c>
      <c r="CB1019" s="9" t="n">
        <f aca="false">MIN((CB739+CB740)*$C$5,$F$16)*'⑫ Roll-out Plan'!$O$78</f>
        <v>0</v>
      </c>
      <c r="CC1019" s="9" t="n">
        <f aca="false">MIN((CC739+CC740)*$C$5,$F$16)*'⑫ Roll-out Plan'!$O$78</f>
        <v>0</v>
      </c>
      <c r="CD1019" s="9" t="n">
        <f aca="false">MIN((CD739+CD740)*$C$5,$F$16)*'⑫ Roll-out Plan'!$O$78</f>
        <v>0</v>
      </c>
      <c r="CE1019" s="9" t="n">
        <f aca="false">MIN((CE739+CE740)*$C$5,$F$16)*'⑫ Roll-out Plan'!$O$78</f>
        <v>0</v>
      </c>
      <c r="CF1019" s="9" t="n">
        <f aca="false">MIN((CF739+CF740)*$C$5,$F$16)*'⑫ Roll-out Plan'!$O$78</f>
        <v>0</v>
      </c>
      <c r="CG1019" s="9" t="n">
        <f aca="false">MIN((CG739+CG740)*$C$5,$F$16)*'⑫ Roll-out Plan'!$O$78</f>
        <v>0</v>
      </c>
      <c r="CH1019" s="9" t="n">
        <f aca="false">MIN((CH739+CH740)*$C$5,$F$16)*'⑫ Roll-out Plan'!$O$78</f>
        <v>0</v>
      </c>
      <c r="CI1019" s="9" t="n">
        <f aca="false">MIN((CI739+CI740)*$C$5,$F$16)*'⑫ Roll-out Plan'!$O$78</f>
        <v>0</v>
      </c>
      <c r="CJ1019" s="9" t="n">
        <f aca="false">MIN((CJ739+CJ740)*$C$5,$F$16)*'⑫ Roll-out Plan'!$O$78</f>
        <v>0</v>
      </c>
      <c r="CK1019" s="9" t="n">
        <f aca="false">MIN((CK739+CK740)*$C$5,$F$16)*'⑫ Roll-out Plan'!$O$78</f>
        <v>0</v>
      </c>
      <c r="CL1019" s="9" t="n">
        <f aca="false">MIN((CL739+CL740)*$C$5,$F$16)*'⑫ Roll-out Plan'!$O$78</f>
        <v>0</v>
      </c>
      <c r="CM1019" s="9" t="n">
        <f aca="false">MIN((CM739+CM740)*$C$5,$F$16)*'⑫ Roll-out Plan'!$O$78</f>
        <v>0</v>
      </c>
      <c r="CN1019" s="9" t="n">
        <f aca="false">MIN((CN739+CN740)*$C$5,$F$16)*'⑫ Roll-out Plan'!$O$78</f>
        <v>0</v>
      </c>
      <c r="CO1019" s="9" t="n">
        <f aca="false">MIN((CO739+CO740)*$C$5,$F$16)*'⑫ Roll-out Plan'!$O$78</f>
        <v>0</v>
      </c>
      <c r="CP1019" s="9" t="n">
        <f aca="false">MIN((CP739+CP740)*$C$5,$F$16)*'⑫ Roll-out Plan'!$O$78</f>
        <v>0</v>
      </c>
      <c r="CQ1019" s="9" t="n">
        <f aca="false">MIN((CQ739+CQ740)*$C$5,$F$16)*'⑫ Roll-out Plan'!$O$78</f>
        <v>0</v>
      </c>
      <c r="CR1019" s="9" t="n">
        <f aca="false">MIN((CR739+CR740)*$C$5,$F$16)*'⑫ Roll-out Plan'!$O$78</f>
        <v>0</v>
      </c>
      <c r="CS1019" s="9" t="n">
        <f aca="false">MIN((CS739+CS740)*$C$5,$F$16)*'⑫ Roll-out Plan'!$O$78</f>
        <v>0</v>
      </c>
      <c r="CT1019" s="9" t="n">
        <f aca="false">MIN((CT739+CT740)*$C$5,$F$16)*'⑫ Roll-out Plan'!$O$78</f>
        <v>0</v>
      </c>
      <c r="CU1019" s="9" t="n">
        <f aca="false">MIN((CU739+CU740)*$C$5,$F$16)*'⑫ Roll-out Plan'!$O$78</f>
        <v>0</v>
      </c>
      <c r="CV1019" s="9" t="n">
        <f aca="false">MIN((CV739+CV740)*$C$5,$F$16)*'⑫ Roll-out Plan'!$O$78</f>
        <v>0</v>
      </c>
      <c r="CW1019" s="9" t="n">
        <f aca="false">MIN((CW739+CW740)*$C$5,$F$16)*'⑫ Roll-out Plan'!$O$78</f>
        <v>0</v>
      </c>
      <c r="CX1019" s="9" t="n">
        <f aca="false">MIN((CX739+CX740)*$C$5,$F$16)*'⑫ Roll-out Plan'!$O$78</f>
        <v>0</v>
      </c>
      <c r="CY1019" s="9" t="n">
        <f aca="false">MIN((CY739+CY740)*$C$5,$F$16)*'⑫ Roll-out Plan'!$O$78</f>
        <v>0</v>
      </c>
      <c r="CZ1019" s="9" t="n">
        <f aca="false">MIN((CZ739+CZ740)*$C$5,$F$16)*'⑫ Roll-out Plan'!$O$78</f>
        <v>0</v>
      </c>
      <c r="DA1019" s="9" t="n">
        <f aca="false">MIN((DA739+DA740)*$C$5,$F$16)*'⑫ Roll-out Plan'!$O$78</f>
        <v>0</v>
      </c>
      <c r="DB1019" s="9" t="n">
        <f aca="false">MIN((DB739+DB740)*$C$5,$F$16)*'⑫ Roll-out Plan'!$O$78</f>
        <v>0</v>
      </c>
      <c r="DC1019" s="9" t="n">
        <f aca="false">MIN((DC739+DC740)*$C$5,$F$16)*'⑫ Roll-out Plan'!$O$78</f>
        <v>0</v>
      </c>
      <c r="DD1019" s="9" t="n">
        <f aca="false">MIN((DD739+DD740)*$C$5,$F$16)*'⑫ Roll-out Plan'!$O$78</f>
        <v>0</v>
      </c>
      <c r="DE1019" s="9" t="n">
        <f aca="false">MIN((DE739+DE740)*$C$5,$F$16)*'⑫ Roll-out Plan'!$O$78</f>
        <v>0</v>
      </c>
      <c r="DF1019" s="9" t="n">
        <f aca="false">MIN((DF739+DF740)*$C$5,$F$16)*'⑫ Roll-out Plan'!$O$78</f>
        <v>0</v>
      </c>
      <c r="DG1019" s="9" t="n">
        <f aca="false">MIN((DG739+DG740)*$C$5,$F$16)*'⑫ Roll-out Plan'!$O$78</f>
        <v>0</v>
      </c>
      <c r="DH1019" s="9" t="n">
        <f aca="false">MIN((DH739+DH740)*$C$5,$F$16)*'⑫ Roll-out Plan'!$O$78</f>
        <v>0</v>
      </c>
      <c r="DI1019" s="9" t="n">
        <f aca="false">MIN((DI739+DI740)*$C$5,$F$16)*'⑫ Roll-out Plan'!$O$78</f>
        <v>0</v>
      </c>
      <c r="DJ1019" s="9" t="n">
        <f aca="false">MIN((DJ739+DJ740)*$C$5,$F$16)*'⑫ Roll-out Plan'!$O$78</f>
        <v>0</v>
      </c>
      <c r="DK1019" s="9" t="n">
        <f aca="false">MIN((DK739+DK740)*$C$5,$F$16)*'⑫ Roll-out Plan'!$O$78</f>
        <v>0</v>
      </c>
      <c r="DL1019" s="9" t="n">
        <f aca="false">MIN((DL739+DL740)*$C$5,$F$16)*'⑫ Roll-out Plan'!$O$78</f>
        <v>0</v>
      </c>
      <c r="DM1019" s="9" t="n">
        <f aca="false">MIN((DM739+DM740)*$C$5,$F$16)*'⑫ Roll-out Plan'!$O$78</f>
        <v>0</v>
      </c>
      <c r="DN1019" s="9" t="n">
        <f aca="false">MIN((DN739+DN740)*$C$5,$F$16)*'⑫ Roll-out Plan'!$O$78</f>
        <v>0</v>
      </c>
      <c r="DO1019" s="9" t="n">
        <f aca="false">MIN((DO739+DO740)*$C$5,$F$16)*'⑫ Roll-out Plan'!$O$78</f>
        <v>0</v>
      </c>
      <c r="DP1019" s="9" t="n">
        <f aca="false">MIN((DP739+DP740)*$C$5,$F$16)*'⑫ Roll-out Plan'!$O$78</f>
        <v>0</v>
      </c>
      <c r="DQ1019" s="9" t="n">
        <f aca="false">MIN((DQ739+DQ740)*$C$5,$F$16)*'⑫ Roll-out Plan'!$O$78</f>
        <v>0</v>
      </c>
      <c r="DR1019" s="9" t="n">
        <f aca="false">MIN((DR739+DR740)*$C$5,$F$16)*'⑫ Roll-out Plan'!$O$78</f>
        <v>0</v>
      </c>
      <c r="DS1019" s="9" t="n">
        <f aca="false">MIN((DS739+DS740)*$C$5,$F$16)*'⑫ Roll-out Plan'!$O$78</f>
        <v>0</v>
      </c>
      <c r="DT1019" s="9" t="n">
        <f aca="false">MIN((DT739+DT740)*$C$5,$F$16)*'⑫ Roll-out Plan'!$O$78</f>
        <v>0</v>
      </c>
      <c r="DU1019" s="9" t="n">
        <f aca="false">MIN((DU739+DU740)*$C$5,$F$16)*'⑫ Roll-out Plan'!$O$78</f>
        <v>0</v>
      </c>
      <c r="DV1019" s="9" t="n">
        <f aca="false">MIN((DV739+DV740)*$C$5,$F$16)*'⑫ Roll-out Plan'!$O$78</f>
        <v>0</v>
      </c>
      <c r="DW1019" s="9" t="n">
        <f aca="false">MIN((DW739+DW740)*$C$5,$F$16)*'⑫ Roll-out Plan'!$O$78</f>
        <v>0</v>
      </c>
      <c r="DX1019" s="9" t="n">
        <f aca="false">MIN((DX739+DX740)*$C$5,$F$16)*'⑫ Roll-out Plan'!$O$78</f>
        <v>0</v>
      </c>
      <c r="DY1019" s="9" t="n">
        <f aca="false">MIN((DY739+DY740)*$C$5,$F$16)*'⑫ Roll-out Plan'!$O$78</f>
        <v>0</v>
      </c>
      <c r="DZ1019" s="9" t="n">
        <f aca="false">MIN((DZ739+DZ740)*$C$5,$F$16)*'⑫ Roll-out Plan'!$O$78</f>
        <v>0</v>
      </c>
      <c r="EA1019" s="9" t="n">
        <f aca="false">MIN((EA739+EA740)*$C$5,$F$16)*'⑫ Roll-out Plan'!$O$78</f>
        <v>0</v>
      </c>
      <c r="EB1019" s="9" t="n">
        <f aca="false">MIN((EB739+EB740)*$C$5,$F$16)*'⑫ Roll-out Plan'!$O$78</f>
        <v>0</v>
      </c>
      <c r="EC1019" s="9" t="n">
        <f aca="false">MIN((EC739+EC740)*$C$5,$F$16)*'⑫ Roll-out Plan'!$O$78</f>
        <v>0</v>
      </c>
      <c r="ED1019" s="9" t="n">
        <f aca="false">MIN((ED739+ED740)*$C$5,$F$16)*'⑫ Roll-out Plan'!$O$78</f>
        <v>0</v>
      </c>
      <c r="EE1019" s="9" t="n">
        <f aca="false">MIN((EE739+EE740)*$C$5,$F$16)*'⑫ Roll-out Plan'!$O$78</f>
        <v>0</v>
      </c>
      <c r="EF1019" s="9" t="n">
        <f aca="false">MIN((EF739+EF740)*$C$5,$F$16)*'⑫ Roll-out Plan'!$O$78</f>
        <v>0</v>
      </c>
      <c r="EG1019" s="9" t="n">
        <f aca="false">MIN((EG739+EG740)*$C$5,$F$16)*'⑫ Roll-out Plan'!$O$78</f>
        <v>0</v>
      </c>
      <c r="EH1019" s="9" t="n">
        <f aca="false">MIN((EH739+EH740)*$C$5,$F$16)*'⑫ Roll-out Plan'!$O$78</f>
        <v>0</v>
      </c>
      <c r="EI1019" s="9" t="n">
        <f aca="false">MIN((EI739+EI740)*$C$5,$F$16)*'⑫ Roll-out Plan'!$O$78</f>
        <v>0</v>
      </c>
      <c r="EJ1019" s="9" t="n">
        <f aca="false">MIN((EJ739+EJ740)*$C$5,$F$16)*'⑫ Roll-out Plan'!$O$78</f>
        <v>0</v>
      </c>
      <c r="EK1019" s="9" t="n">
        <f aca="false">MIN((EK739+EK740)*$C$5,$F$16)*'⑫ Roll-out Plan'!$O$78</f>
        <v>0</v>
      </c>
      <c r="EL1019" s="9" t="n">
        <f aca="false">MIN((EL739+EL740)*$C$5,$F$16)*'⑫ Roll-out Plan'!$O$78</f>
        <v>0</v>
      </c>
      <c r="EM1019" s="9" t="n">
        <f aca="false">MIN((EM739+EM740)*$C$5,$F$16)*'⑫ Roll-out Plan'!$O$78</f>
        <v>0</v>
      </c>
      <c r="EN1019" s="9" t="n">
        <f aca="false">MIN((EN739+EN740)*$C$5,$F$16)*'⑫ Roll-out Plan'!$O$78</f>
        <v>0</v>
      </c>
      <c r="EO1019" s="9" t="n">
        <f aca="false">MIN((EO739+EO740)*$C$5,$F$16)*'⑫ Roll-out Plan'!$O$78</f>
        <v>0</v>
      </c>
      <c r="EP1019" s="9" t="n">
        <f aca="false">MIN((EP739+EP740)*$C$5,$F$16)*'⑫ Roll-out Plan'!$O$78</f>
        <v>0</v>
      </c>
      <c r="EQ1019" s="9" t="n">
        <f aca="false">MIN((EQ739+EQ740)*$C$5,$F$16)*'⑫ Roll-out Plan'!$O$78</f>
        <v>0</v>
      </c>
      <c r="ER1019" s="9" t="n">
        <f aca="false">MIN((ER739+ER740)*$C$5,$F$16)*'⑫ Roll-out Plan'!$O$78</f>
        <v>0</v>
      </c>
      <c r="ES1019" s="9" t="n">
        <f aca="false">MIN((ES739+ES740)*$C$5,$F$16)*'⑫ Roll-out Plan'!$O$78</f>
        <v>0</v>
      </c>
      <c r="ET1019" s="9" t="n">
        <f aca="false">MIN((ET739+ET740)*$C$5,$F$16)*'⑫ Roll-out Plan'!$O$78</f>
        <v>0</v>
      </c>
      <c r="EU1019" s="9" t="n">
        <f aca="false">MIN((EU739+EU740)*$C$5,$F$16)*'⑫ Roll-out Plan'!$O$78</f>
        <v>0</v>
      </c>
      <c r="EV1019" s="9" t="n">
        <f aca="false">MIN((EV739+EV740)*$C$5,$F$16)*'⑫ Roll-out Plan'!$O$78</f>
        <v>0</v>
      </c>
      <c r="EW1019" s="9" t="n">
        <f aca="false">MIN((EW739+EW740)*$C$5,$F$16)*'⑫ Roll-out Plan'!$O$78</f>
        <v>0</v>
      </c>
      <c r="EX1019" s="9" t="n">
        <f aca="false">MIN((EX739+EX740)*$C$5,$F$16)*'⑫ Roll-out Plan'!$O$78</f>
        <v>2305.6</v>
      </c>
      <c r="EY1019" s="9" t="n">
        <f aca="false">MIN((EY739+EY740)*$C$5,$F$16)*'⑫ Roll-out Plan'!$O$78</f>
        <v>2958.0848</v>
      </c>
      <c r="EZ1019" s="9" t="n">
        <f aca="false">MIN((EZ739+EZ740)*$C$5,$F$16)*'⑫ Roll-out Plan'!$O$78</f>
        <v>5292.366464</v>
      </c>
      <c r="FA1019" s="9" t="n">
        <f aca="false">MIN((FA739+FA740)*$C$5,$F$16)*'⑫ Roll-out Plan'!$O$78</f>
        <v>5240.3244608</v>
      </c>
      <c r="FB1019" s="9" t="n">
        <f aca="false">MIN((FB739+FB740)*$C$5,$F$16)*'⑫ Roll-out Plan'!$O$78</f>
        <v>4488.357632</v>
      </c>
      <c r="FC1019" s="9" t="n">
        <f aca="false">MIN((FC739+FC740)*$C$5,$F$16)*'⑫ Roll-out Plan'!$O$78</f>
        <v>3940.0582848</v>
      </c>
      <c r="FD1019" s="9" t="n">
        <f aca="false">MIN((FD739+FD740)*$C$5,$F$16)*'⑫ Roll-out Plan'!$O$78</f>
        <v>5822.3824032</v>
      </c>
      <c r="FE1019" s="9" t="n">
        <f aca="false">MIN((FE739+FE740)*$C$5,$F$16)*'⑫ Roll-out Plan'!$O$78</f>
        <v>7022.8299328</v>
      </c>
      <c r="FF1019" s="9" t="n">
        <f aca="false">MIN((FF739+FF740)*$C$5,$F$16)*'⑫ Roll-out Plan'!$O$78</f>
        <v>6306.991856</v>
      </c>
      <c r="FG1019" s="9" t="n">
        <f aca="false">MIN((FG739+FG740)*$C$5,$F$16)*'⑫ Roll-out Plan'!$O$78</f>
        <v>8454.589088</v>
      </c>
      <c r="FH1019" s="9" t="n">
        <f aca="false">MIN((FH739+FH740)*$C$5,$F$16)*'⑫ Roll-out Plan'!$O$78</f>
        <v>9053.9436416</v>
      </c>
      <c r="FI1019" s="9" t="n">
        <f aca="false">MIN((FI739+FI740)*$C$5,$F$16)*'⑫ Roll-out Plan'!$O$78</f>
        <v>8438.864896</v>
      </c>
      <c r="FJ1019" s="9" t="n">
        <f aca="false">MIN((FJ739+FJ740)*$C$5,$F$16)*'⑫ Roll-out Plan'!$O$78</f>
        <v>8056.6286944</v>
      </c>
      <c r="FK1019" s="9" t="n">
        <f aca="false">MIN((FK739+FK740)*$C$5,$F$16)*'⑫ Roll-out Plan'!$O$78</f>
        <v>8936.2565952</v>
      </c>
      <c r="FL1019" s="9" t="n">
        <f aca="false">MIN((FL739+FL740)*$C$5,$F$16)*'⑫ Roll-out Plan'!$O$78</f>
        <v>14153.9262304</v>
      </c>
      <c r="FM1019" s="9" t="n">
        <f aca="false">MIN((FM739+FM740)*$C$5,$F$16)*'⑫ Roll-out Plan'!$O$78</f>
        <v>15259.0418112</v>
      </c>
      <c r="FN1019" s="9" t="n">
        <f aca="false">MIN((FN739+FN740)*$C$5,$F$16)*'⑫ Roll-out Plan'!$O$78</f>
        <v>13803.3090272</v>
      </c>
      <c r="FO1019" s="9" t="n">
        <f aca="false">MIN((FO739+FO740)*$C$5,$F$16)*'⑫ Roll-out Plan'!$O$78</f>
        <v>11422.34265216</v>
      </c>
      <c r="FP1019" s="9" t="n">
        <f aca="false">MIN((FP739+FP740)*$C$5,$F$16)*'⑫ Roll-out Plan'!$O$78</f>
        <v>15215.46735456</v>
      </c>
    </row>
    <row r="1020" customFormat="false" ht="15" hidden="false" customHeight="false" outlineLevel="0" collapsed="false">
      <c r="B1020" s="9" t="s">
        <v>947</v>
      </c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121" t="n">
        <f aca="false">MIN((AC749+AC750)*$C$5,$F$15)*'⑫ Roll-out Plan'!$O$79</f>
        <v>0</v>
      </c>
      <c r="AD1020" s="9" t="n">
        <f aca="false">MIN((AD749+AD750)*$C$5,$F$15)*'⑫ Roll-out Plan'!$O$79</f>
        <v>0</v>
      </c>
      <c r="AE1020" s="9" t="n">
        <f aca="false">MIN((AE749+AE750)*$C$5,$F$15)*'⑫ Roll-out Plan'!$O$79</f>
        <v>0</v>
      </c>
      <c r="AF1020" s="9" t="n">
        <f aca="false">MIN((AF749+AF750)*$C$5,$F$15)*'⑫ Roll-out Plan'!$O$79</f>
        <v>0</v>
      </c>
      <c r="AG1020" s="9" t="n">
        <f aca="false">MIN((AG749+AG750)*$C$5,$F$15)*'⑫ Roll-out Plan'!$O$79</f>
        <v>0</v>
      </c>
      <c r="AH1020" s="9" t="n">
        <f aca="false">MIN((AH749+AH750)*$C$5,$F$15)*'⑫ Roll-out Plan'!$O$79</f>
        <v>0</v>
      </c>
      <c r="AI1020" s="9" t="n">
        <f aca="false">MIN((AI749+AI750)*$C$5,$F$15)*'⑫ Roll-out Plan'!$O$79</f>
        <v>0</v>
      </c>
      <c r="AJ1020" s="9" t="n">
        <f aca="false">MIN((AJ749+AJ750)*$C$5,$F$15)*'⑫ Roll-out Plan'!$O$79</f>
        <v>0</v>
      </c>
      <c r="AK1020" s="9" t="n">
        <f aca="false">MIN((AK749+AK750)*$C$5,$F$15)*'⑫ Roll-out Plan'!$O$79</f>
        <v>0</v>
      </c>
      <c r="AL1020" s="9" t="n">
        <f aca="false">MIN((AL749+AL750)*$C$5,$F$15)*'⑫ Roll-out Plan'!$O$79</f>
        <v>0</v>
      </c>
      <c r="AM1020" s="9" t="n">
        <f aca="false">MIN((AM749+AM750)*$C$5,$F$15)*'⑫ Roll-out Plan'!$O$79</f>
        <v>0</v>
      </c>
      <c r="AN1020" s="9" t="n">
        <f aca="false">MIN((AN749+AN750)*$C$5,$F$15)*'⑫ Roll-out Plan'!$O$79</f>
        <v>0</v>
      </c>
      <c r="AO1020" s="9" t="n">
        <f aca="false">MIN((AO749+AO750)*$C$5,$F$15)*'⑫ Roll-out Plan'!$O$79</f>
        <v>0</v>
      </c>
      <c r="AP1020" s="9" t="n">
        <f aca="false">MIN((AP749+AP750)*$C$5,$F$15)*'⑫ Roll-out Plan'!$O$79</f>
        <v>0</v>
      </c>
      <c r="AQ1020" s="9" t="n">
        <f aca="false">MIN((AQ749+AQ750)*$C$5,$F$15)*'⑫ Roll-out Plan'!$O$79</f>
        <v>0</v>
      </c>
      <c r="AR1020" s="9" t="n">
        <f aca="false">MIN((AR749+AR750)*$C$5,$F$15)*'⑫ Roll-out Plan'!$O$79</f>
        <v>0</v>
      </c>
      <c r="AS1020" s="9" t="n">
        <f aca="false">MIN((AS749+AS750)*$C$5,$F$15)*'⑫ Roll-out Plan'!$O$79</f>
        <v>0</v>
      </c>
      <c r="AT1020" s="9" t="n">
        <f aca="false">MIN((AT749+AT750)*$C$5,$F$15)*'⑫ Roll-out Plan'!$O$79</f>
        <v>0</v>
      </c>
      <c r="AU1020" s="9" t="n">
        <f aca="false">MIN((AU749+AU750)*$C$5,$F$15)*'⑫ Roll-out Plan'!$O$79</f>
        <v>0</v>
      </c>
      <c r="AV1020" s="9" t="n">
        <f aca="false">MIN((AV749+AV750)*$C$5,$F$15)*'⑫ Roll-out Plan'!$O$79</f>
        <v>0</v>
      </c>
      <c r="AW1020" s="9" t="n">
        <f aca="false">MIN((AW749+AW750)*$C$5,$F$15)*'⑫ Roll-out Plan'!$O$79</f>
        <v>0</v>
      </c>
      <c r="AX1020" s="9" t="n">
        <f aca="false">MIN((AX749+AX750)*$C$5,$F$15)*'⑫ Roll-out Plan'!$O$79</f>
        <v>0</v>
      </c>
      <c r="AY1020" s="9" t="n">
        <f aca="false">MIN((AY749+AY750)*$C$5,$F$15)*'⑫ Roll-out Plan'!$O$79</f>
        <v>0</v>
      </c>
      <c r="AZ1020" s="9" t="n">
        <f aca="false">MIN((AZ749+AZ750)*$C$5,$F$15)*'⑫ Roll-out Plan'!$O$79</f>
        <v>0</v>
      </c>
      <c r="BA1020" s="9" t="n">
        <f aca="false">MIN((BA749+BA750)*$C$5,$F$15)*'⑫ Roll-out Plan'!$O$79</f>
        <v>0</v>
      </c>
      <c r="BB1020" s="9" t="n">
        <f aca="false">MIN((BB749+BB750)*$C$5,$F$15)*'⑫ Roll-out Plan'!$O$79</f>
        <v>0</v>
      </c>
      <c r="BC1020" s="9" t="n">
        <f aca="false">MIN((BC749+BC750)*$C$5,$F$15)*'⑫ Roll-out Plan'!$O$79</f>
        <v>0</v>
      </c>
      <c r="BD1020" s="9" t="n">
        <f aca="false">MIN((BD749+BD750)*$C$5,$F$15)*'⑫ Roll-out Plan'!$O$79</f>
        <v>0</v>
      </c>
      <c r="BE1020" s="9" t="n">
        <f aca="false">MIN((BE749+BE750)*$C$5,$F$15)*'⑫ Roll-out Plan'!$O$79</f>
        <v>0</v>
      </c>
      <c r="BF1020" s="9" t="n">
        <f aca="false">MIN((BF749+BF750)*$C$5,$F$15)*'⑫ Roll-out Plan'!$O$79</f>
        <v>0</v>
      </c>
      <c r="BG1020" s="9" t="n">
        <f aca="false">MIN((BG749+BG750)*$C$5,$F$15)*'⑫ Roll-out Plan'!$O$79</f>
        <v>0</v>
      </c>
      <c r="BH1020" s="9" t="n">
        <f aca="false">MIN((BH749+BH750)*$C$5,$F$15)*'⑫ Roll-out Plan'!$O$79</f>
        <v>0</v>
      </c>
      <c r="BI1020" s="9" t="n">
        <f aca="false">MIN((BI749+BI750)*$C$5,$F$15)*'⑫ Roll-out Plan'!$O$79</f>
        <v>0</v>
      </c>
      <c r="BJ1020" s="9" t="n">
        <f aca="false">MIN((BJ749+BJ750)*$C$5,$F$15)*'⑫ Roll-out Plan'!$O$79</f>
        <v>0</v>
      </c>
      <c r="BK1020" s="9" t="n">
        <f aca="false">MIN((BK749+BK750)*$C$5,$F$15)*'⑫ Roll-out Plan'!$O$79</f>
        <v>0</v>
      </c>
      <c r="BL1020" s="9" t="n">
        <f aca="false">MIN((BL749+BL750)*$C$5,$F$15)*'⑫ Roll-out Plan'!$O$79</f>
        <v>0</v>
      </c>
      <c r="BM1020" s="9" t="n">
        <f aca="false">MIN((BM749+BM750)*$C$5,$F$15)*'⑫ Roll-out Plan'!$O$79</f>
        <v>0</v>
      </c>
      <c r="BN1020" s="9" t="n">
        <f aca="false">MIN((BN749+BN750)*$C$5,$F$15)*'⑫ Roll-out Plan'!$O$79</f>
        <v>0</v>
      </c>
      <c r="BO1020" s="9" t="n">
        <f aca="false">MIN((BO749+BO750)*$C$5,$F$15)*'⑫ Roll-out Plan'!$O$79</f>
        <v>0</v>
      </c>
      <c r="BP1020" s="9" t="n">
        <f aca="false">MIN((BP749+BP750)*$C$5,$F$15)*'⑫ Roll-out Plan'!$O$79</f>
        <v>0</v>
      </c>
      <c r="BQ1020" s="9" t="n">
        <f aca="false">MIN((BQ749+BQ750)*$C$5,$F$15)*'⑫ Roll-out Plan'!$O$79</f>
        <v>0</v>
      </c>
      <c r="BR1020" s="9" t="n">
        <f aca="false">MIN((BR749+BR750)*$C$5,$F$15)*'⑫ Roll-out Plan'!$O$79</f>
        <v>0</v>
      </c>
      <c r="BS1020" s="9" t="n">
        <f aca="false">MIN((BS749+BS750)*$C$5,$F$15)*'⑫ Roll-out Plan'!$O$79</f>
        <v>0</v>
      </c>
      <c r="BT1020" s="9" t="n">
        <f aca="false">MIN((BT749+BT750)*$C$5,$F$15)*'⑫ Roll-out Plan'!$O$79</f>
        <v>0</v>
      </c>
      <c r="BU1020" s="9" t="n">
        <f aca="false">MIN((BU749+BU750)*$C$5,$F$15)*'⑫ Roll-out Plan'!$O$79</f>
        <v>0</v>
      </c>
      <c r="BV1020" s="9" t="n">
        <f aca="false">MIN((BV749+BV750)*$C$5,$F$15)*'⑫ Roll-out Plan'!$O$79</f>
        <v>0</v>
      </c>
      <c r="BW1020" s="9" t="n">
        <f aca="false">MIN((BW749+BW750)*$C$5,$F$15)*'⑫ Roll-out Plan'!$O$79</f>
        <v>0</v>
      </c>
      <c r="BX1020" s="9" t="n">
        <f aca="false">MIN((BX749+BX750)*$C$5,$F$15)*'⑫ Roll-out Plan'!$O$79</f>
        <v>0</v>
      </c>
      <c r="BY1020" s="9" t="n">
        <f aca="false">MIN((BY749+BY750)*$C$5,$F$15)*'⑫ Roll-out Plan'!$O$79</f>
        <v>0</v>
      </c>
      <c r="BZ1020" s="9" t="n">
        <f aca="false">MIN((BZ749+BZ750)*$C$5,$F$15)*'⑫ Roll-out Plan'!$O$79</f>
        <v>0</v>
      </c>
      <c r="CA1020" s="9" t="n">
        <f aca="false">MIN((CA749+CA750)*$C$5,$F$15)*'⑫ Roll-out Plan'!$O$79</f>
        <v>0</v>
      </c>
      <c r="CB1020" s="9" t="n">
        <f aca="false">MIN((CB749+CB750)*$C$5,$F$15)*'⑫ Roll-out Plan'!$O$79</f>
        <v>0</v>
      </c>
      <c r="CC1020" s="9" t="n">
        <f aca="false">MIN((CC749+CC750)*$C$5,$F$15)*'⑫ Roll-out Plan'!$O$79</f>
        <v>0</v>
      </c>
      <c r="CD1020" s="9" t="n">
        <f aca="false">MIN((CD749+CD750)*$C$5,$F$15)*'⑫ Roll-out Plan'!$O$79</f>
        <v>0</v>
      </c>
      <c r="CE1020" s="9" t="n">
        <f aca="false">MIN((CE749+CE750)*$C$5,$F$15)*'⑫ Roll-out Plan'!$O$79</f>
        <v>0</v>
      </c>
      <c r="CF1020" s="9" t="n">
        <f aca="false">MIN((CF749+CF750)*$C$5,$F$15)*'⑫ Roll-out Plan'!$O$79</f>
        <v>0</v>
      </c>
      <c r="CG1020" s="9" t="n">
        <f aca="false">MIN((CG749+CG750)*$C$5,$F$15)*'⑫ Roll-out Plan'!$O$79</f>
        <v>0</v>
      </c>
      <c r="CH1020" s="9" t="n">
        <f aca="false">MIN((CH749+CH750)*$C$5,$F$15)*'⑫ Roll-out Plan'!$O$79</f>
        <v>0</v>
      </c>
      <c r="CI1020" s="9" t="n">
        <f aca="false">MIN((CI749+CI750)*$C$5,$F$15)*'⑫ Roll-out Plan'!$O$79</f>
        <v>0</v>
      </c>
      <c r="CJ1020" s="9" t="n">
        <f aca="false">MIN((CJ749+CJ750)*$C$5,$F$15)*'⑫ Roll-out Plan'!$O$79</f>
        <v>0</v>
      </c>
      <c r="CK1020" s="9" t="n">
        <f aca="false">MIN((CK749+CK750)*$C$5,$F$15)*'⑫ Roll-out Plan'!$O$79</f>
        <v>0</v>
      </c>
      <c r="CL1020" s="9" t="n">
        <f aca="false">MIN((CL749+CL750)*$C$5,$F$15)*'⑫ Roll-out Plan'!$O$79</f>
        <v>0</v>
      </c>
      <c r="CM1020" s="9" t="n">
        <f aca="false">MIN((CM749+CM750)*$C$5,$F$15)*'⑫ Roll-out Plan'!$O$79</f>
        <v>0</v>
      </c>
      <c r="CN1020" s="9" t="n">
        <f aca="false">MIN((CN749+CN750)*$C$5,$F$15)*'⑫ Roll-out Plan'!$O$79</f>
        <v>0</v>
      </c>
      <c r="CO1020" s="9" t="n">
        <f aca="false">MIN((CO749+CO750)*$C$5,$F$15)*'⑫ Roll-out Plan'!$O$79</f>
        <v>0</v>
      </c>
      <c r="CP1020" s="9" t="n">
        <f aca="false">MIN((CP749+CP750)*$C$5,$F$15)*'⑫ Roll-out Plan'!$O$79</f>
        <v>0</v>
      </c>
      <c r="CQ1020" s="9" t="n">
        <f aca="false">MIN((CQ749+CQ750)*$C$5,$F$15)*'⑫ Roll-out Plan'!$O$79</f>
        <v>0</v>
      </c>
      <c r="CR1020" s="9" t="n">
        <f aca="false">MIN((CR749+CR750)*$C$5,$F$15)*'⑫ Roll-out Plan'!$O$79</f>
        <v>0</v>
      </c>
      <c r="CS1020" s="9" t="n">
        <f aca="false">MIN((CS749+CS750)*$C$5,$F$15)*'⑫ Roll-out Plan'!$O$79</f>
        <v>0</v>
      </c>
      <c r="CT1020" s="9" t="n">
        <f aca="false">MIN((CT749+CT750)*$C$5,$F$15)*'⑫ Roll-out Plan'!$O$79</f>
        <v>0</v>
      </c>
      <c r="CU1020" s="9" t="n">
        <f aca="false">MIN((CU749+CU750)*$C$5,$F$15)*'⑫ Roll-out Plan'!$O$79</f>
        <v>0</v>
      </c>
      <c r="CV1020" s="9" t="n">
        <f aca="false">MIN((CV749+CV750)*$C$5,$F$15)*'⑫ Roll-out Plan'!$O$79</f>
        <v>0</v>
      </c>
      <c r="CW1020" s="9" t="n">
        <f aca="false">MIN((CW749+CW750)*$C$5,$F$15)*'⑫ Roll-out Plan'!$O$79</f>
        <v>0</v>
      </c>
      <c r="CX1020" s="9" t="n">
        <f aca="false">MIN((CX749+CX750)*$C$5,$F$15)*'⑫ Roll-out Plan'!$O$79</f>
        <v>0</v>
      </c>
      <c r="CY1020" s="9" t="n">
        <f aca="false">MIN((CY749+CY750)*$C$5,$F$15)*'⑫ Roll-out Plan'!$O$79</f>
        <v>0</v>
      </c>
      <c r="CZ1020" s="9" t="n">
        <f aca="false">MIN((CZ749+CZ750)*$C$5,$F$15)*'⑫ Roll-out Plan'!$O$79</f>
        <v>0</v>
      </c>
      <c r="DA1020" s="9" t="n">
        <f aca="false">MIN((DA749+DA750)*$C$5,$F$15)*'⑫ Roll-out Plan'!$O$79</f>
        <v>0</v>
      </c>
      <c r="DB1020" s="9" t="n">
        <f aca="false">MIN((DB749+DB750)*$C$5,$F$15)*'⑫ Roll-out Plan'!$O$79</f>
        <v>0</v>
      </c>
      <c r="DC1020" s="9" t="n">
        <f aca="false">MIN((DC749+DC750)*$C$5,$F$15)*'⑫ Roll-out Plan'!$O$79</f>
        <v>0</v>
      </c>
      <c r="DD1020" s="9" t="n">
        <f aca="false">MIN((DD749+DD750)*$C$5,$F$15)*'⑫ Roll-out Plan'!$O$79</f>
        <v>0</v>
      </c>
      <c r="DE1020" s="9" t="n">
        <f aca="false">MIN((DE749+DE750)*$C$5,$F$15)*'⑫ Roll-out Plan'!$O$79</f>
        <v>0</v>
      </c>
      <c r="DF1020" s="9" t="n">
        <f aca="false">MIN((DF749+DF750)*$C$5,$F$15)*'⑫ Roll-out Plan'!$O$79</f>
        <v>0</v>
      </c>
      <c r="DG1020" s="9" t="n">
        <f aca="false">MIN((DG749+DG750)*$C$5,$F$15)*'⑫ Roll-out Plan'!$O$79</f>
        <v>0</v>
      </c>
      <c r="DH1020" s="9" t="n">
        <f aca="false">MIN((DH749+DH750)*$C$5,$F$15)*'⑫ Roll-out Plan'!$O$79</f>
        <v>0</v>
      </c>
      <c r="DI1020" s="9" t="n">
        <f aca="false">MIN((DI749+DI750)*$C$5,$F$15)*'⑫ Roll-out Plan'!$O$79</f>
        <v>0</v>
      </c>
      <c r="DJ1020" s="9" t="n">
        <f aca="false">MIN((DJ749+DJ750)*$C$5,$F$15)*'⑫ Roll-out Plan'!$O$79</f>
        <v>0</v>
      </c>
      <c r="DK1020" s="9" t="n">
        <f aca="false">MIN((DK749+DK750)*$C$5,$F$15)*'⑫ Roll-out Plan'!$O$79</f>
        <v>0</v>
      </c>
      <c r="DL1020" s="9" t="n">
        <f aca="false">MIN((DL749+DL750)*$C$5,$F$15)*'⑫ Roll-out Plan'!$O$79</f>
        <v>0</v>
      </c>
      <c r="DM1020" s="9" t="n">
        <f aca="false">MIN((DM749+DM750)*$C$5,$F$15)*'⑫ Roll-out Plan'!$O$79</f>
        <v>0</v>
      </c>
      <c r="DN1020" s="9" t="n">
        <f aca="false">MIN((DN749+DN750)*$C$5,$F$15)*'⑫ Roll-out Plan'!$O$79</f>
        <v>0</v>
      </c>
      <c r="DO1020" s="9" t="n">
        <f aca="false">MIN((DO749+DO750)*$C$5,$F$15)*'⑫ Roll-out Plan'!$O$79</f>
        <v>0</v>
      </c>
      <c r="DP1020" s="9" t="n">
        <f aca="false">MIN((DP749+DP750)*$C$5,$F$15)*'⑫ Roll-out Plan'!$O$79</f>
        <v>0</v>
      </c>
      <c r="DQ1020" s="9" t="n">
        <f aca="false">MIN((DQ749+DQ750)*$C$5,$F$15)*'⑫ Roll-out Plan'!$O$79</f>
        <v>0</v>
      </c>
      <c r="DR1020" s="9" t="n">
        <f aca="false">MIN((DR749+DR750)*$C$5,$F$15)*'⑫ Roll-out Plan'!$O$79</f>
        <v>0</v>
      </c>
      <c r="DS1020" s="9" t="n">
        <f aca="false">MIN((DS749+DS750)*$C$5,$F$15)*'⑫ Roll-out Plan'!$O$79</f>
        <v>0</v>
      </c>
      <c r="DT1020" s="9" t="n">
        <f aca="false">MIN((DT749+DT750)*$C$5,$F$15)*'⑫ Roll-out Plan'!$O$79</f>
        <v>0</v>
      </c>
      <c r="DU1020" s="9" t="n">
        <f aca="false">MIN((DU749+DU750)*$C$5,$F$15)*'⑫ Roll-out Plan'!$O$79</f>
        <v>0</v>
      </c>
      <c r="DV1020" s="9" t="n">
        <f aca="false">MIN((DV749+DV750)*$C$5,$F$15)*'⑫ Roll-out Plan'!$O$79</f>
        <v>0</v>
      </c>
      <c r="DW1020" s="9" t="n">
        <f aca="false">MIN((DW749+DW750)*$C$5,$F$15)*'⑫ Roll-out Plan'!$O$79</f>
        <v>0</v>
      </c>
      <c r="DX1020" s="9" t="n">
        <f aca="false">MIN((DX749+DX750)*$C$5,$F$15)*'⑫ Roll-out Plan'!$O$79</f>
        <v>0</v>
      </c>
      <c r="DY1020" s="9" t="n">
        <f aca="false">MIN((DY749+DY750)*$C$5,$F$15)*'⑫ Roll-out Plan'!$O$79</f>
        <v>0</v>
      </c>
      <c r="DZ1020" s="9" t="n">
        <f aca="false">MIN((DZ749+DZ750)*$C$5,$F$15)*'⑫ Roll-out Plan'!$O$79</f>
        <v>0</v>
      </c>
      <c r="EA1020" s="9" t="n">
        <f aca="false">MIN((EA749+EA750)*$C$5,$F$15)*'⑫ Roll-out Plan'!$O$79</f>
        <v>0</v>
      </c>
      <c r="EB1020" s="9" t="n">
        <f aca="false">MIN((EB749+EB750)*$C$5,$F$15)*'⑫ Roll-out Plan'!$O$79</f>
        <v>0</v>
      </c>
      <c r="EC1020" s="9" t="n">
        <f aca="false">MIN((EC749+EC750)*$C$5,$F$15)*'⑫ Roll-out Plan'!$O$79</f>
        <v>0</v>
      </c>
      <c r="ED1020" s="9" t="n">
        <f aca="false">MIN((ED749+ED750)*$C$5,$F$15)*'⑫ Roll-out Plan'!$O$79</f>
        <v>0</v>
      </c>
      <c r="EE1020" s="9" t="n">
        <f aca="false">MIN((EE749+EE750)*$C$5,$F$15)*'⑫ Roll-out Plan'!$O$79</f>
        <v>0</v>
      </c>
      <c r="EF1020" s="9" t="n">
        <f aca="false">MIN((EF749+EF750)*$C$5,$F$15)*'⑫ Roll-out Plan'!$O$79</f>
        <v>0</v>
      </c>
      <c r="EG1020" s="9" t="n">
        <f aca="false">MIN((EG749+EG750)*$C$5,$F$15)*'⑫ Roll-out Plan'!$O$79</f>
        <v>0</v>
      </c>
      <c r="EH1020" s="9" t="n">
        <f aca="false">MIN((EH749+EH750)*$C$5,$F$15)*'⑫ Roll-out Plan'!$O$79</f>
        <v>0</v>
      </c>
      <c r="EI1020" s="9" t="n">
        <f aca="false">MIN((EI749+EI750)*$C$5,$F$15)*'⑫ Roll-out Plan'!$O$79</f>
        <v>0</v>
      </c>
      <c r="EJ1020" s="9" t="n">
        <f aca="false">MIN((EJ749+EJ750)*$C$5,$F$15)*'⑫ Roll-out Plan'!$O$79</f>
        <v>0</v>
      </c>
      <c r="EK1020" s="9" t="n">
        <f aca="false">MIN((EK749+EK750)*$C$5,$F$15)*'⑫ Roll-out Plan'!$O$79</f>
        <v>0</v>
      </c>
      <c r="EL1020" s="9" t="n">
        <f aca="false">MIN((EL749+EL750)*$C$5,$F$15)*'⑫ Roll-out Plan'!$O$79</f>
        <v>0</v>
      </c>
      <c r="EM1020" s="9" t="n">
        <f aca="false">MIN((EM749+EM750)*$C$5,$F$15)*'⑫ Roll-out Plan'!$O$79</f>
        <v>0</v>
      </c>
      <c r="EN1020" s="9" t="n">
        <f aca="false">MIN((EN749+EN750)*$C$5,$F$15)*'⑫ Roll-out Plan'!$O$79</f>
        <v>0</v>
      </c>
      <c r="EO1020" s="9" t="n">
        <f aca="false">MIN((EO749+EO750)*$C$5,$F$15)*'⑫ Roll-out Plan'!$O$79</f>
        <v>0</v>
      </c>
      <c r="EP1020" s="9" t="n">
        <f aca="false">MIN((EP749+EP750)*$C$5,$F$15)*'⑫ Roll-out Plan'!$O$79</f>
        <v>0</v>
      </c>
      <c r="EQ1020" s="9" t="n">
        <f aca="false">MIN((EQ749+EQ750)*$C$5,$F$15)*'⑫ Roll-out Plan'!$O$79</f>
        <v>0</v>
      </c>
      <c r="ER1020" s="9" t="n">
        <f aca="false">MIN((ER749+ER750)*$C$5,$F$15)*'⑫ Roll-out Plan'!$O$79</f>
        <v>0</v>
      </c>
      <c r="ES1020" s="9" t="n">
        <f aca="false">MIN((ES749+ES750)*$C$5,$F$15)*'⑫ Roll-out Plan'!$O$79</f>
        <v>0</v>
      </c>
      <c r="ET1020" s="9" t="n">
        <f aca="false">MIN((ET749+ET750)*$C$5,$F$15)*'⑫ Roll-out Plan'!$O$79</f>
        <v>0</v>
      </c>
      <c r="EU1020" s="9" t="n">
        <f aca="false">MIN((EU749+EU750)*$C$5,$F$15)*'⑫ Roll-out Plan'!$O$79</f>
        <v>0</v>
      </c>
      <c r="EV1020" s="9" t="n">
        <f aca="false">MIN((EV749+EV750)*$C$5,$F$15)*'⑫ Roll-out Plan'!$O$79</f>
        <v>0</v>
      </c>
      <c r="EW1020" s="9" t="n">
        <f aca="false">MIN((EW749+EW750)*$C$5,$F$15)*'⑫ Roll-out Plan'!$O$79</f>
        <v>0</v>
      </c>
      <c r="EX1020" s="9" t="n">
        <f aca="false">MIN((EX749+EX750)*$C$5,$F$15)*'⑫ Roll-out Plan'!$O$79</f>
        <v>0</v>
      </c>
      <c r="EY1020" s="9" t="n">
        <f aca="false">MIN((EY749+EY750)*$C$5,$F$15)*'⑫ Roll-out Plan'!$O$79</f>
        <v>4071.48</v>
      </c>
      <c r="EZ1020" s="9" t="n">
        <f aca="false">MIN((EZ749+EZ750)*$C$5,$F$15)*'⑫ Roll-out Plan'!$O$79</f>
        <v>8092.16344</v>
      </c>
      <c r="FA1020" s="9" t="n">
        <f aca="false">MIN((FA749+FA750)*$C$5,$F$15)*'⑫ Roll-out Plan'!$O$79</f>
        <v>7787.77184</v>
      </c>
      <c r="FB1020" s="9" t="n">
        <f aca="false">MIN((FB749+FB750)*$C$5,$F$15)*'⑫ Roll-out Plan'!$O$79</f>
        <v>7369.7820704</v>
      </c>
      <c r="FC1020" s="9" t="n">
        <f aca="false">MIN((FC749+FC750)*$C$5,$F$15)*'⑫ Roll-out Plan'!$O$79</f>
        <v>5855.796416</v>
      </c>
      <c r="FD1020" s="9" t="n">
        <f aca="false">MIN((FD749+FD750)*$C$5,$F$15)*'⑫ Roll-out Plan'!$O$79</f>
        <v>8663.838008</v>
      </c>
      <c r="FE1020" s="9" t="n">
        <f aca="false">MIN((FE749+FE750)*$C$5,$F$15)*'⑫ Roll-out Plan'!$O$79</f>
        <v>10543.9233888</v>
      </c>
      <c r="FF1020" s="9" t="n">
        <f aca="false">MIN((FF749+FF750)*$C$5,$F$15)*'⑫ Roll-out Plan'!$O$79</f>
        <v>9410.004576</v>
      </c>
      <c r="FG1020" s="9" t="n">
        <f aca="false">MIN((FG749+FG750)*$C$5,$F$15)*'⑫ Roll-out Plan'!$O$79</f>
        <v>13988.1473024</v>
      </c>
      <c r="FH1020" s="9" t="n">
        <f aca="false">MIN((FH749+FH750)*$C$5,$F$15)*'⑫ Roll-out Plan'!$O$79</f>
        <v>14011.4982096</v>
      </c>
      <c r="FI1020" s="9" t="n">
        <f aca="false">MIN((FI749+FI750)*$C$5,$F$15)*'⑫ Roll-out Plan'!$O$79</f>
        <v>13085.5661056</v>
      </c>
      <c r="FJ1020" s="9" t="n">
        <f aca="false">MIN((FJ749+FJ750)*$C$5,$F$15)*'⑫ Roll-out Plan'!$O$79</f>
        <v>12475.673912</v>
      </c>
      <c r="FK1020" s="9" t="n">
        <f aca="false">MIN((FK749+FK750)*$C$5,$F$15)*'⑫ Roll-out Plan'!$O$79</f>
        <v>13877.6667232</v>
      </c>
      <c r="FL1020" s="9" t="n">
        <f aca="false">MIN((FL749+FL750)*$C$5,$F$15)*'⑫ Roll-out Plan'!$O$79</f>
        <v>23540.676944</v>
      </c>
      <c r="FM1020" s="9" t="n">
        <f aca="false">MIN((FM749+FM750)*$C$5,$F$15)*'⑫ Roll-out Plan'!$O$79</f>
        <v>21086.156144</v>
      </c>
      <c r="FN1020" s="9" t="n">
        <f aca="false">MIN((FN749+FN750)*$C$5,$F$15)*'⑫ Roll-out Plan'!$O$79</f>
        <v>21666.4622496</v>
      </c>
      <c r="FO1020" s="9" t="n">
        <f aca="false">MIN((FO749+FO750)*$C$5,$F$15)*'⑫ Roll-out Plan'!$O$79</f>
        <v>18174.000992</v>
      </c>
      <c r="FP1020" s="9" t="n">
        <f aca="false">MIN((FP749+FP750)*$C$5,$F$15)*'⑫ Roll-out Plan'!$O$79</f>
        <v>24558.84009056</v>
      </c>
    </row>
    <row r="1021" customFormat="false" ht="15" hidden="false" customHeight="false" outlineLevel="0" collapsed="false">
      <c r="B1021" s="9" t="s">
        <v>948</v>
      </c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121" t="n">
        <f aca="false">MIN((AC759+AC760)*$C$5,$F$15)*'⑫ Roll-out Plan'!$O$80</f>
        <v>0</v>
      </c>
      <c r="AD1021" s="9" t="n">
        <f aca="false">MIN((AD759+AD760)*$C$5,$F$15)*'⑫ Roll-out Plan'!$O$80</f>
        <v>0</v>
      </c>
      <c r="AE1021" s="9" t="n">
        <f aca="false">MIN((AE759+AE760)*$C$5,$F$15)*'⑫ Roll-out Plan'!$O$80</f>
        <v>0</v>
      </c>
      <c r="AF1021" s="9" t="n">
        <f aca="false">MIN((AF759+AF760)*$C$5,$F$15)*'⑫ Roll-out Plan'!$O$80</f>
        <v>0</v>
      </c>
      <c r="AG1021" s="9" t="n">
        <f aca="false">MIN((AG759+AG760)*$C$5,$F$15)*'⑫ Roll-out Plan'!$O$80</f>
        <v>0</v>
      </c>
      <c r="AH1021" s="9" t="n">
        <f aca="false">MIN((AH759+AH760)*$C$5,$F$15)*'⑫ Roll-out Plan'!$O$80</f>
        <v>0</v>
      </c>
      <c r="AI1021" s="9" t="n">
        <f aca="false">MIN((AI759+AI760)*$C$5,$F$15)*'⑫ Roll-out Plan'!$O$80</f>
        <v>0</v>
      </c>
      <c r="AJ1021" s="9" t="n">
        <f aca="false">MIN((AJ759+AJ760)*$C$5,$F$15)*'⑫ Roll-out Plan'!$O$80</f>
        <v>0</v>
      </c>
      <c r="AK1021" s="9" t="n">
        <f aca="false">MIN((AK759+AK760)*$C$5,$F$15)*'⑫ Roll-out Plan'!$O$80</f>
        <v>0</v>
      </c>
      <c r="AL1021" s="9" t="n">
        <f aca="false">MIN((AL759+AL760)*$C$5,$F$15)*'⑫ Roll-out Plan'!$O$80</f>
        <v>0</v>
      </c>
      <c r="AM1021" s="9" t="n">
        <f aca="false">MIN((AM759+AM760)*$C$5,$F$15)*'⑫ Roll-out Plan'!$O$80</f>
        <v>0</v>
      </c>
      <c r="AN1021" s="9" t="n">
        <f aca="false">MIN((AN759+AN760)*$C$5,$F$15)*'⑫ Roll-out Plan'!$O$80</f>
        <v>0</v>
      </c>
      <c r="AO1021" s="9" t="n">
        <f aca="false">MIN((AO759+AO760)*$C$5,$F$15)*'⑫ Roll-out Plan'!$O$80</f>
        <v>0</v>
      </c>
      <c r="AP1021" s="9" t="n">
        <f aca="false">MIN((AP759+AP760)*$C$5,$F$15)*'⑫ Roll-out Plan'!$O$80</f>
        <v>0</v>
      </c>
      <c r="AQ1021" s="9" t="n">
        <f aca="false">MIN((AQ759+AQ760)*$C$5,$F$15)*'⑫ Roll-out Plan'!$O$80</f>
        <v>0</v>
      </c>
      <c r="AR1021" s="9" t="n">
        <f aca="false">MIN((AR759+AR760)*$C$5,$F$15)*'⑫ Roll-out Plan'!$O$80</f>
        <v>0</v>
      </c>
      <c r="AS1021" s="9" t="n">
        <f aca="false">MIN((AS759+AS760)*$C$5,$F$15)*'⑫ Roll-out Plan'!$O$80</f>
        <v>0</v>
      </c>
      <c r="AT1021" s="9" t="n">
        <f aca="false">MIN((AT759+AT760)*$C$5,$F$15)*'⑫ Roll-out Plan'!$O$80</f>
        <v>0</v>
      </c>
      <c r="AU1021" s="9" t="n">
        <f aca="false">MIN((AU759+AU760)*$C$5,$F$15)*'⑫ Roll-out Plan'!$O$80</f>
        <v>0</v>
      </c>
      <c r="AV1021" s="9" t="n">
        <f aca="false">MIN((AV759+AV760)*$C$5,$F$15)*'⑫ Roll-out Plan'!$O$80</f>
        <v>0</v>
      </c>
      <c r="AW1021" s="9" t="n">
        <f aca="false">MIN((AW759+AW760)*$C$5,$F$15)*'⑫ Roll-out Plan'!$O$80</f>
        <v>0</v>
      </c>
      <c r="AX1021" s="9" t="n">
        <f aca="false">MIN((AX759+AX760)*$C$5,$F$15)*'⑫ Roll-out Plan'!$O$80</f>
        <v>0</v>
      </c>
      <c r="AY1021" s="9" t="n">
        <f aca="false">MIN((AY759+AY760)*$C$5,$F$15)*'⑫ Roll-out Plan'!$O$80</f>
        <v>0</v>
      </c>
      <c r="AZ1021" s="9" t="n">
        <f aca="false">MIN((AZ759+AZ760)*$C$5,$F$15)*'⑫ Roll-out Plan'!$O$80</f>
        <v>0</v>
      </c>
      <c r="BA1021" s="9" t="n">
        <f aca="false">MIN((BA759+BA760)*$C$5,$F$15)*'⑫ Roll-out Plan'!$O$80</f>
        <v>0</v>
      </c>
      <c r="BB1021" s="9" t="n">
        <f aca="false">MIN((BB759+BB760)*$C$5,$F$15)*'⑫ Roll-out Plan'!$O$80</f>
        <v>0</v>
      </c>
      <c r="BC1021" s="9" t="n">
        <f aca="false">MIN((BC759+BC760)*$C$5,$F$15)*'⑫ Roll-out Plan'!$O$80</f>
        <v>0</v>
      </c>
      <c r="BD1021" s="9" t="n">
        <f aca="false">MIN((BD759+BD760)*$C$5,$F$15)*'⑫ Roll-out Plan'!$O$80</f>
        <v>0</v>
      </c>
      <c r="BE1021" s="9" t="n">
        <f aca="false">MIN((BE759+BE760)*$C$5,$F$15)*'⑫ Roll-out Plan'!$O$80</f>
        <v>0</v>
      </c>
      <c r="BF1021" s="9" t="n">
        <f aca="false">MIN((BF759+BF760)*$C$5,$F$15)*'⑫ Roll-out Plan'!$O$80</f>
        <v>0</v>
      </c>
      <c r="BG1021" s="9" t="n">
        <f aca="false">MIN((BG759+BG760)*$C$5,$F$15)*'⑫ Roll-out Plan'!$O$80</f>
        <v>0</v>
      </c>
      <c r="BH1021" s="9" t="n">
        <f aca="false">MIN((BH759+BH760)*$C$5,$F$15)*'⑫ Roll-out Plan'!$O$80</f>
        <v>0</v>
      </c>
      <c r="BI1021" s="9" t="n">
        <f aca="false">MIN((BI759+BI760)*$C$5,$F$15)*'⑫ Roll-out Plan'!$O$80</f>
        <v>0</v>
      </c>
      <c r="BJ1021" s="9" t="n">
        <f aca="false">MIN((BJ759+BJ760)*$C$5,$F$15)*'⑫ Roll-out Plan'!$O$80</f>
        <v>0</v>
      </c>
      <c r="BK1021" s="9" t="n">
        <f aca="false">MIN((BK759+BK760)*$C$5,$F$15)*'⑫ Roll-out Plan'!$O$80</f>
        <v>0</v>
      </c>
      <c r="BL1021" s="9" t="n">
        <f aca="false">MIN((BL759+BL760)*$C$5,$F$15)*'⑫ Roll-out Plan'!$O$80</f>
        <v>0</v>
      </c>
      <c r="BM1021" s="9" t="n">
        <f aca="false">MIN((BM759+BM760)*$C$5,$F$15)*'⑫ Roll-out Plan'!$O$80</f>
        <v>0</v>
      </c>
      <c r="BN1021" s="9" t="n">
        <f aca="false">MIN((BN759+BN760)*$C$5,$F$15)*'⑫ Roll-out Plan'!$O$80</f>
        <v>0</v>
      </c>
      <c r="BO1021" s="9" t="n">
        <f aca="false">MIN((BO759+BO760)*$C$5,$F$15)*'⑫ Roll-out Plan'!$O$80</f>
        <v>0</v>
      </c>
      <c r="BP1021" s="9" t="n">
        <f aca="false">MIN((BP759+BP760)*$C$5,$F$15)*'⑫ Roll-out Plan'!$O$80</f>
        <v>0</v>
      </c>
      <c r="BQ1021" s="9" t="n">
        <f aca="false">MIN((BQ759+BQ760)*$C$5,$F$15)*'⑫ Roll-out Plan'!$O$80</f>
        <v>0</v>
      </c>
      <c r="BR1021" s="9" t="n">
        <f aca="false">MIN((BR759+BR760)*$C$5,$F$15)*'⑫ Roll-out Plan'!$O$80</f>
        <v>0</v>
      </c>
      <c r="BS1021" s="9" t="n">
        <f aca="false">MIN((BS759+BS760)*$C$5,$F$15)*'⑫ Roll-out Plan'!$O$80</f>
        <v>0</v>
      </c>
      <c r="BT1021" s="9" t="n">
        <f aca="false">MIN((BT759+BT760)*$C$5,$F$15)*'⑫ Roll-out Plan'!$O$80</f>
        <v>0</v>
      </c>
      <c r="BU1021" s="9" t="n">
        <f aca="false">MIN((BU759+BU760)*$C$5,$F$15)*'⑫ Roll-out Plan'!$O$80</f>
        <v>0</v>
      </c>
      <c r="BV1021" s="9" t="n">
        <f aca="false">MIN((BV759+BV760)*$C$5,$F$15)*'⑫ Roll-out Plan'!$O$80</f>
        <v>0</v>
      </c>
      <c r="BW1021" s="9" t="n">
        <f aca="false">MIN((BW759+BW760)*$C$5,$F$15)*'⑫ Roll-out Plan'!$O$80</f>
        <v>0</v>
      </c>
      <c r="BX1021" s="9" t="n">
        <f aca="false">MIN((BX759+BX760)*$C$5,$F$15)*'⑫ Roll-out Plan'!$O$80</f>
        <v>0</v>
      </c>
      <c r="BY1021" s="9" t="n">
        <f aca="false">MIN((BY759+BY760)*$C$5,$F$15)*'⑫ Roll-out Plan'!$O$80</f>
        <v>0</v>
      </c>
      <c r="BZ1021" s="9" t="n">
        <f aca="false">MIN((BZ759+BZ760)*$C$5,$F$15)*'⑫ Roll-out Plan'!$O$80</f>
        <v>0</v>
      </c>
      <c r="CA1021" s="9" t="n">
        <f aca="false">MIN((CA759+CA760)*$C$5,$F$15)*'⑫ Roll-out Plan'!$O$80</f>
        <v>0</v>
      </c>
      <c r="CB1021" s="9" t="n">
        <f aca="false">MIN((CB759+CB760)*$C$5,$F$15)*'⑫ Roll-out Plan'!$O$80</f>
        <v>0</v>
      </c>
      <c r="CC1021" s="9" t="n">
        <f aca="false">MIN((CC759+CC760)*$C$5,$F$15)*'⑫ Roll-out Plan'!$O$80</f>
        <v>0</v>
      </c>
      <c r="CD1021" s="9" t="n">
        <f aca="false">MIN((CD759+CD760)*$C$5,$F$15)*'⑫ Roll-out Plan'!$O$80</f>
        <v>0</v>
      </c>
      <c r="CE1021" s="9" t="n">
        <f aca="false">MIN((CE759+CE760)*$C$5,$F$15)*'⑫ Roll-out Plan'!$O$80</f>
        <v>0</v>
      </c>
      <c r="CF1021" s="9" t="n">
        <f aca="false">MIN((CF759+CF760)*$C$5,$F$15)*'⑫ Roll-out Plan'!$O$80</f>
        <v>0</v>
      </c>
      <c r="CG1021" s="9" t="n">
        <f aca="false">MIN((CG759+CG760)*$C$5,$F$15)*'⑫ Roll-out Plan'!$O$80</f>
        <v>0</v>
      </c>
      <c r="CH1021" s="9" t="n">
        <f aca="false">MIN((CH759+CH760)*$C$5,$F$15)*'⑫ Roll-out Plan'!$O$80</f>
        <v>0</v>
      </c>
      <c r="CI1021" s="9" t="n">
        <f aca="false">MIN((CI759+CI760)*$C$5,$F$15)*'⑫ Roll-out Plan'!$O$80</f>
        <v>0</v>
      </c>
      <c r="CJ1021" s="9" t="n">
        <f aca="false">MIN((CJ759+CJ760)*$C$5,$F$15)*'⑫ Roll-out Plan'!$O$80</f>
        <v>0</v>
      </c>
      <c r="CK1021" s="9" t="n">
        <f aca="false">MIN((CK759+CK760)*$C$5,$F$15)*'⑫ Roll-out Plan'!$O$80</f>
        <v>0</v>
      </c>
      <c r="CL1021" s="9" t="n">
        <f aca="false">MIN((CL759+CL760)*$C$5,$F$15)*'⑫ Roll-out Plan'!$O$80</f>
        <v>0</v>
      </c>
      <c r="CM1021" s="9" t="n">
        <f aca="false">MIN((CM759+CM760)*$C$5,$F$15)*'⑫ Roll-out Plan'!$O$80</f>
        <v>0</v>
      </c>
      <c r="CN1021" s="9" t="n">
        <f aca="false">MIN((CN759+CN760)*$C$5,$F$15)*'⑫ Roll-out Plan'!$O$80</f>
        <v>0</v>
      </c>
      <c r="CO1021" s="9" t="n">
        <f aca="false">MIN((CO759+CO760)*$C$5,$F$15)*'⑫ Roll-out Plan'!$O$80</f>
        <v>0</v>
      </c>
      <c r="CP1021" s="9" t="n">
        <f aca="false">MIN((CP759+CP760)*$C$5,$F$15)*'⑫ Roll-out Plan'!$O$80</f>
        <v>0</v>
      </c>
      <c r="CQ1021" s="9" t="n">
        <f aca="false">MIN((CQ759+CQ760)*$C$5,$F$15)*'⑫ Roll-out Plan'!$O$80</f>
        <v>0</v>
      </c>
      <c r="CR1021" s="9" t="n">
        <f aca="false">MIN((CR759+CR760)*$C$5,$F$15)*'⑫ Roll-out Plan'!$O$80</f>
        <v>0</v>
      </c>
      <c r="CS1021" s="9" t="n">
        <f aca="false">MIN((CS759+CS760)*$C$5,$F$15)*'⑫ Roll-out Plan'!$O$80</f>
        <v>0</v>
      </c>
      <c r="CT1021" s="9" t="n">
        <f aca="false">MIN((CT759+CT760)*$C$5,$F$15)*'⑫ Roll-out Plan'!$O$80</f>
        <v>0</v>
      </c>
      <c r="CU1021" s="9" t="n">
        <f aca="false">MIN((CU759+CU760)*$C$5,$F$15)*'⑫ Roll-out Plan'!$O$80</f>
        <v>0</v>
      </c>
      <c r="CV1021" s="9" t="n">
        <f aca="false">MIN((CV759+CV760)*$C$5,$F$15)*'⑫ Roll-out Plan'!$O$80</f>
        <v>0</v>
      </c>
      <c r="CW1021" s="9" t="n">
        <f aca="false">MIN((CW759+CW760)*$C$5,$F$15)*'⑫ Roll-out Plan'!$O$80</f>
        <v>0</v>
      </c>
      <c r="CX1021" s="9" t="n">
        <f aca="false">MIN((CX759+CX760)*$C$5,$F$15)*'⑫ Roll-out Plan'!$O$80</f>
        <v>0</v>
      </c>
      <c r="CY1021" s="9" t="n">
        <f aca="false">MIN((CY759+CY760)*$C$5,$F$15)*'⑫ Roll-out Plan'!$O$80</f>
        <v>0</v>
      </c>
      <c r="CZ1021" s="9" t="n">
        <f aca="false">MIN((CZ759+CZ760)*$C$5,$F$15)*'⑫ Roll-out Plan'!$O$80</f>
        <v>0</v>
      </c>
      <c r="DA1021" s="9" t="n">
        <f aca="false">MIN((DA759+DA760)*$C$5,$F$15)*'⑫ Roll-out Plan'!$O$80</f>
        <v>0</v>
      </c>
      <c r="DB1021" s="9" t="n">
        <f aca="false">MIN((DB759+DB760)*$C$5,$F$15)*'⑫ Roll-out Plan'!$O$80</f>
        <v>0</v>
      </c>
      <c r="DC1021" s="9" t="n">
        <f aca="false">MIN((DC759+DC760)*$C$5,$F$15)*'⑫ Roll-out Plan'!$O$80</f>
        <v>0</v>
      </c>
      <c r="DD1021" s="9" t="n">
        <f aca="false">MIN((DD759+DD760)*$C$5,$F$15)*'⑫ Roll-out Plan'!$O$80</f>
        <v>0</v>
      </c>
      <c r="DE1021" s="9" t="n">
        <f aca="false">MIN((DE759+DE760)*$C$5,$F$15)*'⑫ Roll-out Plan'!$O$80</f>
        <v>0</v>
      </c>
      <c r="DF1021" s="9" t="n">
        <f aca="false">MIN((DF759+DF760)*$C$5,$F$15)*'⑫ Roll-out Plan'!$O$80</f>
        <v>0</v>
      </c>
      <c r="DG1021" s="9" t="n">
        <f aca="false">MIN((DG759+DG760)*$C$5,$F$15)*'⑫ Roll-out Plan'!$O$80</f>
        <v>0</v>
      </c>
      <c r="DH1021" s="9" t="n">
        <f aca="false">MIN((DH759+DH760)*$C$5,$F$15)*'⑫ Roll-out Plan'!$O$80</f>
        <v>0</v>
      </c>
      <c r="DI1021" s="9" t="n">
        <f aca="false">MIN((DI759+DI760)*$C$5,$F$15)*'⑫ Roll-out Plan'!$O$80</f>
        <v>0</v>
      </c>
      <c r="DJ1021" s="9" t="n">
        <f aca="false">MIN((DJ759+DJ760)*$C$5,$F$15)*'⑫ Roll-out Plan'!$O$80</f>
        <v>0</v>
      </c>
      <c r="DK1021" s="9" t="n">
        <f aca="false">MIN((DK759+DK760)*$C$5,$F$15)*'⑫ Roll-out Plan'!$O$80</f>
        <v>0</v>
      </c>
      <c r="DL1021" s="9" t="n">
        <f aca="false">MIN((DL759+DL760)*$C$5,$F$15)*'⑫ Roll-out Plan'!$O$80</f>
        <v>0</v>
      </c>
      <c r="DM1021" s="9" t="n">
        <f aca="false">MIN((DM759+DM760)*$C$5,$F$15)*'⑫ Roll-out Plan'!$O$80</f>
        <v>0</v>
      </c>
      <c r="DN1021" s="9" t="n">
        <f aca="false">MIN((DN759+DN760)*$C$5,$F$15)*'⑫ Roll-out Plan'!$O$80</f>
        <v>0</v>
      </c>
      <c r="DO1021" s="9" t="n">
        <f aca="false">MIN((DO759+DO760)*$C$5,$F$15)*'⑫ Roll-out Plan'!$O$80</f>
        <v>0</v>
      </c>
      <c r="DP1021" s="9" t="n">
        <f aca="false">MIN((DP759+DP760)*$C$5,$F$15)*'⑫ Roll-out Plan'!$O$80</f>
        <v>0</v>
      </c>
      <c r="DQ1021" s="9" t="n">
        <f aca="false">MIN((DQ759+DQ760)*$C$5,$F$15)*'⑫ Roll-out Plan'!$O$80</f>
        <v>0</v>
      </c>
      <c r="DR1021" s="9" t="n">
        <f aca="false">MIN((DR759+DR760)*$C$5,$F$15)*'⑫ Roll-out Plan'!$O$80</f>
        <v>0</v>
      </c>
      <c r="DS1021" s="9" t="n">
        <f aca="false">MIN((DS759+DS760)*$C$5,$F$15)*'⑫ Roll-out Plan'!$O$80</f>
        <v>0</v>
      </c>
      <c r="DT1021" s="9" t="n">
        <f aca="false">MIN((DT759+DT760)*$C$5,$F$15)*'⑫ Roll-out Plan'!$O$80</f>
        <v>0</v>
      </c>
      <c r="DU1021" s="9" t="n">
        <f aca="false">MIN((DU759+DU760)*$C$5,$F$15)*'⑫ Roll-out Plan'!$O$80</f>
        <v>0</v>
      </c>
      <c r="DV1021" s="9" t="n">
        <f aca="false">MIN((DV759+DV760)*$C$5,$F$15)*'⑫ Roll-out Plan'!$O$80</f>
        <v>0</v>
      </c>
      <c r="DW1021" s="9" t="n">
        <f aca="false">MIN((DW759+DW760)*$C$5,$F$15)*'⑫ Roll-out Plan'!$O$80</f>
        <v>0</v>
      </c>
      <c r="DX1021" s="9" t="n">
        <f aca="false">MIN((DX759+DX760)*$C$5,$F$15)*'⑫ Roll-out Plan'!$O$80</f>
        <v>0</v>
      </c>
      <c r="DY1021" s="9" t="n">
        <f aca="false">MIN((DY759+DY760)*$C$5,$F$15)*'⑫ Roll-out Plan'!$O$80</f>
        <v>0</v>
      </c>
      <c r="DZ1021" s="9" t="n">
        <f aca="false">MIN((DZ759+DZ760)*$C$5,$F$15)*'⑫ Roll-out Plan'!$O$80</f>
        <v>0</v>
      </c>
      <c r="EA1021" s="9" t="n">
        <f aca="false">MIN((EA759+EA760)*$C$5,$F$15)*'⑫ Roll-out Plan'!$O$80</f>
        <v>0</v>
      </c>
      <c r="EB1021" s="9" t="n">
        <f aca="false">MIN((EB759+EB760)*$C$5,$F$15)*'⑫ Roll-out Plan'!$O$80</f>
        <v>0</v>
      </c>
      <c r="EC1021" s="9" t="n">
        <f aca="false">MIN((EC759+EC760)*$C$5,$F$15)*'⑫ Roll-out Plan'!$O$80</f>
        <v>0</v>
      </c>
      <c r="ED1021" s="9" t="n">
        <f aca="false">MIN((ED759+ED760)*$C$5,$F$15)*'⑫ Roll-out Plan'!$O$80</f>
        <v>0</v>
      </c>
      <c r="EE1021" s="9" t="n">
        <f aca="false">MIN((EE759+EE760)*$C$5,$F$15)*'⑫ Roll-out Plan'!$O$80</f>
        <v>0</v>
      </c>
      <c r="EF1021" s="9" t="n">
        <f aca="false">MIN((EF759+EF760)*$C$5,$F$15)*'⑫ Roll-out Plan'!$O$80</f>
        <v>0</v>
      </c>
      <c r="EG1021" s="9" t="n">
        <f aca="false">MIN((EG759+EG760)*$C$5,$F$15)*'⑫ Roll-out Plan'!$O$80</f>
        <v>0</v>
      </c>
      <c r="EH1021" s="9" t="n">
        <f aca="false">MIN((EH759+EH760)*$C$5,$F$15)*'⑫ Roll-out Plan'!$O$80</f>
        <v>0</v>
      </c>
      <c r="EI1021" s="9" t="n">
        <f aca="false">MIN((EI759+EI760)*$C$5,$F$15)*'⑫ Roll-out Plan'!$O$80</f>
        <v>0</v>
      </c>
      <c r="EJ1021" s="9" t="n">
        <f aca="false">MIN((EJ759+EJ760)*$C$5,$F$15)*'⑫ Roll-out Plan'!$O$80</f>
        <v>0</v>
      </c>
      <c r="EK1021" s="9" t="n">
        <f aca="false">MIN((EK759+EK760)*$C$5,$F$15)*'⑫ Roll-out Plan'!$O$80</f>
        <v>0</v>
      </c>
      <c r="EL1021" s="9" t="n">
        <f aca="false">MIN((EL759+EL760)*$C$5,$F$15)*'⑫ Roll-out Plan'!$O$80</f>
        <v>0</v>
      </c>
      <c r="EM1021" s="9" t="n">
        <f aca="false">MIN((EM759+EM760)*$C$5,$F$15)*'⑫ Roll-out Plan'!$O$80</f>
        <v>0</v>
      </c>
      <c r="EN1021" s="9" t="n">
        <f aca="false">MIN((EN759+EN760)*$C$5,$F$15)*'⑫ Roll-out Plan'!$O$80</f>
        <v>0</v>
      </c>
      <c r="EO1021" s="9" t="n">
        <f aca="false">MIN((EO759+EO760)*$C$5,$F$15)*'⑫ Roll-out Plan'!$O$80</f>
        <v>0</v>
      </c>
      <c r="EP1021" s="9" t="n">
        <f aca="false">MIN((EP759+EP760)*$C$5,$F$15)*'⑫ Roll-out Plan'!$O$80</f>
        <v>0</v>
      </c>
      <c r="EQ1021" s="9" t="n">
        <f aca="false">MIN((EQ759+EQ760)*$C$5,$F$15)*'⑫ Roll-out Plan'!$O$80</f>
        <v>0</v>
      </c>
      <c r="ER1021" s="9" t="n">
        <f aca="false">MIN((ER759+ER760)*$C$5,$F$15)*'⑫ Roll-out Plan'!$O$80</f>
        <v>0</v>
      </c>
      <c r="ES1021" s="9" t="n">
        <f aca="false">MIN((ES759+ES760)*$C$5,$F$15)*'⑫ Roll-out Plan'!$O$80</f>
        <v>0</v>
      </c>
      <c r="ET1021" s="9" t="n">
        <f aca="false">MIN((ET759+ET760)*$C$5,$F$15)*'⑫ Roll-out Plan'!$O$80</f>
        <v>0</v>
      </c>
      <c r="EU1021" s="9" t="n">
        <f aca="false">MIN((EU759+EU760)*$C$5,$F$15)*'⑫ Roll-out Plan'!$O$80</f>
        <v>0</v>
      </c>
      <c r="EV1021" s="9" t="n">
        <f aca="false">MIN((EV759+EV760)*$C$5,$F$15)*'⑫ Roll-out Plan'!$O$80</f>
        <v>0</v>
      </c>
      <c r="EW1021" s="9" t="n">
        <f aca="false">MIN((EW759+EW760)*$C$5,$F$15)*'⑫ Roll-out Plan'!$O$80</f>
        <v>0</v>
      </c>
      <c r="EX1021" s="9" t="n">
        <f aca="false">MIN((EX759+EX760)*$C$5,$F$15)*'⑫ Roll-out Plan'!$O$80</f>
        <v>0</v>
      </c>
      <c r="EY1021" s="9" t="n">
        <f aca="false">MIN((EY759+EY760)*$C$5,$F$15)*'⑫ Roll-out Plan'!$O$80</f>
        <v>0</v>
      </c>
      <c r="EZ1021" s="9" t="n">
        <f aca="false">MIN((EZ759+EZ760)*$C$5,$F$15)*'⑫ Roll-out Plan'!$O$80</f>
        <v>6882.74</v>
      </c>
      <c r="FA1021" s="9" t="n">
        <f aca="false">MIN((FA759+FA760)*$C$5,$F$15)*'⑫ Roll-out Plan'!$O$80</f>
        <v>7065.76272</v>
      </c>
      <c r="FB1021" s="9" t="n">
        <f aca="false">MIN((FB759+FB760)*$C$5,$F$15)*'⑫ Roll-out Plan'!$O$80</f>
        <v>6496.53104</v>
      </c>
      <c r="FC1021" s="9" t="n">
        <f aca="false">MIN((FC759+FC760)*$C$5,$F$15)*'⑫ Roll-out Plan'!$O$80</f>
        <v>5689.0285952</v>
      </c>
      <c r="FD1021" s="9" t="n">
        <f aca="false">MIN((FD759+FD760)*$C$5,$F$15)*'⑫ Roll-out Plan'!$O$80</f>
        <v>7602.2752112</v>
      </c>
      <c r="FE1021" s="9" t="n">
        <f aca="false">MIN((FE759+FE760)*$C$5,$F$15)*'⑫ Roll-out Plan'!$O$80</f>
        <v>9321.4246816</v>
      </c>
      <c r="FF1021" s="9" t="n">
        <f aca="false">MIN((FF759+FF760)*$C$5,$F$15)*'⑫ Roll-out Plan'!$O$80</f>
        <v>8380.9050464</v>
      </c>
      <c r="FG1021" s="9" t="n">
        <f aca="false">MIN((FG759+FG760)*$C$5,$F$15)*'⑫ Roll-out Plan'!$O$80</f>
        <v>12400.2390816</v>
      </c>
      <c r="FH1021" s="9" t="n">
        <f aca="false">MIN((FH759+FH760)*$C$5,$F$15)*'⑫ Roll-out Plan'!$O$80</f>
        <v>13726.742776</v>
      </c>
      <c r="FI1021" s="9" t="n">
        <f aca="false">MIN((FI759+FI760)*$C$5,$F$15)*'⑫ Roll-out Plan'!$O$80</f>
        <v>12036.147952</v>
      </c>
      <c r="FJ1021" s="9" t="n">
        <f aca="false">MIN((FJ759+FJ760)*$C$5,$F$15)*'⑫ Roll-out Plan'!$O$80</f>
        <v>11495.649288</v>
      </c>
      <c r="FK1021" s="9" t="n">
        <f aca="false">MIN((FK759+FK760)*$C$5,$F$15)*'⑫ Roll-out Plan'!$O$80</f>
        <v>12772.3956192</v>
      </c>
      <c r="FL1021" s="9" t="n">
        <f aca="false">MIN((FL759+FL760)*$C$5,$F$15)*'⑫ Roll-out Plan'!$O$80</f>
        <v>21811.344896</v>
      </c>
      <c r="FM1021" s="9" t="n">
        <f aca="false">MIN((FM759+FM760)*$C$5,$F$15)*'⑫ Roll-out Plan'!$O$80</f>
        <v>20745.5012288</v>
      </c>
      <c r="FN1021" s="9" t="n">
        <f aca="false">MIN((FN759+FN760)*$C$5,$F$15)*'⑫ Roll-out Plan'!$O$80</f>
        <v>17830.2284864</v>
      </c>
      <c r="FO1021" s="9" t="n">
        <f aca="false">MIN((FO759+FO760)*$C$5,$F$15)*'⑫ Roll-out Plan'!$O$80</f>
        <v>16921.1639424</v>
      </c>
      <c r="FP1021" s="9" t="n">
        <f aca="false">MIN((FP759+FP760)*$C$5,$F$15)*'⑫ Roll-out Plan'!$O$80</f>
        <v>23284.1659488</v>
      </c>
    </row>
    <row r="1022" customFormat="false" ht="15" hidden="false" customHeight="false" outlineLevel="0" collapsed="false">
      <c r="B1022" s="9" t="s">
        <v>949</v>
      </c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121" t="n">
        <f aca="false">MIN((AC769+AC770)*$C$5,$F$16)*'⑫ Roll-out Plan'!$O$81</f>
        <v>0</v>
      </c>
      <c r="AD1022" s="9" t="n">
        <f aca="false">MIN((AD769+AD770)*$C$5,$F$16)*'⑫ Roll-out Plan'!$O$81</f>
        <v>0</v>
      </c>
      <c r="AE1022" s="9" t="n">
        <f aca="false">MIN((AE769+AE770)*$C$5,$F$16)*'⑫ Roll-out Plan'!$O$81</f>
        <v>0</v>
      </c>
      <c r="AF1022" s="9" t="n">
        <f aca="false">MIN((AF769+AF770)*$C$5,$F$16)*'⑫ Roll-out Plan'!$O$81</f>
        <v>0</v>
      </c>
      <c r="AG1022" s="9" t="n">
        <f aca="false">MIN((AG769+AG770)*$C$5,$F$16)*'⑫ Roll-out Plan'!$O$81</f>
        <v>0</v>
      </c>
      <c r="AH1022" s="9" t="n">
        <f aca="false">MIN((AH769+AH770)*$C$5,$F$16)*'⑫ Roll-out Plan'!$O$81</f>
        <v>0</v>
      </c>
      <c r="AI1022" s="9" t="n">
        <f aca="false">MIN((AI769+AI770)*$C$5,$F$16)*'⑫ Roll-out Plan'!$O$81</f>
        <v>0</v>
      </c>
      <c r="AJ1022" s="9" t="n">
        <f aca="false">MIN((AJ769+AJ770)*$C$5,$F$16)*'⑫ Roll-out Plan'!$O$81</f>
        <v>0</v>
      </c>
      <c r="AK1022" s="9" t="n">
        <f aca="false">MIN((AK769+AK770)*$C$5,$F$16)*'⑫ Roll-out Plan'!$O$81</f>
        <v>0</v>
      </c>
      <c r="AL1022" s="9" t="n">
        <f aca="false">MIN((AL769+AL770)*$C$5,$F$16)*'⑫ Roll-out Plan'!$O$81</f>
        <v>0</v>
      </c>
      <c r="AM1022" s="9" t="n">
        <f aca="false">MIN((AM769+AM770)*$C$5,$F$16)*'⑫ Roll-out Plan'!$O$81</f>
        <v>0</v>
      </c>
      <c r="AN1022" s="9" t="n">
        <f aca="false">MIN((AN769+AN770)*$C$5,$F$16)*'⑫ Roll-out Plan'!$O$81</f>
        <v>0</v>
      </c>
      <c r="AO1022" s="9" t="n">
        <f aca="false">MIN((AO769+AO770)*$C$5,$F$16)*'⑫ Roll-out Plan'!$O$81</f>
        <v>0</v>
      </c>
      <c r="AP1022" s="9" t="n">
        <f aca="false">MIN((AP769+AP770)*$C$5,$F$16)*'⑫ Roll-out Plan'!$O$81</f>
        <v>0</v>
      </c>
      <c r="AQ1022" s="9" t="n">
        <f aca="false">MIN((AQ769+AQ770)*$C$5,$F$16)*'⑫ Roll-out Plan'!$O$81</f>
        <v>0</v>
      </c>
      <c r="AR1022" s="9" t="n">
        <f aca="false">MIN((AR769+AR770)*$C$5,$F$16)*'⑫ Roll-out Plan'!$O$81</f>
        <v>0</v>
      </c>
      <c r="AS1022" s="9" t="n">
        <f aca="false">MIN((AS769+AS770)*$C$5,$F$16)*'⑫ Roll-out Plan'!$O$81</f>
        <v>0</v>
      </c>
      <c r="AT1022" s="9" t="n">
        <f aca="false">MIN((AT769+AT770)*$C$5,$F$16)*'⑫ Roll-out Plan'!$O$81</f>
        <v>0</v>
      </c>
      <c r="AU1022" s="9" t="n">
        <f aca="false">MIN((AU769+AU770)*$C$5,$F$16)*'⑫ Roll-out Plan'!$O$81</f>
        <v>0</v>
      </c>
      <c r="AV1022" s="9" t="n">
        <f aca="false">MIN((AV769+AV770)*$C$5,$F$16)*'⑫ Roll-out Plan'!$O$81</f>
        <v>0</v>
      </c>
      <c r="AW1022" s="9" t="n">
        <f aca="false">MIN((AW769+AW770)*$C$5,$F$16)*'⑫ Roll-out Plan'!$O$81</f>
        <v>0</v>
      </c>
      <c r="AX1022" s="9" t="n">
        <f aca="false">MIN((AX769+AX770)*$C$5,$F$16)*'⑫ Roll-out Plan'!$O$81</f>
        <v>0</v>
      </c>
      <c r="AY1022" s="9" t="n">
        <f aca="false">MIN((AY769+AY770)*$C$5,$F$16)*'⑫ Roll-out Plan'!$O$81</f>
        <v>0</v>
      </c>
      <c r="AZ1022" s="9" t="n">
        <f aca="false">MIN((AZ769+AZ770)*$C$5,$F$16)*'⑫ Roll-out Plan'!$O$81</f>
        <v>0</v>
      </c>
      <c r="BA1022" s="9" t="n">
        <f aca="false">MIN((BA769+BA770)*$C$5,$F$16)*'⑫ Roll-out Plan'!$O$81</f>
        <v>0</v>
      </c>
      <c r="BB1022" s="9" t="n">
        <f aca="false">MIN((BB769+BB770)*$C$5,$F$16)*'⑫ Roll-out Plan'!$O$81</f>
        <v>0</v>
      </c>
      <c r="BC1022" s="9" t="n">
        <f aca="false">MIN((BC769+BC770)*$C$5,$F$16)*'⑫ Roll-out Plan'!$O$81</f>
        <v>0</v>
      </c>
      <c r="BD1022" s="9" t="n">
        <f aca="false">MIN((BD769+BD770)*$C$5,$F$16)*'⑫ Roll-out Plan'!$O$81</f>
        <v>0</v>
      </c>
      <c r="BE1022" s="9" t="n">
        <f aca="false">MIN((BE769+BE770)*$C$5,$F$16)*'⑫ Roll-out Plan'!$O$81</f>
        <v>0</v>
      </c>
      <c r="BF1022" s="9" t="n">
        <f aca="false">MIN((BF769+BF770)*$C$5,$F$16)*'⑫ Roll-out Plan'!$O$81</f>
        <v>0</v>
      </c>
      <c r="BG1022" s="9" t="n">
        <f aca="false">MIN((BG769+BG770)*$C$5,$F$16)*'⑫ Roll-out Plan'!$O$81</f>
        <v>0</v>
      </c>
      <c r="BH1022" s="9" t="n">
        <f aca="false">MIN((BH769+BH770)*$C$5,$F$16)*'⑫ Roll-out Plan'!$O$81</f>
        <v>0</v>
      </c>
      <c r="BI1022" s="9" t="n">
        <f aca="false">MIN((BI769+BI770)*$C$5,$F$16)*'⑫ Roll-out Plan'!$O$81</f>
        <v>0</v>
      </c>
      <c r="BJ1022" s="9" t="n">
        <f aca="false">MIN((BJ769+BJ770)*$C$5,$F$16)*'⑫ Roll-out Plan'!$O$81</f>
        <v>0</v>
      </c>
      <c r="BK1022" s="9" t="n">
        <f aca="false">MIN((BK769+BK770)*$C$5,$F$16)*'⑫ Roll-out Plan'!$O$81</f>
        <v>0</v>
      </c>
      <c r="BL1022" s="9" t="n">
        <f aca="false">MIN((BL769+BL770)*$C$5,$F$16)*'⑫ Roll-out Plan'!$O$81</f>
        <v>0</v>
      </c>
      <c r="BM1022" s="9" t="n">
        <f aca="false">MIN((BM769+BM770)*$C$5,$F$16)*'⑫ Roll-out Plan'!$O$81</f>
        <v>0</v>
      </c>
      <c r="BN1022" s="9" t="n">
        <f aca="false">MIN((BN769+BN770)*$C$5,$F$16)*'⑫ Roll-out Plan'!$O$81</f>
        <v>0</v>
      </c>
      <c r="BO1022" s="9" t="n">
        <f aca="false">MIN((BO769+BO770)*$C$5,$F$16)*'⑫ Roll-out Plan'!$O$81</f>
        <v>0</v>
      </c>
      <c r="BP1022" s="9" t="n">
        <f aca="false">MIN((BP769+BP770)*$C$5,$F$16)*'⑫ Roll-out Plan'!$O$81</f>
        <v>0</v>
      </c>
      <c r="BQ1022" s="9" t="n">
        <f aca="false">MIN((BQ769+BQ770)*$C$5,$F$16)*'⑫ Roll-out Plan'!$O$81</f>
        <v>0</v>
      </c>
      <c r="BR1022" s="9" t="n">
        <f aca="false">MIN((BR769+BR770)*$C$5,$F$16)*'⑫ Roll-out Plan'!$O$81</f>
        <v>0</v>
      </c>
      <c r="BS1022" s="9" t="n">
        <f aca="false">MIN((BS769+BS770)*$C$5,$F$16)*'⑫ Roll-out Plan'!$O$81</f>
        <v>0</v>
      </c>
      <c r="BT1022" s="9" t="n">
        <f aca="false">MIN((BT769+BT770)*$C$5,$F$16)*'⑫ Roll-out Plan'!$O$81</f>
        <v>0</v>
      </c>
      <c r="BU1022" s="9" t="n">
        <f aca="false">MIN((BU769+BU770)*$C$5,$F$16)*'⑫ Roll-out Plan'!$O$81</f>
        <v>0</v>
      </c>
      <c r="BV1022" s="9" t="n">
        <f aca="false">MIN((BV769+BV770)*$C$5,$F$16)*'⑫ Roll-out Plan'!$O$81</f>
        <v>0</v>
      </c>
      <c r="BW1022" s="9" t="n">
        <f aca="false">MIN((BW769+BW770)*$C$5,$F$16)*'⑫ Roll-out Plan'!$O$81</f>
        <v>0</v>
      </c>
      <c r="BX1022" s="9" t="n">
        <f aca="false">MIN((BX769+BX770)*$C$5,$F$16)*'⑫ Roll-out Plan'!$O$81</f>
        <v>0</v>
      </c>
      <c r="BY1022" s="9" t="n">
        <f aca="false">MIN((BY769+BY770)*$C$5,$F$16)*'⑫ Roll-out Plan'!$O$81</f>
        <v>0</v>
      </c>
      <c r="BZ1022" s="9" t="n">
        <f aca="false">MIN((BZ769+BZ770)*$C$5,$F$16)*'⑫ Roll-out Plan'!$O$81</f>
        <v>0</v>
      </c>
      <c r="CA1022" s="9" t="n">
        <f aca="false">MIN((CA769+CA770)*$C$5,$F$16)*'⑫ Roll-out Plan'!$O$81</f>
        <v>0</v>
      </c>
      <c r="CB1022" s="9" t="n">
        <f aca="false">MIN((CB769+CB770)*$C$5,$F$16)*'⑫ Roll-out Plan'!$O$81</f>
        <v>0</v>
      </c>
      <c r="CC1022" s="9" t="n">
        <f aca="false">MIN((CC769+CC770)*$C$5,$F$16)*'⑫ Roll-out Plan'!$O$81</f>
        <v>0</v>
      </c>
      <c r="CD1022" s="9" t="n">
        <f aca="false">MIN((CD769+CD770)*$C$5,$F$16)*'⑫ Roll-out Plan'!$O$81</f>
        <v>0</v>
      </c>
      <c r="CE1022" s="9" t="n">
        <f aca="false">MIN((CE769+CE770)*$C$5,$F$16)*'⑫ Roll-out Plan'!$O$81</f>
        <v>0</v>
      </c>
      <c r="CF1022" s="9" t="n">
        <f aca="false">MIN((CF769+CF770)*$C$5,$F$16)*'⑫ Roll-out Plan'!$O$81</f>
        <v>0</v>
      </c>
      <c r="CG1022" s="9" t="n">
        <f aca="false">MIN((CG769+CG770)*$C$5,$F$16)*'⑫ Roll-out Plan'!$O$81</f>
        <v>0</v>
      </c>
      <c r="CH1022" s="9" t="n">
        <f aca="false">MIN((CH769+CH770)*$C$5,$F$16)*'⑫ Roll-out Plan'!$O$81</f>
        <v>0</v>
      </c>
      <c r="CI1022" s="9" t="n">
        <f aca="false">MIN((CI769+CI770)*$C$5,$F$16)*'⑫ Roll-out Plan'!$O$81</f>
        <v>0</v>
      </c>
      <c r="CJ1022" s="9" t="n">
        <f aca="false">MIN((CJ769+CJ770)*$C$5,$F$16)*'⑫ Roll-out Plan'!$O$81</f>
        <v>0</v>
      </c>
      <c r="CK1022" s="9" t="n">
        <f aca="false">MIN((CK769+CK770)*$C$5,$F$16)*'⑫ Roll-out Plan'!$O$81</f>
        <v>0</v>
      </c>
      <c r="CL1022" s="9" t="n">
        <f aca="false">MIN((CL769+CL770)*$C$5,$F$16)*'⑫ Roll-out Plan'!$O$81</f>
        <v>0</v>
      </c>
      <c r="CM1022" s="9" t="n">
        <f aca="false">MIN((CM769+CM770)*$C$5,$F$16)*'⑫ Roll-out Plan'!$O$81</f>
        <v>0</v>
      </c>
      <c r="CN1022" s="9" t="n">
        <f aca="false">MIN((CN769+CN770)*$C$5,$F$16)*'⑫ Roll-out Plan'!$O$81</f>
        <v>0</v>
      </c>
      <c r="CO1022" s="9" t="n">
        <f aca="false">MIN((CO769+CO770)*$C$5,$F$16)*'⑫ Roll-out Plan'!$O$81</f>
        <v>0</v>
      </c>
      <c r="CP1022" s="9" t="n">
        <f aca="false">MIN((CP769+CP770)*$C$5,$F$16)*'⑫ Roll-out Plan'!$O$81</f>
        <v>0</v>
      </c>
      <c r="CQ1022" s="9" t="n">
        <f aca="false">MIN((CQ769+CQ770)*$C$5,$F$16)*'⑫ Roll-out Plan'!$O$81</f>
        <v>0</v>
      </c>
      <c r="CR1022" s="9" t="n">
        <f aca="false">MIN((CR769+CR770)*$C$5,$F$16)*'⑫ Roll-out Plan'!$O$81</f>
        <v>0</v>
      </c>
      <c r="CS1022" s="9" t="n">
        <f aca="false">MIN((CS769+CS770)*$C$5,$F$16)*'⑫ Roll-out Plan'!$O$81</f>
        <v>0</v>
      </c>
      <c r="CT1022" s="9" t="n">
        <f aca="false">MIN((CT769+CT770)*$C$5,$F$16)*'⑫ Roll-out Plan'!$O$81</f>
        <v>0</v>
      </c>
      <c r="CU1022" s="9" t="n">
        <f aca="false">MIN((CU769+CU770)*$C$5,$F$16)*'⑫ Roll-out Plan'!$O$81</f>
        <v>0</v>
      </c>
      <c r="CV1022" s="9" t="n">
        <f aca="false">MIN((CV769+CV770)*$C$5,$F$16)*'⑫ Roll-out Plan'!$O$81</f>
        <v>0</v>
      </c>
      <c r="CW1022" s="9" t="n">
        <f aca="false">MIN((CW769+CW770)*$C$5,$F$16)*'⑫ Roll-out Plan'!$O$81</f>
        <v>0</v>
      </c>
      <c r="CX1022" s="9" t="n">
        <f aca="false">MIN((CX769+CX770)*$C$5,$F$16)*'⑫ Roll-out Plan'!$O$81</f>
        <v>0</v>
      </c>
      <c r="CY1022" s="9" t="n">
        <f aca="false">MIN((CY769+CY770)*$C$5,$F$16)*'⑫ Roll-out Plan'!$O$81</f>
        <v>0</v>
      </c>
      <c r="CZ1022" s="9" t="n">
        <f aca="false">MIN((CZ769+CZ770)*$C$5,$F$16)*'⑫ Roll-out Plan'!$O$81</f>
        <v>0</v>
      </c>
      <c r="DA1022" s="9" t="n">
        <f aca="false">MIN((DA769+DA770)*$C$5,$F$16)*'⑫ Roll-out Plan'!$O$81</f>
        <v>0</v>
      </c>
      <c r="DB1022" s="9" t="n">
        <f aca="false">MIN((DB769+DB770)*$C$5,$F$16)*'⑫ Roll-out Plan'!$O$81</f>
        <v>0</v>
      </c>
      <c r="DC1022" s="9" t="n">
        <f aca="false">MIN((DC769+DC770)*$C$5,$F$16)*'⑫ Roll-out Plan'!$O$81</f>
        <v>0</v>
      </c>
      <c r="DD1022" s="9" t="n">
        <f aca="false">MIN((DD769+DD770)*$C$5,$F$16)*'⑫ Roll-out Plan'!$O$81</f>
        <v>0</v>
      </c>
      <c r="DE1022" s="9" t="n">
        <f aca="false">MIN((DE769+DE770)*$C$5,$F$16)*'⑫ Roll-out Plan'!$O$81</f>
        <v>0</v>
      </c>
      <c r="DF1022" s="9" t="n">
        <f aca="false">MIN((DF769+DF770)*$C$5,$F$16)*'⑫ Roll-out Plan'!$O$81</f>
        <v>0</v>
      </c>
      <c r="DG1022" s="9" t="n">
        <f aca="false">MIN((DG769+DG770)*$C$5,$F$16)*'⑫ Roll-out Plan'!$O$81</f>
        <v>0</v>
      </c>
      <c r="DH1022" s="9" t="n">
        <f aca="false">MIN((DH769+DH770)*$C$5,$F$16)*'⑫ Roll-out Plan'!$O$81</f>
        <v>0</v>
      </c>
      <c r="DI1022" s="9" t="n">
        <f aca="false">MIN((DI769+DI770)*$C$5,$F$16)*'⑫ Roll-out Plan'!$O$81</f>
        <v>0</v>
      </c>
      <c r="DJ1022" s="9" t="n">
        <f aca="false">MIN((DJ769+DJ770)*$C$5,$F$16)*'⑫ Roll-out Plan'!$O$81</f>
        <v>0</v>
      </c>
      <c r="DK1022" s="9" t="n">
        <f aca="false">MIN((DK769+DK770)*$C$5,$F$16)*'⑫ Roll-out Plan'!$O$81</f>
        <v>0</v>
      </c>
      <c r="DL1022" s="9" t="n">
        <f aca="false">MIN((DL769+DL770)*$C$5,$F$16)*'⑫ Roll-out Plan'!$O$81</f>
        <v>0</v>
      </c>
      <c r="DM1022" s="9" t="n">
        <f aca="false">MIN((DM769+DM770)*$C$5,$F$16)*'⑫ Roll-out Plan'!$O$81</f>
        <v>0</v>
      </c>
      <c r="DN1022" s="9" t="n">
        <f aca="false">MIN((DN769+DN770)*$C$5,$F$16)*'⑫ Roll-out Plan'!$O$81</f>
        <v>0</v>
      </c>
      <c r="DO1022" s="9" t="n">
        <f aca="false">MIN((DO769+DO770)*$C$5,$F$16)*'⑫ Roll-out Plan'!$O$81</f>
        <v>0</v>
      </c>
      <c r="DP1022" s="9" t="n">
        <f aca="false">MIN((DP769+DP770)*$C$5,$F$16)*'⑫ Roll-out Plan'!$O$81</f>
        <v>0</v>
      </c>
      <c r="DQ1022" s="9" t="n">
        <f aca="false">MIN((DQ769+DQ770)*$C$5,$F$16)*'⑫ Roll-out Plan'!$O$81</f>
        <v>0</v>
      </c>
      <c r="DR1022" s="9" t="n">
        <f aca="false">MIN((DR769+DR770)*$C$5,$F$16)*'⑫ Roll-out Plan'!$O$81</f>
        <v>0</v>
      </c>
      <c r="DS1022" s="9" t="n">
        <f aca="false">MIN((DS769+DS770)*$C$5,$F$16)*'⑫ Roll-out Plan'!$O$81</f>
        <v>0</v>
      </c>
      <c r="DT1022" s="9" t="n">
        <f aca="false">MIN((DT769+DT770)*$C$5,$F$16)*'⑫ Roll-out Plan'!$O$81</f>
        <v>0</v>
      </c>
      <c r="DU1022" s="9" t="n">
        <f aca="false">MIN((DU769+DU770)*$C$5,$F$16)*'⑫ Roll-out Plan'!$O$81</f>
        <v>0</v>
      </c>
      <c r="DV1022" s="9" t="n">
        <f aca="false">MIN((DV769+DV770)*$C$5,$F$16)*'⑫ Roll-out Plan'!$O$81</f>
        <v>0</v>
      </c>
      <c r="DW1022" s="9" t="n">
        <f aca="false">MIN((DW769+DW770)*$C$5,$F$16)*'⑫ Roll-out Plan'!$O$81</f>
        <v>0</v>
      </c>
      <c r="DX1022" s="9" t="n">
        <f aca="false">MIN((DX769+DX770)*$C$5,$F$16)*'⑫ Roll-out Plan'!$O$81</f>
        <v>0</v>
      </c>
      <c r="DY1022" s="9" t="n">
        <f aca="false">MIN((DY769+DY770)*$C$5,$F$16)*'⑫ Roll-out Plan'!$O$81</f>
        <v>0</v>
      </c>
      <c r="DZ1022" s="9" t="n">
        <f aca="false">MIN((DZ769+DZ770)*$C$5,$F$16)*'⑫ Roll-out Plan'!$O$81</f>
        <v>0</v>
      </c>
      <c r="EA1022" s="9" t="n">
        <f aca="false">MIN((EA769+EA770)*$C$5,$F$16)*'⑫ Roll-out Plan'!$O$81</f>
        <v>0</v>
      </c>
      <c r="EB1022" s="9" t="n">
        <f aca="false">MIN((EB769+EB770)*$C$5,$F$16)*'⑫ Roll-out Plan'!$O$81</f>
        <v>0</v>
      </c>
      <c r="EC1022" s="9" t="n">
        <f aca="false">MIN((EC769+EC770)*$C$5,$F$16)*'⑫ Roll-out Plan'!$O$81</f>
        <v>0</v>
      </c>
      <c r="ED1022" s="9" t="n">
        <f aca="false">MIN((ED769+ED770)*$C$5,$F$16)*'⑫ Roll-out Plan'!$O$81</f>
        <v>0</v>
      </c>
      <c r="EE1022" s="9" t="n">
        <f aca="false">MIN((EE769+EE770)*$C$5,$F$16)*'⑫ Roll-out Plan'!$O$81</f>
        <v>0</v>
      </c>
      <c r="EF1022" s="9" t="n">
        <f aca="false">MIN((EF769+EF770)*$C$5,$F$16)*'⑫ Roll-out Plan'!$O$81</f>
        <v>0</v>
      </c>
      <c r="EG1022" s="9" t="n">
        <f aca="false">MIN((EG769+EG770)*$C$5,$F$16)*'⑫ Roll-out Plan'!$O$81</f>
        <v>0</v>
      </c>
      <c r="EH1022" s="9" t="n">
        <f aca="false">MIN((EH769+EH770)*$C$5,$F$16)*'⑫ Roll-out Plan'!$O$81</f>
        <v>0</v>
      </c>
      <c r="EI1022" s="9" t="n">
        <f aca="false">MIN((EI769+EI770)*$C$5,$F$16)*'⑫ Roll-out Plan'!$O$81</f>
        <v>0</v>
      </c>
      <c r="EJ1022" s="9" t="n">
        <f aca="false">MIN((EJ769+EJ770)*$C$5,$F$16)*'⑫ Roll-out Plan'!$O$81</f>
        <v>0</v>
      </c>
      <c r="EK1022" s="9" t="n">
        <f aca="false">MIN((EK769+EK770)*$C$5,$F$16)*'⑫ Roll-out Plan'!$O$81</f>
        <v>0</v>
      </c>
      <c r="EL1022" s="9" t="n">
        <f aca="false">MIN((EL769+EL770)*$C$5,$F$16)*'⑫ Roll-out Plan'!$O$81</f>
        <v>0</v>
      </c>
      <c r="EM1022" s="9" t="n">
        <f aca="false">MIN((EM769+EM770)*$C$5,$F$16)*'⑫ Roll-out Plan'!$O$81</f>
        <v>0</v>
      </c>
      <c r="EN1022" s="9" t="n">
        <f aca="false">MIN((EN769+EN770)*$C$5,$F$16)*'⑫ Roll-out Plan'!$O$81</f>
        <v>0</v>
      </c>
      <c r="EO1022" s="9" t="n">
        <f aca="false">MIN((EO769+EO770)*$C$5,$F$16)*'⑫ Roll-out Plan'!$O$81</f>
        <v>0</v>
      </c>
      <c r="EP1022" s="9" t="n">
        <f aca="false">MIN((EP769+EP770)*$C$5,$F$16)*'⑫ Roll-out Plan'!$O$81</f>
        <v>0</v>
      </c>
      <c r="EQ1022" s="9" t="n">
        <f aca="false">MIN((EQ769+EQ770)*$C$5,$F$16)*'⑫ Roll-out Plan'!$O$81</f>
        <v>0</v>
      </c>
      <c r="ER1022" s="9" t="n">
        <f aca="false">MIN((ER769+ER770)*$C$5,$F$16)*'⑫ Roll-out Plan'!$O$81</f>
        <v>0</v>
      </c>
      <c r="ES1022" s="9" t="n">
        <f aca="false">MIN((ES769+ES770)*$C$5,$F$16)*'⑫ Roll-out Plan'!$O$81</f>
        <v>0</v>
      </c>
      <c r="ET1022" s="9" t="n">
        <f aca="false">MIN((ET769+ET770)*$C$5,$F$16)*'⑫ Roll-out Plan'!$O$81</f>
        <v>0</v>
      </c>
      <c r="EU1022" s="9" t="n">
        <f aca="false">MIN((EU769+EU770)*$C$5,$F$16)*'⑫ Roll-out Plan'!$O$81</f>
        <v>0</v>
      </c>
      <c r="EV1022" s="9" t="n">
        <f aca="false">MIN((EV769+EV770)*$C$5,$F$16)*'⑫ Roll-out Plan'!$O$81</f>
        <v>0</v>
      </c>
      <c r="EW1022" s="9" t="n">
        <f aca="false">MIN((EW769+EW770)*$C$5,$F$16)*'⑫ Roll-out Plan'!$O$81</f>
        <v>0</v>
      </c>
      <c r="EX1022" s="9" t="n">
        <f aca="false">MIN((EX769+EX770)*$C$5,$F$16)*'⑫ Roll-out Plan'!$O$81</f>
        <v>0</v>
      </c>
      <c r="EY1022" s="9" t="n">
        <f aca="false">MIN((EY769+EY770)*$C$5,$F$16)*'⑫ Roll-out Plan'!$O$81</f>
        <v>0</v>
      </c>
      <c r="EZ1022" s="9" t="n">
        <f aca="false">MIN((EZ769+EZ770)*$C$5,$F$16)*'⑫ Roll-out Plan'!$O$81</f>
        <v>0</v>
      </c>
      <c r="FA1022" s="9" t="n">
        <f aca="false">MIN((FA769+FA770)*$C$5,$F$16)*'⑫ Roll-out Plan'!$O$81</f>
        <v>3343.12</v>
      </c>
      <c r="FB1022" s="9" t="n">
        <f aca="false">MIN((FB769+FB770)*$C$5,$F$16)*'⑫ Roll-out Plan'!$O$81</f>
        <v>3471.31136</v>
      </c>
      <c r="FC1022" s="9" t="n">
        <f aca="false">MIN((FC769+FC770)*$C$5,$F$16)*'⑫ Roll-out Plan'!$O$81</f>
        <v>2938.441088</v>
      </c>
      <c r="FD1022" s="9" t="n">
        <f aca="false">MIN((FD769+FD770)*$C$5,$F$16)*'⑫ Roll-out Plan'!$O$81</f>
        <v>4415.6897312</v>
      </c>
      <c r="FE1022" s="9" t="n">
        <f aca="false">MIN((FE769+FE770)*$C$5,$F$16)*'⑫ Roll-out Plan'!$O$81</f>
        <v>4864.7145536</v>
      </c>
      <c r="FF1022" s="9" t="n">
        <f aca="false">MIN((FF769+FF770)*$C$5,$F$16)*'⑫ Roll-out Plan'!$O$81</f>
        <v>4397.5446592</v>
      </c>
      <c r="FG1022" s="9" t="n">
        <f aca="false">MIN((FG769+FG770)*$C$5,$F$16)*'⑫ Roll-out Plan'!$O$81</f>
        <v>6559.3121088</v>
      </c>
      <c r="FH1022" s="9" t="n">
        <f aca="false">MIN((FH769+FH770)*$C$5,$F$16)*'⑫ Roll-out Plan'!$O$81</f>
        <v>7232.1415232</v>
      </c>
      <c r="FI1022" s="9" t="n">
        <f aca="false">MIN((FI769+FI770)*$C$5,$F$16)*'⑫ Roll-out Plan'!$O$81</f>
        <v>6978.0459584</v>
      </c>
      <c r="FJ1022" s="9" t="n">
        <f aca="false">MIN((FJ769+FJ770)*$C$5,$F$16)*'⑫ Roll-out Plan'!$O$81</f>
        <v>6251.6344</v>
      </c>
      <c r="FK1022" s="9" t="n">
        <f aca="false">MIN((FK769+FK770)*$C$5,$F$16)*'⑫ Roll-out Plan'!$O$81</f>
        <v>6994.2312704</v>
      </c>
      <c r="FL1022" s="9" t="n">
        <f aca="false">MIN((FL769+FL770)*$C$5,$F$16)*'⑫ Roll-out Plan'!$O$81</f>
        <v>11931.295552</v>
      </c>
      <c r="FM1022" s="9" t="n">
        <f aca="false">MIN((FM769+FM770)*$C$5,$F$16)*'⑫ Roll-out Plan'!$O$81</f>
        <v>11362.042912</v>
      </c>
      <c r="FN1022" s="9" t="n">
        <f aca="false">MIN((FN769+FN770)*$C$5,$F$16)*'⑫ Roll-out Plan'!$O$81</f>
        <v>10396.1486816</v>
      </c>
      <c r="FO1022" s="9" t="n">
        <f aca="false">MIN((FO769+FO770)*$C$5,$F$16)*'⑫ Roll-out Plan'!$O$81</f>
        <v>8302.8068288</v>
      </c>
      <c r="FP1022" s="9" t="n">
        <f aca="false">MIN((FP769+FP770)*$C$5,$F$16)*'⑫ Roll-out Plan'!$O$81</f>
        <v>13004.944304</v>
      </c>
    </row>
    <row r="1023" customFormat="false" ht="15" hidden="false" customHeight="false" outlineLevel="0" collapsed="false">
      <c r="B1023" s="9" t="s">
        <v>950</v>
      </c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121" t="n">
        <f aca="false">MIN((AC779+AC780)*$C$5,$F$14)*'⑫ Roll-out Plan'!$O$82</f>
        <v>0</v>
      </c>
      <c r="AD1023" s="9" t="n">
        <f aca="false">MIN((AD779+AD780)*$C$5,$F$14)*'⑫ Roll-out Plan'!$O$82</f>
        <v>0</v>
      </c>
      <c r="AE1023" s="9" t="n">
        <f aca="false">MIN((AE779+AE780)*$C$5,$F$14)*'⑫ Roll-out Plan'!$O$82</f>
        <v>0</v>
      </c>
      <c r="AF1023" s="9" t="n">
        <f aca="false">MIN((AF779+AF780)*$C$5,$F$14)*'⑫ Roll-out Plan'!$O$82</f>
        <v>0</v>
      </c>
      <c r="AG1023" s="9" t="n">
        <f aca="false">MIN((AG779+AG780)*$C$5,$F$14)*'⑫ Roll-out Plan'!$O$82</f>
        <v>0</v>
      </c>
      <c r="AH1023" s="9" t="n">
        <f aca="false">MIN((AH779+AH780)*$C$5,$F$14)*'⑫ Roll-out Plan'!$O$82</f>
        <v>0</v>
      </c>
      <c r="AI1023" s="9" t="n">
        <f aca="false">MIN((AI779+AI780)*$C$5,$F$14)*'⑫ Roll-out Plan'!$O$82</f>
        <v>0</v>
      </c>
      <c r="AJ1023" s="9" t="n">
        <f aca="false">MIN((AJ779+AJ780)*$C$5,$F$14)*'⑫ Roll-out Plan'!$O$82</f>
        <v>0</v>
      </c>
      <c r="AK1023" s="9" t="n">
        <f aca="false">MIN((AK779+AK780)*$C$5,$F$14)*'⑫ Roll-out Plan'!$O$82</f>
        <v>0</v>
      </c>
      <c r="AL1023" s="9" t="n">
        <f aca="false">MIN((AL779+AL780)*$C$5,$F$14)*'⑫ Roll-out Plan'!$O$82</f>
        <v>0</v>
      </c>
      <c r="AM1023" s="9" t="n">
        <f aca="false">MIN((AM779+AM780)*$C$5,$F$14)*'⑫ Roll-out Plan'!$O$82</f>
        <v>0</v>
      </c>
      <c r="AN1023" s="9" t="n">
        <f aca="false">MIN((AN779+AN780)*$C$5,$F$14)*'⑫ Roll-out Plan'!$O$82</f>
        <v>0</v>
      </c>
      <c r="AO1023" s="9" t="n">
        <f aca="false">MIN((AO779+AO780)*$C$5,$F$14)*'⑫ Roll-out Plan'!$O$82</f>
        <v>0</v>
      </c>
      <c r="AP1023" s="9" t="n">
        <f aca="false">MIN((AP779+AP780)*$C$5,$F$14)*'⑫ Roll-out Plan'!$O$82</f>
        <v>0</v>
      </c>
      <c r="AQ1023" s="9" t="n">
        <f aca="false">MIN((AQ779+AQ780)*$C$5,$F$14)*'⑫ Roll-out Plan'!$O$82</f>
        <v>0</v>
      </c>
      <c r="AR1023" s="9" t="n">
        <f aca="false">MIN((AR779+AR780)*$C$5,$F$14)*'⑫ Roll-out Plan'!$O$82</f>
        <v>0</v>
      </c>
      <c r="AS1023" s="9" t="n">
        <f aca="false">MIN((AS779+AS780)*$C$5,$F$14)*'⑫ Roll-out Plan'!$O$82</f>
        <v>0</v>
      </c>
      <c r="AT1023" s="9" t="n">
        <f aca="false">MIN((AT779+AT780)*$C$5,$F$14)*'⑫ Roll-out Plan'!$O$82</f>
        <v>0</v>
      </c>
      <c r="AU1023" s="9" t="n">
        <f aca="false">MIN((AU779+AU780)*$C$5,$F$14)*'⑫ Roll-out Plan'!$O$82</f>
        <v>0</v>
      </c>
      <c r="AV1023" s="9" t="n">
        <f aca="false">MIN((AV779+AV780)*$C$5,$F$14)*'⑫ Roll-out Plan'!$O$82</f>
        <v>0</v>
      </c>
      <c r="AW1023" s="9" t="n">
        <f aca="false">MIN((AW779+AW780)*$C$5,$F$14)*'⑫ Roll-out Plan'!$O$82</f>
        <v>0</v>
      </c>
      <c r="AX1023" s="9" t="n">
        <f aca="false">MIN((AX779+AX780)*$C$5,$F$14)*'⑫ Roll-out Plan'!$O$82</f>
        <v>0</v>
      </c>
      <c r="AY1023" s="9" t="n">
        <f aca="false">MIN((AY779+AY780)*$C$5,$F$14)*'⑫ Roll-out Plan'!$O$82</f>
        <v>0</v>
      </c>
      <c r="AZ1023" s="9" t="n">
        <f aca="false">MIN((AZ779+AZ780)*$C$5,$F$14)*'⑫ Roll-out Plan'!$O$82</f>
        <v>0</v>
      </c>
      <c r="BA1023" s="9" t="n">
        <f aca="false">MIN((BA779+BA780)*$C$5,$F$14)*'⑫ Roll-out Plan'!$O$82</f>
        <v>0</v>
      </c>
      <c r="BB1023" s="9" t="n">
        <f aca="false">MIN((BB779+BB780)*$C$5,$F$14)*'⑫ Roll-out Plan'!$O$82</f>
        <v>0</v>
      </c>
      <c r="BC1023" s="9" t="n">
        <f aca="false">MIN((BC779+BC780)*$C$5,$F$14)*'⑫ Roll-out Plan'!$O$82</f>
        <v>0</v>
      </c>
      <c r="BD1023" s="9" t="n">
        <f aca="false">MIN((BD779+BD780)*$C$5,$F$14)*'⑫ Roll-out Plan'!$O$82</f>
        <v>0</v>
      </c>
      <c r="BE1023" s="9" t="n">
        <f aca="false">MIN((BE779+BE780)*$C$5,$F$14)*'⑫ Roll-out Plan'!$O$82</f>
        <v>0</v>
      </c>
      <c r="BF1023" s="9" t="n">
        <f aca="false">MIN((BF779+BF780)*$C$5,$F$14)*'⑫ Roll-out Plan'!$O$82</f>
        <v>0</v>
      </c>
      <c r="BG1023" s="9" t="n">
        <f aca="false">MIN((BG779+BG780)*$C$5,$F$14)*'⑫ Roll-out Plan'!$O$82</f>
        <v>0</v>
      </c>
      <c r="BH1023" s="9" t="n">
        <f aca="false">MIN((BH779+BH780)*$C$5,$F$14)*'⑫ Roll-out Plan'!$O$82</f>
        <v>0</v>
      </c>
      <c r="BI1023" s="9" t="n">
        <f aca="false">MIN((BI779+BI780)*$C$5,$F$14)*'⑫ Roll-out Plan'!$O$82</f>
        <v>0</v>
      </c>
      <c r="BJ1023" s="9" t="n">
        <f aca="false">MIN((BJ779+BJ780)*$C$5,$F$14)*'⑫ Roll-out Plan'!$O$82</f>
        <v>0</v>
      </c>
      <c r="BK1023" s="9" t="n">
        <f aca="false">MIN((BK779+BK780)*$C$5,$F$14)*'⑫ Roll-out Plan'!$O$82</f>
        <v>0</v>
      </c>
      <c r="BL1023" s="9" t="n">
        <f aca="false">MIN((BL779+BL780)*$C$5,$F$14)*'⑫ Roll-out Plan'!$O$82</f>
        <v>0</v>
      </c>
      <c r="BM1023" s="9" t="n">
        <f aca="false">MIN((BM779+BM780)*$C$5,$F$14)*'⑫ Roll-out Plan'!$O$82</f>
        <v>0</v>
      </c>
      <c r="BN1023" s="9" t="n">
        <f aca="false">MIN((BN779+BN780)*$C$5,$F$14)*'⑫ Roll-out Plan'!$O$82</f>
        <v>0</v>
      </c>
      <c r="BO1023" s="9" t="n">
        <f aca="false">MIN((BO779+BO780)*$C$5,$F$14)*'⑫ Roll-out Plan'!$O$82</f>
        <v>0</v>
      </c>
      <c r="BP1023" s="9" t="n">
        <f aca="false">MIN((BP779+BP780)*$C$5,$F$14)*'⑫ Roll-out Plan'!$O$82</f>
        <v>0</v>
      </c>
      <c r="BQ1023" s="9" t="n">
        <f aca="false">MIN((BQ779+BQ780)*$C$5,$F$14)*'⑫ Roll-out Plan'!$O$82</f>
        <v>0</v>
      </c>
      <c r="BR1023" s="9" t="n">
        <f aca="false">MIN((BR779+BR780)*$C$5,$F$14)*'⑫ Roll-out Plan'!$O$82</f>
        <v>0</v>
      </c>
      <c r="BS1023" s="9" t="n">
        <f aca="false">MIN((BS779+BS780)*$C$5,$F$14)*'⑫ Roll-out Plan'!$O$82</f>
        <v>0</v>
      </c>
      <c r="BT1023" s="9" t="n">
        <f aca="false">MIN((BT779+BT780)*$C$5,$F$14)*'⑫ Roll-out Plan'!$O$82</f>
        <v>0</v>
      </c>
      <c r="BU1023" s="9" t="n">
        <f aca="false">MIN((BU779+BU780)*$C$5,$F$14)*'⑫ Roll-out Plan'!$O$82</f>
        <v>0</v>
      </c>
      <c r="BV1023" s="9" t="n">
        <f aca="false">MIN((BV779+BV780)*$C$5,$F$14)*'⑫ Roll-out Plan'!$O$82</f>
        <v>0</v>
      </c>
      <c r="BW1023" s="9" t="n">
        <f aca="false">MIN((BW779+BW780)*$C$5,$F$14)*'⑫ Roll-out Plan'!$O$82</f>
        <v>0</v>
      </c>
      <c r="BX1023" s="9" t="n">
        <f aca="false">MIN((BX779+BX780)*$C$5,$F$14)*'⑫ Roll-out Plan'!$O$82</f>
        <v>0</v>
      </c>
      <c r="BY1023" s="9" t="n">
        <f aca="false">MIN((BY779+BY780)*$C$5,$F$14)*'⑫ Roll-out Plan'!$O$82</f>
        <v>0</v>
      </c>
      <c r="BZ1023" s="9" t="n">
        <f aca="false">MIN((BZ779+BZ780)*$C$5,$F$14)*'⑫ Roll-out Plan'!$O$82</f>
        <v>0</v>
      </c>
      <c r="CA1023" s="9" t="n">
        <f aca="false">MIN((CA779+CA780)*$C$5,$F$14)*'⑫ Roll-out Plan'!$O$82</f>
        <v>0</v>
      </c>
      <c r="CB1023" s="9" t="n">
        <f aca="false">MIN((CB779+CB780)*$C$5,$F$14)*'⑫ Roll-out Plan'!$O$82</f>
        <v>0</v>
      </c>
      <c r="CC1023" s="9" t="n">
        <f aca="false">MIN((CC779+CC780)*$C$5,$F$14)*'⑫ Roll-out Plan'!$O$82</f>
        <v>0</v>
      </c>
      <c r="CD1023" s="9" t="n">
        <f aca="false">MIN((CD779+CD780)*$C$5,$F$14)*'⑫ Roll-out Plan'!$O$82</f>
        <v>0</v>
      </c>
      <c r="CE1023" s="9" t="n">
        <f aca="false">MIN((CE779+CE780)*$C$5,$F$14)*'⑫ Roll-out Plan'!$O$82</f>
        <v>0</v>
      </c>
      <c r="CF1023" s="9" t="n">
        <f aca="false">MIN((CF779+CF780)*$C$5,$F$14)*'⑫ Roll-out Plan'!$O$82</f>
        <v>0</v>
      </c>
      <c r="CG1023" s="9" t="n">
        <f aca="false">MIN((CG779+CG780)*$C$5,$F$14)*'⑫ Roll-out Plan'!$O$82</f>
        <v>0</v>
      </c>
      <c r="CH1023" s="9" t="n">
        <f aca="false">MIN((CH779+CH780)*$C$5,$F$14)*'⑫ Roll-out Plan'!$O$82</f>
        <v>0</v>
      </c>
      <c r="CI1023" s="9" t="n">
        <f aca="false">MIN((CI779+CI780)*$C$5,$F$14)*'⑫ Roll-out Plan'!$O$82</f>
        <v>0</v>
      </c>
      <c r="CJ1023" s="9" t="n">
        <f aca="false">MIN((CJ779+CJ780)*$C$5,$F$14)*'⑫ Roll-out Plan'!$O$82</f>
        <v>0</v>
      </c>
      <c r="CK1023" s="9" t="n">
        <f aca="false">MIN((CK779+CK780)*$C$5,$F$14)*'⑫ Roll-out Plan'!$O$82</f>
        <v>0</v>
      </c>
      <c r="CL1023" s="9" t="n">
        <f aca="false">MIN((CL779+CL780)*$C$5,$F$14)*'⑫ Roll-out Plan'!$O$82</f>
        <v>0</v>
      </c>
      <c r="CM1023" s="9" t="n">
        <f aca="false">MIN((CM779+CM780)*$C$5,$F$14)*'⑫ Roll-out Plan'!$O$82</f>
        <v>0</v>
      </c>
      <c r="CN1023" s="9" t="n">
        <f aca="false">MIN((CN779+CN780)*$C$5,$F$14)*'⑫ Roll-out Plan'!$O$82</f>
        <v>0</v>
      </c>
      <c r="CO1023" s="9" t="n">
        <f aca="false">MIN((CO779+CO780)*$C$5,$F$14)*'⑫ Roll-out Plan'!$O$82</f>
        <v>0</v>
      </c>
      <c r="CP1023" s="9" t="n">
        <f aca="false">MIN((CP779+CP780)*$C$5,$F$14)*'⑫ Roll-out Plan'!$O$82</f>
        <v>0</v>
      </c>
      <c r="CQ1023" s="9" t="n">
        <f aca="false">MIN((CQ779+CQ780)*$C$5,$F$14)*'⑫ Roll-out Plan'!$O$82</f>
        <v>0</v>
      </c>
      <c r="CR1023" s="9" t="n">
        <f aca="false">MIN((CR779+CR780)*$C$5,$F$14)*'⑫ Roll-out Plan'!$O$82</f>
        <v>0</v>
      </c>
      <c r="CS1023" s="9" t="n">
        <f aca="false">MIN((CS779+CS780)*$C$5,$F$14)*'⑫ Roll-out Plan'!$O$82</f>
        <v>0</v>
      </c>
      <c r="CT1023" s="9" t="n">
        <f aca="false">MIN((CT779+CT780)*$C$5,$F$14)*'⑫ Roll-out Plan'!$O$82</f>
        <v>0</v>
      </c>
      <c r="CU1023" s="9" t="n">
        <f aca="false">MIN((CU779+CU780)*$C$5,$F$14)*'⑫ Roll-out Plan'!$O$82</f>
        <v>0</v>
      </c>
      <c r="CV1023" s="9" t="n">
        <f aca="false">MIN((CV779+CV780)*$C$5,$F$14)*'⑫ Roll-out Plan'!$O$82</f>
        <v>0</v>
      </c>
      <c r="CW1023" s="9" t="n">
        <f aca="false">MIN((CW779+CW780)*$C$5,$F$14)*'⑫ Roll-out Plan'!$O$82</f>
        <v>0</v>
      </c>
      <c r="CX1023" s="9" t="n">
        <f aca="false">MIN((CX779+CX780)*$C$5,$F$14)*'⑫ Roll-out Plan'!$O$82</f>
        <v>0</v>
      </c>
      <c r="CY1023" s="9" t="n">
        <f aca="false">MIN((CY779+CY780)*$C$5,$F$14)*'⑫ Roll-out Plan'!$O$82</f>
        <v>0</v>
      </c>
      <c r="CZ1023" s="9" t="n">
        <f aca="false">MIN((CZ779+CZ780)*$C$5,$F$14)*'⑫ Roll-out Plan'!$O$82</f>
        <v>0</v>
      </c>
      <c r="DA1023" s="9" t="n">
        <f aca="false">MIN((DA779+DA780)*$C$5,$F$14)*'⑫ Roll-out Plan'!$O$82</f>
        <v>0</v>
      </c>
      <c r="DB1023" s="9" t="n">
        <f aca="false">MIN((DB779+DB780)*$C$5,$F$14)*'⑫ Roll-out Plan'!$O$82</f>
        <v>0</v>
      </c>
      <c r="DC1023" s="9" t="n">
        <f aca="false">MIN((DC779+DC780)*$C$5,$F$14)*'⑫ Roll-out Plan'!$O$82</f>
        <v>0</v>
      </c>
      <c r="DD1023" s="9" t="n">
        <f aca="false">MIN((DD779+DD780)*$C$5,$F$14)*'⑫ Roll-out Plan'!$O$82</f>
        <v>0</v>
      </c>
      <c r="DE1023" s="9" t="n">
        <f aca="false">MIN((DE779+DE780)*$C$5,$F$14)*'⑫ Roll-out Plan'!$O$82</f>
        <v>0</v>
      </c>
      <c r="DF1023" s="9" t="n">
        <f aca="false">MIN((DF779+DF780)*$C$5,$F$14)*'⑫ Roll-out Plan'!$O$82</f>
        <v>0</v>
      </c>
      <c r="DG1023" s="9" t="n">
        <f aca="false">MIN((DG779+DG780)*$C$5,$F$14)*'⑫ Roll-out Plan'!$O$82</f>
        <v>0</v>
      </c>
      <c r="DH1023" s="9" t="n">
        <f aca="false">MIN((DH779+DH780)*$C$5,$F$14)*'⑫ Roll-out Plan'!$O$82</f>
        <v>0</v>
      </c>
      <c r="DI1023" s="9" t="n">
        <f aca="false">MIN((DI779+DI780)*$C$5,$F$14)*'⑫ Roll-out Plan'!$O$82</f>
        <v>0</v>
      </c>
      <c r="DJ1023" s="9" t="n">
        <f aca="false">MIN((DJ779+DJ780)*$C$5,$F$14)*'⑫ Roll-out Plan'!$O$82</f>
        <v>0</v>
      </c>
      <c r="DK1023" s="9" t="n">
        <f aca="false">MIN((DK779+DK780)*$C$5,$F$14)*'⑫ Roll-out Plan'!$O$82</f>
        <v>0</v>
      </c>
      <c r="DL1023" s="9" t="n">
        <f aca="false">MIN((DL779+DL780)*$C$5,$F$14)*'⑫ Roll-out Plan'!$O$82</f>
        <v>0</v>
      </c>
      <c r="DM1023" s="9" t="n">
        <f aca="false">MIN((DM779+DM780)*$C$5,$F$14)*'⑫ Roll-out Plan'!$O$82</f>
        <v>0</v>
      </c>
      <c r="DN1023" s="9" t="n">
        <f aca="false">MIN((DN779+DN780)*$C$5,$F$14)*'⑫ Roll-out Plan'!$O$82</f>
        <v>0</v>
      </c>
      <c r="DO1023" s="9" t="n">
        <f aca="false">MIN((DO779+DO780)*$C$5,$F$14)*'⑫ Roll-out Plan'!$O$82</f>
        <v>0</v>
      </c>
      <c r="DP1023" s="9" t="n">
        <f aca="false">MIN((DP779+DP780)*$C$5,$F$14)*'⑫ Roll-out Plan'!$O$82</f>
        <v>0</v>
      </c>
      <c r="DQ1023" s="9" t="n">
        <f aca="false">MIN((DQ779+DQ780)*$C$5,$F$14)*'⑫ Roll-out Plan'!$O$82</f>
        <v>0</v>
      </c>
      <c r="DR1023" s="9" t="n">
        <f aca="false">MIN((DR779+DR780)*$C$5,$F$14)*'⑫ Roll-out Plan'!$O$82</f>
        <v>0</v>
      </c>
      <c r="DS1023" s="9" t="n">
        <f aca="false">MIN((DS779+DS780)*$C$5,$F$14)*'⑫ Roll-out Plan'!$O$82</f>
        <v>0</v>
      </c>
      <c r="DT1023" s="9" t="n">
        <f aca="false">MIN((DT779+DT780)*$C$5,$F$14)*'⑫ Roll-out Plan'!$O$82</f>
        <v>0</v>
      </c>
      <c r="DU1023" s="9" t="n">
        <f aca="false">MIN((DU779+DU780)*$C$5,$F$14)*'⑫ Roll-out Plan'!$O$82</f>
        <v>0</v>
      </c>
      <c r="DV1023" s="9" t="n">
        <f aca="false">MIN((DV779+DV780)*$C$5,$F$14)*'⑫ Roll-out Plan'!$O$82</f>
        <v>0</v>
      </c>
      <c r="DW1023" s="9" t="n">
        <f aca="false">MIN((DW779+DW780)*$C$5,$F$14)*'⑫ Roll-out Plan'!$O$82</f>
        <v>0</v>
      </c>
      <c r="DX1023" s="9" t="n">
        <f aca="false">MIN((DX779+DX780)*$C$5,$F$14)*'⑫ Roll-out Plan'!$O$82</f>
        <v>0</v>
      </c>
      <c r="DY1023" s="9" t="n">
        <f aca="false">MIN((DY779+DY780)*$C$5,$F$14)*'⑫ Roll-out Plan'!$O$82</f>
        <v>0</v>
      </c>
      <c r="DZ1023" s="9" t="n">
        <f aca="false">MIN((DZ779+DZ780)*$C$5,$F$14)*'⑫ Roll-out Plan'!$O$82</f>
        <v>0</v>
      </c>
      <c r="EA1023" s="9" t="n">
        <f aca="false">MIN((EA779+EA780)*$C$5,$F$14)*'⑫ Roll-out Plan'!$O$82</f>
        <v>0</v>
      </c>
      <c r="EB1023" s="9" t="n">
        <f aca="false">MIN((EB779+EB780)*$C$5,$F$14)*'⑫ Roll-out Plan'!$O$82</f>
        <v>0</v>
      </c>
      <c r="EC1023" s="9" t="n">
        <f aca="false">MIN((EC779+EC780)*$C$5,$F$14)*'⑫ Roll-out Plan'!$O$82</f>
        <v>0</v>
      </c>
      <c r="ED1023" s="9" t="n">
        <f aca="false">MIN((ED779+ED780)*$C$5,$F$14)*'⑫ Roll-out Plan'!$O$82</f>
        <v>0</v>
      </c>
      <c r="EE1023" s="9" t="n">
        <f aca="false">MIN((EE779+EE780)*$C$5,$F$14)*'⑫ Roll-out Plan'!$O$82</f>
        <v>0</v>
      </c>
      <c r="EF1023" s="9" t="n">
        <f aca="false">MIN((EF779+EF780)*$C$5,$F$14)*'⑫ Roll-out Plan'!$O$82</f>
        <v>0</v>
      </c>
      <c r="EG1023" s="9" t="n">
        <f aca="false">MIN((EG779+EG780)*$C$5,$F$14)*'⑫ Roll-out Plan'!$O$82</f>
        <v>0</v>
      </c>
      <c r="EH1023" s="9" t="n">
        <f aca="false">MIN((EH779+EH780)*$C$5,$F$14)*'⑫ Roll-out Plan'!$O$82</f>
        <v>0</v>
      </c>
      <c r="EI1023" s="9" t="n">
        <f aca="false">MIN((EI779+EI780)*$C$5,$F$14)*'⑫ Roll-out Plan'!$O$82</f>
        <v>0</v>
      </c>
      <c r="EJ1023" s="9" t="n">
        <f aca="false">MIN((EJ779+EJ780)*$C$5,$F$14)*'⑫ Roll-out Plan'!$O$82</f>
        <v>0</v>
      </c>
      <c r="EK1023" s="9" t="n">
        <f aca="false">MIN((EK779+EK780)*$C$5,$F$14)*'⑫ Roll-out Plan'!$O$82</f>
        <v>0</v>
      </c>
      <c r="EL1023" s="9" t="n">
        <f aca="false">MIN((EL779+EL780)*$C$5,$F$14)*'⑫ Roll-out Plan'!$O$82</f>
        <v>0</v>
      </c>
      <c r="EM1023" s="9" t="n">
        <f aca="false">MIN((EM779+EM780)*$C$5,$F$14)*'⑫ Roll-out Plan'!$O$82</f>
        <v>0</v>
      </c>
      <c r="EN1023" s="9" t="n">
        <f aca="false">MIN((EN779+EN780)*$C$5,$F$14)*'⑫ Roll-out Plan'!$O$82</f>
        <v>0</v>
      </c>
      <c r="EO1023" s="9" t="n">
        <f aca="false">MIN((EO779+EO780)*$C$5,$F$14)*'⑫ Roll-out Plan'!$O$82</f>
        <v>0</v>
      </c>
      <c r="EP1023" s="9" t="n">
        <f aca="false">MIN((EP779+EP780)*$C$5,$F$14)*'⑫ Roll-out Plan'!$O$82</f>
        <v>0</v>
      </c>
      <c r="EQ1023" s="9" t="n">
        <f aca="false">MIN((EQ779+EQ780)*$C$5,$F$14)*'⑫ Roll-out Plan'!$O$82</f>
        <v>0</v>
      </c>
      <c r="ER1023" s="9" t="n">
        <f aca="false">MIN((ER779+ER780)*$C$5,$F$14)*'⑫ Roll-out Plan'!$O$82</f>
        <v>0</v>
      </c>
      <c r="ES1023" s="9" t="n">
        <f aca="false">MIN((ES779+ES780)*$C$5,$F$14)*'⑫ Roll-out Plan'!$O$82</f>
        <v>0</v>
      </c>
      <c r="ET1023" s="9" t="n">
        <f aca="false">MIN((ET779+ET780)*$C$5,$F$14)*'⑫ Roll-out Plan'!$O$82</f>
        <v>0</v>
      </c>
      <c r="EU1023" s="9" t="n">
        <f aca="false">MIN((EU779+EU780)*$C$5,$F$14)*'⑫ Roll-out Plan'!$O$82</f>
        <v>0</v>
      </c>
      <c r="EV1023" s="9" t="n">
        <f aca="false">MIN((EV779+EV780)*$C$5,$F$14)*'⑫ Roll-out Plan'!$O$82</f>
        <v>0</v>
      </c>
      <c r="EW1023" s="9" t="n">
        <f aca="false">MIN((EW779+EW780)*$C$5,$F$14)*'⑫ Roll-out Plan'!$O$82</f>
        <v>0</v>
      </c>
      <c r="EX1023" s="9" t="n">
        <f aca="false">MIN((EX779+EX780)*$C$5,$F$14)*'⑫ Roll-out Plan'!$O$82</f>
        <v>0</v>
      </c>
      <c r="EY1023" s="9" t="n">
        <f aca="false">MIN((EY779+EY780)*$C$5,$F$14)*'⑫ Roll-out Plan'!$O$82</f>
        <v>0</v>
      </c>
      <c r="EZ1023" s="9" t="n">
        <f aca="false">MIN((EZ779+EZ780)*$C$5,$F$14)*'⑫ Roll-out Plan'!$O$82</f>
        <v>0</v>
      </c>
      <c r="FA1023" s="9" t="n">
        <f aca="false">MIN((FA779+FA780)*$C$5,$F$14)*'⑫ Roll-out Plan'!$O$82</f>
        <v>0</v>
      </c>
      <c r="FB1023" s="9" t="n">
        <f aca="false">MIN((FB779+FB780)*$C$5,$F$14)*'⑫ Roll-out Plan'!$O$82</f>
        <v>5281.92</v>
      </c>
      <c r="FC1023" s="9" t="n">
        <f aca="false">MIN((FC779+FC780)*$C$5,$F$14)*'⑫ Roll-out Plan'!$O$82</f>
        <v>5033.66976</v>
      </c>
      <c r="FD1023" s="9" t="n">
        <f aca="false">MIN((FD779+FD780)*$C$5,$F$14)*'⑫ Roll-out Plan'!$O$82</f>
        <v>7385.180544</v>
      </c>
      <c r="FE1023" s="9" t="n">
        <f aca="false">MIN((FE779+FE780)*$C$5,$F$14)*'⑫ Roll-out Plan'!$O$82</f>
        <v>9078.9338304</v>
      </c>
      <c r="FF1023" s="9" t="n">
        <f aca="false">MIN((FF779+FF780)*$C$5,$F$14)*'⑫ Roll-out Plan'!$O$82</f>
        <v>7401.2639904</v>
      </c>
      <c r="FG1023" s="9" t="n">
        <f aca="false">MIN((FG779+FG780)*$C$5,$F$14)*'⑫ Roll-out Plan'!$O$82</f>
        <v>11070.728256</v>
      </c>
      <c r="FH1023" s="9" t="n">
        <f aca="false">MIN((FH779+FH780)*$C$5,$F$14)*'⑫ Roll-out Plan'!$O$82</f>
        <v>12297.8767296</v>
      </c>
      <c r="FI1023" s="9" t="n">
        <f aca="false">MIN((FI779+FI780)*$C$5,$F$14)*'⑫ Roll-out Plan'!$O$82</f>
        <v>11809.580832</v>
      </c>
      <c r="FJ1023" s="9" t="n">
        <f aca="false">MIN((FJ779+FJ780)*$C$5,$F$14)*'⑫ Roll-out Plan'!$O$82</f>
        <v>11637.3286176</v>
      </c>
      <c r="FK1023" s="9" t="n">
        <f aca="false">MIN((FK779+FK780)*$C$5,$F$14)*'⑫ Roll-out Plan'!$O$82</f>
        <v>12221.130432</v>
      </c>
      <c r="FL1023" s="9" t="n">
        <f aca="false">MIN((FL779+FL780)*$C$5,$F$14)*'⑫ Roll-out Plan'!$O$82</f>
        <v>20999.0564448</v>
      </c>
      <c r="FM1023" s="9" t="n">
        <f aca="false">MIN((FM779+FM780)*$C$5,$F$14)*'⑫ Roll-out Plan'!$O$82</f>
        <v>19959.7066368</v>
      </c>
      <c r="FN1023" s="9" t="n">
        <f aca="false">MIN((FN779+FN780)*$C$5,$F$14)*'⑫ Roll-out Plan'!$O$82</f>
        <v>18281.3941632</v>
      </c>
      <c r="FO1023" s="9" t="n">
        <f aca="false">MIN((FO779+FO780)*$C$5,$F$14)*'⑫ Roll-out Plan'!$O$82</f>
        <v>15502.523232</v>
      </c>
      <c r="FP1023" s="9" t="n">
        <f aca="false">MIN((FP779+FP780)*$C$5,$F$14)*'⑫ Roll-out Plan'!$O$82</f>
        <v>20205.7384704</v>
      </c>
    </row>
    <row r="1024" customFormat="false" ht="15" hidden="false" customHeight="false" outlineLevel="0" collapsed="false">
      <c r="B1024" s="9" t="s">
        <v>951</v>
      </c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121" t="n">
        <f aca="false">MIN((AC789+AC790)*$C$5,$F$15)*'⑫ Roll-out Plan'!$O$83</f>
        <v>0</v>
      </c>
      <c r="AD1024" s="9" t="n">
        <f aca="false">MIN((AD789+AD790)*$C$5,$F$15)*'⑫ Roll-out Plan'!$O$83</f>
        <v>0</v>
      </c>
      <c r="AE1024" s="9" t="n">
        <f aca="false">MIN((AE789+AE790)*$C$5,$F$15)*'⑫ Roll-out Plan'!$O$83</f>
        <v>0</v>
      </c>
      <c r="AF1024" s="9" t="n">
        <f aca="false">MIN((AF789+AF790)*$C$5,$F$15)*'⑫ Roll-out Plan'!$O$83</f>
        <v>0</v>
      </c>
      <c r="AG1024" s="9" t="n">
        <f aca="false">MIN((AG789+AG790)*$C$5,$F$15)*'⑫ Roll-out Plan'!$O$83</f>
        <v>0</v>
      </c>
      <c r="AH1024" s="9" t="n">
        <f aca="false">MIN((AH789+AH790)*$C$5,$F$15)*'⑫ Roll-out Plan'!$O$83</f>
        <v>0</v>
      </c>
      <c r="AI1024" s="9" t="n">
        <f aca="false">MIN((AI789+AI790)*$C$5,$F$15)*'⑫ Roll-out Plan'!$O$83</f>
        <v>0</v>
      </c>
      <c r="AJ1024" s="9" t="n">
        <f aca="false">MIN((AJ789+AJ790)*$C$5,$F$15)*'⑫ Roll-out Plan'!$O$83</f>
        <v>0</v>
      </c>
      <c r="AK1024" s="9" t="n">
        <f aca="false">MIN((AK789+AK790)*$C$5,$F$15)*'⑫ Roll-out Plan'!$O$83</f>
        <v>0</v>
      </c>
      <c r="AL1024" s="9" t="n">
        <f aca="false">MIN((AL789+AL790)*$C$5,$F$15)*'⑫ Roll-out Plan'!$O$83</f>
        <v>0</v>
      </c>
      <c r="AM1024" s="9" t="n">
        <f aca="false">MIN((AM789+AM790)*$C$5,$F$15)*'⑫ Roll-out Plan'!$O$83</f>
        <v>0</v>
      </c>
      <c r="AN1024" s="9" t="n">
        <f aca="false">MIN((AN789+AN790)*$C$5,$F$15)*'⑫ Roll-out Plan'!$O$83</f>
        <v>0</v>
      </c>
      <c r="AO1024" s="9" t="n">
        <f aca="false">MIN((AO789+AO790)*$C$5,$F$15)*'⑫ Roll-out Plan'!$O$83</f>
        <v>0</v>
      </c>
      <c r="AP1024" s="9" t="n">
        <f aca="false">MIN((AP789+AP790)*$C$5,$F$15)*'⑫ Roll-out Plan'!$O$83</f>
        <v>0</v>
      </c>
      <c r="AQ1024" s="9" t="n">
        <f aca="false">MIN((AQ789+AQ790)*$C$5,$F$15)*'⑫ Roll-out Plan'!$O$83</f>
        <v>0</v>
      </c>
      <c r="AR1024" s="9" t="n">
        <f aca="false">MIN((AR789+AR790)*$C$5,$F$15)*'⑫ Roll-out Plan'!$O$83</f>
        <v>0</v>
      </c>
      <c r="AS1024" s="9" t="n">
        <f aca="false">MIN((AS789+AS790)*$C$5,$F$15)*'⑫ Roll-out Plan'!$O$83</f>
        <v>0</v>
      </c>
      <c r="AT1024" s="9" t="n">
        <f aca="false">MIN((AT789+AT790)*$C$5,$F$15)*'⑫ Roll-out Plan'!$O$83</f>
        <v>0</v>
      </c>
      <c r="AU1024" s="9" t="n">
        <f aca="false">MIN((AU789+AU790)*$C$5,$F$15)*'⑫ Roll-out Plan'!$O$83</f>
        <v>0</v>
      </c>
      <c r="AV1024" s="9" t="n">
        <f aca="false">MIN((AV789+AV790)*$C$5,$F$15)*'⑫ Roll-out Plan'!$O$83</f>
        <v>0</v>
      </c>
      <c r="AW1024" s="9" t="n">
        <f aca="false">MIN((AW789+AW790)*$C$5,$F$15)*'⑫ Roll-out Plan'!$O$83</f>
        <v>0</v>
      </c>
      <c r="AX1024" s="9" t="n">
        <f aca="false">MIN((AX789+AX790)*$C$5,$F$15)*'⑫ Roll-out Plan'!$O$83</f>
        <v>0</v>
      </c>
      <c r="AY1024" s="9" t="n">
        <f aca="false">MIN((AY789+AY790)*$C$5,$F$15)*'⑫ Roll-out Plan'!$O$83</f>
        <v>0</v>
      </c>
      <c r="AZ1024" s="9" t="n">
        <f aca="false">MIN((AZ789+AZ790)*$C$5,$F$15)*'⑫ Roll-out Plan'!$O$83</f>
        <v>0</v>
      </c>
      <c r="BA1024" s="9" t="n">
        <f aca="false">MIN((BA789+BA790)*$C$5,$F$15)*'⑫ Roll-out Plan'!$O$83</f>
        <v>0</v>
      </c>
      <c r="BB1024" s="9" t="n">
        <f aca="false">MIN((BB789+BB790)*$C$5,$F$15)*'⑫ Roll-out Plan'!$O$83</f>
        <v>0</v>
      </c>
      <c r="BC1024" s="9" t="n">
        <f aca="false">MIN((BC789+BC790)*$C$5,$F$15)*'⑫ Roll-out Plan'!$O$83</f>
        <v>0</v>
      </c>
      <c r="BD1024" s="9" t="n">
        <f aca="false">MIN((BD789+BD790)*$C$5,$F$15)*'⑫ Roll-out Plan'!$O$83</f>
        <v>0</v>
      </c>
      <c r="BE1024" s="9" t="n">
        <f aca="false">MIN((BE789+BE790)*$C$5,$F$15)*'⑫ Roll-out Plan'!$O$83</f>
        <v>0</v>
      </c>
      <c r="BF1024" s="9" t="n">
        <f aca="false">MIN((BF789+BF790)*$C$5,$F$15)*'⑫ Roll-out Plan'!$O$83</f>
        <v>0</v>
      </c>
      <c r="BG1024" s="9" t="n">
        <f aca="false">MIN((BG789+BG790)*$C$5,$F$15)*'⑫ Roll-out Plan'!$O$83</f>
        <v>0</v>
      </c>
      <c r="BH1024" s="9" t="n">
        <f aca="false">MIN((BH789+BH790)*$C$5,$F$15)*'⑫ Roll-out Plan'!$O$83</f>
        <v>0</v>
      </c>
      <c r="BI1024" s="9" t="n">
        <f aca="false">MIN((BI789+BI790)*$C$5,$F$15)*'⑫ Roll-out Plan'!$O$83</f>
        <v>0</v>
      </c>
      <c r="BJ1024" s="9" t="n">
        <f aca="false">MIN((BJ789+BJ790)*$C$5,$F$15)*'⑫ Roll-out Plan'!$O$83</f>
        <v>0</v>
      </c>
      <c r="BK1024" s="9" t="n">
        <f aca="false">MIN((BK789+BK790)*$C$5,$F$15)*'⑫ Roll-out Plan'!$O$83</f>
        <v>0</v>
      </c>
      <c r="BL1024" s="9" t="n">
        <f aca="false">MIN((BL789+BL790)*$C$5,$F$15)*'⑫ Roll-out Plan'!$O$83</f>
        <v>0</v>
      </c>
      <c r="BM1024" s="9" t="n">
        <f aca="false">MIN((BM789+BM790)*$C$5,$F$15)*'⑫ Roll-out Plan'!$O$83</f>
        <v>0</v>
      </c>
      <c r="BN1024" s="9" t="n">
        <f aca="false">MIN((BN789+BN790)*$C$5,$F$15)*'⑫ Roll-out Plan'!$O$83</f>
        <v>0</v>
      </c>
      <c r="BO1024" s="9" t="n">
        <f aca="false">MIN((BO789+BO790)*$C$5,$F$15)*'⑫ Roll-out Plan'!$O$83</f>
        <v>0</v>
      </c>
      <c r="BP1024" s="9" t="n">
        <f aca="false">MIN((BP789+BP790)*$C$5,$F$15)*'⑫ Roll-out Plan'!$O$83</f>
        <v>0</v>
      </c>
      <c r="BQ1024" s="9" t="n">
        <f aca="false">MIN((BQ789+BQ790)*$C$5,$F$15)*'⑫ Roll-out Plan'!$O$83</f>
        <v>0</v>
      </c>
      <c r="BR1024" s="9" t="n">
        <f aca="false">MIN((BR789+BR790)*$C$5,$F$15)*'⑫ Roll-out Plan'!$O$83</f>
        <v>0</v>
      </c>
      <c r="BS1024" s="9" t="n">
        <f aca="false">MIN((BS789+BS790)*$C$5,$F$15)*'⑫ Roll-out Plan'!$O$83</f>
        <v>0</v>
      </c>
      <c r="BT1024" s="9" t="n">
        <f aca="false">MIN((BT789+BT790)*$C$5,$F$15)*'⑫ Roll-out Plan'!$O$83</f>
        <v>0</v>
      </c>
      <c r="BU1024" s="9" t="n">
        <f aca="false">MIN((BU789+BU790)*$C$5,$F$15)*'⑫ Roll-out Plan'!$O$83</f>
        <v>0</v>
      </c>
      <c r="BV1024" s="9" t="n">
        <f aca="false">MIN((BV789+BV790)*$C$5,$F$15)*'⑫ Roll-out Plan'!$O$83</f>
        <v>0</v>
      </c>
      <c r="BW1024" s="9" t="n">
        <f aca="false">MIN((BW789+BW790)*$C$5,$F$15)*'⑫ Roll-out Plan'!$O$83</f>
        <v>0</v>
      </c>
      <c r="BX1024" s="9" t="n">
        <f aca="false">MIN((BX789+BX790)*$C$5,$F$15)*'⑫ Roll-out Plan'!$O$83</f>
        <v>0</v>
      </c>
      <c r="BY1024" s="9" t="n">
        <f aca="false">MIN((BY789+BY790)*$C$5,$F$15)*'⑫ Roll-out Plan'!$O$83</f>
        <v>0</v>
      </c>
      <c r="BZ1024" s="9" t="n">
        <f aca="false">MIN((BZ789+BZ790)*$C$5,$F$15)*'⑫ Roll-out Plan'!$O$83</f>
        <v>0</v>
      </c>
      <c r="CA1024" s="9" t="n">
        <f aca="false">MIN((CA789+CA790)*$C$5,$F$15)*'⑫ Roll-out Plan'!$O$83</f>
        <v>0</v>
      </c>
      <c r="CB1024" s="9" t="n">
        <f aca="false">MIN((CB789+CB790)*$C$5,$F$15)*'⑫ Roll-out Plan'!$O$83</f>
        <v>0</v>
      </c>
      <c r="CC1024" s="9" t="n">
        <f aca="false">MIN((CC789+CC790)*$C$5,$F$15)*'⑫ Roll-out Plan'!$O$83</f>
        <v>0</v>
      </c>
      <c r="CD1024" s="9" t="n">
        <f aca="false">MIN((CD789+CD790)*$C$5,$F$15)*'⑫ Roll-out Plan'!$O$83</f>
        <v>0</v>
      </c>
      <c r="CE1024" s="9" t="n">
        <f aca="false">MIN((CE789+CE790)*$C$5,$F$15)*'⑫ Roll-out Plan'!$O$83</f>
        <v>0</v>
      </c>
      <c r="CF1024" s="9" t="n">
        <f aca="false">MIN((CF789+CF790)*$C$5,$F$15)*'⑫ Roll-out Plan'!$O$83</f>
        <v>0</v>
      </c>
      <c r="CG1024" s="9" t="n">
        <f aca="false">MIN((CG789+CG790)*$C$5,$F$15)*'⑫ Roll-out Plan'!$O$83</f>
        <v>0</v>
      </c>
      <c r="CH1024" s="9" t="n">
        <f aca="false">MIN((CH789+CH790)*$C$5,$F$15)*'⑫ Roll-out Plan'!$O$83</f>
        <v>0</v>
      </c>
      <c r="CI1024" s="9" t="n">
        <f aca="false">MIN((CI789+CI790)*$C$5,$F$15)*'⑫ Roll-out Plan'!$O$83</f>
        <v>0</v>
      </c>
      <c r="CJ1024" s="9" t="n">
        <f aca="false">MIN((CJ789+CJ790)*$C$5,$F$15)*'⑫ Roll-out Plan'!$O$83</f>
        <v>0</v>
      </c>
      <c r="CK1024" s="9" t="n">
        <f aca="false">MIN((CK789+CK790)*$C$5,$F$15)*'⑫ Roll-out Plan'!$O$83</f>
        <v>0</v>
      </c>
      <c r="CL1024" s="9" t="n">
        <f aca="false">MIN((CL789+CL790)*$C$5,$F$15)*'⑫ Roll-out Plan'!$O$83</f>
        <v>0</v>
      </c>
      <c r="CM1024" s="9" t="n">
        <f aca="false">MIN((CM789+CM790)*$C$5,$F$15)*'⑫ Roll-out Plan'!$O$83</f>
        <v>0</v>
      </c>
      <c r="CN1024" s="9" t="n">
        <f aca="false">MIN((CN789+CN790)*$C$5,$F$15)*'⑫ Roll-out Plan'!$O$83</f>
        <v>0</v>
      </c>
      <c r="CO1024" s="9" t="n">
        <f aca="false">MIN((CO789+CO790)*$C$5,$F$15)*'⑫ Roll-out Plan'!$O$83</f>
        <v>0</v>
      </c>
      <c r="CP1024" s="9" t="n">
        <f aca="false">MIN((CP789+CP790)*$C$5,$F$15)*'⑫ Roll-out Plan'!$O$83</f>
        <v>0</v>
      </c>
      <c r="CQ1024" s="9" t="n">
        <f aca="false">MIN((CQ789+CQ790)*$C$5,$F$15)*'⑫ Roll-out Plan'!$O$83</f>
        <v>0</v>
      </c>
      <c r="CR1024" s="9" t="n">
        <f aca="false">MIN((CR789+CR790)*$C$5,$F$15)*'⑫ Roll-out Plan'!$O$83</f>
        <v>0</v>
      </c>
      <c r="CS1024" s="9" t="n">
        <f aca="false">MIN((CS789+CS790)*$C$5,$F$15)*'⑫ Roll-out Plan'!$O$83</f>
        <v>0</v>
      </c>
      <c r="CT1024" s="9" t="n">
        <f aca="false">MIN((CT789+CT790)*$C$5,$F$15)*'⑫ Roll-out Plan'!$O$83</f>
        <v>0</v>
      </c>
      <c r="CU1024" s="9" t="n">
        <f aca="false">MIN((CU789+CU790)*$C$5,$F$15)*'⑫ Roll-out Plan'!$O$83</f>
        <v>0</v>
      </c>
      <c r="CV1024" s="9" t="n">
        <f aca="false">MIN((CV789+CV790)*$C$5,$F$15)*'⑫ Roll-out Plan'!$O$83</f>
        <v>0</v>
      </c>
      <c r="CW1024" s="9" t="n">
        <f aca="false">MIN((CW789+CW790)*$C$5,$F$15)*'⑫ Roll-out Plan'!$O$83</f>
        <v>0</v>
      </c>
      <c r="CX1024" s="9" t="n">
        <f aca="false">MIN((CX789+CX790)*$C$5,$F$15)*'⑫ Roll-out Plan'!$O$83</f>
        <v>0</v>
      </c>
      <c r="CY1024" s="9" t="n">
        <f aca="false">MIN((CY789+CY790)*$C$5,$F$15)*'⑫ Roll-out Plan'!$O$83</f>
        <v>0</v>
      </c>
      <c r="CZ1024" s="9" t="n">
        <f aca="false">MIN((CZ789+CZ790)*$C$5,$F$15)*'⑫ Roll-out Plan'!$O$83</f>
        <v>0</v>
      </c>
      <c r="DA1024" s="9" t="n">
        <f aca="false">MIN((DA789+DA790)*$C$5,$F$15)*'⑫ Roll-out Plan'!$O$83</f>
        <v>0</v>
      </c>
      <c r="DB1024" s="9" t="n">
        <f aca="false">MIN((DB789+DB790)*$C$5,$F$15)*'⑫ Roll-out Plan'!$O$83</f>
        <v>0</v>
      </c>
      <c r="DC1024" s="9" t="n">
        <f aca="false">MIN((DC789+DC790)*$C$5,$F$15)*'⑫ Roll-out Plan'!$O$83</f>
        <v>0</v>
      </c>
      <c r="DD1024" s="9" t="n">
        <f aca="false">MIN((DD789+DD790)*$C$5,$F$15)*'⑫ Roll-out Plan'!$O$83</f>
        <v>0</v>
      </c>
      <c r="DE1024" s="9" t="n">
        <f aca="false">MIN((DE789+DE790)*$C$5,$F$15)*'⑫ Roll-out Plan'!$O$83</f>
        <v>0</v>
      </c>
      <c r="DF1024" s="9" t="n">
        <f aca="false">MIN((DF789+DF790)*$C$5,$F$15)*'⑫ Roll-out Plan'!$O$83</f>
        <v>0</v>
      </c>
      <c r="DG1024" s="9" t="n">
        <f aca="false">MIN((DG789+DG790)*$C$5,$F$15)*'⑫ Roll-out Plan'!$O$83</f>
        <v>0</v>
      </c>
      <c r="DH1024" s="9" t="n">
        <f aca="false">MIN((DH789+DH790)*$C$5,$F$15)*'⑫ Roll-out Plan'!$O$83</f>
        <v>0</v>
      </c>
      <c r="DI1024" s="9" t="n">
        <f aca="false">MIN((DI789+DI790)*$C$5,$F$15)*'⑫ Roll-out Plan'!$O$83</f>
        <v>0</v>
      </c>
      <c r="DJ1024" s="9" t="n">
        <f aca="false">MIN((DJ789+DJ790)*$C$5,$F$15)*'⑫ Roll-out Plan'!$O$83</f>
        <v>0</v>
      </c>
      <c r="DK1024" s="9" t="n">
        <f aca="false">MIN((DK789+DK790)*$C$5,$F$15)*'⑫ Roll-out Plan'!$O$83</f>
        <v>0</v>
      </c>
      <c r="DL1024" s="9" t="n">
        <f aca="false">MIN((DL789+DL790)*$C$5,$F$15)*'⑫ Roll-out Plan'!$O$83</f>
        <v>0</v>
      </c>
      <c r="DM1024" s="9" t="n">
        <f aca="false">MIN((DM789+DM790)*$C$5,$F$15)*'⑫ Roll-out Plan'!$O$83</f>
        <v>0</v>
      </c>
      <c r="DN1024" s="9" t="n">
        <f aca="false">MIN((DN789+DN790)*$C$5,$F$15)*'⑫ Roll-out Plan'!$O$83</f>
        <v>0</v>
      </c>
      <c r="DO1024" s="9" t="n">
        <f aca="false">MIN((DO789+DO790)*$C$5,$F$15)*'⑫ Roll-out Plan'!$O$83</f>
        <v>0</v>
      </c>
      <c r="DP1024" s="9" t="n">
        <f aca="false">MIN((DP789+DP790)*$C$5,$F$15)*'⑫ Roll-out Plan'!$O$83</f>
        <v>0</v>
      </c>
      <c r="DQ1024" s="9" t="n">
        <f aca="false">MIN((DQ789+DQ790)*$C$5,$F$15)*'⑫ Roll-out Plan'!$O$83</f>
        <v>0</v>
      </c>
      <c r="DR1024" s="9" t="n">
        <f aca="false">MIN((DR789+DR790)*$C$5,$F$15)*'⑫ Roll-out Plan'!$O$83</f>
        <v>0</v>
      </c>
      <c r="DS1024" s="9" t="n">
        <f aca="false">MIN((DS789+DS790)*$C$5,$F$15)*'⑫ Roll-out Plan'!$O$83</f>
        <v>0</v>
      </c>
      <c r="DT1024" s="9" t="n">
        <f aca="false">MIN((DT789+DT790)*$C$5,$F$15)*'⑫ Roll-out Plan'!$O$83</f>
        <v>0</v>
      </c>
      <c r="DU1024" s="9" t="n">
        <f aca="false">MIN((DU789+DU790)*$C$5,$F$15)*'⑫ Roll-out Plan'!$O$83</f>
        <v>0</v>
      </c>
      <c r="DV1024" s="9" t="n">
        <f aca="false">MIN((DV789+DV790)*$C$5,$F$15)*'⑫ Roll-out Plan'!$O$83</f>
        <v>0</v>
      </c>
      <c r="DW1024" s="9" t="n">
        <f aca="false">MIN((DW789+DW790)*$C$5,$F$15)*'⑫ Roll-out Plan'!$O$83</f>
        <v>0</v>
      </c>
      <c r="DX1024" s="9" t="n">
        <f aca="false">MIN((DX789+DX790)*$C$5,$F$15)*'⑫ Roll-out Plan'!$O$83</f>
        <v>0</v>
      </c>
      <c r="DY1024" s="9" t="n">
        <f aca="false">MIN((DY789+DY790)*$C$5,$F$15)*'⑫ Roll-out Plan'!$O$83</f>
        <v>0</v>
      </c>
      <c r="DZ1024" s="9" t="n">
        <f aca="false">MIN((DZ789+DZ790)*$C$5,$F$15)*'⑫ Roll-out Plan'!$O$83</f>
        <v>0</v>
      </c>
      <c r="EA1024" s="9" t="n">
        <f aca="false">MIN((EA789+EA790)*$C$5,$F$15)*'⑫ Roll-out Plan'!$O$83</f>
        <v>0</v>
      </c>
      <c r="EB1024" s="9" t="n">
        <f aca="false">MIN((EB789+EB790)*$C$5,$F$15)*'⑫ Roll-out Plan'!$O$83</f>
        <v>0</v>
      </c>
      <c r="EC1024" s="9" t="n">
        <f aca="false">MIN((EC789+EC790)*$C$5,$F$15)*'⑫ Roll-out Plan'!$O$83</f>
        <v>0</v>
      </c>
      <c r="ED1024" s="9" t="n">
        <f aca="false">MIN((ED789+ED790)*$C$5,$F$15)*'⑫ Roll-out Plan'!$O$83</f>
        <v>0</v>
      </c>
      <c r="EE1024" s="9" t="n">
        <f aca="false">MIN((EE789+EE790)*$C$5,$F$15)*'⑫ Roll-out Plan'!$O$83</f>
        <v>0</v>
      </c>
      <c r="EF1024" s="9" t="n">
        <f aca="false">MIN((EF789+EF790)*$C$5,$F$15)*'⑫ Roll-out Plan'!$O$83</f>
        <v>0</v>
      </c>
      <c r="EG1024" s="9" t="n">
        <f aca="false">MIN((EG789+EG790)*$C$5,$F$15)*'⑫ Roll-out Plan'!$O$83</f>
        <v>0</v>
      </c>
      <c r="EH1024" s="9" t="n">
        <f aca="false">MIN((EH789+EH790)*$C$5,$F$15)*'⑫ Roll-out Plan'!$O$83</f>
        <v>0</v>
      </c>
      <c r="EI1024" s="9" t="n">
        <f aca="false">MIN((EI789+EI790)*$C$5,$F$15)*'⑫ Roll-out Plan'!$O$83</f>
        <v>0</v>
      </c>
      <c r="EJ1024" s="9" t="n">
        <f aca="false">MIN((EJ789+EJ790)*$C$5,$F$15)*'⑫ Roll-out Plan'!$O$83</f>
        <v>0</v>
      </c>
      <c r="EK1024" s="9" t="n">
        <f aca="false">MIN((EK789+EK790)*$C$5,$F$15)*'⑫ Roll-out Plan'!$O$83</f>
        <v>0</v>
      </c>
      <c r="EL1024" s="9" t="n">
        <f aca="false">MIN((EL789+EL790)*$C$5,$F$15)*'⑫ Roll-out Plan'!$O$83</f>
        <v>0</v>
      </c>
      <c r="EM1024" s="9" t="n">
        <f aca="false">MIN((EM789+EM790)*$C$5,$F$15)*'⑫ Roll-out Plan'!$O$83</f>
        <v>0</v>
      </c>
      <c r="EN1024" s="9" t="n">
        <f aca="false">MIN((EN789+EN790)*$C$5,$F$15)*'⑫ Roll-out Plan'!$O$83</f>
        <v>0</v>
      </c>
      <c r="EO1024" s="9" t="n">
        <f aca="false">MIN((EO789+EO790)*$C$5,$F$15)*'⑫ Roll-out Plan'!$O$83</f>
        <v>0</v>
      </c>
      <c r="EP1024" s="9" t="n">
        <f aca="false">MIN((EP789+EP790)*$C$5,$F$15)*'⑫ Roll-out Plan'!$O$83</f>
        <v>0</v>
      </c>
      <c r="EQ1024" s="9" t="n">
        <f aca="false">MIN((EQ789+EQ790)*$C$5,$F$15)*'⑫ Roll-out Plan'!$O$83</f>
        <v>0</v>
      </c>
      <c r="ER1024" s="9" t="n">
        <f aca="false">MIN((ER789+ER790)*$C$5,$F$15)*'⑫ Roll-out Plan'!$O$83</f>
        <v>0</v>
      </c>
      <c r="ES1024" s="9" t="n">
        <f aca="false">MIN((ES789+ES790)*$C$5,$F$15)*'⑫ Roll-out Plan'!$O$83</f>
        <v>0</v>
      </c>
      <c r="ET1024" s="9" t="n">
        <f aca="false">MIN((ET789+ET790)*$C$5,$F$15)*'⑫ Roll-out Plan'!$O$83</f>
        <v>0</v>
      </c>
      <c r="EU1024" s="9" t="n">
        <f aca="false">MIN((EU789+EU790)*$C$5,$F$15)*'⑫ Roll-out Plan'!$O$83</f>
        <v>0</v>
      </c>
      <c r="EV1024" s="9" t="n">
        <f aca="false">MIN((EV789+EV790)*$C$5,$F$15)*'⑫ Roll-out Plan'!$O$83</f>
        <v>0</v>
      </c>
      <c r="EW1024" s="9" t="n">
        <f aca="false">MIN((EW789+EW790)*$C$5,$F$15)*'⑫ Roll-out Plan'!$O$83</f>
        <v>0</v>
      </c>
      <c r="EX1024" s="9" t="n">
        <f aca="false">MIN((EX789+EX790)*$C$5,$F$15)*'⑫ Roll-out Plan'!$O$83</f>
        <v>0</v>
      </c>
      <c r="EY1024" s="9" t="n">
        <f aca="false">MIN((EY789+EY790)*$C$5,$F$15)*'⑫ Roll-out Plan'!$O$83</f>
        <v>0</v>
      </c>
      <c r="EZ1024" s="9" t="n">
        <f aca="false">MIN((EZ789+EZ790)*$C$5,$F$15)*'⑫ Roll-out Plan'!$O$83</f>
        <v>0</v>
      </c>
      <c r="FA1024" s="9" t="n">
        <f aca="false">MIN((FA789+FA790)*$C$5,$F$15)*'⑫ Roll-out Plan'!$O$83</f>
        <v>0</v>
      </c>
      <c r="FB1024" s="9" t="n">
        <f aca="false">MIN((FB789+FB790)*$C$5,$F$15)*'⑫ Roll-out Plan'!$O$83</f>
        <v>0</v>
      </c>
      <c r="FC1024" s="9" t="n">
        <f aca="false">MIN((FC789+FC790)*$C$5,$F$15)*'⑫ Roll-out Plan'!$O$83</f>
        <v>3489.84</v>
      </c>
      <c r="FD1024" s="9" t="n">
        <f aca="false">MIN((FD789+FD790)*$C$5,$F$15)*'⑫ Roll-out Plan'!$O$83</f>
        <v>5885.03352</v>
      </c>
      <c r="FE1024" s="9" t="n">
        <f aca="false">MIN((FE789+FE790)*$C$5,$F$15)*'⑫ Roll-out Plan'!$O$83</f>
        <v>7039.239936</v>
      </c>
      <c r="FF1024" s="9" t="n">
        <f aca="false">MIN((FF789+FF790)*$C$5,$F$15)*'⑫ Roll-out Plan'!$O$83</f>
        <v>6343.5752304</v>
      </c>
      <c r="FG1024" s="9" t="n">
        <f aca="false">MIN((FG789+FG790)*$C$5,$F$15)*'⑫ Roll-out Plan'!$O$83</f>
        <v>8554.2492768</v>
      </c>
      <c r="FH1024" s="9" t="n">
        <f aca="false">MIN((FH789+FH790)*$C$5,$F$15)*'⑫ Roll-out Plan'!$O$83</f>
        <v>9573.9650144</v>
      </c>
      <c r="FI1024" s="9" t="n">
        <f aca="false">MIN((FI789+FI790)*$C$5,$F$15)*'⑫ Roll-out Plan'!$O$83</f>
        <v>9264.6255968</v>
      </c>
      <c r="FJ1024" s="9" t="n">
        <f aca="false">MIN((FJ789+FJ790)*$C$5,$F$15)*'⑫ Roll-out Plan'!$O$83</f>
        <v>9086.5894704</v>
      </c>
      <c r="FK1024" s="9" t="n">
        <f aca="false">MIN((FK789+FK790)*$C$5,$F$15)*'⑫ Roll-out Plan'!$O$83</f>
        <v>10530.1501536</v>
      </c>
      <c r="FL1024" s="9" t="n">
        <f aca="false">MIN((FL789+FL790)*$C$5,$F$15)*'⑫ Roll-out Plan'!$O$83</f>
        <v>16960.9558736</v>
      </c>
      <c r="FM1024" s="9" t="n">
        <f aca="false">MIN((FM789+FM790)*$C$5,$F$15)*'⑫ Roll-out Plan'!$O$83</f>
        <v>16204.5369312</v>
      </c>
      <c r="FN1024" s="9" t="n">
        <f aca="false">MIN((FN789+FN790)*$C$5,$F$15)*'⑫ Roll-out Plan'!$O$83</f>
        <v>14818.2484</v>
      </c>
      <c r="FO1024" s="9" t="n">
        <f aca="false">MIN((FO789+FO790)*$C$5,$F$15)*'⑫ Roll-out Plan'!$O$83</f>
        <v>12564.5407488</v>
      </c>
      <c r="FP1024" s="9" t="n">
        <f aca="false">MIN((FP789+FP790)*$C$5,$F$15)*'⑫ Roll-out Plan'!$O$83</f>
        <v>17536.5700832</v>
      </c>
    </row>
    <row r="1025" customFormat="false" ht="15" hidden="false" customHeight="false" outlineLevel="0" collapsed="false">
      <c r="B1025" s="9" t="s">
        <v>952</v>
      </c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121" t="n">
        <f aca="false">MIN((AC799+AC800)*$C$5,$F$16)*'⑫ Roll-out Plan'!$O$84</f>
        <v>0</v>
      </c>
      <c r="AD1025" s="9" t="n">
        <f aca="false">MIN((AD799+AD800)*$C$5,$F$16)*'⑫ Roll-out Plan'!$O$84</f>
        <v>0</v>
      </c>
      <c r="AE1025" s="9" t="n">
        <f aca="false">MIN((AE799+AE800)*$C$5,$F$16)*'⑫ Roll-out Plan'!$O$84</f>
        <v>0</v>
      </c>
      <c r="AF1025" s="9" t="n">
        <f aca="false">MIN((AF799+AF800)*$C$5,$F$16)*'⑫ Roll-out Plan'!$O$84</f>
        <v>0</v>
      </c>
      <c r="AG1025" s="9" t="n">
        <f aca="false">MIN((AG799+AG800)*$C$5,$F$16)*'⑫ Roll-out Plan'!$O$84</f>
        <v>0</v>
      </c>
      <c r="AH1025" s="9" t="n">
        <f aca="false">MIN((AH799+AH800)*$C$5,$F$16)*'⑫ Roll-out Plan'!$O$84</f>
        <v>0</v>
      </c>
      <c r="AI1025" s="9" t="n">
        <f aca="false">MIN((AI799+AI800)*$C$5,$F$16)*'⑫ Roll-out Plan'!$O$84</f>
        <v>0</v>
      </c>
      <c r="AJ1025" s="9" t="n">
        <f aca="false">MIN((AJ799+AJ800)*$C$5,$F$16)*'⑫ Roll-out Plan'!$O$84</f>
        <v>0</v>
      </c>
      <c r="AK1025" s="9" t="n">
        <f aca="false">MIN((AK799+AK800)*$C$5,$F$16)*'⑫ Roll-out Plan'!$O$84</f>
        <v>0</v>
      </c>
      <c r="AL1025" s="9" t="n">
        <f aca="false">MIN((AL799+AL800)*$C$5,$F$16)*'⑫ Roll-out Plan'!$O$84</f>
        <v>0</v>
      </c>
      <c r="AM1025" s="9" t="n">
        <f aca="false">MIN((AM799+AM800)*$C$5,$F$16)*'⑫ Roll-out Plan'!$O$84</f>
        <v>0</v>
      </c>
      <c r="AN1025" s="9" t="n">
        <f aca="false">MIN((AN799+AN800)*$C$5,$F$16)*'⑫ Roll-out Plan'!$O$84</f>
        <v>0</v>
      </c>
      <c r="AO1025" s="9" t="n">
        <f aca="false">MIN((AO799+AO800)*$C$5,$F$16)*'⑫ Roll-out Plan'!$O$84</f>
        <v>0</v>
      </c>
      <c r="AP1025" s="9" t="n">
        <f aca="false">MIN((AP799+AP800)*$C$5,$F$16)*'⑫ Roll-out Plan'!$O$84</f>
        <v>0</v>
      </c>
      <c r="AQ1025" s="9" t="n">
        <f aca="false">MIN((AQ799+AQ800)*$C$5,$F$16)*'⑫ Roll-out Plan'!$O$84</f>
        <v>0</v>
      </c>
      <c r="AR1025" s="9" t="n">
        <f aca="false">MIN((AR799+AR800)*$C$5,$F$16)*'⑫ Roll-out Plan'!$O$84</f>
        <v>0</v>
      </c>
      <c r="AS1025" s="9" t="n">
        <f aca="false">MIN((AS799+AS800)*$C$5,$F$16)*'⑫ Roll-out Plan'!$O$84</f>
        <v>0</v>
      </c>
      <c r="AT1025" s="9" t="n">
        <f aca="false">MIN((AT799+AT800)*$C$5,$F$16)*'⑫ Roll-out Plan'!$O$84</f>
        <v>0</v>
      </c>
      <c r="AU1025" s="9" t="n">
        <f aca="false">MIN((AU799+AU800)*$C$5,$F$16)*'⑫ Roll-out Plan'!$O$84</f>
        <v>0</v>
      </c>
      <c r="AV1025" s="9" t="n">
        <f aca="false">MIN((AV799+AV800)*$C$5,$F$16)*'⑫ Roll-out Plan'!$O$84</f>
        <v>0</v>
      </c>
      <c r="AW1025" s="9" t="n">
        <f aca="false">MIN((AW799+AW800)*$C$5,$F$16)*'⑫ Roll-out Plan'!$O$84</f>
        <v>0</v>
      </c>
      <c r="AX1025" s="9" t="n">
        <f aca="false">MIN((AX799+AX800)*$C$5,$F$16)*'⑫ Roll-out Plan'!$O$84</f>
        <v>0</v>
      </c>
      <c r="AY1025" s="9" t="n">
        <f aca="false">MIN((AY799+AY800)*$C$5,$F$16)*'⑫ Roll-out Plan'!$O$84</f>
        <v>0</v>
      </c>
      <c r="AZ1025" s="9" t="n">
        <f aca="false">MIN((AZ799+AZ800)*$C$5,$F$16)*'⑫ Roll-out Plan'!$O$84</f>
        <v>0</v>
      </c>
      <c r="BA1025" s="9" t="n">
        <f aca="false">MIN((BA799+BA800)*$C$5,$F$16)*'⑫ Roll-out Plan'!$O$84</f>
        <v>0</v>
      </c>
      <c r="BB1025" s="9" t="n">
        <f aca="false">MIN((BB799+BB800)*$C$5,$F$16)*'⑫ Roll-out Plan'!$O$84</f>
        <v>0</v>
      </c>
      <c r="BC1025" s="9" t="n">
        <f aca="false">MIN((BC799+BC800)*$C$5,$F$16)*'⑫ Roll-out Plan'!$O$84</f>
        <v>0</v>
      </c>
      <c r="BD1025" s="9" t="n">
        <f aca="false">MIN((BD799+BD800)*$C$5,$F$16)*'⑫ Roll-out Plan'!$O$84</f>
        <v>0</v>
      </c>
      <c r="BE1025" s="9" t="n">
        <f aca="false">MIN((BE799+BE800)*$C$5,$F$16)*'⑫ Roll-out Plan'!$O$84</f>
        <v>0</v>
      </c>
      <c r="BF1025" s="9" t="n">
        <f aca="false">MIN((BF799+BF800)*$C$5,$F$16)*'⑫ Roll-out Plan'!$O$84</f>
        <v>0</v>
      </c>
      <c r="BG1025" s="9" t="n">
        <f aca="false">MIN((BG799+BG800)*$C$5,$F$16)*'⑫ Roll-out Plan'!$O$84</f>
        <v>0</v>
      </c>
      <c r="BH1025" s="9" t="n">
        <f aca="false">MIN((BH799+BH800)*$C$5,$F$16)*'⑫ Roll-out Plan'!$O$84</f>
        <v>0</v>
      </c>
      <c r="BI1025" s="9" t="n">
        <f aca="false">MIN((BI799+BI800)*$C$5,$F$16)*'⑫ Roll-out Plan'!$O$84</f>
        <v>0</v>
      </c>
      <c r="BJ1025" s="9" t="n">
        <f aca="false">MIN((BJ799+BJ800)*$C$5,$F$16)*'⑫ Roll-out Plan'!$O$84</f>
        <v>0</v>
      </c>
      <c r="BK1025" s="9" t="n">
        <f aca="false">MIN((BK799+BK800)*$C$5,$F$16)*'⑫ Roll-out Plan'!$O$84</f>
        <v>0</v>
      </c>
      <c r="BL1025" s="9" t="n">
        <f aca="false">MIN((BL799+BL800)*$C$5,$F$16)*'⑫ Roll-out Plan'!$O$84</f>
        <v>0</v>
      </c>
      <c r="BM1025" s="9" t="n">
        <f aca="false">MIN((BM799+BM800)*$C$5,$F$16)*'⑫ Roll-out Plan'!$O$84</f>
        <v>0</v>
      </c>
      <c r="BN1025" s="9" t="n">
        <f aca="false">MIN((BN799+BN800)*$C$5,$F$16)*'⑫ Roll-out Plan'!$O$84</f>
        <v>0</v>
      </c>
      <c r="BO1025" s="9" t="n">
        <f aca="false">MIN((BO799+BO800)*$C$5,$F$16)*'⑫ Roll-out Plan'!$O$84</f>
        <v>0</v>
      </c>
      <c r="BP1025" s="9" t="n">
        <f aca="false">MIN((BP799+BP800)*$C$5,$F$16)*'⑫ Roll-out Plan'!$O$84</f>
        <v>0</v>
      </c>
      <c r="BQ1025" s="9" t="n">
        <f aca="false">MIN((BQ799+BQ800)*$C$5,$F$16)*'⑫ Roll-out Plan'!$O$84</f>
        <v>0</v>
      </c>
      <c r="BR1025" s="9" t="n">
        <f aca="false">MIN((BR799+BR800)*$C$5,$F$16)*'⑫ Roll-out Plan'!$O$84</f>
        <v>0</v>
      </c>
      <c r="BS1025" s="9" t="n">
        <f aca="false">MIN((BS799+BS800)*$C$5,$F$16)*'⑫ Roll-out Plan'!$O$84</f>
        <v>0</v>
      </c>
      <c r="BT1025" s="9" t="n">
        <f aca="false">MIN((BT799+BT800)*$C$5,$F$16)*'⑫ Roll-out Plan'!$O$84</f>
        <v>0</v>
      </c>
      <c r="BU1025" s="9" t="n">
        <f aca="false">MIN((BU799+BU800)*$C$5,$F$16)*'⑫ Roll-out Plan'!$O$84</f>
        <v>0</v>
      </c>
      <c r="BV1025" s="9" t="n">
        <f aca="false">MIN((BV799+BV800)*$C$5,$F$16)*'⑫ Roll-out Plan'!$O$84</f>
        <v>0</v>
      </c>
      <c r="BW1025" s="9" t="n">
        <f aca="false">MIN((BW799+BW800)*$C$5,$F$16)*'⑫ Roll-out Plan'!$O$84</f>
        <v>0</v>
      </c>
      <c r="BX1025" s="9" t="n">
        <f aca="false">MIN((BX799+BX800)*$C$5,$F$16)*'⑫ Roll-out Plan'!$O$84</f>
        <v>0</v>
      </c>
      <c r="BY1025" s="9" t="n">
        <f aca="false">MIN((BY799+BY800)*$C$5,$F$16)*'⑫ Roll-out Plan'!$O$84</f>
        <v>0</v>
      </c>
      <c r="BZ1025" s="9" t="n">
        <f aca="false">MIN((BZ799+BZ800)*$C$5,$F$16)*'⑫ Roll-out Plan'!$O$84</f>
        <v>0</v>
      </c>
      <c r="CA1025" s="9" t="n">
        <f aca="false">MIN((CA799+CA800)*$C$5,$F$16)*'⑫ Roll-out Plan'!$O$84</f>
        <v>0</v>
      </c>
      <c r="CB1025" s="9" t="n">
        <f aca="false">MIN((CB799+CB800)*$C$5,$F$16)*'⑫ Roll-out Plan'!$O$84</f>
        <v>0</v>
      </c>
      <c r="CC1025" s="9" t="n">
        <f aca="false">MIN((CC799+CC800)*$C$5,$F$16)*'⑫ Roll-out Plan'!$O$84</f>
        <v>0</v>
      </c>
      <c r="CD1025" s="9" t="n">
        <f aca="false">MIN((CD799+CD800)*$C$5,$F$16)*'⑫ Roll-out Plan'!$O$84</f>
        <v>0</v>
      </c>
      <c r="CE1025" s="9" t="n">
        <f aca="false">MIN((CE799+CE800)*$C$5,$F$16)*'⑫ Roll-out Plan'!$O$84</f>
        <v>0</v>
      </c>
      <c r="CF1025" s="9" t="n">
        <f aca="false">MIN((CF799+CF800)*$C$5,$F$16)*'⑫ Roll-out Plan'!$O$84</f>
        <v>0</v>
      </c>
      <c r="CG1025" s="9" t="n">
        <f aca="false">MIN((CG799+CG800)*$C$5,$F$16)*'⑫ Roll-out Plan'!$O$84</f>
        <v>0</v>
      </c>
      <c r="CH1025" s="9" t="n">
        <f aca="false">MIN((CH799+CH800)*$C$5,$F$16)*'⑫ Roll-out Plan'!$O$84</f>
        <v>0</v>
      </c>
      <c r="CI1025" s="9" t="n">
        <f aca="false">MIN((CI799+CI800)*$C$5,$F$16)*'⑫ Roll-out Plan'!$O$84</f>
        <v>0</v>
      </c>
      <c r="CJ1025" s="9" t="n">
        <f aca="false">MIN((CJ799+CJ800)*$C$5,$F$16)*'⑫ Roll-out Plan'!$O$84</f>
        <v>0</v>
      </c>
      <c r="CK1025" s="9" t="n">
        <f aca="false">MIN((CK799+CK800)*$C$5,$F$16)*'⑫ Roll-out Plan'!$O$84</f>
        <v>0</v>
      </c>
      <c r="CL1025" s="9" t="n">
        <f aca="false">MIN((CL799+CL800)*$C$5,$F$16)*'⑫ Roll-out Plan'!$O$84</f>
        <v>0</v>
      </c>
      <c r="CM1025" s="9" t="n">
        <f aca="false">MIN((CM799+CM800)*$C$5,$F$16)*'⑫ Roll-out Plan'!$O$84</f>
        <v>0</v>
      </c>
      <c r="CN1025" s="9" t="n">
        <f aca="false">MIN((CN799+CN800)*$C$5,$F$16)*'⑫ Roll-out Plan'!$O$84</f>
        <v>0</v>
      </c>
      <c r="CO1025" s="9" t="n">
        <f aca="false">MIN((CO799+CO800)*$C$5,$F$16)*'⑫ Roll-out Plan'!$O$84</f>
        <v>0</v>
      </c>
      <c r="CP1025" s="9" t="n">
        <f aca="false">MIN((CP799+CP800)*$C$5,$F$16)*'⑫ Roll-out Plan'!$O$84</f>
        <v>0</v>
      </c>
      <c r="CQ1025" s="9" t="n">
        <f aca="false">MIN((CQ799+CQ800)*$C$5,$F$16)*'⑫ Roll-out Plan'!$O$84</f>
        <v>0</v>
      </c>
      <c r="CR1025" s="9" t="n">
        <f aca="false">MIN((CR799+CR800)*$C$5,$F$16)*'⑫ Roll-out Plan'!$O$84</f>
        <v>0</v>
      </c>
      <c r="CS1025" s="9" t="n">
        <f aca="false">MIN((CS799+CS800)*$C$5,$F$16)*'⑫ Roll-out Plan'!$O$84</f>
        <v>0</v>
      </c>
      <c r="CT1025" s="9" t="n">
        <f aca="false">MIN((CT799+CT800)*$C$5,$F$16)*'⑫ Roll-out Plan'!$O$84</f>
        <v>0</v>
      </c>
      <c r="CU1025" s="9" t="n">
        <f aca="false">MIN((CU799+CU800)*$C$5,$F$16)*'⑫ Roll-out Plan'!$O$84</f>
        <v>0</v>
      </c>
      <c r="CV1025" s="9" t="n">
        <f aca="false">MIN((CV799+CV800)*$C$5,$F$16)*'⑫ Roll-out Plan'!$O$84</f>
        <v>0</v>
      </c>
      <c r="CW1025" s="9" t="n">
        <f aca="false">MIN((CW799+CW800)*$C$5,$F$16)*'⑫ Roll-out Plan'!$O$84</f>
        <v>0</v>
      </c>
      <c r="CX1025" s="9" t="n">
        <f aca="false">MIN((CX799+CX800)*$C$5,$F$16)*'⑫ Roll-out Plan'!$O$84</f>
        <v>0</v>
      </c>
      <c r="CY1025" s="9" t="n">
        <f aca="false">MIN((CY799+CY800)*$C$5,$F$16)*'⑫ Roll-out Plan'!$O$84</f>
        <v>0</v>
      </c>
      <c r="CZ1025" s="9" t="n">
        <f aca="false">MIN((CZ799+CZ800)*$C$5,$F$16)*'⑫ Roll-out Plan'!$O$84</f>
        <v>0</v>
      </c>
      <c r="DA1025" s="9" t="n">
        <f aca="false">MIN((DA799+DA800)*$C$5,$F$16)*'⑫ Roll-out Plan'!$O$84</f>
        <v>0</v>
      </c>
      <c r="DB1025" s="9" t="n">
        <f aca="false">MIN((DB799+DB800)*$C$5,$F$16)*'⑫ Roll-out Plan'!$O$84</f>
        <v>0</v>
      </c>
      <c r="DC1025" s="9" t="n">
        <f aca="false">MIN((DC799+DC800)*$C$5,$F$16)*'⑫ Roll-out Plan'!$O$84</f>
        <v>0</v>
      </c>
      <c r="DD1025" s="9" t="n">
        <f aca="false">MIN((DD799+DD800)*$C$5,$F$16)*'⑫ Roll-out Plan'!$O$84</f>
        <v>0</v>
      </c>
      <c r="DE1025" s="9" t="n">
        <f aca="false">MIN((DE799+DE800)*$C$5,$F$16)*'⑫ Roll-out Plan'!$O$84</f>
        <v>0</v>
      </c>
      <c r="DF1025" s="9" t="n">
        <f aca="false">MIN((DF799+DF800)*$C$5,$F$16)*'⑫ Roll-out Plan'!$O$84</f>
        <v>0</v>
      </c>
      <c r="DG1025" s="9" t="n">
        <f aca="false">MIN((DG799+DG800)*$C$5,$F$16)*'⑫ Roll-out Plan'!$O$84</f>
        <v>0</v>
      </c>
      <c r="DH1025" s="9" t="n">
        <f aca="false">MIN((DH799+DH800)*$C$5,$F$16)*'⑫ Roll-out Plan'!$O$84</f>
        <v>0</v>
      </c>
      <c r="DI1025" s="9" t="n">
        <f aca="false">MIN((DI799+DI800)*$C$5,$F$16)*'⑫ Roll-out Plan'!$O$84</f>
        <v>0</v>
      </c>
      <c r="DJ1025" s="9" t="n">
        <f aca="false">MIN((DJ799+DJ800)*$C$5,$F$16)*'⑫ Roll-out Plan'!$O$84</f>
        <v>0</v>
      </c>
      <c r="DK1025" s="9" t="n">
        <f aca="false">MIN((DK799+DK800)*$C$5,$F$16)*'⑫ Roll-out Plan'!$O$84</f>
        <v>0</v>
      </c>
      <c r="DL1025" s="9" t="n">
        <f aca="false">MIN((DL799+DL800)*$C$5,$F$16)*'⑫ Roll-out Plan'!$O$84</f>
        <v>0</v>
      </c>
      <c r="DM1025" s="9" t="n">
        <f aca="false">MIN((DM799+DM800)*$C$5,$F$16)*'⑫ Roll-out Plan'!$O$84</f>
        <v>0</v>
      </c>
      <c r="DN1025" s="9" t="n">
        <f aca="false">MIN((DN799+DN800)*$C$5,$F$16)*'⑫ Roll-out Plan'!$O$84</f>
        <v>0</v>
      </c>
      <c r="DO1025" s="9" t="n">
        <f aca="false">MIN((DO799+DO800)*$C$5,$F$16)*'⑫ Roll-out Plan'!$O$84</f>
        <v>0</v>
      </c>
      <c r="DP1025" s="9" t="n">
        <f aca="false">MIN((DP799+DP800)*$C$5,$F$16)*'⑫ Roll-out Plan'!$O$84</f>
        <v>0</v>
      </c>
      <c r="DQ1025" s="9" t="n">
        <f aca="false">MIN((DQ799+DQ800)*$C$5,$F$16)*'⑫ Roll-out Plan'!$O$84</f>
        <v>0</v>
      </c>
      <c r="DR1025" s="9" t="n">
        <f aca="false">MIN((DR799+DR800)*$C$5,$F$16)*'⑫ Roll-out Plan'!$O$84</f>
        <v>0</v>
      </c>
      <c r="DS1025" s="9" t="n">
        <f aca="false">MIN((DS799+DS800)*$C$5,$F$16)*'⑫ Roll-out Plan'!$O$84</f>
        <v>0</v>
      </c>
      <c r="DT1025" s="9" t="n">
        <f aca="false">MIN((DT799+DT800)*$C$5,$F$16)*'⑫ Roll-out Plan'!$O$84</f>
        <v>0</v>
      </c>
      <c r="DU1025" s="9" t="n">
        <f aca="false">MIN((DU799+DU800)*$C$5,$F$16)*'⑫ Roll-out Plan'!$O$84</f>
        <v>0</v>
      </c>
      <c r="DV1025" s="9" t="n">
        <f aca="false">MIN((DV799+DV800)*$C$5,$F$16)*'⑫ Roll-out Plan'!$O$84</f>
        <v>0</v>
      </c>
      <c r="DW1025" s="9" t="n">
        <f aca="false">MIN((DW799+DW800)*$C$5,$F$16)*'⑫ Roll-out Plan'!$O$84</f>
        <v>0</v>
      </c>
      <c r="DX1025" s="9" t="n">
        <f aca="false">MIN((DX799+DX800)*$C$5,$F$16)*'⑫ Roll-out Plan'!$O$84</f>
        <v>0</v>
      </c>
      <c r="DY1025" s="9" t="n">
        <f aca="false">MIN((DY799+DY800)*$C$5,$F$16)*'⑫ Roll-out Plan'!$O$84</f>
        <v>0</v>
      </c>
      <c r="DZ1025" s="9" t="n">
        <f aca="false">MIN((DZ799+DZ800)*$C$5,$F$16)*'⑫ Roll-out Plan'!$O$84</f>
        <v>0</v>
      </c>
      <c r="EA1025" s="9" t="n">
        <f aca="false">MIN((EA799+EA800)*$C$5,$F$16)*'⑫ Roll-out Plan'!$O$84</f>
        <v>0</v>
      </c>
      <c r="EB1025" s="9" t="n">
        <f aca="false">MIN((EB799+EB800)*$C$5,$F$16)*'⑫ Roll-out Plan'!$O$84</f>
        <v>0</v>
      </c>
      <c r="EC1025" s="9" t="n">
        <f aca="false">MIN((EC799+EC800)*$C$5,$F$16)*'⑫ Roll-out Plan'!$O$84</f>
        <v>0</v>
      </c>
      <c r="ED1025" s="9" t="n">
        <f aca="false">MIN((ED799+ED800)*$C$5,$F$16)*'⑫ Roll-out Plan'!$O$84</f>
        <v>0</v>
      </c>
      <c r="EE1025" s="9" t="n">
        <f aca="false">MIN((EE799+EE800)*$C$5,$F$16)*'⑫ Roll-out Plan'!$O$84</f>
        <v>0</v>
      </c>
      <c r="EF1025" s="9" t="n">
        <f aca="false">MIN((EF799+EF800)*$C$5,$F$16)*'⑫ Roll-out Plan'!$O$84</f>
        <v>0</v>
      </c>
      <c r="EG1025" s="9" t="n">
        <f aca="false">MIN((EG799+EG800)*$C$5,$F$16)*'⑫ Roll-out Plan'!$O$84</f>
        <v>0</v>
      </c>
      <c r="EH1025" s="9" t="n">
        <f aca="false">MIN((EH799+EH800)*$C$5,$F$16)*'⑫ Roll-out Plan'!$O$84</f>
        <v>0</v>
      </c>
      <c r="EI1025" s="9" t="n">
        <f aca="false">MIN((EI799+EI800)*$C$5,$F$16)*'⑫ Roll-out Plan'!$O$84</f>
        <v>0</v>
      </c>
      <c r="EJ1025" s="9" t="n">
        <f aca="false">MIN((EJ799+EJ800)*$C$5,$F$16)*'⑫ Roll-out Plan'!$O$84</f>
        <v>0</v>
      </c>
      <c r="EK1025" s="9" t="n">
        <f aca="false">MIN((EK799+EK800)*$C$5,$F$16)*'⑫ Roll-out Plan'!$O$84</f>
        <v>0</v>
      </c>
      <c r="EL1025" s="9" t="n">
        <f aca="false">MIN((EL799+EL800)*$C$5,$F$16)*'⑫ Roll-out Plan'!$O$84</f>
        <v>0</v>
      </c>
      <c r="EM1025" s="9" t="n">
        <f aca="false">MIN((EM799+EM800)*$C$5,$F$16)*'⑫ Roll-out Plan'!$O$84</f>
        <v>0</v>
      </c>
      <c r="EN1025" s="9" t="n">
        <f aca="false">MIN((EN799+EN800)*$C$5,$F$16)*'⑫ Roll-out Plan'!$O$84</f>
        <v>0</v>
      </c>
      <c r="EO1025" s="9" t="n">
        <f aca="false">MIN((EO799+EO800)*$C$5,$F$16)*'⑫ Roll-out Plan'!$O$84</f>
        <v>0</v>
      </c>
      <c r="EP1025" s="9" t="n">
        <f aca="false">MIN((EP799+EP800)*$C$5,$F$16)*'⑫ Roll-out Plan'!$O$84</f>
        <v>0</v>
      </c>
      <c r="EQ1025" s="9" t="n">
        <f aca="false">MIN((EQ799+EQ800)*$C$5,$F$16)*'⑫ Roll-out Plan'!$O$84</f>
        <v>0</v>
      </c>
      <c r="ER1025" s="9" t="n">
        <f aca="false">MIN((ER799+ER800)*$C$5,$F$16)*'⑫ Roll-out Plan'!$O$84</f>
        <v>0</v>
      </c>
      <c r="ES1025" s="9" t="n">
        <f aca="false">MIN((ES799+ES800)*$C$5,$F$16)*'⑫ Roll-out Plan'!$O$84</f>
        <v>0</v>
      </c>
      <c r="ET1025" s="9" t="n">
        <f aca="false">MIN((ET799+ET800)*$C$5,$F$16)*'⑫ Roll-out Plan'!$O$84</f>
        <v>0</v>
      </c>
      <c r="EU1025" s="9" t="n">
        <f aca="false">MIN((EU799+EU800)*$C$5,$F$16)*'⑫ Roll-out Plan'!$O$84</f>
        <v>0</v>
      </c>
      <c r="EV1025" s="9" t="n">
        <f aca="false">MIN((EV799+EV800)*$C$5,$F$16)*'⑫ Roll-out Plan'!$O$84</f>
        <v>0</v>
      </c>
      <c r="EW1025" s="9" t="n">
        <f aca="false">MIN((EW799+EW800)*$C$5,$F$16)*'⑫ Roll-out Plan'!$O$84</f>
        <v>0</v>
      </c>
      <c r="EX1025" s="9" t="n">
        <f aca="false">MIN((EX799+EX800)*$C$5,$F$16)*'⑫ Roll-out Plan'!$O$84</f>
        <v>0</v>
      </c>
      <c r="EY1025" s="9" t="n">
        <f aca="false">MIN((EY799+EY800)*$C$5,$F$16)*'⑫ Roll-out Plan'!$O$84</f>
        <v>0</v>
      </c>
      <c r="EZ1025" s="9" t="n">
        <f aca="false">MIN((EZ799+EZ800)*$C$5,$F$16)*'⑫ Roll-out Plan'!$O$84</f>
        <v>0</v>
      </c>
      <c r="FA1025" s="9" t="n">
        <f aca="false">MIN((FA799+FA800)*$C$5,$F$16)*'⑫ Roll-out Plan'!$O$84</f>
        <v>0</v>
      </c>
      <c r="FB1025" s="9" t="n">
        <f aca="false">MIN((FB799+FB800)*$C$5,$F$16)*'⑫ Roll-out Plan'!$O$84</f>
        <v>0</v>
      </c>
      <c r="FC1025" s="9" t="n">
        <f aca="false">MIN((FC799+FC800)*$C$5,$F$16)*'⑫ Roll-out Plan'!$O$84</f>
        <v>0</v>
      </c>
      <c r="FD1025" s="9" t="n">
        <f aca="false">MIN((FD799+FD800)*$C$5,$F$16)*'⑫ Roll-out Plan'!$O$84</f>
        <v>2939.64</v>
      </c>
      <c r="FE1025" s="9" t="n">
        <f aca="false">MIN((FE799+FE800)*$C$5,$F$16)*'⑫ Roll-out Plan'!$O$84</f>
        <v>3800.08992</v>
      </c>
      <c r="FF1025" s="9" t="n">
        <f aca="false">MIN((FF799+FF800)*$C$5,$F$16)*'⑫ Roll-out Plan'!$O$84</f>
        <v>3325.874112</v>
      </c>
      <c r="FG1025" s="9" t="n">
        <f aca="false">MIN((FG799+FG800)*$C$5,$F$16)*'⑫ Roll-out Plan'!$O$84</f>
        <v>5002.3127616</v>
      </c>
      <c r="FH1025" s="9" t="n">
        <f aca="false">MIN((FH799+FH800)*$C$5,$F$16)*'⑫ Roll-out Plan'!$O$84</f>
        <v>5021.6936352</v>
      </c>
      <c r="FI1025" s="9" t="n">
        <f aca="false">MIN((FI799+FI800)*$C$5,$F$16)*'⑫ Roll-out Plan'!$O$84</f>
        <v>4872.5443712</v>
      </c>
      <c r="FJ1025" s="9" t="n">
        <f aca="false">MIN((FJ799+FJ800)*$C$5,$F$16)*'⑫ Roll-out Plan'!$O$84</f>
        <v>4820.5438688</v>
      </c>
      <c r="FK1025" s="9" t="n">
        <f aca="false">MIN((FK799+FK800)*$C$5,$F$16)*'⑫ Roll-out Plan'!$O$84</f>
        <v>5553.8307264</v>
      </c>
      <c r="FL1025" s="9" t="n">
        <f aca="false">MIN((FL799+FL800)*$C$5,$F$16)*'⑫ Roll-out Plan'!$O$84</f>
        <v>9951.3016064</v>
      </c>
      <c r="FM1025" s="9" t="n">
        <f aca="false">MIN((FM799+FM800)*$C$5,$F$16)*'⑫ Roll-out Plan'!$O$84</f>
        <v>8886.1420736</v>
      </c>
      <c r="FN1025" s="9" t="n">
        <f aca="false">MIN((FN799+FN800)*$C$5,$F$16)*'⑫ Roll-out Plan'!$O$84</f>
        <v>8127.8256224</v>
      </c>
      <c r="FO1025" s="9" t="n">
        <f aca="false">MIN((FO799+FO800)*$C$5,$F$16)*'⑫ Roll-out Plan'!$O$84</f>
        <v>6882.077664</v>
      </c>
      <c r="FP1025" s="9" t="n">
        <f aca="false">MIN((FP799+FP800)*$C$5,$F$16)*'⑫ Roll-out Plan'!$O$84</f>
        <v>9653.5610336</v>
      </c>
    </row>
    <row r="1026" customFormat="false" ht="15" hidden="false" customHeight="false" outlineLevel="0" collapsed="false">
      <c r="B1026" s="9" t="s">
        <v>953</v>
      </c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121" t="n">
        <f aca="false">MIN((AC809+AC810)*$C$5,$F$15)*'⑫ Roll-out Plan'!$O$85</f>
        <v>0</v>
      </c>
      <c r="AD1026" s="9" t="n">
        <f aca="false">MIN((AD809+AD810)*$C$5,$F$15)*'⑫ Roll-out Plan'!$O$85</f>
        <v>0</v>
      </c>
      <c r="AE1026" s="9" t="n">
        <f aca="false">MIN((AE809+AE810)*$C$5,$F$15)*'⑫ Roll-out Plan'!$O$85</f>
        <v>0</v>
      </c>
      <c r="AF1026" s="9" t="n">
        <f aca="false">MIN((AF809+AF810)*$C$5,$F$15)*'⑫ Roll-out Plan'!$O$85</f>
        <v>0</v>
      </c>
      <c r="AG1026" s="9" t="n">
        <f aca="false">MIN((AG809+AG810)*$C$5,$F$15)*'⑫ Roll-out Plan'!$O$85</f>
        <v>0</v>
      </c>
      <c r="AH1026" s="9" t="n">
        <f aca="false">MIN((AH809+AH810)*$C$5,$F$15)*'⑫ Roll-out Plan'!$O$85</f>
        <v>0</v>
      </c>
      <c r="AI1026" s="9" t="n">
        <f aca="false">MIN((AI809+AI810)*$C$5,$F$15)*'⑫ Roll-out Plan'!$O$85</f>
        <v>0</v>
      </c>
      <c r="AJ1026" s="9" t="n">
        <f aca="false">MIN((AJ809+AJ810)*$C$5,$F$15)*'⑫ Roll-out Plan'!$O$85</f>
        <v>0</v>
      </c>
      <c r="AK1026" s="9" t="n">
        <f aca="false">MIN((AK809+AK810)*$C$5,$F$15)*'⑫ Roll-out Plan'!$O$85</f>
        <v>0</v>
      </c>
      <c r="AL1026" s="9" t="n">
        <f aca="false">MIN((AL809+AL810)*$C$5,$F$15)*'⑫ Roll-out Plan'!$O$85</f>
        <v>0</v>
      </c>
      <c r="AM1026" s="9" t="n">
        <f aca="false">MIN((AM809+AM810)*$C$5,$F$15)*'⑫ Roll-out Plan'!$O$85</f>
        <v>0</v>
      </c>
      <c r="AN1026" s="9" t="n">
        <f aca="false">MIN((AN809+AN810)*$C$5,$F$15)*'⑫ Roll-out Plan'!$O$85</f>
        <v>0</v>
      </c>
      <c r="AO1026" s="9" t="n">
        <f aca="false">MIN((AO809+AO810)*$C$5,$F$15)*'⑫ Roll-out Plan'!$O$85</f>
        <v>0</v>
      </c>
      <c r="AP1026" s="9" t="n">
        <f aca="false">MIN((AP809+AP810)*$C$5,$F$15)*'⑫ Roll-out Plan'!$O$85</f>
        <v>0</v>
      </c>
      <c r="AQ1026" s="9" t="n">
        <f aca="false">MIN((AQ809+AQ810)*$C$5,$F$15)*'⑫ Roll-out Plan'!$O$85</f>
        <v>0</v>
      </c>
      <c r="AR1026" s="9" t="n">
        <f aca="false">MIN((AR809+AR810)*$C$5,$F$15)*'⑫ Roll-out Plan'!$O$85</f>
        <v>0</v>
      </c>
      <c r="AS1026" s="9" t="n">
        <f aca="false">MIN((AS809+AS810)*$C$5,$F$15)*'⑫ Roll-out Plan'!$O$85</f>
        <v>0</v>
      </c>
      <c r="AT1026" s="9" t="n">
        <f aca="false">MIN((AT809+AT810)*$C$5,$F$15)*'⑫ Roll-out Plan'!$O$85</f>
        <v>0</v>
      </c>
      <c r="AU1026" s="9" t="n">
        <f aca="false">MIN((AU809+AU810)*$C$5,$F$15)*'⑫ Roll-out Plan'!$O$85</f>
        <v>0</v>
      </c>
      <c r="AV1026" s="9" t="n">
        <f aca="false">MIN((AV809+AV810)*$C$5,$F$15)*'⑫ Roll-out Plan'!$O$85</f>
        <v>0</v>
      </c>
      <c r="AW1026" s="9" t="n">
        <f aca="false">MIN((AW809+AW810)*$C$5,$F$15)*'⑫ Roll-out Plan'!$O$85</f>
        <v>0</v>
      </c>
      <c r="AX1026" s="9" t="n">
        <f aca="false">MIN((AX809+AX810)*$C$5,$F$15)*'⑫ Roll-out Plan'!$O$85</f>
        <v>0</v>
      </c>
      <c r="AY1026" s="9" t="n">
        <f aca="false">MIN((AY809+AY810)*$C$5,$F$15)*'⑫ Roll-out Plan'!$O$85</f>
        <v>0</v>
      </c>
      <c r="AZ1026" s="9" t="n">
        <f aca="false">MIN((AZ809+AZ810)*$C$5,$F$15)*'⑫ Roll-out Plan'!$O$85</f>
        <v>0</v>
      </c>
      <c r="BA1026" s="9" t="n">
        <f aca="false">MIN((BA809+BA810)*$C$5,$F$15)*'⑫ Roll-out Plan'!$O$85</f>
        <v>0</v>
      </c>
      <c r="BB1026" s="9" t="n">
        <f aca="false">MIN((BB809+BB810)*$C$5,$F$15)*'⑫ Roll-out Plan'!$O$85</f>
        <v>0</v>
      </c>
      <c r="BC1026" s="9" t="n">
        <f aca="false">MIN((BC809+BC810)*$C$5,$F$15)*'⑫ Roll-out Plan'!$O$85</f>
        <v>0</v>
      </c>
      <c r="BD1026" s="9" t="n">
        <f aca="false">MIN((BD809+BD810)*$C$5,$F$15)*'⑫ Roll-out Plan'!$O$85</f>
        <v>0</v>
      </c>
      <c r="BE1026" s="9" t="n">
        <f aca="false">MIN((BE809+BE810)*$C$5,$F$15)*'⑫ Roll-out Plan'!$O$85</f>
        <v>0</v>
      </c>
      <c r="BF1026" s="9" t="n">
        <f aca="false">MIN((BF809+BF810)*$C$5,$F$15)*'⑫ Roll-out Plan'!$O$85</f>
        <v>0</v>
      </c>
      <c r="BG1026" s="9" t="n">
        <f aca="false">MIN((BG809+BG810)*$C$5,$F$15)*'⑫ Roll-out Plan'!$O$85</f>
        <v>0</v>
      </c>
      <c r="BH1026" s="9" t="n">
        <f aca="false">MIN((BH809+BH810)*$C$5,$F$15)*'⑫ Roll-out Plan'!$O$85</f>
        <v>0</v>
      </c>
      <c r="BI1026" s="9" t="n">
        <f aca="false">MIN((BI809+BI810)*$C$5,$F$15)*'⑫ Roll-out Plan'!$O$85</f>
        <v>0</v>
      </c>
      <c r="BJ1026" s="9" t="n">
        <f aca="false">MIN((BJ809+BJ810)*$C$5,$F$15)*'⑫ Roll-out Plan'!$O$85</f>
        <v>0</v>
      </c>
      <c r="BK1026" s="9" t="n">
        <f aca="false">MIN((BK809+BK810)*$C$5,$F$15)*'⑫ Roll-out Plan'!$O$85</f>
        <v>0</v>
      </c>
      <c r="BL1026" s="9" t="n">
        <f aca="false">MIN((BL809+BL810)*$C$5,$F$15)*'⑫ Roll-out Plan'!$O$85</f>
        <v>0</v>
      </c>
      <c r="BM1026" s="9" t="n">
        <f aca="false">MIN((BM809+BM810)*$C$5,$F$15)*'⑫ Roll-out Plan'!$O$85</f>
        <v>0</v>
      </c>
      <c r="BN1026" s="9" t="n">
        <f aca="false">MIN((BN809+BN810)*$C$5,$F$15)*'⑫ Roll-out Plan'!$O$85</f>
        <v>0</v>
      </c>
      <c r="BO1026" s="9" t="n">
        <f aca="false">MIN((BO809+BO810)*$C$5,$F$15)*'⑫ Roll-out Plan'!$O$85</f>
        <v>0</v>
      </c>
      <c r="BP1026" s="9" t="n">
        <f aca="false">MIN((BP809+BP810)*$C$5,$F$15)*'⑫ Roll-out Plan'!$O$85</f>
        <v>0</v>
      </c>
      <c r="BQ1026" s="9" t="n">
        <f aca="false">MIN((BQ809+BQ810)*$C$5,$F$15)*'⑫ Roll-out Plan'!$O$85</f>
        <v>0</v>
      </c>
      <c r="BR1026" s="9" t="n">
        <f aca="false">MIN((BR809+BR810)*$C$5,$F$15)*'⑫ Roll-out Plan'!$O$85</f>
        <v>0</v>
      </c>
      <c r="BS1026" s="9" t="n">
        <f aca="false">MIN((BS809+BS810)*$C$5,$F$15)*'⑫ Roll-out Plan'!$O$85</f>
        <v>0</v>
      </c>
      <c r="BT1026" s="9" t="n">
        <f aca="false">MIN((BT809+BT810)*$C$5,$F$15)*'⑫ Roll-out Plan'!$O$85</f>
        <v>0</v>
      </c>
      <c r="BU1026" s="9" t="n">
        <f aca="false">MIN((BU809+BU810)*$C$5,$F$15)*'⑫ Roll-out Plan'!$O$85</f>
        <v>0</v>
      </c>
      <c r="BV1026" s="9" t="n">
        <f aca="false">MIN((BV809+BV810)*$C$5,$F$15)*'⑫ Roll-out Plan'!$O$85</f>
        <v>0</v>
      </c>
      <c r="BW1026" s="9" t="n">
        <f aca="false">MIN((BW809+BW810)*$C$5,$F$15)*'⑫ Roll-out Plan'!$O$85</f>
        <v>0</v>
      </c>
      <c r="BX1026" s="9" t="n">
        <f aca="false">MIN((BX809+BX810)*$C$5,$F$15)*'⑫ Roll-out Plan'!$O$85</f>
        <v>0</v>
      </c>
      <c r="BY1026" s="9" t="n">
        <f aca="false">MIN((BY809+BY810)*$C$5,$F$15)*'⑫ Roll-out Plan'!$O$85</f>
        <v>0</v>
      </c>
      <c r="BZ1026" s="9" t="n">
        <f aca="false">MIN((BZ809+BZ810)*$C$5,$F$15)*'⑫ Roll-out Plan'!$O$85</f>
        <v>0</v>
      </c>
      <c r="CA1026" s="9" t="n">
        <f aca="false">MIN((CA809+CA810)*$C$5,$F$15)*'⑫ Roll-out Plan'!$O$85</f>
        <v>0</v>
      </c>
      <c r="CB1026" s="9" t="n">
        <f aca="false">MIN((CB809+CB810)*$C$5,$F$15)*'⑫ Roll-out Plan'!$O$85</f>
        <v>0</v>
      </c>
      <c r="CC1026" s="9" t="n">
        <f aca="false">MIN((CC809+CC810)*$C$5,$F$15)*'⑫ Roll-out Plan'!$O$85</f>
        <v>0</v>
      </c>
      <c r="CD1026" s="9" t="n">
        <f aca="false">MIN((CD809+CD810)*$C$5,$F$15)*'⑫ Roll-out Plan'!$O$85</f>
        <v>0</v>
      </c>
      <c r="CE1026" s="9" t="n">
        <f aca="false">MIN((CE809+CE810)*$C$5,$F$15)*'⑫ Roll-out Plan'!$O$85</f>
        <v>0</v>
      </c>
      <c r="CF1026" s="9" t="n">
        <f aca="false">MIN((CF809+CF810)*$C$5,$F$15)*'⑫ Roll-out Plan'!$O$85</f>
        <v>0</v>
      </c>
      <c r="CG1026" s="9" t="n">
        <f aca="false">MIN((CG809+CG810)*$C$5,$F$15)*'⑫ Roll-out Plan'!$O$85</f>
        <v>0</v>
      </c>
      <c r="CH1026" s="9" t="n">
        <f aca="false">MIN((CH809+CH810)*$C$5,$F$15)*'⑫ Roll-out Plan'!$O$85</f>
        <v>0</v>
      </c>
      <c r="CI1026" s="9" t="n">
        <f aca="false">MIN((CI809+CI810)*$C$5,$F$15)*'⑫ Roll-out Plan'!$O$85</f>
        <v>0</v>
      </c>
      <c r="CJ1026" s="9" t="n">
        <f aca="false">MIN((CJ809+CJ810)*$C$5,$F$15)*'⑫ Roll-out Plan'!$O$85</f>
        <v>0</v>
      </c>
      <c r="CK1026" s="9" t="n">
        <f aca="false">MIN((CK809+CK810)*$C$5,$F$15)*'⑫ Roll-out Plan'!$O$85</f>
        <v>0</v>
      </c>
      <c r="CL1026" s="9" t="n">
        <f aca="false">MIN((CL809+CL810)*$C$5,$F$15)*'⑫ Roll-out Plan'!$O$85</f>
        <v>0</v>
      </c>
      <c r="CM1026" s="9" t="n">
        <f aca="false">MIN((CM809+CM810)*$C$5,$F$15)*'⑫ Roll-out Plan'!$O$85</f>
        <v>0</v>
      </c>
      <c r="CN1026" s="9" t="n">
        <f aca="false">MIN((CN809+CN810)*$C$5,$F$15)*'⑫ Roll-out Plan'!$O$85</f>
        <v>0</v>
      </c>
      <c r="CO1026" s="9" t="n">
        <f aca="false">MIN((CO809+CO810)*$C$5,$F$15)*'⑫ Roll-out Plan'!$O$85</f>
        <v>0</v>
      </c>
      <c r="CP1026" s="9" t="n">
        <f aca="false">MIN((CP809+CP810)*$C$5,$F$15)*'⑫ Roll-out Plan'!$O$85</f>
        <v>0</v>
      </c>
      <c r="CQ1026" s="9" t="n">
        <f aca="false">MIN((CQ809+CQ810)*$C$5,$F$15)*'⑫ Roll-out Plan'!$O$85</f>
        <v>0</v>
      </c>
      <c r="CR1026" s="9" t="n">
        <f aca="false">MIN((CR809+CR810)*$C$5,$F$15)*'⑫ Roll-out Plan'!$O$85</f>
        <v>0</v>
      </c>
      <c r="CS1026" s="9" t="n">
        <f aca="false">MIN((CS809+CS810)*$C$5,$F$15)*'⑫ Roll-out Plan'!$O$85</f>
        <v>0</v>
      </c>
      <c r="CT1026" s="9" t="n">
        <f aca="false">MIN((CT809+CT810)*$C$5,$F$15)*'⑫ Roll-out Plan'!$O$85</f>
        <v>0</v>
      </c>
      <c r="CU1026" s="9" t="n">
        <f aca="false">MIN((CU809+CU810)*$C$5,$F$15)*'⑫ Roll-out Plan'!$O$85</f>
        <v>0</v>
      </c>
      <c r="CV1026" s="9" t="n">
        <f aca="false">MIN((CV809+CV810)*$C$5,$F$15)*'⑫ Roll-out Plan'!$O$85</f>
        <v>0</v>
      </c>
      <c r="CW1026" s="9" t="n">
        <f aca="false">MIN((CW809+CW810)*$C$5,$F$15)*'⑫ Roll-out Plan'!$O$85</f>
        <v>0</v>
      </c>
      <c r="CX1026" s="9" t="n">
        <f aca="false">MIN((CX809+CX810)*$C$5,$F$15)*'⑫ Roll-out Plan'!$O$85</f>
        <v>0</v>
      </c>
      <c r="CY1026" s="9" t="n">
        <f aca="false">MIN((CY809+CY810)*$C$5,$F$15)*'⑫ Roll-out Plan'!$O$85</f>
        <v>0</v>
      </c>
      <c r="CZ1026" s="9" t="n">
        <f aca="false">MIN((CZ809+CZ810)*$C$5,$F$15)*'⑫ Roll-out Plan'!$O$85</f>
        <v>0</v>
      </c>
      <c r="DA1026" s="9" t="n">
        <f aca="false">MIN((DA809+DA810)*$C$5,$F$15)*'⑫ Roll-out Plan'!$O$85</f>
        <v>0</v>
      </c>
      <c r="DB1026" s="9" t="n">
        <f aca="false">MIN((DB809+DB810)*$C$5,$F$15)*'⑫ Roll-out Plan'!$O$85</f>
        <v>0</v>
      </c>
      <c r="DC1026" s="9" t="n">
        <f aca="false">MIN((DC809+DC810)*$C$5,$F$15)*'⑫ Roll-out Plan'!$O$85</f>
        <v>0</v>
      </c>
      <c r="DD1026" s="9" t="n">
        <f aca="false">MIN((DD809+DD810)*$C$5,$F$15)*'⑫ Roll-out Plan'!$O$85</f>
        <v>0</v>
      </c>
      <c r="DE1026" s="9" t="n">
        <f aca="false">MIN((DE809+DE810)*$C$5,$F$15)*'⑫ Roll-out Plan'!$O$85</f>
        <v>0</v>
      </c>
      <c r="DF1026" s="9" t="n">
        <f aca="false">MIN((DF809+DF810)*$C$5,$F$15)*'⑫ Roll-out Plan'!$O$85</f>
        <v>0</v>
      </c>
      <c r="DG1026" s="9" t="n">
        <f aca="false">MIN((DG809+DG810)*$C$5,$F$15)*'⑫ Roll-out Plan'!$O$85</f>
        <v>0</v>
      </c>
      <c r="DH1026" s="9" t="n">
        <f aca="false">MIN((DH809+DH810)*$C$5,$F$15)*'⑫ Roll-out Plan'!$O$85</f>
        <v>0</v>
      </c>
      <c r="DI1026" s="9" t="n">
        <f aca="false">MIN((DI809+DI810)*$C$5,$F$15)*'⑫ Roll-out Plan'!$O$85</f>
        <v>0</v>
      </c>
      <c r="DJ1026" s="9" t="n">
        <f aca="false">MIN((DJ809+DJ810)*$C$5,$F$15)*'⑫ Roll-out Plan'!$O$85</f>
        <v>0</v>
      </c>
      <c r="DK1026" s="9" t="n">
        <f aca="false">MIN((DK809+DK810)*$C$5,$F$15)*'⑫ Roll-out Plan'!$O$85</f>
        <v>0</v>
      </c>
      <c r="DL1026" s="9" t="n">
        <f aca="false">MIN((DL809+DL810)*$C$5,$F$15)*'⑫ Roll-out Plan'!$O$85</f>
        <v>0</v>
      </c>
      <c r="DM1026" s="9" t="n">
        <f aca="false">MIN((DM809+DM810)*$C$5,$F$15)*'⑫ Roll-out Plan'!$O$85</f>
        <v>0</v>
      </c>
      <c r="DN1026" s="9" t="n">
        <f aca="false">MIN((DN809+DN810)*$C$5,$F$15)*'⑫ Roll-out Plan'!$O$85</f>
        <v>0</v>
      </c>
      <c r="DO1026" s="9" t="n">
        <f aca="false">MIN((DO809+DO810)*$C$5,$F$15)*'⑫ Roll-out Plan'!$O$85</f>
        <v>0</v>
      </c>
      <c r="DP1026" s="9" t="n">
        <f aca="false">MIN((DP809+DP810)*$C$5,$F$15)*'⑫ Roll-out Plan'!$O$85</f>
        <v>0</v>
      </c>
      <c r="DQ1026" s="9" t="n">
        <f aca="false">MIN((DQ809+DQ810)*$C$5,$F$15)*'⑫ Roll-out Plan'!$O$85</f>
        <v>0</v>
      </c>
      <c r="DR1026" s="9" t="n">
        <f aca="false">MIN((DR809+DR810)*$C$5,$F$15)*'⑫ Roll-out Plan'!$O$85</f>
        <v>0</v>
      </c>
      <c r="DS1026" s="9" t="n">
        <f aca="false">MIN((DS809+DS810)*$C$5,$F$15)*'⑫ Roll-out Plan'!$O$85</f>
        <v>0</v>
      </c>
      <c r="DT1026" s="9" t="n">
        <f aca="false">MIN((DT809+DT810)*$C$5,$F$15)*'⑫ Roll-out Plan'!$O$85</f>
        <v>0</v>
      </c>
      <c r="DU1026" s="9" t="n">
        <f aca="false">MIN((DU809+DU810)*$C$5,$F$15)*'⑫ Roll-out Plan'!$O$85</f>
        <v>0</v>
      </c>
      <c r="DV1026" s="9" t="n">
        <f aca="false">MIN((DV809+DV810)*$C$5,$F$15)*'⑫ Roll-out Plan'!$O$85</f>
        <v>0</v>
      </c>
      <c r="DW1026" s="9" t="n">
        <f aca="false">MIN((DW809+DW810)*$C$5,$F$15)*'⑫ Roll-out Plan'!$O$85</f>
        <v>0</v>
      </c>
      <c r="DX1026" s="9" t="n">
        <f aca="false">MIN((DX809+DX810)*$C$5,$F$15)*'⑫ Roll-out Plan'!$O$85</f>
        <v>0</v>
      </c>
      <c r="DY1026" s="9" t="n">
        <f aca="false">MIN((DY809+DY810)*$C$5,$F$15)*'⑫ Roll-out Plan'!$O$85</f>
        <v>0</v>
      </c>
      <c r="DZ1026" s="9" t="n">
        <f aca="false">MIN((DZ809+DZ810)*$C$5,$F$15)*'⑫ Roll-out Plan'!$O$85</f>
        <v>0</v>
      </c>
      <c r="EA1026" s="9" t="n">
        <f aca="false">MIN((EA809+EA810)*$C$5,$F$15)*'⑫ Roll-out Plan'!$O$85</f>
        <v>0</v>
      </c>
      <c r="EB1026" s="9" t="n">
        <f aca="false">MIN((EB809+EB810)*$C$5,$F$15)*'⑫ Roll-out Plan'!$O$85</f>
        <v>0</v>
      </c>
      <c r="EC1026" s="9" t="n">
        <f aca="false">MIN((EC809+EC810)*$C$5,$F$15)*'⑫ Roll-out Plan'!$O$85</f>
        <v>0</v>
      </c>
      <c r="ED1026" s="9" t="n">
        <f aca="false">MIN((ED809+ED810)*$C$5,$F$15)*'⑫ Roll-out Plan'!$O$85</f>
        <v>0</v>
      </c>
      <c r="EE1026" s="9" t="n">
        <f aca="false">MIN((EE809+EE810)*$C$5,$F$15)*'⑫ Roll-out Plan'!$O$85</f>
        <v>0</v>
      </c>
      <c r="EF1026" s="9" t="n">
        <f aca="false">MIN((EF809+EF810)*$C$5,$F$15)*'⑫ Roll-out Plan'!$O$85</f>
        <v>0</v>
      </c>
      <c r="EG1026" s="9" t="n">
        <f aca="false">MIN((EG809+EG810)*$C$5,$F$15)*'⑫ Roll-out Plan'!$O$85</f>
        <v>0</v>
      </c>
      <c r="EH1026" s="9" t="n">
        <f aca="false">MIN((EH809+EH810)*$C$5,$F$15)*'⑫ Roll-out Plan'!$O$85</f>
        <v>0</v>
      </c>
      <c r="EI1026" s="9" t="n">
        <f aca="false">MIN((EI809+EI810)*$C$5,$F$15)*'⑫ Roll-out Plan'!$O$85</f>
        <v>0</v>
      </c>
      <c r="EJ1026" s="9" t="n">
        <f aca="false">MIN((EJ809+EJ810)*$C$5,$F$15)*'⑫ Roll-out Plan'!$O$85</f>
        <v>0</v>
      </c>
      <c r="EK1026" s="9" t="n">
        <f aca="false">MIN((EK809+EK810)*$C$5,$F$15)*'⑫ Roll-out Plan'!$O$85</f>
        <v>0</v>
      </c>
      <c r="EL1026" s="9" t="n">
        <f aca="false">MIN((EL809+EL810)*$C$5,$F$15)*'⑫ Roll-out Plan'!$O$85</f>
        <v>0</v>
      </c>
      <c r="EM1026" s="9" t="n">
        <f aca="false">MIN((EM809+EM810)*$C$5,$F$15)*'⑫ Roll-out Plan'!$O$85</f>
        <v>0</v>
      </c>
      <c r="EN1026" s="9" t="n">
        <f aca="false">MIN((EN809+EN810)*$C$5,$F$15)*'⑫ Roll-out Plan'!$O$85</f>
        <v>0</v>
      </c>
      <c r="EO1026" s="9" t="n">
        <f aca="false">MIN((EO809+EO810)*$C$5,$F$15)*'⑫ Roll-out Plan'!$O$85</f>
        <v>0</v>
      </c>
      <c r="EP1026" s="9" t="n">
        <f aca="false">MIN((EP809+EP810)*$C$5,$F$15)*'⑫ Roll-out Plan'!$O$85</f>
        <v>0</v>
      </c>
      <c r="EQ1026" s="9" t="n">
        <f aca="false">MIN((EQ809+EQ810)*$C$5,$F$15)*'⑫ Roll-out Plan'!$O$85</f>
        <v>0</v>
      </c>
      <c r="ER1026" s="9" t="n">
        <f aca="false">MIN((ER809+ER810)*$C$5,$F$15)*'⑫ Roll-out Plan'!$O$85</f>
        <v>0</v>
      </c>
      <c r="ES1026" s="9" t="n">
        <f aca="false">MIN((ES809+ES810)*$C$5,$F$15)*'⑫ Roll-out Plan'!$O$85</f>
        <v>5234.76</v>
      </c>
      <c r="ET1026" s="9" t="n">
        <f aca="false">MIN((ET809+ET810)*$C$5,$F$15)*'⑫ Roll-out Plan'!$O$85</f>
        <v>5042.04328</v>
      </c>
      <c r="EU1026" s="9" t="n">
        <f aca="false">MIN((EU809+EU810)*$C$5,$F$15)*'⑫ Roll-out Plan'!$O$85</f>
        <v>7398.771008</v>
      </c>
      <c r="EV1026" s="9" t="n">
        <f aca="false">MIN((EV809+EV810)*$C$5,$F$15)*'⑫ Roll-out Plan'!$O$85</f>
        <v>8255.6197904</v>
      </c>
      <c r="EW1026" s="9" t="n">
        <f aca="false">MIN((EW809+EW810)*$C$5,$F$15)*'⑫ Roll-out Plan'!$O$85</f>
        <v>7224.976976</v>
      </c>
      <c r="EX1026" s="9" t="n">
        <f aca="false">MIN((EX809+EX810)*$C$5,$F$15)*'⑫ Roll-out Plan'!$O$85</f>
        <v>7164.8664208</v>
      </c>
      <c r="EY1026" s="9" t="n">
        <f aca="false">MIN((EY809+EY810)*$C$5,$F$15)*'⑫ Roll-out Plan'!$O$85</f>
        <v>8315.047888</v>
      </c>
      <c r="EZ1026" s="9" t="n">
        <f aca="false">MIN((EZ809+EZ810)*$C$5,$F$15)*'⑫ Roll-out Plan'!$O$85</f>
        <v>14835.6278032</v>
      </c>
      <c r="FA1026" s="9" t="n">
        <f aca="false">MIN((FA809+FA810)*$C$5,$F$15)*'⑫ Roll-out Plan'!$O$85</f>
        <v>14621.1267264</v>
      </c>
      <c r="FB1026" s="9" t="n">
        <f aca="false">MIN((FB809+FB810)*$C$5,$F$15)*'⑫ Roll-out Plan'!$O$85</f>
        <v>12564.4476864</v>
      </c>
      <c r="FC1026" s="9" t="n">
        <f aca="false">MIN((FC809+FC810)*$C$5,$F$15)*'⑫ Roll-out Plan'!$O$85</f>
        <v>10663.7257184</v>
      </c>
      <c r="FD1026" s="9" t="n">
        <f aca="false">MIN((FD809+FD810)*$C$5,$F$15)*'⑫ Roll-out Plan'!$O$85</f>
        <v>14941.9515952</v>
      </c>
      <c r="FE1026" s="9" t="n">
        <f aca="false">MIN((FE809+FE810)*$C$5,$F$15)*'⑫ Roll-out Plan'!$O$85</f>
        <v>17470.0459776</v>
      </c>
      <c r="FF1026" s="9" t="n">
        <f aca="false">MIN((FF809+FF810)*$C$5,$F$15)*'⑫ Roll-out Plan'!$O$85</f>
        <v>15179.9043968</v>
      </c>
      <c r="FG1026" s="9" t="n">
        <f aca="false">MIN((FG809+FG810)*$C$5,$F$15)*'⑫ Roll-out Plan'!$O$85</f>
        <v>20036.2106368</v>
      </c>
      <c r="FH1026" s="9" t="n">
        <f aca="false">MIN((FH809+FH810)*$C$5,$F$15)*'⑫ Roll-out Plan'!$O$85</f>
        <v>24141.782496</v>
      </c>
      <c r="FI1026" s="9" t="n">
        <f aca="false">MIN((FI809+FI810)*$C$5,$F$15)*'⑫ Roll-out Plan'!$O$85</f>
        <v>22233.615536</v>
      </c>
      <c r="FJ1026" s="9" t="n">
        <f aca="false">MIN((FJ809+FJ810)*$C$5,$F$15)*'⑫ Roll-out Plan'!$O$85</f>
        <v>20682.4902288</v>
      </c>
      <c r="FK1026" s="9" t="n">
        <f aca="false">MIN((FK809+FK810)*$C$5,$F$15)*'⑫ Roll-out Plan'!$O$85</f>
        <v>22056.90128344</v>
      </c>
      <c r="FL1026" s="9" t="n">
        <f aca="false">MIN((FL809+FL810)*$C$5,$F$15)*'⑫ Roll-out Plan'!$O$85</f>
        <v>27000</v>
      </c>
      <c r="FM1026" s="9" t="n">
        <f aca="false">MIN((FM809+FM810)*$C$5,$F$15)*'⑫ Roll-out Plan'!$O$85</f>
        <v>27000</v>
      </c>
      <c r="FN1026" s="9" t="n">
        <f aca="false">MIN((FN809+FN810)*$C$5,$F$15)*'⑫ Roll-out Plan'!$O$85</f>
        <v>27000</v>
      </c>
      <c r="FO1026" s="9" t="n">
        <f aca="false">MIN((FO809+FO810)*$C$5,$F$15)*'⑫ Roll-out Plan'!$O$85</f>
        <v>23151.46109908</v>
      </c>
      <c r="FP1026" s="9" t="n">
        <f aca="false">MIN((FP809+FP810)*$C$5,$F$15)*'⑫ Roll-out Plan'!$O$85</f>
        <v>27000</v>
      </c>
    </row>
    <row r="1027" customFormat="false" ht="15" hidden="false" customHeight="false" outlineLevel="0" collapsed="false">
      <c r="B1027" s="9" t="s">
        <v>954</v>
      </c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121" t="n">
        <f aca="false">MIN((AC819+AC820)*$C$5,$F$16)*'⑫ Roll-out Plan'!$O$86</f>
        <v>0</v>
      </c>
      <c r="AD1027" s="9" t="n">
        <f aca="false">MIN((AD819+AD820)*$C$5,$F$16)*'⑫ Roll-out Plan'!$O$86</f>
        <v>0</v>
      </c>
      <c r="AE1027" s="9" t="n">
        <f aca="false">MIN((AE819+AE820)*$C$5,$F$16)*'⑫ Roll-out Plan'!$O$86</f>
        <v>0</v>
      </c>
      <c r="AF1027" s="9" t="n">
        <f aca="false">MIN((AF819+AF820)*$C$5,$F$16)*'⑫ Roll-out Plan'!$O$86</f>
        <v>0</v>
      </c>
      <c r="AG1027" s="9" t="n">
        <f aca="false">MIN((AG819+AG820)*$C$5,$F$16)*'⑫ Roll-out Plan'!$O$86</f>
        <v>0</v>
      </c>
      <c r="AH1027" s="9" t="n">
        <f aca="false">MIN((AH819+AH820)*$C$5,$F$16)*'⑫ Roll-out Plan'!$O$86</f>
        <v>0</v>
      </c>
      <c r="AI1027" s="9" t="n">
        <f aca="false">MIN((AI819+AI820)*$C$5,$F$16)*'⑫ Roll-out Plan'!$O$86</f>
        <v>0</v>
      </c>
      <c r="AJ1027" s="9" t="n">
        <f aca="false">MIN((AJ819+AJ820)*$C$5,$F$16)*'⑫ Roll-out Plan'!$O$86</f>
        <v>0</v>
      </c>
      <c r="AK1027" s="9" t="n">
        <f aca="false">MIN((AK819+AK820)*$C$5,$F$16)*'⑫ Roll-out Plan'!$O$86</f>
        <v>0</v>
      </c>
      <c r="AL1027" s="9" t="n">
        <f aca="false">MIN((AL819+AL820)*$C$5,$F$16)*'⑫ Roll-out Plan'!$O$86</f>
        <v>0</v>
      </c>
      <c r="AM1027" s="9" t="n">
        <f aca="false">MIN((AM819+AM820)*$C$5,$F$16)*'⑫ Roll-out Plan'!$O$86</f>
        <v>0</v>
      </c>
      <c r="AN1027" s="9" t="n">
        <f aca="false">MIN((AN819+AN820)*$C$5,$F$16)*'⑫ Roll-out Plan'!$O$86</f>
        <v>0</v>
      </c>
      <c r="AO1027" s="9" t="n">
        <f aca="false">MIN((AO819+AO820)*$C$5,$F$16)*'⑫ Roll-out Plan'!$O$86</f>
        <v>0</v>
      </c>
      <c r="AP1027" s="9" t="n">
        <f aca="false">MIN((AP819+AP820)*$C$5,$F$16)*'⑫ Roll-out Plan'!$O$86</f>
        <v>0</v>
      </c>
      <c r="AQ1027" s="9" t="n">
        <f aca="false">MIN((AQ819+AQ820)*$C$5,$F$16)*'⑫ Roll-out Plan'!$O$86</f>
        <v>0</v>
      </c>
      <c r="AR1027" s="9" t="n">
        <f aca="false">MIN((AR819+AR820)*$C$5,$F$16)*'⑫ Roll-out Plan'!$O$86</f>
        <v>0</v>
      </c>
      <c r="AS1027" s="9" t="n">
        <f aca="false">MIN((AS819+AS820)*$C$5,$F$16)*'⑫ Roll-out Plan'!$O$86</f>
        <v>0</v>
      </c>
      <c r="AT1027" s="9" t="n">
        <f aca="false">MIN((AT819+AT820)*$C$5,$F$16)*'⑫ Roll-out Plan'!$O$86</f>
        <v>0</v>
      </c>
      <c r="AU1027" s="9" t="n">
        <f aca="false">MIN((AU819+AU820)*$C$5,$F$16)*'⑫ Roll-out Plan'!$O$86</f>
        <v>0</v>
      </c>
      <c r="AV1027" s="9" t="n">
        <f aca="false">MIN((AV819+AV820)*$C$5,$F$16)*'⑫ Roll-out Plan'!$O$86</f>
        <v>0</v>
      </c>
      <c r="AW1027" s="9" t="n">
        <f aca="false">MIN((AW819+AW820)*$C$5,$F$16)*'⑫ Roll-out Plan'!$O$86</f>
        <v>0</v>
      </c>
      <c r="AX1027" s="9" t="n">
        <f aca="false">MIN((AX819+AX820)*$C$5,$F$16)*'⑫ Roll-out Plan'!$O$86</f>
        <v>0</v>
      </c>
      <c r="AY1027" s="9" t="n">
        <f aca="false">MIN((AY819+AY820)*$C$5,$F$16)*'⑫ Roll-out Plan'!$O$86</f>
        <v>0</v>
      </c>
      <c r="AZ1027" s="9" t="n">
        <f aca="false">MIN((AZ819+AZ820)*$C$5,$F$16)*'⑫ Roll-out Plan'!$O$86</f>
        <v>0</v>
      </c>
      <c r="BA1027" s="9" t="n">
        <f aca="false">MIN((BA819+BA820)*$C$5,$F$16)*'⑫ Roll-out Plan'!$O$86</f>
        <v>0</v>
      </c>
      <c r="BB1027" s="9" t="n">
        <f aca="false">MIN((BB819+BB820)*$C$5,$F$16)*'⑫ Roll-out Plan'!$O$86</f>
        <v>0</v>
      </c>
      <c r="BC1027" s="9" t="n">
        <f aca="false">MIN((BC819+BC820)*$C$5,$F$16)*'⑫ Roll-out Plan'!$O$86</f>
        <v>0</v>
      </c>
      <c r="BD1027" s="9" t="n">
        <f aca="false">MIN((BD819+BD820)*$C$5,$F$16)*'⑫ Roll-out Plan'!$O$86</f>
        <v>0</v>
      </c>
      <c r="BE1027" s="9" t="n">
        <f aca="false">MIN((BE819+BE820)*$C$5,$F$16)*'⑫ Roll-out Plan'!$O$86</f>
        <v>0</v>
      </c>
      <c r="BF1027" s="9" t="n">
        <f aca="false">MIN((BF819+BF820)*$C$5,$F$16)*'⑫ Roll-out Plan'!$O$86</f>
        <v>0</v>
      </c>
      <c r="BG1027" s="9" t="n">
        <f aca="false">MIN((BG819+BG820)*$C$5,$F$16)*'⑫ Roll-out Plan'!$O$86</f>
        <v>0</v>
      </c>
      <c r="BH1027" s="9" t="n">
        <f aca="false">MIN((BH819+BH820)*$C$5,$F$16)*'⑫ Roll-out Plan'!$O$86</f>
        <v>0</v>
      </c>
      <c r="BI1027" s="9" t="n">
        <f aca="false">MIN((BI819+BI820)*$C$5,$F$16)*'⑫ Roll-out Plan'!$O$86</f>
        <v>0</v>
      </c>
      <c r="BJ1027" s="9" t="n">
        <f aca="false">MIN((BJ819+BJ820)*$C$5,$F$16)*'⑫ Roll-out Plan'!$O$86</f>
        <v>0</v>
      </c>
      <c r="BK1027" s="9" t="n">
        <f aca="false">MIN((BK819+BK820)*$C$5,$F$16)*'⑫ Roll-out Plan'!$O$86</f>
        <v>0</v>
      </c>
      <c r="BL1027" s="9" t="n">
        <f aca="false">MIN((BL819+BL820)*$C$5,$F$16)*'⑫ Roll-out Plan'!$O$86</f>
        <v>0</v>
      </c>
      <c r="BM1027" s="9" t="n">
        <f aca="false">MIN((BM819+BM820)*$C$5,$F$16)*'⑫ Roll-out Plan'!$O$86</f>
        <v>0</v>
      </c>
      <c r="BN1027" s="9" t="n">
        <f aca="false">MIN((BN819+BN820)*$C$5,$F$16)*'⑫ Roll-out Plan'!$O$86</f>
        <v>0</v>
      </c>
      <c r="BO1027" s="9" t="n">
        <f aca="false">MIN((BO819+BO820)*$C$5,$F$16)*'⑫ Roll-out Plan'!$O$86</f>
        <v>0</v>
      </c>
      <c r="BP1027" s="9" t="n">
        <f aca="false">MIN((BP819+BP820)*$C$5,$F$16)*'⑫ Roll-out Plan'!$O$86</f>
        <v>0</v>
      </c>
      <c r="BQ1027" s="9" t="n">
        <f aca="false">MIN((BQ819+BQ820)*$C$5,$F$16)*'⑫ Roll-out Plan'!$O$86</f>
        <v>0</v>
      </c>
      <c r="BR1027" s="9" t="n">
        <f aca="false">MIN((BR819+BR820)*$C$5,$F$16)*'⑫ Roll-out Plan'!$O$86</f>
        <v>0</v>
      </c>
      <c r="BS1027" s="9" t="n">
        <f aca="false">MIN((BS819+BS820)*$C$5,$F$16)*'⑫ Roll-out Plan'!$O$86</f>
        <v>0</v>
      </c>
      <c r="BT1027" s="9" t="n">
        <f aca="false">MIN((BT819+BT820)*$C$5,$F$16)*'⑫ Roll-out Plan'!$O$86</f>
        <v>0</v>
      </c>
      <c r="BU1027" s="9" t="n">
        <f aca="false">MIN((BU819+BU820)*$C$5,$F$16)*'⑫ Roll-out Plan'!$O$86</f>
        <v>0</v>
      </c>
      <c r="BV1027" s="9" t="n">
        <f aca="false">MIN((BV819+BV820)*$C$5,$F$16)*'⑫ Roll-out Plan'!$O$86</f>
        <v>0</v>
      </c>
      <c r="BW1027" s="9" t="n">
        <f aca="false">MIN((BW819+BW820)*$C$5,$F$16)*'⑫ Roll-out Plan'!$O$86</f>
        <v>0</v>
      </c>
      <c r="BX1027" s="9" t="n">
        <f aca="false">MIN((BX819+BX820)*$C$5,$F$16)*'⑫ Roll-out Plan'!$O$86</f>
        <v>0</v>
      </c>
      <c r="BY1027" s="9" t="n">
        <f aca="false">MIN((BY819+BY820)*$C$5,$F$16)*'⑫ Roll-out Plan'!$O$86</f>
        <v>0</v>
      </c>
      <c r="BZ1027" s="9" t="n">
        <f aca="false">MIN((BZ819+BZ820)*$C$5,$F$16)*'⑫ Roll-out Plan'!$O$86</f>
        <v>0</v>
      </c>
      <c r="CA1027" s="9" t="n">
        <f aca="false">MIN((CA819+CA820)*$C$5,$F$16)*'⑫ Roll-out Plan'!$O$86</f>
        <v>0</v>
      </c>
      <c r="CB1027" s="9" t="n">
        <f aca="false">MIN((CB819+CB820)*$C$5,$F$16)*'⑫ Roll-out Plan'!$O$86</f>
        <v>0</v>
      </c>
      <c r="CC1027" s="9" t="n">
        <f aca="false">MIN((CC819+CC820)*$C$5,$F$16)*'⑫ Roll-out Plan'!$O$86</f>
        <v>0</v>
      </c>
      <c r="CD1027" s="9" t="n">
        <f aca="false">MIN((CD819+CD820)*$C$5,$F$16)*'⑫ Roll-out Plan'!$O$86</f>
        <v>0</v>
      </c>
      <c r="CE1027" s="9" t="n">
        <f aca="false">MIN((CE819+CE820)*$C$5,$F$16)*'⑫ Roll-out Plan'!$O$86</f>
        <v>0</v>
      </c>
      <c r="CF1027" s="9" t="n">
        <f aca="false">MIN((CF819+CF820)*$C$5,$F$16)*'⑫ Roll-out Plan'!$O$86</f>
        <v>0</v>
      </c>
      <c r="CG1027" s="9" t="n">
        <f aca="false">MIN((CG819+CG820)*$C$5,$F$16)*'⑫ Roll-out Plan'!$O$86</f>
        <v>0</v>
      </c>
      <c r="CH1027" s="9" t="n">
        <f aca="false">MIN((CH819+CH820)*$C$5,$F$16)*'⑫ Roll-out Plan'!$O$86</f>
        <v>0</v>
      </c>
      <c r="CI1027" s="9" t="n">
        <f aca="false">MIN((CI819+CI820)*$C$5,$F$16)*'⑫ Roll-out Plan'!$O$86</f>
        <v>0</v>
      </c>
      <c r="CJ1027" s="9" t="n">
        <f aca="false">MIN((CJ819+CJ820)*$C$5,$F$16)*'⑫ Roll-out Plan'!$O$86</f>
        <v>0</v>
      </c>
      <c r="CK1027" s="9" t="n">
        <f aca="false">MIN((CK819+CK820)*$C$5,$F$16)*'⑫ Roll-out Plan'!$O$86</f>
        <v>0</v>
      </c>
      <c r="CL1027" s="9" t="n">
        <f aca="false">MIN((CL819+CL820)*$C$5,$F$16)*'⑫ Roll-out Plan'!$O$86</f>
        <v>0</v>
      </c>
      <c r="CM1027" s="9" t="n">
        <f aca="false">MIN((CM819+CM820)*$C$5,$F$16)*'⑫ Roll-out Plan'!$O$86</f>
        <v>0</v>
      </c>
      <c r="CN1027" s="9" t="n">
        <f aca="false">MIN((CN819+CN820)*$C$5,$F$16)*'⑫ Roll-out Plan'!$O$86</f>
        <v>0</v>
      </c>
      <c r="CO1027" s="9" t="n">
        <f aca="false">MIN((CO819+CO820)*$C$5,$F$16)*'⑫ Roll-out Plan'!$O$86</f>
        <v>0</v>
      </c>
      <c r="CP1027" s="9" t="n">
        <f aca="false">MIN((CP819+CP820)*$C$5,$F$16)*'⑫ Roll-out Plan'!$O$86</f>
        <v>0</v>
      </c>
      <c r="CQ1027" s="9" t="n">
        <f aca="false">MIN((CQ819+CQ820)*$C$5,$F$16)*'⑫ Roll-out Plan'!$O$86</f>
        <v>0</v>
      </c>
      <c r="CR1027" s="9" t="n">
        <f aca="false">MIN((CR819+CR820)*$C$5,$F$16)*'⑫ Roll-out Plan'!$O$86</f>
        <v>0</v>
      </c>
      <c r="CS1027" s="9" t="n">
        <f aca="false">MIN((CS819+CS820)*$C$5,$F$16)*'⑫ Roll-out Plan'!$O$86</f>
        <v>0</v>
      </c>
      <c r="CT1027" s="9" t="n">
        <f aca="false">MIN((CT819+CT820)*$C$5,$F$16)*'⑫ Roll-out Plan'!$O$86</f>
        <v>0</v>
      </c>
      <c r="CU1027" s="9" t="n">
        <f aca="false">MIN((CU819+CU820)*$C$5,$F$16)*'⑫ Roll-out Plan'!$O$86</f>
        <v>0</v>
      </c>
      <c r="CV1027" s="9" t="n">
        <f aca="false">MIN((CV819+CV820)*$C$5,$F$16)*'⑫ Roll-out Plan'!$O$86</f>
        <v>0</v>
      </c>
      <c r="CW1027" s="9" t="n">
        <f aca="false">MIN((CW819+CW820)*$C$5,$F$16)*'⑫ Roll-out Plan'!$O$86</f>
        <v>0</v>
      </c>
      <c r="CX1027" s="9" t="n">
        <f aca="false">MIN((CX819+CX820)*$C$5,$F$16)*'⑫ Roll-out Plan'!$O$86</f>
        <v>0</v>
      </c>
      <c r="CY1027" s="9" t="n">
        <f aca="false">MIN((CY819+CY820)*$C$5,$F$16)*'⑫ Roll-out Plan'!$O$86</f>
        <v>0</v>
      </c>
      <c r="CZ1027" s="9" t="n">
        <f aca="false">MIN((CZ819+CZ820)*$C$5,$F$16)*'⑫ Roll-out Plan'!$O$86</f>
        <v>0</v>
      </c>
      <c r="DA1027" s="9" t="n">
        <f aca="false">MIN((DA819+DA820)*$C$5,$F$16)*'⑫ Roll-out Plan'!$O$86</f>
        <v>0</v>
      </c>
      <c r="DB1027" s="9" t="n">
        <f aca="false">MIN((DB819+DB820)*$C$5,$F$16)*'⑫ Roll-out Plan'!$O$86</f>
        <v>0</v>
      </c>
      <c r="DC1027" s="9" t="n">
        <f aca="false">MIN((DC819+DC820)*$C$5,$F$16)*'⑫ Roll-out Plan'!$O$86</f>
        <v>0</v>
      </c>
      <c r="DD1027" s="9" t="n">
        <f aca="false">MIN((DD819+DD820)*$C$5,$F$16)*'⑫ Roll-out Plan'!$O$86</f>
        <v>0</v>
      </c>
      <c r="DE1027" s="9" t="n">
        <f aca="false">MIN((DE819+DE820)*$C$5,$F$16)*'⑫ Roll-out Plan'!$O$86</f>
        <v>0</v>
      </c>
      <c r="DF1027" s="9" t="n">
        <f aca="false">MIN((DF819+DF820)*$C$5,$F$16)*'⑫ Roll-out Plan'!$O$86</f>
        <v>0</v>
      </c>
      <c r="DG1027" s="9" t="n">
        <f aca="false">MIN((DG819+DG820)*$C$5,$F$16)*'⑫ Roll-out Plan'!$O$86</f>
        <v>0</v>
      </c>
      <c r="DH1027" s="9" t="n">
        <f aca="false">MIN((DH819+DH820)*$C$5,$F$16)*'⑫ Roll-out Plan'!$O$86</f>
        <v>0</v>
      </c>
      <c r="DI1027" s="9" t="n">
        <f aca="false">MIN((DI819+DI820)*$C$5,$F$16)*'⑫ Roll-out Plan'!$O$86</f>
        <v>0</v>
      </c>
      <c r="DJ1027" s="9" t="n">
        <f aca="false">MIN((DJ819+DJ820)*$C$5,$F$16)*'⑫ Roll-out Plan'!$O$86</f>
        <v>0</v>
      </c>
      <c r="DK1027" s="9" t="n">
        <f aca="false">MIN((DK819+DK820)*$C$5,$F$16)*'⑫ Roll-out Plan'!$O$86</f>
        <v>0</v>
      </c>
      <c r="DL1027" s="9" t="n">
        <f aca="false">MIN((DL819+DL820)*$C$5,$F$16)*'⑫ Roll-out Plan'!$O$86</f>
        <v>0</v>
      </c>
      <c r="DM1027" s="9" t="n">
        <f aca="false">MIN((DM819+DM820)*$C$5,$F$16)*'⑫ Roll-out Plan'!$O$86</f>
        <v>0</v>
      </c>
      <c r="DN1027" s="9" t="n">
        <f aca="false">MIN((DN819+DN820)*$C$5,$F$16)*'⑫ Roll-out Plan'!$O$86</f>
        <v>0</v>
      </c>
      <c r="DO1027" s="9" t="n">
        <f aca="false">MIN((DO819+DO820)*$C$5,$F$16)*'⑫ Roll-out Plan'!$O$86</f>
        <v>0</v>
      </c>
      <c r="DP1027" s="9" t="n">
        <f aca="false">MIN((DP819+DP820)*$C$5,$F$16)*'⑫ Roll-out Plan'!$O$86</f>
        <v>0</v>
      </c>
      <c r="DQ1027" s="9" t="n">
        <f aca="false">MIN((DQ819+DQ820)*$C$5,$F$16)*'⑫ Roll-out Plan'!$O$86</f>
        <v>0</v>
      </c>
      <c r="DR1027" s="9" t="n">
        <f aca="false">MIN((DR819+DR820)*$C$5,$F$16)*'⑫ Roll-out Plan'!$O$86</f>
        <v>0</v>
      </c>
      <c r="DS1027" s="9" t="n">
        <f aca="false">MIN((DS819+DS820)*$C$5,$F$16)*'⑫ Roll-out Plan'!$O$86</f>
        <v>0</v>
      </c>
      <c r="DT1027" s="9" t="n">
        <f aca="false">MIN((DT819+DT820)*$C$5,$F$16)*'⑫ Roll-out Plan'!$O$86</f>
        <v>0</v>
      </c>
      <c r="DU1027" s="9" t="n">
        <f aca="false">MIN((DU819+DU820)*$C$5,$F$16)*'⑫ Roll-out Plan'!$O$86</f>
        <v>0</v>
      </c>
      <c r="DV1027" s="9" t="n">
        <f aca="false">MIN((DV819+DV820)*$C$5,$F$16)*'⑫ Roll-out Plan'!$O$86</f>
        <v>0</v>
      </c>
      <c r="DW1027" s="9" t="n">
        <f aca="false">MIN((DW819+DW820)*$C$5,$F$16)*'⑫ Roll-out Plan'!$O$86</f>
        <v>0</v>
      </c>
      <c r="DX1027" s="9" t="n">
        <f aca="false">MIN((DX819+DX820)*$C$5,$F$16)*'⑫ Roll-out Plan'!$O$86</f>
        <v>0</v>
      </c>
      <c r="DY1027" s="9" t="n">
        <f aca="false">MIN((DY819+DY820)*$C$5,$F$16)*'⑫ Roll-out Plan'!$O$86</f>
        <v>0</v>
      </c>
      <c r="DZ1027" s="9" t="n">
        <f aca="false">MIN((DZ819+DZ820)*$C$5,$F$16)*'⑫ Roll-out Plan'!$O$86</f>
        <v>0</v>
      </c>
      <c r="EA1027" s="9" t="n">
        <f aca="false">MIN((EA819+EA820)*$C$5,$F$16)*'⑫ Roll-out Plan'!$O$86</f>
        <v>0</v>
      </c>
      <c r="EB1027" s="9" t="n">
        <f aca="false">MIN((EB819+EB820)*$C$5,$F$16)*'⑫ Roll-out Plan'!$O$86</f>
        <v>0</v>
      </c>
      <c r="EC1027" s="9" t="n">
        <f aca="false">MIN((EC819+EC820)*$C$5,$F$16)*'⑫ Roll-out Plan'!$O$86</f>
        <v>0</v>
      </c>
      <c r="ED1027" s="9" t="n">
        <f aca="false">MIN((ED819+ED820)*$C$5,$F$16)*'⑫ Roll-out Plan'!$O$86</f>
        <v>0</v>
      </c>
      <c r="EE1027" s="9" t="n">
        <f aca="false">MIN((EE819+EE820)*$C$5,$F$16)*'⑫ Roll-out Plan'!$O$86</f>
        <v>0</v>
      </c>
      <c r="EF1027" s="9" t="n">
        <f aca="false">MIN((EF819+EF820)*$C$5,$F$16)*'⑫ Roll-out Plan'!$O$86</f>
        <v>0</v>
      </c>
      <c r="EG1027" s="9" t="n">
        <f aca="false">MIN((EG819+EG820)*$C$5,$F$16)*'⑫ Roll-out Plan'!$O$86</f>
        <v>0</v>
      </c>
      <c r="EH1027" s="9" t="n">
        <f aca="false">MIN((EH819+EH820)*$C$5,$F$16)*'⑫ Roll-out Plan'!$O$86</f>
        <v>0</v>
      </c>
      <c r="EI1027" s="9" t="n">
        <f aca="false">MIN((EI819+EI820)*$C$5,$F$16)*'⑫ Roll-out Plan'!$O$86</f>
        <v>0</v>
      </c>
      <c r="EJ1027" s="9" t="n">
        <f aca="false">MIN((EJ819+EJ820)*$C$5,$F$16)*'⑫ Roll-out Plan'!$O$86</f>
        <v>0</v>
      </c>
      <c r="EK1027" s="9" t="n">
        <f aca="false">MIN((EK819+EK820)*$C$5,$F$16)*'⑫ Roll-out Plan'!$O$86</f>
        <v>0</v>
      </c>
      <c r="EL1027" s="9" t="n">
        <f aca="false">MIN((EL819+EL820)*$C$5,$F$16)*'⑫ Roll-out Plan'!$O$86</f>
        <v>0</v>
      </c>
      <c r="EM1027" s="9" t="n">
        <f aca="false">MIN((EM819+EM820)*$C$5,$F$16)*'⑫ Roll-out Plan'!$O$86</f>
        <v>0</v>
      </c>
      <c r="EN1027" s="9" t="n">
        <f aca="false">MIN((EN819+EN820)*$C$5,$F$16)*'⑫ Roll-out Plan'!$O$86</f>
        <v>0</v>
      </c>
      <c r="EO1027" s="9" t="n">
        <f aca="false">MIN((EO819+EO820)*$C$5,$F$16)*'⑫ Roll-out Plan'!$O$86</f>
        <v>0</v>
      </c>
      <c r="EP1027" s="9" t="n">
        <f aca="false">MIN((EP819+EP820)*$C$5,$F$16)*'⑫ Roll-out Plan'!$O$86</f>
        <v>0</v>
      </c>
      <c r="EQ1027" s="9" t="n">
        <f aca="false">MIN((EQ819+EQ820)*$C$5,$F$16)*'⑫ Roll-out Plan'!$O$86</f>
        <v>0</v>
      </c>
      <c r="ER1027" s="9" t="n">
        <f aca="false">MIN((ER819+ER820)*$C$5,$F$16)*'⑫ Roll-out Plan'!$O$86</f>
        <v>0</v>
      </c>
      <c r="ES1027" s="9" t="n">
        <f aca="false">MIN((ES819+ES820)*$C$5,$F$16)*'⑫ Roll-out Plan'!$O$86</f>
        <v>0</v>
      </c>
      <c r="ET1027" s="9" t="n">
        <f aca="false">MIN((ET819+ET820)*$C$5,$F$16)*'⑫ Roll-out Plan'!$O$86</f>
        <v>2363.24</v>
      </c>
      <c r="EU1027" s="9" t="n">
        <f aca="false">MIN((EU819+EU820)*$C$5,$F$16)*'⑫ Roll-out Plan'!$O$86</f>
        <v>3979.92672</v>
      </c>
      <c r="EV1027" s="9" t="n">
        <f aca="false">MIN((EV819+EV820)*$C$5,$F$16)*'⑫ Roll-out Plan'!$O$86</f>
        <v>4316.54432</v>
      </c>
      <c r="EW1027" s="9" t="n">
        <f aca="false">MIN((EW819+EW820)*$C$5,$F$16)*'⑫ Roll-out Plan'!$O$86</f>
        <v>4184.0460992</v>
      </c>
      <c r="EX1027" s="9" t="n">
        <f aca="false">MIN((EX819+EX820)*$C$5,$F$16)*'⑫ Roll-out Plan'!$O$86</f>
        <v>3750.3074048</v>
      </c>
      <c r="EY1027" s="9" t="n">
        <f aca="false">MIN((EY819+EY820)*$C$5,$F$16)*'⑫ Roll-out Plan'!$O$86</f>
        <v>4368.743104</v>
      </c>
      <c r="EZ1027" s="9" t="n">
        <f aca="false">MIN((EZ819+EZ820)*$C$5,$F$16)*'⑫ Roll-out Plan'!$O$86</f>
        <v>7872.3743648</v>
      </c>
      <c r="FA1027" s="9" t="n">
        <f aca="false">MIN((FA819+FA820)*$C$5,$F$16)*'⑫ Roll-out Plan'!$O$86</f>
        <v>7709.3546112</v>
      </c>
      <c r="FB1027" s="9" t="n">
        <f aca="false">MIN((FB819+FB820)*$C$5,$F$16)*'⑫ Roll-out Plan'!$O$86</f>
        <v>7293.973104</v>
      </c>
      <c r="FC1027" s="9" t="n">
        <f aca="false">MIN((FC819+FC820)*$C$5,$F$16)*'⑫ Roll-out Plan'!$O$86</f>
        <v>5815.6546624</v>
      </c>
      <c r="FD1027" s="9" t="n">
        <f aca="false">MIN((FD819+FD820)*$C$5,$F$16)*'⑫ Roll-out Plan'!$O$86</f>
        <v>8187.6836096</v>
      </c>
      <c r="FE1027" s="9" t="n">
        <f aca="false">MIN((FE819+FE820)*$C$5,$F$16)*'⑫ Roll-out Plan'!$O$86</f>
        <v>9558.3996992</v>
      </c>
      <c r="FF1027" s="9" t="n">
        <f aca="false">MIN((FF819+FF820)*$C$5,$F$16)*'⑫ Roll-out Plan'!$O$86</f>
        <v>8306.5741792</v>
      </c>
      <c r="FG1027" s="9" t="n">
        <f aca="false">MIN((FG819+FG820)*$C$5,$F$16)*'⑫ Roll-out Plan'!$O$86</f>
        <v>11745.833088</v>
      </c>
      <c r="FH1027" s="9" t="n">
        <f aca="false">MIN((FH819+FH820)*$C$5,$F$16)*'⑫ Roll-out Plan'!$O$86</f>
        <v>11755.770224</v>
      </c>
      <c r="FI1027" s="9" t="n">
        <f aca="false">MIN((FI819+FI820)*$C$5,$F$16)*'⑫ Roll-out Plan'!$O$86</f>
        <v>12330.1274624</v>
      </c>
      <c r="FJ1027" s="9" t="n">
        <f aca="false">MIN((FJ819+FJ820)*$C$5,$F$16)*'⑫ Roll-out Plan'!$O$86</f>
        <v>11617.6002272</v>
      </c>
      <c r="FK1027" s="9" t="n">
        <f aca="false">MIN((FK819+FK820)*$C$5,$F$16)*'⑫ Roll-out Plan'!$O$86</f>
        <v>12535.38626912</v>
      </c>
      <c r="FL1027" s="9" t="n">
        <f aca="false">MIN((FL819+FL820)*$C$5,$F$16)*'⑫ Roll-out Plan'!$O$86</f>
        <v>20296.66437568</v>
      </c>
      <c r="FM1027" s="9" t="n">
        <f aca="false">MIN((FM819+FM820)*$C$5,$F$16)*'⑫ Roll-out Plan'!$O$86</f>
        <v>18258.50475328</v>
      </c>
      <c r="FN1027" s="9" t="n">
        <f aca="false">MIN((FN819+FN820)*$C$5,$F$16)*'⑫ Roll-out Plan'!$O$86</f>
        <v>16076.78717744</v>
      </c>
      <c r="FO1027" s="9" t="n">
        <f aca="false">MIN((FO819+FO820)*$C$5,$F$16)*'⑫ Roll-out Plan'!$O$86</f>
        <v>13230.725948</v>
      </c>
      <c r="FP1027" s="9" t="n">
        <f aca="false">MIN((FP819+FP820)*$C$5,$F$16)*'⑫ Roll-out Plan'!$O$86</f>
        <v>17264.07180608</v>
      </c>
    </row>
    <row r="1028" customFormat="false" ht="15" hidden="false" customHeight="false" outlineLevel="0" collapsed="false">
      <c r="B1028" s="9" t="s">
        <v>955</v>
      </c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121" t="n">
        <f aca="false">MIN((AC829+AC830)*$C$5,$F$15)*'⑫ Roll-out Plan'!$O$87</f>
        <v>0</v>
      </c>
      <c r="AD1028" s="9" t="n">
        <f aca="false">MIN((AD829+AD830)*$C$5,$F$15)*'⑫ Roll-out Plan'!$O$87</f>
        <v>0</v>
      </c>
      <c r="AE1028" s="9" t="n">
        <f aca="false">MIN((AE829+AE830)*$C$5,$F$15)*'⑫ Roll-out Plan'!$O$87</f>
        <v>0</v>
      </c>
      <c r="AF1028" s="9" t="n">
        <f aca="false">MIN((AF829+AF830)*$C$5,$F$15)*'⑫ Roll-out Plan'!$O$87</f>
        <v>0</v>
      </c>
      <c r="AG1028" s="9" t="n">
        <f aca="false">MIN((AG829+AG830)*$C$5,$F$15)*'⑫ Roll-out Plan'!$O$87</f>
        <v>0</v>
      </c>
      <c r="AH1028" s="9" t="n">
        <f aca="false">MIN((AH829+AH830)*$C$5,$F$15)*'⑫ Roll-out Plan'!$O$87</f>
        <v>0</v>
      </c>
      <c r="AI1028" s="9" t="n">
        <f aca="false">MIN((AI829+AI830)*$C$5,$F$15)*'⑫ Roll-out Plan'!$O$87</f>
        <v>0</v>
      </c>
      <c r="AJ1028" s="9" t="n">
        <f aca="false">MIN((AJ829+AJ830)*$C$5,$F$15)*'⑫ Roll-out Plan'!$O$87</f>
        <v>0</v>
      </c>
      <c r="AK1028" s="9" t="n">
        <f aca="false">MIN((AK829+AK830)*$C$5,$F$15)*'⑫ Roll-out Plan'!$O$87</f>
        <v>0</v>
      </c>
      <c r="AL1028" s="9" t="n">
        <f aca="false">MIN((AL829+AL830)*$C$5,$F$15)*'⑫ Roll-out Plan'!$O$87</f>
        <v>0</v>
      </c>
      <c r="AM1028" s="9" t="n">
        <f aca="false">MIN((AM829+AM830)*$C$5,$F$15)*'⑫ Roll-out Plan'!$O$87</f>
        <v>0</v>
      </c>
      <c r="AN1028" s="9" t="n">
        <f aca="false">MIN((AN829+AN830)*$C$5,$F$15)*'⑫ Roll-out Plan'!$O$87</f>
        <v>0</v>
      </c>
      <c r="AO1028" s="9" t="n">
        <f aca="false">MIN((AO829+AO830)*$C$5,$F$15)*'⑫ Roll-out Plan'!$O$87</f>
        <v>0</v>
      </c>
      <c r="AP1028" s="9" t="n">
        <f aca="false">MIN((AP829+AP830)*$C$5,$F$15)*'⑫ Roll-out Plan'!$O$87</f>
        <v>0</v>
      </c>
      <c r="AQ1028" s="9" t="n">
        <f aca="false">MIN((AQ829+AQ830)*$C$5,$F$15)*'⑫ Roll-out Plan'!$O$87</f>
        <v>0</v>
      </c>
      <c r="AR1028" s="9" t="n">
        <f aca="false">MIN((AR829+AR830)*$C$5,$F$15)*'⑫ Roll-out Plan'!$O$87</f>
        <v>0</v>
      </c>
      <c r="AS1028" s="9" t="n">
        <f aca="false">MIN((AS829+AS830)*$C$5,$F$15)*'⑫ Roll-out Plan'!$O$87</f>
        <v>0</v>
      </c>
      <c r="AT1028" s="9" t="n">
        <f aca="false">MIN((AT829+AT830)*$C$5,$F$15)*'⑫ Roll-out Plan'!$O$87</f>
        <v>0</v>
      </c>
      <c r="AU1028" s="9" t="n">
        <f aca="false">MIN((AU829+AU830)*$C$5,$F$15)*'⑫ Roll-out Plan'!$O$87</f>
        <v>0</v>
      </c>
      <c r="AV1028" s="9" t="n">
        <f aca="false">MIN((AV829+AV830)*$C$5,$F$15)*'⑫ Roll-out Plan'!$O$87</f>
        <v>0</v>
      </c>
      <c r="AW1028" s="9" t="n">
        <f aca="false">MIN((AW829+AW830)*$C$5,$F$15)*'⑫ Roll-out Plan'!$O$87</f>
        <v>0</v>
      </c>
      <c r="AX1028" s="9" t="n">
        <f aca="false">MIN((AX829+AX830)*$C$5,$F$15)*'⑫ Roll-out Plan'!$O$87</f>
        <v>0</v>
      </c>
      <c r="AY1028" s="9" t="n">
        <f aca="false">MIN((AY829+AY830)*$C$5,$F$15)*'⑫ Roll-out Plan'!$O$87</f>
        <v>0</v>
      </c>
      <c r="AZ1028" s="9" t="n">
        <f aca="false">MIN((AZ829+AZ830)*$C$5,$F$15)*'⑫ Roll-out Plan'!$O$87</f>
        <v>0</v>
      </c>
      <c r="BA1028" s="9" t="n">
        <f aca="false">MIN((BA829+BA830)*$C$5,$F$15)*'⑫ Roll-out Plan'!$O$87</f>
        <v>0</v>
      </c>
      <c r="BB1028" s="9" t="n">
        <f aca="false">MIN((BB829+BB830)*$C$5,$F$15)*'⑫ Roll-out Plan'!$O$87</f>
        <v>0</v>
      </c>
      <c r="BC1028" s="9" t="n">
        <f aca="false">MIN((BC829+BC830)*$C$5,$F$15)*'⑫ Roll-out Plan'!$O$87</f>
        <v>0</v>
      </c>
      <c r="BD1028" s="9" t="n">
        <f aca="false">MIN((BD829+BD830)*$C$5,$F$15)*'⑫ Roll-out Plan'!$O$87</f>
        <v>0</v>
      </c>
      <c r="BE1028" s="9" t="n">
        <f aca="false">MIN((BE829+BE830)*$C$5,$F$15)*'⑫ Roll-out Plan'!$O$87</f>
        <v>0</v>
      </c>
      <c r="BF1028" s="9" t="n">
        <f aca="false">MIN((BF829+BF830)*$C$5,$F$15)*'⑫ Roll-out Plan'!$O$87</f>
        <v>0</v>
      </c>
      <c r="BG1028" s="9" t="n">
        <f aca="false">MIN((BG829+BG830)*$C$5,$F$15)*'⑫ Roll-out Plan'!$O$87</f>
        <v>0</v>
      </c>
      <c r="BH1028" s="9" t="n">
        <f aca="false">MIN((BH829+BH830)*$C$5,$F$15)*'⑫ Roll-out Plan'!$O$87</f>
        <v>0</v>
      </c>
      <c r="BI1028" s="9" t="n">
        <f aca="false">MIN((BI829+BI830)*$C$5,$F$15)*'⑫ Roll-out Plan'!$O$87</f>
        <v>0</v>
      </c>
      <c r="BJ1028" s="9" t="n">
        <f aca="false">MIN((BJ829+BJ830)*$C$5,$F$15)*'⑫ Roll-out Plan'!$O$87</f>
        <v>0</v>
      </c>
      <c r="BK1028" s="9" t="n">
        <f aca="false">MIN((BK829+BK830)*$C$5,$F$15)*'⑫ Roll-out Plan'!$O$87</f>
        <v>0</v>
      </c>
      <c r="BL1028" s="9" t="n">
        <f aca="false">MIN((BL829+BL830)*$C$5,$F$15)*'⑫ Roll-out Plan'!$O$87</f>
        <v>0</v>
      </c>
      <c r="BM1028" s="9" t="n">
        <f aca="false">MIN((BM829+BM830)*$C$5,$F$15)*'⑫ Roll-out Plan'!$O$87</f>
        <v>0</v>
      </c>
      <c r="BN1028" s="9" t="n">
        <f aca="false">MIN((BN829+BN830)*$C$5,$F$15)*'⑫ Roll-out Plan'!$O$87</f>
        <v>0</v>
      </c>
      <c r="BO1028" s="9" t="n">
        <f aca="false">MIN((BO829+BO830)*$C$5,$F$15)*'⑫ Roll-out Plan'!$O$87</f>
        <v>0</v>
      </c>
      <c r="BP1028" s="9" t="n">
        <f aca="false">MIN((BP829+BP830)*$C$5,$F$15)*'⑫ Roll-out Plan'!$O$87</f>
        <v>0</v>
      </c>
      <c r="BQ1028" s="9" t="n">
        <f aca="false">MIN((BQ829+BQ830)*$C$5,$F$15)*'⑫ Roll-out Plan'!$O$87</f>
        <v>0</v>
      </c>
      <c r="BR1028" s="9" t="n">
        <f aca="false">MIN((BR829+BR830)*$C$5,$F$15)*'⑫ Roll-out Plan'!$O$87</f>
        <v>0</v>
      </c>
      <c r="BS1028" s="9" t="n">
        <f aca="false">MIN((BS829+BS830)*$C$5,$F$15)*'⑫ Roll-out Plan'!$O$87</f>
        <v>0</v>
      </c>
      <c r="BT1028" s="9" t="n">
        <f aca="false">MIN((BT829+BT830)*$C$5,$F$15)*'⑫ Roll-out Plan'!$O$87</f>
        <v>0</v>
      </c>
      <c r="BU1028" s="9" t="n">
        <f aca="false">MIN((BU829+BU830)*$C$5,$F$15)*'⑫ Roll-out Plan'!$O$87</f>
        <v>0</v>
      </c>
      <c r="BV1028" s="9" t="n">
        <f aca="false">MIN((BV829+BV830)*$C$5,$F$15)*'⑫ Roll-out Plan'!$O$87</f>
        <v>0</v>
      </c>
      <c r="BW1028" s="9" t="n">
        <f aca="false">MIN((BW829+BW830)*$C$5,$F$15)*'⑫ Roll-out Plan'!$O$87</f>
        <v>0</v>
      </c>
      <c r="BX1028" s="9" t="n">
        <f aca="false">MIN((BX829+BX830)*$C$5,$F$15)*'⑫ Roll-out Plan'!$O$87</f>
        <v>0</v>
      </c>
      <c r="BY1028" s="9" t="n">
        <f aca="false">MIN((BY829+BY830)*$C$5,$F$15)*'⑫ Roll-out Plan'!$O$87</f>
        <v>0</v>
      </c>
      <c r="BZ1028" s="9" t="n">
        <f aca="false">MIN((BZ829+BZ830)*$C$5,$F$15)*'⑫ Roll-out Plan'!$O$87</f>
        <v>0</v>
      </c>
      <c r="CA1028" s="9" t="n">
        <f aca="false">MIN((CA829+CA830)*$C$5,$F$15)*'⑫ Roll-out Plan'!$O$87</f>
        <v>0</v>
      </c>
      <c r="CB1028" s="9" t="n">
        <f aca="false">MIN((CB829+CB830)*$C$5,$F$15)*'⑫ Roll-out Plan'!$O$87</f>
        <v>0</v>
      </c>
      <c r="CC1028" s="9" t="n">
        <f aca="false">MIN((CC829+CC830)*$C$5,$F$15)*'⑫ Roll-out Plan'!$O$87</f>
        <v>0</v>
      </c>
      <c r="CD1028" s="9" t="n">
        <f aca="false">MIN((CD829+CD830)*$C$5,$F$15)*'⑫ Roll-out Plan'!$O$87</f>
        <v>0</v>
      </c>
      <c r="CE1028" s="9" t="n">
        <f aca="false">MIN((CE829+CE830)*$C$5,$F$15)*'⑫ Roll-out Plan'!$O$87</f>
        <v>0</v>
      </c>
      <c r="CF1028" s="9" t="n">
        <f aca="false">MIN((CF829+CF830)*$C$5,$F$15)*'⑫ Roll-out Plan'!$O$87</f>
        <v>0</v>
      </c>
      <c r="CG1028" s="9" t="n">
        <f aca="false">MIN((CG829+CG830)*$C$5,$F$15)*'⑫ Roll-out Plan'!$O$87</f>
        <v>0</v>
      </c>
      <c r="CH1028" s="9" t="n">
        <f aca="false">MIN((CH829+CH830)*$C$5,$F$15)*'⑫ Roll-out Plan'!$O$87</f>
        <v>0</v>
      </c>
      <c r="CI1028" s="9" t="n">
        <f aca="false">MIN((CI829+CI830)*$C$5,$F$15)*'⑫ Roll-out Plan'!$O$87</f>
        <v>0</v>
      </c>
      <c r="CJ1028" s="9" t="n">
        <f aca="false">MIN((CJ829+CJ830)*$C$5,$F$15)*'⑫ Roll-out Plan'!$O$87</f>
        <v>0</v>
      </c>
      <c r="CK1028" s="9" t="n">
        <f aca="false">MIN((CK829+CK830)*$C$5,$F$15)*'⑫ Roll-out Plan'!$O$87</f>
        <v>0</v>
      </c>
      <c r="CL1028" s="9" t="n">
        <f aca="false">MIN((CL829+CL830)*$C$5,$F$15)*'⑫ Roll-out Plan'!$O$87</f>
        <v>0</v>
      </c>
      <c r="CM1028" s="9" t="n">
        <f aca="false">MIN((CM829+CM830)*$C$5,$F$15)*'⑫ Roll-out Plan'!$O$87</f>
        <v>0</v>
      </c>
      <c r="CN1028" s="9" t="n">
        <f aca="false">MIN((CN829+CN830)*$C$5,$F$15)*'⑫ Roll-out Plan'!$O$87</f>
        <v>0</v>
      </c>
      <c r="CO1028" s="9" t="n">
        <f aca="false">MIN((CO829+CO830)*$C$5,$F$15)*'⑫ Roll-out Plan'!$O$87</f>
        <v>0</v>
      </c>
      <c r="CP1028" s="9" t="n">
        <f aca="false">MIN((CP829+CP830)*$C$5,$F$15)*'⑫ Roll-out Plan'!$O$87</f>
        <v>0</v>
      </c>
      <c r="CQ1028" s="9" t="n">
        <f aca="false">MIN((CQ829+CQ830)*$C$5,$F$15)*'⑫ Roll-out Plan'!$O$87</f>
        <v>0</v>
      </c>
      <c r="CR1028" s="9" t="n">
        <f aca="false">MIN((CR829+CR830)*$C$5,$F$15)*'⑫ Roll-out Plan'!$O$87</f>
        <v>0</v>
      </c>
      <c r="CS1028" s="9" t="n">
        <f aca="false">MIN((CS829+CS830)*$C$5,$F$15)*'⑫ Roll-out Plan'!$O$87</f>
        <v>0</v>
      </c>
      <c r="CT1028" s="9" t="n">
        <f aca="false">MIN((CT829+CT830)*$C$5,$F$15)*'⑫ Roll-out Plan'!$O$87</f>
        <v>0</v>
      </c>
      <c r="CU1028" s="9" t="n">
        <f aca="false">MIN((CU829+CU830)*$C$5,$F$15)*'⑫ Roll-out Plan'!$O$87</f>
        <v>0</v>
      </c>
      <c r="CV1028" s="9" t="n">
        <f aca="false">MIN((CV829+CV830)*$C$5,$F$15)*'⑫ Roll-out Plan'!$O$87</f>
        <v>0</v>
      </c>
      <c r="CW1028" s="9" t="n">
        <f aca="false">MIN((CW829+CW830)*$C$5,$F$15)*'⑫ Roll-out Plan'!$O$87</f>
        <v>0</v>
      </c>
      <c r="CX1028" s="9" t="n">
        <f aca="false">MIN((CX829+CX830)*$C$5,$F$15)*'⑫ Roll-out Plan'!$O$87</f>
        <v>0</v>
      </c>
      <c r="CY1028" s="9" t="n">
        <f aca="false">MIN((CY829+CY830)*$C$5,$F$15)*'⑫ Roll-out Plan'!$O$87</f>
        <v>0</v>
      </c>
      <c r="CZ1028" s="9" t="n">
        <f aca="false">MIN((CZ829+CZ830)*$C$5,$F$15)*'⑫ Roll-out Plan'!$O$87</f>
        <v>0</v>
      </c>
      <c r="DA1028" s="9" t="n">
        <f aca="false">MIN((DA829+DA830)*$C$5,$F$15)*'⑫ Roll-out Plan'!$O$87</f>
        <v>0</v>
      </c>
      <c r="DB1028" s="9" t="n">
        <f aca="false">MIN((DB829+DB830)*$C$5,$F$15)*'⑫ Roll-out Plan'!$O$87</f>
        <v>0</v>
      </c>
      <c r="DC1028" s="9" t="n">
        <f aca="false">MIN((DC829+DC830)*$C$5,$F$15)*'⑫ Roll-out Plan'!$O$87</f>
        <v>0</v>
      </c>
      <c r="DD1028" s="9" t="n">
        <f aca="false">MIN((DD829+DD830)*$C$5,$F$15)*'⑫ Roll-out Plan'!$O$87</f>
        <v>0</v>
      </c>
      <c r="DE1028" s="9" t="n">
        <f aca="false">MIN((DE829+DE830)*$C$5,$F$15)*'⑫ Roll-out Plan'!$O$87</f>
        <v>0</v>
      </c>
      <c r="DF1028" s="9" t="n">
        <f aca="false">MIN((DF829+DF830)*$C$5,$F$15)*'⑫ Roll-out Plan'!$O$87</f>
        <v>0</v>
      </c>
      <c r="DG1028" s="9" t="n">
        <f aca="false">MIN((DG829+DG830)*$C$5,$F$15)*'⑫ Roll-out Plan'!$O$87</f>
        <v>0</v>
      </c>
      <c r="DH1028" s="9" t="n">
        <f aca="false">MIN((DH829+DH830)*$C$5,$F$15)*'⑫ Roll-out Plan'!$O$87</f>
        <v>0</v>
      </c>
      <c r="DI1028" s="9" t="n">
        <f aca="false">MIN((DI829+DI830)*$C$5,$F$15)*'⑫ Roll-out Plan'!$O$87</f>
        <v>0</v>
      </c>
      <c r="DJ1028" s="9" t="n">
        <f aca="false">MIN((DJ829+DJ830)*$C$5,$F$15)*'⑫ Roll-out Plan'!$O$87</f>
        <v>0</v>
      </c>
      <c r="DK1028" s="9" t="n">
        <f aca="false">MIN((DK829+DK830)*$C$5,$F$15)*'⑫ Roll-out Plan'!$O$87</f>
        <v>0</v>
      </c>
      <c r="DL1028" s="9" t="n">
        <f aca="false">MIN((DL829+DL830)*$C$5,$F$15)*'⑫ Roll-out Plan'!$O$87</f>
        <v>0</v>
      </c>
      <c r="DM1028" s="9" t="n">
        <f aca="false">MIN((DM829+DM830)*$C$5,$F$15)*'⑫ Roll-out Plan'!$O$87</f>
        <v>0</v>
      </c>
      <c r="DN1028" s="9" t="n">
        <f aca="false">MIN((DN829+DN830)*$C$5,$F$15)*'⑫ Roll-out Plan'!$O$87</f>
        <v>0</v>
      </c>
      <c r="DO1028" s="9" t="n">
        <f aca="false">MIN((DO829+DO830)*$C$5,$F$15)*'⑫ Roll-out Plan'!$O$87</f>
        <v>0</v>
      </c>
      <c r="DP1028" s="9" t="n">
        <f aca="false">MIN((DP829+DP830)*$C$5,$F$15)*'⑫ Roll-out Plan'!$O$87</f>
        <v>0</v>
      </c>
      <c r="DQ1028" s="9" t="n">
        <f aca="false">MIN((DQ829+DQ830)*$C$5,$F$15)*'⑫ Roll-out Plan'!$O$87</f>
        <v>0</v>
      </c>
      <c r="DR1028" s="9" t="n">
        <f aca="false">MIN((DR829+DR830)*$C$5,$F$15)*'⑫ Roll-out Plan'!$O$87</f>
        <v>0</v>
      </c>
      <c r="DS1028" s="9" t="n">
        <f aca="false">MIN((DS829+DS830)*$C$5,$F$15)*'⑫ Roll-out Plan'!$O$87</f>
        <v>0</v>
      </c>
      <c r="DT1028" s="9" t="n">
        <f aca="false">MIN((DT829+DT830)*$C$5,$F$15)*'⑫ Roll-out Plan'!$O$87</f>
        <v>0</v>
      </c>
      <c r="DU1028" s="9" t="n">
        <f aca="false">MIN((DU829+DU830)*$C$5,$F$15)*'⑫ Roll-out Plan'!$O$87</f>
        <v>0</v>
      </c>
      <c r="DV1028" s="9" t="n">
        <f aca="false">MIN((DV829+DV830)*$C$5,$F$15)*'⑫ Roll-out Plan'!$O$87</f>
        <v>0</v>
      </c>
      <c r="DW1028" s="9" t="n">
        <f aca="false">MIN((DW829+DW830)*$C$5,$F$15)*'⑫ Roll-out Plan'!$O$87</f>
        <v>0</v>
      </c>
      <c r="DX1028" s="9" t="n">
        <f aca="false">MIN((DX829+DX830)*$C$5,$F$15)*'⑫ Roll-out Plan'!$O$87</f>
        <v>0</v>
      </c>
      <c r="DY1028" s="9" t="n">
        <f aca="false">MIN((DY829+DY830)*$C$5,$F$15)*'⑫ Roll-out Plan'!$O$87</f>
        <v>0</v>
      </c>
      <c r="DZ1028" s="9" t="n">
        <f aca="false">MIN((DZ829+DZ830)*$C$5,$F$15)*'⑫ Roll-out Plan'!$O$87</f>
        <v>0</v>
      </c>
      <c r="EA1028" s="9" t="n">
        <f aca="false">MIN((EA829+EA830)*$C$5,$F$15)*'⑫ Roll-out Plan'!$O$87</f>
        <v>0</v>
      </c>
      <c r="EB1028" s="9" t="n">
        <f aca="false">MIN((EB829+EB830)*$C$5,$F$15)*'⑫ Roll-out Plan'!$O$87</f>
        <v>0</v>
      </c>
      <c r="EC1028" s="9" t="n">
        <f aca="false">MIN((EC829+EC830)*$C$5,$F$15)*'⑫ Roll-out Plan'!$O$87</f>
        <v>0</v>
      </c>
      <c r="ED1028" s="9" t="n">
        <f aca="false">MIN((ED829+ED830)*$C$5,$F$15)*'⑫ Roll-out Plan'!$O$87</f>
        <v>0</v>
      </c>
      <c r="EE1028" s="9" t="n">
        <f aca="false">MIN((EE829+EE830)*$C$5,$F$15)*'⑫ Roll-out Plan'!$O$87</f>
        <v>0</v>
      </c>
      <c r="EF1028" s="9" t="n">
        <f aca="false">MIN((EF829+EF830)*$C$5,$F$15)*'⑫ Roll-out Plan'!$O$87</f>
        <v>0</v>
      </c>
      <c r="EG1028" s="9" t="n">
        <f aca="false">MIN((EG829+EG830)*$C$5,$F$15)*'⑫ Roll-out Plan'!$O$87</f>
        <v>0</v>
      </c>
      <c r="EH1028" s="9" t="n">
        <f aca="false">MIN((EH829+EH830)*$C$5,$F$15)*'⑫ Roll-out Plan'!$O$87</f>
        <v>0</v>
      </c>
      <c r="EI1028" s="9" t="n">
        <f aca="false">MIN((EI829+EI830)*$C$5,$F$15)*'⑫ Roll-out Plan'!$O$87</f>
        <v>0</v>
      </c>
      <c r="EJ1028" s="9" t="n">
        <f aca="false">MIN((EJ829+EJ830)*$C$5,$F$15)*'⑫ Roll-out Plan'!$O$87</f>
        <v>0</v>
      </c>
      <c r="EK1028" s="9" t="n">
        <f aca="false">MIN((EK829+EK830)*$C$5,$F$15)*'⑫ Roll-out Plan'!$O$87</f>
        <v>0</v>
      </c>
      <c r="EL1028" s="9" t="n">
        <f aca="false">MIN((EL829+EL830)*$C$5,$F$15)*'⑫ Roll-out Plan'!$O$87</f>
        <v>0</v>
      </c>
      <c r="EM1028" s="9" t="n">
        <f aca="false">MIN((EM829+EM830)*$C$5,$F$15)*'⑫ Roll-out Plan'!$O$87</f>
        <v>0</v>
      </c>
      <c r="EN1028" s="9" t="n">
        <f aca="false">MIN((EN829+EN830)*$C$5,$F$15)*'⑫ Roll-out Plan'!$O$87</f>
        <v>0</v>
      </c>
      <c r="EO1028" s="9" t="n">
        <f aca="false">MIN((EO829+EO830)*$C$5,$F$15)*'⑫ Roll-out Plan'!$O$87</f>
        <v>0</v>
      </c>
      <c r="EP1028" s="9" t="n">
        <f aca="false">MIN((EP829+EP830)*$C$5,$F$15)*'⑫ Roll-out Plan'!$O$87</f>
        <v>0</v>
      </c>
      <c r="EQ1028" s="9" t="n">
        <f aca="false">MIN((EQ829+EQ830)*$C$5,$F$15)*'⑫ Roll-out Plan'!$O$87</f>
        <v>0</v>
      </c>
      <c r="ER1028" s="9" t="n">
        <f aca="false">MIN((ER829+ER830)*$C$5,$F$15)*'⑫ Roll-out Plan'!$O$87</f>
        <v>0</v>
      </c>
      <c r="ES1028" s="9" t="n">
        <f aca="false">MIN((ES829+ES830)*$C$5,$F$15)*'⑫ Roll-out Plan'!$O$87</f>
        <v>0</v>
      </c>
      <c r="ET1028" s="9" t="n">
        <f aca="false">MIN((ET829+ET830)*$C$5,$F$15)*'⑫ Roll-out Plan'!$O$87</f>
        <v>0</v>
      </c>
      <c r="EU1028" s="9" t="n">
        <f aca="false">MIN((EU829+EU830)*$C$5,$F$15)*'⑫ Roll-out Plan'!$O$87</f>
        <v>5622.52</v>
      </c>
      <c r="EV1028" s="9" t="n">
        <f aca="false">MIN((EV829+EV830)*$C$5,$F$15)*'⑫ Roll-out Plan'!$O$87</f>
        <v>6584.55256</v>
      </c>
      <c r="EW1028" s="9" t="n">
        <f aca="false">MIN((EW829+EW830)*$C$5,$F$15)*'⑫ Roll-out Plan'!$O$87</f>
        <v>6200.747712</v>
      </c>
      <c r="EX1028" s="9" t="n">
        <f aca="false">MIN((EX829+EX830)*$C$5,$F$15)*'⑫ Roll-out Plan'!$O$87</f>
        <v>6148.865424</v>
      </c>
      <c r="EY1028" s="9" t="n">
        <f aca="false">MIN((EY829+EY830)*$C$5,$F$15)*'⑫ Roll-out Plan'!$O$87</f>
        <v>6464.0677728</v>
      </c>
      <c r="EZ1028" s="9" t="n">
        <f aca="false">MIN((EZ829+EZ830)*$C$5,$F$15)*'⑫ Roll-out Plan'!$O$87</f>
        <v>11712.8414192</v>
      </c>
      <c r="FA1028" s="9" t="n">
        <f aca="false">MIN((FA829+FA830)*$C$5,$F$15)*'⑫ Roll-out Plan'!$O$87</f>
        <v>11570.7273792</v>
      </c>
      <c r="FB1028" s="9" t="n">
        <f aca="false">MIN((FB829+FB830)*$C$5,$F$15)*'⑫ Roll-out Plan'!$O$87</f>
        <v>10880.3982512</v>
      </c>
      <c r="FC1028" s="9" t="n">
        <f aca="false">MIN((FC829+FC830)*$C$5,$F$15)*'⑫ Roll-out Plan'!$O$87</f>
        <v>9518.3292096</v>
      </c>
      <c r="FD1028" s="9" t="n">
        <f aca="false">MIN((FD829+FD830)*$C$5,$F$15)*'⑫ Roll-out Plan'!$O$87</f>
        <v>12621.6965728</v>
      </c>
      <c r="FE1028" s="9" t="n">
        <f aca="false">MIN((FE829+FE830)*$C$5,$F$15)*'⑫ Roll-out Plan'!$O$87</f>
        <v>14813.4556864</v>
      </c>
      <c r="FF1028" s="9" t="n">
        <f aca="false">MIN((FF829+FF830)*$C$5,$F$15)*'⑫ Roll-out Plan'!$O$87</f>
        <v>12852.7937776</v>
      </c>
      <c r="FG1028" s="9" t="n">
        <f aca="false">MIN((FG829+FG830)*$C$5,$F$15)*'⑫ Roll-out Plan'!$O$87</f>
        <v>18276.3541216</v>
      </c>
      <c r="FH1028" s="9" t="n">
        <f aca="false">MIN((FH829+FH830)*$C$5,$F$15)*'⑫ Roll-out Plan'!$O$87</f>
        <v>19458.0837424</v>
      </c>
      <c r="FI1028" s="9" t="n">
        <f aca="false">MIN((FI829+FI830)*$C$5,$F$15)*'⑫ Roll-out Plan'!$O$87</f>
        <v>17059.0048672</v>
      </c>
      <c r="FJ1028" s="9" t="n">
        <f aca="false">MIN((FJ829+FJ830)*$C$5,$F$15)*'⑫ Roll-out Plan'!$O$87</f>
        <v>18234.530328</v>
      </c>
      <c r="FK1028" s="9" t="n">
        <f aca="false">MIN((FK829+FK830)*$C$5,$F$15)*'⑫ Roll-out Plan'!$O$87</f>
        <v>19963.6219648</v>
      </c>
      <c r="FL1028" s="9" t="n">
        <f aca="false">MIN((FL829+FL830)*$C$5,$F$15)*'⑫ Roll-out Plan'!$O$87</f>
        <v>27000</v>
      </c>
      <c r="FM1028" s="9" t="n">
        <f aca="false">MIN((FM829+FM830)*$C$5,$F$15)*'⑫ Roll-out Plan'!$O$87</f>
        <v>27000</v>
      </c>
      <c r="FN1028" s="9" t="n">
        <f aca="false">MIN((FN829+FN830)*$C$5,$F$15)*'⑫ Roll-out Plan'!$O$87</f>
        <v>26092.83687528</v>
      </c>
      <c r="FO1028" s="9" t="n">
        <f aca="false">MIN((FO829+FO830)*$C$5,$F$15)*'⑫ Roll-out Plan'!$O$87</f>
        <v>21431.330402</v>
      </c>
      <c r="FP1028" s="9" t="n">
        <f aca="false">MIN((FP829+FP830)*$C$5,$F$15)*'⑫ Roll-out Plan'!$O$87</f>
        <v>27000</v>
      </c>
    </row>
    <row r="1029" customFormat="false" ht="15" hidden="false" customHeight="false" outlineLevel="0" collapsed="false">
      <c r="B1029" s="9" t="s">
        <v>956</v>
      </c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121" t="n">
        <f aca="false">MIN((AC839+AC840)*$C$5,$F$14)*'⑫ Roll-out Plan'!$O$88</f>
        <v>0</v>
      </c>
      <c r="AD1029" s="9" t="n">
        <f aca="false">MIN((AD839+AD840)*$C$5,$F$14)*'⑫ Roll-out Plan'!$O$88</f>
        <v>0</v>
      </c>
      <c r="AE1029" s="9" t="n">
        <f aca="false">MIN((AE839+AE840)*$C$5,$F$14)*'⑫ Roll-out Plan'!$O$88</f>
        <v>0</v>
      </c>
      <c r="AF1029" s="9" t="n">
        <f aca="false">MIN((AF839+AF840)*$C$5,$F$14)*'⑫ Roll-out Plan'!$O$88</f>
        <v>0</v>
      </c>
      <c r="AG1029" s="9" t="n">
        <f aca="false">MIN((AG839+AG840)*$C$5,$F$14)*'⑫ Roll-out Plan'!$O$88</f>
        <v>0</v>
      </c>
      <c r="AH1029" s="9" t="n">
        <f aca="false">MIN((AH839+AH840)*$C$5,$F$14)*'⑫ Roll-out Plan'!$O$88</f>
        <v>0</v>
      </c>
      <c r="AI1029" s="9" t="n">
        <f aca="false">MIN((AI839+AI840)*$C$5,$F$14)*'⑫ Roll-out Plan'!$O$88</f>
        <v>0</v>
      </c>
      <c r="AJ1029" s="9" t="n">
        <f aca="false">MIN((AJ839+AJ840)*$C$5,$F$14)*'⑫ Roll-out Plan'!$O$88</f>
        <v>0</v>
      </c>
      <c r="AK1029" s="9" t="n">
        <f aca="false">MIN((AK839+AK840)*$C$5,$F$14)*'⑫ Roll-out Plan'!$O$88</f>
        <v>0</v>
      </c>
      <c r="AL1029" s="9" t="n">
        <f aca="false">MIN((AL839+AL840)*$C$5,$F$14)*'⑫ Roll-out Plan'!$O$88</f>
        <v>0</v>
      </c>
      <c r="AM1029" s="9" t="n">
        <f aca="false">MIN((AM839+AM840)*$C$5,$F$14)*'⑫ Roll-out Plan'!$O$88</f>
        <v>0</v>
      </c>
      <c r="AN1029" s="9" t="n">
        <f aca="false">MIN((AN839+AN840)*$C$5,$F$14)*'⑫ Roll-out Plan'!$O$88</f>
        <v>0</v>
      </c>
      <c r="AO1029" s="9" t="n">
        <f aca="false">MIN((AO839+AO840)*$C$5,$F$14)*'⑫ Roll-out Plan'!$O$88</f>
        <v>0</v>
      </c>
      <c r="AP1029" s="9" t="n">
        <f aca="false">MIN((AP839+AP840)*$C$5,$F$14)*'⑫ Roll-out Plan'!$O$88</f>
        <v>0</v>
      </c>
      <c r="AQ1029" s="9" t="n">
        <f aca="false">MIN((AQ839+AQ840)*$C$5,$F$14)*'⑫ Roll-out Plan'!$O$88</f>
        <v>0</v>
      </c>
      <c r="AR1029" s="9" t="n">
        <f aca="false">MIN((AR839+AR840)*$C$5,$F$14)*'⑫ Roll-out Plan'!$O$88</f>
        <v>0</v>
      </c>
      <c r="AS1029" s="9" t="n">
        <f aca="false">MIN((AS839+AS840)*$C$5,$F$14)*'⑫ Roll-out Plan'!$O$88</f>
        <v>0</v>
      </c>
      <c r="AT1029" s="9" t="n">
        <f aca="false">MIN((AT839+AT840)*$C$5,$F$14)*'⑫ Roll-out Plan'!$O$88</f>
        <v>0</v>
      </c>
      <c r="AU1029" s="9" t="n">
        <f aca="false">MIN((AU839+AU840)*$C$5,$F$14)*'⑫ Roll-out Plan'!$O$88</f>
        <v>0</v>
      </c>
      <c r="AV1029" s="9" t="n">
        <f aca="false">MIN((AV839+AV840)*$C$5,$F$14)*'⑫ Roll-out Plan'!$O$88</f>
        <v>0</v>
      </c>
      <c r="AW1029" s="9" t="n">
        <f aca="false">MIN((AW839+AW840)*$C$5,$F$14)*'⑫ Roll-out Plan'!$O$88</f>
        <v>0</v>
      </c>
      <c r="AX1029" s="9" t="n">
        <f aca="false">MIN((AX839+AX840)*$C$5,$F$14)*'⑫ Roll-out Plan'!$O$88</f>
        <v>0</v>
      </c>
      <c r="AY1029" s="9" t="n">
        <f aca="false">MIN((AY839+AY840)*$C$5,$F$14)*'⑫ Roll-out Plan'!$O$88</f>
        <v>0</v>
      </c>
      <c r="AZ1029" s="9" t="n">
        <f aca="false">MIN((AZ839+AZ840)*$C$5,$F$14)*'⑫ Roll-out Plan'!$O$88</f>
        <v>0</v>
      </c>
      <c r="BA1029" s="9" t="n">
        <f aca="false">MIN((BA839+BA840)*$C$5,$F$14)*'⑫ Roll-out Plan'!$O$88</f>
        <v>0</v>
      </c>
      <c r="BB1029" s="9" t="n">
        <f aca="false">MIN((BB839+BB840)*$C$5,$F$14)*'⑫ Roll-out Plan'!$O$88</f>
        <v>0</v>
      </c>
      <c r="BC1029" s="9" t="n">
        <f aca="false">MIN((BC839+BC840)*$C$5,$F$14)*'⑫ Roll-out Plan'!$O$88</f>
        <v>0</v>
      </c>
      <c r="BD1029" s="9" t="n">
        <f aca="false">MIN((BD839+BD840)*$C$5,$F$14)*'⑫ Roll-out Plan'!$O$88</f>
        <v>0</v>
      </c>
      <c r="BE1029" s="9" t="n">
        <f aca="false">MIN((BE839+BE840)*$C$5,$F$14)*'⑫ Roll-out Plan'!$O$88</f>
        <v>0</v>
      </c>
      <c r="BF1029" s="9" t="n">
        <f aca="false">MIN((BF839+BF840)*$C$5,$F$14)*'⑫ Roll-out Plan'!$O$88</f>
        <v>0</v>
      </c>
      <c r="BG1029" s="9" t="n">
        <f aca="false">MIN((BG839+BG840)*$C$5,$F$14)*'⑫ Roll-out Plan'!$O$88</f>
        <v>0</v>
      </c>
      <c r="BH1029" s="9" t="n">
        <f aca="false">MIN((BH839+BH840)*$C$5,$F$14)*'⑫ Roll-out Plan'!$O$88</f>
        <v>0</v>
      </c>
      <c r="BI1029" s="9" t="n">
        <f aca="false">MIN((BI839+BI840)*$C$5,$F$14)*'⑫ Roll-out Plan'!$O$88</f>
        <v>0</v>
      </c>
      <c r="BJ1029" s="9" t="n">
        <f aca="false">MIN((BJ839+BJ840)*$C$5,$F$14)*'⑫ Roll-out Plan'!$O$88</f>
        <v>0</v>
      </c>
      <c r="BK1029" s="9" t="n">
        <f aca="false">MIN((BK839+BK840)*$C$5,$F$14)*'⑫ Roll-out Plan'!$O$88</f>
        <v>0</v>
      </c>
      <c r="BL1029" s="9" t="n">
        <f aca="false">MIN((BL839+BL840)*$C$5,$F$14)*'⑫ Roll-out Plan'!$O$88</f>
        <v>0</v>
      </c>
      <c r="BM1029" s="9" t="n">
        <f aca="false">MIN((BM839+BM840)*$C$5,$F$14)*'⑫ Roll-out Plan'!$O$88</f>
        <v>0</v>
      </c>
      <c r="BN1029" s="9" t="n">
        <f aca="false">MIN((BN839+BN840)*$C$5,$F$14)*'⑫ Roll-out Plan'!$O$88</f>
        <v>0</v>
      </c>
      <c r="BO1029" s="9" t="n">
        <f aca="false">MIN((BO839+BO840)*$C$5,$F$14)*'⑫ Roll-out Plan'!$O$88</f>
        <v>0</v>
      </c>
      <c r="BP1029" s="9" t="n">
        <f aca="false">MIN((BP839+BP840)*$C$5,$F$14)*'⑫ Roll-out Plan'!$O$88</f>
        <v>0</v>
      </c>
      <c r="BQ1029" s="9" t="n">
        <f aca="false">MIN((BQ839+BQ840)*$C$5,$F$14)*'⑫ Roll-out Plan'!$O$88</f>
        <v>0</v>
      </c>
      <c r="BR1029" s="9" t="n">
        <f aca="false">MIN((BR839+BR840)*$C$5,$F$14)*'⑫ Roll-out Plan'!$O$88</f>
        <v>0</v>
      </c>
      <c r="BS1029" s="9" t="n">
        <f aca="false">MIN((BS839+BS840)*$C$5,$F$14)*'⑫ Roll-out Plan'!$O$88</f>
        <v>0</v>
      </c>
      <c r="BT1029" s="9" t="n">
        <f aca="false">MIN((BT839+BT840)*$C$5,$F$14)*'⑫ Roll-out Plan'!$O$88</f>
        <v>0</v>
      </c>
      <c r="BU1029" s="9" t="n">
        <f aca="false">MIN((BU839+BU840)*$C$5,$F$14)*'⑫ Roll-out Plan'!$O$88</f>
        <v>0</v>
      </c>
      <c r="BV1029" s="9" t="n">
        <f aca="false">MIN((BV839+BV840)*$C$5,$F$14)*'⑫ Roll-out Plan'!$O$88</f>
        <v>0</v>
      </c>
      <c r="BW1029" s="9" t="n">
        <f aca="false">MIN((BW839+BW840)*$C$5,$F$14)*'⑫ Roll-out Plan'!$O$88</f>
        <v>0</v>
      </c>
      <c r="BX1029" s="9" t="n">
        <f aca="false">MIN((BX839+BX840)*$C$5,$F$14)*'⑫ Roll-out Plan'!$O$88</f>
        <v>0</v>
      </c>
      <c r="BY1029" s="9" t="n">
        <f aca="false">MIN((BY839+BY840)*$C$5,$F$14)*'⑫ Roll-out Plan'!$O$88</f>
        <v>0</v>
      </c>
      <c r="BZ1029" s="9" t="n">
        <f aca="false">MIN((BZ839+BZ840)*$C$5,$F$14)*'⑫ Roll-out Plan'!$O$88</f>
        <v>0</v>
      </c>
      <c r="CA1029" s="9" t="n">
        <f aca="false">MIN((CA839+CA840)*$C$5,$F$14)*'⑫ Roll-out Plan'!$O$88</f>
        <v>0</v>
      </c>
      <c r="CB1029" s="9" t="n">
        <f aca="false">MIN((CB839+CB840)*$C$5,$F$14)*'⑫ Roll-out Plan'!$O$88</f>
        <v>0</v>
      </c>
      <c r="CC1029" s="9" t="n">
        <f aca="false">MIN((CC839+CC840)*$C$5,$F$14)*'⑫ Roll-out Plan'!$O$88</f>
        <v>0</v>
      </c>
      <c r="CD1029" s="9" t="n">
        <f aca="false">MIN((CD839+CD840)*$C$5,$F$14)*'⑫ Roll-out Plan'!$O$88</f>
        <v>0</v>
      </c>
      <c r="CE1029" s="9" t="n">
        <f aca="false">MIN((CE839+CE840)*$C$5,$F$14)*'⑫ Roll-out Plan'!$O$88</f>
        <v>0</v>
      </c>
      <c r="CF1029" s="9" t="n">
        <f aca="false">MIN((CF839+CF840)*$C$5,$F$14)*'⑫ Roll-out Plan'!$O$88</f>
        <v>0</v>
      </c>
      <c r="CG1029" s="9" t="n">
        <f aca="false">MIN((CG839+CG840)*$C$5,$F$14)*'⑫ Roll-out Plan'!$O$88</f>
        <v>0</v>
      </c>
      <c r="CH1029" s="9" t="n">
        <f aca="false">MIN((CH839+CH840)*$C$5,$F$14)*'⑫ Roll-out Plan'!$O$88</f>
        <v>0</v>
      </c>
      <c r="CI1029" s="9" t="n">
        <f aca="false">MIN((CI839+CI840)*$C$5,$F$14)*'⑫ Roll-out Plan'!$O$88</f>
        <v>0</v>
      </c>
      <c r="CJ1029" s="9" t="n">
        <f aca="false">MIN((CJ839+CJ840)*$C$5,$F$14)*'⑫ Roll-out Plan'!$O$88</f>
        <v>0</v>
      </c>
      <c r="CK1029" s="9" t="n">
        <f aca="false">MIN((CK839+CK840)*$C$5,$F$14)*'⑫ Roll-out Plan'!$O$88</f>
        <v>0</v>
      </c>
      <c r="CL1029" s="9" t="n">
        <f aca="false">MIN((CL839+CL840)*$C$5,$F$14)*'⑫ Roll-out Plan'!$O$88</f>
        <v>0</v>
      </c>
      <c r="CM1029" s="9" t="n">
        <f aca="false">MIN((CM839+CM840)*$C$5,$F$14)*'⑫ Roll-out Plan'!$O$88</f>
        <v>0</v>
      </c>
      <c r="CN1029" s="9" t="n">
        <f aca="false">MIN((CN839+CN840)*$C$5,$F$14)*'⑫ Roll-out Plan'!$O$88</f>
        <v>0</v>
      </c>
      <c r="CO1029" s="9" t="n">
        <f aca="false">MIN((CO839+CO840)*$C$5,$F$14)*'⑫ Roll-out Plan'!$O$88</f>
        <v>0</v>
      </c>
      <c r="CP1029" s="9" t="n">
        <f aca="false">MIN((CP839+CP840)*$C$5,$F$14)*'⑫ Roll-out Plan'!$O$88</f>
        <v>0</v>
      </c>
      <c r="CQ1029" s="9" t="n">
        <f aca="false">MIN((CQ839+CQ840)*$C$5,$F$14)*'⑫ Roll-out Plan'!$O$88</f>
        <v>0</v>
      </c>
      <c r="CR1029" s="9" t="n">
        <f aca="false">MIN((CR839+CR840)*$C$5,$F$14)*'⑫ Roll-out Plan'!$O$88</f>
        <v>0</v>
      </c>
      <c r="CS1029" s="9" t="n">
        <f aca="false">MIN((CS839+CS840)*$C$5,$F$14)*'⑫ Roll-out Plan'!$O$88</f>
        <v>0</v>
      </c>
      <c r="CT1029" s="9" t="n">
        <f aca="false">MIN((CT839+CT840)*$C$5,$F$14)*'⑫ Roll-out Plan'!$O$88</f>
        <v>0</v>
      </c>
      <c r="CU1029" s="9" t="n">
        <f aca="false">MIN((CU839+CU840)*$C$5,$F$14)*'⑫ Roll-out Plan'!$O$88</f>
        <v>0</v>
      </c>
      <c r="CV1029" s="9" t="n">
        <f aca="false">MIN((CV839+CV840)*$C$5,$F$14)*'⑫ Roll-out Plan'!$O$88</f>
        <v>0</v>
      </c>
      <c r="CW1029" s="9" t="n">
        <f aca="false">MIN((CW839+CW840)*$C$5,$F$14)*'⑫ Roll-out Plan'!$O$88</f>
        <v>0</v>
      </c>
      <c r="CX1029" s="9" t="n">
        <f aca="false">MIN((CX839+CX840)*$C$5,$F$14)*'⑫ Roll-out Plan'!$O$88</f>
        <v>0</v>
      </c>
      <c r="CY1029" s="9" t="n">
        <f aca="false">MIN((CY839+CY840)*$C$5,$F$14)*'⑫ Roll-out Plan'!$O$88</f>
        <v>0</v>
      </c>
      <c r="CZ1029" s="9" t="n">
        <f aca="false">MIN((CZ839+CZ840)*$C$5,$F$14)*'⑫ Roll-out Plan'!$O$88</f>
        <v>0</v>
      </c>
      <c r="DA1029" s="9" t="n">
        <f aca="false">MIN((DA839+DA840)*$C$5,$F$14)*'⑫ Roll-out Plan'!$O$88</f>
        <v>0</v>
      </c>
      <c r="DB1029" s="9" t="n">
        <f aca="false">MIN((DB839+DB840)*$C$5,$F$14)*'⑫ Roll-out Plan'!$O$88</f>
        <v>0</v>
      </c>
      <c r="DC1029" s="9" t="n">
        <f aca="false">MIN((DC839+DC840)*$C$5,$F$14)*'⑫ Roll-out Plan'!$O$88</f>
        <v>0</v>
      </c>
      <c r="DD1029" s="9" t="n">
        <f aca="false">MIN((DD839+DD840)*$C$5,$F$14)*'⑫ Roll-out Plan'!$O$88</f>
        <v>0</v>
      </c>
      <c r="DE1029" s="9" t="n">
        <f aca="false">MIN((DE839+DE840)*$C$5,$F$14)*'⑫ Roll-out Plan'!$O$88</f>
        <v>0</v>
      </c>
      <c r="DF1029" s="9" t="n">
        <f aca="false">MIN((DF839+DF840)*$C$5,$F$14)*'⑫ Roll-out Plan'!$O$88</f>
        <v>0</v>
      </c>
      <c r="DG1029" s="9" t="n">
        <f aca="false">MIN((DG839+DG840)*$C$5,$F$14)*'⑫ Roll-out Plan'!$O$88</f>
        <v>0</v>
      </c>
      <c r="DH1029" s="9" t="n">
        <f aca="false">MIN((DH839+DH840)*$C$5,$F$14)*'⑫ Roll-out Plan'!$O$88</f>
        <v>0</v>
      </c>
      <c r="DI1029" s="9" t="n">
        <f aca="false">MIN((DI839+DI840)*$C$5,$F$14)*'⑫ Roll-out Plan'!$O$88</f>
        <v>0</v>
      </c>
      <c r="DJ1029" s="9" t="n">
        <f aca="false">MIN((DJ839+DJ840)*$C$5,$F$14)*'⑫ Roll-out Plan'!$O$88</f>
        <v>0</v>
      </c>
      <c r="DK1029" s="9" t="n">
        <f aca="false">MIN((DK839+DK840)*$C$5,$F$14)*'⑫ Roll-out Plan'!$O$88</f>
        <v>0</v>
      </c>
      <c r="DL1029" s="9" t="n">
        <f aca="false">MIN((DL839+DL840)*$C$5,$F$14)*'⑫ Roll-out Plan'!$O$88</f>
        <v>0</v>
      </c>
      <c r="DM1029" s="9" t="n">
        <f aca="false">MIN((DM839+DM840)*$C$5,$F$14)*'⑫ Roll-out Plan'!$O$88</f>
        <v>0</v>
      </c>
      <c r="DN1029" s="9" t="n">
        <f aca="false">MIN((DN839+DN840)*$C$5,$F$14)*'⑫ Roll-out Plan'!$O$88</f>
        <v>0</v>
      </c>
      <c r="DO1029" s="9" t="n">
        <f aca="false">MIN((DO839+DO840)*$C$5,$F$14)*'⑫ Roll-out Plan'!$O$88</f>
        <v>0</v>
      </c>
      <c r="DP1029" s="9" t="n">
        <f aca="false">MIN((DP839+DP840)*$C$5,$F$14)*'⑫ Roll-out Plan'!$O$88</f>
        <v>0</v>
      </c>
      <c r="DQ1029" s="9" t="n">
        <f aca="false">MIN((DQ839+DQ840)*$C$5,$F$14)*'⑫ Roll-out Plan'!$O$88</f>
        <v>0</v>
      </c>
      <c r="DR1029" s="9" t="n">
        <f aca="false">MIN((DR839+DR840)*$C$5,$F$14)*'⑫ Roll-out Plan'!$O$88</f>
        <v>0</v>
      </c>
      <c r="DS1029" s="9" t="n">
        <f aca="false">MIN((DS839+DS840)*$C$5,$F$14)*'⑫ Roll-out Plan'!$O$88</f>
        <v>0</v>
      </c>
      <c r="DT1029" s="9" t="n">
        <f aca="false">MIN((DT839+DT840)*$C$5,$F$14)*'⑫ Roll-out Plan'!$O$88</f>
        <v>0</v>
      </c>
      <c r="DU1029" s="9" t="n">
        <f aca="false">MIN((DU839+DU840)*$C$5,$F$14)*'⑫ Roll-out Plan'!$O$88</f>
        <v>0</v>
      </c>
      <c r="DV1029" s="9" t="n">
        <f aca="false">MIN((DV839+DV840)*$C$5,$F$14)*'⑫ Roll-out Plan'!$O$88</f>
        <v>0</v>
      </c>
      <c r="DW1029" s="9" t="n">
        <f aca="false">MIN((DW839+DW840)*$C$5,$F$14)*'⑫ Roll-out Plan'!$O$88</f>
        <v>0</v>
      </c>
      <c r="DX1029" s="9" t="n">
        <f aca="false">MIN((DX839+DX840)*$C$5,$F$14)*'⑫ Roll-out Plan'!$O$88</f>
        <v>0</v>
      </c>
      <c r="DY1029" s="9" t="n">
        <f aca="false">MIN((DY839+DY840)*$C$5,$F$14)*'⑫ Roll-out Plan'!$O$88</f>
        <v>0</v>
      </c>
      <c r="DZ1029" s="9" t="n">
        <f aca="false">MIN((DZ839+DZ840)*$C$5,$F$14)*'⑫ Roll-out Plan'!$O$88</f>
        <v>0</v>
      </c>
      <c r="EA1029" s="9" t="n">
        <f aca="false">MIN((EA839+EA840)*$C$5,$F$14)*'⑫ Roll-out Plan'!$O$88</f>
        <v>0</v>
      </c>
      <c r="EB1029" s="9" t="n">
        <f aca="false">MIN((EB839+EB840)*$C$5,$F$14)*'⑫ Roll-out Plan'!$O$88</f>
        <v>0</v>
      </c>
      <c r="EC1029" s="9" t="n">
        <f aca="false">MIN((EC839+EC840)*$C$5,$F$14)*'⑫ Roll-out Plan'!$O$88</f>
        <v>0</v>
      </c>
      <c r="ED1029" s="9" t="n">
        <f aca="false">MIN((ED839+ED840)*$C$5,$F$14)*'⑫ Roll-out Plan'!$O$88</f>
        <v>0</v>
      </c>
      <c r="EE1029" s="9" t="n">
        <f aca="false">MIN((EE839+EE840)*$C$5,$F$14)*'⑫ Roll-out Plan'!$O$88</f>
        <v>0</v>
      </c>
      <c r="EF1029" s="9" t="n">
        <f aca="false">MIN((EF839+EF840)*$C$5,$F$14)*'⑫ Roll-out Plan'!$O$88</f>
        <v>0</v>
      </c>
      <c r="EG1029" s="9" t="n">
        <f aca="false">MIN((EG839+EG840)*$C$5,$F$14)*'⑫ Roll-out Plan'!$O$88</f>
        <v>0</v>
      </c>
      <c r="EH1029" s="9" t="n">
        <f aca="false">MIN((EH839+EH840)*$C$5,$F$14)*'⑫ Roll-out Plan'!$O$88</f>
        <v>0</v>
      </c>
      <c r="EI1029" s="9" t="n">
        <f aca="false">MIN((EI839+EI840)*$C$5,$F$14)*'⑫ Roll-out Plan'!$O$88</f>
        <v>0</v>
      </c>
      <c r="EJ1029" s="9" t="n">
        <f aca="false">MIN((EJ839+EJ840)*$C$5,$F$14)*'⑫ Roll-out Plan'!$O$88</f>
        <v>0</v>
      </c>
      <c r="EK1029" s="9" t="n">
        <f aca="false">MIN((EK839+EK840)*$C$5,$F$14)*'⑫ Roll-out Plan'!$O$88</f>
        <v>0</v>
      </c>
      <c r="EL1029" s="9" t="n">
        <f aca="false">MIN((EL839+EL840)*$C$5,$F$14)*'⑫ Roll-out Plan'!$O$88</f>
        <v>0</v>
      </c>
      <c r="EM1029" s="9" t="n">
        <f aca="false">MIN((EM839+EM840)*$C$5,$F$14)*'⑫ Roll-out Plan'!$O$88</f>
        <v>0</v>
      </c>
      <c r="EN1029" s="9" t="n">
        <f aca="false">MIN((EN839+EN840)*$C$5,$F$14)*'⑫ Roll-out Plan'!$O$88</f>
        <v>0</v>
      </c>
      <c r="EO1029" s="9" t="n">
        <f aca="false">MIN((EO839+EO840)*$C$5,$F$14)*'⑫ Roll-out Plan'!$O$88</f>
        <v>0</v>
      </c>
      <c r="EP1029" s="9" t="n">
        <f aca="false">MIN((EP839+EP840)*$C$5,$F$14)*'⑫ Roll-out Plan'!$O$88</f>
        <v>0</v>
      </c>
      <c r="EQ1029" s="9" t="n">
        <f aca="false">MIN((EQ839+EQ840)*$C$5,$F$14)*'⑫ Roll-out Plan'!$O$88</f>
        <v>0</v>
      </c>
      <c r="ER1029" s="9" t="n">
        <f aca="false">MIN((ER839+ER840)*$C$5,$F$14)*'⑫ Roll-out Plan'!$O$88</f>
        <v>0</v>
      </c>
      <c r="ES1029" s="9" t="n">
        <f aca="false">MIN((ES839+ES840)*$C$5,$F$14)*'⑫ Roll-out Plan'!$O$88</f>
        <v>0</v>
      </c>
      <c r="ET1029" s="9" t="n">
        <f aca="false">MIN((ET839+ET840)*$C$5,$F$14)*'⑫ Roll-out Plan'!$O$88</f>
        <v>0</v>
      </c>
      <c r="EU1029" s="9" t="n">
        <f aca="false">MIN((EU839+EU840)*$C$5,$F$14)*'⑫ Roll-out Plan'!$O$88</f>
        <v>0</v>
      </c>
      <c r="EV1029" s="9" t="n">
        <f aca="false">MIN((EV839+EV840)*$C$5,$F$14)*'⑫ Roll-out Plan'!$O$88</f>
        <v>0</v>
      </c>
      <c r="EW1029" s="9" t="n">
        <f aca="false">MIN((EW839+EW840)*$C$5,$F$14)*'⑫ Roll-out Plan'!$O$88</f>
        <v>0</v>
      </c>
      <c r="EX1029" s="9" t="n">
        <f aca="false">MIN((EX839+EX840)*$C$5,$F$14)*'⑫ Roll-out Plan'!$O$88</f>
        <v>0</v>
      </c>
      <c r="EY1029" s="9" t="n">
        <f aca="false">MIN((EY839+EY840)*$C$5,$F$14)*'⑫ Roll-out Plan'!$O$88</f>
        <v>0</v>
      </c>
      <c r="EZ1029" s="9" t="n">
        <f aca="false">MIN((EZ839+EZ840)*$C$5,$F$14)*'⑫ Roll-out Plan'!$O$88</f>
        <v>0</v>
      </c>
      <c r="FA1029" s="9" t="n">
        <f aca="false">MIN((FA839+FA840)*$C$5,$F$14)*'⑫ Roll-out Plan'!$O$88</f>
        <v>0</v>
      </c>
      <c r="FB1029" s="9" t="n">
        <f aca="false">MIN((FB839+FB840)*$C$5,$F$14)*'⑫ Roll-out Plan'!$O$88</f>
        <v>0</v>
      </c>
      <c r="FC1029" s="9" t="n">
        <f aca="false">MIN((FC839+FC840)*$C$5,$F$14)*'⑫ Roll-out Plan'!$O$88</f>
        <v>0</v>
      </c>
      <c r="FD1029" s="9" t="n">
        <f aca="false">MIN((FD839+FD840)*$C$5,$F$14)*'⑫ Roll-out Plan'!$O$88</f>
        <v>0</v>
      </c>
      <c r="FE1029" s="9" t="n">
        <f aca="false">MIN((FE839+FE840)*$C$5,$F$14)*'⑫ Roll-out Plan'!$O$88</f>
        <v>0</v>
      </c>
      <c r="FF1029" s="9" t="n">
        <f aca="false">MIN((FF839+FF840)*$C$5,$F$14)*'⑫ Roll-out Plan'!$O$88</f>
        <v>0</v>
      </c>
      <c r="FG1029" s="9" t="n">
        <f aca="false">MIN((FG839+FG840)*$C$5,$F$14)*'⑫ Roll-out Plan'!$O$88</f>
        <v>0</v>
      </c>
      <c r="FH1029" s="9" t="n">
        <f aca="false">MIN((FH839+FH840)*$C$5,$F$14)*'⑫ Roll-out Plan'!$O$88</f>
        <v>6052.2</v>
      </c>
      <c r="FI1029" s="9" t="n">
        <f aca="false">MIN((FI839+FI840)*$C$5,$F$14)*'⑫ Roll-out Plan'!$O$88</f>
        <v>6342.7056</v>
      </c>
      <c r="FJ1029" s="9" t="n">
        <f aca="false">MIN((FJ839+FJ840)*$C$5,$F$14)*'⑫ Roll-out Plan'!$O$88</f>
        <v>6101.145792</v>
      </c>
      <c r="FK1029" s="9" t="n">
        <f aca="false">MIN((FK839+FK840)*$C$5,$F$14)*'⑫ Roll-out Plan'!$O$88</f>
        <v>7148.9202624</v>
      </c>
      <c r="FL1029" s="9" t="n">
        <f aca="false">MIN((FL839+FL840)*$C$5,$F$14)*'⑫ Roll-out Plan'!$O$88</f>
        <v>11641.1139936</v>
      </c>
      <c r="FM1029" s="9" t="n">
        <f aca="false">MIN((FM839+FM840)*$C$5,$F$14)*'⑫ Roll-out Plan'!$O$88</f>
        <v>11600.152704</v>
      </c>
      <c r="FN1029" s="9" t="n">
        <f aca="false">MIN((FN839+FN840)*$C$5,$F$14)*'⑫ Roll-out Plan'!$O$88</f>
        <v>10985.117136</v>
      </c>
      <c r="FO1029" s="9" t="n">
        <f aca="false">MIN((FO839+FO840)*$C$5,$F$14)*'⑫ Roll-out Plan'!$O$88</f>
        <v>9572.4588288</v>
      </c>
      <c r="FP1029" s="9" t="n">
        <f aca="false">MIN((FP839+FP840)*$C$5,$F$14)*'⑫ Roll-out Plan'!$O$88</f>
        <v>14057.9357184</v>
      </c>
    </row>
    <row r="1030" customFormat="false" ht="15" hidden="false" customHeight="false" outlineLevel="0" collapsed="false">
      <c r="B1030" s="9" t="s">
        <v>957</v>
      </c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121" t="n">
        <f aca="false">MIN((AC849+AC850)*$C$5,$F$15)*'⑫ Roll-out Plan'!$O$89</f>
        <v>0</v>
      </c>
      <c r="AD1030" s="9" t="n">
        <f aca="false">MIN((AD849+AD850)*$C$5,$F$15)*'⑫ Roll-out Plan'!$O$89</f>
        <v>0</v>
      </c>
      <c r="AE1030" s="9" t="n">
        <f aca="false">MIN((AE849+AE850)*$C$5,$F$15)*'⑫ Roll-out Plan'!$O$89</f>
        <v>0</v>
      </c>
      <c r="AF1030" s="9" t="n">
        <f aca="false">MIN((AF849+AF850)*$C$5,$F$15)*'⑫ Roll-out Plan'!$O$89</f>
        <v>0</v>
      </c>
      <c r="AG1030" s="9" t="n">
        <f aca="false">MIN((AG849+AG850)*$C$5,$F$15)*'⑫ Roll-out Plan'!$O$89</f>
        <v>0</v>
      </c>
      <c r="AH1030" s="9" t="n">
        <f aca="false">MIN((AH849+AH850)*$C$5,$F$15)*'⑫ Roll-out Plan'!$O$89</f>
        <v>0</v>
      </c>
      <c r="AI1030" s="9" t="n">
        <f aca="false">MIN((AI849+AI850)*$C$5,$F$15)*'⑫ Roll-out Plan'!$O$89</f>
        <v>0</v>
      </c>
      <c r="AJ1030" s="9" t="n">
        <f aca="false">MIN((AJ849+AJ850)*$C$5,$F$15)*'⑫ Roll-out Plan'!$O$89</f>
        <v>0</v>
      </c>
      <c r="AK1030" s="9" t="n">
        <f aca="false">MIN((AK849+AK850)*$C$5,$F$15)*'⑫ Roll-out Plan'!$O$89</f>
        <v>0</v>
      </c>
      <c r="AL1030" s="9" t="n">
        <f aca="false">MIN((AL849+AL850)*$C$5,$F$15)*'⑫ Roll-out Plan'!$O$89</f>
        <v>0</v>
      </c>
      <c r="AM1030" s="9" t="n">
        <f aca="false">MIN((AM849+AM850)*$C$5,$F$15)*'⑫ Roll-out Plan'!$O$89</f>
        <v>0</v>
      </c>
      <c r="AN1030" s="9" t="n">
        <f aca="false">MIN((AN849+AN850)*$C$5,$F$15)*'⑫ Roll-out Plan'!$O$89</f>
        <v>0</v>
      </c>
      <c r="AO1030" s="9" t="n">
        <f aca="false">MIN((AO849+AO850)*$C$5,$F$15)*'⑫ Roll-out Plan'!$O$89</f>
        <v>0</v>
      </c>
      <c r="AP1030" s="9" t="n">
        <f aca="false">MIN((AP849+AP850)*$C$5,$F$15)*'⑫ Roll-out Plan'!$O$89</f>
        <v>0</v>
      </c>
      <c r="AQ1030" s="9" t="n">
        <f aca="false">MIN((AQ849+AQ850)*$C$5,$F$15)*'⑫ Roll-out Plan'!$O$89</f>
        <v>0</v>
      </c>
      <c r="AR1030" s="9" t="n">
        <f aca="false">MIN((AR849+AR850)*$C$5,$F$15)*'⑫ Roll-out Plan'!$O$89</f>
        <v>0</v>
      </c>
      <c r="AS1030" s="9" t="n">
        <f aca="false">MIN((AS849+AS850)*$C$5,$F$15)*'⑫ Roll-out Plan'!$O$89</f>
        <v>0</v>
      </c>
      <c r="AT1030" s="9" t="n">
        <f aca="false">MIN((AT849+AT850)*$C$5,$F$15)*'⑫ Roll-out Plan'!$O$89</f>
        <v>0</v>
      </c>
      <c r="AU1030" s="9" t="n">
        <f aca="false">MIN((AU849+AU850)*$C$5,$F$15)*'⑫ Roll-out Plan'!$O$89</f>
        <v>0</v>
      </c>
      <c r="AV1030" s="9" t="n">
        <f aca="false">MIN((AV849+AV850)*$C$5,$F$15)*'⑫ Roll-out Plan'!$O$89</f>
        <v>0</v>
      </c>
      <c r="AW1030" s="9" t="n">
        <f aca="false">MIN((AW849+AW850)*$C$5,$F$15)*'⑫ Roll-out Plan'!$O$89</f>
        <v>0</v>
      </c>
      <c r="AX1030" s="9" t="n">
        <f aca="false">MIN((AX849+AX850)*$C$5,$F$15)*'⑫ Roll-out Plan'!$O$89</f>
        <v>0</v>
      </c>
      <c r="AY1030" s="9" t="n">
        <f aca="false">MIN((AY849+AY850)*$C$5,$F$15)*'⑫ Roll-out Plan'!$O$89</f>
        <v>0</v>
      </c>
      <c r="AZ1030" s="9" t="n">
        <f aca="false">MIN((AZ849+AZ850)*$C$5,$F$15)*'⑫ Roll-out Plan'!$O$89</f>
        <v>0</v>
      </c>
      <c r="BA1030" s="9" t="n">
        <f aca="false">MIN((BA849+BA850)*$C$5,$F$15)*'⑫ Roll-out Plan'!$O$89</f>
        <v>0</v>
      </c>
      <c r="BB1030" s="9" t="n">
        <f aca="false">MIN((BB849+BB850)*$C$5,$F$15)*'⑫ Roll-out Plan'!$O$89</f>
        <v>0</v>
      </c>
      <c r="BC1030" s="9" t="n">
        <f aca="false">MIN((BC849+BC850)*$C$5,$F$15)*'⑫ Roll-out Plan'!$O$89</f>
        <v>0</v>
      </c>
      <c r="BD1030" s="9" t="n">
        <f aca="false">MIN((BD849+BD850)*$C$5,$F$15)*'⑫ Roll-out Plan'!$O$89</f>
        <v>0</v>
      </c>
      <c r="BE1030" s="9" t="n">
        <f aca="false">MIN((BE849+BE850)*$C$5,$F$15)*'⑫ Roll-out Plan'!$O$89</f>
        <v>0</v>
      </c>
      <c r="BF1030" s="9" t="n">
        <f aca="false">MIN((BF849+BF850)*$C$5,$F$15)*'⑫ Roll-out Plan'!$O$89</f>
        <v>0</v>
      </c>
      <c r="BG1030" s="9" t="n">
        <f aca="false">MIN((BG849+BG850)*$C$5,$F$15)*'⑫ Roll-out Plan'!$O$89</f>
        <v>0</v>
      </c>
      <c r="BH1030" s="9" t="n">
        <f aca="false">MIN((BH849+BH850)*$C$5,$F$15)*'⑫ Roll-out Plan'!$O$89</f>
        <v>0</v>
      </c>
      <c r="BI1030" s="9" t="n">
        <f aca="false">MIN((BI849+BI850)*$C$5,$F$15)*'⑫ Roll-out Plan'!$O$89</f>
        <v>0</v>
      </c>
      <c r="BJ1030" s="9" t="n">
        <f aca="false">MIN((BJ849+BJ850)*$C$5,$F$15)*'⑫ Roll-out Plan'!$O$89</f>
        <v>0</v>
      </c>
      <c r="BK1030" s="9" t="n">
        <f aca="false">MIN((BK849+BK850)*$C$5,$F$15)*'⑫ Roll-out Plan'!$O$89</f>
        <v>0</v>
      </c>
      <c r="BL1030" s="9" t="n">
        <f aca="false">MIN((BL849+BL850)*$C$5,$F$15)*'⑫ Roll-out Plan'!$O$89</f>
        <v>0</v>
      </c>
      <c r="BM1030" s="9" t="n">
        <f aca="false">MIN((BM849+BM850)*$C$5,$F$15)*'⑫ Roll-out Plan'!$O$89</f>
        <v>0</v>
      </c>
      <c r="BN1030" s="9" t="n">
        <f aca="false">MIN((BN849+BN850)*$C$5,$F$15)*'⑫ Roll-out Plan'!$O$89</f>
        <v>0</v>
      </c>
      <c r="BO1030" s="9" t="n">
        <f aca="false">MIN((BO849+BO850)*$C$5,$F$15)*'⑫ Roll-out Plan'!$O$89</f>
        <v>0</v>
      </c>
      <c r="BP1030" s="9" t="n">
        <f aca="false">MIN((BP849+BP850)*$C$5,$F$15)*'⑫ Roll-out Plan'!$O$89</f>
        <v>0</v>
      </c>
      <c r="BQ1030" s="9" t="n">
        <f aca="false">MIN((BQ849+BQ850)*$C$5,$F$15)*'⑫ Roll-out Plan'!$O$89</f>
        <v>0</v>
      </c>
      <c r="BR1030" s="9" t="n">
        <f aca="false">MIN((BR849+BR850)*$C$5,$F$15)*'⑫ Roll-out Plan'!$O$89</f>
        <v>0</v>
      </c>
      <c r="BS1030" s="9" t="n">
        <f aca="false">MIN((BS849+BS850)*$C$5,$F$15)*'⑫ Roll-out Plan'!$O$89</f>
        <v>0</v>
      </c>
      <c r="BT1030" s="9" t="n">
        <f aca="false">MIN((BT849+BT850)*$C$5,$F$15)*'⑫ Roll-out Plan'!$O$89</f>
        <v>0</v>
      </c>
      <c r="BU1030" s="9" t="n">
        <f aca="false">MIN((BU849+BU850)*$C$5,$F$15)*'⑫ Roll-out Plan'!$O$89</f>
        <v>0</v>
      </c>
      <c r="BV1030" s="9" t="n">
        <f aca="false">MIN((BV849+BV850)*$C$5,$F$15)*'⑫ Roll-out Plan'!$O$89</f>
        <v>0</v>
      </c>
      <c r="BW1030" s="9" t="n">
        <f aca="false">MIN((BW849+BW850)*$C$5,$F$15)*'⑫ Roll-out Plan'!$O$89</f>
        <v>0</v>
      </c>
      <c r="BX1030" s="9" t="n">
        <f aca="false">MIN((BX849+BX850)*$C$5,$F$15)*'⑫ Roll-out Plan'!$O$89</f>
        <v>0</v>
      </c>
      <c r="BY1030" s="9" t="n">
        <f aca="false">MIN((BY849+BY850)*$C$5,$F$15)*'⑫ Roll-out Plan'!$O$89</f>
        <v>0</v>
      </c>
      <c r="BZ1030" s="9" t="n">
        <f aca="false">MIN((BZ849+BZ850)*$C$5,$F$15)*'⑫ Roll-out Plan'!$O$89</f>
        <v>0</v>
      </c>
      <c r="CA1030" s="9" t="n">
        <f aca="false">MIN((CA849+CA850)*$C$5,$F$15)*'⑫ Roll-out Plan'!$O$89</f>
        <v>0</v>
      </c>
      <c r="CB1030" s="9" t="n">
        <f aca="false">MIN((CB849+CB850)*$C$5,$F$15)*'⑫ Roll-out Plan'!$O$89</f>
        <v>0</v>
      </c>
      <c r="CC1030" s="9" t="n">
        <f aca="false">MIN((CC849+CC850)*$C$5,$F$15)*'⑫ Roll-out Plan'!$O$89</f>
        <v>0</v>
      </c>
      <c r="CD1030" s="9" t="n">
        <f aca="false">MIN((CD849+CD850)*$C$5,$F$15)*'⑫ Roll-out Plan'!$O$89</f>
        <v>0</v>
      </c>
      <c r="CE1030" s="9" t="n">
        <f aca="false">MIN((CE849+CE850)*$C$5,$F$15)*'⑫ Roll-out Plan'!$O$89</f>
        <v>0</v>
      </c>
      <c r="CF1030" s="9" t="n">
        <f aca="false">MIN((CF849+CF850)*$C$5,$F$15)*'⑫ Roll-out Plan'!$O$89</f>
        <v>0</v>
      </c>
      <c r="CG1030" s="9" t="n">
        <f aca="false">MIN((CG849+CG850)*$C$5,$F$15)*'⑫ Roll-out Plan'!$O$89</f>
        <v>0</v>
      </c>
      <c r="CH1030" s="9" t="n">
        <f aca="false">MIN((CH849+CH850)*$C$5,$F$15)*'⑫ Roll-out Plan'!$O$89</f>
        <v>0</v>
      </c>
      <c r="CI1030" s="9" t="n">
        <f aca="false">MIN((CI849+CI850)*$C$5,$F$15)*'⑫ Roll-out Plan'!$O$89</f>
        <v>0</v>
      </c>
      <c r="CJ1030" s="9" t="n">
        <f aca="false">MIN((CJ849+CJ850)*$C$5,$F$15)*'⑫ Roll-out Plan'!$O$89</f>
        <v>0</v>
      </c>
      <c r="CK1030" s="9" t="n">
        <f aca="false">MIN((CK849+CK850)*$C$5,$F$15)*'⑫ Roll-out Plan'!$O$89</f>
        <v>0</v>
      </c>
      <c r="CL1030" s="9" t="n">
        <f aca="false">MIN((CL849+CL850)*$C$5,$F$15)*'⑫ Roll-out Plan'!$O$89</f>
        <v>0</v>
      </c>
      <c r="CM1030" s="9" t="n">
        <f aca="false">MIN((CM849+CM850)*$C$5,$F$15)*'⑫ Roll-out Plan'!$O$89</f>
        <v>0</v>
      </c>
      <c r="CN1030" s="9" t="n">
        <f aca="false">MIN((CN849+CN850)*$C$5,$F$15)*'⑫ Roll-out Plan'!$O$89</f>
        <v>0</v>
      </c>
      <c r="CO1030" s="9" t="n">
        <f aca="false">MIN((CO849+CO850)*$C$5,$F$15)*'⑫ Roll-out Plan'!$O$89</f>
        <v>0</v>
      </c>
      <c r="CP1030" s="9" t="n">
        <f aca="false">MIN((CP849+CP850)*$C$5,$F$15)*'⑫ Roll-out Plan'!$O$89</f>
        <v>0</v>
      </c>
      <c r="CQ1030" s="9" t="n">
        <f aca="false">MIN((CQ849+CQ850)*$C$5,$F$15)*'⑫ Roll-out Plan'!$O$89</f>
        <v>0</v>
      </c>
      <c r="CR1030" s="9" t="n">
        <f aca="false">MIN((CR849+CR850)*$C$5,$F$15)*'⑫ Roll-out Plan'!$O$89</f>
        <v>0</v>
      </c>
      <c r="CS1030" s="9" t="n">
        <f aca="false">MIN((CS849+CS850)*$C$5,$F$15)*'⑫ Roll-out Plan'!$O$89</f>
        <v>0</v>
      </c>
      <c r="CT1030" s="9" t="n">
        <f aca="false">MIN((CT849+CT850)*$C$5,$F$15)*'⑫ Roll-out Plan'!$O$89</f>
        <v>0</v>
      </c>
      <c r="CU1030" s="9" t="n">
        <f aca="false">MIN((CU849+CU850)*$C$5,$F$15)*'⑫ Roll-out Plan'!$O$89</f>
        <v>0</v>
      </c>
      <c r="CV1030" s="9" t="n">
        <f aca="false">MIN((CV849+CV850)*$C$5,$F$15)*'⑫ Roll-out Plan'!$O$89</f>
        <v>0</v>
      </c>
      <c r="CW1030" s="9" t="n">
        <f aca="false">MIN((CW849+CW850)*$C$5,$F$15)*'⑫ Roll-out Plan'!$O$89</f>
        <v>0</v>
      </c>
      <c r="CX1030" s="9" t="n">
        <f aca="false">MIN((CX849+CX850)*$C$5,$F$15)*'⑫ Roll-out Plan'!$O$89</f>
        <v>0</v>
      </c>
      <c r="CY1030" s="9" t="n">
        <f aca="false">MIN((CY849+CY850)*$C$5,$F$15)*'⑫ Roll-out Plan'!$O$89</f>
        <v>0</v>
      </c>
      <c r="CZ1030" s="9" t="n">
        <f aca="false">MIN((CZ849+CZ850)*$C$5,$F$15)*'⑫ Roll-out Plan'!$O$89</f>
        <v>0</v>
      </c>
      <c r="DA1030" s="9" t="n">
        <f aca="false">MIN((DA849+DA850)*$C$5,$F$15)*'⑫ Roll-out Plan'!$O$89</f>
        <v>0</v>
      </c>
      <c r="DB1030" s="9" t="n">
        <f aca="false">MIN((DB849+DB850)*$C$5,$F$15)*'⑫ Roll-out Plan'!$O$89</f>
        <v>0</v>
      </c>
      <c r="DC1030" s="9" t="n">
        <f aca="false">MIN((DC849+DC850)*$C$5,$F$15)*'⑫ Roll-out Plan'!$O$89</f>
        <v>0</v>
      </c>
      <c r="DD1030" s="9" t="n">
        <f aca="false">MIN((DD849+DD850)*$C$5,$F$15)*'⑫ Roll-out Plan'!$O$89</f>
        <v>0</v>
      </c>
      <c r="DE1030" s="9" t="n">
        <f aca="false">MIN((DE849+DE850)*$C$5,$F$15)*'⑫ Roll-out Plan'!$O$89</f>
        <v>0</v>
      </c>
      <c r="DF1030" s="9" t="n">
        <f aca="false">MIN((DF849+DF850)*$C$5,$F$15)*'⑫ Roll-out Plan'!$O$89</f>
        <v>0</v>
      </c>
      <c r="DG1030" s="9" t="n">
        <f aca="false">MIN((DG849+DG850)*$C$5,$F$15)*'⑫ Roll-out Plan'!$O$89</f>
        <v>0</v>
      </c>
      <c r="DH1030" s="9" t="n">
        <f aca="false">MIN((DH849+DH850)*$C$5,$F$15)*'⑫ Roll-out Plan'!$O$89</f>
        <v>0</v>
      </c>
      <c r="DI1030" s="9" t="n">
        <f aca="false">MIN((DI849+DI850)*$C$5,$F$15)*'⑫ Roll-out Plan'!$O$89</f>
        <v>0</v>
      </c>
      <c r="DJ1030" s="9" t="n">
        <f aca="false">MIN((DJ849+DJ850)*$C$5,$F$15)*'⑫ Roll-out Plan'!$O$89</f>
        <v>0</v>
      </c>
      <c r="DK1030" s="9" t="n">
        <f aca="false">MIN((DK849+DK850)*$C$5,$F$15)*'⑫ Roll-out Plan'!$O$89</f>
        <v>0</v>
      </c>
      <c r="DL1030" s="9" t="n">
        <f aca="false">MIN((DL849+DL850)*$C$5,$F$15)*'⑫ Roll-out Plan'!$O$89</f>
        <v>0</v>
      </c>
      <c r="DM1030" s="9" t="n">
        <f aca="false">MIN((DM849+DM850)*$C$5,$F$15)*'⑫ Roll-out Plan'!$O$89</f>
        <v>0</v>
      </c>
      <c r="DN1030" s="9" t="n">
        <f aca="false">MIN((DN849+DN850)*$C$5,$F$15)*'⑫ Roll-out Plan'!$O$89</f>
        <v>0</v>
      </c>
      <c r="DO1030" s="9" t="n">
        <f aca="false">MIN((DO849+DO850)*$C$5,$F$15)*'⑫ Roll-out Plan'!$O$89</f>
        <v>0</v>
      </c>
      <c r="DP1030" s="9" t="n">
        <f aca="false">MIN((DP849+DP850)*$C$5,$F$15)*'⑫ Roll-out Plan'!$O$89</f>
        <v>0</v>
      </c>
      <c r="DQ1030" s="9" t="n">
        <f aca="false">MIN((DQ849+DQ850)*$C$5,$F$15)*'⑫ Roll-out Plan'!$O$89</f>
        <v>0</v>
      </c>
      <c r="DR1030" s="9" t="n">
        <f aca="false">MIN((DR849+DR850)*$C$5,$F$15)*'⑫ Roll-out Plan'!$O$89</f>
        <v>0</v>
      </c>
      <c r="DS1030" s="9" t="n">
        <f aca="false">MIN((DS849+DS850)*$C$5,$F$15)*'⑫ Roll-out Plan'!$O$89</f>
        <v>0</v>
      </c>
      <c r="DT1030" s="9" t="n">
        <f aca="false">MIN((DT849+DT850)*$C$5,$F$15)*'⑫ Roll-out Plan'!$O$89</f>
        <v>0</v>
      </c>
      <c r="DU1030" s="9" t="n">
        <f aca="false">MIN((DU849+DU850)*$C$5,$F$15)*'⑫ Roll-out Plan'!$O$89</f>
        <v>0</v>
      </c>
      <c r="DV1030" s="9" t="n">
        <f aca="false">MIN((DV849+DV850)*$C$5,$F$15)*'⑫ Roll-out Plan'!$O$89</f>
        <v>0</v>
      </c>
      <c r="DW1030" s="9" t="n">
        <f aca="false">MIN((DW849+DW850)*$C$5,$F$15)*'⑫ Roll-out Plan'!$O$89</f>
        <v>0</v>
      </c>
      <c r="DX1030" s="9" t="n">
        <f aca="false">MIN((DX849+DX850)*$C$5,$F$15)*'⑫ Roll-out Plan'!$O$89</f>
        <v>0</v>
      </c>
      <c r="DY1030" s="9" t="n">
        <f aca="false">MIN((DY849+DY850)*$C$5,$F$15)*'⑫ Roll-out Plan'!$O$89</f>
        <v>0</v>
      </c>
      <c r="DZ1030" s="9" t="n">
        <f aca="false">MIN((DZ849+DZ850)*$C$5,$F$15)*'⑫ Roll-out Plan'!$O$89</f>
        <v>0</v>
      </c>
      <c r="EA1030" s="9" t="n">
        <f aca="false">MIN((EA849+EA850)*$C$5,$F$15)*'⑫ Roll-out Plan'!$O$89</f>
        <v>0</v>
      </c>
      <c r="EB1030" s="9" t="n">
        <f aca="false">MIN((EB849+EB850)*$C$5,$F$15)*'⑫ Roll-out Plan'!$O$89</f>
        <v>0</v>
      </c>
      <c r="EC1030" s="9" t="n">
        <f aca="false">MIN((EC849+EC850)*$C$5,$F$15)*'⑫ Roll-out Plan'!$O$89</f>
        <v>0</v>
      </c>
      <c r="ED1030" s="9" t="n">
        <f aca="false">MIN((ED849+ED850)*$C$5,$F$15)*'⑫ Roll-out Plan'!$O$89</f>
        <v>0</v>
      </c>
      <c r="EE1030" s="9" t="n">
        <f aca="false">MIN((EE849+EE850)*$C$5,$F$15)*'⑫ Roll-out Plan'!$O$89</f>
        <v>0</v>
      </c>
      <c r="EF1030" s="9" t="n">
        <f aca="false">MIN((EF849+EF850)*$C$5,$F$15)*'⑫ Roll-out Plan'!$O$89</f>
        <v>0</v>
      </c>
      <c r="EG1030" s="9" t="n">
        <f aca="false">MIN((EG849+EG850)*$C$5,$F$15)*'⑫ Roll-out Plan'!$O$89</f>
        <v>0</v>
      </c>
      <c r="EH1030" s="9" t="n">
        <f aca="false">MIN((EH849+EH850)*$C$5,$F$15)*'⑫ Roll-out Plan'!$O$89</f>
        <v>0</v>
      </c>
      <c r="EI1030" s="9" t="n">
        <f aca="false">MIN((EI849+EI850)*$C$5,$F$15)*'⑫ Roll-out Plan'!$O$89</f>
        <v>0</v>
      </c>
      <c r="EJ1030" s="9" t="n">
        <f aca="false">MIN((EJ849+EJ850)*$C$5,$F$15)*'⑫ Roll-out Plan'!$O$89</f>
        <v>0</v>
      </c>
      <c r="EK1030" s="9" t="n">
        <f aca="false">MIN((EK849+EK850)*$C$5,$F$15)*'⑫ Roll-out Plan'!$O$89</f>
        <v>0</v>
      </c>
      <c r="EL1030" s="9" t="n">
        <f aca="false">MIN((EL849+EL850)*$C$5,$F$15)*'⑫ Roll-out Plan'!$O$89</f>
        <v>0</v>
      </c>
      <c r="EM1030" s="9" t="n">
        <f aca="false">MIN((EM849+EM850)*$C$5,$F$15)*'⑫ Roll-out Plan'!$O$89</f>
        <v>0</v>
      </c>
      <c r="EN1030" s="9" t="n">
        <f aca="false">MIN((EN849+EN850)*$C$5,$F$15)*'⑫ Roll-out Plan'!$O$89</f>
        <v>0</v>
      </c>
      <c r="EO1030" s="9" t="n">
        <f aca="false">MIN((EO849+EO850)*$C$5,$F$15)*'⑫ Roll-out Plan'!$O$89</f>
        <v>0</v>
      </c>
      <c r="EP1030" s="9" t="n">
        <f aca="false">MIN((EP849+EP850)*$C$5,$F$15)*'⑫ Roll-out Plan'!$O$89</f>
        <v>0</v>
      </c>
      <c r="EQ1030" s="9" t="n">
        <f aca="false">MIN((EQ849+EQ850)*$C$5,$F$15)*'⑫ Roll-out Plan'!$O$89</f>
        <v>0</v>
      </c>
      <c r="ER1030" s="9" t="n">
        <f aca="false">MIN((ER849+ER850)*$C$5,$F$15)*'⑫ Roll-out Plan'!$O$89</f>
        <v>0</v>
      </c>
      <c r="ES1030" s="9" t="n">
        <f aca="false">MIN((ES849+ES850)*$C$5,$F$15)*'⑫ Roll-out Plan'!$O$89</f>
        <v>0</v>
      </c>
      <c r="ET1030" s="9" t="n">
        <f aca="false">MIN((ET849+ET850)*$C$5,$F$15)*'⑫ Roll-out Plan'!$O$89</f>
        <v>0</v>
      </c>
      <c r="EU1030" s="9" t="n">
        <f aca="false">MIN((EU849+EU850)*$C$5,$F$15)*'⑫ Roll-out Plan'!$O$89</f>
        <v>0</v>
      </c>
      <c r="EV1030" s="9" t="n">
        <f aca="false">MIN((EV849+EV850)*$C$5,$F$15)*'⑫ Roll-out Plan'!$O$89</f>
        <v>0</v>
      </c>
      <c r="EW1030" s="9" t="n">
        <f aca="false">MIN((EW849+EW850)*$C$5,$F$15)*'⑫ Roll-out Plan'!$O$89</f>
        <v>0</v>
      </c>
      <c r="EX1030" s="9" t="n">
        <f aca="false">MIN((EX849+EX850)*$C$5,$F$15)*'⑫ Roll-out Plan'!$O$89</f>
        <v>0</v>
      </c>
      <c r="EY1030" s="9" t="n">
        <f aca="false">MIN((EY849+EY850)*$C$5,$F$15)*'⑫ Roll-out Plan'!$O$89</f>
        <v>0</v>
      </c>
      <c r="EZ1030" s="9" t="n">
        <f aca="false">MIN((EZ849+EZ850)*$C$5,$F$15)*'⑫ Roll-out Plan'!$O$89</f>
        <v>0</v>
      </c>
      <c r="FA1030" s="9" t="n">
        <f aca="false">MIN((FA849+FA850)*$C$5,$F$15)*'⑫ Roll-out Plan'!$O$89</f>
        <v>0</v>
      </c>
      <c r="FB1030" s="9" t="n">
        <f aca="false">MIN((FB849+FB850)*$C$5,$F$15)*'⑫ Roll-out Plan'!$O$89</f>
        <v>0</v>
      </c>
      <c r="FC1030" s="9" t="n">
        <f aca="false">MIN((FC849+FC850)*$C$5,$F$15)*'⑫ Roll-out Plan'!$O$89</f>
        <v>0</v>
      </c>
      <c r="FD1030" s="9" t="n">
        <f aca="false">MIN((FD849+FD850)*$C$5,$F$15)*'⑫ Roll-out Plan'!$O$89</f>
        <v>0</v>
      </c>
      <c r="FE1030" s="9" t="n">
        <f aca="false">MIN((FE849+FE850)*$C$5,$F$15)*'⑫ Roll-out Plan'!$O$89</f>
        <v>0</v>
      </c>
      <c r="FF1030" s="9" t="n">
        <f aca="false">MIN((FF849+FF850)*$C$5,$F$15)*'⑫ Roll-out Plan'!$O$89</f>
        <v>0</v>
      </c>
      <c r="FG1030" s="9" t="n">
        <f aca="false">MIN((FG849+FG850)*$C$5,$F$15)*'⑫ Roll-out Plan'!$O$89</f>
        <v>0</v>
      </c>
      <c r="FH1030" s="9" t="n">
        <f aca="false">MIN((FH849+FH850)*$C$5,$F$15)*'⑫ Roll-out Plan'!$O$89</f>
        <v>0</v>
      </c>
      <c r="FI1030" s="9" t="n">
        <f aca="false">MIN((FI849+FI850)*$C$5,$F$15)*'⑫ Roll-out Plan'!$O$89</f>
        <v>4459.24</v>
      </c>
      <c r="FJ1030" s="9" t="n">
        <f aca="false">MIN((FJ849+FJ850)*$C$5,$F$15)*'⑫ Roll-out Plan'!$O$89</f>
        <v>4836.14272</v>
      </c>
      <c r="FK1030" s="9" t="n">
        <f aca="false">MIN((FK849+FK850)*$C$5,$F$15)*'⑫ Roll-out Plan'!$O$89</f>
        <v>5510.224704</v>
      </c>
      <c r="FL1030" s="9" t="n">
        <f aca="false">MIN((FL849+FL850)*$C$5,$F$15)*'⑫ Roll-out Plan'!$O$89</f>
        <v>10092.03564</v>
      </c>
      <c r="FM1030" s="9" t="n">
        <f aca="false">MIN((FM849+FM850)*$C$5,$F$15)*'⑫ Roll-out Plan'!$O$89</f>
        <v>9018.3514656</v>
      </c>
      <c r="FN1030" s="9" t="n">
        <f aca="false">MIN((FN849+FN850)*$C$5,$F$15)*'⑫ Roll-out Plan'!$O$89</f>
        <v>8554.2880528</v>
      </c>
      <c r="FO1030" s="9" t="n">
        <f aca="false">MIN((FO849+FO850)*$C$5,$F$15)*'⑫ Roll-out Plan'!$O$89</f>
        <v>7497.0138816</v>
      </c>
      <c r="FP1030" s="9" t="n">
        <f aca="false">MIN((FP849+FP850)*$C$5,$F$15)*'⑫ Roll-out Plan'!$O$89</f>
        <v>10977.0280432</v>
      </c>
    </row>
    <row r="1031" customFormat="false" ht="15" hidden="false" customHeight="false" outlineLevel="0" collapsed="false">
      <c r="B1031" s="9" t="s">
        <v>958</v>
      </c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121" t="n">
        <f aca="false">MIN((AC859+AC860)*$C$5,$F$16)*'⑫ Roll-out Plan'!$O$90</f>
        <v>0</v>
      </c>
      <c r="AD1031" s="9" t="n">
        <f aca="false">MIN((AD859+AD860)*$C$5,$F$16)*'⑫ Roll-out Plan'!$O$90</f>
        <v>0</v>
      </c>
      <c r="AE1031" s="9" t="n">
        <f aca="false">MIN((AE859+AE860)*$C$5,$F$16)*'⑫ Roll-out Plan'!$O$90</f>
        <v>0</v>
      </c>
      <c r="AF1031" s="9" t="n">
        <f aca="false">MIN((AF859+AF860)*$C$5,$F$16)*'⑫ Roll-out Plan'!$O$90</f>
        <v>0</v>
      </c>
      <c r="AG1031" s="9" t="n">
        <f aca="false">MIN((AG859+AG860)*$C$5,$F$16)*'⑫ Roll-out Plan'!$O$90</f>
        <v>0</v>
      </c>
      <c r="AH1031" s="9" t="n">
        <f aca="false">MIN((AH859+AH860)*$C$5,$F$16)*'⑫ Roll-out Plan'!$O$90</f>
        <v>0</v>
      </c>
      <c r="AI1031" s="9" t="n">
        <f aca="false">MIN((AI859+AI860)*$C$5,$F$16)*'⑫ Roll-out Plan'!$O$90</f>
        <v>0</v>
      </c>
      <c r="AJ1031" s="9" t="n">
        <f aca="false">MIN((AJ859+AJ860)*$C$5,$F$16)*'⑫ Roll-out Plan'!$O$90</f>
        <v>0</v>
      </c>
      <c r="AK1031" s="9" t="n">
        <f aca="false">MIN((AK859+AK860)*$C$5,$F$16)*'⑫ Roll-out Plan'!$O$90</f>
        <v>0</v>
      </c>
      <c r="AL1031" s="9" t="n">
        <f aca="false">MIN((AL859+AL860)*$C$5,$F$16)*'⑫ Roll-out Plan'!$O$90</f>
        <v>0</v>
      </c>
      <c r="AM1031" s="9" t="n">
        <f aca="false">MIN((AM859+AM860)*$C$5,$F$16)*'⑫ Roll-out Plan'!$O$90</f>
        <v>0</v>
      </c>
      <c r="AN1031" s="9" t="n">
        <f aca="false">MIN((AN859+AN860)*$C$5,$F$16)*'⑫ Roll-out Plan'!$O$90</f>
        <v>0</v>
      </c>
      <c r="AO1031" s="9" t="n">
        <f aca="false">MIN((AO859+AO860)*$C$5,$F$16)*'⑫ Roll-out Plan'!$O$90</f>
        <v>0</v>
      </c>
      <c r="AP1031" s="9" t="n">
        <f aca="false">MIN((AP859+AP860)*$C$5,$F$16)*'⑫ Roll-out Plan'!$O$90</f>
        <v>0</v>
      </c>
      <c r="AQ1031" s="9" t="n">
        <f aca="false">MIN((AQ859+AQ860)*$C$5,$F$16)*'⑫ Roll-out Plan'!$O$90</f>
        <v>0</v>
      </c>
      <c r="AR1031" s="9" t="n">
        <f aca="false">MIN((AR859+AR860)*$C$5,$F$16)*'⑫ Roll-out Plan'!$O$90</f>
        <v>0</v>
      </c>
      <c r="AS1031" s="9" t="n">
        <f aca="false">MIN((AS859+AS860)*$C$5,$F$16)*'⑫ Roll-out Plan'!$O$90</f>
        <v>0</v>
      </c>
      <c r="AT1031" s="9" t="n">
        <f aca="false">MIN((AT859+AT860)*$C$5,$F$16)*'⑫ Roll-out Plan'!$O$90</f>
        <v>0</v>
      </c>
      <c r="AU1031" s="9" t="n">
        <f aca="false">MIN((AU859+AU860)*$C$5,$F$16)*'⑫ Roll-out Plan'!$O$90</f>
        <v>0</v>
      </c>
      <c r="AV1031" s="9" t="n">
        <f aca="false">MIN((AV859+AV860)*$C$5,$F$16)*'⑫ Roll-out Plan'!$O$90</f>
        <v>0</v>
      </c>
      <c r="AW1031" s="9" t="n">
        <f aca="false">MIN((AW859+AW860)*$C$5,$F$16)*'⑫ Roll-out Plan'!$O$90</f>
        <v>0</v>
      </c>
      <c r="AX1031" s="9" t="n">
        <f aca="false">MIN((AX859+AX860)*$C$5,$F$16)*'⑫ Roll-out Plan'!$O$90</f>
        <v>0</v>
      </c>
      <c r="AY1031" s="9" t="n">
        <f aca="false">MIN((AY859+AY860)*$C$5,$F$16)*'⑫ Roll-out Plan'!$O$90</f>
        <v>0</v>
      </c>
      <c r="AZ1031" s="9" t="n">
        <f aca="false">MIN((AZ859+AZ860)*$C$5,$F$16)*'⑫ Roll-out Plan'!$O$90</f>
        <v>0</v>
      </c>
      <c r="BA1031" s="9" t="n">
        <f aca="false">MIN((BA859+BA860)*$C$5,$F$16)*'⑫ Roll-out Plan'!$O$90</f>
        <v>0</v>
      </c>
      <c r="BB1031" s="9" t="n">
        <f aca="false">MIN((BB859+BB860)*$C$5,$F$16)*'⑫ Roll-out Plan'!$O$90</f>
        <v>0</v>
      </c>
      <c r="BC1031" s="9" t="n">
        <f aca="false">MIN((BC859+BC860)*$C$5,$F$16)*'⑫ Roll-out Plan'!$O$90</f>
        <v>0</v>
      </c>
      <c r="BD1031" s="9" t="n">
        <f aca="false">MIN((BD859+BD860)*$C$5,$F$16)*'⑫ Roll-out Plan'!$O$90</f>
        <v>0</v>
      </c>
      <c r="BE1031" s="9" t="n">
        <f aca="false">MIN((BE859+BE860)*$C$5,$F$16)*'⑫ Roll-out Plan'!$O$90</f>
        <v>0</v>
      </c>
      <c r="BF1031" s="9" t="n">
        <f aca="false">MIN((BF859+BF860)*$C$5,$F$16)*'⑫ Roll-out Plan'!$O$90</f>
        <v>0</v>
      </c>
      <c r="BG1031" s="9" t="n">
        <f aca="false">MIN((BG859+BG860)*$C$5,$F$16)*'⑫ Roll-out Plan'!$O$90</f>
        <v>0</v>
      </c>
      <c r="BH1031" s="9" t="n">
        <f aca="false">MIN((BH859+BH860)*$C$5,$F$16)*'⑫ Roll-out Plan'!$O$90</f>
        <v>0</v>
      </c>
      <c r="BI1031" s="9" t="n">
        <f aca="false">MIN((BI859+BI860)*$C$5,$F$16)*'⑫ Roll-out Plan'!$O$90</f>
        <v>0</v>
      </c>
      <c r="BJ1031" s="9" t="n">
        <f aca="false">MIN((BJ859+BJ860)*$C$5,$F$16)*'⑫ Roll-out Plan'!$O$90</f>
        <v>0</v>
      </c>
      <c r="BK1031" s="9" t="n">
        <f aca="false">MIN((BK859+BK860)*$C$5,$F$16)*'⑫ Roll-out Plan'!$O$90</f>
        <v>0</v>
      </c>
      <c r="BL1031" s="9" t="n">
        <f aca="false">MIN((BL859+BL860)*$C$5,$F$16)*'⑫ Roll-out Plan'!$O$90</f>
        <v>0</v>
      </c>
      <c r="BM1031" s="9" t="n">
        <f aca="false">MIN((BM859+BM860)*$C$5,$F$16)*'⑫ Roll-out Plan'!$O$90</f>
        <v>0</v>
      </c>
      <c r="BN1031" s="9" t="n">
        <f aca="false">MIN((BN859+BN860)*$C$5,$F$16)*'⑫ Roll-out Plan'!$O$90</f>
        <v>0</v>
      </c>
      <c r="BO1031" s="9" t="n">
        <f aca="false">MIN((BO859+BO860)*$C$5,$F$16)*'⑫ Roll-out Plan'!$O$90</f>
        <v>0</v>
      </c>
      <c r="BP1031" s="9" t="n">
        <f aca="false">MIN((BP859+BP860)*$C$5,$F$16)*'⑫ Roll-out Plan'!$O$90</f>
        <v>0</v>
      </c>
      <c r="BQ1031" s="9" t="n">
        <f aca="false">MIN((BQ859+BQ860)*$C$5,$F$16)*'⑫ Roll-out Plan'!$O$90</f>
        <v>0</v>
      </c>
      <c r="BR1031" s="9" t="n">
        <f aca="false">MIN((BR859+BR860)*$C$5,$F$16)*'⑫ Roll-out Plan'!$O$90</f>
        <v>0</v>
      </c>
      <c r="BS1031" s="9" t="n">
        <f aca="false">MIN((BS859+BS860)*$C$5,$F$16)*'⑫ Roll-out Plan'!$O$90</f>
        <v>0</v>
      </c>
      <c r="BT1031" s="9" t="n">
        <f aca="false">MIN((BT859+BT860)*$C$5,$F$16)*'⑫ Roll-out Plan'!$O$90</f>
        <v>0</v>
      </c>
      <c r="BU1031" s="9" t="n">
        <f aca="false">MIN((BU859+BU860)*$C$5,$F$16)*'⑫ Roll-out Plan'!$O$90</f>
        <v>0</v>
      </c>
      <c r="BV1031" s="9" t="n">
        <f aca="false">MIN((BV859+BV860)*$C$5,$F$16)*'⑫ Roll-out Plan'!$O$90</f>
        <v>0</v>
      </c>
      <c r="BW1031" s="9" t="n">
        <f aca="false">MIN((BW859+BW860)*$C$5,$F$16)*'⑫ Roll-out Plan'!$O$90</f>
        <v>0</v>
      </c>
      <c r="BX1031" s="9" t="n">
        <f aca="false">MIN((BX859+BX860)*$C$5,$F$16)*'⑫ Roll-out Plan'!$O$90</f>
        <v>0</v>
      </c>
      <c r="BY1031" s="9" t="n">
        <f aca="false">MIN((BY859+BY860)*$C$5,$F$16)*'⑫ Roll-out Plan'!$O$90</f>
        <v>0</v>
      </c>
      <c r="BZ1031" s="9" t="n">
        <f aca="false">MIN((BZ859+BZ860)*$C$5,$F$16)*'⑫ Roll-out Plan'!$O$90</f>
        <v>0</v>
      </c>
      <c r="CA1031" s="9" t="n">
        <f aca="false">MIN((CA859+CA860)*$C$5,$F$16)*'⑫ Roll-out Plan'!$O$90</f>
        <v>0</v>
      </c>
      <c r="CB1031" s="9" t="n">
        <f aca="false">MIN((CB859+CB860)*$C$5,$F$16)*'⑫ Roll-out Plan'!$O$90</f>
        <v>0</v>
      </c>
      <c r="CC1031" s="9" t="n">
        <f aca="false">MIN((CC859+CC860)*$C$5,$F$16)*'⑫ Roll-out Plan'!$O$90</f>
        <v>0</v>
      </c>
      <c r="CD1031" s="9" t="n">
        <f aca="false">MIN((CD859+CD860)*$C$5,$F$16)*'⑫ Roll-out Plan'!$O$90</f>
        <v>0</v>
      </c>
      <c r="CE1031" s="9" t="n">
        <f aca="false">MIN((CE859+CE860)*$C$5,$F$16)*'⑫ Roll-out Plan'!$O$90</f>
        <v>0</v>
      </c>
      <c r="CF1031" s="9" t="n">
        <f aca="false">MIN((CF859+CF860)*$C$5,$F$16)*'⑫ Roll-out Plan'!$O$90</f>
        <v>0</v>
      </c>
      <c r="CG1031" s="9" t="n">
        <f aca="false">MIN((CG859+CG860)*$C$5,$F$16)*'⑫ Roll-out Plan'!$O$90</f>
        <v>0</v>
      </c>
      <c r="CH1031" s="9" t="n">
        <f aca="false">MIN((CH859+CH860)*$C$5,$F$16)*'⑫ Roll-out Plan'!$O$90</f>
        <v>0</v>
      </c>
      <c r="CI1031" s="9" t="n">
        <f aca="false">MIN((CI859+CI860)*$C$5,$F$16)*'⑫ Roll-out Plan'!$O$90</f>
        <v>0</v>
      </c>
      <c r="CJ1031" s="9" t="n">
        <f aca="false">MIN((CJ859+CJ860)*$C$5,$F$16)*'⑫ Roll-out Plan'!$O$90</f>
        <v>0</v>
      </c>
      <c r="CK1031" s="9" t="n">
        <f aca="false">MIN((CK859+CK860)*$C$5,$F$16)*'⑫ Roll-out Plan'!$O$90</f>
        <v>0</v>
      </c>
      <c r="CL1031" s="9" t="n">
        <f aca="false">MIN((CL859+CL860)*$C$5,$F$16)*'⑫ Roll-out Plan'!$O$90</f>
        <v>0</v>
      </c>
      <c r="CM1031" s="9" t="n">
        <f aca="false">MIN((CM859+CM860)*$C$5,$F$16)*'⑫ Roll-out Plan'!$O$90</f>
        <v>0</v>
      </c>
      <c r="CN1031" s="9" t="n">
        <f aca="false">MIN((CN859+CN860)*$C$5,$F$16)*'⑫ Roll-out Plan'!$O$90</f>
        <v>0</v>
      </c>
      <c r="CO1031" s="9" t="n">
        <f aca="false">MIN((CO859+CO860)*$C$5,$F$16)*'⑫ Roll-out Plan'!$O$90</f>
        <v>0</v>
      </c>
      <c r="CP1031" s="9" t="n">
        <f aca="false">MIN((CP859+CP860)*$C$5,$F$16)*'⑫ Roll-out Plan'!$O$90</f>
        <v>0</v>
      </c>
      <c r="CQ1031" s="9" t="n">
        <f aca="false">MIN((CQ859+CQ860)*$C$5,$F$16)*'⑫ Roll-out Plan'!$O$90</f>
        <v>0</v>
      </c>
      <c r="CR1031" s="9" t="n">
        <f aca="false">MIN((CR859+CR860)*$C$5,$F$16)*'⑫ Roll-out Plan'!$O$90</f>
        <v>0</v>
      </c>
      <c r="CS1031" s="9" t="n">
        <f aca="false">MIN((CS859+CS860)*$C$5,$F$16)*'⑫ Roll-out Plan'!$O$90</f>
        <v>0</v>
      </c>
      <c r="CT1031" s="9" t="n">
        <f aca="false">MIN((CT859+CT860)*$C$5,$F$16)*'⑫ Roll-out Plan'!$O$90</f>
        <v>0</v>
      </c>
      <c r="CU1031" s="9" t="n">
        <f aca="false">MIN((CU859+CU860)*$C$5,$F$16)*'⑫ Roll-out Plan'!$O$90</f>
        <v>0</v>
      </c>
      <c r="CV1031" s="9" t="n">
        <f aca="false">MIN((CV859+CV860)*$C$5,$F$16)*'⑫ Roll-out Plan'!$O$90</f>
        <v>0</v>
      </c>
      <c r="CW1031" s="9" t="n">
        <f aca="false">MIN((CW859+CW860)*$C$5,$F$16)*'⑫ Roll-out Plan'!$O$90</f>
        <v>0</v>
      </c>
      <c r="CX1031" s="9" t="n">
        <f aca="false">MIN((CX859+CX860)*$C$5,$F$16)*'⑫ Roll-out Plan'!$O$90</f>
        <v>0</v>
      </c>
      <c r="CY1031" s="9" t="n">
        <f aca="false">MIN((CY859+CY860)*$C$5,$F$16)*'⑫ Roll-out Plan'!$O$90</f>
        <v>0</v>
      </c>
      <c r="CZ1031" s="9" t="n">
        <f aca="false">MIN((CZ859+CZ860)*$C$5,$F$16)*'⑫ Roll-out Plan'!$O$90</f>
        <v>0</v>
      </c>
      <c r="DA1031" s="9" t="n">
        <f aca="false">MIN((DA859+DA860)*$C$5,$F$16)*'⑫ Roll-out Plan'!$O$90</f>
        <v>0</v>
      </c>
      <c r="DB1031" s="9" t="n">
        <f aca="false">MIN((DB859+DB860)*$C$5,$F$16)*'⑫ Roll-out Plan'!$O$90</f>
        <v>0</v>
      </c>
      <c r="DC1031" s="9" t="n">
        <f aca="false">MIN((DC859+DC860)*$C$5,$F$16)*'⑫ Roll-out Plan'!$O$90</f>
        <v>0</v>
      </c>
      <c r="DD1031" s="9" t="n">
        <f aca="false">MIN((DD859+DD860)*$C$5,$F$16)*'⑫ Roll-out Plan'!$O$90</f>
        <v>0</v>
      </c>
      <c r="DE1031" s="9" t="n">
        <f aca="false">MIN((DE859+DE860)*$C$5,$F$16)*'⑫ Roll-out Plan'!$O$90</f>
        <v>0</v>
      </c>
      <c r="DF1031" s="9" t="n">
        <f aca="false">MIN((DF859+DF860)*$C$5,$F$16)*'⑫ Roll-out Plan'!$O$90</f>
        <v>0</v>
      </c>
      <c r="DG1031" s="9" t="n">
        <f aca="false">MIN((DG859+DG860)*$C$5,$F$16)*'⑫ Roll-out Plan'!$O$90</f>
        <v>0</v>
      </c>
      <c r="DH1031" s="9" t="n">
        <f aca="false">MIN((DH859+DH860)*$C$5,$F$16)*'⑫ Roll-out Plan'!$O$90</f>
        <v>0</v>
      </c>
      <c r="DI1031" s="9" t="n">
        <f aca="false">MIN((DI859+DI860)*$C$5,$F$16)*'⑫ Roll-out Plan'!$O$90</f>
        <v>0</v>
      </c>
      <c r="DJ1031" s="9" t="n">
        <f aca="false">MIN((DJ859+DJ860)*$C$5,$F$16)*'⑫ Roll-out Plan'!$O$90</f>
        <v>0</v>
      </c>
      <c r="DK1031" s="9" t="n">
        <f aca="false">MIN((DK859+DK860)*$C$5,$F$16)*'⑫ Roll-out Plan'!$O$90</f>
        <v>0</v>
      </c>
      <c r="DL1031" s="9" t="n">
        <f aca="false">MIN((DL859+DL860)*$C$5,$F$16)*'⑫ Roll-out Plan'!$O$90</f>
        <v>0</v>
      </c>
      <c r="DM1031" s="9" t="n">
        <f aca="false">MIN((DM859+DM860)*$C$5,$F$16)*'⑫ Roll-out Plan'!$O$90</f>
        <v>0</v>
      </c>
      <c r="DN1031" s="9" t="n">
        <f aca="false">MIN((DN859+DN860)*$C$5,$F$16)*'⑫ Roll-out Plan'!$O$90</f>
        <v>0</v>
      </c>
      <c r="DO1031" s="9" t="n">
        <f aca="false">MIN((DO859+DO860)*$C$5,$F$16)*'⑫ Roll-out Plan'!$O$90</f>
        <v>0</v>
      </c>
      <c r="DP1031" s="9" t="n">
        <f aca="false">MIN((DP859+DP860)*$C$5,$F$16)*'⑫ Roll-out Plan'!$O$90</f>
        <v>0</v>
      </c>
      <c r="DQ1031" s="9" t="n">
        <f aca="false">MIN((DQ859+DQ860)*$C$5,$F$16)*'⑫ Roll-out Plan'!$O$90</f>
        <v>0</v>
      </c>
      <c r="DR1031" s="9" t="n">
        <f aca="false">MIN((DR859+DR860)*$C$5,$F$16)*'⑫ Roll-out Plan'!$O$90</f>
        <v>0</v>
      </c>
      <c r="DS1031" s="9" t="n">
        <f aca="false">MIN((DS859+DS860)*$C$5,$F$16)*'⑫ Roll-out Plan'!$O$90</f>
        <v>0</v>
      </c>
      <c r="DT1031" s="9" t="n">
        <f aca="false">MIN((DT859+DT860)*$C$5,$F$16)*'⑫ Roll-out Plan'!$O$90</f>
        <v>0</v>
      </c>
      <c r="DU1031" s="9" t="n">
        <f aca="false">MIN((DU859+DU860)*$C$5,$F$16)*'⑫ Roll-out Plan'!$O$90</f>
        <v>0</v>
      </c>
      <c r="DV1031" s="9" t="n">
        <f aca="false">MIN((DV859+DV860)*$C$5,$F$16)*'⑫ Roll-out Plan'!$O$90</f>
        <v>0</v>
      </c>
      <c r="DW1031" s="9" t="n">
        <f aca="false">MIN((DW859+DW860)*$C$5,$F$16)*'⑫ Roll-out Plan'!$O$90</f>
        <v>0</v>
      </c>
      <c r="DX1031" s="9" t="n">
        <f aca="false">MIN((DX859+DX860)*$C$5,$F$16)*'⑫ Roll-out Plan'!$O$90</f>
        <v>0</v>
      </c>
      <c r="DY1031" s="9" t="n">
        <f aca="false">MIN((DY859+DY860)*$C$5,$F$16)*'⑫ Roll-out Plan'!$O$90</f>
        <v>0</v>
      </c>
      <c r="DZ1031" s="9" t="n">
        <f aca="false">MIN((DZ859+DZ860)*$C$5,$F$16)*'⑫ Roll-out Plan'!$O$90</f>
        <v>0</v>
      </c>
      <c r="EA1031" s="9" t="n">
        <f aca="false">MIN((EA859+EA860)*$C$5,$F$16)*'⑫ Roll-out Plan'!$O$90</f>
        <v>0</v>
      </c>
      <c r="EB1031" s="9" t="n">
        <f aca="false">MIN((EB859+EB860)*$C$5,$F$16)*'⑫ Roll-out Plan'!$O$90</f>
        <v>0</v>
      </c>
      <c r="EC1031" s="9" t="n">
        <f aca="false">MIN((EC859+EC860)*$C$5,$F$16)*'⑫ Roll-out Plan'!$O$90</f>
        <v>0</v>
      </c>
      <c r="ED1031" s="9" t="n">
        <f aca="false">MIN((ED859+ED860)*$C$5,$F$16)*'⑫ Roll-out Plan'!$O$90</f>
        <v>0</v>
      </c>
      <c r="EE1031" s="9" t="n">
        <f aca="false">MIN((EE859+EE860)*$C$5,$F$16)*'⑫ Roll-out Plan'!$O$90</f>
        <v>0</v>
      </c>
      <c r="EF1031" s="9" t="n">
        <f aca="false">MIN((EF859+EF860)*$C$5,$F$16)*'⑫ Roll-out Plan'!$O$90</f>
        <v>0</v>
      </c>
      <c r="EG1031" s="9" t="n">
        <f aca="false">MIN((EG859+EG860)*$C$5,$F$16)*'⑫ Roll-out Plan'!$O$90</f>
        <v>0</v>
      </c>
      <c r="EH1031" s="9" t="n">
        <f aca="false">MIN((EH859+EH860)*$C$5,$F$16)*'⑫ Roll-out Plan'!$O$90</f>
        <v>0</v>
      </c>
      <c r="EI1031" s="9" t="n">
        <f aca="false">MIN((EI859+EI860)*$C$5,$F$16)*'⑫ Roll-out Plan'!$O$90</f>
        <v>0</v>
      </c>
      <c r="EJ1031" s="9" t="n">
        <f aca="false">MIN((EJ859+EJ860)*$C$5,$F$16)*'⑫ Roll-out Plan'!$O$90</f>
        <v>0</v>
      </c>
      <c r="EK1031" s="9" t="n">
        <f aca="false">MIN((EK859+EK860)*$C$5,$F$16)*'⑫ Roll-out Plan'!$O$90</f>
        <v>0</v>
      </c>
      <c r="EL1031" s="9" t="n">
        <f aca="false">MIN((EL859+EL860)*$C$5,$F$16)*'⑫ Roll-out Plan'!$O$90</f>
        <v>0</v>
      </c>
      <c r="EM1031" s="9" t="n">
        <f aca="false">MIN((EM859+EM860)*$C$5,$F$16)*'⑫ Roll-out Plan'!$O$90</f>
        <v>0</v>
      </c>
      <c r="EN1031" s="9" t="n">
        <f aca="false">MIN((EN859+EN860)*$C$5,$F$16)*'⑫ Roll-out Plan'!$O$90</f>
        <v>0</v>
      </c>
      <c r="EO1031" s="9" t="n">
        <f aca="false">MIN((EO859+EO860)*$C$5,$F$16)*'⑫ Roll-out Plan'!$O$90</f>
        <v>0</v>
      </c>
      <c r="EP1031" s="9" t="n">
        <f aca="false">MIN((EP859+EP860)*$C$5,$F$16)*'⑫ Roll-out Plan'!$O$90</f>
        <v>0</v>
      </c>
      <c r="EQ1031" s="9" t="n">
        <f aca="false">MIN((EQ859+EQ860)*$C$5,$F$16)*'⑫ Roll-out Plan'!$O$90</f>
        <v>0</v>
      </c>
      <c r="ER1031" s="9" t="n">
        <f aca="false">MIN((ER859+ER860)*$C$5,$F$16)*'⑫ Roll-out Plan'!$O$90</f>
        <v>0</v>
      </c>
      <c r="ES1031" s="9" t="n">
        <f aca="false">MIN((ES859+ES860)*$C$5,$F$16)*'⑫ Roll-out Plan'!$O$90</f>
        <v>0</v>
      </c>
      <c r="ET1031" s="9" t="n">
        <f aca="false">MIN((ET859+ET860)*$C$5,$F$16)*'⑫ Roll-out Plan'!$O$90</f>
        <v>0</v>
      </c>
      <c r="EU1031" s="9" t="n">
        <f aca="false">MIN((EU859+EU860)*$C$5,$F$16)*'⑫ Roll-out Plan'!$O$90</f>
        <v>0</v>
      </c>
      <c r="EV1031" s="9" t="n">
        <f aca="false">MIN((EV859+EV860)*$C$5,$F$16)*'⑫ Roll-out Plan'!$O$90</f>
        <v>0</v>
      </c>
      <c r="EW1031" s="9" t="n">
        <f aca="false">MIN((EW859+EW860)*$C$5,$F$16)*'⑫ Roll-out Plan'!$O$90</f>
        <v>0</v>
      </c>
      <c r="EX1031" s="9" t="n">
        <f aca="false">MIN((EX859+EX860)*$C$5,$F$16)*'⑫ Roll-out Plan'!$O$90</f>
        <v>0</v>
      </c>
      <c r="EY1031" s="9" t="n">
        <f aca="false">MIN((EY859+EY860)*$C$5,$F$16)*'⑫ Roll-out Plan'!$O$90</f>
        <v>0</v>
      </c>
      <c r="EZ1031" s="9" t="n">
        <f aca="false">MIN((EZ859+EZ860)*$C$5,$F$16)*'⑫ Roll-out Plan'!$O$90</f>
        <v>0</v>
      </c>
      <c r="FA1031" s="9" t="n">
        <f aca="false">MIN((FA859+FA860)*$C$5,$F$16)*'⑫ Roll-out Plan'!$O$90</f>
        <v>0</v>
      </c>
      <c r="FB1031" s="9" t="n">
        <f aca="false">MIN((FB859+FB860)*$C$5,$F$16)*'⑫ Roll-out Plan'!$O$90</f>
        <v>0</v>
      </c>
      <c r="FC1031" s="9" t="n">
        <f aca="false">MIN((FC859+FC860)*$C$5,$F$16)*'⑫ Roll-out Plan'!$O$90</f>
        <v>0</v>
      </c>
      <c r="FD1031" s="9" t="n">
        <f aca="false">MIN((FD859+FD860)*$C$5,$F$16)*'⑫ Roll-out Plan'!$O$90</f>
        <v>0</v>
      </c>
      <c r="FE1031" s="9" t="n">
        <f aca="false">MIN((FE859+FE860)*$C$5,$F$16)*'⑫ Roll-out Plan'!$O$90</f>
        <v>0</v>
      </c>
      <c r="FF1031" s="9" t="n">
        <f aca="false">MIN((FF859+FF860)*$C$5,$F$16)*'⑫ Roll-out Plan'!$O$90</f>
        <v>0</v>
      </c>
      <c r="FG1031" s="9" t="n">
        <f aca="false">MIN((FG859+FG860)*$C$5,$F$16)*'⑫ Roll-out Plan'!$O$90</f>
        <v>0</v>
      </c>
      <c r="FH1031" s="9" t="n">
        <f aca="false">MIN((FH859+FH860)*$C$5,$F$16)*'⑫ Roll-out Plan'!$O$90</f>
        <v>0</v>
      </c>
      <c r="FI1031" s="9" t="n">
        <f aca="false">MIN((FI859+FI860)*$C$5,$F$16)*'⑫ Roll-out Plan'!$O$90</f>
        <v>0</v>
      </c>
      <c r="FJ1031" s="9" t="n">
        <f aca="false">MIN((FJ859+FJ860)*$C$5,$F$16)*'⑫ Roll-out Plan'!$O$90</f>
        <v>2305.6</v>
      </c>
      <c r="FK1031" s="9" t="n">
        <f aca="false">MIN((FK859+FK860)*$C$5,$F$16)*'⑫ Roll-out Plan'!$O$90</f>
        <v>2958.0848</v>
      </c>
      <c r="FL1031" s="9" t="n">
        <f aca="false">MIN((FL859+FL860)*$C$5,$F$16)*'⑫ Roll-out Plan'!$O$90</f>
        <v>5292.366464</v>
      </c>
      <c r="FM1031" s="9" t="n">
        <f aca="false">MIN((FM859+FM860)*$C$5,$F$16)*'⑫ Roll-out Plan'!$O$90</f>
        <v>5240.3244608</v>
      </c>
      <c r="FN1031" s="9" t="n">
        <f aca="false">MIN((FN859+FN860)*$C$5,$F$16)*'⑫ Roll-out Plan'!$O$90</f>
        <v>4488.357632</v>
      </c>
      <c r="FO1031" s="9" t="n">
        <f aca="false">MIN((FO859+FO860)*$C$5,$F$16)*'⑫ Roll-out Plan'!$O$90</f>
        <v>3940.0582848</v>
      </c>
      <c r="FP1031" s="9" t="n">
        <f aca="false">MIN((FP859+FP860)*$C$5,$F$16)*'⑫ Roll-out Plan'!$O$90</f>
        <v>5822.3824032</v>
      </c>
    </row>
    <row r="1032" customFormat="false" ht="15" hidden="false" customHeight="false" outlineLevel="0" collapsed="false">
      <c r="B1032" s="9" t="s">
        <v>959</v>
      </c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121" t="n">
        <f aca="false">MIN((AC869+AC870)*$C$5,$F$15)*'⑫ Roll-out Plan'!$O$91</f>
        <v>0</v>
      </c>
      <c r="AD1032" s="9" t="n">
        <f aca="false">MIN((AD869+AD870)*$C$5,$F$15)*'⑫ Roll-out Plan'!$O$91</f>
        <v>0</v>
      </c>
      <c r="AE1032" s="9" t="n">
        <f aca="false">MIN((AE869+AE870)*$C$5,$F$15)*'⑫ Roll-out Plan'!$O$91</f>
        <v>0</v>
      </c>
      <c r="AF1032" s="9" t="n">
        <f aca="false">MIN((AF869+AF870)*$C$5,$F$15)*'⑫ Roll-out Plan'!$O$91</f>
        <v>0</v>
      </c>
      <c r="AG1032" s="9" t="n">
        <f aca="false">MIN((AG869+AG870)*$C$5,$F$15)*'⑫ Roll-out Plan'!$O$91</f>
        <v>0</v>
      </c>
      <c r="AH1032" s="9" t="n">
        <f aca="false">MIN((AH869+AH870)*$C$5,$F$15)*'⑫ Roll-out Plan'!$O$91</f>
        <v>0</v>
      </c>
      <c r="AI1032" s="9" t="n">
        <f aca="false">MIN((AI869+AI870)*$C$5,$F$15)*'⑫ Roll-out Plan'!$O$91</f>
        <v>0</v>
      </c>
      <c r="AJ1032" s="9" t="n">
        <f aca="false">MIN((AJ869+AJ870)*$C$5,$F$15)*'⑫ Roll-out Plan'!$O$91</f>
        <v>0</v>
      </c>
      <c r="AK1032" s="9" t="n">
        <f aca="false">MIN((AK869+AK870)*$C$5,$F$15)*'⑫ Roll-out Plan'!$O$91</f>
        <v>0</v>
      </c>
      <c r="AL1032" s="9" t="n">
        <f aca="false">MIN((AL869+AL870)*$C$5,$F$15)*'⑫ Roll-out Plan'!$O$91</f>
        <v>0</v>
      </c>
      <c r="AM1032" s="9" t="n">
        <f aca="false">MIN((AM869+AM870)*$C$5,$F$15)*'⑫ Roll-out Plan'!$O$91</f>
        <v>0</v>
      </c>
      <c r="AN1032" s="9" t="n">
        <f aca="false">MIN((AN869+AN870)*$C$5,$F$15)*'⑫ Roll-out Plan'!$O$91</f>
        <v>0</v>
      </c>
      <c r="AO1032" s="9" t="n">
        <f aca="false">MIN((AO869+AO870)*$C$5,$F$15)*'⑫ Roll-out Plan'!$O$91</f>
        <v>0</v>
      </c>
      <c r="AP1032" s="9" t="n">
        <f aca="false">MIN((AP869+AP870)*$C$5,$F$15)*'⑫ Roll-out Plan'!$O$91</f>
        <v>0</v>
      </c>
      <c r="AQ1032" s="9" t="n">
        <f aca="false">MIN((AQ869+AQ870)*$C$5,$F$15)*'⑫ Roll-out Plan'!$O$91</f>
        <v>0</v>
      </c>
      <c r="AR1032" s="9" t="n">
        <f aca="false">MIN((AR869+AR870)*$C$5,$F$15)*'⑫ Roll-out Plan'!$O$91</f>
        <v>0</v>
      </c>
      <c r="AS1032" s="9" t="n">
        <f aca="false">MIN((AS869+AS870)*$C$5,$F$15)*'⑫ Roll-out Plan'!$O$91</f>
        <v>0</v>
      </c>
      <c r="AT1032" s="9" t="n">
        <f aca="false">MIN((AT869+AT870)*$C$5,$F$15)*'⑫ Roll-out Plan'!$O$91</f>
        <v>0</v>
      </c>
      <c r="AU1032" s="9" t="n">
        <f aca="false">MIN((AU869+AU870)*$C$5,$F$15)*'⑫ Roll-out Plan'!$O$91</f>
        <v>0</v>
      </c>
      <c r="AV1032" s="9" t="n">
        <f aca="false">MIN((AV869+AV870)*$C$5,$F$15)*'⑫ Roll-out Plan'!$O$91</f>
        <v>0</v>
      </c>
      <c r="AW1032" s="9" t="n">
        <f aca="false">MIN((AW869+AW870)*$C$5,$F$15)*'⑫ Roll-out Plan'!$O$91</f>
        <v>0</v>
      </c>
      <c r="AX1032" s="9" t="n">
        <f aca="false">MIN((AX869+AX870)*$C$5,$F$15)*'⑫ Roll-out Plan'!$O$91</f>
        <v>0</v>
      </c>
      <c r="AY1032" s="9" t="n">
        <f aca="false">MIN((AY869+AY870)*$C$5,$F$15)*'⑫ Roll-out Plan'!$O$91</f>
        <v>0</v>
      </c>
      <c r="AZ1032" s="9" t="n">
        <f aca="false">MIN((AZ869+AZ870)*$C$5,$F$15)*'⑫ Roll-out Plan'!$O$91</f>
        <v>0</v>
      </c>
      <c r="BA1032" s="9" t="n">
        <f aca="false">MIN((BA869+BA870)*$C$5,$F$15)*'⑫ Roll-out Plan'!$O$91</f>
        <v>0</v>
      </c>
      <c r="BB1032" s="9" t="n">
        <f aca="false">MIN((BB869+BB870)*$C$5,$F$15)*'⑫ Roll-out Plan'!$O$91</f>
        <v>0</v>
      </c>
      <c r="BC1032" s="9" t="n">
        <f aca="false">MIN((BC869+BC870)*$C$5,$F$15)*'⑫ Roll-out Plan'!$O$91</f>
        <v>0</v>
      </c>
      <c r="BD1032" s="9" t="n">
        <f aca="false">MIN((BD869+BD870)*$C$5,$F$15)*'⑫ Roll-out Plan'!$O$91</f>
        <v>0</v>
      </c>
      <c r="BE1032" s="9" t="n">
        <f aca="false">MIN((BE869+BE870)*$C$5,$F$15)*'⑫ Roll-out Plan'!$O$91</f>
        <v>0</v>
      </c>
      <c r="BF1032" s="9" t="n">
        <f aca="false">MIN((BF869+BF870)*$C$5,$F$15)*'⑫ Roll-out Plan'!$O$91</f>
        <v>0</v>
      </c>
      <c r="BG1032" s="9" t="n">
        <f aca="false">MIN((BG869+BG870)*$C$5,$F$15)*'⑫ Roll-out Plan'!$O$91</f>
        <v>0</v>
      </c>
      <c r="BH1032" s="9" t="n">
        <f aca="false">MIN((BH869+BH870)*$C$5,$F$15)*'⑫ Roll-out Plan'!$O$91</f>
        <v>0</v>
      </c>
      <c r="BI1032" s="9" t="n">
        <f aca="false">MIN((BI869+BI870)*$C$5,$F$15)*'⑫ Roll-out Plan'!$O$91</f>
        <v>0</v>
      </c>
      <c r="BJ1032" s="9" t="n">
        <f aca="false">MIN((BJ869+BJ870)*$C$5,$F$15)*'⑫ Roll-out Plan'!$O$91</f>
        <v>0</v>
      </c>
      <c r="BK1032" s="9" t="n">
        <f aca="false">MIN((BK869+BK870)*$C$5,$F$15)*'⑫ Roll-out Plan'!$O$91</f>
        <v>0</v>
      </c>
      <c r="BL1032" s="9" t="n">
        <f aca="false">MIN((BL869+BL870)*$C$5,$F$15)*'⑫ Roll-out Plan'!$O$91</f>
        <v>0</v>
      </c>
      <c r="BM1032" s="9" t="n">
        <f aca="false">MIN((BM869+BM870)*$C$5,$F$15)*'⑫ Roll-out Plan'!$O$91</f>
        <v>0</v>
      </c>
      <c r="BN1032" s="9" t="n">
        <f aca="false">MIN((BN869+BN870)*$C$5,$F$15)*'⑫ Roll-out Plan'!$O$91</f>
        <v>0</v>
      </c>
      <c r="BO1032" s="9" t="n">
        <f aca="false">MIN((BO869+BO870)*$C$5,$F$15)*'⑫ Roll-out Plan'!$O$91</f>
        <v>0</v>
      </c>
      <c r="BP1032" s="9" t="n">
        <f aca="false">MIN((BP869+BP870)*$C$5,$F$15)*'⑫ Roll-out Plan'!$O$91</f>
        <v>0</v>
      </c>
      <c r="BQ1032" s="9" t="n">
        <f aca="false">MIN((BQ869+BQ870)*$C$5,$F$15)*'⑫ Roll-out Plan'!$O$91</f>
        <v>0</v>
      </c>
      <c r="BR1032" s="9" t="n">
        <f aca="false">MIN((BR869+BR870)*$C$5,$F$15)*'⑫ Roll-out Plan'!$O$91</f>
        <v>0</v>
      </c>
      <c r="BS1032" s="9" t="n">
        <f aca="false">MIN((BS869+BS870)*$C$5,$F$15)*'⑫ Roll-out Plan'!$O$91</f>
        <v>0</v>
      </c>
      <c r="BT1032" s="9" t="n">
        <f aca="false">MIN((BT869+BT870)*$C$5,$F$15)*'⑫ Roll-out Plan'!$O$91</f>
        <v>0</v>
      </c>
      <c r="BU1032" s="9" t="n">
        <f aca="false">MIN((BU869+BU870)*$C$5,$F$15)*'⑫ Roll-out Plan'!$O$91</f>
        <v>0</v>
      </c>
      <c r="BV1032" s="9" t="n">
        <f aca="false">MIN((BV869+BV870)*$C$5,$F$15)*'⑫ Roll-out Plan'!$O$91</f>
        <v>0</v>
      </c>
      <c r="BW1032" s="9" t="n">
        <f aca="false">MIN((BW869+BW870)*$C$5,$F$15)*'⑫ Roll-out Plan'!$O$91</f>
        <v>0</v>
      </c>
      <c r="BX1032" s="9" t="n">
        <f aca="false">MIN((BX869+BX870)*$C$5,$F$15)*'⑫ Roll-out Plan'!$O$91</f>
        <v>0</v>
      </c>
      <c r="BY1032" s="9" t="n">
        <f aca="false">MIN((BY869+BY870)*$C$5,$F$15)*'⑫ Roll-out Plan'!$O$91</f>
        <v>0</v>
      </c>
      <c r="BZ1032" s="9" t="n">
        <f aca="false">MIN((BZ869+BZ870)*$C$5,$F$15)*'⑫ Roll-out Plan'!$O$91</f>
        <v>0</v>
      </c>
      <c r="CA1032" s="9" t="n">
        <f aca="false">MIN((CA869+CA870)*$C$5,$F$15)*'⑫ Roll-out Plan'!$O$91</f>
        <v>0</v>
      </c>
      <c r="CB1032" s="9" t="n">
        <f aca="false">MIN((CB869+CB870)*$C$5,$F$15)*'⑫ Roll-out Plan'!$O$91</f>
        <v>0</v>
      </c>
      <c r="CC1032" s="9" t="n">
        <f aca="false">MIN((CC869+CC870)*$C$5,$F$15)*'⑫ Roll-out Plan'!$O$91</f>
        <v>0</v>
      </c>
      <c r="CD1032" s="9" t="n">
        <f aca="false">MIN((CD869+CD870)*$C$5,$F$15)*'⑫ Roll-out Plan'!$O$91</f>
        <v>0</v>
      </c>
      <c r="CE1032" s="9" t="n">
        <f aca="false">MIN((CE869+CE870)*$C$5,$F$15)*'⑫ Roll-out Plan'!$O$91</f>
        <v>0</v>
      </c>
      <c r="CF1032" s="9" t="n">
        <f aca="false">MIN((CF869+CF870)*$C$5,$F$15)*'⑫ Roll-out Plan'!$O$91</f>
        <v>0</v>
      </c>
      <c r="CG1032" s="9" t="n">
        <f aca="false">MIN((CG869+CG870)*$C$5,$F$15)*'⑫ Roll-out Plan'!$O$91</f>
        <v>0</v>
      </c>
      <c r="CH1032" s="9" t="n">
        <f aca="false">MIN((CH869+CH870)*$C$5,$F$15)*'⑫ Roll-out Plan'!$O$91</f>
        <v>0</v>
      </c>
      <c r="CI1032" s="9" t="n">
        <f aca="false">MIN((CI869+CI870)*$C$5,$F$15)*'⑫ Roll-out Plan'!$O$91</f>
        <v>0</v>
      </c>
      <c r="CJ1032" s="9" t="n">
        <f aca="false">MIN((CJ869+CJ870)*$C$5,$F$15)*'⑫ Roll-out Plan'!$O$91</f>
        <v>0</v>
      </c>
      <c r="CK1032" s="9" t="n">
        <f aca="false">MIN((CK869+CK870)*$C$5,$F$15)*'⑫ Roll-out Plan'!$O$91</f>
        <v>0</v>
      </c>
      <c r="CL1032" s="9" t="n">
        <f aca="false">MIN((CL869+CL870)*$C$5,$F$15)*'⑫ Roll-out Plan'!$O$91</f>
        <v>0</v>
      </c>
      <c r="CM1032" s="9" t="n">
        <f aca="false">MIN((CM869+CM870)*$C$5,$F$15)*'⑫ Roll-out Plan'!$O$91</f>
        <v>0</v>
      </c>
      <c r="CN1032" s="9" t="n">
        <f aca="false">MIN((CN869+CN870)*$C$5,$F$15)*'⑫ Roll-out Plan'!$O$91</f>
        <v>0</v>
      </c>
      <c r="CO1032" s="9" t="n">
        <f aca="false">MIN((CO869+CO870)*$C$5,$F$15)*'⑫ Roll-out Plan'!$O$91</f>
        <v>0</v>
      </c>
      <c r="CP1032" s="9" t="n">
        <f aca="false">MIN((CP869+CP870)*$C$5,$F$15)*'⑫ Roll-out Plan'!$O$91</f>
        <v>0</v>
      </c>
      <c r="CQ1032" s="9" t="n">
        <f aca="false">MIN((CQ869+CQ870)*$C$5,$F$15)*'⑫ Roll-out Plan'!$O$91</f>
        <v>0</v>
      </c>
      <c r="CR1032" s="9" t="n">
        <f aca="false">MIN((CR869+CR870)*$C$5,$F$15)*'⑫ Roll-out Plan'!$O$91</f>
        <v>0</v>
      </c>
      <c r="CS1032" s="9" t="n">
        <f aca="false">MIN((CS869+CS870)*$C$5,$F$15)*'⑫ Roll-out Plan'!$O$91</f>
        <v>0</v>
      </c>
      <c r="CT1032" s="9" t="n">
        <f aca="false">MIN((CT869+CT870)*$C$5,$F$15)*'⑫ Roll-out Plan'!$O$91</f>
        <v>0</v>
      </c>
      <c r="CU1032" s="9" t="n">
        <f aca="false">MIN((CU869+CU870)*$C$5,$F$15)*'⑫ Roll-out Plan'!$O$91</f>
        <v>0</v>
      </c>
      <c r="CV1032" s="9" t="n">
        <f aca="false">MIN((CV869+CV870)*$C$5,$F$15)*'⑫ Roll-out Plan'!$O$91</f>
        <v>0</v>
      </c>
      <c r="CW1032" s="9" t="n">
        <f aca="false">MIN((CW869+CW870)*$C$5,$F$15)*'⑫ Roll-out Plan'!$O$91</f>
        <v>0</v>
      </c>
      <c r="CX1032" s="9" t="n">
        <f aca="false">MIN((CX869+CX870)*$C$5,$F$15)*'⑫ Roll-out Plan'!$O$91</f>
        <v>0</v>
      </c>
      <c r="CY1032" s="9" t="n">
        <f aca="false">MIN((CY869+CY870)*$C$5,$F$15)*'⑫ Roll-out Plan'!$O$91</f>
        <v>0</v>
      </c>
      <c r="CZ1032" s="9" t="n">
        <f aca="false">MIN((CZ869+CZ870)*$C$5,$F$15)*'⑫ Roll-out Plan'!$O$91</f>
        <v>0</v>
      </c>
      <c r="DA1032" s="9" t="n">
        <f aca="false">MIN((DA869+DA870)*$C$5,$F$15)*'⑫ Roll-out Plan'!$O$91</f>
        <v>0</v>
      </c>
      <c r="DB1032" s="9" t="n">
        <f aca="false">MIN((DB869+DB870)*$C$5,$F$15)*'⑫ Roll-out Plan'!$O$91</f>
        <v>0</v>
      </c>
      <c r="DC1032" s="9" t="n">
        <f aca="false">MIN((DC869+DC870)*$C$5,$F$15)*'⑫ Roll-out Plan'!$O$91</f>
        <v>0</v>
      </c>
      <c r="DD1032" s="9" t="n">
        <f aca="false">MIN((DD869+DD870)*$C$5,$F$15)*'⑫ Roll-out Plan'!$O$91</f>
        <v>0</v>
      </c>
      <c r="DE1032" s="9" t="n">
        <f aca="false">MIN((DE869+DE870)*$C$5,$F$15)*'⑫ Roll-out Plan'!$O$91</f>
        <v>0</v>
      </c>
      <c r="DF1032" s="9" t="n">
        <f aca="false">MIN((DF869+DF870)*$C$5,$F$15)*'⑫ Roll-out Plan'!$O$91</f>
        <v>0</v>
      </c>
      <c r="DG1032" s="9" t="n">
        <f aca="false">MIN((DG869+DG870)*$C$5,$F$15)*'⑫ Roll-out Plan'!$O$91</f>
        <v>0</v>
      </c>
      <c r="DH1032" s="9" t="n">
        <f aca="false">MIN((DH869+DH870)*$C$5,$F$15)*'⑫ Roll-out Plan'!$O$91</f>
        <v>0</v>
      </c>
      <c r="DI1032" s="9" t="n">
        <f aca="false">MIN((DI869+DI870)*$C$5,$F$15)*'⑫ Roll-out Plan'!$O$91</f>
        <v>0</v>
      </c>
      <c r="DJ1032" s="9" t="n">
        <f aca="false">MIN((DJ869+DJ870)*$C$5,$F$15)*'⑫ Roll-out Plan'!$O$91</f>
        <v>0</v>
      </c>
      <c r="DK1032" s="9" t="n">
        <f aca="false">MIN((DK869+DK870)*$C$5,$F$15)*'⑫ Roll-out Plan'!$O$91</f>
        <v>0</v>
      </c>
      <c r="DL1032" s="9" t="n">
        <f aca="false">MIN((DL869+DL870)*$C$5,$F$15)*'⑫ Roll-out Plan'!$O$91</f>
        <v>0</v>
      </c>
      <c r="DM1032" s="9" t="n">
        <f aca="false">MIN((DM869+DM870)*$C$5,$F$15)*'⑫ Roll-out Plan'!$O$91</f>
        <v>0</v>
      </c>
      <c r="DN1032" s="9" t="n">
        <f aca="false">MIN((DN869+DN870)*$C$5,$F$15)*'⑫ Roll-out Plan'!$O$91</f>
        <v>0</v>
      </c>
      <c r="DO1032" s="9" t="n">
        <f aca="false">MIN((DO869+DO870)*$C$5,$F$15)*'⑫ Roll-out Plan'!$O$91</f>
        <v>0</v>
      </c>
      <c r="DP1032" s="9" t="n">
        <f aca="false">MIN((DP869+DP870)*$C$5,$F$15)*'⑫ Roll-out Plan'!$O$91</f>
        <v>0</v>
      </c>
      <c r="DQ1032" s="9" t="n">
        <f aca="false">MIN((DQ869+DQ870)*$C$5,$F$15)*'⑫ Roll-out Plan'!$O$91</f>
        <v>0</v>
      </c>
      <c r="DR1032" s="9" t="n">
        <f aca="false">MIN((DR869+DR870)*$C$5,$F$15)*'⑫ Roll-out Plan'!$O$91</f>
        <v>0</v>
      </c>
      <c r="DS1032" s="9" t="n">
        <f aca="false">MIN((DS869+DS870)*$C$5,$F$15)*'⑫ Roll-out Plan'!$O$91</f>
        <v>0</v>
      </c>
      <c r="DT1032" s="9" t="n">
        <f aca="false">MIN((DT869+DT870)*$C$5,$F$15)*'⑫ Roll-out Plan'!$O$91</f>
        <v>0</v>
      </c>
      <c r="DU1032" s="9" t="n">
        <f aca="false">MIN((DU869+DU870)*$C$5,$F$15)*'⑫ Roll-out Plan'!$O$91</f>
        <v>0</v>
      </c>
      <c r="DV1032" s="9" t="n">
        <f aca="false">MIN((DV869+DV870)*$C$5,$F$15)*'⑫ Roll-out Plan'!$O$91</f>
        <v>0</v>
      </c>
      <c r="DW1032" s="9" t="n">
        <f aca="false">MIN((DW869+DW870)*$C$5,$F$15)*'⑫ Roll-out Plan'!$O$91</f>
        <v>0</v>
      </c>
      <c r="DX1032" s="9" t="n">
        <f aca="false">MIN((DX869+DX870)*$C$5,$F$15)*'⑫ Roll-out Plan'!$O$91</f>
        <v>0</v>
      </c>
      <c r="DY1032" s="9" t="n">
        <f aca="false">MIN((DY869+DY870)*$C$5,$F$15)*'⑫ Roll-out Plan'!$O$91</f>
        <v>0</v>
      </c>
      <c r="DZ1032" s="9" t="n">
        <f aca="false">MIN((DZ869+DZ870)*$C$5,$F$15)*'⑫ Roll-out Plan'!$O$91</f>
        <v>0</v>
      </c>
      <c r="EA1032" s="9" t="n">
        <f aca="false">MIN((EA869+EA870)*$C$5,$F$15)*'⑫ Roll-out Plan'!$O$91</f>
        <v>0</v>
      </c>
      <c r="EB1032" s="9" t="n">
        <f aca="false">MIN((EB869+EB870)*$C$5,$F$15)*'⑫ Roll-out Plan'!$O$91</f>
        <v>0</v>
      </c>
      <c r="EC1032" s="9" t="n">
        <f aca="false">MIN((EC869+EC870)*$C$5,$F$15)*'⑫ Roll-out Plan'!$O$91</f>
        <v>0</v>
      </c>
      <c r="ED1032" s="9" t="n">
        <f aca="false">MIN((ED869+ED870)*$C$5,$F$15)*'⑫ Roll-out Plan'!$O$91</f>
        <v>0</v>
      </c>
      <c r="EE1032" s="9" t="n">
        <f aca="false">MIN((EE869+EE870)*$C$5,$F$15)*'⑫ Roll-out Plan'!$O$91</f>
        <v>0</v>
      </c>
      <c r="EF1032" s="9" t="n">
        <f aca="false">MIN((EF869+EF870)*$C$5,$F$15)*'⑫ Roll-out Plan'!$O$91</f>
        <v>0</v>
      </c>
      <c r="EG1032" s="9" t="n">
        <f aca="false">MIN((EG869+EG870)*$C$5,$F$15)*'⑫ Roll-out Plan'!$O$91</f>
        <v>0</v>
      </c>
      <c r="EH1032" s="9" t="n">
        <f aca="false">MIN((EH869+EH870)*$C$5,$F$15)*'⑫ Roll-out Plan'!$O$91</f>
        <v>0</v>
      </c>
      <c r="EI1032" s="9" t="n">
        <f aca="false">MIN((EI869+EI870)*$C$5,$F$15)*'⑫ Roll-out Plan'!$O$91</f>
        <v>0</v>
      </c>
      <c r="EJ1032" s="9" t="n">
        <f aca="false">MIN((EJ869+EJ870)*$C$5,$F$15)*'⑫ Roll-out Plan'!$O$91</f>
        <v>0</v>
      </c>
      <c r="EK1032" s="9" t="n">
        <f aca="false">MIN((EK869+EK870)*$C$5,$F$15)*'⑫ Roll-out Plan'!$O$91</f>
        <v>0</v>
      </c>
      <c r="EL1032" s="9" t="n">
        <f aca="false">MIN((EL869+EL870)*$C$5,$F$15)*'⑫ Roll-out Plan'!$O$91</f>
        <v>0</v>
      </c>
      <c r="EM1032" s="9" t="n">
        <f aca="false">MIN((EM869+EM870)*$C$5,$F$15)*'⑫ Roll-out Plan'!$O$91</f>
        <v>0</v>
      </c>
      <c r="EN1032" s="9" t="n">
        <f aca="false">MIN((EN869+EN870)*$C$5,$F$15)*'⑫ Roll-out Plan'!$O$91</f>
        <v>0</v>
      </c>
      <c r="EO1032" s="9" t="n">
        <f aca="false">MIN((EO869+EO870)*$C$5,$F$15)*'⑫ Roll-out Plan'!$O$91</f>
        <v>0</v>
      </c>
      <c r="EP1032" s="9" t="n">
        <f aca="false">MIN((EP869+EP870)*$C$5,$F$15)*'⑫ Roll-out Plan'!$O$91</f>
        <v>0</v>
      </c>
      <c r="EQ1032" s="9" t="n">
        <f aca="false">MIN((EQ869+EQ870)*$C$5,$F$15)*'⑫ Roll-out Plan'!$O$91</f>
        <v>0</v>
      </c>
      <c r="ER1032" s="9" t="n">
        <f aca="false">MIN((ER869+ER870)*$C$5,$F$15)*'⑫ Roll-out Plan'!$O$91</f>
        <v>0</v>
      </c>
      <c r="ES1032" s="9" t="n">
        <f aca="false">MIN((ES869+ES870)*$C$5,$F$15)*'⑫ Roll-out Plan'!$O$91</f>
        <v>0</v>
      </c>
      <c r="ET1032" s="9" t="n">
        <f aca="false">MIN((ET869+ET870)*$C$5,$F$15)*'⑫ Roll-out Plan'!$O$91</f>
        <v>0</v>
      </c>
      <c r="EU1032" s="9" t="n">
        <f aca="false">MIN((EU869+EU870)*$C$5,$F$15)*'⑫ Roll-out Plan'!$O$91</f>
        <v>0</v>
      </c>
      <c r="EV1032" s="9" t="n">
        <f aca="false">MIN((EV869+EV870)*$C$5,$F$15)*'⑫ Roll-out Plan'!$O$91</f>
        <v>0</v>
      </c>
      <c r="EW1032" s="9" t="n">
        <f aca="false">MIN((EW869+EW870)*$C$5,$F$15)*'⑫ Roll-out Plan'!$O$91</f>
        <v>0</v>
      </c>
      <c r="EX1032" s="9" t="n">
        <f aca="false">MIN((EX869+EX870)*$C$5,$F$15)*'⑫ Roll-out Plan'!$O$91</f>
        <v>0</v>
      </c>
      <c r="EY1032" s="9" t="n">
        <f aca="false">MIN((EY869+EY870)*$C$5,$F$15)*'⑫ Roll-out Plan'!$O$91</f>
        <v>0</v>
      </c>
      <c r="EZ1032" s="9" t="n">
        <f aca="false">MIN((EZ869+EZ870)*$C$5,$F$15)*'⑫ Roll-out Plan'!$O$91</f>
        <v>0</v>
      </c>
      <c r="FA1032" s="9" t="n">
        <f aca="false">MIN((FA869+FA870)*$C$5,$F$15)*'⑫ Roll-out Plan'!$O$91</f>
        <v>0</v>
      </c>
      <c r="FB1032" s="9" t="n">
        <f aca="false">MIN((FB869+FB870)*$C$5,$F$15)*'⑫ Roll-out Plan'!$O$91</f>
        <v>0</v>
      </c>
      <c r="FC1032" s="9" t="n">
        <f aca="false">MIN((FC869+FC870)*$C$5,$F$15)*'⑫ Roll-out Plan'!$O$91</f>
        <v>0</v>
      </c>
      <c r="FD1032" s="9" t="n">
        <f aca="false">MIN((FD869+FD870)*$C$5,$F$15)*'⑫ Roll-out Plan'!$O$91</f>
        <v>0</v>
      </c>
      <c r="FE1032" s="9" t="n">
        <f aca="false">MIN((FE869+FE870)*$C$5,$F$15)*'⑫ Roll-out Plan'!$O$91</f>
        <v>0</v>
      </c>
      <c r="FF1032" s="9" t="n">
        <f aca="false">MIN((FF869+FF870)*$C$5,$F$15)*'⑫ Roll-out Plan'!$O$91</f>
        <v>0</v>
      </c>
      <c r="FG1032" s="9" t="n">
        <f aca="false">MIN((FG869+FG870)*$C$5,$F$15)*'⑫ Roll-out Plan'!$O$91</f>
        <v>0</v>
      </c>
      <c r="FH1032" s="9" t="n">
        <f aca="false">MIN((FH869+FH870)*$C$5,$F$15)*'⑫ Roll-out Plan'!$O$91</f>
        <v>0</v>
      </c>
      <c r="FI1032" s="9" t="n">
        <f aca="false">MIN((FI869+FI870)*$C$5,$F$15)*'⑫ Roll-out Plan'!$O$91</f>
        <v>0</v>
      </c>
      <c r="FJ1032" s="9" t="n">
        <f aca="false">MIN((FJ869+FJ870)*$C$5,$F$15)*'⑫ Roll-out Plan'!$O$91</f>
        <v>0</v>
      </c>
      <c r="FK1032" s="9" t="n">
        <f aca="false">MIN((FK869+FK870)*$C$5,$F$15)*'⑫ Roll-out Plan'!$O$91</f>
        <v>4071.48</v>
      </c>
      <c r="FL1032" s="9" t="n">
        <f aca="false">MIN((FL869+FL870)*$C$5,$F$15)*'⑫ Roll-out Plan'!$O$91</f>
        <v>8092.16344</v>
      </c>
      <c r="FM1032" s="9" t="n">
        <f aca="false">MIN((FM869+FM870)*$C$5,$F$15)*'⑫ Roll-out Plan'!$O$91</f>
        <v>7787.77184</v>
      </c>
      <c r="FN1032" s="9" t="n">
        <f aca="false">MIN((FN869+FN870)*$C$5,$F$15)*'⑫ Roll-out Plan'!$O$91</f>
        <v>7369.7820704</v>
      </c>
      <c r="FO1032" s="9" t="n">
        <f aca="false">MIN((FO869+FO870)*$C$5,$F$15)*'⑫ Roll-out Plan'!$O$91</f>
        <v>5855.796416</v>
      </c>
      <c r="FP1032" s="9" t="n">
        <f aca="false">MIN((FP869+FP870)*$C$5,$F$15)*'⑫ Roll-out Plan'!$O$91</f>
        <v>8663.838008</v>
      </c>
    </row>
    <row r="1033" customFormat="false" ht="15" hidden="false" customHeight="false" outlineLevel="0" collapsed="false">
      <c r="B1033" s="9" t="s">
        <v>960</v>
      </c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121" t="n">
        <f aca="false">MIN((AC879+AC880)*$C$5,$F$15)*'⑫ Roll-out Plan'!$O$92</f>
        <v>0</v>
      </c>
      <c r="AD1033" s="9" t="n">
        <f aca="false">MIN((AD879+AD880)*$C$5,$F$15)*'⑫ Roll-out Plan'!$O$92</f>
        <v>0</v>
      </c>
      <c r="AE1033" s="9" t="n">
        <f aca="false">MIN((AE879+AE880)*$C$5,$F$15)*'⑫ Roll-out Plan'!$O$92</f>
        <v>0</v>
      </c>
      <c r="AF1033" s="9" t="n">
        <f aca="false">MIN((AF879+AF880)*$C$5,$F$15)*'⑫ Roll-out Plan'!$O$92</f>
        <v>0</v>
      </c>
      <c r="AG1033" s="9" t="n">
        <f aca="false">MIN((AG879+AG880)*$C$5,$F$15)*'⑫ Roll-out Plan'!$O$92</f>
        <v>0</v>
      </c>
      <c r="AH1033" s="9" t="n">
        <f aca="false">MIN((AH879+AH880)*$C$5,$F$15)*'⑫ Roll-out Plan'!$O$92</f>
        <v>0</v>
      </c>
      <c r="AI1033" s="9" t="n">
        <f aca="false">MIN((AI879+AI880)*$C$5,$F$15)*'⑫ Roll-out Plan'!$O$92</f>
        <v>0</v>
      </c>
      <c r="AJ1033" s="9" t="n">
        <f aca="false">MIN((AJ879+AJ880)*$C$5,$F$15)*'⑫ Roll-out Plan'!$O$92</f>
        <v>0</v>
      </c>
      <c r="AK1033" s="9" t="n">
        <f aca="false">MIN((AK879+AK880)*$C$5,$F$15)*'⑫ Roll-out Plan'!$O$92</f>
        <v>0</v>
      </c>
      <c r="AL1033" s="9" t="n">
        <f aca="false">MIN((AL879+AL880)*$C$5,$F$15)*'⑫ Roll-out Plan'!$O$92</f>
        <v>0</v>
      </c>
      <c r="AM1033" s="9" t="n">
        <f aca="false">MIN((AM879+AM880)*$C$5,$F$15)*'⑫ Roll-out Plan'!$O$92</f>
        <v>0</v>
      </c>
      <c r="AN1033" s="9" t="n">
        <f aca="false">MIN((AN879+AN880)*$C$5,$F$15)*'⑫ Roll-out Plan'!$O$92</f>
        <v>0</v>
      </c>
      <c r="AO1033" s="9" t="n">
        <f aca="false">MIN((AO879+AO880)*$C$5,$F$15)*'⑫ Roll-out Plan'!$O$92</f>
        <v>0</v>
      </c>
      <c r="AP1033" s="9" t="n">
        <f aca="false">MIN((AP879+AP880)*$C$5,$F$15)*'⑫ Roll-out Plan'!$O$92</f>
        <v>0</v>
      </c>
      <c r="AQ1033" s="9" t="n">
        <f aca="false">MIN((AQ879+AQ880)*$C$5,$F$15)*'⑫ Roll-out Plan'!$O$92</f>
        <v>0</v>
      </c>
      <c r="AR1033" s="9" t="n">
        <f aca="false">MIN((AR879+AR880)*$C$5,$F$15)*'⑫ Roll-out Plan'!$O$92</f>
        <v>0</v>
      </c>
      <c r="AS1033" s="9" t="n">
        <f aca="false">MIN((AS879+AS880)*$C$5,$F$15)*'⑫ Roll-out Plan'!$O$92</f>
        <v>0</v>
      </c>
      <c r="AT1033" s="9" t="n">
        <f aca="false">MIN((AT879+AT880)*$C$5,$F$15)*'⑫ Roll-out Plan'!$O$92</f>
        <v>0</v>
      </c>
      <c r="AU1033" s="9" t="n">
        <f aca="false">MIN((AU879+AU880)*$C$5,$F$15)*'⑫ Roll-out Plan'!$O$92</f>
        <v>0</v>
      </c>
      <c r="AV1033" s="9" t="n">
        <f aca="false">MIN((AV879+AV880)*$C$5,$F$15)*'⑫ Roll-out Plan'!$O$92</f>
        <v>0</v>
      </c>
      <c r="AW1033" s="9" t="n">
        <f aca="false">MIN((AW879+AW880)*$C$5,$F$15)*'⑫ Roll-out Plan'!$O$92</f>
        <v>0</v>
      </c>
      <c r="AX1033" s="9" t="n">
        <f aca="false">MIN((AX879+AX880)*$C$5,$F$15)*'⑫ Roll-out Plan'!$O$92</f>
        <v>0</v>
      </c>
      <c r="AY1033" s="9" t="n">
        <f aca="false">MIN((AY879+AY880)*$C$5,$F$15)*'⑫ Roll-out Plan'!$O$92</f>
        <v>0</v>
      </c>
      <c r="AZ1033" s="9" t="n">
        <f aca="false">MIN((AZ879+AZ880)*$C$5,$F$15)*'⑫ Roll-out Plan'!$O$92</f>
        <v>0</v>
      </c>
      <c r="BA1033" s="9" t="n">
        <f aca="false">MIN((BA879+BA880)*$C$5,$F$15)*'⑫ Roll-out Plan'!$O$92</f>
        <v>0</v>
      </c>
      <c r="BB1033" s="9" t="n">
        <f aca="false">MIN((BB879+BB880)*$C$5,$F$15)*'⑫ Roll-out Plan'!$O$92</f>
        <v>0</v>
      </c>
      <c r="BC1033" s="9" t="n">
        <f aca="false">MIN((BC879+BC880)*$C$5,$F$15)*'⑫ Roll-out Plan'!$O$92</f>
        <v>0</v>
      </c>
      <c r="BD1033" s="9" t="n">
        <f aca="false">MIN((BD879+BD880)*$C$5,$F$15)*'⑫ Roll-out Plan'!$O$92</f>
        <v>0</v>
      </c>
      <c r="BE1033" s="9" t="n">
        <f aca="false">MIN((BE879+BE880)*$C$5,$F$15)*'⑫ Roll-out Plan'!$O$92</f>
        <v>0</v>
      </c>
      <c r="BF1033" s="9" t="n">
        <f aca="false">MIN((BF879+BF880)*$C$5,$F$15)*'⑫ Roll-out Plan'!$O$92</f>
        <v>0</v>
      </c>
      <c r="BG1033" s="9" t="n">
        <f aca="false">MIN((BG879+BG880)*$C$5,$F$15)*'⑫ Roll-out Plan'!$O$92</f>
        <v>0</v>
      </c>
      <c r="BH1033" s="9" t="n">
        <f aca="false">MIN((BH879+BH880)*$C$5,$F$15)*'⑫ Roll-out Plan'!$O$92</f>
        <v>0</v>
      </c>
      <c r="BI1033" s="9" t="n">
        <f aca="false">MIN((BI879+BI880)*$C$5,$F$15)*'⑫ Roll-out Plan'!$O$92</f>
        <v>0</v>
      </c>
      <c r="BJ1033" s="9" t="n">
        <f aca="false">MIN((BJ879+BJ880)*$C$5,$F$15)*'⑫ Roll-out Plan'!$O$92</f>
        <v>0</v>
      </c>
      <c r="BK1033" s="9" t="n">
        <f aca="false">MIN((BK879+BK880)*$C$5,$F$15)*'⑫ Roll-out Plan'!$O$92</f>
        <v>0</v>
      </c>
      <c r="BL1033" s="9" t="n">
        <f aca="false">MIN((BL879+BL880)*$C$5,$F$15)*'⑫ Roll-out Plan'!$O$92</f>
        <v>0</v>
      </c>
      <c r="BM1033" s="9" t="n">
        <f aca="false">MIN((BM879+BM880)*$C$5,$F$15)*'⑫ Roll-out Plan'!$O$92</f>
        <v>0</v>
      </c>
      <c r="BN1033" s="9" t="n">
        <f aca="false">MIN((BN879+BN880)*$C$5,$F$15)*'⑫ Roll-out Plan'!$O$92</f>
        <v>0</v>
      </c>
      <c r="BO1033" s="9" t="n">
        <f aca="false">MIN((BO879+BO880)*$C$5,$F$15)*'⑫ Roll-out Plan'!$O$92</f>
        <v>0</v>
      </c>
      <c r="BP1033" s="9" t="n">
        <f aca="false">MIN((BP879+BP880)*$C$5,$F$15)*'⑫ Roll-out Plan'!$O$92</f>
        <v>0</v>
      </c>
      <c r="BQ1033" s="9" t="n">
        <f aca="false">MIN((BQ879+BQ880)*$C$5,$F$15)*'⑫ Roll-out Plan'!$O$92</f>
        <v>0</v>
      </c>
      <c r="BR1033" s="9" t="n">
        <f aca="false">MIN((BR879+BR880)*$C$5,$F$15)*'⑫ Roll-out Plan'!$O$92</f>
        <v>0</v>
      </c>
      <c r="BS1033" s="9" t="n">
        <f aca="false">MIN((BS879+BS880)*$C$5,$F$15)*'⑫ Roll-out Plan'!$O$92</f>
        <v>0</v>
      </c>
      <c r="BT1033" s="9" t="n">
        <f aca="false">MIN((BT879+BT880)*$C$5,$F$15)*'⑫ Roll-out Plan'!$O$92</f>
        <v>0</v>
      </c>
      <c r="BU1033" s="9" t="n">
        <f aca="false">MIN((BU879+BU880)*$C$5,$F$15)*'⑫ Roll-out Plan'!$O$92</f>
        <v>0</v>
      </c>
      <c r="BV1033" s="9" t="n">
        <f aca="false">MIN((BV879+BV880)*$C$5,$F$15)*'⑫ Roll-out Plan'!$O$92</f>
        <v>0</v>
      </c>
      <c r="BW1033" s="9" t="n">
        <f aca="false">MIN((BW879+BW880)*$C$5,$F$15)*'⑫ Roll-out Plan'!$O$92</f>
        <v>0</v>
      </c>
      <c r="BX1033" s="9" t="n">
        <f aca="false">MIN((BX879+BX880)*$C$5,$F$15)*'⑫ Roll-out Plan'!$O$92</f>
        <v>0</v>
      </c>
      <c r="BY1033" s="9" t="n">
        <f aca="false">MIN((BY879+BY880)*$C$5,$F$15)*'⑫ Roll-out Plan'!$O$92</f>
        <v>0</v>
      </c>
      <c r="BZ1033" s="9" t="n">
        <f aca="false">MIN((BZ879+BZ880)*$C$5,$F$15)*'⑫ Roll-out Plan'!$O$92</f>
        <v>0</v>
      </c>
      <c r="CA1033" s="9" t="n">
        <f aca="false">MIN((CA879+CA880)*$C$5,$F$15)*'⑫ Roll-out Plan'!$O$92</f>
        <v>0</v>
      </c>
      <c r="CB1033" s="9" t="n">
        <f aca="false">MIN((CB879+CB880)*$C$5,$F$15)*'⑫ Roll-out Plan'!$O$92</f>
        <v>0</v>
      </c>
      <c r="CC1033" s="9" t="n">
        <f aca="false">MIN((CC879+CC880)*$C$5,$F$15)*'⑫ Roll-out Plan'!$O$92</f>
        <v>0</v>
      </c>
      <c r="CD1033" s="9" t="n">
        <f aca="false">MIN((CD879+CD880)*$C$5,$F$15)*'⑫ Roll-out Plan'!$O$92</f>
        <v>0</v>
      </c>
      <c r="CE1033" s="9" t="n">
        <f aca="false">MIN((CE879+CE880)*$C$5,$F$15)*'⑫ Roll-out Plan'!$O$92</f>
        <v>0</v>
      </c>
      <c r="CF1033" s="9" t="n">
        <f aca="false">MIN((CF879+CF880)*$C$5,$F$15)*'⑫ Roll-out Plan'!$O$92</f>
        <v>0</v>
      </c>
      <c r="CG1033" s="9" t="n">
        <f aca="false">MIN((CG879+CG880)*$C$5,$F$15)*'⑫ Roll-out Plan'!$O$92</f>
        <v>0</v>
      </c>
      <c r="CH1033" s="9" t="n">
        <f aca="false">MIN((CH879+CH880)*$C$5,$F$15)*'⑫ Roll-out Plan'!$O$92</f>
        <v>0</v>
      </c>
      <c r="CI1033" s="9" t="n">
        <f aca="false">MIN((CI879+CI880)*$C$5,$F$15)*'⑫ Roll-out Plan'!$O$92</f>
        <v>0</v>
      </c>
      <c r="CJ1033" s="9" t="n">
        <f aca="false">MIN((CJ879+CJ880)*$C$5,$F$15)*'⑫ Roll-out Plan'!$O$92</f>
        <v>0</v>
      </c>
      <c r="CK1033" s="9" t="n">
        <f aca="false">MIN((CK879+CK880)*$C$5,$F$15)*'⑫ Roll-out Plan'!$O$92</f>
        <v>0</v>
      </c>
      <c r="CL1033" s="9" t="n">
        <f aca="false">MIN((CL879+CL880)*$C$5,$F$15)*'⑫ Roll-out Plan'!$O$92</f>
        <v>0</v>
      </c>
      <c r="CM1033" s="9" t="n">
        <f aca="false">MIN((CM879+CM880)*$C$5,$F$15)*'⑫ Roll-out Plan'!$O$92</f>
        <v>0</v>
      </c>
      <c r="CN1033" s="9" t="n">
        <f aca="false">MIN((CN879+CN880)*$C$5,$F$15)*'⑫ Roll-out Plan'!$O$92</f>
        <v>0</v>
      </c>
      <c r="CO1033" s="9" t="n">
        <f aca="false">MIN((CO879+CO880)*$C$5,$F$15)*'⑫ Roll-out Plan'!$O$92</f>
        <v>0</v>
      </c>
      <c r="CP1033" s="9" t="n">
        <f aca="false">MIN((CP879+CP880)*$C$5,$F$15)*'⑫ Roll-out Plan'!$O$92</f>
        <v>0</v>
      </c>
      <c r="CQ1033" s="9" t="n">
        <f aca="false">MIN((CQ879+CQ880)*$C$5,$F$15)*'⑫ Roll-out Plan'!$O$92</f>
        <v>0</v>
      </c>
      <c r="CR1033" s="9" t="n">
        <f aca="false">MIN((CR879+CR880)*$C$5,$F$15)*'⑫ Roll-out Plan'!$O$92</f>
        <v>0</v>
      </c>
      <c r="CS1033" s="9" t="n">
        <f aca="false">MIN((CS879+CS880)*$C$5,$F$15)*'⑫ Roll-out Plan'!$O$92</f>
        <v>0</v>
      </c>
      <c r="CT1033" s="9" t="n">
        <f aca="false">MIN((CT879+CT880)*$C$5,$F$15)*'⑫ Roll-out Plan'!$O$92</f>
        <v>0</v>
      </c>
      <c r="CU1033" s="9" t="n">
        <f aca="false">MIN((CU879+CU880)*$C$5,$F$15)*'⑫ Roll-out Plan'!$O$92</f>
        <v>0</v>
      </c>
      <c r="CV1033" s="9" t="n">
        <f aca="false">MIN((CV879+CV880)*$C$5,$F$15)*'⑫ Roll-out Plan'!$O$92</f>
        <v>0</v>
      </c>
      <c r="CW1033" s="9" t="n">
        <f aca="false">MIN((CW879+CW880)*$C$5,$F$15)*'⑫ Roll-out Plan'!$O$92</f>
        <v>0</v>
      </c>
      <c r="CX1033" s="9" t="n">
        <f aca="false">MIN((CX879+CX880)*$C$5,$F$15)*'⑫ Roll-out Plan'!$O$92</f>
        <v>0</v>
      </c>
      <c r="CY1033" s="9" t="n">
        <f aca="false">MIN((CY879+CY880)*$C$5,$F$15)*'⑫ Roll-out Plan'!$O$92</f>
        <v>0</v>
      </c>
      <c r="CZ1033" s="9" t="n">
        <f aca="false">MIN((CZ879+CZ880)*$C$5,$F$15)*'⑫ Roll-out Plan'!$O$92</f>
        <v>0</v>
      </c>
      <c r="DA1033" s="9" t="n">
        <f aca="false">MIN((DA879+DA880)*$C$5,$F$15)*'⑫ Roll-out Plan'!$O$92</f>
        <v>0</v>
      </c>
      <c r="DB1033" s="9" t="n">
        <f aca="false">MIN((DB879+DB880)*$C$5,$F$15)*'⑫ Roll-out Plan'!$O$92</f>
        <v>0</v>
      </c>
      <c r="DC1033" s="9" t="n">
        <f aca="false">MIN((DC879+DC880)*$C$5,$F$15)*'⑫ Roll-out Plan'!$O$92</f>
        <v>0</v>
      </c>
      <c r="DD1033" s="9" t="n">
        <f aca="false">MIN((DD879+DD880)*$C$5,$F$15)*'⑫ Roll-out Plan'!$O$92</f>
        <v>0</v>
      </c>
      <c r="DE1033" s="9" t="n">
        <f aca="false">MIN((DE879+DE880)*$C$5,$F$15)*'⑫ Roll-out Plan'!$O$92</f>
        <v>0</v>
      </c>
      <c r="DF1033" s="9" t="n">
        <f aca="false">MIN((DF879+DF880)*$C$5,$F$15)*'⑫ Roll-out Plan'!$O$92</f>
        <v>0</v>
      </c>
      <c r="DG1033" s="9" t="n">
        <f aca="false">MIN((DG879+DG880)*$C$5,$F$15)*'⑫ Roll-out Plan'!$O$92</f>
        <v>0</v>
      </c>
      <c r="DH1033" s="9" t="n">
        <f aca="false">MIN((DH879+DH880)*$C$5,$F$15)*'⑫ Roll-out Plan'!$O$92</f>
        <v>0</v>
      </c>
      <c r="DI1033" s="9" t="n">
        <f aca="false">MIN((DI879+DI880)*$C$5,$F$15)*'⑫ Roll-out Plan'!$O$92</f>
        <v>0</v>
      </c>
      <c r="DJ1033" s="9" t="n">
        <f aca="false">MIN((DJ879+DJ880)*$C$5,$F$15)*'⑫ Roll-out Plan'!$O$92</f>
        <v>0</v>
      </c>
      <c r="DK1033" s="9" t="n">
        <f aca="false">MIN((DK879+DK880)*$C$5,$F$15)*'⑫ Roll-out Plan'!$O$92</f>
        <v>0</v>
      </c>
      <c r="DL1033" s="9" t="n">
        <f aca="false">MIN((DL879+DL880)*$C$5,$F$15)*'⑫ Roll-out Plan'!$O$92</f>
        <v>0</v>
      </c>
      <c r="DM1033" s="9" t="n">
        <f aca="false">MIN((DM879+DM880)*$C$5,$F$15)*'⑫ Roll-out Plan'!$O$92</f>
        <v>0</v>
      </c>
      <c r="DN1033" s="9" t="n">
        <f aca="false">MIN((DN879+DN880)*$C$5,$F$15)*'⑫ Roll-out Plan'!$O$92</f>
        <v>0</v>
      </c>
      <c r="DO1033" s="9" t="n">
        <f aca="false">MIN((DO879+DO880)*$C$5,$F$15)*'⑫ Roll-out Plan'!$O$92</f>
        <v>0</v>
      </c>
      <c r="DP1033" s="9" t="n">
        <f aca="false">MIN((DP879+DP880)*$C$5,$F$15)*'⑫ Roll-out Plan'!$O$92</f>
        <v>0</v>
      </c>
      <c r="DQ1033" s="9" t="n">
        <f aca="false">MIN((DQ879+DQ880)*$C$5,$F$15)*'⑫ Roll-out Plan'!$O$92</f>
        <v>0</v>
      </c>
      <c r="DR1033" s="9" t="n">
        <f aca="false">MIN((DR879+DR880)*$C$5,$F$15)*'⑫ Roll-out Plan'!$O$92</f>
        <v>0</v>
      </c>
      <c r="DS1033" s="9" t="n">
        <f aca="false">MIN((DS879+DS880)*$C$5,$F$15)*'⑫ Roll-out Plan'!$O$92</f>
        <v>0</v>
      </c>
      <c r="DT1033" s="9" t="n">
        <f aca="false">MIN((DT879+DT880)*$C$5,$F$15)*'⑫ Roll-out Plan'!$O$92</f>
        <v>0</v>
      </c>
      <c r="DU1033" s="9" t="n">
        <f aca="false">MIN((DU879+DU880)*$C$5,$F$15)*'⑫ Roll-out Plan'!$O$92</f>
        <v>0</v>
      </c>
      <c r="DV1033" s="9" t="n">
        <f aca="false">MIN((DV879+DV880)*$C$5,$F$15)*'⑫ Roll-out Plan'!$O$92</f>
        <v>0</v>
      </c>
      <c r="DW1033" s="9" t="n">
        <f aca="false">MIN((DW879+DW880)*$C$5,$F$15)*'⑫ Roll-out Plan'!$O$92</f>
        <v>0</v>
      </c>
      <c r="DX1033" s="9" t="n">
        <f aca="false">MIN((DX879+DX880)*$C$5,$F$15)*'⑫ Roll-out Plan'!$O$92</f>
        <v>0</v>
      </c>
      <c r="DY1033" s="9" t="n">
        <f aca="false">MIN((DY879+DY880)*$C$5,$F$15)*'⑫ Roll-out Plan'!$O$92</f>
        <v>0</v>
      </c>
      <c r="DZ1033" s="9" t="n">
        <f aca="false">MIN((DZ879+DZ880)*$C$5,$F$15)*'⑫ Roll-out Plan'!$O$92</f>
        <v>0</v>
      </c>
      <c r="EA1033" s="9" t="n">
        <f aca="false">MIN((EA879+EA880)*$C$5,$F$15)*'⑫ Roll-out Plan'!$O$92</f>
        <v>0</v>
      </c>
      <c r="EB1033" s="9" t="n">
        <f aca="false">MIN((EB879+EB880)*$C$5,$F$15)*'⑫ Roll-out Plan'!$O$92</f>
        <v>0</v>
      </c>
      <c r="EC1033" s="9" t="n">
        <f aca="false">MIN((EC879+EC880)*$C$5,$F$15)*'⑫ Roll-out Plan'!$O$92</f>
        <v>0</v>
      </c>
      <c r="ED1033" s="9" t="n">
        <f aca="false">MIN((ED879+ED880)*$C$5,$F$15)*'⑫ Roll-out Plan'!$O$92</f>
        <v>0</v>
      </c>
      <c r="EE1033" s="9" t="n">
        <f aca="false">MIN((EE879+EE880)*$C$5,$F$15)*'⑫ Roll-out Plan'!$O$92</f>
        <v>0</v>
      </c>
      <c r="EF1033" s="9" t="n">
        <f aca="false">MIN((EF879+EF880)*$C$5,$F$15)*'⑫ Roll-out Plan'!$O$92</f>
        <v>0</v>
      </c>
      <c r="EG1033" s="9" t="n">
        <f aca="false">MIN((EG879+EG880)*$C$5,$F$15)*'⑫ Roll-out Plan'!$O$92</f>
        <v>0</v>
      </c>
      <c r="EH1033" s="9" t="n">
        <f aca="false">MIN((EH879+EH880)*$C$5,$F$15)*'⑫ Roll-out Plan'!$O$92</f>
        <v>0</v>
      </c>
      <c r="EI1033" s="9" t="n">
        <f aca="false">MIN((EI879+EI880)*$C$5,$F$15)*'⑫ Roll-out Plan'!$O$92</f>
        <v>0</v>
      </c>
      <c r="EJ1033" s="9" t="n">
        <f aca="false">MIN((EJ879+EJ880)*$C$5,$F$15)*'⑫ Roll-out Plan'!$O$92</f>
        <v>0</v>
      </c>
      <c r="EK1033" s="9" t="n">
        <f aca="false">MIN((EK879+EK880)*$C$5,$F$15)*'⑫ Roll-out Plan'!$O$92</f>
        <v>0</v>
      </c>
      <c r="EL1033" s="9" t="n">
        <f aca="false">MIN((EL879+EL880)*$C$5,$F$15)*'⑫ Roll-out Plan'!$O$92</f>
        <v>0</v>
      </c>
      <c r="EM1033" s="9" t="n">
        <f aca="false">MIN((EM879+EM880)*$C$5,$F$15)*'⑫ Roll-out Plan'!$O$92</f>
        <v>0</v>
      </c>
      <c r="EN1033" s="9" t="n">
        <f aca="false">MIN((EN879+EN880)*$C$5,$F$15)*'⑫ Roll-out Plan'!$O$92</f>
        <v>0</v>
      </c>
      <c r="EO1033" s="9" t="n">
        <f aca="false">MIN((EO879+EO880)*$C$5,$F$15)*'⑫ Roll-out Plan'!$O$92</f>
        <v>0</v>
      </c>
      <c r="EP1033" s="9" t="n">
        <f aca="false">MIN((EP879+EP880)*$C$5,$F$15)*'⑫ Roll-out Plan'!$O$92</f>
        <v>0</v>
      </c>
      <c r="EQ1033" s="9" t="n">
        <f aca="false">MIN((EQ879+EQ880)*$C$5,$F$15)*'⑫ Roll-out Plan'!$O$92</f>
        <v>0</v>
      </c>
      <c r="ER1033" s="9" t="n">
        <f aca="false">MIN((ER879+ER880)*$C$5,$F$15)*'⑫ Roll-out Plan'!$O$92</f>
        <v>0</v>
      </c>
      <c r="ES1033" s="9" t="n">
        <f aca="false">MIN((ES879+ES880)*$C$5,$F$15)*'⑫ Roll-out Plan'!$O$92</f>
        <v>0</v>
      </c>
      <c r="ET1033" s="9" t="n">
        <f aca="false">MIN((ET879+ET880)*$C$5,$F$15)*'⑫ Roll-out Plan'!$O$92</f>
        <v>0</v>
      </c>
      <c r="EU1033" s="9" t="n">
        <f aca="false">MIN((EU879+EU880)*$C$5,$F$15)*'⑫ Roll-out Plan'!$O$92</f>
        <v>0</v>
      </c>
      <c r="EV1033" s="9" t="n">
        <f aca="false">MIN((EV879+EV880)*$C$5,$F$15)*'⑫ Roll-out Plan'!$O$92</f>
        <v>0</v>
      </c>
      <c r="EW1033" s="9" t="n">
        <f aca="false">MIN((EW879+EW880)*$C$5,$F$15)*'⑫ Roll-out Plan'!$O$92</f>
        <v>0</v>
      </c>
      <c r="EX1033" s="9" t="n">
        <f aca="false">MIN((EX879+EX880)*$C$5,$F$15)*'⑫ Roll-out Plan'!$O$92</f>
        <v>0</v>
      </c>
      <c r="EY1033" s="9" t="n">
        <f aca="false">MIN((EY879+EY880)*$C$5,$F$15)*'⑫ Roll-out Plan'!$O$92</f>
        <v>0</v>
      </c>
      <c r="EZ1033" s="9" t="n">
        <f aca="false">MIN((EZ879+EZ880)*$C$5,$F$15)*'⑫ Roll-out Plan'!$O$92</f>
        <v>0</v>
      </c>
      <c r="FA1033" s="9" t="n">
        <f aca="false">MIN((FA879+FA880)*$C$5,$F$15)*'⑫ Roll-out Plan'!$O$92</f>
        <v>0</v>
      </c>
      <c r="FB1033" s="9" t="n">
        <f aca="false">MIN((FB879+FB880)*$C$5,$F$15)*'⑫ Roll-out Plan'!$O$92</f>
        <v>0</v>
      </c>
      <c r="FC1033" s="9" t="n">
        <f aca="false">MIN((FC879+FC880)*$C$5,$F$15)*'⑫ Roll-out Plan'!$O$92</f>
        <v>0</v>
      </c>
      <c r="FD1033" s="9" t="n">
        <f aca="false">MIN((FD879+FD880)*$C$5,$F$15)*'⑫ Roll-out Plan'!$O$92</f>
        <v>0</v>
      </c>
      <c r="FE1033" s="9" t="n">
        <f aca="false">MIN((FE879+FE880)*$C$5,$F$15)*'⑫ Roll-out Plan'!$O$92</f>
        <v>0</v>
      </c>
      <c r="FF1033" s="9" t="n">
        <f aca="false">MIN((FF879+FF880)*$C$5,$F$15)*'⑫ Roll-out Plan'!$O$92</f>
        <v>0</v>
      </c>
      <c r="FG1033" s="9" t="n">
        <f aca="false">MIN((FG879+FG880)*$C$5,$F$15)*'⑫ Roll-out Plan'!$O$92</f>
        <v>0</v>
      </c>
      <c r="FH1033" s="9" t="n">
        <f aca="false">MIN((FH879+FH880)*$C$5,$F$15)*'⑫ Roll-out Plan'!$O$92</f>
        <v>0</v>
      </c>
      <c r="FI1033" s="9" t="n">
        <f aca="false">MIN((FI879+FI880)*$C$5,$F$15)*'⑫ Roll-out Plan'!$O$92</f>
        <v>0</v>
      </c>
      <c r="FJ1033" s="9" t="n">
        <f aca="false">MIN((FJ879+FJ880)*$C$5,$F$15)*'⑫ Roll-out Plan'!$O$92</f>
        <v>0</v>
      </c>
      <c r="FK1033" s="9" t="n">
        <f aca="false">MIN((FK879+FK880)*$C$5,$F$15)*'⑫ Roll-out Plan'!$O$92</f>
        <v>0</v>
      </c>
      <c r="FL1033" s="9" t="n">
        <f aca="false">MIN((FL879+FL880)*$C$5,$F$15)*'⑫ Roll-out Plan'!$O$92</f>
        <v>6882.74</v>
      </c>
      <c r="FM1033" s="9" t="n">
        <f aca="false">MIN((FM879+FM880)*$C$5,$F$15)*'⑫ Roll-out Plan'!$O$92</f>
        <v>7065.76272</v>
      </c>
      <c r="FN1033" s="9" t="n">
        <f aca="false">MIN((FN879+FN880)*$C$5,$F$15)*'⑫ Roll-out Plan'!$O$92</f>
        <v>6496.53104</v>
      </c>
      <c r="FO1033" s="9" t="n">
        <f aca="false">MIN((FO879+FO880)*$C$5,$F$15)*'⑫ Roll-out Plan'!$O$92</f>
        <v>5689.0285952</v>
      </c>
      <c r="FP1033" s="9" t="n">
        <f aca="false">MIN((FP879+FP880)*$C$5,$F$15)*'⑫ Roll-out Plan'!$O$92</f>
        <v>7602.2752112</v>
      </c>
    </row>
    <row r="1034" customFormat="false" ht="15" hidden="false" customHeight="false" outlineLevel="0" collapsed="false">
      <c r="B1034" s="9" t="s">
        <v>961</v>
      </c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121" t="n">
        <f aca="false">MIN((AC889+AC890)*$C$5,$F$16)*'⑫ Roll-out Plan'!$O$93</f>
        <v>0</v>
      </c>
      <c r="AD1034" s="9" t="n">
        <f aca="false">MIN((AD889+AD890)*$C$5,$F$16)*'⑫ Roll-out Plan'!$O$93</f>
        <v>0</v>
      </c>
      <c r="AE1034" s="9" t="n">
        <f aca="false">MIN((AE889+AE890)*$C$5,$F$16)*'⑫ Roll-out Plan'!$O$93</f>
        <v>0</v>
      </c>
      <c r="AF1034" s="9" t="n">
        <f aca="false">MIN((AF889+AF890)*$C$5,$F$16)*'⑫ Roll-out Plan'!$O$93</f>
        <v>0</v>
      </c>
      <c r="AG1034" s="9" t="n">
        <f aca="false">MIN((AG889+AG890)*$C$5,$F$16)*'⑫ Roll-out Plan'!$O$93</f>
        <v>0</v>
      </c>
      <c r="AH1034" s="9" t="n">
        <f aca="false">MIN((AH889+AH890)*$C$5,$F$16)*'⑫ Roll-out Plan'!$O$93</f>
        <v>0</v>
      </c>
      <c r="AI1034" s="9" t="n">
        <f aca="false">MIN((AI889+AI890)*$C$5,$F$16)*'⑫ Roll-out Plan'!$O$93</f>
        <v>0</v>
      </c>
      <c r="AJ1034" s="9" t="n">
        <f aca="false">MIN((AJ889+AJ890)*$C$5,$F$16)*'⑫ Roll-out Plan'!$O$93</f>
        <v>0</v>
      </c>
      <c r="AK1034" s="9" t="n">
        <f aca="false">MIN((AK889+AK890)*$C$5,$F$16)*'⑫ Roll-out Plan'!$O$93</f>
        <v>0</v>
      </c>
      <c r="AL1034" s="9" t="n">
        <f aca="false">MIN((AL889+AL890)*$C$5,$F$16)*'⑫ Roll-out Plan'!$O$93</f>
        <v>0</v>
      </c>
      <c r="AM1034" s="9" t="n">
        <f aca="false">MIN((AM889+AM890)*$C$5,$F$16)*'⑫ Roll-out Plan'!$O$93</f>
        <v>0</v>
      </c>
      <c r="AN1034" s="9" t="n">
        <f aca="false">MIN((AN889+AN890)*$C$5,$F$16)*'⑫ Roll-out Plan'!$O$93</f>
        <v>0</v>
      </c>
      <c r="AO1034" s="9" t="n">
        <f aca="false">MIN((AO889+AO890)*$C$5,$F$16)*'⑫ Roll-out Plan'!$O$93</f>
        <v>0</v>
      </c>
      <c r="AP1034" s="9" t="n">
        <f aca="false">MIN((AP889+AP890)*$C$5,$F$16)*'⑫ Roll-out Plan'!$O$93</f>
        <v>0</v>
      </c>
      <c r="AQ1034" s="9" t="n">
        <f aca="false">MIN((AQ889+AQ890)*$C$5,$F$16)*'⑫ Roll-out Plan'!$O$93</f>
        <v>0</v>
      </c>
      <c r="AR1034" s="9" t="n">
        <f aca="false">MIN((AR889+AR890)*$C$5,$F$16)*'⑫ Roll-out Plan'!$O$93</f>
        <v>0</v>
      </c>
      <c r="AS1034" s="9" t="n">
        <f aca="false">MIN((AS889+AS890)*$C$5,$F$16)*'⑫ Roll-out Plan'!$O$93</f>
        <v>0</v>
      </c>
      <c r="AT1034" s="9" t="n">
        <f aca="false">MIN((AT889+AT890)*$C$5,$F$16)*'⑫ Roll-out Plan'!$O$93</f>
        <v>0</v>
      </c>
      <c r="AU1034" s="9" t="n">
        <f aca="false">MIN((AU889+AU890)*$C$5,$F$16)*'⑫ Roll-out Plan'!$O$93</f>
        <v>0</v>
      </c>
      <c r="AV1034" s="9" t="n">
        <f aca="false">MIN((AV889+AV890)*$C$5,$F$16)*'⑫ Roll-out Plan'!$O$93</f>
        <v>0</v>
      </c>
      <c r="AW1034" s="9" t="n">
        <f aca="false">MIN((AW889+AW890)*$C$5,$F$16)*'⑫ Roll-out Plan'!$O$93</f>
        <v>0</v>
      </c>
      <c r="AX1034" s="9" t="n">
        <f aca="false">MIN((AX889+AX890)*$C$5,$F$16)*'⑫ Roll-out Plan'!$O$93</f>
        <v>0</v>
      </c>
      <c r="AY1034" s="9" t="n">
        <f aca="false">MIN((AY889+AY890)*$C$5,$F$16)*'⑫ Roll-out Plan'!$O$93</f>
        <v>0</v>
      </c>
      <c r="AZ1034" s="9" t="n">
        <f aca="false">MIN((AZ889+AZ890)*$C$5,$F$16)*'⑫ Roll-out Plan'!$O$93</f>
        <v>0</v>
      </c>
      <c r="BA1034" s="9" t="n">
        <f aca="false">MIN((BA889+BA890)*$C$5,$F$16)*'⑫ Roll-out Plan'!$O$93</f>
        <v>0</v>
      </c>
      <c r="BB1034" s="9" t="n">
        <f aca="false">MIN((BB889+BB890)*$C$5,$F$16)*'⑫ Roll-out Plan'!$O$93</f>
        <v>0</v>
      </c>
      <c r="BC1034" s="9" t="n">
        <f aca="false">MIN((BC889+BC890)*$C$5,$F$16)*'⑫ Roll-out Plan'!$O$93</f>
        <v>0</v>
      </c>
      <c r="BD1034" s="9" t="n">
        <f aca="false">MIN((BD889+BD890)*$C$5,$F$16)*'⑫ Roll-out Plan'!$O$93</f>
        <v>0</v>
      </c>
      <c r="BE1034" s="9" t="n">
        <f aca="false">MIN((BE889+BE890)*$C$5,$F$16)*'⑫ Roll-out Plan'!$O$93</f>
        <v>0</v>
      </c>
      <c r="BF1034" s="9" t="n">
        <f aca="false">MIN((BF889+BF890)*$C$5,$F$16)*'⑫ Roll-out Plan'!$O$93</f>
        <v>0</v>
      </c>
      <c r="BG1034" s="9" t="n">
        <f aca="false">MIN((BG889+BG890)*$C$5,$F$16)*'⑫ Roll-out Plan'!$O$93</f>
        <v>0</v>
      </c>
      <c r="BH1034" s="9" t="n">
        <f aca="false">MIN((BH889+BH890)*$C$5,$F$16)*'⑫ Roll-out Plan'!$O$93</f>
        <v>0</v>
      </c>
      <c r="BI1034" s="9" t="n">
        <f aca="false">MIN((BI889+BI890)*$C$5,$F$16)*'⑫ Roll-out Plan'!$O$93</f>
        <v>0</v>
      </c>
      <c r="BJ1034" s="9" t="n">
        <f aca="false">MIN((BJ889+BJ890)*$C$5,$F$16)*'⑫ Roll-out Plan'!$O$93</f>
        <v>0</v>
      </c>
      <c r="BK1034" s="9" t="n">
        <f aca="false">MIN((BK889+BK890)*$C$5,$F$16)*'⑫ Roll-out Plan'!$O$93</f>
        <v>0</v>
      </c>
      <c r="BL1034" s="9" t="n">
        <f aca="false">MIN((BL889+BL890)*$C$5,$F$16)*'⑫ Roll-out Plan'!$O$93</f>
        <v>0</v>
      </c>
      <c r="BM1034" s="9" t="n">
        <f aca="false">MIN((BM889+BM890)*$C$5,$F$16)*'⑫ Roll-out Plan'!$O$93</f>
        <v>0</v>
      </c>
      <c r="BN1034" s="9" t="n">
        <f aca="false">MIN((BN889+BN890)*$C$5,$F$16)*'⑫ Roll-out Plan'!$O$93</f>
        <v>0</v>
      </c>
      <c r="BO1034" s="9" t="n">
        <f aca="false">MIN((BO889+BO890)*$C$5,$F$16)*'⑫ Roll-out Plan'!$O$93</f>
        <v>0</v>
      </c>
      <c r="BP1034" s="9" t="n">
        <f aca="false">MIN((BP889+BP890)*$C$5,$F$16)*'⑫ Roll-out Plan'!$O$93</f>
        <v>0</v>
      </c>
      <c r="BQ1034" s="9" t="n">
        <f aca="false">MIN((BQ889+BQ890)*$C$5,$F$16)*'⑫ Roll-out Plan'!$O$93</f>
        <v>0</v>
      </c>
      <c r="BR1034" s="9" t="n">
        <f aca="false">MIN((BR889+BR890)*$C$5,$F$16)*'⑫ Roll-out Plan'!$O$93</f>
        <v>0</v>
      </c>
      <c r="BS1034" s="9" t="n">
        <f aca="false">MIN((BS889+BS890)*$C$5,$F$16)*'⑫ Roll-out Plan'!$O$93</f>
        <v>0</v>
      </c>
      <c r="BT1034" s="9" t="n">
        <f aca="false">MIN((BT889+BT890)*$C$5,$F$16)*'⑫ Roll-out Plan'!$O$93</f>
        <v>0</v>
      </c>
      <c r="BU1034" s="9" t="n">
        <f aca="false">MIN((BU889+BU890)*$C$5,$F$16)*'⑫ Roll-out Plan'!$O$93</f>
        <v>0</v>
      </c>
      <c r="BV1034" s="9" t="n">
        <f aca="false">MIN((BV889+BV890)*$C$5,$F$16)*'⑫ Roll-out Plan'!$O$93</f>
        <v>0</v>
      </c>
      <c r="BW1034" s="9" t="n">
        <f aca="false">MIN((BW889+BW890)*$C$5,$F$16)*'⑫ Roll-out Plan'!$O$93</f>
        <v>0</v>
      </c>
      <c r="BX1034" s="9" t="n">
        <f aca="false">MIN((BX889+BX890)*$C$5,$F$16)*'⑫ Roll-out Plan'!$O$93</f>
        <v>0</v>
      </c>
      <c r="BY1034" s="9" t="n">
        <f aca="false">MIN((BY889+BY890)*$C$5,$F$16)*'⑫ Roll-out Plan'!$O$93</f>
        <v>0</v>
      </c>
      <c r="BZ1034" s="9" t="n">
        <f aca="false">MIN((BZ889+BZ890)*$C$5,$F$16)*'⑫ Roll-out Plan'!$O$93</f>
        <v>0</v>
      </c>
      <c r="CA1034" s="9" t="n">
        <f aca="false">MIN((CA889+CA890)*$C$5,$F$16)*'⑫ Roll-out Plan'!$O$93</f>
        <v>0</v>
      </c>
      <c r="CB1034" s="9" t="n">
        <f aca="false">MIN((CB889+CB890)*$C$5,$F$16)*'⑫ Roll-out Plan'!$O$93</f>
        <v>0</v>
      </c>
      <c r="CC1034" s="9" t="n">
        <f aca="false">MIN((CC889+CC890)*$C$5,$F$16)*'⑫ Roll-out Plan'!$O$93</f>
        <v>0</v>
      </c>
      <c r="CD1034" s="9" t="n">
        <f aca="false">MIN((CD889+CD890)*$C$5,$F$16)*'⑫ Roll-out Plan'!$O$93</f>
        <v>0</v>
      </c>
      <c r="CE1034" s="9" t="n">
        <f aca="false">MIN((CE889+CE890)*$C$5,$F$16)*'⑫ Roll-out Plan'!$O$93</f>
        <v>0</v>
      </c>
      <c r="CF1034" s="9" t="n">
        <f aca="false">MIN((CF889+CF890)*$C$5,$F$16)*'⑫ Roll-out Plan'!$O$93</f>
        <v>0</v>
      </c>
      <c r="CG1034" s="9" t="n">
        <f aca="false">MIN((CG889+CG890)*$C$5,$F$16)*'⑫ Roll-out Plan'!$O$93</f>
        <v>0</v>
      </c>
      <c r="CH1034" s="9" t="n">
        <f aca="false">MIN((CH889+CH890)*$C$5,$F$16)*'⑫ Roll-out Plan'!$O$93</f>
        <v>0</v>
      </c>
      <c r="CI1034" s="9" t="n">
        <f aca="false">MIN((CI889+CI890)*$C$5,$F$16)*'⑫ Roll-out Plan'!$O$93</f>
        <v>0</v>
      </c>
      <c r="CJ1034" s="9" t="n">
        <f aca="false">MIN((CJ889+CJ890)*$C$5,$F$16)*'⑫ Roll-out Plan'!$O$93</f>
        <v>0</v>
      </c>
      <c r="CK1034" s="9" t="n">
        <f aca="false">MIN((CK889+CK890)*$C$5,$F$16)*'⑫ Roll-out Plan'!$O$93</f>
        <v>0</v>
      </c>
      <c r="CL1034" s="9" t="n">
        <f aca="false">MIN((CL889+CL890)*$C$5,$F$16)*'⑫ Roll-out Plan'!$O$93</f>
        <v>0</v>
      </c>
      <c r="CM1034" s="9" t="n">
        <f aca="false">MIN((CM889+CM890)*$C$5,$F$16)*'⑫ Roll-out Plan'!$O$93</f>
        <v>0</v>
      </c>
      <c r="CN1034" s="9" t="n">
        <f aca="false">MIN((CN889+CN890)*$C$5,$F$16)*'⑫ Roll-out Plan'!$O$93</f>
        <v>0</v>
      </c>
      <c r="CO1034" s="9" t="n">
        <f aca="false">MIN((CO889+CO890)*$C$5,$F$16)*'⑫ Roll-out Plan'!$O$93</f>
        <v>0</v>
      </c>
      <c r="CP1034" s="9" t="n">
        <f aca="false">MIN((CP889+CP890)*$C$5,$F$16)*'⑫ Roll-out Plan'!$O$93</f>
        <v>0</v>
      </c>
      <c r="CQ1034" s="9" t="n">
        <f aca="false">MIN((CQ889+CQ890)*$C$5,$F$16)*'⑫ Roll-out Plan'!$O$93</f>
        <v>0</v>
      </c>
      <c r="CR1034" s="9" t="n">
        <f aca="false">MIN((CR889+CR890)*$C$5,$F$16)*'⑫ Roll-out Plan'!$O$93</f>
        <v>0</v>
      </c>
      <c r="CS1034" s="9" t="n">
        <f aca="false">MIN((CS889+CS890)*$C$5,$F$16)*'⑫ Roll-out Plan'!$O$93</f>
        <v>0</v>
      </c>
      <c r="CT1034" s="9" t="n">
        <f aca="false">MIN((CT889+CT890)*$C$5,$F$16)*'⑫ Roll-out Plan'!$O$93</f>
        <v>0</v>
      </c>
      <c r="CU1034" s="9" t="n">
        <f aca="false">MIN((CU889+CU890)*$C$5,$F$16)*'⑫ Roll-out Plan'!$O$93</f>
        <v>0</v>
      </c>
      <c r="CV1034" s="9" t="n">
        <f aca="false">MIN((CV889+CV890)*$C$5,$F$16)*'⑫ Roll-out Plan'!$O$93</f>
        <v>0</v>
      </c>
      <c r="CW1034" s="9" t="n">
        <f aca="false">MIN((CW889+CW890)*$C$5,$F$16)*'⑫ Roll-out Plan'!$O$93</f>
        <v>0</v>
      </c>
      <c r="CX1034" s="9" t="n">
        <f aca="false">MIN((CX889+CX890)*$C$5,$F$16)*'⑫ Roll-out Plan'!$O$93</f>
        <v>0</v>
      </c>
      <c r="CY1034" s="9" t="n">
        <f aca="false">MIN((CY889+CY890)*$C$5,$F$16)*'⑫ Roll-out Plan'!$O$93</f>
        <v>0</v>
      </c>
      <c r="CZ1034" s="9" t="n">
        <f aca="false">MIN((CZ889+CZ890)*$C$5,$F$16)*'⑫ Roll-out Plan'!$O$93</f>
        <v>0</v>
      </c>
      <c r="DA1034" s="9" t="n">
        <f aca="false">MIN((DA889+DA890)*$C$5,$F$16)*'⑫ Roll-out Plan'!$O$93</f>
        <v>0</v>
      </c>
      <c r="DB1034" s="9" t="n">
        <f aca="false">MIN((DB889+DB890)*$C$5,$F$16)*'⑫ Roll-out Plan'!$O$93</f>
        <v>0</v>
      </c>
      <c r="DC1034" s="9" t="n">
        <f aca="false">MIN((DC889+DC890)*$C$5,$F$16)*'⑫ Roll-out Plan'!$O$93</f>
        <v>0</v>
      </c>
      <c r="DD1034" s="9" t="n">
        <f aca="false">MIN((DD889+DD890)*$C$5,$F$16)*'⑫ Roll-out Plan'!$O$93</f>
        <v>0</v>
      </c>
      <c r="DE1034" s="9" t="n">
        <f aca="false">MIN((DE889+DE890)*$C$5,$F$16)*'⑫ Roll-out Plan'!$O$93</f>
        <v>0</v>
      </c>
      <c r="DF1034" s="9" t="n">
        <f aca="false">MIN((DF889+DF890)*$C$5,$F$16)*'⑫ Roll-out Plan'!$O$93</f>
        <v>0</v>
      </c>
      <c r="DG1034" s="9" t="n">
        <f aca="false">MIN((DG889+DG890)*$C$5,$F$16)*'⑫ Roll-out Plan'!$O$93</f>
        <v>0</v>
      </c>
      <c r="DH1034" s="9" t="n">
        <f aca="false">MIN((DH889+DH890)*$C$5,$F$16)*'⑫ Roll-out Plan'!$O$93</f>
        <v>0</v>
      </c>
      <c r="DI1034" s="9" t="n">
        <f aca="false">MIN((DI889+DI890)*$C$5,$F$16)*'⑫ Roll-out Plan'!$O$93</f>
        <v>0</v>
      </c>
      <c r="DJ1034" s="9" t="n">
        <f aca="false">MIN((DJ889+DJ890)*$C$5,$F$16)*'⑫ Roll-out Plan'!$O$93</f>
        <v>0</v>
      </c>
      <c r="DK1034" s="9" t="n">
        <f aca="false">MIN((DK889+DK890)*$C$5,$F$16)*'⑫ Roll-out Plan'!$O$93</f>
        <v>0</v>
      </c>
      <c r="DL1034" s="9" t="n">
        <f aca="false">MIN((DL889+DL890)*$C$5,$F$16)*'⑫ Roll-out Plan'!$O$93</f>
        <v>0</v>
      </c>
      <c r="DM1034" s="9" t="n">
        <f aca="false">MIN((DM889+DM890)*$C$5,$F$16)*'⑫ Roll-out Plan'!$O$93</f>
        <v>0</v>
      </c>
      <c r="DN1034" s="9" t="n">
        <f aca="false">MIN((DN889+DN890)*$C$5,$F$16)*'⑫ Roll-out Plan'!$O$93</f>
        <v>0</v>
      </c>
      <c r="DO1034" s="9" t="n">
        <f aca="false">MIN((DO889+DO890)*$C$5,$F$16)*'⑫ Roll-out Plan'!$O$93</f>
        <v>0</v>
      </c>
      <c r="DP1034" s="9" t="n">
        <f aca="false">MIN((DP889+DP890)*$C$5,$F$16)*'⑫ Roll-out Plan'!$O$93</f>
        <v>0</v>
      </c>
      <c r="DQ1034" s="9" t="n">
        <f aca="false">MIN((DQ889+DQ890)*$C$5,$F$16)*'⑫ Roll-out Plan'!$O$93</f>
        <v>0</v>
      </c>
      <c r="DR1034" s="9" t="n">
        <f aca="false">MIN((DR889+DR890)*$C$5,$F$16)*'⑫ Roll-out Plan'!$O$93</f>
        <v>0</v>
      </c>
      <c r="DS1034" s="9" t="n">
        <f aca="false">MIN((DS889+DS890)*$C$5,$F$16)*'⑫ Roll-out Plan'!$O$93</f>
        <v>0</v>
      </c>
      <c r="DT1034" s="9" t="n">
        <f aca="false">MIN((DT889+DT890)*$C$5,$F$16)*'⑫ Roll-out Plan'!$O$93</f>
        <v>0</v>
      </c>
      <c r="DU1034" s="9" t="n">
        <f aca="false">MIN((DU889+DU890)*$C$5,$F$16)*'⑫ Roll-out Plan'!$O$93</f>
        <v>0</v>
      </c>
      <c r="DV1034" s="9" t="n">
        <f aca="false">MIN((DV889+DV890)*$C$5,$F$16)*'⑫ Roll-out Plan'!$O$93</f>
        <v>0</v>
      </c>
      <c r="DW1034" s="9" t="n">
        <f aca="false">MIN((DW889+DW890)*$C$5,$F$16)*'⑫ Roll-out Plan'!$O$93</f>
        <v>0</v>
      </c>
      <c r="DX1034" s="9" t="n">
        <f aca="false">MIN((DX889+DX890)*$C$5,$F$16)*'⑫ Roll-out Plan'!$O$93</f>
        <v>0</v>
      </c>
      <c r="DY1034" s="9" t="n">
        <f aca="false">MIN((DY889+DY890)*$C$5,$F$16)*'⑫ Roll-out Plan'!$O$93</f>
        <v>0</v>
      </c>
      <c r="DZ1034" s="9" t="n">
        <f aca="false">MIN((DZ889+DZ890)*$C$5,$F$16)*'⑫ Roll-out Plan'!$O$93</f>
        <v>0</v>
      </c>
      <c r="EA1034" s="9" t="n">
        <f aca="false">MIN((EA889+EA890)*$C$5,$F$16)*'⑫ Roll-out Plan'!$O$93</f>
        <v>0</v>
      </c>
      <c r="EB1034" s="9" t="n">
        <f aca="false">MIN((EB889+EB890)*$C$5,$F$16)*'⑫ Roll-out Plan'!$O$93</f>
        <v>0</v>
      </c>
      <c r="EC1034" s="9" t="n">
        <f aca="false">MIN((EC889+EC890)*$C$5,$F$16)*'⑫ Roll-out Plan'!$O$93</f>
        <v>0</v>
      </c>
      <c r="ED1034" s="9" t="n">
        <f aca="false">MIN((ED889+ED890)*$C$5,$F$16)*'⑫ Roll-out Plan'!$O$93</f>
        <v>0</v>
      </c>
      <c r="EE1034" s="9" t="n">
        <f aca="false">MIN((EE889+EE890)*$C$5,$F$16)*'⑫ Roll-out Plan'!$O$93</f>
        <v>0</v>
      </c>
      <c r="EF1034" s="9" t="n">
        <f aca="false">MIN((EF889+EF890)*$C$5,$F$16)*'⑫ Roll-out Plan'!$O$93</f>
        <v>0</v>
      </c>
      <c r="EG1034" s="9" t="n">
        <f aca="false">MIN((EG889+EG890)*$C$5,$F$16)*'⑫ Roll-out Plan'!$O$93</f>
        <v>0</v>
      </c>
      <c r="EH1034" s="9" t="n">
        <f aca="false">MIN((EH889+EH890)*$C$5,$F$16)*'⑫ Roll-out Plan'!$O$93</f>
        <v>0</v>
      </c>
      <c r="EI1034" s="9" t="n">
        <f aca="false">MIN((EI889+EI890)*$C$5,$F$16)*'⑫ Roll-out Plan'!$O$93</f>
        <v>0</v>
      </c>
      <c r="EJ1034" s="9" t="n">
        <f aca="false">MIN((EJ889+EJ890)*$C$5,$F$16)*'⑫ Roll-out Plan'!$O$93</f>
        <v>0</v>
      </c>
      <c r="EK1034" s="9" t="n">
        <f aca="false">MIN((EK889+EK890)*$C$5,$F$16)*'⑫ Roll-out Plan'!$O$93</f>
        <v>0</v>
      </c>
      <c r="EL1034" s="9" t="n">
        <f aca="false">MIN((EL889+EL890)*$C$5,$F$16)*'⑫ Roll-out Plan'!$O$93</f>
        <v>0</v>
      </c>
      <c r="EM1034" s="9" t="n">
        <f aca="false">MIN((EM889+EM890)*$C$5,$F$16)*'⑫ Roll-out Plan'!$O$93</f>
        <v>0</v>
      </c>
      <c r="EN1034" s="9" t="n">
        <f aca="false">MIN((EN889+EN890)*$C$5,$F$16)*'⑫ Roll-out Plan'!$O$93</f>
        <v>0</v>
      </c>
      <c r="EO1034" s="9" t="n">
        <f aca="false">MIN((EO889+EO890)*$C$5,$F$16)*'⑫ Roll-out Plan'!$O$93</f>
        <v>0</v>
      </c>
      <c r="EP1034" s="9" t="n">
        <f aca="false">MIN((EP889+EP890)*$C$5,$F$16)*'⑫ Roll-out Plan'!$O$93</f>
        <v>0</v>
      </c>
      <c r="EQ1034" s="9" t="n">
        <f aca="false">MIN((EQ889+EQ890)*$C$5,$F$16)*'⑫ Roll-out Plan'!$O$93</f>
        <v>0</v>
      </c>
      <c r="ER1034" s="9" t="n">
        <f aca="false">MIN((ER889+ER890)*$C$5,$F$16)*'⑫ Roll-out Plan'!$O$93</f>
        <v>0</v>
      </c>
      <c r="ES1034" s="9" t="n">
        <f aca="false">MIN((ES889+ES890)*$C$5,$F$16)*'⑫ Roll-out Plan'!$O$93</f>
        <v>0</v>
      </c>
      <c r="ET1034" s="9" t="n">
        <f aca="false">MIN((ET889+ET890)*$C$5,$F$16)*'⑫ Roll-out Plan'!$O$93</f>
        <v>0</v>
      </c>
      <c r="EU1034" s="9" t="n">
        <f aca="false">MIN((EU889+EU890)*$C$5,$F$16)*'⑫ Roll-out Plan'!$O$93</f>
        <v>0</v>
      </c>
      <c r="EV1034" s="9" t="n">
        <f aca="false">MIN((EV889+EV890)*$C$5,$F$16)*'⑫ Roll-out Plan'!$O$93</f>
        <v>0</v>
      </c>
      <c r="EW1034" s="9" t="n">
        <f aca="false">MIN((EW889+EW890)*$C$5,$F$16)*'⑫ Roll-out Plan'!$O$93</f>
        <v>0</v>
      </c>
      <c r="EX1034" s="9" t="n">
        <f aca="false">MIN((EX889+EX890)*$C$5,$F$16)*'⑫ Roll-out Plan'!$O$93</f>
        <v>0</v>
      </c>
      <c r="EY1034" s="9" t="n">
        <f aca="false">MIN((EY889+EY890)*$C$5,$F$16)*'⑫ Roll-out Plan'!$O$93</f>
        <v>0</v>
      </c>
      <c r="EZ1034" s="9" t="n">
        <f aca="false">MIN((EZ889+EZ890)*$C$5,$F$16)*'⑫ Roll-out Plan'!$O$93</f>
        <v>0</v>
      </c>
      <c r="FA1034" s="9" t="n">
        <f aca="false">MIN((FA889+FA890)*$C$5,$F$16)*'⑫ Roll-out Plan'!$O$93</f>
        <v>0</v>
      </c>
      <c r="FB1034" s="9" t="n">
        <f aca="false">MIN((FB889+FB890)*$C$5,$F$16)*'⑫ Roll-out Plan'!$O$93</f>
        <v>0</v>
      </c>
      <c r="FC1034" s="9" t="n">
        <f aca="false">MIN((FC889+FC890)*$C$5,$F$16)*'⑫ Roll-out Plan'!$O$93</f>
        <v>0</v>
      </c>
      <c r="FD1034" s="9" t="n">
        <f aca="false">MIN((FD889+FD890)*$C$5,$F$16)*'⑫ Roll-out Plan'!$O$93</f>
        <v>0</v>
      </c>
      <c r="FE1034" s="9" t="n">
        <f aca="false">MIN((FE889+FE890)*$C$5,$F$16)*'⑫ Roll-out Plan'!$O$93</f>
        <v>0</v>
      </c>
      <c r="FF1034" s="9" t="n">
        <f aca="false">MIN((FF889+FF890)*$C$5,$F$16)*'⑫ Roll-out Plan'!$O$93</f>
        <v>0</v>
      </c>
      <c r="FG1034" s="9" t="n">
        <f aca="false">MIN((FG889+FG890)*$C$5,$F$16)*'⑫ Roll-out Plan'!$O$93</f>
        <v>0</v>
      </c>
      <c r="FH1034" s="9" t="n">
        <f aca="false">MIN((FH889+FH890)*$C$5,$F$16)*'⑫ Roll-out Plan'!$O$93</f>
        <v>0</v>
      </c>
      <c r="FI1034" s="9" t="n">
        <f aca="false">MIN((FI889+FI890)*$C$5,$F$16)*'⑫ Roll-out Plan'!$O$93</f>
        <v>0</v>
      </c>
      <c r="FJ1034" s="9" t="n">
        <f aca="false">MIN((FJ889+FJ890)*$C$5,$F$16)*'⑫ Roll-out Plan'!$O$93</f>
        <v>0</v>
      </c>
      <c r="FK1034" s="9" t="n">
        <f aca="false">MIN((FK889+FK890)*$C$5,$F$16)*'⑫ Roll-out Plan'!$O$93</f>
        <v>0</v>
      </c>
      <c r="FL1034" s="9" t="n">
        <f aca="false">MIN((FL889+FL890)*$C$5,$F$16)*'⑫ Roll-out Plan'!$O$93</f>
        <v>0</v>
      </c>
      <c r="FM1034" s="9" t="n">
        <f aca="false">MIN((FM889+FM890)*$C$5,$F$16)*'⑫ Roll-out Plan'!$O$93</f>
        <v>3343.12</v>
      </c>
      <c r="FN1034" s="9" t="n">
        <f aca="false">MIN((FN889+FN890)*$C$5,$F$16)*'⑫ Roll-out Plan'!$O$93</f>
        <v>3471.31136</v>
      </c>
      <c r="FO1034" s="9" t="n">
        <f aca="false">MIN((FO889+FO890)*$C$5,$F$16)*'⑫ Roll-out Plan'!$O$93</f>
        <v>2938.441088</v>
      </c>
      <c r="FP1034" s="9" t="n">
        <f aca="false">MIN((FP889+FP890)*$C$5,$F$16)*'⑫ Roll-out Plan'!$O$93</f>
        <v>4415.6897312</v>
      </c>
    </row>
    <row r="1035" customFormat="false" ht="15" hidden="false" customHeight="false" outlineLevel="0" collapsed="false">
      <c r="B1035" s="9" t="s">
        <v>962</v>
      </c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121" t="n">
        <f aca="false">MIN((AC899+AC900)*$C$5,$F$14)*'⑫ Roll-out Plan'!$O$94</f>
        <v>0</v>
      </c>
      <c r="AD1035" s="9" t="n">
        <f aca="false">MIN((AD899+AD900)*$C$5,$F$14)*'⑫ Roll-out Plan'!$O$94</f>
        <v>0</v>
      </c>
      <c r="AE1035" s="9" t="n">
        <f aca="false">MIN((AE899+AE900)*$C$5,$F$14)*'⑫ Roll-out Plan'!$O$94</f>
        <v>0</v>
      </c>
      <c r="AF1035" s="9" t="n">
        <f aca="false">MIN((AF899+AF900)*$C$5,$F$14)*'⑫ Roll-out Plan'!$O$94</f>
        <v>0</v>
      </c>
      <c r="AG1035" s="9" t="n">
        <f aca="false">MIN((AG899+AG900)*$C$5,$F$14)*'⑫ Roll-out Plan'!$O$94</f>
        <v>0</v>
      </c>
      <c r="AH1035" s="9" t="n">
        <f aca="false">MIN((AH899+AH900)*$C$5,$F$14)*'⑫ Roll-out Plan'!$O$94</f>
        <v>0</v>
      </c>
      <c r="AI1035" s="9" t="n">
        <f aca="false">MIN((AI899+AI900)*$C$5,$F$14)*'⑫ Roll-out Plan'!$O$94</f>
        <v>0</v>
      </c>
      <c r="AJ1035" s="9" t="n">
        <f aca="false">MIN((AJ899+AJ900)*$C$5,$F$14)*'⑫ Roll-out Plan'!$O$94</f>
        <v>0</v>
      </c>
      <c r="AK1035" s="9" t="n">
        <f aca="false">MIN((AK899+AK900)*$C$5,$F$14)*'⑫ Roll-out Plan'!$O$94</f>
        <v>0</v>
      </c>
      <c r="AL1035" s="9" t="n">
        <f aca="false">MIN((AL899+AL900)*$C$5,$F$14)*'⑫ Roll-out Plan'!$O$94</f>
        <v>0</v>
      </c>
      <c r="AM1035" s="9" t="n">
        <f aca="false">MIN((AM899+AM900)*$C$5,$F$14)*'⑫ Roll-out Plan'!$O$94</f>
        <v>0</v>
      </c>
      <c r="AN1035" s="9" t="n">
        <f aca="false">MIN((AN899+AN900)*$C$5,$F$14)*'⑫ Roll-out Plan'!$O$94</f>
        <v>0</v>
      </c>
      <c r="AO1035" s="9" t="n">
        <f aca="false">MIN((AO899+AO900)*$C$5,$F$14)*'⑫ Roll-out Plan'!$O$94</f>
        <v>0</v>
      </c>
      <c r="AP1035" s="9" t="n">
        <f aca="false">MIN((AP899+AP900)*$C$5,$F$14)*'⑫ Roll-out Plan'!$O$94</f>
        <v>0</v>
      </c>
      <c r="AQ1035" s="9" t="n">
        <f aca="false">MIN((AQ899+AQ900)*$C$5,$F$14)*'⑫ Roll-out Plan'!$O$94</f>
        <v>0</v>
      </c>
      <c r="AR1035" s="9" t="n">
        <f aca="false">MIN((AR899+AR900)*$C$5,$F$14)*'⑫ Roll-out Plan'!$O$94</f>
        <v>0</v>
      </c>
      <c r="AS1035" s="9" t="n">
        <f aca="false">MIN((AS899+AS900)*$C$5,$F$14)*'⑫ Roll-out Plan'!$O$94</f>
        <v>0</v>
      </c>
      <c r="AT1035" s="9" t="n">
        <f aca="false">MIN((AT899+AT900)*$C$5,$F$14)*'⑫ Roll-out Plan'!$O$94</f>
        <v>0</v>
      </c>
      <c r="AU1035" s="9" t="n">
        <f aca="false">MIN((AU899+AU900)*$C$5,$F$14)*'⑫ Roll-out Plan'!$O$94</f>
        <v>0</v>
      </c>
      <c r="AV1035" s="9" t="n">
        <f aca="false">MIN((AV899+AV900)*$C$5,$F$14)*'⑫ Roll-out Plan'!$O$94</f>
        <v>0</v>
      </c>
      <c r="AW1035" s="9" t="n">
        <f aca="false">MIN((AW899+AW900)*$C$5,$F$14)*'⑫ Roll-out Plan'!$O$94</f>
        <v>0</v>
      </c>
      <c r="AX1035" s="9" t="n">
        <f aca="false">MIN((AX899+AX900)*$C$5,$F$14)*'⑫ Roll-out Plan'!$O$94</f>
        <v>0</v>
      </c>
      <c r="AY1035" s="9" t="n">
        <f aca="false">MIN((AY899+AY900)*$C$5,$F$14)*'⑫ Roll-out Plan'!$O$94</f>
        <v>0</v>
      </c>
      <c r="AZ1035" s="9" t="n">
        <f aca="false">MIN((AZ899+AZ900)*$C$5,$F$14)*'⑫ Roll-out Plan'!$O$94</f>
        <v>0</v>
      </c>
      <c r="BA1035" s="9" t="n">
        <f aca="false">MIN((BA899+BA900)*$C$5,$F$14)*'⑫ Roll-out Plan'!$O$94</f>
        <v>0</v>
      </c>
      <c r="BB1035" s="9" t="n">
        <f aca="false">MIN((BB899+BB900)*$C$5,$F$14)*'⑫ Roll-out Plan'!$O$94</f>
        <v>0</v>
      </c>
      <c r="BC1035" s="9" t="n">
        <f aca="false">MIN((BC899+BC900)*$C$5,$F$14)*'⑫ Roll-out Plan'!$O$94</f>
        <v>0</v>
      </c>
      <c r="BD1035" s="9" t="n">
        <f aca="false">MIN((BD899+BD900)*$C$5,$F$14)*'⑫ Roll-out Plan'!$O$94</f>
        <v>0</v>
      </c>
      <c r="BE1035" s="9" t="n">
        <f aca="false">MIN((BE899+BE900)*$C$5,$F$14)*'⑫ Roll-out Plan'!$O$94</f>
        <v>0</v>
      </c>
      <c r="BF1035" s="9" t="n">
        <f aca="false">MIN((BF899+BF900)*$C$5,$F$14)*'⑫ Roll-out Plan'!$O$94</f>
        <v>0</v>
      </c>
      <c r="BG1035" s="9" t="n">
        <f aca="false">MIN((BG899+BG900)*$C$5,$F$14)*'⑫ Roll-out Plan'!$O$94</f>
        <v>0</v>
      </c>
      <c r="BH1035" s="9" t="n">
        <f aca="false">MIN((BH899+BH900)*$C$5,$F$14)*'⑫ Roll-out Plan'!$O$94</f>
        <v>0</v>
      </c>
      <c r="BI1035" s="9" t="n">
        <f aca="false">MIN((BI899+BI900)*$C$5,$F$14)*'⑫ Roll-out Plan'!$O$94</f>
        <v>0</v>
      </c>
      <c r="BJ1035" s="9" t="n">
        <f aca="false">MIN((BJ899+BJ900)*$C$5,$F$14)*'⑫ Roll-out Plan'!$O$94</f>
        <v>0</v>
      </c>
      <c r="BK1035" s="9" t="n">
        <f aca="false">MIN((BK899+BK900)*$C$5,$F$14)*'⑫ Roll-out Plan'!$O$94</f>
        <v>0</v>
      </c>
      <c r="BL1035" s="9" t="n">
        <f aca="false">MIN((BL899+BL900)*$C$5,$F$14)*'⑫ Roll-out Plan'!$O$94</f>
        <v>0</v>
      </c>
      <c r="BM1035" s="9" t="n">
        <f aca="false">MIN((BM899+BM900)*$C$5,$F$14)*'⑫ Roll-out Plan'!$O$94</f>
        <v>0</v>
      </c>
      <c r="BN1035" s="9" t="n">
        <f aca="false">MIN((BN899+BN900)*$C$5,$F$14)*'⑫ Roll-out Plan'!$O$94</f>
        <v>0</v>
      </c>
      <c r="BO1035" s="9" t="n">
        <f aca="false">MIN((BO899+BO900)*$C$5,$F$14)*'⑫ Roll-out Plan'!$O$94</f>
        <v>0</v>
      </c>
      <c r="BP1035" s="9" t="n">
        <f aca="false">MIN((BP899+BP900)*$C$5,$F$14)*'⑫ Roll-out Plan'!$O$94</f>
        <v>0</v>
      </c>
      <c r="BQ1035" s="9" t="n">
        <f aca="false">MIN((BQ899+BQ900)*$C$5,$F$14)*'⑫ Roll-out Plan'!$O$94</f>
        <v>0</v>
      </c>
      <c r="BR1035" s="9" t="n">
        <f aca="false">MIN((BR899+BR900)*$C$5,$F$14)*'⑫ Roll-out Plan'!$O$94</f>
        <v>0</v>
      </c>
      <c r="BS1035" s="9" t="n">
        <f aca="false">MIN((BS899+BS900)*$C$5,$F$14)*'⑫ Roll-out Plan'!$O$94</f>
        <v>0</v>
      </c>
      <c r="BT1035" s="9" t="n">
        <f aca="false">MIN((BT899+BT900)*$C$5,$F$14)*'⑫ Roll-out Plan'!$O$94</f>
        <v>0</v>
      </c>
      <c r="BU1035" s="9" t="n">
        <f aca="false">MIN((BU899+BU900)*$C$5,$F$14)*'⑫ Roll-out Plan'!$O$94</f>
        <v>0</v>
      </c>
      <c r="BV1035" s="9" t="n">
        <f aca="false">MIN((BV899+BV900)*$C$5,$F$14)*'⑫ Roll-out Plan'!$O$94</f>
        <v>0</v>
      </c>
      <c r="BW1035" s="9" t="n">
        <f aca="false">MIN((BW899+BW900)*$C$5,$F$14)*'⑫ Roll-out Plan'!$O$94</f>
        <v>0</v>
      </c>
      <c r="BX1035" s="9" t="n">
        <f aca="false">MIN((BX899+BX900)*$C$5,$F$14)*'⑫ Roll-out Plan'!$O$94</f>
        <v>0</v>
      </c>
      <c r="BY1035" s="9" t="n">
        <f aca="false">MIN((BY899+BY900)*$C$5,$F$14)*'⑫ Roll-out Plan'!$O$94</f>
        <v>0</v>
      </c>
      <c r="BZ1035" s="9" t="n">
        <f aca="false">MIN((BZ899+BZ900)*$C$5,$F$14)*'⑫ Roll-out Plan'!$O$94</f>
        <v>0</v>
      </c>
      <c r="CA1035" s="9" t="n">
        <f aca="false">MIN((CA899+CA900)*$C$5,$F$14)*'⑫ Roll-out Plan'!$O$94</f>
        <v>0</v>
      </c>
      <c r="CB1035" s="9" t="n">
        <f aca="false">MIN((CB899+CB900)*$C$5,$F$14)*'⑫ Roll-out Plan'!$O$94</f>
        <v>0</v>
      </c>
      <c r="CC1035" s="9" t="n">
        <f aca="false">MIN((CC899+CC900)*$C$5,$F$14)*'⑫ Roll-out Plan'!$O$94</f>
        <v>0</v>
      </c>
      <c r="CD1035" s="9" t="n">
        <f aca="false">MIN((CD899+CD900)*$C$5,$F$14)*'⑫ Roll-out Plan'!$O$94</f>
        <v>0</v>
      </c>
      <c r="CE1035" s="9" t="n">
        <f aca="false">MIN((CE899+CE900)*$C$5,$F$14)*'⑫ Roll-out Plan'!$O$94</f>
        <v>0</v>
      </c>
      <c r="CF1035" s="9" t="n">
        <f aca="false">MIN((CF899+CF900)*$C$5,$F$14)*'⑫ Roll-out Plan'!$O$94</f>
        <v>0</v>
      </c>
      <c r="CG1035" s="9" t="n">
        <f aca="false">MIN((CG899+CG900)*$C$5,$F$14)*'⑫ Roll-out Plan'!$O$94</f>
        <v>0</v>
      </c>
      <c r="CH1035" s="9" t="n">
        <f aca="false">MIN((CH899+CH900)*$C$5,$F$14)*'⑫ Roll-out Plan'!$O$94</f>
        <v>0</v>
      </c>
      <c r="CI1035" s="9" t="n">
        <f aca="false">MIN((CI899+CI900)*$C$5,$F$14)*'⑫ Roll-out Plan'!$O$94</f>
        <v>0</v>
      </c>
      <c r="CJ1035" s="9" t="n">
        <f aca="false">MIN((CJ899+CJ900)*$C$5,$F$14)*'⑫ Roll-out Plan'!$O$94</f>
        <v>0</v>
      </c>
      <c r="CK1035" s="9" t="n">
        <f aca="false">MIN((CK899+CK900)*$C$5,$F$14)*'⑫ Roll-out Plan'!$O$94</f>
        <v>0</v>
      </c>
      <c r="CL1035" s="9" t="n">
        <f aca="false">MIN((CL899+CL900)*$C$5,$F$14)*'⑫ Roll-out Plan'!$O$94</f>
        <v>0</v>
      </c>
      <c r="CM1035" s="9" t="n">
        <f aca="false">MIN((CM899+CM900)*$C$5,$F$14)*'⑫ Roll-out Plan'!$O$94</f>
        <v>0</v>
      </c>
      <c r="CN1035" s="9" t="n">
        <f aca="false">MIN((CN899+CN900)*$C$5,$F$14)*'⑫ Roll-out Plan'!$O$94</f>
        <v>0</v>
      </c>
      <c r="CO1035" s="9" t="n">
        <f aca="false">MIN((CO899+CO900)*$C$5,$F$14)*'⑫ Roll-out Plan'!$O$94</f>
        <v>0</v>
      </c>
      <c r="CP1035" s="9" t="n">
        <f aca="false">MIN((CP899+CP900)*$C$5,$F$14)*'⑫ Roll-out Plan'!$O$94</f>
        <v>0</v>
      </c>
      <c r="CQ1035" s="9" t="n">
        <f aca="false">MIN((CQ899+CQ900)*$C$5,$F$14)*'⑫ Roll-out Plan'!$O$94</f>
        <v>0</v>
      </c>
      <c r="CR1035" s="9" t="n">
        <f aca="false">MIN((CR899+CR900)*$C$5,$F$14)*'⑫ Roll-out Plan'!$O$94</f>
        <v>0</v>
      </c>
      <c r="CS1035" s="9" t="n">
        <f aca="false">MIN((CS899+CS900)*$C$5,$F$14)*'⑫ Roll-out Plan'!$O$94</f>
        <v>0</v>
      </c>
      <c r="CT1035" s="9" t="n">
        <f aca="false">MIN((CT899+CT900)*$C$5,$F$14)*'⑫ Roll-out Plan'!$O$94</f>
        <v>0</v>
      </c>
      <c r="CU1035" s="9" t="n">
        <f aca="false">MIN((CU899+CU900)*$C$5,$F$14)*'⑫ Roll-out Plan'!$O$94</f>
        <v>0</v>
      </c>
      <c r="CV1035" s="9" t="n">
        <f aca="false">MIN((CV899+CV900)*$C$5,$F$14)*'⑫ Roll-out Plan'!$O$94</f>
        <v>0</v>
      </c>
      <c r="CW1035" s="9" t="n">
        <f aca="false">MIN((CW899+CW900)*$C$5,$F$14)*'⑫ Roll-out Plan'!$O$94</f>
        <v>0</v>
      </c>
      <c r="CX1035" s="9" t="n">
        <f aca="false">MIN((CX899+CX900)*$C$5,$F$14)*'⑫ Roll-out Plan'!$O$94</f>
        <v>0</v>
      </c>
      <c r="CY1035" s="9" t="n">
        <f aca="false">MIN((CY899+CY900)*$C$5,$F$14)*'⑫ Roll-out Plan'!$O$94</f>
        <v>0</v>
      </c>
      <c r="CZ1035" s="9" t="n">
        <f aca="false">MIN((CZ899+CZ900)*$C$5,$F$14)*'⑫ Roll-out Plan'!$O$94</f>
        <v>0</v>
      </c>
      <c r="DA1035" s="9" t="n">
        <f aca="false">MIN((DA899+DA900)*$C$5,$F$14)*'⑫ Roll-out Plan'!$O$94</f>
        <v>0</v>
      </c>
      <c r="DB1035" s="9" t="n">
        <f aca="false">MIN((DB899+DB900)*$C$5,$F$14)*'⑫ Roll-out Plan'!$O$94</f>
        <v>0</v>
      </c>
      <c r="DC1035" s="9" t="n">
        <f aca="false">MIN((DC899+DC900)*$C$5,$F$14)*'⑫ Roll-out Plan'!$O$94</f>
        <v>0</v>
      </c>
      <c r="DD1035" s="9" t="n">
        <f aca="false">MIN((DD899+DD900)*$C$5,$F$14)*'⑫ Roll-out Plan'!$O$94</f>
        <v>0</v>
      </c>
      <c r="DE1035" s="9" t="n">
        <f aca="false">MIN((DE899+DE900)*$C$5,$F$14)*'⑫ Roll-out Plan'!$O$94</f>
        <v>0</v>
      </c>
      <c r="DF1035" s="9" t="n">
        <f aca="false">MIN((DF899+DF900)*$C$5,$F$14)*'⑫ Roll-out Plan'!$O$94</f>
        <v>0</v>
      </c>
      <c r="DG1035" s="9" t="n">
        <f aca="false">MIN((DG899+DG900)*$C$5,$F$14)*'⑫ Roll-out Plan'!$O$94</f>
        <v>0</v>
      </c>
      <c r="DH1035" s="9" t="n">
        <f aca="false">MIN((DH899+DH900)*$C$5,$F$14)*'⑫ Roll-out Plan'!$O$94</f>
        <v>0</v>
      </c>
      <c r="DI1035" s="9" t="n">
        <f aca="false">MIN((DI899+DI900)*$C$5,$F$14)*'⑫ Roll-out Plan'!$O$94</f>
        <v>0</v>
      </c>
      <c r="DJ1035" s="9" t="n">
        <f aca="false">MIN((DJ899+DJ900)*$C$5,$F$14)*'⑫ Roll-out Plan'!$O$94</f>
        <v>0</v>
      </c>
      <c r="DK1035" s="9" t="n">
        <f aca="false">MIN((DK899+DK900)*$C$5,$F$14)*'⑫ Roll-out Plan'!$O$94</f>
        <v>0</v>
      </c>
      <c r="DL1035" s="9" t="n">
        <f aca="false">MIN((DL899+DL900)*$C$5,$F$14)*'⑫ Roll-out Plan'!$O$94</f>
        <v>0</v>
      </c>
      <c r="DM1035" s="9" t="n">
        <f aca="false">MIN((DM899+DM900)*$C$5,$F$14)*'⑫ Roll-out Plan'!$O$94</f>
        <v>0</v>
      </c>
      <c r="DN1035" s="9" t="n">
        <f aca="false">MIN((DN899+DN900)*$C$5,$F$14)*'⑫ Roll-out Plan'!$O$94</f>
        <v>0</v>
      </c>
      <c r="DO1035" s="9" t="n">
        <f aca="false">MIN((DO899+DO900)*$C$5,$F$14)*'⑫ Roll-out Plan'!$O$94</f>
        <v>0</v>
      </c>
      <c r="DP1035" s="9" t="n">
        <f aca="false">MIN((DP899+DP900)*$C$5,$F$14)*'⑫ Roll-out Plan'!$O$94</f>
        <v>0</v>
      </c>
      <c r="DQ1035" s="9" t="n">
        <f aca="false">MIN((DQ899+DQ900)*$C$5,$F$14)*'⑫ Roll-out Plan'!$O$94</f>
        <v>0</v>
      </c>
      <c r="DR1035" s="9" t="n">
        <f aca="false">MIN((DR899+DR900)*$C$5,$F$14)*'⑫ Roll-out Plan'!$O$94</f>
        <v>0</v>
      </c>
      <c r="DS1035" s="9" t="n">
        <f aca="false">MIN((DS899+DS900)*$C$5,$F$14)*'⑫ Roll-out Plan'!$O$94</f>
        <v>0</v>
      </c>
      <c r="DT1035" s="9" t="n">
        <f aca="false">MIN((DT899+DT900)*$C$5,$F$14)*'⑫ Roll-out Plan'!$O$94</f>
        <v>0</v>
      </c>
      <c r="DU1035" s="9" t="n">
        <f aca="false">MIN((DU899+DU900)*$C$5,$F$14)*'⑫ Roll-out Plan'!$O$94</f>
        <v>0</v>
      </c>
      <c r="DV1035" s="9" t="n">
        <f aca="false">MIN((DV899+DV900)*$C$5,$F$14)*'⑫ Roll-out Plan'!$O$94</f>
        <v>0</v>
      </c>
      <c r="DW1035" s="9" t="n">
        <f aca="false">MIN((DW899+DW900)*$C$5,$F$14)*'⑫ Roll-out Plan'!$O$94</f>
        <v>0</v>
      </c>
      <c r="DX1035" s="9" t="n">
        <f aca="false">MIN((DX899+DX900)*$C$5,$F$14)*'⑫ Roll-out Plan'!$O$94</f>
        <v>0</v>
      </c>
      <c r="DY1035" s="9" t="n">
        <f aca="false">MIN((DY899+DY900)*$C$5,$F$14)*'⑫ Roll-out Plan'!$O$94</f>
        <v>0</v>
      </c>
      <c r="DZ1035" s="9" t="n">
        <f aca="false">MIN((DZ899+DZ900)*$C$5,$F$14)*'⑫ Roll-out Plan'!$O$94</f>
        <v>0</v>
      </c>
      <c r="EA1035" s="9" t="n">
        <f aca="false">MIN((EA899+EA900)*$C$5,$F$14)*'⑫ Roll-out Plan'!$O$94</f>
        <v>0</v>
      </c>
      <c r="EB1035" s="9" t="n">
        <f aca="false">MIN((EB899+EB900)*$C$5,$F$14)*'⑫ Roll-out Plan'!$O$94</f>
        <v>0</v>
      </c>
      <c r="EC1035" s="9" t="n">
        <f aca="false">MIN((EC899+EC900)*$C$5,$F$14)*'⑫ Roll-out Plan'!$O$94</f>
        <v>0</v>
      </c>
      <c r="ED1035" s="9" t="n">
        <f aca="false">MIN((ED899+ED900)*$C$5,$F$14)*'⑫ Roll-out Plan'!$O$94</f>
        <v>0</v>
      </c>
      <c r="EE1035" s="9" t="n">
        <f aca="false">MIN((EE899+EE900)*$C$5,$F$14)*'⑫ Roll-out Plan'!$O$94</f>
        <v>0</v>
      </c>
      <c r="EF1035" s="9" t="n">
        <f aca="false">MIN((EF899+EF900)*$C$5,$F$14)*'⑫ Roll-out Plan'!$O$94</f>
        <v>0</v>
      </c>
      <c r="EG1035" s="9" t="n">
        <f aca="false">MIN((EG899+EG900)*$C$5,$F$14)*'⑫ Roll-out Plan'!$O$94</f>
        <v>0</v>
      </c>
      <c r="EH1035" s="9" t="n">
        <f aca="false">MIN((EH899+EH900)*$C$5,$F$14)*'⑫ Roll-out Plan'!$O$94</f>
        <v>0</v>
      </c>
      <c r="EI1035" s="9" t="n">
        <f aca="false">MIN((EI899+EI900)*$C$5,$F$14)*'⑫ Roll-out Plan'!$O$94</f>
        <v>0</v>
      </c>
      <c r="EJ1035" s="9" t="n">
        <f aca="false">MIN((EJ899+EJ900)*$C$5,$F$14)*'⑫ Roll-out Plan'!$O$94</f>
        <v>0</v>
      </c>
      <c r="EK1035" s="9" t="n">
        <f aca="false">MIN((EK899+EK900)*$C$5,$F$14)*'⑫ Roll-out Plan'!$O$94</f>
        <v>0</v>
      </c>
      <c r="EL1035" s="9" t="n">
        <f aca="false">MIN((EL899+EL900)*$C$5,$F$14)*'⑫ Roll-out Plan'!$O$94</f>
        <v>0</v>
      </c>
      <c r="EM1035" s="9" t="n">
        <f aca="false">MIN((EM899+EM900)*$C$5,$F$14)*'⑫ Roll-out Plan'!$O$94</f>
        <v>0</v>
      </c>
      <c r="EN1035" s="9" t="n">
        <f aca="false">MIN((EN899+EN900)*$C$5,$F$14)*'⑫ Roll-out Plan'!$O$94</f>
        <v>0</v>
      </c>
      <c r="EO1035" s="9" t="n">
        <f aca="false">MIN((EO899+EO900)*$C$5,$F$14)*'⑫ Roll-out Plan'!$O$94</f>
        <v>0</v>
      </c>
      <c r="EP1035" s="9" t="n">
        <f aca="false">MIN((EP899+EP900)*$C$5,$F$14)*'⑫ Roll-out Plan'!$O$94</f>
        <v>0</v>
      </c>
      <c r="EQ1035" s="9" t="n">
        <f aca="false">MIN((EQ899+EQ900)*$C$5,$F$14)*'⑫ Roll-out Plan'!$O$94</f>
        <v>0</v>
      </c>
      <c r="ER1035" s="9" t="n">
        <f aca="false">MIN((ER899+ER900)*$C$5,$F$14)*'⑫ Roll-out Plan'!$O$94</f>
        <v>0</v>
      </c>
      <c r="ES1035" s="9" t="n">
        <f aca="false">MIN((ES899+ES900)*$C$5,$F$14)*'⑫ Roll-out Plan'!$O$94</f>
        <v>0</v>
      </c>
      <c r="ET1035" s="9" t="n">
        <f aca="false">MIN((ET899+ET900)*$C$5,$F$14)*'⑫ Roll-out Plan'!$O$94</f>
        <v>0</v>
      </c>
      <c r="EU1035" s="9" t="n">
        <f aca="false">MIN((EU899+EU900)*$C$5,$F$14)*'⑫ Roll-out Plan'!$O$94</f>
        <v>0</v>
      </c>
      <c r="EV1035" s="9" t="n">
        <f aca="false">MIN((EV899+EV900)*$C$5,$F$14)*'⑫ Roll-out Plan'!$O$94</f>
        <v>0</v>
      </c>
      <c r="EW1035" s="9" t="n">
        <f aca="false">MIN((EW899+EW900)*$C$5,$F$14)*'⑫ Roll-out Plan'!$O$94</f>
        <v>0</v>
      </c>
      <c r="EX1035" s="9" t="n">
        <f aca="false">MIN((EX899+EX900)*$C$5,$F$14)*'⑫ Roll-out Plan'!$O$94</f>
        <v>0</v>
      </c>
      <c r="EY1035" s="9" t="n">
        <f aca="false">MIN((EY899+EY900)*$C$5,$F$14)*'⑫ Roll-out Plan'!$O$94</f>
        <v>0</v>
      </c>
      <c r="EZ1035" s="9" t="n">
        <f aca="false">MIN((EZ899+EZ900)*$C$5,$F$14)*'⑫ Roll-out Plan'!$O$94</f>
        <v>0</v>
      </c>
      <c r="FA1035" s="9" t="n">
        <f aca="false">MIN((FA899+FA900)*$C$5,$F$14)*'⑫ Roll-out Plan'!$O$94</f>
        <v>0</v>
      </c>
      <c r="FB1035" s="9" t="n">
        <f aca="false">MIN((FB899+FB900)*$C$5,$F$14)*'⑫ Roll-out Plan'!$O$94</f>
        <v>0</v>
      </c>
      <c r="FC1035" s="9" t="n">
        <f aca="false">MIN((FC899+FC900)*$C$5,$F$14)*'⑫ Roll-out Plan'!$O$94</f>
        <v>0</v>
      </c>
      <c r="FD1035" s="9" t="n">
        <f aca="false">MIN((FD899+FD900)*$C$5,$F$14)*'⑫ Roll-out Plan'!$O$94</f>
        <v>0</v>
      </c>
      <c r="FE1035" s="9" t="n">
        <f aca="false">MIN((FE899+FE900)*$C$5,$F$14)*'⑫ Roll-out Plan'!$O$94</f>
        <v>0</v>
      </c>
      <c r="FF1035" s="9" t="n">
        <f aca="false">MIN((FF899+FF900)*$C$5,$F$14)*'⑫ Roll-out Plan'!$O$94</f>
        <v>0</v>
      </c>
      <c r="FG1035" s="9" t="n">
        <f aca="false">MIN((FG899+FG900)*$C$5,$F$14)*'⑫ Roll-out Plan'!$O$94</f>
        <v>0</v>
      </c>
      <c r="FH1035" s="9" t="n">
        <f aca="false">MIN((FH899+FH900)*$C$5,$F$14)*'⑫ Roll-out Plan'!$O$94</f>
        <v>0</v>
      </c>
      <c r="FI1035" s="9" t="n">
        <f aca="false">MIN((FI899+FI900)*$C$5,$F$14)*'⑫ Roll-out Plan'!$O$94</f>
        <v>0</v>
      </c>
      <c r="FJ1035" s="9" t="n">
        <f aca="false">MIN((FJ899+FJ900)*$C$5,$F$14)*'⑫ Roll-out Plan'!$O$94</f>
        <v>0</v>
      </c>
      <c r="FK1035" s="9" t="n">
        <f aca="false">MIN((FK899+FK900)*$C$5,$F$14)*'⑫ Roll-out Plan'!$O$94</f>
        <v>0</v>
      </c>
      <c r="FL1035" s="9" t="n">
        <f aca="false">MIN((FL899+FL900)*$C$5,$F$14)*'⑫ Roll-out Plan'!$O$94</f>
        <v>0</v>
      </c>
      <c r="FM1035" s="9" t="n">
        <f aca="false">MIN((FM899+FM900)*$C$5,$F$14)*'⑫ Roll-out Plan'!$O$94</f>
        <v>0</v>
      </c>
      <c r="FN1035" s="9" t="n">
        <f aca="false">MIN((FN899+FN900)*$C$5,$F$14)*'⑫ Roll-out Plan'!$O$94</f>
        <v>5281.92</v>
      </c>
      <c r="FO1035" s="9" t="n">
        <f aca="false">MIN((FO899+FO900)*$C$5,$F$14)*'⑫ Roll-out Plan'!$O$94</f>
        <v>5033.66976</v>
      </c>
      <c r="FP1035" s="9" t="n">
        <f aca="false">MIN((FP899+FP900)*$C$5,$F$14)*'⑫ Roll-out Plan'!$O$94</f>
        <v>7385.180544</v>
      </c>
    </row>
    <row r="1036" customFormat="false" ht="15" hidden="false" customHeight="false" outlineLevel="0" collapsed="false">
      <c r="B1036" s="9" t="s">
        <v>963</v>
      </c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121" t="n">
        <f aca="false">MIN((AC909+AC910)*$C$5,$F$15)*'⑫ Roll-out Plan'!$O$95</f>
        <v>0</v>
      </c>
      <c r="AD1036" s="9" t="n">
        <f aca="false">MIN((AD909+AD910)*$C$5,$F$15)*'⑫ Roll-out Plan'!$O$95</f>
        <v>0</v>
      </c>
      <c r="AE1036" s="9" t="n">
        <f aca="false">MIN((AE909+AE910)*$C$5,$F$15)*'⑫ Roll-out Plan'!$O$95</f>
        <v>0</v>
      </c>
      <c r="AF1036" s="9" t="n">
        <f aca="false">MIN((AF909+AF910)*$C$5,$F$15)*'⑫ Roll-out Plan'!$O$95</f>
        <v>0</v>
      </c>
      <c r="AG1036" s="9" t="n">
        <f aca="false">MIN((AG909+AG910)*$C$5,$F$15)*'⑫ Roll-out Plan'!$O$95</f>
        <v>0</v>
      </c>
      <c r="AH1036" s="9" t="n">
        <f aca="false">MIN((AH909+AH910)*$C$5,$F$15)*'⑫ Roll-out Plan'!$O$95</f>
        <v>0</v>
      </c>
      <c r="AI1036" s="9" t="n">
        <f aca="false">MIN((AI909+AI910)*$C$5,$F$15)*'⑫ Roll-out Plan'!$O$95</f>
        <v>0</v>
      </c>
      <c r="AJ1036" s="9" t="n">
        <f aca="false">MIN((AJ909+AJ910)*$C$5,$F$15)*'⑫ Roll-out Plan'!$O$95</f>
        <v>0</v>
      </c>
      <c r="AK1036" s="9" t="n">
        <f aca="false">MIN((AK909+AK910)*$C$5,$F$15)*'⑫ Roll-out Plan'!$O$95</f>
        <v>0</v>
      </c>
      <c r="AL1036" s="9" t="n">
        <f aca="false">MIN((AL909+AL910)*$C$5,$F$15)*'⑫ Roll-out Plan'!$O$95</f>
        <v>0</v>
      </c>
      <c r="AM1036" s="9" t="n">
        <f aca="false">MIN((AM909+AM910)*$C$5,$F$15)*'⑫ Roll-out Plan'!$O$95</f>
        <v>0</v>
      </c>
      <c r="AN1036" s="9" t="n">
        <f aca="false">MIN((AN909+AN910)*$C$5,$F$15)*'⑫ Roll-out Plan'!$O$95</f>
        <v>0</v>
      </c>
      <c r="AO1036" s="9" t="n">
        <f aca="false">MIN((AO909+AO910)*$C$5,$F$15)*'⑫ Roll-out Plan'!$O$95</f>
        <v>0</v>
      </c>
      <c r="AP1036" s="9" t="n">
        <f aca="false">MIN((AP909+AP910)*$C$5,$F$15)*'⑫ Roll-out Plan'!$O$95</f>
        <v>0</v>
      </c>
      <c r="AQ1036" s="9" t="n">
        <f aca="false">MIN((AQ909+AQ910)*$C$5,$F$15)*'⑫ Roll-out Plan'!$O$95</f>
        <v>0</v>
      </c>
      <c r="AR1036" s="9" t="n">
        <f aca="false">MIN((AR909+AR910)*$C$5,$F$15)*'⑫ Roll-out Plan'!$O$95</f>
        <v>0</v>
      </c>
      <c r="AS1036" s="9" t="n">
        <f aca="false">MIN((AS909+AS910)*$C$5,$F$15)*'⑫ Roll-out Plan'!$O$95</f>
        <v>0</v>
      </c>
      <c r="AT1036" s="9" t="n">
        <f aca="false">MIN((AT909+AT910)*$C$5,$F$15)*'⑫ Roll-out Plan'!$O$95</f>
        <v>0</v>
      </c>
      <c r="AU1036" s="9" t="n">
        <f aca="false">MIN((AU909+AU910)*$C$5,$F$15)*'⑫ Roll-out Plan'!$O$95</f>
        <v>0</v>
      </c>
      <c r="AV1036" s="9" t="n">
        <f aca="false">MIN((AV909+AV910)*$C$5,$F$15)*'⑫ Roll-out Plan'!$O$95</f>
        <v>0</v>
      </c>
      <c r="AW1036" s="9" t="n">
        <f aca="false">MIN((AW909+AW910)*$C$5,$F$15)*'⑫ Roll-out Plan'!$O$95</f>
        <v>0</v>
      </c>
      <c r="AX1036" s="9" t="n">
        <f aca="false">MIN((AX909+AX910)*$C$5,$F$15)*'⑫ Roll-out Plan'!$O$95</f>
        <v>0</v>
      </c>
      <c r="AY1036" s="9" t="n">
        <f aca="false">MIN((AY909+AY910)*$C$5,$F$15)*'⑫ Roll-out Plan'!$O$95</f>
        <v>0</v>
      </c>
      <c r="AZ1036" s="9" t="n">
        <f aca="false">MIN((AZ909+AZ910)*$C$5,$F$15)*'⑫ Roll-out Plan'!$O$95</f>
        <v>0</v>
      </c>
      <c r="BA1036" s="9" t="n">
        <f aca="false">MIN((BA909+BA910)*$C$5,$F$15)*'⑫ Roll-out Plan'!$O$95</f>
        <v>0</v>
      </c>
      <c r="BB1036" s="9" t="n">
        <f aca="false">MIN((BB909+BB910)*$C$5,$F$15)*'⑫ Roll-out Plan'!$O$95</f>
        <v>0</v>
      </c>
      <c r="BC1036" s="9" t="n">
        <f aca="false">MIN((BC909+BC910)*$C$5,$F$15)*'⑫ Roll-out Plan'!$O$95</f>
        <v>0</v>
      </c>
      <c r="BD1036" s="9" t="n">
        <f aca="false">MIN((BD909+BD910)*$C$5,$F$15)*'⑫ Roll-out Plan'!$O$95</f>
        <v>0</v>
      </c>
      <c r="BE1036" s="9" t="n">
        <f aca="false">MIN((BE909+BE910)*$C$5,$F$15)*'⑫ Roll-out Plan'!$O$95</f>
        <v>0</v>
      </c>
      <c r="BF1036" s="9" t="n">
        <f aca="false">MIN((BF909+BF910)*$C$5,$F$15)*'⑫ Roll-out Plan'!$O$95</f>
        <v>0</v>
      </c>
      <c r="BG1036" s="9" t="n">
        <f aca="false">MIN((BG909+BG910)*$C$5,$F$15)*'⑫ Roll-out Plan'!$O$95</f>
        <v>0</v>
      </c>
      <c r="BH1036" s="9" t="n">
        <f aca="false">MIN((BH909+BH910)*$C$5,$F$15)*'⑫ Roll-out Plan'!$O$95</f>
        <v>0</v>
      </c>
      <c r="BI1036" s="9" t="n">
        <f aca="false">MIN((BI909+BI910)*$C$5,$F$15)*'⑫ Roll-out Plan'!$O$95</f>
        <v>0</v>
      </c>
      <c r="BJ1036" s="9" t="n">
        <f aca="false">MIN((BJ909+BJ910)*$C$5,$F$15)*'⑫ Roll-out Plan'!$O$95</f>
        <v>0</v>
      </c>
      <c r="BK1036" s="9" t="n">
        <f aca="false">MIN((BK909+BK910)*$C$5,$F$15)*'⑫ Roll-out Plan'!$O$95</f>
        <v>0</v>
      </c>
      <c r="BL1036" s="9" t="n">
        <f aca="false">MIN((BL909+BL910)*$C$5,$F$15)*'⑫ Roll-out Plan'!$O$95</f>
        <v>0</v>
      </c>
      <c r="BM1036" s="9" t="n">
        <f aca="false">MIN((BM909+BM910)*$C$5,$F$15)*'⑫ Roll-out Plan'!$O$95</f>
        <v>0</v>
      </c>
      <c r="BN1036" s="9" t="n">
        <f aca="false">MIN((BN909+BN910)*$C$5,$F$15)*'⑫ Roll-out Plan'!$O$95</f>
        <v>0</v>
      </c>
      <c r="BO1036" s="9" t="n">
        <f aca="false">MIN((BO909+BO910)*$C$5,$F$15)*'⑫ Roll-out Plan'!$O$95</f>
        <v>0</v>
      </c>
      <c r="BP1036" s="9" t="n">
        <f aca="false">MIN((BP909+BP910)*$C$5,$F$15)*'⑫ Roll-out Plan'!$O$95</f>
        <v>0</v>
      </c>
      <c r="BQ1036" s="9" t="n">
        <f aca="false">MIN((BQ909+BQ910)*$C$5,$F$15)*'⑫ Roll-out Plan'!$O$95</f>
        <v>0</v>
      </c>
      <c r="BR1036" s="9" t="n">
        <f aca="false">MIN((BR909+BR910)*$C$5,$F$15)*'⑫ Roll-out Plan'!$O$95</f>
        <v>0</v>
      </c>
      <c r="BS1036" s="9" t="n">
        <f aca="false">MIN((BS909+BS910)*$C$5,$F$15)*'⑫ Roll-out Plan'!$O$95</f>
        <v>0</v>
      </c>
      <c r="BT1036" s="9" t="n">
        <f aca="false">MIN((BT909+BT910)*$C$5,$F$15)*'⑫ Roll-out Plan'!$O$95</f>
        <v>0</v>
      </c>
      <c r="BU1036" s="9" t="n">
        <f aca="false">MIN((BU909+BU910)*$C$5,$F$15)*'⑫ Roll-out Plan'!$O$95</f>
        <v>0</v>
      </c>
      <c r="BV1036" s="9" t="n">
        <f aca="false">MIN((BV909+BV910)*$C$5,$F$15)*'⑫ Roll-out Plan'!$O$95</f>
        <v>0</v>
      </c>
      <c r="BW1036" s="9" t="n">
        <f aca="false">MIN((BW909+BW910)*$C$5,$F$15)*'⑫ Roll-out Plan'!$O$95</f>
        <v>0</v>
      </c>
      <c r="BX1036" s="9" t="n">
        <f aca="false">MIN((BX909+BX910)*$C$5,$F$15)*'⑫ Roll-out Plan'!$O$95</f>
        <v>0</v>
      </c>
      <c r="BY1036" s="9" t="n">
        <f aca="false">MIN((BY909+BY910)*$C$5,$F$15)*'⑫ Roll-out Plan'!$O$95</f>
        <v>0</v>
      </c>
      <c r="BZ1036" s="9" t="n">
        <f aca="false">MIN((BZ909+BZ910)*$C$5,$F$15)*'⑫ Roll-out Plan'!$O$95</f>
        <v>0</v>
      </c>
      <c r="CA1036" s="9" t="n">
        <f aca="false">MIN((CA909+CA910)*$C$5,$F$15)*'⑫ Roll-out Plan'!$O$95</f>
        <v>0</v>
      </c>
      <c r="CB1036" s="9" t="n">
        <f aca="false">MIN((CB909+CB910)*$C$5,$F$15)*'⑫ Roll-out Plan'!$O$95</f>
        <v>0</v>
      </c>
      <c r="CC1036" s="9" t="n">
        <f aca="false">MIN((CC909+CC910)*$C$5,$F$15)*'⑫ Roll-out Plan'!$O$95</f>
        <v>0</v>
      </c>
      <c r="CD1036" s="9" t="n">
        <f aca="false">MIN((CD909+CD910)*$C$5,$F$15)*'⑫ Roll-out Plan'!$O$95</f>
        <v>0</v>
      </c>
      <c r="CE1036" s="9" t="n">
        <f aca="false">MIN((CE909+CE910)*$C$5,$F$15)*'⑫ Roll-out Plan'!$O$95</f>
        <v>0</v>
      </c>
      <c r="CF1036" s="9" t="n">
        <f aca="false">MIN((CF909+CF910)*$C$5,$F$15)*'⑫ Roll-out Plan'!$O$95</f>
        <v>0</v>
      </c>
      <c r="CG1036" s="9" t="n">
        <f aca="false">MIN((CG909+CG910)*$C$5,$F$15)*'⑫ Roll-out Plan'!$O$95</f>
        <v>0</v>
      </c>
      <c r="CH1036" s="9" t="n">
        <f aca="false">MIN((CH909+CH910)*$C$5,$F$15)*'⑫ Roll-out Plan'!$O$95</f>
        <v>0</v>
      </c>
      <c r="CI1036" s="9" t="n">
        <f aca="false">MIN((CI909+CI910)*$C$5,$F$15)*'⑫ Roll-out Plan'!$O$95</f>
        <v>0</v>
      </c>
      <c r="CJ1036" s="9" t="n">
        <f aca="false">MIN((CJ909+CJ910)*$C$5,$F$15)*'⑫ Roll-out Plan'!$O$95</f>
        <v>0</v>
      </c>
      <c r="CK1036" s="9" t="n">
        <f aca="false">MIN((CK909+CK910)*$C$5,$F$15)*'⑫ Roll-out Plan'!$O$95</f>
        <v>0</v>
      </c>
      <c r="CL1036" s="9" t="n">
        <f aca="false">MIN((CL909+CL910)*$C$5,$F$15)*'⑫ Roll-out Plan'!$O$95</f>
        <v>0</v>
      </c>
      <c r="CM1036" s="9" t="n">
        <f aca="false">MIN((CM909+CM910)*$C$5,$F$15)*'⑫ Roll-out Plan'!$O$95</f>
        <v>0</v>
      </c>
      <c r="CN1036" s="9" t="n">
        <f aca="false">MIN((CN909+CN910)*$C$5,$F$15)*'⑫ Roll-out Plan'!$O$95</f>
        <v>0</v>
      </c>
      <c r="CO1036" s="9" t="n">
        <f aca="false">MIN((CO909+CO910)*$C$5,$F$15)*'⑫ Roll-out Plan'!$O$95</f>
        <v>0</v>
      </c>
      <c r="CP1036" s="9" t="n">
        <f aca="false">MIN((CP909+CP910)*$C$5,$F$15)*'⑫ Roll-out Plan'!$O$95</f>
        <v>0</v>
      </c>
      <c r="CQ1036" s="9" t="n">
        <f aca="false">MIN((CQ909+CQ910)*$C$5,$F$15)*'⑫ Roll-out Plan'!$O$95</f>
        <v>0</v>
      </c>
      <c r="CR1036" s="9" t="n">
        <f aca="false">MIN((CR909+CR910)*$C$5,$F$15)*'⑫ Roll-out Plan'!$O$95</f>
        <v>0</v>
      </c>
      <c r="CS1036" s="9" t="n">
        <f aca="false">MIN((CS909+CS910)*$C$5,$F$15)*'⑫ Roll-out Plan'!$O$95</f>
        <v>0</v>
      </c>
      <c r="CT1036" s="9" t="n">
        <f aca="false">MIN((CT909+CT910)*$C$5,$F$15)*'⑫ Roll-out Plan'!$O$95</f>
        <v>0</v>
      </c>
      <c r="CU1036" s="9" t="n">
        <f aca="false">MIN((CU909+CU910)*$C$5,$F$15)*'⑫ Roll-out Plan'!$O$95</f>
        <v>0</v>
      </c>
      <c r="CV1036" s="9" t="n">
        <f aca="false">MIN((CV909+CV910)*$C$5,$F$15)*'⑫ Roll-out Plan'!$O$95</f>
        <v>0</v>
      </c>
      <c r="CW1036" s="9" t="n">
        <f aca="false">MIN((CW909+CW910)*$C$5,$F$15)*'⑫ Roll-out Plan'!$O$95</f>
        <v>0</v>
      </c>
      <c r="CX1036" s="9" t="n">
        <f aca="false">MIN((CX909+CX910)*$C$5,$F$15)*'⑫ Roll-out Plan'!$O$95</f>
        <v>0</v>
      </c>
      <c r="CY1036" s="9" t="n">
        <f aca="false">MIN((CY909+CY910)*$C$5,$F$15)*'⑫ Roll-out Plan'!$O$95</f>
        <v>0</v>
      </c>
      <c r="CZ1036" s="9" t="n">
        <f aca="false">MIN((CZ909+CZ910)*$C$5,$F$15)*'⑫ Roll-out Plan'!$O$95</f>
        <v>0</v>
      </c>
      <c r="DA1036" s="9" t="n">
        <f aca="false">MIN((DA909+DA910)*$C$5,$F$15)*'⑫ Roll-out Plan'!$O$95</f>
        <v>0</v>
      </c>
      <c r="DB1036" s="9" t="n">
        <f aca="false">MIN((DB909+DB910)*$C$5,$F$15)*'⑫ Roll-out Plan'!$O$95</f>
        <v>0</v>
      </c>
      <c r="DC1036" s="9" t="n">
        <f aca="false">MIN((DC909+DC910)*$C$5,$F$15)*'⑫ Roll-out Plan'!$O$95</f>
        <v>0</v>
      </c>
      <c r="DD1036" s="9" t="n">
        <f aca="false">MIN((DD909+DD910)*$C$5,$F$15)*'⑫ Roll-out Plan'!$O$95</f>
        <v>0</v>
      </c>
      <c r="DE1036" s="9" t="n">
        <f aca="false">MIN((DE909+DE910)*$C$5,$F$15)*'⑫ Roll-out Plan'!$O$95</f>
        <v>0</v>
      </c>
      <c r="DF1036" s="9" t="n">
        <f aca="false">MIN((DF909+DF910)*$C$5,$F$15)*'⑫ Roll-out Plan'!$O$95</f>
        <v>0</v>
      </c>
      <c r="DG1036" s="9" t="n">
        <f aca="false">MIN((DG909+DG910)*$C$5,$F$15)*'⑫ Roll-out Plan'!$O$95</f>
        <v>0</v>
      </c>
      <c r="DH1036" s="9" t="n">
        <f aca="false">MIN((DH909+DH910)*$C$5,$F$15)*'⑫ Roll-out Plan'!$O$95</f>
        <v>0</v>
      </c>
      <c r="DI1036" s="9" t="n">
        <f aca="false">MIN((DI909+DI910)*$C$5,$F$15)*'⑫ Roll-out Plan'!$O$95</f>
        <v>0</v>
      </c>
      <c r="DJ1036" s="9" t="n">
        <f aca="false">MIN((DJ909+DJ910)*$C$5,$F$15)*'⑫ Roll-out Plan'!$O$95</f>
        <v>0</v>
      </c>
      <c r="DK1036" s="9" t="n">
        <f aca="false">MIN((DK909+DK910)*$C$5,$F$15)*'⑫ Roll-out Plan'!$O$95</f>
        <v>0</v>
      </c>
      <c r="DL1036" s="9" t="n">
        <f aca="false">MIN((DL909+DL910)*$C$5,$F$15)*'⑫ Roll-out Plan'!$O$95</f>
        <v>0</v>
      </c>
      <c r="DM1036" s="9" t="n">
        <f aca="false">MIN((DM909+DM910)*$C$5,$F$15)*'⑫ Roll-out Plan'!$O$95</f>
        <v>0</v>
      </c>
      <c r="DN1036" s="9" t="n">
        <f aca="false">MIN((DN909+DN910)*$C$5,$F$15)*'⑫ Roll-out Plan'!$O$95</f>
        <v>0</v>
      </c>
      <c r="DO1036" s="9" t="n">
        <f aca="false">MIN((DO909+DO910)*$C$5,$F$15)*'⑫ Roll-out Plan'!$O$95</f>
        <v>0</v>
      </c>
      <c r="DP1036" s="9" t="n">
        <f aca="false">MIN((DP909+DP910)*$C$5,$F$15)*'⑫ Roll-out Plan'!$O$95</f>
        <v>0</v>
      </c>
      <c r="DQ1036" s="9" t="n">
        <f aca="false">MIN((DQ909+DQ910)*$C$5,$F$15)*'⑫ Roll-out Plan'!$O$95</f>
        <v>0</v>
      </c>
      <c r="DR1036" s="9" t="n">
        <f aca="false">MIN((DR909+DR910)*$C$5,$F$15)*'⑫ Roll-out Plan'!$O$95</f>
        <v>0</v>
      </c>
      <c r="DS1036" s="9" t="n">
        <f aca="false">MIN((DS909+DS910)*$C$5,$F$15)*'⑫ Roll-out Plan'!$O$95</f>
        <v>0</v>
      </c>
      <c r="DT1036" s="9" t="n">
        <f aca="false">MIN((DT909+DT910)*$C$5,$F$15)*'⑫ Roll-out Plan'!$O$95</f>
        <v>0</v>
      </c>
      <c r="DU1036" s="9" t="n">
        <f aca="false">MIN((DU909+DU910)*$C$5,$F$15)*'⑫ Roll-out Plan'!$O$95</f>
        <v>0</v>
      </c>
      <c r="DV1036" s="9" t="n">
        <f aca="false">MIN((DV909+DV910)*$C$5,$F$15)*'⑫ Roll-out Plan'!$O$95</f>
        <v>0</v>
      </c>
      <c r="DW1036" s="9" t="n">
        <f aca="false">MIN((DW909+DW910)*$C$5,$F$15)*'⑫ Roll-out Plan'!$O$95</f>
        <v>0</v>
      </c>
      <c r="DX1036" s="9" t="n">
        <f aca="false">MIN((DX909+DX910)*$C$5,$F$15)*'⑫ Roll-out Plan'!$O$95</f>
        <v>0</v>
      </c>
      <c r="DY1036" s="9" t="n">
        <f aca="false">MIN((DY909+DY910)*$C$5,$F$15)*'⑫ Roll-out Plan'!$O$95</f>
        <v>0</v>
      </c>
      <c r="DZ1036" s="9" t="n">
        <f aca="false">MIN((DZ909+DZ910)*$C$5,$F$15)*'⑫ Roll-out Plan'!$O$95</f>
        <v>0</v>
      </c>
      <c r="EA1036" s="9" t="n">
        <f aca="false">MIN((EA909+EA910)*$C$5,$F$15)*'⑫ Roll-out Plan'!$O$95</f>
        <v>0</v>
      </c>
      <c r="EB1036" s="9" t="n">
        <f aca="false">MIN((EB909+EB910)*$C$5,$F$15)*'⑫ Roll-out Plan'!$O$95</f>
        <v>0</v>
      </c>
      <c r="EC1036" s="9" t="n">
        <f aca="false">MIN((EC909+EC910)*$C$5,$F$15)*'⑫ Roll-out Plan'!$O$95</f>
        <v>0</v>
      </c>
      <c r="ED1036" s="9" t="n">
        <f aca="false">MIN((ED909+ED910)*$C$5,$F$15)*'⑫ Roll-out Plan'!$O$95</f>
        <v>0</v>
      </c>
      <c r="EE1036" s="9" t="n">
        <f aca="false">MIN((EE909+EE910)*$C$5,$F$15)*'⑫ Roll-out Plan'!$O$95</f>
        <v>0</v>
      </c>
      <c r="EF1036" s="9" t="n">
        <f aca="false">MIN((EF909+EF910)*$C$5,$F$15)*'⑫ Roll-out Plan'!$O$95</f>
        <v>0</v>
      </c>
      <c r="EG1036" s="9" t="n">
        <f aca="false">MIN((EG909+EG910)*$C$5,$F$15)*'⑫ Roll-out Plan'!$O$95</f>
        <v>0</v>
      </c>
      <c r="EH1036" s="9" t="n">
        <f aca="false">MIN((EH909+EH910)*$C$5,$F$15)*'⑫ Roll-out Plan'!$O$95</f>
        <v>0</v>
      </c>
      <c r="EI1036" s="9" t="n">
        <f aca="false">MIN((EI909+EI910)*$C$5,$F$15)*'⑫ Roll-out Plan'!$O$95</f>
        <v>0</v>
      </c>
      <c r="EJ1036" s="9" t="n">
        <f aca="false">MIN((EJ909+EJ910)*$C$5,$F$15)*'⑫ Roll-out Plan'!$O$95</f>
        <v>0</v>
      </c>
      <c r="EK1036" s="9" t="n">
        <f aca="false">MIN((EK909+EK910)*$C$5,$F$15)*'⑫ Roll-out Plan'!$O$95</f>
        <v>0</v>
      </c>
      <c r="EL1036" s="9" t="n">
        <f aca="false">MIN((EL909+EL910)*$C$5,$F$15)*'⑫ Roll-out Plan'!$O$95</f>
        <v>0</v>
      </c>
      <c r="EM1036" s="9" t="n">
        <f aca="false">MIN((EM909+EM910)*$C$5,$F$15)*'⑫ Roll-out Plan'!$O$95</f>
        <v>0</v>
      </c>
      <c r="EN1036" s="9" t="n">
        <f aca="false">MIN((EN909+EN910)*$C$5,$F$15)*'⑫ Roll-out Plan'!$O$95</f>
        <v>0</v>
      </c>
      <c r="EO1036" s="9" t="n">
        <f aca="false">MIN((EO909+EO910)*$C$5,$F$15)*'⑫ Roll-out Plan'!$O$95</f>
        <v>0</v>
      </c>
      <c r="EP1036" s="9" t="n">
        <f aca="false">MIN((EP909+EP910)*$C$5,$F$15)*'⑫ Roll-out Plan'!$O$95</f>
        <v>0</v>
      </c>
      <c r="EQ1036" s="9" t="n">
        <f aca="false">MIN((EQ909+EQ910)*$C$5,$F$15)*'⑫ Roll-out Plan'!$O$95</f>
        <v>0</v>
      </c>
      <c r="ER1036" s="9" t="n">
        <f aca="false">MIN((ER909+ER910)*$C$5,$F$15)*'⑫ Roll-out Plan'!$O$95</f>
        <v>0</v>
      </c>
      <c r="ES1036" s="9" t="n">
        <f aca="false">MIN((ES909+ES910)*$C$5,$F$15)*'⑫ Roll-out Plan'!$O$95</f>
        <v>0</v>
      </c>
      <c r="ET1036" s="9" t="n">
        <f aca="false">MIN((ET909+ET910)*$C$5,$F$15)*'⑫ Roll-out Plan'!$O$95</f>
        <v>0</v>
      </c>
      <c r="EU1036" s="9" t="n">
        <f aca="false">MIN((EU909+EU910)*$C$5,$F$15)*'⑫ Roll-out Plan'!$O$95</f>
        <v>0</v>
      </c>
      <c r="EV1036" s="9" t="n">
        <f aca="false">MIN((EV909+EV910)*$C$5,$F$15)*'⑫ Roll-out Plan'!$O$95</f>
        <v>0</v>
      </c>
      <c r="EW1036" s="9" t="n">
        <f aca="false">MIN((EW909+EW910)*$C$5,$F$15)*'⑫ Roll-out Plan'!$O$95</f>
        <v>0</v>
      </c>
      <c r="EX1036" s="9" t="n">
        <f aca="false">MIN((EX909+EX910)*$C$5,$F$15)*'⑫ Roll-out Plan'!$O$95</f>
        <v>0</v>
      </c>
      <c r="EY1036" s="9" t="n">
        <f aca="false">MIN((EY909+EY910)*$C$5,$F$15)*'⑫ Roll-out Plan'!$O$95</f>
        <v>0</v>
      </c>
      <c r="EZ1036" s="9" t="n">
        <f aca="false">MIN((EZ909+EZ910)*$C$5,$F$15)*'⑫ Roll-out Plan'!$O$95</f>
        <v>0</v>
      </c>
      <c r="FA1036" s="9" t="n">
        <f aca="false">MIN((FA909+FA910)*$C$5,$F$15)*'⑫ Roll-out Plan'!$O$95</f>
        <v>0</v>
      </c>
      <c r="FB1036" s="9" t="n">
        <f aca="false">MIN((FB909+FB910)*$C$5,$F$15)*'⑫ Roll-out Plan'!$O$95</f>
        <v>0</v>
      </c>
      <c r="FC1036" s="9" t="n">
        <f aca="false">MIN((FC909+FC910)*$C$5,$F$15)*'⑫ Roll-out Plan'!$O$95</f>
        <v>0</v>
      </c>
      <c r="FD1036" s="9" t="n">
        <f aca="false">MIN((FD909+FD910)*$C$5,$F$15)*'⑫ Roll-out Plan'!$O$95</f>
        <v>0</v>
      </c>
      <c r="FE1036" s="9" t="n">
        <f aca="false">MIN((FE909+FE910)*$C$5,$F$15)*'⑫ Roll-out Plan'!$O$95</f>
        <v>0</v>
      </c>
      <c r="FF1036" s="9" t="n">
        <f aca="false">MIN((FF909+FF910)*$C$5,$F$15)*'⑫ Roll-out Plan'!$O$95</f>
        <v>0</v>
      </c>
      <c r="FG1036" s="9" t="n">
        <f aca="false">MIN((FG909+FG910)*$C$5,$F$15)*'⑫ Roll-out Plan'!$O$95</f>
        <v>0</v>
      </c>
      <c r="FH1036" s="9" t="n">
        <f aca="false">MIN((FH909+FH910)*$C$5,$F$15)*'⑫ Roll-out Plan'!$O$95</f>
        <v>0</v>
      </c>
      <c r="FI1036" s="9" t="n">
        <f aca="false">MIN((FI909+FI910)*$C$5,$F$15)*'⑫ Roll-out Plan'!$O$95</f>
        <v>0</v>
      </c>
      <c r="FJ1036" s="9" t="n">
        <f aca="false">MIN((FJ909+FJ910)*$C$5,$F$15)*'⑫ Roll-out Plan'!$O$95</f>
        <v>0</v>
      </c>
      <c r="FK1036" s="9" t="n">
        <f aca="false">MIN((FK909+FK910)*$C$5,$F$15)*'⑫ Roll-out Plan'!$O$95</f>
        <v>0</v>
      </c>
      <c r="FL1036" s="9" t="n">
        <f aca="false">MIN((FL909+FL910)*$C$5,$F$15)*'⑫ Roll-out Plan'!$O$95</f>
        <v>0</v>
      </c>
      <c r="FM1036" s="9" t="n">
        <f aca="false">MIN((FM909+FM910)*$C$5,$F$15)*'⑫ Roll-out Plan'!$O$95</f>
        <v>0</v>
      </c>
      <c r="FN1036" s="9" t="n">
        <f aca="false">MIN((FN909+FN910)*$C$5,$F$15)*'⑫ Roll-out Plan'!$O$95</f>
        <v>0</v>
      </c>
      <c r="FO1036" s="9" t="n">
        <f aca="false">MIN((FO909+FO910)*$C$5,$F$15)*'⑫ Roll-out Plan'!$O$95</f>
        <v>3489.84</v>
      </c>
      <c r="FP1036" s="9" t="n">
        <f aca="false">MIN((FP909+FP910)*$C$5,$F$15)*'⑫ Roll-out Plan'!$O$95</f>
        <v>5885.03352</v>
      </c>
    </row>
    <row r="1037" customFormat="false" ht="15" hidden="false" customHeight="false" outlineLevel="0" collapsed="false">
      <c r="B1037" s="9" t="s">
        <v>964</v>
      </c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121" t="n">
        <f aca="false">MIN((AC919+AC920)*$C$5,$F$16)*'⑫ Roll-out Plan'!$O$96</f>
        <v>0</v>
      </c>
      <c r="AD1037" s="9" t="n">
        <f aca="false">MIN((AD919+AD920)*$C$5,$F$16)*'⑫ Roll-out Plan'!$O$96</f>
        <v>0</v>
      </c>
      <c r="AE1037" s="9" t="n">
        <f aca="false">MIN((AE919+AE920)*$C$5,$F$16)*'⑫ Roll-out Plan'!$O$96</f>
        <v>0</v>
      </c>
      <c r="AF1037" s="9" t="n">
        <f aca="false">MIN((AF919+AF920)*$C$5,$F$16)*'⑫ Roll-out Plan'!$O$96</f>
        <v>0</v>
      </c>
      <c r="AG1037" s="9" t="n">
        <f aca="false">MIN((AG919+AG920)*$C$5,$F$16)*'⑫ Roll-out Plan'!$O$96</f>
        <v>0</v>
      </c>
      <c r="AH1037" s="9" t="n">
        <f aca="false">MIN((AH919+AH920)*$C$5,$F$16)*'⑫ Roll-out Plan'!$O$96</f>
        <v>0</v>
      </c>
      <c r="AI1037" s="9" t="n">
        <f aca="false">MIN((AI919+AI920)*$C$5,$F$16)*'⑫ Roll-out Plan'!$O$96</f>
        <v>0</v>
      </c>
      <c r="AJ1037" s="9" t="n">
        <f aca="false">MIN((AJ919+AJ920)*$C$5,$F$16)*'⑫ Roll-out Plan'!$O$96</f>
        <v>0</v>
      </c>
      <c r="AK1037" s="9" t="n">
        <f aca="false">MIN((AK919+AK920)*$C$5,$F$16)*'⑫ Roll-out Plan'!$O$96</f>
        <v>0</v>
      </c>
      <c r="AL1037" s="9" t="n">
        <f aca="false">MIN((AL919+AL920)*$C$5,$F$16)*'⑫ Roll-out Plan'!$O$96</f>
        <v>0</v>
      </c>
      <c r="AM1037" s="9" t="n">
        <f aca="false">MIN((AM919+AM920)*$C$5,$F$16)*'⑫ Roll-out Plan'!$O$96</f>
        <v>0</v>
      </c>
      <c r="AN1037" s="9" t="n">
        <f aca="false">MIN((AN919+AN920)*$C$5,$F$16)*'⑫ Roll-out Plan'!$O$96</f>
        <v>0</v>
      </c>
      <c r="AO1037" s="9" t="n">
        <f aca="false">MIN((AO919+AO920)*$C$5,$F$16)*'⑫ Roll-out Plan'!$O$96</f>
        <v>0</v>
      </c>
      <c r="AP1037" s="9" t="n">
        <f aca="false">MIN((AP919+AP920)*$C$5,$F$16)*'⑫ Roll-out Plan'!$O$96</f>
        <v>0</v>
      </c>
      <c r="AQ1037" s="9" t="n">
        <f aca="false">MIN((AQ919+AQ920)*$C$5,$F$16)*'⑫ Roll-out Plan'!$O$96</f>
        <v>0</v>
      </c>
      <c r="AR1037" s="9" t="n">
        <f aca="false">MIN((AR919+AR920)*$C$5,$F$16)*'⑫ Roll-out Plan'!$O$96</f>
        <v>0</v>
      </c>
      <c r="AS1037" s="9" t="n">
        <f aca="false">MIN((AS919+AS920)*$C$5,$F$16)*'⑫ Roll-out Plan'!$O$96</f>
        <v>0</v>
      </c>
      <c r="AT1037" s="9" t="n">
        <f aca="false">MIN((AT919+AT920)*$C$5,$F$16)*'⑫ Roll-out Plan'!$O$96</f>
        <v>0</v>
      </c>
      <c r="AU1037" s="9" t="n">
        <f aca="false">MIN((AU919+AU920)*$C$5,$F$16)*'⑫ Roll-out Plan'!$O$96</f>
        <v>0</v>
      </c>
      <c r="AV1037" s="9" t="n">
        <f aca="false">MIN((AV919+AV920)*$C$5,$F$16)*'⑫ Roll-out Plan'!$O$96</f>
        <v>0</v>
      </c>
      <c r="AW1037" s="9" t="n">
        <f aca="false">MIN((AW919+AW920)*$C$5,$F$16)*'⑫ Roll-out Plan'!$O$96</f>
        <v>0</v>
      </c>
      <c r="AX1037" s="9" t="n">
        <f aca="false">MIN((AX919+AX920)*$C$5,$F$16)*'⑫ Roll-out Plan'!$O$96</f>
        <v>0</v>
      </c>
      <c r="AY1037" s="9" t="n">
        <f aca="false">MIN((AY919+AY920)*$C$5,$F$16)*'⑫ Roll-out Plan'!$O$96</f>
        <v>0</v>
      </c>
      <c r="AZ1037" s="9" t="n">
        <f aca="false">MIN((AZ919+AZ920)*$C$5,$F$16)*'⑫ Roll-out Plan'!$O$96</f>
        <v>0</v>
      </c>
      <c r="BA1037" s="9" t="n">
        <f aca="false">MIN((BA919+BA920)*$C$5,$F$16)*'⑫ Roll-out Plan'!$O$96</f>
        <v>0</v>
      </c>
      <c r="BB1037" s="9" t="n">
        <f aca="false">MIN((BB919+BB920)*$C$5,$F$16)*'⑫ Roll-out Plan'!$O$96</f>
        <v>0</v>
      </c>
      <c r="BC1037" s="9" t="n">
        <f aca="false">MIN((BC919+BC920)*$C$5,$F$16)*'⑫ Roll-out Plan'!$O$96</f>
        <v>0</v>
      </c>
      <c r="BD1037" s="9" t="n">
        <f aca="false">MIN((BD919+BD920)*$C$5,$F$16)*'⑫ Roll-out Plan'!$O$96</f>
        <v>0</v>
      </c>
      <c r="BE1037" s="9" t="n">
        <f aca="false">MIN((BE919+BE920)*$C$5,$F$16)*'⑫ Roll-out Plan'!$O$96</f>
        <v>0</v>
      </c>
      <c r="BF1037" s="9" t="n">
        <f aca="false">MIN((BF919+BF920)*$C$5,$F$16)*'⑫ Roll-out Plan'!$O$96</f>
        <v>0</v>
      </c>
      <c r="BG1037" s="9" t="n">
        <f aca="false">MIN((BG919+BG920)*$C$5,$F$16)*'⑫ Roll-out Plan'!$O$96</f>
        <v>0</v>
      </c>
      <c r="BH1037" s="9" t="n">
        <f aca="false">MIN((BH919+BH920)*$C$5,$F$16)*'⑫ Roll-out Plan'!$O$96</f>
        <v>0</v>
      </c>
      <c r="BI1037" s="9" t="n">
        <f aca="false">MIN((BI919+BI920)*$C$5,$F$16)*'⑫ Roll-out Plan'!$O$96</f>
        <v>0</v>
      </c>
      <c r="BJ1037" s="9" t="n">
        <f aca="false">MIN((BJ919+BJ920)*$C$5,$F$16)*'⑫ Roll-out Plan'!$O$96</f>
        <v>0</v>
      </c>
      <c r="BK1037" s="9" t="n">
        <f aca="false">MIN((BK919+BK920)*$C$5,$F$16)*'⑫ Roll-out Plan'!$O$96</f>
        <v>0</v>
      </c>
      <c r="BL1037" s="9" t="n">
        <f aca="false">MIN((BL919+BL920)*$C$5,$F$16)*'⑫ Roll-out Plan'!$O$96</f>
        <v>0</v>
      </c>
      <c r="BM1037" s="9" t="n">
        <f aca="false">MIN((BM919+BM920)*$C$5,$F$16)*'⑫ Roll-out Plan'!$O$96</f>
        <v>0</v>
      </c>
      <c r="BN1037" s="9" t="n">
        <f aca="false">MIN((BN919+BN920)*$C$5,$F$16)*'⑫ Roll-out Plan'!$O$96</f>
        <v>0</v>
      </c>
      <c r="BO1037" s="9" t="n">
        <f aca="false">MIN((BO919+BO920)*$C$5,$F$16)*'⑫ Roll-out Plan'!$O$96</f>
        <v>0</v>
      </c>
      <c r="BP1037" s="9" t="n">
        <f aca="false">MIN((BP919+BP920)*$C$5,$F$16)*'⑫ Roll-out Plan'!$O$96</f>
        <v>0</v>
      </c>
      <c r="BQ1037" s="9" t="n">
        <f aca="false">MIN((BQ919+BQ920)*$C$5,$F$16)*'⑫ Roll-out Plan'!$O$96</f>
        <v>0</v>
      </c>
      <c r="BR1037" s="9" t="n">
        <f aca="false">MIN((BR919+BR920)*$C$5,$F$16)*'⑫ Roll-out Plan'!$O$96</f>
        <v>0</v>
      </c>
      <c r="BS1037" s="9" t="n">
        <f aca="false">MIN((BS919+BS920)*$C$5,$F$16)*'⑫ Roll-out Plan'!$O$96</f>
        <v>0</v>
      </c>
      <c r="BT1037" s="9" t="n">
        <f aca="false">MIN((BT919+BT920)*$C$5,$F$16)*'⑫ Roll-out Plan'!$O$96</f>
        <v>0</v>
      </c>
      <c r="BU1037" s="9" t="n">
        <f aca="false">MIN((BU919+BU920)*$C$5,$F$16)*'⑫ Roll-out Plan'!$O$96</f>
        <v>0</v>
      </c>
      <c r="BV1037" s="9" t="n">
        <f aca="false">MIN((BV919+BV920)*$C$5,$F$16)*'⑫ Roll-out Plan'!$O$96</f>
        <v>0</v>
      </c>
      <c r="BW1037" s="9" t="n">
        <f aca="false">MIN((BW919+BW920)*$C$5,$F$16)*'⑫ Roll-out Plan'!$O$96</f>
        <v>0</v>
      </c>
      <c r="BX1037" s="9" t="n">
        <f aca="false">MIN((BX919+BX920)*$C$5,$F$16)*'⑫ Roll-out Plan'!$O$96</f>
        <v>0</v>
      </c>
      <c r="BY1037" s="9" t="n">
        <f aca="false">MIN((BY919+BY920)*$C$5,$F$16)*'⑫ Roll-out Plan'!$O$96</f>
        <v>0</v>
      </c>
      <c r="BZ1037" s="9" t="n">
        <f aca="false">MIN((BZ919+BZ920)*$C$5,$F$16)*'⑫ Roll-out Plan'!$O$96</f>
        <v>0</v>
      </c>
      <c r="CA1037" s="9" t="n">
        <f aca="false">MIN((CA919+CA920)*$C$5,$F$16)*'⑫ Roll-out Plan'!$O$96</f>
        <v>0</v>
      </c>
      <c r="CB1037" s="9" t="n">
        <f aca="false">MIN((CB919+CB920)*$C$5,$F$16)*'⑫ Roll-out Plan'!$O$96</f>
        <v>0</v>
      </c>
      <c r="CC1037" s="9" t="n">
        <f aca="false">MIN((CC919+CC920)*$C$5,$F$16)*'⑫ Roll-out Plan'!$O$96</f>
        <v>0</v>
      </c>
      <c r="CD1037" s="9" t="n">
        <f aca="false">MIN((CD919+CD920)*$C$5,$F$16)*'⑫ Roll-out Plan'!$O$96</f>
        <v>0</v>
      </c>
      <c r="CE1037" s="9" t="n">
        <f aca="false">MIN((CE919+CE920)*$C$5,$F$16)*'⑫ Roll-out Plan'!$O$96</f>
        <v>0</v>
      </c>
      <c r="CF1037" s="9" t="n">
        <f aca="false">MIN((CF919+CF920)*$C$5,$F$16)*'⑫ Roll-out Plan'!$O$96</f>
        <v>0</v>
      </c>
      <c r="CG1037" s="9" t="n">
        <f aca="false">MIN((CG919+CG920)*$C$5,$F$16)*'⑫ Roll-out Plan'!$O$96</f>
        <v>0</v>
      </c>
      <c r="CH1037" s="9" t="n">
        <f aca="false">MIN((CH919+CH920)*$C$5,$F$16)*'⑫ Roll-out Plan'!$O$96</f>
        <v>0</v>
      </c>
      <c r="CI1037" s="9" t="n">
        <f aca="false">MIN((CI919+CI920)*$C$5,$F$16)*'⑫ Roll-out Plan'!$O$96</f>
        <v>0</v>
      </c>
      <c r="CJ1037" s="9" t="n">
        <f aca="false">MIN((CJ919+CJ920)*$C$5,$F$16)*'⑫ Roll-out Plan'!$O$96</f>
        <v>0</v>
      </c>
      <c r="CK1037" s="9" t="n">
        <f aca="false">MIN((CK919+CK920)*$C$5,$F$16)*'⑫ Roll-out Plan'!$O$96</f>
        <v>0</v>
      </c>
      <c r="CL1037" s="9" t="n">
        <f aca="false">MIN((CL919+CL920)*$C$5,$F$16)*'⑫ Roll-out Plan'!$O$96</f>
        <v>0</v>
      </c>
      <c r="CM1037" s="9" t="n">
        <f aca="false">MIN((CM919+CM920)*$C$5,$F$16)*'⑫ Roll-out Plan'!$O$96</f>
        <v>0</v>
      </c>
      <c r="CN1037" s="9" t="n">
        <f aca="false">MIN((CN919+CN920)*$C$5,$F$16)*'⑫ Roll-out Plan'!$O$96</f>
        <v>0</v>
      </c>
      <c r="CO1037" s="9" t="n">
        <f aca="false">MIN((CO919+CO920)*$C$5,$F$16)*'⑫ Roll-out Plan'!$O$96</f>
        <v>0</v>
      </c>
      <c r="CP1037" s="9" t="n">
        <f aca="false">MIN((CP919+CP920)*$C$5,$F$16)*'⑫ Roll-out Plan'!$O$96</f>
        <v>0</v>
      </c>
      <c r="CQ1037" s="9" t="n">
        <f aca="false">MIN((CQ919+CQ920)*$C$5,$F$16)*'⑫ Roll-out Plan'!$O$96</f>
        <v>0</v>
      </c>
      <c r="CR1037" s="9" t="n">
        <f aca="false">MIN((CR919+CR920)*$C$5,$F$16)*'⑫ Roll-out Plan'!$O$96</f>
        <v>0</v>
      </c>
      <c r="CS1037" s="9" t="n">
        <f aca="false">MIN((CS919+CS920)*$C$5,$F$16)*'⑫ Roll-out Plan'!$O$96</f>
        <v>0</v>
      </c>
      <c r="CT1037" s="9" t="n">
        <f aca="false">MIN((CT919+CT920)*$C$5,$F$16)*'⑫ Roll-out Plan'!$O$96</f>
        <v>0</v>
      </c>
      <c r="CU1037" s="9" t="n">
        <f aca="false">MIN((CU919+CU920)*$C$5,$F$16)*'⑫ Roll-out Plan'!$O$96</f>
        <v>0</v>
      </c>
      <c r="CV1037" s="9" t="n">
        <f aca="false">MIN((CV919+CV920)*$C$5,$F$16)*'⑫ Roll-out Plan'!$O$96</f>
        <v>0</v>
      </c>
      <c r="CW1037" s="9" t="n">
        <f aca="false">MIN((CW919+CW920)*$C$5,$F$16)*'⑫ Roll-out Plan'!$O$96</f>
        <v>0</v>
      </c>
      <c r="CX1037" s="9" t="n">
        <f aca="false">MIN((CX919+CX920)*$C$5,$F$16)*'⑫ Roll-out Plan'!$O$96</f>
        <v>0</v>
      </c>
      <c r="CY1037" s="9" t="n">
        <f aca="false">MIN((CY919+CY920)*$C$5,$F$16)*'⑫ Roll-out Plan'!$O$96</f>
        <v>0</v>
      </c>
      <c r="CZ1037" s="9" t="n">
        <f aca="false">MIN((CZ919+CZ920)*$C$5,$F$16)*'⑫ Roll-out Plan'!$O$96</f>
        <v>0</v>
      </c>
      <c r="DA1037" s="9" t="n">
        <f aca="false">MIN((DA919+DA920)*$C$5,$F$16)*'⑫ Roll-out Plan'!$O$96</f>
        <v>0</v>
      </c>
      <c r="DB1037" s="9" t="n">
        <f aca="false">MIN((DB919+DB920)*$C$5,$F$16)*'⑫ Roll-out Plan'!$O$96</f>
        <v>0</v>
      </c>
      <c r="DC1037" s="9" t="n">
        <f aca="false">MIN((DC919+DC920)*$C$5,$F$16)*'⑫ Roll-out Plan'!$O$96</f>
        <v>0</v>
      </c>
      <c r="DD1037" s="9" t="n">
        <f aca="false">MIN((DD919+DD920)*$C$5,$F$16)*'⑫ Roll-out Plan'!$O$96</f>
        <v>0</v>
      </c>
      <c r="DE1037" s="9" t="n">
        <f aca="false">MIN((DE919+DE920)*$C$5,$F$16)*'⑫ Roll-out Plan'!$O$96</f>
        <v>0</v>
      </c>
      <c r="DF1037" s="9" t="n">
        <f aca="false">MIN((DF919+DF920)*$C$5,$F$16)*'⑫ Roll-out Plan'!$O$96</f>
        <v>0</v>
      </c>
      <c r="DG1037" s="9" t="n">
        <f aca="false">MIN((DG919+DG920)*$C$5,$F$16)*'⑫ Roll-out Plan'!$O$96</f>
        <v>0</v>
      </c>
      <c r="DH1037" s="9" t="n">
        <f aca="false">MIN((DH919+DH920)*$C$5,$F$16)*'⑫ Roll-out Plan'!$O$96</f>
        <v>0</v>
      </c>
      <c r="DI1037" s="9" t="n">
        <f aca="false">MIN((DI919+DI920)*$C$5,$F$16)*'⑫ Roll-out Plan'!$O$96</f>
        <v>0</v>
      </c>
      <c r="DJ1037" s="9" t="n">
        <f aca="false">MIN((DJ919+DJ920)*$C$5,$F$16)*'⑫ Roll-out Plan'!$O$96</f>
        <v>0</v>
      </c>
      <c r="DK1037" s="9" t="n">
        <f aca="false">MIN((DK919+DK920)*$C$5,$F$16)*'⑫ Roll-out Plan'!$O$96</f>
        <v>0</v>
      </c>
      <c r="DL1037" s="9" t="n">
        <f aca="false">MIN((DL919+DL920)*$C$5,$F$16)*'⑫ Roll-out Plan'!$O$96</f>
        <v>0</v>
      </c>
      <c r="DM1037" s="9" t="n">
        <f aca="false">MIN((DM919+DM920)*$C$5,$F$16)*'⑫ Roll-out Plan'!$O$96</f>
        <v>0</v>
      </c>
      <c r="DN1037" s="9" t="n">
        <f aca="false">MIN((DN919+DN920)*$C$5,$F$16)*'⑫ Roll-out Plan'!$O$96</f>
        <v>0</v>
      </c>
      <c r="DO1037" s="9" t="n">
        <f aca="false">MIN((DO919+DO920)*$C$5,$F$16)*'⑫ Roll-out Plan'!$O$96</f>
        <v>0</v>
      </c>
      <c r="DP1037" s="9" t="n">
        <f aca="false">MIN((DP919+DP920)*$C$5,$F$16)*'⑫ Roll-out Plan'!$O$96</f>
        <v>0</v>
      </c>
      <c r="DQ1037" s="9" t="n">
        <f aca="false">MIN((DQ919+DQ920)*$C$5,$F$16)*'⑫ Roll-out Plan'!$O$96</f>
        <v>0</v>
      </c>
      <c r="DR1037" s="9" t="n">
        <f aca="false">MIN((DR919+DR920)*$C$5,$F$16)*'⑫ Roll-out Plan'!$O$96</f>
        <v>0</v>
      </c>
      <c r="DS1037" s="9" t="n">
        <f aca="false">MIN((DS919+DS920)*$C$5,$F$16)*'⑫ Roll-out Plan'!$O$96</f>
        <v>0</v>
      </c>
      <c r="DT1037" s="9" t="n">
        <f aca="false">MIN((DT919+DT920)*$C$5,$F$16)*'⑫ Roll-out Plan'!$O$96</f>
        <v>0</v>
      </c>
      <c r="DU1037" s="9" t="n">
        <f aca="false">MIN((DU919+DU920)*$C$5,$F$16)*'⑫ Roll-out Plan'!$O$96</f>
        <v>0</v>
      </c>
      <c r="DV1037" s="9" t="n">
        <f aca="false">MIN((DV919+DV920)*$C$5,$F$16)*'⑫ Roll-out Plan'!$O$96</f>
        <v>0</v>
      </c>
      <c r="DW1037" s="9" t="n">
        <f aca="false">MIN((DW919+DW920)*$C$5,$F$16)*'⑫ Roll-out Plan'!$O$96</f>
        <v>0</v>
      </c>
      <c r="DX1037" s="9" t="n">
        <f aca="false">MIN((DX919+DX920)*$C$5,$F$16)*'⑫ Roll-out Plan'!$O$96</f>
        <v>0</v>
      </c>
      <c r="DY1037" s="9" t="n">
        <f aca="false">MIN((DY919+DY920)*$C$5,$F$16)*'⑫ Roll-out Plan'!$O$96</f>
        <v>0</v>
      </c>
      <c r="DZ1037" s="9" t="n">
        <f aca="false">MIN((DZ919+DZ920)*$C$5,$F$16)*'⑫ Roll-out Plan'!$O$96</f>
        <v>0</v>
      </c>
      <c r="EA1037" s="9" t="n">
        <f aca="false">MIN((EA919+EA920)*$C$5,$F$16)*'⑫ Roll-out Plan'!$O$96</f>
        <v>0</v>
      </c>
      <c r="EB1037" s="9" t="n">
        <f aca="false">MIN((EB919+EB920)*$C$5,$F$16)*'⑫ Roll-out Plan'!$O$96</f>
        <v>0</v>
      </c>
      <c r="EC1037" s="9" t="n">
        <f aca="false">MIN((EC919+EC920)*$C$5,$F$16)*'⑫ Roll-out Plan'!$O$96</f>
        <v>0</v>
      </c>
      <c r="ED1037" s="9" t="n">
        <f aca="false">MIN((ED919+ED920)*$C$5,$F$16)*'⑫ Roll-out Plan'!$O$96</f>
        <v>0</v>
      </c>
      <c r="EE1037" s="9" t="n">
        <f aca="false">MIN((EE919+EE920)*$C$5,$F$16)*'⑫ Roll-out Plan'!$O$96</f>
        <v>0</v>
      </c>
      <c r="EF1037" s="9" t="n">
        <f aca="false">MIN((EF919+EF920)*$C$5,$F$16)*'⑫ Roll-out Plan'!$O$96</f>
        <v>0</v>
      </c>
      <c r="EG1037" s="9" t="n">
        <f aca="false">MIN((EG919+EG920)*$C$5,$F$16)*'⑫ Roll-out Plan'!$O$96</f>
        <v>0</v>
      </c>
      <c r="EH1037" s="9" t="n">
        <f aca="false">MIN((EH919+EH920)*$C$5,$F$16)*'⑫ Roll-out Plan'!$O$96</f>
        <v>0</v>
      </c>
      <c r="EI1037" s="9" t="n">
        <f aca="false">MIN((EI919+EI920)*$C$5,$F$16)*'⑫ Roll-out Plan'!$O$96</f>
        <v>0</v>
      </c>
      <c r="EJ1037" s="9" t="n">
        <f aca="false">MIN((EJ919+EJ920)*$C$5,$F$16)*'⑫ Roll-out Plan'!$O$96</f>
        <v>0</v>
      </c>
      <c r="EK1037" s="9" t="n">
        <f aca="false">MIN((EK919+EK920)*$C$5,$F$16)*'⑫ Roll-out Plan'!$O$96</f>
        <v>0</v>
      </c>
      <c r="EL1037" s="9" t="n">
        <f aca="false">MIN((EL919+EL920)*$C$5,$F$16)*'⑫ Roll-out Plan'!$O$96</f>
        <v>0</v>
      </c>
      <c r="EM1037" s="9" t="n">
        <f aca="false">MIN((EM919+EM920)*$C$5,$F$16)*'⑫ Roll-out Plan'!$O$96</f>
        <v>0</v>
      </c>
      <c r="EN1037" s="9" t="n">
        <f aca="false">MIN((EN919+EN920)*$C$5,$F$16)*'⑫ Roll-out Plan'!$O$96</f>
        <v>0</v>
      </c>
      <c r="EO1037" s="9" t="n">
        <f aca="false">MIN((EO919+EO920)*$C$5,$F$16)*'⑫ Roll-out Plan'!$O$96</f>
        <v>0</v>
      </c>
      <c r="EP1037" s="9" t="n">
        <f aca="false">MIN((EP919+EP920)*$C$5,$F$16)*'⑫ Roll-out Plan'!$O$96</f>
        <v>0</v>
      </c>
      <c r="EQ1037" s="9" t="n">
        <f aca="false">MIN((EQ919+EQ920)*$C$5,$F$16)*'⑫ Roll-out Plan'!$O$96</f>
        <v>0</v>
      </c>
      <c r="ER1037" s="9" t="n">
        <f aca="false">MIN((ER919+ER920)*$C$5,$F$16)*'⑫ Roll-out Plan'!$O$96</f>
        <v>0</v>
      </c>
      <c r="ES1037" s="9" t="n">
        <f aca="false">MIN((ES919+ES920)*$C$5,$F$16)*'⑫ Roll-out Plan'!$O$96</f>
        <v>0</v>
      </c>
      <c r="ET1037" s="9" t="n">
        <f aca="false">MIN((ET919+ET920)*$C$5,$F$16)*'⑫ Roll-out Plan'!$O$96</f>
        <v>0</v>
      </c>
      <c r="EU1037" s="9" t="n">
        <f aca="false">MIN((EU919+EU920)*$C$5,$F$16)*'⑫ Roll-out Plan'!$O$96</f>
        <v>0</v>
      </c>
      <c r="EV1037" s="9" t="n">
        <f aca="false">MIN((EV919+EV920)*$C$5,$F$16)*'⑫ Roll-out Plan'!$O$96</f>
        <v>0</v>
      </c>
      <c r="EW1037" s="9" t="n">
        <f aca="false">MIN((EW919+EW920)*$C$5,$F$16)*'⑫ Roll-out Plan'!$O$96</f>
        <v>0</v>
      </c>
      <c r="EX1037" s="9" t="n">
        <f aca="false">MIN((EX919+EX920)*$C$5,$F$16)*'⑫ Roll-out Plan'!$O$96</f>
        <v>0</v>
      </c>
      <c r="EY1037" s="9" t="n">
        <f aca="false">MIN((EY919+EY920)*$C$5,$F$16)*'⑫ Roll-out Plan'!$O$96</f>
        <v>0</v>
      </c>
      <c r="EZ1037" s="9" t="n">
        <f aca="false">MIN((EZ919+EZ920)*$C$5,$F$16)*'⑫ Roll-out Plan'!$O$96</f>
        <v>0</v>
      </c>
      <c r="FA1037" s="9" t="n">
        <f aca="false">MIN((FA919+FA920)*$C$5,$F$16)*'⑫ Roll-out Plan'!$O$96</f>
        <v>0</v>
      </c>
      <c r="FB1037" s="9" t="n">
        <f aca="false">MIN((FB919+FB920)*$C$5,$F$16)*'⑫ Roll-out Plan'!$O$96</f>
        <v>0</v>
      </c>
      <c r="FC1037" s="9" t="n">
        <f aca="false">MIN((FC919+FC920)*$C$5,$F$16)*'⑫ Roll-out Plan'!$O$96</f>
        <v>0</v>
      </c>
      <c r="FD1037" s="9" t="n">
        <f aca="false">MIN((FD919+FD920)*$C$5,$F$16)*'⑫ Roll-out Plan'!$O$96</f>
        <v>0</v>
      </c>
      <c r="FE1037" s="9" t="n">
        <f aca="false">MIN((FE919+FE920)*$C$5,$F$16)*'⑫ Roll-out Plan'!$O$96</f>
        <v>0</v>
      </c>
      <c r="FF1037" s="9" t="n">
        <f aca="false">MIN((FF919+FF920)*$C$5,$F$16)*'⑫ Roll-out Plan'!$O$96</f>
        <v>0</v>
      </c>
      <c r="FG1037" s="9" t="n">
        <f aca="false">MIN((FG919+FG920)*$C$5,$F$16)*'⑫ Roll-out Plan'!$O$96</f>
        <v>0</v>
      </c>
      <c r="FH1037" s="9" t="n">
        <f aca="false">MIN((FH919+FH920)*$C$5,$F$16)*'⑫ Roll-out Plan'!$O$96</f>
        <v>0</v>
      </c>
      <c r="FI1037" s="9" t="n">
        <f aca="false">MIN((FI919+FI920)*$C$5,$F$16)*'⑫ Roll-out Plan'!$O$96</f>
        <v>0</v>
      </c>
      <c r="FJ1037" s="9" t="n">
        <f aca="false">MIN((FJ919+FJ920)*$C$5,$F$16)*'⑫ Roll-out Plan'!$O$96</f>
        <v>0</v>
      </c>
      <c r="FK1037" s="9" t="n">
        <f aca="false">MIN((FK919+FK920)*$C$5,$F$16)*'⑫ Roll-out Plan'!$O$96</f>
        <v>0</v>
      </c>
      <c r="FL1037" s="9" t="n">
        <f aca="false">MIN((FL919+FL920)*$C$5,$F$16)*'⑫ Roll-out Plan'!$O$96</f>
        <v>0</v>
      </c>
      <c r="FM1037" s="9" t="n">
        <f aca="false">MIN((FM919+FM920)*$C$5,$F$16)*'⑫ Roll-out Plan'!$O$96</f>
        <v>0</v>
      </c>
      <c r="FN1037" s="9" t="n">
        <f aca="false">MIN((FN919+FN920)*$C$5,$F$16)*'⑫ Roll-out Plan'!$O$96</f>
        <v>0</v>
      </c>
      <c r="FO1037" s="9" t="n">
        <f aca="false">MIN((FO919+FO920)*$C$5,$F$16)*'⑫ Roll-out Plan'!$O$96</f>
        <v>0</v>
      </c>
      <c r="FP1037" s="9" t="n">
        <f aca="false">MIN((FP919+FP920)*$C$5,$F$16)*'⑫ Roll-out Plan'!$O$96</f>
        <v>2939.64</v>
      </c>
    </row>
    <row r="1038" customFormat="false" ht="15.75" hidden="false" customHeight="true" outlineLevel="0" collapsed="false">
      <c r="B1038" s="183" t="s">
        <v>1024</v>
      </c>
      <c r="C1038" s="183"/>
      <c r="D1038" s="183"/>
      <c r="E1038" s="183"/>
      <c r="F1038" s="183"/>
      <c r="G1038" s="183"/>
      <c r="H1038" s="183"/>
      <c r="I1038" s="183"/>
      <c r="J1038" s="183"/>
      <c r="K1038" s="183"/>
      <c r="L1038" s="183"/>
      <c r="M1038" s="183"/>
      <c r="N1038" s="183"/>
      <c r="O1038" s="183"/>
      <c r="P1038" s="183"/>
      <c r="Q1038" s="183"/>
      <c r="R1038" s="183"/>
      <c r="S1038" s="183"/>
      <c r="T1038" s="183"/>
      <c r="U1038" s="183"/>
      <c r="V1038" s="183"/>
      <c r="W1038" s="183"/>
      <c r="X1038" s="183"/>
      <c r="Y1038" s="183"/>
      <c r="Z1038" s="183"/>
      <c r="AA1038" s="183"/>
      <c r="AB1038" s="183"/>
      <c r="AC1038" s="184" t="n">
        <f aca="false">SUM(AC950:AC1037)</f>
        <v>5942.16</v>
      </c>
      <c r="AD1038" s="184" t="n">
        <f aca="false">SUM(AD950:AD1037)</f>
        <v>7334.70048</v>
      </c>
      <c r="AE1038" s="184" t="n">
        <f aca="false">SUM(AE950:AE1037)</f>
        <v>11112.191328</v>
      </c>
      <c r="AF1038" s="184" t="n">
        <f aca="false">SUM(AF950:AF1037)</f>
        <v>12314.3424864</v>
      </c>
      <c r="AG1038" s="184" t="n">
        <f aca="false">SUM(AG950:AG1037)</f>
        <v>15513.32392</v>
      </c>
      <c r="AH1038" s="184" t="n">
        <f aca="false">SUM(AH950:AH1037)</f>
        <v>15526.2621088</v>
      </c>
      <c r="AI1038" s="184" t="n">
        <f aca="false">SUM(AI950:AI1037)</f>
        <v>17927.616192</v>
      </c>
      <c r="AJ1038" s="184" t="n">
        <f aca="false">SUM(AJ950:AJ1037)</f>
        <v>32300.0059872</v>
      </c>
      <c r="AK1038" s="184" t="n">
        <f aca="false">SUM(AK950:AK1037)</f>
        <v>30871.684272</v>
      </c>
      <c r="AL1038" s="184" t="n">
        <f aca="false">SUM(AL950:AL1037)</f>
        <v>27789.7975552</v>
      </c>
      <c r="AM1038" s="184" t="n">
        <f aca="false">SUM(AM950:AM1037)</f>
        <v>23567.002704</v>
      </c>
      <c r="AN1038" s="184" t="n">
        <f aca="false">SUM(AN950:AN1037)</f>
        <v>39132.7138384</v>
      </c>
      <c r="AO1038" s="184" t="n">
        <f aca="false">SUM(AO950:AO1037)</f>
        <v>46921.6529408</v>
      </c>
      <c r="AP1038" s="184" t="n">
        <f aca="false">SUM(AP950:AP1037)</f>
        <v>40120.0270928</v>
      </c>
      <c r="AQ1038" s="184" t="n">
        <f aca="false">SUM(AQ950:AQ1037)</f>
        <v>55809.5124768</v>
      </c>
      <c r="AR1038" s="184" t="n">
        <f aca="false">SUM(AR950:AR1037)</f>
        <v>61526.8135968</v>
      </c>
      <c r="AS1038" s="184" t="n">
        <f aca="false">SUM(AS950:AS1037)</f>
        <v>58372.0535712</v>
      </c>
      <c r="AT1038" s="184" t="n">
        <f aca="false">SUM(AT950:AT1037)</f>
        <v>55304.7162384</v>
      </c>
      <c r="AU1038" s="184" t="n">
        <f aca="false">SUM(AU950:AU1037)</f>
        <v>59481.94455264</v>
      </c>
      <c r="AV1038" s="184" t="n">
        <f aca="false">SUM(AV950:AV1037)</f>
        <v>94836.574232</v>
      </c>
      <c r="AW1038" s="184" t="n">
        <f aca="false">SUM(AW950:AW1037)</f>
        <v>91413.4335632</v>
      </c>
      <c r="AX1038" s="184" t="n">
        <f aca="false">SUM(AX950:AX1037)</f>
        <v>82844.27868352</v>
      </c>
      <c r="AY1038" s="184" t="n">
        <f aca="false">SUM(AY950:AY1037)</f>
        <v>68583.30461888</v>
      </c>
      <c r="AZ1038" s="184" t="n">
        <f aca="false">SUM(AZ950:AZ1037)</f>
        <v>90375.17558936</v>
      </c>
      <c r="BA1038" s="184" t="n">
        <f aca="false">SUM(BA950:BA1037)</f>
        <v>101838.3052262</v>
      </c>
      <c r="BB1038" s="184" t="n">
        <f aca="false">SUM(BB950:BB1037)</f>
        <v>94146.97744272</v>
      </c>
      <c r="BC1038" s="184" t="n">
        <f aca="false">SUM(BC950:BC1037)</f>
        <v>124803.8011514</v>
      </c>
      <c r="BD1038" s="184" t="n">
        <f aca="false">SUM(BD950:BD1037)</f>
        <v>134930.6999786</v>
      </c>
      <c r="BE1038" s="184" t="n">
        <f aca="false">SUM(BE950:BE1037)</f>
        <v>129568.87366756</v>
      </c>
      <c r="BF1038" s="184" t="n">
        <f aca="false">SUM(BF950:BF1037)</f>
        <v>129246.6617042</v>
      </c>
      <c r="BG1038" s="184" t="n">
        <f aca="false">SUM(BG950:BG1037)</f>
        <v>135950.73837444</v>
      </c>
      <c r="BH1038" s="184" t="n">
        <f aca="false">SUM(BH950:BH1037)</f>
        <v>183135.1102528</v>
      </c>
      <c r="BI1038" s="184" t="n">
        <f aca="false">SUM(BI950:BI1037)</f>
        <v>182534.7169216</v>
      </c>
      <c r="BJ1038" s="184" t="n">
        <f aca="false">SUM(BJ950:BJ1037)</f>
        <v>179624.3469172</v>
      </c>
      <c r="BK1038" s="184" t="n">
        <f aca="false">SUM(BK950:BK1037)</f>
        <v>162246.05568268</v>
      </c>
      <c r="BL1038" s="184" t="n">
        <f aca="false">SUM(BL950:BL1037)</f>
        <v>196113.12804664</v>
      </c>
      <c r="BM1038" s="184" t="n">
        <f aca="false">SUM(BM950:BM1037)</f>
        <v>211021.8637376</v>
      </c>
      <c r="BN1038" s="184" t="n">
        <f aca="false">SUM(BN950:BN1037)</f>
        <v>195919.65010136</v>
      </c>
      <c r="BO1038" s="184" t="n">
        <f aca="false">SUM(BO950:BO1037)</f>
        <v>238734.7267744</v>
      </c>
      <c r="BP1038" s="184" t="n">
        <f aca="false">SUM(BP950:BP1037)</f>
        <v>250166.002872</v>
      </c>
      <c r="BQ1038" s="184" t="n">
        <f aca="false">SUM(BQ950:BQ1037)</f>
        <v>246074.7372608</v>
      </c>
      <c r="BR1038" s="184" t="n">
        <f aca="false">SUM(BR950:BR1037)</f>
        <v>241166.2087616</v>
      </c>
      <c r="BS1038" s="184" t="n">
        <f aca="false">SUM(BS950:BS1037)</f>
        <v>258980.26280376</v>
      </c>
      <c r="BT1038" s="184" t="n">
        <f aca="false">SUM(BT950:BT1037)</f>
        <v>338676.0527744</v>
      </c>
      <c r="BU1038" s="184" t="n">
        <f aca="false">SUM(BU950:BU1037)</f>
        <v>346813.25182432</v>
      </c>
      <c r="BV1038" s="184" t="n">
        <f aca="false">SUM(BV950:BV1037)</f>
        <v>328999.02783992</v>
      </c>
      <c r="BW1038" s="184" t="n">
        <f aca="false">SUM(BW950:BW1037)</f>
        <v>299115.1018622</v>
      </c>
      <c r="BX1038" s="184" t="n">
        <f aca="false">SUM(BX950:BX1037)</f>
        <v>365044.60036144</v>
      </c>
      <c r="BY1038" s="184" t="n">
        <f aca="false">SUM(BY950:BY1037)</f>
        <v>394362.94464536</v>
      </c>
      <c r="BZ1038" s="184" t="n">
        <f aca="false">SUM(BZ950:BZ1037)</f>
        <v>361904.58821772</v>
      </c>
      <c r="CA1038" s="184" t="n">
        <f aca="false">SUM(CA950:CA1037)</f>
        <v>425025.71749504</v>
      </c>
      <c r="CB1038" s="184" t="n">
        <f aca="false">SUM(CB950:CB1037)</f>
        <v>432405.5206672</v>
      </c>
      <c r="CC1038" s="184" t="n">
        <f aca="false">SUM(CC950:CC1037)</f>
        <v>416356.1464452</v>
      </c>
      <c r="CD1038" s="184" t="n">
        <f aca="false">SUM(CD950:CD1037)</f>
        <v>401806.9179528</v>
      </c>
      <c r="CE1038" s="184" t="n">
        <f aca="false">SUM(CE950:CE1037)</f>
        <v>418226.88043816</v>
      </c>
      <c r="CF1038" s="184" t="n">
        <f aca="false">SUM(CF950:CF1037)</f>
        <v>501466.57152</v>
      </c>
      <c r="CG1038" s="184" t="n">
        <f aca="false">SUM(CG950:CG1037)</f>
        <v>494426.6981728</v>
      </c>
      <c r="CH1038" s="184" t="n">
        <f aca="false">SUM(CH950:CH1037)</f>
        <v>484791.87324952</v>
      </c>
      <c r="CI1038" s="184" t="n">
        <f aca="false">SUM(CI950:CI1037)</f>
        <v>446419.12567144</v>
      </c>
      <c r="CJ1038" s="184" t="n">
        <f aca="false">SUM(CJ950:CJ1037)</f>
        <v>505932.68910528</v>
      </c>
      <c r="CK1038" s="184" t="n">
        <f aca="false">SUM(CK950:CK1037)</f>
        <v>527060.1056352</v>
      </c>
      <c r="CL1038" s="184" t="n">
        <f aca="false">SUM(CL950:CL1037)</f>
        <v>510993.38977888</v>
      </c>
      <c r="CM1038" s="184" t="n">
        <f aca="false">SUM(CM950:CM1037)</f>
        <v>557500.01732224</v>
      </c>
      <c r="CN1038" s="184" t="n">
        <f aca="false">SUM(CN950:CN1037)</f>
        <v>565242.25825728</v>
      </c>
      <c r="CO1038" s="184" t="n">
        <f aca="false">SUM(CO950:CO1037)</f>
        <v>553330.03960268</v>
      </c>
      <c r="CP1038" s="184" t="n">
        <f aca="false">SUM(CP950:CP1037)</f>
        <v>546127.10429656</v>
      </c>
      <c r="CQ1038" s="184" t="n">
        <f aca="false">SUM(CQ950:CQ1037)</f>
        <v>557019.73168976</v>
      </c>
      <c r="CR1038" s="184" t="n">
        <f aca="false">SUM(CR950:CR1037)</f>
        <v>603245.7730016</v>
      </c>
      <c r="CS1038" s="184" t="n">
        <f aca="false">SUM(CS950:CS1037)</f>
        <v>602002.5486272</v>
      </c>
      <c r="CT1038" s="184" t="n">
        <f aca="false">SUM(CT950:CT1037)</f>
        <v>594959.35653136</v>
      </c>
      <c r="CU1038" s="184" t="n">
        <f aca="false">SUM(CU950:CU1037)</f>
        <v>572847.6531144</v>
      </c>
      <c r="CV1038" s="184" t="n">
        <f aca="false">SUM(CV950:CV1037)</f>
        <v>607035.9238992</v>
      </c>
      <c r="CW1038" s="184" t="n">
        <f aca="false">SUM(CW950:CW1037)</f>
        <v>622035.65722592</v>
      </c>
      <c r="CX1038" s="184" t="n">
        <f aca="false">SUM(CX950:CX1037)</f>
        <v>613718.96336496</v>
      </c>
      <c r="CY1038" s="184" t="n">
        <f aca="false">SUM(CY950:CY1037)</f>
        <v>646338.69284096</v>
      </c>
      <c r="CZ1038" s="184" t="n">
        <f aca="false">SUM(CZ950:CZ1037)</f>
        <v>660868.87660064</v>
      </c>
      <c r="DA1038" s="184" t="n">
        <f aca="false">SUM(DA950:DA1037)</f>
        <v>663910.4764892</v>
      </c>
      <c r="DB1038" s="184" t="n">
        <f aca="false">SUM(DB950:DB1037)</f>
        <v>658094.94655976</v>
      </c>
      <c r="DC1038" s="184" t="n">
        <f aca="false">SUM(DC950:DC1037)</f>
        <v>670189.98358104</v>
      </c>
      <c r="DD1038" s="184" t="n">
        <f aca="false">SUM(DD950:DD1037)</f>
        <v>734804.31848</v>
      </c>
      <c r="DE1038" s="184" t="n">
        <f aca="false">SUM(DE950:DE1037)</f>
        <v>731785.237056</v>
      </c>
      <c r="DF1038" s="184" t="n">
        <f aca="false">SUM(DF950:DF1037)</f>
        <v>722569.74438208</v>
      </c>
      <c r="DG1038" s="184" t="n">
        <f aca="false">SUM(DG950:DG1037)</f>
        <v>694844.26282556</v>
      </c>
      <c r="DH1038" s="184" t="n">
        <f aca="false">SUM(DH950:DH1037)</f>
        <v>741285.01081776</v>
      </c>
      <c r="DI1038" s="184" t="n">
        <f aca="false">SUM(DI950:DI1037)</f>
        <v>760866.68739048</v>
      </c>
      <c r="DJ1038" s="184" t="n">
        <f aca="false">SUM(DJ950:DJ1037)</f>
        <v>736532.2070804</v>
      </c>
      <c r="DK1038" s="184" t="n">
        <f aca="false">SUM(DK950:DK1037)</f>
        <v>789623.68807608</v>
      </c>
      <c r="DL1038" s="184" t="n">
        <f aca="false">SUM(DL950:DL1037)</f>
        <v>805922.751086</v>
      </c>
      <c r="DM1038" s="184" t="n">
        <f aca="false">SUM(DM950:DM1037)</f>
        <v>793089.12807856</v>
      </c>
      <c r="DN1038" s="184" t="n">
        <f aca="false">SUM(DN950:DN1037)</f>
        <v>781349.79018016</v>
      </c>
      <c r="DO1038" s="184" t="n">
        <f aca="false">SUM(DO950:DO1037)</f>
        <v>795194.12516904</v>
      </c>
      <c r="DP1038" s="184" t="n">
        <f aca="false">SUM(DP950:DP1037)</f>
        <v>882789.51049568</v>
      </c>
      <c r="DQ1038" s="184" t="n">
        <f aca="false">SUM(DQ950:DQ1037)</f>
        <v>882604.39294432</v>
      </c>
      <c r="DR1038" s="184" t="n">
        <f aca="false">SUM(DR950:DR1037)</f>
        <v>865609.01144304</v>
      </c>
      <c r="DS1038" s="184" t="n">
        <f aca="false">SUM(DS950:DS1037)</f>
        <v>826899.81225836</v>
      </c>
      <c r="DT1038" s="184" t="n">
        <f aca="false">SUM(DT950:DT1037)</f>
        <v>878692.56785</v>
      </c>
      <c r="DU1038" s="184" t="n">
        <f aca="false">SUM(DU950:DU1037)</f>
        <v>898174.39335408</v>
      </c>
      <c r="DV1038" s="184" t="n">
        <f aca="false">SUM(DV950:DV1037)</f>
        <v>878613.88079932</v>
      </c>
      <c r="DW1038" s="184" t="n">
        <f aca="false">SUM(DW950:DW1037)</f>
        <v>923864.70666024</v>
      </c>
      <c r="DX1038" s="184" t="n">
        <f aca="false">SUM(DX950:DX1037)</f>
        <v>934599.52794408</v>
      </c>
      <c r="DY1038" s="184" t="n">
        <f aca="false">SUM(DY950:DY1037)</f>
        <v>927825.02759024</v>
      </c>
      <c r="DZ1038" s="184" t="n">
        <f aca="false">SUM(DZ950:DZ1037)</f>
        <v>920396.09198016</v>
      </c>
      <c r="EA1038" s="184" t="n">
        <f aca="false">SUM(EA950:EA1037)</f>
        <v>933673.25016264</v>
      </c>
      <c r="EB1038" s="184" t="n">
        <f aca="false">SUM(EB950:EB1037)</f>
        <v>1003102.38419016</v>
      </c>
      <c r="EC1038" s="184" t="n">
        <f aca="false">SUM(EC950:EC1037)</f>
        <v>994522.778218</v>
      </c>
      <c r="ED1038" s="184" t="n">
        <f aca="false">SUM(ED950:ED1037)</f>
        <v>982773.85640624</v>
      </c>
      <c r="EE1038" s="184" t="n">
        <f aca="false">SUM(EE950:EE1037)</f>
        <v>960149.68227544</v>
      </c>
      <c r="EF1038" s="184" t="n">
        <f aca="false">SUM(EF950:EF1037)</f>
        <v>1015907.46948648</v>
      </c>
      <c r="EG1038" s="184" t="n">
        <f aca="false">SUM(EG950:EG1037)</f>
        <v>1048639.42365484</v>
      </c>
      <c r="EH1038" s="184" t="n">
        <f aca="false">SUM(EH950:EH1037)</f>
        <v>1026044.97246972</v>
      </c>
      <c r="EI1038" s="184" t="n">
        <f aca="false">SUM(EI950:EI1037)</f>
        <v>1101289.28081328</v>
      </c>
      <c r="EJ1038" s="184" t="n">
        <f aca="false">SUM(EJ950:EJ1037)</f>
        <v>1117347.4023352</v>
      </c>
      <c r="EK1038" s="184" t="n">
        <f aca="false">SUM(EK950:EK1037)</f>
        <v>1099139.94477728</v>
      </c>
      <c r="EL1038" s="184" t="n">
        <f aca="false">SUM(EL950:EL1037)</f>
        <v>1087447.63992416</v>
      </c>
      <c r="EM1038" s="184" t="n">
        <f aca="false">SUM(EM950:EM1037)</f>
        <v>1112684.15894956</v>
      </c>
      <c r="EN1038" s="184" t="n">
        <f aca="false">SUM(EN950:EN1037)</f>
        <v>1234922.47200816</v>
      </c>
      <c r="EO1038" s="184" t="n">
        <f aca="false">SUM(EO950:EO1037)</f>
        <v>1231282.5983684</v>
      </c>
      <c r="EP1038" s="184" t="n">
        <f aca="false">SUM(EP950:EP1037)</f>
        <v>1217856.15867112</v>
      </c>
      <c r="EQ1038" s="184" t="n">
        <f aca="false">SUM(EQ950:EQ1037)</f>
        <v>1162337.82405868</v>
      </c>
      <c r="ER1038" s="184" t="n">
        <f aca="false">SUM(ER950:ER1037)</f>
        <v>1246965.74787976</v>
      </c>
      <c r="ES1038" s="9" t="n">
        <f aca="false">SUM(ES950:ES1037)</f>
        <v>1281985.3605868</v>
      </c>
      <c r="ET1038" s="9" t="n">
        <f aca="false">SUM(ET950:ET1037)</f>
        <v>1251956.30738488</v>
      </c>
      <c r="EU1038" s="9" t="n">
        <f aca="false">SUM(EU950:EU1037)</f>
        <v>1339911.27408136</v>
      </c>
      <c r="EV1038" s="9" t="n">
        <f aca="false">SUM(EV950:EV1037)</f>
        <v>1358279.89328456</v>
      </c>
      <c r="EW1038" s="9" t="n">
        <f aca="false">SUM(EW950:EW1037)</f>
        <v>1341114.5141432</v>
      </c>
      <c r="EX1038" s="9" t="n">
        <f aca="false">SUM(EX950:EX1037)</f>
        <v>1333248.59778496</v>
      </c>
      <c r="EY1038" s="9" t="n">
        <f aca="false">SUM(EY950:EY1037)</f>
        <v>1360426.15414888</v>
      </c>
      <c r="EZ1038" s="9" t="n">
        <f aca="false">SUM(EZ950:EZ1037)</f>
        <v>1520187.58755104</v>
      </c>
      <c r="FA1038" s="9" t="n">
        <f aca="false">SUM(FA950:FA1037)</f>
        <v>1507444.50890392</v>
      </c>
      <c r="FB1038" s="9" t="n">
        <f aca="false">SUM(FB950:FB1037)</f>
        <v>1480881.59844168</v>
      </c>
      <c r="FC1038" s="9" t="n">
        <f aca="false">SUM(FC950:FC1037)</f>
        <v>1418230.2780386</v>
      </c>
      <c r="FD1038" s="9" t="n">
        <f aca="false">SUM(FD950:FD1037)</f>
        <v>1530555.67302448</v>
      </c>
      <c r="FE1038" s="9" t="n">
        <f aca="false">SUM(FE950:FE1037)</f>
        <v>1578746.01397192</v>
      </c>
      <c r="FF1038" s="9" t="n">
        <f aca="false">SUM(FF950:FF1037)</f>
        <v>1523053.73041604</v>
      </c>
      <c r="FG1038" s="9" t="n">
        <f aca="false">SUM(FG950:FG1037)</f>
        <v>1626716.15128168</v>
      </c>
      <c r="FH1038" s="9" t="n">
        <f aca="false">SUM(FH950:FH1037)</f>
        <v>1647521.66472136</v>
      </c>
      <c r="FI1038" s="9" t="n">
        <f aca="false">SUM(FI950:FI1037)</f>
        <v>1622137.03434588</v>
      </c>
      <c r="FJ1038" s="9" t="n">
        <f aca="false">SUM(FJ950:FJ1037)</f>
        <v>1601384.32386312</v>
      </c>
      <c r="FK1038" s="9" t="n">
        <f aca="false">SUM(FK950:FK1037)</f>
        <v>1631317.73447448</v>
      </c>
      <c r="FL1038" s="9" t="n">
        <f aca="false">SUM(FL950:FL1037)</f>
        <v>1794796.15901728</v>
      </c>
      <c r="FM1038" s="9" t="n">
        <f aca="false">SUM(FM950:FM1037)</f>
        <v>1787041.39909816</v>
      </c>
      <c r="FN1038" s="9" t="n">
        <f aca="false">SUM(FN950:FN1037)</f>
        <v>1764520.85627904</v>
      </c>
      <c r="FO1038" s="9" t="n">
        <f aca="false">SUM(FO950:FO1037)</f>
        <v>1695565.53157204</v>
      </c>
      <c r="FP1038" s="9" t="n">
        <f aca="false">SUM(FP950:FP1037)</f>
        <v>1814564.15781592</v>
      </c>
    </row>
    <row r="1039" customFormat="false" ht="15.75" hidden="false" customHeight="true" outlineLevel="0" collapsed="false">
      <c r="B1039" s="255" t="s">
        <v>1025</v>
      </c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40" t="n">
        <v>0</v>
      </c>
      <c r="AD1039" s="40" t="n">
        <v>0</v>
      </c>
      <c r="AE1039" s="40" t="n">
        <v>0</v>
      </c>
      <c r="AF1039" s="40" t="n">
        <v>0</v>
      </c>
      <c r="AG1039" s="40" t="n">
        <v>0</v>
      </c>
      <c r="AH1039" s="40" t="n">
        <v>0</v>
      </c>
      <c r="AI1039" s="40" t="n">
        <v>0</v>
      </c>
      <c r="AJ1039" s="40" t="n">
        <v>0</v>
      </c>
      <c r="AK1039" s="40" t="n">
        <v>0</v>
      </c>
      <c r="AL1039" s="40" t="n">
        <v>0</v>
      </c>
      <c r="AM1039" s="40" t="n">
        <v>0</v>
      </c>
      <c r="AN1039" s="40" t="n">
        <v>0</v>
      </c>
      <c r="AO1039" s="40" t="n">
        <v>0</v>
      </c>
      <c r="AP1039" s="40" t="n">
        <v>0</v>
      </c>
      <c r="AQ1039" s="40" t="n">
        <v>0</v>
      </c>
      <c r="AR1039" s="40" t="n">
        <v>0</v>
      </c>
      <c r="AS1039" s="40" t="n">
        <v>0</v>
      </c>
      <c r="AT1039" s="40" t="n">
        <v>0</v>
      </c>
      <c r="AU1039" s="40" t="n">
        <v>0</v>
      </c>
      <c r="AV1039" s="40" t="n">
        <v>0</v>
      </c>
      <c r="AW1039" s="40" t="n">
        <v>0</v>
      </c>
      <c r="AX1039" s="40" t="n">
        <v>0</v>
      </c>
      <c r="AY1039" s="40" t="n">
        <v>0</v>
      </c>
      <c r="AZ1039" s="40" t="n">
        <v>0</v>
      </c>
      <c r="BA1039" s="40" t="n">
        <v>0</v>
      </c>
      <c r="BB1039" s="40" t="n">
        <v>0</v>
      </c>
      <c r="BC1039" s="40" t="n">
        <v>0</v>
      </c>
      <c r="BD1039" s="40" t="n">
        <v>0</v>
      </c>
      <c r="BE1039" s="40" t="n">
        <v>0</v>
      </c>
      <c r="BF1039" s="40" t="n">
        <v>0</v>
      </c>
      <c r="BG1039" s="40" t="n">
        <v>0</v>
      </c>
      <c r="BH1039" s="40" t="n">
        <v>0</v>
      </c>
      <c r="BI1039" s="40" t="n">
        <v>0</v>
      </c>
      <c r="BJ1039" s="40" t="n">
        <v>0</v>
      </c>
      <c r="BK1039" s="40" t="n">
        <v>0</v>
      </c>
      <c r="BL1039" s="40" t="n">
        <v>0</v>
      </c>
      <c r="BM1039" s="40" t="n">
        <v>0</v>
      </c>
      <c r="BN1039" s="40" t="n">
        <v>0</v>
      </c>
      <c r="BO1039" s="40" t="n">
        <v>0</v>
      </c>
      <c r="BP1039" s="40" t="n">
        <v>0</v>
      </c>
      <c r="BQ1039" s="40" t="n">
        <v>0</v>
      </c>
      <c r="BR1039" s="40" t="n">
        <v>0</v>
      </c>
      <c r="BS1039" s="40" t="n">
        <v>0</v>
      </c>
      <c r="BT1039" s="40" t="n">
        <v>0</v>
      </c>
      <c r="BU1039" s="40" t="n">
        <v>0</v>
      </c>
      <c r="BV1039" s="40" t="n">
        <v>0</v>
      </c>
      <c r="BW1039" s="40" t="n">
        <v>0</v>
      </c>
      <c r="BX1039" s="40" t="n">
        <v>0</v>
      </c>
      <c r="BY1039" s="40" t="n">
        <v>0</v>
      </c>
      <c r="BZ1039" s="40" t="n">
        <v>0</v>
      </c>
      <c r="CA1039" s="40" t="n">
        <v>0</v>
      </c>
      <c r="CB1039" s="40" t="n">
        <v>0</v>
      </c>
      <c r="CC1039" s="40" t="n">
        <v>0</v>
      </c>
      <c r="CD1039" s="40" t="n">
        <v>0</v>
      </c>
      <c r="CE1039" s="40" t="n">
        <v>0</v>
      </c>
      <c r="CF1039" s="40" t="n">
        <v>0</v>
      </c>
      <c r="CG1039" s="40" t="n">
        <v>0</v>
      </c>
      <c r="CH1039" s="40" t="n">
        <v>0</v>
      </c>
      <c r="CI1039" s="40" t="n">
        <v>0</v>
      </c>
      <c r="CJ1039" s="40" t="n">
        <v>0</v>
      </c>
      <c r="CK1039" s="40" t="n">
        <v>0</v>
      </c>
      <c r="CL1039" s="40" t="n">
        <v>0</v>
      </c>
      <c r="CM1039" s="40" t="n">
        <v>0</v>
      </c>
      <c r="CN1039" s="40" t="n">
        <v>0</v>
      </c>
      <c r="CO1039" s="40" t="n">
        <v>0</v>
      </c>
      <c r="CP1039" s="40" t="n">
        <v>0</v>
      </c>
      <c r="CQ1039" s="40" t="n">
        <v>0</v>
      </c>
      <c r="CR1039" s="40" t="n">
        <v>0</v>
      </c>
      <c r="CS1039" s="40" t="n">
        <v>0</v>
      </c>
      <c r="CT1039" s="40" t="n">
        <v>0</v>
      </c>
      <c r="CU1039" s="40" t="n">
        <v>0</v>
      </c>
      <c r="CV1039" s="40" t="n">
        <v>0</v>
      </c>
      <c r="CW1039" s="40" t="n">
        <v>0</v>
      </c>
      <c r="CX1039" s="40" t="n">
        <v>0</v>
      </c>
      <c r="CY1039" s="40" t="n">
        <v>0</v>
      </c>
      <c r="CZ1039" s="40" t="n">
        <v>0</v>
      </c>
      <c r="DA1039" s="40" t="n">
        <v>0</v>
      </c>
      <c r="DB1039" s="40" t="n">
        <v>0</v>
      </c>
      <c r="DC1039" s="40" t="n">
        <v>0</v>
      </c>
      <c r="DD1039" s="40" t="n">
        <v>0</v>
      </c>
      <c r="DE1039" s="40" t="n">
        <v>0</v>
      </c>
      <c r="DF1039" s="40" t="n">
        <v>0</v>
      </c>
      <c r="DG1039" s="40" t="n">
        <v>0</v>
      </c>
      <c r="DH1039" s="40" t="n">
        <v>0</v>
      </c>
      <c r="DI1039" s="40" t="n">
        <v>0</v>
      </c>
      <c r="DJ1039" s="40" t="n">
        <v>0</v>
      </c>
      <c r="DK1039" s="40" t="n">
        <v>0</v>
      </c>
      <c r="DL1039" s="40" t="n">
        <v>0</v>
      </c>
      <c r="DM1039" s="40" t="n">
        <v>0</v>
      </c>
      <c r="DN1039" s="40" t="n">
        <v>0</v>
      </c>
      <c r="DO1039" s="40" t="n">
        <v>0</v>
      </c>
      <c r="DP1039" s="40" t="n">
        <v>0</v>
      </c>
      <c r="DQ1039" s="40" t="n">
        <v>0</v>
      </c>
      <c r="DR1039" s="40" t="n">
        <v>0</v>
      </c>
      <c r="DS1039" s="40" t="n">
        <v>0</v>
      </c>
      <c r="DT1039" s="40" t="n">
        <v>0</v>
      </c>
      <c r="DU1039" s="40" t="n">
        <v>0</v>
      </c>
      <c r="DV1039" s="40" t="n">
        <v>0</v>
      </c>
      <c r="DW1039" s="40" t="n">
        <v>0</v>
      </c>
      <c r="DX1039" s="40" t="n">
        <v>0</v>
      </c>
      <c r="DY1039" s="40" t="n">
        <v>0</v>
      </c>
      <c r="DZ1039" s="40" t="n">
        <v>0</v>
      </c>
      <c r="EA1039" s="40" t="n">
        <v>0</v>
      </c>
      <c r="EB1039" s="40" t="n">
        <v>0</v>
      </c>
      <c r="EC1039" s="40" t="n">
        <v>0</v>
      </c>
      <c r="ED1039" s="40" t="n">
        <v>0</v>
      </c>
      <c r="EE1039" s="40" t="n">
        <v>0</v>
      </c>
      <c r="EF1039" s="40" t="n">
        <v>0</v>
      </c>
      <c r="EG1039" s="40" t="n">
        <v>0</v>
      </c>
      <c r="EH1039" s="40" t="n">
        <v>0</v>
      </c>
      <c r="EI1039" s="40" t="n">
        <v>0</v>
      </c>
      <c r="EJ1039" s="40" t="n">
        <v>0</v>
      </c>
      <c r="EK1039" s="40" t="n">
        <v>0</v>
      </c>
      <c r="EL1039" s="40" t="n">
        <v>0</v>
      </c>
      <c r="EM1039" s="40" t="n">
        <v>0</v>
      </c>
      <c r="EN1039" s="40" t="n">
        <v>0</v>
      </c>
      <c r="EO1039" s="40" t="n">
        <v>0</v>
      </c>
      <c r="EP1039" s="40" t="n">
        <v>0</v>
      </c>
      <c r="EQ1039" s="40" t="n">
        <v>0</v>
      </c>
      <c r="ER1039" s="28" t="n">
        <v>0</v>
      </c>
      <c r="ES1039" s="9" t="n">
        <v>0</v>
      </c>
      <c r="ET1039" s="9" t="n">
        <v>0</v>
      </c>
      <c r="EU1039" s="9" t="n">
        <v>0</v>
      </c>
      <c r="EV1039" s="9" t="n">
        <v>0</v>
      </c>
      <c r="EW1039" s="9" t="n">
        <v>0</v>
      </c>
      <c r="EX1039" s="9" t="n">
        <v>0</v>
      </c>
      <c r="EY1039" s="9" t="n">
        <v>0</v>
      </c>
      <c r="EZ1039" s="9" t="n">
        <v>0</v>
      </c>
      <c r="FA1039" s="9" t="n">
        <v>0</v>
      </c>
      <c r="FB1039" s="9" t="n">
        <v>0</v>
      </c>
      <c r="FC1039" s="9" t="n">
        <v>0</v>
      </c>
      <c r="FD1039" s="9" t="n">
        <v>0</v>
      </c>
      <c r="FE1039" s="9" t="n">
        <v>0</v>
      </c>
      <c r="FF1039" s="9" t="n">
        <v>0</v>
      </c>
      <c r="FG1039" s="9" t="n">
        <v>0</v>
      </c>
      <c r="FH1039" s="9" t="n">
        <v>0</v>
      </c>
      <c r="FI1039" s="9" t="n">
        <v>0</v>
      </c>
      <c r="FJ1039" s="9" t="n">
        <v>0</v>
      </c>
      <c r="FK1039" s="9" t="n">
        <v>0</v>
      </c>
      <c r="FL1039" s="9" t="n">
        <v>0</v>
      </c>
      <c r="FM1039" s="9" t="n">
        <v>0</v>
      </c>
      <c r="FN1039" s="9" t="n">
        <v>0</v>
      </c>
      <c r="FO1039" s="9" t="n">
        <v>0</v>
      </c>
      <c r="FP1039" s="9" t="n">
        <v>0</v>
      </c>
    </row>
    <row r="1040" customFormat="false" ht="15" hidden="false" customHeight="false" outlineLevel="0" collapsed="false">
      <c r="B1040" s="256" t="s">
        <v>1026</v>
      </c>
      <c r="C1040" s="47"/>
      <c r="D1040" s="47"/>
      <c r="E1040" s="47"/>
      <c r="F1040" s="47"/>
      <c r="G1040" s="47"/>
      <c r="H1040" s="47"/>
      <c r="I1040" s="47"/>
      <c r="J1040" s="47"/>
      <c r="K1040" s="47"/>
      <c r="L1040" s="47"/>
      <c r="M1040" s="47"/>
      <c r="N1040" s="47"/>
      <c r="O1040" s="47"/>
      <c r="P1040" s="47"/>
      <c r="Q1040" s="47"/>
      <c r="R1040" s="47"/>
      <c r="S1040" s="47"/>
      <c r="T1040" s="47"/>
      <c r="U1040" s="47"/>
      <c r="V1040" s="47"/>
      <c r="W1040" s="47"/>
      <c r="X1040" s="47"/>
      <c r="Y1040" s="47"/>
      <c r="Z1040" s="47"/>
      <c r="AA1040" s="47"/>
      <c r="AB1040" s="47"/>
      <c r="AC1040" s="48" t="n">
        <f aca="false">AC1038</f>
        <v>5942.16</v>
      </c>
      <c r="AD1040" s="48" t="n">
        <f aca="false">AD1038</f>
        <v>7334.70048</v>
      </c>
      <c r="AE1040" s="48" t="n">
        <f aca="false">AE1038</f>
        <v>11112.191328</v>
      </c>
      <c r="AF1040" s="48" t="n">
        <f aca="false">AF1038</f>
        <v>12314.3424864</v>
      </c>
      <c r="AG1040" s="48" t="n">
        <f aca="false">AG1038</f>
        <v>15513.32392</v>
      </c>
      <c r="AH1040" s="48" t="n">
        <f aca="false">AH1038</f>
        <v>15526.2621088</v>
      </c>
      <c r="AI1040" s="48" t="n">
        <f aca="false">AI1038</f>
        <v>17927.616192</v>
      </c>
      <c r="AJ1040" s="48" t="n">
        <f aca="false">AJ1038</f>
        <v>32300.0059872</v>
      </c>
      <c r="AK1040" s="48" t="n">
        <f aca="false">AK1038</f>
        <v>30871.684272</v>
      </c>
      <c r="AL1040" s="48" t="n">
        <f aca="false">AL1038</f>
        <v>27789.7975552</v>
      </c>
      <c r="AM1040" s="48" t="n">
        <f aca="false">AM1038</f>
        <v>23567.002704</v>
      </c>
      <c r="AN1040" s="48" t="n">
        <f aca="false">AN1038</f>
        <v>39132.7138384</v>
      </c>
      <c r="AO1040" s="48" t="n">
        <f aca="false">AO1038</f>
        <v>46921.6529408</v>
      </c>
      <c r="AP1040" s="48" t="n">
        <f aca="false">AP1038</f>
        <v>40120.0270928</v>
      </c>
      <c r="AQ1040" s="48" t="n">
        <f aca="false">AQ1038</f>
        <v>55809.5124768</v>
      </c>
      <c r="AR1040" s="48" t="n">
        <f aca="false">AR1038</f>
        <v>61526.8135968</v>
      </c>
      <c r="AS1040" s="48" t="n">
        <f aca="false">AS1038</f>
        <v>58372.0535712</v>
      </c>
      <c r="AT1040" s="48" t="n">
        <f aca="false">AT1038</f>
        <v>55304.7162384</v>
      </c>
      <c r="AU1040" s="48" t="n">
        <f aca="false">AU1038</f>
        <v>59481.94455264</v>
      </c>
      <c r="AV1040" s="48" t="n">
        <f aca="false">AV1038</f>
        <v>94836.574232</v>
      </c>
      <c r="AW1040" s="48" t="n">
        <f aca="false">AW1038</f>
        <v>91413.4335632</v>
      </c>
      <c r="AX1040" s="48" t="n">
        <f aca="false">AX1038</f>
        <v>82844.27868352</v>
      </c>
      <c r="AY1040" s="48" t="n">
        <f aca="false">AY1038</f>
        <v>68583.30461888</v>
      </c>
      <c r="AZ1040" s="48" t="n">
        <f aca="false">AZ1038</f>
        <v>90375.17558936</v>
      </c>
      <c r="BA1040" s="48" t="n">
        <f aca="false">BA1038</f>
        <v>101838.3052262</v>
      </c>
      <c r="BB1040" s="48" t="n">
        <f aca="false">BB1038</f>
        <v>94146.97744272</v>
      </c>
      <c r="BC1040" s="48" t="n">
        <f aca="false">BC1038</f>
        <v>124803.8011514</v>
      </c>
      <c r="BD1040" s="48" t="n">
        <f aca="false">BD1038</f>
        <v>134930.6999786</v>
      </c>
      <c r="BE1040" s="48" t="n">
        <f aca="false">BE1038</f>
        <v>129568.87366756</v>
      </c>
      <c r="BF1040" s="48" t="n">
        <f aca="false">BF1038</f>
        <v>129246.6617042</v>
      </c>
      <c r="BG1040" s="48" t="n">
        <f aca="false">BG1038</f>
        <v>135950.73837444</v>
      </c>
      <c r="BH1040" s="48" t="n">
        <f aca="false">BH1038</f>
        <v>183135.1102528</v>
      </c>
      <c r="BI1040" s="48" t="n">
        <f aca="false">BI1038</f>
        <v>182534.7169216</v>
      </c>
      <c r="BJ1040" s="48" t="n">
        <f aca="false">BJ1038</f>
        <v>179624.3469172</v>
      </c>
      <c r="BK1040" s="48" t="n">
        <f aca="false">BK1038</f>
        <v>162246.05568268</v>
      </c>
      <c r="BL1040" s="48" t="n">
        <f aca="false">BL1038</f>
        <v>196113.12804664</v>
      </c>
      <c r="BM1040" s="48" t="n">
        <f aca="false">BM1038</f>
        <v>211021.8637376</v>
      </c>
      <c r="BN1040" s="48" t="n">
        <f aca="false">BN1038</f>
        <v>195919.65010136</v>
      </c>
      <c r="BO1040" s="48" t="n">
        <f aca="false">BO1038</f>
        <v>238734.7267744</v>
      </c>
      <c r="BP1040" s="48" t="n">
        <f aca="false">BP1038</f>
        <v>250166.002872</v>
      </c>
      <c r="BQ1040" s="48" t="n">
        <f aca="false">BQ1038</f>
        <v>246074.7372608</v>
      </c>
      <c r="BR1040" s="48" t="n">
        <f aca="false">BR1038</f>
        <v>241166.2087616</v>
      </c>
      <c r="BS1040" s="48" t="n">
        <f aca="false">BS1038</f>
        <v>258980.26280376</v>
      </c>
      <c r="BT1040" s="48" t="n">
        <f aca="false">BT1038</f>
        <v>338676.0527744</v>
      </c>
      <c r="BU1040" s="48" t="n">
        <f aca="false">BU1038</f>
        <v>346813.25182432</v>
      </c>
      <c r="BV1040" s="48" t="n">
        <f aca="false">BV1038</f>
        <v>328999.02783992</v>
      </c>
      <c r="BW1040" s="48" t="n">
        <f aca="false">BW1038</f>
        <v>299115.1018622</v>
      </c>
      <c r="BX1040" s="48" t="n">
        <f aca="false">BX1038</f>
        <v>365044.60036144</v>
      </c>
      <c r="BY1040" s="48" t="n">
        <f aca="false">BY1038</f>
        <v>394362.94464536</v>
      </c>
      <c r="BZ1040" s="48" t="n">
        <f aca="false">BZ1038</f>
        <v>361904.58821772</v>
      </c>
      <c r="CA1040" s="48" t="n">
        <f aca="false">CA1038</f>
        <v>425025.71749504</v>
      </c>
      <c r="CB1040" s="48" t="n">
        <f aca="false">CB1038</f>
        <v>432405.5206672</v>
      </c>
      <c r="CC1040" s="48" t="n">
        <f aca="false">CC1038</f>
        <v>416356.1464452</v>
      </c>
      <c r="CD1040" s="48" t="n">
        <f aca="false">CD1038</f>
        <v>401806.9179528</v>
      </c>
      <c r="CE1040" s="48" t="n">
        <f aca="false">CE1038</f>
        <v>418226.88043816</v>
      </c>
      <c r="CF1040" s="48" t="n">
        <f aca="false">CF1038</f>
        <v>501466.57152</v>
      </c>
      <c r="CG1040" s="48" t="n">
        <f aca="false">CG1038</f>
        <v>494426.6981728</v>
      </c>
      <c r="CH1040" s="48" t="n">
        <f aca="false">CH1038</f>
        <v>484791.87324952</v>
      </c>
      <c r="CI1040" s="48" t="n">
        <f aca="false">CI1038</f>
        <v>446419.12567144</v>
      </c>
      <c r="CJ1040" s="48" t="n">
        <f aca="false">CJ1038</f>
        <v>505932.68910528</v>
      </c>
      <c r="CK1040" s="48" t="n">
        <f aca="false">CK1038</f>
        <v>527060.1056352</v>
      </c>
      <c r="CL1040" s="48" t="n">
        <f aca="false">CL1038</f>
        <v>510993.38977888</v>
      </c>
      <c r="CM1040" s="48" t="n">
        <f aca="false">CM1038</f>
        <v>557500.01732224</v>
      </c>
      <c r="CN1040" s="48" t="n">
        <f aca="false">CN1038</f>
        <v>565242.25825728</v>
      </c>
      <c r="CO1040" s="48" t="n">
        <f aca="false">CO1038</f>
        <v>553330.03960268</v>
      </c>
      <c r="CP1040" s="48" t="n">
        <f aca="false">CP1038</f>
        <v>546127.10429656</v>
      </c>
      <c r="CQ1040" s="48" t="n">
        <f aca="false">CQ1038</f>
        <v>557019.73168976</v>
      </c>
      <c r="CR1040" s="48" t="n">
        <f aca="false">CR1038</f>
        <v>603245.7730016</v>
      </c>
      <c r="CS1040" s="48" t="n">
        <f aca="false">CS1038</f>
        <v>602002.5486272</v>
      </c>
      <c r="CT1040" s="48" t="n">
        <f aca="false">CT1038</f>
        <v>594959.35653136</v>
      </c>
      <c r="CU1040" s="48" t="n">
        <f aca="false">CU1038</f>
        <v>572847.6531144</v>
      </c>
      <c r="CV1040" s="48" t="n">
        <f aca="false">CV1038</f>
        <v>607035.9238992</v>
      </c>
      <c r="CW1040" s="48" t="n">
        <f aca="false">CW1038</f>
        <v>622035.65722592</v>
      </c>
      <c r="CX1040" s="48" t="n">
        <f aca="false">CX1038</f>
        <v>613718.96336496</v>
      </c>
      <c r="CY1040" s="48" t="n">
        <f aca="false">CY1038</f>
        <v>646338.69284096</v>
      </c>
      <c r="CZ1040" s="48" t="n">
        <f aca="false">CZ1038</f>
        <v>660868.87660064</v>
      </c>
      <c r="DA1040" s="48" t="n">
        <f aca="false">DA1038</f>
        <v>663910.4764892</v>
      </c>
      <c r="DB1040" s="48" t="n">
        <f aca="false">DB1038</f>
        <v>658094.94655976</v>
      </c>
      <c r="DC1040" s="48" t="n">
        <f aca="false">DC1038</f>
        <v>670189.98358104</v>
      </c>
      <c r="DD1040" s="48" t="n">
        <f aca="false">DD1038</f>
        <v>734804.31848</v>
      </c>
      <c r="DE1040" s="48" t="n">
        <f aca="false">DE1038</f>
        <v>731785.237056</v>
      </c>
      <c r="DF1040" s="48" t="n">
        <f aca="false">DF1038</f>
        <v>722569.74438208</v>
      </c>
      <c r="DG1040" s="48" t="n">
        <f aca="false">DG1038</f>
        <v>694844.26282556</v>
      </c>
      <c r="DH1040" s="48" t="n">
        <f aca="false">DH1038</f>
        <v>741285.01081776</v>
      </c>
      <c r="DI1040" s="48" t="n">
        <f aca="false">DI1038</f>
        <v>760866.68739048</v>
      </c>
      <c r="DJ1040" s="48" t="n">
        <f aca="false">DJ1038</f>
        <v>736532.2070804</v>
      </c>
      <c r="DK1040" s="48" t="n">
        <f aca="false">DK1038</f>
        <v>789623.68807608</v>
      </c>
      <c r="DL1040" s="48" t="n">
        <f aca="false">DL1038</f>
        <v>805922.751086</v>
      </c>
      <c r="DM1040" s="48" t="n">
        <f aca="false">DM1038</f>
        <v>793089.12807856</v>
      </c>
      <c r="DN1040" s="48" t="n">
        <f aca="false">DN1038</f>
        <v>781349.79018016</v>
      </c>
      <c r="DO1040" s="48" t="n">
        <f aca="false">DO1038</f>
        <v>795194.12516904</v>
      </c>
      <c r="DP1040" s="48" t="n">
        <f aca="false">DP1038</f>
        <v>882789.51049568</v>
      </c>
      <c r="DQ1040" s="48" t="n">
        <f aca="false">DQ1038</f>
        <v>882604.39294432</v>
      </c>
      <c r="DR1040" s="48" t="n">
        <f aca="false">DR1038</f>
        <v>865609.01144304</v>
      </c>
      <c r="DS1040" s="48" t="n">
        <f aca="false">DS1038</f>
        <v>826899.81225836</v>
      </c>
      <c r="DT1040" s="48" t="n">
        <f aca="false">DT1038</f>
        <v>878692.56785</v>
      </c>
      <c r="DU1040" s="48" t="n">
        <f aca="false">DU1038</f>
        <v>898174.39335408</v>
      </c>
      <c r="DV1040" s="48" t="n">
        <f aca="false">DV1038</f>
        <v>878613.88079932</v>
      </c>
      <c r="DW1040" s="48" t="n">
        <f aca="false">DW1038</f>
        <v>923864.70666024</v>
      </c>
      <c r="DX1040" s="48" t="n">
        <f aca="false">DX1038</f>
        <v>934599.52794408</v>
      </c>
      <c r="DY1040" s="48" t="n">
        <f aca="false">DY1038</f>
        <v>927825.02759024</v>
      </c>
      <c r="DZ1040" s="48" t="n">
        <f aca="false">DZ1038</f>
        <v>920396.09198016</v>
      </c>
      <c r="EA1040" s="48" t="n">
        <f aca="false">EA1038</f>
        <v>933673.25016264</v>
      </c>
      <c r="EB1040" s="48" t="n">
        <f aca="false">EB1038</f>
        <v>1003102.38419016</v>
      </c>
      <c r="EC1040" s="48" t="n">
        <f aca="false">EC1038</f>
        <v>994522.778218</v>
      </c>
      <c r="ED1040" s="48" t="n">
        <f aca="false">ED1038</f>
        <v>982773.85640624</v>
      </c>
      <c r="EE1040" s="48" t="n">
        <f aca="false">EE1038</f>
        <v>960149.68227544</v>
      </c>
      <c r="EF1040" s="48" t="n">
        <f aca="false">EF1038</f>
        <v>1015907.46948648</v>
      </c>
      <c r="EG1040" s="48" t="n">
        <f aca="false">EG1038</f>
        <v>1048639.42365484</v>
      </c>
      <c r="EH1040" s="48" t="n">
        <f aca="false">EH1038</f>
        <v>1026044.97246972</v>
      </c>
      <c r="EI1040" s="48" t="n">
        <f aca="false">EI1038</f>
        <v>1101289.28081328</v>
      </c>
      <c r="EJ1040" s="48" t="n">
        <f aca="false">EJ1038</f>
        <v>1117347.4023352</v>
      </c>
      <c r="EK1040" s="48" t="n">
        <f aca="false">EK1038</f>
        <v>1099139.94477728</v>
      </c>
      <c r="EL1040" s="48" t="n">
        <f aca="false">EL1038</f>
        <v>1087447.63992416</v>
      </c>
      <c r="EM1040" s="48" t="n">
        <f aca="false">EM1038</f>
        <v>1112684.15894956</v>
      </c>
      <c r="EN1040" s="48" t="n">
        <f aca="false">EN1038</f>
        <v>1234922.47200816</v>
      </c>
      <c r="EO1040" s="48" t="n">
        <f aca="false">EO1038</f>
        <v>1231282.5983684</v>
      </c>
      <c r="EP1040" s="48" t="n">
        <f aca="false">EP1038</f>
        <v>1217856.15867112</v>
      </c>
      <c r="EQ1040" s="48" t="n">
        <f aca="false">EQ1038</f>
        <v>1162337.82405868</v>
      </c>
      <c r="ER1040" s="121" t="n">
        <f aca="false">ER1038</f>
        <v>1246965.74787976</v>
      </c>
      <c r="ES1040" s="9" t="n">
        <f aca="false">ES1038</f>
        <v>1281985.3605868</v>
      </c>
      <c r="ET1040" s="9" t="n">
        <f aca="false">ET1038</f>
        <v>1251956.30738488</v>
      </c>
      <c r="EU1040" s="9" t="n">
        <f aca="false">EU1038</f>
        <v>1339911.27408136</v>
      </c>
      <c r="EV1040" s="9" t="n">
        <f aca="false">EV1038</f>
        <v>1358279.89328456</v>
      </c>
      <c r="EW1040" s="9" t="n">
        <f aca="false">EW1038</f>
        <v>1341114.5141432</v>
      </c>
      <c r="EX1040" s="9" t="n">
        <f aca="false">EX1038</f>
        <v>1333248.59778496</v>
      </c>
      <c r="EY1040" s="9" t="n">
        <f aca="false">EY1038</f>
        <v>1360426.15414888</v>
      </c>
      <c r="EZ1040" s="9" t="n">
        <f aca="false">EZ1038</f>
        <v>1520187.58755104</v>
      </c>
      <c r="FA1040" s="9" t="n">
        <f aca="false">FA1038</f>
        <v>1507444.50890392</v>
      </c>
      <c r="FB1040" s="9" t="n">
        <f aca="false">FB1038</f>
        <v>1480881.59844168</v>
      </c>
      <c r="FC1040" s="9" t="n">
        <f aca="false">FC1038</f>
        <v>1418230.2780386</v>
      </c>
      <c r="FD1040" s="9" t="n">
        <f aca="false">FD1038</f>
        <v>1530555.67302448</v>
      </c>
      <c r="FE1040" s="9" t="n">
        <f aca="false">FE1038</f>
        <v>1578746.01397192</v>
      </c>
      <c r="FF1040" s="9" t="n">
        <f aca="false">FF1038</f>
        <v>1523053.73041604</v>
      </c>
      <c r="FG1040" s="9" t="n">
        <f aca="false">FG1038</f>
        <v>1626716.15128168</v>
      </c>
      <c r="FH1040" s="9" t="n">
        <f aca="false">FH1038</f>
        <v>1647521.66472136</v>
      </c>
      <c r="FI1040" s="9" t="n">
        <f aca="false">FI1038</f>
        <v>1622137.03434588</v>
      </c>
      <c r="FJ1040" s="9" t="n">
        <f aca="false">FJ1038</f>
        <v>1601384.32386312</v>
      </c>
      <c r="FK1040" s="9" t="n">
        <f aca="false">FK1038</f>
        <v>1631317.73447448</v>
      </c>
      <c r="FL1040" s="9" t="n">
        <f aca="false">FL1038</f>
        <v>1794796.15901728</v>
      </c>
      <c r="FM1040" s="9" t="n">
        <f aca="false">FM1038</f>
        <v>1787041.39909816</v>
      </c>
      <c r="FN1040" s="9" t="n">
        <f aca="false">FN1038</f>
        <v>1764520.85627904</v>
      </c>
      <c r="FO1040" s="9" t="n">
        <f aca="false">FO1038</f>
        <v>1695565.53157204</v>
      </c>
      <c r="FP1040" s="9" t="n">
        <f aca="false">FP1038</f>
        <v>1814564.15781592</v>
      </c>
    </row>
    <row r="1041" customFormat="false" ht="15" hidden="false" customHeight="false" outlineLevel="0" collapsed="false"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  <c r="CA1041" s="9"/>
      <c r="CB1041" s="9"/>
      <c r="CC1041" s="9"/>
      <c r="CD1041" s="9"/>
      <c r="CE1041" s="9"/>
      <c r="CF1041" s="9"/>
      <c r="CG1041" s="9"/>
      <c r="CH1041" s="9"/>
      <c r="CI1041" s="9"/>
      <c r="CJ1041" s="9"/>
      <c r="CK1041" s="9"/>
      <c r="CL1041" s="9"/>
      <c r="CM1041" s="9"/>
      <c r="CN1041" s="9"/>
      <c r="CO1041" s="9"/>
      <c r="CP1041" s="9"/>
      <c r="CQ1041" s="9"/>
      <c r="CR1041" s="9"/>
      <c r="CS1041" s="9"/>
      <c r="CT1041" s="9"/>
      <c r="CU1041" s="9"/>
      <c r="CV1041" s="9"/>
      <c r="CW1041" s="9"/>
      <c r="CX1041" s="9"/>
      <c r="CY1041" s="9"/>
      <c r="CZ1041" s="9"/>
      <c r="DA1041" s="9"/>
      <c r="DB1041" s="9"/>
      <c r="DC1041" s="9"/>
      <c r="DD1041" s="9"/>
      <c r="DE1041" s="9"/>
      <c r="DF1041" s="9"/>
      <c r="DG1041" s="9"/>
      <c r="DH1041" s="9"/>
      <c r="DI1041" s="9"/>
      <c r="DJ1041" s="9"/>
      <c r="DK1041" s="9"/>
      <c r="DL1041" s="9"/>
      <c r="DM1041" s="9"/>
      <c r="DN1041" s="9"/>
      <c r="DO1041" s="9"/>
      <c r="DP1041" s="9"/>
      <c r="DQ1041" s="9"/>
      <c r="DR1041" s="9"/>
      <c r="DS1041" s="9"/>
      <c r="DT1041" s="9"/>
      <c r="DU1041" s="9"/>
      <c r="DV1041" s="9"/>
      <c r="DW1041" s="9"/>
      <c r="DX1041" s="9"/>
      <c r="DY1041" s="9"/>
      <c r="DZ1041" s="9"/>
      <c r="EA1041" s="9"/>
      <c r="EB1041" s="9"/>
      <c r="EC1041" s="9"/>
      <c r="ED1041" s="9"/>
      <c r="EE1041" s="9"/>
      <c r="EF1041" s="9"/>
      <c r="EG1041" s="9"/>
      <c r="EH1041" s="9"/>
      <c r="EI1041" s="9"/>
      <c r="EJ1041" s="9"/>
      <c r="EK1041" s="9"/>
      <c r="EL1041" s="9"/>
      <c r="EM1041" s="9"/>
      <c r="EN1041" s="9"/>
      <c r="EO1041" s="9"/>
      <c r="EP1041" s="9"/>
      <c r="EQ1041" s="9"/>
      <c r="ER1041" s="9"/>
      <c r="ES1041" s="9"/>
      <c r="ET1041" s="9"/>
      <c r="EU1041" s="9"/>
      <c r="EV1041" s="9"/>
      <c r="EW1041" s="9"/>
      <c r="EX1041" s="9"/>
      <c r="EY1041" s="9"/>
      <c r="EZ1041" s="9"/>
      <c r="FA1041" s="9"/>
      <c r="FB1041" s="9"/>
      <c r="FC1041" s="9"/>
      <c r="FD1041" s="9"/>
      <c r="FE1041" s="9"/>
      <c r="FF1041" s="9"/>
      <c r="FG1041" s="9"/>
      <c r="FH1041" s="9"/>
      <c r="FI1041" s="9"/>
      <c r="FJ1041" s="9"/>
      <c r="FK1041" s="9"/>
      <c r="FL1041" s="9"/>
      <c r="FM1041" s="9"/>
      <c r="FN1041" s="9"/>
      <c r="FO1041" s="9"/>
      <c r="FP1041" s="9"/>
    </row>
    <row r="1042" customFormat="false" ht="15" hidden="false" customHeight="false" outlineLevel="0" collapsed="false">
      <c r="B1042" s="26" t="s">
        <v>1027</v>
      </c>
      <c r="C1042" s="26"/>
      <c r="D1042" s="26"/>
      <c r="E1042" s="26"/>
      <c r="F1042" s="26"/>
      <c r="G1042" s="26"/>
      <c r="H1042" s="26"/>
      <c r="I1042" s="26"/>
      <c r="J1042" s="26"/>
      <c r="K1042" s="26"/>
      <c r="L1042" s="26"/>
      <c r="M1042" s="26"/>
      <c r="N1042" s="9"/>
      <c r="O1042" s="9"/>
      <c r="P1042" s="9"/>
      <c r="Q1042" s="9"/>
      <c r="R1042" s="9"/>
      <c r="S1042" s="9"/>
      <c r="T1042" s="9" t="n">
        <v>0.0125</v>
      </c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  <c r="CO1042" s="9"/>
      <c r="CP1042" s="9"/>
      <c r="CQ1042" s="9"/>
      <c r="CR1042" s="9"/>
      <c r="CS1042" s="9"/>
      <c r="CT1042" s="9"/>
      <c r="CU1042" s="9"/>
      <c r="CV1042" s="9"/>
      <c r="CW1042" s="9"/>
      <c r="CX1042" s="9"/>
      <c r="CY1042" s="9"/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  <c r="EA1042" s="9"/>
      <c r="EB1042" s="9"/>
      <c r="EC1042" s="9"/>
      <c r="ED1042" s="9"/>
      <c r="EE1042" s="9"/>
      <c r="EF1042" s="9"/>
      <c r="EG1042" s="9"/>
      <c r="EH1042" s="9"/>
      <c r="EI1042" s="9"/>
      <c r="EJ1042" s="9"/>
      <c r="EK1042" s="9"/>
      <c r="EL1042" s="9"/>
      <c r="EM1042" s="9"/>
      <c r="EN1042" s="9"/>
      <c r="EO1042" s="9"/>
      <c r="EP1042" s="9"/>
      <c r="EQ1042" s="9"/>
      <c r="ER1042" s="9"/>
      <c r="ES1042" s="9"/>
      <c r="ET1042" s="9"/>
      <c r="EU1042" s="9"/>
      <c r="EV1042" s="9"/>
      <c r="EW1042" s="9"/>
      <c r="EX1042" s="9"/>
      <c r="EY1042" s="9"/>
      <c r="EZ1042" s="9"/>
      <c r="FA1042" s="9"/>
      <c r="FB1042" s="9"/>
      <c r="FC1042" s="9"/>
      <c r="FD1042" s="9"/>
      <c r="FE1042" s="9"/>
      <c r="FF1042" s="9"/>
      <c r="FG1042" s="9"/>
      <c r="FH1042" s="9"/>
      <c r="FI1042" s="9"/>
      <c r="FJ1042" s="9"/>
      <c r="FK1042" s="9"/>
      <c r="FL1042" s="9"/>
      <c r="FM1042" s="9"/>
      <c r="FN1042" s="9"/>
      <c r="FO1042" s="9"/>
      <c r="FP1042" s="9"/>
    </row>
    <row r="1043" customFormat="false" ht="15" hidden="false" customHeight="false" outlineLevel="0" collapsed="false">
      <c r="B1043" s="27" t="s">
        <v>664</v>
      </c>
      <c r="C1043" s="217" t="n">
        <v>2025</v>
      </c>
      <c r="D1043" s="217" t="n">
        <v>2026</v>
      </c>
      <c r="E1043" s="217" t="n">
        <v>2027</v>
      </c>
      <c r="F1043" s="217" t="n">
        <v>2028</v>
      </c>
      <c r="G1043" s="217" t="n">
        <v>2029</v>
      </c>
      <c r="H1043" s="217" t="n">
        <v>2030</v>
      </c>
      <c r="I1043" s="217" t="n">
        <v>2031</v>
      </c>
      <c r="J1043" s="217" t="n">
        <v>2032</v>
      </c>
      <c r="K1043" s="217" t="n">
        <v>2033</v>
      </c>
      <c r="L1043" s="217" t="n">
        <v>2034</v>
      </c>
      <c r="M1043" s="27" t="s">
        <v>1028</v>
      </c>
      <c r="N1043" s="9"/>
      <c r="O1043" s="9"/>
      <c r="P1043" s="9"/>
      <c r="Q1043" s="9"/>
      <c r="R1043" s="9"/>
      <c r="S1043" s="9"/>
      <c r="T1043" s="9" t="n">
        <v>0.0125</v>
      </c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  <c r="CO1043" s="9"/>
      <c r="CP1043" s="9"/>
      <c r="CQ1043" s="9"/>
      <c r="CR1043" s="9"/>
      <c r="CS1043" s="9"/>
      <c r="CT1043" s="9"/>
      <c r="CU1043" s="9"/>
      <c r="CV1043" s="9"/>
      <c r="CW1043" s="9"/>
      <c r="CX1043" s="9"/>
      <c r="CY1043" s="9"/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  <c r="EA1043" s="9"/>
      <c r="EB1043" s="9"/>
      <c r="EC1043" s="9"/>
      <c r="ED1043" s="9"/>
      <c r="EE1043" s="9"/>
      <c r="EF1043" s="9"/>
      <c r="EG1043" s="9"/>
      <c r="EH1043" s="9"/>
      <c r="EI1043" s="9"/>
      <c r="EJ1043" s="9"/>
      <c r="EK1043" s="9"/>
      <c r="EL1043" s="9"/>
      <c r="EM1043" s="9"/>
      <c r="EN1043" s="9"/>
      <c r="EO1043" s="9"/>
      <c r="EP1043" s="9"/>
      <c r="EQ1043" s="9"/>
      <c r="ER1043" s="9"/>
      <c r="ES1043" s="9"/>
      <c r="ET1043" s="9"/>
      <c r="EU1043" s="9"/>
      <c r="EV1043" s="9"/>
      <c r="EW1043" s="9"/>
      <c r="EX1043" s="9"/>
      <c r="EY1043" s="9"/>
      <c r="EZ1043" s="9"/>
      <c r="FA1043" s="9"/>
      <c r="FB1043" s="9"/>
      <c r="FC1043" s="9"/>
      <c r="FD1043" s="9"/>
      <c r="FE1043" s="9"/>
      <c r="FF1043" s="9"/>
      <c r="FG1043" s="9"/>
      <c r="FH1043" s="9"/>
      <c r="FI1043" s="9"/>
      <c r="FJ1043" s="9"/>
      <c r="FK1043" s="9"/>
      <c r="FL1043" s="9"/>
      <c r="FM1043" s="9"/>
      <c r="FN1043" s="9"/>
      <c r="FO1043" s="9"/>
      <c r="FP1043" s="9"/>
    </row>
    <row r="1044" customFormat="false" ht="15" hidden="false" customHeight="false" outlineLevel="0" collapsed="false">
      <c r="B1044" s="10" t="s">
        <v>975</v>
      </c>
      <c r="C1044" s="121" t="n">
        <f aca="false">SUM(AC950:AN950)</f>
        <v>131974.1763648</v>
      </c>
      <c r="D1044" s="121" t="n">
        <f aca="false">SUM(AO950:AZ950)</f>
        <v>323246.26661656</v>
      </c>
      <c r="E1044" s="121" t="n">
        <f aca="false">SUM(BA950:BL950)</f>
        <v>416130.63404192</v>
      </c>
      <c r="F1044" s="121" t="n">
        <f aca="false">SUM(BM950:BX950)</f>
        <v>420000</v>
      </c>
      <c r="G1044" s="121" t="n">
        <f aca="false">SUM(BY950:CJ950)</f>
        <v>420000</v>
      </c>
      <c r="H1044" s="121" t="n">
        <f aca="false">SUM(CK950:CV950)</f>
        <v>420000</v>
      </c>
      <c r="I1044" s="121" t="n">
        <f aca="false">SUM(CW950:DH950)</f>
        <v>420000</v>
      </c>
      <c r="J1044" s="121" t="n">
        <f aca="false">SUM(DI950:DT950)</f>
        <v>420000</v>
      </c>
      <c r="K1044" s="121" t="n">
        <f aca="false">SUM(DU950:EF950)</f>
        <v>420000</v>
      </c>
      <c r="L1044" s="121" t="n">
        <f aca="false">SUM(EG950:ER950)</f>
        <v>420000</v>
      </c>
      <c r="M1044" s="121" t="n">
        <f aca="false">SUM(ES950:FD950)</f>
        <v>420000</v>
      </c>
      <c r="N1044" s="9" t="n">
        <f aca="false">SUM(FE950:FP950)</f>
        <v>420000</v>
      </c>
      <c r="O1044" s="9"/>
      <c r="P1044" s="9"/>
      <c r="Q1044" s="9"/>
      <c r="R1044" s="9"/>
      <c r="S1044" s="9"/>
      <c r="T1044" s="9" t="n">
        <v>0.0125</v>
      </c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  <c r="CO1044" s="9"/>
      <c r="CP1044" s="9"/>
      <c r="CQ1044" s="9"/>
      <c r="CR1044" s="9"/>
      <c r="CS1044" s="9"/>
      <c r="CT1044" s="9"/>
      <c r="CU1044" s="9"/>
      <c r="CV1044" s="9"/>
      <c r="CW1044" s="9"/>
      <c r="CX1044" s="9"/>
      <c r="CY1044" s="9"/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  <c r="EA1044" s="9"/>
      <c r="EB1044" s="9"/>
      <c r="EC1044" s="9"/>
      <c r="ED1044" s="9"/>
      <c r="EE1044" s="9"/>
      <c r="EF1044" s="9"/>
      <c r="EG1044" s="9"/>
      <c r="EH1044" s="9"/>
      <c r="EI1044" s="9"/>
      <c r="EJ1044" s="9"/>
      <c r="EK1044" s="9"/>
      <c r="EL1044" s="9"/>
      <c r="EM1044" s="9"/>
      <c r="EN1044" s="9"/>
      <c r="EO1044" s="9"/>
      <c r="EP1044" s="9"/>
      <c r="EQ1044" s="9"/>
      <c r="ER1044" s="9"/>
      <c r="ES1044" s="9"/>
      <c r="ET1044" s="9"/>
      <c r="EU1044" s="9"/>
      <c r="EV1044" s="9"/>
      <c r="EW1044" s="9"/>
      <c r="EX1044" s="9"/>
      <c r="EY1044" s="9"/>
      <c r="EZ1044" s="9"/>
      <c r="FA1044" s="9"/>
      <c r="FB1044" s="9"/>
      <c r="FC1044" s="9"/>
      <c r="FD1044" s="9"/>
      <c r="FE1044" s="9"/>
      <c r="FF1044" s="9"/>
      <c r="FG1044" s="9"/>
      <c r="FH1044" s="9"/>
      <c r="FI1044" s="9"/>
      <c r="FJ1044" s="9"/>
      <c r="FK1044" s="9"/>
      <c r="FL1044" s="9"/>
      <c r="FM1044" s="9"/>
      <c r="FN1044" s="9"/>
      <c r="FO1044" s="9"/>
      <c r="FP1044" s="9"/>
    </row>
    <row r="1045" customFormat="false" ht="15" hidden="false" customHeight="false" outlineLevel="0" collapsed="false">
      <c r="B1045" s="253" t="s">
        <v>976</v>
      </c>
      <c r="C1045" s="121" t="n">
        <f aca="false">SUM(AC951:AN951)</f>
        <v>40801.26</v>
      </c>
      <c r="D1045" s="121" t="n">
        <f aca="false">SUM(AO951:AZ951)</f>
        <v>111120.303552</v>
      </c>
      <c r="E1045" s="121" t="n">
        <f aca="false">SUM(BA951:BL951)</f>
        <v>163610.01303</v>
      </c>
      <c r="F1045" s="121" t="n">
        <f aca="false">SUM(BM951:BX951)</f>
        <v>180000</v>
      </c>
      <c r="G1045" s="121" t="n">
        <f aca="false">SUM(BY951:CJ951)</f>
        <v>180000</v>
      </c>
      <c r="H1045" s="121" t="n">
        <f aca="false">SUM(CK951:CV951)</f>
        <v>180000</v>
      </c>
      <c r="I1045" s="121" t="n">
        <f aca="false">SUM(CW951:DH951)</f>
        <v>180000</v>
      </c>
      <c r="J1045" s="121" t="n">
        <f aca="false">SUM(DI951:DT951)</f>
        <v>180000</v>
      </c>
      <c r="K1045" s="121" t="n">
        <f aca="false">SUM(DU951:EF951)</f>
        <v>180000</v>
      </c>
      <c r="L1045" s="121" t="n">
        <f aca="false">SUM(EG951:ER951)</f>
        <v>180000</v>
      </c>
      <c r="M1045" s="121" t="n">
        <f aca="false">SUM(ES951:FD951)</f>
        <v>180000</v>
      </c>
      <c r="N1045" s="9" t="n">
        <f aca="false">SUM(FE951:FP951)</f>
        <v>180000</v>
      </c>
      <c r="O1045" s="9"/>
      <c r="P1045" s="9"/>
      <c r="Q1045" s="9"/>
      <c r="R1045" s="9"/>
      <c r="S1045" s="9"/>
      <c r="T1045" s="9" t="n">
        <v>0.0125</v>
      </c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9"/>
      <c r="BG1045" s="9"/>
      <c r="BH1045" s="9"/>
      <c r="BI1045" s="9"/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  <c r="CA1045" s="9"/>
      <c r="CB1045" s="9"/>
      <c r="CC1045" s="9"/>
      <c r="CD1045" s="9"/>
      <c r="CE1045" s="9"/>
      <c r="CF1045" s="9"/>
      <c r="CG1045" s="9"/>
      <c r="CH1045" s="9"/>
      <c r="CI1045" s="9"/>
      <c r="CJ1045" s="9"/>
      <c r="CK1045" s="9"/>
      <c r="CL1045" s="9"/>
      <c r="CM1045" s="9"/>
      <c r="CN1045" s="9"/>
      <c r="CO1045" s="9"/>
      <c r="CP1045" s="9"/>
      <c r="CQ1045" s="9"/>
      <c r="CR1045" s="9"/>
      <c r="CS1045" s="9"/>
      <c r="CT1045" s="9"/>
      <c r="CU1045" s="9"/>
      <c r="CV1045" s="9"/>
      <c r="CW1045" s="9"/>
      <c r="CX1045" s="9"/>
      <c r="CY1045" s="9"/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  <c r="EA1045" s="9"/>
      <c r="EB1045" s="9"/>
      <c r="EC1045" s="9"/>
      <c r="ED1045" s="9"/>
      <c r="EE1045" s="9"/>
      <c r="EF1045" s="9"/>
      <c r="EG1045" s="9"/>
      <c r="EH1045" s="9"/>
      <c r="EI1045" s="9"/>
      <c r="EJ1045" s="9"/>
      <c r="EK1045" s="9"/>
      <c r="EL1045" s="9"/>
      <c r="EM1045" s="9"/>
      <c r="EN1045" s="9"/>
      <c r="EO1045" s="9"/>
      <c r="EP1045" s="9"/>
      <c r="EQ1045" s="9"/>
      <c r="ER1045" s="9"/>
      <c r="ES1045" s="9"/>
      <c r="ET1045" s="9"/>
      <c r="EU1045" s="9"/>
      <c r="EV1045" s="9"/>
      <c r="EW1045" s="9"/>
      <c r="EX1045" s="9"/>
      <c r="EY1045" s="9"/>
      <c r="EZ1045" s="9"/>
      <c r="FA1045" s="9"/>
      <c r="FB1045" s="9"/>
      <c r="FC1045" s="9"/>
      <c r="FD1045" s="9"/>
      <c r="FE1045" s="9"/>
      <c r="FF1045" s="9"/>
      <c r="FG1045" s="9"/>
      <c r="FH1045" s="9"/>
      <c r="FI1045" s="9"/>
      <c r="FJ1045" s="9"/>
      <c r="FK1045" s="9"/>
      <c r="FL1045" s="9"/>
      <c r="FM1045" s="9"/>
      <c r="FN1045" s="9"/>
      <c r="FO1045" s="9"/>
      <c r="FP1045" s="9"/>
    </row>
    <row r="1046" customFormat="false" ht="15" hidden="false" customHeight="false" outlineLevel="0" collapsed="false">
      <c r="B1046" s="253" t="s">
        <v>977</v>
      </c>
      <c r="C1046" s="121" t="n">
        <f aca="false">SUM(AC952:AN952)</f>
        <v>60944.3245072</v>
      </c>
      <c r="D1046" s="121" t="n">
        <f aca="false">SUM(AO952:AZ952)</f>
        <v>226327.12196064</v>
      </c>
      <c r="E1046" s="121" t="n">
        <f aca="false">SUM(BA952:BL952)</f>
        <v>321519.40222236</v>
      </c>
      <c r="F1046" s="121" t="n">
        <f aca="false">SUM(BM952:BX952)</f>
        <v>324000</v>
      </c>
      <c r="G1046" s="121" t="n">
        <f aca="false">SUM(BY952:CJ952)</f>
        <v>324000</v>
      </c>
      <c r="H1046" s="121" t="n">
        <f aca="false">SUM(CK952:CV952)</f>
        <v>324000</v>
      </c>
      <c r="I1046" s="121" t="n">
        <f aca="false">SUM(CW952:DH952)</f>
        <v>324000</v>
      </c>
      <c r="J1046" s="121" t="n">
        <f aca="false">SUM(DI952:DT952)</f>
        <v>324000</v>
      </c>
      <c r="K1046" s="121" t="n">
        <f aca="false">SUM(DU952:EF952)</f>
        <v>324000</v>
      </c>
      <c r="L1046" s="121" t="n">
        <f aca="false">SUM(EG952:ER952)</f>
        <v>324000</v>
      </c>
      <c r="M1046" s="121" t="n">
        <f aca="false">SUM(ES952:FD952)</f>
        <v>324000</v>
      </c>
      <c r="N1046" s="9" t="n">
        <f aca="false">SUM(FE952:FP952)</f>
        <v>324000</v>
      </c>
      <c r="O1046" s="9"/>
      <c r="P1046" s="9"/>
      <c r="Q1046" s="9"/>
      <c r="R1046" s="9"/>
      <c r="S1046" s="9"/>
      <c r="T1046" s="9" t="n">
        <v>0.0125</v>
      </c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  <c r="BF1046" s="9"/>
      <c r="BG1046" s="9"/>
      <c r="BH1046" s="9"/>
      <c r="BI1046" s="9"/>
      <c r="BJ1046" s="9"/>
      <c r="BK1046" s="9"/>
      <c r="BL1046" s="9"/>
      <c r="BM1046" s="9"/>
      <c r="BN1046" s="9"/>
      <c r="BO1046" s="9"/>
      <c r="BP1046" s="9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  <c r="CA1046" s="9"/>
      <c r="CB1046" s="9"/>
      <c r="CC1046" s="9"/>
      <c r="CD1046" s="9"/>
      <c r="CE1046" s="9"/>
      <c r="CF1046" s="9"/>
      <c r="CG1046" s="9"/>
      <c r="CH1046" s="9"/>
      <c r="CI1046" s="9"/>
      <c r="CJ1046" s="9"/>
      <c r="CK1046" s="9"/>
      <c r="CL1046" s="9"/>
      <c r="CM1046" s="9"/>
      <c r="CN1046" s="9"/>
      <c r="CO1046" s="9"/>
      <c r="CP1046" s="9"/>
      <c r="CQ1046" s="9"/>
      <c r="CR1046" s="9"/>
      <c r="CS1046" s="9"/>
      <c r="CT1046" s="9"/>
      <c r="CU1046" s="9"/>
      <c r="CV1046" s="9"/>
      <c r="CW1046" s="9"/>
      <c r="CX1046" s="9"/>
      <c r="CY1046" s="9"/>
      <c r="CZ1046" s="9"/>
      <c r="DA1046" s="9"/>
      <c r="DB1046" s="9"/>
      <c r="DC1046" s="9"/>
      <c r="DD1046" s="9"/>
      <c r="DE1046" s="9"/>
      <c r="DF1046" s="9"/>
      <c r="DG1046" s="9"/>
      <c r="DH1046" s="9"/>
      <c r="DI1046" s="9"/>
      <c r="DJ1046" s="9"/>
      <c r="DK1046" s="9"/>
      <c r="DL1046" s="9"/>
      <c r="DM1046" s="9"/>
      <c r="DN1046" s="9"/>
      <c r="DO1046" s="9"/>
      <c r="DP1046" s="9"/>
      <c r="DQ1046" s="9"/>
      <c r="DR1046" s="9"/>
      <c r="DS1046" s="9"/>
      <c r="DT1046" s="9"/>
      <c r="DU1046" s="9"/>
      <c r="DV1046" s="9"/>
      <c r="DW1046" s="9"/>
      <c r="DX1046" s="9"/>
      <c r="DY1046" s="9"/>
      <c r="DZ1046" s="9"/>
      <c r="EA1046" s="9"/>
      <c r="EB1046" s="9"/>
      <c r="EC1046" s="9"/>
      <c r="ED1046" s="9"/>
      <c r="EE1046" s="9"/>
      <c r="EF1046" s="9"/>
      <c r="EG1046" s="9"/>
      <c r="EH1046" s="9"/>
      <c r="EI1046" s="9"/>
      <c r="EJ1046" s="9"/>
      <c r="EK1046" s="9"/>
      <c r="EL1046" s="9"/>
      <c r="EM1046" s="9"/>
      <c r="EN1046" s="9"/>
      <c r="EO1046" s="9"/>
      <c r="EP1046" s="9"/>
      <c r="EQ1046" s="9"/>
      <c r="ER1046" s="9"/>
      <c r="ES1046" s="9"/>
      <c r="ET1046" s="9"/>
      <c r="EU1046" s="9"/>
      <c r="EV1046" s="9"/>
      <c r="EW1046" s="9"/>
      <c r="EX1046" s="9"/>
      <c r="EY1046" s="9"/>
      <c r="EZ1046" s="9"/>
      <c r="FA1046" s="9"/>
      <c r="FB1046" s="9"/>
      <c r="FC1046" s="9"/>
      <c r="FD1046" s="9"/>
      <c r="FE1046" s="9"/>
      <c r="FF1046" s="9"/>
      <c r="FG1046" s="9"/>
      <c r="FH1046" s="9"/>
      <c r="FI1046" s="9"/>
      <c r="FJ1046" s="9"/>
      <c r="FK1046" s="9"/>
      <c r="FL1046" s="9"/>
      <c r="FM1046" s="9"/>
      <c r="FN1046" s="9"/>
      <c r="FO1046" s="9"/>
      <c r="FP1046" s="9"/>
    </row>
    <row r="1047" customFormat="false" ht="15" hidden="false" customHeight="false" outlineLevel="0" collapsed="false">
      <c r="B1047" s="253" t="s">
        <v>978</v>
      </c>
      <c r="C1047" s="121" t="n">
        <f aca="false">SUM(AC953:AN953)</f>
        <v>5612.04</v>
      </c>
      <c r="D1047" s="121" t="n">
        <f aca="false">SUM(AO953:AZ953)</f>
        <v>144895.7950272</v>
      </c>
      <c r="E1047" s="121" t="n">
        <f aca="false">SUM(BA953:BL953)</f>
        <v>338187.51762376</v>
      </c>
      <c r="F1047" s="121" t="n">
        <f aca="false">SUM(BM953:BX953)</f>
        <v>417632.95555576</v>
      </c>
      <c r="G1047" s="121" t="n">
        <f aca="false">SUM(BY953:CJ953)</f>
        <v>420000</v>
      </c>
      <c r="H1047" s="121" t="n">
        <f aca="false">SUM(CK953:CV953)</f>
        <v>420000</v>
      </c>
      <c r="I1047" s="121" t="n">
        <f aca="false">SUM(CW953:DH953)</f>
        <v>420000</v>
      </c>
      <c r="J1047" s="121" t="n">
        <f aca="false">SUM(DI953:DT953)</f>
        <v>420000</v>
      </c>
      <c r="K1047" s="121" t="n">
        <f aca="false">SUM(DU953:EF953)</f>
        <v>420000</v>
      </c>
      <c r="L1047" s="121" t="n">
        <f aca="false">SUM(EG953:ER953)</f>
        <v>420000</v>
      </c>
      <c r="M1047" s="121" t="n">
        <f aca="false">SUM(ES953:FD953)</f>
        <v>420000</v>
      </c>
      <c r="N1047" s="9" t="n">
        <f aca="false">SUM(FE953:FP953)</f>
        <v>420000</v>
      </c>
      <c r="O1047" s="9"/>
      <c r="P1047" s="9"/>
      <c r="Q1047" s="9"/>
      <c r="R1047" s="9"/>
      <c r="S1047" s="9"/>
      <c r="T1047" s="9" t="n">
        <v>0.0125</v>
      </c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9"/>
      <c r="CQ1047" s="9"/>
      <c r="CR1047" s="9"/>
      <c r="CS1047" s="9"/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9"/>
      <c r="DQ1047" s="9"/>
      <c r="DR1047" s="9"/>
      <c r="DS1047" s="9"/>
      <c r="DT1047" s="9"/>
      <c r="DU1047" s="9"/>
      <c r="DV1047" s="9"/>
      <c r="DW1047" s="9"/>
      <c r="DX1047" s="9"/>
      <c r="DY1047" s="9"/>
      <c r="DZ1047" s="9"/>
      <c r="EA1047" s="9"/>
      <c r="EB1047" s="9"/>
      <c r="EC1047" s="9"/>
      <c r="ED1047" s="9"/>
      <c r="EE1047" s="9"/>
      <c r="EF1047" s="9"/>
      <c r="EG1047" s="9"/>
      <c r="EH1047" s="9"/>
      <c r="EI1047" s="9"/>
      <c r="EJ1047" s="9"/>
      <c r="EK1047" s="9"/>
      <c r="EL1047" s="9"/>
      <c r="EM1047" s="9"/>
      <c r="EN1047" s="9"/>
      <c r="EO1047" s="9"/>
      <c r="EP1047" s="9"/>
      <c r="EQ1047" s="9"/>
      <c r="ER1047" s="9"/>
      <c r="ES1047" s="9"/>
      <c r="ET1047" s="9"/>
      <c r="EU1047" s="9"/>
      <c r="EV1047" s="9"/>
      <c r="EW1047" s="9"/>
      <c r="EX1047" s="9"/>
      <c r="EY1047" s="9"/>
      <c r="EZ1047" s="9"/>
      <c r="FA1047" s="9"/>
      <c r="FB1047" s="9"/>
      <c r="FC1047" s="9"/>
      <c r="FD1047" s="9"/>
      <c r="FE1047" s="9"/>
      <c r="FF1047" s="9"/>
      <c r="FG1047" s="9"/>
      <c r="FH1047" s="9"/>
      <c r="FI1047" s="9"/>
      <c r="FJ1047" s="9"/>
      <c r="FK1047" s="9"/>
      <c r="FL1047" s="9"/>
      <c r="FM1047" s="9"/>
      <c r="FN1047" s="9"/>
      <c r="FO1047" s="9"/>
      <c r="FP1047" s="9"/>
    </row>
    <row r="1048" customFormat="false" ht="15" hidden="false" customHeight="false" outlineLevel="0" collapsed="false">
      <c r="B1048" s="253" t="s">
        <v>979</v>
      </c>
      <c r="C1048" s="121" t="n">
        <f aca="false">SUM(AC954:AN954)</f>
        <v>0</v>
      </c>
      <c r="D1048" s="121" t="n">
        <f aca="false">SUM(AO954:AZ954)</f>
        <v>0</v>
      </c>
      <c r="E1048" s="121" t="n">
        <f aca="false">SUM(BA954:BL954)</f>
        <v>38295.3021024</v>
      </c>
      <c r="F1048" s="121" t="n">
        <f aca="false">SUM(BM954:BX954)</f>
        <v>205148.3290752</v>
      </c>
      <c r="G1048" s="121" t="n">
        <f aca="false">SUM(BY954:CJ954)</f>
        <v>382010.19687824</v>
      </c>
      <c r="H1048" s="121" t="n">
        <f aca="false">SUM(CK954:CV954)</f>
        <v>420000</v>
      </c>
      <c r="I1048" s="121" t="n">
        <f aca="false">SUM(CW954:DH954)</f>
        <v>420000</v>
      </c>
      <c r="J1048" s="121" t="n">
        <f aca="false">SUM(DI954:DT954)</f>
        <v>420000</v>
      </c>
      <c r="K1048" s="121" t="n">
        <f aca="false">SUM(DU954:EF954)</f>
        <v>420000</v>
      </c>
      <c r="L1048" s="121" t="n">
        <f aca="false">SUM(EG954:ER954)</f>
        <v>420000</v>
      </c>
      <c r="M1048" s="121" t="n">
        <f aca="false">SUM(ES954:FD954)</f>
        <v>420000</v>
      </c>
      <c r="N1048" s="9" t="n">
        <f aca="false">SUM(FE954:FP954)</f>
        <v>420000</v>
      </c>
      <c r="O1048" s="9"/>
      <c r="P1048" s="9"/>
      <c r="Q1048" s="9"/>
      <c r="R1048" s="9"/>
      <c r="S1048" s="9"/>
      <c r="T1048" s="9" t="n">
        <v>0.0125</v>
      </c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  <c r="CA1048" s="9"/>
      <c r="CB1048" s="9"/>
      <c r="CC1048" s="9"/>
      <c r="CD1048" s="9"/>
      <c r="CE1048" s="9"/>
      <c r="CF1048" s="9"/>
      <c r="CG1048" s="9"/>
      <c r="CH1048" s="9"/>
      <c r="CI1048" s="9"/>
      <c r="CJ1048" s="9"/>
      <c r="CK1048" s="9"/>
      <c r="CL1048" s="9"/>
      <c r="CM1048" s="9"/>
      <c r="CN1048" s="9"/>
      <c r="CO1048" s="9"/>
      <c r="CP1048" s="9"/>
      <c r="CQ1048" s="9"/>
      <c r="CR1048" s="9"/>
      <c r="CS1048" s="9"/>
      <c r="CT1048" s="9"/>
      <c r="CU1048" s="9"/>
      <c r="CV1048" s="9"/>
      <c r="CW1048" s="9"/>
      <c r="CX1048" s="9"/>
      <c r="CY1048" s="9"/>
      <c r="CZ1048" s="9"/>
      <c r="DA1048" s="9"/>
      <c r="DB1048" s="9"/>
      <c r="DC1048" s="9"/>
      <c r="DD1048" s="9"/>
      <c r="DE1048" s="9"/>
      <c r="DF1048" s="9"/>
      <c r="DG1048" s="9"/>
      <c r="DH1048" s="9"/>
      <c r="DI1048" s="9"/>
      <c r="DJ1048" s="9"/>
      <c r="DK1048" s="9"/>
      <c r="DL1048" s="9"/>
      <c r="DM1048" s="9"/>
      <c r="DN1048" s="9"/>
      <c r="DO1048" s="9"/>
      <c r="DP1048" s="9"/>
      <c r="DQ1048" s="9"/>
      <c r="DR1048" s="9"/>
      <c r="DS1048" s="9"/>
      <c r="DT1048" s="9"/>
      <c r="DU1048" s="9"/>
      <c r="DV1048" s="9"/>
      <c r="DW1048" s="9"/>
      <c r="DX1048" s="9"/>
      <c r="DY1048" s="9"/>
      <c r="DZ1048" s="9"/>
      <c r="EA1048" s="9"/>
      <c r="EB1048" s="9"/>
      <c r="EC1048" s="9"/>
      <c r="ED1048" s="9"/>
      <c r="EE1048" s="9"/>
      <c r="EF1048" s="9"/>
      <c r="EG1048" s="9"/>
      <c r="EH1048" s="9"/>
      <c r="EI1048" s="9"/>
      <c r="EJ1048" s="9"/>
      <c r="EK1048" s="9"/>
      <c r="EL1048" s="9"/>
      <c r="EM1048" s="9"/>
      <c r="EN1048" s="9"/>
      <c r="EO1048" s="9"/>
      <c r="EP1048" s="9"/>
      <c r="EQ1048" s="9"/>
      <c r="ER1048" s="9"/>
      <c r="ES1048" s="9"/>
      <c r="ET1048" s="9"/>
      <c r="EU1048" s="9"/>
      <c r="EV1048" s="9"/>
      <c r="EW1048" s="9"/>
      <c r="EX1048" s="9"/>
      <c r="EY1048" s="9"/>
      <c r="EZ1048" s="9"/>
      <c r="FA1048" s="9"/>
      <c r="FB1048" s="9"/>
      <c r="FC1048" s="9"/>
      <c r="FD1048" s="9"/>
      <c r="FE1048" s="9"/>
      <c r="FF1048" s="9"/>
      <c r="FG1048" s="9"/>
      <c r="FH1048" s="9"/>
      <c r="FI1048" s="9"/>
      <c r="FJ1048" s="9"/>
      <c r="FK1048" s="9"/>
      <c r="FL1048" s="9"/>
      <c r="FM1048" s="9"/>
      <c r="FN1048" s="9"/>
      <c r="FO1048" s="9"/>
      <c r="FP1048" s="9"/>
    </row>
    <row r="1049" customFormat="false" ht="15" hidden="false" customHeight="false" outlineLevel="0" collapsed="false">
      <c r="B1049" s="253" t="s">
        <v>980</v>
      </c>
      <c r="C1049" s="121" t="n">
        <f aca="false">SUM(AC955:AN955)</f>
        <v>0</v>
      </c>
      <c r="D1049" s="121" t="n">
        <f aca="false">SUM(AO955:AZ955)</f>
        <v>0</v>
      </c>
      <c r="E1049" s="121" t="n">
        <f aca="false">SUM(BA955:BL955)</f>
        <v>114243.528</v>
      </c>
      <c r="F1049" s="121" t="n">
        <f aca="false">SUM(BM955:BX955)</f>
        <v>307388.67250112</v>
      </c>
      <c r="G1049" s="121" t="n">
        <f aca="false">SUM(BY955:CJ955)</f>
        <v>414570.7611416</v>
      </c>
      <c r="H1049" s="121" t="n">
        <f aca="false">SUM(CK955:CV955)</f>
        <v>420000</v>
      </c>
      <c r="I1049" s="121" t="n">
        <f aca="false">SUM(CW955:DH955)</f>
        <v>420000</v>
      </c>
      <c r="J1049" s="121" t="n">
        <f aca="false">SUM(DI955:DT955)</f>
        <v>420000</v>
      </c>
      <c r="K1049" s="121" t="n">
        <f aca="false">SUM(DU955:EF955)</f>
        <v>420000</v>
      </c>
      <c r="L1049" s="121" t="n">
        <f aca="false">SUM(EG955:ER955)</f>
        <v>420000</v>
      </c>
      <c r="M1049" s="121" t="n">
        <f aca="false">SUM(ES955:FD955)</f>
        <v>420000</v>
      </c>
      <c r="N1049" s="9" t="n">
        <f aca="false">SUM(FE955:FP955)</f>
        <v>420000</v>
      </c>
      <c r="O1049" s="9"/>
      <c r="P1049" s="9"/>
      <c r="Q1049" s="9"/>
      <c r="R1049" s="9"/>
      <c r="S1049" s="9"/>
      <c r="T1049" s="9" t="n">
        <v>0.0125</v>
      </c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  <c r="CO1049" s="9"/>
      <c r="CP1049" s="9"/>
      <c r="CQ1049" s="9"/>
      <c r="CR1049" s="9"/>
      <c r="CS1049" s="9"/>
      <c r="CT1049" s="9"/>
      <c r="CU1049" s="9"/>
      <c r="CV1049" s="9"/>
      <c r="CW1049" s="9"/>
      <c r="CX1049" s="9"/>
      <c r="CY1049" s="9"/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9"/>
      <c r="DZ1049" s="9"/>
      <c r="EA1049" s="9"/>
      <c r="EB1049" s="9"/>
      <c r="EC1049" s="9"/>
      <c r="ED1049" s="9"/>
      <c r="EE1049" s="9"/>
      <c r="EF1049" s="9"/>
      <c r="EG1049" s="9"/>
      <c r="EH1049" s="9"/>
      <c r="EI1049" s="9"/>
      <c r="EJ1049" s="9"/>
      <c r="EK1049" s="9"/>
      <c r="EL1049" s="9"/>
      <c r="EM1049" s="9"/>
      <c r="EN1049" s="9"/>
      <c r="EO1049" s="9"/>
      <c r="EP1049" s="9"/>
      <c r="EQ1049" s="9"/>
      <c r="ER1049" s="9"/>
      <c r="ES1049" s="9"/>
      <c r="ET1049" s="9"/>
      <c r="EU1049" s="9"/>
      <c r="EV1049" s="9"/>
      <c r="EW1049" s="9"/>
      <c r="EX1049" s="9"/>
      <c r="EY1049" s="9"/>
      <c r="EZ1049" s="9"/>
      <c r="FA1049" s="9"/>
      <c r="FB1049" s="9"/>
      <c r="FC1049" s="9"/>
      <c r="FD1049" s="9"/>
      <c r="FE1049" s="9"/>
      <c r="FF1049" s="9"/>
      <c r="FG1049" s="9"/>
      <c r="FH1049" s="9"/>
      <c r="FI1049" s="9"/>
      <c r="FJ1049" s="9"/>
      <c r="FK1049" s="9"/>
      <c r="FL1049" s="9"/>
      <c r="FM1049" s="9"/>
      <c r="FN1049" s="9"/>
      <c r="FO1049" s="9"/>
      <c r="FP1049" s="9"/>
    </row>
    <row r="1050" customFormat="false" ht="15" hidden="false" customHeight="false" outlineLevel="0" collapsed="false">
      <c r="B1050" s="253" t="s">
        <v>981</v>
      </c>
      <c r="C1050" s="121" t="n">
        <f aca="false">SUM(AC956:AN956)</f>
        <v>0</v>
      </c>
      <c r="D1050" s="121" t="n">
        <f aca="false">SUM(AO956:AZ956)</f>
        <v>0</v>
      </c>
      <c r="E1050" s="121" t="n">
        <f aca="false">SUM(BA956:BL956)</f>
        <v>83501.7500352</v>
      </c>
      <c r="F1050" s="121" t="n">
        <f aca="false">SUM(BM956:BX956)</f>
        <v>276585.6872072</v>
      </c>
      <c r="G1050" s="121" t="n">
        <f aca="false">SUM(BY956:CJ956)</f>
        <v>407132.86053888</v>
      </c>
      <c r="H1050" s="121" t="n">
        <f aca="false">SUM(CK956:CV956)</f>
        <v>420000</v>
      </c>
      <c r="I1050" s="121" t="n">
        <f aca="false">SUM(CW956:DH956)</f>
        <v>420000</v>
      </c>
      <c r="J1050" s="121" t="n">
        <f aca="false">SUM(DI956:DT956)</f>
        <v>420000</v>
      </c>
      <c r="K1050" s="121" t="n">
        <f aca="false">SUM(DU956:EF956)</f>
        <v>420000</v>
      </c>
      <c r="L1050" s="121" t="n">
        <f aca="false">SUM(EG956:ER956)</f>
        <v>420000</v>
      </c>
      <c r="M1050" s="121" t="n">
        <f aca="false">SUM(ES956:FD956)</f>
        <v>420000</v>
      </c>
      <c r="N1050" s="9" t="n">
        <f aca="false">SUM(FE956:FP956)</f>
        <v>420000</v>
      </c>
      <c r="O1050" s="9"/>
      <c r="P1050" s="9"/>
      <c r="Q1050" s="9"/>
      <c r="R1050" s="9"/>
      <c r="S1050" s="9"/>
      <c r="T1050" s="9" t="n">
        <v>0.0125</v>
      </c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  <c r="CO1050" s="9"/>
      <c r="CP1050" s="9"/>
      <c r="CQ1050" s="9"/>
      <c r="CR1050" s="9"/>
      <c r="CS1050" s="9"/>
      <c r="CT1050" s="9"/>
      <c r="CU1050" s="9"/>
      <c r="CV1050" s="9"/>
      <c r="CW1050" s="9"/>
      <c r="CX1050" s="9"/>
      <c r="CY1050" s="9"/>
      <c r="CZ1050" s="9"/>
      <c r="DA1050" s="9"/>
      <c r="DB1050" s="9"/>
      <c r="DC1050" s="9"/>
      <c r="DD1050" s="9"/>
      <c r="DE1050" s="9"/>
      <c r="DF1050" s="9"/>
      <c r="DG1050" s="9"/>
      <c r="DH1050" s="9"/>
      <c r="DI1050" s="9"/>
      <c r="DJ1050" s="9"/>
      <c r="DK1050" s="9"/>
      <c r="DL1050" s="9"/>
      <c r="DM1050" s="9"/>
      <c r="DN1050" s="9"/>
      <c r="DO1050" s="9"/>
      <c r="DP1050" s="9"/>
      <c r="DQ1050" s="9"/>
      <c r="DR1050" s="9"/>
      <c r="DS1050" s="9"/>
      <c r="DT1050" s="9"/>
      <c r="DU1050" s="9"/>
      <c r="DV1050" s="9"/>
      <c r="DW1050" s="9"/>
      <c r="DX1050" s="9"/>
      <c r="DY1050" s="9"/>
      <c r="DZ1050" s="9"/>
      <c r="EA1050" s="9"/>
      <c r="EB1050" s="9"/>
      <c r="EC1050" s="9"/>
      <c r="ED1050" s="9"/>
      <c r="EE1050" s="9"/>
      <c r="EF1050" s="9"/>
      <c r="EG1050" s="9"/>
      <c r="EH1050" s="9"/>
      <c r="EI1050" s="9"/>
      <c r="EJ1050" s="9"/>
      <c r="EK1050" s="9"/>
      <c r="EL1050" s="9"/>
      <c r="EM1050" s="9"/>
      <c r="EN1050" s="9"/>
      <c r="EO1050" s="9"/>
      <c r="EP1050" s="9"/>
      <c r="EQ1050" s="9"/>
      <c r="ER1050" s="9"/>
      <c r="ES1050" s="9"/>
      <c r="ET1050" s="9"/>
      <c r="EU1050" s="9"/>
      <c r="EV1050" s="9"/>
      <c r="EW1050" s="9"/>
      <c r="EX1050" s="9"/>
      <c r="EY1050" s="9"/>
      <c r="EZ1050" s="9"/>
      <c r="FA1050" s="9"/>
      <c r="FB1050" s="9"/>
      <c r="FC1050" s="9"/>
      <c r="FD1050" s="9"/>
      <c r="FE1050" s="9"/>
      <c r="FF1050" s="9"/>
      <c r="FG1050" s="9"/>
      <c r="FH1050" s="9"/>
      <c r="FI1050" s="9"/>
      <c r="FJ1050" s="9"/>
      <c r="FK1050" s="9"/>
      <c r="FL1050" s="9"/>
      <c r="FM1050" s="9"/>
      <c r="FN1050" s="9"/>
      <c r="FO1050" s="9"/>
      <c r="FP1050" s="9"/>
    </row>
    <row r="1051" customFormat="false" ht="15" hidden="false" customHeight="false" outlineLevel="0" collapsed="false">
      <c r="B1051" s="10" t="s">
        <v>982</v>
      </c>
      <c r="C1051" s="121" t="n">
        <f aca="false">SUM(AC957:AN957)</f>
        <v>0</v>
      </c>
      <c r="D1051" s="121" t="n">
        <f aca="false">SUM(AO957:AZ957)</f>
        <v>0</v>
      </c>
      <c r="E1051" s="121" t="n">
        <f aca="false">SUM(BA957:BL957)</f>
        <v>57362.7868128</v>
      </c>
      <c r="F1051" s="121" t="n">
        <f aca="false">SUM(BM957:BX957)</f>
        <v>240782.54794272</v>
      </c>
      <c r="G1051" s="121" t="n">
        <f aca="false">SUM(BY957:CJ957)</f>
        <v>394864.84426368</v>
      </c>
      <c r="H1051" s="121" t="n">
        <f aca="false">SUM(CK957:CV957)</f>
        <v>420000</v>
      </c>
      <c r="I1051" s="121" t="n">
        <f aca="false">SUM(CW957:DH957)</f>
        <v>420000</v>
      </c>
      <c r="J1051" s="121" t="n">
        <f aca="false">SUM(DI957:DT957)</f>
        <v>420000</v>
      </c>
      <c r="K1051" s="121" t="n">
        <f aca="false">SUM(DU957:EF957)</f>
        <v>420000</v>
      </c>
      <c r="L1051" s="121" t="n">
        <f aca="false">SUM(EG957:ER957)</f>
        <v>420000</v>
      </c>
      <c r="M1051" s="121" t="n">
        <f aca="false">SUM(ES957:FD957)</f>
        <v>420000</v>
      </c>
      <c r="N1051" s="9" t="n">
        <f aca="false">SUM(FE957:FP957)</f>
        <v>420000</v>
      </c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  <c r="CO1051" s="9"/>
      <c r="CP1051" s="9"/>
      <c r="CQ1051" s="9"/>
      <c r="CR1051" s="9"/>
      <c r="CS1051" s="9"/>
      <c r="CT1051" s="9"/>
      <c r="CU1051" s="9"/>
      <c r="CV1051" s="9"/>
      <c r="CW1051" s="9"/>
      <c r="CX1051" s="9"/>
      <c r="CY1051" s="9"/>
      <c r="CZ1051" s="9"/>
      <c r="DA1051" s="9"/>
      <c r="DB1051" s="9"/>
      <c r="DC1051" s="9"/>
      <c r="DD1051" s="9"/>
      <c r="DE1051" s="9"/>
      <c r="DF1051" s="9"/>
      <c r="DG1051" s="9"/>
      <c r="DH1051" s="9"/>
      <c r="DI1051" s="9"/>
      <c r="DJ1051" s="9"/>
      <c r="DK1051" s="9"/>
      <c r="DL1051" s="9"/>
      <c r="DM1051" s="9"/>
      <c r="DN1051" s="9"/>
      <c r="DO1051" s="9"/>
      <c r="DP1051" s="9"/>
      <c r="DQ1051" s="9"/>
      <c r="DR1051" s="9"/>
      <c r="DS1051" s="9"/>
      <c r="DT1051" s="9"/>
      <c r="DU1051" s="9"/>
      <c r="DV1051" s="9"/>
      <c r="DW1051" s="9"/>
      <c r="DX1051" s="9"/>
      <c r="DY1051" s="9"/>
      <c r="DZ1051" s="9"/>
      <c r="EA1051" s="9"/>
      <c r="EB1051" s="9"/>
      <c r="EC1051" s="9"/>
      <c r="ED1051" s="9"/>
      <c r="EE1051" s="9"/>
      <c r="EF1051" s="9"/>
      <c r="EG1051" s="9"/>
      <c r="EH1051" s="9"/>
      <c r="EI1051" s="9"/>
      <c r="EJ1051" s="9"/>
      <c r="EK1051" s="9"/>
      <c r="EL1051" s="9"/>
      <c r="EM1051" s="9"/>
      <c r="EN1051" s="9"/>
      <c r="EO1051" s="9"/>
      <c r="EP1051" s="9"/>
      <c r="EQ1051" s="9"/>
      <c r="ER1051" s="9"/>
      <c r="ES1051" s="9"/>
      <c r="ET1051" s="9"/>
      <c r="EU1051" s="9"/>
      <c r="EV1051" s="9"/>
      <c r="EW1051" s="9"/>
      <c r="EX1051" s="9"/>
      <c r="EY1051" s="9"/>
      <c r="EZ1051" s="9"/>
      <c r="FA1051" s="9"/>
      <c r="FB1051" s="9"/>
      <c r="FC1051" s="9"/>
      <c r="FD1051" s="9"/>
      <c r="FE1051" s="9"/>
      <c r="FF1051" s="9"/>
      <c r="FG1051" s="9"/>
      <c r="FH1051" s="9"/>
      <c r="FI1051" s="9"/>
      <c r="FJ1051" s="9"/>
      <c r="FK1051" s="9"/>
      <c r="FL1051" s="9"/>
      <c r="FM1051" s="9"/>
      <c r="FN1051" s="9"/>
      <c r="FO1051" s="9"/>
      <c r="FP1051" s="9"/>
    </row>
    <row r="1052" customFormat="false" ht="15" hidden="false" customHeight="false" outlineLevel="0" collapsed="false">
      <c r="B1052" s="253" t="s">
        <v>983</v>
      </c>
      <c r="C1052" s="121" t="n">
        <f aca="false">SUM(AC958:AN958)</f>
        <v>0</v>
      </c>
      <c r="D1052" s="121" t="n">
        <f aca="false">SUM(AO958:AZ958)</f>
        <v>0</v>
      </c>
      <c r="E1052" s="121" t="n">
        <f aca="false">SUM(BA958:BL958)</f>
        <v>17700.770304</v>
      </c>
      <c r="F1052" s="121" t="n">
        <f aca="false">SUM(BM958:BX958)</f>
        <v>170465.2616352</v>
      </c>
      <c r="G1052" s="121" t="n">
        <f aca="false">SUM(BY958:CJ958)</f>
        <v>363331.868214</v>
      </c>
      <c r="H1052" s="121" t="n">
        <f aca="false">SUM(CK958:CV958)</f>
        <v>419837.51210128</v>
      </c>
      <c r="I1052" s="121" t="n">
        <f aca="false">SUM(CW958:DH958)</f>
        <v>420000</v>
      </c>
      <c r="J1052" s="121" t="n">
        <f aca="false">SUM(DI958:DT958)</f>
        <v>420000</v>
      </c>
      <c r="K1052" s="121" t="n">
        <f aca="false">SUM(DU958:EF958)</f>
        <v>420000</v>
      </c>
      <c r="L1052" s="121" t="n">
        <f aca="false">SUM(EG958:ER958)</f>
        <v>420000</v>
      </c>
      <c r="M1052" s="121" t="n">
        <f aca="false">SUM(ES958:FD958)</f>
        <v>420000</v>
      </c>
      <c r="N1052" s="9" t="n">
        <f aca="false">SUM(FE958:FP958)</f>
        <v>420000</v>
      </c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  <c r="BF1052" s="9"/>
      <c r="BG1052" s="9"/>
      <c r="BH1052" s="9"/>
      <c r="BI1052" s="9"/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  <c r="CA1052" s="9"/>
      <c r="CB1052" s="9"/>
      <c r="CC1052" s="9"/>
      <c r="CD1052" s="9"/>
      <c r="CE1052" s="9"/>
      <c r="CF1052" s="9"/>
      <c r="CG1052" s="9"/>
      <c r="CH1052" s="9"/>
      <c r="CI1052" s="9"/>
      <c r="CJ1052" s="9"/>
      <c r="CK1052" s="9"/>
      <c r="CL1052" s="9"/>
      <c r="CM1052" s="9"/>
      <c r="CN1052" s="9"/>
      <c r="CO1052" s="9"/>
      <c r="CP1052" s="9"/>
      <c r="CQ1052" s="9"/>
      <c r="CR1052" s="9"/>
      <c r="CS1052" s="9"/>
      <c r="CT1052" s="9"/>
      <c r="CU1052" s="9"/>
      <c r="CV1052" s="9"/>
      <c r="CW1052" s="9"/>
      <c r="CX1052" s="9"/>
      <c r="CY1052" s="9"/>
      <c r="CZ1052" s="9"/>
      <c r="DA1052" s="9"/>
      <c r="DB1052" s="9"/>
      <c r="DC1052" s="9"/>
      <c r="DD1052" s="9"/>
      <c r="DE1052" s="9"/>
      <c r="DF1052" s="9"/>
      <c r="DG1052" s="9"/>
      <c r="DH1052" s="9"/>
      <c r="DI1052" s="9"/>
      <c r="DJ1052" s="9"/>
      <c r="DK1052" s="9"/>
      <c r="DL1052" s="9"/>
      <c r="DM1052" s="9"/>
      <c r="DN1052" s="9"/>
      <c r="DO1052" s="9"/>
      <c r="DP1052" s="9"/>
      <c r="DQ1052" s="9"/>
      <c r="DR1052" s="9"/>
      <c r="DS1052" s="9"/>
      <c r="DT1052" s="9"/>
      <c r="DU1052" s="9"/>
      <c r="DV1052" s="9"/>
      <c r="DW1052" s="9"/>
      <c r="DX1052" s="9"/>
      <c r="DY1052" s="9"/>
      <c r="DZ1052" s="9"/>
      <c r="EA1052" s="9"/>
      <c r="EB1052" s="9"/>
      <c r="EC1052" s="9"/>
      <c r="ED1052" s="9"/>
      <c r="EE1052" s="9"/>
      <c r="EF1052" s="9"/>
      <c r="EG1052" s="9"/>
      <c r="EH1052" s="9"/>
      <c r="EI1052" s="9"/>
      <c r="EJ1052" s="9"/>
      <c r="EK1052" s="9"/>
      <c r="EL1052" s="9"/>
      <c r="EM1052" s="9"/>
      <c r="EN1052" s="9"/>
      <c r="EO1052" s="9"/>
      <c r="EP1052" s="9"/>
      <c r="EQ1052" s="9"/>
      <c r="ER1052" s="9"/>
      <c r="ES1052" s="9"/>
      <c r="ET1052" s="9"/>
      <c r="EU1052" s="9"/>
      <c r="EV1052" s="9"/>
      <c r="EW1052" s="9"/>
      <c r="EX1052" s="9"/>
      <c r="EY1052" s="9"/>
      <c r="EZ1052" s="9"/>
      <c r="FA1052" s="9"/>
      <c r="FB1052" s="9"/>
      <c r="FC1052" s="9"/>
      <c r="FD1052" s="9"/>
      <c r="FE1052" s="9"/>
      <c r="FF1052" s="9"/>
      <c r="FG1052" s="9"/>
      <c r="FH1052" s="9"/>
      <c r="FI1052" s="9"/>
      <c r="FJ1052" s="9"/>
      <c r="FK1052" s="9"/>
      <c r="FL1052" s="9"/>
      <c r="FM1052" s="9"/>
      <c r="FN1052" s="9"/>
      <c r="FO1052" s="9"/>
      <c r="FP1052" s="9"/>
    </row>
    <row r="1053" customFormat="false" ht="15" hidden="false" customHeight="false" outlineLevel="0" collapsed="false">
      <c r="B1053" s="10" t="s">
        <v>984</v>
      </c>
      <c r="C1053" s="121" t="n">
        <f aca="false">SUM(AC959:AN959)</f>
        <v>0</v>
      </c>
      <c r="D1053" s="121" t="n">
        <f aca="false">SUM(AO959:AZ959)</f>
        <v>0</v>
      </c>
      <c r="E1053" s="121" t="n">
        <f aca="false">SUM(BA959:BL959)</f>
        <v>116262.9648928</v>
      </c>
      <c r="F1053" s="121" t="n">
        <f aca="false">SUM(BM959:BX959)</f>
        <v>272952.41165452</v>
      </c>
      <c r="G1053" s="121" t="n">
        <f aca="false">SUM(BY959:CJ959)</f>
        <v>324000</v>
      </c>
      <c r="H1053" s="121" t="n">
        <f aca="false">SUM(CK959:CV959)</f>
        <v>324000</v>
      </c>
      <c r="I1053" s="121" t="n">
        <f aca="false">SUM(CW959:DH959)</f>
        <v>324000</v>
      </c>
      <c r="J1053" s="121" t="n">
        <f aca="false">SUM(DI959:DT959)</f>
        <v>324000</v>
      </c>
      <c r="K1053" s="121" t="n">
        <f aca="false">SUM(DU959:EF959)</f>
        <v>324000</v>
      </c>
      <c r="L1053" s="121" t="n">
        <f aca="false">SUM(EG959:ER959)</f>
        <v>324000</v>
      </c>
      <c r="M1053" s="121" t="n">
        <f aca="false">SUM(ES959:FD959)</f>
        <v>324000</v>
      </c>
      <c r="N1053" s="9" t="n">
        <f aca="false">SUM(FE959:FP959)</f>
        <v>324000</v>
      </c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  <c r="BF1053" s="9"/>
      <c r="BG1053" s="9"/>
      <c r="BH1053" s="9"/>
      <c r="BI1053" s="9"/>
      <c r="BJ1053" s="9"/>
      <c r="BK1053" s="9"/>
      <c r="BL1053" s="9"/>
      <c r="BM1053" s="9"/>
      <c r="BN1053" s="9"/>
      <c r="BO1053" s="9"/>
      <c r="BP1053" s="9"/>
      <c r="BQ1053" s="9"/>
      <c r="BR1053" s="9"/>
      <c r="BS1053" s="9"/>
      <c r="BT1053" s="9"/>
      <c r="BU1053" s="9"/>
      <c r="BV1053" s="9"/>
      <c r="BW1053" s="9"/>
      <c r="BX1053" s="9"/>
      <c r="BY1053" s="9"/>
      <c r="BZ1053" s="9"/>
      <c r="CA1053" s="9"/>
      <c r="CB1053" s="9"/>
      <c r="CC1053" s="9"/>
      <c r="CD1053" s="9"/>
      <c r="CE1053" s="9"/>
      <c r="CF1053" s="9"/>
      <c r="CG1053" s="9"/>
      <c r="CH1053" s="9"/>
      <c r="CI1053" s="9"/>
      <c r="CJ1053" s="9"/>
      <c r="CK1053" s="9"/>
      <c r="CL1053" s="9"/>
      <c r="CM1053" s="9"/>
      <c r="CN1053" s="9"/>
      <c r="CO1053" s="9"/>
      <c r="CP1053" s="9"/>
      <c r="CQ1053" s="9"/>
      <c r="CR1053" s="9"/>
      <c r="CS1053" s="9"/>
      <c r="CT1053" s="9"/>
      <c r="CU1053" s="9"/>
      <c r="CV1053" s="9"/>
      <c r="CW1053" s="9"/>
      <c r="CX1053" s="9"/>
      <c r="CY1053" s="9"/>
      <c r="CZ1053" s="9"/>
      <c r="DA1053" s="9"/>
      <c r="DB1053" s="9"/>
      <c r="DC1053" s="9"/>
      <c r="DD1053" s="9"/>
      <c r="DE1053" s="9"/>
      <c r="DF1053" s="9"/>
      <c r="DG1053" s="9"/>
      <c r="DH1053" s="9"/>
      <c r="DI1053" s="9"/>
      <c r="DJ1053" s="9"/>
      <c r="DK1053" s="9"/>
      <c r="DL1053" s="9"/>
      <c r="DM1053" s="9"/>
      <c r="DN1053" s="9"/>
      <c r="DO1053" s="9"/>
      <c r="DP1053" s="9"/>
      <c r="DQ1053" s="9"/>
      <c r="DR1053" s="9"/>
      <c r="DS1053" s="9"/>
      <c r="DT1053" s="9"/>
      <c r="DU1053" s="9"/>
      <c r="DV1053" s="9"/>
      <c r="DW1053" s="9"/>
      <c r="DX1053" s="9"/>
      <c r="DY1053" s="9"/>
      <c r="DZ1053" s="9"/>
      <c r="EA1053" s="9"/>
      <c r="EB1053" s="9"/>
      <c r="EC1053" s="9"/>
      <c r="ED1053" s="9"/>
      <c r="EE1053" s="9"/>
      <c r="EF1053" s="9"/>
      <c r="EG1053" s="9"/>
      <c r="EH1053" s="9"/>
      <c r="EI1053" s="9"/>
      <c r="EJ1053" s="9"/>
      <c r="EK1053" s="9"/>
      <c r="EL1053" s="9"/>
      <c r="EM1053" s="9"/>
      <c r="EN1053" s="9"/>
      <c r="EO1053" s="9"/>
      <c r="EP1053" s="9"/>
      <c r="EQ1053" s="9"/>
      <c r="ER1053" s="9"/>
      <c r="ES1053" s="9"/>
      <c r="ET1053" s="9"/>
      <c r="EU1053" s="9"/>
      <c r="EV1053" s="9"/>
      <c r="EW1053" s="9"/>
      <c r="EX1053" s="9"/>
      <c r="EY1053" s="9"/>
      <c r="EZ1053" s="9"/>
      <c r="FA1053" s="9"/>
      <c r="FB1053" s="9"/>
      <c r="FC1053" s="9"/>
      <c r="FD1053" s="9"/>
      <c r="FE1053" s="9"/>
      <c r="FF1053" s="9"/>
      <c r="FG1053" s="9"/>
      <c r="FH1053" s="9"/>
      <c r="FI1053" s="9"/>
      <c r="FJ1053" s="9"/>
      <c r="FK1053" s="9"/>
      <c r="FL1053" s="9"/>
      <c r="FM1053" s="9"/>
      <c r="FN1053" s="9"/>
      <c r="FO1053" s="9"/>
      <c r="FP1053" s="9"/>
    </row>
    <row r="1054" customFormat="false" ht="15" hidden="false" customHeight="false" outlineLevel="0" collapsed="false">
      <c r="B1054" s="10" t="s">
        <v>985</v>
      </c>
      <c r="C1054" s="121" t="n">
        <f aca="false">SUM(AC960:AN960)</f>
        <v>0</v>
      </c>
      <c r="D1054" s="121" t="n">
        <f aca="false">SUM(AO960:AZ960)</f>
        <v>0</v>
      </c>
      <c r="E1054" s="121" t="n">
        <f aca="false">SUM(BA960:BL960)</f>
        <v>87324.7463008</v>
      </c>
      <c r="F1054" s="121" t="n">
        <f aca="false">SUM(BM960:BX960)</f>
        <v>249182.01176528</v>
      </c>
      <c r="G1054" s="121" t="n">
        <f aca="false">SUM(BY960:CJ960)</f>
        <v>323495.16637564</v>
      </c>
      <c r="H1054" s="121" t="n">
        <f aca="false">SUM(CK960:CV960)</f>
        <v>324000</v>
      </c>
      <c r="I1054" s="121" t="n">
        <f aca="false">SUM(CW960:DH960)</f>
        <v>324000</v>
      </c>
      <c r="J1054" s="121" t="n">
        <f aca="false">SUM(DI960:DT960)</f>
        <v>324000</v>
      </c>
      <c r="K1054" s="121" t="n">
        <f aca="false">SUM(DU960:EF960)</f>
        <v>324000</v>
      </c>
      <c r="L1054" s="121" t="n">
        <f aca="false">SUM(EG960:ER960)</f>
        <v>324000</v>
      </c>
      <c r="M1054" s="121" t="n">
        <f aca="false">SUM(ES960:FD960)</f>
        <v>324000</v>
      </c>
      <c r="N1054" s="9" t="n">
        <f aca="false">SUM(FE960:FP960)</f>
        <v>324000</v>
      </c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  <c r="BF1054" s="9"/>
      <c r="BG1054" s="9"/>
      <c r="BH1054" s="9"/>
      <c r="BI1054" s="9"/>
      <c r="BJ1054" s="9"/>
      <c r="BK1054" s="9"/>
      <c r="BL1054" s="9"/>
      <c r="BM1054" s="9"/>
      <c r="BN1054" s="9"/>
      <c r="BO1054" s="9"/>
      <c r="BP1054" s="9"/>
      <c r="BQ1054" s="9"/>
      <c r="BR1054" s="9"/>
      <c r="BS1054" s="9"/>
      <c r="BT1054" s="9"/>
      <c r="BU1054" s="9"/>
      <c r="BV1054" s="9"/>
      <c r="BW1054" s="9"/>
      <c r="BX1054" s="9"/>
      <c r="BY1054" s="9"/>
      <c r="BZ1054" s="9"/>
      <c r="CA1054" s="9"/>
      <c r="CB1054" s="9"/>
      <c r="CC1054" s="9"/>
      <c r="CD1054" s="9"/>
      <c r="CE1054" s="9"/>
      <c r="CF1054" s="9"/>
      <c r="CG1054" s="9"/>
      <c r="CH1054" s="9"/>
      <c r="CI1054" s="9"/>
      <c r="CJ1054" s="9"/>
      <c r="CK1054" s="9"/>
      <c r="CL1054" s="9"/>
      <c r="CM1054" s="9"/>
      <c r="CN1054" s="9"/>
      <c r="CO1054" s="9"/>
      <c r="CP1054" s="9"/>
      <c r="CQ1054" s="9"/>
      <c r="CR1054" s="9"/>
      <c r="CS1054" s="9"/>
      <c r="CT1054" s="9"/>
      <c r="CU1054" s="9"/>
      <c r="CV1054" s="9"/>
      <c r="CW1054" s="9"/>
      <c r="CX1054" s="9"/>
      <c r="CY1054" s="9"/>
      <c r="CZ1054" s="9"/>
      <c r="DA1054" s="9"/>
      <c r="DB1054" s="9"/>
      <c r="DC1054" s="9"/>
      <c r="DD1054" s="9"/>
      <c r="DE1054" s="9"/>
      <c r="DF1054" s="9"/>
      <c r="DG1054" s="9"/>
      <c r="DH1054" s="9"/>
      <c r="DI1054" s="9"/>
      <c r="DJ1054" s="9"/>
      <c r="DK1054" s="9"/>
      <c r="DL1054" s="9"/>
      <c r="DM1054" s="9"/>
      <c r="DN1054" s="9"/>
      <c r="DO1054" s="9"/>
      <c r="DP1054" s="9"/>
      <c r="DQ1054" s="9"/>
      <c r="DR1054" s="9"/>
      <c r="DS1054" s="9"/>
      <c r="DT1054" s="9"/>
      <c r="DU1054" s="9"/>
      <c r="DV1054" s="9"/>
      <c r="DW1054" s="9"/>
      <c r="DX1054" s="9"/>
      <c r="DY1054" s="9"/>
      <c r="DZ1054" s="9"/>
      <c r="EA1054" s="9"/>
      <c r="EB1054" s="9"/>
      <c r="EC1054" s="9"/>
      <c r="ED1054" s="9"/>
      <c r="EE1054" s="9"/>
      <c r="EF1054" s="9"/>
      <c r="EG1054" s="9"/>
      <c r="EH1054" s="9"/>
      <c r="EI1054" s="9"/>
      <c r="EJ1054" s="9"/>
      <c r="EK1054" s="9"/>
      <c r="EL1054" s="9"/>
      <c r="EM1054" s="9"/>
      <c r="EN1054" s="9"/>
      <c r="EO1054" s="9"/>
      <c r="EP1054" s="9"/>
      <c r="EQ1054" s="9"/>
      <c r="ER1054" s="9"/>
      <c r="ES1054" s="9"/>
      <c r="ET1054" s="9"/>
      <c r="EU1054" s="9"/>
      <c r="EV1054" s="9"/>
      <c r="EW1054" s="9"/>
      <c r="EX1054" s="9"/>
      <c r="EY1054" s="9"/>
      <c r="EZ1054" s="9"/>
      <c r="FA1054" s="9"/>
      <c r="FB1054" s="9"/>
      <c r="FC1054" s="9"/>
      <c r="FD1054" s="9"/>
      <c r="FE1054" s="9"/>
      <c r="FF1054" s="9"/>
      <c r="FG1054" s="9"/>
      <c r="FH1054" s="9"/>
      <c r="FI1054" s="9"/>
      <c r="FJ1054" s="9"/>
      <c r="FK1054" s="9"/>
      <c r="FL1054" s="9"/>
      <c r="FM1054" s="9"/>
      <c r="FN1054" s="9"/>
      <c r="FO1054" s="9"/>
      <c r="FP1054" s="9"/>
    </row>
    <row r="1055" customFormat="false" ht="15" hidden="false" customHeight="false" outlineLevel="0" collapsed="false">
      <c r="B1055" s="10" t="s">
        <v>986</v>
      </c>
      <c r="C1055" s="121" t="n">
        <f aca="false">SUM(AC961:AN961)</f>
        <v>0</v>
      </c>
      <c r="D1055" s="121" t="n">
        <f aca="false">SUM(AO961:AZ961)</f>
        <v>0</v>
      </c>
      <c r="E1055" s="121" t="n">
        <f aca="false">SUM(BA961:BL961)</f>
        <v>0</v>
      </c>
      <c r="F1055" s="121" t="n">
        <f aca="false">SUM(BM961:BX961)</f>
        <v>60944.3245072</v>
      </c>
      <c r="G1055" s="121" t="n">
        <f aca="false">SUM(BY961:CJ961)</f>
        <v>226327.12196064</v>
      </c>
      <c r="H1055" s="121" t="n">
        <f aca="false">SUM(CK961:CV961)</f>
        <v>321519.40222236</v>
      </c>
      <c r="I1055" s="121" t="n">
        <f aca="false">SUM(CW961:DH961)</f>
        <v>324000</v>
      </c>
      <c r="J1055" s="121" t="n">
        <f aca="false">SUM(DI961:DT961)</f>
        <v>324000</v>
      </c>
      <c r="K1055" s="121" t="n">
        <f aca="false">SUM(DU961:EF961)</f>
        <v>324000</v>
      </c>
      <c r="L1055" s="121" t="n">
        <f aca="false">SUM(EG961:ER961)</f>
        <v>324000</v>
      </c>
      <c r="M1055" s="121" t="n">
        <f aca="false">SUM(ES961:FD961)</f>
        <v>324000</v>
      </c>
      <c r="N1055" s="9" t="n">
        <f aca="false">SUM(FE961:FP961)</f>
        <v>324000</v>
      </c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  <c r="BF1055" s="9"/>
      <c r="BG1055" s="9"/>
      <c r="BH1055" s="9"/>
      <c r="BI1055" s="9"/>
      <c r="BJ1055" s="9"/>
      <c r="BK1055" s="9"/>
      <c r="BL1055" s="9"/>
      <c r="BM1055" s="9"/>
      <c r="BN1055" s="9"/>
      <c r="BO1055" s="9"/>
      <c r="BP1055" s="9"/>
      <c r="BQ1055" s="9"/>
      <c r="BR1055" s="9"/>
      <c r="BS1055" s="9"/>
      <c r="BT1055" s="9"/>
      <c r="BU1055" s="9"/>
      <c r="BV1055" s="9"/>
      <c r="BW1055" s="9"/>
      <c r="BX1055" s="9"/>
      <c r="BY1055" s="9"/>
      <c r="BZ1055" s="9"/>
      <c r="CA1055" s="9"/>
      <c r="CB1055" s="9"/>
      <c r="CC1055" s="9"/>
      <c r="CD1055" s="9"/>
      <c r="CE1055" s="9"/>
      <c r="CF1055" s="9"/>
      <c r="CG1055" s="9"/>
      <c r="CH1055" s="9"/>
      <c r="CI1055" s="9"/>
      <c r="CJ1055" s="9"/>
      <c r="CK1055" s="9"/>
      <c r="CL1055" s="9"/>
      <c r="CM1055" s="9"/>
      <c r="CN1055" s="9"/>
      <c r="CO1055" s="9"/>
      <c r="CP1055" s="9"/>
      <c r="CQ1055" s="9"/>
      <c r="CR1055" s="9"/>
      <c r="CS1055" s="9"/>
      <c r="CT1055" s="9"/>
      <c r="CU1055" s="9"/>
      <c r="CV1055" s="9"/>
      <c r="CW1055" s="9"/>
      <c r="CX1055" s="9"/>
      <c r="CY1055" s="9"/>
      <c r="CZ1055" s="9"/>
      <c r="DA1055" s="9"/>
      <c r="DB1055" s="9"/>
      <c r="DC1055" s="9"/>
      <c r="DD1055" s="9"/>
      <c r="DE1055" s="9"/>
      <c r="DF1055" s="9"/>
      <c r="DG1055" s="9"/>
      <c r="DH1055" s="9"/>
      <c r="DI1055" s="9"/>
      <c r="DJ1055" s="9"/>
      <c r="DK1055" s="9"/>
      <c r="DL1055" s="9"/>
      <c r="DM1055" s="9"/>
      <c r="DN1055" s="9"/>
      <c r="DO1055" s="9"/>
      <c r="DP1055" s="9"/>
      <c r="DQ1055" s="9"/>
      <c r="DR1055" s="9"/>
      <c r="DS1055" s="9"/>
      <c r="DT1055" s="9"/>
      <c r="DU1055" s="9"/>
      <c r="DV1055" s="9"/>
      <c r="DW1055" s="9"/>
      <c r="DX1055" s="9"/>
      <c r="DY1055" s="9"/>
      <c r="DZ1055" s="9"/>
      <c r="EA1055" s="9"/>
      <c r="EB1055" s="9"/>
      <c r="EC1055" s="9"/>
      <c r="ED1055" s="9"/>
      <c r="EE1055" s="9"/>
      <c r="EF1055" s="9"/>
      <c r="EG1055" s="9"/>
      <c r="EH1055" s="9"/>
      <c r="EI1055" s="9"/>
      <c r="EJ1055" s="9"/>
      <c r="EK1055" s="9"/>
      <c r="EL1055" s="9"/>
      <c r="EM1055" s="9"/>
      <c r="EN1055" s="9"/>
      <c r="EO1055" s="9"/>
      <c r="EP1055" s="9"/>
      <c r="EQ1055" s="9"/>
      <c r="ER1055" s="9"/>
      <c r="ES1055" s="9"/>
      <c r="ET1055" s="9"/>
      <c r="EU1055" s="9"/>
      <c r="EV1055" s="9"/>
      <c r="EW1055" s="9"/>
      <c r="EX1055" s="9"/>
      <c r="EY1055" s="9"/>
      <c r="EZ1055" s="9"/>
      <c r="FA1055" s="9"/>
      <c r="FB1055" s="9"/>
      <c r="FC1055" s="9"/>
      <c r="FD1055" s="9"/>
      <c r="FE1055" s="9"/>
      <c r="FF1055" s="9"/>
      <c r="FG1055" s="9"/>
      <c r="FH1055" s="9"/>
      <c r="FI1055" s="9"/>
      <c r="FJ1055" s="9"/>
      <c r="FK1055" s="9"/>
      <c r="FL1055" s="9"/>
      <c r="FM1055" s="9"/>
      <c r="FN1055" s="9"/>
      <c r="FO1055" s="9"/>
      <c r="FP1055" s="9"/>
    </row>
    <row r="1056" customFormat="false" ht="15" hidden="false" customHeight="false" outlineLevel="0" collapsed="false">
      <c r="B1056" s="10" t="s">
        <v>987</v>
      </c>
      <c r="C1056" s="121" t="n">
        <f aca="false">SUM(AC962:AN962)</f>
        <v>0</v>
      </c>
      <c r="D1056" s="121" t="n">
        <f aca="false">SUM(AO962:AZ962)</f>
        <v>0</v>
      </c>
      <c r="E1056" s="121" t="n">
        <f aca="false">SUM(BA962:BL962)</f>
        <v>0</v>
      </c>
      <c r="F1056" s="121" t="n">
        <f aca="false">SUM(BM962:BX962)</f>
        <v>10641.74832</v>
      </c>
      <c r="G1056" s="121" t="n">
        <f aca="false">SUM(BY962:CJ962)</f>
        <v>157190.3881632</v>
      </c>
      <c r="H1056" s="121" t="n">
        <f aca="false">SUM(CK962:CV962)</f>
        <v>349994.8419492</v>
      </c>
      <c r="I1056" s="121" t="n">
        <f aca="false">SUM(CW962:DH962)</f>
        <v>418787.74634704</v>
      </c>
      <c r="J1056" s="121" t="n">
        <f aca="false">SUM(DI962:DT962)</f>
        <v>420000</v>
      </c>
      <c r="K1056" s="121" t="n">
        <f aca="false">SUM(DU962:EF962)</f>
        <v>420000</v>
      </c>
      <c r="L1056" s="121" t="n">
        <f aca="false">SUM(EG962:ER962)</f>
        <v>420000</v>
      </c>
      <c r="M1056" s="121" t="n">
        <f aca="false">SUM(ES962:FD962)</f>
        <v>420000</v>
      </c>
      <c r="N1056" s="9" t="n">
        <f aca="false">SUM(FE962:FP962)</f>
        <v>420000</v>
      </c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  <c r="BF1056" s="9"/>
      <c r="BG1056" s="9"/>
      <c r="BH1056" s="9"/>
      <c r="BI1056" s="9"/>
      <c r="BJ1056" s="9"/>
      <c r="BK1056" s="9"/>
      <c r="BL1056" s="9"/>
      <c r="BM1056" s="9"/>
      <c r="BN1056" s="9"/>
      <c r="BO1056" s="9"/>
      <c r="BP1056" s="9"/>
      <c r="BQ1056" s="9"/>
      <c r="BR1056" s="9"/>
      <c r="BS1056" s="9"/>
      <c r="BT1056" s="9"/>
      <c r="BU1056" s="9"/>
      <c r="BV1056" s="9"/>
      <c r="BW1056" s="9"/>
      <c r="BX1056" s="9"/>
      <c r="BY1056" s="9"/>
      <c r="BZ1056" s="9"/>
      <c r="CA1056" s="9"/>
      <c r="CB1056" s="9"/>
      <c r="CC1056" s="9"/>
      <c r="CD1056" s="9"/>
      <c r="CE1056" s="9"/>
      <c r="CF1056" s="9"/>
      <c r="CG1056" s="9"/>
      <c r="CH1056" s="9"/>
      <c r="CI1056" s="9"/>
      <c r="CJ1056" s="9"/>
      <c r="CK1056" s="9"/>
      <c r="CL1056" s="9"/>
      <c r="CM1056" s="9"/>
      <c r="CN1056" s="9"/>
      <c r="CO1056" s="9"/>
      <c r="CP1056" s="9"/>
      <c r="CQ1056" s="9"/>
      <c r="CR1056" s="9"/>
      <c r="CS1056" s="9"/>
      <c r="CT1056" s="9"/>
      <c r="CU1056" s="9"/>
      <c r="CV1056" s="9"/>
      <c r="CW1056" s="9"/>
      <c r="CX1056" s="9"/>
      <c r="CY1056" s="9"/>
      <c r="CZ1056" s="9"/>
      <c r="DA1056" s="9"/>
      <c r="DB1056" s="9"/>
      <c r="DC1056" s="9"/>
      <c r="DD1056" s="9"/>
      <c r="DE1056" s="9"/>
      <c r="DF1056" s="9"/>
      <c r="DG1056" s="9"/>
      <c r="DH1056" s="9"/>
      <c r="DI1056" s="9"/>
      <c r="DJ1056" s="9"/>
      <c r="DK1056" s="9"/>
      <c r="DL1056" s="9"/>
      <c r="DM1056" s="9"/>
      <c r="DN1056" s="9"/>
      <c r="DO1056" s="9"/>
      <c r="DP1056" s="9"/>
      <c r="DQ1056" s="9"/>
      <c r="DR1056" s="9"/>
      <c r="DS1056" s="9"/>
      <c r="DT1056" s="9"/>
      <c r="DU1056" s="9"/>
      <c r="DV1056" s="9"/>
      <c r="DW1056" s="9"/>
      <c r="DX1056" s="9"/>
      <c r="DY1056" s="9"/>
      <c r="DZ1056" s="9"/>
      <c r="EA1056" s="9"/>
      <c r="EB1056" s="9"/>
      <c r="EC1056" s="9"/>
      <c r="ED1056" s="9"/>
      <c r="EE1056" s="9"/>
      <c r="EF1056" s="9"/>
      <c r="EG1056" s="9"/>
      <c r="EH1056" s="9"/>
      <c r="EI1056" s="9"/>
      <c r="EJ1056" s="9"/>
      <c r="EK1056" s="9"/>
      <c r="EL1056" s="9"/>
      <c r="EM1056" s="9"/>
      <c r="EN1056" s="9"/>
      <c r="EO1056" s="9"/>
      <c r="EP1056" s="9"/>
      <c r="EQ1056" s="9"/>
      <c r="ER1056" s="9"/>
      <c r="ES1056" s="9"/>
      <c r="ET1056" s="9"/>
      <c r="EU1056" s="9"/>
      <c r="EV1056" s="9"/>
      <c r="EW1056" s="9"/>
      <c r="EX1056" s="9"/>
      <c r="EY1056" s="9"/>
      <c r="EZ1056" s="9"/>
      <c r="FA1056" s="9"/>
      <c r="FB1056" s="9"/>
      <c r="FC1056" s="9"/>
      <c r="FD1056" s="9"/>
      <c r="FE1056" s="9"/>
      <c r="FF1056" s="9"/>
      <c r="FG1056" s="9"/>
      <c r="FH1056" s="9"/>
      <c r="FI1056" s="9"/>
      <c r="FJ1056" s="9"/>
      <c r="FK1056" s="9"/>
      <c r="FL1056" s="9"/>
      <c r="FM1056" s="9"/>
      <c r="FN1056" s="9"/>
      <c r="FO1056" s="9"/>
      <c r="FP1056" s="9"/>
    </row>
    <row r="1057" customFormat="false" ht="15" hidden="false" customHeight="false" outlineLevel="0" collapsed="false">
      <c r="B1057" s="10" t="s">
        <v>988</v>
      </c>
      <c r="C1057" s="121" t="n">
        <f aca="false">SUM(AC963:AN963)</f>
        <v>0</v>
      </c>
      <c r="D1057" s="121" t="n">
        <f aca="false">SUM(AO963:AZ963)</f>
        <v>0</v>
      </c>
      <c r="E1057" s="121" t="n">
        <f aca="false">SUM(BA963:BL963)</f>
        <v>0</v>
      </c>
      <c r="F1057" s="121" t="n">
        <f aca="false">SUM(BM963:BX963)</f>
        <v>41840.8317744</v>
      </c>
      <c r="G1057" s="121" t="n">
        <f aca="false">SUM(BY963:CJ963)</f>
        <v>196418.61663776</v>
      </c>
      <c r="H1057" s="121" t="n">
        <f aca="false">SUM(CK963:CV963)</f>
        <v>318176.10393804</v>
      </c>
      <c r="I1057" s="121" t="n">
        <f aca="false">SUM(CW963:DH963)</f>
        <v>324000</v>
      </c>
      <c r="J1057" s="121" t="n">
        <f aca="false">SUM(DI963:DT963)</f>
        <v>324000</v>
      </c>
      <c r="K1057" s="121" t="n">
        <f aca="false">SUM(DU963:EF963)</f>
        <v>324000</v>
      </c>
      <c r="L1057" s="121" t="n">
        <f aca="false">SUM(EG963:ER963)</f>
        <v>324000</v>
      </c>
      <c r="M1057" s="121" t="n">
        <f aca="false">SUM(ES963:FD963)</f>
        <v>324000</v>
      </c>
      <c r="N1057" s="9" t="n">
        <f aca="false">SUM(FE963:FP963)</f>
        <v>324000</v>
      </c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  <c r="BF1057" s="9"/>
      <c r="BG1057" s="9"/>
      <c r="BH1057" s="9"/>
      <c r="BI1057" s="9"/>
      <c r="BJ1057" s="9"/>
      <c r="BK1057" s="9"/>
      <c r="BL1057" s="9"/>
      <c r="BM1057" s="9"/>
      <c r="BN1057" s="9"/>
      <c r="BO1057" s="9"/>
      <c r="BP1057" s="9"/>
      <c r="BQ1057" s="9"/>
      <c r="BR1057" s="9"/>
      <c r="BS1057" s="9"/>
      <c r="BT1057" s="9"/>
      <c r="BU1057" s="9"/>
      <c r="BV1057" s="9"/>
      <c r="BW1057" s="9"/>
      <c r="BX1057" s="9"/>
      <c r="BY1057" s="9"/>
      <c r="BZ1057" s="9"/>
      <c r="CA1057" s="9"/>
      <c r="CB1057" s="9"/>
      <c r="CC1057" s="9"/>
      <c r="CD1057" s="9"/>
      <c r="CE1057" s="9"/>
      <c r="CF1057" s="9"/>
      <c r="CG1057" s="9"/>
      <c r="CH1057" s="9"/>
      <c r="CI1057" s="9"/>
      <c r="CJ1057" s="9"/>
      <c r="CK1057" s="9"/>
      <c r="CL1057" s="9"/>
      <c r="CM1057" s="9"/>
      <c r="CN1057" s="9"/>
      <c r="CO1057" s="9"/>
      <c r="CP1057" s="9"/>
      <c r="CQ1057" s="9"/>
      <c r="CR1057" s="9"/>
      <c r="CS1057" s="9"/>
      <c r="CT1057" s="9"/>
      <c r="CU1057" s="9"/>
      <c r="CV1057" s="9"/>
      <c r="CW1057" s="9"/>
      <c r="CX1057" s="9"/>
      <c r="CY1057" s="9"/>
      <c r="CZ1057" s="9"/>
      <c r="DA1057" s="9"/>
      <c r="DB1057" s="9"/>
      <c r="DC1057" s="9"/>
      <c r="DD1057" s="9"/>
      <c r="DE1057" s="9"/>
      <c r="DF1057" s="9"/>
      <c r="DG1057" s="9"/>
      <c r="DH1057" s="9"/>
      <c r="DI1057" s="9"/>
      <c r="DJ1057" s="9"/>
      <c r="DK1057" s="9"/>
      <c r="DL1057" s="9"/>
      <c r="DM1057" s="9"/>
      <c r="DN1057" s="9"/>
      <c r="DO1057" s="9"/>
      <c r="DP1057" s="9"/>
      <c r="DQ1057" s="9"/>
      <c r="DR1057" s="9"/>
      <c r="DS1057" s="9"/>
      <c r="DT1057" s="9"/>
      <c r="DU1057" s="9"/>
      <c r="DV1057" s="9"/>
      <c r="DW1057" s="9"/>
      <c r="DX1057" s="9"/>
      <c r="DY1057" s="9"/>
      <c r="DZ1057" s="9"/>
      <c r="EA1057" s="9"/>
      <c r="EB1057" s="9"/>
      <c r="EC1057" s="9"/>
      <c r="ED1057" s="9"/>
      <c r="EE1057" s="9"/>
      <c r="EF1057" s="9"/>
      <c r="EG1057" s="9"/>
      <c r="EH1057" s="9"/>
      <c r="EI1057" s="9"/>
      <c r="EJ1057" s="9"/>
      <c r="EK1057" s="9"/>
      <c r="EL1057" s="9"/>
      <c r="EM1057" s="9"/>
      <c r="EN1057" s="9"/>
      <c r="EO1057" s="9"/>
      <c r="EP1057" s="9"/>
      <c r="EQ1057" s="9"/>
      <c r="ER1057" s="9"/>
      <c r="ES1057" s="9"/>
      <c r="ET1057" s="9"/>
      <c r="EU1057" s="9"/>
      <c r="EV1057" s="9"/>
      <c r="EW1057" s="9"/>
      <c r="EX1057" s="9"/>
      <c r="EY1057" s="9"/>
      <c r="EZ1057" s="9"/>
      <c r="FA1057" s="9"/>
      <c r="FB1057" s="9"/>
      <c r="FC1057" s="9"/>
      <c r="FD1057" s="9"/>
      <c r="FE1057" s="9"/>
      <c r="FF1057" s="9"/>
      <c r="FG1057" s="9"/>
      <c r="FH1057" s="9"/>
      <c r="FI1057" s="9"/>
      <c r="FJ1057" s="9"/>
      <c r="FK1057" s="9"/>
      <c r="FL1057" s="9"/>
      <c r="FM1057" s="9"/>
      <c r="FN1057" s="9"/>
      <c r="FO1057" s="9"/>
      <c r="FP1057" s="9"/>
    </row>
    <row r="1058" customFormat="false" ht="15" hidden="false" customHeight="false" outlineLevel="0" collapsed="false">
      <c r="B1058" s="10" t="s">
        <v>989</v>
      </c>
      <c r="C1058" s="121" t="n">
        <f aca="false">SUM(AC964:AN964)</f>
        <v>0</v>
      </c>
      <c r="D1058" s="121" t="n">
        <f aca="false">SUM(AO964:AZ964)</f>
        <v>0</v>
      </c>
      <c r="E1058" s="121" t="n">
        <f aca="false">SUM(BA964:BL964)</f>
        <v>0</v>
      </c>
      <c r="F1058" s="121" t="n">
        <f aca="false">SUM(BM964:BX964)</f>
        <v>23828.9454832</v>
      </c>
      <c r="G1058" s="121" t="n">
        <f aca="false">SUM(BY964:CJ964)</f>
        <v>165280.450992</v>
      </c>
      <c r="H1058" s="121" t="n">
        <f aca="false">SUM(CK964:CV964)</f>
        <v>309493.29818236</v>
      </c>
      <c r="I1058" s="121" t="n">
        <f aca="false">SUM(CW964:DH964)</f>
        <v>324000</v>
      </c>
      <c r="J1058" s="121" t="n">
        <f aca="false">SUM(DI964:DT964)</f>
        <v>324000</v>
      </c>
      <c r="K1058" s="121" t="n">
        <f aca="false">SUM(DU964:EF964)</f>
        <v>324000</v>
      </c>
      <c r="L1058" s="121" t="n">
        <f aca="false">SUM(EG964:ER964)</f>
        <v>324000</v>
      </c>
      <c r="M1058" s="121" t="n">
        <f aca="false">SUM(ES964:FD964)</f>
        <v>324000</v>
      </c>
      <c r="N1058" s="9" t="n">
        <f aca="false">SUM(FE964:FP964)</f>
        <v>324000</v>
      </c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  <c r="BF1058" s="9"/>
      <c r="BG1058" s="9"/>
      <c r="BH1058" s="9"/>
      <c r="BI1058" s="9"/>
      <c r="BJ1058" s="9"/>
      <c r="BK1058" s="9"/>
      <c r="BL1058" s="9"/>
      <c r="BM1058" s="9"/>
      <c r="BN1058" s="9"/>
      <c r="BO1058" s="9"/>
      <c r="BP1058" s="9"/>
      <c r="BQ1058" s="9"/>
      <c r="BR1058" s="9"/>
      <c r="BS1058" s="9"/>
      <c r="BT1058" s="9"/>
      <c r="BU1058" s="9"/>
      <c r="BV1058" s="9"/>
      <c r="BW1058" s="9"/>
      <c r="BX1058" s="9"/>
      <c r="BY1058" s="9"/>
      <c r="BZ1058" s="9"/>
      <c r="CA1058" s="9"/>
      <c r="CB1058" s="9"/>
      <c r="CC1058" s="9"/>
      <c r="CD1058" s="9"/>
      <c r="CE1058" s="9"/>
      <c r="CF1058" s="9"/>
      <c r="CG1058" s="9"/>
      <c r="CH1058" s="9"/>
      <c r="CI1058" s="9"/>
      <c r="CJ1058" s="9"/>
      <c r="CK1058" s="9"/>
      <c r="CL1058" s="9"/>
      <c r="CM1058" s="9"/>
      <c r="CN1058" s="9"/>
      <c r="CO1058" s="9"/>
      <c r="CP1058" s="9"/>
      <c r="CQ1058" s="9"/>
      <c r="CR1058" s="9"/>
      <c r="CS1058" s="9"/>
      <c r="CT1058" s="9"/>
      <c r="CU1058" s="9"/>
      <c r="CV1058" s="9"/>
      <c r="CW1058" s="9"/>
      <c r="CX1058" s="9"/>
      <c r="CY1058" s="9"/>
      <c r="CZ1058" s="9"/>
      <c r="DA1058" s="9"/>
      <c r="DB1058" s="9"/>
      <c r="DC1058" s="9"/>
      <c r="DD1058" s="9"/>
      <c r="DE1058" s="9"/>
      <c r="DF1058" s="9"/>
      <c r="DG1058" s="9"/>
      <c r="DH1058" s="9"/>
      <c r="DI1058" s="9"/>
      <c r="DJ1058" s="9"/>
      <c r="DK1058" s="9"/>
      <c r="DL1058" s="9"/>
      <c r="DM1058" s="9"/>
      <c r="DN1058" s="9"/>
      <c r="DO1058" s="9"/>
      <c r="DP1058" s="9"/>
      <c r="DQ1058" s="9"/>
      <c r="DR1058" s="9"/>
      <c r="DS1058" s="9"/>
      <c r="DT1058" s="9"/>
      <c r="DU1058" s="9"/>
      <c r="DV1058" s="9"/>
      <c r="DW1058" s="9"/>
      <c r="DX1058" s="9"/>
      <c r="DY1058" s="9"/>
      <c r="DZ1058" s="9"/>
      <c r="EA1058" s="9"/>
      <c r="EB1058" s="9"/>
      <c r="EC1058" s="9"/>
      <c r="ED1058" s="9"/>
      <c r="EE1058" s="9"/>
      <c r="EF1058" s="9"/>
      <c r="EG1058" s="9"/>
      <c r="EH1058" s="9"/>
      <c r="EI1058" s="9"/>
      <c r="EJ1058" s="9"/>
      <c r="EK1058" s="9"/>
      <c r="EL1058" s="9"/>
      <c r="EM1058" s="9"/>
      <c r="EN1058" s="9"/>
      <c r="EO1058" s="9"/>
      <c r="EP1058" s="9"/>
      <c r="EQ1058" s="9"/>
      <c r="ER1058" s="9"/>
      <c r="ES1058" s="9"/>
      <c r="ET1058" s="9"/>
      <c r="EU1058" s="9"/>
      <c r="EV1058" s="9"/>
      <c r="EW1058" s="9"/>
      <c r="EX1058" s="9"/>
      <c r="EY1058" s="9"/>
      <c r="EZ1058" s="9"/>
      <c r="FA1058" s="9"/>
      <c r="FB1058" s="9"/>
      <c r="FC1058" s="9"/>
      <c r="FD1058" s="9"/>
      <c r="FE1058" s="9"/>
      <c r="FF1058" s="9"/>
      <c r="FG1058" s="9"/>
      <c r="FH1058" s="9"/>
      <c r="FI1058" s="9"/>
      <c r="FJ1058" s="9"/>
      <c r="FK1058" s="9"/>
      <c r="FL1058" s="9"/>
      <c r="FM1058" s="9"/>
      <c r="FN1058" s="9"/>
      <c r="FO1058" s="9"/>
      <c r="FP1058" s="9"/>
    </row>
    <row r="1059" customFormat="false" ht="15" hidden="false" customHeight="false" outlineLevel="0" collapsed="false">
      <c r="B1059" s="47" t="s">
        <v>990</v>
      </c>
      <c r="C1059" s="121" t="n">
        <f aca="false">SUM(AC965:AN965)</f>
        <v>0</v>
      </c>
      <c r="D1059" s="121" t="n">
        <f aca="false">SUM(AO965:AZ965)</f>
        <v>0</v>
      </c>
      <c r="E1059" s="121" t="n">
        <f aca="false">SUM(BA965:BL965)</f>
        <v>0</v>
      </c>
      <c r="F1059" s="121" t="n">
        <f aca="false">SUM(BM965:BX965)</f>
        <v>4943.94</v>
      </c>
      <c r="G1059" s="121" t="n">
        <f aca="false">SUM(BY965:CJ965)</f>
        <v>127646.2956192</v>
      </c>
      <c r="H1059" s="121" t="n">
        <f aca="false">SUM(CK965:CV965)</f>
        <v>284554.10748612</v>
      </c>
      <c r="I1059" s="121" t="n">
        <f aca="false">SUM(CW965:DH965)</f>
        <v>324000</v>
      </c>
      <c r="J1059" s="121" t="n">
        <f aca="false">SUM(DI965:DT965)</f>
        <v>324000</v>
      </c>
      <c r="K1059" s="121" t="n">
        <f aca="false">SUM(DU965:EF965)</f>
        <v>324000</v>
      </c>
      <c r="L1059" s="121" t="n">
        <f aca="false">SUM(EG965:ER965)</f>
        <v>324000</v>
      </c>
      <c r="M1059" s="121" t="n">
        <f aca="false">SUM(ES965:FD965)</f>
        <v>324000</v>
      </c>
      <c r="N1059" s="9" t="n">
        <f aca="false">SUM(FE965:FP965)</f>
        <v>324000</v>
      </c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  <c r="BF1059" s="9"/>
      <c r="BG1059" s="9"/>
      <c r="BH1059" s="9"/>
      <c r="BI1059" s="9"/>
      <c r="BJ1059" s="9"/>
      <c r="BK1059" s="9"/>
      <c r="BL1059" s="9"/>
      <c r="BM1059" s="9"/>
      <c r="BN1059" s="9"/>
      <c r="BO1059" s="9"/>
      <c r="BP1059" s="9"/>
      <c r="BQ1059" s="9"/>
      <c r="BR1059" s="9"/>
      <c r="BS1059" s="9"/>
      <c r="BT1059" s="9"/>
      <c r="BU1059" s="9"/>
      <c r="BV1059" s="9"/>
      <c r="BW1059" s="9"/>
      <c r="BX1059" s="9"/>
      <c r="BY1059" s="9"/>
      <c r="BZ1059" s="9"/>
      <c r="CA1059" s="9"/>
      <c r="CB1059" s="9"/>
      <c r="CC1059" s="9"/>
      <c r="CD1059" s="9"/>
      <c r="CE1059" s="9"/>
      <c r="CF1059" s="9"/>
      <c r="CG1059" s="9"/>
      <c r="CH1059" s="9"/>
      <c r="CI1059" s="9"/>
      <c r="CJ1059" s="9"/>
      <c r="CK1059" s="9"/>
      <c r="CL1059" s="9"/>
      <c r="CM1059" s="9"/>
      <c r="CN1059" s="9"/>
      <c r="CO1059" s="9"/>
      <c r="CP1059" s="9"/>
      <c r="CQ1059" s="9"/>
      <c r="CR1059" s="9"/>
      <c r="CS1059" s="9"/>
      <c r="CT1059" s="9"/>
      <c r="CU1059" s="9"/>
      <c r="CV1059" s="9"/>
      <c r="CW1059" s="9"/>
      <c r="CX1059" s="9"/>
      <c r="CY1059" s="9"/>
      <c r="CZ1059" s="9"/>
      <c r="DA1059" s="9"/>
      <c r="DB1059" s="9"/>
      <c r="DC1059" s="9"/>
      <c r="DD1059" s="9"/>
      <c r="DE1059" s="9"/>
      <c r="DF1059" s="9"/>
      <c r="DG1059" s="9"/>
      <c r="DH1059" s="9"/>
      <c r="DI1059" s="9"/>
      <c r="DJ1059" s="9"/>
      <c r="DK1059" s="9"/>
      <c r="DL1059" s="9"/>
      <c r="DM1059" s="9"/>
      <c r="DN1059" s="9"/>
      <c r="DO1059" s="9"/>
      <c r="DP1059" s="9"/>
      <c r="DQ1059" s="9"/>
      <c r="DR1059" s="9"/>
      <c r="DS1059" s="9"/>
      <c r="DT1059" s="9"/>
      <c r="DU1059" s="9"/>
      <c r="DV1059" s="9"/>
      <c r="DW1059" s="9"/>
      <c r="DX1059" s="9"/>
      <c r="DY1059" s="9"/>
      <c r="DZ1059" s="9"/>
      <c r="EA1059" s="9"/>
      <c r="EB1059" s="9"/>
      <c r="EC1059" s="9"/>
      <c r="ED1059" s="9"/>
      <c r="EE1059" s="9"/>
      <c r="EF1059" s="9"/>
      <c r="EG1059" s="9"/>
      <c r="EH1059" s="9"/>
      <c r="EI1059" s="9"/>
      <c r="EJ1059" s="9"/>
      <c r="EK1059" s="9"/>
      <c r="EL1059" s="9"/>
      <c r="EM1059" s="9"/>
      <c r="EN1059" s="9"/>
      <c r="EO1059" s="9"/>
      <c r="EP1059" s="9"/>
      <c r="EQ1059" s="9"/>
      <c r="ER1059" s="9"/>
      <c r="ES1059" s="9"/>
      <c r="ET1059" s="9"/>
      <c r="EU1059" s="9"/>
      <c r="EV1059" s="9"/>
      <c r="EW1059" s="9"/>
      <c r="EX1059" s="9"/>
      <c r="EY1059" s="9"/>
      <c r="EZ1059" s="9"/>
      <c r="FA1059" s="9"/>
      <c r="FB1059" s="9"/>
      <c r="FC1059" s="9"/>
      <c r="FD1059" s="9"/>
      <c r="FE1059" s="9"/>
      <c r="FF1059" s="9"/>
      <c r="FG1059" s="9"/>
      <c r="FH1059" s="9"/>
      <c r="FI1059" s="9"/>
      <c r="FJ1059" s="9"/>
      <c r="FK1059" s="9"/>
      <c r="FL1059" s="9"/>
      <c r="FM1059" s="9"/>
      <c r="FN1059" s="9"/>
      <c r="FO1059" s="9"/>
      <c r="FP1059" s="9"/>
    </row>
    <row r="1060" customFormat="false" ht="15" hidden="false" customHeight="false" outlineLevel="0" collapsed="false">
      <c r="B1060" s="47" t="s">
        <v>991</v>
      </c>
      <c r="C1060" s="121" t="n">
        <f aca="false">SUM(AC966:AN966)</f>
        <v>0</v>
      </c>
      <c r="D1060" s="121" t="n">
        <f aca="false">SUM(AO966:AZ966)</f>
        <v>0</v>
      </c>
      <c r="E1060" s="121" t="n">
        <f aca="false">SUM(BA966:BL966)</f>
        <v>0</v>
      </c>
      <c r="F1060" s="121" t="n">
        <f aca="false">SUM(BM966:BX966)</f>
        <v>87324.7463008</v>
      </c>
      <c r="G1060" s="121" t="n">
        <f aca="false">SUM(BY966:CJ966)</f>
        <v>249182.01176528</v>
      </c>
      <c r="H1060" s="121" t="n">
        <f aca="false">SUM(CK966:CV966)</f>
        <v>323495.16637564</v>
      </c>
      <c r="I1060" s="121" t="n">
        <f aca="false">SUM(CW966:DH966)</f>
        <v>324000</v>
      </c>
      <c r="J1060" s="121" t="n">
        <f aca="false">SUM(DI966:DT966)</f>
        <v>324000</v>
      </c>
      <c r="K1060" s="121" t="n">
        <f aca="false">SUM(DU966:EF966)</f>
        <v>324000</v>
      </c>
      <c r="L1060" s="121" t="n">
        <f aca="false">SUM(EG966:ER966)</f>
        <v>324000</v>
      </c>
      <c r="M1060" s="121" t="n">
        <f aca="false">SUM(ES966:FD966)</f>
        <v>324000</v>
      </c>
      <c r="N1060" s="9" t="n">
        <f aca="false">SUM(FE966:FP966)</f>
        <v>324000</v>
      </c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  <c r="BF1060" s="9"/>
      <c r="BG1060" s="9"/>
      <c r="BH1060" s="9"/>
      <c r="BI1060" s="9"/>
      <c r="BJ1060" s="9"/>
      <c r="BK1060" s="9"/>
      <c r="BL1060" s="9"/>
      <c r="BM1060" s="9"/>
      <c r="BN1060" s="9"/>
      <c r="BO1060" s="9"/>
      <c r="BP1060" s="9"/>
      <c r="BQ1060" s="9"/>
      <c r="BR1060" s="9"/>
      <c r="BS1060" s="9"/>
      <c r="BT1060" s="9"/>
      <c r="BU1060" s="9"/>
      <c r="BV1060" s="9"/>
      <c r="BW1060" s="9"/>
      <c r="BX1060" s="9"/>
      <c r="BY1060" s="9"/>
      <c r="BZ1060" s="9"/>
      <c r="CA1060" s="9"/>
      <c r="CB1060" s="9"/>
      <c r="CC1060" s="9"/>
      <c r="CD1060" s="9"/>
      <c r="CE1060" s="9"/>
      <c r="CF1060" s="9"/>
      <c r="CG1060" s="9"/>
      <c r="CH1060" s="9"/>
      <c r="CI1060" s="9"/>
      <c r="CJ1060" s="9"/>
      <c r="CK1060" s="9"/>
      <c r="CL1060" s="9"/>
      <c r="CM1060" s="9"/>
      <c r="CN1060" s="9"/>
      <c r="CO1060" s="9"/>
      <c r="CP1060" s="9"/>
      <c r="CQ1060" s="9"/>
      <c r="CR1060" s="9"/>
      <c r="CS1060" s="9"/>
      <c r="CT1060" s="9"/>
      <c r="CU1060" s="9"/>
      <c r="CV1060" s="9"/>
      <c r="CW1060" s="9"/>
      <c r="CX1060" s="9"/>
      <c r="CY1060" s="9"/>
      <c r="CZ1060" s="9"/>
      <c r="DA1060" s="9"/>
      <c r="DB1060" s="9"/>
      <c r="DC1060" s="9"/>
      <c r="DD1060" s="9"/>
      <c r="DE1060" s="9"/>
      <c r="DF1060" s="9"/>
      <c r="DG1060" s="9"/>
      <c r="DH1060" s="9"/>
      <c r="DI1060" s="9"/>
      <c r="DJ1060" s="9"/>
      <c r="DK1060" s="9"/>
      <c r="DL1060" s="9"/>
      <c r="DM1060" s="9"/>
      <c r="DN1060" s="9"/>
      <c r="DO1060" s="9"/>
      <c r="DP1060" s="9"/>
      <c r="DQ1060" s="9"/>
      <c r="DR1060" s="9"/>
      <c r="DS1060" s="9"/>
      <c r="DT1060" s="9"/>
      <c r="DU1060" s="9"/>
      <c r="DV1060" s="9"/>
      <c r="DW1060" s="9"/>
      <c r="DX1060" s="9"/>
      <c r="DY1060" s="9"/>
      <c r="DZ1060" s="9"/>
      <c r="EA1060" s="9"/>
      <c r="EB1060" s="9"/>
      <c r="EC1060" s="9"/>
      <c r="ED1060" s="9"/>
      <c r="EE1060" s="9"/>
      <c r="EF1060" s="9"/>
      <c r="EG1060" s="9"/>
      <c r="EH1060" s="9"/>
      <c r="EI1060" s="9"/>
      <c r="EJ1060" s="9"/>
      <c r="EK1060" s="9"/>
      <c r="EL1060" s="9"/>
      <c r="EM1060" s="9"/>
      <c r="EN1060" s="9"/>
      <c r="EO1060" s="9"/>
      <c r="EP1060" s="9"/>
      <c r="EQ1060" s="9"/>
      <c r="ER1060" s="9"/>
      <c r="ES1060" s="9"/>
      <c r="ET1060" s="9"/>
      <c r="EU1060" s="9"/>
      <c r="EV1060" s="9"/>
      <c r="EW1060" s="9"/>
      <c r="EX1060" s="9"/>
      <c r="EY1060" s="9"/>
      <c r="EZ1060" s="9"/>
      <c r="FA1060" s="9"/>
      <c r="FB1060" s="9"/>
      <c r="FC1060" s="9"/>
      <c r="FD1060" s="9"/>
      <c r="FE1060" s="9"/>
      <c r="FF1060" s="9"/>
      <c r="FG1060" s="9"/>
      <c r="FH1060" s="9"/>
      <c r="FI1060" s="9"/>
      <c r="FJ1060" s="9"/>
      <c r="FK1060" s="9"/>
      <c r="FL1060" s="9"/>
      <c r="FM1060" s="9"/>
      <c r="FN1060" s="9"/>
      <c r="FO1060" s="9"/>
      <c r="FP1060" s="9"/>
    </row>
    <row r="1061" customFormat="false" ht="15" hidden="false" customHeight="false" outlineLevel="0" collapsed="false">
      <c r="B1061" s="47" t="s">
        <v>992</v>
      </c>
      <c r="C1061" s="121" t="n">
        <f aca="false">SUM(AC967:AN967)</f>
        <v>0</v>
      </c>
      <c r="D1061" s="121" t="n">
        <f aca="false">SUM(AO967:AZ967)</f>
        <v>0</v>
      </c>
      <c r="E1061" s="121" t="n">
        <f aca="false">SUM(BA967:BL967)</f>
        <v>0</v>
      </c>
      <c r="F1061" s="121" t="n">
        <f aca="false">SUM(BM967:BX967)</f>
        <v>0</v>
      </c>
      <c r="G1061" s="121" t="n">
        <f aca="false">SUM(BY967:CJ967)</f>
        <v>0</v>
      </c>
      <c r="H1061" s="121" t="n">
        <f aca="false">SUM(CK967:CV967)</f>
        <v>100643.108</v>
      </c>
      <c r="I1061" s="121" t="n">
        <f aca="false">SUM(CW967:DH967)</f>
        <v>261180.70148152</v>
      </c>
      <c r="J1061" s="121" t="n">
        <f aca="false">SUM(DI967:DT967)</f>
        <v>324000</v>
      </c>
      <c r="K1061" s="121" t="n">
        <f aca="false">SUM(DU967:EF967)</f>
        <v>324000</v>
      </c>
      <c r="L1061" s="121" t="n">
        <f aca="false">SUM(EG967:ER967)</f>
        <v>324000</v>
      </c>
      <c r="M1061" s="121" t="n">
        <f aca="false">SUM(ES967:FD967)</f>
        <v>324000</v>
      </c>
      <c r="N1061" s="9" t="n">
        <f aca="false">SUM(FE967:FP967)</f>
        <v>324000</v>
      </c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9"/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9"/>
      <c r="CQ1061" s="9"/>
      <c r="CR1061" s="9"/>
      <c r="CS1061" s="9"/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9"/>
      <c r="DJ1061" s="9"/>
      <c r="DK1061" s="9"/>
      <c r="DL1061" s="9"/>
      <c r="DM1061" s="9"/>
      <c r="DN1061" s="9"/>
      <c r="DO1061" s="9"/>
      <c r="DP1061" s="9"/>
      <c r="DQ1061" s="9"/>
      <c r="DR1061" s="9"/>
      <c r="DS1061" s="9"/>
      <c r="DT1061" s="9"/>
      <c r="DU1061" s="9"/>
      <c r="DV1061" s="9"/>
      <c r="DW1061" s="9"/>
      <c r="DX1061" s="9"/>
      <c r="DY1061" s="9"/>
      <c r="DZ1061" s="9"/>
      <c r="EA1061" s="9"/>
      <c r="EB1061" s="9"/>
      <c r="EC1061" s="9"/>
      <c r="ED1061" s="9"/>
      <c r="EE1061" s="9"/>
      <c r="EF1061" s="9"/>
      <c r="EG1061" s="9"/>
      <c r="EH1061" s="9"/>
      <c r="EI1061" s="9"/>
      <c r="EJ1061" s="9"/>
      <c r="EK1061" s="9"/>
      <c r="EL1061" s="9"/>
      <c r="EM1061" s="9"/>
      <c r="EN1061" s="9"/>
      <c r="EO1061" s="9"/>
      <c r="EP1061" s="9"/>
      <c r="EQ1061" s="9"/>
      <c r="ER1061" s="9"/>
      <c r="ES1061" s="9"/>
      <c r="ET1061" s="9"/>
      <c r="EU1061" s="9"/>
      <c r="EV1061" s="9"/>
      <c r="EW1061" s="9"/>
      <c r="EX1061" s="9"/>
      <c r="EY1061" s="9"/>
      <c r="EZ1061" s="9"/>
      <c r="FA1061" s="9"/>
      <c r="FB1061" s="9"/>
      <c r="FC1061" s="9"/>
      <c r="FD1061" s="9"/>
      <c r="FE1061" s="9"/>
      <c r="FF1061" s="9"/>
      <c r="FG1061" s="9"/>
      <c r="FH1061" s="9"/>
      <c r="FI1061" s="9"/>
      <c r="FJ1061" s="9"/>
      <c r="FK1061" s="9"/>
      <c r="FL1061" s="9"/>
      <c r="FM1061" s="9"/>
      <c r="FN1061" s="9"/>
      <c r="FO1061" s="9"/>
      <c r="FP1061" s="9"/>
    </row>
    <row r="1062" customFormat="false" ht="15" hidden="false" customHeight="false" outlineLevel="0" collapsed="false">
      <c r="B1062" s="47" t="s">
        <v>993</v>
      </c>
      <c r="C1062" s="121" t="n">
        <f aca="false">SUM(AC968:AN968)</f>
        <v>0</v>
      </c>
      <c r="D1062" s="121" t="n">
        <f aca="false">SUM(AO968:AZ968)</f>
        <v>0</v>
      </c>
      <c r="E1062" s="121" t="n">
        <f aca="false">SUM(BA968:BL968)</f>
        <v>0</v>
      </c>
      <c r="F1062" s="121" t="n">
        <f aca="false">SUM(BM968:BX968)</f>
        <v>0</v>
      </c>
      <c r="G1062" s="121" t="n">
        <f aca="false">SUM(BY968:CJ968)</f>
        <v>0</v>
      </c>
      <c r="H1062" s="121" t="n">
        <f aca="false">SUM(CK968:CV968)</f>
        <v>116262.9648928</v>
      </c>
      <c r="I1062" s="121" t="n">
        <f aca="false">SUM(CW968:DH968)</f>
        <v>272952.41165452</v>
      </c>
      <c r="J1062" s="121" t="n">
        <f aca="false">SUM(DI968:DT968)</f>
        <v>324000</v>
      </c>
      <c r="K1062" s="121" t="n">
        <f aca="false">SUM(DU968:EF968)</f>
        <v>324000</v>
      </c>
      <c r="L1062" s="121" t="n">
        <f aca="false">SUM(EG968:ER968)</f>
        <v>324000</v>
      </c>
      <c r="M1062" s="121" t="n">
        <f aca="false">SUM(ES968:FD968)</f>
        <v>324000</v>
      </c>
      <c r="N1062" s="9" t="n">
        <f aca="false">SUM(FE968:FP968)</f>
        <v>324000</v>
      </c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  <c r="BF1062" s="9"/>
      <c r="BG1062" s="9"/>
      <c r="BH1062" s="9"/>
      <c r="BI1062" s="9"/>
      <c r="BJ1062" s="9"/>
      <c r="BK1062" s="9"/>
      <c r="BL1062" s="9"/>
      <c r="BM1062" s="9"/>
      <c r="BN1062" s="9"/>
      <c r="BO1062" s="9"/>
      <c r="BP1062" s="9"/>
      <c r="BQ1062" s="9"/>
      <c r="BR1062" s="9"/>
      <c r="BS1062" s="9"/>
      <c r="BT1062" s="9"/>
      <c r="BU1062" s="9"/>
      <c r="BV1062" s="9"/>
      <c r="BW1062" s="9"/>
      <c r="BX1062" s="9"/>
      <c r="BY1062" s="9"/>
      <c r="BZ1062" s="9"/>
      <c r="CA1062" s="9"/>
      <c r="CB1062" s="9"/>
      <c r="CC1062" s="9"/>
      <c r="CD1062" s="9"/>
      <c r="CE1062" s="9"/>
      <c r="CF1062" s="9"/>
      <c r="CG1062" s="9"/>
      <c r="CH1062" s="9"/>
      <c r="CI1062" s="9"/>
      <c r="CJ1062" s="9"/>
      <c r="CK1062" s="9"/>
      <c r="CL1062" s="9"/>
      <c r="CM1062" s="9"/>
      <c r="CN1062" s="9"/>
      <c r="CO1062" s="9"/>
      <c r="CP1062" s="9"/>
      <c r="CQ1062" s="9"/>
      <c r="CR1062" s="9"/>
      <c r="CS1062" s="9"/>
      <c r="CT1062" s="9"/>
      <c r="CU1062" s="9"/>
      <c r="CV1062" s="9"/>
      <c r="CW1062" s="9"/>
      <c r="CX1062" s="9"/>
      <c r="CY1062" s="9"/>
      <c r="CZ1062" s="9"/>
      <c r="DA1062" s="9"/>
      <c r="DB1062" s="9"/>
      <c r="DC1062" s="9"/>
      <c r="DD1062" s="9"/>
      <c r="DE1062" s="9"/>
      <c r="DF1062" s="9"/>
      <c r="DG1062" s="9"/>
      <c r="DH1062" s="9"/>
      <c r="DI1062" s="9"/>
      <c r="DJ1062" s="9"/>
      <c r="DK1062" s="9"/>
      <c r="DL1062" s="9"/>
      <c r="DM1062" s="9"/>
      <c r="DN1062" s="9"/>
      <c r="DO1062" s="9"/>
      <c r="DP1062" s="9"/>
      <c r="DQ1062" s="9"/>
      <c r="DR1062" s="9"/>
      <c r="DS1062" s="9"/>
      <c r="DT1062" s="9"/>
      <c r="DU1062" s="9"/>
      <c r="DV1062" s="9"/>
      <c r="DW1062" s="9"/>
      <c r="DX1062" s="9"/>
      <c r="DY1062" s="9"/>
      <c r="DZ1062" s="9"/>
      <c r="EA1062" s="9"/>
      <c r="EB1062" s="9"/>
      <c r="EC1062" s="9"/>
      <c r="ED1062" s="9"/>
      <c r="EE1062" s="9"/>
      <c r="EF1062" s="9"/>
      <c r="EG1062" s="9"/>
      <c r="EH1062" s="9"/>
      <c r="EI1062" s="9"/>
      <c r="EJ1062" s="9"/>
      <c r="EK1062" s="9"/>
      <c r="EL1062" s="9"/>
      <c r="EM1062" s="9"/>
      <c r="EN1062" s="9"/>
      <c r="EO1062" s="9"/>
      <c r="EP1062" s="9"/>
      <c r="EQ1062" s="9"/>
      <c r="ER1062" s="9"/>
      <c r="ES1062" s="9"/>
      <c r="ET1062" s="9"/>
      <c r="EU1062" s="9"/>
      <c r="EV1062" s="9"/>
      <c r="EW1062" s="9"/>
      <c r="EX1062" s="9"/>
      <c r="EY1062" s="9"/>
      <c r="EZ1062" s="9"/>
      <c r="FA1062" s="9"/>
      <c r="FB1062" s="9"/>
      <c r="FC1062" s="9"/>
      <c r="FD1062" s="9"/>
      <c r="FE1062" s="9"/>
      <c r="FF1062" s="9"/>
      <c r="FG1062" s="9"/>
      <c r="FH1062" s="9"/>
      <c r="FI1062" s="9"/>
      <c r="FJ1062" s="9"/>
      <c r="FK1062" s="9"/>
      <c r="FL1062" s="9"/>
      <c r="FM1062" s="9"/>
      <c r="FN1062" s="9"/>
      <c r="FO1062" s="9"/>
      <c r="FP1062" s="9"/>
    </row>
    <row r="1063" customFormat="false" ht="15" hidden="false" customHeight="false" outlineLevel="0" collapsed="false">
      <c r="B1063" s="254" t="s">
        <v>994</v>
      </c>
      <c r="C1063" s="121" t="n">
        <f aca="false">SUM(AC969:AN969)</f>
        <v>0</v>
      </c>
      <c r="D1063" s="121" t="n">
        <f aca="false">SUM(AO969:AZ969)</f>
        <v>0</v>
      </c>
      <c r="E1063" s="121" t="n">
        <f aca="false">SUM(BA969:BL969)</f>
        <v>0</v>
      </c>
      <c r="F1063" s="121" t="n">
        <f aca="false">SUM(BM969:BX969)</f>
        <v>0</v>
      </c>
      <c r="G1063" s="121" t="n">
        <f aca="false">SUM(BY969:CJ969)</f>
        <v>0</v>
      </c>
      <c r="H1063" s="121" t="n">
        <f aca="false">SUM(CK969:CV969)</f>
        <v>43739.0119232</v>
      </c>
      <c r="I1063" s="121" t="n">
        <f aca="false">SUM(CW969:DH969)</f>
        <v>145082.0415</v>
      </c>
      <c r="J1063" s="121" t="n">
        <f aca="false">SUM(DI969:DT969)</f>
        <v>233524.67149152</v>
      </c>
      <c r="K1063" s="121" t="n">
        <f aca="false">SUM(DU969:EF969)</f>
        <v>274292.53082968</v>
      </c>
      <c r="L1063" s="121" t="n">
        <f aca="false">SUM(EG969:ER969)</f>
        <v>276000</v>
      </c>
      <c r="M1063" s="121" t="n">
        <f aca="false">SUM(ES969:FD969)</f>
        <v>276000</v>
      </c>
      <c r="N1063" s="9" t="n">
        <f aca="false">SUM(FE969:FP969)</f>
        <v>276000</v>
      </c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  <c r="BF1063" s="9"/>
      <c r="BG1063" s="9"/>
      <c r="BH1063" s="9"/>
      <c r="BI1063" s="9"/>
      <c r="BJ1063" s="9"/>
      <c r="BK1063" s="9"/>
      <c r="BL1063" s="9"/>
      <c r="BM1063" s="9"/>
      <c r="BN1063" s="9"/>
      <c r="BO1063" s="9"/>
      <c r="BP1063" s="9"/>
      <c r="BQ1063" s="9"/>
      <c r="BR1063" s="9"/>
      <c r="BS1063" s="9"/>
      <c r="BT1063" s="9"/>
      <c r="BU1063" s="9"/>
      <c r="BV1063" s="9"/>
      <c r="BW1063" s="9"/>
      <c r="BX1063" s="9"/>
      <c r="BY1063" s="9"/>
      <c r="BZ1063" s="9"/>
      <c r="CA1063" s="9"/>
      <c r="CB1063" s="9"/>
      <c r="CC1063" s="9"/>
      <c r="CD1063" s="9"/>
      <c r="CE1063" s="9"/>
      <c r="CF1063" s="9"/>
      <c r="CG1063" s="9"/>
      <c r="CH1063" s="9"/>
      <c r="CI1063" s="9"/>
      <c r="CJ1063" s="9"/>
      <c r="CK1063" s="9"/>
      <c r="CL1063" s="9"/>
      <c r="CM1063" s="9"/>
      <c r="CN1063" s="9"/>
      <c r="CO1063" s="9"/>
      <c r="CP1063" s="9"/>
      <c r="CQ1063" s="9"/>
      <c r="CR1063" s="9"/>
      <c r="CS1063" s="9"/>
      <c r="CT1063" s="9"/>
      <c r="CU1063" s="9"/>
      <c r="CV1063" s="9"/>
      <c r="CW1063" s="9"/>
      <c r="CX1063" s="9"/>
      <c r="CY1063" s="9"/>
      <c r="CZ1063" s="9"/>
      <c r="DA1063" s="9"/>
      <c r="DB1063" s="9"/>
      <c r="DC1063" s="9"/>
      <c r="DD1063" s="9"/>
      <c r="DE1063" s="9"/>
      <c r="DF1063" s="9"/>
      <c r="DG1063" s="9"/>
      <c r="DH1063" s="9"/>
      <c r="DI1063" s="9"/>
      <c r="DJ1063" s="9"/>
      <c r="DK1063" s="9"/>
      <c r="DL1063" s="9"/>
      <c r="DM1063" s="9"/>
      <c r="DN1063" s="9"/>
      <c r="DO1063" s="9"/>
      <c r="DP1063" s="9"/>
      <c r="DQ1063" s="9"/>
      <c r="DR1063" s="9"/>
      <c r="DS1063" s="9"/>
      <c r="DT1063" s="9"/>
      <c r="DU1063" s="9"/>
      <c r="DV1063" s="9"/>
      <c r="DW1063" s="9"/>
      <c r="DX1063" s="9"/>
      <c r="DY1063" s="9"/>
      <c r="DZ1063" s="9"/>
      <c r="EA1063" s="9"/>
      <c r="EB1063" s="9"/>
      <c r="EC1063" s="9"/>
      <c r="ED1063" s="9"/>
      <c r="EE1063" s="9"/>
      <c r="EF1063" s="9"/>
      <c r="EG1063" s="9"/>
      <c r="EH1063" s="9"/>
      <c r="EI1063" s="9"/>
      <c r="EJ1063" s="9"/>
      <c r="EK1063" s="9"/>
      <c r="EL1063" s="9"/>
      <c r="EM1063" s="9"/>
      <c r="EN1063" s="9"/>
      <c r="EO1063" s="9"/>
      <c r="EP1063" s="9"/>
      <c r="EQ1063" s="9"/>
      <c r="ER1063" s="9"/>
      <c r="ES1063" s="9"/>
      <c r="ET1063" s="9"/>
      <c r="EU1063" s="9"/>
      <c r="EV1063" s="9"/>
      <c r="EW1063" s="9"/>
      <c r="EX1063" s="9"/>
      <c r="EY1063" s="9"/>
      <c r="EZ1063" s="9"/>
      <c r="FA1063" s="9"/>
      <c r="FB1063" s="9"/>
      <c r="FC1063" s="9"/>
      <c r="FD1063" s="9"/>
      <c r="FE1063" s="9"/>
      <c r="FF1063" s="9"/>
      <c r="FG1063" s="9"/>
      <c r="FH1063" s="9"/>
      <c r="FI1063" s="9"/>
      <c r="FJ1063" s="9"/>
      <c r="FK1063" s="9"/>
      <c r="FL1063" s="9"/>
      <c r="FM1063" s="9"/>
      <c r="FN1063" s="9"/>
      <c r="FO1063" s="9"/>
      <c r="FP1063" s="9"/>
    </row>
    <row r="1064" customFormat="false" ht="15" hidden="false" customHeight="false" outlineLevel="0" collapsed="false">
      <c r="B1064" s="254" t="s">
        <v>995</v>
      </c>
      <c r="C1064" s="121" t="n">
        <f aca="false">SUM(AC970:AN970)</f>
        <v>0</v>
      </c>
      <c r="D1064" s="121" t="n">
        <f aca="false">SUM(AO970:AZ970)</f>
        <v>0</v>
      </c>
      <c r="E1064" s="121" t="n">
        <f aca="false">SUM(BA970:BL970)</f>
        <v>0</v>
      </c>
      <c r="F1064" s="121" t="n">
        <f aca="false">SUM(BM970:BX970)</f>
        <v>0</v>
      </c>
      <c r="G1064" s="121" t="n">
        <f aca="false">SUM(BY970:CJ970)</f>
        <v>20059.4439584</v>
      </c>
      <c r="H1064" s="121" t="n">
        <f aca="false">SUM(CK970:CV970)</f>
        <v>107458.6485632</v>
      </c>
      <c r="I1064" s="121" t="n">
        <f aca="false">SUM(CW970:DH970)</f>
        <v>211568.93099088</v>
      </c>
      <c r="J1064" s="121" t="n">
        <f aca="false">SUM(DI970:DT970)</f>
        <v>266962.61063664</v>
      </c>
      <c r="K1064" s="121" t="n">
        <f aca="false">SUM(DU970:EF970)</f>
        <v>276000</v>
      </c>
      <c r="L1064" s="121" t="n">
        <f aca="false">SUM(EG970:ER970)</f>
        <v>276000</v>
      </c>
      <c r="M1064" s="121" t="n">
        <f aca="false">SUM(ES970:FD970)</f>
        <v>276000</v>
      </c>
      <c r="N1064" s="9" t="n">
        <f aca="false">SUM(FE970:FP970)</f>
        <v>276000</v>
      </c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  <c r="BF1064" s="9"/>
      <c r="BG1064" s="9"/>
      <c r="BH1064" s="9"/>
      <c r="BI1064" s="9"/>
      <c r="BJ1064" s="9"/>
      <c r="BK1064" s="9"/>
      <c r="BL1064" s="9"/>
      <c r="BM1064" s="9"/>
      <c r="BN1064" s="9"/>
      <c r="BO1064" s="9"/>
      <c r="BP1064" s="9"/>
      <c r="BQ1064" s="9"/>
      <c r="BR1064" s="9"/>
      <c r="BS1064" s="9"/>
      <c r="BT1064" s="9"/>
      <c r="BU1064" s="9"/>
      <c r="BV1064" s="9"/>
      <c r="BW1064" s="9"/>
      <c r="BX1064" s="9"/>
      <c r="BY1064" s="9"/>
      <c r="BZ1064" s="9"/>
      <c r="CA1064" s="9"/>
      <c r="CB1064" s="9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  <c r="CO1064" s="9"/>
      <c r="CP1064" s="9"/>
      <c r="CQ1064" s="9"/>
      <c r="CR1064" s="9"/>
      <c r="CS1064" s="9"/>
      <c r="CT1064" s="9"/>
      <c r="CU1064" s="9"/>
      <c r="CV1064" s="9"/>
      <c r="CW1064" s="9"/>
      <c r="CX1064" s="9"/>
      <c r="CY1064" s="9"/>
      <c r="CZ1064" s="9"/>
      <c r="DA1064" s="9"/>
      <c r="DB1064" s="9"/>
      <c r="DC1064" s="9"/>
      <c r="DD1064" s="9"/>
      <c r="DE1064" s="9"/>
      <c r="DF1064" s="9"/>
      <c r="DG1064" s="9"/>
      <c r="DH1064" s="9"/>
      <c r="DI1064" s="9"/>
      <c r="DJ1064" s="9"/>
      <c r="DK1064" s="9"/>
      <c r="DL1064" s="9"/>
      <c r="DM1064" s="9"/>
      <c r="DN1064" s="9"/>
      <c r="DO1064" s="9"/>
      <c r="DP1064" s="9"/>
      <c r="DQ1064" s="9"/>
      <c r="DR1064" s="9"/>
      <c r="DS1064" s="9"/>
      <c r="DT1064" s="9"/>
      <c r="DU1064" s="9"/>
      <c r="DV1064" s="9"/>
      <c r="DW1064" s="9"/>
      <c r="DX1064" s="9"/>
      <c r="DY1064" s="9"/>
      <c r="DZ1064" s="9"/>
      <c r="EA1064" s="9"/>
      <c r="EB1064" s="9"/>
      <c r="EC1064" s="9"/>
      <c r="ED1064" s="9"/>
      <c r="EE1064" s="9"/>
      <c r="EF1064" s="9"/>
      <c r="EG1064" s="9"/>
      <c r="EH1064" s="9"/>
      <c r="EI1064" s="9"/>
      <c r="EJ1064" s="9"/>
      <c r="EK1064" s="9"/>
      <c r="EL1064" s="9"/>
      <c r="EM1064" s="9"/>
      <c r="EN1064" s="9"/>
      <c r="EO1064" s="9"/>
      <c r="EP1064" s="9"/>
      <c r="EQ1064" s="9"/>
      <c r="ER1064" s="9"/>
      <c r="ES1064" s="9"/>
      <c r="ET1064" s="9"/>
      <c r="EU1064" s="9"/>
      <c r="EV1064" s="9"/>
      <c r="EW1064" s="9"/>
      <c r="EX1064" s="9"/>
      <c r="EY1064" s="9"/>
      <c r="EZ1064" s="9"/>
      <c r="FA1064" s="9"/>
      <c r="FB1064" s="9"/>
      <c r="FC1064" s="9"/>
      <c r="FD1064" s="9"/>
      <c r="FE1064" s="9"/>
      <c r="FF1064" s="9"/>
      <c r="FG1064" s="9"/>
      <c r="FH1064" s="9"/>
      <c r="FI1064" s="9"/>
      <c r="FJ1064" s="9"/>
      <c r="FK1064" s="9"/>
      <c r="FL1064" s="9"/>
      <c r="FM1064" s="9"/>
      <c r="FN1064" s="9"/>
      <c r="FO1064" s="9"/>
      <c r="FP1064" s="9"/>
    </row>
    <row r="1065" customFormat="false" ht="15" hidden="false" customHeight="false" outlineLevel="0" collapsed="false">
      <c r="B1065" s="254" t="s">
        <v>996</v>
      </c>
      <c r="C1065" s="121" t="n">
        <f aca="false">SUM(AC971:AN971)</f>
        <v>0</v>
      </c>
      <c r="D1065" s="121" t="n">
        <f aca="false">SUM(AO971:AZ971)</f>
        <v>0</v>
      </c>
      <c r="E1065" s="121" t="n">
        <f aca="false">SUM(BA971:BL971)</f>
        <v>0</v>
      </c>
      <c r="F1065" s="121" t="n">
        <f aca="false">SUM(BM971:BX971)</f>
        <v>0</v>
      </c>
      <c r="G1065" s="121" t="n">
        <f aca="false">SUM(BY971:CJ971)</f>
        <v>0</v>
      </c>
      <c r="H1065" s="121" t="n">
        <f aca="false">SUM(CK971:CV971)</f>
        <v>0</v>
      </c>
      <c r="I1065" s="121" t="n">
        <f aca="false">SUM(CW971:DH971)</f>
        <v>9271.832064</v>
      </c>
      <c r="J1065" s="121" t="n">
        <f aca="false">SUM(DI971:DT971)</f>
        <v>89291.3275232</v>
      </c>
      <c r="K1065" s="121" t="n">
        <f aca="false">SUM(DU971:EF971)</f>
        <v>198328.79286528</v>
      </c>
      <c r="L1065" s="121" t="n">
        <f aca="false">SUM(EG971:ER971)</f>
        <v>260668.7482504</v>
      </c>
      <c r="M1065" s="121" t="n">
        <f aca="false">SUM(ES971:FD971)</f>
        <v>276000</v>
      </c>
      <c r="N1065" s="9" t="n">
        <f aca="false">SUM(FE971:FP971)</f>
        <v>276000</v>
      </c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  <c r="BF1065" s="9"/>
      <c r="BG1065" s="9"/>
      <c r="BH1065" s="9"/>
      <c r="BI1065" s="9"/>
      <c r="BJ1065" s="9"/>
      <c r="BK1065" s="9"/>
      <c r="BL1065" s="9"/>
      <c r="BM1065" s="9"/>
      <c r="BN1065" s="9"/>
      <c r="BO1065" s="9"/>
      <c r="BP1065" s="9"/>
      <c r="BQ1065" s="9"/>
      <c r="BR1065" s="9"/>
      <c r="BS1065" s="9"/>
      <c r="BT1065" s="9"/>
      <c r="BU1065" s="9"/>
      <c r="BV1065" s="9"/>
      <c r="BW1065" s="9"/>
      <c r="BX1065" s="9"/>
      <c r="BY1065" s="9"/>
      <c r="BZ1065" s="9"/>
      <c r="CA1065" s="9"/>
      <c r="CB1065" s="9"/>
      <c r="CC1065" s="9"/>
      <c r="CD1065" s="9"/>
      <c r="CE1065" s="9"/>
      <c r="CF1065" s="9"/>
      <c r="CG1065" s="9"/>
      <c r="CH1065" s="9"/>
      <c r="CI1065" s="9"/>
      <c r="CJ1065" s="9"/>
      <c r="CK1065" s="9"/>
      <c r="CL1065" s="9"/>
      <c r="CM1065" s="9"/>
      <c r="CN1065" s="9"/>
      <c r="CO1065" s="9"/>
      <c r="CP1065" s="9"/>
      <c r="CQ1065" s="9"/>
      <c r="CR1065" s="9"/>
      <c r="CS1065" s="9"/>
      <c r="CT1065" s="9"/>
      <c r="CU1065" s="9"/>
      <c r="CV1065" s="9"/>
      <c r="CW1065" s="9"/>
      <c r="CX1065" s="9"/>
      <c r="CY1065" s="9"/>
      <c r="CZ1065" s="9"/>
      <c r="DA1065" s="9"/>
      <c r="DB1065" s="9"/>
      <c r="DC1065" s="9"/>
      <c r="DD1065" s="9"/>
      <c r="DE1065" s="9"/>
      <c r="DF1065" s="9"/>
      <c r="DG1065" s="9"/>
      <c r="DH1065" s="9"/>
      <c r="DI1065" s="9"/>
      <c r="DJ1065" s="9"/>
      <c r="DK1065" s="9"/>
      <c r="DL1065" s="9"/>
      <c r="DM1065" s="9"/>
      <c r="DN1065" s="9"/>
      <c r="DO1065" s="9"/>
      <c r="DP1065" s="9"/>
      <c r="DQ1065" s="9"/>
      <c r="DR1065" s="9"/>
      <c r="DS1065" s="9"/>
      <c r="DT1065" s="9"/>
      <c r="DU1065" s="9"/>
      <c r="DV1065" s="9"/>
      <c r="DW1065" s="9"/>
      <c r="DX1065" s="9"/>
      <c r="DY1065" s="9"/>
      <c r="DZ1065" s="9"/>
      <c r="EA1065" s="9"/>
      <c r="EB1065" s="9"/>
      <c r="EC1065" s="9"/>
      <c r="ED1065" s="9"/>
      <c r="EE1065" s="9"/>
      <c r="EF1065" s="9"/>
      <c r="EG1065" s="9"/>
      <c r="EH1065" s="9"/>
      <c r="EI1065" s="9"/>
      <c r="EJ1065" s="9"/>
      <c r="EK1065" s="9"/>
      <c r="EL1065" s="9"/>
      <c r="EM1065" s="9"/>
      <c r="EN1065" s="9"/>
      <c r="EO1065" s="9"/>
      <c r="EP1065" s="9"/>
      <c r="EQ1065" s="9"/>
      <c r="ER1065" s="9"/>
      <c r="ES1065" s="9"/>
      <c r="ET1065" s="9"/>
      <c r="EU1065" s="9"/>
      <c r="EV1065" s="9"/>
      <c r="EW1065" s="9"/>
      <c r="EX1065" s="9"/>
      <c r="EY1065" s="9"/>
      <c r="EZ1065" s="9"/>
      <c r="FA1065" s="9"/>
      <c r="FB1065" s="9"/>
      <c r="FC1065" s="9"/>
      <c r="FD1065" s="9"/>
      <c r="FE1065" s="9"/>
      <c r="FF1065" s="9"/>
      <c r="FG1065" s="9"/>
      <c r="FH1065" s="9"/>
      <c r="FI1065" s="9"/>
      <c r="FJ1065" s="9"/>
      <c r="FK1065" s="9"/>
      <c r="FL1065" s="9"/>
      <c r="FM1065" s="9"/>
      <c r="FN1065" s="9"/>
      <c r="FO1065" s="9"/>
      <c r="FP1065" s="9"/>
    </row>
    <row r="1066" customFormat="false" ht="15" hidden="false" customHeight="false" outlineLevel="0" collapsed="false">
      <c r="B1066" s="254" t="s">
        <v>997</v>
      </c>
      <c r="C1066" s="121" t="n">
        <f aca="false">SUM(AC972:AN972)</f>
        <v>0</v>
      </c>
      <c r="D1066" s="121" t="n">
        <f aca="false">SUM(AO972:AZ972)</f>
        <v>0</v>
      </c>
      <c r="E1066" s="121" t="n">
        <f aca="false">SUM(BA972:BL972)</f>
        <v>0</v>
      </c>
      <c r="F1066" s="121" t="n">
        <f aca="false">SUM(BM972:BX972)</f>
        <v>0</v>
      </c>
      <c r="G1066" s="121" t="n">
        <f aca="false">SUM(BY972:CJ972)</f>
        <v>0</v>
      </c>
      <c r="H1066" s="121" t="n">
        <f aca="false">SUM(CK972:CV972)</f>
        <v>57362.7868128</v>
      </c>
      <c r="I1066" s="121" t="n">
        <f aca="false">SUM(CW972:DH972)</f>
        <v>240782.54794272</v>
      </c>
      <c r="J1066" s="121" t="n">
        <f aca="false">SUM(DI972:DT972)</f>
        <v>394864.84426368</v>
      </c>
      <c r="K1066" s="121" t="n">
        <f aca="false">SUM(DU972:EF972)</f>
        <v>420000</v>
      </c>
      <c r="L1066" s="121" t="n">
        <f aca="false">SUM(EG972:ER972)</f>
        <v>420000</v>
      </c>
      <c r="M1066" s="121" t="n">
        <f aca="false">SUM(ES972:FD972)</f>
        <v>420000</v>
      </c>
      <c r="N1066" s="9" t="n">
        <f aca="false">SUM(FE972:FP972)</f>
        <v>420000</v>
      </c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  <c r="BF1066" s="9"/>
      <c r="BG1066" s="9"/>
      <c r="BH1066" s="9"/>
      <c r="BI1066" s="9"/>
      <c r="BJ1066" s="9"/>
      <c r="BK1066" s="9"/>
      <c r="BL1066" s="9"/>
      <c r="BM1066" s="9"/>
      <c r="BN1066" s="9"/>
      <c r="BO1066" s="9"/>
      <c r="BP1066" s="9"/>
      <c r="BQ1066" s="9"/>
      <c r="BR1066" s="9"/>
      <c r="BS1066" s="9"/>
      <c r="BT1066" s="9"/>
      <c r="BU1066" s="9"/>
      <c r="BV1066" s="9"/>
      <c r="BW1066" s="9"/>
      <c r="BX1066" s="9"/>
      <c r="BY1066" s="9"/>
      <c r="BZ1066" s="9"/>
      <c r="CA1066" s="9"/>
      <c r="CB1066" s="9"/>
      <c r="CC1066" s="9"/>
      <c r="CD1066" s="9"/>
      <c r="CE1066" s="9"/>
      <c r="CF1066" s="9"/>
      <c r="CG1066" s="9"/>
      <c r="CH1066" s="9"/>
      <c r="CI1066" s="9"/>
      <c r="CJ1066" s="9"/>
      <c r="CK1066" s="9"/>
      <c r="CL1066" s="9"/>
      <c r="CM1066" s="9"/>
      <c r="CN1066" s="9"/>
      <c r="CO1066" s="9"/>
      <c r="CP1066" s="9"/>
      <c r="CQ1066" s="9"/>
      <c r="CR1066" s="9"/>
      <c r="CS1066" s="9"/>
      <c r="CT1066" s="9"/>
      <c r="CU1066" s="9"/>
      <c r="CV1066" s="9"/>
      <c r="CW1066" s="9"/>
      <c r="CX1066" s="9"/>
      <c r="CY1066" s="9"/>
      <c r="CZ1066" s="9"/>
      <c r="DA1066" s="9"/>
      <c r="DB1066" s="9"/>
      <c r="DC1066" s="9"/>
      <c r="DD1066" s="9"/>
      <c r="DE1066" s="9"/>
      <c r="DF1066" s="9"/>
      <c r="DG1066" s="9"/>
      <c r="DH1066" s="9"/>
      <c r="DI1066" s="9"/>
      <c r="DJ1066" s="9"/>
      <c r="DK1066" s="9"/>
      <c r="DL1066" s="9"/>
      <c r="DM1066" s="9"/>
      <c r="DN1066" s="9"/>
      <c r="DO1066" s="9"/>
      <c r="DP1066" s="9"/>
      <c r="DQ1066" s="9"/>
      <c r="DR1066" s="9"/>
      <c r="DS1066" s="9"/>
      <c r="DT1066" s="9"/>
      <c r="DU1066" s="9"/>
      <c r="DV1066" s="9"/>
      <c r="DW1066" s="9"/>
      <c r="DX1066" s="9"/>
      <c r="DY1066" s="9"/>
      <c r="DZ1066" s="9"/>
      <c r="EA1066" s="9"/>
      <c r="EB1066" s="9"/>
      <c r="EC1066" s="9"/>
      <c r="ED1066" s="9"/>
      <c r="EE1066" s="9"/>
      <c r="EF1066" s="9"/>
      <c r="EG1066" s="9"/>
      <c r="EH1066" s="9"/>
      <c r="EI1066" s="9"/>
      <c r="EJ1066" s="9"/>
      <c r="EK1066" s="9"/>
      <c r="EL1066" s="9"/>
      <c r="EM1066" s="9"/>
      <c r="EN1066" s="9"/>
      <c r="EO1066" s="9"/>
      <c r="EP1066" s="9"/>
      <c r="EQ1066" s="9"/>
      <c r="ER1066" s="9"/>
      <c r="ES1066" s="9"/>
      <c r="ET1066" s="9"/>
      <c r="EU1066" s="9"/>
      <c r="EV1066" s="9"/>
      <c r="EW1066" s="9"/>
      <c r="EX1066" s="9"/>
      <c r="EY1066" s="9"/>
      <c r="EZ1066" s="9"/>
      <c r="FA1066" s="9"/>
      <c r="FB1066" s="9"/>
      <c r="FC1066" s="9"/>
      <c r="FD1066" s="9"/>
      <c r="FE1066" s="9"/>
      <c r="FF1066" s="9"/>
      <c r="FG1066" s="9"/>
      <c r="FH1066" s="9"/>
      <c r="FI1066" s="9"/>
      <c r="FJ1066" s="9"/>
      <c r="FK1066" s="9"/>
      <c r="FL1066" s="9"/>
      <c r="FM1066" s="9"/>
      <c r="FN1066" s="9"/>
      <c r="FO1066" s="9"/>
      <c r="FP1066" s="9"/>
    </row>
    <row r="1067" customFormat="false" ht="15" hidden="false" customHeight="false" outlineLevel="0" collapsed="false">
      <c r="B1067" s="254" t="s">
        <v>998</v>
      </c>
      <c r="C1067" s="121" t="n">
        <f aca="false">SUM(AC973:AN973)</f>
        <v>0</v>
      </c>
      <c r="D1067" s="121" t="n">
        <f aca="false">SUM(AO973:AZ973)</f>
        <v>0</v>
      </c>
      <c r="E1067" s="121" t="n">
        <f aca="false">SUM(BA973:BL973)</f>
        <v>0</v>
      </c>
      <c r="F1067" s="121" t="n">
        <f aca="false">SUM(BM973:BX973)</f>
        <v>27049.0732512</v>
      </c>
      <c r="G1067" s="121" t="n">
        <f aca="false">SUM(BY973:CJ973)</f>
        <v>187615.647072</v>
      </c>
      <c r="H1067" s="121" t="n">
        <f aca="false">SUM(CK973:CV973)</f>
        <v>372826.94930936</v>
      </c>
      <c r="I1067" s="121" t="n">
        <f aca="false">SUM(CW973:DH973)</f>
        <v>420000</v>
      </c>
      <c r="J1067" s="121" t="n">
        <f aca="false">SUM(DI973:DT973)</f>
        <v>420000</v>
      </c>
      <c r="K1067" s="121" t="n">
        <f aca="false">SUM(DU973:EF973)</f>
        <v>420000</v>
      </c>
      <c r="L1067" s="121" t="n">
        <f aca="false">SUM(EG973:ER973)</f>
        <v>420000</v>
      </c>
      <c r="M1067" s="121" t="n">
        <f aca="false">SUM(ES973:FD973)</f>
        <v>420000</v>
      </c>
      <c r="N1067" s="9" t="n">
        <f aca="false">SUM(FE973:FP973)</f>
        <v>420000</v>
      </c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9"/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9"/>
      <c r="CQ1067" s="9"/>
      <c r="CR1067" s="9"/>
      <c r="CS1067" s="9"/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9"/>
      <c r="DJ1067" s="9"/>
      <c r="DK1067" s="9"/>
      <c r="DL1067" s="9"/>
      <c r="DM1067" s="9"/>
      <c r="DN1067" s="9"/>
      <c r="DO1067" s="9"/>
      <c r="DP1067" s="9"/>
      <c r="DQ1067" s="9"/>
      <c r="DR1067" s="9"/>
      <c r="DS1067" s="9"/>
      <c r="DT1067" s="9"/>
      <c r="DU1067" s="9"/>
      <c r="DV1067" s="9"/>
      <c r="DW1067" s="9"/>
      <c r="DX1067" s="9"/>
      <c r="DY1067" s="9"/>
      <c r="DZ1067" s="9"/>
      <c r="EA1067" s="9"/>
      <c r="EB1067" s="9"/>
      <c r="EC1067" s="9"/>
      <c r="ED1067" s="9"/>
      <c r="EE1067" s="9"/>
      <c r="EF1067" s="9"/>
      <c r="EG1067" s="9"/>
      <c r="EH1067" s="9"/>
      <c r="EI1067" s="9"/>
      <c r="EJ1067" s="9"/>
      <c r="EK1067" s="9"/>
      <c r="EL1067" s="9"/>
      <c r="EM1067" s="9"/>
      <c r="EN1067" s="9"/>
      <c r="EO1067" s="9"/>
      <c r="EP1067" s="9"/>
      <c r="EQ1067" s="9"/>
      <c r="ER1067" s="9"/>
      <c r="ES1067" s="9"/>
      <c r="ET1067" s="9"/>
      <c r="EU1067" s="9"/>
      <c r="EV1067" s="9"/>
      <c r="EW1067" s="9"/>
      <c r="EX1067" s="9"/>
      <c r="EY1067" s="9"/>
      <c r="EZ1067" s="9"/>
      <c r="FA1067" s="9"/>
      <c r="FB1067" s="9"/>
      <c r="FC1067" s="9"/>
      <c r="FD1067" s="9"/>
      <c r="FE1067" s="9"/>
      <c r="FF1067" s="9"/>
      <c r="FG1067" s="9"/>
      <c r="FH1067" s="9"/>
      <c r="FI1067" s="9"/>
      <c r="FJ1067" s="9"/>
      <c r="FK1067" s="9"/>
      <c r="FL1067" s="9"/>
      <c r="FM1067" s="9"/>
      <c r="FN1067" s="9"/>
      <c r="FO1067" s="9"/>
      <c r="FP1067" s="9"/>
    </row>
    <row r="1068" customFormat="false" ht="15" hidden="false" customHeight="false" outlineLevel="0" collapsed="false">
      <c r="B1068" s="254" t="s">
        <v>999</v>
      </c>
      <c r="C1068" s="121" t="n">
        <f aca="false">SUM(AC974:AN974)</f>
        <v>0</v>
      </c>
      <c r="D1068" s="121" t="n">
        <f aca="false">SUM(AO974:AZ974)</f>
        <v>0</v>
      </c>
      <c r="E1068" s="121" t="n">
        <f aca="false">SUM(BA974:BL974)</f>
        <v>0</v>
      </c>
      <c r="F1068" s="121" t="n">
        <f aca="false">SUM(BM974:BX974)</f>
        <v>0</v>
      </c>
      <c r="G1068" s="121" t="n">
        <f aca="false">SUM(BY974:CJ974)</f>
        <v>0</v>
      </c>
      <c r="H1068" s="121" t="n">
        <f aca="false">SUM(CK974:CV974)</f>
        <v>0</v>
      </c>
      <c r="I1068" s="121" t="n">
        <f aca="false">SUM(CW974:DH974)</f>
        <v>60944.3245072</v>
      </c>
      <c r="J1068" s="121" t="n">
        <f aca="false">SUM(DI974:DT974)</f>
        <v>226327.12196064</v>
      </c>
      <c r="K1068" s="121" t="n">
        <f aca="false">SUM(DU974:EF974)</f>
        <v>321519.40222236</v>
      </c>
      <c r="L1068" s="121" t="n">
        <f aca="false">SUM(EG974:ER974)</f>
        <v>324000</v>
      </c>
      <c r="M1068" s="121" t="n">
        <f aca="false">SUM(ES974:FD974)</f>
        <v>324000</v>
      </c>
      <c r="N1068" s="9" t="n">
        <f aca="false">SUM(FE974:FP974)</f>
        <v>324000</v>
      </c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  <c r="BF1068" s="9"/>
      <c r="BG1068" s="9"/>
      <c r="BH1068" s="9"/>
      <c r="BI1068" s="9"/>
      <c r="BJ1068" s="9"/>
      <c r="BK1068" s="9"/>
      <c r="BL1068" s="9"/>
      <c r="BM1068" s="9"/>
      <c r="BN1068" s="9"/>
      <c r="BO1068" s="9"/>
      <c r="BP1068" s="9"/>
      <c r="BQ1068" s="9"/>
      <c r="BR1068" s="9"/>
      <c r="BS1068" s="9"/>
      <c r="BT1068" s="9"/>
      <c r="BU1068" s="9"/>
      <c r="BV1068" s="9"/>
      <c r="BW1068" s="9"/>
      <c r="BX1068" s="9"/>
      <c r="BY1068" s="9"/>
      <c r="BZ1068" s="9"/>
      <c r="CA1068" s="9"/>
      <c r="CB1068" s="9"/>
      <c r="CC1068" s="9"/>
      <c r="CD1068" s="9"/>
      <c r="CE1068" s="9"/>
      <c r="CF1068" s="9"/>
      <c r="CG1068" s="9"/>
      <c r="CH1068" s="9"/>
      <c r="CI1068" s="9"/>
      <c r="CJ1068" s="9"/>
      <c r="CK1068" s="9"/>
      <c r="CL1068" s="9"/>
      <c r="CM1068" s="9"/>
      <c r="CN1068" s="9"/>
      <c r="CO1068" s="9"/>
      <c r="CP1068" s="9"/>
      <c r="CQ1068" s="9"/>
      <c r="CR1068" s="9"/>
      <c r="CS1068" s="9"/>
      <c r="CT1068" s="9"/>
      <c r="CU1068" s="9"/>
      <c r="CV1068" s="9"/>
      <c r="CW1068" s="9"/>
      <c r="CX1068" s="9"/>
      <c r="CY1068" s="9"/>
      <c r="CZ1068" s="9"/>
      <c r="DA1068" s="9"/>
      <c r="DB1068" s="9"/>
      <c r="DC1068" s="9"/>
      <c r="DD1068" s="9"/>
      <c r="DE1068" s="9"/>
      <c r="DF1068" s="9"/>
      <c r="DG1068" s="9"/>
      <c r="DH1068" s="9"/>
      <c r="DI1068" s="9"/>
      <c r="DJ1068" s="9"/>
      <c r="DK1068" s="9"/>
      <c r="DL1068" s="9"/>
      <c r="DM1068" s="9"/>
      <c r="DN1068" s="9"/>
      <c r="DO1068" s="9"/>
      <c r="DP1068" s="9"/>
      <c r="DQ1068" s="9"/>
      <c r="DR1068" s="9"/>
      <c r="DS1068" s="9"/>
      <c r="DT1068" s="9"/>
      <c r="DU1068" s="9"/>
      <c r="DV1068" s="9"/>
      <c r="DW1068" s="9"/>
      <c r="DX1068" s="9"/>
      <c r="DY1068" s="9"/>
      <c r="DZ1068" s="9"/>
      <c r="EA1068" s="9"/>
      <c r="EB1068" s="9"/>
      <c r="EC1068" s="9"/>
      <c r="ED1068" s="9"/>
      <c r="EE1068" s="9"/>
      <c r="EF1068" s="9"/>
      <c r="EG1068" s="9"/>
      <c r="EH1068" s="9"/>
      <c r="EI1068" s="9"/>
      <c r="EJ1068" s="9"/>
      <c r="EK1068" s="9"/>
      <c r="EL1068" s="9"/>
      <c r="EM1068" s="9"/>
      <c r="EN1068" s="9"/>
      <c r="EO1068" s="9"/>
      <c r="EP1068" s="9"/>
      <c r="EQ1068" s="9"/>
      <c r="ER1068" s="9"/>
      <c r="ES1068" s="9"/>
      <c r="ET1068" s="9"/>
      <c r="EU1068" s="9"/>
      <c r="EV1068" s="9"/>
      <c r="EW1068" s="9"/>
      <c r="EX1068" s="9"/>
      <c r="EY1068" s="9"/>
      <c r="EZ1068" s="9"/>
      <c r="FA1068" s="9"/>
      <c r="FB1068" s="9"/>
      <c r="FC1068" s="9"/>
      <c r="FD1068" s="9"/>
      <c r="FE1068" s="9"/>
      <c r="FF1068" s="9"/>
      <c r="FG1068" s="9"/>
      <c r="FH1068" s="9"/>
      <c r="FI1068" s="9"/>
      <c r="FJ1068" s="9"/>
      <c r="FK1068" s="9"/>
      <c r="FL1068" s="9"/>
      <c r="FM1068" s="9"/>
      <c r="FN1068" s="9"/>
      <c r="FO1068" s="9"/>
      <c r="FP1068" s="9"/>
    </row>
    <row r="1069" customFormat="false" ht="15" hidden="false" customHeight="false" outlineLevel="0" collapsed="false">
      <c r="B1069" s="254" t="s">
        <v>1000</v>
      </c>
      <c r="C1069" s="121" t="n">
        <f aca="false">SUM(AC975:AN975)</f>
        <v>0</v>
      </c>
      <c r="D1069" s="121" t="n">
        <f aca="false">SUM(AO975:AZ975)</f>
        <v>0</v>
      </c>
      <c r="E1069" s="121" t="n">
        <f aca="false">SUM(BA975:BL975)</f>
        <v>0</v>
      </c>
      <c r="F1069" s="121" t="n">
        <f aca="false">SUM(BM975:BX975)</f>
        <v>0</v>
      </c>
      <c r="G1069" s="121" t="n">
        <f aca="false">SUM(BY975:CJ975)</f>
        <v>0</v>
      </c>
      <c r="H1069" s="121" t="n">
        <f aca="false">SUM(CK975:CV975)</f>
        <v>0</v>
      </c>
      <c r="I1069" s="121" t="n">
        <f aca="false">SUM(CW975:DH975)</f>
        <v>0</v>
      </c>
      <c r="J1069" s="121" t="n">
        <f aca="false">SUM(DI975:DT975)</f>
        <v>31871.2042112</v>
      </c>
      <c r="K1069" s="121" t="n">
        <f aca="false">SUM(DU975:EF975)</f>
        <v>137379.994488</v>
      </c>
      <c r="L1069" s="121" t="n">
        <f aca="false">SUM(EG975:ER975)</f>
        <v>278441.98309764</v>
      </c>
      <c r="M1069" s="121" t="n">
        <f aca="false">SUM(ES975:FD975)</f>
        <v>323840.21577492</v>
      </c>
      <c r="N1069" s="9" t="n">
        <f aca="false">SUM(FE975:FP975)</f>
        <v>324000</v>
      </c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  <c r="BF1069" s="9"/>
      <c r="BG1069" s="9"/>
      <c r="BH1069" s="9"/>
      <c r="BI1069" s="9"/>
      <c r="BJ1069" s="9"/>
      <c r="BK1069" s="9"/>
      <c r="BL1069" s="9"/>
      <c r="BM1069" s="9"/>
      <c r="BN1069" s="9"/>
      <c r="BO1069" s="9"/>
      <c r="BP1069" s="9"/>
      <c r="BQ1069" s="9"/>
      <c r="BR1069" s="9"/>
      <c r="BS1069" s="9"/>
      <c r="BT1069" s="9"/>
      <c r="BU1069" s="9"/>
      <c r="BV1069" s="9"/>
      <c r="BW1069" s="9"/>
      <c r="BX1069" s="9"/>
      <c r="BY1069" s="9"/>
      <c r="BZ1069" s="9"/>
      <c r="CA1069" s="9"/>
      <c r="CB1069" s="9"/>
      <c r="CC1069" s="9"/>
      <c r="CD1069" s="9"/>
      <c r="CE1069" s="9"/>
      <c r="CF1069" s="9"/>
      <c r="CG1069" s="9"/>
      <c r="CH1069" s="9"/>
      <c r="CI1069" s="9"/>
      <c r="CJ1069" s="9"/>
      <c r="CK1069" s="9"/>
      <c r="CL1069" s="9"/>
      <c r="CM1069" s="9"/>
      <c r="CN1069" s="9"/>
      <c r="CO1069" s="9"/>
      <c r="CP1069" s="9"/>
      <c r="CQ1069" s="9"/>
      <c r="CR1069" s="9"/>
      <c r="CS1069" s="9"/>
      <c r="CT1069" s="9"/>
      <c r="CU1069" s="9"/>
      <c r="CV1069" s="9"/>
      <c r="CW1069" s="9"/>
      <c r="CX1069" s="9"/>
      <c r="CY1069" s="9"/>
      <c r="CZ1069" s="9"/>
      <c r="DA1069" s="9"/>
      <c r="DB1069" s="9"/>
      <c r="DC1069" s="9"/>
      <c r="DD1069" s="9"/>
      <c r="DE1069" s="9"/>
      <c r="DF1069" s="9"/>
      <c r="DG1069" s="9"/>
      <c r="DH1069" s="9"/>
      <c r="DI1069" s="9"/>
      <c r="DJ1069" s="9"/>
      <c r="DK1069" s="9"/>
      <c r="DL1069" s="9"/>
      <c r="DM1069" s="9"/>
      <c r="DN1069" s="9"/>
      <c r="DO1069" s="9"/>
      <c r="DP1069" s="9"/>
      <c r="DQ1069" s="9"/>
      <c r="DR1069" s="9"/>
      <c r="DS1069" s="9"/>
      <c r="DT1069" s="9"/>
      <c r="DU1069" s="9"/>
      <c r="DV1069" s="9"/>
      <c r="DW1069" s="9"/>
      <c r="DX1069" s="9"/>
      <c r="DY1069" s="9"/>
      <c r="DZ1069" s="9"/>
      <c r="EA1069" s="9"/>
      <c r="EB1069" s="9"/>
      <c r="EC1069" s="9"/>
      <c r="ED1069" s="9"/>
      <c r="EE1069" s="9"/>
      <c r="EF1069" s="9"/>
      <c r="EG1069" s="9"/>
      <c r="EH1069" s="9"/>
      <c r="EI1069" s="9"/>
      <c r="EJ1069" s="9"/>
      <c r="EK1069" s="9"/>
      <c r="EL1069" s="9"/>
      <c r="EM1069" s="9"/>
      <c r="EN1069" s="9"/>
      <c r="EO1069" s="9"/>
      <c r="EP1069" s="9"/>
      <c r="EQ1069" s="9"/>
      <c r="ER1069" s="9"/>
      <c r="ES1069" s="9"/>
      <c r="ET1069" s="9"/>
      <c r="EU1069" s="9"/>
      <c r="EV1069" s="9"/>
      <c r="EW1069" s="9"/>
      <c r="EX1069" s="9"/>
      <c r="EY1069" s="9"/>
      <c r="EZ1069" s="9"/>
      <c r="FA1069" s="9"/>
      <c r="FB1069" s="9"/>
      <c r="FC1069" s="9"/>
      <c r="FD1069" s="9"/>
      <c r="FE1069" s="9"/>
      <c r="FF1069" s="9"/>
      <c r="FG1069" s="9"/>
      <c r="FH1069" s="9"/>
      <c r="FI1069" s="9"/>
      <c r="FJ1069" s="9"/>
      <c r="FK1069" s="9"/>
      <c r="FL1069" s="9"/>
      <c r="FM1069" s="9"/>
      <c r="FN1069" s="9"/>
      <c r="FO1069" s="9"/>
      <c r="FP1069" s="9"/>
    </row>
    <row r="1070" customFormat="false" ht="15" hidden="false" customHeight="false" outlineLevel="0" collapsed="false">
      <c r="B1070" s="254" t="s">
        <v>1001</v>
      </c>
      <c r="C1070" s="121" t="n">
        <f aca="false">SUM(AC976:AN976)</f>
        <v>0</v>
      </c>
      <c r="D1070" s="121" t="n">
        <f aca="false">SUM(AO976:AZ976)</f>
        <v>0</v>
      </c>
      <c r="E1070" s="121" t="n">
        <f aca="false">SUM(BA976:BL976)</f>
        <v>0</v>
      </c>
      <c r="F1070" s="121" t="n">
        <f aca="false">SUM(BM976:BX976)</f>
        <v>0</v>
      </c>
      <c r="G1070" s="121" t="n">
        <f aca="false">SUM(BY976:CJ976)</f>
        <v>0</v>
      </c>
      <c r="H1070" s="121" t="n">
        <f aca="false">SUM(CK976:CV976)</f>
        <v>0</v>
      </c>
      <c r="I1070" s="121" t="n">
        <f aca="false">SUM(CW976:DH976)</f>
        <v>0</v>
      </c>
      <c r="J1070" s="121" t="n">
        <f aca="false">SUM(DI976:DT976)</f>
        <v>71420.0887008</v>
      </c>
      <c r="K1070" s="121" t="n">
        <f aca="false">SUM(DU976:EF976)</f>
        <v>213133.74788832</v>
      </c>
      <c r="L1070" s="121" t="n">
        <f aca="false">SUM(EG976:ER976)</f>
        <v>363424.35881472</v>
      </c>
      <c r="M1070" s="121" t="n">
        <f aca="false">SUM(ES976:FD976)</f>
        <v>419115.78328984</v>
      </c>
      <c r="N1070" s="9" t="n">
        <f aca="false">SUM(FE976:FP976)</f>
        <v>420000</v>
      </c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  <c r="BF1070" s="9"/>
      <c r="BG1070" s="9"/>
      <c r="BH1070" s="9"/>
      <c r="BI1070" s="9"/>
      <c r="BJ1070" s="9"/>
      <c r="BK1070" s="9"/>
      <c r="BL1070" s="9"/>
      <c r="BM1070" s="9"/>
      <c r="BN1070" s="9"/>
      <c r="BO1070" s="9"/>
      <c r="BP1070" s="9"/>
      <c r="BQ1070" s="9"/>
      <c r="BR1070" s="9"/>
      <c r="BS1070" s="9"/>
      <c r="BT1070" s="9"/>
      <c r="BU1070" s="9"/>
      <c r="BV1070" s="9"/>
      <c r="BW1070" s="9"/>
      <c r="BX1070" s="9"/>
      <c r="BY1070" s="9"/>
      <c r="BZ1070" s="9"/>
      <c r="CA1070" s="9"/>
      <c r="CB1070" s="9"/>
      <c r="CC1070" s="9"/>
      <c r="CD1070" s="9"/>
      <c r="CE1070" s="9"/>
      <c r="CF1070" s="9"/>
      <c r="CG1070" s="9"/>
      <c r="CH1070" s="9"/>
      <c r="CI1070" s="9"/>
      <c r="CJ1070" s="9"/>
      <c r="CK1070" s="9"/>
      <c r="CL1070" s="9"/>
      <c r="CM1070" s="9"/>
      <c r="CN1070" s="9"/>
      <c r="CO1070" s="9"/>
      <c r="CP1070" s="9"/>
      <c r="CQ1070" s="9"/>
      <c r="CR1070" s="9"/>
      <c r="CS1070" s="9"/>
      <c r="CT1070" s="9"/>
      <c r="CU1070" s="9"/>
      <c r="CV1070" s="9"/>
      <c r="CW1070" s="9"/>
      <c r="CX1070" s="9"/>
      <c r="CY1070" s="9"/>
      <c r="CZ1070" s="9"/>
      <c r="DA1070" s="9"/>
      <c r="DB1070" s="9"/>
      <c r="DC1070" s="9"/>
      <c r="DD1070" s="9"/>
      <c r="DE1070" s="9"/>
      <c r="DF1070" s="9"/>
      <c r="DG1070" s="9"/>
      <c r="DH1070" s="9"/>
      <c r="DI1070" s="9"/>
      <c r="DJ1070" s="9"/>
      <c r="DK1070" s="9"/>
      <c r="DL1070" s="9"/>
      <c r="DM1070" s="9"/>
      <c r="DN1070" s="9"/>
      <c r="DO1070" s="9"/>
      <c r="DP1070" s="9"/>
      <c r="DQ1070" s="9"/>
      <c r="DR1070" s="9"/>
      <c r="DS1070" s="9"/>
      <c r="DT1070" s="9"/>
      <c r="DU1070" s="9"/>
      <c r="DV1070" s="9"/>
      <c r="DW1070" s="9"/>
      <c r="DX1070" s="9"/>
      <c r="DY1070" s="9"/>
      <c r="DZ1070" s="9"/>
      <c r="EA1070" s="9"/>
      <c r="EB1070" s="9"/>
      <c r="EC1070" s="9"/>
      <c r="ED1070" s="9"/>
      <c r="EE1070" s="9"/>
      <c r="EF1070" s="9"/>
      <c r="EG1070" s="9"/>
      <c r="EH1070" s="9"/>
      <c r="EI1070" s="9"/>
      <c r="EJ1070" s="9"/>
      <c r="EK1070" s="9"/>
      <c r="EL1070" s="9"/>
      <c r="EM1070" s="9"/>
      <c r="EN1070" s="9"/>
      <c r="EO1070" s="9"/>
      <c r="EP1070" s="9"/>
      <c r="EQ1070" s="9"/>
      <c r="ER1070" s="9"/>
      <c r="ES1070" s="9"/>
      <c r="ET1070" s="9"/>
      <c r="EU1070" s="9"/>
      <c r="EV1070" s="9"/>
      <c r="EW1070" s="9"/>
      <c r="EX1070" s="9"/>
      <c r="EY1070" s="9"/>
      <c r="EZ1070" s="9"/>
      <c r="FA1070" s="9"/>
      <c r="FB1070" s="9"/>
      <c r="FC1070" s="9"/>
      <c r="FD1070" s="9"/>
      <c r="FE1070" s="9"/>
      <c r="FF1070" s="9"/>
      <c r="FG1070" s="9"/>
      <c r="FH1070" s="9"/>
      <c r="FI1070" s="9"/>
      <c r="FJ1070" s="9"/>
      <c r="FK1070" s="9"/>
      <c r="FL1070" s="9"/>
      <c r="FM1070" s="9"/>
      <c r="FN1070" s="9"/>
      <c r="FO1070" s="9"/>
      <c r="FP1070" s="9"/>
    </row>
    <row r="1071" customFormat="false" ht="15" hidden="false" customHeight="false" outlineLevel="0" collapsed="false">
      <c r="B1071" s="254" t="s">
        <v>1002</v>
      </c>
      <c r="C1071" s="121" t="n">
        <f aca="false">SUM(AC977:AN977)</f>
        <v>0</v>
      </c>
      <c r="D1071" s="121" t="n">
        <f aca="false">SUM(AO977:AZ977)</f>
        <v>0</v>
      </c>
      <c r="E1071" s="121" t="n">
        <f aca="false">SUM(BA977:BL977)</f>
        <v>0</v>
      </c>
      <c r="F1071" s="121" t="n">
        <f aca="false">SUM(BM977:BX977)</f>
        <v>0</v>
      </c>
      <c r="G1071" s="121" t="n">
        <f aca="false">SUM(BY977:CJ977)</f>
        <v>0</v>
      </c>
      <c r="H1071" s="121" t="n">
        <f aca="false">SUM(CK977:CV977)</f>
        <v>0</v>
      </c>
      <c r="I1071" s="121" t="n">
        <f aca="false">SUM(CW977:DH977)</f>
        <v>0</v>
      </c>
      <c r="J1071" s="121" t="n">
        <f aca="false">SUM(DI977:DT977)</f>
        <v>74194.424936</v>
      </c>
      <c r="K1071" s="121" t="n">
        <f aca="false">SUM(DU977:EF977)</f>
        <v>199473.9149448</v>
      </c>
      <c r="L1071" s="121" t="n">
        <f aca="false">SUM(EG977:ER977)</f>
        <v>309618.9349428</v>
      </c>
      <c r="M1071" s="121" t="n">
        <f aca="false">SUM(ES977:FD977)</f>
        <v>324000</v>
      </c>
      <c r="N1071" s="9" t="n">
        <f aca="false">SUM(FE977:FP977)</f>
        <v>324000</v>
      </c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  <c r="BF1071" s="9"/>
      <c r="BG1071" s="9"/>
      <c r="BH1071" s="9"/>
      <c r="BI1071" s="9"/>
      <c r="BJ1071" s="9"/>
      <c r="BK1071" s="9"/>
      <c r="BL1071" s="9"/>
      <c r="BM1071" s="9"/>
      <c r="BN1071" s="9"/>
      <c r="BO1071" s="9"/>
      <c r="BP1071" s="9"/>
      <c r="BQ1071" s="9"/>
      <c r="BR1071" s="9"/>
      <c r="BS1071" s="9"/>
      <c r="BT1071" s="9"/>
      <c r="BU1071" s="9"/>
      <c r="BV1071" s="9"/>
      <c r="BW1071" s="9"/>
      <c r="BX1071" s="9"/>
      <c r="BY1071" s="9"/>
      <c r="BZ1071" s="9"/>
      <c r="CA1071" s="9"/>
      <c r="CB1071" s="9"/>
      <c r="CC1071" s="9"/>
      <c r="CD1071" s="9"/>
      <c r="CE1071" s="9"/>
      <c r="CF1071" s="9"/>
      <c r="CG1071" s="9"/>
      <c r="CH1071" s="9"/>
      <c r="CI1071" s="9"/>
      <c r="CJ1071" s="9"/>
      <c r="CK1071" s="9"/>
      <c r="CL1071" s="9"/>
      <c r="CM1071" s="9"/>
      <c r="CN1071" s="9"/>
      <c r="CO1071" s="9"/>
      <c r="CP1071" s="9"/>
      <c r="CQ1071" s="9"/>
      <c r="CR1071" s="9"/>
      <c r="CS1071" s="9"/>
      <c r="CT1071" s="9"/>
      <c r="CU1071" s="9"/>
      <c r="CV1071" s="9"/>
      <c r="CW1071" s="9"/>
      <c r="CX1071" s="9"/>
      <c r="CY1071" s="9"/>
      <c r="CZ1071" s="9"/>
      <c r="DA1071" s="9"/>
      <c r="DB1071" s="9"/>
      <c r="DC1071" s="9"/>
      <c r="DD1071" s="9"/>
      <c r="DE1071" s="9"/>
      <c r="DF1071" s="9"/>
      <c r="DG1071" s="9"/>
      <c r="DH1071" s="9"/>
      <c r="DI1071" s="9"/>
      <c r="DJ1071" s="9"/>
      <c r="DK1071" s="9"/>
      <c r="DL1071" s="9"/>
      <c r="DM1071" s="9"/>
      <c r="DN1071" s="9"/>
      <c r="DO1071" s="9"/>
      <c r="DP1071" s="9"/>
      <c r="DQ1071" s="9"/>
      <c r="DR1071" s="9"/>
      <c r="DS1071" s="9"/>
      <c r="DT1071" s="9"/>
      <c r="DU1071" s="9"/>
      <c r="DV1071" s="9"/>
      <c r="DW1071" s="9"/>
      <c r="DX1071" s="9"/>
      <c r="DY1071" s="9"/>
      <c r="DZ1071" s="9"/>
      <c r="EA1071" s="9"/>
      <c r="EB1071" s="9"/>
      <c r="EC1071" s="9"/>
      <c r="ED1071" s="9"/>
      <c r="EE1071" s="9"/>
      <c r="EF1071" s="9"/>
      <c r="EG1071" s="9"/>
      <c r="EH1071" s="9"/>
      <c r="EI1071" s="9"/>
      <c r="EJ1071" s="9"/>
      <c r="EK1071" s="9"/>
      <c r="EL1071" s="9"/>
      <c r="EM1071" s="9"/>
      <c r="EN1071" s="9"/>
      <c r="EO1071" s="9"/>
      <c r="EP1071" s="9"/>
      <c r="EQ1071" s="9"/>
      <c r="ER1071" s="9"/>
      <c r="ES1071" s="9"/>
      <c r="ET1071" s="9"/>
      <c r="EU1071" s="9"/>
      <c r="EV1071" s="9"/>
      <c r="EW1071" s="9"/>
      <c r="EX1071" s="9"/>
      <c r="EY1071" s="9"/>
      <c r="EZ1071" s="9"/>
      <c r="FA1071" s="9"/>
      <c r="FB1071" s="9"/>
      <c r="FC1071" s="9"/>
      <c r="FD1071" s="9"/>
      <c r="FE1071" s="9"/>
      <c r="FF1071" s="9"/>
      <c r="FG1071" s="9"/>
      <c r="FH1071" s="9"/>
      <c r="FI1071" s="9"/>
      <c r="FJ1071" s="9"/>
      <c r="FK1071" s="9"/>
      <c r="FL1071" s="9"/>
      <c r="FM1071" s="9"/>
      <c r="FN1071" s="9"/>
      <c r="FO1071" s="9"/>
      <c r="FP1071" s="9"/>
    </row>
    <row r="1072" customFormat="false" ht="15" hidden="false" customHeight="false" outlineLevel="0" collapsed="false">
      <c r="B1072" s="254" t="s">
        <v>1003</v>
      </c>
      <c r="C1072" s="121" t="n">
        <f aca="false">SUM(AC978:AN978)</f>
        <v>0</v>
      </c>
      <c r="D1072" s="121" t="n">
        <f aca="false">SUM(AO978:AZ978)</f>
        <v>0</v>
      </c>
      <c r="E1072" s="121" t="n">
        <f aca="false">SUM(BA978:BL978)</f>
        <v>0</v>
      </c>
      <c r="F1072" s="121" t="n">
        <f aca="false">SUM(BM978:BX978)</f>
        <v>0</v>
      </c>
      <c r="G1072" s="121" t="n">
        <f aca="false">SUM(BY978:CJ978)</f>
        <v>0</v>
      </c>
      <c r="H1072" s="121" t="n">
        <f aca="false">SUM(CK978:CV978)</f>
        <v>0</v>
      </c>
      <c r="I1072" s="121" t="n">
        <f aca="false">SUM(CW978:DH978)</f>
        <v>0</v>
      </c>
      <c r="J1072" s="121" t="n">
        <f aca="false">SUM(DI978:DT978)</f>
        <v>22693.7005312</v>
      </c>
      <c r="K1072" s="121" t="n">
        <f aca="false">SUM(DU978:EF978)</f>
        <v>126223.3172368</v>
      </c>
      <c r="L1072" s="121" t="n">
        <f aca="false">SUM(EG978:ER978)</f>
        <v>270757.75698124</v>
      </c>
      <c r="M1072" s="121" t="n">
        <f aca="false">SUM(ES978:FD978)</f>
        <v>322867.70206212</v>
      </c>
      <c r="N1072" s="9" t="n">
        <f aca="false">SUM(FE978:FP978)</f>
        <v>324000</v>
      </c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  <c r="BF1072" s="9"/>
      <c r="BG1072" s="9"/>
      <c r="BH1072" s="9"/>
      <c r="BI1072" s="9"/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9"/>
      <c r="BX1072" s="9"/>
      <c r="BY1072" s="9"/>
      <c r="BZ1072" s="9"/>
      <c r="CA1072" s="9"/>
      <c r="CB1072" s="9"/>
      <c r="CC1072" s="9"/>
      <c r="CD1072" s="9"/>
      <c r="CE1072" s="9"/>
      <c r="CF1072" s="9"/>
      <c r="CG1072" s="9"/>
      <c r="CH1072" s="9"/>
      <c r="CI1072" s="9"/>
      <c r="CJ1072" s="9"/>
      <c r="CK1072" s="9"/>
      <c r="CL1072" s="9"/>
      <c r="CM1072" s="9"/>
      <c r="CN1072" s="9"/>
      <c r="CO1072" s="9"/>
      <c r="CP1072" s="9"/>
      <c r="CQ1072" s="9"/>
      <c r="CR1072" s="9"/>
      <c r="CS1072" s="9"/>
      <c r="CT1072" s="9"/>
      <c r="CU1072" s="9"/>
      <c r="CV1072" s="9"/>
      <c r="CW1072" s="9"/>
      <c r="CX1072" s="9"/>
      <c r="CY1072" s="9"/>
      <c r="CZ1072" s="9"/>
      <c r="DA1072" s="9"/>
      <c r="DB1072" s="9"/>
      <c r="DC1072" s="9"/>
      <c r="DD1072" s="9"/>
      <c r="DE1072" s="9"/>
      <c r="DF1072" s="9"/>
      <c r="DG1072" s="9"/>
      <c r="DH1072" s="9"/>
      <c r="DI1072" s="9"/>
      <c r="DJ1072" s="9"/>
      <c r="DK1072" s="9"/>
      <c r="DL1072" s="9"/>
      <c r="DM1072" s="9"/>
      <c r="DN1072" s="9"/>
      <c r="DO1072" s="9"/>
      <c r="DP1072" s="9"/>
      <c r="DQ1072" s="9"/>
      <c r="DR1072" s="9"/>
      <c r="DS1072" s="9"/>
      <c r="DT1072" s="9"/>
      <c r="DU1072" s="9"/>
      <c r="DV1072" s="9"/>
      <c r="DW1072" s="9"/>
      <c r="DX1072" s="9"/>
      <c r="DY1072" s="9"/>
      <c r="DZ1072" s="9"/>
      <c r="EA1072" s="9"/>
      <c r="EB1072" s="9"/>
      <c r="EC1072" s="9"/>
      <c r="ED1072" s="9"/>
      <c r="EE1072" s="9"/>
      <c r="EF1072" s="9"/>
      <c r="EG1072" s="9"/>
      <c r="EH1072" s="9"/>
      <c r="EI1072" s="9"/>
      <c r="EJ1072" s="9"/>
      <c r="EK1072" s="9"/>
      <c r="EL1072" s="9"/>
      <c r="EM1072" s="9"/>
      <c r="EN1072" s="9"/>
      <c r="EO1072" s="9"/>
      <c r="EP1072" s="9"/>
      <c r="EQ1072" s="9"/>
      <c r="ER1072" s="9"/>
      <c r="ES1072" s="9"/>
      <c r="ET1072" s="9"/>
      <c r="EU1072" s="9"/>
      <c r="EV1072" s="9"/>
      <c r="EW1072" s="9"/>
      <c r="EX1072" s="9"/>
      <c r="EY1072" s="9"/>
      <c r="EZ1072" s="9"/>
      <c r="FA1072" s="9"/>
      <c r="FB1072" s="9"/>
      <c r="FC1072" s="9"/>
      <c r="FD1072" s="9"/>
      <c r="FE1072" s="9"/>
      <c r="FF1072" s="9"/>
      <c r="FG1072" s="9"/>
      <c r="FH1072" s="9"/>
      <c r="FI1072" s="9"/>
      <c r="FJ1072" s="9"/>
      <c r="FK1072" s="9"/>
      <c r="FL1072" s="9"/>
      <c r="FM1072" s="9"/>
      <c r="FN1072" s="9"/>
      <c r="FO1072" s="9"/>
      <c r="FP1072" s="9"/>
    </row>
    <row r="1073" customFormat="false" ht="15" hidden="false" customHeight="false" outlineLevel="0" collapsed="false">
      <c r="B1073" s="254" t="s">
        <v>1004</v>
      </c>
      <c r="C1073" s="121" t="n">
        <f aca="false">SUM(AC979:AN979)</f>
        <v>0</v>
      </c>
      <c r="D1073" s="121" t="n">
        <f aca="false">SUM(AO979:AZ979)</f>
        <v>0</v>
      </c>
      <c r="E1073" s="121" t="n">
        <f aca="false">SUM(BA979:BL979)</f>
        <v>0</v>
      </c>
      <c r="F1073" s="121" t="n">
        <f aca="false">SUM(BM979:BX979)</f>
        <v>0</v>
      </c>
      <c r="G1073" s="121" t="n">
        <f aca="false">SUM(BY979:CJ979)</f>
        <v>0</v>
      </c>
      <c r="H1073" s="121" t="n">
        <f aca="false">SUM(CK979:CV979)</f>
        <v>0</v>
      </c>
      <c r="I1073" s="121" t="n">
        <f aca="false">SUM(CW979:DH979)</f>
        <v>0</v>
      </c>
      <c r="J1073" s="121" t="n">
        <f aca="false">SUM(DI979:DT979)</f>
        <v>0</v>
      </c>
      <c r="K1073" s="121" t="n">
        <f aca="false">SUM(DU979:EF979)</f>
        <v>9271.832064</v>
      </c>
      <c r="L1073" s="121" t="n">
        <f aca="false">SUM(EG979:ER979)</f>
        <v>89291.3275232</v>
      </c>
      <c r="M1073" s="121" t="n">
        <f aca="false">SUM(ES979:FD979)</f>
        <v>198328.79286528</v>
      </c>
      <c r="N1073" s="9" t="n">
        <f aca="false">SUM(FE979:FP979)</f>
        <v>260668.7482504</v>
      </c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9"/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9"/>
      <c r="CQ1073" s="9"/>
      <c r="CR1073" s="9"/>
      <c r="CS1073" s="9"/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9"/>
      <c r="DJ1073" s="9"/>
      <c r="DK1073" s="9"/>
      <c r="DL1073" s="9"/>
      <c r="DM1073" s="9"/>
      <c r="DN1073" s="9"/>
      <c r="DO1073" s="9"/>
      <c r="DP1073" s="9"/>
      <c r="DQ1073" s="9"/>
      <c r="DR1073" s="9"/>
      <c r="DS1073" s="9"/>
      <c r="DT1073" s="9"/>
      <c r="DU1073" s="9"/>
      <c r="DV1073" s="9"/>
      <c r="DW1073" s="9"/>
      <c r="DX1073" s="9"/>
      <c r="DY1073" s="9"/>
      <c r="DZ1073" s="9"/>
      <c r="EA1073" s="9"/>
      <c r="EB1073" s="9"/>
      <c r="EC1073" s="9"/>
      <c r="ED1073" s="9"/>
      <c r="EE1073" s="9"/>
      <c r="EF1073" s="9"/>
      <c r="EG1073" s="9"/>
      <c r="EH1073" s="9"/>
      <c r="EI1073" s="9"/>
      <c r="EJ1073" s="9"/>
      <c r="EK1073" s="9"/>
      <c r="EL1073" s="9"/>
      <c r="EM1073" s="9"/>
      <c r="EN1073" s="9"/>
      <c r="EO1073" s="9"/>
      <c r="EP1073" s="9"/>
      <c r="EQ1073" s="9"/>
      <c r="ER1073" s="9"/>
      <c r="ES1073" s="9"/>
      <c r="ET1073" s="9"/>
      <c r="EU1073" s="9"/>
      <c r="EV1073" s="9"/>
      <c r="EW1073" s="9"/>
      <c r="EX1073" s="9"/>
      <c r="EY1073" s="9"/>
      <c r="EZ1073" s="9"/>
      <c r="FA1073" s="9"/>
      <c r="FB1073" s="9"/>
      <c r="FC1073" s="9"/>
      <c r="FD1073" s="9"/>
      <c r="FE1073" s="9"/>
      <c r="FF1073" s="9"/>
      <c r="FG1073" s="9"/>
      <c r="FH1073" s="9"/>
      <c r="FI1073" s="9"/>
      <c r="FJ1073" s="9"/>
      <c r="FK1073" s="9"/>
      <c r="FL1073" s="9"/>
      <c r="FM1073" s="9"/>
      <c r="FN1073" s="9"/>
      <c r="FO1073" s="9"/>
      <c r="FP1073" s="9"/>
    </row>
    <row r="1074" customFormat="false" ht="15" hidden="false" customHeight="false" outlineLevel="0" collapsed="false">
      <c r="B1074" s="254" t="s">
        <v>1005</v>
      </c>
      <c r="C1074" s="121" t="n">
        <f aca="false">SUM(AC980:AN980)</f>
        <v>0</v>
      </c>
      <c r="D1074" s="121" t="n">
        <f aca="false">SUM(AO980:AZ980)</f>
        <v>0</v>
      </c>
      <c r="E1074" s="121" t="n">
        <f aca="false">SUM(BA980:BL980)</f>
        <v>0</v>
      </c>
      <c r="F1074" s="121" t="n">
        <f aca="false">SUM(BM980:BX980)</f>
        <v>0</v>
      </c>
      <c r="G1074" s="121" t="n">
        <f aca="false">SUM(BY980:CJ980)</f>
        <v>0</v>
      </c>
      <c r="H1074" s="121" t="n">
        <f aca="false">SUM(CK980:CV980)</f>
        <v>0</v>
      </c>
      <c r="I1074" s="121" t="n">
        <f aca="false">SUM(CW980:DH980)</f>
        <v>0</v>
      </c>
      <c r="J1074" s="121" t="n">
        <f aca="false">SUM(DI980:DT980)</f>
        <v>0</v>
      </c>
      <c r="K1074" s="121" t="n">
        <f aca="false">SUM(DU980:EF980)</f>
        <v>5574.24912</v>
      </c>
      <c r="L1074" s="121" t="n">
        <f aca="false">SUM(EG980:ER980)</f>
        <v>82337.8223712</v>
      </c>
      <c r="M1074" s="121" t="n">
        <f aca="false">SUM(ES980:FD980)</f>
        <v>189231.33678768</v>
      </c>
      <c r="N1074" s="9" t="n">
        <f aca="false">SUM(FE980:FP980)</f>
        <v>256846.70619824</v>
      </c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  <c r="BF1074" s="9"/>
      <c r="BG1074" s="9"/>
      <c r="BH1074" s="9"/>
      <c r="BI1074" s="9"/>
      <c r="BJ1074" s="9"/>
      <c r="BK1074" s="9"/>
      <c r="BL1074" s="9"/>
      <c r="BM1074" s="9"/>
      <c r="BN1074" s="9"/>
      <c r="BO1074" s="9"/>
      <c r="BP1074" s="9"/>
      <c r="BQ1074" s="9"/>
      <c r="BR1074" s="9"/>
      <c r="BS1074" s="9"/>
      <c r="BT1074" s="9"/>
      <c r="BU1074" s="9"/>
      <c r="BV1074" s="9"/>
      <c r="BW1074" s="9"/>
      <c r="BX1074" s="9"/>
      <c r="BY1074" s="9"/>
      <c r="BZ1074" s="9"/>
      <c r="CA1074" s="9"/>
      <c r="CB1074" s="9"/>
      <c r="CC1074" s="9"/>
      <c r="CD1074" s="9"/>
      <c r="CE1074" s="9"/>
      <c r="CF1074" s="9"/>
      <c r="CG1074" s="9"/>
      <c r="CH1074" s="9"/>
      <c r="CI1074" s="9"/>
      <c r="CJ1074" s="9"/>
      <c r="CK1074" s="9"/>
      <c r="CL1074" s="9"/>
      <c r="CM1074" s="9"/>
      <c r="CN1074" s="9"/>
      <c r="CO1074" s="9"/>
      <c r="CP1074" s="9"/>
      <c r="CQ1074" s="9"/>
      <c r="CR1074" s="9"/>
      <c r="CS1074" s="9"/>
      <c r="CT1074" s="9"/>
      <c r="CU1074" s="9"/>
      <c r="CV1074" s="9"/>
      <c r="CW1074" s="9"/>
      <c r="CX1074" s="9"/>
      <c r="CY1074" s="9"/>
      <c r="CZ1074" s="9"/>
      <c r="DA1074" s="9"/>
      <c r="DB1074" s="9"/>
      <c r="DC1074" s="9"/>
      <c r="DD1074" s="9"/>
      <c r="DE1074" s="9"/>
      <c r="DF1074" s="9"/>
      <c r="DG1074" s="9"/>
      <c r="DH1074" s="9"/>
      <c r="DI1074" s="9"/>
      <c r="DJ1074" s="9"/>
      <c r="DK1074" s="9"/>
      <c r="DL1074" s="9"/>
      <c r="DM1074" s="9"/>
      <c r="DN1074" s="9"/>
      <c r="DO1074" s="9"/>
      <c r="DP1074" s="9"/>
      <c r="DQ1074" s="9"/>
      <c r="DR1074" s="9"/>
      <c r="DS1074" s="9"/>
      <c r="DT1074" s="9"/>
      <c r="DU1074" s="9"/>
      <c r="DV1074" s="9"/>
      <c r="DW1074" s="9"/>
      <c r="DX1074" s="9"/>
      <c r="DY1074" s="9"/>
      <c r="DZ1074" s="9"/>
      <c r="EA1074" s="9"/>
      <c r="EB1074" s="9"/>
      <c r="EC1074" s="9"/>
      <c r="ED1074" s="9"/>
      <c r="EE1074" s="9"/>
      <c r="EF1074" s="9"/>
      <c r="EG1074" s="9"/>
      <c r="EH1074" s="9"/>
      <c r="EI1074" s="9"/>
      <c r="EJ1074" s="9"/>
      <c r="EK1074" s="9"/>
      <c r="EL1074" s="9"/>
      <c r="EM1074" s="9"/>
      <c r="EN1074" s="9"/>
      <c r="EO1074" s="9"/>
      <c r="EP1074" s="9"/>
      <c r="EQ1074" s="9"/>
      <c r="ER1074" s="9"/>
      <c r="ES1074" s="9"/>
      <c r="ET1074" s="9"/>
      <c r="EU1074" s="9"/>
      <c r="EV1074" s="9"/>
      <c r="EW1074" s="9"/>
      <c r="EX1074" s="9"/>
      <c r="EY1074" s="9"/>
      <c r="EZ1074" s="9"/>
      <c r="FA1074" s="9"/>
      <c r="FB1074" s="9"/>
      <c r="FC1074" s="9"/>
      <c r="FD1074" s="9"/>
      <c r="FE1074" s="9"/>
      <c r="FF1074" s="9"/>
      <c r="FG1074" s="9"/>
      <c r="FH1074" s="9"/>
      <c r="FI1074" s="9"/>
      <c r="FJ1074" s="9"/>
      <c r="FK1074" s="9"/>
      <c r="FL1074" s="9"/>
      <c r="FM1074" s="9"/>
      <c r="FN1074" s="9"/>
      <c r="FO1074" s="9"/>
      <c r="FP1074" s="9"/>
    </row>
    <row r="1075" customFormat="false" ht="15" hidden="false" customHeight="false" outlineLevel="0" collapsed="false">
      <c r="B1075" s="254" t="s">
        <v>1006</v>
      </c>
      <c r="C1075" s="121" t="n">
        <f aca="false">SUM(AC981:AN981)</f>
        <v>0</v>
      </c>
      <c r="D1075" s="121" t="n">
        <f aca="false">SUM(AO981:AZ981)</f>
        <v>0</v>
      </c>
      <c r="E1075" s="121" t="n">
        <f aca="false">SUM(BA981:BL981)</f>
        <v>0</v>
      </c>
      <c r="F1075" s="121" t="n">
        <f aca="false">SUM(BM981:BX981)</f>
        <v>0</v>
      </c>
      <c r="G1075" s="121" t="n">
        <f aca="false">SUM(BY981:CJ981)</f>
        <v>0</v>
      </c>
      <c r="H1075" s="121" t="n">
        <f aca="false">SUM(CK981:CV981)</f>
        <v>0</v>
      </c>
      <c r="I1075" s="121" t="n">
        <f aca="false">SUM(CW981:DH981)</f>
        <v>0</v>
      </c>
      <c r="J1075" s="121" t="n">
        <f aca="false">SUM(DI981:DT981)</f>
        <v>0</v>
      </c>
      <c r="K1075" s="121" t="n">
        <f aca="false">SUM(DU981:EF981)</f>
        <v>69129.3304768</v>
      </c>
      <c r="L1075" s="121" t="n">
        <f aca="false">SUM(EG981:ER981)</f>
        <v>172126.40371872</v>
      </c>
      <c r="M1075" s="121" t="n">
        <f aca="false">SUM(ES981:FD981)</f>
        <v>248048.88289936</v>
      </c>
      <c r="N1075" s="9" t="n">
        <f aca="false">SUM(FE981:FP981)</f>
        <v>276000</v>
      </c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  <c r="BF1075" s="9"/>
      <c r="BG1075" s="9"/>
      <c r="BH1075" s="9"/>
      <c r="BI1075" s="9"/>
      <c r="BJ1075" s="9"/>
      <c r="BK1075" s="9"/>
      <c r="BL1075" s="9"/>
      <c r="BM1075" s="9"/>
      <c r="BN1075" s="9"/>
      <c r="BO1075" s="9"/>
      <c r="BP1075" s="9"/>
      <c r="BQ1075" s="9"/>
      <c r="BR1075" s="9"/>
      <c r="BS1075" s="9"/>
      <c r="BT1075" s="9"/>
      <c r="BU1075" s="9"/>
      <c r="BV1075" s="9"/>
      <c r="BW1075" s="9"/>
      <c r="BX1075" s="9"/>
      <c r="BY1075" s="9"/>
      <c r="BZ1075" s="9"/>
      <c r="CA1075" s="9"/>
      <c r="CB1075" s="9"/>
      <c r="CC1075" s="9"/>
      <c r="CD1075" s="9"/>
      <c r="CE1075" s="9"/>
      <c r="CF1075" s="9"/>
      <c r="CG1075" s="9"/>
      <c r="CH1075" s="9"/>
      <c r="CI1075" s="9"/>
      <c r="CJ1075" s="9"/>
      <c r="CK1075" s="9"/>
      <c r="CL1075" s="9"/>
      <c r="CM1075" s="9"/>
      <c r="CN1075" s="9"/>
      <c r="CO1075" s="9"/>
      <c r="CP1075" s="9"/>
      <c r="CQ1075" s="9"/>
      <c r="CR1075" s="9"/>
      <c r="CS1075" s="9"/>
      <c r="CT1075" s="9"/>
      <c r="CU1075" s="9"/>
      <c r="CV1075" s="9"/>
      <c r="CW1075" s="9"/>
      <c r="CX1075" s="9"/>
      <c r="CY1075" s="9"/>
      <c r="CZ1075" s="9"/>
      <c r="DA1075" s="9"/>
      <c r="DB1075" s="9"/>
      <c r="DC1075" s="9"/>
      <c r="DD1075" s="9"/>
      <c r="DE1075" s="9"/>
      <c r="DF1075" s="9"/>
      <c r="DG1075" s="9"/>
      <c r="DH1075" s="9"/>
      <c r="DI1075" s="9"/>
      <c r="DJ1075" s="9"/>
      <c r="DK1075" s="9"/>
      <c r="DL1075" s="9"/>
      <c r="DM1075" s="9"/>
      <c r="DN1075" s="9"/>
      <c r="DO1075" s="9"/>
      <c r="DP1075" s="9"/>
      <c r="DQ1075" s="9"/>
      <c r="DR1075" s="9"/>
      <c r="DS1075" s="9"/>
      <c r="DT1075" s="9"/>
      <c r="DU1075" s="9"/>
      <c r="DV1075" s="9"/>
      <c r="DW1075" s="9"/>
      <c r="DX1075" s="9"/>
      <c r="DY1075" s="9"/>
      <c r="DZ1075" s="9"/>
      <c r="EA1075" s="9"/>
      <c r="EB1075" s="9"/>
      <c r="EC1075" s="9"/>
      <c r="ED1075" s="9"/>
      <c r="EE1075" s="9"/>
      <c r="EF1075" s="9"/>
      <c r="EG1075" s="9"/>
      <c r="EH1075" s="9"/>
      <c r="EI1075" s="9"/>
      <c r="EJ1075" s="9"/>
      <c r="EK1075" s="9"/>
      <c r="EL1075" s="9"/>
      <c r="EM1075" s="9"/>
      <c r="EN1075" s="9"/>
      <c r="EO1075" s="9"/>
      <c r="EP1075" s="9"/>
      <c r="EQ1075" s="9"/>
      <c r="ER1075" s="9"/>
      <c r="ES1075" s="9"/>
      <c r="ET1075" s="9"/>
      <c r="EU1075" s="9"/>
      <c r="EV1075" s="9"/>
      <c r="EW1075" s="9"/>
      <c r="EX1075" s="9"/>
      <c r="EY1075" s="9"/>
      <c r="EZ1075" s="9"/>
      <c r="FA1075" s="9"/>
      <c r="FB1075" s="9"/>
      <c r="FC1075" s="9"/>
      <c r="FD1075" s="9"/>
      <c r="FE1075" s="9"/>
      <c r="FF1075" s="9"/>
      <c r="FG1075" s="9"/>
      <c r="FH1075" s="9"/>
      <c r="FI1075" s="9"/>
      <c r="FJ1075" s="9"/>
      <c r="FK1075" s="9"/>
      <c r="FL1075" s="9"/>
      <c r="FM1075" s="9"/>
      <c r="FN1075" s="9"/>
      <c r="FO1075" s="9"/>
      <c r="FP1075" s="9"/>
    </row>
    <row r="1076" customFormat="false" ht="15" hidden="false" customHeight="false" outlineLevel="0" collapsed="false">
      <c r="B1076" s="254" t="s">
        <v>1007</v>
      </c>
      <c r="C1076" s="121" t="n">
        <f aca="false">SUM(AC982:AN982)</f>
        <v>0</v>
      </c>
      <c r="D1076" s="121" t="n">
        <f aca="false">SUM(AO982:AZ982)</f>
        <v>0</v>
      </c>
      <c r="E1076" s="121" t="n">
        <f aca="false">SUM(BA982:BL982)</f>
        <v>0</v>
      </c>
      <c r="F1076" s="121" t="n">
        <f aca="false">SUM(BM982:BX982)</f>
        <v>0</v>
      </c>
      <c r="G1076" s="121" t="n">
        <f aca="false">SUM(BY982:CJ982)</f>
        <v>0</v>
      </c>
      <c r="H1076" s="121" t="n">
        <f aca="false">SUM(CK982:CV982)</f>
        <v>0</v>
      </c>
      <c r="I1076" s="121" t="n">
        <f aca="false">SUM(CW982:DH982)</f>
        <v>0</v>
      </c>
      <c r="J1076" s="121" t="n">
        <f aca="false">SUM(DI982:DT982)</f>
        <v>0</v>
      </c>
      <c r="K1076" s="121" t="n">
        <f aca="false">SUM(DU982:EF982)</f>
        <v>5612.04</v>
      </c>
      <c r="L1076" s="121" t="n">
        <f aca="false">SUM(EG982:ER982)</f>
        <v>144895.7950272</v>
      </c>
      <c r="M1076" s="121" t="n">
        <f aca="false">SUM(ES982:FD982)</f>
        <v>338187.51762376</v>
      </c>
      <c r="N1076" s="9" t="n">
        <f aca="false">SUM(FE982:FP982)</f>
        <v>417632.95555576</v>
      </c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  <c r="BF1076" s="9"/>
      <c r="BG1076" s="9"/>
      <c r="BH1076" s="9"/>
      <c r="BI1076" s="9"/>
      <c r="BJ1076" s="9"/>
      <c r="BK1076" s="9"/>
      <c r="BL1076" s="9"/>
      <c r="BM1076" s="9"/>
      <c r="BN1076" s="9"/>
      <c r="BO1076" s="9"/>
      <c r="BP1076" s="9"/>
      <c r="BQ1076" s="9"/>
      <c r="BR1076" s="9"/>
      <c r="BS1076" s="9"/>
      <c r="BT1076" s="9"/>
      <c r="BU1076" s="9"/>
      <c r="BV1076" s="9"/>
      <c r="BW1076" s="9"/>
      <c r="BX1076" s="9"/>
      <c r="BY1076" s="9"/>
      <c r="BZ1076" s="9"/>
      <c r="CA1076" s="9"/>
      <c r="CB1076" s="9"/>
      <c r="CC1076" s="9"/>
      <c r="CD1076" s="9"/>
      <c r="CE1076" s="9"/>
      <c r="CF1076" s="9"/>
      <c r="CG1076" s="9"/>
      <c r="CH1076" s="9"/>
      <c r="CI1076" s="9"/>
      <c r="CJ1076" s="9"/>
      <c r="CK1076" s="9"/>
      <c r="CL1076" s="9"/>
      <c r="CM1076" s="9"/>
      <c r="CN1076" s="9"/>
      <c r="CO1076" s="9"/>
      <c r="CP1076" s="9"/>
      <c r="CQ1076" s="9"/>
      <c r="CR1076" s="9"/>
      <c r="CS1076" s="9"/>
      <c r="CT1076" s="9"/>
      <c r="CU1076" s="9"/>
      <c r="CV1076" s="9"/>
      <c r="CW1076" s="9"/>
      <c r="CX1076" s="9"/>
      <c r="CY1076" s="9"/>
      <c r="CZ1076" s="9"/>
      <c r="DA1076" s="9"/>
      <c r="DB1076" s="9"/>
      <c r="DC1076" s="9"/>
      <c r="DD1076" s="9"/>
      <c r="DE1076" s="9"/>
      <c r="DF1076" s="9"/>
      <c r="DG1076" s="9"/>
      <c r="DH1076" s="9"/>
      <c r="DI1076" s="9"/>
      <c r="DJ1076" s="9"/>
      <c r="DK1076" s="9"/>
      <c r="DL1076" s="9"/>
      <c r="DM1076" s="9"/>
      <c r="DN1076" s="9"/>
      <c r="DO1076" s="9"/>
      <c r="DP1076" s="9"/>
      <c r="DQ1076" s="9"/>
      <c r="DR1076" s="9"/>
      <c r="DS1076" s="9"/>
      <c r="DT1076" s="9"/>
      <c r="DU1076" s="9"/>
      <c r="DV1076" s="9"/>
      <c r="DW1076" s="9"/>
      <c r="DX1076" s="9"/>
      <c r="DY1076" s="9"/>
      <c r="DZ1076" s="9"/>
      <c r="EA1076" s="9"/>
      <c r="EB1076" s="9"/>
      <c r="EC1076" s="9"/>
      <c r="ED1076" s="9"/>
      <c r="EE1076" s="9"/>
      <c r="EF1076" s="9"/>
      <c r="EG1076" s="9"/>
      <c r="EH1076" s="9"/>
      <c r="EI1076" s="9"/>
      <c r="EJ1076" s="9"/>
      <c r="EK1076" s="9"/>
      <c r="EL1076" s="9"/>
      <c r="EM1076" s="9"/>
      <c r="EN1076" s="9"/>
      <c r="EO1076" s="9"/>
      <c r="EP1076" s="9"/>
      <c r="EQ1076" s="9"/>
      <c r="ER1076" s="9"/>
      <c r="ES1076" s="9"/>
      <c r="ET1076" s="9"/>
      <c r="EU1076" s="9"/>
      <c r="EV1076" s="9"/>
      <c r="EW1076" s="9"/>
      <c r="EX1076" s="9"/>
      <c r="EY1076" s="9"/>
      <c r="EZ1076" s="9"/>
      <c r="FA1076" s="9"/>
      <c r="FB1076" s="9"/>
      <c r="FC1076" s="9"/>
      <c r="FD1076" s="9"/>
      <c r="FE1076" s="9"/>
      <c r="FF1076" s="9"/>
      <c r="FG1076" s="9"/>
      <c r="FH1076" s="9"/>
      <c r="FI1076" s="9"/>
      <c r="FJ1076" s="9"/>
      <c r="FK1076" s="9"/>
      <c r="FL1076" s="9"/>
      <c r="FM1076" s="9"/>
      <c r="FN1076" s="9"/>
      <c r="FO1076" s="9"/>
      <c r="FP1076" s="9"/>
    </row>
    <row r="1077" customFormat="false" ht="15" hidden="false" customHeight="false" outlineLevel="0" collapsed="false">
      <c r="B1077" s="254" t="s">
        <v>1008</v>
      </c>
      <c r="C1077" s="121" t="n">
        <f aca="false">SUM(AC983:AN983)</f>
        <v>0</v>
      </c>
      <c r="D1077" s="121" t="n">
        <f aca="false">SUM(AO983:AZ983)</f>
        <v>0</v>
      </c>
      <c r="E1077" s="121" t="n">
        <f aca="false">SUM(BA983:BL983)</f>
        <v>0</v>
      </c>
      <c r="F1077" s="121" t="n">
        <f aca="false">SUM(BM983:BX983)</f>
        <v>0</v>
      </c>
      <c r="G1077" s="121" t="n">
        <f aca="false">SUM(BY983:CJ983)</f>
        <v>0</v>
      </c>
      <c r="H1077" s="121" t="n">
        <f aca="false">SUM(CK983:CV983)</f>
        <v>0</v>
      </c>
      <c r="I1077" s="121" t="n">
        <f aca="false">SUM(CW983:DH983)</f>
        <v>0</v>
      </c>
      <c r="J1077" s="121" t="n">
        <f aca="false">SUM(DI983:DT983)</f>
        <v>0</v>
      </c>
      <c r="K1077" s="121" t="n">
        <f aca="false">SUM(DU983:EF983)</f>
        <v>100643.108</v>
      </c>
      <c r="L1077" s="121" t="n">
        <f aca="false">SUM(EG983:ER983)</f>
        <v>261180.70148152</v>
      </c>
      <c r="M1077" s="121" t="n">
        <f aca="false">SUM(ES983:FD983)</f>
        <v>324000</v>
      </c>
      <c r="N1077" s="9" t="n">
        <f aca="false">SUM(FE983:FP983)</f>
        <v>324000</v>
      </c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  <c r="BF1077" s="9"/>
      <c r="BG1077" s="9"/>
      <c r="BH1077" s="9"/>
      <c r="BI1077" s="9"/>
      <c r="BJ1077" s="9"/>
      <c r="BK1077" s="9"/>
      <c r="BL1077" s="9"/>
      <c r="BM1077" s="9"/>
      <c r="BN1077" s="9"/>
      <c r="BO1077" s="9"/>
      <c r="BP1077" s="9"/>
      <c r="BQ1077" s="9"/>
      <c r="BR1077" s="9"/>
      <c r="BS1077" s="9"/>
      <c r="BT1077" s="9"/>
      <c r="BU1077" s="9"/>
      <c r="BV1077" s="9"/>
      <c r="BW1077" s="9"/>
      <c r="BX1077" s="9"/>
      <c r="BY1077" s="9"/>
      <c r="BZ1077" s="9"/>
      <c r="CA1077" s="9"/>
      <c r="CB1077" s="9"/>
      <c r="CC1077" s="9"/>
      <c r="CD1077" s="9"/>
      <c r="CE1077" s="9"/>
      <c r="CF1077" s="9"/>
      <c r="CG1077" s="9"/>
      <c r="CH1077" s="9"/>
      <c r="CI1077" s="9"/>
      <c r="CJ1077" s="9"/>
      <c r="CK1077" s="9"/>
      <c r="CL1077" s="9"/>
      <c r="CM1077" s="9"/>
      <c r="CN1077" s="9"/>
      <c r="CO1077" s="9"/>
      <c r="CP1077" s="9"/>
      <c r="CQ1077" s="9"/>
      <c r="CR1077" s="9"/>
      <c r="CS1077" s="9"/>
      <c r="CT1077" s="9"/>
      <c r="CU1077" s="9"/>
      <c r="CV1077" s="9"/>
      <c r="CW1077" s="9"/>
      <c r="CX1077" s="9"/>
      <c r="CY1077" s="9"/>
      <c r="CZ1077" s="9"/>
      <c r="DA1077" s="9"/>
      <c r="DB1077" s="9"/>
      <c r="DC1077" s="9"/>
      <c r="DD1077" s="9"/>
      <c r="DE1077" s="9"/>
      <c r="DF1077" s="9"/>
      <c r="DG1077" s="9"/>
      <c r="DH1077" s="9"/>
      <c r="DI1077" s="9"/>
      <c r="DJ1077" s="9"/>
      <c r="DK1077" s="9"/>
      <c r="DL1077" s="9"/>
      <c r="DM1077" s="9"/>
      <c r="DN1077" s="9"/>
      <c r="DO1077" s="9"/>
      <c r="DP1077" s="9"/>
      <c r="DQ1077" s="9"/>
      <c r="DR1077" s="9"/>
      <c r="DS1077" s="9"/>
      <c r="DT1077" s="9"/>
      <c r="DU1077" s="9"/>
      <c r="DV1077" s="9"/>
      <c r="DW1077" s="9"/>
      <c r="DX1077" s="9"/>
      <c r="DY1077" s="9"/>
      <c r="DZ1077" s="9"/>
      <c r="EA1077" s="9"/>
      <c r="EB1077" s="9"/>
      <c r="EC1077" s="9"/>
      <c r="ED1077" s="9"/>
      <c r="EE1077" s="9"/>
      <c r="EF1077" s="9"/>
      <c r="EG1077" s="9"/>
      <c r="EH1077" s="9"/>
      <c r="EI1077" s="9"/>
      <c r="EJ1077" s="9"/>
      <c r="EK1077" s="9"/>
      <c r="EL1077" s="9"/>
      <c r="EM1077" s="9"/>
      <c r="EN1077" s="9"/>
      <c r="EO1077" s="9"/>
      <c r="EP1077" s="9"/>
      <c r="EQ1077" s="9"/>
      <c r="ER1077" s="9"/>
      <c r="ES1077" s="9"/>
      <c r="ET1077" s="9"/>
      <c r="EU1077" s="9"/>
      <c r="EV1077" s="9"/>
      <c r="EW1077" s="9"/>
      <c r="EX1077" s="9"/>
      <c r="EY1077" s="9"/>
      <c r="EZ1077" s="9"/>
      <c r="FA1077" s="9"/>
      <c r="FB1077" s="9"/>
      <c r="FC1077" s="9"/>
      <c r="FD1077" s="9"/>
      <c r="FE1077" s="9"/>
      <c r="FF1077" s="9"/>
      <c r="FG1077" s="9"/>
      <c r="FH1077" s="9"/>
      <c r="FI1077" s="9"/>
      <c r="FJ1077" s="9"/>
      <c r="FK1077" s="9"/>
      <c r="FL1077" s="9"/>
      <c r="FM1077" s="9"/>
      <c r="FN1077" s="9"/>
      <c r="FO1077" s="9"/>
      <c r="FP1077" s="9"/>
    </row>
    <row r="1078" customFormat="false" ht="15" hidden="false" customHeight="false" outlineLevel="0" collapsed="false">
      <c r="B1078" s="254" t="s">
        <v>1009</v>
      </c>
      <c r="C1078" s="121" t="n">
        <f aca="false">SUM(AC984:AN984)</f>
        <v>0</v>
      </c>
      <c r="D1078" s="121" t="n">
        <f aca="false">SUM(AO984:AZ984)</f>
        <v>0</v>
      </c>
      <c r="E1078" s="121" t="n">
        <f aca="false">SUM(BA984:BL984)</f>
        <v>0</v>
      </c>
      <c r="F1078" s="121" t="n">
        <f aca="false">SUM(BM984:BX984)</f>
        <v>0</v>
      </c>
      <c r="G1078" s="121" t="n">
        <f aca="false">SUM(BY984:CJ984)</f>
        <v>0</v>
      </c>
      <c r="H1078" s="121" t="n">
        <f aca="false">SUM(CK984:CV984)</f>
        <v>0</v>
      </c>
      <c r="I1078" s="121" t="n">
        <f aca="false">SUM(CW984:DH984)</f>
        <v>0</v>
      </c>
      <c r="J1078" s="121" t="n">
        <f aca="false">SUM(DI984:DT984)</f>
        <v>0</v>
      </c>
      <c r="K1078" s="121" t="n">
        <f aca="false">SUM(DU984:EF984)</f>
        <v>36237.1659232</v>
      </c>
      <c r="L1078" s="121" t="n">
        <f aca="false">SUM(EG984:ER984)</f>
        <v>136294.19845184</v>
      </c>
      <c r="M1078" s="121" t="n">
        <f aca="false">SUM(ES984:FD984)</f>
        <v>227969.02648848</v>
      </c>
      <c r="N1078" s="9" t="n">
        <f aca="false">SUM(FE984:FP984)</f>
        <v>273461.90024528</v>
      </c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  <c r="BF1078" s="9"/>
      <c r="BG1078" s="9"/>
      <c r="BH1078" s="9"/>
      <c r="BI1078" s="9"/>
      <c r="BJ1078" s="9"/>
      <c r="BK1078" s="9"/>
      <c r="BL1078" s="9"/>
      <c r="BM1078" s="9"/>
      <c r="BN1078" s="9"/>
      <c r="BO1078" s="9"/>
      <c r="BP1078" s="9"/>
      <c r="BQ1078" s="9"/>
      <c r="BR1078" s="9"/>
      <c r="BS1078" s="9"/>
      <c r="BT1078" s="9"/>
      <c r="BU1078" s="9"/>
      <c r="BV1078" s="9"/>
      <c r="BW1078" s="9"/>
      <c r="BX1078" s="9"/>
      <c r="BY1078" s="9"/>
      <c r="BZ1078" s="9"/>
      <c r="CA1078" s="9"/>
      <c r="CB1078" s="9"/>
      <c r="CC1078" s="9"/>
      <c r="CD1078" s="9"/>
      <c r="CE1078" s="9"/>
      <c r="CF1078" s="9"/>
      <c r="CG1078" s="9"/>
      <c r="CH1078" s="9"/>
      <c r="CI1078" s="9"/>
      <c r="CJ1078" s="9"/>
      <c r="CK1078" s="9"/>
      <c r="CL1078" s="9"/>
      <c r="CM1078" s="9"/>
      <c r="CN1078" s="9"/>
      <c r="CO1078" s="9"/>
      <c r="CP1078" s="9"/>
      <c r="CQ1078" s="9"/>
      <c r="CR1078" s="9"/>
      <c r="CS1078" s="9"/>
      <c r="CT1078" s="9"/>
      <c r="CU1078" s="9"/>
      <c r="CV1078" s="9"/>
      <c r="CW1078" s="9"/>
      <c r="CX1078" s="9"/>
      <c r="CY1078" s="9"/>
      <c r="CZ1078" s="9"/>
      <c r="DA1078" s="9"/>
      <c r="DB1078" s="9"/>
      <c r="DC1078" s="9"/>
      <c r="DD1078" s="9"/>
      <c r="DE1078" s="9"/>
      <c r="DF1078" s="9"/>
      <c r="DG1078" s="9"/>
      <c r="DH1078" s="9"/>
      <c r="DI1078" s="9"/>
      <c r="DJ1078" s="9"/>
      <c r="DK1078" s="9"/>
      <c r="DL1078" s="9"/>
      <c r="DM1078" s="9"/>
      <c r="DN1078" s="9"/>
      <c r="DO1078" s="9"/>
      <c r="DP1078" s="9"/>
      <c r="DQ1078" s="9"/>
      <c r="DR1078" s="9"/>
      <c r="DS1078" s="9"/>
      <c r="DT1078" s="9"/>
      <c r="DU1078" s="9"/>
      <c r="DV1078" s="9"/>
      <c r="DW1078" s="9"/>
      <c r="DX1078" s="9"/>
      <c r="DY1078" s="9"/>
      <c r="DZ1078" s="9"/>
      <c r="EA1078" s="9"/>
      <c r="EB1078" s="9"/>
      <c r="EC1078" s="9"/>
      <c r="ED1078" s="9"/>
      <c r="EE1078" s="9"/>
      <c r="EF1078" s="9"/>
      <c r="EG1078" s="9"/>
      <c r="EH1078" s="9"/>
      <c r="EI1078" s="9"/>
      <c r="EJ1078" s="9"/>
      <c r="EK1078" s="9"/>
      <c r="EL1078" s="9"/>
      <c r="EM1078" s="9"/>
      <c r="EN1078" s="9"/>
      <c r="EO1078" s="9"/>
      <c r="EP1078" s="9"/>
      <c r="EQ1078" s="9"/>
      <c r="ER1078" s="9"/>
      <c r="ES1078" s="9"/>
      <c r="ET1078" s="9"/>
      <c r="EU1078" s="9"/>
      <c r="EV1078" s="9"/>
      <c r="EW1078" s="9"/>
      <c r="EX1078" s="9"/>
      <c r="EY1078" s="9"/>
      <c r="EZ1078" s="9"/>
      <c r="FA1078" s="9"/>
      <c r="FB1078" s="9"/>
      <c r="FC1078" s="9"/>
      <c r="FD1078" s="9"/>
      <c r="FE1078" s="9"/>
      <c r="FF1078" s="9"/>
      <c r="FG1078" s="9"/>
      <c r="FH1078" s="9"/>
      <c r="FI1078" s="9"/>
      <c r="FJ1078" s="9"/>
      <c r="FK1078" s="9"/>
      <c r="FL1078" s="9"/>
      <c r="FM1078" s="9"/>
      <c r="FN1078" s="9"/>
      <c r="FO1078" s="9"/>
      <c r="FP1078" s="9"/>
    </row>
    <row r="1079" customFormat="false" ht="15" hidden="false" customHeight="false" outlineLevel="0" collapsed="false">
      <c r="B1079" s="254" t="s">
        <v>1010</v>
      </c>
      <c r="C1079" s="121" t="n">
        <f aca="false">SUM(AC985:AN985)</f>
        <v>0</v>
      </c>
      <c r="D1079" s="121" t="n">
        <f aca="false">SUM(AO985:AZ985)</f>
        <v>0</v>
      </c>
      <c r="E1079" s="121" t="n">
        <f aca="false">SUM(BA985:BL985)</f>
        <v>0</v>
      </c>
      <c r="F1079" s="121" t="n">
        <f aca="false">SUM(BM985:BX985)</f>
        <v>0</v>
      </c>
      <c r="G1079" s="121" t="n">
        <f aca="false">SUM(BY985:CJ985)</f>
        <v>0</v>
      </c>
      <c r="H1079" s="121" t="n">
        <f aca="false">SUM(CK985:CV985)</f>
        <v>0</v>
      </c>
      <c r="I1079" s="121" t="n">
        <f aca="false">SUM(CW985:DH985)</f>
        <v>0</v>
      </c>
      <c r="J1079" s="121" t="n">
        <f aca="false">SUM(DI985:DT985)</f>
        <v>0</v>
      </c>
      <c r="K1079" s="121" t="n">
        <f aca="false">SUM(DU985:EF985)</f>
        <v>73561.0655072</v>
      </c>
      <c r="L1079" s="121" t="n">
        <f aca="false">SUM(EG985:ER985)</f>
        <v>237802.63541536</v>
      </c>
      <c r="M1079" s="121" t="n">
        <f aca="false">SUM(ES985:FD985)</f>
        <v>322496.55059844</v>
      </c>
      <c r="N1079" s="9" t="n">
        <f aca="false">SUM(FE985:FP985)</f>
        <v>324000</v>
      </c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  <c r="BF1079" s="9"/>
      <c r="BG1079" s="9"/>
      <c r="BH1079" s="9"/>
      <c r="BI1079" s="9"/>
      <c r="BJ1079" s="9"/>
      <c r="BK1079" s="9"/>
      <c r="BL1079" s="9"/>
      <c r="BM1079" s="9"/>
      <c r="BN1079" s="9"/>
      <c r="BO1079" s="9"/>
      <c r="BP1079" s="9"/>
      <c r="BQ1079" s="9"/>
      <c r="BR1079" s="9"/>
      <c r="BS1079" s="9"/>
      <c r="BT1079" s="9"/>
      <c r="BU1079" s="9"/>
      <c r="BV1079" s="9"/>
      <c r="BW1079" s="9"/>
      <c r="BX1079" s="9"/>
      <c r="BY1079" s="9"/>
      <c r="BZ1079" s="9"/>
      <c r="CA1079" s="9"/>
      <c r="CB1079" s="9"/>
      <c r="CC1079" s="9"/>
      <c r="CD1079" s="9"/>
      <c r="CE1079" s="9"/>
      <c r="CF1079" s="9"/>
      <c r="CG1079" s="9"/>
      <c r="CH1079" s="9"/>
      <c r="CI1079" s="9"/>
      <c r="CJ1079" s="9"/>
      <c r="CK1079" s="9"/>
      <c r="CL1079" s="9"/>
      <c r="CM1079" s="9"/>
      <c r="CN1079" s="9"/>
      <c r="CO1079" s="9"/>
      <c r="CP1079" s="9"/>
      <c r="CQ1079" s="9"/>
      <c r="CR1079" s="9"/>
      <c r="CS1079" s="9"/>
      <c r="CT1079" s="9"/>
      <c r="CU1079" s="9"/>
      <c r="CV1079" s="9"/>
      <c r="CW1079" s="9"/>
      <c r="CX1079" s="9"/>
      <c r="CY1079" s="9"/>
      <c r="CZ1079" s="9"/>
      <c r="DA1079" s="9"/>
      <c r="DB1079" s="9"/>
      <c r="DC1079" s="9"/>
      <c r="DD1079" s="9"/>
      <c r="DE1079" s="9"/>
      <c r="DF1079" s="9"/>
      <c r="DG1079" s="9"/>
      <c r="DH1079" s="9"/>
      <c r="DI1079" s="9"/>
      <c r="DJ1079" s="9"/>
      <c r="DK1079" s="9"/>
      <c r="DL1079" s="9"/>
      <c r="DM1079" s="9"/>
      <c r="DN1079" s="9"/>
      <c r="DO1079" s="9"/>
      <c r="DP1079" s="9"/>
      <c r="DQ1079" s="9"/>
      <c r="DR1079" s="9"/>
      <c r="DS1079" s="9"/>
      <c r="DT1079" s="9"/>
      <c r="DU1079" s="9"/>
      <c r="DV1079" s="9"/>
      <c r="DW1079" s="9"/>
      <c r="DX1079" s="9"/>
      <c r="DY1079" s="9"/>
      <c r="DZ1079" s="9"/>
      <c r="EA1079" s="9"/>
      <c r="EB1079" s="9"/>
      <c r="EC1079" s="9"/>
      <c r="ED1079" s="9"/>
      <c r="EE1079" s="9"/>
      <c r="EF1079" s="9"/>
      <c r="EG1079" s="9"/>
      <c r="EH1079" s="9"/>
      <c r="EI1079" s="9"/>
      <c r="EJ1079" s="9"/>
      <c r="EK1079" s="9"/>
      <c r="EL1079" s="9"/>
      <c r="EM1079" s="9"/>
      <c r="EN1079" s="9"/>
      <c r="EO1079" s="9"/>
      <c r="EP1079" s="9"/>
      <c r="EQ1079" s="9"/>
      <c r="ER1079" s="9"/>
      <c r="ES1079" s="9"/>
      <c r="ET1079" s="9"/>
      <c r="EU1079" s="9"/>
      <c r="EV1079" s="9"/>
      <c r="EW1079" s="9"/>
      <c r="EX1079" s="9"/>
      <c r="EY1079" s="9"/>
      <c r="EZ1079" s="9"/>
      <c r="FA1079" s="9"/>
      <c r="FB1079" s="9"/>
      <c r="FC1079" s="9"/>
      <c r="FD1079" s="9"/>
      <c r="FE1079" s="9"/>
      <c r="FF1079" s="9"/>
      <c r="FG1079" s="9"/>
      <c r="FH1079" s="9"/>
      <c r="FI1079" s="9"/>
      <c r="FJ1079" s="9"/>
      <c r="FK1079" s="9"/>
      <c r="FL1079" s="9"/>
      <c r="FM1079" s="9"/>
      <c r="FN1079" s="9"/>
      <c r="FO1079" s="9"/>
      <c r="FP1079" s="9"/>
    </row>
    <row r="1080" customFormat="false" ht="15" hidden="false" customHeight="false" outlineLevel="0" collapsed="false">
      <c r="B1080" s="254" t="s">
        <v>1011</v>
      </c>
      <c r="C1080" s="121" t="n">
        <f aca="false">SUM(AC986:AN986)</f>
        <v>0</v>
      </c>
      <c r="D1080" s="121" t="n">
        <f aca="false">SUM(AO986:AZ986)</f>
        <v>0</v>
      </c>
      <c r="E1080" s="121" t="n">
        <f aca="false">SUM(BA986:BL986)</f>
        <v>0</v>
      </c>
      <c r="F1080" s="121" t="n">
        <f aca="false">SUM(BM986:BX986)</f>
        <v>0</v>
      </c>
      <c r="G1080" s="121" t="n">
        <f aca="false">SUM(BY986:CJ986)</f>
        <v>0</v>
      </c>
      <c r="H1080" s="121" t="n">
        <f aca="false">SUM(CK986:CV986)</f>
        <v>0</v>
      </c>
      <c r="I1080" s="121" t="n">
        <f aca="false">SUM(CW986:DH986)</f>
        <v>0</v>
      </c>
      <c r="J1080" s="121" t="n">
        <f aca="false">SUM(DI986:DT986)</f>
        <v>0</v>
      </c>
      <c r="K1080" s="121" t="n">
        <f aca="false">SUM(DU986:EF986)</f>
        <v>87324.7463008</v>
      </c>
      <c r="L1080" s="121" t="n">
        <f aca="false">SUM(EG986:ER986)</f>
        <v>249182.01176528</v>
      </c>
      <c r="M1080" s="121" t="n">
        <f aca="false">SUM(ES986:FD986)</f>
        <v>323495.16637564</v>
      </c>
      <c r="N1080" s="9" t="n">
        <f aca="false">SUM(FE986:FP986)</f>
        <v>324000</v>
      </c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  <c r="BF1080" s="9"/>
      <c r="BG1080" s="9"/>
      <c r="BH1080" s="9"/>
      <c r="BI1080" s="9"/>
      <c r="BJ1080" s="9"/>
      <c r="BK1080" s="9"/>
      <c r="BL1080" s="9"/>
      <c r="BM1080" s="9"/>
      <c r="BN1080" s="9"/>
      <c r="BO1080" s="9"/>
      <c r="BP1080" s="9"/>
      <c r="BQ1080" s="9"/>
      <c r="BR1080" s="9"/>
      <c r="BS1080" s="9"/>
      <c r="BT1080" s="9"/>
      <c r="BU1080" s="9"/>
      <c r="BV1080" s="9"/>
      <c r="BW1080" s="9"/>
      <c r="BX1080" s="9"/>
      <c r="BY1080" s="9"/>
      <c r="BZ1080" s="9"/>
      <c r="CA1080" s="9"/>
      <c r="CB1080" s="9"/>
      <c r="CC1080" s="9"/>
      <c r="CD1080" s="9"/>
      <c r="CE1080" s="9"/>
      <c r="CF1080" s="9"/>
      <c r="CG1080" s="9"/>
      <c r="CH1080" s="9"/>
      <c r="CI1080" s="9"/>
      <c r="CJ1080" s="9"/>
      <c r="CK1080" s="9"/>
      <c r="CL1080" s="9"/>
      <c r="CM1080" s="9"/>
      <c r="CN1080" s="9"/>
      <c r="CO1080" s="9"/>
      <c r="CP1080" s="9"/>
      <c r="CQ1080" s="9"/>
      <c r="CR1080" s="9"/>
      <c r="CS1080" s="9"/>
      <c r="CT1080" s="9"/>
      <c r="CU1080" s="9"/>
      <c r="CV1080" s="9"/>
      <c r="CW1080" s="9"/>
      <c r="CX1080" s="9"/>
      <c r="CY1080" s="9"/>
      <c r="CZ1080" s="9"/>
      <c r="DA1080" s="9"/>
      <c r="DB1080" s="9"/>
      <c r="DC1080" s="9"/>
      <c r="DD1080" s="9"/>
      <c r="DE1080" s="9"/>
      <c r="DF1080" s="9"/>
      <c r="DG1080" s="9"/>
      <c r="DH1080" s="9"/>
      <c r="DI1080" s="9"/>
      <c r="DJ1080" s="9"/>
      <c r="DK1080" s="9"/>
      <c r="DL1080" s="9"/>
      <c r="DM1080" s="9"/>
      <c r="DN1080" s="9"/>
      <c r="DO1080" s="9"/>
      <c r="DP1080" s="9"/>
      <c r="DQ1080" s="9"/>
      <c r="DR1080" s="9"/>
      <c r="DS1080" s="9"/>
      <c r="DT1080" s="9"/>
      <c r="DU1080" s="9"/>
      <c r="DV1080" s="9"/>
      <c r="DW1080" s="9"/>
      <c r="DX1080" s="9"/>
      <c r="DY1080" s="9"/>
      <c r="DZ1080" s="9"/>
      <c r="EA1080" s="9"/>
      <c r="EB1080" s="9"/>
      <c r="EC1080" s="9"/>
      <c r="ED1080" s="9"/>
      <c r="EE1080" s="9"/>
      <c r="EF1080" s="9"/>
      <c r="EG1080" s="9"/>
      <c r="EH1080" s="9"/>
      <c r="EI1080" s="9"/>
      <c r="EJ1080" s="9"/>
      <c r="EK1080" s="9"/>
      <c r="EL1080" s="9"/>
      <c r="EM1080" s="9"/>
      <c r="EN1080" s="9"/>
      <c r="EO1080" s="9"/>
      <c r="EP1080" s="9"/>
      <c r="EQ1080" s="9"/>
      <c r="ER1080" s="9"/>
      <c r="ES1080" s="9"/>
      <c r="ET1080" s="9"/>
      <c r="EU1080" s="9"/>
      <c r="EV1080" s="9"/>
      <c r="EW1080" s="9"/>
      <c r="EX1080" s="9"/>
      <c r="EY1080" s="9"/>
      <c r="EZ1080" s="9"/>
      <c r="FA1080" s="9"/>
      <c r="FB1080" s="9"/>
      <c r="FC1080" s="9"/>
      <c r="FD1080" s="9"/>
      <c r="FE1080" s="9"/>
      <c r="FF1080" s="9"/>
      <c r="FG1080" s="9"/>
      <c r="FH1080" s="9"/>
      <c r="FI1080" s="9"/>
      <c r="FJ1080" s="9"/>
      <c r="FK1080" s="9"/>
      <c r="FL1080" s="9"/>
      <c r="FM1080" s="9"/>
      <c r="FN1080" s="9"/>
      <c r="FO1080" s="9"/>
      <c r="FP1080" s="9"/>
    </row>
    <row r="1081" customFormat="false" ht="15" hidden="false" customHeight="false" outlineLevel="0" collapsed="false">
      <c r="B1081" s="254" t="s">
        <v>1012</v>
      </c>
      <c r="C1081" s="121" t="n">
        <f aca="false">SUM(AC987:AN987)</f>
        <v>0</v>
      </c>
      <c r="D1081" s="121" t="n">
        <f aca="false">SUM(AO987:AZ987)</f>
        <v>0</v>
      </c>
      <c r="E1081" s="121" t="n">
        <f aca="false">SUM(BA987:BL987)</f>
        <v>0</v>
      </c>
      <c r="F1081" s="121" t="n">
        <f aca="false">SUM(BM987:BX987)</f>
        <v>0</v>
      </c>
      <c r="G1081" s="121" t="n">
        <f aca="false">SUM(BY987:CJ987)</f>
        <v>0</v>
      </c>
      <c r="H1081" s="121" t="n">
        <f aca="false">SUM(CK987:CV987)</f>
        <v>0</v>
      </c>
      <c r="I1081" s="121" t="n">
        <f aca="false">SUM(CW987:DH987)</f>
        <v>0</v>
      </c>
      <c r="J1081" s="121" t="n">
        <f aca="false">SUM(DI987:DT987)</f>
        <v>0</v>
      </c>
      <c r="K1081" s="121" t="n">
        <f aca="false">SUM(DU987:EF987)</f>
        <v>0</v>
      </c>
      <c r="L1081" s="121" t="n">
        <f aca="false">SUM(EG987:ER987)</f>
        <v>41840.8317744</v>
      </c>
      <c r="M1081" s="121" t="n">
        <f aca="false">SUM(ES987:FD987)</f>
        <v>196418.61663776</v>
      </c>
      <c r="N1081" s="9" t="n">
        <f aca="false">SUM(FE987:FP987)</f>
        <v>318176.10393804</v>
      </c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  <c r="BF1081" s="9"/>
      <c r="BG1081" s="9"/>
      <c r="BH1081" s="9"/>
      <c r="BI1081" s="9"/>
      <c r="BJ1081" s="9"/>
      <c r="BK1081" s="9"/>
      <c r="BL1081" s="9"/>
      <c r="BM1081" s="9"/>
      <c r="BN1081" s="9"/>
      <c r="BO1081" s="9"/>
      <c r="BP1081" s="9"/>
      <c r="BQ1081" s="9"/>
      <c r="BR1081" s="9"/>
      <c r="BS1081" s="9"/>
      <c r="BT1081" s="9"/>
      <c r="BU1081" s="9"/>
      <c r="BV1081" s="9"/>
      <c r="BW1081" s="9"/>
      <c r="BX1081" s="9"/>
      <c r="BY1081" s="9"/>
      <c r="BZ1081" s="9"/>
      <c r="CA1081" s="9"/>
      <c r="CB1081" s="9"/>
      <c r="CC1081" s="9"/>
      <c r="CD1081" s="9"/>
      <c r="CE1081" s="9"/>
      <c r="CF1081" s="9"/>
      <c r="CG1081" s="9"/>
      <c r="CH1081" s="9"/>
      <c r="CI1081" s="9"/>
      <c r="CJ1081" s="9"/>
      <c r="CK1081" s="9"/>
      <c r="CL1081" s="9"/>
      <c r="CM1081" s="9"/>
      <c r="CN1081" s="9"/>
      <c r="CO1081" s="9"/>
      <c r="CP1081" s="9"/>
      <c r="CQ1081" s="9"/>
      <c r="CR1081" s="9"/>
      <c r="CS1081" s="9"/>
      <c r="CT1081" s="9"/>
      <c r="CU1081" s="9"/>
      <c r="CV1081" s="9"/>
      <c r="CW1081" s="9"/>
      <c r="CX1081" s="9"/>
      <c r="CY1081" s="9"/>
      <c r="CZ1081" s="9"/>
      <c r="DA1081" s="9"/>
      <c r="DB1081" s="9"/>
      <c r="DC1081" s="9"/>
      <c r="DD1081" s="9"/>
      <c r="DE1081" s="9"/>
      <c r="DF1081" s="9"/>
      <c r="DG1081" s="9"/>
      <c r="DH1081" s="9"/>
      <c r="DI1081" s="9"/>
      <c r="DJ1081" s="9"/>
      <c r="DK1081" s="9"/>
      <c r="DL1081" s="9"/>
      <c r="DM1081" s="9"/>
      <c r="DN1081" s="9"/>
      <c r="DO1081" s="9"/>
      <c r="DP1081" s="9"/>
      <c r="DQ1081" s="9"/>
      <c r="DR1081" s="9"/>
      <c r="DS1081" s="9"/>
      <c r="DT1081" s="9"/>
      <c r="DU1081" s="9"/>
      <c r="DV1081" s="9"/>
      <c r="DW1081" s="9"/>
      <c r="DX1081" s="9"/>
      <c r="DY1081" s="9"/>
      <c r="DZ1081" s="9"/>
      <c r="EA1081" s="9"/>
      <c r="EB1081" s="9"/>
      <c r="EC1081" s="9"/>
      <c r="ED1081" s="9"/>
      <c r="EE1081" s="9"/>
      <c r="EF1081" s="9"/>
      <c r="EG1081" s="9"/>
      <c r="EH1081" s="9"/>
      <c r="EI1081" s="9"/>
      <c r="EJ1081" s="9"/>
      <c r="EK1081" s="9"/>
      <c r="EL1081" s="9"/>
      <c r="EM1081" s="9"/>
      <c r="EN1081" s="9"/>
      <c r="EO1081" s="9"/>
      <c r="EP1081" s="9"/>
      <c r="EQ1081" s="9"/>
      <c r="ER1081" s="9"/>
      <c r="ES1081" s="9"/>
      <c r="ET1081" s="9"/>
      <c r="EU1081" s="9"/>
      <c r="EV1081" s="9"/>
      <c r="EW1081" s="9"/>
      <c r="EX1081" s="9"/>
      <c r="EY1081" s="9"/>
      <c r="EZ1081" s="9"/>
      <c r="FA1081" s="9"/>
      <c r="FB1081" s="9"/>
      <c r="FC1081" s="9"/>
      <c r="FD1081" s="9"/>
      <c r="FE1081" s="9"/>
      <c r="FF1081" s="9"/>
      <c r="FG1081" s="9"/>
      <c r="FH1081" s="9"/>
      <c r="FI1081" s="9"/>
      <c r="FJ1081" s="9"/>
      <c r="FK1081" s="9"/>
      <c r="FL1081" s="9"/>
      <c r="FM1081" s="9"/>
      <c r="FN1081" s="9"/>
      <c r="FO1081" s="9"/>
      <c r="FP1081" s="9"/>
    </row>
    <row r="1082" customFormat="false" ht="15" hidden="false" customHeight="false" outlineLevel="0" collapsed="false">
      <c r="B1082" s="254" t="s">
        <v>1013</v>
      </c>
      <c r="C1082" s="121" t="n">
        <f aca="false">SUM(AC988:AN988)</f>
        <v>0</v>
      </c>
      <c r="D1082" s="121" t="n">
        <f aca="false">SUM(AO988:AZ988)</f>
        <v>0</v>
      </c>
      <c r="E1082" s="121" t="n">
        <f aca="false">SUM(BA988:BL988)</f>
        <v>0</v>
      </c>
      <c r="F1082" s="121" t="n">
        <f aca="false">SUM(BM988:BX988)</f>
        <v>0</v>
      </c>
      <c r="G1082" s="121" t="n">
        <f aca="false">SUM(BY988:CJ988)</f>
        <v>0</v>
      </c>
      <c r="H1082" s="121" t="n">
        <f aca="false">SUM(CK988:CV988)</f>
        <v>0</v>
      </c>
      <c r="I1082" s="121" t="n">
        <f aca="false">SUM(CW988:DH988)</f>
        <v>0</v>
      </c>
      <c r="J1082" s="121" t="n">
        <f aca="false">SUM(DI988:DT988)</f>
        <v>0</v>
      </c>
      <c r="K1082" s="121" t="n">
        <f aca="false">SUM(DU988:EF988)</f>
        <v>0</v>
      </c>
      <c r="L1082" s="121" t="n">
        <f aca="false">SUM(EG988:ER988)</f>
        <v>30047.1740448</v>
      </c>
      <c r="M1082" s="121" t="n">
        <f aca="false">SUM(ES988:FD988)</f>
        <v>126124.19177952</v>
      </c>
      <c r="N1082" s="9" t="n">
        <f aca="false">SUM(FE988:FP988)</f>
        <v>222589.19801072</v>
      </c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  <c r="BF1082" s="9"/>
      <c r="BG1082" s="9"/>
      <c r="BH1082" s="9"/>
      <c r="BI1082" s="9"/>
      <c r="BJ1082" s="9"/>
      <c r="BK1082" s="9"/>
      <c r="BL1082" s="9"/>
      <c r="BM1082" s="9"/>
      <c r="BN1082" s="9"/>
      <c r="BO1082" s="9"/>
      <c r="BP1082" s="9"/>
      <c r="BQ1082" s="9"/>
      <c r="BR1082" s="9"/>
      <c r="BS1082" s="9"/>
      <c r="BT1082" s="9"/>
      <c r="BU1082" s="9"/>
      <c r="BV1082" s="9"/>
      <c r="BW1082" s="9"/>
      <c r="BX1082" s="9"/>
      <c r="BY1082" s="9"/>
      <c r="BZ1082" s="9"/>
      <c r="CA1082" s="9"/>
      <c r="CB1082" s="9"/>
      <c r="CC1082" s="9"/>
      <c r="CD1082" s="9"/>
      <c r="CE1082" s="9"/>
      <c r="CF1082" s="9"/>
      <c r="CG1082" s="9"/>
      <c r="CH1082" s="9"/>
      <c r="CI1082" s="9"/>
      <c r="CJ1082" s="9"/>
      <c r="CK1082" s="9"/>
      <c r="CL1082" s="9"/>
      <c r="CM1082" s="9"/>
      <c r="CN1082" s="9"/>
      <c r="CO1082" s="9"/>
      <c r="CP1082" s="9"/>
      <c r="CQ1082" s="9"/>
      <c r="CR1082" s="9"/>
      <c r="CS1082" s="9"/>
      <c r="CT1082" s="9"/>
      <c r="CU1082" s="9"/>
      <c r="CV1082" s="9"/>
      <c r="CW1082" s="9"/>
      <c r="CX1082" s="9"/>
      <c r="CY1082" s="9"/>
      <c r="CZ1082" s="9"/>
      <c r="DA1082" s="9"/>
      <c r="DB1082" s="9"/>
      <c r="DC1082" s="9"/>
      <c r="DD1082" s="9"/>
      <c r="DE1082" s="9"/>
      <c r="DF1082" s="9"/>
      <c r="DG1082" s="9"/>
      <c r="DH1082" s="9"/>
      <c r="DI1082" s="9"/>
      <c r="DJ1082" s="9"/>
      <c r="DK1082" s="9"/>
      <c r="DL1082" s="9"/>
      <c r="DM1082" s="9"/>
      <c r="DN1082" s="9"/>
      <c r="DO1082" s="9"/>
      <c r="DP1082" s="9"/>
      <c r="DQ1082" s="9"/>
      <c r="DR1082" s="9"/>
      <c r="DS1082" s="9"/>
      <c r="DT1082" s="9"/>
      <c r="DU1082" s="9"/>
      <c r="DV1082" s="9"/>
      <c r="DW1082" s="9"/>
      <c r="DX1082" s="9"/>
      <c r="DY1082" s="9"/>
      <c r="DZ1082" s="9"/>
      <c r="EA1082" s="9"/>
      <c r="EB1082" s="9"/>
      <c r="EC1082" s="9"/>
      <c r="ED1082" s="9"/>
      <c r="EE1082" s="9"/>
      <c r="EF1082" s="9"/>
      <c r="EG1082" s="9"/>
      <c r="EH1082" s="9"/>
      <c r="EI1082" s="9"/>
      <c r="EJ1082" s="9"/>
      <c r="EK1082" s="9"/>
      <c r="EL1082" s="9"/>
      <c r="EM1082" s="9"/>
      <c r="EN1082" s="9"/>
      <c r="EO1082" s="9"/>
      <c r="EP1082" s="9"/>
      <c r="EQ1082" s="9"/>
      <c r="ER1082" s="9"/>
      <c r="ES1082" s="9"/>
      <c r="ET1082" s="9"/>
      <c r="EU1082" s="9"/>
      <c r="EV1082" s="9"/>
      <c r="EW1082" s="9"/>
      <c r="EX1082" s="9"/>
      <c r="EY1082" s="9"/>
      <c r="EZ1082" s="9"/>
      <c r="FA1082" s="9"/>
      <c r="FB1082" s="9"/>
      <c r="FC1082" s="9"/>
      <c r="FD1082" s="9"/>
      <c r="FE1082" s="9"/>
      <c r="FF1082" s="9"/>
      <c r="FG1082" s="9"/>
      <c r="FH1082" s="9"/>
      <c r="FI1082" s="9"/>
      <c r="FJ1082" s="9"/>
      <c r="FK1082" s="9"/>
      <c r="FL1082" s="9"/>
      <c r="FM1082" s="9"/>
      <c r="FN1082" s="9"/>
      <c r="FO1082" s="9"/>
      <c r="FP1082" s="9"/>
    </row>
    <row r="1083" customFormat="false" ht="15" hidden="false" customHeight="false" outlineLevel="0" collapsed="false">
      <c r="B1083" s="254" t="s">
        <v>1014</v>
      </c>
      <c r="C1083" s="121" t="n">
        <f aca="false">SUM(AC989:AN989)</f>
        <v>0</v>
      </c>
      <c r="D1083" s="121" t="n">
        <f aca="false">SUM(AO989:AZ989)</f>
        <v>0</v>
      </c>
      <c r="E1083" s="121" t="n">
        <f aca="false">SUM(BA989:BL989)</f>
        <v>0</v>
      </c>
      <c r="F1083" s="121" t="n">
        <f aca="false">SUM(BM989:BX989)</f>
        <v>0</v>
      </c>
      <c r="G1083" s="121" t="n">
        <f aca="false">SUM(BY989:CJ989)</f>
        <v>0</v>
      </c>
      <c r="H1083" s="121" t="n">
        <f aca="false">SUM(CK989:CV989)</f>
        <v>0</v>
      </c>
      <c r="I1083" s="121" t="n">
        <f aca="false">SUM(CW989:DH989)</f>
        <v>0</v>
      </c>
      <c r="J1083" s="121" t="n">
        <f aca="false">SUM(DI989:DT989)</f>
        <v>0</v>
      </c>
      <c r="K1083" s="121" t="n">
        <f aca="false">SUM(DU989:EF989)</f>
        <v>0</v>
      </c>
      <c r="L1083" s="121" t="n">
        <f aca="false">SUM(EG989:ER989)</f>
        <v>33736.3375664</v>
      </c>
      <c r="M1083" s="121" t="n">
        <f aca="false">SUM(ES989:FD989)</f>
        <v>180725.9089472</v>
      </c>
      <c r="N1083" s="9" t="n">
        <f aca="false">SUM(FE989:FP989)</f>
        <v>315773.05350728</v>
      </c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  <c r="BF1083" s="9"/>
      <c r="BG1083" s="9"/>
      <c r="BH1083" s="9"/>
      <c r="BI1083" s="9"/>
      <c r="BJ1083" s="9"/>
      <c r="BK1083" s="9"/>
      <c r="BL1083" s="9"/>
      <c r="BM1083" s="9"/>
      <c r="BN1083" s="9"/>
      <c r="BO1083" s="9"/>
      <c r="BP1083" s="9"/>
      <c r="BQ1083" s="9"/>
      <c r="BR1083" s="9"/>
      <c r="BS1083" s="9"/>
      <c r="BT1083" s="9"/>
      <c r="BU1083" s="9"/>
      <c r="BV1083" s="9"/>
      <c r="BW1083" s="9"/>
      <c r="BX1083" s="9"/>
      <c r="BY1083" s="9"/>
      <c r="BZ1083" s="9"/>
      <c r="CA1083" s="9"/>
      <c r="CB1083" s="9"/>
      <c r="CC1083" s="9"/>
      <c r="CD1083" s="9"/>
      <c r="CE1083" s="9"/>
      <c r="CF1083" s="9"/>
      <c r="CG1083" s="9"/>
      <c r="CH1083" s="9"/>
      <c r="CI1083" s="9"/>
      <c r="CJ1083" s="9"/>
      <c r="CK1083" s="9"/>
      <c r="CL1083" s="9"/>
      <c r="CM1083" s="9"/>
      <c r="CN1083" s="9"/>
      <c r="CO1083" s="9"/>
      <c r="CP1083" s="9"/>
      <c r="CQ1083" s="9"/>
      <c r="CR1083" s="9"/>
      <c r="CS1083" s="9"/>
      <c r="CT1083" s="9"/>
      <c r="CU1083" s="9"/>
      <c r="CV1083" s="9"/>
      <c r="CW1083" s="9"/>
      <c r="CX1083" s="9"/>
      <c r="CY1083" s="9"/>
      <c r="CZ1083" s="9"/>
      <c r="DA1083" s="9"/>
      <c r="DB1083" s="9"/>
      <c r="DC1083" s="9"/>
      <c r="DD1083" s="9"/>
      <c r="DE1083" s="9"/>
      <c r="DF1083" s="9"/>
      <c r="DG1083" s="9"/>
      <c r="DH1083" s="9"/>
      <c r="DI1083" s="9"/>
      <c r="DJ1083" s="9"/>
      <c r="DK1083" s="9"/>
      <c r="DL1083" s="9"/>
      <c r="DM1083" s="9"/>
      <c r="DN1083" s="9"/>
      <c r="DO1083" s="9"/>
      <c r="DP1083" s="9"/>
      <c r="DQ1083" s="9"/>
      <c r="DR1083" s="9"/>
      <c r="DS1083" s="9"/>
      <c r="DT1083" s="9"/>
      <c r="DU1083" s="9"/>
      <c r="DV1083" s="9"/>
      <c r="DW1083" s="9"/>
      <c r="DX1083" s="9"/>
      <c r="DY1083" s="9"/>
      <c r="DZ1083" s="9"/>
      <c r="EA1083" s="9"/>
      <c r="EB1083" s="9"/>
      <c r="EC1083" s="9"/>
      <c r="ED1083" s="9"/>
      <c r="EE1083" s="9"/>
      <c r="EF1083" s="9"/>
      <c r="EG1083" s="9"/>
      <c r="EH1083" s="9"/>
      <c r="EI1083" s="9"/>
      <c r="EJ1083" s="9"/>
      <c r="EK1083" s="9"/>
      <c r="EL1083" s="9"/>
      <c r="EM1083" s="9"/>
      <c r="EN1083" s="9"/>
      <c r="EO1083" s="9"/>
      <c r="EP1083" s="9"/>
      <c r="EQ1083" s="9"/>
      <c r="ER1083" s="9"/>
      <c r="ES1083" s="9"/>
      <c r="ET1083" s="9"/>
      <c r="EU1083" s="9"/>
      <c r="EV1083" s="9"/>
      <c r="EW1083" s="9"/>
      <c r="EX1083" s="9"/>
      <c r="EY1083" s="9"/>
      <c r="EZ1083" s="9"/>
      <c r="FA1083" s="9"/>
      <c r="FB1083" s="9"/>
      <c r="FC1083" s="9"/>
      <c r="FD1083" s="9"/>
      <c r="FE1083" s="9"/>
      <c r="FF1083" s="9"/>
      <c r="FG1083" s="9"/>
      <c r="FH1083" s="9"/>
      <c r="FI1083" s="9"/>
      <c r="FJ1083" s="9"/>
      <c r="FK1083" s="9"/>
      <c r="FL1083" s="9"/>
      <c r="FM1083" s="9"/>
      <c r="FN1083" s="9"/>
      <c r="FO1083" s="9"/>
      <c r="FP1083" s="9"/>
    </row>
    <row r="1084" customFormat="false" ht="15" hidden="false" customHeight="false" outlineLevel="0" collapsed="false">
      <c r="B1084" s="254" t="s">
        <v>1015</v>
      </c>
      <c r="C1084" s="121" t="n">
        <f aca="false">SUM(AC990:AN990)</f>
        <v>0</v>
      </c>
      <c r="D1084" s="121" t="n">
        <f aca="false">SUM(AO990:AZ990)</f>
        <v>0</v>
      </c>
      <c r="E1084" s="121" t="n">
        <f aca="false">SUM(BA990:BL990)</f>
        <v>0</v>
      </c>
      <c r="F1084" s="121" t="n">
        <f aca="false">SUM(BM990:BX990)</f>
        <v>0</v>
      </c>
      <c r="G1084" s="121" t="n">
        <f aca="false">SUM(BY990:CJ990)</f>
        <v>0</v>
      </c>
      <c r="H1084" s="121" t="n">
        <f aca="false">SUM(CK990:CV990)</f>
        <v>0</v>
      </c>
      <c r="I1084" s="121" t="n">
        <f aca="false">SUM(CW990:DH990)</f>
        <v>0</v>
      </c>
      <c r="J1084" s="121" t="n">
        <f aca="false">SUM(DI990:DT990)</f>
        <v>0</v>
      </c>
      <c r="K1084" s="121" t="n">
        <f aca="false">SUM(DU990:EF990)</f>
        <v>0</v>
      </c>
      <c r="L1084" s="121" t="n">
        <f aca="false">SUM(EG990:ER990)</f>
        <v>69129.3304768</v>
      </c>
      <c r="M1084" s="121" t="n">
        <f aca="false">SUM(ES990:FD990)</f>
        <v>172126.40371872</v>
      </c>
      <c r="N1084" s="9" t="n">
        <f aca="false">SUM(FE990:FP990)</f>
        <v>248048.88289936</v>
      </c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  <c r="BF1084" s="9"/>
      <c r="BG1084" s="9"/>
      <c r="BH1084" s="9"/>
      <c r="BI1084" s="9"/>
      <c r="BJ1084" s="9"/>
      <c r="BK1084" s="9"/>
      <c r="BL1084" s="9"/>
      <c r="BM1084" s="9"/>
      <c r="BN1084" s="9"/>
      <c r="BO1084" s="9"/>
      <c r="BP1084" s="9"/>
      <c r="BQ1084" s="9"/>
      <c r="BR1084" s="9"/>
      <c r="BS1084" s="9"/>
      <c r="BT1084" s="9"/>
      <c r="BU1084" s="9"/>
      <c r="BV1084" s="9"/>
      <c r="BW1084" s="9"/>
      <c r="BX1084" s="9"/>
      <c r="BY1084" s="9"/>
      <c r="BZ1084" s="9"/>
      <c r="CA1084" s="9"/>
      <c r="CB1084" s="9"/>
      <c r="CC1084" s="9"/>
      <c r="CD1084" s="9"/>
      <c r="CE1084" s="9"/>
      <c r="CF1084" s="9"/>
      <c r="CG1084" s="9"/>
      <c r="CH1084" s="9"/>
      <c r="CI1084" s="9"/>
      <c r="CJ1084" s="9"/>
      <c r="CK1084" s="9"/>
      <c r="CL1084" s="9"/>
      <c r="CM1084" s="9"/>
      <c r="CN1084" s="9"/>
      <c r="CO1084" s="9"/>
      <c r="CP1084" s="9"/>
      <c r="CQ1084" s="9"/>
      <c r="CR1084" s="9"/>
      <c r="CS1084" s="9"/>
      <c r="CT1084" s="9"/>
      <c r="CU1084" s="9"/>
      <c r="CV1084" s="9"/>
      <c r="CW1084" s="9"/>
      <c r="CX1084" s="9"/>
      <c r="CY1084" s="9"/>
      <c r="CZ1084" s="9"/>
      <c r="DA1084" s="9"/>
      <c r="DB1084" s="9"/>
      <c r="DC1084" s="9"/>
      <c r="DD1084" s="9"/>
      <c r="DE1084" s="9"/>
      <c r="DF1084" s="9"/>
      <c r="DG1084" s="9"/>
      <c r="DH1084" s="9"/>
      <c r="DI1084" s="9"/>
      <c r="DJ1084" s="9"/>
      <c r="DK1084" s="9"/>
      <c r="DL1084" s="9"/>
      <c r="DM1084" s="9"/>
      <c r="DN1084" s="9"/>
      <c r="DO1084" s="9"/>
      <c r="DP1084" s="9"/>
      <c r="DQ1084" s="9"/>
      <c r="DR1084" s="9"/>
      <c r="DS1084" s="9"/>
      <c r="DT1084" s="9"/>
      <c r="DU1084" s="9"/>
      <c r="DV1084" s="9"/>
      <c r="DW1084" s="9"/>
      <c r="DX1084" s="9"/>
      <c r="DY1084" s="9"/>
      <c r="DZ1084" s="9"/>
      <c r="EA1084" s="9"/>
      <c r="EB1084" s="9"/>
      <c r="EC1084" s="9"/>
      <c r="ED1084" s="9"/>
      <c r="EE1084" s="9"/>
      <c r="EF1084" s="9"/>
      <c r="EG1084" s="9"/>
      <c r="EH1084" s="9"/>
      <c r="EI1084" s="9"/>
      <c r="EJ1084" s="9"/>
      <c r="EK1084" s="9"/>
      <c r="EL1084" s="9"/>
      <c r="EM1084" s="9"/>
      <c r="EN1084" s="9"/>
      <c r="EO1084" s="9"/>
      <c r="EP1084" s="9"/>
      <c r="EQ1084" s="9"/>
      <c r="ER1084" s="9"/>
      <c r="ES1084" s="9"/>
      <c r="ET1084" s="9"/>
      <c r="EU1084" s="9"/>
      <c r="EV1084" s="9"/>
      <c r="EW1084" s="9"/>
      <c r="EX1084" s="9"/>
      <c r="EY1084" s="9"/>
      <c r="EZ1084" s="9"/>
      <c r="FA1084" s="9"/>
      <c r="FB1084" s="9"/>
      <c r="FC1084" s="9"/>
      <c r="FD1084" s="9"/>
      <c r="FE1084" s="9"/>
      <c r="FF1084" s="9"/>
      <c r="FG1084" s="9"/>
      <c r="FH1084" s="9"/>
      <c r="FI1084" s="9"/>
      <c r="FJ1084" s="9"/>
      <c r="FK1084" s="9"/>
      <c r="FL1084" s="9"/>
      <c r="FM1084" s="9"/>
      <c r="FN1084" s="9"/>
      <c r="FO1084" s="9"/>
      <c r="FP1084" s="9"/>
    </row>
    <row r="1085" customFormat="false" ht="15" hidden="false" customHeight="false" outlineLevel="0" collapsed="false">
      <c r="B1085" s="254" t="s">
        <v>1016</v>
      </c>
      <c r="C1085" s="121" t="n">
        <f aca="false">SUM(AC991:AN991)</f>
        <v>0</v>
      </c>
      <c r="D1085" s="121" t="n">
        <f aca="false">SUM(AO991:AZ991)</f>
        <v>0</v>
      </c>
      <c r="E1085" s="121" t="n">
        <f aca="false">SUM(BA991:BL991)</f>
        <v>0</v>
      </c>
      <c r="F1085" s="121" t="n">
        <f aca="false">SUM(BM991:BX991)</f>
        <v>0</v>
      </c>
      <c r="G1085" s="121" t="n">
        <f aca="false">SUM(BY991:CJ991)</f>
        <v>0</v>
      </c>
      <c r="H1085" s="121" t="n">
        <f aca="false">SUM(CK991:CV991)</f>
        <v>0</v>
      </c>
      <c r="I1085" s="121" t="n">
        <f aca="false">SUM(CW991:DH991)</f>
        <v>0</v>
      </c>
      <c r="J1085" s="121" t="n">
        <f aca="false">SUM(DI991:DT991)</f>
        <v>0</v>
      </c>
      <c r="K1085" s="121" t="n">
        <f aca="false">SUM(DU991:EF991)</f>
        <v>0</v>
      </c>
      <c r="L1085" s="121" t="n">
        <f aca="false">SUM(EG991:ER991)</f>
        <v>59841.848</v>
      </c>
      <c r="M1085" s="121" t="n">
        <f aca="false">SUM(ES991:FD991)</f>
        <v>162976.4452096</v>
      </c>
      <c r="N1085" s="9" t="n">
        <f aca="false">SUM(FE991:FP991)</f>
        <v>243750.38206296</v>
      </c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  <c r="BF1085" s="9"/>
      <c r="BG1085" s="9"/>
      <c r="BH1085" s="9"/>
      <c r="BI1085" s="9"/>
      <c r="BJ1085" s="9"/>
      <c r="BK1085" s="9"/>
      <c r="BL1085" s="9"/>
      <c r="BM1085" s="9"/>
      <c r="BN1085" s="9"/>
      <c r="BO1085" s="9"/>
      <c r="BP1085" s="9"/>
      <c r="BQ1085" s="9"/>
      <c r="BR1085" s="9"/>
      <c r="BS1085" s="9"/>
      <c r="BT1085" s="9"/>
      <c r="BU1085" s="9"/>
      <c r="BV1085" s="9"/>
      <c r="BW1085" s="9"/>
      <c r="BX1085" s="9"/>
      <c r="BY1085" s="9"/>
      <c r="BZ1085" s="9"/>
      <c r="CA1085" s="9"/>
      <c r="CB1085" s="9"/>
      <c r="CC1085" s="9"/>
      <c r="CD1085" s="9"/>
      <c r="CE1085" s="9"/>
      <c r="CF1085" s="9"/>
      <c r="CG1085" s="9"/>
      <c r="CH1085" s="9"/>
      <c r="CI1085" s="9"/>
      <c r="CJ1085" s="9"/>
      <c r="CK1085" s="9"/>
      <c r="CL1085" s="9"/>
      <c r="CM1085" s="9"/>
      <c r="CN1085" s="9"/>
      <c r="CO1085" s="9"/>
      <c r="CP1085" s="9"/>
      <c r="CQ1085" s="9"/>
      <c r="CR1085" s="9"/>
      <c r="CS1085" s="9"/>
      <c r="CT1085" s="9"/>
      <c r="CU1085" s="9"/>
      <c r="CV1085" s="9"/>
      <c r="CW1085" s="9"/>
      <c r="CX1085" s="9"/>
      <c r="CY1085" s="9"/>
      <c r="CZ1085" s="9"/>
      <c r="DA1085" s="9"/>
      <c r="DB1085" s="9"/>
      <c r="DC1085" s="9"/>
      <c r="DD1085" s="9"/>
      <c r="DE1085" s="9"/>
      <c r="DF1085" s="9"/>
      <c r="DG1085" s="9"/>
      <c r="DH1085" s="9"/>
      <c r="DI1085" s="9"/>
      <c r="DJ1085" s="9"/>
      <c r="DK1085" s="9"/>
      <c r="DL1085" s="9"/>
      <c r="DM1085" s="9"/>
      <c r="DN1085" s="9"/>
      <c r="DO1085" s="9"/>
      <c r="DP1085" s="9"/>
      <c r="DQ1085" s="9"/>
      <c r="DR1085" s="9"/>
      <c r="DS1085" s="9"/>
      <c r="DT1085" s="9"/>
      <c r="DU1085" s="9"/>
      <c r="DV1085" s="9"/>
      <c r="DW1085" s="9"/>
      <c r="DX1085" s="9"/>
      <c r="DY1085" s="9"/>
      <c r="DZ1085" s="9"/>
      <c r="EA1085" s="9"/>
      <c r="EB1085" s="9"/>
      <c r="EC1085" s="9"/>
      <c r="ED1085" s="9"/>
      <c r="EE1085" s="9"/>
      <c r="EF1085" s="9"/>
      <c r="EG1085" s="9"/>
      <c r="EH1085" s="9"/>
      <c r="EI1085" s="9"/>
      <c r="EJ1085" s="9"/>
      <c r="EK1085" s="9"/>
      <c r="EL1085" s="9"/>
      <c r="EM1085" s="9"/>
      <c r="EN1085" s="9"/>
      <c r="EO1085" s="9"/>
      <c r="EP1085" s="9"/>
      <c r="EQ1085" s="9"/>
      <c r="ER1085" s="9"/>
      <c r="ES1085" s="9"/>
      <c r="ET1085" s="9"/>
      <c r="EU1085" s="9"/>
      <c r="EV1085" s="9"/>
      <c r="EW1085" s="9"/>
      <c r="EX1085" s="9"/>
      <c r="EY1085" s="9"/>
      <c r="EZ1085" s="9"/>
      <c r="FA1085" s="9"/>
      <c r="FB1085" s="9"/>
      <c r="FC1085" s="9"/>
      <c r="FD1085" s="9"/>
      <c r="FE1085" s="9"/>
      <c r="FF1085" s="9"/>
      <c r="FG1085" s="9"/>
      <c r="FH1085" s="9"/>
      <c r="FI1085" s="9"/>
      <c r="FJ1085" s="9"/>
      <c r="FK1085" s="9"/>
      <c r="FL1085" s="9"/>
      <c r="FM1085" s="9"/>
      <c r="FN1085" s="9"/>
      <c r="FO1085" s="9"/>
      <c r="FP1085" s="9"/>
    </row>
    <row r="1086" customFormat="false" ht="15" hidden="false" customHeight="false" outlineLevel="0" collapsed="false">
      <c r="B1086" s="254" t="s">
        <v>1017</v>
      </c>
      <c r="C1086" s="121" t="n">
        <f aca="false">SUM(AC992:AN992)</f>
        <v>0</v>
      </c>
      <c r="D1086" s="121" t="n">
        <f aca="false">SUM(AO992:AZ992)</f>
        <v>0</v>
      </c>
      <c r="E1086" s="121" t="n">
        <f aca="false">SUM(BA992:BL992)</f>
        <v>0</v>
      </c>
      <c r="F1086" s="121" t="n">
        <f aca="false">SUM(BM992:BX992)</f>
        <v>0</v>
      </c>
      <c r="G1086" s="121" t="n">
        <f aca="false">SUM(BY992:CJ992)</f>
        <v>0</v>
      </c>
      <c r="H1086" s="121" t="n">
        <f aca="false">SUM(CK992:CV992)</f>
        <v>0</v>
      </c>
      <c r="I1086" s="121" t="n">
        <f aca="false">SUM(CW992:DH992)</f>
        <v>0</v>
      </c>
      <c r="J1086" s="121" t="n">
        <f aca="false">SUM(DI992:DT992)</f>
        <v>0</v>
      </c>
      <c r="K1086" s="121" t="n">
        <f aca="false">SUM(DU992:EF992)</f>
        <v>0</v>
      </c>
      <c r="L1086" s="121" t="n">
        <f aca="false">SUM(EG992:ER992)</f>
        <v>14168.5621792</v>
      </c>
      <c r="M1086" s="121" t="n">
        <f aca="false">SUM(ES992:FD992)</f>
        <v>98274.862752</v>
      </c>
      <c r="N1086" s="9" t="n">
        <f aca="false">SUM(FE992:FP992)</f>
        <v>204987.64051952</v>
      </c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  <c r="BF1086" s="9"/>
      <c r="BG1086" s="9"/>
      <c r="BH1086" s="9"/>
      <c r="BI1086" s="9"/>
      <c r="BJ1086" s="9"/>
      <c r="BK1086" s="9"/>
      <c r="BL1086" s="9"/>
      <c r="BM1086" s="9"/>
      <c r="BN1086" s="9"/>
      <c r="BO1086" s="9"/>
      <c r="BP1086" s="9"/>
      <c r="BQ1086" s="9"/>
      <c r="BR1086" s="9"/>
      <c r="BS1086" s="9"/>
      <c r="BT1086" s="9"/>
      <c r="BU1086" s="9"/>
      <c r="BV1086" s="9"/>
      <c r="BW1086" s="9"/>
      <c r="BX1086" s="9"/>
      <c r="BY1086" s="9"/>
      <c r="BZ1086" s="9"/>
      <c r="CA1086" s="9"/>
      <c r="CB1086" s="9"/>
      <c r="CC1086" s="9"/>
      <c r="CD1086" s="9"/>
      <c r="CE1086" s="9"/>
      <c r="CF1086" s="9"/>
      <c r="CG1086" s="9"/>
      <c r="CH1086" s="9"/>
      <c r="CI1086" s="9"/>
      <c r="CJ1086" s="9"/>
      <c r="CK1086" s="9"/>
      <c r="CL1086" s="9"/>
      <c r="CM1086" s="9"/>
      <c r="CN1086" s="9"/>
      <c r="CO1086" s="9"/>
      <c r="CP1086" s="9"/>
      <c r="CQ1086" s="9"/>
      <c r="CR1086" s="9"/>
      <c r="CS1086" s="9"/>
      <c r="CT1086" s="9"/>
      <c r="CU1086" s="9"/>
      <c r="CV1086" s="9"/>
      <c r="CW1086" s="9"/>
      <c r="CX1086" s="9"/>
      <c r="CY1086" s="9"/>
      <c r="CZ1086" s="9"/>
      <c r="DA1086" s="9"/>
      <c r="DB1086" s="9"/>
      <c r="DC1086" s="9"/>
      <c r="DD1086" s="9"/>
      <c r="DE1086" s="9"/>
      <c r="DF1086" s="9"/>
      <c r="DG1086" s="9"/>
      <c r="DH1086" s="9"/>
      <c r="DI1086" s="9"/>
      <c r="DJ1086" s="9"/>
      <c r="DK1086" s="9"/>
      <c r="DL1086" s="9"/>
      <c r="DM1086" s="9"/>
      <c r="DN1086" s="9"/>
      <c r="DO1086" s="9"/>
      <c r="DP1086" s="9"/>
      <c r="DQ1086" s="9"/>
      <c r="DR1086" s="9"/>
      <c r="DS1086" s="9"/>
      <c r="DT1086" s="9"/>
      <c r="DU1086" s="9"/>
      <c r="DV1086" s="9"/>
      <c r="DW1086" s="9"/>
      <c r="DX1086" s="9"/>
      <c r="DY1086" s="9"/>
      <c r="DZ1086" s="9"/>
      <c r="EA1086" s="9"/>
      <c r="EB1086" s="9"/>
      <c r="EC1086" s="9"/>
      <c r="ED1086" s="9"/>
      <c r="EE1086" s="9"/>
      <c r="EF1086" s="9"/>
      <c r="EG1086" s="9"/>
      <c r="EH1086" s="9"/>
      <c r="EI1086" s="9"/>
      <c r="EJ1086" s="9"/>
      <c r="EK1086" s="9"/>
      <c r="EL1086" s="9"/>
      <c r="EM1086" s="9"/>
      <c r="EN1086" s="9"/>
      <c r="EO1086" s="9"/>
      <c r="EP1086" s="9"/>
      <c r="EQ1086" s="9"/>
      <c r="ER1086" s="9"/>
      <c r="ES1086" s="9"/>
      <c r="ET1086" s="9"/>
      <c r="EU1086" s="9"/>
      <c r="EV1086" s="9"/>
      <c r="EW1086" s="9"/>
      <c r="EX1086" s="9"/>
      <c r="EY1086" s="9"/>
      <c r="EZ1086" s="9"/>
      <c r="FA1086" s="9"/>
      <c r="FB1086" s="9"/>
      <c r="FC1086" s="9"/>
      <c r="FD1086" s="9"/>
      <c r="FE1086" s="9"/>
      <c r="FF1086" s="9"/>
      <c r="FG1086" s="9"/>
      <c r="FH1086" s="9"/>
      <c r="FI1086" s="9"/>
      <c r="FJ1086" s="9"/>
      <c r="FK1086" s="9"/>
      <c r="FL1086" s="9"/>
      <c r="FM1086" s="9"/>
      <c r="FN1086" s="9"/>
      <c r="FO1086" s="9"/>
      <c r="FP1086" s="9"/>
    </row>
    <row r="1087" customFormat="false" ht="15" hidden="false" customHeight="false" outlineLevel="0" collapsed="false">
      <c r="B1087" s="254" t="s">
        <v>1018</v>
      </c>
      <c r="C1087" s="121" t="n">
        <f aca="false">SUM(AC993:AN993)</f>
        <v>0</v>
      </c>
      <c r="D1087" s="121" t="n">
        <f aca="false">SUM(AO993:AZ993)</f>
        <v>0</v>
      </c>
      <c r="E1087" s="121" t="n">
        <f aca="false">SUM(BA993:BL993)</f>
        <v>0</v>
      </c>
      <c r="F1087" s="121" t="n">
        <f aca="false">SUM(BM993:BX993)</f>
        <v>0</v>
      </c>
      <c r="G1087" s="121" t="n">
        <f aca="false">SUM(BY993:CJ993)</f>
        <v>0</v>
      </c>
      <c r="H1087" s="121" t="n">
        <f aca="false">SUM(CK993:CV993)</f>
        <v>0</v>
      </c>
      <c r="I1087" s="121" t="n">
        <f aca="false">SUM(CW993:DH993)</f>
        <v>0</v>
      </c>
      <c r="J1087" s="121" t="n">
        <f aca="false">SUM(DI993:DT993)</f>
        <v>0</v>
      </c>
      <c r="K1087" s="121" t="n">
        <f aca="false">SUM(DU993:EF993)</f>
        <v>0</v>
      </c>
      <c r="L1087" s="121" t="n">
        <f aca="false">SUM(EG993:ER993)</f>
        <v>51922.8221248</v>
      </c>
      <c r="M1087" s="121" t="n">
        <f aca="false">SUM(ES993:FD993)</f>
        <v>154180.23928912</v>
      </c>
      <c r="N1087" s="9" t="n">
        <f aca="false">SUM(FE993:FP993)</f>
        <v>239012.48703736</v>
      </c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  <c r="BF1087" s="9"/>
      <c r="BG1087" s="9"/>
      <c r="BH1087" s="9"/>
      <c r="BI1087" s="9"/>
      <c r="BJ1087" s="9"/>
      <c r="BK1087" s="9"/>
      <c r="BL1087" s="9"/>
      <c r="BM1087" s="9"/>
      <c r="BN1087" s="9"/>
      <c r="BO1087" s="9"/>
      <c r="BP1087" s="9"/>
      <c r="BQ1087" s="9"/>
      <c r="BR1087" s="9"/>
      <c r="BS1087" s="9"/>
      <c r="BT1087" s="9"/>
      <c r="BU1087" s="9"/>
      <c r="BV1087" s="9"/>
      <c r="BW1087" s="9"/>
      <c r="BX1087" s="9"/>
      <c r="BY1087" s="9"/>
      <c r="BZ1087" s="9"/>
      <c r="CA1087" s="9"/>
      <c r="CB1087" s="9"/>
      <c r="CC1087" s="9"/>
      <c r="CD1087" s="9"/>
      <c r="CE1087" s="9"/>
      <c r="CF1087" s="9"/>
      <c r="CG1087" s="9"/>
      <c r="CH1087" s="9"/>
      <c r="CI1087" s="9"/>
      <c r="CJ1087" s="9"/>
      <c r="CK1087" s="9"/>
      <c r="CL1087" s="9"/>
      <c r="CM1087" s="9"/>
      <c r="CN1087" s="9"/>
      <c r="CO1087" s="9"/>
      <c r="CP1087" s="9"/>
      <c r="CQ1087" s="9"/>
      <c r="CR1087" s="9"/>
      <c r="CS1087" s="9"/>
      <c r="CT1087" s="9"/>
      <c r="CU1087" s="9"/>
      <c r="CV1087" s="9"/>
      <c r="CW1087" s="9"/>
      <c r="CX1087" s="9"/>
      <c r="CY1087" s="9"/>
      <c r="CZ1087" s="9"/>
      <c r="DA1087" s="9"/>
      <c r="DB1087" s="9"/>
      <c r="DC1087" s="9"/>
      <c r="DD1087" s="9"/>
      <c r="DE1087" s="9"/>
      <c r="DF1087" s="9"/>
      <c r="DG1087" s="9"/>
      <c r="DH1087" s="9"/>
      <c r="DI1087" s="9"/>
      <c r="DJ1087" s="9"/>
      <c r="DK1087" s="9"/>
      <c r="DL1087" s="9"/>
      <c r="DM1087" s="9"/>
      <c r="DN1087" s="9"/>
      <c r="DO1087" s="9"/>
      <c r="DP1087" s="9"/>
      <c r="DQ1087" s="9"/>
      <c r="DR1087" s="9"/>
      <c r="DS1087" s="9"/>
      <c r="DT1087" s="9"/>
      <c r="DU1087" s="9"/>
      <c r="DV1087" s="9"/>
      <c r="DW1087" s="9"/>
      <c r="DX1087" s="9"/>
      <c r="DY1087" s="9"/>
      <c r="DZ1087" s="9"/>
      <c r="EA1087" s="9"/>
      <c r="EB1087" s="9"/>
      <c r="EC1087" s="9"/>
      <c r="ED1087" s="9"/>
      <c r="EE1087" s="9"/>
      <c r="EF1087" s="9"/>
      <c r="EG1087" s="9"/>
      <c r="EH1087" s="9"/>
      <c r="EI1087" s="9"/>
      <c r="EJ1087" s="9"/>
      <c r="EK1087" s="9"/>
      <c r="EL1087" s="9"/>
      <c r="EM1087" s="9"/>
      <c r="EN1087" s="9"/>
      <c r="EO1087" s="9"/>
      <c r="EP1087" s="9"/>
      <c r="EQ1087" s="9"/>
      <c r="ER1087" s="9"/>
      <c r="ES1087" s="9"/>
      <c r="ET1087" s="9"/>
      <c r="EU1087" s="9"/>
      <c r="EV1087" s="9"/>
      <c r="EW1087" s="9"/>
      <c r="EX1087" s="9"/>
      <c r="EY1087" s="9"/>
      <c r="EZ1087" s="9"/>
      <c r="FA1087" s="9"/>
      <c r="FB1087" s="9"/>
      <c r="FC1087" s="9"/>
      <c r="FD1087" s="9"/>
      <c r="FE1087" s="9"/>
      <c r="FF1087" s="9"/>
      <c r="FG1087" s="9"/>
      <c r="FH1087" s="9"/>
      <c r="FI1087" s="9"/>
      <c r="FJ1087" s="9"/>
      <c r="FK1087" s="9"/>
      <c r="FL1087" s="9"/>
      <c r="FM1087" s="9"/>
      <c r="FN1087" s="9"/>
      <c r="FO1087" s="9"/>
      <c r="FP1087" s="9"/>
    </row>
    <row r="1088" customFormat="false" ht="15" hidden="false" customHeight="false" outlineLevel="0" collapsed="false">
      <c r="B1088" s="254" t="s">
        <v>1019</v>
      </c>
      <c r="C1088" s="121" t="n">
        <f aca="false">SUM(AC994:AN994)</f>
        <v>0</v>
      </c>
      <c r="D1088" s="121" t="n">
        <f aca="false">SUM(AO994:AZ994)</f>
        <v>0</v>
      </c>
      <c r="E1088" s="121" t="n">
        <f aca="false">SUM(BA994:BL994)</f>
        <v>0</v>
      </c>
      <c r="F1088" s="121" t="n">
        <f aca="false">SUM(BM994:BX994)</f>
        <v>0</v>
      </c>
      <c r="G1088" s="121" t="n">
        <f aca="false">SUM(BY994:CJ994)</f>
        <v>0</v>
      </c>
      <c r="H1088" s="121" t="n">
        <f aca="false">SUM(CK994:CV994)</f>
        <v>0</v>
      </c>
      <c r="I1088" s="121" t="n">
        <f aca="false">SUM(CW994:DH994)</f>
        <v>0</v>
      </c>
      <c r="J1088" s="121" t="n">
        <f aca="false">SUM(DI994:DT994)</f>
        <v>0</v>
      </c>
      <c r="K1088" s="121" t="n">
        <f aca="false">SUM(DU994:EF994)</f>
        <v>0</v>
      </c>
      <c r="L1088" s="121" t="n">
        <f aca="false">SUM(EG994:ER994)</f>
        <v>116262.9648928</v>
      </c>
      <c r="M1088" s="121" t="n">
        <f aca="false">SUM(ES994:FD994)</f>
        <v>272952.41165452</v>
      </c>
      <c r="N1088" s="9" t="n">
        <f aca="false">SUM(FE994:FP994)</f>
        <v>324000</v>
      </c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  <c r="BF1088" s="9"/>
      <c r="BG1088" s="9"/>
      <c r="BH1088" s="9"/>
      <c r="BI1088" s="9"/>
      <c r="BJ1088" s="9"/>
      <c r="BK1088" s="9"/>
      <c r="BL1088" s="9"/>
      <c r="BM1088" s="9"/>
      <c r="BN1088" s="9"/>
      <c r="BO1088" s="9"/>
      <c r="BP1088" s="9"/>
      <c r="BQ1088" s="9"/>
      <c r="BR1088" s="9"/>
      <c r="BS1088" s="9"/>
      <c r="BT1088" s="9"/>
      <c r="BU1088" s="9"/>
      <c r="BV1088" s="9"/>
      <c r="BW1088" s="9"/>
      <c r="BX1088" s="9"/>
      <c r="BY1088" s="9"/>
      <c r="BZ1088" s="9"/>
      <c r="CA1088" s="9"/>
      <c r="CB1088" s="9"/>
      <c r="CC1088" s="9"/>
      <c r="CD1088" s="9"/>
      <c r="CE1088" s="9"/>
      <c r="CF1088" s="9"/>
      <c r="CG1088" s="9"/>
      <c r="CH1088" s="9"/>
      <c r="CI1088" s="9"/>
      <c r="CJ1088" s="9"/>
      <c r="CK1088" s="9"/>
      <c r="CL1088" s="9"/>
      <c r="CM1088" s="9"/>
      <c r="CN1088" s="9"/>
      <c r="CO1088" s="9"/>
      <c r="CP1088" s="9"/>
      <c r="CQ1088" s="9"/>
      <c r="CR1088" s="9"/>
      <c r="CS1088" s="9"/>
      <c r="CT1088" s="9"/>
      <c r="CU1088" s="9"/>
      <c r="CV1088" s="9"/>
      <c r="CW1088" s="9"/>
      <c r="CX1088" s="9"/>
      <c r="CY1088" s="9"/>
      <c r="CZ1088" s="9"/>
      <c r="DA1088" s="9"/>
      <c r="DB1088" s="9"/>
      <c r="DC1088" s="9"/>
      <c r="DD1088" s="9"/>
      <c r="DE1088" s="9"/>
      <c r="DF1088" s="9"/>
      <c r="DG1088" s="9"/>
      <c r="DH1088" s="9"/>
      <c r="DI1088" s="9"/>
      <c r="DJ1088" s="9"/>
      <c r="DK1088" s="9"/>
      <c r="DL1088" s="9"/>
      <c r="DM1088" s="9"/>
      <c r="DN1088" s="9"/>
      <c r="DO1088" s="9"/>
      <c r="DP1088" s="9"/>
      <c r="DQ1088" s="9"/>
      <c r="DR1088" s="9"/>
      <c r="DS1088" s="9"/>
      <c r="DT1088" s="9"/>
      <c r="DU1088" s="9"/>
      <c r="DV1088" s="9"/>
      <c r="DW1088" s="9"/>
      <c r="DX1088" s="9"/>
      <c r="DY1088" s="9"/>
      <c r="DZ1088" s="9"/>
      <c r="EA1088" s="9"/>
      <c r="EB1088" s="9"/>
      <c r="EC1088" s="9"/>
      <c r="ED1088" s="9"/>
      <c r="EE1088" s="9"/>
      <c r="EF1088" s="9"/>
      <c r="EG1088" s="9"/>
      <c r="EH1088" s="9"/>
      <c r="EI1088" s="9"/>
      <c r="EJ1088" s="9"/>
      <c r="EK1088" s="9"/>
      <c r="EL1088" s="9"/>
      <c r="EM1088" s="9"/>
      <c r="EN1088" s="9"/>
      <c r="EO1088" s="9"/>
      <c r="EP1088" s="9"/>
      <c r="EQ1088" s="9"/>
      <c r="ER1088" s="9"/>
      <c r="ES1088" s="9"/>
      <c r="ET1088" s="9"/>
      <c r="EU1088" s="9"/>
      <c r="EV1088" s="9"/>
      <c r="EW1088" s="9"/>
      <c r="EX1088" s="9"/>
      <c r="EY1088" s="9"/>
      <c r="EZ1088" s="9"/>
      <c r="FA1088" s="9"/>
      <c r="FB1088" s="9"/>
      <c r="FC1088" s="9"/>
      <c r="FD1088" s="9"/>
      <c r="FE1088" s="9"/>
      <c r="FF1088" s="9"/>
      <c r="FG1088" s="9"/>
      <c r="FH1088" s="9"/>
      <c r="FI1088" s="9"/>
      <c r="FJ1088" s="9"/>
      <c r="FK1088" s="9"/>
      <c r="FL1088" s="9"/>
      <c r="FM1088" s="9"/>
      <c r="FN1088" s="9"/>
      <c r="FO1088" s="9"/>
      <c r="FP1088" s="9"/>
    </row>
    <row r="1089" customFormat="false" ht="15" hidden="false" customHeight="false" outlineLevel="0" collapsed="false">
      <c r="B1089" s="254" t="s">
        <v>1020</v>
      </c>
      <c r="C1089" s="121" t="n">
        <f aca="false">SUM(AC995:AN995)</f>
        <v>0</v>
      </c>
      <c r="D1089" s="121" t="n">
        <f aca="false">SUM(AO995:AZ995)</f>
        <v>0</v>
      </c>
      <c r="E1089" s="121" t="n">
        <f aca="false">SUM(BA995:BL995)</f>
        <v>0</v>
      </c>
      <c r="F1089" s="121" t="n">
        <f aca="false">SUM(BM995:BX995)</f>
        <v>0</v>
      </c>
      <c r="G1089" s="121" t="n">
        <f aca="false">SUM(BY995:CJ995)</f>
        <v>0</v>
      </c>
      <c r="H1089" s="121" t="n">
        <f aca="false">SUM(CK995:CV995)</f>
        <v>0</v>
      </c>
      <c r="I1089" s="121" t="n">
        <f aca="false">SUM(CW995:DH995)</f>
        <v>0</v>
      </c>
      <c r="J1089" s="121" t="n">
        <f aca="false">SUM(DI995:DT995)</f>
        <v>0</v>
      </c>
      <c r="K1089" s="121" t="n">
        <f aca="false">SUM(DU995:EF995)</f>
        <v>0</v>
      </c>
      <c r="L1089" s="121" t="n">
        <f aca="false">SUM(EG995:ER995)</f>
        <v>100643.108</v>
      </c>
      <c r="M1089" s="121" t="n">
        <f aca="false">SUM(ES995:FD995)</f>
        <v>261180.70148152</v>
      </c>
      <c r="N1089" s="9" t="n">
        <f aca="false">SUM(FE995:FP995)</f>
        <v>324000</v>
      </c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  <c r="BF1089" s="9"/>
      <c r="BG1089" s="9"/>
      <c r="BH1089" s="9"/>
      <c r="BI1089" s="9"/>
      <c r="BJ1089" s="9"/>
      <c r="BK1089" s="9"/>
      <c r="BL1089" s="9"/>
      <c r="BM1089" s="9"/>
      <c r="BN1089" s="9"/>
      <c r="BO1089" s="9"/>
      <c r="BP1089" s="9"/>
      <c r="BQ1089" s="9"/>
      <c r="BR1089" s="9"/>
      <c r="BS1089" s="9"/>
      <c r="BT1089" s="9"/>
      <c r="BU1089" s="9"/>
      <c r="BV1089" s="9"/>
      <c r="BW1089" s="9"/>
      <c r="BX1089" s="9"/>
      <c r="BY1089" s="9"/>
      <c r="BZ1089" s="9"/>
      <c r="CA1089" s="9"/>
      <c r="CB1089" s="9"/>
      <c r="CC1089" s="9"/>
      <c r="CD1089" s="9"/>
      <c r="CE1089" s="9"/>
      <c r="CF1089" s="9"/>
      <c r="CG1089" s="9"/>
      <c r="CH1089" s="9"/>
      <c r="CI1089" s="9"/>
      <c r="CJ1089" s="9"/>
      <c r="CK1089" s="9"/>
      <c r="CL1089" s="9"/>
      <c r="CM1089" s="9"/>
      <c r="CN1089" s="9"/>
      <c r="CO1089" s="9"/>
      <c r="CP1089" s="9"/>
      <c r="CQ1089" s="9"/>
      <c r="CR1089" s="9"/>
      <c r="CS1089" s="9"/>
      <c r="CT1089" s="9"/>
      <c r="CU1089" s="9"/>
      <c r="CV1089" s="9"/>
      <c r="CW1089" s="9"/>
      <c r="CX1089" s="9"/>
      <c r="CY1089" s="9"/>
      <c r="CZ1089" s="9"/>
      <c r="DA1089" s="9"/>
      <c r="DB1089" s="9"/>
      <c r="DC1089" s="9"/>
      <c r="DD1089" s="9"/>
      <c r="DE1089" s="9"/>
      <c r="DF1089" s="9"/>
      <c r="DG1089" s="9"/>
      <c r="DH1089" s="9"/>
      <c r="DI1089" s="9"/>
      <c r="DJ1089" s="9"/>
      <c r="DK1089" s="9"/>
      <c r="DL1089" s="9"/>
      <c r="DM1089" s="9"/>
      <c r="DN1089" s="9"/>
      <c r="DO1089" s="9"/>
      <c r="DP1089" s="9"/>
      <c r="DQ1089" s="9"/>
      <c r="DR1089" s="9"/>
      <c r="DS1089" s="9"/>
      <c r="DT1089" s="9"/>
      <c r="DU1089" s="9"/>
      <c r="DV1089" s="9"/>
      <c r="DW1089" s="9"/>
      <c r="DX1089" s="9"/>
      <c r="DY1089" s="9"/>
      <c r="DZ1089" s="9"/>
      <c r="EA1089" s="9"/>
      <c r="EB1089" s="9"/>
      <c r="EC1089" s="9"/>
      <c r="ED1089" s="9"/>
      <c r="EE1089" s="9"/>
      <c r="EF1089" s="9"/>
      <c r="EG1089" s="9"/>
      <c r="EH1089" s="9"/>
      <c r="EI1089" s="9"/>
      <c r="EJ1089" s="9"/>
      <c r="EK1089" s="9"/>
      <c r="EL1089" s="9"/>
      <c r="EM1089" s="9"/>
      <c r="EN1089" s="9"/>
      <c r="EO1089" s="9"/>
      <c r="EP1089" s="9"/>
      <c r="EQ1089" s="9"/>
      <c r="ER1089" s="9"/>
      <c r="ES1089" s="9"/>
      <c r="ET1089" s="9"/>
      <c r="EU1089" s="9"/>
      <c r="EV1089" s="9"/>
      <c r="EW1089" s="9"/>
      <c r="EX1089" s="9"/>
      <c r="EY1089" s="9"/>
      <c r="EZ1089" s="9"/>
      <c r="FA1089" s="9"/>
      <c r="FB1089" s="9"/>
      <c r="FC1089" s="9"/>
      <c r="FD1089" s="9"/>
      <c r="FE1089" s="9"/>
      <c r="FF1089" s="9"/>
      <c r="FG1089" s="9"/>
      <c r="FH1089" s="9"/>
      <c r="FI1089" s="9"/>
      <c r="FJ1089" s="9"/>
      <c r="FK1089" s="9"/>
      <c r="FL1089" s="9"/>
      <c r="FM1089" s="9"/>
      <c r="FN1089" s="9"/>
      <c r="FO1089" s="9"/>
      <c r="FP1089" s="9"/>
    </row>
    <row r="1090" customFormat="false" ht="15" hidden="false" customHeight="false" outlineLevel="0" collapsed="false">
      <c r="B1090" s="254" t="s">
        <v>1021</v>
      </c>
      <c r="C1090" s="121" t="n">
        <f aca="false">SUM(AC996:AN996)</f>
        <v>0</v>
      </c>
      <c r="D1090" s="121" t="n">
        <f aca="false">SUM(AO996:AZ996)</f>
        <v>0</v>
      </c>
      <c r="E1090" s="121" t="n">
        <f aca="false">SUM(BA996:BL996)</f>
        <v>0</v>
      </c>
      <c r="F1090" s="121" t="n">
        <f aca="false">SUM(BM996:BX996)</f>
        <v>0</v>
      </c>
      <c r="G1090" s="121" t="n">
        <f aca="false">SUM(BY996:CJ996)</f>
        <v>0</v>
      </c>
      <c r="H1090" s="121" t="n">
        <f aca="false">SUM(CK996:CV996)</f>
        <v>0</v>
      </c>
      <c r="I1090" s="121" t="n">
        <f aca="false">SUM(CW996:DH996)</f>
        <v>0</v>
      </c>
      <c r="J1090" s="121" t="n">
        <f aca="false">SUM(DI996:DT996)</f>
        <v>0</v>
      </c>
      <c r="K1090" s="121" t="n">
        <f aca="false">SUM(DU996:EF996)</f>
        <v>0</v>
      </c>
      <c r="L1090" s="121" t="n">
        <f aca="false">SUM(EG996:ER996)</f>
        <v>17700.770304</v>
      </c>
      <c r="M1090" s="121" t="n">
        <f aca="false">SUM(ES996:FD996)</f>
        <v>170465.2616352</v>
      </c>
      <c r="N1090" s="9" t="n">
        <f aca="false">SUM(FE996:FP996)</f>
        <v>363331.868214</v>
      </c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  <c r="BF1090" s="9"/>
      <c r="BG1090" s="9"/>
      <c r="BH1090" s="9"/>
      <c r="BI1090" s="9"/>
      <c r="BJ1090" s="9"/>
      <c r="BK1090" s="9"/>
      <c r="BL1090" s="9"/>
      <c r="BM1090" s="9"/>
      <c r="BN1090" s="9"/>
      <c r="BO1090" s="9"/>
      <c r="BP1090" s="9"/>
      <c r="BQ1090" s="9"/>
      <c r="BR1090" s="9"/>
      <c r="BS1090" s="9"/>
      <c r="BT1090" s="9"/>
      <c r="BU1090" s="9"/>
      <c r="BV1090" s="9"/>
      <c r="BW1090" s="9"/>
      <c r="BX1090" s="9"/>
      <c r="BY1090" s="9"/>
      <c r="BZ1090" s="9"/>
      <c r="CA1090" s="9"/>
      <c r="CB1090" s="9"/>
      <c r="CC1090" s="9"/>
      <c r="CD1090" s="9"/>
      <c r="CE1090" s="9"/>
      <c r="CF1090" s="9"/>
      <c r="CG1090" s="9"/>
      <c r="CH1090" s="9"/>
      <c r="CI1090" s="9"/>
      <c r="CJ1090" s="9"/>
      <c r="CK1090" s="9"/>
      <c r="CL1090" s="9"/>
      <c r="CM1090" s="9"/>
      <c r="CN1090" s="9"/>
      <c r="CO1090" s="9"/>
      <c r="CP1090" s="9"/>
      <c r="CQ1090" s="9"/>
      <c r="CR1090" s="9"/>
      <c r="CS1090" s="9"/>
      <c r="CT1090" s="9"/>
      <c r="CU1090" s="9"/>
      <c r="CV1090" s="9"/>
      <c r="CW1090" s="9"/>
      <c r="CX1090" s="9"/>
      <c r="CY1090" s="9"/>
      <c r="CZ1090" s="9"/>
      <c r="DA1090" s="9"/>
      <c r="DB1090" s="9"/>
      <c r="DC1090" s="9"/>
      <c r="DD1090" s="9"/>
      <c r="DE1090" s="9"/>
      <c r="DF1090" s="9"/>
      <c r="DG1090" s="9"/>
      <c r="DH1090" s="9"/>
      <c r="DI1090" s="9"/>
      <c r="DJ1090" s="9"/>
      <c r="DK1090" s="9"/>
      <c r="DL1090" s="9"/>
      <c r="DM1090" s="9"/>
      <c r="DN1090" s="9"/>
      <c r="DO1090" s="9"/>
      <c r="DP1090" s="9"/>
      <c r="DQ1090" s="9"/>
      <c r="DR1090" s="9"/>
      <c r="DS1090" s="9"/>
      <c r="DT1090" s="9"/>
      <c r="DU1090" s="9"/>
      <c r="DV1090" s="9"/>
      <c r="DW1090" s="9"/>
      <c r="DX1090" s="9"/>
      <c r="DY1090" s="9"/>
      <c r="DZ1090" s="9"/>
      <c r="EA1090" s="9"/>
      <c r="EB1090" s="9"/>
      <c r="EC1090" s="9"/>
      <c r="ED1090" s="9"/>
      <c r="EE1090" s="9"/>
      <c r="EF1090" s="9"/>
      <c r="EG1090" s="9"/>
      <c r="EH1090" s="9"/>
      <c r="EI1090" s="9"/>
      <c r="EJ1090" s="9"/>
      <c r="EK1090" s="9"/>
      <c r="EL1090" s="9"/>
      <c r="EM1090" s="9"/>
      <c r="EN1090" s="9"/>
      <c r="EO1090" s="9"/>
      <c r="EP1090" s="9"/>
      <c r="EQ1090" s="9"/>
      <c r="ER1090" s="9"/>
      <c r="ES1090" s="9"/>
      <c r="ET1090" s="9"/>
      <c r="EU1090" s="9"/>
      <c r="EV1090" s="9"/>
      <c r="EW1090" s="9"/>
      <c r="EX1090" s="9"/>
      <c r="EY1090" s="9"/>
      <c r="EZ1090" s="9"/>
      <c r="FA1090" s="9"/>
      <c r="FB1090" s="9"/>
      <c r="FC1090" s="9"/>
      <c r="FD1090" s="9"/>
      <c r="FE1090" s="9"/>
      <c r="FF1090" s="9"/>
      <c r="FG1090" s="9"/>
      <c r="FH1090" s="9"/>
      <c r="FI1090" s="9"/>
      <c r="FJ1090" s="9"/>
      <c r="FK1090" s="9"/>
      <c r="FL1090" s="9"/>
      <c r="FM1090" s="9"/>
      <c r="FN1090" s="9"/>
      <c r="FO1090" s="9"/>
      <c r="FP1090" s="9"/>
    </row>
    <row r="1091" customFormat="false" ht="15" hidden="false" customHeight="false" outlineLevel="0" collapsed="false">
      <c r="B1091" s="254" t="s">
        <v>1022</v>
      </c>
      <c r="C1091" s="121" t="n">
        <f aca="false">SUM(AC997:AN997)</f>
        <v>0</v>
      </c>
      <c r="D1091" s="121" t="n">
        <f aca="false">SUM(AO997:AZ997)</f>
        <v>0</v>
      </c>
      <c r="E1091" s="121" t="n">
        <f aca="false">SUM(BA997:BL997)</f>
        <v>0</v>
      </c>
      <c r="F1091" s="121" t="n">
        <f aca="false">SUM(BM997:BX997)</f>
        <v>0</v>
      </c>
      <c r="G1091" s="121" t="n">
        <f aca="false">SUM(BY997:CJ997)</f>
        <v>0</v>
      </c>
      <c r="H1091" s="121" t="n">
        <f aca="false">SUM(CK997:CV997)</f>
        <v>0</v>
      </c>
      <c r="I1091" s="121" t="n">
        <f aca="false">SUM(CW997:DH997)</f>
        <v>0</v>
      </c>
      <c r="J1091" s="121" t="n">
        <f aca="false">SUM(DI997:DT997)</f>
        <v>0</v>
      </c>
      <c r="K1091" s="121" t="n">
        <f aca="false">SUM(DU997:EF997)</f>
        <v>0</v>
      </c>
      <c r="L1091" s="121" t="n">
        <f aca="false">SUM(EG997:ER997)</f>
        <v>87324.7463008</v>
      </c>
      <c r="M1091" s="121" t="n">
        <f aca="false">SUM(ES997:FD997)</f>
        <v>249182.01176528</v>
      </c>
      <c r="N1091" s="9" t="n">
        <f aca="false">SUM(FE997:FP997)</f>
        <v>323495.16637564</v>
      </c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  <c r="BF1091" s="9"/>
      <c r="BG1091" s="9"/>
      <c r="BH1091" s="9"/>
      <c r="BI1091" s="9"/>
      <c r="BJ1091" s="9"/>
      <c r="BK1091" s="9"/>
      <c r="BL1091" s="9"/>
      <c r="BM1091" s="9"/>
      <c r="BN1091" s="9"/>
      <c r="BO1091" s="9"/>
      <c r="BP1091" s="9"/>
      <c r="BQ1091" s="9"/>
      <c r="BR1091" s="9"/>
      <c r="BS1091" s="9"/>
      <c r="BT1091" s="9"/>
      <c r="BU1091" s="9"/>
      <c r="BV1091" s="9"/>
      <c r="BW1091" s="9"/>
      <c r="BX1091" s="9"/>
      <c r="BY1091" s="9"/>
      <c r="BZ1091" s="9"/>
      <c r="CA1091" s="9"/>
      <c r="CB1091" s="9"/>
      <c r="CC1091" s="9"/>
      <c r="CD1091" s="9"/>
      <c r="CE1091" s="9"/>
      <c r="CF1091" s="9"/>
      <c r="CG1091" s="9"/>
      <c r="CH1091" s="9"/>
      <c r="CI1091" s="9"/>
      <c r="CJ1091" s="9"/>
      <c r="CK1091" s="9"/>
      <c r="CL1091" s="9"/>
      <c r="CM1091" s="9"/>
      <c r="CN1091" s="9"/>
      <c r="CO1091" s="9"/>
      <c r="CP1091" s="9"/>
      <c r="CQ1091" s="9"/>
      <c r="CR1091" s="9"/>
      <c r="CS1091" s="9"/>
      <c r="CT1091" s="9"/>
      <c r="CU1091" s="9"/>
      <c r="CV1091" s="9"/>
      <c r="CW1091" s="9"/>
      <c r="CX1091" s="9"/>
      <c r="CY1091" s="9"/>
      <c r="CZ1091" s="9"/>
      <c r="DA1091" s="9"/>
      <c r="DB1091" s="9"/>
      <c r="DC1091" s="9"/>
      <c r="DD1091" s="9"/>
      <c r="DE1091" s="9"/>
      <c r="DF1091" s="9"/>
      <c r="DG1091" s="9"/>
      <c r="DH1091" s="9"/>
      <c r="DI1091" s="9"/>
      <c r="DJ1091" s="9"/>
      <c r="DK1091" s="9"/>
      <c r="DL1091" s="9"/>
      <c r="DM1091" s="9"/>
      <c r="DN1091" s="9"/>
      <c r="DO1091" s="9"/>
      <c r="DP1091" s="9"/>
      <c r="DQ1091" s="9"/>
      <c r="DR1091" s="9"/>
      <c r="DS1091" s="9"/>
      <c r="DT1091" s="9"/>
      <c r="DU1091" s="9"/>
      <c r="DV1091" s="9"/>
      <c r="DW1091" s="9"/>
      <c r="DX1091" s="9"/>
      <c r="DY1091" s="9"/>
      <c r="DZ1091" s="9"/>
      <c r="EA1091" s="9"/>
      <c r="EB1091" s="9"/>
      <c r="EC1091" s="9"/>
      <c r="ED1091" s="9"/>
      <c r="EE1091" s="9"/>
      <c r="EF1091" s="9"/>
      <c r="EG1091" s="9"/>
      <c r="EH1091" s="9"/>
      <c r="EI1091" s="9"/>
      <c r="EJ1091" s="9"/>
      <c r="EK1091" s="9"/>
      <c r="EL1091" s="9"/>
      <c r="EM1091" s="9"/>
      <c r="EN1091" s="9"/>
      <c r="EO1091" s="9"/>
      <c r="EP1091" s="9"/>
      <c r="EQ1091" s="9"/>
      <c r="ER1091" s="9"/>
      <c r="ES1091" s="9"/>
      <c r="ET1091" s="9"/>
      <c r="EU1091" s="9"/>
      <c r="EV1091" s="9"/>
      <c r="EW1091" s="9"/>
      <c r="EX1091" s="9"/>
      <c r="EY1091" s="9"/>
      <c r="EZ1091" s="9"/>
      <c r="FA1091" s="9"/>
      <c r="FB1091" s="9"/>
      <c r="FC1091" s="9"/>
      <c r="FD1091" s="9"/>
      <c r="FE1091" s="9"/>
      <c r="FF1091" s="9"/>
      <c r="FG1091" s="9"/>
      <c r="FH1091" s="9"/>
      <c r="FI1091" s="9"/>
      <c r="FJ1091" s="9"/>
      <c r="FK1091" s="9"/>
      <c r="FL1091" s="9"/>
      <c r="FM1091" s="9"/>
      <c r="FN1091" s="9"/>
      <c r="FO1091" s="9"/>
      <c r="FP1091" s="9"/>
    </row>
    <row r="1092" customFormat="false" ht="15" hidden="false" customHeight="false" outlineLevel="0" collapsed="false">
      <c r="B1092" s="254" t="s">
        <v>1023</v>
      </c>
      <c r="C1092" s="121" t="n">
        <f aca="false">SUM(AC998:AN998)</f>
        <v>0</v>
      </c>
      <c r="D1092" s="121" t="n">
        <f aca="false">SUM(AO998:AZ998)</f>
        <v>0</v>
      </c>
      <c r="E1092" s="121" t="n">
        <f aca="false">SUM(BA998:BL998)</f>
        <v>0</v>
      </c>
      <c r="F1092" s="121" t="n">
        <f aca="false">SUM(BM998:BX998)</f>
        <v>0</v>
      </c>
      <c r="G1092" s="121" t="n">
        <f aca="false">SUM(BY998:CJ998)</f>
        <v>0</v>
      </c>
      <c r="H1092" s="121" t="n">
        <f aca="false">SUM(CK998:CV998)</f>
        <v>0</v>
      </c>
      <c r="I1092" s="121" t="n">
        <f aca="false">SUM(CW998:DH998)</f>
        <v>0</v>
      </c>
      <c r="J1092" s="121" t="n">
        <f aca="false">SUM(DI998:DT998)</f>
        <v>0</v>
      </c>
      <c r="K1092" s="121" t="n">
        <f aca="false">SUM(DU998:EF998)</f>
        <v>0</v>
      </c>
      <c r="L1092" s="121" t="n">
        <f aca="false">SUM(EG998:ER998)</f>
        <v>43739.0119232</v>
      </c>
      <c r="M1092" s="121" t="n">
        <f aca="false">SUM(ES998:FD998)</f>
        <v>145082.0415</v>
      </c>
      <c r="N1092" s="9" t="n">
        <f aca="false">SUM(FE998:FP998)</f>
        <v>233524.67149152</v>
      </c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  <c r="BF1092" s="9"/>
      <c r="BG1092" s="9"/>
      <c r="BH1092" s="9"/>
      <c r="BI1092" s="9"/>
      <c r="BJ1092" s="9"/>
      <c r="BK1092" s="9"/>
      <c r="BL1092" s="9"/>
      <c r="BM1092" s="9"/>
      <c r="BN1092" s="9"/>
      <c r="BO1092" s="9"/>
      <c r="BP1092" s="9"/>
      <c r="BQ1092" s="9"/>
      <c r="BR1092" s="9"/>
      <c r="BS1092" s="9"/>
      <c r="BT1092" s="9"/>
      <c r="BU1092" s="9"/>
      <c r="BV1092" s="9"/>
      <c r="BW1092" s="9"/>
      <c r="BX1092" s="9"/>
      <c r="BY1092" s="9"/>
      <c r="BZ1092" s="9"/>
      <c r="CA1092" s="9"/>
      <c r="CB1092" s="9"/>
      <c r="CC1092" s="9"/>
      <c r="CD1092" s="9"/>
      <c r="CE1092" s="9"/>
      <c r="CF1092" s="9"/>
      <c r="CG1092" s="9"/>
      <c r="CH1092" s="9"/>
      <c r="CI1092" s="9"/>
      <c r="CJ1092" s="9"/>
      <c r="CK1092" s="9"/>
      <c r="CL1092" s="9"/>
      <c r="CM1092" s="9"/>
      <c r="CN1092" s="9"/>
      <c r="CO1092" s="9"/>
      <c r="CP1092" s="9"/>
      <c r="CQ1092" s="9"/>
      <c r="CR1092" s="9"/>
      <c r="CS1092" s="9"/>
      <c r="CT1092" s="9"/>
      <c r="CU1092" s="9"/>
      <c r="CV1092" s="9"/>
      <c r="CW1092" s="9"/>
      <c r="CX1092" s="9"/>
      <c r="CY1092" s="9"/>
      <c r="CZ1092" s="9"/>
      <c r="DA1092" s="9"/>
      <c r="DB1092" s="9"/>
      <c r="DC1092" s="9"/>
      <c r="DD1092" s="9"/>
      <c r="DE1092" s="9"/>
      <c r="DF1092" s="9"/>
      <c r="DG1092" s="9"/>
      <c r="DH1092" s="9"/>
      <c r="DI1092" s="9"/>
      <c r="DJ1092" s="9"/>
      <c r="DK1092" s="9"/>
      <c r="DL1092" s="9"/>
      <c r="DM1092" s="9"/>
      <c r="DN1092" s="9"/>
      <c r="DO1092" s="9"/>
      <c r="DP1092" s="9"/>
      <c r="DQ1092" s="9"/>
      <c r="DR1092" s="9"/>
      <c r="DS1092" s="9"/>
      <c r="DT1092" s="9"/>
      <c r="DU1092" s="9"/>
      <c r="DV1092" s="9"/>
      <c r="DW1092" s="9"/>
      <c r="DX1092" s="9"/>
      <c r="DY1092" s="9"/>
      <c r="DZ1092" s="9"/>
      <c r="EA1092" s="9"/>
      <c r="EB1092" s="9"/>
      <c r="EC1092" s="9"/>
      <c r="ED1092" s="9"/>
      <c r="EE1092" s="9"/>
      <c r="EF1092" s="9"/>
      <c r="EG1092" s="9"/>
      <c r="EH1092" s="9"/>
      <c r="EI1092" s="9"/>
      <c r="EJ1092" s="9"/>
      <c r="EK1092" s="9"/>
      <c r="EL1092" s="9"/>
      <c r="EM1092" s="9"/>
      <c r="EN1092" s="9"/>
      <c r="EO1092" s="9"/>
      <c r="EP1092" s="9"/>
      <c r="EQ1092" s="9"/>
      <c r="ER1092" s="9"/>
      <c r="ES1092" s="9"/>
      <c r="ET1092" s="9"/>
      <c r="EU1092" s="9"/>
      <c r="EV1092" s="9"/>
      <c r="EW1092" s="9"/>
      <c r="EX1092" s="9"/>
      <c r="EY1092" s="9"/>
      <c r="EZ1092" s="9"/>
      <c r="FA1092" s="9"/>
      <c r="FB1092" s="9"/>
      <c r="FC1092" s="9"/>
      <c r="FD1092" s="9"/>
      <c r="FE1092" s="9"/>
      <c r="FF1092" s="9"/>
      <c r="FG1092" s="9"/>
      <c r="FH1092" s="9"/>
      <c r="FI1092" s="9"/>
      <c r="FJ1092" s="9"/>
      <c r="FK1092" s="9"/>
      <c r="FL1092" s="9"/>
      <c r="FM1092" s="9"/>
      <c r="FN1092" s="9"/>
      <c r="FO1092" s="9"/>
      <c r="FP1092" s="9"/>
    </row>
    <row r="1093" customFormat="false" ht="15" hidden="false" customHeight="false" outlineLevel="0" collapsed="false">
      <c r="B1093" s="36" t="s">
        <v>926</v>
      </c>
      <c r="C1093" s="40" t="n">
        <f aca="false">SUM(AC999:AN999)</f>
        <v>0</v>
      </c>
      <c r="D1093" s="40" t="n">
        <f aca="false">SUM(AO999:AZ999)</f>
        <v>0</v>
      </c>
      <c r="E1093" s="40" t="n">
        <f aca="false">SUM(BA999:BL999)</f>
        <v>0</v>
      </c>
      <c r="F1093" s="40" t="n">
        <f aca="false">SUM(BM999:BX999)</f>
        <v>0</v>
      </c>
      <c r="G1093" s="40" t="n">
        <f aca="false">SUM(BY999:CJ999)</f>
        <v>0</v>
      </c>
      <c r="H1093" s="40" t="n">
        <f aca="false">SUM(CK999:CV999)</f>
        <v>0</v>
      </c>
      <c r="I1093" s="40" t="n">
        <f aca="false">SUM(CW999:DH999)</f>
        <v>0</v>
      </c>
      <c r="J1093" s="40" t="n">
        <f aca="false">SUM(DI999:DT999)</f>
        <v>0</v>
      </c>
      <c r="K1093" s="40" t="n">
        <f aca="false">SUM(DU999:EF999)</f>
        <v>0</v>
      </c>
      <c r="L1093" s="40" t="n">
        <f aca="false">SUM(EG999:ER999)</f>
        <v>0</v>
      </c>
      <c r="M1093" s="40" t="n">
        <f aca="false">SUM(ES999:FD999)</f>
        <v>69180.0440352</v>
      </c>
      <c r="N1093" s="40" t="n">
        <f aca="false">SUM(FE999:FP999)</f>
        <v>260198.01522624</v>
      </c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  <c r="BF1093" s="9"/>
      <c r="BG1093" s="9"/>
      <c r="BH1093" s="9"/>
      <c r="BI1093" s="9"/>
      <c r="BJ1093" s="9"/>
      <c r="BK1093" s="9"/>
      <c r="BL1093" s="9"/>
      <c r="BM1093" s="9"/>
      <c r="BN1093" s="9"/>
      <c r="BO1093" s="9"/>
      <c r="BP1093" s="9"/>
      <c r="BQ1093" s="9"/>
      <c r="BR1093" s="9"/>
      <c r="BS1093" s="9"/>
      <c r="BT1093" s="9"/>
      <c r="BU1093" s="9"/>
      <c r="BV1093" s="9"/>
      <c r="BW1093" s="9"/>
      <c r="BX1093" s="9"/>
      <c r="BY1093" s="9"/>
      <c r="BZ1093" s="9"/>
      <c r="CA1093" s="9"/>
      <c r="CB1093" s="9"/>
      <c r="CC1093" s="9"/>
      <c r="CD1093" s="9"/>
      <c r="CE1093" s="9"/>
      <c r="CF1093" s="9"/>
      <c r="CG1093" s="9"/>
      <c r="CH1093" s="9"/>
      <c r="CI1093" s="9"/>
      <c r="CJ1093" s="9"/>
      <c r="CK1093" s="9"/>
      <c r="CL1093" s="9"/>
      <c r="CM1093" s="9"/>
      <c r="CN1093" s="9"/>
      <c r="CO1093" s="9"/>
      <c r="CP1093" s="9"/>
      <c r="CQ1093" s="9"/>
      <c r="CR1093" s="9"/>
      <c r="CS1093" s="9"/>
      <c r="CT1093" s="9"/>
      <c r="CU1093" s="9"/>
      <c r="CV1093" s="9"/>
      <c r="CW1093" s="9"/>
      <c r="CX1093" s="9"/>
      <c r="CY1093" s="9"/>
      <c r="CZ1093" s="9"/>
      <c r="DA1093" s="9"/>
      <c r="DB1093" s="9"/>
      <c r="DC1093" s="9"/>
      <c r="DD1093" s="9"/>
      <c r="DE1093" s="9"/>
      <c r="DF1093" s="9"/>
      <c r="DG1093" s="9"/>
      <c r="DH1093" s="9"/>
      <c r="DI1093" s="9"/>
      <c r="DJ1093" s="9"/>
      <c r="DK1093" s="9"/>
      <c r="DL1093" s="9"/>
      <c r="DM1093" s="9"/>
      <c r="DN1093" s="9"/>
      <c r="DO1093" s="9"/>
      <c r="DP1093" s="9"/>
      <c r="DQ1093" s="9"/>
      <c r="DR1093" s="9"/>
      <c r="DS1093" s="9"/>
      <c r="DT1093" s="9"/>
      <c r="DU1093" s="9"/>
      <c r="DV1093" s="9"/>
      <c r="DW1093" s="9"/>
      <c r="DX1093" s="9"/>
      <c r="DY1093" s="9"/>
      <c r="DZ1093" s="9"/>
      <c r="EA1093" s="9"/>
      <c r="EB1093" s="9"/>
      <c r="EC1093" s="9"/>
      <c r="ED1093" s="9"/>
      <c r="EE1093" s="9"/>
      <c r="EF1093" s="9"/>
      <c r="EG1093" s="9"/>
      <c r="EH1093" s="9"/>
      <c r="EI1093" s="9"/>
      <c r="EJ1093" s="9"/>
      <c r="EK1093" s="9"/>
      <c r="EL1093" s="9"/>
      <c r="EM1093" s="9"/>
      <c r="EN1093" s="9"/>
      <c r="EO1093" s="9"/>
      <c r="EP1093" s="9"/>
      <c r="EQ1093" s="9"/>
      <c r="ER1093" s="9"/>
      <c r="ES1093" s="9"/>
      <c r="ET1093" s="9"/>
      <c r="EU1093" s="9"/>
      <c r="EV1093" s="9"/>
      <c r="EW1093" s="9"/>
      <c r="EX1093" s="9"/>
      <c r="EY1093" s="9"/>
      <c r="EZ1093" s="9"/>
      <c r="FA1093" s="9"/>
      <c r="FB1093" s="9"/>
      <c r="FC1093" s="9"/>
      <c r="FD1093" s="9"/>
      <c r="FE1093" s="9"/>
      <c r="FF1093" s="9"/>
      <c r="FG1093" s="9"/>
      <c r="FH1093" s="9"/>
      <c r="FI1093" s="9"/>
      <c r="FJ1093" s="9"/>
      <c r="FK1093" s="9"/>
      <c r="FL1093" s="9"/>
      <c r="FM1093" s="9"/>
      <c r="FN1093" s="9"/>
      <c r="FO1093" s="9"/>
      <c r="FP1093" s="9"/>
    </row>
    <row r="1094" customFormat="false" ht="15" hidden="false" customHeight="false" outlineLevel="0" collapsed="false">
      <c r="B1094" s="36" t="s">
        <v>927</v>
      </c>
      <c r="C1094" s="40" t="n">
        <f aca="false">SUM(AC1000:AN1000)</f>
        <v>0</v>
      </c>
      <c r="D1094" s="40" t="n">
        <f aca="false">SUM(AO1000:AZ1000)</f>
        <v>0</v>
      </c>
      <c r="E1094" s="40" t="n">
        <f aca="false">SUM(BA1000:BL1000)</f>
        <v>0</v>
      </c>
      <c r="F1094" s="40" t="n">
        <f aca="false">SUM(BM1000:BX1000)</f>
        <v>0</v>
      </c>
      <c r="G1094" s="40" t="n">
        <f aca="false">SUM(BY1000:CJ1000)</f>
        <v>0</v>
      </c>
      <c r="H1094" s="40" t="n">
        <f aca="false">SUM(CK1000:CV1000)</f>
        <v>0</v>
      </c>
      <c r="I1094" s="40" t="n">
        <f aca="false">SUM(CW1000:DH1000)</f>
        <v>0</v>
      </c>
      <c r="J1094" s="40" t="n">
        <f aca="false">SUM(DI1000:DT1000)</f>
        <v>0</v>
      </c>
      <c r="K1094" s="40" t="n">
        <f aca="false">SUM(DU1000:EF1000)</f>
        <v>0</v>
      </c>
      <c r="L1094" s="40" t="n">
        <f aca="false">SUM(EG1000:ER1000)</f>
        <v>0</v>
      </c>
      <c r="M1094" s="40" t="n">
        <f aca="false">SUM(ES1000:FD1000)</f>
        <v>50533.8836208</v>
      </c>
      <c r="N1094" s="40" t="n">
        <f aca="false">SUM(FE1000:FP1000)</f>
        <v>212117.95890192</v>
      </c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  <c r="BF1094" s="9"/>
      <c r="BG1094" s="9"/>
      <c r="BH1094" s="9"/>
      <c r="BI1094" s="9"/>
      <c r="BJ1094" s="9"/>
      <c r="BK1094" s="9"/>
      <c r="BL1094" s="9"/>
      <c r="BM1094" s="9"/>
      <c r="BN1094" s="9"/>
      <c r="BO1094" s="9"/>
      <c r="BP1094" s="9"/>
      <c r="BQ1094" s="9"/>
      <c r="BR1094" s="9"/>
      <c r="BS1094" s="9"/>
      <c r="BT1094" s="9"/>
      <c r="BU1094" s="9"/>
      <c r="BV1094" s="9"/>
      <c r="BW1094" s="9"/>
      <c r="BX1094" s="9"/>
      <c r="BY1094" s="9"/>
      <c r="BZ1094" s="9"/>
      <c r="CA1094" s="9"/>
      <c r="CB1094" s="9"/>
      <c r="CC1094" s="9"/>
      <c r="CD1094" s="9"/>
      <c r="CE1094" s="9"/>
      <c r="CF1094" s="9"/>
      <c r="CG1094" s="9"/>
      <c r="CH1094" s="9"/>
      <c r="CI1094" s="9"/>
      <c r="CJ1094" s="9"/>
      <c r="CK1094" s="9"/>
      <c r="CL1094" s="9"/>
      <c r="CM1094" s="9"/>
      <c r="CN1094" s="9"/>
      <c r="CO1094" s="9"/>
      <c r="CP1094" s="9"/>
      <c r="CQ1094" s="9"/>
      <c r="CR1094" s="9"/>
      <c r="CS1094" s="9"/>
      <c r="CT1094" s="9"/>
      <c r="CU1094" s="9"/>
      <c r="CV1094" s="9"/>
      <c r="CW1094" s="9"/>
      <c r="CX1094" s="9"/>
      <c r="CY1094" s="9"/>
      <c r="CZ1094" s="9"/>
      <c r="DA1094" s="9"/>
      <c r="DB1094" s="9"/>
      <c r="DC1094" s="9"/>
      <c r="DD1094" s="9"/>
      <c r="DE1094" s="9"/>
      <c r="DF1094" s="9"/>
      <c r="DG1094" s="9"/>
      <c r="DH1094" s="9"/>
      <c r="DI1094" s="9"/>
      <c r="DJ1094" s="9"/>
      <c r="DK1094" s="9"/>
      <c r="DL1094" s="9"/>
      <c r="DM1094" s="9"/>
      <c r="DN1094" s="9"/>
      <c r="DO1094" s="9"/>
      <c r="DP1094" s="9"/>
      <c r="DQ1094" s="9"/>
      <c r="DR1094" s="9"/>
      <c r="DS1094" s="9"/>
      <c r="DT1094" s="9"/>
      <c r="DU1094" s="9"/>
      <c r="DV1094" s="9"/>
      <c r="DW1094" s="9"/>
      <c r="DX1094" s="9"/>
      <c r="DY1094" s="9"/>
      <c r="DZ1094" s="9"/>
      <c r="EA1094" s="9"/>
      <c r="EB1094" s="9"/>
      <c r="EC1094" s="9"/>
      <c r="ED1094" s="9"/>
      <c r="EE1094" s="9"/>
      <c r="EF1094" s="9"/>
      <c r="EG1094" s="9"/>
      <c r="EH1094" s="9"/>
      <c r="EI1094" s="9"/>
      <c r="EJ1094" s="9"/>
      <c r="EK1094" s="9"/>
      <c r="EL1094" s="9"/>
      <c r="EM1094" s="9"/>
      <c r="EN1094" s="9"/>
      <c r="EO1094" s="9"/>
      <c r="EP1094" s="9"/>
      <c r="EQ1094" s="9"/>
      <c r="ER1094" s="9"/>
      <c r="ES1094" s="9"/>
      <c r="ET1094" s="9"/>
      <c r="EU1094" s="9"/>
      <c r="EV1094" s="9"/>
      <c r="EW1094" s="9"/>
      <c r="EX1094" s="9"/>
      <c r="EY1094" s="9"/>
      <c r="EZ1094" s="9"/>
      <c r="FA1094" s="9"/>
      <c r="FB1094" s="9"/>
      <c r="FC1094" s="9"/>
      <c r="FD1094" s="9"/>
      <c r="FE1094" s="9"/>
      <c r="FF1094" s="9"/>
      <c r="FG1094" s="9"/>
      <c r="FH1094" s="9"/>
      <c r="FI1094" s="9"/>
      <c r="FJ1094" s="9"/>
      <c r="FK1094" s="9"/>
      <c r="FL1094" s="9"/>
      <c r="FM1094" s="9"/>
      <c r="FN1094" s="9"/>
      <c r="FO1094" s="9"/>
      <c r="FP1094" s="9"/>
    </row>
    <row r="1095" customFormat="false" ht="15" hidden="false" customHeight="false" outlineLevel="0" collapsed="false">
      <c r="B1095" s="36" t="s">
        <v>928</v>
      </c>
      <c r="C1095" s="40" t="n">
        <f aca="false">SUM(AC1001:AN1001)</f>
        <v>0</v>
      </c>
      <c r="D1095" s="40" t="n">
        <f aca="false">SUM(AO1001:AZ1001)</f>
        <v>0</v>
      </c>
      <c r="E1095" s="40" t="n">
        <f aca="false">SUM(BA1001:BL1001)</f>
        <v>0</v>
      </c>
      <c r="F1095" s="40" t="n">
        <f aca="false">SUM(BM1001:BX1001)</f>
        <v>0</v>
      </c>
      <c r="G1095" s="40" t="n">
        <f aca="false">SUM(BY1001:CJ1001)</f>
        <v>0</v>
      </c>
      <c r="H1095" s="40" t="n">
        <f aca="false">SUM(CK1001:CV1001)</f>
        <v>0</v>
      </c>
      <c r="I1095" s="40" t="n">
        <f aca="false">SUM(CW1001:DH1001)</f>
        <v>0</v>
      </c>
      <c r="J1095" s="40" t="n">
        <f aca="false">SUM(DI1001:DT1001)</f>
        <v>0</v>
      </c>
      <c r="K1095" s="40" t="n">
        <f aca="false">SUM(DU1001:EF1001)</f>
        <v>0</v>
      </c>
      <c r="L1095" s="40" t="n">
        <f aca="false">SUM(EG1001:ER1001)</f>
        <v>0</v>
      </c>
      <c r="M1095" s="40" t="n">
        <f aca="false">SUM(ES1001:FD1001)</f>
        <v>0</v>
      </c>
      <c r="N1095" s="40" t="n">
        <f aca="false">SUM(FE1001:FP1001)</f>
        <v>0</v>
      </c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  <c r="BF1095" s="9"/>
      <c r="BG1095" s="9"/>
      <c r="BH1095" s="9"/>
      <c r="BI1095" s="9"/>
      <c r="BJ1095" s="9"/>
      <c r="BK1095" s="9"/>
      <c r="BL1095" s="9"/>
      <c r="BM1095" s="9"/>
      <c r="BN1095" s="9"/>
      <c r="BO1095" s="9"/>
      <c r="BP1095" s="9"/>
      <c r="BQ1095" s="9"/>
      <c r="BR1095" s="9"/>
      <c r="BS1095" s="9"/>
      <c r="BT1095" s="9"/>
      <c r="BU1095" s="9"/>
      <c r="BV1095" s="9"/>
      <c r="BW1095" s="9"/>
      <c r="BX1095" s="9"/>
      <c r="BY1095" s="9"/>
      <c r="BZ1095" s="9"/>
      <c r="CA1095" s="9"/>
      <c r="CB1095" s="9"/>
      <c r="CC1095" s="9"/>
      <c r="CD1095" s="9"/>
      <c r="CE1095" s="9"/>
      <c r="CF1095" s="9"/>
      <c r="CG1095" s="9"/>
      <c r="CH1095" s="9"/>
      <c r="CI1095" s="9"/>
      <c r="CJ1095" s="9"/>
      <c r="CK1095" s="9"/>
      <c r="CL1095" s="9"/>
      <c r="CM1095" s="9"/>
      <c r="CN1095" s="9"/>
      <c r="CO1095" s="9"/>
      <c r="CP1095" s="9"/>
      <c r="CQ1095" s="9"/>
      <c r="CR1095" s="9"/>
      <c r="CS1095" s="9"/>
      <c r="CT1095" s="9"/>
      <c r="CU1095" s="9"/>
      <c r="CV1095" s="9"/>
      <c r="CW1095" s="9"/>
      <c r="CX1095" s="9"/>
      <c r="CY1095" s="9"/>
      <c r="CZ1095" s="9"/>
      <c r="DA1095" s="9"/>
      <c r="DB1095" s="9"/>
      <c r="DC1095" s="9"/>
      <c r="DD1095" s="9"/>
      <c r="DE1095" s="9"/>
      <c r="DF1095" s="9"/>
      <c r="DG1095" s="9"/>
      <c r="DH1095" s="9"/>
      <c r="DI1095" s="9"/>
      <c r="DJ1095" s="9"/>
      <c r="DK1095" s="9"/>
      <c r="DL1095" s="9"/>
      <c r="DM1095" s="9"/>
      <c r="DN1095" s="9"/>
      <c r="DO1095" s="9"/>
      <c r="DP1095" s="9"/>
      <c r="DQ1095" s="9"/>
      <c r="DR1095" s="9"/>
      <c r="DS1095" s="9"/>
      <c r="DT1095" s="9"/>
      <c r="DU1095" s="9"/>
      <c r="DV1095" s="9"/>
      <c r="DW1095" s="9"/>
      <c r="DX1095" s="9"/>
      <c r="DY1095" s="9"/>
      <c r="DZ1095" s="9"/>
      <c r="EA1095" s="9"/>
      <c r="EB1095" s="9"/>
      <c r="EC1095" s="9"/>
      <c r="ED1095" s="9"/>
      <c r="EE1095" s="9"/>
      <c r="EF1095" s="9"/>
      <c r="EG1095" s="9"/>
      <c r="EH1095" s="9"/>
      <c r="EI1095" s="9"/>
      <c r="EJ1095" s="9"/>
      <c r="EK1095" s="9"/>
      <c r="EL1095" s="9"/>
      <c r="EM1095" s="9"/>
      <c r="EN1095" s="9"/>
      <c r="EO1095" s="9"/>
      <c r="EP1095" s="9"/>
      <c r="EQ1095" s="9"/>
      <c r="ER1095" s="9"/>
      <c r="ES1095" s="9"/>
      <c r="ET1095" s="9"/>
      <c r="EU1095" s="9"/>
      <c r="EV1095" s="9"/>
      <c r="EW1095" s="9"/>
      <c r="EX1095" s="9"/>
      <c r="EY1095" s="9"/>
      <c r="EZ1095" s="9"/>
      <c r="FA1095" s="9"/>
      <c r="FB1095" s="9"/>
      <c r="FC1095" s="9"/>
      <c r="FD1095" s="9"/>
      <c r="FE1095" s="9"/>
      <c r="FF1095" s="9"/>
      <c r="FG1095" s="9"/>
      <c r="FH1095" s="9"/>
      <c r="FI1095" s="9"/>
      <c r="FJ1095" s="9"/>
      <c r="FK1095" s="9"/>
      <c r="FL1095" s="9"/>
      <c r="FM1095" s="9"/>
      <c r="FN1095" s="9"/>
      <c r="FO1095" s="9"/>
      <c r="FP1095" s="9"/>
    </row>
    <row r="1096" customFormat="false" ht="15" hidden="false" customHeight="false" outlineLevel="0" collapsed="false">
      <c r="B1096" s="36" t="s">
        <v>929</v>
      </c>
      <c r="C1096" s="40" t="n">
        <f aca="false">SUM(AC1002:AN1002)</f>
        <v>0</v>
      </c>
      <c r="D1096" s="40" t="n">
        <f aca="false">SUM(AO1002:AZ1002)</f>
        <v>0</v>
      </c>
      <c r="E1096" s="40" t="n">
        <f aca="false">SUM(BA1002:BL1002)</f>
        <v>0</v>
      </c>
      <c r="F1096" s="40" t="n">
        <f aca="false">SUM(BM1002:BX1002)</f>
        <v>0</v>
      </c>
      <c r="G1096" s="40" t="n">
        <f aca="false">SUM(BY1002:CJ1002)</f>
        <v>0</v>
      </c>
      <c r="H1096" s="40" t="n">
        <f aca="false">SUM(CK1002:CV1002)</f>
        <v>0</v>
      </c>
      <c r="I1096" s="40" t="n">
        <f aca="false">SUM(CW1002:DH1002)</f>
        <v>0</v>
      </c>
      <c r="J1096" s="40" t="n">
        <f aca="false">SUM(DI1002:DT1002)</f>
        <v>0</v>
      </c>
      <c r="K1096" s="40" t="n">
        <f aca="false">SUM(DU1002:EF1002)</f>
        <v>0</v>
      </c>
      <c r="L1096" s="40" t="n">
        <f aca="false">SUM(EG1002:ER1002)</f>
        <v>0</v>
      </c>
      <c r="M1096" s="40" t="n">
        <f aca="false">SUM(ES1002:FD1002)</f>
        <v>0</v>
      </c>
      <c r="N1096" s="40" t="n">
        <f aca="false">SUM(FE1002:FP1002)</f>
        <v>0</v>
      </c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  <c r="BF1096" s="9"/>
      <c r="BG1096" s="9"/>
      <c r="BH1096" s="9"/>
      <c r="BI1096" s="9"/>
      <c r="BJ1096" s="9"/>
      <c r="BK1096" s="9"/>
      <c r="BL1096" s="9"/>
      <c r="BM1096" s="9"/>
      <c r="BN1096" s="9"/>
      <c r="BO1096" s="9"/>
      <c r="BP1096" s="9"/>
      <c r="BQ1096" s="9"/>
      <c r="BR1096" s="9"/>
      <c r="BS1096" s="9"/>
      <c r="BT1096" s="9"/>
      <c r="BU1096" s="9"/>
      <c r="BV1096" s="9"/>
      <c r="BW1096" s="9"/>
      <c r="BX1096" s="9"/>
      <c r="BY1096" s="9"/>
      <c r="BZ1096" s="9"/>
      <c r="CA1096" s="9"/>
      <c r="CB1096" s="9"/>
      <c r="CC1096" s="9"/>
      <c r="CD1096" s="9"/>
      <c r="CE1096" s="9"/>
      <c r="CF1096" s="9"/>
      <c r="CG1096" s="9"/>
      <c r="CH1096" s="9"/>
      <c r="CI1096" s="9"/>
      <c r="CJ1096" s="9"/>
      <c r="CK1096" s="9"/>
      <c r="CL1096" s="9"/>
      <c r="CM1096" s="9"/>
      <c r="CN1096" s="9"/>
      <c r="CO1096" s="9"/>
      <c r="CP1096" s="9"/>
      <c r="CQ1096" s="9"/>
      <c r="CR1096" s="9"/>
      <c r="CS1096" s="9"/>
      <c r="CT1096" s="9"/>
      <c r="CU1096" s="9"/>
      <c r="CV1096" s="9"/>
      <c r="CW1096" s="9"/>
      <c r="CX1096" s="9"/>
      <c r="CY1096" s="9"/>
      <c r="CZ1096" s="9"/>
      <c r="DA1096" s="9"/>
      <c r="DB1096" s="9"/>
      <c r="DC1096" s="9"/>
      <c r="DD1096" s="9"/>
      <c r="DE1096" s="9"/>
      <c r="DF1096" s="9"/>
      <c r="DG1096" s="9"/>
      <c r="DH1096" s="9"/>
      <c r="DI1096" s="9"/>
      <c r="DJ1096" s="9"/>
      <c r="DK1096" s="9"/>
      <c r="DL1096" s="9"/>
      <c r="DM1096" s="9"/>
      <c r="DN1096" s="9"/>
      <c r="DO1096" s="9"/>
      <c r="DP1096" s="9"/>
      <c r="DQ1096" s="9"/>
      <c r="DR1096" s="9"/>
      <c r="DS1096" s="9"/>
      <c r="DT1096" s="9"/>
      <c r="DU1096" s="9"/>
      <c r="DV1096" s="9"/>
      <c r="DW1096" s="9"/>
      <c r="DX1096" s="9"/>
      <c r="DY1096" s="9"/>
      <c r="DZ1096" s="9"/>
      <c r="EA1096" s="9"/>
      <c r="EB1096" s="9"/>
      <c r="EC1096" s="9"/>
      <c r="ED1096" s="9"/>
      <c r="EE1096" s="9"/>
      <c r="EF1096" s="9"/>
      <c r="EG1096" s="9"/>
      <c r="EH1096" s="9"/>
      <c r="EI1096" s="9"/>
      <c r="EJ1096" s="9"/>
      <c r="EK1096" s="9"/>
      <c r="EL1096" s="9"/>
      <c r="EM1096" s="9"/>
      <c r="EN1096" s="9"/>
      <c r="EO1096" s="9"/>
      <c r="EP1096" s="9"/>
      <c r="EQ1096" s="9"/>
      <c r="ER1096" s="9"/>
      <c r="ES1096" s="9"/>
      <c r="ET1096" s="9"/>
      <c r="EU1096" s="9"/>
      <c r="EV1096" s="9"/>
      <c r="EW1096" s="9"/>
      <c r="EX1096" s="9"/>
      <c r="EY1096" s="9"/>
      <c r="EZ1096" s="9"/>
      <c r="FA1096" s="9"/>
      <c r="FB1096" s="9"/>
      <c r="FC1096" s="9"/>
      <c r="FD1096" s="9"/>
      <c r="FE1096" s="9"/>
      <c r="FF1096" s="9"/>
      <c r="FG1096" s="9"/>
      <c r="FH1096" s="9"/>
      <c r="FI1096" s="9"/>
      <c r="FJ1096" s="9"/>
      <c r="FK1096" s="9"/>
      <c r="FL1096" s="9"/>
      <c r="FM1096" s="9"/>
      <c r="FN1096" s="9"/>
      <c r="FO1096" s="9"/>
      <c r="FP1096" s="9"/>
    </row>
    <row r="1097" customFormat="false" ht="15" hidden="false" customHeight="false" outlineLevel="0" collapsed="false">
      <c r="B1097" s="36" t="s">
        <v>930</v>
      </c>
      <c r="C1097" s="40" t="n">
        <f aca="false">SUM(AC1003:AN1003)</f>
        <v>0</v>
      </c>
      <c r="D1097" s="40" t="n">
        <f aca="false">SUM(AO1003:AZ1003)</f>
        <v>0</v>
      </c>
      <c r="E1097" s="40" t="n">
        <f aca="false">SUM(BA1003:BL1003)</f>
        <v>0</v>
      </c>
      <c r="F1097" s="40" t="n">
        <f aca="false">SUM(BM1003:BX1003)</f>
        <v>0</v>
      </c>
      <c r="G1097" s="40" t="n">
        <f aca="false">SUM(BY1003:CJ1003)</f>
        <v>0</v>
      </c>
      <c r="H1097" s="40" t="n">
        <f aca="false">SUM(CK1003:CV1003)</f>
        <v>0</v>
      </c>
      <c r="I1097" s="40" t="n">
        <f aca="false">SUM(CW1003:DH1003)</f>
        <v>0</v>
      </c>
      <c r="J1097" s="40" t="n">
        <f aca="false">SUM(DI1003:DT1003)</f>
        <v>0</v>
      </c>
      <c r="K1097" s="40" t="n">
        <f aca="false">SUM(DU1003:EF1003)</f>
        <v>0</v>
      </c>
      <c r="L1097" s="40" t="n">
        <f aca="false">SUM(EG1003:ER1003)</f>
        <v>0</v>
      </c>
      <c r="M1097" s="40" t="n">
        <f aca="false">SUM(ES1003:FD1003)</f>
        <v>0</v>
      </c>
      <c r="N1097" s="40" t="n">
        <f aca="false">SUM(FE1003:FP1003)</f>
        <v>0</v>
      </c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  <c r="BF1097" s="9"/>
      <c r="BG1097" s="9"/>
      <c r="BH1097" s="9"/>
      <c r="BI1097" s="9"/>
      <c r="BJ1097" s="9"/>
      <c r="BK1097" s="9"/>
      <c r="BL1097" s="9"/>
      <c r="BM1097" s="9"/>
      <c r="BN1097" s="9"/>
      <c r="BO1097" s="9"/>
      <c r="BP1097" s="9"/>
      <c r="BQ1097" s="9"/>
      <c r="BR1097" s="9"/>
      <c r="BS1097" s="9"/>
      <c r="BT1097" s="9"/>
      <c r="BU1097" s="9"/>
      <c r="BV1097" s="9"/>
      <c r="BW1097" s="9"/>
      <c r="BX1097" s="9"/>
      <c r="BY1097" s="9"/>
      <c r="BZ1097" s="9"/>
      <c r="CA1097" s="9"/>
      <c r="CB1097" s="9"/>
      <c r="CC1097" s="9"/>
      <c r="CD1097" s="9"/>
      <c r="CE1097" s="9"/>
      <c r="CF1097" s="9"/>
      <c r="CG1097" s="9"/>
      <c r="CH1097" s="9"/>
      <c r="CI1097" s="9"/>
      <c r="CJ1097" s="9"/>
      <c r="CK1097" s="9"/>
      <c r="CL1097" s="9"/>
      <c r="CM1097" s="9"/>
      <c r="CN1097" s="9"/>
      <c r="CO1097" s="9"/>
      <c r="CP1097" s="9"/>
      <c r="CQ1097" s="9"/>
      <c r="CR1097" s="9"/>
      <c r="CS1097" s="9"/>
      <c r="CT1097" s="9"/>
      <c r="CU1097" s="9"/>
      <c r="CV1097" s="9"/>
      <c r="CW1097" s="9"/>
      <c r="CX1097" s="9"/>
      <c r="CY1097" s="9"/>
      <c r="CZ1097" s="9"/>
      <c r="DA1097" s="9"/>
      <c r="DB1097" s="9"/>
      <c r="DC1097" s="9"/>
      <c r="DD1097" s="9"/>
      <c r="DE1097" s="9"/>
      <c r="DF1097" s="9"/>
      <c r="DG1097" s="9"/>
      <c r="DH1097" s="9"/>
      <c r="DI1097" s="9"/>
      <c r="DJ1097" s="9"/>
      <c r="DK1097" s="9"/>
      <c r="DL1097" s="9"/>
      <c r="DM1097" s="9"/>
      <c r="DN1097" s="9"/>
      <c r="DO1097" s="9"/>
      <c r="DP1097" s="9"/>
      <c r="DQ1097" s="9"/>
      <c r="DR1097" s="9"/>
      <c r="DS1097" s="9"/>
      <c r="DT1097" s="9"/>
      <c r="DU1097" s="9"/>
      <c r="DV1097" s="9"/>
      <c r="DW1097" s="9"/>
      <c r="DX1097" s="9"/>
      <c r="DY1097" s="9"/>
      <c r="DZ1097" s="9"/>
      <c r="EA1097" s="9"/>
      <c r="EB1097" s="9"/>
      <c r="EC1097" s="9"/>
      <c r="ED1097" s="9"/>
      <c r="EE1097" s="9"/>
      <c r="EF1097" s="9"/>
      <c r="EG1097" s="9"/>
      <c r="EH1097" s="9"/>
      <c r="EI1097" s="9"/>
      <c r="EJ1097" s="9"/>
      <c r="EK1097" s="9"/>
      <c r="EL1097" s="9"/>
      <c r="EM1097" s="9"/>
      <c r="EN1097" s="9"/>
      <c r="EO1097" s="9"/>
      <c r="EP1097" s="9"/>
      <c r="EQ1097" s="9"/>
      <c r="ER1097" s="9"/>
      <c r="ES1097" s="9"/>
      <c r="ET1097" s="9"/>
      <c r="EU1097" s="9"/>
      <c r="EV1097" s="9"/>
      <c r="EW1097" s="9"/>
      <c r="EX1097" s="9"/>
      <c r="EY1097" s="9"/>
      <c r="EZ1097" s="9"/>
      <c r="FA1097" s="9"/>
      <c r="FB1097" s="9"/>
      <c r="FC1097" s="9"/>
      <c r="FD1097" s="9"/>
      <c r="FE1097" s="9"/>
      <c r="FF1097" s="9"/>
      <c r="FG1097" s="9"/>
      <c r="FH1097" s="9"/>
      <c r="FI1097" s="9"/>
      <c r="FJ1097" s="9"/>
      <c r="FK1097" s="9"/>
      <c r="FL1097" s="9"/>
      <c r="FM1097" s="9"/>
      <c r="FN1097" s="9"/>
      <c r="FO1097" s="9"/>
      <c r="FP1097" s="9"/>
    </row>
    <row r="1098" customFormat="false" ht="15" hidden="false" customHeight="false" outlineLevel="0" collapsed="false">
      <c r="B1098" s="36" t="s">
        <v>931</v>
      </c>
      <c r="C1098" s="40" t="n">
        <f aca="false">SUM(AC1004:AN1004)</f>
        <v>0</v>
      </c>
      <c r="D1098" s="40" t="n">
        <f aca="false">SUM(AO1004:AZ1004)</f>
        <v>0</v>
      </c>
      <c r="E1098" s="40" t="n">
        <f aca="false">SUM(BA1004:BL1004)</f>
        <v>0</v>
      </c>
      <c r="F1098" s="40" t="n">
        <f aca="false">SUM(BM1004:BX1004)</f>
        <v>0</v>
      </c>
      <c r="G1098" s="40" t="n">
        <f aca="false">SUM(BY1004:CJ1004)</f>
        <v>0</v>
      </c>
      <c r="H1098" s="40" t="n">
        <f aca="false">SUM(CK1004:CV1004)</f>
        <v>0</v>
      </c>
      <c r="I1098" s="40" t="n">
        <f aca="false">SUM(CW1004:DH1004)</f>
        <v>0</v>
      </c>
      <c r="J1098" s="40" t="n">
        <f aca="false">SUM(DI1004:DT1004)</f>
        <v>0</v>
      </c>
      <c r="K1098" s="40" t="n">
        <f aca="false">SUM(DU1004:EF1004)</f>
        <v>0</v>
      </c>
      <c r="L1098" s="40" t="n">
        <f aca="false">SUM(EG1004:ER1004)</f>
        <v>0</v>
      </c>
      <c r="M1098" s="40" t="n">
        <f aca="false">SUM(ES1004:FD1004)</f>
        <v>0</v>
      </c>
      <c r="N1098" s="40" t="n">
        <f aca="false">SUM(FE1004:FP1004)</f>
        <v>0</v>
      </c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  <c r="BF1098" s="9"/>
      <c r="BG1098" s="9"/>
      <c r="BH1098" s="9"/>
      <c r="BI1098" s="9"/>
      <c r="BJ1098" s="9"/>
      <c r="BK1098" s="9"/>
      <c r="BL1098" s="9"/>
      <c r="BM1098" s="9"/>
      <c r="BN1098" s="9"/>
      <c r="BO1098" s="9"/>
      <c r="BP1098" s="9"/>
      <c r="BQ1098" s="9"/>
      <c r="BR1098" s="9"/>
      <c r="BS1098" s="9"/>
      <c r="BT1098" s="9"/>
      <c r="BU1098" s="9"/>
      <c r="BV1098" s="9"/>
      <c r="BW1098" s="9"/>
      <c r="BX1098" s="9"/>
      <c r="BY1098" s="9"/>
      <c r="BZ1098" s="9"/>
      <c r="CA1098" s="9"/>
      <c r="CB1098" s="9"/>
      <c r="CC1098" s="9"/>
      <c r="CD1098" s="9"/>
      <c r="CE1098" s="9"/>
      <c r="CF1098" s="9"/>
      <c r="CG1098" s="9"/>
      <c r="CH1098" s="9"/>
      <c r="CI1098" s="9"/>
      <c r="CJ1098" s="9"/>
      <c r="CK1098" s="9"/>
      <c r="CL1098" s="9"/>
      <c r="CM1098" s="9"/>
      <c r="CN1098" s="9"/>
      <c r="CO1098" s="9"/>
      <c r="CP1098" s="9"/>
      <c r="CQ1098" s="9"/>
      <c r="CR1098" s="9"/>
      <c r="CS1098" s="9"/>
      <c r="CT1098" s="9"/>
      <c r="CU1098" s="9"/>
      <c r="CV1098" s="9"/>
      <c r="CW1098" s="9"/>
      <c r="CX1098" s="9"/>
      <c r="CY1098" s="9"/>
      <c r="CZ1098" s="9"/>
      <c r="DA1098" s="9"/>
      <c r="DB1098" s="9"/>
      <c r="DC1098" s="9"/>
      <c r="DD1098" s="9"/>
      <c r="DE1098" s="9"/>
      <c r="DF1098" s="9"/>
      <c r="DG1098" s="9"/>
      <c r="DH1098" s="9"/>
      <c r="DI1098" s="9"/>
      <c r="DJ1098" s="9"/>
      <c r="DK1098" s="9"/>
      <c r="DL1098" s="9"/>
      <c r="DM1098" s="9"/>
      <c r="DN1098" s="9"/>
      <c r="DO1098" s="9"/>
      <c r="DP1098" s="9"/>
      <c r="DQ1098" s="9"/>
      <c r="DR1098" s="9"/>
      <c r="DS1098" s="9"/>
      <c r="DT1098" s="9"/>
      <c r="DU1098" s="9"/>
      <c r="DV1098" s="9"/>
      <c r="DW1098" s="9"/>
      <c r="DX1098" s="9"/>
      <c r="DY1098" s="9"/>
      <c r="DZ1098" s="9"/>
      <c r="EA1098" s="9"/>
      <c r="EB1098" s="9"/>
      <c r="EC1098" s="9"/>
      <c r="ED1098" s="9"/>
      <c r="EE1098" s="9"/>
      <c r="EF1098" s="9"/>
      <c r="EG1098" s="9"/>
      <c r="EH1098" s="9"/>
      <c r="EI1098" s="9"/>
      <c r="EJ1098" s="9"/>
      <c r="EK1098" s="9"/>
      <c r="EL1098" s="9"/>
      <c r="EM1098" s="9"/>
      <c r="EN1098" s="9"/>
      <c r="EO1098" s="9"/>
      <c r="EP1098" s="9"/>
      <c r="EQ1098" s="9"/>
      <c r="ER1098" s="9"/>
      <c r="ES1098" s="9"/>
      <c r="ET1098" s="9"/>
      <c r="EU1098" s="9"/>
      <c r="EV1098" s="9"/>
      <c r="EW1098" s="9"/>
      <c r="EX1098" s="9"/>
      <c r="EY1098" s="9"/>
      <c r="EZ1098" s="9"/>
      <c r="FA1098" s="9"/>
      <c r="FB1098" s="9"/>
      <c r="FC1098" s="9"/>
      <c r="FD1098" s="9"/>
      <c r="FE1098" s="9"/>
      <c r="FF1098" s="9"/>
      <c r="FG1098" s="9"/>
      <c r="FH1098" s="9"/>
      <c r="FI1098" s="9"/>
      <c r="FJ1098" s="9"/>
      <c r="FK1098" s="9"/>
      <c r="FL1098" s="9"/>
      <c r="FM1098" s="9"/>
      <c r="FN1098" s="9"/>
      <c r="FO1098" s="9"/>
      <c r="FP1098" s="9"/>
    </row>
    <row r="1099" customFormat="false" ht="15" hidden="false" customHeight="false" outlineLevel="0" collapsed="false">
      <c r="B1099" s="36" t="s">
        <v>932</v>
      </c>
      <c r="C1099" s="40" t="n">
        <f aca="false">SUM(AC1005:AN1005)</f>
        <v>0</v>
      </c>
      <c r="D1099" s="40" t="n">
        <f aca="false">SUM(AO1005:AZ1005)</f>
        <v>0</v>
      </c>
      <c r="E1099" s="40" t="n">
        <f aca="false">SUM(BA1005:BL1005)</f>
        <v>0</v>
      </c>
      <c r="F1099" s="40" t="n">
        <f aca="false">SUM(BM1005:BX1005)</f>
        <v>0</v>
      </c>
      <c r="G1099" s="40" t="n">
        <f aca="false">SUM(BY1005:CJ1005)</f>
        <v>0</v>
      </c>
      <c r="H1099" s="40" t="n">
        <f aca="false">SUM(CK1005:CV1005)</f>
        <v>0</v>
      </c>
      <c r="I1099" s="40" t="n">
        <f aca="false">SUM(CW1005:DH1005)</f>
        <v>0</v>
      </c>
      <c r="J1099" s="40" t="n">
        <f aca="false">SUM(DI1005:DT1005)</f>
        <v>0</v>
      </c>
      <c r="K1099" s="40" t="n">
        <f aca="false">SUM(DU1005:EF1005)</f>
        <v>0</v>
      </c>
      <c r="L1099" s="40" t="n">
        <f aca="false">SUM(EG1005:ER1005)</f>
        <v>0</v>
      </c>
      <c r="M1099" s="40" t="n">
        <f aca="false">SUM(ES1005:FD1005)</f>
        <v>0</v>
      </c>
      <c r="N1099" s="40" t="n">
        <f aca="false">SUM(FE1005:FP1005)</f>
        <v>0</v>
      </c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  <c r="BF1099" s="9"/>
      <c r="BG1099" s="9"/>
      <c r="BH1099" s="9"/>
      <c r="BI1099" s="9"/>
      <c r="BJ1099" s="9"/>
      <c r="BK1099" s="9"/>
      <c r="BL1099" s="9"/>
      <c r="BM1099" s="9"/>
      <c r="BN1099" s="9"/>
      <c r="BO1099" s="9"/>
      <c r="BP1099" s="9"/>
      <c r="BQ1099" s="9"/>
      <c r="BR1099" s="9"/>
      <c r="BS1099" s="9"/>
      <c r="BT1099" s="9"/>
      <c r="BU1099" s="9"/>
      <c r="BV1099" s="9"/>
      <c r="BW1099" s="9"/>
      <c r="BX1099" s="9"/>
      <c r="BY1099" s="9"/>
      <c r="BZ1099" s="9"/>
      <c r="CA1099" s="9"/>
      <c r="CB1099" s="9"/>
      <c r="CC1099" s="9"/>
      <c r="CD1099" s="9"/>
      <c r="CE1099" s="9"/>
      <c r="CF1099" s="9"/>
      <c r="CG1099" s="9"/>
      <c r="CH1099" s="9"/>
      <c r="CI1099" s="9"/>
      <c r="CJ1099" s="9"/>
      <c r="CK1099" s="9"/>
      <c r="CL1099" s="9"/>
      <c r="CM1099" s="9"/>
      <c r="CN1099" s="9"/>
      <c r="CO1099" s="9"/>
      <c r="CP1099" s="9"/>
      <c r="CQ1099" s="9"/>
      <c r="CR1099" s="9"/>
      <c r="CS1099" s="9"/>
      <c r="CT1099" s="9"/>
      <c r="CU1099" s="9"/>
      <c r="CV1099" s="9"/>
      <c r="CW1099" s="9"/>
      <c r="CX1099" s="9"/>
      <c r="CY1099" s="9"/>
      <c r="CZ1099" s="9"/>
      <c r="DA1099" s="9"/>
      <c r="DB1099" s="9"/>
      <c r="DC1099" s="9"/>
      <c r="DD1099" s="9"/>
      <c r="DE1099" s="9"/>
      <c r="DF1099" s="9"/>
      <c r="DG1099" s="9"/>
      <c r="DH1099" s="9"/>
      <c r="DI1099" s="9"/>
      <c r="DJ1099" s="9"/>
      <c r="DK1099" s="9"/>
      <c r="DL1099" s="9"/>
      <c r="DM1099" s="9"/>
      <c r="DN1099" s="9"/>
      <c r="DO1099" s="9"/>
      <c r="DP1099" s="9"/>
      <c r="DQ1099" s="9"/>
      <c r="DR1099" s="9"/>
      <c r="DS1099" s="9"/>
      <c r="DT1099" s="9"/>
      <c r="DU1099" s="9"/>
      <c r="DV1099" s="9"/>
      <c r="DW1099" s="9"/>
      <c r="DX1099" s="9"/>
      <c r="DY1099" s="9"/>
      <c r="DZ1099" s="9"/>
      <c r="EA1099" s="9"/>
      <c r="EB1099" s="9"/>
      <c r="EC1099" s="9"/>
      <c r="ED1099" s="9"/>
      <c r="EE1099" s="9"/>
      <c r="EF1099" s="9"/>
      <c r="EG1099" s="9"/>
      <c r="EH1099" s="9"/>
      <c r="EI1099" s="9"/>
      <c r="EJ1099" s="9"/>
      <c r="EK1099" s="9"/>
      <c r="EL1099" s="9"/>
      <c r="EM1099" s="9"/>
      <c r="EN1099" s="9"/>
      <c r="EO1099" s="9"/>
      <c r="EP1099" s="9"/>
      <c r="EQ1099" s="9"/>
      <c r="ER1099" s="9"/>
      <c r="ES1099" s="9"/>
      <c r="ET1099" s="9"/>
      <c r="EU1099" s="9"/>
      <c r="EV1099" s="9"/>
      <c r="EW1099" s="9"/>
      <c r="EX1099" s="9"/>
      <c r="EY1099" s="9"/>
      <c r="EZ1099" s="9"/>
      <c r="FA1099" s="9"/>
      <c r="FB1099" s="9"/>
      <c r="FC1099" s="9"/>
      <c r="FD1099" s="9"/>
      <c r="FE1099" s="9"/>
      <c r="FF1099" s="9"/>
      <c r="FG1099" s="9"/>
      <c r="FH1099" s="9"/>
      <c r="FI1099" s="9"/>
      <c r="FJ1099" s="9"/>
      <c r="FK1099" s="9"/>
      <c r="FL1099" s="9"/>
      <c r="FM1099" s="9"/>
      <c r="FN1099" s="9"/>
      <c r="FO1099" s="9"/>
      <c r="FP1099" s="9"/>
    </row>
    <row r="1100" customFormat="false" ht="15" hidden="false" customHeight="false" outlineLevel="0" collapsed="false">
      <c r="B1100" s="36" t="s">
        <v>933</v>
      </c>
      <c r="C1100" s="40" t="n">
        <f aca="false">SUM(AC1006:AN1006)</f>
        <v>0</v>
      </c>
      <c r="D1100" s="40" t="n">
        <f aca="false">SUM(AO1006:AZ1006)</f>
        <v>0</v>
      </c>
      <c r="E1100" s="40" t="n">
        <f aca="false">SUM(BA1006:BL1006)</f>
        <v>0</v>
      </c>
      <c r="F1100" s="40" t="n">
        <f aca="false">SUM(BM1006:BX1006)</f>
        <v>0</v>
      </c>
      <c r="G1100" s="40" t="n">
        <f aca="false">SUM(BY1006:CJ1006)</f>
        <v>0</v>
      </c>
      <c r="H1100" s="40" t="n">
        <f aca="false">SUM(CK1006:CV1006)</f>
        <v>0</v>
      </c>
      <c r="I1100" s="40" t="n">
        <f aca="false">SUM(CW1006:DH1006)</f>
        <v>0</v>
      </c>
      <c r="J1100" s="40" t="n">
        <f aca="false">SUM(DI1006:DT1006)</f>
        <v>0</v>
      </c>
      <c r="K1100" s="40" t="n">
        <f aca="false">SUM(DU1006:EF1006)</f>
        <v>0</v>
      </c>
      <c r="L1100" s="40" t="n">
        <f aca="false">SUM(EG1006:ER1006)</f>
        <v>0</v>
      </c>
      <c r="M1100" s="40" t="n">
        <f aca="false">SUM(ES1006:FD1006)</f>
        <v>0</v>
      </c>
      <c r="N1100" s="40" t="n">
        <f aca="false">SUM(FE1006:FP1006)</f>
        <v>0</v>
      </c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  <c r="BF1100" s="9"/>
      <c r="BG1100" s="9"/>
      <c r="BH1100" s="9"/>
      <c r="BI1100" s="9"/>
      <c r="BJ1100" s="9"/>
      <c r="BK1100" s="9"/>
      <c r="BL1100" s="9"/>
      <c r="BM1100" s="9"/>
      <c r="BN1100" s="9"/>
      <c r="BO1100" s="9"/>
      <c r="BP1100" s="9"/>
      <c r="BQ1100" s="9"/>
      <c r="BR1100" s="9"/>
      <c r="BS1100" s="9"/>
      <c r="BT1100" s="9"/>
      <c r="BU1100" s="9"/>
      <c r="BV1100" s="9"/>
      <c r="BW1100" s="9"/>
      <c r="BX1100" s="9"/>
      <c r="BY1100" s="9"/>
      <c r="BZ1100" s="9"/>
      <c r="CA1100" s="9"/>
      <c r="CB1100" s="9"/>
      <c r="CC1100" s="9"/>
      <c r="CD1100" s="9"/>
      <c r="CE1100" s="9"/>
      <c r="CF1100" s="9"/>
      <c r="CG1100" s="9"/>
      <c r="CH1100" s="9"/>
      <c r="CI1100" s="9"/>
      <c r="CJ1100" s="9"/>
      <c r="CK1100" s="9"/>
      <c r="CL1100" s="9"/>
      <c r="CM1100" s="9"/>
      <c r="CN1100" s="9"/>
      <c r="CO1100" s="9"/>
      <c r="CP1100" s="9"/>
      <c r="CQ1100" s="9"/>
      <c r="CR1100" s="9"/>
      <c r="CS1100" s="9"/>
      <c r="CT1100" s="9"/>
      <c r="CU1100" s="9"/>
      <c r="CV1100" s="9"/>
      <c r="CW1100" s="9"/>
      <c r="CX1100" s="9"/>
      <c r="CY1100" s="9"/>
      <c r="CZ1100" s="9"/>
      <c r="DA1100" s="9"/>
      <c r="DB1100" s="9"/>
      <c r="DC1100" s="9"/>
      <c r="DD1100" s="9"/>
      <c r="DE1100" s="9"/>
      <c r="DF1100" s="9"/>
      <c r="DG1100" s="9"/>
      <c r="DH1100" s="9"/>
      <c r="DI1100" s="9"/>
      <c r="DJ1100" s="9"/>
      <c r="DK1100" s="9"/>
      <c r="DL1100" s="9"/>
      <c r="DM1100" s="9"/>
      <c r="DN1100" s="9"/>
      <c r="DO1100" s="9"/>
      <c r="DP1100" s="9"/>
      <c r="DQ1100" s="9"/>
      <c r="DR1100" s="9"/>
      <c r="DS1100" s="9"/>
      <c r="DT1100" s="9"/>
      <c r="DU1100" s="9"/>
      <c r="DV1100" s="9"/>
      <c r="DW1100" s="9"/>
      <c r="DX1100" s="9"/>
      <c r="DY1100" s="9"/>
      <c r="DZ1100" s="9"/>
      <c r="EA1100" s="9"/>
      <c r="EB1100" s="9"/>
      <c r="EC1100" s="9"/>
      <c r="ED1100" s="9"/>
      <c r="EE1100" s="9"/>
      <c r="EF1100" s="9"/>
      <c r="EG1100" s="9"/>
      <c r="EH1100" s="9"/>
      <c r="EI1100" s="9"/>
      <c r="EJ1100" s="9"/>
      <c r="EK1100" s="9"/>
      <c r="EL1100" s="9"/>
      <c r="EM1100" s="9"/>
      <c r="EN1100" s="9"/>
      <c r="EO1100" s="9"/>
      <c r="EP1100" s="9"/>
      <c r="EQ1100" s="9"/>
      <c r="ER1100" s="9"/>
      <c r="ES1100" s="9"/>
      <c r="ET1100" s="9"/>
      <c r="EU1100" s="9"/>
      <c r="EV1100" s="9"/>
      <c r="EW1100" s="9"/>
      <c r="EX1100" s="9"/>
      <c r="EY1100" s="9"/>
      <c r="EZ1100" s="9"/>
      <c r="FA1100" s="9"/>
      <c r="FB1100" s="9"/>
      <c r="FC1100" s="9"/>
      <c r="FD1100" s="9"/>
      <c r="FE1100" s="9"/>
      <c r="FF1100" s="9"/>
      <c r="FG1100" s="9"/>
      <c r="FH1100" s="9"/>
      <c r="FI1100" s="9"/>
      <c r="FJ1100" s="9"/>
      <c r="FK1100" s="9"/>
      <c r="FL1100" s="9"/>
      <c r="FM1100" s="9"/>
      <c r="FN1100" s="9"/>
      <c r="FO1100" s="9"/>
      <c r="FP1100" s="9"/>
    </row>
    <row r="1101" customFormat="false" ht="15" hidden="false" customHeight="false" outlineLevel="0" collapsed="false">
      <c r="B1101" s="36" t="s">
        <v>934</v>
      </c>
      <c r="C1101" s="40" t="n">
        <f aca="false">SUM(AC1007:AN1007)</f>
        <v>0</v>
      </c>
      <c r="D1101" s="40" t="n">
        <f aca="false">SUM(AO1007:AZ1007)</f>
        <v>0</v>
      </c>
      <c r="E1101" s="40" t="n">
        <f aca="false">SUM(BA1007:BL1007)</f>
        <v>0</v>
      </c>
      <c r="F1101" s="40" t="n">
        <f aca="false">SUM(BM1007:BX1007)</f>
        <v>0</v>
      </c>
      <c r="G1101" s="40" t="n">
        <f aca="false">SUM(BY1007:CJ1007)</f>
        <v>0</v>
      </c>
      <c r="H1101" s="40" t="n">
        <f aca="false">SUM(CK1007:CV1007)</f>
        <v>0</v>
      </c>
      <c r="I1101" s="40" t="n">
        <f aca="false">SUM(CW1007:DH1007)</f>
        <v>0</v>
      </c>
      <c r="J1101" s="40" t="n">
        <f aca="false">SUM(DI1007:DT1007)</f>
        <v>0</v>
      </c>
      <c r="K1101" s="40" t="n">
        <f aca="false">SUM(DU1007:EF1007)</f>
        <v>0</v>
      </c>
      <c r="L1101" s="40" t="n">
        <f aca="false">SUM(EG1007:ER1007)</f>
        <v>0</v>
      </c>
      <c r="M1101" s="40" t="n">
        <f aca="false">SUM(ES1007:FD1007)</f>
        <v>0</v>
      </c>
      <c r="N1101" s="40" t="n">
        <f aca="false">SUM(FE1007:FP1007)</f>
        <v>0</v>
      </c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  <c r="BF1101" s="9"/>
      <c r="BG1101" s="9"/>
      <c r="BH1101" s="9"/>
      <c r="BI1101" s="9"/>
      <c r="BJ1101" s="9"/>
      <c r="BK1101" s="9"/>
      <c r="BL1101" s="9"/>
      <c r="BM1101" s="9"/>
      <c r="BN1101" s="9"/>
      <c r="BO1101" s="9"/>
      <c r="BP1101" s="9"/>
      <c r="BQ1101" s="9"/>
      <c r="BR1101" s="9"/>
      <c r="BS1101" s="9"/>
      <c r="BT1101" s="9"/>
      <c r="BU1101" s="9"/>
      <c r="BV1101" s="9"/>
      <c r="BW1101" s="9"/>
      <c r="BX1101" s="9"/>
      <c r="BY1101" s="9"/>
      <c r="BZ1101" s="9"/>
      <c r="CA1101" s="9"/>
      <c r="CB1101" s="9"/>
      <c r="CC1101" s="9"/>
      <c r="CD1101" s="9"/>
      <c r="CE1101" s="9"/>
      <c r="CF1101" s="9"/>
      <c r="CG1101" s="9"/>
      <c r="CH1101" s="9"/>
      <c r="CI1101" s="9"/>
      <c r="CJ1101" s="9"/>
      <c r="CK1101" s="9"/>
      <c r="CL1101" s="9"/>
      <c r="CM1101" s="9"/>
      <c r="CN1101" s="9"/>
      <c r="CO1101" s="9"/>
      <c r="CP1101" s="9"/>
      <c r="CQ1101" s="9"/>
      <c r="CR1101" s="9"/>
      <c r="CS1101" s="9"/>
      <c r="CT1101" s="9"/>
      <c r="CU1101" s="9"/>
      <c r="CV1101" s="9"/>
      <c r="CW1101" s="9"/>
      <c r="CX1101" s="9"/>
      <c r="CY1101" s="9"/>
      <c r="CZ1101" s="9"/>
      <c r="DA1101" s="9"/>
      <c r="DB1101" s="9"/>
      <c r="DC1101" s="9"/>
      <c r="DD1101" s="9"/>
      <c r="DE1101" s="9"/>
      <c r="DF1101" s="9"/>
      <c r="DG1101" s="9"/>
      <c r="DH1101" s="9"/>
      <c r="DI1101" s="9"/>
      <c r="DJ1101" s="9"/>
      <c r="DK1101" s="9"/>
      <c r="DL1101" s="9"/>
      <c r="DM1101" s="9"/>
      <c r="DN1101" s="9"/>
      <c r="DO1101" s="9"/>
      <c r="DP1101" s="9"/>
      <c r="DQ1101" s="9"/>
      <c r="DR1101" s="9"/>
      <c r="DS1101" s="9"/>
      <c r="DT1101" s="9"/>
      <c r="DU1101" s="9"/>
      <c r="DV1101" s="9"/>
      <c r="DW1101" s="9"/>
      <c r="DX1101" s="9"/>
      <c r="DY1101" s="9"/>
      <c r="DZ1101" s="9"/>
      <c r="EA1101" s="9"/>
      <c r="EB1101" s="9"/>
      <c r="EC1101" s="9"/>
      <c r="ED1101" s="9"/>
      <c r="EE1101" s="9"/>
      <c r="EF1101" s="9"/>
      <c r="EG1101" s="9"/>
      <c r="EH1101" s="9"/>
      <c r="EI1101" s="9"/>
      <c r="EJ1101" s="9"/>
      <c r="EK1101" s="9"/>
      <c r="EL1101" s="9"/>
      <c r="EM1101" s="9"/>
      <c r="EN1101" s="9"/>
      <c r="EO1101" s="9"/>
      <c r="EP1101" s="9"/>
      <c r="EQ1101" s="9"/>
      <c r="ER1101" s="9"/>
      <c r="ES1101" s="9"/>
      <c r="ET1101" s="9"/>
      <c r="EU1101" s="9"/>
      <c r="EV1101" s="9"/>
      <c r="EW1101" s="9"/>
      <c r="EX1101" s="9"/>
      <c r="EY1101" s="9"/>
      <c r="EZ1101" s="9"/>
      <c r="FA1101" s="9"/>
      <c r="FB1101" s="9"/>
      <c r="FC1101" s="9"/>
      <c r="FD1101" s="9"/>
      <c r="FE1101" s="9"/>
      <c r="FF1101" s="9"/>
      <c r="FG1101" s="9"/>
      <c r="FH1101" s="9"/>
      <c r="FI1101" s="9"/>
      <c r="FJ1101" s="9"/>
      <c r="FK1101" s="9"/>
      <c r="FL1101" s="9"/>
      <c r="FM1101" s="9"/>
      <c r="FN1101" s="9"/>
      <c r="FO1101" s="9"/>
      <c r="FP1101" s="9"/>
    </row>
    <row r="1102" customFormat="false" ht="15" hidden="false" customHeight="false" outlineLevel="0" collapsed="false">
      <c r="B1102" s="9" t="s">
        <v>935</v>
      </c>
      <c r="C1102" s="9" t="n">
        <f aca="false">SUM(AC1008:AN1008)</f>
        <v>0</v>
      </c>
      <c r="D1102" s="9" t="n">
        <f aca="false">SUM(AO1008:AZ1008)</f>
        <v>0</v>
      </c>
      <c r="E1102" s="9" t="n">
        <f aca="false">SUM(BA1008:BL1008)</f>
        <v>0</v>
      </c>
      <c r="F1102" s="9" t="n">
        <f aca="false">SUM(BM1008:BX1008)</f>
        <v>0</v>
      </c>
      <c r="G1102" s="9" t="n">
        <f aca="false">SUM(BY1008:CJ1008)</f>
        <v>0</v>
      </c>
      <c r="H1102" s="9" t="n">
        <f aca="false">SUM(CK1008:CV1008)</f>
        <v>0</v>
      </c>
      <c r="I1102" s="9" t="n">
        <f aca="false">SUM(CW1008:DH1008)</f>
        <v>0</v>
      </c>
      <c r="J1102" s="9" t="n">
        <f aca="false">SUM(DI1008:DT1008)</f>
        <v>0</v>
      </c>
      <c r="K1102" s="9" t="n">
        <f aca="false">SUM(DU1008:EF1008)</f>
        <v>0</v>
      </c>
      <c r="L1102" s="9" t="n">
        <f aca="false">SUM(EG1008:ER1008)</f>
        <v>0</v>
      </c>
      <c r="M1102" s="9" t="n">
        <f aca="false">SUM(ES1008:FD1008)</f>
        <v>0</v>
      </c>
      <c r="N1102" s="9" t="n">
        <f aca="false">SUM(FE1008:FP1008)</f>
        <v>0</v>
      </c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  <c r="BF1102" s="9"/>
      <c r="BG1102" s="9"/>
      <c r="BH1102" s="9"/>
      <c r="BI1102" s="9"/>
      <c r="BJ1102" s="9"/>
      <c r="BK1102" s="9"/>
      <c r="BL1102" s="9"/>
      <c r="BM1102" s="9"/>
      <c r="BN1102" s="9"/>
      <c r="BO1102" s="9"/>
      <c r="BP1102" s="9"/>
      <c r="BQ1102" s="9"/>
      <c r="BR1102" s="9"/>
      <c r="BS1102" s="9"/>
      <c r="BT1102" s="9"/>
      <c r="BU1102" s="9"/>
      <c r="BV1102" s="9"/>
      <c r="BW1102" s="9"/>
      <c r="BX1102" s="9"/>
      <c r="BY1102" s="9"/>
      <c r="BZ1102" s="9"/>
      <c r="CA1102" s="9"/>
      <c r="CB1102" s="9"/>
      <c r="CC1102" s="9"/>
      <c r="CD1102" s="9"/>
      <c r="CE1102" s="9"/>
      <c r="CF1102" s="9"/>
      <c r="CG1102" s="9"/>
      <c r="CH1102" s="9"/>
      <c r="CI1102" s="9"/>
      <c r="CJ1102" s="9"/>
      <c r="CK1102" s="9"/>
      <c r="CL1102" s="9"/>
      <c r="CM1102" s="9"/>
      <c r="CN1102" s="9"/>
      <c r="CO1102" s="9"/>
      <c r="CP1102" s="9"/>
      <c r="CQ1102" s="9"/>
      <c r="CR1102" s="9"/>
      <c r="CS1102" s="9"/>
      <c r="CT1102" s="9"/>
      <c r="CU1102" s="9"/>
      <c r="CV1102" s="9"/>
      <c r="CW1102" s="9"/>
      <c r="CX1102" s="9"/>
      <c r="CY1102" s="9"/>
      <c r="CZ1102" s="9"/>
      <c r="DA1102" s="9"/>
      <c r="DB1102" s="9"/>
      <c r="DC1102" s="9"/>
      <c r="DD1102" s="9"/>
      <c r="DE1102" s="9"/>
      <c r="DF1102" s="9"/>
      <c r="DG1102" s="9"/>
      <c r="DH1102" s="9"/>
      <c r="DI1102" s="9"/>
      <c r="DJ1102" s="9"/>
      <c r="DK1102" s="9"/>
      <c r="DL1102" s="9"/>
      <c r="DM1102" s="9"/>
      <c r="DN1102" s="9"/>
      <c r="DO1102" s="9"/>
      <c r="DP1102" s="9"/>
      <c r="DQ1102" s="9"/>
      <c r="DR1102" s="9"/>
      <c r="DS1102" s="9"/>
      <c r="DT1102" s="9"/>
      <c r="DU1102" s="9"/>
      <c r="DV1102" s="9"/>
      <c r="DW1102" s="9"/>
      <c r="DX1102" s="9"/>
      <c r="DY1102" s="9"/>
      <c r="DZ1102" s="9"/>
      <c r="EA1102" s="9"/>
      <c r="EB1102" s="9"/>
      <c r="EC1102" s="9"/>
      <c r="ED1102" s="9"/>
      <c r="EE1102" s="9"/>
      <c r="EF1102" s="9"/>
      <c r="EG1102" s="9"/>
      <c r="EH1102" s="9"/>
      <c r="EI1102" s="9"/>
      <c r="EJ1102" s="9"/>
      <c r="EK1102" s="9"/>
      <c r="EL1102" s="9"/>
      <c r="EM1102" s="9"/>
      <c r="EN1102" s="9"/>
      <c r="EO1102" s="9"/>
      <c r="EP1102" s="9"/>
      <c r="EQ1102" s="9"/>
      <c r="ER1102" s="9"/>
      <c r="ES1102" s="9"/>
      <c r="ET1102" s="9"/>
      <c r="EU1102" s="9"/>
      <c r="EV1102" s="9"/>
      <c r="EW1102" s="9"/>
      <c r="EX1102" s="9"/>
      <c r="EY1102" s="9"/>
      <c r="EZ1102" s="9"/>
      <c r="FA1102" s="9"/>
      <c r="FB1102" s="9"/>
      <c r="FC1102" s="9"/>
      <c r="FD1102" s="9"/>
      <c r="FE1102" s="9"/>
      <c r="FF1102" s="9"/>
      <c r="FG1102" s="9"/>
      <c r="FH1102" s="9"/>
      <c r="FI1102" s="9"/>
      <c r="FJ1102" s="9"/>
      <c r="FK1102" s="9"/>
      <c r="FL1102" s="9"/>
      <c r="FM1102" s="9"/>
      <c r="FN1102" s="9"/>
      <c r="FO1102" s="9"/>
      <c r="FP1102" s="9"/>
    </row>
    <row r="1103" customFormat="false" ht="15" hidden="false" customHeight="false" outlineLevel="0" collapsed="false">
      <c r="B1103" s="9" t="s">
        <v>936</v>
      </c>
      <c r="C1103" s="9" t="n">
        <f aca="false">SUM(AC1009:AN1009)</f>
        <v>0</v>
      </c>
      <c r="D1103" s="9" t="n">
        <f aca="false">SUM(AO1009:AZ1009)</f>
        <v>0</v>
      </c>
      <c r="E1103" s="9" t="n">
        <f aca="false">SUM(BA1009:BL1009)</f>
        <v>0</v>
      </c>
      <c r="F1103" s="9" t="n">
        <f aca="false">SUM(BM1009:BX1009)</f>
        <v>0</v>
      </c>
      <c r="G1103" s="9" t="n">
        <f aca="false">SUM(BY1009:CJ1009)</f>
        <v>0</v>
      </c>
      <c r="H1103" s="9" t="n">
        <f aca="false">SUM(CK1009:CV1009)</f>
        <v>0</v>
      </c>
      <c r="I1103" s="9" t="n">
        <f aca="false">SUM(CW1009:DH1009)</f>
        <v>0</v>
      </c>
      <c r="J1103" s="9" t="n">
        <f aca="false">SUM(DI1009:DT1009)</f>
        <v>0</v>
      </c>
      <c r="K1103" s="9" t="n">
        <f aca="false">SUM(DU1009:EF1009)</f>
        <v>0</v>
      </c>
      <c r="L1103" s="9" t="n">
        <f aca="false">SUM(EG1009:ER1009)</f>
        <v>0</v>
      </c>
      <c r="M1103" s="9" t="n">
        <f aca="false">SUM(ES1009:FD1009)</f>
        <v>0</v>
      </c>
      <c r="N1103" s="9" t="n">
        <f aca="false">SUM(FE1009:FP1009)</f>
        <v>0</v>
      </c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  <c r="BF1103" s="9"/>
      <c r="BG1103" s="9"/>
      <c r="BH1103" s="9"/>
      <c r="BI1103" s="9"/>
      <c r="BJ1103" s="9"/>
      <c r="BK1103" s="9"/>
      <c r="BL1103" s="9"/>
      <c r="BM1103" s="9"/>
      <c r="BN1103" s="9"/>
      <c r="BO1103" s="9"/>
      <c r="BP1103" s="9"/>
      <c r="BQ1103" s="9"/>
      <c r="BR1103" s="9"/>
      <c r="BS1103" s="9"/>
      <c r="BT1103" s="9"/>
      <c r="BU1103" s="9"/>
      <c r="BV1103" s="9"/>
      <c r="BW1103" s="9"/>
      <c r="BX1103" s="9"/>
      <c r="BY1103" s="9"/>
      <c r="BZ1103" s="9"/>
      <c r="CA1103" s="9"/>
      <c r="CB1103" s="9"/>
      <c r="CC1103" s="9"/>
      <c r="CD1103" s="9"/>
      <c r="CE1103" s="9"/>
      <c r="CF1103" s="9"/>
      <c r="CG1103" s="9"/>
      <c r="CH1103" s="9"/>
      <c r="CI1103" s="9"/>
      <c r="CJ1103" s="9"/>
      <c r="CK1103" s="9"/>
      <c r="CL1103" s="9"/>
      <c r="CM1103" s="9"/>
      <c r="CN1103" s="9"/>
      <c r="CO1103" s="9"/>
      <c r="CP1103" s="9"/>
      <c r="CQ1103" s="9"/>
      <c r="CR1103" s="9"/>
      <c r="CS1103" s="9"/>
      <c r="CT1103" s="9"/>
      <c r="CU1103" s="9"/>
      <c r="CV1103" s="9"/>
      <c r="CW1103" s="9"/>
      <c r="CX1103" s="9"/>
      <c r="CY1103" s="9"/>
      <c r="CZ1103" s="9"/>
      <c r="DA1103" s="9"/>
      <c r="DB1103" s="9"/>
      <c r="DC1103" s="9"/>
      <c r="DD1103" s="9"/>
      <c r="DE1103" s="9"/>
      <c r="DF1103" s="9"/>
      <c r="DG1103" s="9"/>
      <c r="DH1103" s="9"/>
      <c r="DI1103" s="9"/>
      <c r="DJ1103" s="9"/>
      <c r="DK1103" s="9"/>
      <c r="DL1103" s="9"/>
      <c r="DM1103" s="9"/>
      <c r="DN1103" s="9"/>
      <c r="DO1103" s="9"/>
      <c r="DP1103" s="9"/>
      <c r="DQ1103" s="9"/>
      <c r="DR1103" s="9"/>
      <c r="DS1103" s="9"/>
      <c r="DT1103" s="9"/>
      <c r="DU1103" s="9"/>
      <c r="DV1103" s="9"/>
      <c r="DW1103" s="9"/>
      <c r="DX1103" s="9"/>
      <c r="DY1103" s="9"/>
      <c r="DZ1103" s="9"/>
      <c r="EA1103" s="9"/>
      <c r="EB1103" s="9"/>
      <c r="EC1103" s="9"/>
      <c r="ED1103" s="9"/>
      <c r="EE1103" s="9"/>
      <c r="EF1103" s="9"/>
      <c r="EG1103" s="9"/>
      <c r="EH1103" s="9"/>
      <c r="EI1103" s="9"/>
      <c r="EJ1103" s="9"/>
      <c r="EK1103" s="9"/>
      <c r="EL1103" s="9"/>
      <c r="EM1103" s="9"/>
      <c r="EN1103" s="9"/>
      <c r="EO1103" s="9"/>
      <c r="EP1103" s="9"/>
      <c r="EQ1103" s="9"/>
      <c r="ER1103" s="9"/>
      <c r="ES1103" s="9"/>
      <c r="ET1103" s="9"/>
      <c r="EU1103" s="9"/>
      <c r="EV1103" s="9"/>
      <c r="EW1103" s="9"/>
      <c r="EX1103" s="9"/>
      <c r="EY1103" s="9"/>
      <c r="EZ1103" s="9"/>
      <c r="FA1103" s="9"/>
      <c r="FB1103" s="9"/>
      <c r="FC1103" s="9"/>
      <c r="FD1103" s="9"/>
      <c r="FE1103" s="9"/>
      <c r="FF1103" s="9"/>
      <c r="FG1103" s="9"/>
      <c r="FH1103" s="9"/>
      <c r="FI1103" s="9"/>
      <c r="FJ1103" s="9"/>
      <c r="FK1103" s="9"/>
      <c r="FL1103" s="9"/>
      <c r="FM1103" s="9"/>
      <c r="FN1103" s="9"/>
      <c r="FO1103" s="9"/>
      <c r="FP1103" s="9"/>
    </row>
    <row r="1104" customFormat="false" ht="15" hidden="false" customHeight="false" outlineLevel="0" collapsed="false">
      <c r="B1104" s="9" t="s">
        <v>937</v>
      </c>
      <c r="C1104" s="9" t="n">
        <f aca="false">SUM(AC1010:AN1010)</f>
        <v>0</v>
      </c>
      <c r="D1104" s="9" t="n">
        <f aca="false">SUM(AO1010:AZ1010)</f>
        <v>0</v>
      </c>
      <c r="E1104" s="9" t="n">
        <f aca="false">SUM(BA1010:BL1010)</f>
        <v>0</v>
      </c>
      <c r="F1104" s="9" t="n">
        <f aca="false">SUM(BM1010:BX1010)</f>
        <v>0</v>
      </c>
      <c r="G1104" s="9" t="n">
        <f aca="false">SUM(BY1010:CJ1010)</f>
        <v>0</v>
      </c>
      <c r="H1104" s="9" t="n">
        <f aca="false">SUM(CK1010:CV1010)</f>
        <v>0</v>
      </c>
      <c r="I1104" s="9" t="n">
        <f aca="false">SUM(CW1010:DH1010)</f>
        <v>0</v>
      </c>
      <c r="J1104" s="9" t="n">
        <f aca="false">SUM(DI1010:DT1010)</f>
        <v>0</v>
      </c>
      <c r="K1104" s="9" t="n">
        <f aca="false">SUM(DU1010:EF1010)</f>
        <v>0</v>
      </c>
      <c r="L1104" s="9" t="n">
        <f aca="false">SUM(EG1010:ER1010)</f>
        <v>0</v>
      </c>
      <c r="M1104" s="9" t="n">
        <f aca="false">SUM(ES1010:FD1010)</f>
        <v>0</v>
      </c>
      <c r="N1104" s="9" t="n">
        <f aca="false">SUM(FE1010:FP1010)</f>
        <v>0</v>
      </c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  <c r="BF1104" s="9"/>
      <c r="BG1104" s="9"/>
      <c r="BH1104" s="9"/>
      <c r="BI1104" s="9"/>
      <c r="BJ1104" s="9"/>
      <c r="BK1104" s="9"/>
      <c r="BL1104" s="9"/>
      <c r="BM1104" s="9"/>
      <c r="BN1104" s="9"/>
      <c r="BO1104" s="9"/>
      <c r="BP1104" s="9"/>
      <c r="BQ1104" s="9"/>
      <c r="BR1104" s="9"/>
      <c r="BS1104" s="9"/>
      <c r="BT1104" s="9"/>
      <c r="BU1104" s="9"/>
      <c r="BV1104" s="9"/>
      <c r="BW1104" s="9"/>
      <c r="BX1104" s="9"/>
      <c r="BY1104" s="9"/>
      <c r="BZ1104" s="9"/>
      <c r="CA1104" s="9"/>
      <c r="CB1104" s="9"/>
      <c r="CC1104" s="9"/>
      <c r="CD1104" s="9"/>
      <c r="CE1104" s="9"/>
      <c r="CF1104" s="9"/>
      <c r="CG1104" s="9"/>
      <c r="CH1104" s="9"/>
      <c r="CI1104" s="9"/>
      <c r="CJ1104" s="9"/>
      <c r="CK1104" s="9"/>
      <c r="CL1104" s="9"/>
      <c r="CM1104" s="9"/>
      <c r="CN1104" s="9"/>
      <c r="CO1104" s="9"/>
      <c r="CP1104" s="9"/>
      <c r="CQ1104" s="9"/>
      <c r="CR1104" s="9"/>
      <c r="CS1104" s="9"/>
      <c r="CT1104" s="9"/>
      <c r="CU1104" s="9"/>
      <c r="CV1104" s="9"/>
      <c r="CW1104" s="9"/>
      <c r="CX1104" s="9"/>
      <c r="CY1104" s="9"/>
      <c r="CZ1104" s="9"/>
      <c r="DA1104" s="9"/>
      <c r="DB1104" s="9"/>
      <c r="DC1104" s="9"/>
      <c r="DD1104" s="9"/>
      <c r="DE1104" s="9"/>
      <c r="DF1104" s="9"/>
      <c r="DG1104" s="9"/>
      <c r="DH1104" s="9"/>
      <c r="DI1104" s="9"/>
      <c r="DJ1104" s="9"/>
      <c r="DK1104" s="9"/>
      <c r="DL1104" s="9"/>
      <c r="DM1104" s="9"/>
      <c r="DN1104" s="9"/>
      <c r="DO1104" s="9"/>
      <c r="DP1104" s="9"/>
      <c r="DQ1104" s="9"/>
      <c r="DR1104" s="9"/>
      <c r="DS1104" s="9"/>
      <c r="DT1104" s="9"/>
      <c r="DU1104" s="9"/>
      <c r="DV1104" s="9"/>
      <c r="DW1104" s="9"/>
      <c r="DX1104" s="9"/>
      <c r="DY1104" s="9"/>
      <c r="DZ1104" s="9"/>
      <c r="EA1104" s="9"/>
      <c r="EB1104" s="9"/>
      <c r="EC1104" s="9"/>
      <c r="ED1104" s="9"/>
      <c r="EE1104" s="9"/>
      <c r="EF1104" s="9"/>
      <c r="EG1104" s="9"/>
      <c r="EH1104" s="9"/>
      <c r="EI1104" s="9"/>
      <c r="EJ1104" s="9"/>
      <c r="EK1104" s="9"/>
      <c r="EL1104" s="9"/>
      <c r="EM1104" s="9"/>
      <c r="EN1104" s="9"/>
      <c r="EO1104" s="9"/>
      <c r="EP1104" s="9"/>
      <c r="EQ1104" s="9"/>
      <c r="ER1104" s="9"/>
      <c r="ES1104" s="9"/>
      <c r="ET1104" s="9"/>
      <c r="EU1104" s="9"/>
      <c r="EV1104" s="9"/>
      <c r="EW1104" s="9"/>
      <c r="EX1104" s="9"/>
      <c r="EY1104" s="9"/>
      <c r="EZ1104" s="9"/>
      <c r="FA1104" s="9"/>
      <c r="FB1104" s="9"/>
      <c r="FC1104" s="9"/>
      <c r="FD1104" s="9"/>
      <c r="FE1104" s="9"/>
      <c r="FF1104" s="9"/>
      <c r="FG1104" s="9"/>
      <c r="FH1104" s="9"/>
      <c r="FI1104" s="9"/>
      <c r="FJ1104" s="9"/>
      <c r="FK1104" s="9"/>
      <c r="FL1104" s="9"/>
      <c r="FM1104" s="9"/>
      <c r="FN1104" s="9"/>
      <c r="FO1104" s="9"/>
      <c r="FP1104" s="9"/>
    </row>
    <row r="1105" customFormat="false" ht="15" hidden="false" customHeight="false" outlineLevel="0" collapsed="false">
      <c r="B1105" s="9" t="s">
        <v>938</v>
      </c>
      <c r="C1105" s="9" t="n">
        <f aca="false">SUM(AC1011:AN1011)</f>
        <v>0</v>
      </c>
      <c r="D1105" s="9" t="n">
        <f aca="false">SUM(AO1011:AZ1011)</f>
        <v>0</v>
      </c>
      <c r="E1105" s="9" t="n">
        <f aca="false">SUM(BA1011:BL1011)</f>
        <v>0</v>
      </c>
      <c r="F1105" s="9" t="n">
        <f aca="false">SUM(BM1011:BX1011)</f>
        <v>0</v>
      </c>
      <c r="G1105" s="9" t="n">
        <f aca="false">SUM(BY1011:CJ1011)</f>
        <v>0</v>
      </c>
      <c r="H1105" s="9" t="n">
        <f aca="false">SUM(CK1011:CV1011)</f>
        <v>0</v>
      </c>
      <c r="I1105" s="9" t="n">
        <f aca="false">SUM(CW1011:DH1011)</f>
        <v>0</v>
      </c>
      <c r="J1105" s="9" t="n">
        <f aca="false">SUM(DI1011:DT1011)</f>
        <v>0</v>
      </c>
      <c r="K1105" s="9" t="n">
        <f aca="false">SUM(DU1011:EF1011)</f>
        <v>0</v>
      </c>
      <c r="L1105" s="9" t="n">
        <f aca="false">SUM(EG1011:ER1011)</f>
        <v>0</v>
      </c>
      <c r="M1105" s="9" t="n">
        <f aca="false">SUM(ES1011:FD1011)</f>
        <v>0</v>
      </c>
      <c r="N1105" s="9" t="n">
        <f aca="false">SUM(FE1011:FP1011)</f>
        <v>0</v>
      </c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  <c r="BF1105" s="9"/>
      <c r="BG1105" s="9"/>
      <c r="BH1105" s="9"/>
      <c r="BI1105" s="9"/>
      <c r="BJ1105" s="9"/>
      <c r="BK1105" s="9"/>
      <c r="BL1105" s="9"/>
      <c r="BM1105" s="9"/>
      <c r="BN1105" s="9"/>
      <c r="BO1105" s="9"/>
      <c r="BP1105" s="9"/>
      <c r="BQ1105" s="9"/>
      <c r="BR1105" s="9"/>
      <c r="BS1105" s="9"/>
      <c r="BT1105" s="9"/>
      <c r="BU1105" s="9"/>
      <c r="BV1105" s="9"/>
      <c r="BW1105" s="9"/>
      <c r="BX1105" s="9"/>
      <c r="BY1105" s="9"/>
      <c r="BZ1105" s="9"/>
      <c r="CA1105" s="9"/>
      <c r="CB1105" s="9"/>
      <c r="CC1105" s="9"/>
      <c r="CD1105" s="9"/>
      <c r="CE1105" s="9"/>
      <c r="CF1105" s="9"/>
      <c r="CG1105" s="9"/>
      <c r="CH1105" s="9"/>
      <c r="CI1105" s="9"/>
      <c r="CJ1105" s="9"/>
      <c r="CK1105" s="9"/>
      <c r="CL1105" s="9"/>
      <c r="CM1105" s="9"/>
      <c r="CN1105" s="9"/>
      <c r="CO1105" s="9"/>
      <c r="CP1105" s="9"/>
      <c r="CQ1105" s="9"/>
      <c r="CR1105" s="9"/>
      <c r="CS1105" s="9"/>
      <c r="CT1105" s="9"/>
      <c r="CU1105" s="9"/>
      <c r="CV1105" s="9"/>
      <c r="CW1105" s="9"/>
      <c r="CX1105" s="9"/>
      <c r="CY1105" s="9"/>
      <c r="CZ1105" s="9"/>
      <c r="DA1105" s="9"/>
      <c r="DB1105" s="9"/>
      <c r="DC1105" s="9"/>
      <c r="DD1105" s="9"/>
      <c r="DE1105" s="9"/>
      <c r="DF1105" s="9"/>
      <c r="DG1105" s="9"/>
      <c r="DH1105" s="9"/>
      <c r="DI1105" s="9"/>
      <c r="DJ1105" s="9"/>
      <c r="DK1105" s="9"/>
      <c r="DL1105" s="9"/>
      <c r="DM1105" s="9"/>
      <c r="DN1105" s="9"/>
      <c r="DO1105" s="9"/>
      <c r="DP1105" s="9"/>
      <c r="DQ1105" s="9"/>
      <c r="DR1105" s="9"/>
      <c r="DS1105" s="9"/>
      <c r="DT1105" s="9"/>
      <c r="DU1105" s="9"/>
      <c r="DV1105" s="9"/>
      <c r="DW1105" s="9"/>
      <c r="DX1105" s="9"/>
      <c r="DY1105" s="9"/>
      <c r="DZ1105" s="9"/>
      <c r="EA1105" s="9"/>
      <c r="EB1105" s="9"/>
      <c r="EC1105" s="9"/>
      <c r="ED1105" s="9"/>
      <c r="EE1105" s="9"/>
      <c r="EF1105" s="9"/>
      <c r="EG1105" s="9"/>
      <c r="EH1105" s="9"/>
      <c r="EI1105" s="9"/>
      <c r="EJ1105" s="9"/>
      <c r="EK1105" s="9"/>
      <c r="EL1105" s="9"/>
      <c r="EM1105" s="9"/>
      <c r="EN1105" s="9"/>
      <c r="EO1105" s="9"/>
      <c r="EP1105" s="9"/>
      <c r="EQ1105" s="9"/>
      <c r="ER1105" s="9"/>
      <c r="ES1105" s="9"/>
      <c r="ET1105" s="9"/>
      <c r="EU1105" s="9"/>
      <c r="EV1105" s="9"/>
      <c r="EW1105" s="9"/>
      <c r="EX1105" s="9"/>
      <c r="EY1105" s="9"/>
      <c r="EZ1105" s="9"/>
      <c r="FA1105" s="9"/>
      <c r="FB1105" s="9"/>
      <c r="FC1105" s="9"/>
      <c r="FD1105" s="9"/>
      <c r="FE1105" s="9"/>
      <c r="FF1105" s="9"/>
      <c r="FG1105" s="9"/>
      <c r="FH1105" s="9"/>
      <c r="FI1105" s="9"/>
      <c r="FJ1105" s="9"/>
      <c r="FK1105" s="9"/>
      <c r="FL1105" s="9"/>
      <c r="FM1105" s="9"/>
      <c r="FN1105" s="9"/>
      <c r="FO1105" s="9"/>
      <c r="FP1105" s="9"/>
    </row>
    <row r="1106" customFormat="false" ht="15" hidden="false" customHeight="false" outlineLevel="0" collapsed="false">
      <c r="B1106" s="9" t="s">
        <v>939</v>
      </c>
      <c r="C1106" s="9" t="n">
        <f aca="false">SUM(AC1012:AN1012)</f>
        <v>0</v>
      </c>
      <c r="D1106" s="9" t="n">
        <f aca="false">SUM(AO1012:AZ1012)</f>
        <v>0</v>
      </c>
      <c r="E1106" s="9" t="n">
        <f aca="false">SUM(BA1012:BL1012)</f>
        <v>0</v>
      </c>
      <c r="F1106" s="9" t="n">
        <f aca="false">SUM(BM1012:BX1012)</f>
        <v>0</v>
      </c>
      <c r="G1106" s="9" t="n">
        <f aca="false">SUM(BY1012:CJ1012)</f>
        <v>0</v>
      </c>
      <c r="H1106" s="9" t="n">
        <f aca="false">SUM(CK1012:CV1012)</f>
        <v>0</v>
      </c>
      <c r="I1106" s="9" t="n">
        <f aca="false">SUM(CW1012:DH1012)</f>
        <v>0</v>
      </c>
      <c r="J1106" s="9" t="n">
        <f aca="false">SUM(DI1012:DT1012)</f>
        <v>0</v>
      </c>
      <c r="K1106" s="9" t="n">
        <f aca="false">SUM(DU1012:EF1012)</f>
        <v>0</v>
      </c>
      <c r="L1106" s="9" t="n">
        <f aca="false">SUM(EG1012:ER1012)</f>
        <v>0</v>
      </c>
      <c r="M1106" s="9" t="n">
        <f aca="false">SUM(ES1012:FD1012)</f>
        <v>0</v>
      </c>
      <c r="N1106" s="9" t="n">
        <f aca="false">SUM(FE1012:FP1012)</f>
        <v>0</v>
      </c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  <c r="BF1106" s="9"/>
      <c r="BG1106" s="9"/>
      <c r="BH1106" s="9"/>
      <c r="BI1106" s="9"/>
      <c r="BJ1106" s="9"/>
      <c r="BK1106" s="9"/>
      <c r="BL1106" s="9"/>
      <c r="BM1106" s="9"/>
      <c r="BN1106" s="9"/>
      <c r="BO1106" s="9"/>
      <c r="BP1106" s="9"/>
      <c r="BQ1106" s="9"/>
      <c r="BR1106" s="9"/>
      <c r="BS1106" s="9"/>
      <c r="BT1106" s="9"/>
      <c r="BU1106" s="9"/>
      <c r="BV1106" s="9"/>
      <c r="BW1106" s="9"/>
      <c r="BX1106" s="9"/>
      <c r="BY1106" s="9"/>
      <c r="BZ1106" s="9"/>
      <c r="CA1106" s="9"/>
      <c r="CB1106" s="9"/>
      <c r="CC1106" s="9"/>
      <c r="CD1106" s="9"/>
      <c r="CE1106" s="9"/>
      <c r="CF1106" s="9"/>
      <c r="CG1106" s="9"/>
      <c r="CH1106" s="9"/>
      <c r="CI1106" s="9"/>
      <c r="CJ1106" s="9"/>
      <c r="CK1106" s="9"/>
      <c r="CL1106" s="9"/>
      <c r="CM1106" s="9"/>
      <c r="CN1106" s="9"/>
      <c r="CO1106" s="9"/>
      <c r="CP1106" s="9"/>
      <c r="CQ1106" s="9"/>
      <c r="CR1106" s="9"/>
      <c r="CS1106" s="9"/>
      <c r="CT1106" s="9"/>
      <c r="CU1106" s="9"/>
      <c r="CV1106" s="9"/>
      <c r="CW1106" s="9"/>
      <c r="CX1106" s="9"/>
      <c r="CY1106" s="9"/>
      <c r="CZ1106" s="9"/>
      <c r="DA1106" s="9"/>
      <c r="DB1106" s="9"/>
      <c r="DC1106" s="9"/>
      <c r="DD1106" s="9"/>
      <c r="DE1106" s="9"/>
      <c r="DF1106" s="9"/>
      <c r="DG1106" s="9"/>
      <c r="DH1106" s="9"/>
      <c r="DI1106" s="9"/>
      <c r="DJ1106" s="9"/>
      <c r="DK1106" s="9"/>
      <c r="DL1106" s="9"/>
      <c r="DM1106" s="9"/>
      <c r="DN1106" s="9"/>
      <c r="DO1106" s="9"/>
      <c r="DP1106" s="9"/>
      <c r="DQ1106" s="9"/>
      <c r="DR1106" s="9"/>
      <c r="DS1106" s="9"/>
      <c r="DT1106" s="9"/>
      <c r="DU1106" s="9"/>
      <c r="DV1106" s="9"/>
      <c r="DW1106" s="9"/>
      <c r="DX1106" s="9"/>
      <c r="DY1106" s="9"/>
      <c r="DZ1106" s="9"/>
      <c r="EA1106" s="9"/>
      <c r="EB1106" s="9"/>
      <c r="EC1106" s="9"/>
      <c r="ED1106" s="9"/>
      <c r="EE1106" s="9"/>
      <c r="EF1106" s="9"/>
      <c r="EG1106" s="9"/>
      <c r="EH1106" s="9"/>
      <c r="EI1106" s="9"/>
      <c r="EJ1106" s="9"/>
      <c r="EK1106" s="9"/>
      <c r="EL1106" s="9"/>
      <c r="EM1106" s="9"/>
      <c r="EN1106" s="9"/>
      <c r="EO1106" s="9"/>
      <c r="EP1106" s="9"/>
      <c r="EQ1106" s="9"/>
      <c r="ER1106" s="9"/>
      <c r="ES1106" s="9"/>
      <c r="ET1106" s="9"/>
      <c r="EU1106" s="9"/>
      <c r="EV1106" s="9"/>
      <c r="EW1106" s="9"/>
      <c r="EX1106" s="9"/>
      <c r="EY1106" s="9"/>
      <c r="EZ1106" s="9"/>
      <c r="FA1106" s="9"/>
      <c r="FB1106" s="9"/>
      <c r="FC1106" s="9"/>
      <c r="FD1106" s="9"/>
      <c r="FE1106" s="9"/>
      <c r="FF1106" s="9"/>
      <c r="FG1106" s="9"/>
      <c r="FH1106" s="9"/>
      <c r="FI1106" s="9"/>
      <c r="FJ1106" s="9"/>
      <c r="FK1106" s="9"/>
      <c r="FL1106" s="9"/>
      <c r="FM1106" s="9"/>
      <c r="FN1106" s="9"/>
      <c r="FO1106" s="9"/>
      <c r="FP1106" s="9"/>
    </row>
    <row r="1107" customFormat="false" ht="15" hidden="false" customHeight="false" outlineLevel="0" collapsed="false">
      <c r="B1107" s="9" t="s">
        <v>940</v>
      </c>
      <c r="C1107" s="9" t="n">
        <f aca="false">SUM(AC1013:AN1013)</f>
        <v>0</v>
      </c>
      <c r="D1107" s="9" t="n">
        <f aca="false">SUM(AO1013:AZ1013)</f>
        <v>0</v>
      </c>
      <c r="E1107" s="9" t="n">
        <f aca="false">SUM(BA1013:BL1013)</f>
        <v>0</v>
      </c>
      <c r="F1107" s="9" t="n">
        <f aca="false">SUM(BM1013:BX1013)</f>
        <v>0</v>
      </c>
      <c r="G1107" s="9" t="n">
        <f aca="false">SUM(BY1013:CJ1013)</f>
        <v>0</v>
      </c>
      <c r="H1107" s="9" t="n">
        <f aca="false">SUM(CK1013:CV1013)</f>
        <v>0</v>
      </c>
      <c r="I1107" s="9" t="n">
        <f aca="false">SUM(CW1013:DH1013)</f>
        <v>0</v>
      </c>
      <c r="J1107" s="9" t="n">
        <f aca="false">SUM(DI1013:DT1013)</f>
        <v>0</v>
      </c>
      <c r="K1107" s="9" t="n">
        <f aca="false">SUM(DU1013:EF1013)</f>
        <v>0</v>
      </c>
      <c r="L1107" s="9" t="n">
        <f aca="false">SUM(EG1013:ER1013)</f>
        <v>0</v>
      </c>
      <c r="M1107" s="9" t="n">
        <f aca="false">SUM(ES1013:FD1013)</f>
        <v>0</v>
      </c>
      <c r="N1107" s="9" t="n">
        <f aca="false">SUM(FE1013:FP1013)</f>
        <v>0</v>
      </c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  <c r="BF1107" s="9"/>
      <c r="BG1107" s="9"/>
      <c r="BH1107" s="9"/>
      <c r="BI1107" s="9"/>
      <c r="BJ1107" s="9"/>
      <c r="BK1107" s="9"/>
      <c r="BL1107" s="9"/>
      <c r="BM1107" s="9"/>
      <c r="BN1107" s="9"/>
      <c r="BO1107" s="9"/>
      <c r="BP1107" s="9"/>
      <c r="BQ1107" s="9"/>
      <c r="BR1107" s="9"/>
      <c r="BS1107" s="9"/>
      <c r="BT1107" s="9"/>
      <c r="BU1107" s="9"/>
      <c r="BV1107" s="9"/>
      <c r="BW1107" s="9"/>
      <c r="BX1107" s="9"/>
      <c r="BY1107" s="9"/>
      <c r="BZ1107" s="9"/>
      <c r="CA1107" s="9"/>
      <c r="CB1107" s="9"/>
      <c r="CC1107" s="9"/>
      <c r="CD1107" s="9"/>
      <c r="CE1107" s="9"/>
      <c r="CF1107" s="9"/>
      <c r="CG1107" s="9"/>
      <c r="CH1107" s="9"/>
      <c r="CI1107" s="9"/>
      <c r="CJ1107" s="9"/>
      <c r="CK1107" s="9"/>
      <c r="CL1107" s="9"/>
      <c r="CM1107" s="9"/>
      <c r="CN1107" s="9"/>
      <c r="CO1107" s="9"/>
      <c r="CP1107" s="9"/>
      <c r="CQ1107" s="9"/>
      <c r="CR1107" s="9"/>
      <c r="CS1107" s="9"/>
      <c r="CT1107" s="9"/>
      <c r="CU1107" s="9"/>
      <c r="CV1107" s="9"/>
      <c r="CW1107" s="9"/>
      <c r="CX1107" s="9"/>
      <c r="CY1107" s="9"/>
      <c r="CZ1107" s="9"/>
      <c r="DA1107" s="9"/>
      <c r="DB1107" s="9"/>
      <c r="DC1107" s="9"/>
      <c r="DD1107" s="9"/>
      <c r="DE1107" s="9"/>
      <c r="DF1107" s="9"/>
      <c r="DG1107" s="9"/>
      <c r="DH1107" s="9"/>
      <c r="DI1107" s="9"/>
      <c r="DJ1107" s="9"/>
      <c r="DK1107" s="9"/>
      <c r="DL1107" s="9"/>
      <c r="DM1107" s="9"/>
      <c r="DN1107" s="9"/>
      <c r="DO1107" s="9"/>
      <c r="DP1107" s="9"/>
      <c r="DQ1107" s="9"/>
      <c r="DR1107" s="9"/>
      <c r="DS1107" s="9"/>
      <c r="DT1107" s="9"/>
      <c r="DU1107" s="9"/>
      <c r="DV1107" s="9"/>
      <c r="DW1107" s="9"/>
      <c r="DX1107" s="9"/>
      <c r="DY1107" s="9"/>
      <c r="DZ1107" s="9"/>
      <c r="EA1107" s="9"/>
      <c r="EB1107" s="9"/>
      <c r="EC1107" s="9"/>
      <c r="ED1107" s="9"/>
      <c r="EE1107" s="9"/>
      <c r="EF1107" s="9"/>
      <c r="EG1107" s="9"/>
      <c r="EH1107" s="9"/>
      <c r="EI1107" s="9"/>
      <c r="EJ1107" s="9"/>
      <c r="EK1107" s="9"/>
      <c r="EL1107" s="9"/>
      <c r="EM1107" s="9"/>
      <c r="EN1107" s="9"/>
      <c r="EO1107" s="9"/>
      <c r="EP1107" s="9"/>
      <c r="EQ1107" s="9"/>
      <c r="ER1107" s="9"/>
      <c r="ES1107" s="9"/>
      <c r="ET1107" s="9"/>
      <c r="EU1107" s="9"/>
      <c r="EV1107" s="9"/>
      <c r="EW1107" s="9"/>
      <c r="EX1107" s="9"/>
      <c r="EY1107" s="9"/>
      <c r="EZ1107" s="9"/>
      <c r="FA1107" s="9"/>
      <c r="FB1107" s="9"/>
      <c r="FC1107" s="9"/>
      <c r="FD1107" s="9"/>
      <c r="FE1107" s="9"/>
      <c r="FF1107" s="9"/>
      <c r="FG1107" s="9"/>
      <c r="FH1107" s="9"/>
      <c r="FI1107" s="9"/>
      <c r="FJ1107" s="9"/>
      <c r="FK1107" s="9"/>
      <c r="FL1107" s="9"/>
      <c r="FM1107" s="9"/>
      <c r="FN1107" s="9"/>
      <c r="FO1107" s="9"/>
      <c r="FP1107" s="9"/>
    </row>
    <row r="1108" customFormat="false" ht="15" hidden="false" customHeight="false" outlineLevel="0" collapsed="false">
      <c r="B1108" s="9" t="s">
        <v>941</v>
      </c>
      <c r="C1108" s="121" t="n">
        <f aca="false">SUM(AC1014:AN1014)</f>
        <v>0</v>
      </c>
      <c r="D1108" s="9" t="n">
        <f aca="false">SUM(AO1014:AZ1014)</f>
        <v>0</v>
      </c>
      <c r="E1108" s="9" t="n">
        <f aca="false">SUM(BA1014:BL1014)</f>
        <v>0</v>
      </c>
      <c r="F1108" s="9" t="n">
        <f aca="false">SUM(BM1014:BX1014)</f>
        <v>0</v>
      </c>
      <c r="G1108" s="9" t="n">
        <f aca="false">SUM(BY1014:CJ1014)</f>
        <v>0</v>
      </c>
      <c r="H1108" s="9" t="n">
        <f aca="false">SUM(CK1014:CV1014)</f>
        <v>0</v>
      </c>
      <c r="I1108" s="9" t="n">
        <f aca="false">SUM(CW1014:DH1014)</f>
        <v>116262.9648928</v>
      </c>
      <c r="J1108" s="9" t="n">
        <f aca="false">SUM(DI1014:DT1014)</f>
        <v>272952.41165452</v>
      </c>
      <c r="K1108" s="9" t="n">
        <f aca="false">SUM(DU1014:EF1014)</f>
        <v>324000</v>
      </c>
      <c r="L1108" s="9" t="n">
        <f aca="false">SUM(EG1014:ER1014)</f>
        <v>324000</v>
      </c>
      <c r="M1108" s="9" t="n">
        <f aca="false">SUM(ES1014:FD1014)</f>
        <v>324000</v>
      </c>
      <c r="N1108" s="9" t="n">
        <f aca="false">SUM(FE1014:FP1014)</f>
        <v>324000</v>
      </c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  <c r="BF1108" s="9"/>
      <c r="BG1108" s="9"/>
      <c r="BH1108" s="9"/>
      <c r="BI1108" s="9"/>
      <c r="BJ1108" s="9"/>
      <c r="BK1108" s="9"/>
      <c r="BL1108" s="9"/>
      <c r="BM1108" s="9"/>
      <c r="BN1108" s="9"/>
      <c r="BO1108" s="9"/>
      <c r="BP1108" s="9"/>
      <c r="BQ1108" s="9"/>
      <c r="BR1108" s="9"/>
      <c r="BS1108" s="9"/>
      <c r="BT1108" s="9"/>
      <c r="BU1108" s="9"/>
      <c r="BV1108" s="9"/>
      <c r="BW1108" s="9"/>
      <c r="BX1108" s="9"/>
      <c r="BY1108" s="9"/>
      <c r="BZ1108" s="9"/>
      <c r="CA1108" s="9"/>
      <c r="CB1108" s="9"/>
      <c r="CC1108" s="9"/>
      <c r="CD1108" s="9"/>
      <c r="CE1108" s="9"/>
      <c r="CF1108" s="9"/>
      <c r="CG1108" s="9"/>
      <c r="CH1108" s="9"/>
      <c r="CI1108" s="9"/>
      <c r="CJ1108" s="9"/>
      <c r="CK1108" s="9"/>
      <c r="CL1108" s="9"/>
      <c r="CM1108" s="9"/>
      <c r="CN1108" s="9"/>
      <c r="CO1108" s="9"/>
      <c r="CP1108" s="9"/>
      <c r="CQ1108" s="9"/>
      <c r="CR1108" s="9"/>
      <c r="CS1108" s="9"/>
      <c r="CT1108" s="9"/>
      <c r="CU1108" s="9"/>
      <c r="CV1108" s="9"/>
      <c r="CW1108" s="9"/>
      <c r="CX1108" s="9"/>
      <c r="CY1108" s="9"/>
      <c r="CZ1108" s="9"/>
      <c r="DA1108" s="9"/>
      <c r="DB1108" s="9"/>
      <c r="DC1108" s="9"/>
      <c r="DD1108" s="9"/>
      <c r="DE1108" s="9"/>
      <c r="DF1108" s="9"/>
      <c r="DG1108" s="9"/>
      <c r="DH1108" s="9"/>
      <c r="DI1108" s="9"/>
      <c r="DJ1108" s="9"/>
      <c r="DK1108" s="9"/>
      <c r="DL1108" s="9"/>
      <c r="DM1108" s="9"/>
      <c r="DN1108" s="9"/>
      <c r="DO1108" s="9"/>
      <c r="DP1108" s="9"/>
      <c r="DQ1108" s="9"/>
      <c r="DR1108" s="9"/>
      <c r="DS1108" s="9"/>
      <c r="DT1108" s="9"/>
      <c r="DU1108" s="9"/>
      <c r="DV1108" s="9"/>
      <c r="DW1108" s="9"/>
      <c r="DX1108" s="9"/>
      <c r="DY1108" s="9"/>
      <c r="DZ1108" s="9"/>
      <c r="EA1108" s="9"/>
      <c r="EB1108" s="9"/>
      <c r="EC1108" s="9"/>
      <c r="ED1108" s="9"/>
      <c r="EE1108" s="9"/>
      <c r="EF1108" s="9"/>
      <c r="EG1108" s="9"/>
      <c r="EH1108" s="9"/>
      <c r="EI1108" s="9"/>
      <c r="EJ1108" s="9"/>
      <c r="EK1108" s="9"/>
      <c r="EL1108" s="9"/>
      <c r="EM1108" s="9"/>
      <c r="EN1108" s="9"/>
      <c r="EO1108" s="9"/>
      <c r="EP1108" s="9"/>
      <c r="EQ1108" s="9"/>
      <c r="ER1108" s="9"/>
      <c r="ES1108" s="9"/>
      <c r="ET1108" s="9"/>
      <c r="EU1108" s="9"/>
      <c r="EV1108" s="9"/>
      <c r="EW1108" s="9"/>
      <c r="EX1108" s="9"/>
      <c r="EY1108" s="9"/>
      <c r="EZ1108" s="9"/>
      <c r="FA1108" s="9"/>
      <c r="FB1108" s="9"/>
      <c r="FC1108" s="9"/>
      <c r="FD1108" s="9"/>
      <c r="FE1108" s="9"/>
      <c r="FF1108" s="9"/>
      <c r="FG1108" s="9"/>
      <c r="FH1108" s="9"/>
      <c r="FI1108" s="9"/>
      <c r="FJ1108" s="9"/>
      <c r="FK1108" s="9"/>
      <c r="FL1108" s="9"/>
      <c r="FM1108" s="9"/>
      <c r="FN1108" s="9"/>
      <c r="FO1108" s="9"/>
      <c r="FP1108" s="9"/>
    </row>
    <row r="1109" customFormat="false" ht="15" hidden="false" customHeight="false" outlineLevel="0" collapsed="false">
      <c r="B1109" s="9" t="s">
        <v>942</v>
      </c>
      <c r="C1109" s="121" t="n">
        <f aca="false">SUM(AC1015:AN1015)</f>
        <v>0</v>
      </c>
      <c r="D1109" s="9" t="n">
        <f aca="false">SUM(AO1015:AZ1015)</f>
        <v>0</v>
      </c>
      <c r="E1109" s="9" t="n">
        <f aca="false">SUM(BA1015:BL1015)</f>
        <v>0</v>
      </c>
      <c r="F1109" s="9" t="n">
        <f aca="false">SUM(BM1015:BX1015)</f>
        <v>0</v>
      </c>
      <c r="G1109" s="9" t="n">
        <f aca="false">SUM(BY1015:CJ1015)</f>
        <v>0</v>
      </c>
      <c r="H1109" s="9" t="n">
        <f aca="false">SUM(CK1015:CV1015)</f>
        <v>0</v>
      </c>
      <c r="I1109" s="9" t="n">
        <f aca="false">SUM(CW1015:DH1015)</f>
        <v>59841.848</v>
      </c>
      <c r="J1109" s="9" t="n">
        <f aca="false">SUM(DI1015:DT1015)</f>
        <v>162976.4452096</v>
      </c>
      <c r="K1109" s="9" t="n">
        <f aca="false">SUM(DU1015:EF1015)</f>
        <v>243750.38206296</v>
      </c>
      <c r="L1109" s="9" t="n">
        <f aca="false">SUM(EG1015:ER1015)</f>
        <v>275577.43848184</v>
      </c>
      <c r="M1109" s="9" t="n">
        <f aca="false">SUM(ES1015:FD1015)</f>
        <v>276000</v>
      </c>
      <c r="N1109" s="9" t="n">
        <f aca="false">SUM(FE1015:FP1015)</f>
        <v>276000</v>
      </c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  <c r="BF1109" s="9"/>
      <c r="BG1109" s="9"/>
      <c r="BH1109" s="9"/>
      <c r="BI1109" s="9"/>
      <c r="BJ1109" s="9"/>
      <c r="BK1109" s="9"/>
      <c r="BL1109" s="9"/>
      <c r="BM1109" s="9"/>
      <c r="BN1109" s="9"/>
      <c r="BO1109" s="9"/>
      <c r="BP1109" s="9"/>
      <c r="BQ1109" s="9"/>
      <c r="BR1109" s="9"/>
      <c r="BS1109" s="9"/>
      <c r="BT1109" s="9"/>
      <c r="BU1109" s="9"/>
      <c r="BV1109" s="9"/>
      <c r="BW1109" s="9"/>
      <c r="BX1109" s="9"/>
      <c r="BY1109" s="9"/>
      <c r="BZ1109" s="9"/>
      <c r="CA1109" s="9"/>
      <c r="CB1109" s="9"/>
      <c r="CC1109" s="9"/>
      <c r="CD1109" s="9"/>
      <c r="CE1109" s="9"/>
      <c r="CF1109" s="9"/>
      <c r="CG1109" s="9"/>
      <c r="CH1109" s="9"/>
      <c r="CI1109" s="9"/>
      <c r="CJ1109" s="9"/>
      <c r="CK1109" s="9"/>
      <c r="CL1109" s="9"/>
      <c r="CM1109" s="9"/>
      <c r="CN1109" s="9"/>
      <c r="CO1109" s="9"/>
      <c r="CP1109" s="9"/>
      <c r="CQ1109" s="9"/>
      <c r="CR1109" s="9"/>
      <c r="CS1109" s="9"/>
      <c r="CT1109" s="9"/>
      <c r="CU1109" s="9"/>
      <c r="CV1109" s="9"/>
      <c r="CW1109" s="9"/>
      <c r="CX1109" s="9"/>
      <c r="CY1109" s="9"/>
      <c r="CZ1109" s="9"/>
      <c r="DA1109" s="9"/>
      <c r="DB1109" s="9"/>
      <c r="DC1109" s="9"/>
      <c r="DD1109" s="9"/>
      <c r="DE1109" s="9"/>
      <c r="DF1109" s="9"/>
      <c r="DG1109" s="9"/>
      <c r="DH1109" s="9"/>
      <c r="DI1109" s="9"/>
      <c r="DJ1109" s="9"/>
      <c r="DK1109" s="9"/>
      <c r="DL1109" s="9"/>
      <c r="DM1109" s="9"/>
      <c r="DN1109" s="9"/>
      <c r="DO1109" s="9"/>
      <c r="DP1109" s="9"/>
      <c r="DQ1109" s="9"/>
      <c r="DR1109" s="9"/>
      <c r="DS1109" s="9"/>
      <c r="DT1109" s="9"/>
      <c r="DU1109" s="9"/>
      <c r="DV1109" s="9"/>
      <c r="DW1109" s="9"/>
      <c r="DX1109" s="9"/>
      <c r="DY1109" s="9"/>
      <c r="DZ1109" s="9"/>
      <c r="EA1109" s="9"/>
      <c r="EB1109" s="9"/>
      <c r="EC1109" s="9"/>
      <c r="ED1109" s="9"/>
      <c r="EE1109" s="9"/>
      <c r="EF1109" s="9"/>
      <c r="EG1109" s="9"/>
      <c r="EH1109" s="9"/>
      <c r="EI1109" s="9"/>
      <c r="EJ1109" s="9"/>
      <c r="EK1109" s="9"/>
      <c r="EL1109" s="9"/>
      <c r="EM1109" s="9"/>
      <c r="EN1109" s="9"/>
      <c r="EO1109" s="9"/>
      <c r="EP1109" s="9"/>
      <c r="EQ1109" s="9"/>
      <c r="ER1109" s="9"/>
      <c r="ES1109" s="9"/>
      <c r="ET1109" s="9"/>
      <c r="EU1109" s="9"/>
      <c r="EV1109" s="9"/>
      <c r="EW1109" s="9"/>
      <c r="EX1109" s="9"/>
      <c r="EY1109" s="9"/>
      <c r="EZ1109" s="9"/>
      <c r="FA1109" s="9"/>
      <c r="FB1109" s="9"/>
      <c r="FC1109" s="9"/>
      <c r="FD1109" s="9"/>
      <c r="FE1109" s="9"/>
      <c r="FF1109" s="9"/>
      <c r="FG1109" s="9"/>
      <c r="FH1109" s="9"/>
      <c r="FI1109" s="9"/>
      <c r="FJ1109" s="9"/>
      <c r="FK1109" s="9"/>
      <c r="FL1109" s="9"/>
      <c r="FM1109" s="9"/>
      <c r="FN1109" s="9"/>
      <c r="FO1109" s="9"/>
      <c r="FP1109" s="9"/>
    </row>
    <row r="1110" customFormat="false" ht="15" hidden="false" customHeight="false" outlineLevel="0" collapsed="false">
      <c r="B1110" s="9" t="s">
        <v>943</v>
      </c>
      <c r="C1110" s="121" t="n">
        <f aca="false">SUM(AC1016:AN1016)</f>
        <v>0</v>
      </c>
      <c r="D1110" s="9" t="n">
        <f aca="false">SUM(AO1016:AZ1016)</f>
        <v>0</v>
      </c>
      <c r="E1110" s="9" t="n">
        <f aca="false">SUM(BA1016:BL1016)</f>
        <v>0</v>
      </c>
      <c r="F1110" s="9" t="n">
        <f aca="false">SUM(BM1016:BX1016)</f>
        <v>0</v>
      </c>
      <c r="G1110" s="9" t="n">
        <f aca="false">SUM(BY1016:CJ1016)</f>
        <v>0</v>
      </c>
      <c r="H1110" s="9" t="n">
        <f aca="false">SUM(CK1016:CV1016)</f>
        <v>0</v>
      </c>
      <c r="I1110" s="9" t="n">
        <f aca="false">SUM(CW1016:DH1016)</f>
        <v>87324.7463008</v>
      </c>
      <c r="J1110" s="9" t="n">
        <f aca="false">SUM(DI1016:DT1016)</f>
        <v>249182.01176528</v>
      </c>
      <c r="K1110" s="9" t="n">
        <f aca="false">SUM(DU1016:EF1016)</f>
        <v>323495.16637564</v>
      </c>
      <c r="L1110" s="9" t="n">
        <f aca="false">SUM(EG1016:ER1016)</f>
        <v>324000</v>
      </c>
      <c r="M1110" s="9" t="n">
        <f aca="false">SUM(ES1016:FD1016)</f>
        <v>324000</v>
      </c>
      <c r="N1110" s="9" t="n">
        <f aca="false">SUM(FE1016:FP1016)</f>
        <v>324000</v>
      </c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  <c r="BF1110" s="9"/>
      <c r="BG1110" s="9"/>
      <c r="BH1110" s="9"/>
      <c r="BI1110" s="9"/>
      <c r="BJ1110" s="9"/>
      <c r="BK1110" s="9"/>
      <c r="BL1110" s="9"/>
      <c r="BM1110" s="9"/>
      <c r="BN1110" s="9"/>
      <c r="BO1110" s="9"/>
      <c r="BP1110" s="9"/>
      <c r="BQ1110" s="9"/>
      <c r="BR1110" s="9"/>
      <c r="BS1110" s="9"/>
      <c r="BT1110" s="9"/>
      <c r="BU1110" s="9"/>
      <c r="BV1110" s="9"/>
      <c r="BW1110" s="9"/>
      <c r="BX1110" s="9"/>
      <c r="BY1110" s="9"/>
      <c r="BZ1110" s="9"/>
      <c r="CA1110" s="9"/>
      <c r="CB1110" s="9"/>
      <c r="CC1110" s="9"/>
      <c r="CD1110" s="9"/>
      <c r="CE1110" s="9"/>
      <c r="CF1110" s="9"/>
      <c r="CG1110" s="9"/>
      <c r="CH1110" s="9"/>
      <c r="CI1110" s="9"/>
      <c r="CJ1110" s="9"/>
      <c r="CK1110" s="9"/>
      <c r="CL1110" s="9"/>
      <c r="CM1110" s="9"/>
      <c r="CN1110" s="9"/>
      <c r="CO1110" s="9"/>
      <c r="CP1110" s="9"/>
      <c r="CQ1110" s="9"/>
      <c r="CR1110" s="9"/>
      <c r="CS1110" s="9"/>
      <c r="CT1110" s="9"/>
      <c r="CU1110" s="9"/>
      <c r="CV1110" s="9"/>
      <c r="CW1110" s="9"/>
      <c r="CX1110" s="9"/>
      <c r="CY1110" s="9"/>
      <c r="CZ1110" s="9"/>
      <c r="DA1110" s="9"/>
      <c r="DB1110" s="9"/>
      <c r="DC1110" s="9"/>
      <c r="DD1110" s="9"/>
      <c r="DE1110" s="9"/>
      <c r="DF1110" s="9"/>
      <c r="DG1110" s="9"/>
      <c r="DH1110" s="9"/>
      <c r="DI1110" s="9"/>
      <c r="DJ1110" s="9"/>
      <c r="DK1110" s="9"/>
      <c r="DL1110" s="9"/>
      <c r="DM1110" s="9"/>
      <c r="DN1110" s="9"/>
      <c r="DO1110" s="9"/>
      <c r="DP1110" s="9"/>
      <c r="DQ1110" s="9"/>
      <c r="DR1110" s="9"/>
      <c r="DS1110" s="9"/>
      <c r="DT1110" s="9"/>
      <c r="DU1110" s="9"/>
      <c r="DV1110" s="9"/>
      <c r="DW1110" s="9"/>
      <c r="DX1110" s="9"/>
      <c r="DY1110" s="9"/>
      <c r="DZ1110" s="9"/>
      <c r="EA1110" s="9"/>
      <c r="EB1110" s="9"/>
      <c r="EC1110" s="9"/>
      <c r="ED1110" s="9"/>
      <c r="EE1110" s="9"/>
      <c r="EF1110" s="9"/>
      <c r="EG1110" s="9"/>
      <c r="EH1110" s="9"/>
      <c r="EI1110" s="9"/>
      <c r="EJ1110" s="9"/>
      <c r="EK1110" s="9"/>
      <c r="EL1110" s="9"/>
      <c r="EM1110" s="9"/>
      <c r="EN1110" s="9"/>
      <c r="EO1110" s="9"/>
      <c r="EP1110" s="9"/>
      <c r="EQ1110" s="9"/>
      <c r="ER1110" s="9"/>
      <c r="ES1110" s="9"/>
      <c r="ET1110" s="9"/>
      <c r="EU1110" s="9"/>
      <c r="EV1110" s="9"/>
      <c r="EW1110" s="9"/>
      <c r="EX1110" s="9"/>
      <c r="EY1110" s="9"/>
      <c r="EZ1110" s="9"/>
      <c r="FA1110" s="9"/>
      <c r="FB1110" s="9"/>
      <c r="FC1110" s="9"/>
      <c r="FD1110" s="9"/>
      <c r="FE1110" s="9"/>
      <c r="FF1110" s="9"/>
      <c r="FG1110" s="9"/>
      <c r="FH1110" s="9"/>
      <c r="FI1110" s="9"/>
      <c r="FJ1110" s="9"/>
      <c r="FK1110" s="9"/>
      <c r="FL1110" s="9"/>
      <c r="FM1110" s="9"/>
      <c r="FN1110" s="9"/>
      <c r="FO1110" s="9"/>
      <c r="FP1110" s="9"/>
    </row>
    <row r="1111" customFormat="false" ht="15" hidden="false" customHeight="false" outlineLevel="0" collapsed="false">
      <c r="B1111" s="9" t="s">
        <v>944</v>
      </c>
      <c r="C1111" s="121" t="n">
        <f aca="false">SUM(AC1017:AN1017)</f>
        <v>0</v>
      </c>
      <c r="D1111" s="9" t="n">
        <f aca="false">SUM(AO1017:AZ1017)</f>
        <v>0</v>
      </c>
      <c r="E1111" s="9" t="n">
        <f aca="false">SUM(BA1017:BL1017)</f>
        <v>0</v>
      </c>
      <c r="F1111" s="9" t="n">
        <f aca="false">SUM(BM1017:BX1017)</f>
        <v>0</v>
      </c>
      <c r="G1111" s="9" t="n">
        <f aca="false">SUM(BY1017:CJ1017)</f>
        <v>0</v>
      </c>
      <c r="H1111" s="9" t="n">
        <f aca="false">SUM(CK1017:CV1017)</f>
        <v>0</v>
      </c>
      <c r="I1111" s="9" t="n">
        <f aca="false">SUM(CW1017:DH1017)</f>
        <v>83501.7500352</v>
      </c>
      <c r="J1111" s="9" t="n">
        <f aca="false">SUM(DI1017:DT1017)</f>
        <v>276585.6872072</v>
      </c>
      <c r="K1111" s="9" t="n">
        <f aca="false">SUM(DU1017:EF1017)</f>
        <v>407132.86053888</v>
      </c>
      <c r="L1111" s="9" t="n">
        <f aca="false">SUM(EG1017:ER1017)</f>
        <v>420000</v>
      </c>
      <c r="M1111" s="9" t="n">
        <f aca="false">SUM(ES1017:FD1017)</f>
        <v>420000</v>
      </c>
      <c r="N1111" s="9" t="n">
        <f aca="false">SUM(FE1017:FP1017)</f>
        <v>420000</v>
      </c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  <c r="BF1111" s="9"/>
      <c r="BG1111" s="9"/>
      <c r="BH1111" s="9"/>
      <c r="BI1111" s="9"/>
      <c r="BJ1111" s="9"/>
      <c r="BK1111" s="9"/>
      <c r="BL1111" s="9"/>
      <c r="BM1111" s="9"/>
      <c r="BN1111" s="9"/>
      <c r="BO1111" s="9"/>
      <c r="BP1111" s="9"/>
      <c r="BQ1111" s="9"/>
      <c r="BR1111" s="9"/>
      <c r="BS1111" s="9"/>
      <c r="BT1111" s="9"/>
      <c r="BU1111" s="9"/>
      <c r="BV1111" s="9"/>
      <c r="BW1111" s="9"/>
      <c r="BX1111" s="9"/>
      <c r="BY1111" s="9"/>
      <c r="BZ1111" s="9"/>
      <c r="CA1111" s="9"/>
      <c r="CB1111" s="9"/>
      <c r="CC1111" s="9"/>
      <c r="CD1111" s="9"/>
      <c r="CE1111" s="9"/>
      <c r="CF1111" s="9"/>
      <c r="CG1111" s="9"/>
      <c r="CH1111" s="9"/>
      <c r="CI1111" s="9"/>
      <c r="CJ1111" s="9"/>
      <c r="CK1111" s="9"/>
      <c r="CL1111" s="9"/>
      <c r="CM1111" s="9"/>
      <c r="CN1111" s="9"/>
      <c r="CO1111" s="9"/>
      <c r="CP1111" s="9"/>
      <c r="CQ1111" s="9"/>
      <c r="CR1111" s="9"/>
      <c r="CS1111" s="9"/>
      <c r="CT1111" s="9"/>
      <c r="CU1111" s="9"/>
      <c r="CV1111" s="9"/>
      <c r="CW1111" s="9"/>
      <c r="CX1111" s="9"/>
      <c r="CY1111" s="9"/>
      <c r="CZ1111" s="9"/>
      <c r="DA1111" s="9"/>
      <c r="DB1111" s="9"/>
      <c r="DC1111" s="9"/>
      <c r="DD1111" s="9"/>
      <c r="DE1111" s="9"/>
      <c r="DF1111" s="9"/>
      <c r="DG1111" s="9"/>
      <c r="DH1111" s="9"/>
      <c r="DI1111" s="9"/>
      <c r="DJ1111" s="9"/>
      <c r="DK1111" s="9"/>
      <c r="DL1111" s="9"/>
      <c r="DM1111" s="9"/>
      <c r="DN1111" s="9"/>
      <c r="DO1111" s="9"/>
      <c r="DP1111" s="9"/>
      <c r="DQ1111" s="9"/>
      <c r="DR1111" s="9"/>
      <c r="DS1111" s="9"/>
      <c r="DT1111" s="9"/>
      <c r="DU1111" s="9"/>
      <c r="DV1111" s="9"/>
      <c r="DW1111" s="9"/>
      <c r="DX1111" s="9"/>
      <c r="DY1111" s="9"/>
      <c r="DZ1111" s="9"/>
      <c r="EA1111" s="9"/>
      <c r="EB1111" s="9"/>
      <c r="EC1111" s="9"/>
      <c r="ED1111" s="9"/>
      <c r="EE1111" s="9"/>
      <c r="EF1111" s="9"/>
      <c r="EG1111" s="9"/>
      <c r="EH1111" s="9"/>
      <c r="EI1111" s="9"/>
      <c r="EJ1111" s="9"/>
      <c r="EK1111" s="9"/>
      <c r="EL1111" s="9"/>
      <c r="EM1111" s="9"/>
      <c r="EN1111" s="9"/>
      <c r="EO1111" s="9"/>
      <c r="EP1111" s="9"/>
      <c r="EQ1111" s="9"/>
      <c r="ER1111" s="9"/>
      <c r="ES1111" s="9"/>
      <c r="ET1111" s="9"/>
      <c r="EU1111" s="9"/>
      <c r="EV1111" s="9"/>
      <c r="EW1111" s="9"/>
      <c r="EX1111" s="9"/>
      <c r="EY1111" s="9"/>
      <c r="EZ1111" s="9"/>
      <c r="FA1111" s="9"/>
      <c r="FB1111" s="9"/>
      <c r="FC1111" s="9"/>
      <c r="FD1111" s="9"/>
      <c r="FE1111" s="9"/>
      <c r="FF1111" s="9"/>
      <c r="FG1111" s="9"/>
      <c r="FH1111" s="9"/>
      <c r="FI1111" s="9"/>
      <c r="FJ1111" s="9"/>
      <c r="FK1111" s="9"/>
      <c r="FL1111" s="9"/>
      <c r="FM1111" s="9"/>
      <c r="FN1111" s="9"/>
      <c r="FO1111" s="9"/>
      <c r="FP1111" s="9"/>
    </row>
    <row r="1112" customFormat="false" ht="15" hidden="false" customHeight="false" outlineLevel="0" collapsed="false">
      <c r="B1112" s="9" t="s">
        <v>945</v>
      </c>
      <c r="C1112" s="121" t="n">
        <f aca="false">SUM(AC1018:AN1018)</f>
        <v>0</v>
      </c>
      <c r="D1112" s="9" t="n">
        <f aca="false">SUM(AO1018:AZ1018)</f>
        <v>0</v>
      </c>
      <c r="E1112" s="9" t="n">
        <f aca="false">SUM(BA1018:BL1018)</f>
        <v>0</v>
      </c>
      <c r="F1112" s="9" t="n">
        <f aca="false">SUM(BM1018:BX1018)</f>
        <v>0</v>
      </c>
      <c r="G1112" s="9" t="n">
        <f aca="false">SUM(BY1018:CJ1018)</f>
        <v>0</v>
      </c>
      <c r="H1112" s="9" t="n">
        <f aca="false">SUM(CK1018:CV1018)</f>
        <v>0</v>
      </c>
      <c r="I1112" s="9" t="n">
        <f aca="false">SUM(CW1018:DH1018)</f>
        <v>60944.3245072</v>
      </c>
      <c r="J1112" s="9" t="n">
        <f aca="false">SUM(DI1018:DT1018)</f>
        <v>226327.12196064</v>
      </c>
      <c r="K1112" s="9" t="n">
        <f aca="false">SUM(DU1018:EF1018)</f>
        <v>321519.40222236</v>
      </c>
      <c r="L1112" s="9" t="n">
        <f aca="false">SUM(EG1018:ER1018)</f>
        <v>324000</v>
      </c>
      <c r="M1112" s="9" t="n">
        <f aca="false">SUM(ES1018:FD1018)</f>
        <v>324000</v>
      </c>
      <c r="N1112" s="9" t="n">
        <f aca="false">SUM(FE1018:FP1018)</f>
        <v>324000</v>
      </c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  <c r="BF1112" s="9"/>
      <c r="BG1112" s="9"/>
      <c r="BH1112" s="9"/>
      <c r="BI1112" s="9"/>
      <c r="BJ1112" s="9"/>
      <c r="BK1112" s="9"/>
      <c r="BL1112" s="9"/>
      <c r="BM1112" s="9"/>
      <c r="BN1112" s="9"/>
      <c r="BO1112" s="9"/>
      <c r="BP1112" s="9"/>
      <c r="BQ1112" s="9"/>
      <c r="BR1112" s="9"/>
      <c r="BS1112" s="9"/>
      <c r="BT1112" s="9"/>
      <c r="BU1112" s="9"/>
      <c r="BV1112" s="9"/>
      <c r="BW1112" s="9"/>
      <c r="BX1112" s="9"/>
      <c r="BY1112" s="9"/>
      <c r="BZ1112" s="9"/>
      <c r="CA1112" s="9"/>
      <c r="CB1112" s="9"/>
      <c r="CC1112" s="9"/>
      <c r="CD1112" s="9"/>
      <c r="CE1112" s="9"/>
      <c r="CF1112" s="9"/>
      <c r="CG1112" s="9"/>
      <c r="CH1112" s="9"/>
      <c r="CI1112" s="9"/>
      <c r="CJ1112" s="9"/>
      <c r="CK1112" s="9"/>
      <c r="CL1112" s="9"/>
      <c r="CM1112" s="9"/>
      <c r="CN1112" s="9"/>
      <c r="CO1112" s="9"/>
      <c r="CP1112" s="9"/>
      <c r="CQ1112" s="9"/>
      <c r="CR1112" s="9"/>
      <c r="CS1112" s="9"/>
      <c r="CT1112" s="9"/>
      <c r="CU1112" s="9"/>
      <c r="CV1112" s="9"/>
      <c r="CW1112" s="9"/>
      <c r="CX1112" s="9"/>
      <c r="CY1112" s="9"/>
      <c r="CZ1112" s="9"/>
      <c r="DA1112" s="9"/>
      <c r="DB1112" s="9"/>
      <c r="DC1112" s="9"/>
      <c r="DD1112" s="9"/>
      <c r="DE1112" s="9"/>
      <c r="DF1112" s="9"/>
      <c r="DG1112" s="9"/>
      <c r="DH1112" s="9"/>
      <c r="DI1112" s="9"/>
      <c r="DJ1112" s="9"/>
      <c r="DK1112" s="9"/>
      <c r="DL1112" s="9"/>
      <c r="DM1112" s="9"/>
      <c r="DN1112" s="9"/>
      <c r="DO1112" s="9"/>
      <c r="DP1112" s="9"/>
      <c r="DQ1112" s="9"/>
      <c r="DR1112" s="9"/>
      <c r="DS1112" s="9"/>
      <c r="DT1112" s="9"/>
      <c r="DU1112" s="9"/>
      <c r="DV1112" s="9"/>
      <c r="DW1112" s="9"/>
      <c r="DX1112" s="9"/>
      <c r="DY1112" s="9"/>
      <c r="DZ1112" s="9"/>
      <c r="EA1112" s="9"/>
      <c r="EB1112" s="9"/>
      <c r="EC1112" s="9"/>
      <c r="ED1112" s="9"/>
      <c r="EE1112" s="9"/>
      <c r="EF1112" s="9"/>
      <c r="EG1112" s="9"/>
      <c r="EH1112" s="9"/>
      <c r="EI1112" s="9"/>
      <c r="EJ1112" s="9"/>
      <c r="EK1112" s="9"/>
      <c r="EL1112" s="9"/>
      <c r="EM1112" s="9"/>
      <c r="EN1112" s="9"/>
      <c r="EO1112" s="9"/>
      <c r="EP1112" s="9"/>
      <c r="EQ1112" s="9"/>
      <c r="ER1112" s="9"/>
      <c r="ES1112" s="9"/>
      <c r="ET1112" s="9"/>
      <c r="EU1112" s="9"/>
      <c r="EV1112" s="9"/>
      <c r="EW1112" s="9"/>
      <c r="EX1112" s="9"/>
      <c r="EY1112" s="9"/>
      <c r="EZ1112" s="9"/>
      <c r="FA1112" s="9"/>
      <c r="FB1112" s="9"/>
      <c r="FC1112" s="9"/>
      <c r="FD1112" s="9"/>
      <c r="FE1112" s="9"/>
      <c r="FF1112" s="9"/>
      <c r="FG1112" s="9"/>
      <c r="FH1112" s="9"/>
      <c r="FI1112" s="9"/>
      <c r="FJ1112" s="9"/>
      <c r="FK1112" s="9"/>
      <c r="FL1112" s="9"/>
      <c r="FM1112" s="9"/>
      <c r="FN1112" s="9"/>
      <c r="FO1112" s="9"/>
      <c r="FP1112" s="9"/>
    </row>
    <row r="1113" customFormat="false" ht="15" hidden="false" customHeight="false" outlineLevel="0" collapsed="false">
      <c r="B1113" s="9" t="s">
        <v>946</v>
      </c>
      <c r="C1113" s="121" t="n">
        <f aca="false">SUM(AC1019:AN1019)</f>
        <v>0</v>
      </c>
      <c r="D1113" s="9" t="n">
        <f aca="false">SUM(AO1019:AZ1019)</f>
        <v>0</v>
      </c>
      <c r="E1113" s="9" t="n">
        <f aca="false">SUM(BA1019:BL1019)</f>
        <v>0</v>
      </c>
      <c r="F1113" s="9" t="n">
        <f aca="false">SUM(BM1019:BX1019)</f>
        <v>0</v>
      </c>
      <c r="G1113" s="9" t="n">
        <f aca="false">SUM(BY1019:CJ1019)</f>
        <v>0</v>
      </c>
      <c r="H1113" s="9" t="n">
        <f aca="false">SUM(CK1019:CV1019)</f>
        <v>0</v>
      </c>
      <c r="I1113" s="9" t="n">
        <f aca="false">SUM(CW1019:DH1019)</f>
        <v>0</v>
      </c>
      <c r="J1113" s="9" t="n">
        <f aca="false">SUM(DI1019:DT1019)</f>
        <v>0</v>
      </c>
      <c r="K1113" s="9" t="n">
        <f aca="false">SUM(DU1019:EF1019)</f>
        <v>0</v>
      </c>
      <c r="L1113" s="9" t="n">
        <f aca="false">SUM(EG1019:ER1019)</f>
        <v>0</v>
      </c>
      <c r="M1113" s="9" t="n">
        <f aca="false">SUM(ES1019:FD1019)</f>
        <v>30047.1740448</v>
      </c>
      <c r="N1113" s="9" t="n">
        <f aca="false">SUM(FE1019:FP1019)</f>
        <v>126124.19177952</v>
      </c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  <c r="BF1113" s="9"/>
      <c r="BG1113" s="9"/>
      <c r="BH1113" s="9"/>
      <c r="BI1113" s="9"/>
      <c r="BJ1113" s="9"/>
      <c r="BK1113" s="9"/>
      <c r="BL1113" s="9"/>
      <c r="BM1113" s="9"/>
      <c r="BN1113" s="9"/>
      <c r="BO1113" s="9"/>
      <c r="BP1113" s="9"/>
      <c r="BQ1113" s="9"/>
      <c r="BR1113" s="9"/>
      <c r="BS1113" s="9"/>
      <c r="BT1113" s="9"/>
      <c r="BU1113" s="9"/>
      <c r="BV1113" s="9"/>
      <c r="BW1113" s="9"/>
      <c r="BX1113" s="9"/>
      <c r="BY1113" s="9"/>
      <c r="BZ1113" s="9"/>
      <c r="CA1113" s="9"/>
      <c r="CB1113" s="9"/>
      <c r="CC1113" s="9"/>
      <c r="CD1113" s="9"/>
      <c r="CE1113" s="9"/>
      <c r="CF1113" s="9"/>
      <c r="CG1113" s="9"/>
      <c r="CH1113" s="9"/>
      <c r="CI1113" s="9"/>
      <c r="CJ1113" s="9"/>
      <c r="CK1113" s="9"/>
      <c r="CL1113" s="9"/>
      <c r="CM1113" s="9"/>
      <c r="CN1113" s="9"/>
      <c r="CO1113" s="9"/>
      <c r="CP1113" s="9"/>
      <c r="CQ1113" s="9"/>
      <c r="CR1113" s="9"/>
      <c r="CS1113" s="9"/>
      <c r="CT1113" s="9"/>
      <c r="CU1113" s="9"/>
      <c r="CV1113" s="9"/>
      <c r="CW1113" s="9"/>
      <c r="CX1113" s="9"/>
      <c r="CY1113" s="9"/>
      <c r="CZ1113" s="9"/>
      <c r="DA1113" s="9"/>
      <c r="DB1113" s="9"/>
      <c r="DC1113" s="9"/>
      <c r="DD1113" s="9"/>
      <c r="DE1113" s="9"/>
      <c r="DF1113" s="9"/>
      <c r="DG1113" s="9"/>
      <c r="DH1113" s="9"/>
      <c r="DI1113" s="9"/>
      <c r="DJ1113" s="9"/>
      <c r="DK1113" s="9"/>
      <c r="DL1113" s="9"/>
      <c r="DM1113" s="9"/>
      <c r="DN1113" s="9"/>
      <c r="DO1113" s="9"/>
      <c r="DP1113" s="9"/>
      <c r="DQ1113" s="9"/>
      <c r="DR1113" s="9"/>
      <c r="DS1113" s="9"/>
      <c r="DT1113" s="9"/>
      <c r="DU1113" s="9"/>
      <c r="DV1113" s="9"/>
      <c r="DW1113" s="9"/>
      <c r="DX1113" s="9"/>
      <c r="DY1113" s="9"/>
      <c r="DZ1113" s="9"/>
      <c r="EA1113" s="9"/>
      <c r="EB1113" s="9"/>
      <c r="EC1113" s="9"/>
      <c r="ED1113" s="9"/>
      <c r="EE1113" s="9"/>
      <c r="EF1113" s="9"/>
      <c r="EG1113" s="9"/>
      <c r="EH1113" s="9"/>
      <c r="EI1113" s="9"/>
      <c r="EJ1113" s="9"/>
      <c r="EK1113" s="9"/>
      <c r="EL1113" s="9"/>
      <c r="EM1113" s="9"/>
      <c r="EN1113" s="9"/>
      <c r="EO1113" s="9"/>
      <c r="EP1113" s="9"/>
      <c r="EQ1113" s="9"/>
      <c r="ER1113" s="9"/>
      <c r="ES1113" s="9"/>
      <c r="ET1113" s="9"/>
      <c r="EU1113" s="9"/>
      <c r="EV1113" s="9"/>
      <c r="EW1113" s="9"/>
      <c r="EX1113" s="9"/>
      <c r="EY1113" s="9"/>
      <c r="EZ1113" s="9"/>
      <c r="FA1113" s="9"/>
      <c r="FB1113" s="9"/>
      <c r="FC1113" s="9"/>
      <c r="FD1113" s="9"/>
      <c r="FE1113" s="9"/>
      <c r="FF1113" s="9"/>
      <c r="FG1113" s="9"/>
      <c r="FH1113" s="9"/>
      <c r="FI1113" s="9"/>
      <c r="FJ1113" s="9"/>
      <c r="FK1113" s="9"/>
      <c r="FL1113" s="9"/>
      <c r="FM1113" s="9"/>
      <c r="FN1113" s="9"/>
      <c r="FO1113" s="9"/>
      <c r="FP1113" s="9"/>
    </row>
    <row r="1114" customFormat="false" ht="15" hidden="false" customHeight="false" outlineLevel="0" collapsed="false">
      <c r="B1114" s="9" t="s">
        <v>947</v>
      </c>
      <c r="C1114" s="121" t="n">
        <f aca="false">SUM(AC1020:AN1020)</f>
        <v>0</v>
      </c>
      <c r="D1114" s="9" t="n">
        <f aca="false">SUM(AO1020:AZ1020)</f>
        <v>0</v>
      </c>
      <c r="E1114" s="9" t="n">
        <f aca="false">SUM(BA1020:BL1020)</f>
        <v>0</v>
      </c>
      <c r="F1114" s="9" t="n">
        <f aca="false">SUM(BM1020:BX1020)</f>
        <v>0</v>
      </c>
      <c r="G1114" s="9" t="n">
        <f aca="false">SUM(BY1020:CJ1020)</f>
        <v>0</v>
      </c>
      <c r="H1114" s="9" t="n">
        <f aca="false">SUM(CK1020:CV1020)</f>
        <v>0</v>
      </c>
      <c r="I1114" s="9" t="n">
        <f aca="false">SUM(CW1020:DH1020)</f>
        <v>0</v>
      </c>
      <c r="J1114" s="9" t="n">
        <f aca="false">SUM(DI1020:DT1020)</f>
        <v>0</v>
      </c>
      <c r="K1114" s="9" t="n">
        <f aca="false">SUM(DU1020:EF1020)</f>
        <v>0</v>
      </c>
      <c r="L1114" s="9" t="n">
        <f aca="false">SUM(EG1020:ER1020)</f>
        <v>0</v>
      </c>
      <c r="M1114" s="9" t="n">
        <f aca="false">SUM(ES1020:FD1020)</f>
        <v>41840.8317744</v>
      </c>
      <c r="N1114" s="9" t="n">
        <f aca="false">SUM(FE1020:FP1020)</f>
        <v>196418.61663776</v>
      </c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  <c r="BF1114" s="9"/>
      <c r="BG1114" s="9"/>
      <c r="BH1114" s="9"/>
      <c r="BI1114" s="9"/>
      <c r="BJ1114" s="9"/>
      <c r="BK1114" s="9"/>
      <c r="BL1114" s="9"/>
      <c r="BM1114" s="9"/>
      <c r="BN1114" s="9"/>
      <c r="BO1114" s="9"/>
      <c r="BP1114" s="9"/>
      <c r="BQ1114" s="9"/>
      <c r="BR1114" s="9"/>
      <c r="BS1114" s="9"/>
      <c r="BT1114" s="9"/>
      <c r="BU1114" s="9"/>
      <c r="BV1114" s="9"/>
      <c r="BW1114" s="9"/>
      <c r="BX1114" s="9"/>
      <c r="BY1114" s="9"/>
      <c r="BZ1114" s="9"/>
      <c r="CA1114" s="9"/>
      <c r="CB1114" s="9"/>
      <c r="CC1114" s="9"/>
      <c r="CD1114" s="9"/>
      <c r="CE1114" s="9"/>
      <c r="CF1114" s="9"/>
      <c r="CG1114" s="9"/>
      <c r="CH1114" s="9"/>
      <c r="CI1114" s="9"/>
      <c r="CJ1114" s="9"/>
      <c r="CK1114" s="9"/>
      <c r="CL1114" s="9"/>
      <c r="CM1114" s="9"/>
      <c r="CN1114" s="9"/>
      <c r="CO1114" s="9"/>
      <c r="CP1114" s="9"/>
      <c r="CQ1114" s="9"/>
      <c r="CR1114" s="9"/>
      <c r="CS1114" s="9"/>
      <c r="CT1114" s="9"/>
      <c r="CU1114" s="9"/>
      <c r="CV1114" s="9"/>
      <c r="CW1114" s="9"/>
      <c r="CX1114" s="9"/>
      <c r="CY1114" s="9"/>
      <c r="CZ1114" s="9"/>
      <c r="DA1114" s="9"/>
      <c r="DB1114" s="9"/>
      <c r="DC1114" s="9"/>
      <c r="DD1114" s="9"/>
      <c r="DE1114" s="9"/>
      <c r="DF1114" s="9"/>
      <c r="DG1114" s="9"/>
      <c r="DH1114" s="9"/>
      <c r="DI1114" s="9"/>
      <c r="DJ1114" s="9"/>
      <c r="DK1114" s="9"/>
      <c r="DL1114" s="9"/>
      <c r="DM1114" s="9"/>
      <c r="DN1114" s="9"/>
      <c r="DO1114" s="9"/>
      <c r="DP1114" s="9"/>
      <c r="DQ1114" s="9"/>
      <c r="DR1114" s="9"/>
      <c r="DS1114" s="9"/>
      <c r="DT1114" s="9"/>
      <c r="DU1114" s="9"/>
      <c r="DV1114" s="9"/>
      <c r="DW1114" s="9"/>
      <c r="DX1114" s="9"/>
      <c r="DY1114" s="9"/>
      <c r="DZ1114" s="9"/>
      <c r="EA1114" s="9"/>
      <c r="EB1114" s="9"/>
      <c r="EC1114" s="9"/>
      <c r="ED1114" s="9"/>
      <c r="EE1114" s="9"/>
      <c r="EF1114" s="9"/>
      <c r="EG1114" s="9"/>
      <c r="EH1114" s="9"/>
      <c r="EI1114" s="9"/>
      <c r="EJ1114" s="9"/>
      <c r="EK1114" s="9"/>
      <c r="EL1114" s="9"/>
      <c r="EM1114" s="9"/>
      <c r="EN1114" s="9"/>
      <c r="EO1114" s="9"/>
      <c r="EP1114" s="9"/>
      <c r="EQ1114" s="9"/>
      <c r="ER1114" s="9"/>
      <c r="ES1114" s="9"/>
      <c r="ET1114" s="9"/>
      <c r="EU1114" s="9"/>
      <c r="EV1114" s="9"/>
      <c r="EW1114" s="9"/>
      <c r="EX1114" s="9"/>
      <c r="EY1114" s="9"/>
      <c r="EZ1114" s="9"/>
      <c r="FA1114" s="9"/>
      <c r="FB1114" s="9"/>
      <c r="FC1114" s="9"/>
      <c r="FD1114" s="9"/>
      <c r="FE1114" s="9"/>
      <c r="FF1114" s="9"/>
      <c r="FG1114" s="9"/>
      <c r="FH1114" s="9"/>
      <c r="FI1114" s="9"/>
      <c r="FJ1114" s="9"/>
      <c r="FK1114" s="9"/>
      <c r="FL1114" s="9"/>
      <c r="FM1114" s="9"/>
      <c r="FN1114" s="9"/>
      <c r="FO1114" s="9"/>
      <c r="FP1114" s="9"/>
    </row>
    <row r="1115" customFormat="false" ht="15" hidden="false" customHeight="false" outlineLevel="0" collapsed="false">
      <c r="B1115" s="9" t="s">
        <v>948</v>
      </c>
      <c r="C1115" s="121" t="n">
        <f aca="false">SUM(AC1021:AN1021)</f>
        <v>0</v>
      </c>
      <c r="D1115" s="9" t="n">
        <f aca="false">SUM(AO1021:AZ1021)</f>
        <v>0</v>
      </c>
      <c r="E1115" s="9" t="n">
        <f aca="false">SUM(BA1021:BL1021)</f>
        <v>0</v>
      </c>
      <c r="F1115" s="9" t="n">
        <f aca="false">SUM(BM1021:BX1021)</f>
        <v>0</v>
      </c>
      <c r="G1115" s="9" t="n">
        <f aca="false">SUM(BY1021:CJ1021)</f>
        <v>0</v>
      </c>
      <c r="H1115" s="9" t="n">
        <f aca="false">SUM(CK1021:CV1021)</f>
        <v>0</v>
      </c>
      <c r="I1115" s="9" t="n">
        <f aca="false">SUM(CW1021:DH1021)</f>
        <v>0</v>
      </c>
      <c r="J1115" s="9" t="n">
        <f aca="false">SUM(DI1021:DT1021)</f>
        <v>0</v>
      </c>
      <c r="K1115" s="9" t="n">
        <f aca="false">SUM(DU1021:EF1021)</f>
        <v>0</v>
      </c>
      <c r="L1115" s="9" t="n">
        <f aca="false">SUM(EG1021:ER1021)</f>
        <v>0</v>
      </c>
      <c r="M1115" s="9" t="n">
        <f aca="false">SUM(ES1021:FD1021)</f>
        <v>33736.3375664</v>
      </c>
      <c r="N1115" s="9" t="n">
        <f aca="false">SUM(FE1021:FP1021)</f>
        <v>180725.9089472</v>
      </c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  <c r="BF1115" s="9"/>
      <c r="BG1115" s="9"/>
      <c r="BH1115" s="9"/>
      <c r="BI1115" s="9"/>
      <c r="BJ1115" s="9"/>
      <c r="BK1115" s="9"/>
      <c r="BL1115" s="9"/>
      <c r="BM1115" s="9"/>
      <c r="BN1115" s="9"/>
      <c r="BO1115" s="9"/>
      <c r="BP1115" s="9"/>
      <c r="BQ1115" s="9"/>
      <c r="BR1115" s="9"/>
      <c r="BS1115" s="9"/>
      <c r="BT1115" s="9"/>
      <c r="BU1115" s="9"/>
      <c r="BV1115" s="9"/>
      <c r="BW1115" s="9"/>
      <c r="BX1115" s="9"/>
      <c r="BY1115" s="9"/>
      <c r="BZ1115" s="9"/>
      <c r="CA1115" s="9"/>
      <c r="CB1115" s="9"/>
      <c r="CC1115" s="9"/>
      <c r="CD1115" s="9"/>
      <c r="CE1115" s="9"/>
      <c r="CF1115" s="9"/>
      <c r="CG1115" s="9"/>
      <c r="CH1115" s="9"/>
      <c r="CI1115" s="9"/>
      <c r="CJ1115" s="9"/>
      <c r="CK1115" s="9"/>
      <c r="CL1115" s="9"/>
      <c r="CM1115" s="9"/>
      <c r="CN1115" s="9"/>
      <c r="CO1115" s="9"/>
      <c r="CP1115" s="9"/>
      <c r="CQ1115" s="9"/>
      <c r="CR1115" s="9"/>
      <c r="CS1115" s="9"/>
      <c r="CT1115" s="9"/>
      <c r="CU1115" s="9"/>
      <c r="CV1115" s="9"/>
      <c r="CW1115" s="9"/>
      <c r="CX1115" s="9"/>
      <c r="CY1115" s="9"/>
      <c r="CZ1115" s="9"/>
      <c r="DA1115" s="9"/>
      <c r="DB1115" s="9"/>
      <c r="DC1115" s="9"/>
      <c r="DD1115" s="9"/>
      <c r="DE1115" s="9"/>
      <c r="DF1115" s="9"/>
      <c r="DG1115" s="9"/>
      <c r="DH1115" s="9"/>
      <c r="DI1115" s="9"/>
      <c r="DJ1115" s="9"/>
      <c r="DK1115" s="9"/>
      <c r="DL1115" s="9"/>
      <c r="DM1115" s="9"/>
      <c r="DN1115" s="9"/>
      <c r="DO1115" s="9"/>
      <c r="DP1115" s="9"/>
      <c r="DQ1115" s="9"/>
      <c r="DR1115" s="9"/>
      <c r="DS1115" s="9"/>
      <c r="DT1115" s="9"/>
      <c r="DU1115" s="9"/>
      <c r="DV1115" s="9"/>
      <c r="DW1115" s="9"/>
      <c r="DX1115" s="9"/>
      <c r="DY1115" s="9"/>
      <c r="DZ1115" s="9"/>
      <c r="EA1115" s="9"/>
      <c r="EB1115" s="9"/>
      <c r="EC1115" s="9"/>
      <c r="ED1115" s="9"/>
      <c r="EE1115" s="9"/>
      <c r="EF1115" s="9"/>
      <c r="EG1115" s="9"/>
      <c r="EH1115" s="9"/>
      <c r="EI1115" s="9"/>
      <c r="EJ1115" s="9"/>
      <c r="EK1115" s="9"/>
      <c r="EL1115" s="9"/>
      <c r="EM1115" s="9"/>
      <c r="EN1115" s="9"/>
      <c r="EO1115" s="9"/>
      <c r="EP1115" s="9"/>
      <c r="EQ1115" s="9"/>
      <c r="ER1115" s="9"/>
      <c r="ES1115" s="9"/>
      <c r="ET1115" s="9"/>
      <c r="EU1115" s="9"/>
      <c r="EV1115" s="9"/>
      <c r="EW1115" s="9"/>
      <c r="EX1115" s="9"/>
      <c r="EY1115" s="9"/>
      <c r="EZ1115" s="9"/>
      <c r="FA1115" s="9"/>
      <c r="FB1115" s="9"/>
      <c r="FC1115" s="9"/>
      <c r="FD1115" s="9"/>
      <c r="FE1115" s="9"/>
      <c r="FF1115" s="9"/>
      <c r="FG1115" s="9"/>
      <c r="FH1115" s="9"/>
      <c r="FI1115" s="9"/>
      <c r="FJ1115" s="9"/>
      <c r="FK1115" s="9"/>
      <c r="FL1115" s="9"/>
      <c r="FM1115" s="9"/>
      <c r="FN1115" s="9"/>
      <c r="FO1115" s="9"/>
      <c r="FP1115" s="9"/>
    </row>
    <row r="1116" customFormat="false" ht="15" hidden="false" customHeight="false" outlineLevel="0" collapsed="false">
      <c r="B1116" s="9" t="s">
        <v>949</v>
      </c>
      <c r="C1116" s="121" t="n">
        <f aca="false">SUM(AC1022:AN1022)</f>
        <v>0</v>
      </c>
      <c r="D1116" s="9" t="n">
        <f aca="false">SUM(AO1022:AZ1022)</f>
        <v>0</v>
      </c>
      <c r="E1116" s="9" t="n">
        <f aca="false">SUM(BA1022:BL1022)</f>
        <v>0</v>
      </c>
      <c r="F1116" s="9" t="n">
        <f aca="false">SUM(BM1022:BX1022)</f>
        <v>0</v>
      </c>
      <c r="G1116" s="9" t="n">
        <f aca="false">SUM(BY1022:CJ1022)</f>
        <v>0</v>
      </c>
      <c r="H1116" s="9" t="n">
        <f aca="false">SUM(CK1022:CV1022)</f>
        <v>0</v>
      </c>
      <c r="I1116" s="9" t="n">
        <f aca="false">SUM(CW1022:DH1022)</f>
        <v>0</v>
      </c>
      <c r="J1116" s="9" t="n">
        <f aca="false">SUM(DI1022:DT1022)</f>
        <v>0</v>
      </c>
      <c r="K1116" s="9" t="n">
        <f aca="false">SUM(DU1022:EF1022)</f>
        <v>0</v>
      </c>
      <c r="L1116" s="9" t="n">
        <f aca="false">SUM(EG1022:ER1022)</f>
        <v>0</v>
      </c>
      <c r="M1116" s="9" t="n">
        <f aca="false">SUM(ES1022:FD1022)</f>
        <v>14168.5621792</v>
      </c>
      <c r="N1116" s="9" t="n">
        <f aca="false">SUM(FE1022:FP1022)</f>
        <v>98274.862752</v>
      </c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  <c r="BF1116" s="9"/>
      <c r="BG1116" s="9"/>
      <c r="BH1116" s="9"/>
      <c r="BI1116" s="9"/>
      <c r="BJ1116" s="9"/>
      <c r="BK1116" s="9"/>
      <c r="BL1116" s="9"/>
      <c r="BM1116" s="9"/>
      <c r="BN1116" s="9"/>
      <c r="BO1116" s="9"/>
      <c r="BP1116" s="9"/>
      <c r="BQ1116" s="9"/>
      <c r="BR1116" s="9"/>
      <c r="BS1116" s="9"/>
      <c r="BT1116" s="9"/>
      <c r="BU1116" s="9"/>
      <c r="BV1116" s="9"/>
      <c r="BW1116" s="9"/>
      <c r="BX1116" s="9"/>
      <c r="BY1116" s="9"/>
      <c r="BZ1116" s="9"/>
      <c r="CA1116" s="9"/>
      <c r="CB1116" s="9"/>
      <c r="CC1116" s="9"/>
      <c r="CD1116" s="9"/>
      <c r="CE1116" s="9"/>
      <c r="CF1116" s="9"/>
      <c r="CG1116" s="9"/>
      <c r="CH1116" s="9"/>
      <c r="CI1116" s="9"/>
      <c r="CJ1116" s="9"/>
      <c r="CK1116" s="9"/>
      <c r="CL1116" s="9"/>
      <c r="CM1116" s="9"/>
      <c r="CN1116" s="9"/>
      <c r="CO1116" s="9"/>
      <c r="CP1116" s="9"/>
      <c r="CQ1116" s="9"/>
      <c r="CR1116" s="9"/>
      <c r="CS1116" s="9"/>
      <c r="CT1116" s="9"/>
      <c r="CU1116" s="9"/>
      <c r="CV1116" s="9"/>
      <c r="CW1116" s="9"/>
      <c r="CX1116" s="9"/>
      <c r="CY1116" s="9"/>
      <c r="CZ1116" s="9"/>
      <c r="DA1116" s="9"/>
      <c r="DB1116" s="9"/>
      <c r="DC1116" s="9"/>
      <c r="DD1116" s="9"/>
      <c r="DE1116" s="9"/>
      <c r="DF1116" s="9"/>
      <c r="DG1116" s="9"/>
      <c r="DH1116" s="9"/>
      <c r="DI1116" s="9"/>
      <c r="DJ1116" s="9"/>
      <c r="DK1116" s="9"/>
      <c r="DL1116" s="9"/>
      <c r="DM1116" s="9"/>
      <c r="DN1116" s="9"/>
      <c r="DO1116" s="9"/>
      <c r="DP1116" s="9"/>
      <c r="DQ1116" s="9"/>
      <c r="DR1116" s="9"/>
      <c r="DS1116" s="9"/>
      <c r="DT1116" s="9"/>
      <c r="DU1116" s="9"/>
      <c r="DV1116" s="9"/>
      <c r="DW1116" s="9"/>
      <c r="DX1116" s="9"/>
      <c r="DY1116" s="9"/>
      <c r="DZ1116" s="9"/>
      <c r="EA1116" s="9"/>
      <c r="EB1116" s="9"/>
      <c r="EC1116" s="9"/>
      <c r="ED1116" s="9"/>
      <c r="EE1116" s="9"/>
      <c r="EF1116" s="9"/>
      <c r="EG1116" s="9"/>
      <c r="EH1116" s="9"/>
      <c r="EI1116" s="9"/>
      <c r="EJ1116" s="9"/>
      <c r="EK1116" s="9"/>
      <c r="EL1116" s="9"/>
      <c r="EM1116" s="9"/>
      <c r="EN1116" s="9"/>
      <c r="EO1116" s="9"/>
      <c r="EP1116" s="9"/>
      <c r="EQ1116" s="9"/>
      <c r="ER1116" s="9"/>
      <c r="ES1116" s="9"/>
      <c r="ET1116" s="9"/>
      <c r="EU1116" s="9"/>
      <c r="EV1116" s="9"/>
      <c r="EW1116" s="9"/>
      <c r="EX1116" s="9"/>
      <c r="EY1116" s="9"/>
      <c r="EZ1116" s="9"/>
      <c r="FA1116" s="9"/>
      <c r="FB1116" s="9"/>
      <c r="FC1116" s="9"/>
      <c r="FD1116" s="9"/>
      <c r="FE1116" s="9"/>
      <c r="FF1116" s="9"/>
      <c r="FG1116" s="9"/>
      <c r="FH1116" s="9"/>
      <c r="FI1116" s="9"/>
      <c r="FJ1116" s="9"/>
      <c r="FK1116" s="9"/>
      <c r="FL1116" s="9"/>
      <c r="FM1116" s="9"/>
      <c r="FN1116" s="9"/>
      <c r="FO1116" s="9"/>
      <c r="FP1116" s="9"/>
    </row>
    <row r="1117" customFormat="false" ht="15" hidden="false" customHeight="false" outlineLevel="0" collapsed="false">
      <c r="B1117" s="9" t="s">
        <v>950</v>
      </c>
      <c r="C1117" s="121" t="n">
        <f aca="false">SUM(AC1023:AN1023)</f>
        <v>0</v>
      </c>
      <c r="D1117" s="9" t="n">
        <f aca="false">SUM(AO1023:AZ1023)</f>
        <v>0</v>
      </c>
      <c r="E1117" s="9" t="n">
        <f aca="false">SUM(BA1023:BL1023)</f>
        <v>0</v>
      </c>
      <c r="F1117" s="9" t="n">
        <f aca="false">SUM(BM1023:BX1023)</f>
        <v>0</v>
      </c>
      <c r="G1117" s="9" t="n">
        <f aca="false">SUM(BY1023:CJ1023)</f>
        <v>0</v>
      </c>
      <c r="H1117" s="9" t="n">
        <f aca="false">SUM(CK1023:CV1023)</f>
        <v>0</v>
      </c>
      <c r="I1117" s="9" t="n">
        <f aca="false">SUM(CW1023:DH1023)</f>
        <v>0</v>
      </c>
      <c r="J1117" s="9" t="n">
        <f aca="false">SUM(DI1023:DT1023)</f>
        <v>0</v>
      </c>
      <c r="K1117" s="9" t="n">
        <f aca="false">SUM(DU1023:EF1023)</f>
        <v>0</v>
      </c>
      <c r="L1117" s="9" t="n">
        <f aca="false">SUM(EG1023:ER1023)</f>
        <v>0</v>
      </c>
      <c r="M1117" s="9" t="n">
        <f aca="false">SUM(ES1023:FD1023)</f>
        <v>17700.770304</v>
      </c>
      <c r="N1117" s="9" t="n">
        <f aca="false">SUM(FE1023:FP1023)</f>
        <v>170465.2616352</v>
      </c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  <c r="BF1117" s="9"/>
      <c r="BG1117" s="9"/>
      <c r="BH1117" s="9"/>
      <c r="BI1117" s="9"/>
      <c r="BJ1117" s="9"/>
      <c r="BK1117" s="9"/>
      <c r="BL1117" s="9"/>
      <c r="BM1117" s="9"/>
      <c r="BN1117" s="9"/>
      <c r="BO1117" s="9"/>
      <c r="BP1117" s="9"/>
      <c r="BQ1117" s="9"/>
      <c r="BR1117" s="9"/>
      <c r="BS1117" s="9"/>
      <c r="BT1117" s="9"/>
      <c r="BU1117" s="9"/>
      <c r="BV1117" s="9"/>
      <c r="BW1117" s="9"/>
      <c r="BX1117" s="9"/>
      <c r="BY1117" s="9"/>
      <c r="BZ1117" s="9"/>
      <c r="CA1117" s="9"/>
      <c r="CB1117" s="9"/>
      <c r="CC1117" s="9"/>
      <c r="CD1117" s="9"/>
      <c r="CE1117" s="9"/>
      <c r="CF1117" s="9"/>
      <c r="CG1117" s="9"/>
      <c r="CH1117" s="9"/>
      <c r="CI1117" s="9"/>
      <c r="CJ1117" s="9"/>
      <c r="CK1117" s="9"/>
      <c r="CL1117" s="9"/>
      <c r="CM1117" s="9"/>
      <c r="CN1117" s="9"/>
      <c r="CO1117" s="9"/>
      <c r="CP1117" s="9"/>
      <c r="CQ1117" s="9"/>
      <c r="CR1117" s="9"/>
      <c r="CS1117" s="9"/>
      <c r="CT1117" s="9"/>
      <c r="CU1117" s="9"/>
      <c r="CV1117" s="9"/>
      <c r="CW1117" s="9"/>
      <c r="CX1117" s="9"/>
      <c r="CY1117" s="9"/>
      <c r="CZ1117" s="9"/>
      <c r="DA1117" s="9"/>
      <c r="DB1117" s="9"/>
      <c r="DC1117" s="9"/>
      <c r="DD1117" s="9"/>
      <c r="DE1117" s="9"/>
      <c r="DF1117" s="9"/>
      <c r="DG1117" s="9"/>
      <c r="DH1117" s="9"/>
      <c r="DI1117" s="9"/>
      <c r="DJ1117" s="9"/>
      <c r="DK1117" s="9"/>
      <c r="DL1117" s="9"/>
      <c r="DM1117" s="9"/>
      <c r="DN1117" s="9"/>
      <c r="DO1117" s="9"/>
      <c r="DP1117" s="9"/>
      <c r="DQ1117" s="9"/>
      <c r="DR1117" s="9"/>
      <c r="DS1117" s="9"/>
      <c r="DT1117" s="9"/>
      <c r="DU1117" s="9"/>
      <c r="DV1117" s="9"/>
      <c r="DW1117" s="9"/>
      <c r="DX1117" s="9"/>
      <c r="DY1117" s="9"/>
      <c r="DZ1117" s="9"/>
      <c r="EA1117" s="9"/>
      <c r="EB1117" s="9"/>
      <c r="EC1117" s="9"/>
      <c r="ED1117" s="9"/>
      <c r="EE1117" s="9"/>
      <c r="EF1117" s="9"/>
      <c r="EG1117" s="9"/>
      <c r="EH1117" s="9"/>
      <c r="EI1117" s="9"/>
      <c r="EJ1117" s="9"/>
      <c r="EK1117" s="9"/>
      <c r="EL1117" s="9"/>
      <c r="EM1117" s="9"/>
      <c r="EN1117" s="9"/>
      <c r="EO1117" s="9"/>
      <c r="EP1117" s="9"/>
      <c r="EQ1117" s="9"/>
      <c r="ER1117" s="9"/>
      <c r="ES1117" s="9"/>
      <c r="ET1117" s="9"/>
      <c r="EU1117" s="9"/>
      <c r="EV1117" s="9"/>
      <c r="EW1117" s="9"/>
      <c r="EX1117" s="9"/>
      <c r="EY1117" s="9"/>
      <c r="EZ1117" s="9"/>
      <c r="FA1117" s="9"/>
      <c r="FB1117" s="9"/>
      <c r="FC1117" s="9"/>
      <c r="FD1117" s="9"/>
      <c r="FE1117" s="9"/>
      <c r="FF1117" s="9"/>
      <c r="FG1117" s="9"/>
      <c r="FH1117" s="9"/>
      <c r="FI1117" s="9"/>
      <c r="FJ1117" s="9"/>
      <c r="FK1117" s="9"/>
      <c r="FL1117" s="9"/>
      <c r="FM1117" s="9"/>
      <c r="FN1117" s="9"/>
      <c r="FO1117" s="9"/>
      <c r="FP1117" s="9"/>
    </row>
    <row r="1118" customFormat="false" ht="15" hidden="false" customHeight="false" outlineLevel="0" collapsed="false">
      <c r="B1118" s="9" t="s">
        <v>951</v>
      </c>
      <c r="C1118" s="121" t="n">
        <f aca="false">SUM(AC1024:AN1024)</f>
        <v>0</v>
      </c>
      <c r="D1118" s="9" t="n">
        <f aca="false">SUM(AO1024:AZ1024)</f>
        <v>0</v>
      </c>
      <c r="E1118" s="9" t="n">
        <f aca="false">SUM(BA1024:BL1024)</f>
        <v>0</v>
      </c>
      <c r="F1118" s="9" t="n">
        <f aca="false">SUM(BM1024:BX1024)</f>
        <v>0</v>
      </c>
      <c r="G1118" s="9" t="n">
        <f aca="false">SUM(BY1024:CJ1024)</f>
        <v>0</v>
      </c>
      <c r="H1118" s="9" t="n">
        <f aca="false">SUM(CK1024:CV1024)</f>
        <v>0</v>
      </c>
      <c r="I1118" s="9" t="n">
        <f aca="false">SUM(CW1024:DH1024)</f>
        <v>0</v>
      </c>
      <c r="J1118" s="9" t="n">
        <f aca="false">SUM(DI1024:DT1024)</f>
        <v>0</v>
      </c>
      <c r="K1118" s="9" t="n">
        <f aca="false">SUM(DU1024:EF1024)</f>
        <v>0</v>
      </c>
      <c r="L1118" s="9" t="n">
        <f aca="false">SUM(EG1024:ER1024)</f>
        <v>0</v>
      </c>
      <c r="M1118" s="9" t="n">
        <f aca="false">SUM(ES1024:FD1024)</f>
        <v>9374.87352</v>
      </c>
      <c r="N1118" s="9" t="n">
        <f aca="false">SUM(FE1024:FP1024)</f>
        <v>138477.2467152</v>
      </c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  <c r="BF1118" s="9"/>
      <c r="BG1118" s="9"/>
      <c r="BH1118" s="9"/>
      <c r="BI1118" s="9"/>
      <c r="BJ1118" s="9"/>
      <c r="BK1118" s="9"/>
      <c r="BL1118" s="9"/>
      <c r="BM1118" s="9"/>
      <c r="BN1118" s="9"/>
      <c r="BO1118" s="9"/>
      <c r="BP1118" s="9"/>
      <c r="BQ1118" s="9"/>
      <c r="BR1118" s="9"/>
      <c r="BS1118" s="9"/>
      <c r="BT1118" s="9"/>
      <c r="BU1118" s="9"/>
      <c r="BV1118" s="9"/>
      <c r="BW1118" s="9"/>
      <c r="BX1118" s="9"/>
      <c r="BY1118" s="9"/>
      <c r="BZ1118" s="9"/>
      <c r="CA1118" s="9"/>
      <c r="CB1118" s="9"/>
      <c r="CC1118" s="9"/>
      <c r="CD1118" s="9"/>
      <c r="CE1118" s="9"/>
      <c r="CF1118" s="9"/>
      <c r="CG1118" s="9"/>
      <c r="CH1118" s="9"/>
      <c r="CI1118" s="9"/>
      <c r="CJ1118" s="9"/>
      <c r="CK1118" s="9"/>
      <c r="CL1118" s="9"/>
      <c r="CM1118" s="9"/>
      <c r="CN1118" s="9"/>
      <c r="CO1118" s="9"/>
      <c r="CP1118" s="9"/>
      <c r="CQ1118" s="9"/>
      <c r="CR1118" s="9"/>
      <c r="CS1118" s="9"/>
      <c r="CT1118" s="9"/>
      <c r="CU1118" s="9"/>
      <c r="CV1118" s="9"/>
      <c r="CW1118" s="9"/>
      <c r="CX1118" s="9"/>
      <c r="CY1118" s="9"/>
      <c r="CZ1118" s="9"/>
      <c r="DA1118" s="9"/>
      <c r="DB1118" s="9"/>
      <c r="DC1118" s="9"/>
      <c r="DD1118" s="9"/>
      <c r="DE1118" s="9"/>
      <c r="DF1118" s="9"/>
      <c r="DG1118" s="9"/>
      <c r="DH1118" s="9"/>
      <c r="DI1118" s="9"/>
      <c r="DJ1118" s="9"/>
      <c r="DK1118" s="9"/>
      <c r="DL1118" s="9"/>
      <c r="DM1118" s="9"/>
      <c r="DN1118" s="9"/>
      <c r="DO1118" s="9"/>
      <c r="DP1118" s="9"/>
      <c r="DQ1118" s="9"/>
      <c r="DR1118" s="9"/>
      <c r="DS1118" s="9"/>
      <c r="DT1118" s="9"/>
      <c r="DU1118" s="9"/>
      <c r="DV1118" s="9"/>
      <c r="DW1118" s="9"/>
      <c r="DX1118" s="9"/>
      <c r="DY1118" s="9"/>
      <c r="DZ1118" s="9"/>
      <c r="EA1118" s="9"/>
      <c r="EB1118" s="9"/>
      <c r="EC1118" s="9"/>
      <c r="ED1118" s="9"/>
      <c r="EE1118" s="9"/>
      <c r="EF1118" s="9"/>
      <c r="EG1118" s="9"/>
      <c r="EH1118" s="9"/>
      <c r="EI1118" s="9"/>
      <c r="EJ1118" s="9"/>
      <c r="EK1118" s="9"/>
      <c r="EL1118" s="9"/>
      <c r="EM1118" s="9"/>
      <c r="EN1118" s="9"/>
      <c r="EO1118" s="9"/>
      <c r="EP1118" s="9"/>
      <c r="EQ1118" s="9"/>
      <c r="ER1118" s="9"/>
      <c r="ES1118" s="9"/>
      <c r="ET1118" s="9"/>
      <c r="EU1118" s="9"/>
      <c r="EV1118" s="9"/>
      <c r="EW1118" s="9"/>
      <c r="EX1118" s="9"/>
      <c r="EY1118" s="9"/>
      <c r="EZ1118" s="9"/>
      <c r="FA1118" s="9"/>
      <c r="FB1118" s="9"/>
      <c r="FC1118" s="9"/>
      <c r="FD1118" s="9"/>
      <c r="FE1118" s="9"/>
      <c r="FF1118" s="9"/>
      <c r="FG1118" s="9"/>
      <c r="FH1118" s="9"/>
      <c r="FI1118" s="9"/>
      <c r="FJ1118" s="9"/>
      <c r="FK1118" s="9"/>
      <c r="FL1118" s="9"/>
      <c r="FM1118" s="9"/>
      <c r="FN1118" s="9"/>
      <c r="FO1118" s="9"/>
      <c r="FP1118" s="9"/>
    </row>
    <row r="1119" customFormat="false" ht="15" hidden="false" customHeight="false" outlineLevel="0" collapsed="false">
      <c r="B1119" s="9" t="s">
        <v>952</v>
      </c>
      <c r="C1119" s="121" t="n">
        <f aca="false">SUM(AC1025:AN1025)</f>
        <v>0</v>
      </c>
      <c r="D1119" s="9" t="n">
        <f aca="false">SUM(AO1025:AZ1025)</f>
        <v>0</v>
      </c>
      <c r="E1119" s="9" t="n">
        <f aca="false">SUM(BA1025:BL1025)</f>
        <v>0</v>
      </c>
      <c r="F1119" s="9" t="n">
        <f aca="false">SUM(BM1025:BX1025)</f>
        <v>0</v>
      </c>
      <c r="G1119" s="9" t="n">
        <f aca="false">SUM(BY1025:CJ1025)</f>
        <v>0</v>
      </c>
      <c r="H1119" s="9" t="n">
        <f aca="false">SUM(CK1025:CV1025)</f>
        <v>0</v>
      </c>
      <c r="I1119" s="9" t="n">
        <f aca="false">SUM(CW1025:DH1025)</f>
        <v>0</v>
      </c>
      <c r="J1119" s="9" t="n">
        <f aca="false">SUM(DI1025:DT1025)</f>
        <v>0</v>
      </c>
      <c r="K1119" s="9" t="n">
        <f aca="false">SUM(DU1025:EF1025)</f>
        <v>0</v>
      </c>
      <c r="L1119" s="9" t="n">
        <f aca="false">SUM(EG1025:ER1025)</f>
        <v>0</v>
      </c>
      <c r="M1119" s="9" t="n">
        <f aca="false">SUM(ES1025:FD1025)</f>
        <v>2939.64</v>
      </c>
      <c r="N1119" s="9" t="n">
        <f aca="false">SUM(FE1025:FP1025)</f>
        <v>75897.7973952</v>
      </c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  <c r="BF1119" s="9"/>
      <c r="BG1119" s="9"/>
      <c r="BH1119" s="9"/>
      <c r="BI1119" s="9"/>
      <c r="BJ1119" s="9"/>
      <c r="BK1119" s="9"/>
      <c r="BL1119" s="9"/>
      <c r="BM1119" s="9"/>
      <c r="BN1119" s="9"/>
      <c r="BO1119" s="9"/>
      <c r="BP1119" s="9"/>
      <c r="BQ1119" s="9"/>
      <c r="BR1119" s="9"/>
      <c r="BS1119" s="9"/>
      <c r="BT1119" s="9"/>
      <c r="BU1119" s="9"/>
      <c r="BV1119" s="9"/>
      <c r="BW1119" s="9"/>
      <c r="BX1119" s="9"/>
      <c r="BY1119" s="9"/>
      <c r="BZ1119" s="9"/>
      <c r="CA1119" s="9"/>
      <c r="CB1119" s="9"/>
      <c r="CC1119" s="9"/>
      <c r="CD1119" s="9"/>
      <c r="CE1119" s="9"/>
      <c r="CF1119" s="9"/>
      <c r="CG1119" s="9"/>
      <c r="CH1119" s="9"/>
      <c r="CI1119" s="9"/>
      <c r="CJ1119" s="9"/>
      <c r="CK1119" s="9"/>
      <c r="CL1119" s="9"/>
      <c r="CM1119" s="9"/>
      <c r="CN1119" s="9"/>
      <c r="CO1119" s="9"/>
      <c r="CP1119" s="9"/>
      <c r="CQ1119" s="9"/>
      <c r="CR1119" s="9"/>
      <c r="CS1119" s="9"/>
      <c r="CT1119" s="9"/>
      <c r="CU1119" s="9"/>
      <c r="CV1119" s="9"/>
      <c r="CW1119" s="9"/>
      <c r="CX1119" s="9"/>
      <c r="CY1119" s="9"/>
      <c r="CZ1119" s="9"/>
      <c r="DA1119" s="9"/>
      <c r="DB1119" s="9"/>
      <c r="DC1119" s="9"/>
      <c r="DD1119" s="9"/>
      <c r="DE1119" s="9"/>
      <c r="DF1119" s="9"/>
      <c r="DG1119" s="9"/>
      <c r="DH1119" s="9"/>
      <c r="DI1119" s="9"/>
      <c r="DJ1119" s="9"/>
      <c r="DK1119" s="9"/>
      <c r="DL1119" s="9"/>
      <c r="DM1119" s="9"/>
      <c r="DN1119" s="9"/>
      <c r="DO1119" s="9"/>
      <c r="DP1119" s="9"/>
      <c r="DQ1119" s="9"/>
      <c r="DR1119" s="9"/>
      <c r="DS1119" s="9"/>
      <c r="DT1119" s="9"/>
      <c r="DU1119" s="9"/>
      <c r="DV1119" s="9"/>
      <c r="DW1119" s="9"/>
      <c r="DX1119" s="9"/>
      <c r="DY1119" s="9"/>
      <c r="DZ1119" s="9"/>
      <c r="EA1119" s="9"/>
      <c r="EB1119" s="9"/>
      <c r="EC1119" s="9"/>
      <c r="ED1119" s="9"/>
      <c r="EE1119" s="9"/>
      <c r="EF1119" s="9"/>
      <c r="EG1119" s="9"/>
      <c r="EH1119" s="9"/>
      <c r="EI1119" s="9"/>
      <c r="EJ1119" s="9"/>
      <c r="EK1119" s="9"/>
      <c r="EL1119" s="9"/>
      <c r="EM1119" s="9"/>
      <c r="EN1119" s="9"/>
      <c r="EO1119" s="9"/>
      <c r="EP1119" s="9"/>
      <c r="EQ1119" s="9"/>
      <c r="ER1119" s="9"/>
      <c r="ES1119" s="9"/>
      <c r="ET1119" s="9"/>
      <c r="EU1119" s="9"/>
      <c r="EV1119" s="9"/>
      <c r="EW1119" s="9"/>
      <c r="EX1119" s="9"/>
      <c r="EY1119" s="9"/>
      <c r="EZ1119" s="9"/>
      <c r="FA1119" s="9"/>
      <c r="FB1119" s="9"/>
      <c r="FC1119" s="9"/>
      <c r="FD1119" s="9"/>
      <c r="FE1119" s="9"/>
      <c r="FF1119" s="9"/>
      <c r="FG1119" s="9"/>
      <c r="FH1119" s="9"/>
      <c r="FI1119" s="9"/>
      <c r="FJ1119" s="9"/>
      <c r="FK1119" s="9"/>
      <c r="FL1119" s="9"/>
      <c r="FM1119" s="9"/>
      <c r="FN1119" s="9"/>
      <c r="FO1119" s="9"/>
      <c r="FP1119" s="9"/>
    </row>
    <row r="1120" customFormat="false" ht="15" hidden="false" customHeight="false" outlineLevel="0" collapsed="false">
      <c r="B1120" s="9" t="s">
        <v>953</v>
      </c>
      <c r="C1120" s="121" t="n">
        <f aca="false">SUM(AC1026:AN1026)</f>
        <v>0</v>
      </c>
      <c r="D1120" s="9" t="n">
        <f aca="false">SUM(AO1026:AZ1026)</f>
        <v>0</v>
      </c>
      <c r="E1120" s="9" t="n">
        <f aca="false">SUM(BA1026:BL1026)</f>
        <v>0</v>
      </c>
      <c r="F1120" s="9" t="n">
        <f aca="false">SUM(BM1026:BX1026)</f>
        <v>0</v>
      </c>
      <c r="G1120" s="9" t="n">
        <f aca="false">SUM(BY1026:CJ1026)</f>
        <v>0</v>
      </c>
      <c r="H1120" s="9" t="n">
        <f aca="false">SUM(CK1026:CV1026)</f>
        <v>0</v>
      </c>
      <c r="I1120" s="9" t="n">
        <f aca="false">SUM(CW1026:DH1026)</f>
        <v>0</v>
      </c>
      <c r="J1120" s="9" t="n">
        <f aca="false">SUM(DI1026:DT1026)</f>
        <v>0</v>
      </c>
      <c r="K1120" s="9" t="n">
        <f aca="false">SUM(DU1026:EF1026)</f>
        <v>0</v>
      </c>
      <c r="L1120" s="9" t="n">
        <f aca="false">SUM(EG1026:ER1026)</f>
        <v>0</v>
      </c>
      <c r="M1120" s="9" t="n">
        <f aca="false">SUM(ES1026:FD1026)</f>
        <v>116262.9648928</v>
      </c>
      <c r="N1120" s="9" t="n">
        <f aca="false">SUM(FE1026:FP1026)</f>
        <v>272952.41165452</v>
      </c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  <c r="BF1120" s="9"/>
      <c r="BG1120" s="9"/>
      <c r="BH1120" s="9"/>
      <c r="BI1120" s="9"/>
      <c r="BJ1120" s="9"/>
      <c r="BK1120" s="9"/>
      <c r="BL1120" s="9"/>
      <c r="BM1120" s="9"/>
      <c r="BN1120" s="9"/>
      <c r="BO1120" s="9"/>
      <c r="BP1120" s="9"/>
      <c r="BQ1120" s="9"/>
      <c r="BR1120" s="9"/>
      <c r="BS1120" s="9"/>
      <c r="BT1120" s="9"/>
      <c r="BU1120" s="9"/>
      <c r="BV1120" s="9"/>
      <c r="BW1120" s="9"/>
      <c r="BX1120" s="9"/>
      <c r="BY1120" s="9"/>
      <c r="BZ1120" s="9"/>
      <c r="CA1120" s="9"/>
      <c r="CB1120" s="9"/>
      <c r="CC1120" s="9"/>
      <c r="CD1120" s="9"/>
      <c r="CE1120" s="9"/>
      <c r="CF1120" s="9"/>
      <c r="CG1120" s="9"/>
      <c r="CH1120" s="9"/>
      <c r="CI1120" s="9"/>
      <c r="CJ1120" s="9"/>
      <c r="CK1120" s="9"/>
      <c r="CL1120" s="9"/>
      <c r="CM1120" s="9"/>
      <c r="CN1120" s="9"/>
      <c r="CO1120" s="9"/>
      <c r="CP1120" s="9"/>
      <c r="CQ1120" s="9"/>
      <c r="CR1120" s="9"/>
      <c r="CS1120" s="9"/>
      <c r="CT1120" s="9"/>
      <c r="CU1120" s="9"/>
      <c r="CV1120" s="9"/>
      <c r="CW1120" s="9"/>
      <c r="CX1120" s="9"/>
      <c r="CY1120" s="9"/>
      <c r="CZ1120" s="9"/>
      <c r="DA1120" s="9"/>
      <c r="DB1120" s="9"/>
      <c r="DC1120" s="9"/>
      <c r="DD1120" s="9"/>
      <c r="DE1120" s="9"/>
      <c r="DF1120" s="9"/>
      <c r="DG1120" s="9"/>
      <c r="DH1120" s="9"/>
      <c r="DI1120" s="9"/>
      <c r="DJ1120" s="9"/>
      <c r="DK1120" s="9"/>
      <c r="DL1120" s="9"/>
      <c r="DM1120" s="9"/>
      <c r="DN1120" s="9"/>
      <c r="DO1120" s="9"/>
      <c r="DP1120" s="9"/>
      <c r="DQ1120" s="9"/>
      <c r="DR1120" s="9"/>
      <c r="DS1120" s="9"/>
      <c r="DT1120" s="9"/>
      <c r="DU1120" s="9"/>
      <c r="DV1120" s="9"/>
      <c r="DW1120" s="9"/>
      <c r="DX1120" s="9"/>
      <c r="DY1120" s="9"/>
      <c r="DZ1120" s="9"/>
      <c r="EA1120" s="9"/>
      <c r="EB1120" s="9"/>
      <c r="EC1120" s="9"/>
      <c r="ED1120" s="9"/>
      <c r="EE1120" s="9"/>
      <c r="EF1120" s="9"/>
      <c r="EG1120" s="9"/>
      <c r="EH1120" s="9"/>
      <c r="EI1120" s="9"/>
      <c r="EJ1120" s="9"/>
      <c r="EK1120" s="9"/>
      <c r="EL1120" s="9"/>
      <c r="EM1120" s="9"/>
      <c r="EN1120" s="9"/>
      <c r="EO1120" s="9"/>
      <c r="EP1120" s="9"/>
      <c r="EQ1120" s="9"/>
      <c r="ER1120" s="9"/>
      <c r="ES1120" s="9"/>
      <c r="ET1120" s="9"/>
      <c r="EU1120" s="9"/>
      <c r="EV1120" s="9"/>
      <c r="EW1120" s="9"/>
      <c r="EX1120" s="9"/>
      <c r="EY1120" s="9"/>
      <c r="EZ1120" s="9"/>
      <c r="FA1120" s="9"/>
      <c r="FB1120" s="9"/>
      <c r="FC1120" s="9"/>
      <c r="FD1120" s="9"/>
      <c r="FE1120" s="9"/>
      <c r="FF1120" s="9"/>
      <c r="FG1120" s="9"/>
      <c r="FH1120" s="9"/>
      <c r="FI1120" s="9"/>
      <c r="FJ1120" s="9"/>
      <c r="FK1120" s="9"/>
      <c r="FL1120" s="9"/>
      <c r="FM1120" s="9"/>
      <c r="FN1120" s="9"/>
      <c r="FO1120" s="9"/>
      <c r="FP1120" s="9"/>
    </row>
    <row r="1121" customFormat="false" ht="15" hidden="false" customHeight="false" outlineLevel="0" collapsed="false">
      <c r="B1121" s="9" t="s">
        <v>954</v>
      </c>
      <c r="C1121" s="121" t="n">
        <f aca="false">SUM(AC1027:AN1027)</f>
        <v>0</v>
      </c>
      <c r="D1121" s="9" t="n">
        <f aca="false">SUM(AO1027:AZ1027)</f>
        <v>0</v>
      </c>
      <c r="E1121" s="9" t="n">
        <f aca="false">SUM(BA1027:BL1027)</f>
        <v>0</v>
      </c>
      <c r="F1121" s="9" t="n">
        <f aca="false">SUM(BM1027:BX1027)</f>
        <v>0</v>
      </c>
      <c r="G1121" s="9" t="n">
        <f aca="false">SUM(BY1027:CJ1027)</f>
        <v>0</v>
      </c>
      <c r="H1121" s="9" t="n">
        <f aca="false">SUM(CK1027:CV1027)</f>
        <v>0</v>
      </c>
      <c r="I1121" s="9" t="n">
        <f aca="false">SUM(CW1027:DH1027)</f>
        <v>0</v>
      </c>
      <c r="J1121" s="9" t="n">
        <f aca="false">SUM(DI1027:DT1027)</f>
        <v>0</v>
      </c>
      <c r="K1121" s="9" t="n">
        <f aca="false">SUM(DU1027:EF1027)</f>
        <v>0</v>
      </c>
      <c r="L1121" s="9" t="n">
        <f aca="false">SUM(EG1027:ER1027)</f>
        <v>0</v>
      </c>
      <c r="M1121" s="9" t="n">
        <f aca="false">SUM(ES1027:FD1027)</f>
        <v>59841.848</v>
      </c>
      <c r="N1121" s="9" t="n">
        <f aca="false">SUM(FE1027:FP1027)</f>
        <v>162976.4452096</v>
      </c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9"/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  <c r="CO1121" s="9"/>
      <c r="CP1121" s="9"/>
      <c r="CQ1121" s="9"/>
      <c r="CR1121" s="9"/>
      <c r="CS1121" s="9"/>
      <c r="CT1121" s="9"/>
      <c r="CU1121" s="9"/>
      <c r="CV1121" s="9"/>
      <c r="CW1121" s="9"/>
      <c r="CX1121" s="9"/>
      <c r="CY1121" s="9"/>
      <c r="CZ1121" s="9"/>
      <c r="DA1121" s="9"/>
      <c r="DB1121" s="9"/>
      <c r="DC1121" s="9"/>
      <c r="DD1121" s="9"/>
      <c r="DE1121" s="9"/>
      <c r="DF1121" s="9"/>
      <c r="DG1121" s="9"/>
      <c r="DH1121" s="9"/>
      <c r="DI1121" s="9"/>
      <c r="DJ1121" s="9"/>
      <c r="DK1121" s="9"/>
      <c r="DL1121" s="9"/>
      <c r="DM1121" s="9"/>
      <c r="DN1121" s="9"/>
      <c r="DO1121" s="9"/>
      <c r="DP1121" s="9"/>
      <c r="DQ1121" s="9"/>
      <c r="DR1121" s="9"/>
      <c r="DS1121" s="9"/>
      <c r="DT1121" s="9"/>
      <c r="DU1121" s="9"/>
      <c r="DV1121" s="9"/>
      <c r="DW1121" s="9"/>
      <c r="DX1121" s="9"/>
      <c r="DY1121" s="9"/>
      <c r="DZ1121" s="9"/>
      <c r="EA1121" s="9"/>
      <c r="EB1121" s="9"/>
      <c r="EC1121" s="9"/>
      <c r="ED1121" s="9"/>
      <c r="EE1121" s="9"/>
      <c r="EF1121" s="9"/>
      <c r="EG1121" s="9"/>
      <c r="EH1121" s="9"/>
      <c r="EI1121" s="9"/>
      <c r="EJ1121" s="9"/>
      <c r="EK1121" s="9"/>
      <c r="EL1121" s="9"/>
      <c r="EM1121" s="9"/>
      <c r="EN1121" s="9"/>
      <c r="EO1121" s="9"/>
      <c r="EP1121" s="9"/>
      <c r="EQ1121" s="9"/>
      <c r="ER1121" s="9"/>
      <c r="ES1121" s="9"/>
      <c r="ET1121" s="9"/>
      <c r="EU1121" s="9"/>
      <c r="EV1121" s="9"/>
      <c r="EW1121" s="9"/>
      <c r="EX1121" s="9"/>
      <c r="EY1121" s="9"/>
      <c r="EZ1121" s="9"/>
      <c r="FA1121" s="9"/>
      <c r="FB1121" s="9"/>
      <c r="FC1121" s="9"/>
      <c r="FD1121" s="9"/>
      <c r="FE1121" s="9"/>
      <c r="FF1121" s="9"/>
      <c r="FG1121" s="9"/>
      <c r="FH1121" s="9"/>
      <c r="FI1121" s="9"/>
      <c r="FJ1121" s="9"/>
      <c r="FK1121" s="9"/>
      <c r="FL1121" s="9"/>
      <c r="FM1121" s="9"/>
      <c r="FN1121" s="9"/>
      <c r="FO1121" s="9"/>
      <c r="FP1121" s="9"/>
    </row>
    <row r="1122" customFormat="false" ht="15" hidden="false" customHeight="false" outlineLevel="0" collapsed="false">
      <c r="B1122" s="9" t="s">
        <v>955</v>
      </c>
      <c r="C1122" s="121" t="n">
        <f aca="false">SUM(AC1028:AN1028)</f>
        <v>0</v>
      </c>
      <c r="D1122" s="9" t="n">
        <f aca="false">SUM(AO1028:AZ1028)</f>
        <v>0</v>
      </c>
      <c r="E1122" s="9" t="n">
        <f aca="false">SUM(BA1028:BL1028)</f>
        <v>0</v>
      </c>
      <c r="F1122" s="9" t="n">
        <f aca="false">SUM(BM1028:BX1028)</f>
        <v>0</v>
      </c>
      <c r="G1122" s="9" t="n">
        <f aca="false">SUM(BY1028:CJ1028)</f>
        <v>0</v>
      </c>
      <c r="H1122" s="9" t="n">
        <f aca="false">SUM(CK1028:CV1028)</f>
        <v>0</v>
      </c>
      <c r="I1122" s="9" t="n">
        <f aca="false">SUM(CW1028:DH1028)</f>
        <v>0</v>
      </c>
      <c r="J1122" s="9" t="n">
        <f aca="false">SUM(DI1028:DT1028)</f>
        <v>0</v>
      </c>
      <c r="K1122" s="9" t="n">
        <f aca="false">SUM(DU1028:EF1028)</f>
        <v>0</v>
      </c>
      <c r="L1122" s="9" t="n">
        <f aca="false">SUM(EG1028:ER1028)</f>
        <v>0</v>
      </c>
      <c r="M1122" s="9" t="n">
        <f aca="false">SUM(ES1028:FD1028)</f>
        <v>87324.7463008</v>
      </c>
      <c r="N1122" s="9" t="n">
        <f aca="false">SUM(FE1028:FP1028)</f>
        <v>249182.01176528</v>
      </c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  <c r="BF1122" s="9"/>
      <c r="BG1122" s="9"/>
      <c r="BH1122" s="9"/>
      <c r="BI1122" s="9"/>
      <c r="BJ1122" s="9"/>
      <c r="BK1122" s="9"/>
      <c r="BL1122" s="9"/>
      <c r="BM1122" s="9"/>
      <c r="BN1122" s="9"/>
      <c r="BO1122" s="9"/>
      <c r="BP1122" s="9"/>
      <c r="BQ1122" s="9"/>
      <c r="BR1122" s="9"/>
      <c r="BS1122" s="9"/>
      <c r="BT1122" s="9"/>
      <c r="BU1122" s="9"/>
      <c r="BV1122" s="9"/>
      <c r="BW1122" s="9"/>
      <c r="BX1122" s="9"/>
      <c r="BY1122" s="9"/>
      <c r="BZ1122" s="9"/>
      <c r="CA1122" s="9"/>
      <c r="CB1122" s="9"/>
      <c r="CC1122" s="9"/>
      <c r="CD1122" s="9"/>
      <c r="CE1122" s="9"/>
      <c r="CF1122" s="9"/>
      <c r="CG1122" s="9"/>
      <c r="CH1122" s="9"/>
      <c r="CI1122" s="9"/>
      <c r="CJ1122" s="9"/>
      <c r="CK1122" s="9"/>
      <c r="CL1122" s="9"/>
      <c r="CM1122" s="9"/>
      <c r="CN1122" s="9"/>
      <c r="CO1122" s="9"/>
      <c r="CP1122" s="9"/>
      <c r="CQ1122" s="9"/>
      <c r="CR1122" s="9"/>
      <c r="CS1122" s="9"/>
      <c r="CT1122" s="9"/>
      <c r="CU1122" s="9"/>
      <c r="CV1122" s="9"/>
      <c r="CW1122" s="9"/>
      <c r="CX1122" s="9"/>
      <c r="CY1122" s="9"/>
      <c r="CZ1122" s="9"/>
      <c r="DA1122" s="9"/>
      <c r="DB1122" s="9"/>
      <c r="DC1122" s="9"/>
      <c r="DD1122" s="9"/>
      <c r="DE1122" s="9"/>
      <c r="DF1122" s="9"/>
      <c r="DG1122" s="9"/>
      <c r="DH1122" s="9"/>
      <c r="DI1122" s="9"/>
      <c r="DJ1122" s="9"/>
      <c r="DK1122" s="9"/>
      <c r="DL1122" s="9"/>
      <c r="DM1122" s="9"/>
      <c r="DN1122" s="9"/>
      <c r="DO1122" s="9"/>
      <c r="DP1122" s="9"/>
      <c r="DQ1122" s="9"/>
      <c r="DR1122" s="9"/>
      <c r="DS1122" s="9"/>
      <c r="DT1122" s="9"/>
      <c r="DU1122" s="9"/>
      <c r="DV1122" s="9"/>
      <c r="DW1122" s="9"/>
      <c r="DX1122" s="9"/>
      <c r="DY1122" s="9"/>
      <c r="DZ1122" s="9"/>
      <c r="EA1122" s="9"/>
      <c r="EB1122" s="9"/>
      <c r="EC1122" s="9"/>
      <c r="ED1122" s="9"/>
      <c r="EE1122" s="9"/>
      <c r="EF1122" s="9"/>
      <c r="EG1122" s="9"/>
      <c r="EH1122" s="9"/>
      <c r="EI1122" s="9"/>
      <c r="EJ1122" s="9"/>
      <c r="EK1122" s="9"/>
      <c r="EL1122" s="9"/>
      <c r="EM1122" s="9"/>
      <c r="EN1122" s="9"/>
      <c r="EO1122" s="9"/>
      <c r="EP1122" s="9"/>
      <c r="EQ1122" s="9"/>
      <c r="ER1122" s="9"/>
      <c r="ES1122" s="9"/>
      <c r="ET1122" s="9"/>
      <c r="EU1122" s="9"/>
      <c r="EV1122" s="9"/>
      <c r="EW1122" s="9"/>
      <c r="EX1122" s="9"/>
      <c r="EY1122" s="9"/>
      <c r="EZ1122" s="9"/>
      <c r="FA1122" s="9"/>
      <c r="FB1122" s="9"/>
      <c r="FC1122" s="9"/>
      <c r="FD1122" s="9"/>
      <c r="FE1122" s="9"/>
      <c r="FF1122" s="9"/>
      <c r="FG1122" s="9"/>
      <c r="FH1122" s="9"/>
      <c r="FI1122" s="9"/>
      <c r="FJ1122" s="9"/>
      <c r="FK1122" s="9"/>
      <c r="FL1122" s="9"/>
      <c r="FM1122" s="9"/>
      <c r="FN1122" s="9"/>
      <c r="FO1122" s="9"/>
      <c r="FP1122" s="9"/>
    </row>
    <row r="1123" customFormat="false" ht="15" hidden="false" customHeight="false" outlineLevel="0" collapsed="false">
      <c r="B1123" s="9" t="s">
        <v>956</v>
      </c>
      <c r="C1123" s="121" t="n">
        <f aca="false">SUM(AC1029:AN1029)</f>
        <v>0</v>
      </c>
      <c r="D1123" s="9" t="n">
        <f aca="false">SUM(AO1029:AZ1029)</f>
        <v>0</v>
      </c>
      <c r="E1123" s="9" t="n">
        <f aca="false">SUM(BA1029:BL1029)</f>
        <v>0</v>
      </c>
      <c r="F1123" s="9" t="n">
        <f aca="false">SUM(BM1029:BX1029)</f>
        <v>0</v>
      </c>
      <c r="G1123" s="9" t="n">
        <f aca="false">SUM(BY1029:CJ1029)</f>
        <v>0</v>
      </c>
      <c r="H1123" s="9" t="n">
        <f aca="false">SUM(CK1029:CV1029)</f>
        <v>0</v>
      </c>
      <c r="I1123" s="9" t="n">
        <f aca="false">SUM(CW1029:DH1029)</f>
        <v>0</v>
      </c>
      <c r="J1123" s="9" t="n">
        <f aca="false">SUM(DI1029:DT1029)</f>
        <v>0</v>
      </c>
      <c r="K1123" s="9" t="n">
        <f aca="false">SUM(DU1029:EF1029)</f>
        <v>0</v>
      </c>
      <c r="L1123" s="9" t="n">
        <f aca="false">SUM(EG1029:ER1029)</f>
        <v>0</v>
      </c>
      <c r="M1123" s="9" t="n">
        <f aca="false">SUM(ES1029:FD1029)</f>
        <v>0</v>
      </c>
      <c r="N1123" s="9" t="n">
        <f aca="false">SUM(FE1029:FP1029)</f>
        <v>83501.7500352</v>
      </c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  <c r="BF1123" s="9"/>
      <c r="BG1123" s="9"/>
      <c r="BH1123" s="9"/>
      <c r="BI1123" s="9"/>
      <c r="BJ1123" s="9"/>
      <c r="BK1123" s="9"/>
      <c r="BL1123" s="9"/>
      <c r="BM1123" s="9"/>
      <c r="BN1123" s="9"/>
      <c r="BO1123" s="9"/>
      <c r="BP1123" s="9"/>
      <c r="BQ1123" s="9"/>
      <c r="BR1123" s="9"/>
      <c r="BS1123" s="9"/>
      <c r="BT1123" s="9"/>
      <c r="BU1123" s="9"/>
      <c r="BV1123" s="9"/>
      <c r="BW1123" s="9"/>
      <c r="BX1123" s="9"/>
      <c r="BY1123" s="9"/>
      <c r="BZ1123" s="9"/>
      <c r="CA1123" s="9"/>
      <c r="CB1123" s="9"/>
      <c r="CC1123" s="9"/>
      <c r="CD1123" s="9"/>
      <c r="CE1123" s="9"/>
      <c r="CF1123" s="9"/>
      <c r="CG1123" s="9"/>
      <c r="CH1123" s="9"/>
      <c r="CI1123" s="9"/>
      <c r="CJ1123" s="9"/>
      <c r="CK1123" s="9"/>
      <c r="CL1123" s="9"/>
      <c r="CM1123" s="9"/>
      <c r="CN1123" s="9"/>
      <c r="CO1123" s="9"/>
      <c r="CP1123" s="9"/>
      <c r="CQ1123" s="9"/>
      <c r="CR1123" s="9"/>
      <c r="CS1123" s="9"/>
      <c r="CT1123" s="9"/>
      <c r="CU1123" s="9"/>
      <c r="CV1123" s="9"/>
      <c r="CW1123" s="9"/>
      <c r="CX1123" s="9"/>
      <c r="CY1123" s="9"/>
      <c r="CZ1123" s="9"/>
      <c r="DA1123" s="9"/>
      <c r="DB1123" s="9"/>
      <c r="DC1123" s="9"/>
      <c r="DD1123" s="9"/>
      <c r="DE1123" s="9"/>
      <c r="DF1123" s="9"/>
      <c r="DG1123" s="9"/>
      <c r="DH1123" s="9"/>
      <c r="DI1123" s="9"/>
      <c r="DJ1123" s="9"/>
      <c r="DK1123" s="9"/>
      <c r="DL1123" s="9"/>
      <c r="DM1123" s="9"/>
      <c r="DN1123" s="9"/>
      <c r="DO1123" s="9"/>
      <c r="DP1123" s="9"/>
      <c r="DQ1123" s="9"/>
      <c r="DR1123" s="9"/>
      <c r="DS1123" s="9"/>
      <c r="DT1123" s="9"/>
      <c r="DU1123" s="9"/>
      <c r="DV1123" s="9"/>
      <c r="DW1123" s="9"/>
      <c r="DX1123" s="9"/>
      <c r="DY1123" s="9"/>
      <c r="DZ1123" s="9"/>
      <c r="EA1123" s="9"/>
      <c r="EB1123" s="9"/>
      <c r="EC1123" s="9"/>
      <c r="ED1123" s="9"/>
      <c r="EE1123" s="9"/>
      <c r="EF1123" s="9"/>
      <c r="EG1123" s="9"/>
      <c r="EH1123" s="9"/>
      <c r="EI1123" s="9"/>
      <c r="EJ1123" s="9"/>
      <c r="EK1123" s="9"/>
      <c r="EL1123" s="9"/>
      <c r="EM1123" s="9"/>
      <c r="EN1123" s="9"/>
      <c r="EO1123" s="9"/>
      <c r="EP1123" s="9"/>
      <c r="EQ1123" s="9"/>
      <c r="ER1123" s="9"/>
      <c r="ES1123" s="9"/>
      <c r="ET1123" s="9"/>
      <c r="EU1123" s="9"/>
      <c r="EV1123" s="9"/>
      <c r="EW1123" s="9"/>
      <c r="EX1123" s="9"/>
      <c r="EY1123" s="9"/>
      <c r="EZ1123" s="9"/>
      <c r="FA1123" s="9"/>
      <c r="FB1123" s="9"/>
      <c r="FC1123" s="9"/>
      <c r="FD1123" s="9"/>
      <c r="FE1123" s="9"/>
      <c r="FF1123" s="9"/>
      <c r="FG1123" s="9"/>
      <c r="FH1123" s="9"/>
      <c r="FI1123" s="9"/>
      <c r="FJ1123" s="9"/>
      <c r="FK1123" s="9"/>
      <c r="FL1123" s="9"/>
      <c r="FM1123" s="9"/>
      <c r="FN1123" s="9"/>
      <c r="FO1123" s="9"/>
      <c r="FP1123" s="9"/>
    </row>
    <row r="1124" customFormat="false" ht="15" hidden="false" customHeight="false" outlineLevel="0" collapsed="false">
      <c r="B1124" s="9" t="s">
        <v>957</v>
      </c>
      <c r="C1124" s="121" t="n">
        <f aca="false">SUM(AC1030:AN1030)</f>
        <v>0</v>
      </c>
      <c r="D1124" s="9" t="n">
        <f aca="false">SUM(AO1030:AZ1030)</f>
        <v>0</v>
      </c>
      <c r="E1124" s="9" t="n">
        <f aca="false">SUM(BA1030:BL1030)</f>
        <v>0</v>
      </c>
      <c r="F1124" s="9" t="n">
        <f aca="false">SUM(BM1030:BX1030)</f>
        <v>0</v>
      </c>
      <c r="G1124" s="9" t="n">
        <f aca="false">SUM(BY1030:CJ1030)</f>
        <v>0</v>
      </c>
      <c r="H1124" s="9" t="n">
        <f aca="false">SUM(CK1030:CV1030)</f>
        <v>0</v>
      </c>
      <c r="I1124" s="9" t="n">
        <f aca="false">SUM(CW1030:DH1030)</f>
        <v>0</v>
      </c>
      <c r="J1124" s="9" t="n">
        <f aca="false">SUM(DI1030:DT1030)</f>
        <v>0</v>
      </c>
      <c r="K1124" s="9" t="n">
        <f aca="false">SUM(DU1030:EF1030)</f>
        <v>0</v>
      </c>
      <c r="L1124" s="9" t="n">
        <f aca="false">SUM(EG1030:ER1030)</f>
        <v>0</v>
      </c>
      <c r="M1124" s="9" t="n">
        <f aca="false">SUM(ES1030:FD1030)</f>
        <v>0</v>
      </c>
      <c r="N1124" s="9" t="n">
        <f aca="false">SUM(FE1030:FP1030)</f>
        <v>60944.3245072</v>
      </c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  <c r="BF1124" s="9"/>
      <c r="BG1124" s="9"/>
      <c r="BH1124" s="9"/>
      <c r="BI1124" s="9"/>
      <c r="BJ1124" s="9"/>
      <c r="BK1124" s="9"/>
      <c r="BL1124" s="9"/>
      <c r="BM1124" s="9"/>
      <c r="BN1124" s="9"/>
      <c r="BO1124" s="9"/>
      <c r="BP1124" s="9"/>
      <c r="BQ1124" s="9"/>
      <c r="BR1124" s="9"/>
      <c r="BS1124" s="9"/>
      <c r="BT1124" s="9"/>
      <c r="BU1124" s="9"/>
      <c r="BV1124" s="9"/>
      <c r="BW1124" s="9"/>
      <c r="BX1124" s="9"/>
      <c r="BY1124" s="9"/>
      <c r="BZ1124" s="9"/>
      <c r="CA1124" s="9"/>
      <c r="CB1124" s="9"/>
      <c r="CC1124" s="9"/>
      <c r="CD1124" s="9"/>
      <c r="CE1124" s="9"/>
      <c r="CF1124" s="9"/>
      <c r="CG1124" s="9"/>
      <c r="CH1124" s="9"/>
      <c r="CI1124" s="9"/>
      <c r="CJ1124" s="9"/>
      <c r="CK1124" s="9"/>
      <c r="CL1124" s="9"/>
      <c r="CM1124" s="9"/>
      <c r="CN1124" s="9"/>
      <c r="CO1124" s="9"/>
      <c r="CP1124" s="9"/>
      <c r="CQ1124" s="9"/>
      <c r="CR1124" s="9"/>
      <c r="CS1124" s="9"/>
      <c r="CT1124" s="9"/>
      <c r="CU1124" s="9"/>
      <c r="CV1124" s="9"/>
      <c r="CW1124" s="9"/>
      <c r="CX1124" s="9"/>
      <c r="CY1124" s="9"/>
      <c r="CZ1124" s="9"/>
      <c r="DA1124" s="9"/>
      <c r="DB1124" s="9"/>
      <c r="DC1124" s="9"/>
      <c r="DD1124" s="9"/>
      <c r="DE1124" s="9"/>
      <c r="DF1124" s="9"/>
      <c r="DG1124" s="9"/>
      <c r="DH1124" s="9"/>
      <c r="DI1124" s="9"/>
      <c r="DJ1124" s="9"/>
      <c r="DK1124" s="9"/>
      <c r="DL1124" s="9"/>
      <c r="DM1124" s="9"/>
      <c r="DN1124" s="9"/>
      <c r="DO1124" s="9"/>
      <c r="DP1124" s="9"/>
      <c r="DQ1124" s="9"/>
      <c r="DR1124" s="9"/>
      <c r="DS1124" s="9"/>
      <c r="DT1124" s="9"/>
      <c r="DU1124" s="9"/>
      <c r="DV1124" s="9"/>
      <c r="DW1124" s="9"/>
      <c r="DX1124" s="9"/>
      <c r="DY1124" s="9"/>
      <c r="DZ1124" s="9"/>
      <c r="EA1124" s="9"/>
      <c r="EB1124" s="9"/>
      <c r="EC1124" s="9"/>
      <c r="ED1124" s="9"/>
      <c r="EE1124" s="9"/>
      <c r="EF1124" s="9"/>
      <c r="EG1124" s="9"/>
      <c r="EH1124" s="9"/>
      <c r="EI1124" s="9"/>
      <c r="EJ1124" s="9"/>
      <c r="EK1124" s="9"/>
      <c r="EL1124" s="9"/>
      <c r="EM1124" s="9"/>
      <c r="EN1124" s="9"/>
      <c r="EO1124" s="9"/>
      <c r="EP1124" s="9"/>
      <c r="EQ1124" s="9"/>
      <c r="ER1124" s="9"/>
      <c r="ES1124" s="9"/>
      <c r="ET1124" s="9"/>
      <c r="EU1124" s="9"/>
      <c r="EV1124" s="9"/>
      <c r="EW1124" s="9"/>
      <c r="EX1124" s="9"/>
      <c r="EY1124" s="9"/>
      <c r="EZ1124" s="9"/>
      <c r="FA1124" s="9"/>
      <c r="FB1124" s="9"/>
      <c r="FC1124" s="9"/>
      <c r="FD1124" s="9"/>
      <c r="FE1124" s="9"/>
      <c r="FF1124" s="9"/>
      <c r="FG1124" s="9"/>
      <c r="FH1124" s="9"/>
      <c r="FI1124" s="9"/>
      <c r="FJ1124" s="9"/>
      <c r="FK1124" s="9"/>
      <c r="FL1124" s="9"/>
      <c r="FM1124" s="9"/>
      <c r="FN1124" s="9"/>
      <c r="FO1124" s="9"/>
      <c r="FP1124" s="9"/>
    </row>
    <row r="1125" customFormat="false" ht="15" hidden="false" customHeight="false" outlineLevel="0" collapsed="false">
      <c r="B1125" s="9" t="s">
        <v>958</v>
      </c>
      <c r="C1125" s="121" t="n">
        <f aca="false">SUM(AC1031:AN1031)</f>
        <v>0</v>
      </c>
      <c r="D1125" s="9" t="n">
        <f aca="false">SUM(AO1031:AZ1031)</f>
        <v>0</v>
      </c>
      <c r="E1125" s="9" t="n">
        <f aca="false">SUM(BA1031:BL1031)</f>
        <v>0</v>
      </c>
      <c r="F1125" s="9" t="n">
        <f aca="false">SUM(BM1031:BX1031)</f>
        <v>0</v>
      </c>
      <c r="G1125" s="9" t="n">
        <f aca="false">SUM(BY1031:CJ1031)</f>
        <v>0</v>
      </c>
      <c r="H1125" s="9" t="n">
        <f aca="false">SUM(CK1031:CV1031)</f>
        <v>0</v>
      </c>
      <c r="I1125" s="9" t="n">
        <f aca="false">SUM(CW1031:DH1031)</f>
        <v>0</v>
      </c>
      <c r="J1125" s="9" t="n">
        <f aca="false">SUM(DI1031:DT1031)</f>
        <v>0</v>
      </c>
      <c r="K1125" s="9" t="n">
        <f aca="false">SUM(DU1031:EF1031)</f>
        <v>0</v>
      </c>
      <c r="L1125" s="9" t="n">
        <f aca="false">SUM(EG1031:ER1031)</f>
        <v>0</v>
      </c>
      <c r="M1125" s="9" t="n">
        <f aca="false">SUM(ES1031:FD1031)</f>
        <v>0</v>
      </c>
      <c r="N1125" s="9" t="n">
        <f aca="false">SUM(FE1031:FP1031)</f>
        <v>30047.1740448</v>
      </c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  <c r="BF1125" s="9"/>
      <c r="BG1125" s="9"/>
      <c r="BH1125" s="9"/>
      <c r="BI1125" s="9"/>
      <c r="BJ1125" s="9"/>
      <c r="BK1125" s="9"/>
      <c r="BL1125" s="9"/>
      <c r="BM1125" s="9"/>
      <c r="BN1125" s="9"/>
      <c r="BO1125" s="9"/>
      <c r="BP1125" s="9"/>
      <c r="BQ1125" s="9"/>
      <c r="BR1125" s="9"/>
      <c r="BS1125" s="9"/>
      <c r="BT1125" s="9"/>
      <c r="BU1125" s="9"/>
      <c r="BV1125" s="9"/>
      <c r="BW1125" s="9"/>
      <c r="BX1125" s="9"/>
      <c r="BY1125" s="9"/>
      <c r="BZ1125" s="9"/>
      <c r="CA1125" s="9"/>
      <c r="CB1125" s="9"/>
      <c r="CC1125" s="9"/>
      <c r="CD1125" s="9"/>
      <c r="CE1125" s="9"/>
      <c r="CF1125" s="9"/>
      <c r="CG1125" s="9"/>
      <c r="CH1125" s="9"/>
      <c r="CI1125" s="9"/>
      <c r="CJ1125" s="9"/>
      <c r="CK1125" s="9"/>
      <c r="CL1125" s="9"/>
      <c r="CM1125" s="9"/>
      <c r="CN1125" s="9"/>
      <c r="CO1125" s="9"/>
      <c r="CP1125" s="9"/>
      <c r="CQ1125" s="9"/>
      <c r="CR1125" s="9"/>
      <c r="CS1125" s="9"/>
      <c r="CT1125" s="9"/>
      <c r="CU1125" s="9"/>
      <c r="CV1125" s="9"/>
      <c r="CW1125" s="9"/>
      <c r="CX1125" s="9"/>
      <c r="CY1125" s="9"/>
      <c r="CZ1125" s="9"/>
      <c r="DA1125" s="9"/>
      <c r="DB1125" s="9"/>
      <c r="DC1125" s="9"/>
      <c r="DD1125" s="9"/>
      <c r="DE1125" s="9"/>
      <c r="DF1125" s="9"/>
      <c r="DG1125" s="9"/>
      <c r="DH1125" s="9"/>
      <c r="DI1125" s="9"/>
      <c r="DJ1125" s="9"/>
      <c r="DK1125" s="9"/>
      <c r="DL1125" s="9"/>
      <c r="DM1125" s="9"/>
      <c r="DN1125" s="9"/>
      <c r="DO1125" s="9"/>
      <c r="DP1125" s="9"/>
      <c r="DQ1125" s="9"/>
      <c r="DR1125" s="9"/>
      <c r="DS1125" s="9"/>
      <c r="DT1125" s="9"/>
      <c r="DU1125" s="9"/>
      <c r="DV1125" s="9"/>
      <c r="DW1125" s="9"/>
      <c r="DX1125" s="9"/>
      <c r="DY1125" s="9"/>
      <c r="DZ1125" s="9"/>
      <c r="EA1125" s="9"/>
      <c r="EB1125" s="9"/>
      <c r="EC1125" s="9"/>
      <c r="ED1125" s="9"/>
      <c r="EE1125" s="9"/>
      <c r="EF1125" s="9"/>
      <c r="EG1125" s="9"/>
      <c r="EH1125" s="9"/>
      <c r="EI1125" s="9"/>
      <c r="EJ1125" s="9"/>
      <c r="EK1125" s="9"/>
      <c r="EL1125" s="9"/>
      <c r="EM1125" s="9"/>
      <c r="EN1125" s="9"/>
      <c r="EO1125" s="9"/>
      <c r="EP1125" s="9"/>
      <c r="EQ1125" s="9"/>
      <c r="ER1125" s="9"/>
      <c r="ES1125" s="9"/>
      <c r="ET1125" s="9"/>
      <c r="EU1125" s="9"/>
      <c r="EV1125" s="9"/>
      <c r="EW1125" s="9"/>
      <c r="EX1125" s="9"/>
      <c r="EY1125" s="9"/>
      <c r="EZ1125" s="9"/>
      <c r="FA1125" s="9"/>
      <c r="FB1125" s="9"/>
      <c r="FC1125" s="9"/>
      <c r="FD1125" s="9"/>
      <c r="FE1125" s="9"/>
      <c r="FF1125" s="9"/>
      <c r="FG1125" s="9"/>
      <c r="FH1125" s="9"/>
      <c r="FI1125" s="9"/>
      <c r="FJ1125" s="9"/>
      <c r="FK1125" s="9"/>
      <c r="FL1125" s="9"/>
      <c r="FM1125" s="9"/>
      <c r="FN1125" s="9"/>
      <c r="FO1125" s="9"/>
      <c r="FP1125" s="9"/>
    </row>
    <row r="1126" customFormat="false" ht="15" hidden="false" customHeight="false" outlineLevel="0" collapsed="false">
      <c r="B1126" s="9" t="s">
        <v>959</v>
      </c>
      <c r="C1126" s="121" t="n">
        <f aca="false">SUM(AC1032:AN1032)</f>
        <v>0</v>
      </c>
      <c r="D1126" s="9" t="n">
        <f aca="false">SUM(AO1032:AZ1032)</f>
        <v>0</v>
      </c>
      <c r="E1126" s="9" t="n">
        <f aca="false">SUM(BA1032:BL1032)</f>
        <v>0</v>
      </c>
      <c r="F1126" s="9" t="n">
        <f aca="false">SUM(BM1032:BX1032)</f>
        <v>0</v>
      </c>
      <c r="G1126" s="9" t="n">
        <f aca="false">SUM(BY1032:CJ1032)</f>
        <v>0</v>
      </c>
      <c r="H1126" s="9" t="n">
        <f aca="false">SUM(CK1032:CV1032)</f>
        <v>0</v>
      </c>
      <c r="I1126" s="9" t="n">
        <f aca="false">SUM(CW1032:DH1032)</f>
        <v>0</v>
      </c>
      <c r="J1126" s="9" t="n">
        <f aca="false">SUM(DI1032:DT1032)</f>
        <v>0</v>
      </c>
      <c r="K1126" s="9" t="n">
        <f aca="false">SUM(DU1032:EF1032)</f>
        <v>0</v>
      </c>
      <c r="L1126" s="9" t="n">
        <f aca="false">SUM(EG1032:ER1032)</f>
        <v>0</v>
      </c>
      <c r="M1126" s="9" t="n">
        <f aca="false">SUM(ES1032:FD1032)</f>
        <v>0</v>
      </c>
      <c r="N1126" s="9" t="n">
        <f aca="false">SUM(FE1032:FP1032)</f>
        <v>41840.8317744</v>
      </c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  <c r="BF1126" s="9"/>
      <c r="BG1126" s="9"/>
      <c r="BH1126" s="9"/>
      <c r="BI1126" s="9"/>
      <c r="BJ1126" s="9"/>
      <c r="BK1126" s="9"/>
      <c r="BL1126" s="9"/>
      <c r="BM1126" s="9"/>
      <c r="BN1126" s="9"/>
      <c r="BO1126" s="9"/>
      <c r="BP1126" s="9"/>
      <c r="BQ1126" s="9"/>
      <c r="BR1126" s="9"/>
      <c r="BS1126" s="9"/>
      <c r="BT1126" s="9"/>
      <c r="BU1126" s="9"/>
      <c r="BV1126" s="9"/>
      <c r="BW1126" s="9"/>
      <c r="BX1126" s="9"/>
      <c r="BY1126" s="9"/>
      <c r="BZ1126" s="9"/>
      <c r="CA1126" s="9"/>
      <c r="CB1126" s="9"/>
      <c r="CC1126" s="9"/>
      <c r="CD1126" s="9"/>
      <c r="CE1126" s="9"/>
      <c r="CF1126" s="9"/>
      <c r="CG1126" s="9"/>
      <c r="CH1126" s="9"/>
      <c r="CI1126" s="9"/>
      <c r="CJ1126" s="9"/>
      <c r="CK1126" s="9"/>
      <c r="CL1126" s="9"/>
      <c r="CM1126" s="9"/>
      <c r="CN1126" s="9"/>
      <c r="CO1126" s="9"/>
      <c r="CP1126" s="9"/>
      <c r="CQ1126" s="9"/>
      <c r="CR1126" s="9"/>
      <c r="CS1126" s="9"/>
      <c r="CT1126" s="9"/>
      <c r="CU1126" s="9"/>
      <c r="CV1126" s="9"/>
      <c r="CW1126" s="9"/>
      <c r="CX1126" s="9"/>
      <c r="CY1126" s="9"/>
      <c r="CZ1126" s="9"/>
      <c r="DA1126" s="9"/>
      <c r="DB1126" s="9"/>
      <c r="DC1126" s="9"/>
      <c r="DD1126" s="9"/>
      <c r="DE1126" s="9"/>
      <c r="DF1126" s="9"/>
      <c r="DG1126" s="9"/>
      <c r="DH1126" s="9"/>
      <c r="DI1126" s="9"/>
      <c r="DJ1126" s="9"/>
      <c r="DK1126" s="9"/>
      <c r="DL1126" s="9"/>
      <c r="DM1126" s="9"/>
      <c r="DN1126" s="9"/>
      <c r="DO1126" s="9"/>
      <c r="DP1126" s="9"/>
      <c r="DQ1126" s="9"/>
      <c r="DR1126" s="9"/>
      <c r="DS1126" s="9"/>
      <c r="DT1126" s="9"/>
      <c r="DU1126" s="9"/>
      <c r="DV1126" s="9"/>
      <c r="DW1126" s="9"/>
      <c r="DX1126" s="9"/>
      <c r="DY1126" s="9"/>
      <c r="DZ1126" s="9"/>
      <c r="EA1126" s="9"/>
      <c r="EB1126" s="9"/>
      <c r="EC1126" s="9"/>
      <c r="ED1126" s="9"/>
      <c r="EE1126" s="9"/>
      <c r="EF1126" s="9"/>
      <c r="EG1126" s="9"/>
      <c r="EH1126" s="9"/>
      <c r="EI1126" s="9"/>
      <c r="EJ1126" s="9"/>
      <c r="EK1126" s="9"/>
      <c r="EL1126" s="9"/>
      <c r="EM1126" s="9"/>
      <c r="EN1126" s="9"/>
      <c r="EO1126" s="9"/>
      <c r="EP1126" s="9"/>
      <c r="EQ1126" s="9"/>
      <c r="ER1126" s="9"/>
      <c r="ES1126" s="9"/>
      <c r="ET1126" s="9"/>
      <c r="EU1126" s="9"/>
      <c r="EV1126" s="9"/>
      <c r="EW1126" s="9"/>
      <c r="EX1126" s="9"/>
      <c r="EY1126" s="9"/>
      <c r="EZ1126" s="9"/>
      <c r="FA1126" s="9"/>
      <c r="FB1126" s="9"/>
      <c r="FC1126" s="9"/>
      <c r="FD1126" s="9"/>
      <c r="FE1126" s="9"/>
      <c r="FF1126" s="9"/>
      <c r="FG1126" s="9"/>
      <c r="FH1126" s="9"/>
      <c r="FI1126" s="9"/>
      <c r="FJ1126" s="9"/>
      <c r="FK1126" s="9"/>
      <c r="FL1126" s="9"/>
      <c r="FM1126" s="9"/>
      <c r="FN1126" s="9"/>
      <c r="FO1126" s="9"/>
      <c r="FP1126" s="9"/>
    </row>
    <row r="1127" customFormat="false" ht="15" hidden="false" customHeight="false" outlineLevel="0" collapsed="false">
      <c r="B1127" s="9" t="s">
        <v>960</v>
      </c>
      <c r="C1127" s="121" t="n">
        <f aca="false">SUM(AC1033:AN1033)</f>
        <v>0</v>
      </c>
      <c r="D1127" s="9" t="n">
        <f aca="false">SUM(AO1033:AZ1033)</f>
        <v>0</v>
      </c>
      <c r="E1127" s="9" t="n">
        <f aca="false">SUM(BA1033:BL1033)</f>
        <v>0</v>
      </c>
      <c r="F1127" s="9" t="n">
        <f aca="false">SUM(BM1033:BX1033)</f>
        <v>0</v>
      </c>
      <c r="G1127" s="9" t="n">
        <f aca="false">SUM(BY1033:CJ1033)</f>
        <v>0</v>
      </c>
      <c r="H1127" s="9" t="n">
        <f aca="false">SUM(CK1033:CV1033)</f>
        <v>0</v>
      </c>
      <c r="I1127" s="9" t="n">
        <f aca="false">SUM(CW1033:DH1033)</f>
        <v>0</v>
      </c>
      <c r="J1127" s="9" t="n">
        <f aca="false">SUM(DI1033:DT1033)</f>
        <v>0</v>
      </c>
      <c r="K1127" s="9" t="n">
        <f aca="false">SUM(DU1033:EF1033)</f>
        <v>0</v>
      </c>
      <c r="L1127" s="9" t="n">
        <f aca="false">SUM(EG1033:ER1033)</f>
        <v>0</v>
      </c>
      <c r="M1127" s="9" t="n">
        <f aca="false">SUM(ES1033:FD1033)</f>
        <v>0</v>
      </c>
      <c r="N1127" s="9" t="n">
        <f aca="false">SUM(FE1033:FP1033)</f>
        <v>33736.3375664</v>
      </c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  <c r="BF1127" s="9"/>
      <c r="BG1127" s="9"/>
      <c r="BH1127" s="9"/>
      <c r="BI1127" s="9"/>
      <c r="BJ1127" s="9"/>
      <c r="BK1127" s="9"/>
      <c r="BL1127" s="9"/>
      <c r="BM1127" s="9"/>
      <c r="BN1127" s="9"/>
      <c r="BO1127" s="9"/>
      <c r="BP1127" s="9"/>
      <c r="BQ1127" s="9"/>
      <c r="BR1127" s="9"/>
      <c r="BS1127" s="9"/>
      <c r="BT1127" s="9"/>
      <c r="BU1127" s="9"/>
      <c r="BV1127" s="9"/>
      <c r="BW1127" s="9"/>
      <c r="BX1127" s="9"/>
      <c r="BY1127" s="9"/>
      <c r="BZ1127" s="9"/>
      <c r="CA1127" s="9"/>
      <c r="CB1127" s="9"/>
      <c r="CC1127" s="9"/>
      <c r="CD1127" s="9"/>
      <c r="CE1127" s="9"/>
      <c r="CF1127" s="9"/>
      <c r="CG1127" s="9"/>
      <c r="CH1127" s="9"/>
      <c r="CI1127" s="9"/>
      <c r="CJ1127" s="9"/>
      <c r="CK1127" s="9"/>
      <c r="CL1127" s="9"/>
      <c r="CM1127" s="9"/>
      <c r="CN1127" s="9"/>
      <c r="CO1127" s="9"/>
      <c r="CP1127" s="9"/>
      <c r="CQ1127" s="9"/>
      <c r="CR1127" s="9"/>
      <c r="CS1127" s="9"/>
      <c r="CT1127" s="9"/>
      <c r="CU1127" s="9"/>
      <c r="CV1127" s="9"/>
      <c r="CW1127" s="9"/>
      <c r="CX1127" s="9"/>
      <c r="CY1127" s="9"/>
      <c r="CZ1127" s="9"/>
      <c r="DA1127" s="9"/>
      <c r="DB1127" s="9"/>
      <c r="DC1127" s="9"/>
      <c r="DD1127" s="9"/>
      <c r="DE1127" s="9"/>
      <c r="DF1127" s="9"/>
      <c r="DG1127" s="9"/>
      <c r="DH1127" s="9"/>
      <c r="DI1127" s="9"/>
      <c r="DJ1127" s="9"/>
      <c r="DK1127" s="9"/>
      <c r="DL1127" s="9"/>
      <c r="DM1127" s="9"/>
      <c r="DN1127" s="9"/>
      <c r="DO1127" s="9"/>
      <c r="DP1127" s="9"/>
      <c r="DQ1127" s="9"/>
      <c r="DR1127" s="9"/>
      <c r="DS1127" s="9"/>
      <c r="DT1127" s="9"/>
      <c r="DU1127" s="9"/>
      <c r="DV1127" s="9"/>
      <c r="DW1127" s="9"/>
      <c r="DX1127" s="9"/>
      <c r="DY1127" s="9"/>
      <c r="DZ1127" s="9"/>
      <c r="EA1127" s="9"/>
      <c r="EB1127" s="9"/>
      <c r="EC1127" s="9"/>
      <c r="ED1127" s="9"/>
      <c r="EE1127" s="9"/>
      <c r="EF1127" s="9"/>
      <c r="EG1127" s="9"/>
      <c r="EH1127" s="9"/>
      <c r="EI1127" s="9"/>
      <c r="EJ1127" s="9"/>
      <c r="EK1127" s="9"/>
      <c r="EL1127" s="9"/>
      <c r="EM1127" s="9"/>
      <c r="EN1127" s="9"/>
      <c r="EO1127" s="9"/>
      <c r="EP1127" s="9"/>
      <c r="EQ1127" s="9"/>
      <c r="ER1127" s="9"/>
      <c r="ES1127" s="9"/>
      <c r="ET1127" s="9"/>
      <c r="EU1127" s="9"/>
      <c r="EV1127" s="9"/>
      <c r="EW1127" s="9"/>
      <c r="EX1127" s="9"/>
      <c r="EY1127" s="9"/>
      <c r="EZ1127" s="9"/>
      <c r="FA1127" s="9"/>
      <c r="FB1127" s="9"/>
      <c r="FC1127" s="9"/>
      <c r="FD1127" s="9"/>
      <c r="FE1127" s="9"/>
      <c r="FF1127" s="9"/>
      <c r="FG1127" s="9"/>
      <c r="FH1127" s="9"/>
      <c r="FI1127" s="9"/>
      <c r="FJ1127" s="9"/>
      <c r="FK1127" s="9"/>
      <c r="FL1127" s="9"/>
      <c r="FM1127" s="9"/>
      <c r="FN1127" s="9"/>
      <c r="FO1127" s="9"/>
      <c r="FP1127" s="9"/>
    </row>
    <row r="1128" customFormat="false" ht="15" hidden="false" customHeight="false" outlineLevel="0" collapsed="false">
      <c r="B1128" s="9" t="s">
        <v>961</v>
      </c>
      <c r="C1128" s="121" t="n">
        <f aca="false">SUM(AC1034:AN1034)</f>
        <v>0</v>
      </c>
      <c r="D1128" s="9" t="n">
        <f aca="false">SUM(AO1034:AZ1034)</f>
        <v>0</v>
      </c>
      <c r="E1128" s="9" t="n">
        <f aca="false">SUM(BA1034:BL1034)</f>
        <v>0</v>
      </c>
      <c r="F1128" s="9" t="n">
        <f aca="false">SUM(BM1034:BX1034)</f>
        <v>0</v>
      </c>
      <c r="G1128" s="9" t="n">
        <f aca="false">SUM(BY1034:CJ1034)</f>
        <v>0</v>
      </c>
      <c r="H1128" s="9" t="n">
        <f aca="false">SUM(CK1034:CV1034)</f>
        <v>0</v>
      </c>
      <c r="I1128" s="9" t="n">
        <f aca="false">SUM(CW1034:DH1034)</f>
        <v>0</v>
      </c>
      <c r="J1128" s="9" t="n">
        <f aca="false">SUM(DI1034:DT1034)</f>
        <v>0</v>
      </c>
      <c r="K1128" s="9" t="n">
        <f aca="false">SUM(DU1034:EF1034)</f>
        <v>0</v>
      </c>
      <c r="L1128" s="9" t="n">
        <f aca="false">SUM(EG1034:ER1034)</f>
        <v>0</v>
      </c>
      <c r="M1128" s="9" t="n">
        <f aca="false">SUM(ES1034:FD1034)</f>
        <v>0</v>
      </c>
      <c r="N1128" s="9" t="n">
        <f aca="false">SUM(FE1034:FP1034)</f>
        <v>14168.5621792</v>
      </c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  <c r="BF1128" s="9"/>
      <c r="BG1128" s="9"/>
      <c r="BH1128" s="9"/>
      <c r="BI1128" s="9"/>
      <c r="BJ1128" s="9"/>
      <c r="BK1128" s="9"/>
      <c r="BL1128" s="9"/>
      <c r="BM1128" s="9"/>
      <c r="BN1128" s="9"/>
      <c r="BO1128" s="9"/>
      <c r="BP1128" s="9"/>
      <c r="BQ1128" s="9"/>
      <c r="BR1128" s="9"/>
      <c r="BS1128" s="9"/>
      <c r="BT1128" s="9"/>
      <c r="BU1128" s="9"/>
      <c r="BV1128" s="9"/>
      <c r="BW1128" s="9"/>
      <c r="BX1128" s="9"/>
      <c r="BY1128" s="9"/>
      <c r="BZ1128" s="9"/>
      <c r="CA1128" s="9"/>
      <c r="CB1128" s="9"/>
      <c r="CC1128" s="9"/>
      <c r="CD1128" s="9"/>
      <c r="CE1128" s="9"/>
      <c r="CF1128" s="9"/>
      <c r="CG1128" s="9"/>
      <c r="CH1128" s="9"/>
      <c r="CI1128" s="9"/>
      <c r="CJ1128" s="9"/>
      <c r="CK1128" s="9"/>
      <c r="CL1128" s="9"/>
      <c r="CM1128" s="9"/>
      <c r="CN1128" s="9"/>
      <c r="CO1128" s="9"/>
      <c r="CP1128" s="9"/>
      <c r="CQ1128" s="9"/>
      <c r="CR1128" s="9"/>
      <c r="CS1128" s="9"/>
      <c r="CT1128" s="9"/>
      <c r="CU1128" s="9"/>
      <c r="CV1128" s="9"/>
      <c r="CW1128" s="9"/>
      <c r="CX1128" s="9"/>
      <c r="CY1128" s="9"/>
      <c r="CZ1128" s="9"/>
      <c r="DA1128" s="9"/>
      <c r="DB1128" s="9"/>
      <c r="DC1128" s="9"/>
      <c r="DD1128" s="9"/>
      <c r="DE1128" s="9"/>
      <c r="DF1128" s="9"/>
      <c r="DG1128" s="9"/>
      <c r="DH1128" s="9"/>
      <c r="DI1128" s="9"/>
      <c r="DJ1128" s="9"/>
      <c r="DK1128" s="9"/>
      <c r="DL1128" s="9"/>
      <c r="DM1128" s="9"/>
      <c r="DN1128" s="9"/>
      <c r="DO1128" s="9"/>
      <c r="DP1128" s="9"/>
      <c r="DQ1128" s="9"/>
      <c r="DR1128" s="9"/>
      <c r="DS1128" s="9"/>
      <c r="DT1128" s="9"/>
      <c r="DU1128" s="9"/>
      <c r="DV1128" s="9"/>
      <c r="DW1128" s="9"/>
      <c r="DX1128" s="9"/>
      <c r="DY1128" s="9"/>
      <c r="DZ1128" s="9"/>
      <c r="EA1128" s="9"/>
      <c r="EB1128" s="9"/>
      <c r="EC1128" s="9"/>
      <c r="ED1128" s="9"/>
      <c r="EE1128" s="9"/>
      <c r="EF1128" s="9"/>
      <c r="EG1128" s="9"/>
      <c r="EH1128" s="9"/>
      <c r="EI1128" s="9"/>
      <c r="EJ1128" s="9"/>
      <c r="EK1128" s="9"/>
      <c r="EL1128" s="9"/>
      <c r="EM1128" s="9"/>
      <c r="EN1128" s="9"/>
      <c r="EO1128" s="9"/>
      <c r="EP1128" s="9"/>
      <c r="EQ1128" s="9"/>
      <c r="ER1128" s="9"/>
      <c r="ES1128" s="9"/>
      <c r="ET1128" s="9"/>
      <c r="EU1128" s="9"/>
      <c r="EV1128" s="9"/>
      <c r="EW1128" s="9"/>
      <c r="EX1128" s="9"/>
      <c r="EY1128" s="9"/>
      <c r="EZ1128" s="9"/>
      <c r="FA1128" s="9"/>
      <c r="FB1128" s="9"/>
      <c r="FC1128" s="9"/>
      <c r="FD1128" s="9"/>
      <c r="FE1128" s="9"/>
      <c r="FF1128" s="9"/>
      <c r="FG1128" s="9"/>
      <c r="FH1128" s="9"/>
      <c r="FI1128" s="9"/>
      <c r="FJ1128" s="9"/>
      <c r="FK1128" s="9"/>
      <c r="FL1128" s="9"/>
      <c r="FM1128" s="9"/>
      <c r="FN1128" s="9"/>
      <c r="FO1128" s="9"/>
      <c r="FP1128" s="9"/>
    </row>
    <row r="1129" customFormat="false" ht="15" hidden="false" customHeight="false" outlineLevel="0" collapsed="false">
      <c r="B1129" s="9" t="s">
        <v>962</v>
      </c>
      <c r="C1129" s="121" t="n">
        <f aca="false">SUM(AC1035:AN1035)</f>
        <v>0</v>
      </c>
      <c r="D1129" s="9" t="n">
        <f aca="false">SUM(AO1035:AZ1035)</f>
        <v>0</v>
      </c>
      <c r="E1129" s="9" t="n">
        <f aca="false">SUM(BA1035:BL1035)</f>
        <v>0</v>
      </c>
      <c r="F1129" s="9" t="n">
        <f aca="false">SUM(BM1035:BX1035)</f>
        <v>0</v>
      </c>
      <c r="G1129" s="9" t="n">
        <f aca="false">SUM(BY1035:CJ1035)</f>
        <v>0</v>
      </c>
      <c r="H1129" s="9" t="n">
        <f aca="false">SUM(CK1035:CV1035)</f>
        <v>0</v>
      </c>
      <c r="I1129" s="9" t="n">
        <f aca="false">SUM(CW1035:DH1035)</f>
        <v>0</v>
      </c>
      <c r="J1129" s="9" t="n">
        <f aca="false">SUM(DI1035:DT1035)</f>
        <v>0</v>
      </c>
      <c r="K1129" s="9" t="n">
        <f aca="false">SUM(DU1035:EF1035)</f>
        <v>0</v>
      </c>
      <c r="L1129" s="9" t="n">
        <f aca="false">SUM(EG1035:ER1035)</f>
        <v>0</v>
      </c>
      <c r="M1129" s="9" t="n">
        <f aca="false">SUM(ES1035:FD1035)</f>
        <v>0</v>
      </c>
      <c r="N1129" s="9" t="n">
        <f aca="false">SUM(FE1035:FP1035)</f>
        <v>17700.770304</v>
      </c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  <c r="BF1129" s="9"/>
      <c r="BG1129" s="9"/>
      <c r="BH1129" s="9"/>
      <c r="BI1129" s="9"/>
      <c r="BJ1129" s="9"/>
      <c r="BK1129" s="9"/>
      <c r="BL1129" s="9"/>
      <c r="BM1129" s="9"/>
      <c r="BN1129" s="9"/>
      <c r="BO1129" s="9"/>
      <c r="BP1129" s="9"/>
      <c r="BQ1129" s="9"/>
      <c r="BR1129" s="9"/>
      <c r="BS1129" s="9"/>
      <c r="BT1129" s="9"/>
      <c r="BU1129" s="9"/>
      <c r="BV1129" s="9"/>
      <c r="BW1129" s="9"/>
      <c r="BX1129" s="9"/>
      <c r="BY1129" s="9"/>
      <c r="BZ1129" s="9"/>
      <c r="CA1129" s="9"/>
      <c r="CB1129" s="9"/>
      <c r="CC1129" s="9"/>
      <c r="CD1129" s="9"/>
      <c r="CE1129" s="9"/>
      <c r="CF1129" s="9"/>
      <c r="CG1129" s="9"/>
      <c r="CH1129" s="9"/>
      <c r="CI1129" s="9"/>
      <c r="CJ1129" s="9"/>
      <c r="CK1129" s="9"/>
      <c r="CL1129" s="9"/>
      <c r="CM1129" s="9"/>
      <c r="CN1129" s="9"/>
      <c r="CO1129" s="9"/>
      <c r="CP1129" s="9"/>
      <c r="CQ1129" s="9"/>
      <c r="CR1129" s="9"/>
      <c r="CS1129" s="9"/>
      <c r="CT1129" s="9"/>
      <c r="CU1129" s="9"/>
      <c r="CV1129" s="9"/>
      <c r="CW1129" s="9"/>
      <c r="CX1129" s="9"/>
      <c r="CY1129" s="9"/>
      <c r="CZ1129" s="9"/>
      <c r="DA1129" s="9"/>
      <c r="DB1129" s="9"/>
      <c r="DC1129" s="9"/>
      <c r="DD1129" s="9"/>
      <c r="DE1129" s="9"/>
      <c r="DF1129" s="9"/>
      <c r="DG1129" s="9"/>
      <c r="DH1129" s="9"/>
      <c r="DI1129" s="9"/>
      <c r="DJ1129" s="9"/>
      <c r="DK1129" s="9"/>
      <c r="DL1129" s="9"/>
      <c r="DM1129" s="9"/>
      <c r="DN1129" s="9"/>
      <c r="DO1129" s="9"/>
      <c r="DP1129" s="9"/>
      <c r="DQ1129" s="9"/>
      <c r="DR1129" s="9"/>
      <c r="DS1129" s="9"/>
      <c r="DT1129" s="9"/>
      <c r="DU1129" s="9"/>
      <c r="DV1129" s="9"/>
      <c r="DW1129" s="9"/>
      <c r="DX1129" s="9"/>
      <c r="DY1129" s="9"/>
      <c r="DZ1129" s="9"/>
      <c r="EA1129" s="9"/>
      <c r="EB1129" s="9"/>
      <c r="EC1129" s="9"/>
      <c r="ED1129" s="9"/>
      <c r="EE1129" s="9"/>
      <c r="EF1129" s="9"/>
      <c r="EG1129" s="9"/>
      <c r="EH1129" s="9"/>
      <c r="EI1129" s="9"/>
      <c r="EJ1129" s="9"/>
      <c r="EK1129" s="9"/>
      <c r="EL1129" s="9"/>
      <c r="EM1129" s="9"/>
      <c r="EN1129" s="9"/>
      <c r="EO1129" s="9"/>
      <c r="EP1129" s="9"/>
      <c r="EQ1129" s="9"/>
      <c r="ER1129" s="9"/>
      <c r="ES1129" s="9"/>
      <c r="ET1129" s="9"/>
      <c r="EU1129" s="9"/>
      <c r="EV1129" s="9"/>
      <c r="EW1129" s="9"/>
      <c r="EX1129" s="9"/>
      <c r="EY1129" s="9"/>
      <c r="EZ1129" s="9"/>
      <c r="FA1129" s="9"/>
      <c r="FB1129" s="9"/>
      <c r="FC1129" s="9"/>
      <c r="FD1129" s="9"/>
      <c r="FE1129" s="9"/>
      <c r="FF1129" s="9"/>
      <c r="FG1129" s="9"/>
      <c r="FH1129" s="9"/>
      <c r="FI1129" s="9"/>
      <c r="FJ1129" s="9"/>
      <c r="FK1129" s="9"/>
      <c r="FL1129" s="9"/>
      <c r="FM1129" s="9"/>
      <c r="FN1129" s="9"/>
      <c r="FO1129" s="9"/>
      <c r="FP1129" s="9"/>
    </row>
    <row r="1130" customFormat="false" ht="15" hidden="false" customHeight="false" outlineLevel="0" collapsed="false">
      <c r="B1130" s="9" t="s">
        <v>963</v>
      </c>
      <c r="C1130" s="121" t="n">
        <f aca="false">SUM(AC1036:AN1036)</f>
        <v>0</v>
      </c>
      <c r="D1130" s="9" t="n">
        <f aca="false">SUM(AO1036:AZ1036)</f>
        <v>0</v>
      </c>
      <c r="E1130" s="9" t="n">
        <f aca="false">SUM(BA1036:BL1036)</f>
        <v>0</v>
      </c>
      <c r="F1130" s="9" t="n">
        <f aca="false">SUM(BM1036:BX1036)</f>
        <v>0</v>
      </c>
      <c r="G1130" s="9" t="n">
        <f aca="false">SUM(BY1036:CJ1036)</f>
        <v>0</v>
      </c>
      <c r="H1130" s="9" t="n">
        <f aca="false">SUM(CK1036:CV1036)</f>
        <v>0</v>
      </c>
      <c r="I1130" s="9" t="n">
        <f aca="false">SUM(CW1036:DH1036)</f>
        <v>0</v>
      </c>
      <c r="J1130" s="9" t="n">
        <f aca="false">SUM(DI1036:DT1036)</f>
        <v>0</v>
      </c>
      <c r="K1130" s="9" t="n">
        <f aca="false">SUM(DU1036:EF1036)</f>
        <v>0</v>
      </c>
      <c r="L1130" s="9" t="n">
        <f aca="false">SUM(EG1036:ER1036)</f>
        <v>0</v>
      </c>
      <c r="M1130" s="9" t="n">
        <f aca="false">SUM(ES1036:FD1036)</f>
        <v>0</v>
      </c>
      <c r="N1130" s="9" t="n">
        <f aca="false">SUM(FE1036:FP1036)</f>
        <v>9374.87352</v>
      </c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  <c r="BF1130" s="9"/>
      <c r="BG1130" s="9"/>
      <c r="BH1130" s="9"/>
      <c r="BI1130" s="9"/>
      <c r="BJ1130" s="9"/>
      <c r="BK1130" s="9"/>
      <c r="BL1130" s="9"/>
      <c r="BM1130" s="9"/>
      <c r="BN1130" s="9"/>
      <c r="BO1130" s="9"/>
      <c r="BP1130" s="9"/>
      <c r="BQ1130" s="9"/>
      <c r="BR1130" s="9"/>
      <c r="BS1130" s="9"/>
      <c r="BT1130" s="9"/>
      <c r="BU1130" s="9"/>
      <c r="BV1130" s="9"/>
      <c r="BW1130" s="9"/>
      <c r="BX1130" s="9"/>
      <c r="BY1130" s="9"/>
      <c r="BZ1130" s="9"/>
      <c r="CA1130" s="9"/>
      <c r="CB1130" s="9"/>
      <c r="CC1130" s="9"/>
      <c r="CD1130" s="9"/>
      <c r="CE1130" s="9"/>
      <c r="CF1130" s="9"/>
      <c r="CG1130" s="9"/>
      <c r="CH1130" s="9"/>
      <c r="CI1130" s="9"/>
      <c r="CJ1130" s="9"/>
      <c r="CK1130" s="9"/>
      <c r="CL1130" s="9"/>
      <c r="CM1130" s="9"/>
      <c r="CN1130" s="9"/>
      <c r="CO1130" s="9"/>
      <c r="CP1130" s="9"/>
      <c r="CQ1130" s="9"/>
      <c r="CR1130" s="9"/>
      <c r="CS1130" s="9"/>
      <c r="CT1130" s="9"/>
      <c r="CU1130" s="9"/>
      <c r="CV1130" s="9"/>
      <c r="CW1130" s="9"/>
      <c r="CX1130" s="9"/>
      <c r="CY1130" s="9"/>
      <c r="CZ1130" s="9"/>
      <c r="DA1130" s="9"/>
      <c r="DB1130" s="9"/>
      <c r="DC1130" s="9"/>
      <c r="DD1130" s="9"/>
      <c r="DE1130" s="9"/>
      <c r="DF1130" s="9"/>
      <c r="DG1130" s="9"/>
      <c r="DH1130" s="9"/>
      <c r="DI1130" s="9"/>
      <c r="DJ1130" s="9"/>
      <c r="DK1130" s="9"/>
      <c r="DL1130" s="9"/>
      <c r="DM1130" s="9"/>
      <c r="DN1130" s="9"/>
      <c r="DO1130" s="9"/>
      <c r="DP1130" s="9"/>
      <c r="DQ1130" s="9"/>
      <c r="DR1130" s="9"/>
      <c r="DS1130" s="9"/>
      <c r="DT1130" s="9"/>
      <c r="DU1130" s="9"/>
      <c r="DV1130" s="9"/>
      <c r="DW1130" s="9"/>
      <c r="DX1130" s="9"/>
      <c r="DY1130" s="9"/>
      <c r="DZ1130" s="9"/>
      <c r="EA1130" s="9"/>
      <c r="EB1130" s="9"/>
      <c r="EC1130" s="9"/>
      <c r="ED1130" s="9"/>
      <c r="EE1130" s="9"/>
      <c r="EF1130" s="9"/>
      <c r="EG1130" s="9"/>
      <c r="EH1130" s="9"/>
      <c r="EI1130" s="9"/>
      <c r="EJ1130" s="9"/>
      <c r="EK1130" s="9"/>
      <c r="EL1130" s="9"/>
      <c r="EM1130" s="9"/>
      <c r="EN1130" s="9"/>
      <c r="EO1130" s="9"/>
      <c r="EP1130" s="9"/>
      <c r="EQ1130" s="9"/>
      <c r="ER1130" s="9"/>
      <c r="ES1130" s="9"/>
      <c r="ET1130" s="9"/>
      <c r="EU1130" s="9"/>
      <c r="EV1130" s="9"/>
      <c r="EW1130" s="9"/>
      <c r="EX1130" s="9"/>
      <c r="EY1130" s="9"/>
      <c r="EZ1130" s="9"/>
      <c r="FA1130" s="9"/>
      <c r="FB1130" s="9"/>
      <c r="FC1130" s="9"/>
      <c r="FD1130" s="9"/>
      <c r="FE1130" s="9"/>
      <c r="FF1130" s="9"/>
      <c r="FG1130" s="9"/>
      <c r="FH1130" s="9"/>
      <c r="FI1130" s="9"/>
      <c r="FJ1130" s="9"/>
      <c r="FK1130" s="9"/>
      <c r="FL1130" s="9"/>
      <c r="FM1130" s="9"/>
      <c r="FN1130" s="9"/>
      <c r="FO1130" s="9"/>
      <c r="FP1130" s="9"/>
    </row>
    <row r="1131" customFormat="false" ht="15" hidden="false" customHeight="false" outlineLevel="0" collapsed="false">
      <c r="B1131" s="9" t="s">
        <v>964</v>
      </c>
      <c r="C1131" s="121" t="n">
        <f aca="false">SUM(AC1037:AN1037)</f>
        <v>0</v>
      </c>
      <c r="D1131" s="9" t="n">
        <f aca="false">SUM(AO1037:AZ1037)</f>
        <v>0</v>
      </c>
      <c r="E1131" s="9" t="n">
        <f aca="false">SUM(BA1037:BL1037)</f>
        <v>0</v>
      </c>
      <c r="F1131" s="9" t="n">
        <f aca="false">SUM(BM1037:BX1037)</f>
        <v>0</v>
      </c>
      <c r="G1131" s="9" t="n">
        <f aca="false">SUM(BY1037:CJ1037)</f>
        <v>0</v>
      </c>
      <c r="H1131" s="9" t="n">
        <f aca="false">SUM(CK1037:CV1037)</f>
        <v>0</v>
      </c>
      <c r="I1131" s="9" t="n">
        <f aca="false">SUM(CW1037:DH1037)</f>
        <v>0</v>
      </c>
      <c r="J1131" s="9" t="n">
        <f aca="false">SUM(DI1037:DT1037)</f>
        <v>0</v>
      </c>
      <c r="K1131" s="9" t="n">
        <f aca="false">SUM(DU1037:EF1037)</f>
        <v>0</v>
      </c>
      <c r="L1131" s="9" t="n">
        <f aca="false">SUM(EG1037:ER1037)</f>
        <v>0</v>
      </c>
      <c r="M1131" s="9" t="n">
        <f aca="false">SUM(ES1037:FD1037)</f>
        <v>0</v>
      </c>
      <c r="N1131" s="9" t="n">
        <f aca="false">SUM(FE1037:FP1037)</f>
        <v>2939.64</v>
      </c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  <c r="BF1131" s="9"/>
      <c r="BG1131" s="9"/>
      <c r="BH1131" s="9"/>
      <c r="BI1131" s="9"/>
      <c r="BJ1131" s="9"/>
      <c r="BK1131" s="9"/>
      <c r="BL1131" s="9"/>
      <c r="BM1131" s="9"/>
      <c r="BN1131" s="9"/>
      <c r="BO1131" s="9"/>
      <c r="BP1131" s="9"/>
      <c r="BQ1131" s="9"/>
      <c r="BR1131" s="9"/>
      <c r="BS1131" s="9"/>
      <c r="BT1131" s="9"/>
      <c r="BU1131" s="9"/>
      <c r="BV1131" s="9"/>
      <c r="BW1131" s="9"/>
      <c r="BX1131" s="9"/>
      <c r="BY1131" s="9"/>
      <c r="BZ1131" s="9"/>
      <c r="CA1131" s="9"/>
      <c r="CB1131" s="9"/>
      <c r="CC1131" s="9"/>
      <c r="CD1131" s="9"/>
      <c r="CE1131" s="9"/>
      <c r="CF1131" s="9"/>
      <c r="CG1131" s="9"/>
      <c r="CH1131" s="9"/>
      <c r="CI1131" s="9"/>
      <c r="CJ1131" s="9"/>
      <c r="CK1131" s="9"/>
      <c r="CL1131" s="9"/>
      <c r="CM1131" s="9"/>
      <c r="CN1131" s="9"/>
      <c r="CO1131" s="9"/>
      <c r="CP1131" s="9"/>
      <c r="CQ1131" s="9"/>
      <c r="CR1131" s="9"/>
      <c r="CS1131" s="9"/>
      <c r="CT1131" s="9"/>
      <c r="CU1131" s="9"/>
      <c r="CV1131" s="9"/>
      <c r="CW1131" s="9"/>
      <c r="CX1131" s="9"/>
      <c r="CY1131" s="9"/>
      <c r="CZ1131" s="9"/>
      <c r="DA1131" s="9"/>
      <c r="DB1131" s="9"/>
      <c r="DC1131" s="9"/>
      <c r="DD1131" s="9"/>
      <c r="DE1131" s="9"/>
      <c r="DF1131" s="9"/>
      <c r="DG1131" s="9"/>
      <c r="DH1131" s="9"/>
      <c r="DI1131" s="9"/>
      <c r="DJ1131" s="9"/>
      <c r="DK1131" s="9"/>
      <c r="DL1131" s="9"/>
      <c r="DM1131" s="9"/>
      <c r="DN1131" s="9"/>
      <c r="DO1131" s="9"/>
      <c r="DP1131" s="9"/>
      <c r="DQ1131" s="9"/>
      <c r="DR1131" s="9"/>
      <c r="DS1131" s="9"/>
      <c r="DT1131" s="9"/>
      <c r="DU1131" s="9"/>
      <c r="DV1131" s="9"/>
      <c r="DW1131" s="9"/>
      <c r="DX1131" s="9"/>
      <c r="DY1131" s="9"/>
      <c r="DZ1131" s="9"/>
      <c r="EA1131" s="9"/>
      <c r="EB1131" s="9"/>
      <c r="EC1131" s="9"/>
      <c r="ED1131" s="9"/>
      <c r="EE1131" s="9"/>
      <c r="EF1131" s="9"/>
      <c r="EG1131" s="9"/>
      <c r="EH1131" s="9"/>
      <c r="EI1131" s="9"/>
      <c r="EJ1131" s="9"/>
      <c r="EK1131" s="9"/>
      <c r="EL1131" s="9"/>
      <c r="EM1131" s="9"/>
      <c r="EN1131" s="9"/>
      <c r="EO1131" s="9"/>
      <c r="EP1131" s="9"/>
      <c r="EQ1131" s="9"/>
      <c r="ER1131" s="9"/>
      <c r="ES1131" s="9"/>
      <c r="ET1131" s="9"/>
      <c r="EU1131" s="9"/>
      <c r="EV1131" s="9"/>
      <c r="EW1131" s="9"/>
      <c r="EX1131" s="9"/>
      <c r="EY1131" s="9"/>
      <c r="EZ1131" s="9"/>
      <c r="FA1131" s="9"/>
      <c r="FB1131" s="9"/>
      <c r="FC1131" s="9"/>
      <c r="FD1131" s="9"/>
      <c r="FE1131" s="9"/>
      <c r="FF1131" s="9"/>
      <c r="FG1131" s="9"/>
      <c r="FH1131" s="9"/>
      <c r="FI1131" s="9"/>
      <c r="FJ1131" s="9"/>
      <c r="FK1131" s="9"/>
      <c r="FL1131" s="9"/>
      <c r="FM1131" s="9"/>
      <c r="FN1131" s="9"/>
      <c r="FO1131" s="9"/>
      <c r="FP1131" s="9"/>
    </row>
    <row r="1132" customFormat="false" ht="15.75" hidden="false" customHeight="true" outlineLevel="0" collapsed="false">
      <c r="B1132" s="183" t="s">
        <v>1029</v>
      </c>
      <c r="C1132" s="184" t="n">
        <f aca="false">SUM(C1044:C1131)</f>
        <v>239331.800872</v>
      </c>
      <c r="D1132" s="184" t="n">
        <f aca="false">SUM(D1044:D1131)</f>
        <v>805589.4871564</v>
      </c>
      <c r="E1132" s="184" t="n">
        <f aca="false">SUM(E1044:E1131)</f>
        <v>1754139.41536604</v>
      </c>
      <c r="F1132" s="184" t="n">
        <f aca="false">SUM(F1044:F1131)</f>
        <v>3320711.4869738</v>
      </c>
      <c r="G1132" s="184" t="n">
        <f aca="false">SUM(G1044:G1131)</f>
        <v>5283125.67358052</v>
      </c>
      <c r="H1132" s="184" t="n">
        <f aca="false">SUM(H1044:H1131)</f>
        <v>6797363.90175636</v>
      </c>
      <c r="I1132" s="184" t="n">
        <f aca="false">SUM(I1044:I1131)</f>
        <v>8160446.17022388</v>
      </c>
      <c r="J1132" s="184" t="n">
        <f aca="false">SUM(J1044:J1131)</f>
        <v>9799173.67205212</v>
      </c>
      <c r="K1132" s="184" t="n">
        <f aca="false">SUM(K1044:K1131)</f>
        <v>11373603.0490671</v>
      </c>
      <c r="L1132" s="184" t="n">
        <f aca="false">SUM(L1044:L1131)</f>
        <v>13685957.6239102</v>
      </c>
      <c r="M1132" s="184" t="n">
        <f aca="false">SUM(M1044:M1131)</f>
        <v>16724221.7473744</v>
      </c>
      <c r="N1132" s="181" t="n">
        <f aca="false">SUM(N1044:N1131)</f>
        <v>20087364.7568569</v>
      </c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  <c r="BF1132" s="9"/>
      <c r="BG1132" s="9"/>
      <c r="BH1132" s="9"/>
      <c r="BI1132" s="9"/>
      <c r="BJ1132" s="9"/>
      <c r="BK1132" s="9"/>
      <c r="BL1132" s="9"/>
      <c r="BM1132" s="9"/>
      <c r="BN1132" s="9"/>
      <c r="BO1132" s="9"/>
      <c r="BP1132" s="9"/>
      <c r="BQ1132" s="9"/>
      <c r="BR1132" s="9"/>
      <c r="BS1132" s="9"/>
      <c r="BT1132" s="9"/>
      <c r="BU1132" s="9"/>
      <c r="BV1132" s="9"/>
      <c r="BW1132" s="9"/>
      <c r="BX1132" s="9"/>
      <c r="BY1132" s="9"/>
      <c r="BZ1132" s="9"/>
      <c r="CA1132" s="9"/>
      <c r="CB1132" s="9"/>
      <c r="CC1132" s="9"/>
      <c r="CD1132" s="9"/>
      <c r="CE1132" s="9"/>
      <c r="CF1132" s="9"/>
      <c r="CG1132" s="9"/>
      <c r="CH1132" s="9"/>
      <c r="CI1132" s="9"/>
      <c r="CJ1132" s="9"/>
      <c r="CK1132" s="9"/>
      <c r="CL1132" s="9"/>
      <c r="CM1132" s="9"/>
      <c r="CN1132" s="9"/>
      <c r="CO1132" s="9"/>
      <c r="CP1132" s="9"/>
      <c r="CQ1132" s="9"/>
      <c r="CR1132" s="9"/>
      <c r="CS1132" s="9"/>
      <c r="CT1132" s="9"/>
      <c r="CU1132" s="9"/>
      <c r="CV1132" s="9"/>
      <c r="CW1132" s="9"/>
      <c r="CX1132" s="9"/>
      <c r="CY1132" s="9"/>
      <c r="CZ1132" s="9"/>
      <c r="DA1132" s="9"/>
      <c r="DB1132" s="9"/>
      <c r="DC1132" s="9"/>
      <c r="DD1132" s="9"/>
      <c r="DE1132" s="9"/>
      <c r="DF1132" s="9"/>
      <c r="DG1132" s="9"/>
      <c r="DH1132" s="9"/>
      <c r="DI1132" s="9"/>
      <c r="DJ1132" s="9"/>
      <c r="DK1132" s="9"/>
      <c r="DL1132" s="9"/>
      <c r="DM1132" s="9"/>
      <c r="DN1132" s="9"/>
      <c r="DO1132" s="9"/>
      <c r="DP1132" s="9"/>
      <c r="DQ1132" s="9"/>
      <c r="DR1132" s="9"/>
      <c r="DS1132" s="9"/>
      <c r="DT1132" s="9"/>
      <c r="DU1132" s="9"/>
      <c r="DV1132" s="9"/>
      <c r="DW1132" s="9"/>
      <c r="DX1132" s="9"/>
      <c r="DY1132" s="9"/>
      <c r="DZ1132" s="9"/>
      <c r="EA1132" s="9"/>
      <c r="EB1132" s="9"/>
      <c r="EC1132" s="9"/>
      <c r="ED1132" s="9"/>
      <c r="EE1132" s="9"/>
      <c r="EF1132" s="9"/>
      <c r="EG1132" s="9"/>
      <c r="EH1132" s="9"/>
      <c r="EI1132" s="9"/>
      <c r="EJ1132" s="9"/>
      <c r="EK1132" s="9"/>
      <c r="EL1132" s="9"/>
      <c r="EM1132" s="9"/>
      <c r="EN1132" s="9"/>
      <c r="EO1132" s="9"/>
      <c r="EP1132" s="9"/>
      <c r="EQ1132" s="9"/>
      <c r="ER1132" s="9"/>
      <c r="ES1132" s="9"/>
      <c r="ET1132" s="9"/>
      <c r="EU1132" s="9"/>
      <c r="EV1132" s="9"/>
      <c r="EW1132" s="9"/>
      <c r="EX1132" s="9"/>
      <c r="EY1132" s="9"/>
      <c r="EZ1132" s="9"/>
      <c r="FA1132" s="9"/>
      <c r="FB1132" s="9"/>
      <c r="FC1132" s="9"/>
      <c r="FD1132" s="9"/>
      <c r="FE1132" s="9"/>
      <c r="FF1132" s="9"/>
      <c r="FG1132" s="9"/>
      <c r="FH1132" s="9"/>
      <c r="FI1132" s="9"/>
      <c r="FJ1132" s="9"/>
      <c r="FK1132" s="9"/>
      <c r="FL1132" s="9"/>
      <c r="FM1132" s="9"/>
      <c r="FN1132" s="9"/>
      <c r="FO1132" s="9"/>
      <c r="FP1132" s="9"/>
    </row>
    <row r="1133" customFormat="false" ht="15.75" hidden="false" customHeight="true" outlineLevel="0" collapsed="false">
      <c r="B1133" s="254" t="s">
        <v>1030</v>
      </c>
      <c r="C1133" s="28" t="n">
        <f aca="false">SUM(AC1039:AN1039)</f>
        <v>0</v>
      </c>
      <c r="D1133" s="28" t="n">
        <f aca="false">SUM(AO1039:AZ1039)</f>
        <v>0</v>
      </c>
      <c r="E1133" s="28" t="n">
        <f aca="false">SUM(BA1039:BL1039)</f>
        <v>0</v>
      </c>
      <c r="F1133" s="28" t="n">
        <f aca="false">SUM(BM1039:BX1039)</f>
        <v>0</v>
      </c>
      <c r="G1133" s="28" t="n">
        <f aca="false">SUM(BY1039:CJ1039)</f>
        <v>0</v>
      </c>
      <c r="H1133" s="28" t="n">
        <f aca="false">SUM(CK1039:CV1039)</f>
        <v>0</v>
      </c>
      <c r="I1133" s="28" t="n">
        <f aca="false">SUM(CW1039:DH1039)</f>
        <v>0</v>
      </c>
      <c r="J1133" s="28" t="n">
        <f aca="false">SUM(DI1039:DT1039)</f>
        <v>0</v>
      </c>
      <c r="K1133" s="28" t="n">
        <f aca="false">SUM(DU1039:EF1039)</f>
        <v>0</v>
      </c>
      <c r="L1133" s="28" t="n">
        <f aca="false">SUM(EG1039:EQ1039)</f>
        <v>0</v>
      </c>
      <c r="M1133" s="121" t="n">
        <f aca="false">SUM(ES1039:FC1039)</f>
        <v>0</v>
      </c>
      <c r="N1133" s="9" t="n">
        <f aca="false">SUM(FE1039:FO1039)</f>
        <v>0</v>
      </c>
      <c r="O1133" s="9"/>
      <c r="P1133" s="9"/>
      <c r="Q1133" s="9"/>
      <c r="R1133" s="9"/>
      <c r="S1133" s="9"/>
      <c r="T1133" s="9" t="n">
        <v>0.0125</v>
      </c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  <c r="BF1133" s="9"/>
      <c r="BG1133" s="9"/>
      <c r="BH1133" s="9"/>
      <c r="BI1133" s="9"/>
      <c r="BJ1133" s="9"/>
      <c r="BK1133" s="9"/>
      <c r="BL1133" s="9"/>
      <c r="BM1133" s="9"/>
      <c r="BN1133" s="9"/>
      <c r="BO1133" s="9"/>
      <c r="BP1133" s="9"/>
      <c r="BQ1133" s="9"/>
      <c r="BR1133" s="9"/>
      <c r="BS1133" s="9"/>
      <c r="BT1133" s="9"/>
      <c r="BU1133" s="9"/>
      <c r="BV1133" s="9"/>
      <c r="BW1133" s="9"/>
      <c r="BX1133" s="9"/>
      <c r="BY1133" s="9"/>
      <c r="BZ1133" s="9"/>
      <c r="CA1133" s="9"/>
      <c r="CB1133" s="9"/>
      <c r="CC1133" s="9"/>
      <c r="CD1133" s="9"/>
      <c r="CE1133" s="9"/>
      <c r="CF1133" s="9"/>
      <c r="CG1133" s="9"/>
      <c r="CH1133" s="9"/>
      <c r="CI1133" s="9"/>
      <c r="CJ1133" s="9"/>
      <c r="CK1133" s="9"/>
      <c r="CL1133" s="9"/>
      <c r="CM1133" s="9"/>
      <c r="CN1133" s="9"/>
      <c r="CO1133" s="9"/>
      <c r="CP1133" s="9"/>
      <c r="CQ1133" s="9"/>
      <c r="CR1133" s="9"/>
      <c r="CS1133" s="9"/>
      <c r="CT1133" s="9"/>
      <c r="CU1133" s="9"/>
      <c r="CV1133" s="9"/>
      <c r="CW1133" s="9"/>
      <c r="CX1133" s="9"/>
      <c r="CY1133" s="9"/>
      <c r="CZ1133" s="9"/>
      <c r="DA1133" s="9"/>
      <c r="DB1133" s="9"/>
      <c r="DC1133" s="9"/>
      <c r="DD1133" s="9"/>
      <c r="DE1133" s="9"/>
      <c r="DF1133" s="9"/>
      <c r="DG1133" s="9"/>
      <c r="DH1133" s="9"/>
      <c r="DI1133" s="9"/>
      <c r="DJ1133" s="9"/>
      <c r="DK1133" s="9"/>
      <c r="DL1133" s="9"/>
      <c r="DM1133" s="9"/>
      <c r="DN1133" s="9"/>
      <c r="DO1133" s="9"/>
      <c r="DP1133" s="9"/>
      <c r="DQ1133" s="9"/>
      <c r="DR1133" s="9"/>
      <c r="DS1133" s="9"/>
      <c r="DT1133" s="9"/>
      <c r="DU1133" s="9"/>
      <c r="DV1133" s="9"/>
      <c r="DW1133" s="9"/>
      <c r="DX1133" s="9"/>
      <c r="DY1133" s="9"/>
      <c r="DZ1133" s="9"/>
      <c r="EA1133" s="9"/>
      <c r="EB1133" s="9"/>
      <c r="EC1133" s="9"/>
      <c r="ED1133" s="9"/>
      <c r="EE1133" s="9"/>
      <c r="EF1133" s="9"/>
      <c r="EG1133" s="9"/>
      <c r="EH1133" s="9"/>
      <c r="EI1133" s="9"/>
      <c r="EJ1133" s="9"/>
      <c r="EK1133" s="9"/>
      <c r="EL1133" s="9"/>
      <c r="EM1133" s="9"/>
      <c r="EN1133" s="9"/>
      <c r="EO1133" s="9"/>
      <c r="EP1133" s="9"/>
      <c r="EQ1133" s="9"/>
      <c r="ER1133" s="9"/>
      <c r="ES1133" s="9"/>
      <c r="ET1133" s="9"/>
      <c r="EU1133" s="9"/>
      <c r="EV1133" s="9"/>
      <c r="EW1133" s="9"/>
      <c r="EX1133" s="9"/>
      <c r="EY1133" s="9"/>
      <c r="EZ1133" s="9"/>
      <c r="FA1133" s="9"/>
      <c r="FB1133" s="9"/>
      <c r="FC1133" s="9"/>
      <c r="FD1133" s="9"/>
      <c r="FE1133" s="9"/>
      <c r="FF1133" s="9"/>
      <c r="FG1133" s="9"/>
      <c r="FH1133" s="9"/>
      <c r="FI1133" s="9"/>
      <c r="FJ1133" s="9"/>
      <c r="FK1133" s="9"/>
      <c r="FL1133" s="9"/>
      <c r="FM1133" s="9"/>
      <c r="FN1133" s="9"/>
      <c r="FO1133" s="9"/>
      <c r="FP1133" s="9"/>
    </row>
    <row r="1134" customFormat="false" ht="15" hidden="false" customHeight="false" outlineLevel="0" collapsed="false">
      <c r="B1134" s="254" t="s">
        <v>1031</v>
      </c>
      <c r="C1134" s="55" t="n">
        <f aca="false">C1132+C1133</f>
        <v>239331.800872</v>
      </c>
      <c r="D1134" s="55" t="n">
        <f aca="false">D1132+D1133</f>
        <v>805589.4871564</v>
      </c>
      <c r="E1134" s="55" t="n">
        <f aca="false">E1132+E1133</f>
        <v>1754139.41536604</v>
      </c>
      <c r="F1134" s="55" t="n">
        <f aca="false">F1132+F1133</f>
        <v>3320711.4869738</v>
      </c>
      <c r="G1134" s="55" t="n">
        <f aca="false">G1132+G1133</f>
        <v>5283125.67358052</v>
      </c>
      <c r="H1134" s="55" t="n">
        <f aca="false">H1132+H1133</f>
        <v>6797363.90175636</v>
      </c>
      <c r="I1134" s="55" t="n">
        <f aca="false">I1132+I1133</f>
        <v>8160446.17022388</v>
      </c>
      <c r="J1134" s="55" t="n">
        <f aca="false">J1132+J1133</f>
        <v>9799173.67205212</v>
      </c>
      <c r="K1134" s="55" t="n">
        <f aca="false">K1132+K1133</f>
        <v>11373603.0490671</v>
      </c>
      <c r="L1134" s="55" t="n">
        <f aca="false">L1132+L1133</f>
        <v>13685957.6239102</v>
      </c>
      <c r="M1134" s="121" t="n">
        <f aca="false">M1132+M1133</f>
        <v>16724221.7473744</v>
      </c>
      <c r="N1134" s="121" t="n">
        <f aca="false">N1132+N1133</f>
        <v>20087364.7568569</v>
      </c>
      <c r="O1134" s="9"/>
      <c r="P1134" s="9"/>
      <c r="Q1134" s="9"/>
      <c r="R1134" s="9"/>
      <c r="S1134" s="9"/>
      <c r="T1134" s="9" t="n">
        <v>0.0125</v>
      </c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  <c r="BF1134" s="9"/>
      <c r="BG1134" s="9"/>
      <c r="BH1134" s="9"/>
      <c r="BI1134" s="9"/>
      <c r="BJ1134" s="9"/>
      <c r="BK1134" s="9"/>
      <c r="BL1134" s="9"/>
      <c r="BM1134" s="9"/>
      <c r="BN1134" s="9"/>
      <c r="BO1134" s="9"/>
      <c r="BP1134" s="9"/>
      <c r="BQ1134" s="9"/>
      <c r="BR1134" s="9"/>
      <c r="BS1134" s="9"/>
      <c r="BT1134" s="9"/>
      <c r="BU1134" s="9"/>
      <c r="BV1134" s="9"/>
      <c r="BW1134" s="9"/>
      <c r="BX1134" s="9"/>
      <c r="BY1134" s="9"/>
      <c r="BZ1134" s="9"/>
      <c r="CA1134" s="9"/>
      <c r="CB1134" s="9"/>
      <c r="CC1134" s="9"/>
      <c r="CD1134" s="9"/>
      <c r="CE1134" s="9"/>
      <c r="CF1134" s="9"/>
      <c r="CG1134" s="9"/>
      <c r="CH1134" s="9"/>
      <c r="CI1134" s="9"/>
      <c r="CJ1134" s="9"/>
      <c r="CK1134" s="9"/>
      <c r="CL1134" s="9"/>
      <c r="CM1134" s="9"/>
      <c r="CN1134" s="9"/>
      <c r="CO1134" s="9"/>
      <c r="CP1134" s="9"/>
      <c r="CQ1134" s="9"/>
      <c r="CR1134" s="9"/>
      <c r="CS1134" s="9"/>
      <c r="CT1134" s="9"/>
      <c r="CU1134" s="9"/>
      <c r="CV1134" s="9"/>
      <c r="CW1134" s="9"/>
      <c r="CX1134" s="9"/>
      <c r="CY1134" s="9"/>
      <c r="CZ1134" s="9"/>
      <c r="DA1134" s="9"/>
      <c r="DB1134" s="9"/>
      <c r="DC1134" s="9"/>
      <c r="DD1134" s="9"/>
      <c r="DE1134" s="9"/>
      <c r="DF1134" s="9"/>
      <c r="DG1134" s="9"/>
      <c r="DH1134" s="9"/>
      <c r="DI1134" s="9"/>
      <c r="DJ1134" s="9"/>
      <c r="DK1134" s="9"/>
      <c r="DL1134" s="9"/>
      <c r="DM1134" s="9"/>
      <c r="DN1134" s="9"/>
      <c r="DO1134" s="9"/>
      <c r="DP1134" s="9"/>
      <c r="DQ1134" s="9"/>
      <c r="DR1134" s="9"/>
      <c r="DS1134" s="9"/>
      <c r="DT1134" s="9"/>
      <c r="DU1134" s="9"/>
      <c r="DV1134" s="9"/>
      <c r="DW1134" s="9"/>
      <c r="DX1134" s="9"/>
      <c r="DY1134" s="9"/>
      <c r="DZ1134" s="9"/>
      <c r="EA1134" s="9"/>
      <c r="EB1134" s="9"/>
      <c r="EC1134" s="9"/>
      <c r="ED1134" s="9"/>
      <c r="EE1134" s="9"/>
      <c r="EF1134" s="9"/>
      <c r="EG1134" s="9"/>
      <c r="EH1134" s="9"/>
      <c r="EI1134" s="9"/>
      <c r="EJ1134" s="9"/>
      <c r="EK1134" s="9"/>
      <c r="EL1134" s="9"/>
      <c r="EM1134" s="9"/>
      <c r="EN1134" s="9"/>
      <c r="EO1134" s="9"/>
      <c r="EP1134" s="9"/>
      <c r="EQ1134" s="9"/>
      <c r="ER1134" s="9"/>
      <c r="ES1134" s="9"/>
      <c r="ET1134" s="9"/>
      <c r="EU1134" s="9"/>
      <c r="EV1134" s="9"/>
      <c r="EW1134" s="9"/>
      <c r="EX1134" s="9"/>
      <c r="EY1134" s="9"/>
      <c r="EZ1134" s="9"/>
      <c r="FA1134" s="9"/>
      <c r="FB1134" s="9"/>
      <c r="FC1134" s="9"/>
      <c r="FD1134" s="9"/>
      <c r="FE1134" s="9"/>
      <c r="FF1134" s="9"/>
      <c r="FG1134" s="9"/>
      <c r="FH1134" s="9"/>
      <c r="FI1134" s="9"/>
      <c r="FJ1134" s="9"/>
      <c r="FK1134" s="9"/>
      <c r="FL1134" s="9"/>
      <c r="FM1134" s="9"/>
      <c r="FN1134" s="9"/>
      <c r="FO1134" s="9"/>
      <c r="FP1134" s="9"/>
    </row>
    <row r="1135" customFormat="false" ht="15" hidden="true" customHeight="false" outlineLevel="1" collapsed="false"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  <c r="BF1135" s="9"/>
      <c r="BG1135" s="9"/>
      <c r="BH1135" s="9"/>
      <c r="BI1135" s="9"/>
      <c r="BJ1135" s="9"/>
      <c r="BK1135" s="9"/>
      <c r="BL1135" s="9"/>
      <c r="BM1135" s="9"/>
      <c r="BN1135" s="9"/>
      <c r="BO1135" s="9"/>
      <c r="BP1135" s="9"/>
      <c r="BQ1135" s="9"/>
      <c r="BR1135" s="9"/>
      <c r="BS1135" s="9"/>
      <c r="BT1135" s="9"/>
      <c r="BU1135" s="9"/>
      <c r="BV1135" s="9"/>
      <c r="BW1135" s="9"/>
      <c r="BX1135" s="9"/>
      <c r="BY1135" s="9"/>
      <c r="BZ1135" s="9"/>
      <c r="CA1135" s="9"/>
      <c r="CB1135" s="9"/>
      <c r="CC1135" s="9"/>
      <c r="CD1135" s="9"/>
      <c r="CE1135" s="9"/>
      <c r="CF1135" s="9"/>
      <c r="CG1135" s="9"/>
      <c r="CH1135" s="9"/>
      <c r="CI1135" s="9"/>
      <c r="CJ1135" s="9"/>
      <c r="CK1135" s="9"/>
      <c r="CL1135" s="9"/>
      <c r="CM1135" s="9"/>
      <c r="CN1135" s="9"/>
      <c r="CO1135" s="9"/>
      <c r="CP1135" s="9"/>
      <c r="CQ1135" s="9"/>
      <c r="CR1135" s="9"/>
      <c r="CS1135" s="9"/>
      <c r="CT1135" s="9"/>
      <c r="CU1135" s="9"/>
      <c r="CV1135" s="9"/>
      <c r="CW1135" s="9"/>
      <c r="CX1135" s="9"/>
      <c r="CY1135" s="9"/>
      <c r="CZ1135" s="9"/>
      <c r="DA1135" s="9"/>
      <c r="DB1135" s="9"/>
      <c r="DC1135" s="9"/>
      <c r="DD1135" s="9"/>
      <c r="DE1135" s="9"/>
      <c r="DF1135" s="9"/>
      <c r="DG1135" s="9"/>
      <c r="DH1135" s="9"/>
      <c r="DI1135" s="9"/>
      <c r="DJ1135" s="9"/>
      <c r="DK1135" s="9"/>
      <c r="DL1135" s="9"/>
      <c r="DM1135" s="9"/>
      <c r="DN1135" s="9"/>
      <c r="DO1135" s="9"/>
      <c r="DP1135" s="9"/>
      <c r="DQ1135" s="9"/>
      <c r="DR1135" s="9"/>
      <c r="DS1135" s="9"/>
      <c r="DT1135" s="9"/>
      <c r="DU1135" s="9"/>
      <c r="DV1135" s="9"/>
      <c r="DW1135" s="9"/>
      <c r="DX1135" s="9"/>
      <c r="DY1135" s="9"/>
      <c r="DZ1135" s="9"/>
      <c r="EA1135" s="9"/>
      <c r="EB1135" s="9"/>
      <c r="EC1135" s="9"/>
      <c r="ED1135" s="9"/>
      <c r="EE1135" s="9"/>
      <c r="EF1135" s="9"/>
      <c r="EG1135" s="9"/>
      <c r="EH1135" s="9"/>
      <c r="EI1135" s="9"/>
      <c r="EJ1135" s="9"/>
      <c r="EK1135" s="9"/>
      <c r="EL1135" s="9"/>
      <c r="EM1135" s="9"/>
      <c r="EN1135" s="9"/>
      <c r="EO1135" s="9"/>
      <c r="EP1135" s="9"/>
      <c r="EQ1135" s="9"/>
      <c r="ER1135" s="9"/>
      <c r="ES1135" s="9"/>
      <c r="ET1135" s="9"/>
      <c r="EU1135" s="9"/>
      <c r="EV1135" s="9"/>
      <c r="EW1135" s="9"/>
      <c r="EX1135" s="9"/>
      <c r="EY1135" s="9"/>
      <c r="EZ1135" s="9"/>
      <c r="FA1135" s="9"/>
      <c r="FB1135" s="9"/>
      <c r="FC1135" s="9"/>
      <c r="FD1135" s="9"/>
      <c r="FE1135" s="9"/>
      <c r="FF1135" s="9"/>
      <c r="FG1135" s="9"/>
      <c r="FH1135" s="9"/>
      <c r="FI1135" s="9"/>
      <c r="FJ1135" s="9"/>
      <c r="FK1135" s="9"/>
      <c r="FL1135" s="9"/>
      <c r="FM1135" s="9"/>
      <c r="FN1135" s="9"/>
      <c r="FO1135" s="9"/>
      <c r="FP1135" s="9"/>
    </row>
    <row r="1136" customFormat="false" ht="15" hidden="true" customHeight="false" outlineLevel="1" collapsed="false"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9"/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9"/>
      <c r="CQ1136" s="9"/>
      <c r="CR1136" s="9"/>
      <c r="CS1136" s="9"/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9"/>
      <c r="DJ1136" s="9"/>
      <c r="DK1136" s="9"/>
      <c r="DL1136" s="9"/>
      <c r="DM1136" s="9"/>
      <c r="DN1136" s="9"/>
      <c r="DO1136" s="9"/>
      <c r="DP1136" s="9"/>
      <c r="DQ1136" s="9"/>
      <c r="DR1136" s="9"/>
      <c r="DS1136" s="9"/>
      <c r="DT1136" s="9"/>
      <c r="DU1136" s="9"/>
      <c r="DV1136" s="9"/>
      <c r="DW1136" s="9"/>
      <c r="DX1136" s="9"/>
      <c r="DY1136" s="9"/>
      <c r="DZ1136" s="9"/>
      <c r="EA1136" s="9"/>
      <c r="EB1136" s="9"/>
      <c r="EC1136" s="9"/>
      <c r="ED1136" s="9"/>
      <c r="EE1136" s="9"/>
      <c r="EF1136" s="9"/>
      <c r="EG1136" s="9"/>
      <c r="EH1136" s="9"/>
      <c r="EI1136" s="9"/>
      <c r="EJ1136" s="9"/>
      <c r="EK1136" s="9"/>
      <c r="EL1136" s="9"/>
      <c r="EM1136" s="9"/>
      <c r="EN1136" s="9"/>
      <c r="EO1136" s="9"/>
      <c r="EP1136" s="9"/>
      <c r="EQ1136" s="9"/>
      <c r="ER1136" s="9"/>
      <c r="ES1136" s="9"/>
      <c r="ET1136" s="9"/>
      <c r="EU1136" s="9"/>
      <c r="EV1136" s="9"/>
      <c r="EW1136" s="9"/>
      <c r="EX1136" s="9"/>
      <c r="EY1136" s="9"/>
      <c r="EZ1136" s="9"/>
      <c r="FA1136" s="9"/>
      <c r="FB1136" s="9"/>
      <c r="FC1136" s="9"/>
      <c r="FD1136" s="9"/>
      <c r="FE1136" s="9"/>
      <c r="FF1136" s="9"/>
      <c r="FG1136" s="9"/>
      <c r="FH1136" s="9"/>
      <c r="FI1136" s="9"/>
      <c r="FJ1136" s="9"/>
      <c r="FK1136" s="9"/>
      <c r="FL1136" s="9"/>
      <c r="FM1136" s="9"/>
      <c r="FN1136" s="9"/>
      <c r="FO1136" s="9"/>
      <c r="FP1136" s="9"/>
    </row>
    <row r="1137" customFormat="false" ht="15" hidden="true" customHeight="false" outlineLevel="1" collapsed="false"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  <c r="BF1137" s="9"/>
      <c r="BG1137" s="9"/>
      <c r="BH1137" s="9"/>
      <c r="BI1137" s="9"/>
      <c r="BJ1137" s="9"/>
      <c r="BK1137" s="9"/>
      <c r="BL1137" s="9"/>
      <c r="BM1137" s="9"/>
      <c r="BN1137" s="9"/>
      <c r="BO1137" s="9"/>
      <c r="BP1137" s="9"/>
      <c r="BQ1137" s="9"/>
      <c r="BR1137" s="9"/>
      <c r="BS1137" s="9"/>
      <c r="BT1137" s="9"/>
      <c r="BU1137" s="9"/>
      <c r="BV1137" s="9"/>
      <c r="BW1137" s="9"/>
      <c r="BX1137" s="9"/>
      <c r="BY1137" s="9"/>
      <c r="BZ1137" s="9"/>
      <c r="CA1137" s="9"/>
      <c r="CB1137" s="9"/>
      <c r="CC1137" s="9"/>
      <c r="CD1137" s="9"/>
      <c r="CE1137" s="9"/>
      <c r="CF1137" s="9"/>
      <c r="CG1137" s="9"/>
      <c r="CH1137" s="9"/>
      <c r="CI1137" s="9"/>
      <c r="CJ1137" s="9"/>
      <c r="CK1137" s="9"/>
      <c r="CL1137" s="9"/>
      <c r="CM1137" s="9"/>
      <c r="CN1137" s="9"/>
      <c r="CO1137" s="9"/>
      <c r="CP1137" s="9"/>
      <c r="CQ1137" s="9"/>
      <c r="CR1137" s="9"/>
      <c r="CS1137" s="9"/>
      <c r="CT1137" s="9"/>
      <c r="CU1137" s="9"/>
      <c r="CV1137" s="9"/>
      <c r="CW1137" s="9"/>
      <c r="CX1137" s="9"/>
      <c r="CY1137" s="9"/>
      <c r="CZ1137" s="9"/>
      <c r="DA1137" s="9"/>
      <c r="DB1137" s="9"/>
      <c r="DC1137" s="9"/>
      <c r="DD1137" s="9"/>
      <c r="DE1137" s="9"/>
      <c r="DF1137" s="9"/>
      <c r="DG1137" s="9"/>
      <c r="DH1137" s="9"/>
      <c r="DI1137" s="9"/>
      <c r="DJ1137" s="9"/>
      <c r="DK1137" s="9"/>
      <c r="DL1137" s="9"/>
      <c r="DM1137" s="9"/>
      <c r="DN1137" s="9"/>
      <c r="DO1137" s="9"/>
      <c r="DP1137" s="9"/>
      <c r="DQ1137" s="9"/>
      <c r="DR1137" s="9"/>
      <c r="DS1137" s="9"/>
      <c r="DT1137" s="9"/>
      <c r="DU1137" s="9"/>
      <c r="DV1137" s="9"/>
      <c r="DW1137" s="9"/>
      <c r="DX1137" s="9"/>
      <c r="DY1137" s="9"/>
      <c r="DZ1137" s="9"/>
      <c r="EA1137" s="9"/>
      <c r="EB1137" s="9"/>
      <c r="EC1137" s="9"/>
      <c r="ED1137" s="9"/>
      <c r="EE1137" s="9"/>
      <c r="EF1137" s="9"/>
      <c r="EG1137" s="9"/>
      <c r="EH1137" s="9"/>
      <c r="EI1137" s="9"/>
      <c r="EJ1137" s="9"/>
      <c r="EK1137" s="9"/>
      <c r="EL1137" s="9"/>
      <c r="EM1137" s="9"/>
      <c r="EN1137" s="9"/>
      <c r="EO1137" s="9"/>
      <c r="EP1137" s="9"/>
      <c r="EQ1137" s="9"/>
      <c r="ER1137" s="9"/>
      <c r="ES1137" s="9"/>
      <c r="ET1137" s="9"/>
      <c r="EU1137" s="9"/>
      <c r="EV1137" s="9"/>
      <c r="EW1137" s="9"/>
      <c r="EX1137" s="9"/>
      <c r="EY1137" s="9"/>
      <c r="EZ1137" s="9"/>
      <c r="FA1137" s="9"/>
      <c r="FB1137" s="9"/>
      <c r="FC1137" s="9"/>
      <c r="FD1137" s="9"/>
      <c r="FE1137" s="9"/>
      <c r="FF1137" s="9"/>
      <c r="FG1137" s="9"/>
      <c r="FH1137" s="9"/>
      <c r="FI1137" s="9"/>
      <c r="FJ1137" s="9"/>
      <c r="FK1137" s="9"/>
      <c r="FL1137" s="9"/>
      <c r="FM1137" s="9"/>
      <c r="FN1137" s="9"/>
      <c r="FO1137" s="9"/>
      <c r="FP1137" s="9"/>
    </row>
    <row r="1138" customFormat="false" ht="15" hidden="true" customHeight="false" outlineLevel="1" collapsed="false">
      <c r="B1138" s="257" t="s">
        <v>1032</v>
      </c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 t="n">
        <v>0.0125</v>
      </c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  <c r="BF1138" s="9"/>
      <c r="BG1138" s="9"/>
      <c r="BH1138" s="9"/>
      <c r="BI1138" s="9"/>
      <c r="BJ1138" s="9"/>
      <c r="BK1138" s="9"/>
      <c r="BL1138" s="9"/>
      <c r="BM1138" s="9"/>
      <c r="BN1138" s="9"/>
      <c r="BO1138" s="9"/>
      <c r="BP1138" s="9"/>
      <c r="BQ1138" s="9"/>
      <c r="BR1138" s="9"/>
      <c r="BS1138" s="9"/>
      <c r="BT1138" s="9"/>
      <c r="BU1138" s="9"/>
      <c r="BV1138" s="9"/>
      <c r="BW1138" s="9"/>
      <c r="BX1138" s="9"/>
      <c r="BY1138" s="9"/>
      <c r="BZ1138" s="9"/>
      <c r="CA1138" s="9"/>
      <c r="CB1138" s="9"/>
      <c r="CC1138" s="9"/>
      <c r="CD1138" s="9"/>
      <c r="CE1138" s="9"/>
      <c r="CF1138" s="9"/>
      <c r="CG1138" s="9"/>
      <c r="CH1138" s="9"/>
      <c r="CI1138" s="9"/>
      <c r="CJ1138" s="9"/>
      <c r="CK1138" s="9"/>
      <c r="CL1138" s="9"/>
      <c r="CM1138" s="9"/>
      <c r="CN1138" s="9"/>
      <c r="CO1138" s="9"/>
      <c r="CP1138" s="9"/>
      <c r="CQ1138" s="9"/>
      <c r="CR1138" s="9"/>
      <c r="CS1138" s="9"/>
      <c r="CT1138" s="9"/>
      <c r="CU1138" s="9"/>
      <c r="CV1138" s="9"/>
      <c r="CW1138" s="9"/>
      <c r="CX1138" s="9"/>
      <c r="CY1138" s="9"/>
      <c r="CZ1138" s="9"/>
      <c r="DA1138" s="9"/>
      <c r="DB1138" s="9"/>
      <c r="DC1138" s="9"/>
      <c r="DD1138" s="9"/>
      <c r="DE1138" s="9"/>
      <c r="DF1138" s="9"/>
      <c r="DG1138" s="9"/>
      <c r="DH1138" s="9"/>
      <c r="DI1138" s="9"/>
      <c r="DJ1138" s="9"/>
      <c r="DK1138" s="9"/>
      <c r="DL1138" s="9"/>
      <c r="DM1138" s="9"/>
      <c r="DN1138" s="9"/>
      <c r="DO1138" s="9"/>
      <c r="DP1138" s="9"/>
      <c r="DQ1138" s="9"/>
      <c r="DR1138" s="9"/>
      <c r="DS1138" s="9"/>
      <c r="DT1138" s="9"/>
      <c r="DU1138" s="9"/>
      <c r="DV1138" s="9"/>
      <c r="DW1138" s="9"/>
      <c r="DX1138" s="9"/>
      <c r="DY1138" s="9"/>
      <c r="DZ1138" s="9"/>
      <c r="EA1138" s="9"/>
      <c r="EB1138" s="9"/>
      <c r="EC1138" s="9"/>
      <c r="ED1138" s="9"/>
      <c r="EE1138" s="9"/>
      <c r="EF1138" s="9"/>
      <c r="EG1138" s="9"/>
      <c r="EH1138" s="9"/>
      <c r="EI1138" s="9"/>
      <c r="EJ1138" s="9"/>
      <c r="EK1138" s="9"/>
      <c r="EL1138" s="9"/>
      <c r="EM1138" s="9"/>
      <c r="EN1138" s="9"/>
      <c r="EO1138" s="9"/>
      <c r="EP1138" s="9"/>
      <c r="EQ1138" s="9"/>
      <c r="ER1138" s="9"/>
      <c r="ES1138" s="9"/>
      <c r="ET1138" s="9"/>
      <c r="EU1138" s="9"/>
      <c r="EV1138" s="9"/>
      <c r="EW1138" s="9"/>
      <c r="EX1138" s="9"/>
      <c r="EY1138" s="9"/>
      <c r="EZ1138" s="9"/>
      <c r="FA1138" s="9"/>
      <c r="FB1138" s="9"/>
      <c r="FC1138" s="9"/>
      <c r="FD1138" s="9"/>
      <c r="FE1138" s="9"/>
      <c r="FF1138" s="9"/>
      <c r="FG1138" s="9"/>
      <c r="FH1138" s="9"/>
      <c r="FI1138" s="9"/>
      <c r="FJ1138" s="9"/>
      <c r="FK1138" s="9"/>
      <c r="FL1138" s="9"/>
      <c r="FM1138" s="9"/>
      <c r="FN1138" s="9"/>
      <c r="FO1138" s="9"/>
      <c r="FP1138" s="9"/>
    </row>
    <row r="1139" customFormat="false" ht="15" hidden="true" customHeight="false" outlineLevel="1" collapsed="false">
      <c r="B1139" s="3" t="s">
        <v>1033</v>
      </c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  <c r="BF1139" s="9"/>
      <c r="BG1139" s="9"/>
      <c r="BH1139" s="9"/>
      <c r="BI1139" s="9"/>
      <c r="BJ1139" s="9"/>
      <c r="BK1139" s="9"/>
      <c r="BL1139" s="9"/>
      <c r="BM1139" s="9"/>
      <c r="BN1139" s="9"/>
      <c r="BO1139" s="9"/>
      <c r="BP1139" s="9"/>
      <c r="BQ1139" s="9"/>
      <c r="BR1139" s="9"/>
      <c r="BS1139" s="9"/>
      <c r="BT1139" s="9"/>
      <c r="BU1139" s="9"/>
      <c r="BV1139" s="9"/>
      <c r="BW1139" s="9"/>
      <c r="BX1139" s="9"/>
      <c r="BY1139" s="9"/>
      <c r="BZ1139" s="9"/>
      <c r="CA1139" s="9"/>
      <c r="CB1139" s="9"/>
      <c r="CC1139" s="9"/>
      <c r="CD1139" s="9"/>
      <c r="CE1139" s="9"/>
      <c r="CF1139" s="9"/>
      <c r="CG1139" s="9"/>
      <c r="CH1139" s="9"/>
      <c r="CI1139" s="9"/>
      <c r="CJ1139" s="9"/>
      <c r="CK1139" s="9"/>
      <c r="CL1139" s="9"/>
      <c r="CM1139" s="9"/>
      <c r="CN1139" s="9"/>
      <c r="CO1139" s="9"/>
      <c r="CP1139" s="9"/>
      <c r="CQ1139" s="9"/>
      <c r="CR1139" s="9"/>
      <c r="CS1139" s="9"/>
      <c r="CT1139" s="9"/>
      <c r="CU1139" s="9"/>
      <c r="CV1139" s="9"/>
      <c r="CW1139" s="9"/>
      <c r="CX1139" s="9"/>
      <c r="CY1139" s="9"/>
      <c r="CZ1139" s="9"/>
      <c r="DA1139" s="9"/>
      <c r="DB1139" s="9"/>
      <c r="DC1139" s="9"/>
      <c r="DD1139" s="9"/>
      <c r="DE1139" s="9"/>
      <c r="DF1139" s="9"/>
      <c r="DG1139" s="9"/>
      <c r="DH1139" s="9"/>
      <c r="DI1139" s="9"/>
      <c r="DJ1139" s="9"/>
      <c r="DK1139" s="9"/>
      <c r="DL1139" s="9"/>
      <c r="DM1139" s="9"/>
      <c r="DN1139" s="9"/>
      <c r="DO1139" s="9"/>
      <c r="DP1139" s="9"/>
      <c r="DQ1139" s="9"/>
      <c r="DR1139" s="9"/>
      <c r="DS1139" s="9"/>
      <c r="DT1139" s="9"/>
      <c r="DU1139" s="9"/>
      <c r="DV1139" s="9"/>
      <c r="DW1139" s="9"/>
      <c r="DX1139" s="9"/>
      <c r="DY1139" s="9"/>
      <c r="DZ1139" s="9"/>
      <c r="EA1139" s="9"/>
      <c r="EB1139" s="9"/>
      <c r="EC1139" s="9"/>
      <c r="ED1139" s="9"/>
      <c r="EE1139" s="9"/>
      <c r="EF1139" s="9"/>
      <c r="EG1139" s="9"/>
      <c r="EH1139" s="9"/>
      <c r="EI1139" s="9"/>
      <c r="EJ1139" s="9"/>
      <c r="EK1139" s="9"/>
      <c r="EL1139" s="9"/>
      <c r="EM1139" s="9"/>
      <c r="EN1139" s="9"/>
      <c r="EO1139" s="9"/>
      <c r="EP1139" s="9"/>
      <c r="EQ1139" s="9"/>
      <c r="ER1139" s="9"/>
      <c r="ES1139" s="9"/>
      <c r="ET1139" s="9"/>
      <c r="EU1139" s="9"/>
      <c r="EV1139" s="9"/>
      <c r="EW1139" s="9"/>
      <c r="EX1139" s="9"/>
      <c r="EY1139" s="9"/>
      <c r="EZ1139" s="9"/>
      <c r="FA1139" s="9"/>
      <c r="FB1139" s="9"/>
      <c r="FC1139" s="9"/>
      <c r="FD1139" s="9"/>
      <c r="FE1139" s="9"/>
      <c r="FF1139" s="9"/>
      <c r="FG1139" s="9"/>
      <c r="FH1139" s="9"/>
      <c r="FI1139" s="9"/>
      <c r="FJ1139" s="9"/>
      <c r="FK1139" s="9"/>
      <c r="FL1139" s="9"/>
      <c r="FM1139" s="9"/>
      <c r="FN1139" s="9"/>
      <c r="FO1139" s="9"/>
      <c r="FP1139" s="9"/>
    </row>
    <row r="1140" customFormat="false" ht="15" hidden="true" customHeight="false" outlineLevel="1" collapsed="false">
      <c r="B1140" s="26" t="s">
        <v>1034</v>
      </c>
      <c r="C1140" s="26" t="s">
        <v>800</v>
      </c>
      <c r="D1140" s="26" t="s">
        <v>801</v>
      </c>
      <c r="E1140" s="26" t="s">
        <v>802</v>
      </c>
      <c r="F1140" s="26" t="s">
        <v>803</v>
      </c>
      <c r="G1140" s="26" t="s">
        <v>804</v>
      </c>
      <c r="H1140" s="26" t="s">
        <v>805</v>
      </c>
      <c r="I1140" s="26" t="s">
        <v>806</v>
      </c>
      <c r="J1140" s="26" t="s">
        <v>807</v>
      </c>
      <c r="K1140" s="26" t="s">
        <v>808</v>
      </c>
      <c r="L1140" s="26" t="s">
        <v>809</v>
      </c>
      <c r="M1140" s="26" t="s">
        <v>810</v>
      </c>
      <c r="N1140" s="26" t="s">
        <v>811</v>
      </c>
      <c r="O1140" s="26" t="s">
        <v>812</v>
      </c>
      <c r="P1140" s="26" t="s">
        <v>813</v>
      </c>
      <c r="Q1140" s="26" t="s">
        <v>814</v>
      </c>
      <c r="R1140" s="26" t="s">
        <v>815</v>
      </c>
      <c r="S1140" s="26" t="s">
        <v>816</v>
      </c>
      <c r="T1140" s="26" t="s">
        <v>817</v>
      </c>
      <c r="U1140" s="26" t="s">
        <v>818</v>
      </c>
      <c r="V1140" s="26" t="s">
        <v>819</v>
      </c>
      <c r="W1140" s="26" t="s">
        <v>820</v>
      </c>
      <c r="X1140" s="26" t="s">
        <v>821</v>
      </c>
      <c r="Y1140" s="26" t="s">
        <v>822</v>
      </c>
      <c r="Z1140" s="26" t="s">
        <v>823</v>
      </c>
      <c r="AA1140" s="26" t="s">
        <v>824</v>
      </c>
      <c r="AB1140" s="26" t="s">
        <v>825</v>
      </c>
      <c r="AC1140" s="26" t="s">
        <v>826</v>
      </c>
      <c r="AD1140" s="26" t="s">
        <v>827</v>
      </c>
      <c r="AE1140" s="26" t="s">
        <v>828</v>
      </c>
      <c r="AF1140" s="26" t="s">
        <v>829</v>
      </c>
      <c r="AG1140" s="26" t="s">
        <v>830</v>
      </c>
      <c r="AH1140" s="26" t="s">
        <v>831</v>
      </c>
      <c r="AI1140" s="26" t="s">
        <v>832</v>
      </c>
      <c r="AJ1140" s="26" t="s">
        <v>833</v>
      </c>
      <c r="AK1140" s="26" t="s">
        <v>834</v>
      </c>
      <c r="AL1140" s="26" t="s">
        <v>835</v>
      </c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  <c r="BF1140" s="9"/>
      <c r="BG1140" s="9"/>
      <c r="BH1140" s="9"/>
      <c r="BI1140" s="9"/>
      <c r="BJ1140" s="9"/>
      <c r="BK1140" s="9"/>
      <c r="BL1140" s="9"/>
      <c r="BM1140" s="9"/>
      <c r="BN1140" s="9"/>
      <c r="BO1140" s="9"/>
      <c r="BP1140" s="9"/>
      <c r="BQ1140" s="9"/>
      <c r="BR1140" s="9"/>
      <c r="BS1140" s="9"/>
      <c r="BT1140" s="9"/>
      <c r="BU1140" s="9"/>
      <c r="BV1140" s="9"/>
      <c r="BW1140" s="9"/>
      <c r="BX1140" s="9"/>
      <c r="BY1140" s="9"/>
      <c r="BZ1140" s="9"/>
      <c r="CA1140" s="9"/>
      <c r="CB1140" s="9"/>
      <c r="CC1140" s="9"/>
      <c r="CD1140" s="9"/>
      <c r="CE1140" s="9"/>
      <c r="CF1140" s="9"/>
      <c r="CG1140" s="9"/>
      <c r="CH1140" s="9"/>
      <c r="CI1140" s="9"/>
      <c r="CJ1140" s="9"/>
      <c r="CK1140" s="9"/>
      <c r="CL1140" s="9"/>
      <c r="CM1140" s="9"/>
      <c r="CN1140" s="9"/>
      <c r="CO1140" s="9"/>
      <c r="CP1140" s="9"/>
      <c r="CQ1140" s="9"/>
      <c r="CR1140" s="9"/>
      <c r="CS1140" s="9"/>
      <c r="CT1140" s="9"/>
      <c r="CU1140" s="9"/>
      <c r="CV1140" s="9"/>
      <c r="CW1140" s="9"/>
      <c r="CX1140" s="9"/>
      <c r="CY1140" s="9"/>
      <c r="CZ1140" s="9"/>
      <c r="DA1140" s="9"/>
      <c r="DB1140" s="9"/>
      <c r="DC1140" s="9"/>
      <c r="DD1140" s="9"/>
      <c r="DE1140" s="9"/>
      <c r="DF1140" s="9"/>
      <c r="DG1140" s="9"/>
      <c r="DH1140" s="9"/>
      <c r="DI1140" s="9"/>
      <c r="DJ1140" s="9"/>
      <c r="DK1140" s="9"/>
      <c r="DL1140" s="9"/>
      <c r="DM1140" s="9"/>
      <c r="DN1140" s="9"/>
      <c r="DO1140" s="9"/>
      <c r="DP1140" s="9"/>
      <c r="DQ1140" s="9"/>
      <c r="DR1140" s="9"/>
      <c r="DS1140" s="9"/>
      <c r="DT1140" s="9"/>
      <c r="DU1140" s="9"/>
      <c r="DV1140" s="9"/>
      <c r="DW1140" s="9"/>
      <c r="DX1140" s="9"/>
      <c r="DY1140" s="9"/>
      <c r="DZ1140" s="9"/>
      <c r="EA1140" s="9"/>
      <c r="EB1140" s="9"/>
      <c r="EC1140" s="9"/>
      <c r="ED1140" s="9"/>
      <c r="EE1140" s="9"/>
      <c r="EF1140" s="9"/>
      <c r="EG1140" s="9"/>
      <c r="EH1140" s="9"/>
      <c r="EI1140" s="9"/>
      <c r="EJ1140" s="9"/>
      <c r="EK1140" s="9"/>
      <c r="EL1140" s="9"/>
      <c r="EM1140" s="9"/>
      <c r="EN1140" s="9"/>
      <c r="EO1140" s="9"/>
      <c r="EP1140" s="9"/>
      <c r="EQ1140" s="9"/>
      <c r="ER1140" s="9"/>
      <c r="ES1140" s="9"/>
      <c r="ET1140" s="9"/>
      <c r="EU1140" s="9"/>
      <c r="EV1140" s="9"/>
      <c r="EW1140" s="9"/>
      <c r="EX1140" s="9"/>
      <c r="EY1140" s="9"/>
      <c r="EZ1140" s="9"/>
      <c r="FA1140" s="9"/>
      <c r="FB1140" s="9"/>
      <c r="FC1140" s="9"/>
      <c r="FD1140" s="9"/>
      <c r="FE1140" s="9"/>
      <c r="FF1140" s="9"/>
      <c r="FG1140" s="9"/>
      <c r="FH1140" s="9"/>
      <c r="FI1140" s="9"/>
      <c r="FJ1140" s="9"/>
      <c r="FK1140" s="9"/>
      <c r="FL1140" s="9"/>
      <c r="FM1140" s="9"/>
      <c r="FN1140" s="9"/>
      <c r="FO1140" s="9"/>
      <c r="FP1140" s="9"/>
    </row>
    <row r="1141" customFormat="false" ht="15" hidden="true" customHeight="false" outlineLevel="1" collapsed="false">
      <c r="B1141" s="36" t="s">
        <v>1035</v>
      </c>
      <c r="C1141" s="41" t="n">
        <v>28</v>
      </c>
      <c r="D1141" s="41" t="n">
        <v>62</v>
      </c>
      <c r="E1141" s="41" t="n">
        <v>120</v>
      </c>
      <c r="F1141" s="41" t="n">
        <v>123</v>
      </c>
      <c r="G1141" s="41" t="n">
        <v>92</v>
      </c>
      <c r="H1141" s="41" t="n">
        <v>80</v>
      </c>
      <c r="I1141" s="41" t="n">
        <v>132</v>
      </c>
      <c r="J1141" s="41" t="n">
        <v>149</v>
      </c>
      <c r="K1141" s="41" t="n">
        <v>95</v>
      </c>
      <c r="L1141" s="41" t="n">
        <v>95</v>
      </c>
      <c r="M1141" s="41" t="n">
        <v>100</v>
      </c>
      <c r="N1141" s="41" t="n">
        <v>108</v>
      </c>
      <c r="O1141" s="41" t="n">
        <v>94</v>
      </c>
      <c r="P1141" s="41" t="n">
        <v>99</v>
      </c>
      <c r="Q1141" s="41" t="n">
        <v>94</v>
      </c>
      <c r="R1141" s="41" t="n">
        <v>110</v>
      </c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  <c r="BF1141" s="9"/>
      <c r="BG1141" s="9"/>
      <c r="BH1141" s="9"/>
      <c r="BI1141" s="9"/>
      <c r="BJ1141" s="9"/>
      <c r="BK1141" s="9"/>
      <c r="BL1141" s="9"/>
      <c r="BM1141" s="9"/>
      <c r="BN1141" s="9"/>
      <c r="BO1141" s="9"/>
      <c r="BP1141" s="9"/>
      <c r="BQ1141" s="9"/>
      <c r="BR1141" s="9"/>
      <c r="BS1141" s="9"/>
      <c r="BT1141" s="9"/>
      <c r="BU1141" s="9"/>
      <c r="BV1141" s="9"/>
      <c r="BW1141" s="9"/>
      <c r="BX1141" s="9"/>
      <c r="BY1141" s="9"/>
      <c r="BZ1141" s="9"/>
      <c r="CA1141" s="9"/>
      <c r="CB1141" s="9"/>
      <c r="CC1141" s="9"/>
      <c r="CD1141" s="9"/>
      <c r="CE1141" s="9"/>
      <c r="CF1141" s="9"/>
      <c r="CG1141" s="9"/>
      <c r="CH1141" s="9"/>
      <c r="CI1141" s="9"/>
      <c r="CJ1141" s="9"/>
      <c r="CK1141" s="9"/>
      <c r="CL1141" s="9"/>
      <c r="CM1141" s="9"/>
      <c r="CN1141" s="9"/>
      <c r="CO1141" s="9"/>
      <c r="CP1141" s="9"/>
      <c r="CQ1141" s="9"/>
      <c r="CR1141" s="9"/>
      <c r="CS1141" s="9"/>
      <c r="CT1141" s="9"/>
      <c r="CU1141" s="9"/>
      <c r="CV1141" s="9"/>
      <c r="CW1141" s="9"/>
      <c r="CX1141" s="9"/>
      <c r="CY1141" s="9"/>
      <c r="CZ1141" s="9"/>
      <c r="DA1141" s="9"/>
      <c r="DB1141" s="9"/>
      <c r="DC1141" s="9"/>
      <c r="DD1141" s="9"/>
      <c r="DE1141" s="9"/>
      <c r="DF1141" s="9"/>
      <c r="DG1141" s="9"/>
      <c r="DH1141" s="9"/>
      <c r="DI1141" s="9"/>
      <c r="DJ1141" s="9"/>
      <c r="DK1141" s="9"/>
      <c r="DL1141" s="9"/>
      <c r="DM1141" s="9"/>
      <c r="DN1141" s="9"/>
      <c r="DO1141" s="9"/>
      <c r="DP1141" s="9"/>
      <c r="DQ1141" s="9"/>
      <c r="DR1141" s="9"/>
      <c r="DS1141" s="9"/>
      <c r="DT1141" s="9"/>
      <c r="DU1141" s="9"/>
      <c r="DV1141" s="9"/>
      <c r="DW1141" s="9"/>
      <c r="DX1141" s="9"/>
      <c r="DY1141" s="9"/>
      <c r="DZ1141" s="9"/>
      <c r="EA1141" s="9"/>
      <c r="EB1141" s="9"/>
      <c r="EC1141" s="9"/>
      <c r="ED1141" s="9"/>
      <c r="EE1141" s="9"/>
      <c r="EF1141" s="9"/>
      <c r="EG1141" s="9"/>
      <c r="EH1141" s="9"/>
      <c r="EI1141" s="9"/>
      <c r="EJ1141" s="9"/>
      <c r="EK1141" s="9"/>
      <c r="EL1141" s="9"/>
      <c r="EM1141" s="9"/>
      <c r="EN1141" s="9"/>
      <c r="EO1141" s="9"/>
      <c r="EP1141" s="9"/>
      <c r="EQ1141" s="9"/>
      <c r="ER1141" s="9"/>
      <c r="ES1141" s="9"/>
      <c r="ET1141" s="9"/>
      <c r="EU1141" s="9"/>
      <c r="EV1141" s="9"/>
      <c r="EW1141" s="9"/>
      <c r="EX1141" s="9"/>
      <c r="EY1141" s="9"/>
      <c r="EZ1141" s="9"/>
      <c r="FA1141" s="9"/>
      <c r="FB1141" s="9"/>
      <c r="FC1141" s="9"/>
      <c r="FD1141" s="9"/>
      <c r="FE1141" s="9"/>
      <c r="FF1141" s="9"/>
      <c r="FG1141" s="9"/>
      <c r="FH1141" s="9"/>
      <c r="FI1141" s="9"/>
      <c r="FJ1141" s="9"/>
      <c r="FK1141" s="9"/>
      <c r="FL1141" s="9"/>
      <c r="FM1141" s="9"/>
      <c r="FN1141" s="9"/>
      <c r="FO1141" s="9"/>
      <c r="FP1141" s="9"/>
    </row>
    <row r="1142" customFormat="false" ht="15" hidden="true" customHeight="false" outlineLevel="1" collapsed="false">
      <c r="B1142" s="3" t="s">
        <v>1036</v>
      </c>
      <c r="C1142" s="258" t="n">
        <f aca="false">ROUND(AC49,0)</f>
        <v>45</v>
      </c>
      <c r="D1142" s="258" t="n">
        <f aca="false">ROUND(AD49,0)</f>
        <v>38</v>
      </c>
      <c r="E1142" s="258" t="n">
        <f aca="false">ROUND(AE49,0)</f>
        <v>58</v>
      </c>
      <c r="F1142" s="258" t="n">
        <f aca="false">ROUND(AF49,0)</f>
        <v>62</v>
      </c>
      <c r="G1142" s="258" t="n">
        <f aca="false">ROUND(AG49,0)</f>
        <v>52</v>
      </c>
      <c r="H1142" s="258" t="n">
        <f aca="false">ROUND(AH49,0)</f>
        <v>52</v>
      </c>
      <c r="I1142" s="258" t="n">
        <f aca="false">ROUND(AI49,0)</f>
        <v>62</v>
      </c>
      <c r="J1142" s="258" t="n">
        <f aca="false">ROUND(AJ49,0)</f>
        <v>116</v>
      </c>
      <c r="K1142" s="258" t="n">
        <f aca="false">ROUND(AK49,0)</f>
        <v>107</v>
      </c>
      <c r="L1142" s="258" t="n">
        <f aca="false">ROUND(AL49,0)</f>
        <v>89</v>
      </c>
      <c r="M1142" s="258" t="n">
        <f aca="false">ROUND(AX49,0)</f>
        <v>181</v>
      </c>
      <c r="N1142" s="258" t="n">
        <f aca="false">ROUND(BJ49,0)</f>
        <v>218</v>
      </c>
      <c r="O1142" s="258" t="n">
        <f aca="false">ROUND(AO49,0)</f>
        <v>127</v>
      </c>
      <c r="P1142" s="258" t="n">
        <f aca="false">ROUND(AP49,0)</f>
        <v>103</v>
      </c>
      <c r="Q1142" s="258" t="n">
        <f aca="false">ROUND(AQ49,0)</f>
        <v>146</v>
      </c>
      <c r="R1142" s="258" t="n">
        <f aca="false">ROUND(AR49,0)</f>
        <v>175</v>
      </c>
      <c r="S1142" s="258" t="n">
        <f aca="false">ROUND(AS49,0)</f>
        <v>153</v>
      </c>
      <c r="T1142" s="258" t="n">
        <f aca="false">ROUND(AT49,0)</f>
        <v>139</v>
      </c>
      <c r="U1142" s="258" t="n">
        <f aca="false">ROUND(AU49,0)</f>
        <v>150</v>
      </c>
      <c r="V1142" s="258" t="n">
        <f aca="false">ROUND(AV49,0)</f>
        <v>254</v>
      </c>
      <c r="W1142" s="258" t="n">
        <f aca="false">ROUND(AW49,0)</f>
        <v>213</v>
      </c>
      <c r="X1142" s="258" t="n">
        <f aca="false">ROUND(AX49,0)</f>
        <v>181</v>
      </c>
      <c r="Y1142" s="258" t="n">
        <f aca="false">ROUND(AY49,0)</f>
        <v>140</v>
      </c>
      <c r="Z1142" s="258" t="n">
        <f aca="false">ROUND(AZ49,0)</f>
        <v>203</v>
      </c>
      <c r="AA1142" s="258" t="n">
        <f aca="false">ROUND(BA49,0)</f>
        <v>215</v>
      </c>
      <c r="AB1142" s="258" t="n">
        <f aca="false">ROUND(BB49,0)</f>
        <v>165</v>
      </c>
      <c r="AC1142" s="258" t="n">
        <f aca="false">ROUND(BC49,0)</f>
        <v>240</v>
      </c>
      <c r="AD1142" s="258" t="n">
        <f aca="false">ROUND(BD49,0)</f>
        <v>233</v>
      </c>
      <c r="AE1142" s="258" t="n">
        <f aca="false">ROUND(BE49,0)</f>
        <v>197</v>
      </c>
      <c r="AF1142" s="258" t="n">
        <f aca="false">ROUND(BF49,0)</f>
        <v>171</v>
      </c>
      <c r="AG1142" s="258" t="n">
        <f aca="false">ROUND(BG49,0)</f>
        <v>182</v>
      </c>
      <c r="AH1142" s="258" t="n">
        <f aca="false">ROUND(BH49,0)</f>
        <v>315</v>
      </c>
      <c r="AI1142" s="258" t="n">
        <f aca="false">ROUND(BI49,0)</f>
        <v>260</v>
      </c>
      <c r="AJ1142" s="258" t="n">
        <f aca="false">ROUND(BJ49,0)</f>
        <v>218</v>
      </c>
      <c r="AK1142" s="258" t="n">
        <f aca="false">ROUND(BK49,0)</f>
        <v>163</v>
      </c>
      <c r="AL1142" s="258" t="n">
        <f aca="false">ROUND(BL49,0)</f>
        <v>236</v>
      </c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9"/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9"/>
      <c r="CQ1142" s="9"/>
      <c r="CR1142" s="9"/>
      <c r="CS1142" s="9"/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9"/>
      <c r="DJ1142" s="9"/>
      <c r="DK1142" s="9"/>
      <c r="DL1142" s="9"/>
      <c r="DM1142" s="9"/>
      <c r="DN1142" s="9"/>
      <c r="DO1142" s="9"/>
      <c r="DP1142" s="9"/>
      <c r="DQ1142" s="9"/>
      <c r="DR1142" s="9"/>
      <c r="DS1142" s="9"/>
      <c r="DT1142" s="9"/>
      <c r="DU1142" s="9"/>
      <c r="DV1142" s="9"/>
      <c r="DW1142" s="9"/>
      <c r="DX1142" s="9"/>
      <c r="DY1142" s="9"/>
      <c r="DZ1142" s="9"/>
      <c r="EA1142" s="9"/>
      <c r="EB1142" s="9"/>
      <c r="EC1142" s="9"/>
      <c r="ED1142" s="9"/>
      <c r="EE1142" s="9"/>
      <c r="EF1142" s="9"/>
      <c r="EG1142" s="9"/>
      <c r="EH1142" s="9"/>
      <c r="EI1142" s="9"/>
      <c r="EJ1142" s="9"/>
      <c r="EK1142" s="9"/>
      <c r="EL1142" s="9"/>
      <c r="EM1142" s="9"/>
      <c r="EN1142" s="9"/>
      <c r="EO1142" s="9"/>
      <c r="EP1142" s="9"/>
      <c r="EQ1142" s="9"/>
      <c r="ER1142" s="9"/>
      <c r="ES1142" s="9"/>
      <c r="ET1142" s="9"/>
      <c r="EU1142" s="9"/>
      <c r="EV1142" s="9"/>
      <c r="EW1142" s="9"/>
      <c r="EX1142" s="9"/>
      <c r="EY1142" s="9"/>
      <c r="EZ1142" s="9"/>
      <c r="FA1142" s="9"/>
      <c r="FB1142" s="9"/>
      <c r="FC1142" s="9"/>
      <c r="FD1142" s="9"/>
      <c r="FE1142" s="9"/>
      <c r="FF1142" s="9"/>
      <c r="FG1142" s="9"/>
      <c r="FH1142" s="9"/>
      <c r="FI1142" s="9"/>
      <c r="FJ1142" s="9"/>
      <c r="FK1142" s="9"/>
      <c r="FL1142" s="9"/>
      <c r="FM1142" s="9"/>
      <c r="FN1142" s="9"/>
      <c r="FO1142" s="9"/>
      <c r="FP1142" s="9"/>
    </row>
    <row r="1143" customFormat="false" ht="15" hidden="true" customHeight="false" outlineLevel="1" collapsed="false">
      <c r="B1143" s="3"/>
      <c r="C1143" s="41"/>
      <c r="D1143" s="41"/>
      <c r="E1143" s="41"/>
      <c r="F1143" s="41"/>
      <c r="G1143" s="41"/>
      <c r="H1143" s="41"/>
      <c r="I1143" s="41"/>
      <c r="J1143" s="41"/>
      <c r="K1143" s="41"/>
      <c r="L1143" s="41"/>
      <c r="M1143" s="41"/>
      <c r="N1143" s="41"/>
      <c r="O1143" s="41"/>
      <c r="P1143" s="41"/>
      <c r="Q1143" s="41"/>
      <c r="R1143" s="41"/>
      <c r="S1143" s="41"/>
      <c r="T1143" s="41"/>
      <c r="U1143" s="41"/>
      <c r="V1143" s="41"/>
      <c r="W1143" s="41"/>
      <c r="X1143" s="41"/>
      <c r="Y1143" s="41"/>
      <c r="Z1143" s="41"/>
      <c r="AA1143" s="41"/>
      <c r="AB1143" s="41"/>
      <c r="AC1143" s="41"/>
      <c r="AD1143" s="41"/>
      <c r="AE1143" s="41"/>
      <c r="AF1143" s="41"/>
      <c r="AG1143" s="41"/>
      <c r="AH1143" s="41"/>
      <c r="AI1143" s="41"/>
      <c r="AJ1143" s="41"/>
      <c r="AK1143" s="41"/>
      <c r="AL1143" s="41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  <c r="BF1143" s="9"/>
      <c r="BG1143" s="9"/>
      <c r="BH1143" s="9"/>
      <c r="BI1143" s="9"/>
      <c r="BJ1143" s="9"/>
      <c r="BK1143" s="9"/>
      <c r="BL1143" s="9"/>
      <c r="BM1143" s="9"/>
      <c r="BN1143" s="9"/>
      <c r="BO1143" s="9"/>
      <c r="BP1143" s="9"/>
      <c r="BQ1143" s="9"/>
      <c r="BR1143" s="9"/>
      <c r="BS1143" s="9"/>
      <c r="BT1143" s="9"/>
      <c r="BU1143" s="9"/>
      <c r="BV1143" s="9"/>
      <c r="BW1143" s="9"/>
      <c r="BX1143" s="9"/>
      <c r="BY1143" s="9"/>
      <c r="BZ1143" s="9"/>
      <c r="CA1143" s="9"/>
      <c r="CB1143" s="9"/>
      <c r="CC1143" s="9"/>
      <c r="CD1143" s="9"/>
      <c r="CE1143" s="9"/>
      <c r="CF1143" s="9"/>
      <c r="CG1143" s="9"/>
      <c r="CH1143" s="9"/>
      <c r="CI1143" s="9"/>
      <c r="CJ1143" s="9"/>
      <c r="CK1143" s="9"/>
      <c r="CL1143" s="9"/>
      <c r="CM1143" s="9"/>
      <c r="CN1143" s="9"/>
      <c r="CO1143" s="9"/>
      <c r="CP1143" s="9"/>
      <c r="CQ1143" s="9"/>
      <c r="CR1143" s="9"/>
      <c r="CS1143" s="9"/>
      <c r="CT1143" s="9"/>
      <c r="CU1143" s="9"/>
      <c r="CV1143" s="9"/>
      <c r="CW1143" s="9"/>
      <c r="CX1143" s="9"/>
      <c r="CY1143" s="9"/>
      <c r="CZ1143" s="9"/>
      <c r="DA1143" s="9"/>
      <c r="DB1143" s="9"/>
      <c r="DC1143" s="9"/>
      <c r="DD1143" s="9"/>
      <c r="DE1143" s="9"/>
      <c r="DF1143" s="9"/>
      <c r="DG1143" s="9"/>
      <c r="DH1143" s="9"/>
      <c r="DI1143" s="9"/>
      <c r="DJ1143" s="9"/>
      <c r="DK1143" s="9"/>
      <c r="DL1143" s="9"/>
      <c r="DM1143" s="9"/>
      <c r="DN1143" s="9"/>
      <c r="DO1143" s="9"/>
      <c r="DP1143" s="9"/>
      <c r="DQ1143" s="9"/>
      <c r="DR1143" s="9"/>
      <c r="DS1143" s="9"/>
      <c r="DT1143" s="9"/>
      <c r="DU1143" s="9"/>
      <c r="DV1143" s="9"/>
      <c r="DW1143" s="9"/>
      <c r="DX1143" s="9"/>
      <c r="DY1143" s="9"/>
      <c r="DZ1143" s="9"/>
      <c r="EA1143" s="9"/>
      <c r="EB1143" s="9"/>
      <c r="EC1143" s="9"/>
      <c r="ED1143" s="9"/>
      <c r="EE1143" s="9"/>
      <c r="EF1143" s="9"/>
      <c r="EG1143" s="9"/>
      <c r="EH1143" s="9"/>
      <c r="EI1143" s="9"/>
      <c r="EJ1143" s="9"/>
      <c r="EK1143" s="9"/>
      <c r="EL1143" s="9"/>
      <c r="EM1143" s="9"/>
      <c r="EN1143" s="9"/>
      <c r="EO1143" s="9"/>
      <c r="EP1143" s="9"/>
      <c r="EQ1143" s="9"/>
      <c r="ER1143" s="9"/>
      <c r="ES1143" s="9"/>
      <c r="ET1143" s="9"/>
      <c r="EU1143" s="9"/>
      <c r="EV1143" s="9"/>
      <c r="EW1143" s="9"/>
      <c r="EX1143" s="9"/>
      <c r="EY1143" s="9"/>
      <c r="EZ1143" s="9"/>
      <c r="FA1143" s="9"/>
      <c r="FB1143" s="9"/>
      <c r="FC1143" s="9"/>
      <c r="FD1143" s="9"/>
      <c r="FE1143" s="9"/>
      <c r="FF1143" s="9"/>
      <c r="FG1143" s="9"/>
      <c r="FH1143" s="9"/>
      <c r="FI1143" s="9"/>
      <c r="FJ1143" s="9"/>
      <c r="FK1143" s="9"/>
      <c r="FL1143" s="9"/>
      <c r="FM1143" s="9"/>
      <c r="FN1143" s="9"/>
      <c r="FO1143" s="9"/>
      <c r="FP1143" s="9"/>
    </row>
    <row r="1144" customFormat="false" ht="15" hidden="true" customHeight="false" outlineLevel="1" collapsed="false">
      <c r="B1144" s="259" t="s">
        <v>1037</v>
      </c>
      <c r="C1144" s="260" t="n">
        <f aca="false">ROUND(AC49+AC51,0)</f>
        <v>45</v>
      </c>
      <c r="D1144" s="260" t="n">
        <f aca="false">ROUND(AD49+AD51,0)</f>
        <v>38</v>
      </c>
      <c r="E1144" s="260" t="n">
        <f aca="false">ROUND(AE49+AE51,0)</f>
        <v>58</v>
      </c>
      <c r="F1144" s="260" t="n">
        <f aca="false">ROUND(AF49+AF51,0)</f>
        <v>62</v>
      </c>
      <c r="G1144" s="260" t="n">
        <f aca="false">ROUND(AG49+AG51,0)</f>
        <v>52</v>
      </c>
      <c r="H1144" s="260" t="n">
        <f aca="false">ROUND(AH49+AH51,0)</f>
        <v>52</v>
      </c>
      <c r="I1144" s="260" t="n">
        <f aca="false">ROUND(AI49+AI51,0)</f>
        <v>62</v>
      </c>
      <c r="J1144" s="260" t="n">
        <f aca="false">ROUND(AJ49+AJ51,0)</f>
        <v>116</v>
      </c>
      <c r="K1144" s="260" t="n">
        <f aca="false">ROUND(AK49+AK51,0)</f>
        <v>107</v>
      </c>
      <c r="L1144" s="260" t="n">
        <f aca="false">ROUND(AL49+AL51,0)</f>
        <v>89</v>
      </c>
      <c r="M1144" s="260" t="n">
        <f aca="false">ROUND(AX49+AX51,0)</f>
        <v>181</v>
      </c>
      <c r="N1144" s="260" t="n">
        <f aca="false">ROUND(BJ49+BJ51,0)</f>
        <v>218</v>
      </c>
      <c r="O1144" s="260" t="n">
        <f aca="false">ROUND(AO49+AO51,0)</f>
        <v>127</v>
      </c>
      <c r="P1144" s="260" t="n">
        <f aca="false">ROUND(AP49+AP51,0)</f>
        <v>103</v>
      </c>
      <c r="Q1144" s="260" t="n">
        <f aca="false">ROUND(AQ49+AQ51,0)</f>
        <v>146</v>
      </c>
      <c r="R1144" s="260" t="n">
        <f aca="false">ROUND(AR49+AR51,0)</f>
        <v>175</v>
      </c>
      <c r="S1144" s="260" t="n">
        <f aca="false">ROUND(AS49+AS51,0)</f>
        <v>153</v>
      </c>
      <c r="T1144" s="260" t="n">
        <f aca="false">ROUND(AT49+AT51,0)</f>
        <v>139</v>
      </c>
      <c r="U1144" s="260" t="n">
        <f aca="false">ROUND(AU49+AU51,0)</f>
        <v>150</v>
      </c>
      <c r="V1144" s="260" t="n">
        <f aca="false">ROUND(AV49+AV51,0)</f>
        <v>254</v>
      </c>
      <c r="W1144" s="260" t="n">
        <f aca="false">ROUND(AW49+AW51,0)</f>
        <v>213</v>
      </c>
      <c r="X1144" s="260" t="n">
        <f aca="false">ROUND(AX49+AX51,0)</f>
        <v>181</v>
      </c>
      <c r="Y1144" s="260" t="n">
        <f aca="false">ROUND(AY49+AY51,0)</f>
        <v>140</v>
      </c>
      <c r="Z1144" s="260" t="n">
        <f aca="false">ROUND(AZ49+AZ51,0)</f>
        <v>203</v>
      </c>
      <c r="AA1144" s="260" t="n">
        <f aca="false">ROUND(BA49+BA51,0)</f>
        <v>215</v>
      </c>
      <c r="AB1144" s="260" t="n">
        <f aca="false">ROUND(BB49+BB51,0)</f>
        <v>165</v>
      </c>
      <c r="AC1144" s="260" t="n">
        <f aca="false">ROUND(BC49,0)</f>
        <v>240</v>
      </c>
      <c r="AD1144" s="260" t="n">
        <f aca="false">ROUND(BD49,0)</f>
        <v>233</v>
      </c>
      <c r="AE1144" s="260" t="n">
        <f aca="false">ROUND(BE49,0)</f>
        <v>197</v>
      </c>
      <c r="AF1144" s="260" t="n">
        <f aca="false">ROUND(BF49,0)</f>
        <v>171</v>
      </c>
      <c r="AG1144" s="260" t="n">
        <f aca="false">ROUND(BG49,0)</f>
        <v>182</v>
      </c>
      <c r="AH1144" s="260" t="n">
        <f aca="false">ROUND(BH49,0)</f>
        <v>315</v>
      </c>
      <c r="AI1144" s="260" t="n">
        <f aca="false">ROUND(BI49,0)</f>
        <v>260</v>
      </c>
      <c r="AJ1144" s="260" t="n">
        <f aca="false">ROUND(BJ49,0)</f>
        <v>218</v>
      </c>
      <c r="AK1144" s="260" t="n">
        <f aca="false">ROUND(BK49,0)</f>
        <v>163</v>
      </c>
      <c r="AL1144" s="260" t="n">
        <f aca="false">ROUND(BL49,0)</f>
        <v>236</v>
      </c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  <c r="BF1144" s="9"/>
      <c r="BG1144" s="9"/>
      <c r="BH1144" s="9"/>
      <c r="BI1144" s="9"/>
      <c r="BJ1144" s="9"/>
      <c r="BK1144" s="9"/>
      <c r="BL1144" s="9"/>
      <c r="BM1144" s="9"/>
      <c r="BN1144" s="9"/>
      <c r="BO1144" s="9"/>
      <c r="BP1144" s="9"/>
      <c r="BQ1144" s="9"/>
      <c r="BR1144" s="9"/>
      <c r="BS1144" s="9"/>
      <c r="BT1144" s="9"/>
      <c r="BU1144" s="9"/>
      <c r="BV1144" s="9"/>
      <c r="BW1144" s="9"/>
      <c r="BX1144" s="9"/>
      <c r="BY1144" s="9"/>
      <c r="BZ1144" s="9"/>
      <c r="CA1144" s="9"/>
      <c r="CB1144" s="9"/>
      <c r="CC1144" s="9"/>
      <c r="CD1144" s="9"/>
      <c r="CE1144" s="9"/>
      <c r="CF1144" s="9"/>
      <c r="CG1144" s="9"/>
      <c r="CH1144" s="9"/>
      <c r="CI1144" s="9"/>
      <c r="CJ1144" s="9"/>
      <c r="CK1144" s="9"/>
      <c r="CL1144" s="9"/>
      <c r="CM1144" s="9"/>
      <c r="CN1144" s="9"/>
      <c r="CO1144" s="9"/>
      <c r="CP1144" s="9"/>
      <c r="CQ1144" s="9"/>
      <c r="CR1144" s="9"/>
      <c r="CS1144" s="9"/>
      <c r="CT1144" s="9"/>
      <c r="CU1144" s="9"/>
      <c r="CV1144" s="9"/>
      <c r="CW1144" s="9"/>
      <c r="CX1144" s="9"/>
      <c r="CY1144" s="9"/>
      <c r="CZ1144" s="9"/>
      <c r="DA1144" s="9"/>
      <c r="DB1144" s="9"/>
      <c r="DC1144" s="9"/>
      <c r="DD1144" s="9"/>
      <c r="DE1144" s="9"/>
      <c r="DF1144" s="9"/>
      <c r="DG1144" s="9"/>
      <c r="DH1144" s="9"/>
      <c r="DI1144" s="9"/>
      <c r="DJ1144" s="9"/>
      <c r="DK1144" s="9"/>
      <c r="DL1144" s="9"/>
      <c r="DM1144" s="9"/>
      <c r="DN1144" s="9"/>
      <c r="DO1144" s="9"/>
      <c r="DP1144" s="9"/>
      <c r="DQ1144" s="9"/>
      <c r="DR1144" s="9"/>
      <c r="DS1144" s="9"/>
      <c r="DT1144" s="9"/>
      <c r="DU1144" s="9"/>
      <c r="DV1144" s="9"/>
      <c r="DW1144" s="9"/>
      <c r="DX1144" s="9"/>
      <c r="DY1144" s="9"/>
      <c r="DZ1144" s="9"/>
      <c r="EA1144" s="9"/>
      <c r="EB1144" s="9"/>
      <c r="EC1144" s="9"/>
      <c r="ED1144" s="9"/>
      <c r="EE1144" s="9"/>
      <c r="EF1144" s="9"/>
      <c r="EG1144" s="9"/>
      <c r="EH1144" s="9"/>
      <c r="EI1144" s="9"/>
      <c r="EJ1144" s="9"/>
      <c r="EK1144" s="9"/>
      <c r="EL1144" s="9"/>
      <c r="EM1144" s="9"/>
      <c r="EN1144" s="9"/>
      <c r="EO1144" s="9"/>
      <c r="EP1144" s="9"/>
      <c r="EQ1144" s="9"/>
      <c r="ER1144" s="9"/>
      <c r="ES1144" s="9"/>
      <c r="ET1144" s="9"/>
      <c r="EU1144" s="9"/>
      <c r="EV1144" s="9"/>
      <c r="EW1144" s="9"/>
      <c r="EX1144" s="9"/>
      <c r="EY1144" s="9"/>
      <c r="EZ1144" s="9"/>
      <c r="FA1144" s="9"/>
      <c r="FB1144" s="9"/>
      <c r="FC1144" s="9"/>
      <c r="FD1144" s="9"/>
      <c r="FE1144" s="9"/>
      <c r="FF1144" s="9"/>
      <c r="FG1144" s="9"/>
      <c r="FH1144" s="9"/>
      <c r="FI1144" s="9"/>
      <c r="FJ1144" s="9"/>
      <c r="FK1144" s="9"/>
      <c r="FL1144" s="9"/>
      <c r="FM1144" s="9"/>
      <c r="FN1144" s="9"/>
      <c r="FO1144" s="9"/>
      <c r="FP1144" s="9"/>
    </row>
    <row r="1145" customFormat="false" ht="15" hidden="true" customHeight="false" outlineLevel="1" collapsed="false">
      <c r="B1145" s="36" t="s">
        <v>1038</v>
      </c>
      <c r="C1145" s="41" t="n">
        <v>56</v>
      </c>
      <c r="D1145" s="41" t="n">
        <v>40</v>
      </c>
      <c r="E1145" s="41" t="n">
        <v>58</v>
      </c>
      <c r="F1145" s="41" t="n">
        <v>66</v>
      </c>
      <c r="G1145" s="41" t="n">
        <v>46</v>
      </c>
      <c r="H1145" s="41" t="n">
        <v>34</v>
      </c>
      <c r="I1145" s="41" t="n">
        <v>61</v>
      </c>
      <c r="J1145" s="41" t="n">
        <v>52</v>
      </c>
      <c r="K1145" s="41" t="n">
        <v>58</v>
      </c>
      <c r="L1145" s="41" t="n">
        <v>78</v>
      </c>
      <c r="M1145" s="41" t="n">
        <v>66</v>
      </c>
      <c r="N1145" s="41" t="n">
        <v>74</v>
      </c>
      <c r="O1145" s="41"/>
      <c r="P1145" s="41"/>
      <c r="Q1145" s="41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  <c r="BF1145" s="9"/>
      <c r="BG1145" s="9"/>
      <c r="BH1145" s="9"/>
      <c r="BI1145" s="9"/>
      <c r="BJ1145" s="9"/>
      <c r="BK1145" s="9"/>
      <c r="BL1145" s="9"/>
      <c r="BM1145" s="9"/>
      <c r="BN1145" s="9"/>
      <c r="BO1145" s="9"/>
      <c r="BP1145" s="9"/>
      <c r="BQ1145" s="9"/>
      <c r="BR1145" s="9"/>
      <c r="BS1145" s="9"/>
      <c r="BT1145" s="9"/>
      <c r="BU1145" s="9"/>
      <c r="BV1145" s="9"/>
      <c r="BW1145" s="9"/>
      <c r="BX1145" s="9"/>
      <c r="BY1145" s="9"/>
      <c r="BZ1145" s="9"/>
      <c r="CA1145" s="9"/>
      <c r="CB1145" s="9"/>
      <c r="CC1145" s="9"/>
      <c r="CD1145" s="9"/>
      <c r="CE1145" s="9"/>
      <c r="CF1145" s="9"/>
      <c r="CG1145" s="9"/>
      <c r="CH1145" s="9"/>
      <c r="CI1145" s="9"/>
      <c r="CJ1145" s="9"/>
      <c r="CK1145" s="9"/>
      <c r="CL1145" s="9"/>
      <c r="CM1145" s="9"/>
      <c r="CN1145" s="9"/>
      <c r="CO1145" s="9"/>
      <c r="CP1145" s="9"/>
      <c r="CQ1145" s="9"/>
      <c r="CR1145" s="9"/>
      <c r="CS1145" s="9"/>
      <c r="CT1145" s="9"/>
      <c r="CU1145" s="9"/>
      <c r="CV1145" s="9"/>
      <c r="CW1145" s="9"/>
      <c r="CX1145" s="9"/>
      <c r="CY1145" s="9"/>
      <c r="CZ1145" s="9"/>
      <c r="DA1145" s="9"/>
      <c r="DB1145" s="9"/>
      <c r="DC1145" s="9"/>
      <c r="DD1145" s="9"/>
      <c r="DE1145" s="9"/>
      <c r="DF1145" s="9"/>
      <c r="DG1145" s="9"/>
      <c r="DH1145" s="9"/>
      <c r="DI1145" s="9"/>
      <c r="DJ1145" s="9"/>
      <c r="DK1145" s="9"/>
      <c r="DL1145" s="9"/>
      <c r="DM1145" s="9"/>
      <c r="DN1145" s="9"/>
      <c r="DO1145" s="9"/>
      <c r="DP1145" s="9"/>
      <c r="DQ1145" s="9"/>
      <c r="DR1145" s="9"/>
      <c r="DS1145" s="9"/>
      <c r="DT1145" s="9"/>
      <c r="DU1145" s="9"/>
      <c r="DV1145" s="9"/>
      <c r="DW1145" s="9"/>
      <c r="DX1145" s="9"/>
      <c r="DY1145" s="9"/>
      <c r="DZ1145" s="9"/>
      <c r="EA1145" s="9"/>
      <c r="EB1145" s="9"/>
      <c r="EC1145" s="9"/>
      <c r="ED1145" s="9"/>
      <c r="EE1145" s="9"/>
      <c r="EF1145" s="9"/>
      <c r="EG1145" s="9"/>
      <c r="EH1145" s="9"/>
      <c r="EI1145" s="9"/>
      <c r="EJ1145" s="9"/>
      <c r="EK1145" s="9"/>
      <c r="EL1145" s="9"/>
      <c r="EM1145" s="9"/>
      <c r="EN1145" s="9"/>
      <c r="EO1145" s="9"/>
      <c r="EP1145" s="9"/>
      <c r="EQ1145" s="9"/>
      <c r="ER1145" s="9"/>
      <c r="ES1145" s="9"/>
      <c r="ET1145" s="9"/>
      <c r="EU1145" s="9"/>
      <c r="EV1145" s="9"/>
      <c r="EW1145" s="9"/>
      <c r="EX1145" s="9"/>
      <c r="EY1145" s="9"/>
      <c r="EZ1145" s="9"/>
      <c r="FA1145" s="9"/>
      <c r="FB1145" s="9"/>
      <c r="FC1145" s="9"/>
      <c r="FD1145" s="9"/>
      <c r="FE1145" s="9"/>
      <c r="FF1145" s="9"/>
      <c r="FG1145" s="9"/>
      <c r="FH1145" s="9"/>
      <c r="FI1145" s="9"/>
      <c r="FJ1145" s="9"/>
      <c r="FK1145" s="9"/>
      <c r="FL1145" s="9"/>
      <c r="FM1145" s="9"/>
      <c r="FN1145" s="9"/>
      <c r="FO1145" s="9"/>
      <c r="FP1145" s="9"/>
    </row>
    <row r="1146" customFormat="false" ht="15" hidden="true" customHeight="false" outlineLevel="1" collapsed="false">
      <c r="B1146" s="3" t="s">
        <v>1036</v>
      </c>
      <c r="C1146" s="258" t="n">
        <f aca="false">ROUND(AG69,0)</f>
        <v>34</v>
      </c>
      <c r="D1146" s="258" t="n">
        <f aca="false">ROUND(AH69,0)</f>
        <v>33</v>
      </c>
      <c r="E1146" s="258" t="n">
        <f aca="false">ROUND(AI69,0)</f>
        <v>37</v>
      </c>
      <c r="F1146" s="258" t="n">
        <f aca="false">ROUND(AJ69,0)</f>
        <v>71</v>
      </c>
      <c r="G1146" s="258" t="n">
        <f aca="false">ROUND(AK69,0)</f>
        <v>58</v>
      </c>
      <c r="H1146" s="258" t="n">
        <f aca="false">ROUND(AL69,0)</f>
        <v>55</v>
      </c>
      <c r="I1146" s="258" t="n">
        <f aca="false">ROUND(AM69,0)</f>
        <v>47</v>
      </c>
      <c r="J1146" s="258" t="n">
        <f aca="false">ROUND(AN69,0)</f>
        <v>74</v>
      </c>
      <c r="K1146" s="258" t="n">
        <f aca="false">ROUND(AO69,0)</f>
        <v>88</v>
      </c>
      <c r="L1146" s="258" t="n">
        <f aca="false">ROUND(AP69,0)</f>
        <v>67</v>
      </c>
      <c r="M1146" s="258" t="n">
        <f aca="false">ROUND(BB69,0)</f>
        <v>137</v>
      </c>
      <c r="N1146" s="258" t="n">
        <f aca="false">ROUND(BN69,0)</f>
        <v>164</v>
      </c>
      <c r="O1146" s="258" t="n">
        <f aca="false">ROUND(AS69,0)</f>
        <v>95</v>
      </c>
      <c r="P1146" s="258" t="n">
        <f aca="false">ROUND(AT69,0)</f>
        <v>89</v>
      </c>
      <c r="Q1146" s="258" t="n">
        <f aca="false">ROUND(AU69,0)</f>
        <v>93</v>
      </c>
      <c r="R1146" s="258" t="n">
        <f aca="false">ROUND(AV69,0)</f>
        <v>199</v>
      </c>
      <c r="S1146" s="258" t="n">
        <f aca="false">ROUND(AW69,0)</f>
        <v>170</v>
      </c>
      <c r="T1146" s="258" t="n">
        <f aca="false">ROUND(AX69,0)</f>
        <v>147</v>
      </c>
      <c r="U1146" s="258" t="n">
        <f aca="false">ROUND(AY69,0)</f>
        <v>113</v>
      </c>
      <c r="V1146" s="258" t="n">
        <f aca="false">ROUND(AZ69,0)</f>
        <v>161</v>
      </c>
      <c r="W1146" s="258" t="n">
        <f aca="false">ROUND(BA69,0)</f>
        <v>175</v>
      </c>
      <c r="X1146" s="258" t="n">
        <f aca="false">ROUND(BB69,0)</f>
        <v>137</v>
      </c>
      <c r="Y1146" s="258" t="n">
        <f aca="false">ROUND(BC69,0)</f>
        <v>198</v>
      </c>
      <c r="Z1146" s="258" t="n">
        <f aca="false">ROUND(BD69,0)</f>
        <v>193</v>
      </c>
      <c r="AA1146" s="258" t="n">
        <f aca="false">ROUND(BE69,0)</f>
        <v>161</v>
      </c>
      <c r="AB1146" s="258" t="n">
        <f aca="false">ROUND(BF69,0)</f>
        <v>142</v>
      </c>
      <c r="AC1146" s="258" t="n">
        <f aca="false">ROUND(BG69,0)</f>
        <v>153</v>
      </c>
      <c r="AD1146" s="258" t="n">
        <f aca="false">ROUND(BH69,0)</f>
        <v>265</v>
      </c>
      <c r="AE1146" s="258" t="n">
        <f aca="false">ROUND(BI69,0)</f>
        <v>219</v>
      </c>
      <c r="AF1146" s="258" t="n">
        <f aca="false">ROUND(BJ69,0)</f>
        <v>181</v>
      </c>
      <c r="AG1146" s="258" t="n">
        <f aca="false">ROUND(BK69,0)</f>
        <v>137</v>
      </c>
      <c r="AH1146" s="258" t="n">
        <f aca="false">ROUND(BL69,0)</f>
        <v>199</v>
      </c>
      <c r="AI1146" s="258" t="n">
        <f aca="false">ROUND(BM69,0)</f>
        <v>213</v>
      </c>
      <c r="AJ1146" s="258" t="n">
        <f aca="false">ROUND(BN69,0)</f>
        <v>164</v>
      </c>
      <c r="AK1146" s="258" t="n">
        <f aca="false">ROUND(BO69,0)</f>
        <v>232</v>
      </c>
      <c r="AL1146" s="258" t="n">
        <f aca="false">ROUND(BP69,0)</f>
        <v>225</v>
      </c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  <c r="BF1146" s="9"/>
      <c r="BG1146" s="9"/>
      <c r="BH1146" s="9"/>
      <c r="BI1146" s="9"/>
      <c r="BJ1146" s="9"/>
      <c r="BK1146" s="9"/>
      <c r="BL1146" s="9"/>
      <c r="BM1146" s="9"/>
      <c r="BN1146" s="9"/>
      <c r="BO1146" s="9"/>
      <c r="BP1146" s="9"/>
      <c r="BQ1146" s="9"/>
      <c r="BR1146" s="9"/>
      <c r="BS1146" s="9"/>
      <c r="BT1146" s="9"/>
      <c r="BU1146" s="9"/>
      <c r="BV1146" s="9"/>
      <c r="BW1146" s="9"/>
      <c r="BX1146" s="9"/>
      <c r="BY1146" s="9"/>
      <c r="BZ1146" s="9"/>
      <c r="CA1146" s="9"/>
      <c r="CB1146" s="9"/>
      <c r="CC1146" s="9"/>
      <c r="CD1146" s="9"/>
      <c r="CE1146" s="9"/>
      <c r="CF1146" s="9"/>
      <c r="CG1146" s="9"/>
      <c r="CH1146" s="9"/>
      <c r="CI1146" s="9"/>
      <c r="CJ1146" s="9"/>
      <c r="CK1146" s="9"/>
      <c r="CL1146" s="9"/>
      <c r="CM1146" s="9"/>
      <c r="CN1146" s="9"/>
      <c r="CO1146" s="9"/>
      <c r="CP1146" s="9"/>
      <c r="CQ1146" s="9"/>
      <c r="CR1146" s="9"/>
      <c r="CS1146" s="9"/>
      <c r="CT1146" s="9"/>
      <c r="CU1146" s="9"/>
      <c r="CV1146" s="9"/>
      <c r="CW1146" s="9"/>
      <c r="CX1146" s="9"/>
      <c r="CY1146" s="9"/>
      <c r="CZ1146" s="9"/>
      <c r="DA1146" s="9"/>
      <c r="DB1146" s="9"/>
      <c r="DC1146" s="9"/>
      <c r="DD1146" s="9"/>
      <c r="DE1146" s="9"/>
      <c r="DF1146" s="9"/>
      <c r="DG1146" s="9"/>
      <c r="DH1146" s="9"/>
      <c r="DI1146" s="9"/>
      <c r="DJ1146" s="9"/>
      <c r="DK1146" s="9"/>
      <c r="DL1146" s="9"/>
      <c r="DM1146" s="9"/>
      <c r="DN1146" s="9"/>
      <c r="DO1146" s="9"/>
      <c r="DP1146" s="9"/>
      <c r="DQ1146" s="9"/>
      <c r="DR1146" s="9"/>
      <c r="DS1146" s="9"/>
      <c r="DT1146" s="9"/>
      <c r="DU1146" s="9"/>
      <c r="DV1146" s="9"/>
      <c r="DW1146" s="9"/>
      <c r="DX1146" s="9"/>
      <c r="DY1146" s="9"/>
      <c r="DZ1146" s="9"/>
      <c r="EA1146" s="9"/>
      <c r="EB1146" s="9"/>
      <c r="EC1146" s="9"/>
      <c r="ED1146" s="9"/>
      <c r="EE1146" s="9"/>
      <c r="EF1146" s="9"/>
      <c r="EG1146" s="9"/>
      <c r="EH1146" s="9"/>
      <c r="EI1146" s="9"/>
      <c r="EJ1146" s="9"/>
      <c r="EK1146" s="9"/>
      <c r="EL1146" s="9"/>
      <c r="EM1146" s="9"/>
      <c r="EN1146" s="9"/>
      <c r="EO1146" s="9"/>
      <c r="EP1146" s="9"/>
      <c r="EQ1146" s="9"/>
      <c r="ER1146" s="9"/>
      <c r="ES1146" s="9"/>
      <c r="ET1146" s="9"/>
      <c r="EU1146" s="9"/>
      <c r="EV1146" s="9"/>
      <c r="EW1146" s="9"/>
      <c r="EX1146" s="9"/>
      <c r="EY1146" s="9"/>
      <c r="EZ1146" s="9"/>
      <c r="FA1146" s="9"/>
      <c r="FB1146" s="9"/>
      <c r="FC1146" s="9"/>
      <c r="FD1146" s="9"/>
      <c r="FE1146" s="9"/>
      <c r="FF1146" s="9"/>
      <c r="FG1146" s="9"/>
      <c r="FH1146" s="9"/>
      <c r="FI1146" s="9"/>
      <c r="FJ1146" s="9"/>
      <c r="FK1146" s="9"/>
      <c r="FL1146" s="9"/>
      <c r="FM1146" s="9"/>
      <c r="FN1146" s="9"/>
      <c r="FO1146" s="9"/>
      <c r="FP1146" s="9"/>
    </row>
    <row r="1147" customFormat="false" ht="15" hidden="true" customHeight="false" outlineLevel="1" collapsed="false">
      <c r="B1147" s="3"/>
      <c r="C1147" s="41"/>
      <c r="D1147" s="41"/>
      <c r="E1147" s="41"/>
      <c r="F1147" s="41"/>
      <c r="G1147" s="41"/>
      <c r="H1147" s="41"/>
      <c r="I1147" s="41"/>
      <c r="J1147" s="41"/>
      <c r="K1147" s="41"/>
      <c r="L1147" s="41"/>
      <c r="M1147" s="41"/>
      <c r="N1147" s="41"/>
      <c r="O1147" s="41"/>
      <c r="P1147" s="41"/>
      <c r="Q1147" s="41"/>
      <c r="R1147" s="41"/>
      <c r="S1147" s="41"/>
      <c r="T1147" s="41"/>
      <c r="U1147" s="41"/>
      <c r="V1147" s="41"/>
      <c r="W1147" s="41"/>
      <c r="X1147" s="41"/>
      <c r="Y1147" s="41"/>
      <c r="Z1147" s="41"/>
      <c r="AA1147" s="41"/>
      <c r="AB1147" s="41"/>
      <c r="AC1147" s="41"/>
      <c r="AD1147" s="41"/>
      <c r="AE1147" s="41"/>
      <c r="AF1147" s="41"/>
      <c r="AG1147" s="41"/>
      <c r="AH1147" s="41"/>
      <c r="AI1147" s="41"/>
      <c r="AJ1147" s="41"/>
      <c r="AK1147" s="41"/>
      <c r="AL1147" s="41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  <c r="BF1147" s="9"/>
      <c r="BG1147" s="9"/>
      <c r="BH1147" s="9"/>
      <c r="BI1147" s="9"/>
      <c r="BJ1147" s="9"/>
      <c r="BK1147" s="9"/>
      <c r="BL1147" s="9"/>
      <c r="BM1147" s="9"/>
      <c r="BN1147" s="9"/>
      <c r="BO1147" s="9"/>
      <c r="BP1147" s="9"/>
      <c r="BQ1147" s="9"/>
      <c r="BR1147" s="9"/>
      <c r="BS1147" s="9"/>
      <c r="BT1147" s="9"/>
      <c r="BU1147" s="9"/>
      <c r="BV1147" s="9"/>
      <c r="BW1147" s="9"/>
      <c r="BX1147" s="9"/>
      <c r="BY1147" s="9"/>
      <c r="BZ1147" s="9"/>
      <c r="CA1147" s="9"/>
      <c r="CB1147" s="9"/>
      <c r="CC1147" s="9"/>
      <c r="CD1147" s="9"/>
      <c r="CE1147" s="9"/>
      <c r="CF1147" s="9"/>
      <c r="CG1147" s="9"/>
      <c r="CH1147" s="9"/>
      <c r="CI1147" s="9"/>
      <c r="CJ1147" s="9"/>
      <c r="CK1147" s="9"/>
      <c r="CL1147" s="9"/>
      <c r="CM1147" s="9"/>
      <c r="CN1147" s="9"/>
      <c r="CO1147" s="9"/>
      <c r="CP1147" s="9"/>
      <c r="CQ1147" s="9"/>
      <c r="CR1147" s="9"/>
      <c r="CS1147" s="9"/>
      <c r="CT1147" s="9"/>
      <c r="CU1147" s="9"/>
      <c r="CV1147" s="9"/>
      <c r="CW1147" s="9"/>
      <c r="CX1147" s="9"/>
      <c r="CY1147" s="9"/>
      <c r="CZ1147" s="9"/>
      <c r="DA1147" s="9"/>
      <c r="DB1147" s="9"/>
      <c r="DC1147" s="9"/>
      <c r="DD1147" s="9"/>
      <c r="DE1147" s="9"/>
      <c r="DF1147" s="9"/>
      <c r="DG1147" s="9"/>
      <c r="DH1147" s="9"/>
      <c r="DI1147" s="9"/>
      <c r="DJ1147" s="9"/>
      <c r="DK1147" s="9"/>
      <c r="DL1147" s="9"/>
      <c r="DM1147" s="9"/>
      <c r="DN1147" s="9"/>
      <c r="DO1147" s="9"/>
      <c r="DP1147" s="9"/>
      <c r="DQ1147" s="9"/>
      <c r="DR1147" s="9"/>
      <c r="DS1147" s="9"/>
      <c r="DT1147" s="9"/>
      <c r="DU1147" s="9"/>
      <c r="DV1147" s="9"/>
      <c r="DW1147" s="9"/>
      <c r="DX1147" s="9"/>
      <c r="DY1147" s="9"/>
      <c r="DZ1147" s="9"/>
      <c r="EA1147" s="9"/>
      <c r="EB1147" s="9"/>
      <c r="EC1147" s="9"/>
      <c r="ED1147" s="9"/>
      <c r="EE1147" s="9"/>
      <c r="EF1147" s="9"/>
      <c r="EG1147" s="9"/>
      <c r="EH1147" s="9"/>
      <c r="EI1147" s="9"/>
      <c r="EJ1147" s="9"/>
      <c r="EK1147" s="9"/>
      <c r="EL1147" s="9"/>
      <c r="EM1147" s="9"/>
      <c r="EN1147" s="9"/>
      <c r="EO1147" s="9"/>
      <c r="EP1147" s="9"/>
      <c r="EQ1147" s="9"/>
      <c r="ER1147" s="9"/>
      <c r="ES1147" s="9"/>
      <c r="ET1147" s="9"/>
      <c r="EU1147" s="9"/>
      <c r="EV1147" s="9"/>
      <c r="EW1147" s="9"/>
      <c r="EX1147" s="9"/>
      <c r="EY1147" s="9"/>
      <c r="EZ1147" s="9"/>
      <c r="FA1147" s="9"/>
      <c r="FB1147" s="9"/>
      <c r="FC1147" s="9"/>
      <c r="FD1147" s="9"/>
      <c r="FE1147" s="9"/>
      <c r="FF1147" s="9"/>
      <c r="FG1147" s="9"/>
      <c r="FH1147" s="9"/>
      <c r="FI1147" s="9"/>
      <c r="FJ1147" s="9"/>
      <c r="FK1147" s="9"/>
      <c r="FL1147" s="9"/>
      <c r="FM1147" s="9"/>
      <c r="FN1147" s="9"/>
      <c r="FO1147" s="9"/>
      <c r="FP1147" s="9"/>
    </row>
    <row r="1148" customFormat="false" ht="15" hidden="true" customHeight="false" outlineLevel="1" collapsed="false">
      <c r="B1148" s="259" t="s">
        <v>1037</v>
      </c>
      <c r="C1148" s="260" t="n">
        <f aca="false">ROUND(AG69+AG71,0)</f>
        <v>34</v>
      </c>
      <c r="D1148" s="260" t="n">
        <f aca="false">ROUND(AH69+AH71,0)</f>
        <v>33</v>
      </c>
      <c r="E1148" s="260" t="n">
        <f aca="false">ROUND(AI69+AI71,0)</f>
        <v>37</v>
      </c>
      <c r="F1148" s="260" t="n">
        <f aca="false">ROUND(AJ69+AJ71,0)</f>
        <v>71</v>
      </c>
      <c r="G1148" s="260" t="n">
        <f aca="false">ROUND(AK69+AK71,0)</f>
        <v>58</v>
      </c>
      <c r="H1148" s="260" t="n">
        <f aca="false">ROUND(AL69+AL71,0)</f>
        <v>55</v>
      </c>
      <c r="I1148" s="260" t="n">
        <f aca="false">ROUND(AM69+AM71,0)</f>
        <v>47</v>
      </c>
      <c r="J1148" s="260" t="n">
        <f aca="false">ROUND(AN69+AN71,0)</f>
        <v>74</v>
      </c>
      <c r="K1148" s="260" t="n">
        <f aca="false">ROUND(AO69+AO71,0)</f>
        <v>88</v>
      </c>
      <c r="L1148" s="260" t="n">
        <f aca="false">ROUND(AP69+AP71,0)</f>
        <v>67</v>
      </c>
      <c r="M1148" s="260" t="n">
        <f aca="false">ROUND(BB69+BB71,0)</f>
        <v>137</v>
      </c>
      <c r="N1148" s="260" t="n">
        <f aca="false">ROUND(BN69+BN71,0)</f>
        <v>164</v>
      </c>
      <c r="O1148" s="260" t="n">
        <f aca="false">ROUND(AS69+AS71,0)</f>
        <v>95</v>
      </c>
      <c r="P1148" s="260" t="n">
        <f aca="false">ROUND(AT69+AT71,0)</f>
        <v>89</v>
      </c>
      <c r="Q1148" s="260" t="n">
        <f aca="false">ROUND(AU69+AU71,0)</f>
        <v>93</v>
      </c>
      <c r="R1148" s="260" t="n">
        <f aca="false">ROUND(AV69+AV71,0)</f>
        <v>199</v>
      </c>
      <c r="S1148" s="260" t="n">
        <f aca="false">ROUND(AW69+AW71,0)</f>
        <v>170</v>
      </c>
      <c r="T1148" s="260" t="n">
        <f aca="false">ROUND(AX69+AX71,0)</f>
        <v>147</v>
      </c>
      <c r="U1148" s="260" t="n">
        <f aca="false">ROUND(AY69+AY71,0)</f>
        <v>113</v>
      </c>
      <c r="V1148" s="260" t="n">
        <f aca="false">ROUND(AZ69+AZ71,0)</f>
        <v>161</v>
      </c>
      <c r="W1148" s="260" t="n">
        <f aca="false">ROUND(BA69+BA71,0)</f>
        <v>175</v>
      </c>
      <c r="X1148" s="260" t="n">
        <f aca="false">ROUND(BB69+BB71,0)</f>
        <v>137</v>
      </c>
      <c r="Y1148" s="260" t="n">
        <f aca="false">ROUND(BC69+BC71,0)</f>
        <v>198</v>
      </c>
      <c r="Z1148" s="260" t="n">
        <f aca="false">ROUND(BD69+BD71,0)</f>
        <v>193</v>
      </c>
      <c r="AA1148" s="260" t="n">
        <f aca="false">ROUND(BE69+BE71,0)</f>
        <v>161</v>
      </c>
      <c r="AB1148" s="260" t="n">
        <f aca="false">ROUND(BF69+BF71,0)</f>
        <v>142</v>
      </c>
      <c r="AC1148" s="260" t="n">
        <f aca="false">ROUND(BG69,0)</f>
        <v>153</v>
      </c>
      <c r="AD1148" s="260" t="n">
        <f aca="false">ROUND(BH69,0)</f>
        <v>265</v>
      </c>
      <c r="AE1148" s="260" t="n">
        <f aca="false">ROUND(BI69,0)</f>
        <v>219</v>
      </c>
      <c r="AF1148" s="260" t="n">
        <f aca="false">ROUND(BJ69,0)</f>
        <v>181</v>
      </c>
      <c r="AG1148" s="260" t="n">
        <f aca="false">ROUND(BK69,0)</f>
        <v>137</v>
      </c>
      <c r="AH1148" s="260" t="n">
        <f aca="false">ROUND(BL69,0)</f>
        <v>199</v>
      </c>
      <c r="AI1148" s="260" t="n">
        <f aca="false">ROUND(BM69,0)</f>
        <v>213</v>
      </c>
      <c r="AJ1148" s="260" t="n">
        <f aca="false">ROUND(BN69,0)</f>
        <v>164</v>
      </c>
      <c r="AK1148" s="260" t="n">
        <f aca="false">ROUND(BO69,0)</f>
        <v>232</v>
      </c>
      <c r="AL1148" s="260" t="n">
        <f aca="false">ROUND(BP69,0)</f>
        <v>225</v>
      </c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9"/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9"/>
      <c r="CQ1148" s="9"/>
      <c r="CR1148" s="9"/>
      <c r="CS1148" s="9"/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9"/>
      <c r="DJ1148" s="9"/>
      <c r="DK1148" s="9"/>
      <c r="DL1148" s="9"/>
      <c r="DM1148" s="9"/>
      <c r="DN1148" s="9"/>
      <c r="DO1148" s="9"/>
      <c r="DP1148" s="9"/>
      <c r="DQ1148" s="9"/>
      <c r="DR1148" s="9"/>
      <c r="DS1148" s="9"/>
      <c r="DT1148" s="9"/>
      <c r="DU1148" s="9"/>
      <c r="DV1148" s="9"/>
      <c r="DW1148" s="9"/>
      <c r="DX1148" s="9"/>
      <c r="DY1148" s="9"/>
      <c r="DZ1148" s="9"/>
      <c r="EA1148" s="9"/>
      <c r="EB1148" s="9"/>
      <c r="EC1148" s="9"/>
      <c r="ED1148" s="9"/>
      <c r="EE1148" s="9"/>
      <c r="EF1148" s="9"/>
      <c r="EG1148" s="9"/>
      <c r="EH1148" s="9"/>
      <c r="EI1148" s="9"/>
      <c r="EJ1148" s="9"/>
      <c r="EK1148" s="9"/>
      <c r="EL1148" s="9"/>
      <c r="EM1148" s="9"/>
      <c r="EN1148" s="9"/>
      <c r="EO1148" s="9"/>
      <c r="EP1148" s="9"/>
      <c r="EQ1148" s="9"/>
      <c r="ER1148" s="9"/>
      <c r="ES1148" s="9"/>
      <c r="ET1148" s="9"/>
      <c r="EU1148" s="9"/>
      <c r="EV1148" s="9"/>
      <c r="EW1148" s="9"/>
      <c r="EX1148" s="9"/>
      <c r="EY1148" s="9"/>
      <c r="EZ1148" s="9"/>
      <c r="FA1148" s="9"/>
      <c r="FB1148" s="9"/>
      <c r="FC1148" s="9"/>
      <c r="FD1148" s="9"/>
      <c r="FE1148" s="9"/>
      <c r="FF1148" s="9"/>
      <c r="FG1148" s="9"/>
      <c r="FH1148" s="9"/>
      <c r="FI1148" s="9"/>
      <c r="FJ1148" s="9"/>
      <c r="FK1148" s="9"/>
      <c r="FL1148" s="9"/>
      <c r="FM1148" s="9"/>
      <c r="FN1148" s="9"/>
      <c r="FO1148" s="9"/>
      <c r="FP1148" s="9"/>
    </row>
    <row r="1149" customFormat="false" ht="15" hidden="true" customHeight="false" outlineLevel="1" collapsed="false">
      <c r="B1149" s="36" t="s">
        <v>1039</v>
      </c>
      <c r="C1149" s="41" t="n">
        <v>19</v>
      </c>
      <c r="D1149" s="41" t="n">
        <v>11</v>
      </c>
      <c r="E1149" s="41" t="n">
        <v>14</v>
      </c>
      <c r="F1149" s="41" t="n">
        <v>8</v>
      </c>
      <c r="G1149" s="41" t="n">
        <v>18</v>
      </c>
      <c r="H1149" s="41" t="n">
        <v>18</v>
      </c>
      <c r="I1149" s="41" t="n">
        <v>33</v>
      </c>
      <c r="J1149" s="41" t="n">
        <v>30</v>
      </c>
      <c r="K1149" s="41" t="n">
        <v>28</v>
      </c>
      <c r="L1149" s="41" t="n">
        <v>41</v>
      </c>
      <c r="M1149" s="41" t="n">
        <v>45</v>
      </c>
      <c r="N1149" s="41" t="n">
        <v>46</v>
      </c>
      <c r="O1149" s="41" t="n">
        <v>43</v>
      </c>
      <c r="P1149" s="41" t="n">
        <v>31</v>
      </c>
      <c r="Q1149" s="41" t="n">
        <v>42</v>
      </c>
      <c r="R1149" s="9"/>
      <c r="S1149" s="9"/>
      <c r="T1149" s="9" t="n">
        <v>0.0125</v>
      </c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  <c r="BF1149" s="9"/>
      <c r="BG1149" s="9"/>
      <c r="BH1149" s="9"/>
      <c r="BI1149" s="9"/>
      <c r="BJ1149" s="9"/>
      <c r="BK1149" s="9"/>
      <c r="BL1149" s="9"/>
      <c r="BM1149" s="9"/>
      <c r="BN1149" s="9"/>
      <c r="BO1149" s="9"/>
      <c r="BP1149" s="9"/>
      <c r="BQ1149" s="9"/>
      <c r="BR1149" s="9"/>
      <c r="BS1149" s="9"/>
      <c r="BT1149" s="9"/>
      <c r="BU1149" s="9"/>
      <c r="BV1149" s="9"/>
      <c r="BW1149" s="9"/>
      <c r="BX1149" s="9"/>
      <c r="BY1149" s="9"/>
      <c r="BZ1149" s="9"/>
      <c r="CA1149" s="9"/>
      <c r="CB1149" s="9"/>
      <c r="CC1149" s="9"/>
      <c r="CD1149" s="9"/>
      <c r="CE1149" s="9"/>
      <c r="CF1149" s="9"/>
      <c r="CG1149" s="9"/>
      <c r="CH1149" s="9"/>
      <c r="CI1149" s="9"/>
      <c r="CJ1149" s="9"/>
      <c r="CK1149" s="9"/>
      <c r="CL1149" s="9"/>
      <c r="CM1149" s="9"/>
      <c r="CN1149" s="9"/>
      <c r="CO1149" s="9"/>
      <c r="CP1149" s="9"/>
      <c r="CQ1149" s="9"/>
      <c r="CR1149" s="9"/>
      <c r="CS1149" s="9"/>
      <c r="CT1149" s="9"/>
      <c r="CU1149" s="9"/>
      <c r="CV1149" s="9"/>
      <c r="CW1149" s="9"/>
      <c r="CX1149" s="9"/>
      <c r="CY1149" s="9"/>
      <c r="CZ1149" s="9"/>
      <c r="DA1149" s="9"/>
      <c r="DB1149" s="9"/>
      <c r="DC1149" s="9"/>
      <c r="DD1149" s="9"/>
      <c r="DE1149" s="9"/>
      <c r="DF1149" s="9"/>
      <c r="DG1149" s="9"/>
      <c r="DH1149" s="9"/>
      <c r="DI1149" s="9"/>
      <c r="DJ1149" s="9"/>
      <c r="DK1149" s="9"/>
      <c r="DL1149" s="9"/>
      <c r="DM1149" s="9"/>
      <c r="DN1149" s="9"/>
      <c r="DO1149" s="9"/>
      <c r="DP1149" s="9"/>
      <c r="DQ1149" s="9"/>
      <c r="DR1149" s="9"/>
      <c r="DS1149" s="9"/>
      <c r="DT1149" s="9"/>
      <c r="DU1149" s="9"/>
      <c r="DV1149" s="9"/>
      <c r="DW1149" s="9"/>
      <c r="DX1149" s="9"/>
      <c r="DY1149" s="9"/>
      <c r="DZ1149" s="9"/>
      <c r="EA1149" s="9"/>
      <c r="EB1149" s="9"/>
      <c r="EC1149" s="9"/>
      <c r="ED1149" s="9"/>
      <c r="EE1149" s="9"/>
      <c r="EF1149" s="9"/>
      <c r="EG1149" s="9"/>
      <c r="EH1149" s="9"/>
      <c r="EI1149" s="9"/>
      <c r="EJ1149" s="9"/>
      <c r="EK1149" s="9"/>
      <c r="EL1149" s="9"/>
      <c r="EM1149" s="9"/>
      <c r="EN1149" s="9"/>
      <c r="EO1149" s="9"/>
      <c r="EP1149" s="9"/>
      <c r="EQ1149" s="9"/>
      <c r="ER1149" s="9"/>
      <c r="ES1149" s="9"/>
      <c r="ET1149" s="9"/>
      <c r="EU1149" s="9"/>
      <c r="EV1149" s="9"/>
      <c r="EW1149" s="9"/>
      <c r="EX1149" s="9"/>
      <c r="EY1149" s="9"/>
      <c r="EZ1149" s="9"/>
      <c r="FA1149" s="9"/>
      <c r="FB1149" s="9"/>
      <c r="FC1149" s="9"/>
      <c r="FD1149" s="9"/>
      <c r="FE1149" s="9"/>
      <c r="FF1149" s="9"/>
      <c r="FG1149" s="9"/>
      <c r="FH1149" s="9"/>
      <c r="FI1149" s="9"/>
      <c r="FJ1149" s="9"/>
      <c r="FK1149" s="9"/>
      <c r="FL1149" s="9"/>
      <c r="FM1149" s="9"/>
      <c r="FN1149" s="9"/>
      <c r="FO1149" s="9"/>
      <c r="FP1149" s="9"/>
    </row>
    <row r="1150" customFormat="false" ht="15" hidden="true" customHeight="false" outlineLevel="1" collapsed="false">
      <c r="B1150" s="3" t="s">
        <v>1036</v>
      </c>
      <c r="C1150" s="9" t="n">
        <f aca="false">ROUND(AD59,0)</f>
        <v>12</v>
      </c>
      <c r="D1150" s="9" t="n">
        <f aca="false">ROUND(AE59,0)</f>
        <v>19</v>
      </c>
      <c r="E1150" s="9" t="n">
        <f aca="false">ROUND(AF59,0)</f>
        <v>20</v>
      </c>
      <c r="F1150" s="9" t="n">
        <f aca="false">ROUND(AG59,0)</f>
        <v>19</v>
      </c>
      <c r="G1150" s="9" t="n">
        <f aca="false">ROUND(AH59,0)</f>
        <v>16</v>
      </c>
      <c r="H1150" s="9" t="n">
        <f aca="false">ROUND(AI59,0)</f>
        <v>20</v>
      </c>
      <c r="I1150" s="9" t="n">
        <f aca="false">ROUND(AJ59,0)</f>
        <v>37</v>
      </c>
      <c r="J1150" s="9" t="n">
        <f aca="false">ROUND(AK59,0)</f>
        <v>34</v>
      </c>
      <c r="K1150" s="9" t="n">
        <f aca="false">ROUND(AL59,0)</f>
        <v>32</v>
      </c>
      <c r="L1150" s="9" t="n">
        <f aca="false">ROUND(AM59,0)</f>
        <v>24</v>
      </c>
      <c r="M1150" s="9" t="n">
        <f aca="false">ROUND(AY59,0)</f>
        <v>49</v>
      </c>
      <c r="N1150" s="9" t="n">
        <f aca="false">ROUND(BK59,0)</f>
        <v>58</v>
      </c>
      <c r="O1150" s="9" t="n">
        <f aca="false">ROUND(AP59,0)</f>
        <v>34</v>
      </c>
      <c r="P1150" s="9" t="n">
        <f aca="false">ROUND(AQ59,0)</f>
        <v>52</v>
      </c>
      <c r="Q1150" s="9" t="n">
        <f aca="false">ROUND(AR59,0)</f>
        <v>50</v>
      </c>
      <c r="R1150" s="9" t="n">
        <f aca="false">ROUND(AS59,0)</f>
        <v>52</v>
      </c>
      <c r="S1150" s="9" t="n">
        <f aca="false">ROUND(AT59,0)</f>
        <v>48</v>
      </c>
      <c r="T1150" s="9" t="n">
        <f aca="false">ROUND(AU59,0)</f>
        <v>52</v>
      </c>
      <c r="U1150" s="9" t="n">
        <f aca="false">ROUND(AV59,0)</f>
        <v>91</v>
      </c>
      <c r="V1150" s="9" t="n">
        <f aca="false">ROUND(AW59,0)</f>
        <v>74</v>
      </c>
      <c r="W1150" s="9" t="n">
        <f aca="false">ROUND(AX59,0)</f>
        <v>63</v>
      </c>
      <c r="X1150" s="9" t="n">
        <f aca="false">ROUND(AY59,0)</f>
        <v>49</v>
      </c>
      <c r="Y1150" s="9" t="n">
        <f aca="false">ROUND(AZ59,0)</f>
        <v>71</v>
      </c>
      <c r="Z1150" s="9" t="n">
        <f aca="false">ROUND(BA59,0)</f>
        <v>77</v>
      </c>
      <c r="AA1150" s="9" t="n">
        <f aca="false">ROUND(BB59,0)</f>
        <v>58</v>
      </c>
      <c r="AB1150" s="9" t="n">
        <f aca="false">ROUND(BC59,0)</f>
        <v>84</v>
      </c>
      <c r="AC1150" s="9" t="n">
        <f aca="false">ROUND(BD59,0)</f>
        <v>81</v>
      </c>
      <c r="AD1150" s="9" t="n">
        <f aca="false">ROUND(BE59,0)</f>
        <v>70</v>
      </c>
      <c r="AE1150" s="9" t="n">
        <f aca="false">ROUND(BF59,0)</f>
        <v>61</v>
      </c>
      <c r="AF1150" s="9" t="n">
        <f aca="false">ROUND(BG59,0)</f>
        <v>64</v>
      </c>
      <c r="AG1150" s="9" t="n">
        <f aca="false">ROUND(BH59,0)</f>
        <v>110</v>
      </c>
      <c r="AH1150" s="9" t="n">
        <f aca="false">ROUND(BI59,0)</f>
        <v>92</v>
      </c>
      <c r="AI1150" s="9" t="n">
        <f aca="false">ROUND(BJ59,0)</f>
        <v>77</v>
      </c>
      <c r="AJ1150" s="9" t="n">
        <f aca="false">ROUND(BK59,0)</f>
        <v>58</v>
      </c>
      <c r="AK1150" s="9" t="n">
        <f aca="false">ROUND(BL59,0)</f>
        <v>83</v>
      </c>
      <c r="AL1150" s="9" t="n">
        <f aca="false">ROUND(BM59,0)</f>
        <v>89</v>
      </c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  <c r="BF1150" s="9"/>
      <c r="BG1150" s="9"/>
      <c r="BH1150" s="9"/>
      <c r="BI1150" s="9"/>
      <c r="BJ1150" s="9"/>
      <c r="BK1150" s="9"/>
      <c r="BL1150" s="9"/>
      <c r="BM1150" s="9"/>
      <c r="BN1150" s="9"/>
      <c r="BO1150" s="9"/>
      <c r="BP1150" s="9"/>
      <c r="BQ1150" s="9"/>
      <c r="BR1150" s="9"/>
      <c r="BS1150" s="9"/>
      <c r="BT1150" s="9"/>
      <c r="BU1150" s="9"/>
      <c r="BV1150" s="9"/>
      <c r="BW1150" s="9"/>
      <c r="BX1150" s="9"/>
      <c r="BY1150" s="9"/>
      <c r="BZ1150" s="9"/>
      <c r="CA1150" s="9"/>
      <c r="CB1150" s="9"/>
      <c r="CC1150" s="9"/>
      <c r="CD1150" s="9"/>
      <c r="CE1150" s="9"/>
      <c r="CF1150" s="9"/>
      <c r="CG1150" s="9"/>
      <c r="CH1150" s="9"/>
      <c r="CI1150" s="9"/>
      <c r="CJ1150" s="9"/>
      <c r="CK1150" s="9"/>
      <c r="CL1150" s="9"/>
      <c r="CM1150" s="9"/>
      <c r="CN1150" s="9"/>
      <c r="CO1150" s="9"/>
      <c r="CP1150" s="9"/>
      <c r="CQ1150" s="9"/>
      <c r="CR1150" s="9"/>
      <c r="CS1150" s="9"/>
      <c r="CT1150" s="9"/>
      <c r="CU1150" s="9"/>
      <c r="CV1150" s="9"/>
      <c r="CW1150" s="9"/>
      <c r="CX1150" s="9"/>
      <c r="CY1150" s="9"/>
      <c r="CZ1150" s="9"/>
      <c r="DA1150" s="9"/>
      <c r="DB1150" s="9"/>
      <c r="DC1150" s="9"/>
      <c r="DD1150" s="9"/>
      <c r="DE1150" s="9"/>
      <c r="DF1150" s="9"/>
      <c r="DG1150" s="9"/>
      <c r="DH1150" s="9"/>
      <c r="DI1150" s="9"/>
      <c r="DJ1150" s="9"/>
      <c r="DK1150" s="9"/>
      <c r="DL1150" s="9"/>
      <c r="DM1150" s="9"/>
      <c r="DN1150" s="9"/>
      <c r="DO1150" s="9"/>
      <c r="DP1150" s="9"/>
      <c r="DQ1150" s="9"/>
      <c r="DR1150" s="9"/>
      <c r="DS1150" s="9"/>
      <c r="DT1150" s="9"/>
      <c r="DU1150" s="9"/>
      <c r="DV1150" s="9"/>
      <c r="DW1150" s="9"/>
      <c r="DX1150" s="9"/>
      <c r="DY1150" s="9"/>
      <c r="DZ1150" s="9"/>
      <c r="EA1150" s="9"/>
      <c r="EB1150" s="9"/>
      <c r="EC1150" s="9"/>
      <c r="ED1150" s="9"/>
      <c r="EE1150" s="9"/>
      <c r="EF1150" s="9"/>
      <c r="EG1150" s="9"/>
      <c r="EH1150" s="9"/>
      <c r="EI1150" s="9"/>
      <c r="EJ1150" s="9"/>
      <c r="EK1150" s="9"/>
      <c r="EL1150" s="9"/>
      <c r="EM1150" s="9"/>
      <c r="EN1150" s="9"/>
      <c r="EO1150" s="9"/>
      <c r="EP1150" s="9"/>
      <c r="EQ1150" s="9"/>
      <c r="ER1150" s="9"/>
      <c r="ES1150" s="9"/>
      <c r="ET1150" s="9"/>
      <c r="EU1150" s="9"/>
      <c r="EV1150" s="9"/>
      <c r="EW1150" s="9"/>
      <c r="EX1150" s="9"/>
      <c r="EY1150" s="9"/>
      <c r="EZ1150" s="9"/>
      <c r="FA1150" s="9"/>
      <c r="FB1150" s="9"/>
      <c r="FC1150" s="9"/>
      <c r="FD1150" s="9"/>
      <c r="FE1150" s="9"/>
      <c r="FF1150" s="9"/>
      <c r="FG1150" s="9"/>
      <c r="FH1150" s="9"/>
      <c r="FI1150" s="9"/>
      <c r="FJ1150" s="9"/>
      <c r="FK1150" s="9"/>
      <c r="FL1150" s="9"/>
      <c r="FM1150" s="9"/>
      <c r="FN1150" s="9"/>
      <c r="FO1150" s="9"/>
      <c r="FP1150" s="9"/>
    </row>
    <row r="1151" customFormat="false" ht="15" hidden="true" customHeight="false" outlineLevel="1" collapsed="false">
      <c r="B1151" s="3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  <c r="BF1151" s="9"/>
      <c r="BG1151" s="9"/>
      <c r="BH1151" s="9"/>
      <c r="BI1151" s="9"/>
      <c r="BJ1151" s="9"/>
      <c r="BK1151" s="9"/>
      <c r="BL1151" s="9"/>
      <c r="BM1151" s="9"/>
      <c r="BN1151" s="9"/>
      <c r="BO1151" s="9"/>
      <c r="BP1151" s="9"/>
      <c r="BQ1151" s="9"/>
      <c r="BR1151" s="9"/>
      <c r="BS1151" s="9"/>
      <c r="BT1151" s="9"/>
      <c r="BU1151" s="9"/>
      <c r="BV1151" s="9"/>
      <c r="BW1151" s="9"/>
      <c r="BX1151" s="9"/>
      <c r="BY1151" s="9"/>
      <c r="BZ1151" s="9"/>
      <c r="CA1151" s="9"/>
      <c r="CB1151" s="9"/>
      <c r="CC1151" s="9"/>
      <c r="CD1151" s="9"/>
      <c r="CE1151" s="9"/>
      <c r="CF1151" s="9"/>
      <c r="CG1151" s="9"/>
      <c r="CH1151" s="9"/>
      <c r="CI1151" s="9"/>
      <c r="CJ1151" s="9"/>
      <c r="CK1151" s="9"/>
      <c r="CL1151" s="9"/>
      <c r="CM1151" s="9"/>
      <c r="CN1151" s="9"/>
      <c r="CO1151" s="9"/>
      <c r="CP1151" s="9"/>
      <c r="CQ1151" s="9"/>
      <c r="CR1151" s="9"/>
      <c r="CS1151" s="9"/>
      <c r="CT1151" s="9"/>
      <c r="CU1151" s="9"/>
      <c r="CV1151" s="9"/>
      <c r="CW1151" s="9"/>
      <c r="CX1151" s="9"/>
      <c r="CY1151" s="9"/>
      <c r="CZ1151" s="9"/>
      <c r="DA1151" s="9"/>
      <c r="DB1151" s="9"/>
      <c r="DC1151" s="9"/>
      <c r="DD1151" s="9"/>
      <c r="DE1151" s="9"/>
      <c r="DF1151" s="9"/>
      <c r="DG1151" s="9"/>
      <c r="DH1151" s="9"/>
      <c r="DI1151" s="9"/>
      <c r="DJ1151" s="9"/>
      <c r="DK1151" s="9"/>
      <c r="DL1151" s="9"/>
      <c r="DM1151" s="9"/>
      <c r="DN1151" s="9"/>
      <c r="DO1151" s="9"/>
      <c r="DP1151" s="9"/>
      <c r="DQ1151" s="9"/>
      <c r="DR1151" s="9"/>
      <c r="DS1151" s="9"/>
      <c r="DT1151" s="9"/>
      <c r="DU1151" s="9"/>
      <c r="DV1151" s="9"/>
      <c r="DW1151" s="9"/>
      <c r="DX1151" s="9"/>
      <c r="DY1151" s="9"/>
      <c r="DZ1151" s="9"/>
      <c r="EA1151" s="9"/>
      <c r="EB1151" s="9"/>
      <c r="EC1151" s="9"/>
      <c r="ED1151" s="9"/>
      <c r="EE1151" s="9"/>
      <c r="EF1151" s="9"/>
      <c r="EG1151" s="9"/>
      <c r="EH1151" s="9"/>
      <c r="EI1151" s="9"/>
      <c r="EJ1151" s="9"/>
      <c r="EK1151" s="9"/>
      <c r="EL1151" s="9"/>
      <c r="EM1151" s="9"/>
      <c r="EN1151" s="9"/>
      <c r="EO1151" s="9"/>
      <c r="EP1151" s="9"/>
      <c r="EQ1151" s="9"/>
      <c r="ER1151" s="9"/>
      <c r="ES1151" s="9"/>
      <c r="ET1151" s="9"/>
      <c r="EU1151" s="9"/>
      <c r="EV1151" s="9"/>
      <c r="EW1151" s="9"/>
      <c r="EX1151" s="9"/>
      <c r="EY1151" s="9"/>
      <c r="EZ1151" s="9"/>
      <c r="FA1151" s="9"/>
      <c r="FB1151" s="9"/>
      <c r="FC1151" s="9"/>
      <c r="FD1151" s="9"/>
      <c r="FE1151" s="9"/>
      <c r="FF1151" s="9"/>
      <c r="FG1151" s="9"/>
      <c r="FH1151" s="9"/>
      <c r="FI1151" s="9"/>
      <c r="FJ1151" s="9"/>
      <c r="FK1151" s="9"/>
      <c r="FL1151" s="9"/>
      <c r="FM1151" s="9"/>
      <c r="FN1151" s="9"/>
      <c r="FO1151" s="9"/>
      <c r="FP1151" s="9"/>
    </row>
    <row r="1152" customFormat="false" ht="15" hidden="true" customHeight="false" outlineLevel="1" collapsed="false">
      <c r="B1152" s="259" t="s">
        <v>1037</v>
      </c>
      <c r="C1152" s="36" t="n">
        <f aca="false">ROUND(AD59+AD61,0)</f>
        <v>12</v>
      </c>
      <c r="D1152" s="36" t="n">
        <f aca="false">ROUND(AE59+AE61,0)</f>
        <v>19</v>
      </c>
      <c r="E1152" s="36" t="n">
        <f aca="false">ROUND(AF59+AF61,0)</f>
        <v>20</v>
      </c>
      <c r="F1152" s="36" t="n">
        <f aca="false">ROUND(AG59+AG61,0)</f>
        <v>19</v>
      </c>
      <c r="G1152" s="36" t="n">
        <f aca="false">ROUND(AH59+AH61,0)</f>
        <v>16</v>
      </c>
      <c r="H1152" s="36" t="n">
        <f aca="false">ROUND(AI59+AI61,0)</f>
        <v>20</v>
      </c>
      <c r="I1152" s="36" t="n">
        <f aca="false">ROUND(AJ59+AJ61,0)</f>
        <v>37</v>
      </c>
      <c r="J1152" s="36" t="n">
        <f aca="false">ROUND(AK59+AK61,0)</f>
        <v>34</v>
      </c>
      <c r="K1152" s="36" t="n">
        <f aca="false">ROUND(AL59+AL61,0)</f>
        <v>32</v>
      </c>
      <c r="L1152" s="36" t="n">
        <f aca="false">ROUND(AM59+AM61,0)</f>
        <v>24</v>
      </c>
      <c r="M1152" s="36" t="n">
        <f aca="false">ROUND(AY59+AY61,0)</f>
        <v>49</v>
      </c>
      <c r="N1152" s="36" t="n">
        <f aca="false">ROUND(BK59+BK61,0)</f>
        <v>58</v>
      </c>
      <c r="O1152" s="36" t="n">
        <f aca="false">ROUND(AP59+AP61,0)</f>
        <v>34</v>
      </c>
      <c r="P1152" s="36" t="n">
        <f aca="false">ROUND(AQ59+AQ61,0)</f>
        <v>52</v>
      </c>
      <c r="Q1152" s="36" t="n">
        <f aca="false">ROUND(AR59+AR61,0)</f>
        <v>50</v>
      </c>
      <c r="R1152" s="36" t="n">
        <f aca="false">ROUND(AS59+AS61,0)</f>
        <v>52</v>
      </c>
      <c r="S1152" s="36" t="n">
        <f aca="false">ROUND(AT59+AT61,0)</f>
        <v>48</v>
      </c>
      <c r="T1152" s="36" t="n">
        <f aca="false">ROUND(AU59+AU61,0)</f>
        <v>52</v>
      </c>
      <c r="U1152" s="36" t="n">
        <f aca="false">ROUND(AV59+AV61,0)</f>
        <v>91</v>
      </c>
      <c r="V1152" s="36" t="n">
        <f aca="false">ROUND(AW59+AW61,0)</f>
        <v>74</v>
      </c>
      <c r="W1152" s="36" t="n">
        <f aca="false">ROUND(AX59+AX61,0)</f>
        <v>63</v>
      </c>
      <c r="X1152" s="36" t="n">
        <f aca="false">ROUND(AY59+AY61,0)</f>
        <v>49</v>
      </c>
      <c r="Y1152" s="36" t="n">
        <f aca="false">ROUND(AZ59+AZ61,0)</f>
        <v>71</v>
      </c>
      <c r="Z1152" s="36" t="n">
        <f aca="false">ROUND(BA59+BA61,0)</f>
        <v>77</v>
      </c>
      <c r="AA1152" s="36" t="n">
        <f aca="false">ROUND(BB59+BB61,0)</f>
        <v>58</v>
      </c>
      <c r="AB1152" s="36" t="n">
        <f aca="false">ROUND(BC59+BC61,0)</f>
        <v>84</v>
      </c>
      <c r="AC1152" s="36" t="n">
        <f aca="false">ROUND(BD59,0)</f>
        <v>81</v>
      </c>
      <c r="AD1152" s="36" t="n">
        <f aca="false">ROUND(BE59,0)</f>
        <v>70</v>
      </c>
      <c r="AE1152" s="36" t="n">
        <f aca="false">ROUND(BF59,0)</f>
        <v>61</v>
      </c>
      <c r="AF1152" s="36" t="n">
        <f aca="false">ROUND(BG59,0)</f>
        <v>64</v>
      </c>
      <c r="AG1152" s="36" t="n">
        <f aca="false">ROUND(BH59,0)</f>
        <v>110</v>
      </c>
      <c r="AH1152" s="36" t="n">
        <f aca="false">ROUND(BI59,0)</f>
        <v>92</v>
      </c>
      <c r="AI1152" s="36" t="n">
        <f aca="false">ROUND(BJ59,0)</f>
        <v>77</v>
      </c>
      <c r="AJ1152" s="36" t="n">
        <f aca="false">ROUND(BK59,0)</f>
        <v>58</v>
      </c>
      <c r="AK1152" s="36" t="n">
        <f aca="false">ROUND(BL59,0)</f>
        <v>83</v>
      </c>
      <c r="AL1152" s="36" t="n">
        <f aca="false">ROUND(BM59,0)</f>
        <v>89</v>
      </c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  <c r="BF1152" s="9"/>
      <c r="BG1152" s="9"/>
      <c r="BH1152" s="9"/>
      <c r="BI1152" s="9"/>
      <c r="BJ1152" s="9"/>
      <c r="BK1152" s="9"/>
      <c r="BL1152" s="9"/>
      <c r="BM1152" s="9"/>
      <c r="BN1152" s="9"/>
      <c r="BO1152" s="9"/>
      <c r="BP1152" s="9"/>
      <c r="BQ1152" s="9"/>
      <c r="BR1152" s="9"/>
      <c r="BS1152" s="9"/>
      <c r="BT1152" s="9"/>
      <c r="BU1152" s="9"/>
      <c r="BV1152" s="9"/>
      <c r="BW1152" s="9"/>
      <c r="BX1152" s="9"/>
      <c r="BY1152" s="9"/>
      <c r="BZ1152" s="9"/>
      <c r="CA1152" s="9"/>
      <c r="CB1152" s="9"/>
      <c r="CC1152" s="9"/>
      <c r="CD1152" s="9"/>
      <c r="CE1152" s="9"/>
      <c r="CF1152" s="9"/>
      <c r="CG1152" s="9"/>
      <c r="CH1152" s="9"/>
      <c r="CI1152" s="9"/>
      <c r="CJ1152" s="9"/>
      <c r="CK1152" s="9"/>
      <c r="CL1152" s="9"/>
      <c r="CM1152" s="9"/>
      <c r="CN1152" s="9"/>
      <c r="CO1152" s="9"/>
      <c r="CP1152" s="9"/>
      <c r="CQ1152" s="9"/>
      <c r="CR1152" s="9"/>
      <c r="CS1152" s="9"/>
      <c r="CT1152" s="9"/>
      <c r="CU1152" s="9"/>
      <c r="CV1152" s="9"/>
      <c r="CW1152" s="9"/>
      <c r="CX1152" s="9"/>
      <c r="CY1152" s="9"/>
      <c r="CZ1152" s="9"/>
      <c r="DA1152" s="9"/>
      <c r="DB1152" s="9"/>
      <c r="DC1152" s="9"/>
      <c r="DD1152" s="9"/>
      <c r="DE1152" s="9"/>
      <c r="DF1152" s="9"/>
      <c r="DG1152" s="9"/>
      <c r="DH1152" s="9"/>
      <c r="DI1152" s="9"/>
      <c r="DJ1152" s="9"/>
      <c r="DK1152" s="9"/>
      <c r="DL1152" s="9"/>
      <c r="DM1152" s="9"/>
      <c r="DN1152" s="9"/>
      <c r="DO1152" s="9"/>
      <c r="DP1152" s="9"/>
      <c r="DQ1152" s="9"/>
      <c r="DR1152" s="9"/>
      <c r="DS1152" s="9"/>
      <c r="DT1152" s="9"/>
      <c r="DU1152" s="9"/>
      <c r="DV1152" s="9"/>
      <c r="DW1152" s="9"/>
      <c r="DX1152" s="9"/>
      <c r="DY1152" s="9"/>
      <c r="DZ1152" s="9"/>
      <c r="EA1152" s="9"/>
      <c r="EB1152" s="9"/>
      <c r="EC1152" s="9"/>
      <c r="ED1152" s="9"/>
      <c r="EE1152" s="9"/>
      <c r="EF1152" s="9"/>
      <c r="EG1152" s="9"/>
      <c r="EH1152" s="9"/>
      <c r="EI1152" s="9"/>
      <c r="EJ1152" s="9"/>
      <c r="EK1152" s="9"/>
      <c r="EL1152" s="9"/>
      <c r="EM1152" s="9"/>
      <c r="EN1152" s="9"/>
      <c r="EO1152" s="9"/>
      <c r="EP1152" s="9"/>
      <c r="EQ1152" s="9"/>
      <c r="ER1152" s="9"/>
      <c r="ES1152" s="9"/>
      <c r="ET1152" s="9"/>
      <c r="EU1152" s="9"/>
      <c r="EV1152" s="9"/>
      <c r="EW1152" s="9"/>
      <c r="EX1152" s="9"/>
      <c r="EY1152" s="9"/>
      <c r="EZ1152" s="9"/>
      <c r="FA1152" s="9"/>
      <c r="FB1152" s="9"/>
      <c r="FC1152" s="9"/>
      <c r="FD1152" s="9"/>
      <c r="FE1152" s="9"/>
      <c r="FF1152" s="9"/>
      <c r="FG1152" s="9"/>
      <c r="FH1152" s="9"/>
      <c r="FI1152" s="9"/>
      <c r="FJ1152" s="9"/>
      <c r="FK1152" s="9"/>
      <c r="FL1152" s="9"/>
      <c r="FM1152" s="9"/>
      <c r="FN1152" s="9"/>
      <c r="FO1152" s="9"/>
      <c r="FP1152" s="9"/>
    </row>
    <row r="1153" customFormat="false" ht="15" hidden="true" customHeight="false" outlineLevel="1" collapsed="false">
      <c r="B1153" s="36" t="s">
        <v>1040</v>
      </c>
      <c r="C1153" s="41" t="n">
        <v>32</v>
      </c>
      <c r="D1153" s="41" t="n">
        <v>56</v>
      </c>
      <c r="E1153" s="41" t="n">
        <v>84</v>
      </c>
      <c r="F1153" s="41" t="n">
        <v>46</v>
      </c>
      <c r="G1153" s="41" t="n">
        <v>67</v>
      </c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 t="n">
        <v>0.0125</v>
      </c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  <c r="BF1153" s="9"/>
      <c r="BG1153" s="9"/>
      <c r="BH1153" s="9"/>
      <c r="BI1153" s="9"/>
      <c r="BJ1153" s="9"/>
      <c r="BK1153" s="9"/>
      <c r="BL1153" s="9"/>
      <c r="BM1153" s="9"/>
      <c r="BN1153" s="9"/>
      <c r="BO1153" s="9"/>
      <c r="BP1153" s="9"/>
      <c r="BQ1153" s="9"/>
      <c r="BR1153" s="9"/>
      <c r="BS1153" s="9"/>
      <c r="BT1153" s="9"/>
      <c r="BU1153" s="9"/>
      <c r="BV1153" s="9"/>
      <c r="BW1153" s="9"/>
      <c r="BX1153" s="9"/>
      <c r="BY1153" s="9"/>
      <c r="BZ1153" s="9"/>
      <c r="CA1153" s="9"/>
      <c r="CB1153" s="9"/>
      <c r="CC1153" s="9"/>
      <c r="CD1153" s="9"/>
      <c r="CE1153" s="9"/>
      <c r="CF1153" s="9"/>
      <c r="CG1153" s="9"/>
      <c r="CH1153" s="9"/>
      <c r="CI1153" s="9"/>
      <c r="CJ1153" s="9"/>
      <c r="CK1153" s="9"/>
      <c r="CL1153" s="9"/>
      <c r="CM1153" s="9"/>
      <c r="CN1153" s="9"/>
      <c r="CO1153" s="9"/>
      <c r="CP1153" s="9"/>
      <c r="CQ1153" s="9"/>
      <c r="CR1153" s="9"/>
      <c r="CS1153" s="9"/>
      <c r="CT1153" s="9"/>
      <c r="CU1153" s="9"/>
      <c r="CV1153" s="9"/>
      <c r="CW1153" s="9"/>
      <c r="CX1153" s="9"/>
      <c r="CY1153" s="9"/>
      <c r="CZ1153" s="9"/>
      <c r="DA1153" s="9"/>
      <c r="DB1153" s="9"/>
      <c r="DC1153" s="9"/>
      <c r="DD1153" s="9"/>
      <c r="DE1153" s="9"/>
      <c r="DF1153" s="9"/>
      <c r="DG1153" s="9"/>
      <c r="DH1153" s="9"/>
      <c r="DI1153" s="9"/>
      <c r="DJ1153" s="9"/>
      <c r="DK1153" s="9"/>
      <c r="DL1153" s="9"/>
      <c r="DM1153" s="9"/>
      <c r="DN1153" s="9"/>
      <c r="DO1153" s="9"/>
      <c r="DP1153" s="9"/>
      <c r="DQ1153" s="9"/>
      <c r="DR1153" s="9"/>
      <c r="DS1153" s="9"/>
      <c r="DT1153" s="9"/>
      <c r="DU1153" s="9"/>
      <c r="DV1153" s="9"/>
      <c r="DW1153" s="9"/>
      <c r="DX1153" s="9"/>
      <c r="DY1153" s="9"/>
      <c r="DZ1153" s="9"/>
      <c r="EA1153" s="9"/>
      <c r="EB1153" s="9"/>
      <c r="EC1153" s="9"/>
      <c r="ED1153" s="9"/>
      <c r="EE1153" s="9"/>
      <c r="EF1153" s="9"/>
      <c r="EG1153" s="9"/>
      <c r="EH1153" s="9"/>
      <c r="EI1153" s="9"/>
      <c r="EJ1153" s="9"/>
      <c r="EK1153" s="9"/>
      <c r="EL1153" s="9"/>
      <c r="EM1153" s="9"/>
      <c r="EN1153" s="9"/>
      <c r="EO1153" s="9"/>
      <c r="EP1153" s="9"/>
      <c r="EQ1153" s="9"/>
      <c r="ER1153" s="9"/>
      <c r="ES1153" s="9"/>
      <c r="ET1153" s="9"/>
      <c r="EU1153" s="9"/>
      <c r="EV1153" s="9"/>
      <c r="EW1153" s="9"/>
      <c r="EX1153" s="9"/>
      <c r="EY1153" s="9"/>
      <c r="EZ1153" s="9"/>
      <c r="FA1153" s="9"/>
      <c r="FB1153" s="9"/>
      <c r="FC1153" s="9"/>
      <c r="FD1153" s="9"/>
      <c r="FE1153" s="9"/>
      <c r="FF1153" s="9"/>
      <c r="FG1153" s="9"/>
      <c r="FH1153" s="9"/>
      <c r="FI1153" s="9"/>
      <c r="FJ1153" s="9"/>
      <c r="FK1153" s="9"/>
      <c r="FL1153" s="9"/>
      <c r="FM1153" s="9"/>
      <c r="FN1153" s="9"/>
      <c r="FO1153" s="9"/>
      <c r="FP1153" s="9"/>
    </row>
    <row r="1154" customFormat="false" ht="15" hidden="true" customHeight="false" outlineLevel="1" collapsed="false">
      <c r="B1154" s="3" t="s">
        <v>1036</v>
      </c>
      <c r="C1154" s="9" t="n">
        <f aca="false">ROUND(AN79,0)</f>
        <v>43</v>
      </c>
      <c r="D1154" s="9" t="n">
        <f aca="false">ROUND(AO79,0)</f>
        <v>50</v>
      </c>
      <c r="E1154" s="9" t="n">
        <f aca="false">ROUND(AP79,0)</f>
        <v>41</v>
      </c>
      <c r="F1154" s="9" t="n">
        <f aca="false">ROUND(AQ79,0)</f>
        <v>66</v>
      </c>
      <c r="G1154" s="9" t="n">
        <f aca="false">ROUND(AR79,0)</f>
        <v>62</v>
      </c>
      <c r="H1154" s="9" t="n">
        <f aca="false">ROUND(AS79,0)</f>
        <v>60</v>
      </c>
      <c r="I1154" s="9" t="n">
        <f aca="false">ROUND(AT79,0)</f>
        <v>59</v>
      </c>
      <c r="J1154" s="9" t="n">
        <f aca="false">ROUND(AU79,0)</f>
        <v>69</v>
      </c>
      <c r="K1154" s="9" t="n">
        <f aca="false">ROUND(AV79,0)</f>
        <v>131</v>
      </c>
      <c r="L1154" s="9" t="n">
        <f aca="false">ROUND(AW79,0)</f>
        <v>107</v>
      </c>
      <c r="M1154" s="9" t="n">
        <f aca="false">ROUND(BI79,0)</f>
        <v>219</v>
      </c>
      <c r="N1154" s="9" t="n">
        <f aca="false">ROUND(BU79,0)</f>
        <v>263</v>
      </c>
      <c r="O1154" s="9" t="n">
        <f aca="false">ROUND(AZ79,0)</f>
        <v>120</v>
      </c>
      <c r="P1154" s="9" t="n">
        <f aca="false">ROUND(BA79,0)</f>
        <v>136</v>
      </c>
      <c r="Q1154" s="9" t="n">
        <f aca="false">ROUND(BB79,0)</f>
        <v>103</v>
      </c>
      <c r="R1154" s="9" t="n">
        <f aca="false">ROUND(BC79,0)</f>
        <v>184</v>
      </c>
      <c r="S1154" s="9" t="n">
        <f aca="false">ROUND(BD79,0)</f>
        <v>183</v>
      </c>
      <c r="T1154" s="9" t="n">
        <f aca="false">ROUND(BE79,0)</f>
        <v>160</v>
      </c>
      <c r="U1154" s="9" t="n">
        <f aca="false">ROUND(BF79,0)</f>
        <v>143</v>
      </c>
      <c r="V1154" s="9" t="n">
        <f aca="false">ROUND(BG79,0)</f>
        <v>150</v>
      </c>
      <c r="W1154" s="9" t="n">
        <f aca="false">ROUND(BH79,0)</f>
        <v>261</v>
      </c>
      <c r="X1154" s="9" t="n">
        <f aca="false">ROUND(BI79,0)</f>
        <v>219</v>
      </c>
      <c r="Y1154" s="9" t="n">
        <f aca="false">ROUND(BJ79,0)</f>
        <v>186</v>
      </c>
      <c r="Z1154" s="9" t="n">
        <f aca="false">ROUND(BK79,0)</f>
        <v>143</v>
      </c>
      <c r="AA1154" s="9" t="n">
        <f aca="false">ROUND(BL79,0)</f>
        <v>203</v>
      </c>
      <c r="AB1154" s="9" t="n">
        <f aca="false">ROUND(BM79,0)</f>
        <v>218</v>
      </c>
      <c r="AC1154" s="9" t="n">
        <f aca="false">ROUND(BN79,0)</f>
        <v>169</v>
      </c>
      <c r="AD1154" s="9" t="n">
        <f aca="false">ROUND(BO79,0)</f>
        <v>246</v>
      </c>
      <c r="AE1154" s="9" t="n">
        <f aca="false">ROUND(BP79,0)</f>
        <v>236</v>
      </c>
      <c r="AF1154" s="9" t="n">
        <f aca="false">ROUND(BQ79,0)</f>
        <v>197</v>
      </c>
      <c r="AG1154" s="9" t="n">
        <f aca="false">ROUND(BR79,0)</f>
        <v>173</v>
      </c>
      <c r="AH1154" s="9" t="n">
        <f aca="false">ROUND(BS79,0)</f>
        <v>186</v>
      </c>
      <c r="AI1154" s="9" t="n">
        <f aca="false">ROUND(BT79,0)</f>
        <v>318</v>
      </c>
      <c r="AJ1154" s="9" t="n">
        <f aca="false">ROUND(BU79,0)</f>
        <v>263</v>
      </c>
      <c r="AK1154" s="9" t="n">
        <f aca="false">ROUND(BV79,0)</f>
        <v>218</v>
      </c>
      <c r="AL1154" s="9" t="n">
        <f aca="false">ROUND(BW79,0)</f>
        <v>167</v>
      </c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  <c r="BF1154" s="9"/>
      <c r="BG1154" s="9"/>
      <c r="BH1154" s="9"/>
      <c r="BI1154" s="9"/>
      <c r="BJ1154" s="9"/>
      <c r="BK1154" s="9"/>
      <c r="BL1154" s="9"/>
      <c r="BM1154" s="9"/>
      <c r="BN1154" s="9"/>
      <c r="BO1154" s="9"/>
      <c r="BP1154" s="9"/>
      <c r="BQ1154" s="9"/>
      <c r="BR1154" s="9"/>
      <c r="BS1154" s="9"/>
      <c r="BT1154" s="9"/>
      <c r="BU1154" s="9"/>
      <c r="BV1154" s="9"/>
      <c r="BW1154" s="9"/>
      <c r="BX1154" s="9"/>
      <c r="BY1154" s="9"/>
      <c r="BZ1154" s="9"/>
      <c r="CA1154" s="9"/>
      <c r="CB1154" s="9"/>
      <c r="CC1154" s="9"/>
      <c r="CD1154" s="9"/>
      <c r="CE1154" s="9"/>
      <c r="CF1154" s="9"/>
      <c r="CG1154" s="9"/>
      <c r="CH1154" s="9"/>
      <c r="CI1154" s="9"/>
      <c r="CJ1154" s="9"/>
      <c r="CK1154" s="9"/>
      <c r="CL1154" s="9"/>
      <c r="CM1154" s="9"/>
      <c r="CN1154" s="9"/>
      <c r="CO1154" s="9"/>
      <c r="CP1154" s="9"/>
      <c r="CQ1154" s="9"/>
      <c r="CR1154" s="9"/>
      <c r="CS1154" s="9"/>
      <c r="CT1154" s="9"/>
      <c r="CU1154" s="9"/>
      <c r="CV1154" s="9"/>
      <c r="CW1154" s="9"/>
      <c r="CX1154" s="9"/>
      <c r="CY1154" s="9"/>
      <c r="CZ1154" s="9"/>
      <c r="DA1154" s="9"/>
      <c r="DB1154" s="9"/>
      <c r="DC1154" s="9"/>
      <c r="DD1154" s="9"/>
      <c r="DE1154" s="9"/>
      <c r="DF1154" s="9"/>
      <c r="DG1154" s="9"/>
      <c r="DH1154" s="9"/>
      <c r="DI1154" s="9"/>
      <c r="DJ1154" s="9"/>
      <c r="DK1154" s="9"/>
      <c r="DL1154" s="9"/>
      <c r="DM1154" s="9"/>
      <c r="DN1154" s="9"/>
      <c r="DO1154" s="9"/>
      <c r="DP1154" s="9"/>
      <c r="DQ1154" s="9"/>
      <c r="DR1154" s="9"/>
      <c r="DS1154" s="9"/>
      <c r="DT1154" s="9"/>
      <c r="DU1154" s="9"/>
      <c r="DV1154" s="9"/>
      <c r="DW1154" s="9"/>
      <c r="DX1154" s="9"/>
      <c r="DY1154" s="9"/>
      <c r="DZ1154" s="9"/>
      <c r="EA1154" s="9"/>
      <c r="EB1154" s="9"/>
      <c r="EC1154" s="9"/>
      <c r="ED1154" s="9"/>
      <c r="EE1154" s="9"/>
      <c r="EF1154" s="9"/>
      <c r="EG1154" s="9"/>
      <c r="EH1154" s="9"/>
      <c r="EI1154" s="9"/>
      <c r="EJ1154" s="9"/>
      <c r="EK1154" s="9"/>
      <c r="EL1154" s="9"/>
      <c r="EM1154" s="9"/>
      <c r="EN1154" s="9"/>
      <c r="EO1154" s="9"/>
      <c r="EP1154" s="9"/>
      <c r="EQ1154" s="9"/>
      <c r="ER1154" s="9"/>
      <c r="ES1154" s="9"/>
      <c r="ET1154" s="9"/>
      <c r="EU1154" s="9"/>
      <c r="EV1154" s="9"/>
      <c r="EW1154" s="9"/>
      <c r="EX1154" s="9"/>
      <c r="EY1154" s="9"/>
      <c r="EZ1154" s="9"/>
      <c r="FA1154" s="9"/>
      <c r="FB1154" s="9"/>
      <c r="FC1154" s="9"/>
      <c r="FD1154" s="9"/>
      <c r="FE1154" s="9"/>
      <c r="FF1154" s="9"/>
      <c r="FG1154" s="9"/>
      <c r="FH1154" s="9"/>
      <c r="FI1154" s="9"/>
      <c r="FJ1154" s="9"/>
      <c r="FK1154" s="9"/>
      <c r="FL1154" s="9"/>
      <c r="FM1154" s="9"/>
      <c r="FN1154" s="9"/>
      <c r="FO1154" s="9"/>
      <c r="FP1154" s="9"/>
    </row>
    <row r="1155" customFormat="false" ht="15" hidden="true" customHeight="false" outlineLevel="1" collapsed="false">
      <c r="B1155" s="3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  <c r="BF1155" s="9"/>
      <c r="BG1155" s="9"/>
      <c r="BH1155" s="9"/>
      <c r="BI1155" s="9"/>
      <c r="BJ1155" s="9"/>
      <c r="BK1155" s="9"/>
      <c r="BL1155" s="9"/>
      <c r="BM1155" s="9"/>
      <c r="BN1155" s="9"/>
      <c r="BO1155" s="9"/>
      <c r="BP1155" s="9"/>
      <c r="BQ1155" s="9"/>
      <c r="BR1155" s="9"/>
      <c r="BS1155" s="9"/>
      <c r="BT1155" s="9"/>
      <c r="BU1155" s="9"/>
      <c r="BV1155" s="9"/>
      <c r="BW1155" s="9"/>
      <c r="BX1155" s="9"/>
      <c r="BY1155" s="9"/>
      <c r="BZ1155" s="9"/>
      <c r="CA1155" s="9"/>
      <c r="CB1155" s="9"/>
      <c r="CC1155" s="9"/>
      <c r="CD1155" s="9"/>
      <c r="CE1155" s="9"/>
      <c r="CF1155" s="9"/>
      <c r="CG1155" s="9"/>
      <c r="CH1155" s="9"/>
      <c r="CI1155" s="9"/>
      <c r="CJ1155" s="9"/>
      <c r="CK1155" s="9"/>
      <c r="CL1155" s="9"/>
      <c r="CM1155" s="9"/>
      <c r="CN1155" s="9"/>
      <c r="CO1155" s="9"/>
      <c r="CP1155" s="9"/>
      <c r="CQ1155" s="9"/>
      <c r="CR1155" s="9"/>
      <c r="CS1155" s="9"/>
      <c r="CT1155" s="9"/>
      <c r="CU1155" s="9"/>
      <c r="CV1155" s="9"/>
      <c r="CW1155" s="9"/>
      <c r="CX1155" s="9"/>
      <c r="CY1155" s="9"/>
      <c r="CZ1155" s="9"/>
      <c r="DA1155" s="9"/>
      <c r="DB1155" s="9"/>
      <c r="DC1155" s="9"/>
      <c r="DD1155" s="9"/>
      <c r="DE1155" s="9"/>
      <c r="DF1155" s="9"/>
      <c r="DG1155" s="9"/>
      <c r="DH1155" s="9"/>
      <c r="DI1155" s="9"/>
      <c r="DJ1155" s="9"/>
      <c r="DK1155" s="9"/>
      <c r="DL1155" s="9"/>
      <c r="DM1155" s="9"/>
      <c r="DN1155" s="9"/>
      <c r="DO1155" s="9"/>
      <c r="DP1155" s="9"/>
      <c r="DQ1155" s="9"/>
      <c r="DR1155" s="9"/>
      <c r="DS1155" s="9"/>
      <c r="DT1155" s="9"/>
      <c r="DU1155" s="9"/>
      <c r="DV1155" s="9"/>
      <c r="DW1155" s="9"/>
      <c r="DX1155" s="9"/>
      <c r="DY1155" s="9"/>
      <c r="DZ1155" s="9"/>
      <c r="EA1155" s="9"/>
      <c r="EB1155" s="9"/>
      <c r="EC1155" s="9"/>
      <c r="ED1155" s="9"/>
      <c r="EE1155" s="9"/>
      <c r="EF1155" s="9"/>
      <c r="EG1155" s="9"/>
      <c r="EH1155" s="9"/>
      <c r="EI1155" s="9"/>
      <c r="EJ1155" s="9"/>
      <c r="EK1155" s="9"/>
      <c r="EL1155" s="9"/>
      <c r="EM1155" s="9"/>
      <c r="EN1155" s="9"/>
      <c r="EO1155" s="9"/>
      <c r="EP1155" s="9"/>
      <c r="EQ1155" s="9"/>
      <c r="ER1155" s="9"/>
      <c r="ES1155" s="9"/>
      <c r="ET1155" s="9"/>
      <c r="EU1155" s="9"/>
      <c r="EV1155" s="9"/>
      <c r="EW1155" s="9"/>
      <c r="EX1155" s="9"/>
      <c r="EY1155" s="9"/>
      <c r="EZ1155" s="9"/>
      <c r="FA1155" s="9"/>
      <c r="FB1155" s="9"/>
      <c r="FC1155" s="9"/>
      <c r="FD1155" s="9"/>
      <c r="FE1155" s="9"/>
      <c r="FF1155" s="9"/>
      <c r="FG1155" s="9"/>
      <c r="FH1155" s="9"/>
      <c r="FI1155" s="9"/>
      <c r="FJ1155" s="9"/>
      <c r="FK1155" s="9"/>
      <c r="FL1155" s="9"/>
      <c r="FM1155" s="9"/>
      <c r="FN1155" s="9"/>
      <c r="FO1155" s="9"/>
      <c r="FP1155" s="9"/>
    </row>
    <row r="1156" customFormat="false" ht="15" hidden="true" customHeight="false" outlineLevel="1" collapsed="false">
      <c r="B1156" s="259" t="s">
        <v>1037</v>
      </c>
      <c r="C1156" s="36" t="n">
        <f aca="false">ROUND(AN79+AN81,0)</f>
        <v>43</v>
      </c>
      <c r="D1156" s="36" t="n">
        <f aca="false">ROUND(AO79+AO81,0)</f>
        <v>50</v>
      </c>
      <c r="E1156" s="36" t="n">
        <f aca="false">ROUND(AP79+AP81,0)</f>
        <v>41</v>
      </c>
      <c r="F1156" s="36" t="n">
        <f aca="false">ROUND(AQ79+AQ81,0)</f>
        <v>66</v>
      </c>
      <c r="G1156" s="36" t="n">
        <f aca="false">ROUND(AR79+AR81,0)</f>
        <v>62</v>
      </c>
      <c r="H1156" s="36" t="n">
        <f aca="false">ROUND(AS79+AS81,0)</f>
        <v>60</v>
      </c>
      <c r="I1156" s="36" t="n">
        <f aca="false">ROUND(AT79+AT81,0)</f>
        <v>59</v>
      </c>
      <c r="J1156" s="36" t="n">
        <f aca="false">ROUND(AU79+AU81,0)</f>
        <v>69</v>
      </c>
      <c r="K1156" s="36" t="n">
        <f aca="false">ROUND(AV79+AV81,0)</f>
        <v>131</v>
      </c>
      <c r="L1156" s="36" t="n">
        <f aca="false">ROUND(AW79+AW81,0)</f>
        <v>107</v>
      </c>
      <c r="M1156" s="36" t="n">
        <f aca="false">ROUND(BI79+BI81,0)</f>
        <v>219</v>
      </c>
      <c r="N1156" s="36" t="n">
        <f aca="false">ROUND(BU79+BU81,0)</f>
        <v>263</v>
      </c>
      <c r="O1156" s="36" t="n">
        <f aca="false">ROUND(AZ79+AZ81,0)</f>
        <v>120</v>
      </c>
      <c r="P1156" s="36" t="n">
        <f aca="false">ROUND(BA79+BA81,0)</f>
        <v>136</v>
      </c>
      <c r="Q1156" s="36" t="n">
        <f aca="false">ROUND(BB79+BB81,0)</f>
        <v>103</v>
      </c>
      <c r="R1156" s="36" t="n">
        <f aca="false">ROUND(BC79+BC81,0)</f>
        <v>184</v>
      </c>
      <c r="S1156" s="36" t="n">
        <f aca="false">ROUND(BD79+BD81,0)</f>
        <v>183</v>
      </c>
      <c r="T1156" s="36" t="n">
        <f aca="false">ROUND(BE79+BE81,0)</f>
        <v>160</v>
      </c>
      <c r="U1156" s="36" t="n">
        <f aca="false">ROUND(BF79+BF81,0)</f>
        <v>143</v>
      </c>
      <c r="V1156" s="36" t="n">
        <f aca="false">ROUND(BG79+BG81,0)</f>
        <v>150</v>
      </c>
      <c r="W1156" s="36" t="n">
        <f aca="false">ROUND(BH79+BH81,0)</f>
        <v>261</v>
      </c>
      <c r="X1156" s="36" t="n">
        <f aca="false">ROUND(BI79+BI81,0)</f>
        <v>219</v>
      </c>
      <c r="Y1156" s="36" t="n">
        <f aca="false">ROUND(BJ79+BJ81,0)</f>
        <v>186</v>
      </c>
      <c r="Z1156" s="36" t="n">
        <f aca="false">ROUND(BK79+BK81,0)</f>
        <v>143</v>
      </c>
      <c r="AA1156" s="36" t="n">
        <f aca="false">ROUND(BL79+BL81,0)</f>
        <v>203</v>
      </c>
      <c r="AB1156" s="36" t="n">
        <f aca="false">ROUND(BM79+BM81,0)</f>
        <v>218</v>
      </c>
      <c r="AC1156" s="36" t="n">
        <f aca="false">ROUND(BN79,0)</f>
        <v>169</v>
      </c>
      <c r="AD1156" s="36" t="n">
        <f aca="false">ROUND(BO79,0)</f>
        <v>246</v>
      </c>
      <c r="AE1156" s="36" t="n">
        <f aca="false">ROUND(BP79,0)</f>
        <v>236</v>
      </c>
      <c r="AF1156" s="36" t="n">
        <f aca="false">ROUND(BQ79,0)</f>
        <v>197</v>
      </c>
      <c r="AG1156" s="36" t="n">
        <f aca="false">ROUND(BR79,0)</f>
        <v>173</v>
      </c>
      <c r="AH1156" s="36" t="n">
        <f aca="false">ROUND(BS79,0)</f>
        <v>186</v>
      </c>
      <c r="AI1156" s="36" t="n">
        <f aca="false">ROUND(BT79,0)</f>
        <v>318</v>
      </c>
      <c r="AJ1156" s="36" t="n">
        <f aca="false">ROUND(BU79,0)</f>
        <v>263</v>
      </c>
      <c r="AK1156" s="36" t="n">
        <f aca="false">ROUND(BV79,0)</f>
        <v>218</v>
      </c>
      <c r="AL1156" s="36" t="n">
        <f aca="false">ROUND(BW79,0)</f>
        <v>167</v>
      </c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  <c r="BF1156" s="9"/>
      <c r="BG1156" s="9"/>
      <c r="BH1156" s="9"/>
      <c r="BI1156" s="9"/>
      <c r="BJ1156" s="9"/>
      <c r="BK1156" s="9"/>
      <c r="BL1156" s="9"/>
      <c r="BM1156" s="9"/>
      <c r="BN1156" s="9"/>
      <c r="BO1156" s="9"/>
      <c r="BP1156" s="9"/>
      <c r="BQ1156" s="9"/>
      <c r="BR1156" s="9"/>
      <c r="BS1156" s="9"/>
      <c r="BT1156" s="9"/>
      <c r="BU1156" s="9"/>
      <c r="BV1156" s="9"/>
      <c r="BW1156" s="9"/>
      <c r="BX1156" s="9"/>
      <c r="BY1156" s="9"/>
      <c r="BZ1156" s="9"/>
      <c r="CA1156" s="9"/>
      <c r="CB1156" s="9"/>
      <c r="CC1156" s="9"/>
      <c r="CD1156" s="9"/>
      <c r="CE1156" s="9"/>
      <c r="CF1156" s="9"/>
      <c r="CG1156" s="9"/>
      <c r="CH1156" s="9"/>
      <c r="CI1156" s="9"/>
      <c r="CJ1156" s="9"/>
      <c r="CK1156" s="9"/>
      <c r="CL1156" s="9"/>
      <c r="CM1156" s="9"/>
      <c r="CN1156" s="9"/>
      <c r="CO1156" s="9"/>
      <c r="CP1156" s="9"/>
      <c r="CQ1156" s="9"/>
      <c r="CR1156" s="9"/>
      <c r="CS1156" s="9"/>
      <c r="CT1156" s="9"/>
      <c r="CU1156" s="9"/>
      <c r="CV1156" s="9"/>
      <c r="CW1156" s="9"/>
      <c r="CX1156" s="9"/>
      <c r="CY1156" s="9"/>
      <c r="CZ1156" s="9"/>
      <c r="DA1156" s="9"/>
      <c r="DB1156" s="9"/>
      <c r="DC1156" s="9"/>
      <c r="DD1156" s="9"/>
      <c r="DE1156" s="9"/>
      <c r="DF1156" s="9"/>
      <c r="DG1156" s="9"/>
      <c r="DH1156" s="9"/>
      <c r="DI1156" s="9"/>
      <c r="DJ1156" s="9"/>
      <c r="DK1156" s="9"/>
      <c r="DL1156" s="9"/>
      <c r="DM1156" s="9"/>
      <c r="DN1156" s="9"/>
      <c r="DO1156" s="9"/>
      <c r="DP1156" s="9"/>
      <c r="DQ1156" s="9"/>
      <c r="DR1156" s="9"/>
      <c r="DS1156" s="9"/>
      <c r="DT1156" s="9"/>
      <c r="DU1156" s="9"/>
      <c r="DV1156" s="9"/>
      <c r="DW1156" s="9"/>
      <c r="DX1156" s="9"/>
      <c r="DY1156" s="9"/>
      <c r="DZ1156" s="9"/>
      <c r="EA1156" s="9"/>
      <c r="EB1156" s="9"/>
      <c r="EC1156" s="9"/>
      <c r="ED1156" s="9"/>
      <c r="EE1156" s="9"/>
      <c r="EF1156" s="9"/>
      <c r="EG1156" s="9"/>
      <c r="EH1156" s="9"/>
      <c r="EI1156" s="9"/>
      <c r="EJ1156" s="9"/>
      <c r="EK1156" s="9"/>
      <c r="EL1156" s="9"/>
      <c r="EM1156" s="9"/>
      <c r="EN1156" s="9"/>
      <c r="EO1156" s="9"/>
      <c r="EP1156" s="9"/>
      <c r="EQ1156" s="9"/>
      <c r="ER1156" s="9"/>
      <c r="ES1156" s="9"/>
      <c r="ET1156" s="9"/>
      <c r="EU1156" s="9"/>
      <c r="EV1156" s="9"/>
      <c r="EW1156" s="9"/>
      <c r="EX1156" s="9"/>
      <c r="EY1156" s="9"/>
      <c r="EZ1156" s="9"/>
      <c r="FA1156" s="9"/>
      <c r="FB1156" s="9"/>
      <c r="FC1156" s="9"/>
      <c r="FD1156" s="9"/>
      <c r="FE1156" s="9"/>
      <c r="FF1156" s="9"/>
      <c r="FG1156" s="9"/>
      <c r="FH1156" s="9"/>
      <c r="FI1156" s="9"/>
      <c r="FJ1156" s="9"/>
      <c r="FK1156" s="9"/>
      <c r="FL1156" s="9"/>
      <c r="FM1156" s="9"/>
      <c r="FN1156" s="9"/>
      <c r="FO1156" s="9"/>
      <c r="FP1156" s="9"/>
    </row>
    <row r="1157" customFormat="false" ht="15" hidden="true" customHeight="false" outlineLevel="1" collapsed="false"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  <c r="BF1157" s="9"/>
      <c r="BG1157" s="9"/>
      <c r="BH1157" s="9"/>
      <c r="BI1157" s="9"/>
      <c r="BJ1157" s="9"/>
      <c r="BK1157" s="9"/>
      <c r="BL1157" s="9"/>
      <c r="BM1157" s="9"/>
      <c r="BN1157" s="9"/>
      <c r="BO1157" s="9"/>
      <c r="BP1157" s="9"/>
      <c r="BQ1157" s="9"/>
      <c r="BR1157" s="9"/>
      <c r="BS1157" s="9"/>
      <c r="BT1157" s="9"/>
      <c r="BU1157" s="9"/>
      <c r="BV1157" s="9"/>
      <c r="BW1157" s="9"/>
      <c r="BX1157" s="9"/>
      <c r="BY1157" s="9"/>
      <c r="BZ1157" s="9"/>
      <c r="CA1157" s="9"/>
      <c r="CB1157" s="9"/>
      <c r="CC1157" s="9"/>
      <c r="CD1157" s="9"/>
      <c r="CE1157" s="9"/>
      <c r="CF1157" s="9"/>
      <c r="CG1157" s="9"/>
      <c r="CH1157" s="9"/>
      <c r="CI1157" s="9"/>
      <c r="CJ1157" s="9"/>
      <c r="CK1157" s="9"/>
      <c r="CL1157" s="9"/>
      <c r="CM1157" s="9"/>
      <c r="CN1157" s="9"/>
      <c r="CO1157" s="9"/>
      <c r="CP1157" s="9"/>
      <c r="CQ1157" s="9"/>
      <c r="CR1157" s="9"/>
      <c r="CS1157" s="9"/>
      <c r="CT1157" s="9"/>
      <c r="CU1157" s="9"/>
      <c r="CV1157" s="9"/>
      <c r="CW1157" s="9"/>
      <c r="CX1157" s="9"/>
      <c r="CY1157" s="9"/>
      <c r="CZ1157" s="9"/>
      <c r="DA1157" s="9"/>
      <c r="DB1157" s="9"/>
      <c r="DC1157" s="9"/>
      <c r="DD1157" s="9"/>
      <c r="DE1157" s="9"/>
      <c r="DF1157" s="9"/>
      <c r="DG1157" s="9"/>
      <c r="DH1157" s="9"/>
      <c r="DI1157" s="9"/>
      <c r="DJ1157" s="9"/>
      <c r="DK1157" s="9"/>
      <c r="DL1157" s="9"/>
      <c r="DM1157" s="9"/>
      <c r="DN1157" s="9"/>
      <c r="DO1157" s="9"/>
      <c r="DP1157" s="9"/>
      <c r="DQ1157" s="9"/>
      <c r="DR1157" s="9"/>
      <c r="DS1157" s="9"/>
      <c r="DT1157" s="9"/>
      <c r="DU1157" s="9"/>
      <c r="DV1157" s="9"/>
      <c r="DW1157" s="9"/>
      <c r="DX1157" s="9"/>
      <c r="DY1157" s="9"/>
      <c r="DZ1157" s="9"/>
      <c r="EA1157" s="9"/>
      <c r="EB1157" s="9"/>
      <c r="EC1157" s="9"/>
      <c r="ED1157" s="9"/>
      <c r="EE1157" s="9"/>
      <c r="EF1157" s="9"/>
      <c r="EG1157" s="9"/>
      <c r="EH1157" s="9"/>
      <c r="EI1157" s="9"/>
      <c r="EJ1157" s="9"/>
      <c r="EK1157" s="9"/>
      <c r="EL1157" s="9"/>
      <c r="EM1157" s="9"/>
      <c r="EN1157" s="9"/>
      <c r="EO1157" s="9"/>
      <c r="EP1157" s="9"/>
      <c r="EQ1157" s="9"/>
      <c r="ER1157" s="9"/>
      <c r="ES1157" s="9"/>
      <c r="ET1157" s="9"/>
      <c r="EU1157" s="9"/>
      <c r="EV1157" s="9"/>
      <c r="EW1157" s="9"/>
      <c r="EX1157" s="9"/>
      <c r="EY1157" s="9"/>
      <c r="EZ1157" s="9"/>
      <c r="FA1157" s="9"/>
      <c r="FB1157" s="9"/>
      <c r="FC1157" s="9"/>
      <c r="FD1157" s="9"/>
      <c r="FE1157" s="9"/>
      <c r="FF1157" s="9"/>
      <c r="FG1157" s="9"/>
      <c r="FH1157" s="9"/>
      <c r="FI1157" s="9"/>
      <c r="FJ1157" s="9"/>
      <c r="FK1157" s="9"/>
      <c r="FL1157" s="9"/>
      <c r="FM1157" s="9"/>
      <c r="FN1157" s="9"/>
      <c r="FO1157" s="9"/>
      <c r="FP1157" s="9"/>
    </row>
    <row r="1158" customFormat="false" ht="15" hidden="true" customHeight="false" outlineLevel="1" collapsed="false">
      <c r="B1158" s="26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 t="n">
        <v>0.0125</v>
      </c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  <c r="BF1158" s="9"/>
      <c r="BG1158" s="9"/>
      <c r="BH1158" s="9"/>
      <c r="BI1158" s="9"/>
      <c r="BJ1158" s="9"/>
      <c r="BK1158" s="9"/>
      <c r="BL1158" s="9"/>
      <c r="BM1158" s="9"/>
      <c r="BN1158" s="9"/>
      <c r="BO1158" s="9"/>
      <c r="BP1158" s="9"/>
      <c r="BQ1158" s="9"/>
      <c r="BR1158" s="9"/>
      <c r="BS1158" s="9"/>
      <c r="BT1158" s="9"/>
      <c r="BU1158" s="9"/>
      <c r="BV1158" s="9"/>
      <c r="BW1158" s="9"/>
      <c r="BX1158" s="9"/>
      <c r="BY1158" s="9"/>
      <c r="BZ1158" s="9"/>
      <c r="CA1158" s="9"/>
      <c r="CB1158" s="9"/>
      <c r="CC1158" s="9"/>
      <c r="CD1158" s="9"/>
      <c r="CE1158" s="9"/>
      <c r="CF1158" s="9"/>
      <c r="CG1158" s="9"/>
      <c r="CH1158" s="9"/>
      <c r="CI1158" s="9"/>
      <c r="CJ1158" s="9"/>
      <c r="CK1158" s="9"/>
      <c r="CL1158" s="9"/>
      <c r="CM1158" s="9"/>
      <c r="CN1158" s="9"/>
      <c r="CO1158" s="9"/>
      <c r="CP1158" s="9"/>
      <c r="CQ1158" s="9"/>
      <c r="CR1158" s="9"/>
      <c r="CS1158" s="9"/>
      <c r="CT1158" s="9"/>
      <c r="CU1158" s="9"/>
      <c r="CV1158" s="9"/>
      <c r="CW1158" s="9"/>
      <c r="CX1158" s="9"/>
      <c r="CY1158" s="9"/>
      <c r="CZ1158" s="9"/>
      <c r="DA1158" s="9"/>
      <c r="DB1158" s="9"/>
      <c r="DC1158" s="9"/>
      <c r="DD1158" s="9"/>
      <c r="DE1158" s="9"/>
      <c r="DF1158" s="9"/>
      <c r="DG1158" s="9"/>
      <c r="DH1158" s="9"/>
      <c r="DI1158" s="9"/>
      <c r="DJ1158" s="9"/>
      <c r="DK1158" s="9"/>
      <c r="DL1158" s="9"/>
      <c r="DM1158" s="9"/>
      <c r="DN1158" s="9"/>
      <c r="DO1158" s="9"/>
      <c r="DP1158" s="9"/>
      <c r="DQ1158" s="9"/>
      <c r="DR1158" s="9"/>
      <c r="DS1158" s="9"/>
      <c r="DT1158" s="9"/>
      <c r="DU1158" s="9"/>
      <c r="DV1158" s="9"/>
      <c r="DW1158" s="9"/>
      <c r="DX1158" s="9"/>
      <c r="DY1158" s="9"/>
      <c r="DZ1158" s="9"/>
      <c r="EA1158" s="9"/>
      <c r="EB1158" s="9"/>
      <c r="EC1158" s="9"/>
      <c r="ED1158" s="9"/>
      <c r="EE1158" s="9"/>
      <c r="EF1158" s="9"/>
      <c r="EG1158" s="9"/>
      <c r="EH1158" s="9"/>
      <c r="EI1158" s="9"/>
      <c r="EJ1158" s="9"/>
      <c r="EK1158" s="9"/>
      <c r="EL1158" s="9"/>
      <c r="EM1158" s="9"/>
      <c r="EN1158" s="9"/>
      <c r="EO1158" s="9"/>
      <c r="EP1158" s="9"/>
      <c r="EQ1158" s="9"/>
      <c r="ER1158" s="9"/>
      <c r="ES1158" s="9"/>
      <c r="ET1158" s="9"/>
      <c r="EU1158" s="9"/>
      <c r="EV1158" s="9"/>
      <c r="EW1158" s="9"/>
      <c r="EX1158" s="9"/>
      <c r="EY1158" s="9"/>
      <c r="EZ1158" s="9"/>
      <c r="FA1158" s="9"/>
      <c r="FB1158" s="9"/>
      <c r="FC1158" s="9"/>
      <c r="FD1158" s="9"/>
      <c r="FE1158" s="9"/>
      <c r="FF1158" s="9"/>
      <c r="FG1158" s="9"/>
      <c r="FH1158" s="9"/>
      <c r="FI1158" s="9"/>
      <c r="FJ1158" s="9"/>
      <c r="FK1158" s="9"/>
      <c r="FL1158" s="9"/>
      <c r="FM1158" s="9"/>
      <c r="FN1158" s="9"/>
      <c r="FO1158" s="9"/>
      <c r="FP1158" s="9"/>
    </row>
    <row r="1159" customFormat="false" ht="15" hidden="true" customHeight="false" outlineLevel="1" collapsed="false">
      <c r="B1159" s="90" t="s">
        <v>1041</v>
      </c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 t="n">
        <v>0.0125</v>
      </c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  <c r="BF1159" s="9"/>
      <c r="BG1159" s="9"/>
      <c r="BH1159" s="9"/>
      <c r="BI1159" s="9"/>
      <c r="BJ1159" s="9"/>
      <c r="BK1159" s="9"/>
      <c r="BL1159" s="9"/>
      <c r="BM1159" s="9"/>
      <c r="BN1159" s="9"/>
      <c r="BO1159" s="9"/>
      <c r="BP1159" s="9"/>
      <c r="BQ1159" s="9"/>
      <c r="BR1159" s="9"/>
      <c r="BS1159" s="9"/>
      <c r="BT1159" s="9"/>
      <c r="BU1159" s="9"/>
      <c r="BV1159" s="9"/>
      <c r="BW1159" s="9"/>
      <c r="BX1159" s="9"/>
      <c r="BY1159" s="9"/>
      <c r="BZ1159" s="9"/>
      <c r="CA1159" s="9"/>
      <c r="CB1159" s="9"/>
      <c r="CC1159" s="9"/>
      <c r="CD1159" s="9"/>
      <c r="CE1159" s="9"/>
      <c r="CF1159" s="9"/>
      <c r="CG1159" s="9"/>
      <c r="CH1159" s="9"/>
      <c r="CI1159" s="9"/>
      <c r="CJ1159" s="9"/>
      <c r="CK1159" s="9"/>
      <c r="CL1159" s="9"/>
      <c r="CM1159" s="9"/>
      <c r="CN1159" s="9"/>
      <c r="CO1159" s="9"/>
      <c r="CP1159" s="9"/>
      <c r="CQ1159" s="9"/>
      <c r="CR1159" s="9"/>
      <c r="CS1159" s="9"/>
      <c r="CT1159" s="9"/>
      <c r="CU1159" s="9"/>
      <c r="CV1159" s="9"/>
      <c r="CW1159" s="9"/>
      <c r="CX1159" s="9"/>
      <c r="CY1159" s="9"/>
      <c r="CZ1159" s="9"/>
      <c r="DA1159" s="9"/>
      <c r="DB1159" s="9"/>
      <c r="DC1159" s="9"/>
      <c r="DD1159" s="9"/>
      <c r="DE1159" s="9"/>
      <c r="DF1159" s="9"/>
      <c r="DG1159" s="9"/>
      <c r="DH1159" s="9"/>
      <c r="DI1159" s="9"/>
      <c r="DJ1159" s="9"/>
      <c r="DK1159" s="9"/>
      <c r="DL1159" s="9"/>
      <c r="DM1159" s="9"/>
      <c r="DN1159" s="9"/>
      <c r="DO1159" s="9"/>
      <c r="DP1159" s="9"/>
      <c r="DQ1159" s="9"/>
      <c r="DR1159" s="9"/>
      <c r="DS1159" s="9"/>
      <c r="DT1159" s="9"/>
      <c r="DU1159" s="9"/>
      <c r="DV1159" s="9"/>
      <c r="DW1159" s="9"/>
      <c r="DX1159" s="9"/>
      <c r="DY1159" s="9"/>
      <c r="DZ1159" s="9"/>
      <c r="EA1159" s="9"/>
      <c r="EB1159" s="9"/>
      <c r="EC1159" s="9"/>
      <c r="ED1159" s="9"/>
      <c r="EE1159" s="9"/>
      <c r="EF1159" s="9"/>
      <c r="EG1159" s="9"/>
      <c r="EH1159" s="9"/>
      <c r="EI1159" s="9"/>
      <c r="EJ1159" s="9"/>
      <c r="EK1159" s="9"/>
      <c r="EL1159" s="9"/>
      <c r="EM1159" s="9"/>
      <c r="EN1159" s="9"/>
      <c r="EO1159" s="9"/>
      <c r="EP1159" s="9"/>
      <c r="EQ1159" s="9"/>
      <c r="ER1159" s="9"/>
      <c r="ES1159" s="9"/>
      <c r="ET1159" s="9"/>
      <c r="EU1159" s="9"/>
      <c r="EV1159" s="9"/>
      <c r="EW1159" s="9"/>
      <c r="EX1159" s="9"/>
      <c r="EY1159" s="9"/>
      <c r="EZ1159" s="9"/>
      <c r="FA1159" s="9"/>
      <c r="FB1159" s="9"/>
      <c r="FC1159" s="9"/>
      <c r="FD1159" s="9"/>
      <c r="FE1159" s="9"/>
      <c r="FF1159" s="9"/>
      <c r="FG1159" s="9"/>
      <c r="FH1159" s="9"/>
      <c r="FI1159" s="9"/>
      <c r="FJ1159" s="9"/>
      <c r="FK1159" s="9"/>
      <c r="FL1159" s="9"/>
      <c r="FM1159" s="9"/>
      <c r="FN1159" s="9"/>
      <c r="FO1159" s="9"/>
      <c r="FP1159" s="9"/>
    </row>
    <row r="1160" customFormat="false" ht="15" hidden="true" customHeight="false" outlineLevel="1" collapsed="false"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  <c r="BF1160" s="9"/>
      <c r="BG1160" s="9"/>
      <c r="BH1160" s="9"/>
      <c r="BI1160" s="9"/>
      <c r="BJ1160" s="9"/>
      <c r="BK1160" s="9"/>
      <c r="BL1160" s="9"/>
      <c r="BM1160" s="9"/>
      <c r="BN1160" s="9"/>
      <c r="BO1160" s="9"/>
      <c r="BP1160" s="9"/>
      <c r="BQ1160" s="9"/>
      <c r="BR1160" s="9"/>
      <c r="BS1160" s="9"/>
      <c r="BT1160" s="9"/>
      <c r="BU1160" s="9"/>
      <c r="BV1160" s="9"/>
      <c r="BW1160" s="9"/>
      <c r="BX1160" s="9"/>
      <c r="BY1160" s="9"/>
      <c r="BZ1160" s="9"/>
      <c r="CA1160" s="9"/>
      <c r="CB1160" s="9"/>
      <c r="CC1160" s="9"/>
      <c r="CD1160" s="9"/>
      <c r="CE1160" s="9"/>
      <c r="CF1160" s="9"/>
      <c r="CG1160" s="9"/>
      <c r="CH1160" s="9"/>
      <c r="CI1160" s="9"/>
      <c r="CJ1160" s="9"/>
      <c r="CK1160" s="9"/>
      <c r="CL1160" s="9"/>
      <c r="CM1160" s="9"/>
      <c r="CN1160" s="9"/>
      <c r="CO1160" s="9"/>
      <c r="CP1160" s="9"/>
      <c r="CQ1160" s="9"/>
      <c r="CR1160" s="9"/>
      <c r="CS1160" s="9"/>
      <c r="CT1160" s="9"/>
      <c r="CU1160" s="9"/>
      <c r="CV1160" s="9"/>
      <c r="CW1160" s="9"/>
      <c r="CX1160" s="9"/>
      <c r="CY1160" s="9"/>
      <c r="CZ1160" s="9"/>
      <c r="DA1160" s="9"/>
      <c r="DB1160" s="9"/>
      <c r="DC1160" s="9"/>
      <c r="DD1160" s="9"/>
      <c r="DE1160" s="9"/>
      <c r="DF1160" s="9"/>
      <c r="DG1160" s="9"/>
      <c r="DH1160" s="9"/>
      <c r="DI1160" s="9"/>
      <c r="DJ1160" s="9"/>
      <c r="DK1160" s="9"/>
      <c r="DL1160" s="9"/>
      <c r="DM1160" s="9"/>
      <c r="DN1160" s="9"/>
      <c r="DO1160" s="9"/>
      <c r="DP1160" s="9"/>
      <c r="DQ1160" s="9"/>
      <c r="DR1160" s="9"/>
      <c r="DS1160" s="9"/>
      <c r="DT1160" s="9"/>
      <c r="DU1160" s="9"/>
      <c r="DV1160" s="9"/>
      <c r="DW1160" s="9"/>
      <c r="DX1160" s="9"/>
      <c r="DY1160" s="9"/>
      <c r="DZ1160" s="9"/>
      <c r="EA1160" s="9"/>
      <c r="EB1160" s="9"/>
      <c r="EC1160" s="9"/>
      <c r="ED1160" s="9"/>
      <c r="EE1160" s="9"/>
      <c r="EF1160" s="9"/>
      <c r="EG1160" s="9"/>
      <c r="EH1160" s="9"/>
      <c r="EI1160" s="9"/>
      <c r="EJ1160" s="9"/>
      <c r="EK1160" s="9"/>
      <c r="EL1160" s="9"/>
      <c r="EM1160" s="9"/>
      <c r="EN1160" s="9"/>
      <c r="EO1160" s="9"/>
      <c r="EP1160" s="9"/>
      <c r="EQ1160" s="9"/>
      <c r="ER1160" s="9"/>
      <c r="ES1160" s="9"/>
      <c r="ET1160" s="9"/>
      <c r="EU1160" s="9"/>
      <c r="EV1160" s="9"/>
      <c r="EW1160" s="9"/>
      <c r="EX1160" s="9"/>
      <c r="EY1160" s="9"/>
      <c r="EZ1160" s="9"/>
      <c r="FA1160" s="9"/>
      <c r="FB1160" s="9"/>
      <c r="FC1160" s="9"/>
      <c r="FD1160" s="9"/>
      <c r="FE1160" s="9"/>
      <c r="FF1160" s="9"/>
      <c r="FG1160" s="9"/>
      <c r="FH1160" s="9"/>
      <c r="FI1160" s="9"/>
      <c r="FJ1160" s="9"/>
      <c r="FK1160" s="9"/>
      <c r="FL1160" s="9"/>
      <c r="FM1160" s="9"/>
      <c r="FN1160" s="9"/>
      <c r="FO1160" s="9"/>
      <c r="FP1160" s="9"/>
    </row>
    <row r="1161" customFormat="false" ht="15" hidden="true" customHeight="false" outlineLevel="1" collapsed="false">
      <c r="B1161" s="10" t="s">
        <v>654</v>
      </c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 t="n">
        <v>0.0125</v>
      </c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  <c r="BF1161" s="9"/>
      <c r="BG1161" s="9"/>
      <c r="BH1161" s="9"/>
      <c r="BI1161" s="9"/>
      <c r="BJ1161" s="9"/>
      <c r="BK1161" s="9"/>
      <c r="BL1161" s="9"/>
      <c r="BM1161" s="9"/>
      <c r="BN1161" s="9"/>
      <c r="BO1161" s="9"/>
      <c r="BP1161" s="9"/>
      <c r="BQ1161" s="9"/>
      <c r="BR1161" s="9"/>
      <c r="BS1161" s="9"/>
      <c r="BT1161" s="9"/>
      <c r="BU1161" s="9"/>
      <c r="BV1161" s="9"/>
      <c r="BW1161" s="9"/>
      <c r="BX1161" s="9"/>
      <c r="BY1161" s="9"/>
      <c r="BZ1161" s="9"/>
      <c r="CA1161" s="9"/>
      <c r="CB1161" s="9"/>
      <c r="CC1161" s="9"/>
      <c r="CD1161" s="9"/>
      <c r="CE1161" s="9"/>
      <c r="CF1161" s="9"/>
      <c r="CG1161" s="9"/>
      <c r="CH1161" s="9"/>
      <c r="CI1161" s="9"/>
      <c r="CJ1161" s="9"/>
      <c r="CK1161" s="9"/>
      <c r="CL1161" s="9"/>
      <c r="CM1161" s="9"/>
      <c r="CN1161" s="9"/>
      <c r="CO1161" s="9"/>
      <c r="CP1161" s="9"/>
      <c r="CQ1161" s="9"/>
      <c r="CR1161" s="9"/>
      <c r="CS1161" s="9"/>
      <c r="CT1161" s="9"/>
      <c r="CU1161" s="9"/>
      <c r="CV1161" s="9"/>
      <c r="CW1161" s="9"/>
      <c r="CX1161" s="9"/>
      <c r="CY1161" s="9"/>
      <c r="CZ1161" s="9"/>
      <c r="DA1161" s="9"/>
      <c r="DB1161" s="9"/>
      <c r="DC1161" s="9"/>
      <c r="DD1161" s="9"/>
      <c r="DE1161" s="9"/>
      <c r="DF1161" s="9"/>
      <c r="DG1161" s="9"/>
      <c r="DH1161" s="9"/>
      <c r="DI1161" s="9"/>
      <c r="DJ1161" s="9"/>
      <c r="DK1161" s="9"/>
      <c r="DL1161" s="9"/>
      <c r="DM1161" s="9"/>
      <c r="DN1161" s="9"/>
      <c r="DO1161" s="9"/>
      <c r="DP1161" s="9"/>
      <c r="DQ1161" s="9"/>
      <c r="DR1161" s="9"/>
      <c r="DS1161" s="9"/>
      <c r="DT1161" s="9"/>
      <c r="DU1161" s="9"/>
      <c r="DV1161" s="9"/>
      <c r="DW1161" s="9"/>
      <c r="DX1161" s="9"/>
      <c r="DY1161" s="9"/>
      <c r="DZ1161" s="9"/>
      <c r="EA1161" s="9"/>
      <c r="EB1161" s="9"/>
      <c r="EC1161" s="9"/>
      <c r="ED1161" s="9"/>
      <c r="EE1161" s="9"/>
      <c r="EF1161" s="9"/>
      <c r="EG1161" s="9"/>
      <c r="EH1161" s="9"/>
      <c r="EI1161" s="9"/>
      <c r="EJ1161" s="9"/>
      <c r="EK1161" s="9"/>
      <c r="EL1161" s="9"/>
      <c r="EM1161" s="9"/>
      <c r="EN1161" s="9"/>
      <c r="EO1161" s="9"/>
      <c r="EP1161" s="9"/>
      <c r="EQ1161" s="9"/>
      <c r="ER1161" s="9"/>
      <c r="ES1161" s="9"/>
      <c r="ET1161" s="9"/>
      <c r="EU1161" s="9"/>
      <c r="EV1161" s="9"/>
      <c r="EW1161" s="9"/>
      <c r="EX1161" s="9"/>
      <c r="EY1161" s="9"/>
      <c r="EZ1161" s="9"/>
      <c r="FA1161" s="9"/>
      <c r="FB1161" s="9"/>
      <c r="FC1161" s="9"/>
      <c r="FD1161" s="9"/>
      <c r="FE1161" s="9"/>
      <c r="FF1161" s="9"/>
      <c r="FG1161" s="9"/>
      <c r="FH1161" s="9"/>
      <c r="FI1161" s="9"/>
      <c r="FJ1161" s="9"/>
      <c r="FK1161" s="9"/>
      <c r="FL1161" s="9"/>
      <c r="FM1161" s="9"/>
      <c r="FN1161" s="9"/>
      <c r="FO1161" s="9"/>
      <c r="FP1161" s="9"/>
    </row>
    <row r="1162" customFormat="false" ht="15" hidden="true" customHeight="false" outlineLevel="1" collapsed="false">
      <c r="B1162" s="9" t="s">
        <v>1042</v>
      </c>
      <c r="C1162" s="221" t="n">
        <v>0.8</v>
      </c>
      <c r="D1162" s="90" t="s">
        <v>1043</v>
      </c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 t="n">
        <v>0.0125</v>
      </c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  <c r="BF1162" s="9"/>
      <c r="BG1162" s="9"/>
      <c r="BH1162" s="9"/>
      <c r="BI1162" s="9"/>
      <c r="BJ1162" s="9"/>
      <c r="BK1162" s="9"/>
      <c r="BL1162" s="9"/>
      <c r="BM1162" s="9"/>
      <c r="BN1162" s="9"/>
      <c r="BO1162" s="9"/>
      <c r="BP1162" s="9"/>
      <c r="BQ1162" s="9"/>
      <c r="BR1162" s="9"/>
      <c r="BS1162" s="9"/>
      <c r="BT1162" s="9"/>
      <c r="BU1162" s="9"/>
      <c r="BV1162" s="9"/>
      <c r="BW1162" s="9"/>
      <c r="BX1162" s="9"/>
      <c r="BY1162" s="9"/>
      <c r="BZ1162" s="9"/>
      <c r="CA1162" s="9"/>
      <c r="CB1162" s="9"/>
      <c r="CC1162" s="9"/>
      <c r="CD1162" s="9"/>
      <c r="CE1162" s="9"/>
      <c r="CF1162" s="9"/>
      <c r="CG1162" s="9"/>
      <c r="CH1162" s="9"/>
      <c r="CI1162" s="9"/>
      <c r="CJ1162" s="9"/>
      <c r="CK1162" s="9"/>
      <c r="CL1162" s="9"/>
      <c r="CM1162" s="9"/>
      <c r="CN1162" s="9"/>
      <c r="CO1162" s="9"/>
      <c r="CP1162" s="9"/>
      <c r="CQ1162" s="9"/>
      <c r="CR1162" s="9"/>
      <c r="CS1162" s="9"/>
      <c r="CT1162" s="9"/>
      <c r="CU1162" s="9"/>
      <c r="CV1162" s="9"/>
      <c r="CW1162" s="9"/>
      <c r="CX1162" s="9"/>
      <c r="CY1162" s="9"/>
      <c r="CZ1162" s="9"/>
      <c r="DA1162" s="9"/>
      <c r="DB1162" s="9"/>
      <c r="DC1162" s="9"/>
      <c r="DD1162" s="9"/>
      <c r="DE1162" s="9"/>
      <c r="DF1162" s="9"/>
      <c r="DG1162" s="9"/>
      <c r="DH1162" s="9"/>
      <c r="DI1162" s="9"/>
      <c r="DJ1162" s="9"/>
      <c r="DK1162" s="9"/>
      <c r="DL1162" s="9"/>
      <c r="DM1162" s="9"/>
      <c r="DN1162" s="9"/>
      <c r="DO1162" s="9"/>
      <c r="DP1162" s="9"/>
      <c r="DQ1162" s="9"/>
      <c r="DR1162" s="9"/>
      <c r="DS1162" s="9"/>
      <c r="DT1162" s="9"/>
      <c r="DU1162" s="9"/>
      <c r="DV1162" s="9"/>
      <c r="DW1162" s="9"/>
      <c r="DX1162" s="9"/>
      <c r="DY1162" s="9"/>
      <c r="DZ1162" s="9"/>
      <c r="EA1162" s="9"/>
      <c r="EB1162" s="9"/>
      <c r="EC1162" s="9"/>
      <c r="ED1162" s="9"/>
      <c r="EE1162" s="9"/>
      <c r="EF1162" s="9"/>
      <c r="EG1162" s="9"/>
      <c r="EH1162" s="9"/>
      <c r="EI1162" s="9"/>
      <c r="EJ1162" s="9"/>
      <c r="EK1162" s="9"/>
      <c r="EL1162" s="9"/>
      <c r="EM1162" s="9"/>
      <c r="EN1162" s="9"/>
      <c r="EO1162" s="9"/>
      <c r="EP1162" s="9"/>
      <c r="EQ1162" s="9"/>
      <c r="ER1162" s="9"/>
      <c r="ES1162" s="9"/>
      <c r="ET1162" s="9"/>
      <c r="EU1162" s="9"/>
      <c r="EV1162" s="9"/>
      <c r="EW1162" s="9"/>
      <c r="EX1162" s="9"/>
      <c r="EY1162" s="9"/>
      <c r="EZ1162" s="9"/>
      <c r="FA1162" s="9"/>
      <c r="FB1162" s="9"/>
      <c r="FC1162" s="9"/>
      <c r="FD1162" s="9"/>
      <c r="FE1162" s="9"/>
      <c r="FF1162" s="9"/>
      <c r="FG1162" s="9"/>
      <c r="FH1162" s="9"/>
      <c r="FI1162" s="9"/>
      <c r="FJ1162" s="9"/>
      <c r="FK1162" s="9"/>
      <c r="FL1162" s="9"/>
      <c r="FM1162" s="9"/>
      <c r="FN1162" s="9"/>
      <c r="FO1162" s="9"/>
      <c r="FP1162" s="9"/>
    </row>
    <row r="1163" customFormat="false" ht="15" hidden="true" customHeight="false" outlineLevel="1" collapsed="false">
      <c r="B1163" s="9" t="s">
        <v>1044</v>
      </c>
      <c r="C1163" s="198" t="n">
        <v>131</v>
      </c>
      <c r="D1163" s="90" t="s">
        <v>1045</v>
      </c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 t="n">
        <v>0.0125</v>
      </c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  <c r="BF1163" s="9"/>
      <c r="BG1163" s="9"/>
      <c r="BH1163" s="9"/>
      <c r="BI1163" s="9"/>
      <c r="BJ1163" s="9"/>
      <c r="BK1163" s="9"/>
      <c r="BL1163" s="9"/>
      <c r="BM1163" s="9"/>
      <c r="BN1163" s="9"/>
      <c r="BO1163" s="9"/>
      <c r="BP1163" s="9"/>
      <c r="BQ1163" s="9"/>
      <c r="BR1163" s="9"/>
      <c r="BS1163" s="9"/>
      <c r="BT1163" s="9"/>
      <c r="BU1163" s="9"/>
      <c r="BV1163" s="9"/>
      <c r="BW1163" s="9"/>
      <c r="BX1163" s="9"/>
      <c r="BY1163" s="9"/>
      <c r="BZ1163" s="9"/>
      <c r="CA1163" s="9"/>
      <c r="CB1163" s="9"/>
      <c r="CC1163" s="9"/>
      <c r="CD1163" s="9"/>
      <c r="CE1163" s="9"/>
      <c r="CF1163" s="9"/>
      <c r="CG1163" s="9"/>
      <c r="CH1163" s="9"/>
      <c r="CI1163" s="9"/>
      <c r="CJ1163" s="9"/>
      <c r="CK1163" s="9"/>
      <c r="CL1163" s="9"/>
      <c r="CM1163" s="9"/>
      <c r="CN1163" s="9"/>
      <c r="CO1163" s="9"/>
      <c r="CP1163" s="9"/>
      <c r="CQ1163" s="9"/>
      <c r="CR1163" s="9"/>
      <c r="CS1163" s="9"/>
      <c r="CT1163" s="9"/>
      <c r="CU1163" s="9"/>
      <c r="CV1163" s="9"/>
      <c r="CW1163" s="9"/>
      <c r="CX1163" s="9"/>
      <c r="CY1163" s="9"/>
      <c r="CZ1163" s="9"/>
      <c r="DA1163" s="9"/>
      <c r="DB1163" s="9"/>
      <c r="DC1163" s="9"/>
      <c r="DD1163" s="9"/>
      <c r="DE1163" s="9"/>
      <c r="DF1163" s="9"/>
      <c r="DG1163" s="9"/>
      <c r="DH1163" s="9"/>
      <c r="DI1163" s="9"/>
      <c r="DJ1163" s="9"/>
      <c r="DK1163" s="9"/>
      <c r="DL1163" s="9"/>
      <c r="DM1163" s="9"/>
      <c r="DN1163" s="9"/>
      <c r="DO1163" s="9"/>
      <c r="DP1163" s="9"/>
      <c r="DQ1163" s="9"/>
      <c r="DR1163" s="9"/>
      <c r="DS1163" s="9"/>
      <c r="DT1163" s="9"/>
      <c r="DU1163" s="9"/>
      <c r="DV1163" s="9"/>
      <c r="DW1163" s="9"/>
      <c r="DX1163" s="9"/>
      <c r="DY1163" s="9"/>
      <c r="DZ1163" s="9"/>
      <c r="EA1163" s="9"/>
      <c r="EB1163" s="9"/>
      <c r="EC1163" s="9"/>
      <c r="ED1163" s="9"/>
      <c r="EE1163" s="9"/>
      <c r="EF1163" s="9"/>
      <c r="EG1163" s="9"/>
      <c r="EH1163" s="9"/>
      <c r="EI1163" s="9"/>
      <c r="EJ1163" s="9"/>
      <c r="EK1163" s="9"/>
      <c r="EL1163" s="9"/>
      <c r="EM1163" s="9"/>
      <c r="EN1163" s="9"/>
      <c r="EO1163" s="9"/>
      <c r="EP1163" s="9"/>
      <c r="EQ1163" s="9"/>
      <c r="ER1163" s="9"/>
      <c r="ES1163" s="9"/>
      <c r="ET1163" s="9"/>
      <c r="EU1163" s="9"/>
      <c r="EV1163" s="9"/>
      <c r="EW1163" s="9"/>
      <c r="EX1163" s="9"/>
      <c r="EY1163" s="9"/>
      <c r="EZ1163" s="9"/>
      <c r="FA1163" s="9"/>
      <c r="FB1163" s="9"/>
      <c r="FC1163" s="9"/>
      <c r="FD1163" s="9"/>
      <c r="FE1163" s="9"/>
      <c r="FF1163" s="9"/>
      <c r="FG1163" s="9"/>
      <c r="FH1163" s="9"/>
      <c r="FI1163" s="9"/>
      <c r="FJ1163" s="9"/>
      <c r="FK1163" s="9"/>
      <c r="FL1163" s="9"/>
      <c r="FM1163" s="9"/>
      <c r="FN1163" s="9"/>
      <c r="FO1163" s="9"/>
      <c r="FP1163" s="9"/>
    </row>
    <row r="1164" customFormat="false" ht="15" hidden="true" customHeight="false" outlineLevel="1" collapsed="false">
      <c r="B1164" s="9" t="s">
        <v>1046</v>
      </c>
      <c r="C1164" s="221" t="n">
        <v>0.16</v>
      </c>
      <c r="D1164" s="90" t="s">
        <v>1047</v>
      </c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 t="n">
        <v>0.0125</v>
      </c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  <c r="BF1164" s="9"/>
      <c r="BG1164" s="9"/>
      <c r="BH1164" s="9"/>
      <c r="BI1164" s="9"/>
      <c r="BJ1164" s="9"/>
      <c r="BK1164" s="9"/>
      <c r="BL1164" s="9"/>
      <c r="BM1164" s="9"/>
      <c r="BN1164" s="9"/>
      <c r="BO1164" s="9"/>
      <c r="BP1164" s="9"/>
      <c r="BQ1164" s="9"/>
      <c r="BR1164" s="9"/>
      <c r="BS1164" s="9"/>
      <c r="BT1164" s="9"/>
      <c r="BU1164" s="9"/>
      <c r="BV1164" s="9"/>
      <c r="BW1164" s="9"/>
      <c r="BX1164" s="9"/>
      <c r="BY1164" s="9"/>
      <c r="BZ1164" s="9"/>
      <c r="CA1164" s="9"/>
      <c r="CB1164" s="9"/>
      <c r="CC1164" s="9"/>
      <c r="CD1164" s="9"/>
      <c r="CE1164" s="9"/>
      <c r="CF1164" s="9"/>
      <c r="CG1164" s="9"/>
      <c r="CH1164" s="9"/>
      <c r="CI1164" s="9"/>
      <c r="CJ1164" s="9"/>
      <c r="CK1164" s="9"/>
      <c r="CL1164" s="9"/>
      <c r="CM1164" s="9"/>
      <c r="CN1164" s="9"/>
      <c r="CO1164" s="9"/>
      <c r="CP1164" s="9"/>
      <c r="CQ1164" s="9"/>
      <c r="CR1164" s="9"/>
      <c r="CS1164" s="9"/>
      <c r="CT1164" s="9"/>
      <c r="CU1164" s="9"/>
      <c r="CV1164" s="9"/>
      <c r="CW1164" s="9"/>
      <c r="CX1164" s="9"/>
      <c r="CY1164" s="9"/>
      <c r="CZ1164" s="9"/>
      <c r="DA1164" s="9"/>
      <c r="DB1164" s="9"/>
      <c r="DC1164" s="9"/>
      <c r="DD1164" s="9"/>
      <c r="DE1164" s="9"/>
      <c r="DF1164" s="9"/>
      <c r="DG1164" s="9"/>
      <c r="DH1164" s="9"/>
      <c r="DI1164" s="9"/>
      <c r="DJ1164" s="9"/>
      <c r="DK1164" s="9"/>
      <c r="DL1164" s="9"/>
      <c r="DM1164" s="9"/>
      <c r="DN1164" s="9"/>
      <c r="DO1164" s="9"/>
      <c r="DP1164" s="9"/>
      <c r="DQ1164" s="9"/>
      <c r="DR1164" s="9"/>
      <c r="DS1164" s="9"/>
      <c r="DT1164" s="9"/>
      <c r="DU1164" s="9"/>
      <c r="DV1164" s="9"/>
      <c r="DW1164" s="9"/>
      <c r="DX1164" s="9"/>
      <c r="DY1164" s="9"/>
      <c r="DZ1164" s="9"/>
      <c r="EA1164" s="9"/>
      <c r="EB1164" s="9"/>
      <c r="EC1164" s="9"/>
      <c r="ED1164" s="9"/>
      <c r="EE1164" s="9"/>
      <c r="EF1164" s="9"/>
      <c r="EG1164" s="9"/>
      <c r="EH1164" s="9"/>
      <c r="EI1164" s="9"/>
      <c r="EJ1164" s="9"/>
      <c r="EK1164" s="9"/>
      <c r="EL1164" s="9"/>
      <c r="EM1164" s="9"/>
      <c r="EN1164" s="9"/>
      <c r="EO1164" s="9"/>
      <c r="EP1164" s="9"/>
      <c r="EQ1164" s="9"/>
      <c r="ER1164" s="9"/>
      <c r="ES1164" s="9"/>
      <c r="ET1164" s="9"/>
      <c r="EU1164" s="9"/>
      <c r="EV1164" s="9"/>
      <c r="EW1164" s="9"/>
      <c r="EX1164" s="9"/>
      <c r="EY1164" s="9"/>
      <c r="EZ1164" s="9"/>
      <c r="FA1164" s="9"/>
      <c r="FB1164" s="9"/>
      <c r="FC1164" s="9"/>
      <c r="FD1164" s="9"/>
      <c r="FE1164" s="9"/>
      <c r="FF1164" s="9"/>
      <c r="FG1164" s="9"/>
      <c r="FH1164" s="9"/>
      <c r="FI1164" s="9"/>
      <c r="FJ1164" s="9"/>
      <c r="FK1164" s="9"/>
      <c r="FL1164" s="9"/>
      <c r="FM1164" s="9"/>
      <c r="FN1164" s="9"/>
      <c r="FO1164" s="9"/>
      <c r="FP1164" s="9"/>
    </row>
    <row r="1165" customFormat="false" ht="15" hidden="true" customHeight="false" outlineLevel="1" collapsed="false">
      <c r="B1165" s="9" t="s">
        <v>1048</v>
      </c>
      <c r="C1165" s="61" t="n">
        <f aca="false">C1163*C1164</f>
        <v>20.96</v>
      </c>
      <c r="D1165" s="90" t="s">
        <v>349</v>
      </c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  <c r="BF1165" s="9"/>
      <c r="BG1165" s="9"/>
      <c r="BH1165" s="9"/>
      <c r="BI1165" s="9"/>
      <c r="BJ1165" s="9"/>
      <c r="BK1165" s="9"/>
      <c r="BL1165" s="9"/>
      <c r="BM1165" s="9"/>
      <c r="BN1165" s="9"/>
      <c r="BO1165" s="9"/>
      <c r="BP1165" s="9"/>
      <c r="BQ1165" s="9"/>
      <c r="BR1165" s="9"/>
      <c r="BS1165" s="9"/>
      <c r="BT1165" s="9"/>
      <c r="BU1165" s="9"/>
      <c r="BV1165" s="9"/>
      <c r="BW1165" s="9"/>
      <c r="BX1165" s="9"/>
      <c r="BY1165" s="9"/>
      <c r="BZ1165" s="9"/>
      <c r="CA1165" s="9"/>
      <c r="CB1165" s="9"/>
      <c r="CC1165" s="9"/>
      <c r="CD1165" s="9"/>
      <c r="CE1165" s="9"/>
      <c r="CF1165" s="9"/>
      <c r="CG1165" s="9"/>
      <c r="CH1165" s="9"/>
      <c r="CI1165" s="9"/>
      <c r="CJ1165" s="9"/>
      <c r="CK1165" s="9"/>
      <c r="CL1165" s="9"/>
      <c r="CM1165" s="9"/>
      <c r="CN1165" s="9"/>
      <c r="CO1165" s="9"/>
      <c r="CP1165" s="9"/>
      <c r="CQ1165" s="9"/>
      <c r="CR1165" s="9"/>
      <c r="CS1165" s="9"/>
      <c r="CT1165" s="9"/>
      <c r="CU1165" s="9"/>
      <c r="CV1165" s="9"/>
      <c r="CW1165" s="9"/>
      <c r="CX1165" s="9"/>
      <c r="CY1165" s="9"/>
      <c r="CZ1165" s="9"/>
      <c r="DA1165" s="9"/>
      <c r="DB1165" s="9"/>
      <c r="DC1165" s="9"/>
      <c r="DD1165" s="9"/>
      <c r="DE1165" s="9"/>
      <c r="DF1165" s="9"/>
      <c r="DG1165" s="9"/>
      <c r="DH1165" s="9"/>
      <c r="DI1165" s="9"/>
      <c r="DJ1165" s="9"/>
      <c r="DK1165" s="9"/>
      <c r="DL1165" s="9"/>
      <c r="DM1165" s="9"/>
      <c r="DN1165" s="9"/>
      <c r="DO1165" s="9"/>
      <c r="DP1165" s="9"/>
      <c r="DQ1165" s="9"/>
      <c r="DR1165" s="9"/>
      <c r="DS1165" s="9"/>
      <c r="DT1165" s="9"/>
      <c r="DU1165" s="9"/>
      <c r="DV1165" s="9"/>
      <c r="DW1165" s="9"/>
      <c r="DX1165" s="9"/>
      <c r="DY1165" s="9"/>
      <c r="DZ1165" s="9"/>
      <c r="EA1165" s="9"/>
      <c r="EB1165" s="9"/>
      <c r="EC1165" s="9"/>
      <c r="ED1165" s="9"/>
      <c r="EE1165" s="9"/>
      <c r="EF1165" s="9"/>
      <c r="EG1165" s="9"/>
      <c r="EH1165" s="9"/>
      <c r="EI1165" s="9"/>
      <c r="EJ1165" s="9"/>
      <c r="EK1165" s="9"/>
      <c r="EL1165" s="9"/>
      <c r="EM1165" s="9"/>
      <c r="EN1165" s="9"/>
      <c r="EO1165" s="9"/>
      <c r="EP1165" s="9"/>
      <c r="EQ1165" s="9"/>
      <c r="ER1165" s="9"/>
      <c r="ES1165" s="9"/>
      <c r="ET1165" s="9"/>
      <c r="EU1165" s="9"/>
      <c r="EV1165" s="9"/>
      <c r="EW1165" s="9"/>
      <c r="EX1165" s="9"/>
      <c r="EY1165" s="9"/>
      <c r="EZ1165" s="9"/>
      <c r="FA1165" s="9"/>
      <c r="FB1165" s="9"/>
      <c r="FC1165" s="9"/>
      <c r="FD1165" s="9"/>
      <c r="FE1165" s="9"/>
      <c r="FF1165" s="9"/>
      <c r="FG1165" s="9"/>
      <c r="FH1165" s="9"/>
      <c r="FI1165" s="9"/>
      <c r="FJ1165" s="9"/>
      <c r="FK1165" s="9"/>
      <c r="FL1165" s="9"/>
      <c r="FM1165" s="9"/>
      <c r="FN1165" s="9"/>
      <c r="FO1165" s="9"/>
      <c r="FP1165" s="9"/>
    </row>
    <row r="1166" customFormat="false" ht="15" hidden="true" customHeight="false" outlineLevel="1" collapsed="false">
      <c r="B1166" s="9" t="s">
        <v>1049</v>
      </c>
      <c r="C1166" s="111" t="n">
        <v>4</v>
      </c>
      <c r="D1166" s="90" t="s">
        <v>1050</v>
      </c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  <c r="BF1166" s="9"/>
      <c r="BG1166" s="9"/>
      <c r="BH1166" s="9"/>
      <c r="BI1166" s="9"/>
      <c r="BJ1166" s="9"/>
      <c r="BK1166" s="9"/>
      <c r="BL1166" s="9"/>
      <c r="BM1166" s="9"/>
      <c r="BN1166" s="9"/>
      <c r="BO1166" s="9"/>
      <c r="BP1166" s="9"/>
      <c r="BQ1166" s="9"/>
      <c r="BR1166" s="9"/>
      <c r="BS1166" s="9"/>
      <c r="BT1166" s="9"/>
      <c r="BU1166" s="9"/>
      <c r="BV1166" s="9"/>
      <c r="BW1166" s="9"/>
      <c r="BX1166" s="9"/>
      <c r="BY1166" s="9"/>
      <c r="BZ1166" s="9"/>
      <c r="CA1166" s="9"/>
      <c r="CB1166" s="9"/>
      <c r="CC1166" s="9"/>
      <c r="CD1166" s="9"/>
      <c r="CE1166" s="9"/>
      <c r="CF1166" s="9"/>
      <c r="CG1166" s="9"/>
      <c r="CH1166" s="9"/>
      <c r="CI1166" s="9"/>
      <c r="CJ1166" s="9"/>
      <c r="CK1166" s="9"/>
      <c r="CL1166" s="9"/>
      <c r="CM1166" s="9"/>
      <c r="CN1166" s="9"/>
      <c r="CO1166" s="9"/>
      <c r="CP1166" s="9"/>
      <c r="CQ1166" s="9"/>
      <c r="CR1166" s="9"/>
      <c r="CS1166" s="9"/>
      <c r="CT1166" s="9"/>
      <c r="CU1166" s="9"/>
      <c r="CV1166" s="9"/>
      <c r="CW1166" s="9"/>
      <c r="CX1166" s="9"/>
      <c r="CY1166" s="9"/>
      <c r="CZ1166" s="9"/>
      <c r="DA1166" s="9"/>
      <c r="DB1166" s="9"/>
      <c r="DC1166" s="9"/>
      <c r="DD1166" s="9"/>
      <c r="DE1166" s="9"/>
      <c r="DF1166" s="9"/>
      <c r="DG1166" s="9"/>
      <c r="DH1166" s="9"/>
      <c r="DI1166" s="9"/>
      <c r="DJ1166" s="9"/>
      <c r="DK1166" s="9"/>
      <c r="DL1166" s="9"/>
      <c r="DM1166" s="9"/>
      <c r="DN1166" s="9"/>
      <c r="DO1166" s="9"/>
      <c r="DP1166" s="9"/>
      <c r="DQ1166" s="9"/>
      <c r="DR1166" s="9"/>
      <c r="DS1166" s="9"/>
      <c r="DT1166" s="9"/>
      <c r="DU1166" s="9"/>
      <c r="DV1166" s="9"/>
      <c r="DW1166" s="9"/>
      <c r="DX1166" s="9"/>
      <c r="DY1166" s="9"/>
      <c r="DZ1166" s="9"/>
      <c r="EA1166" s="9"/>
      <c r="EB1166" s="9"/>
      <c r="EC1166" s="9"/>
      <c r="ED1166" s="9"/>
      <c r="EE1166" s="9"/>
      <c r="EF1166" s="9"/>
      <c r="EG1166" s="9"/>
      <c r="EH1166" s="9"/>
      <c r="EI1166" s="9"/>
      <c r="EJ1166" s="9"/>
      <c r="EK1166" s="9"/>
      <c r="EL1166" s="9"/>
      <c r="EM1166" s="9"/>
      <c r="EN1166" s="9"/>
      <c r="EO1166" s="9"/>
      <c r="EP1166" s="9"/>
      <c r="EQ1166" s="9"/>
      <c r="ER1166" s="9"/>
      <c r="ES1166" s="9"/>
      <c r="ET1166" s="9"/>
      <c r="EU1166" s="9"/>
      <c r="EV1166" s="9"/>
      <c r="EW1166" s="9"/>
      <c r="EX1166" s="9"/>
      <c r="EY1166" s="9"/>
      <c r="EZ1166" s="9"/>
      <c r="FA1166" s="9"/>
      <c r="FB1166" s="9"/>
      <c r="FC1166" s="9"/>
      <c r="FD1166" s="9"/>
      <c r="FE1166" s="9"/>
      <c r="FF1166" s="9"/>
      <c r="FG1166" s="9"/>
      <c r="FH1166" s="9"/>
      <c r="FI1166" s="9"/>
      <c r="FJ1166" s="9"/>
      <c r="FK1166" s="9"/>
      <c r="FL1166" s="9"/>
      <c r="FM1166" s="9"/>
      <c r="FN1166" s="9"/>
      <c r="FO1166" s="9"/>
      <c r="FP1166" s="9"/>
    </row>
    <row r="1167" customFormat="false" ht="15" hidden="true" customHeight="false" outlineLevel="1" collapsed="false">
      <c r="B1167" s="9" t="s">
        <v>1051</v>
      </c>
      <c r="C1167" s="261" t="s">
        <v>1052</v>
      </c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  <c r="BF1167" s="9"/>
      <c r="BG1167" s="9"/>
      <c r="BH1167" s="9"/>
      <c r="BI1167" s="9"/>
      <c r="BJ1167" s="9"/>
      <c r="BK1167" s="9"/>
      <c r="BL1167" s="9"/>
      <c r="BM1167" s="9"/>
      <c r="BN1167" s="9"/>
      <c r="BO1167" s="9"/>
      <c r="BP1167" s="9"/>
      <c r="BQ1167" s="9"/>
      <c r="BR1167" s="9"/>
      <c r="BS1167" s="9"/>
      <c r="BT1167" s="9"/>
      <c r="BU1167" s="9"/>
      <c r="BV1167" s="9"/>
      <c r="BW1167" s="9"/>
      <c r="BX1167" s="9"/>
      <c r="BY1167" s="9"/>
      <c r="BZ1167" s="9"/>
      <c r="CA1167" s="9"/>
      <c r="CB1167" s="9"/>
      <c r="CC1167" s="9"/>
      <c r="CD1167" s="9"/>
      <c r="CE1167" s="9"/>
      <c r="CF1167" s="9"/>
      <c r="CG1167" s="9"/>
      <c r="CH1167" s="9"/>
      <c r="CI1167" s="9"/>
      <c r="CJ1167" s="9"/>
      <c r="CK1167" s="9"/>
      <c r="CL1167" s="9"/>
      <c r="CM1167" s="9"/>
      <c r="CN1167" s="9"/>
      <c r="CO1167" s="9"/>
      <c r="CP1167" s="9"/>
      <c r="CQ1167" s="9"/>
      <c r="CR1167" s="9"/>
      <c r="CS1167" s="9"/>
      <c r="CT1167" s="9"/>
      <c r="CU1167" s="9"/>
      <c r="CV1167" s="9"/>
      <c r="CW1167" s="9"/>
      <c r="CX1167" s="9"/>
      <c r="CY1167" s="9"/>
      <c r="CZ1167" s="9"/>
      <c r="DA1167" s="9"/>
      <c r="DB1167" s="9"/>
      <c r="DC1167" s="9"/>
      <c r="DD1167" s="9"/>
      <c r="DE1167" s="9"/>
      <c r="DF1167" s="9"/>
      <c r="DG1167" s="9"/>
      <c r="DH1167" s="9"/>
      <c r="DI1167" s="9"/>
      <c r="DJ1167" s="9"/>
      <c r="DK1167" s="9"/>
      <c r="DL1167" s="9"/>
      <c r="DM1167" s="9"/>
      <c r="DN1167" s="9"/>
      <c r="DO1167" s="9"/>
      <c r="DP1167" s="9"/>
      <c r="DQ1167" s="9"/>
      <c r="DR1167" s="9"/>
      <c r="DS1167" s="9"/>
      <c r="DT1167" s="9"/>
      <c r="DU1167" s="9"/>
      <c r="DV1167" s="9"/>
      <c r="DW1167" s="9"/>
      <c r="DX1167" s="9"/>
      <c r="DY1167" s="9"/>
      <c r="DZ1167" s="9"/>
      <c r="EA1167" s="9"/>
      <c r="EB1167" s="9"/>
      <c r="EC1167" s="9"/>
      <c r="ED1167" s="9"/>
      <c r="EE1167" s="9"/>
      <c r="EF1167" s="9"/>
      <c r="EG1167" s="9"/>
      <c r="EH1167" s="9"/>
      <c r="EI1167" s="9"/>
      <c r="EJ1167" s="9"/>
      <c r="EK1167" s="9"/>
      <c r="EL1167" s="9"/>
      <c r="EM1167" s="9"/>
      <c r="EN1167" s="9"/>
      <c r="EO1167" s="9"/>
      <c r="EP1167" s="9"/>
      <c r="EQ1167" s="9"/>
      <c r="ER1167" s="9"/>
      <c r="ES1167" s="9"/>
      <c r="ET1167" s="9"/>
      <c r="EU1167" s="9"/>
      <c r="EV1167" s="9"/>
      <c r="EW1167" s="9"/>
      <c r="EX1167" s="9"/>
      <c r="EY1167" s="9"/>
      <c r="EZ1167" s="9"/>
      <c r="FA1167" s="9"/>
      <c r="FB1167" s="9"/>
      <c r="FC1167" s="9"/>
      <c r="FD1167" s="9"/>
      <c r="FE1167" s="9"/>
      <c r="FF1167" s="9"/>
      <c r="FG1167" s="9"/>
      <c r="FH1167" s="9"/>
      <c r="FI1167" s="9"/>
      <c r="FJ1167" s="9"/>
      <c r="FK1167" s="9"/>
      <c r="FL1167" s="9"/>
      <c r="FM1167" s="9"/>
      <c r="FN1167" s="9"/>
      <c r="FO1167" s="9"/>
      <c r="FP1167" s="9"/>
    </row>
    <row r="1168" customFormat="false" ht="15" hidden="true" customHeight="false" outlineLevel="1" collapsed="false"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  <c r="BF1168" s="9"/>
      <c r="BG1168" s="9"/>
      <c r="BH1168" s="9"/>
      <c r="BI1168" s="9"/>
      <c r="BJ1168" s="9"/>
      <c r="BK1168" s="9"/>
      <c r="BL1168" s="9"/>
      <c r="BM1168" s="9"/>
      <c r="BN1168" s="9"/>
      <c r="BO1168" s="9"/>
      <c r="BP1168" s="9"/>
      <c r="BQ1168" s="9"/>
      <c r="BR1168" s="9"/>
      <c r="BS1168" s="9"/>
      <c r="BT1168" s="9"/>
      <c r="BU1168" s="9"/>
      <c r="BV1168" s="9"/>
      <c r="BW1168" s="9"/>
      <c r="BX1168" s="9"/>
      <c r="BY1168" s="9"/>
      <c r="BZ1168" s="9"/>
      <c r="CA1168" s="9"/>
      <c r="CB1168" s="9"/>
      <c r="CC1168" s="9"/>
      <c r="CD1168" s="9"/>
      <c r="CE1168" s="9"/>
      <c r="CF1168" s="9"/>
      <c r="CG1168" s="9"/>
      <c r="CH1168" s="9"/>
      <c r="CI1168" s="9"/>
      <c r="CJ1168" s="9"/>
      <c r="CK1168" s="9"/>
      <c r="CL1168" s="9"/>
      <c r="CM1168" s="9"/>
      <c r="CN1168" s="9"/>
      <c r="CO1168" s="9"/>
      <c r="CP1168" s="9"/>
      <c r="CQ1168" s="9"/>
      <c r="CR1168" s="9"/>
      <c r="CS1168" s="9"/>
      <c r="CT1168" s="9"/>
      <c r="CU1168" s="9"/>
      <c r="CV1168" s="9"/>
      <c r="CW1168" s="9"/>
      <c r="CX1168" s="9"/>
      <c r="CY1168" s="9"/>
      <c r="CZ1168" s="9"/>
      <c r="DA1168" s="9"/>
      <c r="DB1168" s="9"/>
      <c r="DC1168" s="9"/>
      <c r="DD1168" s="9"/>
      <c r="DE1168" s="9"/>
      <c r="DF1168" s="9"/>
      <c r="DG1168" s="9"/>
      <c r="DH1168" s="9"/>
      <c r="DI1168" s="9"/>
      <c r="DJ1168" s="9"/>
      <c r="DK1168" s="9"/>
      <c r="DL1168" s="9"/>
      <c r="DM1168" s="9"/>
      <c r="DN1168" s="9"/>
      <c r="DO1168" s="9"/>
      <c r="DP1168" s="9"/>
      <c r="DQ1168" s="9"/>
      <c r="DR1168" s="9"/>
      <c r="DS1168" s="9"/>
      <c r="DT1168" s="9"/>
      <c r="DU1168" s="9"/>
      <c r="DV1168" s="9"/>
      <c r="DW1168" s="9"/>
      <c r="DX1168" s="9"/>
      <c r="DY1168" s="9"/>
      <c r="DZ1168" s="9"/>
      <c r="EA1168" s="9"/>
      <c r="EB1168" s="9"/>
      <c r="EC1168" s="9"/>
      <c r="ED1168" s="9"/>
      <c r="EE1168" s="9"/>
      <c r="EF1168" s="9"/>
      <c r="EG1168" s="9"/>
      <c r="EH1168" s="9"/>
      <c r="EI1168" s="9"/>
      <c r="EJ1168" s="9"/>
      <c r="EK1168" s="9"/>
      <c r="EL1168" s="9"/>
      <c r="EM1168" s="9"/>
      <c r="EN1168" s="9"/>
      <c r="EO1168" s="9"/>
      <c r="EP1168" s="9"/>
      <c r="EQ1168" s="9"/>
      <c r="ER1168" s="9"/>
      <c r="ES1168" s="9"/>
      <c r="ET1168" s="9"/>
      <c r="EU1168" s="9"/>
      <c r="EV1168" s="9"/>
      <c r="EW1168" s="9"/>
      <c r="EX1168" s="9"/>
      <c r="EY1168" s="9"/>
      <c r="EZ1168" s="9"/>
      <c r="FA1168" s="9"/>
      <c r="FB1168" s="9"/>
      <c r="FC1168" s="9"/>
      <c r="FD1168" s="9"/>
      <c r="FE1168" s="9"/>
      <c r="FF1168" s="9"/>
      <c r="FG1168" s="9"/>
      <c r="FH1168" s="9"/>
      <c r="FI1168" s="9"/>
      <c r="FJ1168" s="9"/>
      <c r="FK1168" s="9"/>
      <c r="FL1168" s="9"/>
      <c r="FM1168" s="9"/>
      <c r="FN1168" s="9"/>
      <c r="FO1168" s="9"/>
      <c r="FP1168" s="9"/>
    </row>
    <row r="1169" customFormat="false" ht="15" hidden="true" customHeight="false" outlineLevel="1" collapsed="false">
      <c r="B1169" s="10" t="s">
        <v>1053</v>
      </c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  <c r="BF1169" s="9"/>
      <c r="BG1169" s="9"/>
      <c r="BH1169" s="9"/>
      <c r="BI1169" s="9"/>
      <c r="BJ1169" s="9"/>
      <c r="BK1169" s="9"/>
      <c r="BL1169" s="9"/>
      <c r="BM1169" s="9"/>
      <c r="BN1169" s="9"/>
      <c r="BO1169" s="9"/>
      <c r="BP1169" s="9"/>
      <c r="BQ1169" s="9"/>
      <c r="BR1169" s="9"/>
      <c r="BS1169" s="9"/>
      <c r="BT1169" s="9"/>
      <c r="BU1169" s="9"/>
      <c r="BV1169" s="9"/>
      <c r="BW1169" s="9"/>
      <c r="BX1169" s="9"/>
      <c r="BY1169" s="9"/>
      <c r="BZ1169" s="9"/>
      <c r="CA1169" s="9"/>
      <c r="CB1169" s="9"/>
      <c r="CC1169" s="9"/>
      <c r="CD1169" s="9"/>
      <c r="CE1169" s="9"/>
      <c r="CF1169" s="9"/>
      <c r="CG1169" s="9"/>
      <c r="CH1169" s="9"/>
      <c r="CI1169" s="9"/>
      <c r="CJ1169" s="9"/>
      <c r="CK1169" s="9"/>
      <c r="CL1169" s="9"/>
      <c r="CM1169" s="9"/>
      <c r="CN1169" s="9"/>
      <c r="CO1169" s="9"/>
      <c r="CP1169" s="9"/>
      <c r="CQ1169" s="9"/>
      <c r="CR1169" s="9"/>
      <c r="CS1169" s="9"/>
      <c r="CT1169" s="9"/>
      <c r="CU1169" s="9"/>
      <c r="CV1169" s="9"/>
      <c r="CW1169" s="9"/>
      <c r="CX1169" s="9"/>
      <c r="CY1169" s="9"/>
      <c r="CZ1169" s="9"/>
      <c r="DA1169" s="9"/>
      <c r="DB1169" s="9"/>
      <c r="DC1169" s="9"/>
      <c r="DD1169" s="9"/>
      <c r="DE1169" s="9"/>
      <c r="DF1169" s="9"/>
      <c r="DG1169" s="9"/>
      <c r="DH1169" s="9"/>
      <c r="DI1169" s="9"/>
      <c r="DJ1169" s="9"/>
      <c r="DK1169" s="9"/>
      <c r="DL1169" s="9"/>
      <c r="DM1169" s="9"/>
      <c r="DN1169" s="9"/>
      <c r="DO1169" s="9"/>
      <c r="DP1169" s="9"/>
      <c r="DQ1169" s="9"/>
      <c r="DR1169" s="9"/>
      <c r="DS1169" s="9"/>
      <c r="DT1169" s="9"/>
      <c r="DU1169" s="9"/>
      <c r="DV1169" s="9"/>
      <c r="DW1169" s="9"/>
      <c r="DX1169" s="9"/>
      <c r="DY1169" s="9"/>
      <c r="DZ1169" s="9"/>
      <c r="EA1169" s="9"/>
      <c r="EB1169" s="9"/>
      <c r="EC1169" s="9"/>
      <c r="ED1169" s="9"/>
      <c r="EE1169" s="9"/>
      <c r="EF1169" s="9"/>
      <c r="EG1169" s="9"/>
      <c r="EH1169" s="9"/>
      <c r="EI1169" s="9"/>
      <c r="EJ1169" s="9"/>
      <c r="EK1169" s="9"/>
      <c r="EL1169" s="9"/>
      <c r="EM1169" s="9"/>
      <c r="EN1169" s="9"/>
      <c r="EO1169" s="9"/>
      <c r="EP1169" s="9"/>
      <c r="EQ1169" s="9"/>
      <c r="ER1169" s="9"/>
      <c r="ES1169" s="9"/>
      <c r="ET1169" s="9"/>
      <c r="EU1169" s="9"/>
      <c r="EV1169" s="9"/>
      <c r="EW1169" s="9"/>
      <c r="EX1169" s="9"/>
      <c r="EY1169" s="9"/>
      <c r="EZ1169" s="9"/>
      <c r="FA1169" s="9"/>
      <c r="FB1169" s="9"/>
      <c r="FC1169" s="9"/>
      <c r="FD1169" s="9"/>
      <c r="FE1169" s="9"/>
      <c r="FF1169" s="9"/>
      <c r="FG1169" s="9"/>
      <c r="FH1169" s="9"/>
      <c r="FI1169" s="9"/>
      <c r="FJ1169" s="9"/>
      <c r="FK1169" s="9"/>
      <c r="FL1169" s="9"/>
      <c r="FM1169" s="9"/>
      <c r="FN1169" s="9"/>
      <c r="FO1169" s="9"/>
      <c r="FP1169" s="9"/>
    </row>
    <row r="1170" customFormat="false" ht="15" hidden="true" customHeight="false" outlineLevel="1" collapsed="false">
      <c r="B1170" s="10" t="s">
        <v>1054</v>
      </c>
      <c r="C1170" s="10" t="s">
        <v>1055</v>
      </c>
      <c r="D1170" s="10" t="s">
        <v>1056</v>
      </c>
      <c r="E1170" s="10" t="s">
        <v>1057</v>
      </c>
      <c r="F1170" s="10" t="s">
        <v>1058</v>
      </c>
      <c r="G1170" s="10" t="s">
        <v>1059</v>
      </c>
      <c r="H1170" s="10" t="s">
        <v>1060</v>
      </c>
      <c r="I1170" s="10" t="s">
        <v>1061</v>
      </c>
      <c r="J1170" s="10" t="s">
        <v>1062</v>
      </c>
      <c r="K1170" s="10" t="s">
        <v>1063</v>
      </c>
      <c r="L1170" s="10" t="s">
        <v>1064</v>
      </c>
      <c r="M1170" s="10" t="s">
        <v>1065</v>
      </c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  <c r="BF1170" s="9"/>
      <c r="BG1170" s="9"/>
      <c r="BH1170" s="9"/>
      <c r="BI1170" s="9"/>
      <c r="BJ1170" s="9"/>
      <c r="BK1170" s="9"/>
      <c r="BL1170" s="9"/>
      <c r="BM1170" s="9"/>
      <c r="BN1170" s="9"/>
      <c r="BO1170" s="9"/>
      <c r="BP1170" s="9"/>
      <c r="BQ1170" s="9"/>
      <c r="BR1170" s="9"/>
      <c r="BS1170" s="9"/>
      <c r="BT1170" s="9"/>
      <c r="BU1170" s="9"/>
      <c r="BV1170" s="9"/>
      <c r="BW1170" s="9"/>
      <c r="BX1170" s="9"/>
      <c r="BY1170" s="9"/>
      <c r="BZ1170" s="9"/>
      <c r="CA1170" s="9"/>
      <c r="CB1170" s="9"/>
      <c r="CC1170" s="9"/>
      <c r="CD1170" s="9"/>
      <c r="CE1170" s="9"/>
      <c r="CF1170" s="9"/>
      <c r="CG1170" s="9"/>
      <c r="CH1170" s="9"/>
      <c r="CI1170" s="9"/>
      <c r="CJ1170" s="9"/>
      <c r="CK1170" s="9"/>
      <c r="CL1170" s="9"/>
      <c r="CM1170" s="9"/>
      <c r="CN1170" s="9"/>
      <c r="CO1170" s="9"/>
      <c r="CP1170" s="9"/>
      <c r="CQ1170" s="9"/>
      <c r="CR1170" s="9"/>
      <c r="CS1170" s="9"/>
      <c r="CT1170" s="9"/>
      <c r="CU1170" s="9"/>
      <c r="CV1170" s="9"/>
      <c r="CW1170" s="9"/>
      <c r="CX1170" s="9"/>
      <c r="CY1170" s="9"/>
      <c r="CZ1170" s="9"/>
      <c r="DA1170" s="9"/>
      <c r="DB1170" s="9"/>
      <c r="DC1170" s="9"/>
      <c r="DD1170" s="9"/>
      <c r="DE1170" s="9"/>
      <c r="DF1170" s="9"/>
      <c r="DG1170" s="9"/>
      <c r="DH1170" s="9"/>
      <c r="DI1170" s="9"/>
      <c r="DJ1170" s="9"/>
      <c r="DK1170" s="9"/>
      <c r="DL1170" s="9"/>
      <c r="DM1170" s="9"/>
      <c r="DN1170" s="9"/>
      <c r="DO1170" s="9"/>
      <c r="DP1170" s="9"/>
      <c r="DQ1170" s="9"/>
      <c r="DR1170" s="9"/>
      <c r="DS1170" s="9"/>
      <c r="DT1170" s="9"/>
      <c r="DU1170" s="9"/>
      <c r="DV1170" s="9"/>
      <c r="DW1170" s="9"/>
      <c r="DX1170" s="9"/>
      <c r="DY1170" s="9"/>
      <c r="DZ1170" s="9"/>
      <c r="EA1170" s="9"/>
      <c r="EB1170" s="9"/>
      <c r="EC1170" s="9"/>
      <c r="ED1170" s="9"/>
      <c r="EE1170" s="9"/>
      <c r="EF1170" s="9"/>
      <c r="EG1170" s="9"/>
      <c r="EH1170" s="9"/>
      <c r="EI1170" s="9"/>
      <c r="EJ1170" s="9"/>
      <c r="EK1170" s="9"/>
      <c r="EL1170" s="9"/>
      <c r="EM1170" s="9"/>
      <c r="EN1170" s="9"/>
      <c r="EO1170" s="9"/>
      <c r="EP1170" s="9"/>
      <c r="EQ1170" s="9"/>
      <c r="ER1170" s="9"/>
      <c r="ES1170" s="9"/>
      <c r="ET1170" s="9"/>
      <c r="EU1170" s="9"/>
      <c r="EV1170" s="9"/>
      <c r="EW1170" s="9"/>
      <c r="EX1170" s="9"/>
      <c r="EY1170" s="9"/>
      <c r="EZ1170" s="9"/>
      <c r="FA1170" s="9"/>
      <c r="FB1170" s="9"/>
      <c r="FC1170" s="9"/>
      <c r="FD1170" s="9"/>
      <c r="FE1170" s="9"/>
      <c r="FF1170" s="9"/>
      <c r="FG1170" s="9"/>
      <c r="FH1170" s="9"/>
      <c r="FI1170" s="9"/>
      <c r="FJ1170" s="9"/>
      <c r="FK1170" s="9"/>
      <c r="FL1170" s="9"/>
      <c r="FM1170" s="9"/>
      <c r="FN1170" s="9"/>
      <c r="FO1170" s="9"/>
      <c r="FP1170" s="9"/>
    </row>
    <row r="1171" customFormat="false" ht="15" hidden="true" customHeight="false" outlineLevel="1" collapsed="false">
      <c r="B1171" s="9" t="s">
        <v>1066</v>
      </c>
      <c r="C1171" s="236" t="n">
        <v>1</v>
      </c>
      <c r="D1171" s="236" t="n">
        <v>0.25</v>
      </c>
      <c r="E1171" s="236" t="n">
        <v>0.5</v>
      </c>
      <c r="F1171" s="236" t="n">
        <v>0.75</v>
      </c>
      <c r="G1171" s="236" t="n">
        <v>1</v>
      </c>
      <c r="H1171" s="236" t="n">
        <v>1.1</v>
      </c>
      <c r="I1171" s="236" t="n">
        <v>1.2</v>
      </c>
      <c r="J1171" s="236" t="n">
        <v>1.3</v>
      </c>
      <c r="K1171" s="236" t="n">
        <v>1.4</v>
      </c>
      <c r="L1171" s="236" t="n">
        <v>1.5</v>
      </c>
      <c r="M1171" s="236" t="n">
        <v>1.6</v>
      </c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  <c r="BF1171" s="9"/>
      <c r="BG1171" s="9"/>
      <c r="BH1171" s="9"/>
      <c r="BI1171" s="9"/>
      <c r="BJ1171" s="9"/>
      <c r="BK1171" s="9"/>
      <c r="BL1171" s="9"/>
      <c r="BM1171" s="9"/>
      <c r="BN1171" s="9"/>
      <c r="BO1171" s="9"/>
      <c r="BP1171" s="9"/>
      <c r="BQ1171" s="9"/>
      <c r="BR1171" s="9"/>
      <c r="BS1171" s="9"/>
      <c r="BT1171" s="9"/>
      <c r="BU1171" s="9"/>
      <c r="BV1171" s="9"/>
      <c r="BW1171" s="9"/>
      <c r="BX1171" s="9"/>
      <c r="BY1171" s="9"/>
      <c r="BZ1171" s="9"/>
      <c r="CA1171" s="9"/>
      <c r="CB1171" s="9"/>
      <c r="CC1171" s="9"/>
      <c r="CD1171" s="9"/>
      <c r="CE1171" s="9"/>
      <c r="CF1171" s="9"/>
      <c r="CG1171" s="9"/>
      <c r="CH1171" s="9"/>
      <c r="CI1171" s="9"/>
      <c r="CJ1171" s="9"/>
      <c r="CK1171" s="9"/>
      <c r="CL1171" s="9"/>
      <c r="CM1171" s="9"/>
      <c r="CN1171" s="9"/>
      <c r="CO1171" s="9"/>
      <c r="CP1171" s="9"/>
      <c r="CQ1171" s="9"/>
      <c r="CR1171" s="9"/>
      <c r="CS1171" s="9"/>
      <c r="CT1171" s="9"/>
      <c r="CU1171" s="9"/>
      <c r="CV1171" s="9"/>
      <c r="CW1171" s="9"/>
      <c r="CX1171" s="9"/>
      <c r="CY1171" s="9"/>
      <c r="CZ1171" s="9"/>
      <c r="DA1171" s="9"/>
      <c r="DB1171" s="9"/>
      <c r="DC1171" s="9"/>
      <c r="DD1171" s="9"/>
      <c r="DE1171" s="9"/>
      <c r="DF1171" s="9"/>
      <c r="DG1171" s="9"/>
      <c r="DH1171" s="9"/>
      <c r="DI1171" s="9"/>
      <c r="DJ1171" s="9"/>
      <c r="DK1171" s="9"/>
      <c r="DL1171" s="9"/>
      <c r="DM1171" s="9"/>
      <c r="DN1171" s="9"/>
      <c r="DO1171" s="9"/>
      <c r="DP1171" s="9"/>
      <c r="DQ1171" s="9"/>
      <c r="DR1171" s="9"/>
      <c r="DS1171" s="9"/>
      <c r="DT1171" s="9"/>
      <c r="DU1171" s="9"/>
      <c r="DV1171" s="9"/>
      <c r="DW1171" s="9"/>
      <c r="DX1171" s="9"/>
      <c r="DY1171" s="9"/>
      <c r="DZ1171" s="9"/>
      <c r="EA1171" s="9"/>
      <c r="EB1171" s="9"/>
      <c r="EC1171" s="9"/>
      <c r="ED1171" s="9"/>
      <c r="EE1171" s="9"/>
      <c r="EF1171" s="9"/>
      <c r="EG1171" s="9"/>
      <c r="EH1171" s="9"/>
      <c r="EI1171" s="9"/>
      <c r="EJ1171" s="9"/>
      <c r="EK1171" s="9"/>
      <c r="EL1171" s="9"/>
      <c r="EM1171" s="9"/>
      <c r="EN1171" s="9"/>
      <c r="EO1171" s="9"/>
      <c r="EP1171" s="9"/>
      <c r="EQ1171" s="9"/>
      <c r="ER1171" s="9"/>
      <c r="ES1171" s="9"/>
      <c r="ET1171" s="9"/>
      <c r="EU1171" s="9"/>
      <c r="EV1171" s="9"/>
      <c r="EW1171" s="9"/>
      <c r="EX1171" s="9"/>
      <c r="EY1171" s="9"/>
      <c r="EZ1171" s="9"/>
      <c r="FA1171" s="9"/>
      <c r="FB1171" s="9"/>
      <c r="FC1171" s="9"/>
      <c r="FD1171" s="9"/>
      <c r="FE1171" s="9"/>
      <c r="FF1171" s="9"/>
      <c r="FG1171" s="9"/>
      <c r="FH1171" s="9"/>
      <c r="FI1171" s="9"/>
      <c r="FJ1171" s="9"/>
      <c r="FK1171" s="9"/>
      <c r="FL1171" s="9"/>
      <c r="FM1171" s="9"/>
      <c r="FN1171" s="9"/>
      <c r="FO1171" s="9"/>
      <c r="FP1171" s="9"/>
    </row>
    <row r="1172" customFormat="false" ht="15" hidden="true" customHeight="false" outlineLevel="1" collapsed="false">
      <c r="B1172" s="30" t="s">
        <v>1067</v>
      </c>
      <c r="C1172" s="193" t="n">
        <f aca="false">C1171*$C$1162</f>
        <v>0.8</v>
      </c>
      <c r="D1172" s="193" t="n">
        <f aca="false">D1171*$C$1162</f>
        <v>0.2</v>
      </c>
      <c r="E1172" s="193" t="n">
        <f aca="false">E1171*$C$1162</f>
        <v>0.4</v>
      </c>
      <c r="F1172" s="193" t="n">
        <f aca="false">F1171*$C$1162</f>
        <v>0.6</v>
      </c>
      <c r="G1172" s="193" t="n">
        <f aca="false">G1171*$C$1162</f>
        <v>0.8</v>
      </c>
      <c r="H1172" s="193" t="n">
        <f aca="false">H1171*$C$1162</f>
        <v>0.88</v>
      </c>
      <c r="I1172" s="193" t="n">
        <f aca="false">I1171*$C$1162</f>
        <v>0.96</v>
      </c>
      <c r="J1172" s="193" t="n">
        <f aca="false">J1171*$C$1162</f>
        <v>1.04</v>
      </c>
      <c r="K1172" s="193" t="n">
        <f aca="false">K1171*$C$1162</f>
        <v>1.12</v>
      </c>
      <c r="L1172" s="193" t="n">
        <f aca="false">L1171*$C$1162</f>
        <v>1.2</v>
      </c>
      <c r="M1172" s="193" t="n">
        <f aca="false">M1171*$C$1162</f>
        <v>1.28</v>
      </c>
      <c r="N1172" s="193" t="n">
        <f aca="false">IF($C$1167="Conservador",0.45,0.7)</f>
        <v>0.7</v>
      </c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  <c r="BF1172" s="9"/>
      <c r="BG1172" s="9"/>
      <c r="BH1172" s="9"/>
      <c r="BI1172" s="9"/>
      <c r="BJ1172" s="9"/>
      <c r="BK1172" s="9"/>
      <c r="BL1172" s="9"/>
      <c r="BM1172" s="9"/>
      <c r="BN1172" s="9"/>
      <c r="BO1172" s="9"/>
      <c r="BP1172" s="9"/>
      <c r="BQ1172" s="9"/>
      <c r="BR1172" s="9"/>
      <c r="BS1172" s="9"/>
      <c r="BT1172" s="9"/>
      <c r="BU1172" s="9"/>
      <c r="BV1172" s="9"/>
      <c r="BW1172" s="9"/>
      <c r="BX1172" s="9"/>
      <c r="BY1172" s="9"/>
      <c r="BZ1172" s="9"/>
      <c r="CA1172" s="9"/>
      <c r="CB1172" s="9"/>
      <c r="CC1172" s="9"/>
      <c r="CD1172" s="9"/>
      <c r="CE1172" s="9"/>
      <c r="CF1172" s="9"/>
      <c r="CG1172" s="9"/>
      <c r="CH1172" s="9"/>
      <c r="CI1172" s="9"/>
      <c r="CJ1172" s="9"/>
      <c r="CK1172" s="9"/>
      <c r="CL1172" s="9"/>
      <c r="CM1172" s="9"/>
      <c r="CN1172" s="9"/>
      <c r="CO1172" s="9"/>
      <c r="CP1172" s="9"/>
      <c r="CQ1172" s="9"/>
      <c r="CR1172" s="9"/>
      <c r="CS1172" s="9"/>
      <c r="CT1172" s="9"/>
      <c r="CU1172" s="9"/>
      <c r="CV1172" s="9"/>
      <c r="CW1172" s="9"/>
      <c r="CX1172" s="9"/>
      <c r="CY1172" s="9"/>
      <c r="CZ1172" s="9"/>
      <c r="DA1172" s="9"/>
      <c r="DB1172" s="9"/>
      <c r="DC1172" s="9"/>
      <c r="DD1172" s="9"/>
      <c r="DE1172" s="9"/>
      <c r="DF1172" s="9"/>
      <c r="DG1172" s="9"/>
      <c r="DH1172" s="9"/>
      <c r="DI1172" s="9"/>
      <c r="DJ1172" s="9"/>
      <c r="DK1172" s="9"/>
      <c r="DL1172" s="9"/>
      <c r="DM1172" s="9"/>
      <c r="DN1172" s="9"/>
      <c r="DO1172" s="9"/>
      <c r="DP1172" s="9"/>
      <c r="DQ1172" s="9"/>
      <c r="DR1172" s="9"/>
      <c r="DS1172" s="9"/>
      <c r="DT1172" s="9"/>
      <c r="DU1172" s="9"/>
      <c r="DV1172" s="9"/>
      <c r="DW1172" s="9"/>
      <c r="DX1172" s="9"/>
      <c r="DY1172" s="9"/>
      <c r="DZ1172" s="9"/>
      <c r="EA1172" s="9"/>
      <c r="EB1172" s="9"/>
      <c r="EC1172" s="9"/>
      <c r="ED1172" s="9"/>
      <c r="EE1172" s="9"/>
      <c r="EF1172" s="9"/>
      <c r="EG1172" s="9"/>
      <c r="EH1172" s="9"/>
      <c r="EI1172" s="9"/>
      <c r="EJ1172" s="9"/>
      <c r="EK1172" s="9"/>
      <c r="EL1172" s="9"/>
      <c r="EM1172" s="9"/>
      <c r="EN1172" s="9"/>
      <c r="EO1172" s="9"/>
      <c r="EP1172" s="9"/>
      <c r="EQ1172" s="9"/>
      <c r="ER1172" s="9"/>
      <c r="ES1172" s="9"/>
      <c r="ET1172" s="9"/>
      <c r="EU1172" s="9"/>
      <c r="EV1172" s="9"/>
      <c r="EW1172" s="9"/>
      <c r="EX1172" s="9"/>
      <c r="EY1172" s="9"/>
      <c r="EZ1172" s="9"/>
      <c r="FA1172" s="9"/>
      <c r="FB1172" s="9"/>
      <c r="FC1172" s="9"/>
      <c r="FD1172" s="9"/>
      <c r="FE1172" s="9"/>
      <c r="FF1172" s="9"/>
      <c r="FG1172" s="9"/>
      <c r="FH1172" s="9"/>
      <c r="FI1172" s="9"/>
      <c r="FJ1172" s="9"/>
      <c r="FK1172" s="9"/>
      <c r="FL1172" s="9"/>
      <c r="FM1172" s="9"/>
      <c r="FN1172" s="9"/>
      <c r="FO1172" s="9"/>
      <c r="FP1172" s="9"/>
    </row>
    <row r="1173" customFormat="false" ht="15" hidden="true" customHeight="false" outlineLevel="1" collapsed="false">
      <c r="B1173" s="9" t="s">
        <v>1068</v>
      </c>
      <c r="C1173" s="28" t="n">
        <f aca="false">C1172*$C$1163</f>
        <v>104.8</v>
      </c>
      <c r="D1173" s="28" t="n">
        <f aca="false">$C$1163*D1172</f>
        <v>26.2</v>
      </c>
      <c r="E1173" s="28" t="n">
        <f aca="false">$C$1163*(E1172-D1172)</f>
        <v>26.2</v>
      </c>
      <c r="F1173" s="28" t="n">
        <f aca="false">$C$1163*(F1172-E1172)</f>
        <v>26.2</v>
      </c>
      <c r="G1173" s="28" t="n">
        <f aca="false">$C$1163*(G1172-F1172)</f>
        <v>26.2</v>
      </c>
      <c r="H1173" s="28" t="n">
        <f aca="false">$C$1163*(H1172-G1172)</f>
        <v>10.48</v>
      </c>
      <c r="I1173" s="28" t="n">
        <f aca="false">$C$1163*(I1172-H1172)</f>
        <v>10.48</v>
      </c>
      <c r="J1173" s="28" t="n">
        <f aca="false">$C$1163*(J1172-I1172)</f>
        <v>10.48</v>
      </c>
      <c r="K1173" s="28" t="n">
        <f aca="false">$C$1163*(K1172-J1172)</f>
        <v>10.48</v>
      </c>
      <c r="L1173" s="28" t="n">
        <f aca="false">$C$1163*(L1172-K1172)</f>
        <v>10.48</v>
      </c>
      <c r="M1173" s="28" t="n">
        <f aca="false">$C$1163*(M1172-L1172)</f>
        <v>10.48</v>
      </c>
      <c r="N1173" s="28" t="n">
        <f aca="false">N1172*$C$1163</f>
        <v>91.7</v>
      </c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  <c r="BF1173" s="9"/>
      <c r="BG1173" s="9"/>
      <c r="BH1173" s="9"/>
      <c r="BI1173" s="9"/>
      <c r="BJ1173" s="9"/>
      <c r="BK1173" s="9"/>
      <c r="BL1173" s="9"/>
      <c r="BM1173" s="9"/>
      <c r="BN1173" s="9"/>
      <c r="BO1173" s="9"/>
      <c r="BP1173" s="9"/>
      <c r="BQ1173" s="9"/>
      <c r="BR1173" s="9"/>
      <c r="BS1173" s="9"/>
      <c r="BT1173" s="9"/>
      <c r="BU1173" s="9"/>
      <c r="BV1173" s="9"/>
      <c r="BW1173" s="9"/>
      <c r="BX1173" s="9"/>
      <c r="BY1173" s="9"/>
      <c r="BZ1173" s="9"/>
      <c r="CA1173" s="9"/>
      <c r="CB1173" s="9"/>
      <c r="CC1173" s="9"/>
      <c r="CD1173" s="9"/>
      <c r="CE1173" s="9"/>
      <c r="CF1173" s="9"/>
      <c r="CG1173" s="9"/>
      <c r="CH1173" s="9"/>
      <c r="CI1173" s="9"/>
      <c r="CJ1173" s="9"/>
      <c r="CK1173" s="9"/>
      <c r="CL1173" s="9"/>
      <c r="CM1173" s="9"/>
      <c r="CN1173" s="9"/>
      <c r="CO1173" s="9"/>
      <c r="CP1173" s="9"/>
      <c r="CQ1173" s="9"/>
      <c r="CR1173" s="9"/>
      <c r="CS1173" s="9"/>
      <c r="CT1173" s="9"/>
      <c r="CU1173" s="9"/>
      <c r="CV1173" s="9"/>
      <c r="CW1173" s="9"/>
      <c r="CX1173" s="9"/>
      <c r="CY1173" s="9"/>
      <c r="CZ1173" s="9"/>
      <c r="DA1173" s="9"/>
      <c r="DB1173" s="9"/>
      <c r="DC1173" s="9"/>
      <c r="DD1173" s="9"/>
      <c r="DE1173" s="9"/>
      <c r="DF1173" s="9"/>
      <c r="DG1173" s="9"/>
      <c r="DH1173" s="9"/>
      <c r="DI1173" s="9"/>
      <c r="DJ1173" s="9"/>
      <c r="DK1173" s="9"/>
      <c r="DL1173" s="9"/>
      <c r="DM1173" s="9"/>
      <c r="DN1173" s="9"/>
      <c r="DO1173" s="9"/>
      <c r="DP1173" s="9"/>
      <c r="DQ1173" s="9"/>
      <c r="DR1173" s="9"/>
      <c r="DS1173" s="9"/>
      <c r="DT1173" s="9"/>
      <c r="DU1173" s="9"/>
      <c r="DV1173" s="9"/>
      <c r="DW1173" s="9"/>
      <c r="DX1173" s="9"/>
      <c r="DY1173" s="9"/>
      <c r="DZ1173" s="9"/>
      <c r="EA1173" s="9"/>
      <c r="EB1173" s="9"/>
      <c r="EC1173" s="9"/>
      <c r="ED1173" s="9"/>
      <c r="EE1173" s="9"/>
      <c r="EF1173" s="9"/>
      <c r="EG1173" s="9"/>
      <c r="EH1173" s="9"/>
      <c r="EI1173" s="9"/>
      <c r="EJ1173" s="9"/>
      <c r="EK1173" s="9"/>
      <c r="EL1173" s="9"/>
      <c r="EM1173" s="9"/>
      <c r="EN1173" s="9"/>
      <c r="EO1173" s="9"/>
      <c r="EP1173" s="9"/>
      <c r="EQ1173" s="9"/>
      <c r="ER1173" s="9"/>
      <c r="ES1173" s="9"/>
      <c r="ET1173" s="9"/>
      <c r="EU1173" s="9"/>
      <c r="EV1173" s="9"/>
      <c r="EW1173" s="9"/>
      <c r="EX1173" s="9"/>
      <c r="EY1173" s="9"/>
      <c r="EZ1173" s="9"/>
      <c r="FA1173" s="9"/>
      <c r="FB1173" s="9"/>
      <c r="FC1173" s="9"/>
      <c r="FD1173" s="9"/>
      <c r="FE1173" s="9"/>
      <c r="FF1173" s="9"/>
      <c r="FG1173" s="9"/>
      <c r="FH1173" s="9"/>
      <c r="FI1173" s="9"/>
      <c r="FJ1173" s="9"/>
      <c r="FK1173" s="9"/>
      <c r="FL1173" s="9"/>
      <c r="FM1173" s="9"/>
      <c r="FN1173" s="9"/>
      <c r="FO1173" s="9"/>
      <c r="FP1173" s="9"/>
    </row>
    <row r="1174" customFormat="false" ht="15" hidden="true" customHeight="false" outlineLevel="1" collapsed="false">
      <c r="B1174" s="36" t="s">
        <v>1069</v>
      </c>
      <c r="C1174" s="55" t="n">
        <f aca="false">C1173</f>
        <v>104.8</v>
      </c>
      <c r="D1174" s="55" t="n">
        <f aca="false">C1174+D1173</f>
        <v>131</v>
      </c>
      <c r="E1174" s="55" t="n">
        <f aca="false">D1174+E1173</f>
        <v>157.2</v>
      </c>
      <c r="F1174" s="55" t="n">
        <f aca="false">E1174+F1173</f>
        <v>183.4</v>
      </c>
      <c r="G1174" s="55" t="n">
        <f aca="false">F1174+G1173</f>
        <v>209.6</v>
      </c>
      <c r="H1174" s="55" t="n">
        <f aca="false">G1174+H1173</f>
        <v>220.08</v>
      </c>
      <c r="I1174" s="55" t="n">
        <f aca="false">H1174+I1173</f>
        <v>230.56</v>
      </c>
      <c r="J1174" s="55" t="n">
        <f aca="false">I1174+J1173</f>
        <v>241.04</v>
      </c>
      <c r="K1174" s="55" t="n">
        <f aca="false">J1174+K1173</f>
        <v>251.52</v>
      </c>
      <c r="L1174" s="55" t="n">
        <f aca="false">K1174+L1173</f>
        <v>262</v>
      </c>
      <c r="M1174" s="55" t="n">
        <f aca="false">L1174+M1173</f>
        <v>272.48</v>
      </c>
      <c r="N1174" s="28" t="n">
        <f aca="false">M1174+N1173</f>
        <v>364.18</v>
      </c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  <c r="BF1174" s="9"/>
      <c r="BG1174" s="9"/>
      <c r="BH1174" s="9"/>
      <c r="BI1174" s="9"/>
      <c r="BJ1174" s="9"/>
      <c r="BK1174" s="9"/>
      <c r="BL1174" s="9"/>
      <c r="BM1174" s="9"/>
      <c r="BN1174" s="9"/>
      <c r="BO1174" s="9"/>
      <c r="BP1174" s="9"/>
      <c r="BQ1174" s="9"/>
      <c r="BR1174" s="9"/>
      <c r="BS1174" s="9"/>
      <c r="BT1174" s="9"/>
      <c r="BU1174" s="9"/>
      <c r="BV1174" s="9"/>
      <c r="BW1174" s="9"/>
      <c r="BX1174" s="9"/>
      <c r="BY1174" s="9"/>
      <c r="BZ1174" s="9"/>
      <c r="CA1174" s="9"/>
      <c r="CB1174" s="9"/>
      <c r="CC1174" s="9"/>
      <c r="CD1174" s="9"/>
      <c r="CE1174" s="9"/>
      <c r="CF1174" s="9"/>
      <c r="CG1174" s="9"/>
      <c r="CH1174" s="9"/>
      <c r="CI1174" s="9"/>
      <c r="CJ1174" s="9"/>
      <c r="CK1174" s="9"/>
      <c r="CL1174" s="9"/>
      <c r="CM1174" s="9"/>
      <c r="CN1174" s="9"/>
      <c r="CO1174" s="9"/>
      <c r="CP1174" s="9"/>
      <c r="CQ1174" s="9"/>
      <c r="CR1174" s="9"/>
      <c r="CS1174" s="9"/>
      <c r="CT1174" s="9"/>
      <c r="CU1174" s="9"/>
      <c r="CV1174" s="9"/>
      <c r="CW1174" s="9"/>
      <c r="CX1174" s="9"/>
      <c r="CY1174" s="9"/>
      <c r="CZ1174" s="9"/>
      <c r="DA1174" s="9"/>
      <c r="DB1174" s="9"/>
      <c r="DC1174" s="9"/>
      <c r="DD1174" s="9"/>
      <c r="DE1174" s="9"/>
      <c r="DF1174" s="9"/>
      <c r="DG1174" s="9"/>
      <c r="DH1174" s="9"/>
      <c r="DI1174" s="9"/>
      <c r="DJ1174" s="9"/>
      <c r="DK1174" s="9"/>
      <c r="DL1174" s="9"/>
      <c r="DM1174" s="9"/>
      <c r="DN1174" s="9"/>
      <c r="DO1174" s="9"/>
      <c r="DP1174" s="9"/>
      <c r="DQ1174" s="9"/>
      <c r="DR1174" s="9"/>
      <c r="DS1174" s="9"/>
      <c r="DT1174" s="9"/>
      <c r="DU1174" s="9"/>
      <c r="DV1174" s="9"/>
      <c r="DW1174" s="9"/>
      <c r="DX1174" s="9"/>
      <c r="DY1174" s="9"/>
      <c r="DZ1174" s="9"/>
      <c r="EA1174" s="9"/>
      <c r="EB1174" s="9"/>
      <c r="EC1174" s="9"/>
      <c r="ED1174" s="9"/>
      <c r="EE1174" s="9"/>
      <c r="EF1174" s="9"/>
      <c r="EG1174" s="9"/>
      <c r="EH1174" s="9"/>
      <c r="EI1174" s="9"/>
      <c r="EJ1174" s="9"/>
      <c r="EK1174" s="9"/>
      <c r="EL1174" s="9"/>
      <c r="EM1174" s="9"/>
      <c r="EN1174" s="9"/>
      <c r="EO1174" s="9"/>
      <c r="EP1174" s="9"/>
      <c r="EQ1174" s="9"/>
      <c r="ER1174" s="9"/>
      <c r="ES1174" s="9"/>
      <c r="ET1174" s="9"/>
      <c r="EU1174" s="9"/>
      <c r="EV1174" s="9"/>
      <c r="EW1174" s="9"/>
      <c r="EX1174" s="9"/>
      <c r="EY1174" s="9"/>
      <c r="EZ1174" s="9"/>
      <c r="FA1174" s="9"/>
      <c r="FB1174" s="9"/>
      <c r="FC1174" s="9"/>
      <c r="FD1174" s="9"/>
      <c r="FE1174" s="9"/>
      <c r="FF1174" s="9"/>
      <c r="FG1174" s="9"/>
      <c r="FH1174" s="9"/>
      <c r="FI1174" s="9"/>
      <c r="FJ1174" s="9"/>
      <c r="FK1174" s="9"/>
      <c r="FL1174" s="9"/>
      <c r="FM1174" s="9"/>
      <c r="FN1174" s="9"/>
      <c r="FO1174" s="9"/>
      <c r="FP1174" s="9"/>
    </row>
    <row r="1175" customFormat="false" ht="15" hidden="true" customHeight="false" outlineLevel="1" collapsed="false">
      <c r="B1175" s="262" t="s">
        <v>1070</v>
      </c>
      <c r="C1175" s="263" t="n">
        <f aca="false">C1174/$C$1165</f>
        <v>5</v>
      </c>
      <c r="D1175" s="263" t="n">
        <f aca="false">D1174/$C$1165</f>
        <v>6.25</v>
      </c>
      <c r="E1175" s="263" t="n">
        <f aca="false">E1174/$C$1165</f>
        <v>7.5</v>
      </c>
      <c r="F1175" s="263" t="n">
        <f aca="false">F1174/$C$1165</f>
        <v>8.75</v>
      </c>
      <c r="G1175" s="263" t="n">
        <f aca="false">G1174/$C$1165</f>
        <v>10</v>
      </c>
      <c r="H1175" s="263" t="n">
        <f aca="false">H1174/$C$1165</f>
        <v>10.5</v>
      </c>
      <c r="I1175" s="263" t="n">
        <f aca="false">I1174/$C$1165</f>
        <v>11</v>
      </c>
      <c r="J1175" s="263" t="n">
        <f aca="false">J1174/$C$1165</f>
        <v>11.5</v>
      </c>
      <c r="K1175" s="263" t="n">
        <f aca="false">K1174/$C$1165</f>
        <v>12</v>
      </c>
      <c r="L1175" s="263" t="n">
        <f aca="false">L1174/$C$1165</f>
        <v>12.5</v>
      </c>
      <c r="M1175" s="263" t="n">
        <f aca="false">M1174/$C$1165</f>
        <v>13</v>
      </c>
      <c r="N1175" s="263" t="n">
        <f aca="false">N1174/$C$1165</f>
        <v>17.375</v>
      </c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  <c r="BF1175" s="9"/>
      <c r="BG1175" s="9"/>
      <c r="BH1175" s="9"/>
      <c r="BI1175" s="9"/>
      <c r="BJ1175" s="9"/>
      <c r="BK1175" s="9"/>
      <c r="BL1175" s="9"/>
      <c r="BM1175" s="9"/>
      <c r="BN1175" s="9"/>
      <c r="BO1175" s="9"/>
      <c r="BP1175" s="9"/>
      <c r="BQ1175" s="9"/>
      <c r="BR1175" s="9"/>
      <c r="BS1175" s="9"/>
      <c r="BT1175" s="9"/>
      <c r="BU1175" s="9"/>
      <c r="BV1175" s="9"/>
      <c r="BW1175" s="9"/>
      <c r="BX1175" s="9"/>
      <c r="BY1175" s="9"/>
      <c r="BZ1175" s="9"/>
      <c r="CA1175" s="9"/>
      <c r="CB1175" s="9"/>
      <c r="CC1175" s="9"/>
      <c r="CD1175" s="9"/>
      <c r="CE1175" s="9"/>
      <c r="CF1175" s="9"/>
      <c r="CG1175" s="9"/>
      <c r="CH1175" s="9"/>
      <c r="CI1175" s="9"/>
      <c r="CJ1175" s="9"/>
      <c r="CK1175" s="9"/>
      <c r="CL1175" s="9"/>
      <c r="CM1175" s="9"/>
      <c r="CN1175" s="9"/>
      <c r="CO1175" s="9"/>
      <c r="CP1175" s="9"/>
      <c r="CQ1175" s="9"/>
      <c r="CR1175" s="9"/>
      <c r="CS1175" s="9"/>
      <c r="CT1175" s="9"/>
      <c r="CU1175" s="9"/>
      <c r="CV1175" s="9"/>
      <c r="CW1175" s="9"/>
      <c r="CX1175" s="9"/>
      <c r="CY1175" s="9"/>
      <c r="CZ1175" s="9"/>
      <c r="DA1175" s="9"/>
      <c r="DB1175" s="9"/>
      <c r="DC1175" s="9"/>
      <c r="DD1175" s="9"/>
      <c r="DE1175" s="9"/>
      <c r="DF1175" s="9"/>
      <c r="DG1175" s="9"/>
      <c r="DH1175" s="9"/>
      <c r="DI1175" s="9"/>
      <c r="DJ1175" s="9"/>
      <c r="DK1175" s="9"/>
      <c r="DL1175" s="9"/>
      <c r="DM1175" s="9"/>
      <c r="DN1175" s="9"/>
      <c r="DO1175" s="9"/>
      <c r="DP1175" s="9"/>
      <c r="DQ1175" s="9"/>
      <c r="DR1175" s="9"/>
      <c r="DS1175" s="9"/>
      <c r="DT1175" s="9"/>
      <c r="DU1175" s="9"/>
      <c r="DV1175" s="9"/>
      <c r="DW1175" s="9"/>
      <c r="DX1175" s="9"/>
      <c r="DY1175" s="9"/>
      <c r="DZ1175" s="9"/>
      <c r="EA1175" s="9"/>
      <c r="EB1175" s="9"/>
      <c r="EC1175" s="9"/>
      <c r="ED1175" s="9"/>
      <c r="EE1175" s="9"/>
      <c r="EF1175" s="9"/>
      <c r="EG1175" s="9"/>
      <c r="EH1175" s="9"/>
      <c r="EI1175" s="9"/>
      <c r="EJ1175" s="9"/>
      <c r="EK1175" s="9"/>
      <c r="EL1175" s="9"/>
      <c r="EM1175" s="9"/>
      <c r="EN1175" s="9"/>
      <c r="EO1175" s="9"/>
      <c r="EP1175" s="9"/>
      <c r="EQ1175" s="9"/>
      <c r="ER1175" s="9"/>
      <c r="ES1175" s="9"/>
      <c r="ET1175" s="9"/>
      <c r="EU1175" s="9"/>
      <c r="EV1175" s="9"/>
      <c r="EW1175" s="9"/>
      <c r="EX1175" s="9"/>
      <c r="EY1175" s="9"/>
      <c r="EZ1175" s="9"/>
      <c r="FA1175" s="9"/>
      <c r="FB1175" s="9"/>
      <c r="FC1175" s="9"/>
      <c r="FD1175" s="9"/>
      <c r="FE1175" s="9"/>
      <c r="FF1175" s="9"/>
      <c r="FG1175" s="9"/>
      <c r="FH1175" s="9"/>
      <c r="FI1175" s="9"/>
      <c r="FJ1175" s="9"/>
      <c r="FK1175" s="9"/>
      <c r="FL1175" s="9"/>
      <c r="FM1175" s="9"/>
      <c r="FN1175" s="9"/>
      <c r="FO1175" s="9"/>
      <c r="FP1175" s="9"/>
    </row>
    <row r="1178" customFormat="false" ht="15" hidden="false" customHeight="false" outlineLevel="0" collapsed="false">
      <c r="B1178" s="264" t="s">
        <v>1071</v>
      </c>
    </row>
    <row r="1179" customFormat="false" ht="15" hidden="false" customHeight="false" outlineLevel="0" collapsed="false">
      <c r="B1179" s="3" t="s">
        <v>1072</v>
      </c>
    </row>
    <row r="1180" customFormat="false" ht="63.75" hidden="false" customHeight="true" outlineLevel="0" collapsed="false">
      <c r="B1180" s="265" t="s">
        <v>1073</v>
      </c>
      <c r="C1180" s="265" t="s">
        <v>1074</v>
      </c>
      <c r="D1180" s="265" t="s">
        <v>1075</v>
      </c>
      <c r="E1180" s="265" t="s">
        <v>1076</v>
      </c>
      <c r="F1180" s="265" t="s">
        <v>1077</v>
      </c>
      <c r="G1180" s="265" t="s">
        <v>1078</v>
      </c>
      <c r="H1180" s="265" t="s">
        <v>1079</v>
      </c>
      <c r="I1180" s="265" t="s">
        <v>1080</v>
      </c>
      <c r="J1180" s="265" t="s">
        <v>1081</v>
      </c>
    </row>
    <row r="1181" customFormat="false" ht="15" hidden="false" customHeight="false" outlineLevel="0" collapsed="false">
      <c r="B1181" s="158" t="n">
        <f aca="false">DATE(2025,1,1)</f>
        <v>45658</v>
      </c>
      <c r="C1181" s="117" t="n">
        <v>27</v>
      </c>
      <c r="D1181" s="117" t="n">
        <v>0</v>
      </c>
      <c r="E1181" s="122" t="n">
        <f aca="false">C1181+D1181</f>
        <v>27</v>
      </c>
      <c r="F1181" s="66" t="n">
        <f aca="false">IFERROR(D1181/E1181,0)</f>
        <v>0</v>
      </c>
      <c r="G1181" s="122" t="n">
        <f aca="false">IFERROR(INDEX($AC$925:$FP$925,MATCH($B1181,$AC$36:$FP$36,0)),0)</f>
        <v>45.36</v>
      </c>
      <c r="H1181" s="122" t="n">
        <f aca="false">IFERROR(INDEX($AC$926:$FP$926,MATCH($B1181,$AC$36:$FP$36,0)),0)</f>
        <v>0</v>
      </c>
      <c r="I1181" s="66" t="n">
        <f aca="false">IFERROR(H1181/(G1181+H1181),0)</f>
        <v>0</v>
      </c>
      <c r="J1181" s="114" t="n">
        <f aca="false">IFERROR(C1181/G1181,0)</f>
        <v>0.595238095238095</v>
      </c>
    </row>
    <row r="1182" customFormat="false" ht="15" hidden="false" customHeight="false" outlineLevel="0" collapsed="false">
      <c r="B1182" s="158" t="n">
        <f aca="false">DATE(2025,2,1)</f>
        <v>45689</v>
      </c>
      <c r="C1182" s="117" t="n">
        <v>82</v>
      </c>
      <c r="D1182" s="117" t="n">
        <v>5</v>
      </c>
      <c r="E1182" s="122" t="n">
        <f aca="false">C1182+D1182</f>
        <v>87</v>
      </c>
      <c r="F1182" s="66" t="n">
        <f aca="false">IFERROR(D1182/E1182,0)</f>
        <v>0.0574712643678161</v>
      </c>
      <c r="G1182" s="122" t="n">
        <f aca="false">IFERROR(INDEX($AC$925:$FP$925,MATCH($B1182,$AC$36:$FP$36,0)),0)</f>
        <v>50.184</v>
      </c>
      <c r="H1182" s="122" t="n">
        <f aca="false">IFERROR(INDEX($AC$926:$FP$926,MATCH($B1182,$AC$36:$FP$36,0)),0)</f>
        <v>5.80608</v>
      </c>
      <c r="I1182" s="66" t="n">
        <f aca="false">IFERROR(H1182/(G1182+H1182),0)</f>
        <v>0.103698369425441</v>
      </c>
      <c r="J1182" s="114" t="n">
        <f aca="false">IFERROR(C1182/G1182,0)</f>
        <v>1.63398692810458</v>
      </c>
    </row>
    <row r="1183" customFormat="false" ht="15" hidden="false" customHeight="false" outlineLevel="0" collapsed="false">
      <c r="B1183" s="158" t="n">
        <f aca="false">DATE(2025,3,1)</f>
        <v>45717</v>
      </c>
      <c r="C1183" s="117" t="n">
        <v>131</v>
      </c>
      <c r="D1183" s="117" t="n">
        <v>8</v>
      </c>
      <c r="E1183" s="122" t="n">
        <f aca="false">C1183+D1183</f>
        <v>139</v>
      </c>
      <c r="F1183" s="66" t="n">
        <f aca="false">IFERROR(D1183/E1183,0)</f>
        <v>0.0575539568345324</v>
      </c>
      <c r="G1183" s="122" t="n">
        <f aca="false">IFERROR(INDEX($AC$925:$FP$925,MATCH($B1183,$AC$36:$FP$36,0)),0)</f>
        <v>77.604</v>
      </c>
      <c r="H1183" s="122" t="n">
        <f aca="false">IFERROR(INDEX($AC$926:$FP$926,MATCH($B1183,$AC$36:$FP$36,0)),0)</f>
        <v>7.221888</v>
      </c>
      <c r="I1183" s="66" t="n">
        <f aca="false">IFERROR(H1183/(G1183+H1183),0)</f>
        <v>0.0851377824656548</v>
      </c>
      <c r="J1183" s="114" t="n">
        <f aca="false">IFERROR(C1183/G1183,0)</f>
        <v>1.68805731663316</v>
      </c>
    </row>
    <row r="1184" customFormat="false" ht="15" hidden="false" customHeight="false" outlineLevel="0" collapsed="false">
      <c r="B1184" s="158" t="n">
        <f aca="false">DATE(2025,4,1)</f>
        <v>45748</v>
      </c>
      <c r="C1184" s="117" t="n">
        <v>139</v>
      </c>
      <c r="D1184" s="117" t="n">
        <v>6</v>
      </c>
      <c r="E1184" s="122" t="n">
        <f aca="false">C1184+D1184</f>
        <v>145</v>
      </c>
      <c r="F1184" s="66" t="n">
        <f aca="false">IFERROR(D1184/E1184,0)</f>
        <v>0.0413793103448276</v>
      </c>
      <c r="G1184" s="122" t="n">
        <f aca="false">IFERROR(INDEX($AC$925:$FP$925,MATCH($B1184,$AC$36:$FP$36,0)),0)</f>
        <v>82.17</v>
      </c>
      <c r="H1184" s="122" t="n">
        <f aca="false">IFERROR(INDEX($AC$926:$FP$926,MATCH($B1184,$AC$36:$FP$36,0)),0)</f>
        <v>11.8326144</v>
      </c>
      <c r="I1184" s="66" t="n">
        <f aca="false">IFERROR(H1184/(G1184+H1184),0)</f>
        <v>0.125875375653382</v>
      </c>
      <c r="J1184" s="114" t="n">
        <f aca="false">IFERROR(C1184/G1184,0)</f>
        <v>1.69161494462699</v>
      </c>
    </row>
    <row r="1185" customFormat="false" ht="15" hidden="false" customHeight="false" outlineLevel="0" collapsed="false">
      <c r="B1185" s="158" t="n">
        <f aca="false">DATE(2025,5,1)</f>
        <v>45778</v>
      </c>
      <c r="C1185" s="117" t="n">
        <v>230</v>
      </c>
      <c r="D1185" s="117" t="n">
        <v>13</v>
      </c>
      <c r="E1185" s="122" t="n">
        <f aca="false">C1185+D1185</f>
        <v>243</v>
      </c>
      <c r="F1185" s="66" t="n">
        <f aca="false">IFERROR(D1185/E1185,0)</f>
        <v>0.0534979423868313</v>
      </c>
      <c r="G1185" s="122" t="n">
        <f aca="false">IFERROR(INDEX($AC$925:$FP$925,MATCH($B1185,$AC$36:$FP$36,0)),0)</f>
        <v>104.834</v>
      </c>
      <c r="H1185" s="122" t="n">
        <f aca="false">IFERROR(INDEX($AC$926:$FP$926,MATCH($B1185,$AC$36:$FP$36,0)),0)</f>
        <v>13.58832</v>
      </c>
      <c r="I1185" s="66" t="n">
        <f aca="false">IFERROR(H1185/(G1185+H1185),0)</f>
        <v>0.114744585311283</v>
      </c>
      <c r="J1185" s="114" t="n">
        <f aca="false">IFERROR(C1185/G1185,0)</f>
        <v>2.19394471259324</v>
      </c>
    </row>
    <row r="1186" customFormat="false" ht="15" hidden="false" customHeight="false" outlineLevel="0" collapsed="false">
      <c r="B1186" s="158" t="n">
        <f aca="false">DATE(2025,6,1)</f>
        <v>45809</v>
      </c>
      <c r="C1186" s="117" t="n">
        <v>146</v>
      </c>
      <c r="D1186" s="117" t="n">
        <v>13</v>
      </c>
      <c r="E1186" s="122" t="n">
        <f aca="false">C1186+D1186</f>
        <v>159</v>
      </c>
      <c r="F1186" s="66" t="n">
        <f aca="false">IFERROR(D1186/E1186,0)</f>
        <v>0.0817610062893082</v>
      </c>
      <c r="G1186" s="122" t="n">
        <f aca="false">IFERROR(INDEX($AC$925:$FP$925,MATCH($B1186,$AC$36:$FP$36,0)),0)</f>
        <v>100.84</v>
      </c>
      <c r="H1186" s="122" t="n">
        <f aca="false">IFERROR(INDEX($AC$926:$FP$926,MATCH($B1186,$AC$36:$FP$36,0)),0)</f>
        <v>17.6810848</v>
      </c>
      <c r="I1186" s="66" t="n">
        <f aca="false">IFERROR(H1186/(G1186+H1186),0)</f>
        <v>0.149180922785479</v>
      </c>
      <c r="J1186" s="114" t="n">
        <f aca="false">IFERROR(C1186/G1186,0)</f>
        <v>1.44783815946053</v>
      </c>
    </row>
    <row r="1187" customFormat="false" ht="15" hidden="false" customHeight="false" outlineLevel="0" collapsed="false">
      <c r="B1187" s="158" t="n">
        <f aca="false">DATE(2025,7,1)</f>
        <v>45839</v>
      </c>
      <c r="C1187" s="117" t="n">
        <v>265</v>
      </c>
      <c r="D1187" s="117" t="n">
        <v>20</v>
      </c>
      <c r="E1187" s="122" t="n">
        <f aca="false">C1187+D1187</f>
        <v>285</v>
      </c>
      <c r="F1187" s="66" t="n">
        <f aca="false">IFERROR(D1187/E1187,0)</f>
        <v>0.0701754385964912</v>
      </c>
      <c r="G1187" s="122" t="n">
        <f aca="false">IFERROR(INDEX($AC$925:$FP$925,MATCH($B1187,$AC$36:$FP$36,0)),0)</f>
        <v>118.566</v>
      </c>
      <c r="H1187" s="122" t="n">
        <f aca="false">IFERROR(INDEX($AC$926:$FP$926,MATCH($B1187,$AC$36:$FP$36,0)),0)</f>
        <v>18.286032</v>
      </c>
      <c r="I1187" s="66" t="n">
        <f aca="false">IFERROR(H1187/(G1187+H1187),0)</f>
        <v>0.13361900245661</v>
      </c>
      <c r="J1187" s="114" t="n">
        <f aca="false">IFERROR(C1187/G1187,0)</f>
        <v>2.23504208626419</v>
      </c>
    </row>
    <row r="1188" customFormat="false" ht="15" hidden="false" customHeight="false" outlineLevel="0" collapsed="false">
      <c r="B1188" s="158" t="n">
        <f aca="false">DATE(2025,8,1)</f>
        <v>45870</v>
      </c>
      <c r="C1188" s="117" t="n">
        <v>279</v>
      </c>
      <c r="D1188" s="117" t="n">
        <v>30</v>
      </c>
      <c r="E1188" s="122" t="n">
        <f aca="false">C1188+D1188</f>
        <v>309</v>
      </c>
      <c r="F1188" s="66" t="n">
        <f aca="false">IFERROR(D1188/E1188,0)</f>
        <v>0.0970873786407767</v>
      </c>
      <c r="G1188" s="122" t="n">
        <f aca="false">IFERROR(INDEX($AC$925:$FP$925,MATCH($B1188,$AC$36:$FP$36,0)),0)</f>
        <v>224.502</v>
      </c>
      <c r="H1188" s="122" t="n">
        <f aca="false">IFERROR(INDEX($AC$926:$FP$926,MATCH($B1188,$AC$36:$FP$36,0)),0)</f>
        <v>22.0629312</v>
      </c>
      <c r="I1188" s="66" t="n">
        <f aca="false">IFERROR(H1188/(G1188+H1188),0)</f>
        <v>0.0894812214073694</v>
      </c>
      <c r="J1188" s="114" t="n">
        <f aca="false">IFERROR(C1188/G1188,0)</f>
        <v>1.24275062137531</v>
      </c>
    </row>
    <row r="1189" customFormat="false" ht="15" hidden="false" customHeight="false" outlineLevel="0" collapsed="false">
      <c r="B1189" s="158" t="n">
        <f aca="false">DATE(2025,9,1)</f>
        <v>45901</v>
      </c>
      <c r="C1189" s="117" t="n">
        <v>307</v>
      </c>
      <c r="D1189" s="117" t="n">
        <v>23</v>
      </c>
      <c r="E1189" s="122" t="n">
        <f aca="false">C1189+D1189</f>
        <v>330</v>
      </c>
      <c r="F1189" s="66" t="n">
        <f aca="false">IFERROR(D1189/E1189,0)</f>
        <v>0.0696969696969697</v>
      </c>
      <c r="G1189" s="122" t="n">
        <f aca="false">IFERROR(INDEX($AC$925:$FP$925,MATCH($B1189,$AC$36:$FP$36,0)),0)</f>
        <v>199.056</v>
      </c>
      <c r="H1189" s="122" t="n">
        <f aca="false">IFERROR(INDEX($AC$926:$FP$926,MATCH($B1189,$AC$36:$FP$36,0)),0)</f>
        <v>36.605712</v>
      </c>
      <c r="I1189" s="66" t="n">
        <f aca="false">IFERROR(H1189/(G1189+H1189),0)</f>
        <v>0.155331605161215</v>
      </c>
      <c r="J1189" s="114" t="n">
        <f aca="false">IFERROR(C1189/G1189,0)</f>
        <v>1.54227955952094</v>
      </c>
    </row>
    <row r="1190" customFormat="false" ht="15" hidden="false" customHeight="false" outlineLevel="0" collapsed="false">
      <c r="B1190" s="158" t="n">
        <f aca="false">DATE(2025,10,1)</f>
        <v>45931</v>
      </c>
      <c r="C1190" s="117" t="n">
        <v>312</v>
      </c>
      <c r="D1190" s="117" t="n">
        <v>27</v>
      </c>
      <c r="E1190" s="122" t="n">
        <f aca="false">C1190+D1190</f>
        <v>339</v>
      </c>
      <c r="F1190" s="66" t="n">
        <f aca="false">IFERROR(D1190/E1190,0)</f>
        <v>0.079646017699115</v>
      </c>
      <c r="G1190" s="122" t="n">
        <f aca="false">IFERROR(INDEX($AC$925:$FP$925,MATCH($B1190,$AC$36:$FP$36,0)),0)</f>
        <v>175.44</v>
      </c>
      <c r="H1190" s="122" t="n">
        <f aca="false">IFERROR(INDEX($AC$926:$FP$926,MATCH($B1190,$AC$36:$FP$36,0)),0)</f>
        <v>36.6958592</v>
      </c>
      <c r="I1190" s="66" t="n">
        <f aca="false">IFERROR(H1190/(G1190+H1190),0)</f>
        <v>0.172982820247299</v>
      </c>
      <c r="J1190" s="114" t="n">
        <f aca="false">IFERROR(C1190/G1190,0)</f>
        <v>1.77838577291382</v>
      </c>
    </row>
    <row r="1191" customFormat="false" ht="15" hidden="false" customHeight="false" outlineLevel="0" collapsed="false">
      <c r="B1191" s="158" t="n">
        <f aca="false">DATE(2025,11,1)</f>
        <v>45962</v>
      </c>
      <c r="C1191" s="117" t="n">
        <v>224</v>
      </c>
      <c r="D1191" s="117" t="n">
        <v>33</v>
      </c>
      <c r="E1191" s="122" t="n">
        <f aca="false">C1191+D1191</f>
        <v>257</v>
      </c>
      <c r="F1191" s="66" t="n">
        <f aca="false">IFERROR(D1191/E1191,0)</f>
        <v>0.1284046692607</v>
      </c>
      <c r="G1191" s="122" t="n">
        <f aca="false">IFERROR(INDEX($AC$925:$FP$925,MATCH($B1191,$AC$36:$FP$36,0)),0)</f>
        <v>142.956</v>
      </c>
      <c r="H1191" s="122" t="n">
        <f aca="false">IFERROR(INDEX($AC$926:$FP$926,MATCH($B1191,$AC$36:$FP$36,0)),0)</f>
        <v>36.944784</v>
      </c>
      <c r="I1191" s="66" t="n">
        <f aca="false">IFERROR(H1191/(G1191+H1191),0)</f>
        <v>0.205361995531937</v>
      </c>
      <c r="J1191" s="114" t="n">
        <f aca="false">IFERROR(C1191/G1191,0)</f>
        <v>1.56691569433952</v>
      </c>
    </row>
    <row r="1192" customFormat="false" ht="15" hidden="false" customHeight="false" outlineLevel="0" collapsed="false">
      <c r="B1192" s="158" t="n">
        <f aca="false">DATE(2025,12,1)</f>
        <v>45992</v>
      </c>
      <c r="C1192" s="117" t="n">
        <v>268</v>
      </c>
      <c r="D1192" s="117" t="n">
        <v>56</v>
      </c>
      <c r="E1192" s="122" t="n">
        <f aca="false">C1192+D1192</f>
        <v>324</v>
      </c>
      <c r="F1192" s="66" t="n">
        <f aca="false">IFERROR(D1192/E1192,0)</f>
        <v>0.17283950617284</v>
      </c>
      <c r="G1192" s="122" t="n">
        <f aca="false">IFERROR(INDEX($AC$925:$FP$925,MATCH($B1192,$AC$36:$FP$36,0)),0)</f>
        <v>264.537</v>
      </c>
      <c r="H1192" s="122" t="n">
        <f aca="false">IFERROR(INDEX($AC$926:$FP$926,MATCH($B1192,$AC$36:$FP$36,0)),0)</f>
        <v>34.1860064</v>
      </c>
      <c r="I1192" s="66" t="n">
        <f aca="false">IFERROR(H1192/(G1192+H1192),0)</f>
        <v>0.11444048723259</v>
      </c>
      <c r="J1192" s="114" t="n">
        <f aca="false">IFERROR(C1192/G1192,0)</f>
        <v>1.01309079637253</v>
      </c>
    </row>
    <row r="1193" customFormat="false" ht="15" hidden="false" customHeight="false" outlineLevel="0" collapsed="false">
      <c r="B1193" s="158" t="n">
        <f aca="false">DATE(2026,1,1)</f>
        <v>46023</v>
      </c>
      <c r="C1193" s="117" t="n">
        <v>286</v>
      </c>
      <c r="D1193" s="117" t="n">
        <v>46</v>
      </c>
      <c r="E1193" s="122" t="n">
        <f aca="false">C1193+D1193</f>
        <v>332</v>
      </c>
      <c r="F1193" s="66" t="n">
        <f aca="false">IFERROR(D1193/E1193,0)</f>
        <v>0.13855421686747</v>
      </c>
      <c r="G1193" s="122" t="n">
        <f aca="false">IFERROR(INDEX($AC$925:$FP$925,MATCH($B1193,$AC$36:$FP$36,0)),0)</f>
        <v>306.936</v>
      </c>
      <c r="H1193" s="122" t="n">
        <f aca="false">IFERROR(INDEX($AC$926:$FP$926,MATCH($B1193,$AC$36:$FP$36,0)),0)</f>
        <v>51.2445568</v>
      </c>
      <c r="I1193" s="66" t="n">
        <f aca="false">IFERROR(H1193/(G1193+H1193),0)</f>
        <v>0.143069063429408</v>
      </c>
      <c r="J1193" s="114" t="n">
        <f aca="false">IFERROR(C1193/G1193,0)</f>
        <v>0.931790340657336</v>
      </c>
    </row>
    <row r="1194" customFormat="false" ht="15" hidden="false" customHeight="false" outlineLevel="0" collapsed="false">
      <c r="B1194" s="158" t="n">
        <f aca="false">DATE(2026,2,1)</f>
        <v>46054</v>
      </c>
      <c r="C1194" s="117" t="n">
        <v>330</v>
      </c>
      <c r="D1194" s="117" t="n">
        <v>65</v>
      </c>
      <c r="E1194" s="122" t="n">
        <f aca="false">C1194+D1194</f>
        <v>395</v>
      </c>
      <c r="F1194" s="66" t="n">
        <f aca="false">IFERROR(D1194/E1194,0)</f>
        <v>0.164556962025316</v>
      </c>
      <c r="G1194" s="122" t="n">
        <f aca="false">IFERROR(INDEX($AC$925:$FP$925,MATCH($B1194,$AC$36:$FP$36,0)),0)</f>
        <v>245.836</v>
      </c>
      <c r="H1194" s="122" t="n">
        <f aca="false">IFERROR(INDEX($AC$926:$FP$926,MATCH($B1194,$AC$36:$FP$36,0)),0)</f>
        <v>60.4237488</v>
      </c>
      <c r="I1194" s="66" t="n">
        <f aca="false">IFERROR(H1194/(G1194+H1194),0)</f>
        <v>0.197295756418383</v>
      </c>
      <c r="J1194" s="114" t="n">
        <f aca="false">IFERROR(C1194/G1194,0)</f>
        <v>1.34235832018093</v>
      </c>
    </row>
    <row r="1195" customFormat="false" ht="15" hidden="false" customHeight="false" outlineLevel="0" collapsed="false">
      <c r="B1195" s="158" t="n">
        <f aca="false">DATE(2026,3,1)</f>
        <v>46082</v>
      </c>
      <c r="C1195" s="117" t="n">
        <v>245</v>
      </c>
      <c r="D1195" s="117" t="n">
        <v>92</v>
      </c>
      <c r="E1195" s="122" t="n">
        <f aca="false">C1195+D1195</f>
        <v>337</v>
      </c>
      <c r="F1195" s="66" t="n">
        <f aca="false">IFERROR(D1195/E1195,0)</f>
        <v>0.27299703264095</v>
      </c>
      <c r="G1195" s="122" t="n">
        <f aca="false">IFERROR(INDEX($AC$925:$FP$925,MATCH($B1195,$AC$36:$FP$36,0)),0)</f>
        <v>367.14</v>
      </c>
      <c r="H1195" s="122" t="n">
        <f aca="false">IFERROR(INDEX($AC$926:$FP$926,MATCH($B1195,$AC$36:$FP$36,0)),0)</f>
        <v>58.8868128</v>
      </c>
      <c r="I1195" s="66" t="n">
        <f aca="false">IFERROR(H1195/(G1195+H1195),0)</f>
        <v>0.138223255041097</v>
      </c>
      <c r="J1195" s="114" t="n">
        <f aca="false">IFERROR(C1195/G1195,0)</f>
        <v>0.667320368251893</v>
      </c>
    </row>
    <row r="1196" customFormat="false" ht="15" hidden="false" customHeight="false" outlineLevel="0" collapsed="false">
      <c r="B1196" s="158" t="n">
        <f aca="false">DATE(2026,4,1)</f>
        <v>46113</v>
      </c>
      <c r="C1196" s="117" t="n">
        <v>325</v>
      </c>
      <c r="D1196" s="117" t="n">
        <v>77</v>
      </c>
      <c r="E1196" s="122" t="n">
        <f aca="false">C1196+D1196</f>
        <v>402</v>
      </c>
      <c r="F1196" s="66" t="n">
        <f aca="false">IFERROR(D1196/E1196,0)</f>
        <v>0.191542288557214</v>
      </c>
      <c r="G1196" s="122" t="n">
        <f aca="false">IFERROR(INDEX($AC$925:$FP$925,MATCH($B1196,$AC$36:$FP$36,0)),0)</f>
        <v>392.326</v>
      </c>
      <c r="H1196" s="122" t="n">
        <f aca="false">IFERROR(INDEX($AC$926:$FP$926,MATCH($B1196,$AC$36:$FP$36,0)),0)</f>
        <v>77.3443328</v>
      </c>
      <c r="I1196" s="66" t="n">
        <f aca="false">IFERROR(H1196/(G1196+H1196),0)</f>
        <v>0.164677918528304</v>
      </c>
      <c r="J1196" s="114" t="n">
        <f aca="false">IFERROR(C1196/G1196,0)</f>
        <v>0.828392714222356</v>
      </c>
    </row>
    <row r="1197" customFormat="false" ht="15" hidden="false" customHeight="false" outlineLevel="0" collapsed="false">
      <c r="B1197" s="158" t="n">
        <f aca="false">DATE(2026,5,1)</f>
        <v>46143</v>
      </c>
      <c r="C1197" s="117" t="n">
        <v>294</v>
      </c>
      <c r="D1197" s="117" t="n">
        <v>91</v>
      </c>
      <c r="E1197" s="122" t="n">
        <f aca="false">C1197+D1197</f>
        <v>385</v>
      </c>
      <c r="F1197" s="66" t="n">
        <f aca="false">IFERROR(D1197/E1197,0)</f>
        <v>0.236363636363636</v>
      </c>
      <c r="G1197" s="122" t="n">
        <f aca="false">IFERROR(INDEX($AC$925:$FP$925,MATCH($B1197,$AC$36:$FP$36,0)),0)</f>
        <v>360.3824</v>
      </c>
      <c r="H1197" s="122" t="n">
        <f aca="false">IFERROR(INDEX($AC$926:$FP$926,MATCH($B1197,$AC$36:$FP$36,0)),0)</f>
        <v>85.2057952</v>
      </c>
      <c r="I1197" s="66" t="n">
        <f aca="false">IFERROR(H1197/(G1197+H1197),0)</f>
        <v>0.191220943727551</v>
      </c>
      <c r="J1197" s="114" t="n">
        <f aca="false">IFERROR(C1197/G1197,0)</f>
        <v>0.815800105665537</v>
      </c>
    </row>
    <row r="1198" customFormat="false" ht="15" hidden="false" customHeight="false" outlineLevel="0" collapsed="false">
      <c r="B1198" s="158" t="n">
        <f aca="false">DATE(2026,6,1)</f>
        <v>46174</v>
      </c>
      <c r="C1198" s="117" t="n">
        <v>213</v>
      </c>
      <c r="D1198" s="117" t="n">
        <v>99</v>
      </c>
      <c r="E1198" s="122" t="n">
        <f aca="false">C1198+D1198</f>
        <v>312</v>
      </c>
      <c r="F1198" s="66" t="n">
        <f aca="false">IFERROR(D1198/E1198,0)</f>
        <v>0.317307692307692</v>
      </c>
      <c r="G1198" s="122" t="n">
        <f aca="false">IFERROR(INDEX($AC$925:$FP$925,MATCH($B1198,$AC$36:$FP$36,0)),0)</f>
        <v>334.224</v>
      </c>
      <c r="H1198" s="122" t="n">
        <f aca="false">IFERROR(INDEX($AC$926:$FP$926,MATCH($B1198,$AC$36:$FP$36,0)),0)</f>
        <v>87.9494064</v>
      </c>
      <c r="I1198" s="66" t="n">
        <f aca="false">IFERROR(H1198/(G1198+H1198),0)</f>
        <v>0.208325311511142</v>
      </c>
      <c r="J1198" s="114" t="n">
        <f aca="false">IFERROR(C1198/G1198,0)</f>
        <v>0.637297142036479</v>
      </c>
    </row>
    <row r="1199" customFormat="false" ht="15" hidden="false" customHeight="false" outlineLevel="0" collapsed="false">
      <c r="B1199" s="158" t="n">
        <f aca="false">DATE(2026,7,1)</f>
        <v>46204</v>
      </c>
      <c r="C1199" s="117" t="n">
        <v>338</v>
      </c>
      <c r="D1199" s="117" t="n">
        <v>86</v>
      </c>
      <c r="E1199" s="122" t="n">
        <f aca="false">C1199+D1199</f>
        <v>424</v>
      </c>
      <c r="F1199" s="66" t="n">
        <f aca="false">IFERROR(D1199/E1199,0)</f>
        <v>0.202830188679245</v>
      </c>
      <c r="G1199" s="122" t="n">
        <f aca="false">IFERROR(INDEX($AC$925:$FP$925,MATCH($B1199,$AC$36:$FP$36,0)),0)</f>
        <v>364.4928</v>
      </c>
      <c r="H1199" s="122" t="n">
        <f aca="false">IFERROR(INDEX($AC$926:$FP$926,MATCH($B1199,$AC$36:$FP$36,0)),0)</f>
        <v>89.56784544</v>
      </c>
      <c r="I1199" s="66" t="n">
        <f aca="false">IFERROR(H1199/(G1199+H1199),0)</f>
        <v>0.197259653175196</v>
      </c>
      <c r="J1199" s="114" t="n">
        <f aca="false">IFERROR(C1199/G1199,0)</f>
        <v>0.927315985391207</v>
      </c>
    </row>
    <row r="1200" customFormat="false" ht="15" hidden="false" customHeight="false" outlineLevel="0" collapsed="false">
      <c r="B1200" s="158" t="n">
        <f aca="false">DATE(2026,8,1)</f>
        <v>46235</v>
      </c>
      <c r="C1200" s="117" t="n">
        <v>398</v>
      </c>
      <c r="D1200" s="117" t="n">
        <v>91</v>
      </c>
      <c r="E1200" s="122" t="n">
        <f aca="false">C1200+D1200</f>
        <v>489</v>
      </c>
      <c r="F1200" s="66" t="n">
        <f aca="false">IFERROR(D1200/E1200,0)</f>
        <v>0.186094069529652</v>
      </c>
      <c r="G1200" s="122" t="n">
        <f aca="false">IFERROR(INDEX($AC$925:$FP$925,MATCH($B1200,$AC$36:$FP$36,0)),0)</f>
        <v>674.6136</v>
      </c>
      <c r="H1200" s="122" t="n">
        <f aca="false">IFERROR(INDEX($AC$926:$FP$926,MATCH($B1200,$AC$36:$FP$36,0)),0)</f>
        <v>99.94560816</v>
      </c>
      <c r="I1200" s="66" t="n">
        <f aca="false">IFERROR(H1200/(G1200+H1200),0)</f>
        <v>0.129035465729502</v>
      </c>
      <c r="J1200" s="114" t="n">
        <f aca="false">IFERROR(C1200/G1200,0)</f>
        <v>0.589967353163352</v>
      </c>
    </row>
    <row r="1201" customFormat="false" ht="15" hidden="false" customHeight="false" outlineLevel="0" collapsed="false">
      <c r="B1201" s="158" t="n">
        <f aca="false">DATE(2026,9,1)</f>
        <v>46266</v>
      </c>
      <c r="C1201" s="117" t="n">
        <v>275</v>
      </c>
      <c r="D1201" s="117" t="n">
        <v>123</v>
      </c>
      <c r="E1201" s="122" t="n">
        <f aca="false">C1201+D1201</f>
        <v>398</v>
      </c>
      <c r="F1201" s="66" t="n">
        <f aca="false">IFERROR(D1201/E1201,0)</f>
        <v>0.309045226130653</v>
      </c>
      <c r="G1201" s="122" t="n">
        <f aca="false">IFERROR(INDEX($AC$925:$FP$925,MATCH($B1201,$AC$36:$FP$36,0)),0)</f>
        <v>564.6648</v>
      </c>
      <c r="H1201" s="122" t="n">
        <f aca="false">IFERROR(INDEX($AC$926:$FP$926,MATCH($B1201,$AC$36:$FP$36,0)),0)</f>
        <v>145.5365476</v>
      </c>
      <c r="I1201" s="66" t="n">
        <f aca="false">IFERROR(H1201/(G1201+H1201),0)</f>
        <v>0.204922939236619</v>
      </c>
      <c r="J1201" s="114" t="n">
        <f aca="false">IFERROR(C1201/G1201,0)</f>
        <v>0.487014596978597</v>
      </c>
    </row>
    <row r="1202" customFormat="false" ht="15" hidden="false" customHeight="false" outlineLevel="0" collapsed="false">
      <c r="B1202" s="266" t="n">
        <f aca="false">DATE(2026,10,1)</f>
        <v>46296</v>
      </c>
      <c r="C1202" s="267" t="n">
        <v>66</v>
      </c>
      <c r="D1202" s="267" t="n">
        <v>40</v>
      </c>
      <c r="E1202" s="268" t="n">
        <f aca="false">C1202+D1202</f>
        <v>106</v>
      </c>
      <c r="F1202" s="269" t="n">
        <f aca="false">IFERROR(D1202/E1202,0)</f>
        <v>0.377358490566038</v>
      </c>
      <c r="G1202" s="268" t="n">
        <f aca="false">IFERROR(INDEX($AC$925:$FP$925,MATCH($B1202,$AC$36:$FP$36,0)),0)</f>
        <v>488.3328</v>
      </c>
      <c r="H1202" s="268" t="n">
        <f aca="false">IFERROR(INDEX($AC$926:$FP$926,MATCH($B1202,$AC$36:$FP$36,0)),0)</f>
        <v>144.06627392</v>
      </c>
      <c r="I1202" s="269" t="n">
        <f aca="false">IFERROR(H1202/(G1202+H1202),0)</f>
        <v>0.227809115890996</v>
      </c>
      <c r="J1202" s="270" t="n">
        <f aca="false">IFERROR(C1202/G1202,0)</f>
        <v>0.135153731225918</v>
      </c>
    </row>
    <row r="1203" customFormat="false" ht="15" hidden="false" customHeight="false" outlineLevel="0" collapsed="false">
      <c r="B1203" s="12" t="s">
        <v>1082</v>
      </c>
      <c r="C1203" s="271" t="n">
        <f aca="false">SUM(C1181:C1201)</f>
        <v>5114</v>
      </c>
      <c r="D1203" s="271" t="n">
        <f aca="false">SUM(D1181:D1201)</f>
        <v>1004</v>
      </c>
      <c r="E1203" s="272" t="n">
        <f aca="false">C1203+D1203</f>
        <v>6118</v>
      </c>
      <c r="F1203" s="273" t="n">
        <f aca="false">D1203/E1203</f>
        <v>0.164105916966329</v>
      </c>
      <c r="G1203" s="272" t="n">
        <f aca="false">SUM(G1181:G1201)</f>
        <v>5196.6646</v>
      </c>
      <c r="H1203" s="272" t="n">
        <f aca="false">SUM(H1181:H1201)</f>
        <v>997.015966</v>
      </c>
      <c r="I1203" s="273" t="n">
        <f aca="false">H1203/(G1203+H1203)</f>
        <v>0.160973100788098</v>
      </c>
      <c r="J1203" s="274" t="n">
        <f aca="false">C1203/G1203</f>
        <v>0.984092758266523</v>
      </c>
    </row>
    <row r="1205" customFormat="false" ht="15" hidden="false" customHeight="false" outlineLevel="0" collapsed="false">
      <c r="B1205" s="264" t="s">
        <v>1083</v>
      </c>
    </row>
    <row r="1206" customFormat="false" ht="15" hidden="false" customHeight="false" outlineLevel="0" collapsed="false">
      <c r="B1206" s="3" t="s">
        <v>1084</v>
      </c>
    </row>
    <row r="1207" customFormat="false" ht="15" hidden="false" customHeight="false" outlineLevel="0" collapsed="false">
      <c r="B1207" s="0" t="s">
        <v>1085</v>
      </c>
      <c r="C1207" s="275" t="n">
        <v>1.6</v>
      </c>
      <c r="D1207" s="276" t="s">
        <v>1086</v>
      </c>
      <c r="G1207" s="276" t="s">
        <v>1087</v>
      </c>
      <c r="H1207" s="277" t="n">
        <v>0.8</v>
      </c>
      <c r="I1207" s="276" t="s">
        <v>1088</v>
      </c>
    </row>
    <row r="1208" customFormat="false" ht="15" hidden="false" customHeight="false" outlineLevel="0" collapsed="false">
      <c r="B1208" s="0" t="s">
        <v>1089</v>
      </c>
      <c r="C1208" s="278" t="n">
        <v>16</v>
      </c>
      <c r="D1208" s="276" t="s">
        <v>1090</v>
      </c>
      <c r="G1208" s="276" t="s">
        <v>1091</v>
      </c>
      <c r="H1208" s="278" t="n">
        <v>48</v>
      </c>
      <c r="I1208" s="276" t="s">
        <v>1092</v>
      </c>
    </row>
    <row r="1209" customFormat="false" ht="15" hidden="false" customHeight="false" outlineLevel="0" collapsed="false">
      <c r="B1209" s="0" t="s">
        <v>1093</v>
      </c>
      <c r="C1209" s="279" t="n">
        <f aca="false" t="array" ref="C1209:C1209">(H1207-INDEX(C1212:C1231,C1208))/(H1208-C1208)</f>
        <v>0.018375</v>
      </c>
      <c r="D1209" s="276" t="s">
        <v>1094</v>
      </c>
      <c r="G1209" s="276" t="s">
        <v>1095</v>
      </c>
      <c r="H1209" s="279" t="n">
        <f aca="false" t="array" ref="H1209:H1209">(INDEX(C1212:C1231,C1208)-C1217)/(C1208-6)</f>
        <v>0.009</v>
      </c>
      <c r="I1209" s="276" t="s">
        <v>1096</v>
      </c>
    </row>
    <row r="1211" customFormat="false" ht="79.5" hidden="false" customHeight="true" outlineLevel="0" collapsed="false">
      <c r="B1211" s="265" t="s">
        <v>1097</v>
      </c>
      <c r="C1211" s="265" t="s">
        <v>1098</v>
      </c>
      <c r="D1211" s="265" t="s">
        <v>1099</v>
      </c>
      <c r="E1211" s="265" t="s">
        <v>1100</v>
      </c>
      <c r="F1211" s="265" t="s">
        <v>1101</v>
      </c>
      <c r="G1211" s="265" t="s">
        <v>1102</v>
      </c>
    </row>
    <row r="1212" customFormat="false" ht="15" hidden="false" customHeight="false" outlineLevel="0" collapsed="false">
      <c r="B1212" s="0" t="n">
        <v>1</v>
      </c>
      <c r="C1212" s="22" t="n">
        <v>0.08</v>
      </c>
      <c r="D1212" s="117" t="n">
        <v>4839</v>
      </c>
      <c r="E1212" s="279" t="n">
        <f aca="false">C1212</f>
        <v>0.08</v>
      </c>
      <c r="F1212" s="279" t="n">
        <f aca="false">E1212*$C$1207</f>
        <v>0.128</v>
      </c>
      <c r="G1212" s="280" t="n">
        <f aca="false">E1212</f>
        <v>0.08</v>
      </c>
    </row>
    <row r="1213" customFormat="false" ht="15" hidden="false" customHeight="false" outlineLevel="0" collapsed="false">
      <c r="B1213" s="0" t="n">
        <v>2</v>
      </c>
      <c r="C1213" s="22" t="n">
        <v>0.091</v>
      </c>
      <c r="D1213" s="117" t="n">
        <v>4441</v>
      </c>
      <c r="E1213" s="279" t="n">
        <f aca="false">IF(B1213&lt;=$C$1208,C1213-C1212,IF(B1213&lt;=$H$1208,$C$1209,MAX(0,MIN($H$1209,1-G1212))))</f>
        <v>0.011</v>
      </c>
      <c r="F1213" s="279" t="n">
        <f aca="false">E1213*$C$1207</f>
        <v>0.0176</v>
      </c>
      <c r="G1213" s="280" t="n">
        <f aca="false">G1212+E1213</f>
        <v>0.091</v>
      </c>
    </row>
    <row r="1214" customFormat="false" ht="15" hidden="false" customHeight="false" outlineLevel="0" collapsed="false">
      <c r="B1214" s="0" t="n">
        <v>3</v>
      </c>
      <c r="C1214" s="22" t="n">
        <v>0.105</v>
      </c>
      <c r="D1214" s="117" t="n">
        <v>4103</v>
      </c>
      <c r="E1214" s="279" t="n">
        <f aca="false">IF(B1214&lt;=$C$1208,C1214-C1213,IF(B1214&lt;=$H$1208,$C$1209,MAX(0,MIN($H$1209,1-G1213))))</f>
        <v>0.014</v>
      </c>
      <c r="F1214" s="279" t="n">
        <f aca="false">E1214*$C$1207</f>
        <v>0.0224</v>
      </c>
      <c r="G1214" s="280" t="n">
        <f aca="false">G1213+E1214</f>
        <v>0.105</v>
      </c>
    </row>
    <row r="1215" customFormat="false" ht="15" hidden="false" customHeight="false" outlineLevel="0" collapsed="false">
      <c r="B1215" s="0" t="n">
        <v>4</v>
      </c>
      <c r="C1215" s="22" t="n">
        <v>0.113</v>
      </c>
      <c r="D1215" s="117" t="n">
        <v>3890</v>
      </c>
      <c r="E1215" s="279" t="n">
        <f aca="false">IF(B1215&lt;=$C$1208,C1215-C1214,IF(B1215&lt;=$H$1208,$C$1209,MAX(0,MIN($H$1209,1-G1214))))</f>
        <v>0.00800000000000001</v>
      </c>
      <c r="F1215" s="279" t="n">
        <f aca="false">E1215*$C$1207</f>
        <v>0.0128</v>
      </c>
      <c r="G1215" s="280" t="n">
        <f aca="false">G1214+E1215</f>
        <v>0.113</v>
      </c>
    </row>
    <row r="1216" customFormat="false" ht="15" hidden="false" customHeight="false" outlineLevel="0" collapsed="false">
      <c r="B1216" s="0" t="n">
        <v>5</v>
      </c>
      <c r="C1216" s="22" t="n">
        <v>0.119</v>
      </c>
      <c r="D1216" s="117" t="n">
        <v>3596</v>
      </c>
      <c r="E1216" s="279" t="n">
        <f aca="false">IF(B1216&lt;=$C$1208,C1216-C1215,IF(B1216&lt;=$H$1208,$C$1209,MAX(0,MIN($H$1209,1-G1215))))</f>
        <v>0.00599999999999999</v>
      </c>
      <c r="F1216" s="279" t="n">
        <f aca="false">E1216*$C$1207</f>
        <v>0.00959999999999999</v>
      </c>
      <c r="G1216" s="280" t="n">
        <f aca="false">G1215+E1216</f>
        <v>0.119</v>
      </c>
    </row>
    <row r="1217" customFormat="false" ht="15" hidden="false" customHeight="false" outlineLevel="0" collapsed="false">
      <c r="B1217" s="0" t="n">
        <v>6</v>
      </c>
      <c r="C1217" s="22" t="n">
        <v>0.122</v>
      </c>
      <c r="D1217" s="117" t="n">
        <v>3271</v>
      </c>
      <c r="E1217" s="279" t="n">
        <f aca="false">IF(B1217&lt;=$C$1208,C1217-C1216,IF(B1217&lt;=$H$1208,$C$1209,MAX(0,MIN($H$1209,1-G1216))))</f>
        <v>0.003</v>
      </c>
      <c r="F1217" s="279" t="n">
        <f aca="false">E1217*$C$1207</f>
        <v>0.00480000000000001</v>
      </c>
      <c r="G1217" s="280" t="n">
        <f aca="false">G1216+E1217</f>
        <v>0.122</v>
      </c>
    </row>
    <row r="1218" customFormat="false" ht="15" hidden="false" customHeight="false" outlineLevel="0" collapsed="false">
      <c r="B1218" s="0" t="n">
        <v>7</v>
      </c>
      <c r="C1218" s="22" t="n">
        <v>0.132</v>
      </c>
      <c r="D1218" s="117" t="n">
        <v>3026</v>
      </c>
      <c r="E1218" s="279" t="n">
        <f aca="false">IF(B1218&lt;=$C$1208,C1218-C1217,IF(B1218&lt;=$H$1208,$C$1209,MAX(0,MIN($H$1209,1-G1217))))</f>
        <v>0.01</v>
      </c>
      <c r="F1218" s="279" t="n">
        <f aca="false">E1218*$C$1207</f>
        <v>0.016</v>
      </c>
      <c r="G1218" s="280" t="n">
        <f aca="false">G1217+E1218</f>
        <v>0.132</v>
      </c>
    </row>
    <row r="1219" customFormat="false" ht="15" hidden="false" customHeight="false" outlineLevel="0" collapsed="false">
      <c r="B1219" s="0" t="n">
        <v>8</v>
      </c>
      <c r="C1219" s="22" t="n">
        <v>0.135</v>
      </c>
      <c r="D1219" s="117" t="n">
        <v>2696</v>
      </c>
      <c r="E1219" s="279" t="n">
        <f aca="false">IF(B1219&lt;=$C$1208,C1219-C1218,IF(B1219&lt;=$H$1208,$C$1209,MAX(0,MIN($H$1209,1-G1218))))</f>
        <v>0.003</v>
      </c>
      <c r="F1219" s="279" t="n">
        <f aca="false">E1219*$C$1207</f>
        <v>0.00480000000000001</v>
      </c>
      <c r="G1219" s="280" t="n">
        <f aca="false">G1218+E1219</f>
        <v>0.135</v>
      </c>
    </row>
    <row r="1220" customFormat="false" ht="15" hidden="false" customHeight="false" outlineLevel="0" collapsed="false">
      <c r="B1220" s="0" t="n">
        <v>9</v>
      </c>
      <c r="C1220" s="22" t="n">
        <v>0.141</v>
      </c>
      <c r="D1220" s="117" t="n">
        <v>2410</v>
      </c>
      <c r="E1220" s="279" t="n">
        <f aca="false">IF(B1220&lt;=$C$1208,C1220-C1219,IF(B1220&lt;=$H$1208,$C$1209,MAX(0,MIN($H$1209,1-G1219))))</f>
        <v>0.00599999999999998</v>
      </c>
      <c r="F1220" s="279" t="n">
        <f aca="false">E1220*$C$1207</f>
        <v>0.00959999999999996</v>
      </c>
      <c r="G1220" s="280" t="n">
        <f aca="false">G1219+E1220</f>
        <v>0.141</v>
      </c>
    </row>
    <row r="1221" customFormat="false" ht="15" hidden="false" customHeight="false" outlineLevel="0" collapsed="false">
      <c r="B1221" s="0" t="n">
        <v>10</v>
      </c>
      <c r="C1221" s="22" t="n">
        <v>0.152</v>
      </c>
      <c r="D1221" s="117" t="n">
        <v>2142</v>
      </c>
      <c r="E1221" s="279" t="n">
        <f aca="false">IF(B1221&lt;=$C$1208,C1221-C1220,IF(B1221&lt;=$H$1208,$C$1209,MAX(0,MIN($H$1209,1-G1220))))</f>
        <v>0.011</v>
      </c>
      <c r="F1221" s="279" t="n">
        <f aca="false">E1221*$C$1207</f>
        <v>0.0176</v>
      </c>
      <c r="G1221" s="280" t="n">
        <f aca="false">G1220+E1221</f>
        <v>0.152</v>
      </c>
    </row>
    <row r="1222" customFormat="false" ht="15" hidden="false" customHeight="false" outlineLevel="0" collapsed="false">
      <c r="B1222" s="0" t="n">
        <v>11</v>
      </c>
      <c r="C1222" s="22" t="n">
        <v>0.154</v>
      </c>
      <c r="D1222" s="117" t="n">
        <v>1918</v>
      </c>
      <c r="E1222" s="279" t="n">
        <f aca="false">IF(B1222&lt;=$C$1208,C1222-C1221,IF(B1222&lt;=$H$1208,$C$1209,MAX(0,MIN($H$1209,1-G1221))))</f>
        <v>0.002</v>
      </c>
      <c r="F1222" s="279" t="n">
        <f aca="false">E1222*$C$1207</f>
        <v>0.0032</v>
      </c>
      <c r="G1222" s="280" t="n">
        <f aca="false">G1221+E1222</f>
        <v>0.154</v>
      </c>
    </row>
    <row r="1223" customFormat="false" ht="15" hidden="false" customHeight="false" outlineLevel="0" collapsed="false">
      <c r="B1223" s="0" t="n">
        <v>12</v>
      </c>
      <c r="C1223" s="22" t="n">
        <v>0.171</v>
      </c>
      <c r="D1223" s="117" t="n">
        <v>1606</v>
      </c>
      <c r="E1223" s="279" t="n">
        <f aca="false">IF(B1223&lt;=$C$1208,C1223-C1222,IF(B1223&lt;=$H$1208,$C$1209,MAX(0,MIN($H$1209,1-G1222))))</f>
        <v>0.017</v>
      </c>
      <c r="F1223" s="279" t="n">
        <f aca="false">E1223*$C$1207</f>
        <v>0.0272</v>
      </c>
      <c r="G1223" s="280" t="n">
        <f aca="false">G1222+E1223</f>
        <v>0.171</v>
      </c>
    </row>
    <row r="1224" customFormat="false" ht="15" hidden="false" customHeight="false" outlineLevel="0" collapsed="false">
      <c r="B1224" s="0" t="n">
        <v>13</v>
      </c>
      <c r="C1224" s="22" t="n">
        <v>0.193</v>
      </c>
      <c r="D1224" s="117" t="n">
        <v>1299</v>
      </c>
      <c r="E1224" s="279" t="n">
        <f aca="false">IF(B1224&lt;=$C$1208,C1224-C1223,IF(B1224&lt;=$H$1208,$C$1209,MAX(0,MIN($H$1209,1-G1223))))</f>
        <v>0.022</v>
      </c>
      <c r="F1224" s="279" t="n">
        <f aca="false">E1224*$C$1207</f>
        <v>0.0352</v>
      </c>
      <c r="G1224" s="280" t="n">
        <f aca="false">G1223+E1224</f>
        <v>0.193</v>
      </c>
    </row>
    <row r="1225" customFormat="false" ht="15" hidden="false" customHeight="false" outlineLevel="0" collapsed="false">
      <c r="B1225" s="0" t="n">
        <v>14</v>
      </c>
      <c r="C1225" s="22" t="n">
        <v>0.2</v>
      </c>
      <c r="D1225" s="117" t="n">
        <v>1020</v>
      </c>
      <c r="E1225" s="279" t="n">
        <f aca="false">IF(B1225&lt;=$C$1208,C1225-C1224,IF(B1225&lt;=$H$1208,$C$1209,MAX(0,MIN($H$1209,1-G1224))))</f>
        <v>0.00700000000000001</v>
      </c>
      <c r="F1225" s="279" t="n">
        <f aca="false">E1225*$C$1207</f>
        <v>0.0112</v>
      </c>
      <c r="G1225" s="280" t="n">
        <f aca="false">G1224+E1225</f>
        <v>0.2</v>
      </c>
    </row>
    <row r="1226" customFormat="false" ht="15" hidden="false" customHeight="false" outlineLevel="0" collapsed="false">
      <c r="B1226" s="0" t="n">
        <v>15</v>
      </c>
      <c r="C1226" s="22" t="n">
        <v>0.207</v>
      </c>
      <c r="D1226" s="117" t="n">
        <v>755</v>
      </c>
      <c r="E1226" s="279" t="n">
        <f aca="false">IF(B1226&lt;=$C$1208,C1226-C1225,IF(B1226&lt;=$H$1208,$C$1209,MAX(0,MIN($H$1209,1-G1225))))</f>
        <v>0.00699999999999998</v>
      </c>
      <c r="F1226" s="279" t="n">
        <f aca="false">E1226*$C$1207</f>
        <v>0.0112</v>
      </c>
      <c r="G1226" s="280" t="n">
        <f aca="false">G1225+E1226</f>
        <v>0.207</v>
      </c>
    </row>
    <row r="1227" customFormat="false" ht="15" hidden="false" customHeight="false" outlineLevel="0" collapsed="false">
      <c r="B1227" s="0" t="n">
        <v>16</v>
      </c>
      <c r="C1227" s="22" t="n">
        <v>0.212</v>
      </c>
      <c r="D1227" s="117" t="n">
        <v>609</v>
      </c>
      <c r="E1227" s="279" t="n">
        <f aca="false">IF(B1227&lt;=$C$1208,C1227-C1226,IF(B1227&lt;=$H$1208,$C$1209,MAX(0,MIN($H$1209,1-G1226))))</f>
        <v>0.005</v>
      </c>
      <c r="F1227" s="279" t="n">
        <f aca="false">E1227*$C$1207</f>
        <v>0.00800000000000001</v>
      </c>
      <c r="G1227" s="280" t="n">
        <f aca="false">G1226+E1227</f>
        <v>0.212</v>
      </c>
    </row>
    <row r="1228" customFormat="false" ht="15" hidden="false" customHeight="false" outlineLevel="0" collapsed="false">
      <c r="B1228" s="258" t="n">
        <v>17</v>
      </c>
      <c r="C1228" s="281" t="n">
        <v>0.248</v>
      </c>
      <c r="D1228" s="282" t="n">
        <v>379</v>
      </c>
      <c r="E1228" s="279" t="n">
        <f aca="false">IF(B1228&lt;=$C$1208,C1228-C1227,IF(B1228&lt;=$H$1208,$C$1209,MAX(0,MIN($H$1209,1-G1227))))</f>
        <v>0.018375</v>
      </c>
      <c r="F1228" s="279" t="n">
        <f aca="false">E1228*$C$1207</f>
        <v>0.0294</v>
      </c>
      <c r="G1228" s="280" t="n">
        <f aca="false">G1227+E1228</f>
        <v>0.230375</v>
      </c>
    </row>
    <row r="1229" customFormat="false" ht="15" hidden="false" customHeight="false" outlineLevel="0" collapsed="false">
      <c r="B1229" s="258" t="n">
        <v>18</v>
      </c>
      <c r="C1229" s="281" t="n">
        <v>0.262</v>
      </c>
      <c r="D1229" s="282" t="n">
        <v>240</v>
      </c>
      <c r="E1229" s="279" t="n">
        <f aca="false">IF(B1229&lt;=$C$1208,C1229-C1228,IF(B1229&lt;=$H$1208,$C$1209,MAX(0,MIN($H$1209,1-G1228))))</f>
        <v>0.018375</v>
      </c>
      <c r="F1229" s="279" t="n">
        <f aca="false">E1229*$C$1207</f>
        <v>0.0294</v>
      </c>
      <c r="G1229" s="280" t="n">
        <f aca="false">G1228+E1229</f>
        <v>0.24875</v>
      </c>
    </row>
    <row r="1230" customFormat="false" ht="15" hidden="false" customHeight="false" outlineLevel="0" collapsed="false">
      <c r="B1230" s="258" t="n">
        <v>19</v>
      </c>
      <c r="C1230" s="281" t="n">
        <v>0.358</v>
      </c>
      <c r="D1230" s="282" t="n">
        <v>109</v>
      </c>
      <c r="E1230" s="279" t="n">
        <f aca="false">IF(B1230&lt;=$C$1208,C1230-C1229,IF(B1230&lt;=$H$1208,$C$1209,MAX(0,MIN($H$1209,1-G1229))))</f>
        <v>0.018375</v>
      </c>
      <c r="F1230" s="279" t="n">
        <f aca="false">E1230*$C$1207</f>
        <v>0.0294</v>
      </c>
      <c r="G1230" s="280" t="n">
        <f aca="false">G1229+E1230</f>
        <v>0.267125</v>
      </c>
    </row>
    <row r="1231" customFormat="false" ht="15" hidden="false" customHeight="false" outlineLevel="0" collapsed="false">
      <c r="B1231" s="258" t="n">
        <v>20</v>
      </c>
      <c r="C1231" s="281" t="n">
        <v>0.37</v>
      </c>
      <c r="D1231" s="282" t="n">
        <v>27</v>
      </c>
      <c r="E1231" s="279" t="n">
        <f aca="false">IF(B1231&lt;=$C$1208,C1231-C1230,IF(B1231&lt;=$H$1208,$C$1209,MAX(0,MIN($H$1209,1-G1230))))</f>
        <v>0.018375</v>
      </c>
      <c r="F1231" s="279" t="n">
        <f aca="false">E1231*$C$1207</f>
        <v>0.0294</v>
      </c>
      <c r="G1231" s="280" t="n">
        <f aca="false">G1230+E1231</f>
        <v>0.2855</v>
      </c>
    </row>
    <row r="1232" customFormat="false" ht="15" hidden="false" customHeight="false" outlineLevel="0" collapsed="false">
      <c r="B1232" s="0" t="n">
        <v>21</v>
      </c>
      <c r="C1232" s="280"/>
      <c r="D1232" s="283"/>
      <c r="E1232" s="279" t="n">
        <f aca="false">IF(B1232&lt;=$C$1208,C1232-C1231,IF(B1232&lt;=$H$1208,$C$1209,MAX(0,MIN($H$1209,1-G1231))))</f>
        <v>0.018375</v>
      </c>
      <c r="F1232" s="279" t="n">
        <f aca="false">E1232*$C$1207</f>
        <v>0.0294</v>
      </c>
      <c r="G1232" s="280" t="n">
        <f aca="false">G1231+E1232</f>
        <v>0.303875</v>
      </c>
    </row>
    <row r="1233" customFormat="false" ht="15" hidden="false" customHeight="false" outlineLevel="0" collapsed="false">
      <c r="B1233" s="0" t="n">
        <v>22</v>
      </c>
      <c r="C1233" s="280"/>
      <c r="D1233" s="283"/>
      <c r="E1233" s="279" t="n">
        <f aca="false">IF(B1233&lt;=$C$1208,C1233-C1232,IF(B1233&lt;=$H$1208,$C$1209,MAX(0,MIN($H$1209,1-G1232))))</f>
        <v>0.018375</v>
      </c>
      <c r="F1233" s="279" t="n">
        <f aca="false">E1233*$C$1207</f>
        <v>0.0294</v>
      </c>
      <c r="G1233" s="280" t="n">
        <f aca="false">G1232+E1233</f>
        <v>0.32225</v>
      </c>
    </row>
    <row r="1234" customFormat="false" ht="15" hidden="false" customHeight="false" outlineLevel="0" collapsed="false">
      <c r="B1234" s="0" t="n">
        <v>23</v>
      </c>
      <c r="C1234" s="280"/>
      <c r="D1234" s="283"/>
      <c r="E1234" s="279" t="n">
        <f aca="false">IF(B1234&lt;=$C$1208,C1234-C1233,IF(B1234&lt;=$H$1208,$C$1209,MAX(0,MIN($H$1209,1-G1233))))</f>
        <v>0.018375</v>
      </c>
      <c r="F1234" s="279" t="n">
        <f aca="false">E1234*$C$1207</f>
        <v>0.0294</v>
      </c>
      <c r="G1234" s="280" t="n">
        <f aca="false">G1233+E1234</f>
        <v>0.340625</v>
      </c>
    </row>
    <row r="1235" customFormat="false" ht="15" hidden="false" customHeight="false" outlineLevel="0" collapsed="false">
      <c r="B1235" s="0" t="n">
        <v>24</v>
      </c>
      <c r="C1235" s="280"/>
      <c r="D1235" s="283"/>
      <c r="E1235" s="279" t="n">
        <f aca="false">IF(B1235&lt;=$C$1208,C1235-C1234,IF(B1235&lt;=$H$1208,$C$1209,MAX(0,MIN($H$1209,1-G1234))))</f>
        <v>0.018375</v>
      </c>
      <c r="F1235" s="279" t="n">
        <f aca="false">E1235*$C$1207</f>
        <v>0.0294</v>
      </c>
      <c r="G1235" s="280" t="n">
        <f aca="false">G1234+E1235</f>
        <v>0.359</v>
      </c>
    </row>
    <row r="1236" customFormat="false" ht="15" hidden="false" customHeight="false" outlineLevel="0" collapsed="false">
      <c r="B1236" s="0" t="n">
        <v>25</v>
      </c>
      <c r="C1236" s="280"/>
      <c r="D1236" s="283"/>
      <c r="E1236" s="279" t="n">
        <f aca="false">IF(B1236&lt;=$C$1208,C1236-C1235,IF(B1236&lt;=$H$1208,$C$1209,MAX(0,MIN($H$1209,1-G1235))))</f>
        <v>0.018375</v>
      </c>
      <c r="F1236" s="279" t="n">
        <f aca="false">E1236*$C$1207</f>
        <v>0.0294</v>
      </c>
      <c r="G1236" s="280" t="n">
        <f aca="false">G1235+E1236</f>
        <v>0.377375</v>
      </c>
    </row>
    <row r="1237" customFormat="false" ht="15" hidden="false" customHeight="false" outlineLevel="0" collapsed="false">
      <c r="B1237" s="0" t="n">
        <v>26</v>
      </c>
      <c r="C1237" s="280"/>
      <c r="D1237" s="283"/>
      <c r="E1237" s="279" t="n">
        <f aca="false">IF(B1237&lt;=$C$1208,C1237-C1236,IF(B1237&lt;=$H$1208,$C$1209,MAX(0,MIN($H$1209,1-G1236))))</f>
        <v>0.018375</v>
      </c>
      <c r="F1237" s="279" t="n">
        <f aca="false">E1237*$C$1207</f>
        <v>0.0294</v>
      </c>
      <c r="G1237" s="280" t="n">
        <f aca="false">G1236+E1237</f>
        <v>0.39575</v>
      </c>
    </row>
    <row r="1238" customFormat="false" ht="15" hidden="false" customHeight="false" outlineLevel="0" collapsed="false">
      <c r="B1238" s="0" t="n">
        <v>27</v>
      </c>
      <c r="C1238" s="280"/>
      <c r="D1238" s="283"/>
      <c r="E1238" s="279" t="n">
        <f aca="false">IF(B1238&lt;=$C$1208,C1238-C1237,IF(B1238&lt;=$H$1208,$C$1209,MAX(0,MIN($H$1209,1-G1237))))</f>
        <v>0.018375</v>
      </c>
      <c r="F1238" s="279" t="n">
        <f aca="false">E1238*$C$1207</f>
        <v>0.0294</v>
      </c>
      <c r="G1238" s="280" t="n">
        <f aca="false">G1237+E1238</f>
        <v>0.414125</v>
      </c>
    </row>
    <row r="1239" customFormat="false" ht="15" hidden="false" customHeight="false" outlineLevel="0" collapsed="false">
      <c r="B1239" s="0" t="n">
        <v>28</v>
      </c>
      <c r="C1239" s="280"/>
      <c r="D1239" s="283"/>
      <c r="E1239" s="279" t="n">
        <f aca="false">IF(B1239&lt;=$C$1208,C1239-C1238,IF(B1239&lt;=$H$1208,$C$1209,MAX(0,MIN($H$1209,1-G1238))))</f>
        <v>0.018375</v>
      </c>
      <c r="F1239" s="279" t="n">
        <f aca="false">E1239*$C$1207</f>
        <v>0.0294</v>
      </c>
      <c r="G1239" s="280" t="n">
        <f aca="false">G1238+E1239</f>
        <v>0.4325</v>
      </c>
    </row>
    <row r="1240" customFormat="false" ht="15" hidden="false" customHeight="false" outlineLevel="0" collapsed="false">
      <c r="B1240" s="0" t="n">
        <v>29</v>
      </c>
      <c r="C1240" s="280"/>
      <c r="D1240" s="283"/>
      <c r="E1240" s="279" t="n">
        <f aca="false">IF(B1240&lt;=$C$1208,C1240-C1239,IF(B1240&lt;=$H$1208,$C$1209,MAX(0,MIN($H$1209,1-G1239))))</f>
        <v>0.018375</v>
      </c>
      <c r="F1240" s="279" t="n">
        <f aca="false">E1240*$C$1207</f>
        <v>0.0294</v>
      </c>
      <c r="G1240" s="280" t="n">
        <f aca="false">G1239+E1240</f>
        <v>0.450875</v>
      </c>
    </row>
    <row r="1241" customFormat="false" ht="15" hidden="false" customHeight="false" outlineLevel="0" collapsed="false">
      <c r="B1241" s="0" t="n">
        <v>30</v>
      </c>
      <c r="C1241" s="280"/>
      <c r="D1241" s="283"/>
      <c r="E1241" s="279" t="n">
        <f aca="false">IF(B1241&lt;=$C$1208,C1241-C1240,IF(B1241&lt;=$H$1208,$C$1209,MAX(0,MIN($H$1209,1-G1240))))</f>
        <v>0.018375</v>
      </c>
      <c r="F1241" s="279" t="n">
        <f aca="false">E1241*$C$1207</f>
        <v>0.0294</v>
      </c>
      <c r="G1241" s="280" t="n">
        <f aca="false">G1240+E1241</f>
        <v>0.46925</v>
      </c>
    </row>
    <row r="1242" customFormat="false" ht="15" hidden="false" customHeight="false" outlineLevel="0" collapsed="false">
      <c r="B1242" s="0" t="n">
        <v>31</v>
      </c>
      <c r="C1242" s="280"/>
      <c r="D1242" s="283"/>
      <c r="E1242" s="279" t="n">
        <f aca="false">IF(B1242&lt;=$C$1208,C1242-C1241,IF(B1242&lt;=$H$1208,$C$1209,MAX(0,MIN($H$1209,1-G1241))))</f>
        <v>0.018375</v>
      </c>
      <c r="F1242" s="279" t="n">
        <f aca="false">E1242*$C$1207</f>
        <v>0.0294</v>
      </c>
      <c r="G1242" s="280" t="n">
        <f aca="false">G1241+E1242</f>
        <v>0.487625</v>
      </c>
    </row>
    <row r="1243" customFormat="false" ht="15" hidden="false" customHeight="false" outlineLevel="0" collapsed="false">
      <c r="B1243" s="0" t="n">
        <v>32</v>
      </c>
      <c r="C1243" s="280"/>
      <c r="D1243" s="283"/>
      <c r="E1243" s="279" t="n">
        <f aca="false">IF(B1243&lt;=$C$1208,C1243-C1242,IF(B1243&lt;=$H$1208,$C$1209,MAX(0,MIN($H$1209,1-G1242))))</f>
        <v>0.018375</v>
      </c>
      <c r="F1243" s="279" t="n">
        <f aca="false">E1243*$C$1207</f>
        <v>0.0294</v>
      </c>
      <c r="G1243" s="280" t="n">
        <f aca="false">G1242+E1243</f>
        <v>0.506</v>
      </c>
    </row>
    <row r="1244" customFormat="false" ht="15" hidden="false" customHeight="false" outlineLevel="0" collapsed="false">
      <c r="B1244" s="0" t="n">
        <v>33</v>
      </c>
      <c r="C1244" s="280"/>
      <c r="D1244" s="283"/>
      <c r="E1244" s="279" t="n">
        <f aca="false">IF(B1244&lt;=$C$1208,C1244-C1243,IF(B1244&lt;=$H$1208,$C$1209,MAX(0,MIN($H$1209,1-G1243))))</f>
        <v>0.018375</v>
      </c>
      <c r="F1244" s="279" t="n">
        <f aca="false">E1244*$C$1207</f>
        <v>0.0294</v>
      </c>
      <c r="G1244" s="280" t="n">
        <f aca="false">G1243+E1244</f>
        <v>0.524375</v>
      </c>
    </row>
    <row r="1245" customFormat="false" ht="15" hidden="false" customHeight="false" outlineLevel="0" collapsed="false">
      <c r="B1245" s="0" t="n">
        <v>34</v>
      </c>
      <c r="C1245" s="280"/>
      <c r="D1245" s="283"/>
      <c r="E1245" s="279" t="n">
        <f aca="false">IF(B1245&lt;=$C$1208,C1245-C1244,IF(B1245&lt;=$H$1208,$C$1209,MAX(0,MIN($H$1209,1-G1244))))</f>
        <v>0.018375</v>
      </c>
      <c r="F1245" s="279" t="n">
        <f aca="false">E1245*$C$1207</f>
        <v>0.0294</v>
      </c>
      <c r="G1245" s="280" t="n">
        <f aca="false">G1244+E1245</f>
        <v>0.54275</v>
      </c>
    </row>
    <row r="1246" customFormat="false" ht="15" hidden="false" customHeight="false" outlineLevel="0" collapsed="false">
      <c r="B1246" s="0" t="n">
        <v>35</v>
      </c>
      <c r="C1246" s="280"/>
      <c r="D1246" s="283"/>
      <c r="E1246" s="279" t="n">
        <f aca="false">IF(B1246&lt;=$C$1208,C1246-C1245,IF(B1246&lt;=$H$1208,$C$1209,MAX(0,MIN($H$1209,1-G1245))))</f>
        <v>0.018375</v>
      </c>
      <c r="F1246" s="279" t="n">
        <f aca="false">E1246*$C$1207</f>
        <v>0.0294</v>
      </c>
      <c r="G1246" s="280" t="n">
        <f aca="false">G1245+E1246</f>
        <v>0.561125</v>
      </c>
    </row>
    <row r="1247" customFormat="false" ht="15" hidden="false" customHeight="false" outlineLevel="0" collapsed="false">
      <c r="B1247" s="0" t="n">
        <v>36</v>
      </c>
      <c r="C1247" s="280"/>
      <c r="D1247" s="283"/>
      <c r="E1247" s="279" t="n">
        <f aca="false">IF(B1247&lt;=$C$1208,C1247-C1246,IF(B1247&lt;=$H$1208,$C$1209,MAX(0,MIN($H$1209,1-G1246))))</f>
        <v>0.018375</v>
      </c>
      <c r="F1247" s="279" t="n">
        <f aca="false">E1247*$C$1207</f>
        <v>0.0294</v>
      </c>
      <c r="G1247" s="280" t="n">
        <f aca="false">G1246+E1247</f>
        <v>0.579500000000001</v>
      </c>
    </row>
    <row r="1248" customFormat="false" ht="15" hidden="false" customHeight="false" outlineLevel="0" collapsed="false">
      <c r="B1248" s="0" t="n">
        <v>37</v>
      </c>
      <c r="C1248" s="280"/>
      <c r="D1248" s="283"/>
      <c r="E1248" s="279" t="n">
        <f aca="false">IF(B1248&lt;=$C$1208,C1248-C1247,IF(B1248&lt;=$H$1208,$C$1209,MAX(0,MIN($H$1209,1-G1247))))</f>
        <v>0.018375</v>
      </c>
      <c r="F1248" s="279" t="n">
        <f aca="false">E1248*$C$1207</f>
        <v>0.0294</v>
      </c>
      <c r="G1248" s="280" t="n">
        <f aca="false">G1247+E1248</f>
        <v>0.597875000000001</v>
      </c>
    </row>
    <row r="1249" customFormat="false" ht="15" hidden="false" customHeight="false" outlineLevel="0" collapsed="false">
      <c r="B1249" s="0" t="n">
        <v>38</v>
      </c>
      <c r="C1249" s="280"/>
      <c r="D1249" s="283"/>
      <c r="E1249" s="279" t="n">
        <f aca="false">IF(B1249&lt;=$C$1208,C1249-C1248,IF(B1249&lt;=$H$1208,$C$1209,MAX(0,MIN($H$1209,1-G1248))))</f>
        <v>0.018375</v>
      </c>
      <c r="F1249" s="279" t="n">
        <f aca="false">E1249*$C$1207</f>
        <v>0.0294</v>
      </c>
      <c r="G1249" s="280" t="n">
        <f aca="false">G1248+E1249</f>
        <v>0.616250000000001</v>
      </c>
    </row>
    <row r="1250" customFormat="false" ht="15" hidden="false" customHeight="false" outlineLevel="0" collapsed="false">
      <c r="B1250" s="0" t="n">
        <v>39</v>
      </c>
      <c r="C1250" s="280"/>
      <c r="D1250" s="283"/>
      <c r="E1250" s="279" t="n">
        <f aca="false">IF(B1250&lt;=$C$1208,C1250-C1249,IF(B1250&lt;=$H$1208,$C$1209,MAX(0,MIN($H$1209,1-G1249))))</f>
        <v>0.018375</v>
      </c>
      <c r="F1250" s="279" t="n">
        <f aca="false">E1250*$C$1207</f>
        <v>0.0294</v>
      </c>
      <c r="G1250" s="280" t="n">
        <f aca="false">G1249+E1250</f>
        <v>0.634625000000001</v>
      </c>
    </row>
    <row r="1251" customFormat="false" ht="15" hidden="false" customHeight="false" outlineLevel="0" collapsed="false">
      <c r="B1251" s="0" t="n">
        <v>40</v>
      </c>
      <c r="C1251" s="280"/>
      <c r="D1251" s="283"/>
      <c r="E1251" s="279" t="n">
        <f aca="false">IF(B1251&lt;=$C$1208,C1251-C1250,IF(B1251&lt;=$H$1208,$C$1209,MAX(0,MIN($H$1209,1-G1250))))</f>
        <v>0.018375</v>
      </c>
      <c r="F1251" s="279" t="n">
        <f aca="false">E1251*$C$1207</f>
        <v>0.0294</v>
      </c>
      <c r="G1251" s="280" t="n">
        <f aca="false">G1250+E1251</f>
        <v>0.653000000000001</v>
      </c>
    </row>
    <row r="1252" customFormat="false" ht="15" hidden="false" customHeight="false" outlineLevel="0" collapsed="false">
      <c r="B1252" s="0" t="n">
        <v>41</v>
      </c>
      <c r="C1252" s="280"/>
      <c r="D1252" s="283"/>
      <c r="E1252" s="279" t="n">
        <f aca="false">IF(B1252&lt;=$C$1208,C1252-C1251,IF(B1252&lt;=$H$1208,$C$1209,MAX(0,MIN($H$1209,1-G1251))))</f>
        <v>0.018375</v>
      </c>
      <c r="F1252" s="279" t="n">
        <f aca="false">E1252*$C$1207</f>
        <v>0.0294</v>
      </c>
      <c r="G1252" s="280" t="n">
        <f aca="false">G1251+E1252</f>
        <v>0.671375000000001</v>
      </c>
    </row>
    <row r="1253" customFormat="false" ht="15" hidden="false" customHeight="false" outlineLevel="0" collapsed="false">
      <c r="B1253" s="0" t="n">
        <v>42</v>
      </c>
      <c r="C1253" s="280"/>
      <c r="D1253" s="283"/>
      <c r="E1253" s="279" t="n">
        <f aca="false">IF(B1253&lt;=$C$1208,C1253-C1252,IF(B1253&lt;=$H$1208,$C$1209,MAX(0,MIN($H$1209,1-G1252))))</f>
        <v>0.018375</v>
      </c>
      <c r="F1253" s="279" t="n">
        <f aca="false">E1253*$C$1207</f>
        <v>0.0294</v>
      </c>
      <c r="G1253" s="280" t="n">
        <f aca="false">G1252+E1253</f>
        <v>0.689750000000001</v>
      </c>
    </row>
    <row r="1254" customFormat="false" ht="15" hidden="false" customHeight="false" outlineLevel="0" collapsed="false">
      <c r="B1254" s="0" t="n">
        <v>43</v>
      </c>
      <c r="C1254" s="280"/>
      <c r="D1254" s="283"/>
      <c r="E1254" s="279" t="n">
        <f aca="false">IF(B1254&lt;=$C$1208,C1254-C1253,IF(B1254&lt;=$H$1208,$C$1209,MAX(0,MIN($H$1209,1-G1253))))</f>
        <v>0.018375</v>
      </c>
      <c r="F1254" s="279" t="n">
        <f aca="false">E1254*$C$1207</f>
        <v>0.0294</v>
      </c>
      <c r="G1254" s="280" t="n">
        <f aca="false">G1253+E1254</f>
        <v>0.708125000000001</v>
      </c>
    </row>
    <row r="1255" customFormat="false" ht="15" hidden="false" customHeight="false" outlineLevel="0" collapsed="false">
      <c r="B1255" s="0" t="n">
        <v>44</v>
      </c>
      <c r="C1255" s="280"/>
      <c r="D1255" s="283"/>
      <c r="E1255" s="279" t="n">
        <f aca="false">IF(B1255&lt;=$C$1208,C1255-C1254,IF(B1255&lt;=$H$1208,$C$1209,MAX(0,MIN($H$1209,1-G1254))))</f>
        <v>0.018375</v>
      </c>
      <c r="F1255" s="279" t="n">
        <f aca="false">E1255*$C$1207</f>
        <v>0.0294</v>
      </c>
      <c r="G1255" s="280" t="n">
        <f aca="false">G1254+E1255</f>
        <v>0.726500000000001</v>
      </c>
    </row>
    <row r="1256" customFormat="false" ht="15" hidden="false" customHeight="false" outlineLevel="0" collapsed="false">
      <c r="B1256" s="0" t="n">
        <v>45</v>
      </c>
      <c r="C1256" s="280"/>
      <c r="D1256" s="283"/>
      <c r="E1256" s="279" t="n">
        <f aca="false">IF(B1256&lt;=$C$1208,C1256-C1255,IF(B1256&lt;=$H$1208,$C$1209,MAX(0,MIN($H$1209,1-G1255))))</f>
        <v>0.018375</v>
      </c>
      <c r="F1256" s="279" t="n">
        <f aca="false">E1256*$C$1207</f>
        <v>0.0294</v>
      </c>
      <c r="G1256" s="280" t="n">
        <f aca="false">G1255+E1256</f>
        <v>0.744875000000001</v>
      </c>
    </row>
    <row r="1257" customFormat="false" ht="15" hidden="false" customHeight="false" outlineLevel="0" collapsed="false">
      <c r="B1257" s="0" t="n">
        <v>46</v>
      </c>
      <c r="C1257" s="280"/>
      <c r="D1257" s="283"/>
      <c r="E1257" s="279" t="n">
        <f aca="false">IF(B1257&lt;=$C$1208,C1257-C1256,IF(B1257&lt;=$H$1208,$C$1209,MAX(0,MIN($H$1209,1-G1256))))</f>
        <v>0.018375</v>
      </c>
      <c r="F1257" s="279" t="n">
        <f aca="false">E1257*$C$1207</f>
        <v>0.0294</v>
      </c>
      <c r="G1257" s="280" t="n">
        <f aca="false">G1256+E1257</f>
        <v>0.763250000000001</v>
      </c>
    </row>
    <row r="1258" customFormat="false" ht="15" hidden="false" customHeight="false" outlineLevel="0" collapsed="false">
      <c r="B1258" s="0" t="n">
        <v>47</v>
      </c>
      <c r="C1258" s="280"/>
      <c r="D1258" s="283"/>
      <c r="E1258" s="279" t="n">
        <f aca="false">IF(B1258&lt;=$C$1208,C1258-C1257,IF(B1258&lt;=$H$1208,$C$1209,MAX(0,MIN($H$1209,1-G1257))))</f>
        <v>0.018375</v>
      </c>
      <c r="F1258" s="279" t="n">
        <f aca="false">E1258*$C$1207</f>
        <v>0.0294</v>
      </c>
      <c r="G1258" s="280" t="n">
        <f aca="false">G1257+E1258</f>
        <v>0.781625000000001</v>
      </c>
    </row>
    <row r="1259" customFormat="false" ht="15" hidden="false" customHeight="false" outlineLevel="0" collapsed="false">
      <c r="B1259" s="0" t="n">
        <v>48</v>
      </c>
      <c r="C1259" s="280"/>
      <c r="D1259" s="283"/>
      <c r="E1259" s="279" t="n">
        <f aca="false">IF(B1259&lt;=$C$1208,C1259-C1258,IF(B1259&lt;=$H$1208,$C$1209,MAX(0,MIN($H$1209,1-G1258))))</f>
        <v>0.018375</v>
      </c>
      <c r="F1259" s="279" t="n">
        <f aca="false">E1259*$C$1207</f>
        <v>0.0294</v>
      </c>
      <c r="G1259" s="280" t="n">
        <f aca="false">G1258+E1259</f>
        <v>0.800000000000001</v>
      </c>
    </row>
    <row r="1260" customFormat="false" ht="15" hidden="false" customHeight="false" outlineLevel="0" collapsed="false">
      <c r="B1260" s="0" t="n">
        <v>49</v>
      </c>
      <c r="C1260" s="280"/>
      <c r="D1260" s="283"/>
      <c r="E1260" s="279" t="n">
        <f aca="false">IF(B1260&lt;=$C$1208,C1260-C1259,IF(B1260&lt;=$H$1208,$C$1209,MAX(0,MIN($H$1209,1-G1259))))</f>
        <v>0.009</v>
      </c>
      <c r="F1260" s="279" t="n">
        <f aca="false">E1260*$C$1207</f>
        <v>0.0144</v>
      </c>
      <c r="G1260" s="280" t="n">
        <f aca="false">G1259+E1260</f>
        <v>0.809000000000001</v>
      </c>
    </row>
    <row r="1261" customFormat="false" ht="15" hidden="false" customHeight="false" outlineLevel="0" collapsed="false">
      <c r="B1261" s="0" t="n">
        <v>50</v>
      </c>
      <c r="C1261" s="280"/>
      <c r="D1261" s="283"/>
      <c r="E1261" s="279" t="n">
        <f aca="false">IF(B1261&lt;=$C$1208,C1261-C1260,IF(B1261&lt;=$H$1208,$C$1209,MAX(0,MIN($H$1209,1-G1260))))</f>
        <v>0.009</v>
      </c>
      <c r="F1261" s="279" t="n">
        <f aca="false">E1261*$C$1207</f>
        <v>0.0144</v>
      </c>
      <c r="G1261" s="280" t="n">
        <f aca="false">G1260+E1261</f>
        <v>0.818000000000001</v>
      </c>
    </row>
    <row r="1262" customFormat="false" ht="15" hidden="false" customHeight="false" outlineLevel="0" collapsed="false">
      <c r="B1262" s="0" t="n">
        <v>51</v>
      </c>
      <c r="C1262" s="280"/>
      <c r="D1262" s="283"/>
      <c r="E1262" s="279" t="n">
        <f aca="false">IF(B1262&lt;=$C$1208,C1262-C1261,IF(B1262&lt;=$H$1208,$C$1209,MAX(0,MIN($H$1209,1-G1261))))</f>
        <v>0.009</v>
      </c>
      <c r="F1262" s="279" t="n">
        <f aca="false">E1262*$C$1207</f>
        <v>0.0144</v>
      </c>
      <c r="G1262" s="280" t="n">
        <f aca="false">G1261+E1262</f>
        <v>0.827000000000001</v>
      </c>
    </row>
    <row r="1263" customFormat="false" ht="15" hidden="false" customHeight="false" outlineLevel="0" collapsed="false">
      <c r="B1263" s="0" t="n">
        <v>52</v>
      </c>
      <c r="C1263" s="280"/>
      <c r="D1263" s="283"/>
      <c r="E1263" s="279" t="n">
        <f aca="false">IF(B1263&lt;=$C$1208,C1263-C1262,IF(B1263&lt;=$H$1208,$C$1209,MAX(0,MIN($H$1209,1-G1262))))</f>
        <v>0.009</v>
      </c>
      <c r="F1263" s="279" t="n">
        <f aca="false">E1263*$C$1207</f>
        <v>0.0144</v>
      </c>
      <c r="G1263" s="280" t="n">
        <f aca="false">G1262+E1263</f>
        <v>0.836000000000001</v>
      </c>
    </row>
    <row r="1264" customFormat="false" ht="15" hidden="false" customHeight="false" outlineLevel="0" collapsed="false">
      <c r="B1264" s="0" t="n">
        <v>53</v>
      </c>
      <c r="C1264" s="280"/>
      <c r="D1264" s="283"/>
      <c r="E1264" s="279" t="n">
        <f aca="false">IF(B1264&lt;=$C$1208,C1264-C1263,IF(B1264&lt;=$H$1208,$C$1209,MAX(0,MIN($H$1209,1-G1263))))</f>
        <v>0.009</v>
      </c>
      <c r="F1264" s="279" t="n">
        <f aca="false">E1264*$C$1207</f>
        <v>0.0144</v>
      </c>
      <c r="G1264" s="280" t="n">
        <f aca="false">G1263+E1264</f>
        <v>0.845000000000001</v>
      </c>
    </row>
    <row r="1265" customFormat="false" ht="15" hidden="false" customHeight="false" outlineLevel="0" collapsed="false">
      <c r="B1265" s="0" t="n">
        <v>54</v>
      </c>
      <c r="C1265" s="280"/>
      <c r="D1265" s="283"/>
      <c r="E1265" s="279" t="n">
        <f aca="false">IF(B1265&lt;=$C$1208,C1265-C1264,IF(B1265&lt;=$H$1208,$C$1209,MAX(0,MIN($H$1209,1-G1264))))</f>
        <v>0.009</v>
      </c>
      <c r="F1265" s="279" t="n">
        <f aca="false">E1265*$C$1207</f>
        <v>0.0144</v>
      </c>
      <c r="G1265" s="280" t="n">
        <f aca="false">G1264+E1265</f>
        <v>0.854000000000001</v>
      </c>
    </row>
    <row r="1266" customFormat="false" ht="15" hidden="false" customHeight="false" outlineLevel="0" collapsed="false">
      <c r="B1266" s="0" t="n">
        <v>55</v>
      </c>
      <c r="C1266" s="280"/>
      <c r="D1266" s="283"/>
      <c r="E1266" s="279" t="n">
        <f aca="false">IF(B1266&lt;=$C$1208,C1266-C1265,IF(B1266&lt;=$H$1208,$C$1209,MAX(0,MIN($H$1209,1-G1265))))</f>
        <v>0.009</v>
      </c>
      <c r="F1266" s="279" t="n">
        <f aca="false">E1266*$C$1207</f>
        <v>0.0144</v>
      </c>
      <c r="G1266" s="280" t="n">
        <f aca="false">G1265+E1266</f>
        <v>0.863000000000001</v>
      </c>
    </row>
    <row r="1267" customFormat="false" ht="15" hidden="false" customHeight="false" outlineLevel="0" collapsed="false">
      <c r="B1267" s="0" t="n">
        <v>56</v>
      </c>
      <c r="C1267" s="280"/>
      <c r="D1267" s="283"/>
      <c r="E1267" s="279" t="n">
        <f aca="false">IF(B1267&lt;=$C$1208,C1267-C1266,IF(B1267&lt;=$H$1208,$C$1209,MAX(0,MIN($H$1209,1-G1266))))</f>
        <v>0.009</v>
      </c>
      <c r="F1267" s="279" t="n">
        <f aca="false">E1267*$C$1207</f>
        <v>0.0144</v>
      </c>
      <c r="G1267" s="280" t="n">
        <f aca="false">G1266+E1267</f>
        <v>0.872000000000001</v>
      </c>
    </row>
    <row r="1268" customFormat="false" ht="15" hidden="false" customHeight="false" outlineLevel="0" collapsed="false">
      <c r="B1268" s="0" t="n">
        <v>57</v>
      </c>
      <c r="C1268" s="280"/>
      <c r="D1268" s="283"/>
      <c r="E1268" s="279" t="n">
        <f aca="false">IF(B1268&lt;=$C$1208,C1268-C1267,IF(B1268&lt;=$H$1208,$C$1209,MAX(0,MIN($H$1209,1-G1267))))</f>
        <v>0.009</v>
      </c>
      <c r="F1268" s="279" t="n">
        <f aca="false">E1268*$C$1207</f>
        <v>0.0144</v>
      </c>
      <c r="G1268" s="280" t="n">
        <f aca="false">G1267+E1268</f>
        <v>0.881000000000001</v>
      </c>
    </row>
    <row r="1269" customFormat="false" ht="15" hidden="false" customHeight="false" outlineLevel="0" collapsed="false">
      <c r="B1269" s="0" t="n">
        <v>58</v>
      </c>
      <c r="C1269" s="280"/>
      <c r="D1269" s="283"/>
      <c r="E1269" s="279" t="n">
        <f aca="false">IF(B1269&lt;=$C$1208,C1269-C1268,IF(B1269&lt;=$H$1208,$C$1209,MAX(0,MIN($H$1209,1-G1268))))</f>
        <v>0.009</v>
      </c>
      <c r="F1269" s="279" t="n">
        <f aca="false">E1269*$C$1207</f>
        <v>0.0144</v>
      </c>
      <c r="G1269" s="280" t="n">
        <f aca="false">G1268+E1269</f>
        <v>0.890000000000001</v>
      </c>
    </row>
    <row r="1270" customFormat="false" ht="15" hidden="false" customHeight="false" outlineLevel="0" collapsed="false">
      <c r="B1270" s="0" t="n">
        <v>59</v>
      </c>
      <c r="C1270" s="280"/>
      <c r="D1270" s="283"/>
      <c r="E1270" s="279" t="n">
        <f aca="false">IF(B1270&lt;=$C$1208,C1270-C1269,IF(B1270&lt;=$H$1208,$C$1209,MAX(0,MIN($H$1209,1-G1269))))</f>
        <v>0.009</v>
      </c>
      <c r="F1270" s="279" t="n">
        <f aca="false">E1270*$C$1207</f>
        <v>0.0144</v>
      </c>
      <c r="G1270" s="280" t="n">
        <f aca="false">G1269+E1270</f>
        <v>0.899000000000001</v>
      </c>
    </row>
    <row r="1271" customFormat="false" ht="15" hidden="false" customHeight="false" outlineLevel="0" collapsed="false">
      <c r="B1271" s="0" t="n">
        <v>60</v>
      </c>
      <c r="C1271" s="280"/>
      <c r="D1271" s="283"/>
      <c r="E1271" s="279" t="n">
        <f aca="false">IF(B1271&lt;=$C$1208,C1271-C1270,IF(B1271&lt;=$H$1208,$C$1209,MAX(0,MIN($H$1209,1-G1270))))</f>
        <v>0.009</v>
      </c>
      <c r="F1271" s="279" t="n">
        <f aca="false">E1271*$C$1207</f>
        <v>0.0144</v>
      </c>
      <c r="G1271" s="280" t="n">
        <f aca="false">G1270+E1271</f>
        <v>0.908000000000001</v>
      </c>
    </row>
  </sheetData>
  <mergeCells count="7">
    <mergeCell ref="B1:N1"/>
    <mergeCell ref="B2:N2"/>
    <mergeCell ref="B4:D4"/>
    <mergeCell ref="B21:N21"/>
    <mergeCell ref="B26:N26"/>
    <mergeCell ref="B34:Z34"/>
    <mergeCell ref="B41:Z4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5D50"/>
    <pageSetUpPr fitToPage="false"/>
  </sheetPr>
  <dimension ref="B1:ER1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8" activeCellId="0" sqref="B18"/>
    </sheetView>
  </sheetViews>
  <sheetFormatPr defaultColWidth="10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12" min="3" style="0" width="15"/>
    <col collapsed="false" customWidth="true" hidden="false" outlineLevel="0" max="13" min="13" style="0" width="16.67"/>
    <col collapsed="false" customWidth="true" hidden="false" outlineLevel="0" max="14" min="14" style="0" width="13.34"/>
  </cols>
  <sheetData>
    <row r="1" customFormat="false" ht="15.75" hidden="false" customHeight="true" outlineLevel="0" collapsed="false">
      <c r="B1" s="176" t="s">
        <v>1103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</row>
    <row r="2" customFormat="false" ht="15" hidden="false" customHeight="false" outlineLevel="0" collapsed="false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</row>
    <row r="3" customFormat="false" ht="15" hidden="false" customHeight="false" outlineLevel="0" collapsed="false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</row>
    <row r="4" customFormat="false" ht="15" hidden="false" customHeight="false" outlineLevel="0" collapsed="false">
      <c r="B4" s="21" t="s">
        <v>1104</v>
      </c>
      <c r="C4" s="21"/>
      <c r="D4" s="21"/>
      <c r="E4" s="21"/>
      <c r="F4" s="21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</row>
    <row r="5" customFormat="false" ht="15" hidden="false" customHeight="false" outlineLevel="0" collapsed="false">
      <c r="B5" s="36" t="s">
        <v>1105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</row>
    <row r="6" customFormat="false" ht="15" hidden="false" customHeight="false" outlineLevel="0" collapsed="false">
      <c r="B6" s="36" t="s">
        <v>1106</v>
      </c>
      <c r="C6" s="177" t="n">
        <v>0.3</v>
      </c>
      <c r="D6" s="9" t="s">
        <v>394</v>
      </c>
      <c r="E6" s="18"/>
      <c r="F6" s="9" t="s">
        <v>1107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</row>
    <row r="7" customFormat="false" ht="15" hidden="false" customHeight="false" outlineLevel="0" collapsed="false">
      <c r="B7" s="36" t="s">
        <v>1108</v>
      </c>
      <c r="C7" s="177" t="n">
        <v>0.01</v>
      </c>
      <c r="D7" s="9" t="s">
        <v>394</v>
      </c>
      <c r="E7" s="18"/>
      <c r="F7" s="9" t="s">
        <v>1109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</row>
    <row r="8" customFormat="false" ht="15" hidden="false" customHeight="false" outlineLevel="0" collapsed="false">
      <c r="B8" s="36" t="s">
        <v>1110</v>
      </c>
      <c r="C8" s="177" t="n">
        <v>0.005</v>
      </c>
      <c r="D8" s="9" t="s">
        <v>394</v>
      </c>
      <c r="E8" s="18"/>
      <c r="F8" s="9" t="s">
        <v>1111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</row>
    <row r="9" customFormat="false" ht="15" hidden="false" customHeight="false" outlineLevel="0" collapsed="false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</row>
    <row r="10" customFormat="false" ht="15" hidden="false" customHeight="false" outlineLevel="0" collapsed="false">
      <c r="B10" s="36" t="s">
        <v>1112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</row>
    <row r="11" customFormat="false" ht="15" hidden="false" customHeight="false" outlineLevel="0" collapsed="false">
      <c r="B11" s="26" t="s">
        <v>1113</v>
      </c>
      <c r="C11" s="26" t="s">
        <v>1114</v>
      </c>
      <c r="D11" s="26" t="s">
        <v>1115</v>
      </c>
      <c r="E11" s="26" t="s">
        <v>468</v>
      </c>
      <c r="F11" s="26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</row>
    <row r="12" customFormat="false" ht="15" hidden="false" customHeight="false" outlineLevel="0" collapsed="false">
      <c r="B12" s="36" t="s">
        <v>1116</v>
      </c>
      <c r="C12" s="116" t="n">
        <v>2600</v>
      </c>
      <c r="D12" s="9" t="n">
        <v>1</v>
      </c>
      <c r="E12" s="18" t="s">
        <v>1117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</row>
    <row r="13" customFormat="false" ht="15" hidden="false" customHeight="false" outlineLevel="0" collapsed="false">
      <c r="B13" s="36" t="s">
        <v>1118</v>
      </c>
      <c r="C13" s="116" t="n">
        <v>700</v>
      </c>
      <c r="D13" s="9" t="n">
        <v>1</v>
      </c>
      <c r="E13" s="18" t="s">
        <v>1119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</row>
    <row r="14" customFormat="false" ht="15" hidden="false" customHeight="false" outlineLevel="0" collapsed="false">
      <c r="B14" s="36" t="s">
        <v>1120</v>
      </c>
      <c r="C14" s="116" t="n">
        <v>700</v>
      </c>
      <c r="D14" s="9" t="n">
        <v>1</v>
      </c>
      <c r="E14" s="18" t="s">
        <v>1121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</row>
    <row r="15" customFormat="false" ht="15" hidden="false" customHeight="false" outlineLevel="0" collapsed="false">
      <c r="B15" s="36" t="s">
        <v>1122</v>
      </c>
      <c r="C15" s="177" t="n">
        <v>0.34</v>
      </c>
      <c r="D15" s="9" t="s">
        <v>1123</v>
      </c>
      <c r="E15" s="18" t="s">
        <v>1124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</row>
    <row r="16" customFormat="false" ht="15" hidden="false" customHeight="false" outlineLevel="0" collapsed="false">
      <c r="B16" s="36" t="s">
        <v>1125</v>
      </c>
      <c r="C16" s="116" t="n">
        <v>100</v>
      </c>
      <c r="D16" s="9" t="s">
        <v>1126</v>
      </c>
      <c r="E16" s="18" t="s">
        <v>1127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</row>
    <row r="17" customFormat="false" ht="15" hidden="false" customHeight="false" outlineLevel="0" collapsed="false">
      <c r="B17" s="36" t="s">
        <v>1128</v>
      </c>
      <c r="C17" s="116" t="n">
        <v>20000</v>
      </c>
      <c r="D17" s="9" t="s">
        <v>1114</v>
      </c>
      <c r="E17" s="18" t="s">
        <v>1129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</row>
    <row r="18" customFormat="false" ht="15" hidden="false" customHeight="false" outlineLevel="0" collapsed="false">
      <c r="B18" s="36" t="s">
        <v>1130</v>
      </c>
      <c r="C18" s="116" t="n">
        <v>3000</v>
      </c>
      <c r="D18" s="9" t="s">
        <v>1114</v>
      </c>
      <c r="E18" s="18" t="s">
        <v>1131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</row>
    <row r="19" customFormat="false" ht="15" hidden="false" customHeight="false" outlineLevel="0" collapsed="false">
      <c r="B19" s="36" t="s">
        <v>1132</v>
      </c>
      <c r="C19" s="116" t="n">
        <v>2500</v>
      </c>
      <c r="D19" s="9" t="s">
        <v>1114</v>
      </c>
      <c r="E19" s="18" t="s">
        <v>1133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</row>
    <row r="20" customFormat="false" ht="15" hidden="false" customHeight="false" outlineLevel="0" collapsed="false">
      <c r="B20" s="36" t="s">
        <v>1134</v>
      </c>
      <c r="C20" s="116" t="n">
        <v>1800</v>
      </c>
      <c r="D20" s="9" t="s">
        <v>1114</v>
      </c>
      <c r="E20" s="18" t="s">
        <v>1135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</row>
    <row r="21" customFormat="false" ht="15" hidden="false" customHeight="false" outlineLevel="0" collapsed="false">
      <c r="B21" s="36" t="s">
        <v>1136</v>
      </c>
      <c r="C21" s="116" t="n">
        <v>1000</v>
      </c>
      <c r="D21" s="9" t="s">
        <v>1114</v>
      </c>
      <c r="E21" s="18" t="s">
        <v>1137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</row>
    <row r="22" customFormat="false" ht="15" hidden="false" customHeight="false" outlineLevel="0" collapsed="false">
      <c r="B22" s="36" t="s">
        <v>1138</v>
      </c>
      <c r="C22" s="116" t="n">
        <v>1200</v>
      </c>
      <c r="D22" s="9" t="s">
        <v>1114</v>
      </c>
      <c r="E22" s="18" t="s">
        <v>1139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</row>
    <row r="23" customFormat="false" ht="15" hidden="false" customHeight="false" outlineLevel="0" collapsed="false">
      <c r="B23" s="36" t="s">
        <v>1140</v>
      </c>
      <c r="C23" s="116" t="n">
        <v>5</v>
      </c>
      <c r="D23" s="9" t="s">
        <v>1141</v>
      </c>
      <c r="E23" s="18" t="s">
        <v>1142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</row>
    <row r="24" customFormat="false" ht="15" hidden="false" customHeight="false" outlineLevel="0" collapsed="false">
      <c r="B24" s="260" t="s">
        <v>1143</v>
      </c>
      <c r="C24" s="284" t="n">
        <v>0.02</v>
      </c>
      <c r="D24" s="258" t="s">
        <v>394</v>
      </c>
      <c r="E24" s="18" t="s">
        <v>1144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</row>
    <row r="25" customFormat="false" ht="15" hidden="false" customHeight="false" outlineLevel="0" collapsed="false">
      <c r="B25" s="260" t="s">
        <v>1145</v>
      </c>
      <c r="C25" s="284" t="n">
        <v>0.06</v>
      </c>
      <c r="D25" s="258" t="s">
        <v>394</v>
      </c>
      <c r="E25" s="285" t="s">
        <v>1146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</row>
    <row r="26" customFormat="false" ht="15" hidden="false" customHeight="false" outlineLevel="0" collapsed="false">
      <c r="B26" s="260" t="s">
        <v>1147</v>
      </c>
      <c r="C26" s="286" t="n">
        <v>900</v>
      </c>
      <c r="D26" s="258" t="s">
        <v>1114</v>
      </c>
      <c r="E26" s="287" t="n">
        <v>500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</row>
    <row r="27" customFormat="false" ht="15" hidden="false" customHeight="false" outlineLevel="0" collapsed="false">
      <c r="B27" s="260" t="s">
        <v>1148</v>
      </c>
      <c r="C27" s="286" t="n">
        <v>650</v>
      </c>
      <c r="D27" s="258" t="s">
        <v>1114</v>
      </c>
      <c r="E27" s="287" t="n">
        <v>400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</row>
    <row r="28" customFormat="false" ht="15" hidden="false" customHeight="false" outlineLevel="0" collapsed="false">
      <c r="B28" s="260" t="s">
        <v>1149</v>
      </c>
      <c r="C28" s="286" t="n">
        <v>550</v>
      </c>
      <c r="D28" s="258" t="s">
        <v>1114</v>
      </c>
      <c r="E28" s="287" t="n">
        <v>300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</row>
    <row r="29" customFormat="false" ht="15" hidden="false" customHeight="false" outlineLevel="0" collapsed="false">
      <c r="B29" s="260" t="s">
        <v>1150</v>
      </c>
      <c r="C29" s="286" t="n">
        <v>300</v>
      </c>
      <c r="D29" s="258" t="s">
        <v>1114</v>
      </c>
      <c r="E29" s="287" t="n">
        <v>150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</row>
    <row r="30" customFormat="false" ht="15" hidden="false" customHeight="false" outlineLevel="0" collapsed="false">
      <c r="B30" s="260" t="s">
        <v>1151</v>
      </c>
      <c r="C30" s="286" t="n">
        <v>350</v>
      </c>
      <c r="D30" s="258" t="s">
        <v>1114</v>
      </c>
      <c r="E30" s="287" t="n">
        <v>300</v>
      </c>
      <c r="F30" s="21"/>
      <c r="G30" s="21"/>
      <c r="H30" s="21"/>
      <c r="I30" s="21"/>
      <c r="J30" s="21"/>
      <c r="K30" s="21"/>
      <c r="L30" s="21"/>
      <c r="M30" s="21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</row>
    <row r="31" customFormat="false" ht="15" hidden="false" customHeight="false" outlineLevel="0" collapsed="false">
      <c r="B31" s="26" t="s">
        <v>1152</v>
      </c>
      <c r="C31" s="288" t="n">
        <v>200</v>
      </c>
      <c r="D31" s="178" t="s">
        <v>1153</v>
      </c>
      <c r="E31" s="289" t="s">
        <v>1154</v>
      </c>
      <c r="F31" s="178" t="n">
        <v>2028</v>
      </c>
      <c r="G31" s="178" t="n">
        <v>2029</v>
      </c>
      <c r="H31" s="178" t="n">
        <v>2030</v>
      </c>
      <c r="I31" s="178" t="n">
        <v>2031</v>
      </c>
      <c r="J31" s="178" t="n">
        <v>2032</v>
      </c>
      <c r="K31" s="178" t="n">
        <v>2033</v>
      </c>
      <c r="L31" s="178" t="n">
        <v>2034</v>
      </c>
      <c r="M31" s="178" t="n">
        <v>2035</v>
      </c>
      <c r="N31" s="178" t="n">
        <v>2036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</row>
    <row r="32" customFormat="false" ht="15" hidden="false" customHeight="false" outlineLevel="0" collapsed="false">
      <c r="B32" s="9" t="s">
        <v>1155</v>
      </c>
      <c r="C32" s="63" t="n">
        <f aca="false" t="array" ref="C32:C32">SUMPRODUCT(('⑫ Roll-out Plan'!$G$10:$G$97&lt;=2025)*(LEFT('⑫ Roll-out Plan'!$E$10:$E$97,1)="A")*('⑫ Roll-out Plan'!$O$10:$O$97))</f>
        <v>2</v>
      </c>
      <c r="D32" s="63" t="n">
        <f aca="false" t="array" ref="D32:D32">SUMPRODUCT(('⑫ Roll-out Plan'!$G$10:$G$97&lt;=2026)*(LEFT('⑫ Roll-out Plan'!$E$10:$E$97,1)="A")*('⑫ Roll-out Plan'!$O$10:$O$97))</f>
        <v>2</v>
      </c>
      <c r="E32" s="63" t="n">
        <f aca="false" t="array" ref="E32:E32">SUMPRODUCT(('⑫ Roll-out Plan'!$G$10:$G$97&lt;=2027)*(LEFT('⑫ Roll-out Plan'!$E$10:$E$97,1)="A")*('⑫ Roll-out Plan'!$O$10:$O$97))</f>
        <v>7</v>
      </c>
      <c r="F32" s="63" t="n">
        <f aca="false" t="array" ref="F32:F32">SUMPRODUCT(('⑫ Roll-out Plan'!$G$10:$G$97&lt;=2028)*(LEFT('⑫ Roll-out Plan'!$E$10:$E$97,1)="A")*('⑫ Roll-out Plan'!$O$10:$O$97))</f>
        <v>9</v>
      </c>
      <c r="G32" s="63" t="n">
        <f aca="false" t="array" ref="G32:G32">SUMPRODUCT(('⑫ Roll-out Plan'!$G$10:$G$97&lt;=2029)*(LEFT('⑫ Roll-out Plan'!$E$10:$E$97,1)="A")*('⑫ Roll-out Plan'!$O$10:$O$97))</f>
        <v>9</v>
      </c>
      <c r="H32" s="63" t="n">
        <f aca="false" t="array" ref="H32:H32">SUMPRODUCT(('⑫ Roll-out Plan'!$G$10:$G$97&lt;=2030)*(LEFT('⑫ Roll-out Plan'!$E$10:$E$97,1)="A")*('⑫ Roll-out Plan'!$O$10:$O$97))</f>
        <v>10</v>
      </c>
      <c r="I32" s="63" t="n">
        <f aca="false" t="array" ref="I32:I32">SUMPRODUCT(('⑫ Roll-out Plan'!$G$10:$G$97&lt;=2031)*(LEFT('⑫ Roll-out Plan'!$E$10:$E$97,1)="A")*('⑫ Roll-out Plan'!$O$10:$O$97))</f>
        <v>11</v>
      </c>
      <c r="J32" s="63" t="n">
        <f aca="false" t="array" ref="J32:J32">SUMPRODUCT(('⑫ Roll-out Plan'!$G$10:$G$97&lt;=2032)*(LEFT('⑫ Roll-out Plan'!$E$10:$E$97,1)="A")*('⑫ Roll-out Plan'!$O$10:$O$97))</f>
        <v>12</v>
      </c>
      <c r="K32" s="63" t="n">
        <f aca="false" t="array" ref="K32:K32">SUMPRODUCT(('⑫ Roll-out Plan'!$G$10:$G$97&lt;=2033)*(LEFT('⑫ Roll-out Plan'!$E$10:$E$97,1)="A")*('⑫ Roll-out Plan'!$O$10:$O$97))</f>
        <v>13</v>
      </c>
      <c r="L32" s="63" t="n">
        <f aca="false" t="array" ref="L32:L32">SUMPRODUCT(('⑫ Roll-out Plan'!$G$10:$G$97&lt;=2034)*(LEFT('⑫ Roll-out Plan'!$E$10:$E$97,1)="A")*('⑫ Roll-out Plan'!$O$10:$O$97))</f>
        <v>14</v>
      </c>
      <c r="M32" s="9" t="n">
        <f aca="false" t="array" ref="M32:M32">SUMPRODUCT(('⑫ Roll-out Plan'!$G$10:$G$97&lt;=2034)*(LEFT('⑫ Roll-out Plan'!$E$10:$E$97,1)="A")*('⑫ Roll-out Plan'!$O$10:$O$97))</f>
        <v>14</v>
      </c>
      <c r="N32" s="9" t="n">
        <f aca="false" t="array" ref="N32:N32">SUMPRODUCT(('⑫ Roll-out Plan'!$G$10:$G$97&lt;=2034)*(LEFT('⑫ Roll-out Plan'!$E$10:$E$97,1)="A")*('⑫ Roll-out Plan'!$O$10:$O$97))</f>
        <v>14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</row>
    <row r="33" customFormat="false" ht="15" hidden="false" customHeight="false" outlineLevel="0" collapsed="false">
      <c r="B33" s="9" t="s">
        <v>1156</v>
      </c>
      <c r="C33" s="63" t="n">
        <f aca="false" t="array" ref="C33:C33">SUMPRODUCT(('⑫ Roll-out Plan'!$G$10:$G$97&lt;=2025)*(LEFT('⑫ Roll-out Plan'!$E$10:$E$97,1)="B")*('⑫ Roll-out Plan'!$O$10:$O$97))</f>
        <v>1</v>
      </c>
      <c r="D33" s="63" t="n">
        <f aca="false" t="array" ref="D33:D33">SUMPRODUCT(('⑫ Roll-out Plan'!$G$10:$G$97&lt;=2026)*(LEFT('⑫ Roll-out Plan'!$E$10:$E$97,1)="B")*('⑫ Roll-out Plan'!$O$10:$O$97))</f>
        <v>1</v>
      </c>
      <c r="E33" s="63" t="n">
        <f aca="false" t="array" ref="E33:E33">SUMPRODUCT(('⑫ Roll-out Plan'!$G$10:$G$97&lt;=2027)*(LEFT('⑫ Roll-out Plan'!$E$10:$E$97,1)="B")*('⑫ Roll-out Plan'!$O$10:$O$97))</f>
        <v>3</v>
      </c>
      <c r="F33" s="63" t="n">
        <f aca="false" t="array" ref="F33:F33">SUMPRODUCT(('⑫ Roll-out Plan'!$G$10:$G$97&lt;=2028)*(LEFT('⑫ Roll-out Plan'!$E$10:$E$97,1)="B")*('⑫ Roll-out Plan'!$O$10:$O$97))</f>
        <v>8</v>
      </c>
      <c r="G33" s="63" t="n">
        <f aca="false" t="array" ref="G33:G33">SUMPRODUCT(('⑫ Roll-out Plan'!$G$10:$G$97&lt;=2029)*(LEFT('⑫ Roll-out Plan'!$E$10:$E$97,1)="B")*('⑫ Roll-out Plan'!$O$10:$O$97))</f>
        <v>8</v>
      </c>
      <c r="H33" s="63" t="n">
        <f aca="false" t="array" ref="H33:H33">SUMPRODUCT(('⑫ Roll-out Plan'!$G$10:$G$97&lt;=2030)*(LEFT('⑫ Roll-out Plan'!$E$10:$E$97,1)="B")*('⑫ Roll-out Plan'!$O$10:$O$97))</f>
        <v>10</v>
      </c>
      <c r="I33" s="63" t="n">
        <f aca="false" t="array" ref="I33:I33">SUMPRODUCT(('⑫ Roll-out Plan'!$G$10:$G$97&lt;=2031)*(LEFT('⑫ Roll-out Plan'!$E$10:$E$97,1)="B")*('⑫ Roll-out Plan'!$O$10:$O$97))</f>
        <v>14</v>
      </c>
      <c r="J33" s="63" t="n">
        <f aca="false" t="array" ref="J33:J33">SUMPRODUCT(('⑫ Roll-out Plan'!$G$10:$G$97&lt;=2032)*(LEFT('⑫ Roll-out Plan'!$E$10:$E$97,1)="B")*('⑫ Roll-out Plan'!$O$10:$O$97))</f>
        <v>17</v>
      </c>
      <c r="K33" s="63" t="n">
        <f aca="false" t="array" ref="K33:K33">SUMPRODUCT(('⑫ Roll-out Plan'!$G$10:$G$97&lt;=2033)*(LEFT('⑫ Roll-out Plan'!$E$10:$E$97,1)="B")*('⑫ Roll-out Plan'!$O$10:$O$97))</f>
        <v>20</v>
      </c>
      <c r="L33" s="63" t="n">
        <f aca="false" t="array" ref="L33:L33">SUMPRODUCT(('⑫ Roll-out Plan'!$G$10:$G$97&lt;=2034)*(LEFT('⑫ Roll-out Plan'!$E$10:$E$97,1)="B")*('⑫ Roll-out Plan'!$O$10:$O$97))</f>
        <v>25</v>
      </c>
      <c r="M33" s="9" t="n">
        <f aca="false" t="array" ref="M33:M33">SUMPRODUCT(('⑫ Roll-out Plan'!$G$10:$G$97&lt;=2034)*(LEFT('⑫ Roll-out Plan'!$E$10:$E$97,1)="B")*('⑫ Roll-out Plan'!$O$10:$O$97))</f>
        <v>25</v>
      </c>
      <c r="N33" s="9" t="n">
        <f aca="false" t="array" ref="N33:N33">SUMPRODUCT(('⑫ Roll-out Plan'!$G$10:$G$97&lt;=2034)*(LEFT('⑫ Roll-out Plan'!$E$10:$E$97,1)="B")*('⑫ Roll-out Plan'!$O$10:$O$97))</f>
        <v>25</v>
      </c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</row>
    <row r="34" customFormat="false" ht="15" hidden="false" customHeight="false" outlineLevel="0" collapsed="false">
      <c r="B34" s="9" t="s">
        <v>1157</v>
      </c>
      <c r="C34" s="63" t="n">
        <f aca="false" t="array" ref="C34:C34">SUMPRODUCT(('⑫ Roll-out Plan'!$G$10:$G$97&lt;=2025)*(LEFT('⑫ Roll-out Plan'!$E$10:$E$97,1)="C")*('⑫ Roll-out Plan'!$O$10:$O$97))</f>
        <v>0</v>
      </c>
      <c r="D34" s="63" t="n">
        <f aca="false" t="array" ref="D34:D34">SUMPRODUCT(('⑫ Roll-out Plan'!$G$10:$G$97&lt;=2026)*(LEFT('⑫ Roll-out Plan'!$E$10:$E$97,1)="C")*('⑫ Roll-out Plan'!$O$10:$O$97))</f>
        <v>0</v>
      </c>
      <c r="E34" s="63" t="n">
        <f aca="false" t="array" ref="E34:E34">SUMPRODUCT(('⑫ Roll-out Plan'!$G$10:$G$97&lt;=2027)*(LEFT('⑫ Roll-out Plan'!$E$10:$E$97,1)="C")*('⑫ Roll-out Plan'!$O$10:$O$97))</f>
        <v>0</v>
      </c>
      <c r="F34" s="63" t="n">
        <f aca="false" t="array" ref="F34:F34">SUMPRODUCT(('⑫ Roll-out Plan'!$G$10:$G$97&lt;=2028)*(LEFT('⑫ Roll-out Plan'!$E$10:$E$97,1)="C")*('⑫ Roll-out Plan'!$O$10:$O$97))</f>
        <v>0</v>
      </c>
      <c r="G34" s="63" t="n">
        <f aca="false" t="array" ref="G34:G34">SUMPRODUCT(('⑫ Roll-out Plan'!$G$10:$G$97&lt;=2029)*(LEFT('⑫ Roll-out Plan'!$E$10:$E$97,1)="C")*('⑫ Roll-out Plan'!$O$10:$O$97))</f>
        <v>1</v>
      </c>
      <c r="H34" s="63" t="n">
        <f aca="false" t="array" ref="H34:H34">SUMPRODUCT(('⑫ Roll-out Plan'!$G$10:$G$97&lt;=2030)*(LEFT('⑫ Roll-out Plan'!$E$10:$E$97,1)="C")*('⑫ Roll-out Plan'!$O$10:$O$97))</f>
        <v>2</v>
      </c>
      <c r="I34" s="63" t="n">
        <f aca="false" t="array" ref="I34:I34">SUMPRODUCT(('⑫ Roll-out Plan'!$G$10:$G$97&lt;=2031)*(LEFT('⑫ Roll-out Plan'!$E$10:$E$97,1)="C")*('⑫ Roll-out Plan'!$O$10:$O$97))</f>
        <v>4</v>
      </c>
      <c r="J34" s="63" t="n">
        <f aca="false" t="array" ref="J34:J34">SUMPRODUCT(('⑫ Roll-out Plan'!$G$10:$G$97&lt;=2032)*(LEFT('⑫ Roll-out Plan'!$E$10:$E$97,1)="C")*('⑫ Roll-out Plan'!$O$10:$O$97))</f>
        <v>4</v>
      </c>
      <c r="K34" s="63" t="n">
        <f aca="false" t="array" ref="K34:K34">SUMPRODUCT(('⑫ Roll-out Plan'!$G$10:$G$97&lt;=2033)*(LEFT('⑫ Roll-out Plan'!$E$10:$E$97,1)="C")*('⑫ Roll-out Plan'!$O$10:$O$97))</f>
        <v>8</v>
      </c>
      <c r="L34" s="63" t="n">
        <f aca="false" t="array" ref="L34:L34">SUMPRODUCT(('⑫ Roll-out Plan'!$G$10:$G$97&lt;=2034)*(LEFT('⑫ Roll-out Plan'!$E$10:$E$97,1)="C")*('⑫ Roll-out Plan'!$O$10:$O$97))</f>
        <v>14</v>
      </c>
      <c r="M34" s="9" t="n">
        <f aca="false" t="array" ref="M34:M34">SUMPRODUCT(('⑫ Roll-out Plan'!$G$10:$G$97&lt;=2034)*(LEFT('⑫ Roll-out Plan'!$E$10:$E$97,1)="C")*('⑫ Roll-out Plan'!$O$10:$O$97))</f>
        <v>14</v>
      </c>
      <c r="N34" s="9" t="n">
        <f aca="false" t="array" ref="N34:N34">SUMPRODUCT(('⑫ Roll-out Plan'!$G$10:$G$97&lt;=2034)*(LEFT('⑫ Roll-out Plan'!$E$10:$E$97,1)="C")*('⑫ Roll-out Plan'!$O$10:$O$97))</f>
        <v>14</v>
      </c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</row>
    <row r="35" customFormat="false" ht="15" hidden="false" customHeight="false" outlineLevel="0" collapsed="false">
      <c r="B35" s="9" t="s">
        <v>1158</v>
      </c>
      <c r="C35" s="63" t="n">
        <f aca="false" t="array" ref="C35:C35">SUMPRODUCT(('⑫ Roll-out Plan'!$G$10:$G$97&lt;=2025)*(LEFT('⑫ Roll-out Plan'!$E$10:$E$97,1)="D")*('⑫ Roll-out Plan'!$O$10:$O$97))</f>
        <v>1</v>
      </c>
      <c r="D35" s="63" t="n">
        <f aca="false" t="array" ref="D35:D35">SUMPRODUCT(('⑫ Roll-out Plan'!$G$10:$G$97&lt;=2026)*(LEFT('⑫ Roll-out Plan'!$E$10:$E$97,1)="D")*('⑫ Roll-out Plan'!$O$10:$O$97))</f>
        <v>1</v>
      </c>
      <c r="E35" s="63" t="n">
        <f aca="false" t="array" ref="E35:E35">SUMPRODUCT(('⑫ Roll-out Plan'!$G$10:$G$97&lt;=2027)*(LEFT('⑫ Roll-out Plan'!$E$10:$E$97,1)="D")*('⑫ Roll-out Plan'!$O$10:$O$97))</f>
        <v>1</v>
      </c>
      <c r="F35" s="63" t="n">
        <f aca="false" t="array" ref="F35:F35">SUMPRODUCT(('⑫ Roll-out Plan'!$G$10:$G$97&lt;=2028)*(LEFT('⑫ Roll-out Plan'!$E$10:$E$97,1)="D")*('⑫ Roll-out Plan'!$O$10:$O$97))</f>
        <v>1</v>
      </c>
      <c r="G35" s="63" t="n">
        <f aca="false" t="array" ref="G35:G35">SUMPRODUCT(('⑫ Roll-out Plan'!$G$10:$G$97&lt;=2029)*(LEFT('⑫ Roll-out Plan'!$E$10:$E$97,1)="D")*('⑫ Roll-out Plan'!$O$10:$O$97))</f>
        <v>1</v>
      </c>
      <c r="H35" s="63" t="n">
        <f aca="false" t="array" ref="H35:H35">SUMPRODUCT(('⑫ Roll-out Plan'!$G$10:$G$97&lt;=2030)*(LEFT('⑫ Roll-out Plan'!$E$10:$E$97,1)="D")*('⑫ Roll-out Plan'!$O$10:$O$97))</f>
        <v>1</v>
      </c>
      <c r="I35" s="63" t="n">
        <f aca="false" t="array" ref="I35:I35">SUMPRODUCT(('⑫ Roll-out Plan'!$G$10:$G$97&lt;=2031)*(LEFT('⑫ Roll-out Plan'!$E$10:$E$97,1)="D")*('⑫ Roll-out Plan'!$O$10:$O$97))</f>
        <v>1</v>
      </c>
      <c r="J35" s="63" t="n">
        <f aca="false" t="array" ref="J35:J35">SUMPRODUCT(('⑫ Roll-out Plan'!$G$10:$G$97&lt;=2032)*(LEFT('⑫ Roll-out Plan'!$E$10:$E$97,1)="D")*('⑫ Roll-out Plan'!$O$10:$O$97))</f>
        <v>1</v>
      </c>
      <c r="K35" s="63" t="n">
        <f aca="false" t="array" ref="K35:K35">SUMPRODUCT(('⑫ Roll-out Plan'!$G$10:$G$97&lt;=2033)*(LEFT('⑫ Roll-out Plan'!$E$10:$E$97,1)="D")*('⑫ Roll-out Plan'!$O$10:$O$97))</f>
        <v>1</v>
      </c>
      <c r="L35" s="63" t="n">
        <f aca="false" t="array" ref="L35:L35">SUMPRODUCT(('⑫ Roll-out Plan'!$G$10:$G$97&lt;=2034)*(LEFT('⑫ Roll-out Plan'!$E$10:$E$97,1)="D")*('⑫ Roll-out Plan'!$O$10:$O$97))</f>
        <v>1</v>
      </c>
      <c r="M35" s="9" t="n">
        <f aca="false" t="array" ref="M35:M35">SUMPRODUCT(('⑫ Roll-out Plan'!$G$10:$G$97&lt;=2034)*(LEFT('⑫ Roll-out Plan'!$E$10:$E$97,1)="D")*('⑫ Roll-out Plan'!$O$10:$O$97))</f>
        <v>1</v>
      </c>
      <c r="N35" s="9" t="n">
        <f aca="false" t="array" ref="N35:N35">SUMPRODUCT(('⑫ Roll-out Plan'!$G$10:$G$97&lt;=2034)*(LEFT('⑫ Roll-out Plan'!$E$10:$E$97,1)="D")*('⑫ Roll-out Plan'!$O$10:$O$97))</f>
        <v>1</v>
      </c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</row>
    <row r="36" customFormat="false" ht="15" hidden="false" customHeight="false" outlineLevel="0" collapsed="false">
      <c r="B36" s="9" t="s">
        <v>1159</v>
      </c>
      <c r="C36" s="63" t="n">
        <f aca="false" t="array" ref="C36:C36">SUMPRODUCT(('⑫ Roll-out Plan'!$G$10:$G$97&lt;=2025)*(LEFT('⑫ Roll-out Plan'!$E$10:$E$97,1)="E")*('⑫ Roll-out Plan'!$O$10:$O$97))</f>
        <v>0</v>
      </c>
      <c r="D36" s="63" t="n">
        <f aca="false" t="array" ref="D36:D36">SUMPRODUCT(('⑫ Roll-out Plan'!$G$10:$G$97&lt;=2026)*(LEFT('⑫ Roll-out Plan'!$E$10:$E$97,1)="E")*('⑫ Roll-out Plan'!$O$10:$O$97))</f>
        <v>0</v>
      </c>
      <c r="E36" s="63" t="n">
        <f aca="false" t="array" ref="E36:E36">SUMPRODUCT(('⑫ Roll-out Plan'!$G$10:$G$97&lt;=2027)*(LEFT('⑫ Roll-out Plan'!$E$10:$E$97,1)="E")*('⑫ Roll-out Plan'!$O$10:$O$97))</f>
        <v>0</v>
      </c>
      <c r="F36" s="63" t="n">
        <f aca="false" t="array" ref="F36:F36">SUMPRODUCT(('⑫ Roll-out Plan'!$G$10:$G$97&lt;=2028)*(LEFT('⑫ Roll-out Plan'!$E$10:$E$97,1)="E")*('⑫ Roll-out Plan'!$O$10:$O$97))</f>
        <v>0</v>
      </c>
      <c r="G36" s="63" t="n">
        <f aca="false" t="array" ref="G36:G36">SUMPRODUCT(('⑫ Roll-out Plan'!$G$10:$G$97&lt;=2029)*(LEFT('⑫ Roll-out Plan'!$E$10:$E$97,1)="E")*('⑫ Roll-out Plan'!$O$10:$O$97))</f>
        <v>0</v>
      </c>
      <c r="H36" s="63" t="n">
        <f aca="false" t="array" ref="H36:H36">SUMPRODUCT(('⑫ Roll-out Plan'!$G$10:$G$97&lt;=2030)*(LEFT('⑫ Roll-out Plan'!$E$10:$E$97,1)="E")*('⑫ Roll-out Plan'!$O$10:$O$97))</f>
        <v>0</v>
      </c>
      <c r="I36" s="63" t="n">
        <f aca="false" t="array" ref="I36:I36">SUMPRODUCT(('⑫ Roll-out Plan'!$G$10:$G$97&lt;=2031)*(LEFT('⑫ Roll-out Plan'!$E$10:$E$97,1)="E")*('⑫ Roll-out Plan'!$O$10:$O$97))</f>
        <v>0</v>
      </c>
      <c r="J36" s="63" t="n">
        <f aca="false" t="array" ref="J36:J36">SUMPRODUCT(('⑫ Roll-out Plan'!$G$10:$G$97&lt;=2032)*(LEFT('⑫ Roll-out Plan'!$E$10:$E$97,1)="E")*('⑫ Roll-out Plan'!$O$10:$O$97))</f>
        <v>0</v>
      </c>
      <c r="K36" s="63" t="n">
        <f aca="false" t="array" ref="K36:K36">SUMPRODUCT(('⑫ Roll-out Plan'!$G$10:$G$97&lt;=2033)*(LEFT('⑫ Roll-out Plan'!$E$10:$E$97,1)="E")*('⑫ Roll-out Plan'!$O$10:$O$97))</f>
        <v>0</v>
      </c>
      <c r="L36" s="63" t="n">
        <f aca="false" t="array" ref="L36:L36">SUMPRODUCT(('⑫ Roll-out Plan'!$G$10:$G$97&lt;=2034)*(LEFT('⑫ Roll-out Plan'!$E$10:$E$97,1)="E")*('⑫ Roll-out Plan'!$O$10:$O$97))</f>
        <v>0</v>
      </c>
      <c r="M36" s="9" t="n">
        <f aca="false" t="array" ref="M36:M36">SUMPRODUCT(('⑫ Roll-out Plan'!$G$10:$G$97&lt;=2034)*(LEFT('⑫ Roll-out Plan'!$E$10:$E$97,1)="E")*('⑫ Roll-out Plan'!$O$10:$O$97))</f>
        <v>0</v>
      </c>
      <c r="N36" s="9" t="n">
        <f aca="false" t="array" ref="N36:N36">SUMPRODUCT(('⑫ Roll-out Plan'!$G$10:$G$97&lt;=2034)*(LEFT('⑫ Roll-out Plan'!$E$10:$E$97,1)="E")*('⑫ Roll-out Plan'!$O$10:$O$97))</f>
        <v>0</v>
      </c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</row>
    <row r="37" customFormat="false" ht="15" hidden="false" customHeight="false" outlineLevel="0" collapsed="false">
      <c r="B37" s="185" t="s">
        <v>1160</v>
      </c>
      <c r="C37" s="218" t="n">
        <f aca="false">SUM(C32:C36)</f>
        <v>4</v>
      </c>
      <c r="D37" s="218" t="n">
        <f aca="false">SUM(D32:D36)</f>
        <v>4</v>
      </c>
      <c r="E37" s="218" t="n">
        <f aca="false">SUM(E32:E36)</f>
        <v>11</v>
      </c>
      <c r="F37" s="218" t="n">
        <f aca="false">SUM(F32:F36)</f>
        <v>18</v>
      </c>
      <c r="G37" s="218" t="n">
        <f aca="false">SUM(G32:G36)</f>
        <v>19</v>
      </c>
      <c r="H37" s="218" t="n">
        <f aca="false">SUM(H32:H36)</f>
        <v>23</v>
      </c>
      <c r="I37" s="218" t="n">
        <f aca="false">SUM(I32:I36)</f>
        <v>30</v>
      </c>
      <c r="J37" s="218" t="n">
        <f aca="false">SUM(J32:J36)</f>
        <v>34</v>
      </c>
      <c r="K37" s="218" t="n">
        <f aca="false">SUM(K32:K36)</f>
        <v>42</v>
      </c>
      <c r="L37" s="218" t="n">
        <f aca="false">SUM(L32:L36)</f>
        <v>54</v>
      </c>
      <c r="M37" s="234" t="n">
        <f aca="false">SUM(M32:M36)</f>
        <v>54</v>
      </c>
      <c r="N37" s="234" t="n">
        <f aca="false">SUM(N32:N36)</f>
        <v>54</v>
      </c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</row>
    <row r="38" customFormat="false" ht="15" hidden="false" customHeight="false" outlineLevel="0" collapsed="false">
      <c r="B38" s="9" t="s">
        <v>1161</v>
      </c>
      <c r="C38" s="23" t="n">
        <v>1500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</row>
    <row r="39" customFormat="false" ht="15" hidden="false" customHeight="false" outlineLevel="0" collapsed="false">
      <c r="B39" s="9" t="s">
        <v>1162</v>
      </c>
      <c r="C39" s="23" t="n">
        <v>700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</row>
    <row r="40" customFormat="false" ht="15" hidden="false" customHeight="false" outlineLevel="0" collapsed="false">
      <c r="B40" s="26" t="s">
        <v>1163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</row>
    <row r="41" customFormat="false" ht="15" hidden="false" customHeight="false" outlineLevel="0" collapsed="false">
      <c r="B41" s="26" t="s">
        <v>1164</v>
      </c>
      <c r="C41" s="178" t="n">
        <v>2025</v>
      </c>
      <c r="D41" s="178" t="n">
        <v>2026</v>
      </c>
      <c r="E41" s="178" t="n">
        <v>2027</v>
      </c>
      <c r="F41" s="178" t="n">
        <v>2028</v>
      </c>
      <c r="G41" s="178" t="n">
        <v>2029</v>
      </c>
      <c r="H41" s="178" t="n">
        <v>2030</v>
      </c>
      <c r="I41" s="178" t="n">
        <v>2031</v>
      </c>
      <c r="J41" s="178" t="n">
        <v>2032</v>
      </c>
      <c r="K41" s="178" t="n">
        <v>2033</v>
      </c>
      <c r="L41" s="178" t="n">
        <v>2034</v>
      </c>
      <c r="M41" s="26" t="n">
        <v>2035</v>
      </c>
      <c r="N41" s="26" t="n">
        <v>2036</v>
      </c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</row>
    <row r="42" customFormat="false" ht="15" hidden="false" customHeight="false" outlineLevel="0" collapsed="false">
      <c r="B42" s="9" t="s">
        <v>1165</v>
      </c>
      <c r="C42" s="22" t="n">
        <f aca="false">$C$6</f>
        <v>0.3</v>
      </c>
      <c r="D42" s="22" t="n">
        <f aca="false">$C$6</f>
        <v>0.3</v>
      </c>
      <c r="E42" s="22" t="n">
        <f aca="false">$C$6</f>
        <v>0.3</v>
      </c>
      <c r="F42" s="22" t="n">
        <f aca="false">$C$6</f>
        <v>0.3</v>
      </c>
      <c r="G42" s="22" t="n">
        <f aca="false">$C$6</f>
        <v>0.3</v>
      </c>
      <c r="H42" s="22" t="n">
        <f aca="false">$C$6</f>
        <v>0.3</v>
      </c>
      <c r="I42" s="22" t="n">
        <f aca="false">$C$6</f>
        <v>0.3</v>
      </c>
      <c r="J42" s="22" t="n">
        <f aca="false">$C$6</f>
        <v>0.3</v>
      </c>
      <c r="K42" s="22" t="n">
        <f aca="false">$C$6</f>
        <v>0.3</v>
      </c>
      <c r="L42" s="22" t="n">
        <f aca="false">$C$6</f>
        <v>0.3</v>
      </c>
      <c r="M42" s="22" t="n">
        <f aca="false">$C$6</f>
        <v>0.3</v>
      </c>
      <c r="N42" s="22" t="n">
        <f aca="false">$C$6</f>
        <v>0.3</v>
      </c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</row>
    <row r="43" customFormat="false" ht="15" hidden="false" customHeight="false" outlineLevel="0" collapsed="false">
      <c r="B43" s="185" t="s">
        <v>131</v>
      </c>
      <c r="C43" s="290" t="n">
        <f aca="false">'⑮ Cohort Engine'!C1132</f>
        <v>239331.800872</v>
      </c>
      <c r="D43" s="290" t="n">
        <f aca="false">'⑮ Cohort Engine'!D1132</f>
        <v>805589.4871564</v>
      </c>
      <c r="E43" s="290" t="n">
        <f aca="false">'⑮ Cohort Engine'!E1132</f>
        <v>1754139.41536604</v>
      </c>
      <c r="F43" s="290" t="n">
        <f aca="false">'⑮ Cohort Engine'!F1132</f>
        <v>3320711.4869738</v>
      </c>
      <c r="G43" s="290" t="n">
        <f aca="false">'⑮ Cohort Engine'!G1132</f>
        <v>5283125.67358052</v>
      </c>
      <c r="H43" s="290" t="n">
        <f aca="false">'⑮ Cohort Engine'!H1132</f>
        <v>6797363.90175636</v>
      </c>
      <c r="I43" s="290" t="n">
        <f aca="false">'⑮ Cohort Engine'!I1132</f>
        <v>8160446.17022388</v>
      </c>
      <c r="J43" s="290" t="n">
        <f aca="false">'⑮ Cohort Engine'!J1132</f>
        <v>9799173.67205212</v>
      </c>
      <c r="K43" s="290" t="n">
        <f aca="false">'⑮ Cohort Engine'!K1132</f>
        <v>11373603.0490671</v>
      </c>
      <c r="L43" s="290" t="n">
        <f aca="false">'⑮ Cohort Engine'!L1132</f>
        <v>13685957.6239102</v>
      </c>
      <c r="M43" s="290" t="n">
        <f aca="false">'⑮ Cohort Engine'!M1132</f>
        <v>16724221.7473744</v>
      </c>
      <c r="N43" s="291" t="n">
        <f aca="false">'⑮ Cohort Engine'!N1132</f>
        <v>20087364.7568569</v>
      </c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</row>
    <row r="44" customFormat="false" ht="15" hidden="false" customHeight="false" outlineLevel="0" collapsed="false">
      <c r="B44" s="9" t="s">
        <v>1166</v>
      </c>
      <c r="C44" s="121" t="n">
        <f aca="false">-C43*C42</f>
        <v>-71799.5402616</v>
      </c>
      <c r="D44" s="121" t="n">
        <f aca="false">-D43*D42</f>
        <v>-241676.84614692</v>
      </c>
      <c r="E44" s="121" t="n">
        <f aca="false">-E43*E42</f>
        <v>-526241.824609812</v>
      </c>
      <c r="F44" s="121" t="n">
        <f aca="false">-F43*F42</f>
        <v>-996213.44609214</v>
      </c>
      <c r="G44" s="121" t="n">
        <f aca="false">-G43*G42</f>
        <v>-1584937.70207416</v>
      </c>
      <c r="H44" s="121" t="n">
        <f aca="false">-H43*H42</f>
        <v>-2039209.17052691</v>
      </c>
      <c r="I44" s="121" t="n">
        <f aca="false">-I43*I42</f>
        <v>-2448133.85106716</v>
      </c>
      <c r="J44" s="121" t="n">
        <f aca="false">-J43*J42</f>
        <v>-2939752.10161564</v>
      </c>
      <c r="K44" s="121" t="n">
        <f aca="false">-K43*K42</f>
        <v>-3412080.91472012</v>
      </c>
      <c r="L44" s="121" t="n">
        <f aca="false">-L43*L42</f>
        <v>-4105787.28717305</v>
      </c>
      <c r="M44" s="121" t="n">
        <f aca="false">-M43*M42</f>
        <v>-5017266.52421231</v>
      </c>
      <c r="N44" s="121" t="n">
        <f aca="false">-N43*N42</f>
        <v>-6026209.42705708</v>
      </c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</row>
    <row r="45" customFormat="false" ht="15" hidden="false" customHeight="false" outlineLevel="0" collapsed="false">
      <c r="B45" s="185" t="s">
        <v>217</v>
      </c>
      <c r="C45" s="290" t="n">
        <f aca="false">C43+C44</f>
        <v>167532.2606104</v>
      </c>
      <c r="D45" s="290" t="n">
        <f aca="false">D43+D44</f>
        <v>563912.64100948</v>
      </c>
      <c r="E45" s="290" t="n">
        <f aca="false">E43+E44</f>
        <v>1227897.59075623</v>
      </c>
      <c r="F45" s="290" t="n">
        <f aca="false">F43+F44</f>
        <v>2324498.04088166</v>
      </c>
      <c r="G45" s="290" t="n">
        <f aca="false">G43+G44</f>
        <v>3698187.97150636</v>
      </c>
      <c r="H45" s="290" t="n">
        <f aca="false">H43+H44</f>
        <v>4758154.73122945</v>
      </c>
      <c r="I45" s="290" t="n">
        <f aca="false">I43+I44</f>
        <v>5712312.31915672</v>
      </c>
      <c r="J45" s="290" t="n">
        <f aca="false">J43+J44</f>
        <v>6859421.57043648</v>
      </c>
      <c r="K45" s="290" t="n">
        <f aca="false">K43+K44</f>
        <v>7961522.13434696</v>
      </c>
      <c r="L45" s="290" t="n">
        <f aca="false">L43+L44</f>
        <v>9580170.33673711</v>
      </c>
      <c r="M45" s="290" t="n">
        <f aca="false">M43+M44</f>
        <v>11706955.2231621</v>
      </c>
      <c r="N45" s="291" t="n">
        <f aca="false">N43+N44</f>
        <v>14061155.3297998</v>
      </c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</row>
    <row r="46" customFormat="false" ht="15" hidden="false" customHeight="false" outlineLevel="0" collapsed="false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</row>
    <row r="47" customFormat="false" ht="15" hidden="false" customHeight="false" outlineLevel="0" collapsed="false">
      <c r="B47" s="285" t="s">
        <v>1167</v>
      </c>
      <c r="C47" s="180" t="n">
        <f aca="false">-($C$12*12*C37+$C$31*12*1)*(1+$C$15)</f>
        <v>-170448</v>
      </c>
      <c r="D47" s="180" t="n">
        <f aca="false">-($C$12*12*D37+$C$31*12*1)*(1+$C$15)</f>
        <v>-170448</v>
      </c>
      <c r="E47" s="180" t="n">
        <f aca="false">-($C$12*12*E37+$C$31*12*1)*(1+$C$15)</f>
        <v>-463104</v>
      </c>
      <c r="F47" s="180" t="n">
        <f aca="false">-($C$12*12*F37+$C$31*12*1)*(1+$C$15)</f>
        <v>-755760</v>
      </c>
      <c r="G47" s="180" t="n">
        <f aca="false">-($C$12*12*G37+$C$31*12*1)*(1+$C$15)</f>
        <v>-797568</v>
      </c>
      <c r="H47" s="180" t="n">
        <f aca="false">-($C$12*12*H37+$C$31*12*1)*(1+$C$15)</f>
        <v>-964800</v>
      </c>
      <c r="I47" s="180" t="n">
        <f aca="false">-($C$12*12*I37+$C$31*12*1)*(1+$C$15)</f>
        <v>-1257456</v>
      </c>
      <c r="J47" s="180" t="n">
        <f aca="false">-($C$12*12*J37+$C$31*12*1)*(1+$C$15)</f>
        <v>-1424688</v>
      </c>
      <c r="K47" s="180" t="n">
        <f aca="false">-($C$12*12*K37+$C$31*12*1)*(1+$C$15)</f>
        <v>-1759152</v>
      </c>
      <c r="L47" s="180" t="n">
        <f aca="false">-($C$12*12*L37+$C$31*12*1)*(1+$C$15)</f>
        <v>-2260848</v>
      </c>
      <c r="M47" s="180" t="n">
        <f aca="false">-($C$12*12*M37+$C$31*12*1)*(1+$C$15)</f>
        <v>-2260848</v>
      </c>
      <c r="N47" s="292" t="n">
        <f aca="false">-($C$12*12*N37+$C$31*12*1)*(1+$C$15)</f>
        <v>-2260848</v>
      </c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</row>
    <row r="48" customFormat="false" ht="15" hidden="false" customHeight="false" outlineLevel="0" collapsed="false">
      <c r="B48" s="18" t="s">
        <v>1168</v>
      </c>
      <c r="C48" s="180" t="n">
        <f aca="false">-$C$13*12*C37*(1+$C$15)</f>
        <v>-45024</v>
      </c>
      <c r="D48" s="180" t="n">
        <f aca="false">-$C$13*12*D37*(1+$C$15)</f>
        <v>-45024</v>
      </c>
      <c r="E48" s="180" t="n">
        <f aca="false">-$C$13*12*E37*(1+$C$15)</f>
        <v>-123816</v>
      </c>
      <c r="F48" s="180" t="n">
        <f aca="false">-$C$13*12*F37*(1+$C$15)</f>
        <v>-202608</v>
      </c>
      <c r="G48" s="180" t="n">
        <f aca="false">-$C$13*12*G37*(1+$C$15)</f>
        <v>-213864</v>
      </c>
      <c r="H48" s="180" t="n">
        <f aca="false">-$C$13*12*H37*(1+$C$15)</f>
        <v>-258888</v>
      </c>
      <c r="I48" s="180" t="n">
        <f aca="false">-$C$13*12*I37*(1+$C$15)</f>
        <v>-337680</v>
      </c>
      <c r="J48" s="180" t="n">
        <f aca="false">-$C$13*12*J37*(1+$C$15)</f>
        <v>-382704</v>
      </c>
      <c r="K48" s="180" t="n">
        <f aca="false">-$C$13*12*K37*(1+$C$15)</f>
        <v>-472752</v>
      </c>
      <c r="L48" s="180" t="n">
        <f aca="false">-$C$13*12*L37*(1+$C$15)</f>
        <v>-607824</v>
      </c>
      <c r="M48" s="180" t="n">
        <f aca="false">-$C$13*12*M37*(1+$C$15)</f>
        <v>-607824</v>
      </c>
      <c r="N48" s="292" t="n">
        <f aca="false">-$C$13*12*N37*(1+$C$15)</f>
        <v>-607824</v>
      </c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</row>
    <row r="49" customFormat="false" ht="15" hidden="false" customHeight="false" outlineLevel="0" collapsed="false">
      <c r="B49" s="285" t="s">
        <v>1169</v>
      </c>
      <c r="C49" s="180" t="n">
        <f aca="false">-$C$14*12*COUNTIF('⑮ Cohort Engine'!C$1044:C$1131,"&gt;"&amp;$C$17*12)*(1+$C$15)</f>
        <v>-0</v>
      </c>
      <c r="D49" s="180" t="n">
        <f aca="false">-$C$14*12*COUNTIF('⑮ Cohort Engine'!D$1044:D$1131,"&gt;"&amp;$C$17*12)*(1+$C$15)</f>
        <v>-11256</v>
      </c>
      <c r="E49" s="180" t="n">
        <f aca="false">-$C$14*12*COUNTIF('⑮ Cohort Engine'!E$1044:E$1131,"&gt;"&amp;$C$17*12)*(1+$C$15)</f>
        <v>-33768</v>
      </c>
      <c r="F49" s="180" t="n">
        <f aca="false">-$C$14*12*COUNTIF('⑮ Cohort Engine'!F$1044:F$1131,"&gt;"&amp;$C$17*12)*(1+$C$15)</f>
        <v>-90048</v>
      </c>
      <c r="G49" s="180" t="n">
        <f aca="false">-$C$14*12*COUNTIF('⑮ Cohort Engine'!G$1044:G$1131,"&gt;"&amp;$C$17*12)*(1+$C$15)</f>
        <v>-123816</v>
      </c>
      <c r="H49" s="180" t="n">
        <f aca="false">-$C$14*12*COUNTIF('⑮ Cohort Engine'!H$1044:H$1131,"&gt;"&amp;$C$17*12)*(1+$C$15)</f>
        <v>-191352</v>
      </c>
      <c r="I49" s="180" t="n">
        <f aca="false">-$C$14*12*COUNTIF('⑮ Cohort Engine'!I$1044:I$1131,"&gt;"&amp;$C$17*12)*(1+$C$15)</f>
        <v>-225120</v>
      </c>
      <c r="J49" s="180" t="n">
        <f aca="false">-$C$14*12*COUNTIF('⑮ Cohort Engine'!J$1044:J$1131,"&gt;"&amp;$C$17*12)*(1+$C$15)</f>
        <v>-270144</v>
      </c>
      <c r="K49" s="180" t="n">
        <f aca="false">-$C$14*12*COUNTIF('⑮ Cohort Engine'!K$1044:K$1131,"&gt;"&amp;$C$17*12)*(1+$C$15)</f>
        <v>-315168</v>
      </c>
      <c r="L49" s="180" t="n">
        <f aca="false">-$C$14*12*COUNTIF('⑮ Cohort Engine'!L$1044:L$1131,"&gt;"&amp;$C$17*12)*(1+$C$15)</f>
        <v>-393960</v>
      </c>
      <c r="M49" s="180" t="n">
        <f aca="false">-$C$14*12*COUNTIF('⑮ Cohort Engine'!M$1044:M$1131,"&gt;"&amp;$C$17*12)*(1+$C$15)</f>
        <v>-461496</v>
      </c>
      <c r="N49" s="292" t="n">
        <f aca="false">-$C$14*12*COUNTIF('⑮ Cohort Engine'!N$1044:N$1131,"&gt;"&amp;$C$17*12)*(1+$C$15)</f>
        <v>-585312</v>
      </c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</row>
    <row r="50" customFormat="false" ht="15" hidden="false" customHeight="false" outlineLevel="0" collapsed="false">
      <c r="B50" s="18" t="s">
        <v>1170</v>
      </c>
      <c r="C50" s="180" t="n">
        <f aca="false">-$C$16*12*C37</f>
        <v>-4800</v>
      </c>
      <c r="D50" s="180" t="n">
        <f aca="false">-$C$16*12*D37</f>
        <v>-4800</v>
      </c>
      <c r="E50" s="180" t="n">
        <f aca="false">-$C$16*12*E37</f>
        <v>-13200</v>
      </c>
      <c r="F50" s="180" t="n">
        <f aca="false">-$C$16*12*F37</f>
        <v>-21600</v>
      </c>
      <c r="G50" s="180" t="n">
        <f aca="false">-$C$16*12*G37</f>
        <v>-22800</v>
      </c>
      <c r="H50" s="180" t="n">
        <f aca="false">-$C$16*12*H37</f>
        <v>-27600</v>
      </c>
      <c r="I50" s="180" t="n">
        <f aca="false">-$C$16*12*I37</f>
        <v>-36000</v>
      </c>
      <c r="J50" s="180" t="n">
        <f aca="false">-$C$16*12*J37</f>
        <v>-40800</v>
      </c>
      <c r="K50" s="180" t="n">
        <f aca="false">-$C$16*12*K37</f>
        <v>-50400</v>
      </c>
      <c r="L50" s="180" t="n">
        <f aca="false">-$C$16*12*L37</f>
        <v>-64800</v>
      </c>
      <c r="M50" s="180" t="n">
        <f aca="false">-$C$16*12*M37</f>
        <v>-64800</v>
      </c>
      <c r="N50" s="292" t="n">
        <f aca="false">-$C$16*12*N37</f>
        <v>-64800</v>
      </c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</row>
    <row r="51" customFormat="false" ht="15" hidden="false" customHeight="false" outlineLevel="0" collapsed="false">
      <c r="B51" s="285" t="s">
        <v>1171</v>
      </c>
      <c r="C51" s="180" t="n">
        <f aca="false">-C43*$C$7*(1+$C$15)</f>
        <v>-3207.0461316848</v>
      </c>
      <c r="D51" s="180" t="n">
        <f aca="false">-D43*$C$7*(1+$C$15)</f>
        <v>-10794.8991278958</v>
      </c>
      <c r="E51" s="180" t="n">
        <f aca="false">-E43*$C$7*(1+$C$15)</f>
        <v>-23505.4681659049</v>
      </c>
      <c r="F51" s="180" t="n">
        <f aca="false">-F43*$C$7*(1+$C$15)</f>
        <v>-44497.5339254489</v>
      </c>
      <c r="G51" s="180" t="n">
        <f aca="false">-'㉔ Financial Statements'!AY11*$C$7*(1+$C$15)</f>
        <v>-70749.0548721703</v>
      </c>
      <c r="H51" s="180" t="n">
        <f aca="false">-'㉔ Financial Statements'!AZ11*$C$7*(1+$C$15)</f>
        <v>-91084.6762835352</v>
      </c>
      <c r="I51" s="180" t="n">
        <f aca="false">-'㉔ Financial Statements'!BA11*$C$7*(1+$C$15)</f>
        <v>-109349.978681</v>
      </c>
      <c r="J51" s="180" t="n">
        <f aca="false">-'㉔ Financial Statements'!BB11*$C$7*(1+$C$15)</f>
        <v>-131308.927205498</v>
      </c>
      <c r="K51" s="180" t="n">
        <f aca="false">-'㉔ Financial Statements'!BC11*$C$7*(1+$C$15)</f>
        <v>-152406.280857499</v>
      </c>
      <c r="L51" s="180" t="n">
        <f aca="false">-'㉔ Financial Statements'!BD11*$C$7*(1+$C$15)</f>
        <v>-183391.832160396</v>
      </c>
      <c r="M51" s="180" t="n">
        <f aca="false">-'㉔ Financial Statements'!BE11*$C$7*(1+$C$15)</f>
        <v>-224104.571414816</v>
      </c>
      <c r="N51" s="292" t="n">
        <f aca="false">-'㉔ Financial Statements'!BF11*$C$7*(1+$C$15)</f>
        <v>-269170.687741883</v>
      </c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</row>
    <row r="52" customFormat="false" ht="15" hidden="false" customHeight="false" outlineLevel="0" collapsed="false">
      <c r="B52" s="18" t="s">
        <v>1172</v>
      </c>
      <c r="C52" s="180" t="n">
        <f aca="false">-C43*$C$8*(1+$C$15)</f>
        <v>-1603.5230658424</v>
      </c>
      <c r="D52" s="180" t="n">
        <f aca="false">-D43*$C$8*(1+$C$15)</f>
        <v>-5397.44956394788</v>
      </c>
      <c r="E52" s="180" t="n">
        <f aca="false">-E43*$C$8*(1+$C$15)</f>
        <v>-11752.7340829525</v>
      </c>
      <c r="F52" s="180" t="n">
        <f aca="false">-F43*$C$8*(1+$C$15)</f>
        <v>-22248.7669627245</v>
      </c>
      <c r="G52" s="180" t="n">
        <f aca="false">-'㉔ Financial Statements'!AY11*$C$8*(1+$C$15)</f>
        <v>-35374.5274360851</v>
      </c>
      <c r="H52" s="180" t="n">
        <f aca="false">-'㉔ Financial Statements'!AZ11*$C$8*(1+$C$15)</f>
        <v>-45542.3381417676</v>
      </c>
      <c r="I52" s="180" t="n">
        <f aca="false">-'㉔ Financial Statements'!BA11*$C$8*(1+$C$15)</f>
        <v>-54674.9893405</v>
      </c>
      <c r="J52" s="180" t="n">
        <f aca="false">-'㉔ Financial Statements'!BB11*$C$8*(1+$C$15)</f>
        <v>-65654.4636027492</v>
      </c>
      <c r="K52" s="180" t="n">
        <f aca="false">-'㉔ Financial Statements'!BC11*$C$8*(1+$C$15)</f>
        <v>-76203.1404287494</v>
      </c>
      <c r="L52" s="180" t="n">
        <f aca="false">-'㉔ Financial Statements'!BD11*$C$8*(1+$C$15)</f>
        <v>-91695.9160801981</v>
      </c>
      <c r="M52" s="180" t="n">
        <f aca="false">-'㉔ Financial Statements'!BE11*$C$8*(1+$C$15)</f>
        <v>-112052.285707408</v>
      </c>
      <c r="N52" s="292" t="n">
        <f aca="false">-'㉔ Financial Statements'!BF11*$C$8*(1+$C$15)</f>
        <v>-134585.343870941</v>
      </c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</row>
    <row r="53" customFormat="false" ht="15" hidden="false" customHeight="false" outlineLevel="0" collapsed="false">
      <c r="B53" s="293" t="s">
        <v>1173</v>
      </c>
      <c r="C53" s="290" t="n">
        <f aca="false">SUM(C47:C52)</f>
        <v>-225082.569197527</v>
      </c>
      <c r="D53" s="290" t="n">
        <f aca="false">SUM(D47:D52)</f>
        <v>-247720.348691844</v>
      </c>
      <c r="E53" s="290" t="n">
        <f aca="false">SUM(E47:E52)</f>
        <v>-669146.202248858</v>
      </c>
      <c r="F53" s="290" t="n">
        <f aca="false">SUM(F47:F52)</f>
        <v>-1136762.30088817</v>
      </c>
      <c r="G53" s="290" t="n">
        <f aca="false">SUM(G47:G52)</f>
        <v>-1264171.58230826</v>
      </c>
      <c r="H53" s="290" t="n">
        <f aca="false">SUM(H47:H52)</f>
        <v>-1579267.0144253</v>
      </c>
      <c r="I53" s="290" t="n">
        <f aca="false">SUM(I47:I52)</f>
        <v>-2020280.9680215</v>
      </c>
      <c r="J53" s="290" t="n">
        <f aca="false">SUM(J47:J52)</f>
        <v>-2315299.39080825</v>
      </c>
      <c r="K53" s="290" t="n">
        <f aca="false">SUM(K47:K52)</f>
        <v>-2826081.42128625</v>
      </c>
      <c r="L53" s="290" t="n">
        <f aca="false">SUM(L47:L52)</f>
        <v>-3602519.74824059</v>
      </c>
      <c r="M53" s="294" t="n">
        <f aca="false">SUM(M47:M52)</f>
        <v>-3731124.85712222</v>
      </c>
      <c r="N53" s="291" t="n">
        <f aca="false">SUM(N47:N52)</f>
        <v>-3922540.03161282</v>
      </c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</row>
    <row r="54" customFormat="false" ht="15" hidden="false" customHeight="false" outlineLevel="0" collapsed="false">
      <c r="B54" s="18" t="s">
        <v>1174</v>
      </c>
      <c r="C54" s="121" t="n">
        <f aca="false" t="array" ref="C54:C54">SUMPRODUCT(('⑫ Roll-out Plan'!$G$10:$G$97&lt;=C$41)*ISNUMBER(SEARCH("Colombia",'⑫ Roll-out Plan'!$M$10:$M$97))*'⑫ Roll-out Plan'!$O$10:$O$97)*12*(($C$12+$C$13)*(1+$C$15)-($C$38+$C$39))</f>
        <v>0</v>
      </c>
      <c r="D54" s="121" t="n">
        <f aca="false" t="array" ref="D54:D54">SUMPRODUCT(('⑫ Roll-out Plan'!$G$10:$G$97&lt;=D$41)*ISNUMBER(SEARCH("Colombia",'⑫ Roll-out Plan'!$M$10:$M$97))*'⑫ Roll-out Plan'!$O$10:$O$97)*12*(($C$12+$C$13)*(1+$C$15)-($C$38+$C$39))</f>
        <v>0</v>
      </c>
      <c r="E54" s="121" t="n">
        <f aca="false" t="array" ref="E54:E54">SUMPRODUCT(('⑫ Roll-out Plan'!$G$10:$G$97&lt;=E$41)*ISNUMBER(SEARCH("Colombia",'⑫ Roll-out Plan'!$M$10:$M$97))*'⑫ Roll-out Plan'!$O$10:$O$97)*12*(($C$12+$C$13)*(1+$C$15)-($C$38+$C$39))</f>
        <v>0</v>
      </c>
      <c r="F54" s="121" t="n">
        <f aca="false" t="array" ref="F54:F54">SUMPRODUCT(('⑫ Roll-out Plan'!$G$10:$G$97&lt;=F$41)*ISNUMBER(SEARCH("Colombia",'⑫ Roll-out Plan'!$M$10:$M$97))*'⑫ Roll-out Plan'!$O$10:$O$97)*12*(($C$12+$C$13)*(1+$C$15)-($C$38+$C$39))</f>
        <v>0</v>
      </c>
      <c r="G54" s="121" t="n">
        <f aca="false" t="array" ref="G54:G54">SUMPRODUCT(('⑫ Roll-out Plan'!$G$10:$G$97&lt;=G$41)*ISNUMBER(SEARCH("Colombia",'⑫ Roll-out Plan'!$M$10:$M$97))*'⑫ Roll-out Plan'!$O$10:$O$97)*12*(($C$12+$C$13)*(1+$C$15)-($C$38+$C$39))</f>
        <v>0</v>
      </c>
      <c r="H54" s="121" t="n">
        <f aca="false" t="array" ref="H54:H54">SUMPRODUCT(('⑫ Roll-out Plan'!$G$10:$G$97&lt;=H$41)*ISNUMBER(SEARCH("Colombia",'⑫ Roll-out Plan'!$M$10:$M$97))*'⑫ Roll-out Plan'!$O$10:$O$97)*12*(($C$12+$C$13)*(1+$C$15)-($C$38+$C$39))</f>
        <v>0</v>
      </c>
      <c r="I54" s="121" t="n">
        <f aca="false" t="array" ref="I54:I54">SUMPRODUCT(('⑫ Roll-out Plan'!$G$10:$G$97&lt;=I$41)*ISNUMBER(SEARCH("Colombia",'⑫ Roll-out Plan'!$M$10:$M$97))*'⑫ Roll-out Plan'!$O$10:$O$97)*12*(($C$12+$C$13)*(1+$C$15)-($C$38+$C$39))</f>
        <v>0</v>
      </c>
      <c r="J54" s="121" t="n">
        <f aca="false" t="array" ref="J54:J54">SUMPRODUCT(('⑫ Roll-out Plan'!$G$10:$G$97&lt;=J$41)*ISNUMBER(SEARCH("Colombia",'⑫ Roll-out Plan'!$M$10:$M$97))*'⑫ Roll-out Plan'!$O$10:$O$97)*12*(($C$12+$C$13)*(1+$C$15)-($C$38+$C$39))</f>
        <v>106656</v>
      </c>
      <c r="K54" s="121" t="n">
        <f aca="false" t="array" ref="K54:K54">SUMPRODUCT(('⑫ Roll-out Plan'!$G$10:$G$97&lt;=K$41)*ISNUMBER(SEARCH("Colombia",'⑫ Roll-out Plan'!$M$10:$M$97))*'⑫ Roll-out Plan'!$O$10:$O$97)*12*(($C$12+$C$13)*(1+$C$15)-($C$38+$C$39))</f>
        <v>319968</v>
      </c>
      <c r="L54" s="121" t="n">
        <f aca="false" t="array" ref="L54:L54">SUMPRODUCT(('⑫ Roll-out Plan'!$G$10:$G$97&lt;=L$41)*ISNUMBER(SEARCH("Colombia",'⑫ Roll-out Plan'!$M$10:$M$97))*'⑫ Roll-out Plan'!$O$10:$O$97)*12*(($C$12+$C$13)*(1+$C$15)-($C$38+$C$39))</f>
        <v>639936</v>
      </c>
      <c r="M54" s="295" t="n">
        <f aca="false" t="array" ref="M54:M54">SUMPRODUCT(('⑫ Roll-out Plan'!$G$10:$G$97&lt;=M$41)*ISNUMBER(SEARCH("Colombia",'⑫ Roll-out Plan'!$M$10:$M$97))*'⑫ Roll-out Plan'!$O$10:$O$97)*12*(($C$12+$C$13)*(1+$C$15)-($C$38+$C$39))</f>
        <v>959904</v>
      </c>
      <c r="N54" s="295" t="n">
        <f aca="false" t="array" ref="N54:N54">SUMPRODUCT(('⑫ Roll-out Plan'!$G$10:$G$97&lt;=N$41)*ISNUMBER(SEARCH("Colombia",'⑫ Roll-out Plan'!$M$10:$M$97))*'⑫ Roll-out Plan'!$O$10:$O$97)*12*(($C$12+$C$13)*(1+$C$15)-($C$38+$C$39))</f>
        <v>1199880</v>
      </c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</row>
    <row r="55" customFormat="false" ht="15" hidden="false" customHeight="false" outlineLevel="0" collapsed="false">
      <c r="B55" s="18" t="s">
        <v>1175</v>
      </c>
      <c r="C55" s="180" t="n">
        <f aca="false">-12*(C32*$C$18+C33*$C$19+C34*$C$20+C35*$C$21+C36*$C$22)</f>
        <v>-114000</v>
      </c>
      <c r="D55" s="180" t="n">
        <f aca="false">-12*(D32*$C$18+D33*$C$19+D34*$C$20+D35*$C$21+D36*$C$22)</f>
        <v>-114000</v>
      </c>
      <c r="E55" s="180" t="n">
        <f aca="false">-12*(E32*$C$18+E33*$C$19+E34*$C$20+E35*$C$21+E36*$C$22)</f>
        <v>-354000</v>
      </c>
      <c r="F55" s="180" t="n">
        <f aca="false">-12*(F32*$C$18+F33*$C$19+F34*$C$20+F35*$C$21+F36*$C$22)</f>
        <v>-576000</v>
      </c>
      <c r="G55" s="180" t="n">
        <f aca="false">-12*(G32*$C$18+G33*$C$19+G34*$C$20+G35*$C$21+G36*$C$22)</f>
        <v>-597600</v>
      </c>
      <c r="H55" s="180" t="n">
        <f aca="false">-12*(H32*$C$18+H33*$C$19+H34*$C$20+H35*$C$21+H36*$C$22)</f>
        <v>-715200</v>
      </c>
      <c r="I55" s="180" t="n">
        <f aca="false">-12*(I32*$C$18+I33*$C$19+I34*$C$20+I35*$C$21+I36*$C$22)</f>
        <v>-914400</v>
      </c>
      <c r="J55" s="180" t="n">
        <f aca="false">-12*(J32*$C$18+J33*$C$19+J34*$C$20+J35*$C$21+J36*$C$22)</f>
        <v>-1040400</v>
      </c>
      <c r="K55" s="180" t="n">
        <f aca="false">-12*(K32*$C$18+K33*$C$19+K34*$C$20+K35*$C$21+K36*$C$22)</f>
        <v>-1252800</v>
      </c>
      <c r="L55" s="180" t="n">
        <f aca="false">-12*(L32*$C$18+L33*$C$19+L34*$C$20+L35*$C$21+L36*$C$22)</f>
        <v>-1568400</v>
      </c>
      <c r="M55" s="180" t="n">
        <f aca="false">-12*(M32*$C$18+M33*$C$19+M34*$C$20+M35*$C$21+M36*$C$22)</f>
        <v>-1568400</v>
      </c>
      <c r="N55" s="292" t="n">
        <f aca="false">-12*(N32*$C$18+N33*$C$19+N34*$C$20+N35*$C$21+N36*$C$22)</f>
        <v>-1568400</v>
      </c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</row>
    <row r="56" customFormat="false" ht="15" hidden="false" customHeight="false" outlineLevel="0" collapsed="false">
      <c r="B56" s="3" t="s">
        <v>1176</v>
      </c>
      <c r="C56" s="296" t="n">
        <f aca="false">0</f>
        <v>0</v>
      </c>
      <c r="D56" s="296" t="n">
        <f aca="false">0</f>
        <v>0</v>
      </c>
      <c r="E56" s="296" t="n">
        <f aca="false">0</f>
        <v>0</v>
      </c>
      <c r="F56" s="296" t="n">
        <f aca="false">0</f>
        <v>0</v>
      </c>
      <c r="G56" s="296" t="n">
        <f aca="false">0</f>
        <v>0</v>
      </c>
      <c r="H56" s="296" t="n">
        <f aca="false">0</f>
        <v>0</v>
      </c>
      <c r="I56" s="296" t="n">
        <f aca="false">0</f>
        <v>0</v>
      </c>
      <c r="J56" s="296" t="n">
        <f aca="false">0</f>
        <v>0</v>
      </c>
      <c r="K56" s="296" t="n">
        <f aca="false">0</f>
        <v>0</v>
      </c>
      <c r="L56" s="296" t="n">
        <f aca="false">0</f>
        <v>0</v>
      </c>
      <c r="M56" s="296" t="n">
        <f aca="false">0</f>
        <v>0</v>
      </c>
      <c r="N56" s="297" t="n">
        <f aca="false">0</f>
        <v>0</v>
      </c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</row>
    <row r="57" customFormat="false" ht="15" hidden="false" customHeight="false" outlineLevel="0" collapsed="false">
      <c r="B57" s="18" t="s">
        <v>1177</v>
      </c>
      <c r="C57" s="180" t="n">
        <f aca="false">-C43*$C$24</f>
        <v>-4786.63601744</v>
      </c>
      <c r="D57" s="180" t="n">
        <f aca="false">-D43*$C$24</f>
        <v>-16111.789743128</v>
      </c>
      <c r="E57" s="180" t="n">
        <f aca="false">-E43*$C$24</f>
        <v>-35082.7883073208</v>
      </c>
      <c r="F57" s="180" t="n">
        <f aca="false">-F43*$C$24</f>
        <v>-66414.229739476</v>
      </c>
      <c r="G57" s="180" t="n">
        <f aca="false">-G43*$C$24</f>
        <v>-105662.51347161</v>
      </c>
      <c r="H57" s="180" t="n">
        <f aca="false">-H43*$C$24</f>
        <v>-135947.278035127</v>
      </c>
      <c r="I57" s="180" t="n">
        <f aca="false">-I43*$C$24</f>
        <v>-163208.923404478</v>
      </c>
      <c r="J57" s="180" t="n">
        <f aca="false">-J43*$C$24</f>
        <v>-195983.473441042</v>
      </c>
      <c r="K57" s="180" t="n">
        <f aca="false">-K43*$C$24</f>
        <v>-227472.060981342</v>
      </c>
      <c r="L57" s="180" t="n">
        <f aca="false">-L43*$C$24</f>
        <v>-273719.152478203</v>
      </c>
      <c r="M57" s="180" t="n">
        <f aca="false">-M43*$C$24</f>
        <v>-334484.434947487</v>
      </c>
      <c r="N57" s="292" t="n">
        <f aca="false">-N43*$C$24</f>
        <v>-401747.295137138</v>
      </c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</row>
    <row r="58" customFormat="false" ht="15" hidden="false" customHeight="false" outlineLevel="0" collapsed="false">
      <c r="B58" s="18" t="s">
        <v>1178</v>
      </c>
      <c r="C58" s="180" t="n">
        <f aca="false" t="array" ref="C58:C58">-12*SUMPRODUCT(('⑫ Roll-out Plan'!$G$10:$G$97&lt;=C$41)*'⑫ Roll-out Plan'!$O$10:$O$97*((LEFT('⑫ Roll-out Plan'!$E$10:$E$97,1)="A")*$C$26+(LEFT('⑫ Roll-out Plan'!$E$10:$E$97,1)="B")*$C$27+(LEFT('⑫ Roll-out Plan'!$E$10:$E$97,1)="C")*$C$28+(LEFT('⑫ Roll-out Plan'!$E$10:$E$97,1)="D")*$C$29)*(1-0.5*ISNUMBER(SEARCH("Colombia",'⑫ Roll-out Plan'!$M$10:$M$97))))</f>
        <v>-33000</v>
      </c>
      <c r="D58" s="180" t="n">
        <f aca="false" t="array" ref="D58:D58">-12*SUMPRODUCT(('⑫ Roll-out Plan'!$G$10:$G$97&lt;=D$41)*'⑫ Roll-out Plan'!$O$10:$O$97*((LEFT('⑫ Roll-out Plan'!$E$10:$E$97,1)="A")*$C$26+(LEFT('⑫ Roll-out Plan'!$E$10:$E$97,1)="B")*$C$27+(LEFT('⑫ Roll-out Plan'!$E$10:$E$97,1)="C")*$C$28+(LEFT('⑫ Roll-out Plan'!$E$10:$E$97,1)="D")*$C$29)*(1-0.5*ISNUMBER(SEARCH("Colombia",'⑫ Roll-out Plan'!$M$10:$M$97))))</f>
        <v>-33000</v>
      </c>
      <c r="E58" s="180" t="n">
        <f aca="false" t="array" ref="E58:E58">-12*SUMPRODUCT(('⑫ Roll-out Plan'!$G$10:$G$97&lt;=E$41)*'⑫ Roll-out Plan'!$O$10:$O$97*((LEFT('⑫ Roll-out Plan'!$E$10:$E$97,1)="A")*$C$26+(LEFT('⑫ Roll-out Plan'!$E$10:$E$97,1)="B")*$C$27+(LEFT('⑫ Roll-out Plan'!$E$10:$E$97,1)="C")*$C$28+(LEFT('⑫ Roll-out Plan'!$E$10:$E$97,1)="D")*$C$29)*(1-0.5*ISNUMBER(SEARCH("Colombia",'⑫ Roll-out Plan'!$M$10:$M$97))))</f>
        <v>-102600</v>
      </c>
      <c r="F58" s="180" t="n">
        <f aca="false" t="array" ref="F58:F58">-12*SUMPRODUCT(('⑫ Roll-out Plan'!$G$10:$G$97&lt;=F$41)*'⑫ Roll-out Plan'!$O$10:$O$97*((LEFT('⑫ Roll-out Plan'!$E$10:$E$97,1)="A")*$C$26+(LEFT('⑫ Roll-out Plan'!$E$10:$E$97,1)="B")*$C$27+(LEFT('⑫ Roll-out Plan'!$E$10:$E$97,1)="C")*$C$28+(LEFT('⑫ Roll-out Plan'!$E$10:$E$97,1)="D")*$C$29)*(1-0.5*ISNUMBER(SEARCH("Colombia",'⑫ Roll-out Plan'!$M$10:$M$97))))</f>
        <v>-163200</v>
      </c>
      <c r="G58" s="180" t="n">
        <f aca="false" t="array" ref="G58:G58">-12*SUMPRODUCT(('⑫ Roll-out Plan'!$G$10:$G$97&lt;=G$41)*'⑫ Roll-out Plan'!$O$10:$O$97*((LEFT('⑫ Roll-out Plan'!$E$10:$E$97,1)="A")*$C$26+(LEFT('⑫ Roll-out Plan'!$E$10:$E$97,1)="B")*$C$27+(LEFT('⑫ Roll-out Plan'!$E$10:$E$97,1)="C")*$C$28+(LEFT('⑫ Roll-out Plan'!$E$10:$E$97,1)="D")*$C$29)*(1-0.5*ISNUMBER(SEARCH("Colombia",'⑫ Roll-out Plan'!$M$10:$M$97))))</f>
        <v>-169800</v>
      </c>
      <c r="H58" s="180" t="n">
        <f aca="false" t="array" ref="H58:H58">-12*SUMPRODUCT(('⑫ Roll-out Plan'!$G$10:$G$97&lt;=H$41)*'⑫ Roll-out Plan'!$O$10:$O$97*((LEFT('⑫ Roll-out Plan'!$E$10:$E$97,1)="A")*$C$26+(LEFT('⑫ Roll-out Plan'!$E$10:$E$97,1)="B")*$C$27+(LEFT('⑫ Roll-out Plan'!$E$10:$E$97,1)="C")*$C$28+(LEFT('⑫ Roll-out Plan'!$E$10:$E$97,1)="D")*$C$29)*(1-0.5*ISNUMBER(SEARCH("Colombia",'⑫ Roll-out Plan'!$M$10:$M$97))))</f>
        <v>-202800</v>
      </c>
      <c r="I58" s="180" t="n">
        <f aca="false" t="array" ref="I58:I58">-12*SUMPRODUCT(('⑫ Roll-out Plan'!$G$10:$G$97&lt;=I$41)*'⑫ Roll-out Plan'!$O$10:$O$97*((LEFT('⑫ Roll-out Plan'!$E$10:$E$97,1)="A")*$C$26+(LEFT('⑫ Roll-out Plan'!$E$10:$E$97,1)="B")*$C$27+(LEFT('⑫ Roll-out Plan'!$E$10:$E$97,1)="C")*$C$28+(LEFT('⑫ Roll-out Plan'!$E$10:$E$97,1)="D")*$C$29)*(1-0.5*ISNUMBER(SEARCH("Colombia",'⑫ Roll-out Plan'!$M$10:$M$97))))</f>
        <v>-258000</v>
      </c>
      <c r="J58" s="180" t="n">
        <f aca="false" t="array" ref="J58:J58">-12*SUMPRODUCT(('⑫ Roll-out Plan'!$G$10:$G$97&lt;=J$41)*'⑫ Roll-out Plan'!$O$10:$O$97*((LEFT('⑫ Roll-out Plan'!$E$10:$E$97,1)="A")*$C$26+(LEFT('⑫ Roll-out Plan'!$E$10:$E$97,1)="B")*$C$27+(LEFT('⑫ Roll-out Plan'!$E$10:$E$97,1)="C")*$C$28+(LEFT('⑫ Roll-out Plan'!$E$10:$E$97,1)="D")*$C$29)*(1-0.5*ISNUMBER(SEARCH("Colombia",'⑫ Roll-out Plan'!$M$10:$M$97))))</f>
        <v>-275100</v>
      </c>
      <c r="K58" s="180" t="n">
        <f aca="false" t="array" ref="K58:K58">-12*SUMPRODUCT(('⑫ Roll-out Plan'!$G$10:$G$97&lt;=K$41)*'⑫ Roll-out Plan'!$O$10:$O$97*((LEFT('⑫ Roll-out Plan'!$E$10:$E$97,1)="A")*$C$26+(LEFT('⑫ Roll-out Plan'!$E$10:$E$97,1)="B")*$C$27+(LEFT('⑫ Roll-out Plan'!$E$10:$E$97,1)="C")*$C$28+(LEFT('⑫ Roll-out Plan'!$E$10:$E$97,1)="D")*$C$29)*(1-0.5*ISNUMBER(SEARCH("Colombia",'⑫ Roll-out Plan'!$M$10:$M$97))))</f>
        <v>-305400</v>
      </c>
      <c r="L58" s="180" t="n">
        <f aca="false" t="array" ref="L58:L58">-12*SUMPRODUCT(('⑫ Roll-out Plan'!$G$10:$G$97&lt;=L$41)*'⑫ Roll-out Plan'!$O$10:$O$97*((LEFT('⑫ Roll-out Plan'!$E$10:$E$97,1)="A")*$C$26+(LEFT('⑫ Roll-out Plan'!$E$10:$E$97,1)="B")*$C$27+(LEFT('⑫ Roll-out Plan'!$E$10:$E$97,1)="C")*$C$28+(LEFT('⑫ Roll-out Plan'!$E$10:$E$97,1)="D")*$C$29)*(1-0.5*ISNUMBER(SEARCH("Colombia",'⑫ Roll-out Plan'!$M$10:$M$97))))</f>
        <v>-350100</v>
      </c>
      <c r="M58" s="180" t="n">
        <f aca="false" t="array" ref="M58:M58">-12*SUMPRODUCT(('⑫ Roll-out Plan'!$G$10:$G$97&lt;=M$41)*'⑫ Roll-out Plan'!$O$10:$O$97*((LEFT('⑫ Roll-out Plan'!$E$10:$E$97,1)="A")*$C$26+(LEFT('⑫ Roll-out Plan'!$E$10:$E$97,1)="B")*$C$27+(LEFT('⑫ Roll-out Plan'!$E$10:$E$97,1)="C")*$C$28+(LEFT('⑫ Roll-out Plan'!$E$10:$E$97,1)="D")*$C$29)*(1-0.5*ISNUMBER(SEARCH("Colombia",'⑫ Roll-out Plan'!$M$10:$M$97))))</f>
        <v>-397500</v>
      </c>
      <c r="N58" s="292" t="n">
        <f aca="false" t="array" ref="N58:N58">-12*SUMPRODUCT(('⑫ Roll-out Plan'!$G$10:$G$97&lt;=N$41)*'⑫ Roll-out Plan'!$O$10:$O$97*((LEFT('⑫ Roll-out Plan'!$E$10:$E$97,1)="A")*$C$26+(LEFT('⑫ Roll-out Plan'!$E$10:$E$97,1)="B")*$C$27+(LEFT('⑫ Roll-out Plan'!$E$10:$E$97,1)="C")*$C$28+(LEFT('⑫ Roll-out Plan'!$E$10:$E$97,1)="D")*$C$29)*(1-0.5*ISNUMBER(SEARCH("Colombia",'⑫ Roll-out Plan'!$M$10:$M$97))))</f>
        <v>-433800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</row>
    <row r="59" customFormat="false" ht="15" hidden="false" customHeight="false" outlineLevel="0" collapsed="false">
      <c r="B59" s="18" t="s">
        <v>1179</v>
      </c>
      <c r="C59" s="180" t="n">
        <f aca="false">0</f>
        <v>0</v>
      </c>
      <c r="D59" s="180" t="n">
        <f aca="false">0</f>
        <v>0</v>
      </c>
      <c r="E59" s="180" t="n">
        <f aca="false">0</f>
        <v>0</v>
      </c>
      <c r="F59" s="180" t="n">
        <f aca="false">0</f>
        <v>0</v>
      </c>
      <c r="G59" s="180" t="n">
        <f aca="false">0</f>
        <v>0</v>
      </c>
      <c r="H59" s="180" t="n">
        <f aca="false">0</f>
        <v>0</v>
      </c>
      <c r="I59" s="180" t="n">
        <f aca="false">0</f>
        <v>0</v>
      </c>
      <c r="J59" s="180" t="n">
        <f aca="false">0</f>
        <v>0</v>
      </c>
      <c r="K59" s="180" t="n">
        <f aca="false">0</f>
        <v>0</v>
      </c>
      <c r="L59" s="180" t="n">
        <f aca="false">0</f>
        <v>0</v>
      </c>
      <c r="M59" s="180" t="n">
        <f aca="false">0</f>
        <v>0</v>
      </c>
      <c r="N59" s="292" t="n">
        <f aca="false">0</f>
        <v>0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</row>
    <row r="60" customFormat="false" ht="15" hidden="false" customHeight="false" outlineLevel="0" collapsed="false">
      <c r="B60" s="293" t="s">
        <v>1180</v>
      </c>
      <c r="C60" s="290" t="n">
        <f aca="false">C53+C54+SUM(C55:C59)</f>
        <v>-376869.205214967</v>
      </c>
      <c r="D60" s="290" t="n">
        <f aca="false">D53+D54+SUM(D55:D59)</f>
        <v>-410832.138434972</v>
      </c>
      <c r="E60" s="290" t="n">
        <f aca="false">E53+E54+SUM(E55:E59)</f>
        <v>-1160828.99055618</v>
      </c>
      <c r="F60" s="290" t="n">
        <f aca="false">F53+F54+SUM(F55:F59)</f>
        <v>-1942376.53062765</v>
      </c>
      <c r="G60" s="290" t="n">
        <f aca="false">G53+G54+SUM(G55:G59)</f>
        <v>-2137234.09577987</v>
      </c>
      <c r="H60" s="290" t="n">
        <f aca="false">H53+H54+SUM(H55:H59)</f>
        <v>-2633214.29246043</v>
      </c>
      <c r="I60" s="290" t="n">
        <f aca="false">I53+I54+SUM(I55:I59)</f>
        <v>-3355889.89142598</v>
      </c>
      <c r="J60" s="290" t="n">
        <f aca="false">J53+J54+SUM(J55:J59)</f>
        <v>-3720126.86424929</v>
      </c>
      <c r="K60" s="290" t="n">
        <f aca="false">K53+K54+SUM(K55:K59)</f>
        <v>-4291785.48226759</v>
      </c>
      <c r="L60" s="290" t="n">
        <f aca="false">L53+L54+SUM(L55:L59)</f>
        <v>-5154802.9007188</v>
      </c>
      <c r="M60" s="294" t="n">
        <f aca="false">M53+M54+SUM(M55:M59)</f>
        <v>-5071605.29206971</v>
      </c>
      <c r="N60" s="298" t="n">
        <f aca="false">N53+N54+SUM(N55:N59)</f>
        <v>-5126607.32674996</v>
      </c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</row>
    <row r="61" customFormat="false" ht="15" hidden="false" customHeight="false" outlineLevel="0" collapsed="false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</row>
    <row r="62" customFormat="false" ht="15" hidden="false" customHeight="false" outlineLevel="0" collapsed="false">
      <c r="B62" s="299" t="s">
        <v>1181</v>
      </c>
      <c r="C62" s="300" t="n">
        <f aca="false">C45+C60</f>
        <v>-209336.944604567</v>
      </c>
      <c r="D62" s="300" t="n">
        <f aca="false">D45+D60</f>
        <v>153080.502574508</v>
      </c>
      <c r="E62" s="300" t="n">
        <f aca="false">E45+E60</f>
        <v>67068.60020005</v>
      </c>
      <c r="F62" s="300" t="n">
        <f aca="false">F45+F60</f>
        <v>382121.51025401</v>
      </c>
      <c r="G62" s="300" t="n">
        <f aca="false">G45+G60</f>
        <v>1560953.8757265</v>
      </c>
      <c r="H62" s="300" t="n">
        <f aca="false">H45+H60</f>
        <v>2124940.43876902</v>
      </c>
      <c r="I62" s="300" t="n">
        <f aca="false">I45+I60</f>
        <v>2356422.42773074</v>
      </c>
      <c r="J62" s="300" t="n">
        <f aca="false">J45+J60</f>
        <v>3139294.70618719</v>
      </c>
      <c r="K62" s="300" t="n">
        <f aca="false">K45+K60</f>
        <v>3669736.65207937</v>
      </c>
      <c r="L62" s="300" t="n">
        <f aca="false">L45+L60</f>
        <v>4425367.43601832</v>
      </c>
      <c r="M62" s="300" t="n">
        <f aca="false">M45+M60</f>
        <v>6635349.93109234</v>
      </c>
      <c r="N62" s="301" t="n">
        <f aca="false">N45+N60</f>
        <v>8934548.00304988</v>
      </c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</row>
    <row r="63" customFormat="false" ht="15" hidden="false" customHeight="false" outlineLevel="0" collapsed="false">
      <c r="B63" s="18" t="s">
        <v>232</v>
      </c>
      <c r="C63" s="292" t="n">
        <f aca="false">IFERROR(C62/C43,0)</f>
        <v>-0.874672500026544</v>
      </c>
      <c r="D63" s="292" t="n">
        <f aca="false">IFERROR(D62/D43,0)</f>
        <v>0.190022964568291</v>
      </c>
      <c r="E63" s="292" t="n">
        <f aca="false">IFERROR(E62/E43,0)</f>
        <v>0.0382344753287781</v>
      </c>
      <c r="F63" s="292" t="n">
        <f aca="false">IFERROR(F62/F43,0)</f>
        <v>0.115072180089407</v>
      </c>
      <c r="G63" s="292" t="n">
        <f aca="false">IFERROR(G62/G43,0)</f>
        <v>0.295460296076697</v>
      </c>
      <c r="H63" s="292" t="n">
        <f aca="false">IFERROR(H62/H43,0)</f>
        <v>0.312612428800518</v>
      </c>
      <c r="I63" s="292" t="n">
        <f aca="false">IFERROR(I62/I43,0)</f>
        <v>0.288761469480546</v>
      </c>
      <c r="J63" s="292" t="n">
        <f aca="false">IFERROR(J62/J43,0)</f>
        <v>0.32036320727131</v>
      </c>
      <c r="K63" s="292" t="n">
        <f aca="false">IFERROR(K62/K43,0)</f>
        <v>0.322653835925844</v>
      </c>
      <c r="L63" s="292" t="n">
        <f aca="false">IFERROR(L62/L43,0)</f>
        <v>0.323350952679186</v>
      </c>
      <c r="M63" s="292" t="n">
        <f aca="false">IFERROR(M62/M43,0)</f>
        <v>0.396750894081757</v>
      </c>
      <c r="N63" s="292" t="n">
        <f aca="false">IFERROR(N62/N43,0)</f>
        <v>0.44478447577351</v>
      </c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</row>
    <row r="64" customFormat="false" ht="15" hidden="false" customHeight="false" outlineLevel="0" collapsed="false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</row>
    <row r="65" customFormat="false" ht="15" hidden="false" customHeight="false" outlineLevel="0" collapsed="false">
      <c r="B65" s="18" t="s">
        <v>1182</v>
      </c>
      <c r="C65" s="180" t="n">
        <f aca="false">-SUM('⑫ Roll-out Plan'!C103:C103)/7</f>
        <v>-40714.2857142857</v>
      </c>
      <c r="D65" s="180" t="n">
        <f aca="false">-SUM('⑫ Roll-out Plan'!C103:D103)/7</f>
        <v>-40714.2857142857</v>
      </c>
      <c r="E65" s="180" t="n">
        <f aca="false">-SUM('⑫ Roll-out Plan'!C103:E103)/7</f>
        <v>-140714.285714286</v>
      </c>
      <c r="F65" s="180" t="n">
        <f aca="false">-SUM('⑫ Roll-out Plan'!C103:F103)/7</f>
        <v>-240714.285714286</v>
      </c>
      <c r="G65" s="180" t="n">
        <f aca="false">-SUM('⑫ Roll-out Plan'!C103:G103)/7</f>
        <v>-255000</v>
      </c>
      <c r="H65" s="180" t="n">
        <f aca="false">-SUM('⑫ Roll-out Plan'!C103:H103)/7</f>
        <v>-312142.857142857</v>
      </c>
      <c r="I65" s="180" t="n">
        <f aca="false">-SUM('⑫ Roll-out Plan'!C103:I103)/7</f>
        <v>-412142.857142857</v>
      </c>
      <c r="J65" s="180" t="n">
        <f aca="false">-SUM('⑫ Roll-out Plan'!D103:J103)/7</f>
        <v>-428571.428571429</v>
      </c>
      <c r="K65" s="180" t="n">
        <f aca="false">-SUM('⑫ Roll-out Plan'!E103:K103)/7</f>
        <v>-542857.142857143</v>
      </c>
      <c r="L65" s="180" t="n">
        <f aca="false">-SUM('⑫ Roll-out Plan'!F103:L103)/7</f>
        <v>-614285.714285714</v>
      </c>
      <c r="M65" s="180" t="n">
        <f aca="false">-SUM('⑫ Roll-out Plan'!G103:M103)/7</f>
        <v>-685714.285714286</v>
      </c>
      <c r="N65" s="9" t="n">
        <f aca="false">-SUM('⑫ Roll-out Plan'!H103:N103)/7</f>
        <v>-800000</v>
      </c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</row>
    <row r="66" customFormat="false" ht="15" hidden="false" customHeight="false" outlineLevel="0" collapsed="false">
      <c r="B66" s="185" t="s">
        <v>1183</v>
      </c>
      <c r="C66" s="290" t="n">
        <f aca="false">C62+C65</f>
        <v>-250051.230318853</v>
      </c>
      <c r="D66" s="290" t="n">
        <f aca="false">D62+D65</f>
        <v>112366.216860223</v>
      </c>
      <c r="E66" s="290" t="n">
        <f aca="false">E62+E65</f>
        <v>-73645.6855142357</v>
      </c>
      <c r="F66" s="290" t="n">
        <f aca="false">F62+F65</f>
        <v>141407.224539725</v>
      </c>
      <c r="G66" s="290" t="n">
        <f aca="false">G62+G65</f>
        <v>1305953.8757265</v>
      </c>
      <c r="H66" s="290" t="n">
        <f aca="false">H62+H65</f>
        <v>1812797.58162617</v>
      </c>
      <c r="I66" s="290" t="n">
        <f aca="false">I62+I65</f>
        <v>1944279.57058788</v>
      </c>
      <c r="J66" s="290" t="n">
        <f aca="false">J62+J65</f>
        <v>2710723.27761576</v>
      </c>
      <c r="K66" s="290" t="n">
        <f aca="false">K62+K65</f>
        <v>3126879.50922222</v>
      </c>
      <c r="L66" s="290" t="n">
        <f aca="false">L62+L65</f>
        <v>3811081.7217326</v>
      </c>
      <c r="M66" s="290" t="n">
        <f aca="false">M62+M65</f>
        <v>5949635.64537806</v>
      </c>
      <c r="N66" s="291" t="n">
        <f aca="false">N62+N65</f>
        <v>8134548.00304988</v>
      </c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</row>
    <row r="67" customFormat="false" ht="15" hidden="false" customHeight="false" outlineLevel="0" collapsed="false">
      <c r="B67" s="18" t="s">
        <v>1184</v>
      </c>
      <c r="C67" s="180" t="n">
        <f aca="false">-MAX(0,C66*0.25)</f>
        <v>-0</v>
      </c>
      <c r="D67" s="180" t="n">
        <f aca="false">-MAX(0,D66*0.25)</f>
        <v>-28091.5542150557</v>
      </c>
      <c r="E67" s="180" t="n">
        <f aca="false">-MAX(0,E66*0.25)</f>
        <v>-0</v>
      </c>
      <c r="F67" s="180" t="n">
        <f aca="false">-MAX(0,F66*0.25)</f>
        <v>-35351.8061349312</v>
      </c>
      <c r="G67" s="180" t="n">
        <f aca="false">-MAX(0,G66*0.25)</f>
        <v>-326488.468931625</v>
      </c>
      <c r="H67" s="180" t="n">
        <f aca="false">-MAX(0,H66*0.25)</f>
        <v>-453199.395406541</v>
      </c>
      <c r="I67" s="180" t="n">
        <f aca="false">-MAX(0,I66*0.25)</f>
        <v>-486069.89264697</v>
      </c>
      <c r="J67" s="180" t="n">
        <f aca="false">-MAX(0,J66*0.25)</f>
        <v>-677680.819403941</v>
      </c>
      <c r="K67" s="180" t="n">
        <f aca="false">-MAX(0,K66*0.25)</f>
        <v>-781719.877305556</v>
      </c>
      <c r="L67" s="180" t="n">
        <f aca="false">-MAX(0,L66*0.25)</f>
        <v>-952770.43043315</v>
      </c>
      <c r="M67" s="180" t="n">
        <f aca="false">-MAX(0,M66*0.25)</f>
        <v>-1487408.91134451</v>
      </c>
      <c r="N67" s="180" t="n">
        <f aca="false">-MAX(0,N66*0.25)</f>
        <v>-2033637.00076247</v>
      </c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</row>
    <row r="68" customFormat="false" ht="15.75" hidden="false" customHeight="true" outlineLevel="0" collapsed="false">
      <c r="B68" s="302" t="s">
        <v>239</v>
      </c>
      <c r="C68" s="303" t="n">
        <f aca="false">C66+C67</f>
        <v>-250051.230318853</v>
      </c>
      <c r="D68" s="303" t="n">
        <f aca="false">D66+D67</f>
        <v>84274.6626451669</v>
      </c>
      <c r="E68" s="303" t="n">
        <f aca="false">E66+E67</f>
        <v>-73645.6855142357</v>
      </c>
      <c r="F68" s="303" t="n">
        <f aca="false">F66+F67</f>
        <v>106055.418404793</v>
      </c>
      <c r="G68" s="303" t="n">
        <f aca="false">G66+G67</f>
        <v>979465.406794874</v>
      </c>
      <c r="H68" s="303" t="n">
        <f aca="false">H66+H67</f>
        <v>1359598.18621962</v>
      </c>
      <c r="I68" s="303" t="n">
        <f aca="false">I66+I67</f>
        <v>1458209.67794091</v>
      </c>
      <c r="J68" s="303" t="n">
        <f aca="false">J66+J67</f>
        <v>2033042.45821182</v>
      </c>
      <c r="K68" s="303" t="n">
        <f aca="false">K66+K67</f>
        <v>2345159.63191667</v>
      </c>
      <c r="L68" s="303" t="n">
        <f aca="false">L66+L67</f>
        <v>2858311.29129945</v>
      </c>
      <c r="M68" s="303" t="n">
        <f aca="false">M66+M67</f>
        <v>4462226.73403354</v>
      </c>
      <c r="N68" s="304" t="n">
        <f aca="false">N66+N67</f>
        <v>6100911.00228741</v>
      </c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</row>
    <row r="69" customFormat="false" ht="15.75" hidden="false" customHeight="true" outlineLevel="0" collapsed="false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</row>
    <row r="70" customFormat="false" ht="15" hidden="false" customHeight="false" outlineLevel="0" collapsed="false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</row>
    <row r="71" customFormat="false" ht="15" hidden="false" customHeight="false" outlineLevel="0" collapsed="false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</row>
    <row r="72" customFormat="false" ht="15" hidden="false" customHeight="false" outlineLevel="0" collapsed="false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</row>
    <row r="73" customFormat="false" ht="15" hidden="false" customHeight="false" outlineLevel="0" collapsed="false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</row>
    <row r="74" customFormat="false" ht="15" hidden="false" customHeight="false" outlineLevel="0" collapsed="false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</row>
    <row r="75" customFormat="false" ht="15" hidden="false" customHeight="false" outlineLevel="0" collapsed="false">
      <c r="B75" s="26" t="s">
        <v>1185</v>
      </c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</row>
    <row r="76" customFormat="false" ht="15" hidden="false" customHeight="false" outlineLevel="0" collapsed="false">
      <c r="B76" s="18" t="s">
        <v>123</v>
      </c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232" t="n">
        <f aca="false">YEAR(AC77)</f>
        <v>2025</v>
      </c>
      <c r="AD76" s="232" t="n">
        <f aca="false">YEAR(AD77)</f>
        <v>2025</v>
      </c>
      <c r="AE76" s="232" t="n">
        <f aca="false">YEAR(AE77)</f>
        <v>2025</v>
      </c>
      <c r="AF76" s="232" t="n">
        <f aca="false">YEAR(AF77)</f>
        <v>2025</v>
      </c>
      <c r="AG76" s="232" t="n">
        <f aca="false">YEAR(AG77)</f>
        <v>2025</v>
      </c>
      <c r="AH76" s="232" t="n">
        <f aca="false">YEAR(AH77)</f>
        <v>2025</v>
      </c>
      <c r="AI76" s="232" t="n">
        <f aca="false">YEAR(AI77)</f>
        <v>2025</v>
      </c>
      <c r="AJ76" s="232" t="n">
        <f aca="false">YEAR(AJ77)</f>
        <v>2025</v>
      </c>
      <c r="AK76" s="232" t="n">
        <f aca="false">YEAR(AK77)</f>
        <v>2025</v>
      </c>
      <c r="AL76" s="232" t="n">
        <f aca="false">YEAR(AL77)</f>
        <v>2025</v>
      </c>
      <c r="AM76" s="232" t="n">
        <f aca="false">YEAR(AM77)</f>
        <v>2025</v>
      </c>
      <c r="AN76" s="232" t="n">
        <f aca="false">YEAR(AN77)</f>
        <v>2025</v>
      </c>
      <c r="AO76" s="232" t="n">
        <f aca="false">YEAR(AO77)</f>
        <v>2026</v>
      </c>
      <c r="AP76" s="232" t="n">
        <f aca="false">YEAR(AP77)</f>
        <v>2026</v>
      </c>
      <c r="AQ76" s="232" t="n">
        <f aca="false">YEAR(AQ77)</f>
        <v>2026</v>
      </c>
      <c r="AR76" s="232" t="n">
        <f aca="false">YEAR(AR77)</f>
        <v>2026</v>
      </c>
      <c r="AS76" s="232" t="n">
        <f aca="false">YEAR(AS77)</f>
        <v>2026</v>
      </c>
      <c r="AT76" s="232" t="n">
        <f aca="false">YEAR(AT77)</f>
        <v>2026</v>
      </c>
      <c r="AU76" s="232" t="n">
        <f aca="false">YEAR(AU77)</f>
        <v>2026</v>
      </c>
      <c r="AV76" s="232" t="n">
        <f aca="false">YEAR(AV77)</f>
        <v>2026</v>
      </c>
      <c r="AW76" s="232" t="n">
        <f aca="false">YEAR(AW77)</f>
        <v>2026</v>
      </c>
      <c r="AX76" s="232" t="n">
        <f aca="false">YEAR(AX77)</f>
        <v>2026</v>
      </c>
      <c r="AY76" s="232" t="n">
        <f aca="false">YEAR(AY77)</f>
        <v>2026</v>
      </c>
      <c r="AZ76" s="232" t="n">
        <f aca="false">YEAR(AZ77)</f>
        <v>2026</v>
      </c>
      <c r="BA76" s="232" t="n">
        <f aca="false">YEAR(BA77)</f>
        <v>2027</v>
      </c>
      <c r="BB76" s="232" t="n">
        <f aca="false">YEAR(BB77)</f>
        <v>2027</v>
      </c>
      <c r="BC76" s="232" t="n">
        <f aca="false">YEAR(BC77)</f>
        <v>2027</v>
      </c>
      <c r="BD76" s="232" t="n">
        <f aca="false">YEAR(BD77)</f>
        <v>2027</v>
      </c>
      <c r="BE76" s="232" t="n">
        <f aca="false">YEAR(BE77)</f>
        <v>2027</v>
      </c>
      <c r="BF76" s="232" t="n">
        <f aca="false">YEAR(BF77)</f>
        <v>2027</v>
      </c>
      <c r="BG76" s="232" t="n">
        <f aca="false">YEAR(BG77)</f>
        <v>2027</v>
      </c>
      <c r="BH76" s="232" t="n">
        <f aca="false">YEAR(BH77)</f>
        <v>2027</v>
      </c>
      <c r="BI76" s="232" t="n">
        <f aca="false">YEAR(BI77)</f>
        <v>2027</v>
      </c>
      <c r="BJ76" s="232" t="n">
        <f aca="false">YEAR(BJ77)</f>
        <v>2027</v>
      </c>
      <c r="BK76" s="232" t="n">
        <f aca="false">YEAR(BK77)</f>
        <v>2027</v>
      </c>
      <c r="BL76" s="232" t="n">
        <f aca="false">YEAR(BL77)</f>
        <v>2027</v>
      </c>
      <c r="BM76" s="232" t="n">
        <f aca="false">YEAR(BM77)</f>
        <v>2028</v>
      </c>
      <c r="BN76" s="232" t="n">
        <f aca="false">YEAR(BN77)</f>
        <v>2028</v>
      </c>
      <c r="BO76" s="232" t="n">
        <f aca="false">YEAR(BO77)</f>
        <v>2028</v>
      </c>
      <c r="BP76" s="232" t="n">
        <f aca="false">YEAR(BP77)</f>
        <v>2028</v>
      </c>
      <c r="BQ76" s="232" t="n">
        <f aca="false">YEAR(BQ77)</f>
        <v>2028</v>
      </c>
      <c r="BR76" s="232" t="n">
        <f aca="false">YEAR(BR77)</f>
        <v>2028</v>
      </c>
      <c r="BS76" s="232" t="n">
        <f aca="false">YEAR(BS77)</f>
        <v>2028</v>
      </c>
      <c r="BT76" s="232" t="n">
        <f aca="false">YEAR(BT77)</f>
        <v>2028</v>
      </c>
      <c r="BU76" s="232" t="n">
        <f aca="false">YEAR(BU77)</f>
        <v>2028</v>
      </c>
      <c r="BV76" s="232" t="n">
        <f aca="false">YEAR(BV77)</f>
        <v>2028</v>
      </c>
      <c r="BW76" s="232" t="n">
        <f aca="false">YEAR(BW77)</f>
        <v>2028</v>
      </c>
      <c r="BX76" s="232" t="n">
        <f aca="false">YEAR(BX77)</f>
        <v>2028</v>
      </c>
      <c r="BY76" s="232" t="n">
        <f aca="false">YEAR(BY77)</f>
        <v>2029</v>
      </c>
      <c r="BZ76" s="232" t="n">
        <f aca="false">YEAR(BZ77)</f>
        <v>2029</v>
      </c>
      <c r="CA76" s="232" t="n">
        <f aca="false">YEAR(CA77)</f>
        <v>2029</v>
      </c>
      <c r="CB76" s="232" t="n">
        <f aca="false">YEAR(CB77)</f>
        <v>2029</v>
      </c>
      <c r="CC76" s="232" t="n">
        <f aca="false">YEAR(CC77)</f>
        <v>2029</v>
      </c>
      <c r="CD76" s="232" t="n">
        <f aca="false">YEAR(CD77)</f>
        <v>2029</v>
      </c>
      <c r="CE76" s="232" t="n">
        <f aca="false">YEAR(CE77)</f>
        <v>2029</v>
      </c>
      <c r="CF76" s="232" t="n">
        <f aca="false">YEAR(CF77)</f>
        <v>2029</v>
      </c>
      <c r="CG76" s="232" t="n">
        <f aca="false">YEAR(CG77)</f>
        <v>2029</v>
      </c>
      <c r="CH76" s="232" t="n">
        <f aca="false">YEAR(CH77)</f>
        <v>2029</v>
      </c>
      <c r="CI76" s="232" t="n">
        <f aca="false">YEAR(CI77)</f>
        <v>2029</v>
      </c>
      <c r="CJ76" s="232" t="n">
        <f aca="false">YEAR(CJ77)</f>
        <v>2029</v>
      </c>
      <c r="CK76" s="232" t="n">
        <f aca="false">YEAR(CK77)</f>
        <v>2030</v>
      </c>
      <c r="CL76" s="232" t="n">
        <f aca="false">YEAR(CL77)</f>
        <v>2030</v>
      </c>
      <c r="CM76" s="232" t="n">
        <f aca="false">YEAR(CM77)</f>
        <v>2030</v>
      </c>
      <c r="CN76" s="232" t="n">
        <f aca="false">YEAR(CN77)</f>
        <v>2030</v>
      </c>
      <c r="CO76" s="232" t="n">
        <f aca="false">YEAR(CO77)</f>
        <v>2030</v>
      </c>
      <c r="CP76" s="232" t="n">
        <f aca="false">YEAR(CP77)</f>
        <v>2030</v>
      </c>
      <c r="CQ76" s="232" t="n">
        <f aca="false">YEAR(CQ77)</f>
        <v>2030</v>
      </c>
      <c r="CR76" s="232" t="n">
        <f aca="false">YEAR(CR77)</f>
        <v>2030</v>
      </c>
      <c r="CS76" s="232" t="n">
        <f aca="false">YEAR(CS77)</f>
        <v>2030</v>
      </c>
      <c r="CT76" s="232" t="n">
        <f aca="false">YEAR(CT77)</f>
        <v>2030</v>
      </c>
      <c r="CU76" s="232" t="n">
        <f aca="false">YEAR(CU77)</f>
        <v>2030</v>
      </c>
      <c r="CV76" s="232" t="n">
        <f aca="false">YEAR(CV77)</f>
        <v>2030</v>
      </c>
      <c r="CW76" s="232" t="n">
        <f aca="false">YEAR(CW77)</f>
        <v>2031</v>
      </c>
      <c r="CX76" s="232" t="n">
        <f aca="false">YEAR(CX77)</f>
        <v>2031</v>
      </c>
      <c r="CY76" s="232" t="n">
        <f aca="false">YEAR(CY77)</f>
        <v>2031</v>
      </c>
      <c r="CZ76" s="232" t="n">
        <f aca="false">YEAR(CZ77)</f>
        <v>2031</v>
      </c>
      <c r="DA76" s="232" t="n">
        <f aca="false">YEAR(DA77)</f>
        <v>2031</v>
      </c>
      <c r="DB76" s="232" t="n">
        <f aca="false">YEAR(DB77)</f>
        <v>2031</v>
      </c>
      <c r="DC76" s="232" t="n">
        <f aca="false">YEAR(DC77)</f>
        <v>2031</v>
      </c>
      <c r="DD76" s="232" t="n">
        <f aca="false">YEAR(DD77)</f>
        <v>2031</v>
      </c>
      <c r="DE76" s="232" t="n">
        <f aca="false">YEAR(DE77)</f>
        <v>2031</v>
      </c>
      <c r="DF76" s="232" t="n">
        <f aca="false">YEAR(DF77)</f>
        <v>2031</v>
      </c>
      <c r="DG76" s="232" t="n">
        <f aca="false">YEAR(DG77)</f>
        <v>2031</v>
      </c>
      <c r="DH76" s="232" t="n">
        <f aca="false">YEAR(DH77)</f>
        <v>2031</v>
      </c>
      <c r="DI76" s="232" t="n">
        <f aca="false">YEAR(DI77)</f>
        <v>2032</v>
      </c>
      <c r="DJ76" s="232" t="n">
        <f aca="false">YEAR(DJ77)</f>
        <v>2032</v>
      </c>
      <c r="DK76" s="232" t="n">
        <f aca="false">YEAR(DK77)</f>
        <v>2032</v>
      </c>
      <c r="DL76" s="232" t="n">
        <f aca="false">YEAR(DL77)</f>
        <v>2032</v>
      </c>
      <c r="DM76" s="232" t="n">
        <f aca="false">YEAR(DM77)</f>
        <v>2032</v>
      </c>
      <c r="DN76" s="232" t="n">
        <f aca="false">YEAR(DN77)</f>
        <v>2032</v>
      </c>
      <c r="DO76" s="232" t="n">
        <f aca="false">YEAR(DO77)</f>
        <v>2032</v>
      </c>
      <c r="DP76" s="232" t="n">
        <f aca="false">YEAR(DP77)</f>
        <v>2032</v>
      </c>
      <c r="DQ76" s="232" t="n">
        <f aca="false">YEAR(DQ77)</f>
        <v>2032</v>
      </c>
      <c r="DR76" s="232" t="n">
        <f aca="false">YEAR(DR77)</f>
        <v>2032</v>
      </c>
      <c r="DS76" s="232" t="n">
        <f aca="false">YEAR(DS77)</f>
        <v>2032</v>
      </c>
      <c r="DT76" s="232" t="n">
        <f aca="false">YEAR(DT77)</f>
        <v>2032</v>
      </c>
      <c r="DU76" s="232" t="n">
        <f aca="false">YEAR(DU77)</f>
        <v>2033</v>
      </c>
      <c r="DV76" s="232" t="n">
        <f aca="false">YEAR(DV77)</f>
        <v>2033</v>
      </c>
      <c r="DW76" s="232" t="n">
        <f aca="false">YEAR(DW77)</f>
        <v>2033</v>
      </c>
      <c r="DX76" s="232" t="n">
        <f aca="false">YEAR(DX77)</f>
        <v>2033</v>
      </c>
      <c r="DY76" s="232" t="n">
        <f aca="false">YEAR(DY77)</f>
        <v>2033</v>
      </c>
      <c r="DZ76" s="232" t="n">
        <f aca="false">YEAR(DZ77)</f>
        <v>2033</v>
      </c>
      <c r="EA76" s="232" t="n">
        <f aca="false">YEAR(EA77)</f>
        <v>2033</v>
      </c>
      <c r="EB76" s="232" t="n">
        <f aca="false">YEAR(EB77)</f>
        <v>2033</v>
      </c>
      <c r="EC76" s="232" t="n">
        <f aca="false">YEAR(EC77)</f>
        <v>2033</v>
      </c>
      <c r="ED76" s="232" t="n">
        <f aca="false">YEAR(ED77)</f>
        <v>2033</v>
      </c>
      <c r="EE76" s="232" t="n">
        <f aca="false">YEAR(EE77)</f>
        <v>2033</v>
      </c>
      <c r="EF76" s="232" t="n">
        <f aca="false">YEAR(EF77)</f>
        <v>2033</v>
      </c>
      <c r="EG76" s="232" t="n">
        <f aca="false">YEAR(EG77)</f>
        <v>2034</v>
      </c>
      <c r="EH76" s="232" t="n">
        <f aca="false">YEAR(EH77)</f>
        <v>2034</v>
      </c>
      <c r="EI76" s="232" t="n">
        <f aca="false">YEAR(EI77)</f>
        <v>2034</v>
      </c>
      <c r="EJ76" s="232" t="n">
        <f aca="false">YEAR(EJ77)</f>
        <v>2034</v>
      </c>
      <c r="EK76" s="232" t="n">
        <f aca="false">YEAR(EK77)</f>
        <v>2034</v>
      </c>
      <c r="EL76" s="232" t="n">
        <f aca="false">YEAR(EL77)</f>
        <v>2034</v>
      </c>
      <c r="EM76" s="232" t="n">
        <f aca="false">YEAR(EM77)</f>
        <v>2034</v>
      </c>
      <c r="EN76" s="232" t="n">
        <f aca="false">YEAR(EN77)</f>
        <v>2034</v>
      </c>
      <c r="EO76" s="232" t="n">
        <f aca="false">YEAR(EO77)</f>
        <v>2034</v>
      </c>
      <c r="EP76" s="232" t="n">
        <f aca="false">YEAR(EP77)</f>
        <v>2034</v>
      </c>
      <c r="EQ76" s="232" t="n">
        <f aca="false">YEAR(EQ77)</f>
        <v>2034</v>
      </c>
      <c r="ER76" s="232" t="n">
        <f aca="false">YEAR(ER77)</f>
        <v>2034</v>
      </c>
    </row>
    <row r="77" customFormat="false" ht="15" hidden="false" customHeight="false" outlineLevel="0" collapsed="false">
      <c r="B77" s="27" t="s">
        <v>197</v>
      </c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80" t="n">
        <f aca="false">'⑮ Cohort Engine'!AC36</f>
        <v>45658</v>
      </c>
      <c r="AD77" s="80" t="n">
        <f aca="false">'⑮ Cohort Engine'!AD36</f>
        <v>45689</v>
      </c>
      <c r="AE77" s="80" t="n">
        <f aca="false">'⑮ Cohort Engine'!AE36</f>
        <v>45717</v>
      </c>
      <c r="AF77" s="80" t="n">
        <f aca="false">'⑮ Cohort Engine'!AF36</f>
        <v>45748</v>
      </c>
      <c r="AG77" s="80" t="n">
        <f aca="false">'⑮ Cohort Engine'!AG36</f>
        <v>45778</v>
      </c>
      <c r="AH77" s="80" t="n">
        <f aca="false">'⑮ Cohort Engine'!AH36</f>
        <v>45809</v>
      </c>
      <c r="AI77" s="80" t="n">
        <f aca="false">'⑮ Cohort Engine'!AI36</f>
        <v>45839</v>
      </c>
      <c r="AJ77" s="80" t="n">
        <f aca="false">'⑮ Cohort Engine'!AJ36</f>
        <v>45870</v>
      </c>
      <c r="AK77" s="80" t="n">
        <f aca="false">'⑮ Cohort Engine'!AK36</f>
        <v>45901</v>
      </c>
      <c r="AL77" s="80" t="n">
        <f aca="false">'⑮ Cohort Engine'!AL36</f>
        <v>45931</v>
      </c>
      <c r="AM77" s="80" t="n">
        <f aca="false">'⑮ Cohort Engine'!AM36</f>
        <v>45962</v>
      </c>
      <c r="AN77" s="80" t="n">
        <f aca="false">'⑮ Cohort Engine'!AN36</f>
        <v>45992</v>
      </c>
      <c r="AO77" s="80" t="n">
        <f aca="false">'⑮ Cohort Engine'!AO36</f>
        <v>46023</v>
      </c>
      <c r="AP77" s="80" t="n">
        <f aca="false">'⑮ Cohort Engine'!AP36</f>
        <v>46054</v>
      </c>
      <c r="AQ77" s="80" t="n">
        <f aca="false">'⑮ Cohort Engine'!AQ36</f>
        <v>46082</v>
      </c>
      <c r="AR77" s="80" t="n">
        <f aca="false">'⑮ Cohort Engine'!AR36</f>
        <v>46113</v>
      </c>
      <c r="AS77" s="80" t="n">
        <f aca="false">'⑮ Cohort Engine'!AS36</f>
        <v>46143</v>
      </c>
      <c r="AT77" s="80" t="n">
        <f aca="false">'⑮ Cohort Engine'!AT36</f>
        <v>46174</v>
      </c>
      <c r="AU77" s="80" t="n">
        <f aca="false">'⑮ Cohort Engine'!AU36</f>
        <v>46204</v>
      </c>
      <c r="AV77" s="80" t="n">
        <f aca="false">'⑮ Cohort Engine'!AV36</f>
        <v>46235</v>
      </c>
      <c r="AW77" s="80" t="n">
        <f aca="false">'⑮ Cohort Engine'!AW36</f>
        <v>46266</v>
      </c>
      <c r="AX77" s="80" t="n">
        <f aca="false">'⑮ Cohort Engine'!AX36</f>
        <v>46296</v>
      </c>
      <c r="AY77" s="80" t="n">
        <f aca="false">'⑮ Cohort Engine'!AY36</f>
        <v>46327</v>
      </c>
      <c r="AZ77" s="80" t="n">
        <f aca="false">'⑮ Cohort Engine'!AZ36</f>
        <v>46357</v>
      </c>
      <c r="BA77" s="80" t="n">
        <f aca="false">'⑮ Cohort Engine'!BA36</f>
        <v>46388</v>
      </c>
      <c r="BB77" s="80" t="n">
        <f aca="false">'⑮ Cohort Engine'!BB36</f>
        <v>46419</v>
      </c>
      <c r="BC77" s="80" t="n">
        <f aca="false">'⑮ Cohort Engine'!BC36</f>
        <v>46447</v>
      </c>
      <c r="BD77" s="80" t="n">
        <f aca="false">'⑮ Cohort Engine'!BD36</f>
        <v>46478</v>
      </c>
      <c r="BE77" s="80" t="n">
        <f aca="false">'⑮ Cohort Engine'!BE36</f>
        <v>46508</v>
      </c>
      <c r="BF77" s="80" t="n">
        <f aca="false">'⑮ Cohort Engine'!BF36</f>
        <v>46539</v>
      </c>
      <c r="BG77" s="80" t="n">
        <f aca="false">'⑮ Cohort Engine'!BG36</f>
        <v>46569</v>
      </c>
      <c r="BH77" s="80" t="n">
        <f aca="false">'⑮ Cohort Engine'!BH36</f>
        <v>46600</v>
      </c>
      <c r="BI77" s="80" t="n">
        <f aca="false">'⑮ Cohort Engine'!BI36</f>
        <v>46631</v>
      </c>
      <c r="BJ77" s="80" t="n">
        <f aca="false">'⑮ Cohort Engine'!BJ36</f>
        <v>46661</v>
      </c>
      <c r="BK77" s="80" t="n">
        <f aca="false">'⑮ Cohort Engine'!BK36</f>
        <v>46692</v>
      </c>
      <c r="BL77" s="80" t="n">
        <f aca="false">'⑮ Cohort Engine'!BL36</f>
        <v>46722</v>
      </c>
      <c r="BM77" s="80" t="n">
        <f aca="false">'⑮ Cohort Engine'!BM36</f>
        <v>46753</v>
      </c>
      <c r="BN77" s="80" t="n">
        <f aca="false">'⑮ Cohort Engine'!BN36</f>
        <v>46784</v>
      </c>
      <c r="BO77" s="80" t="n">
        <f aca="false">'⑮ Cohort Engine'!BO36</f>
        <v>46813</v>
      </c>
      <c r="BP77" s="80" t="n">
        <f aca="false">'⑮ Cohort Engine'!BP36</f>
        <v>46844</v>
      </c>
      <c r="BQ77" s="80" t="n">
        <f aca="false">'⑮ Cohort Engine'!BQ36</f>
        <v>46874</v>
      </c>
      <c r="BR77" s="80" t="n">
        <f aca="false">'⑮ Cohort Engine'!BR36</f>
        <v>46905</v>
      </c>
      <c r="BS77" s="80" t="n">
        <f aca="false">'⑮ Cohort Engine'!BS36</f>
        <v>46935</v>
      </c>
      <c r="BT77" s="80" t="n">
        <f aca="false">'⑮ Cohort Engine'!BT36</f>
        <v>46966</v>
      </c>
      <c r="BU77" s="80" t="n">
        <f aca="false">'⑮ Cohort Engine'!BU36</f>
        <v>46997</v>
      </c>
      <c r="BV77" s="80" t="n">
        <f aca="false">'⑮ Cohort Engine'!BV36</f>
        <v>47027</v>
      </c>
      <c r="BW77" s="80" t="n">
        <f aca="false">'⑮ Cohort Engine'!BW36</f>
        <v>47058</v>
      </c>
      <c r="BX77" s="80" t="n">
        <f aca="false">'⑮ Cohort Engine'!BX36</f>
        <v>47088</v>
      </c>
      <c r="BY77" s="80" t="n">
        <f aca="false">'⑮ Cohort Engine'!BY36</f>
        <v>47119</v>
      </c>
      <c r="BZ77" s="80" t="n">
        <f aca="false">'⑮ Cohort Engine'!BZ36</f>
        <v>47150</v>
      </c>
      <c r="CA77" s="80" t="n">
        <f aca="false">'⑮ Cohort Engine'!CA36</f>
        <v>47178</v>
      </c>
      <c r="CB77" s="80" t="n">
        <f aca="false">'⑮ Cohort Engine'!CB36</f>
        <v>47209</v>
      </c>
      <c r="CC77" s="80" t="n">
        <f aca="false">'⑮ Cohort Engine'!CC36</f>
        <v>47239</v>
      </c>
      <c r="CD77" s="80" t="n">
        <f aca="false">'⑮ Cohort Engine'!CD36</f>
        <v>47270</v>
      </c>
      <c r="CE77" s="80" t="n">
        <f aca="false">'⑮ Cohort Engine'!CE36</f>
        <v>47300</v>
      </c>
      <c r="CF77" s="80" t="n">
        <f aca="false">'⑮ Cohort Engine'!CF36</f>
        <v>47331</v>
      </c>
      <c r="CG77" s="80" t="n">
        <f aca="false">'⑮ Cohort Engine'!CG36</f>
        <v>47362</v>
      </c>
      <c r="CH77" s="80" t="n">
        <f aca="false">'⑮ Cohort Engine'!CH36</f>
        <v>47392</v>
      </c>
      <c r="CI77" s="80" t="n">
        <f aca="false">'⑮ Cohort Engine'!CI36</f>
        <v>47423</v>
      </c>
      <c r="CJ77" s="80" t="n">
        <f aca="false">'⑮ Cohort Engine'!CJ36</f>
        <v>47453</v>
      </c>
      <c r="CK77" s="80" t="n">
        <f aca="false">'⑮ Cohort Engine'!CK36</f>
        <v>47484</v>
      </c>
      <c r="CL77" s="80" t="n">
        <f aca="false">'⑮ Cohort Engine'!CL36</f>
        <v>47515</v>
      </c>
      <c r="CM77" s="80" t="n">
        <f aca="false">'⑮ Cohort Engine'!CM36</f>
        <v>47543</v>
      </c>
      <c r="CN77" s="80" t="n">
        <f aca="false">'⑮ Cohort Engine'!CN36</f>
        <v>47574</v>
      </c>
      <c r="CO77" s="80" t="n">
        <f aca="false">'⑮ Cohort Engine'!CO36</f>
        <v>47604</v>
      </c>
      <c r="CP77" s="80" t="n">
        <f aca="false">'⑮ Cohort Engine'!CP36</f>
        <v>47635</v>
      </c>
      <c r="CQ77" s="80" t="n">
        <f aca="false">'⑮ Cohort Engine'!CQ36</f>
        <v>47665</v>
      </c>
      <c r="CR77" s="80" t="n">
        <f aca="false">'⑮ Cohort Engine'!CR36</f>
        <v>47696</v>
      </c>
      <c r="CS77" s="80" t="n">
        <f aca="false">'⑮ Cohort Engine'!CS36</f>
        <v>47727</v>
      </c>
      <c r="CT77" s="80" t="n">
        <f aca="false">'⑮ Cohort Engine'!CT36</f>
        <v>47757</v>
      </c>
      <c r="CU77" s="80" t="n">
        <f aca="false">'⑮ Cohort Engine'!CU36</f>
        <v>47788</v>
      </c>
      <c r="CV77" s="80" t="n">
        <f aca="false">'⑮ Cohort Engine'!CV36</f>
        <v>47818</v>
      </c>
      <c r="CW77" s="80" t="n">
        <f aca="false">'⑮ Cohort Engine'!CW36</f>
        <v>47849</v>
      </c>
      <c r="CX77" s="80" t="n">
        <f aca="false">'⑮ Cohort Engine'!CX36</f>
        <v>47880</v>
      </c>
      <c r="CY77" s="80" t="n">
        <f aca="false">'⑮ Cohort Engine'!CY36</f>
        <v>47908</v>
      </c>
      <c r="CZ77" s="80" t="n">
        <f aca="false">'⑮ Cohort Engine'!CZ36</f>
        <v>47939</v>
      </c>
      <c r="DA77" s="80" t="n">
        <f aca="false">'⑮ Cohort Engine'!DA36</f>
        <v>47969</v>
      </c>
      <c r="DB77" s="80" t="n">
        <f aca="false">'⑮ Cohort Engine'!DB36</f>
        <v>48000</v>
      </c>
      <c r="DC77" s="80" t="n">
        <f aca="false">'⑮ Cohort Engine'!DC36</f>
        <v>48030</v>
      </c>
      <c r="DD77" s="80" t="n">
        <f aca="false">'⑮ Cohort Engine'!DD36</f>
        <v>48061</v>
      </c>
      <c r="DE77" s="80" t="n">
        <f aca="false">'⑮ Cohort Engine'!DE36</f>
        <v>48092</v>
      </c>
      <c r="DF77" s="80" t="n">
        <f aca="false">'⑮ Cohort Engine'!DF36</f>
        <v>48122</v>
      </c>
      <c r="DG77" s="80" t="n">
        <f aca="false">'⑮ Cohort Engine'!DG36</f>
        <v>48153</v>
      </c>
      <c r="DH77" s="80" t="n">
        <f aca="false">'⑮ Cohort Engine'!DH36</f>
        <v>48183</v>
      </c>
      <c r="DI77" s="80" t="n">
        <f aca="false">'⑮ Cohort Engine'!DI36</f>
        <v>48214</v>
      </c>
      <c r="DJ77" s="80" t="n">
        <f aca="false">'⑮ Cohort Engine'!DJ36</f>
        <v>48245</v>
      </c>
      <c r="DK77" s="80" t="n">
        <f aca="false">'⑮ Cohort Engine'!DK36</f>
        <v>48274</v>
      </c>
      <c r="DL77" s="80" t="n">
        <f aca="false">'⑮ Cohort Engine'!DL36</f>
        <v>48305</v>
      </c>
      <c r="DM77" s="80" t="n">
        <f aca="false">'⑮ Cohort Engine'!DM36</f>
        <v>48335</v>
      </c>
      <c r="DN77" s="80" t="n">
        <f aca="false">'⑮ Cohort Engine'!DN36</f>
        <v>48366</v>
      </c>
      <c r="DO77" s="80" t="n">
        <f aca="false">'⑮ Cohort Engine'!DO36</f>
        <v>48396</v>
      </c>
      <c r="DP77" s="80" t="n">
        <f aca="false">'⑮ Cohort Engine'!DP36</f>
        <v>48427</v>
      </c>
      <c r="DQ77" s="80" t="n">
        <f aca="false">'⑮ Cohort Engine'!DQ36</f>
        <v>48458</v>
      </c>
      <c r="DR77" s="80" t="n">
        <f aca="false">'⑮ Cohort Engine'!DR36</f>
        <v>48488</v>
      </c>
      <c r="DS77" s="80" t="n">
        <f aca="false">'⑮ Cohort Engine'!DS36</f>
        <v>48519</v>
      </c>
      <c r="DT77" s="80" t="n">
        <f aca="false">'⑮ Cohort Engine'!DT36</f>
        <v>48549</v>
      </c>
      <c r="DU77" s="80" t="n">
        <f aca="false">'⑮ Cohort Engine'!DU36</f>
        <v>48580</v>
      </c>
      <c r="DV77" s="80" t="n">
        <f aca="false">'⑮ Cohort Engine'!DV36</f>
        <v>48611</v>
      </c>
      <c r="DW77" s="80" t="n">
        <f aca="false">'⑮ Cohort Engine'!DW36</f>
        <v>48639</v>
      </c>
      <c r="DX77" s="80" t="n">
        <f aca="false">'⑮ Cohort Engine'!DX36</f>
        <v>48670</v>
      </c>
      <c r="DY77" s="80" t="n">
        <f aca="false">'⑮ Cohort Engine'!DY36</f>
        <v>48700</v>
      </c>
      <c r="DZ77" s="80" t="n">
        <f aca="false">'⑮ Cohort Engine'!DZ36</f>
        <v>48731</v>
      </c>
      <c r="EA77" s="80" t="n">
        <f aca="false">'⑮ Cohort Engine'!EA36</f>
        <v>48761</v>
      </c>
      <c r="EB77" s="80" t="n">
        <f aca="false">'⑮ Cohort Engine'!EB36</f>
        <v>48792</v>
      </c>
      <c r="EC77" s="80" t="n">
        <f aca="false">'⑮ Cohort Engine'!EC36</f>
        <v>48823</v>
      </c>
      <c r="ED77" s="80" t="n">
        <f aca="false">'⑮ Cohort Engine'!ED36</f>
        <v>48853</v>
      </c>
      <c r="EE77" s="80" t="n">
        <f aca="false">'⑮ Cohort Engine'!EE36</f>
        <v>48884</v>
      </c>
      <c r="EF77" s="80" t="n">
        <f aca="false">'⑮ Cohort Engine'!EF36</f>
        <v>48914</v>
      </c>
      <c r="EG77" s="80" t="n">
        <f aca="false">'⑮ Cohort Engine'!EG36</f>
        <v>48945</v>
      </c>
      <c r="EH77" s="80" t="n">
        <f aca="false">'⑮ Cohort Engine'!EH36</f>
        <v>48976</v>
      </c>
      <c r="EI77" s="80" t="n">
        <f aca="false">'⑮ Cohort Engine'!EI36</f>
        <v>49004</v>
      </c>
      <c r="EJ77" s="80" t="n">
        <f aca="false">'⑮ Cohort Engine'!EJ36</f>
        <v>49035</v>
      </c>
      <c r="EK77" s="80" t="n">
        <f aca="false">'⑮ Cohort Engine'!EK36</f>
        <v>49065</v>
      </c>
      <c r="EL77" s="80" t="n">
        <f aca="false">'⑮ Cohort Engine'!EL36</f>
        <v>49096</v>
      </c>
      <c r="EM77" s="80" t="n">
        <f aca="false">'⑮ Cohort Engine'!EM36</f>
        <v>49126</v>
      </c>
      <c r="EN77" s="80" t="n">
        <f aca="false">'⑮ Cohort Engine'!EN36</f>
        <v>49157</v>
      </c>
      <c r="EO77" s="80" t="n">
        <f aca="false">'⑮ Cohort Engine'!EO36</f>
        <v>49188</v>
      </c>
      <c r="EP77" s="80" t="n">
        <f aca="false">'⑮ Cohort Engine'!EP36</f>
        <v>49218</v>
      </c>
      <c r="EQ77" s="80" t="n">
        <f aca="false">'⑮ Cohort Engine'!EQ36</f>
        <v>49249</v>
      </c>
      <c r="ER77" s="80" t="n">
        <f aca="false">'⑮ Cohort Engine'!ER36</f>
        <v>49279</v>
      </c>
    </row>
    <row r="78" customFormat="false" ht="15" hidden="false" customHeight="false" outlineLevel="0" collapsed="false">
      <c r="B78" s="18" t="s">
        <v>1186</v>
      </c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99" t="n">
        <f aca="false">'⑮ Cohort Engine'!AC35</f>
        <v>1</v>
      </c>
      <c r="AD78" s="199" t="n">
        <f aca="false">'⑮ Cohort Engine'!AD35</f>
        <v>2</v>
      </c>
      <c r="AE78" s="199" t="n">
        <f aca="false">'⑮ Cohort Engine'!AE35</f>
        <v>3</v>
      </c>
      <c r="AF78" s="199" t="n">
        <f aca="false">'⑮ Cohort Engine'!AF35</f>
        <v>4</v>
      </c>
      <c r="AG78" s="199" t="n">
        <f aca="false">'⑮ Cohort Engine'!AG35</f>
        <v>5</v>
      </c>
      <c r="AH78" s="199" t="n">
        <f aca="false">'⑮ Cohort Engine'!AH35</f>
        <v>6</v>
      </c>
      <c r="AI78" s="199" t="n">
        <f aca="false">'⑮ Cohort Engine'!AI35</f>
        <v>7</v>
      </c>
      <c r="AJ78" s="199" t="n">
        <f aca="false">'⑮ Cohort Engine'!AJ35</f>
        <v>8</v>
      </c>
      <c r="AK78" s="199" t="n">
        <f aca="false">'⑮ Cohort Engine'!AK35</f>
        <v>9</v>
      </c>
      <c r="AL78" s="199" t="n">
        <f aca="false">'⑮ Cohort Engine'!AL35</f>
        <v>10</v>
      </c>
      <c r="AM78" s="199" t="n">
        <f aca="false">'⑮ Cohort Engine'!AM35</f>
        <v>11</v>
      </c>
      <c r="AN78" s="199" t="n">
        <f aca="false">'⑮ Cohort Engine'!AN35</f>
        <v>12</v>
      </c>
      <c r="AO78" s="199" t="n">
        <f aca="false">'⑮ Cohort Engine'!AO35</f>
        <v>13</v>
      </c>
      <c r="AP78" s="199" t="n">
        <f aca="false">'⑮ Cohort Engine'!AP35</f>
        <v>14</v>
      </c>
      <c r="AQ78" s="199" t="n">
        <f aca="false">'⑮ Cohort Engine'!AQ35</f>
        <v>15</v>
      </c>
      <c r="AR78" s="199" t="n">
        <f aca="false">'⑮ Cohort Engine'!AR35</f>
        <v>16</v>
      </c>
      <c r="AS78" s="199" t="n">
        <f aca="false">'⑮ Cohort Engine'!AS35</f>
        <v>17</v>
      </c>
      <c r="AT78" s="199" t="n">
        <f aca="false">'⑮ Cohort Engine'!AT35</f>
        <v>18</v>
      </c>
      <c r="AU78" s="199" t="n">
        <f aca="false">'⑮ Cohort Engine'!AU35</f>
        <v>19</v>
      </c>
      <c r="AV78" s="199" t="n">
        <f aca="false">'⑮ Cohort Engine'!AV35</f>
        <v>20</v>
      </c>
      <c r="AW78" s="199" t="n">
        <f aca="false">'⑮ Cohort Engine'!AW35</f>
        <v>21</v>
      </c>
      <c r="AX78" s="199" t="n">
        <f aca="false">'⑮ Cohort Engine'!AX35</f>
        <v>22</v>
      </c>
      <c r="AY78" s="199" t="n">
        <f aca="false">'⑮ Cohort Engine'!AY35</f>
        <v>23</v>
      </c>
      <c r="AZ78" s="199" t="n">
        <f aca="false">'⑮ Cohort Engine'!AZ35</f>
        <v>24</v>
      </c>
      <c r="BA78" s="199" t="n">
        <f aca="false">'⑮ Cohort Engine'!BA35</f>
        <v>25</v>
      </c>
      <c r="BB78" s="199" t="n">
        <f aca="false">'⑮ Cohort Engine'!BB35</f>
        <v>26</v>
      </c>
      <c r="BC78" s="199" t="n">
        <f aca="false">'⑮ Cohort Engine'!BC35</f>
        <v>27</v>
      </c>
      <c r="BD78" s="199" t="n">
        <f aca="false">'⑮ Cohort Engine'!BD35</f>
        <v>28</v>
      </c>
      <c r="BE78" s="199" t="n">
        <f aca="false">'⑮ Cohort Engine'!BE35</f>
        <v>29</v>
      </c>
      <c r="BF78" s="199" t="n">
        <f aca="false">'⑮ Cohort Engine'!BF35</f>
        <v>30</v>
      </c>
      <c r="BG78" s="199" t="n">
        <f aca="false">'⑮ Cohort Engine'!BG35</f>
        <v>31</v>
      </c>
      <c r="BH78" s="199" t="n">
        <f aca="false">'⑮ Cohort Engine'!BH35</f>
        <v>32</v>
      </c>
      <c r="BI78" s="199" t="n">
        <f aca="false">'⑮ Cohort Engine'!BI35</f>
        <v>33</v>
      </c>
      <c r="BJ78" s="199" t="n">
        <f aca="false">'⑮ Cohort Engine'!BJ35</f>
        <v>34</v>
      </c>
      <c r="BK78" s="199" t="n">
        <f aca="false">'⑮ Cohort Engine'!BK35</f>
        <v>35</v>
      </c>
      <c r="BL78" s="199" t="n">
        <f aca="false">'⑮ Cohort Engine'!BL35</f>
        <v>36</v>
      </c>
      <c r="BM78" s="199" t="n">
        <f aca="false">'⑮ Cohort Engine'!BM35</f>
        <v>37</v>
      </c>
      <c r="BN78" s="199" t="n">
        <f aca="false">'⑮ Cohort Engine'!BN35</f>
        <v>38</v>
      </c>
      <c r="BO78" s="199" t="n">
        <f aca="false">'⑮ Cohort Engine'!BO35</f>
        <v>39</v>
      </c>
      <c r="BP78" s="199" t="n">
        <f aca="false">'⑮ Cohort Engine'!BP35</f>
        <v>40</v>
      </c>
      <c r="BQ78" s="199" t="n">
        <f aca="false">'⑮ Cohort Engine'!BQ35</f>
        <v>41</v>
      </c>
      <c r="BR78" s="199" t="n">
        <f aca="false">'⑮ Cohort Engine'!BR35</f>
        <v>42</v>
      </c>
      <c r="BS78" s="199" t="n">
        <f aca="false">'⑮ Cohort Engine'!BS35</f>
        <v>43</v>
      </c>
      <c r="BT78" s="199" t="n">
        <f aca="false">'⑮ Cohort Engine'!BT35</f>
        <v>44</v>
      </c>
      <c r="BU78" s="199" t="n">
        <f aca="false">'⑮ Cohort Engine'!BU35</f>
        <v>45</v>
      </c>
      <c r="BV78" s="199" t="n">
        <f aca="false">'⑮ Cohort Engine'!BV35</f>
        <v>46</v>
      </c>
      <c r="BW78" s="199" t="n">
        <f aca="false">'⑮ Cohort Engine'!BW35</f>
        <v>47</v>
      </c>
      <c r="BX78" s="199" t="n">
        <f aca="false">'⑮ Cohort Engine'!BX35</f>
        <v>48</v>
      </c>
      <c r="BY78" s="199" t="n">
        <f aca="false">'⑮ Cohort Engine'!BY35</f>
        <v>49</v>
      </c>
      <c r="BZ78" s="199" t="n">
        <f aca="false">'⑮ Cohort Engine'!BZ35</f>
        <v>50</v>
      </c>
      <c r="CA78" s="199" t="n">
        <f aca="false">'⑮ Cohort Engine'!CA35</f>
        <v>51</v>
      </c>
      <c r="CB78" s="199" t="n">
        <f aca="false">'⑮ Cohort Engine'!CB35</f>
        <v>52</v>
      </c>
      <c r="CC78" s="199" t="n">
        <f aca="false">'⑮ Cohort Engine'!CC35</f>
        <v>53</v>
      </c>
      <c r="CD78" s="199" t="n">
        <f aca="false">'⑮ Cohort Engine'!CD35</f>
        <v>54</v>
      </c>
      <c r="CE78" s="199" t="n">
        <f aca="false">'⑮ Cohort Engine'!CE35</f>
        <v>55</v>
      </c>
      <c r="CF78" s="199" t="n">
        <f aca="false">'⑮ Cohort Engine'!CF35</f>
        <v>56</v>
      </c>
      <c r="CG78" s="199" t="n">
        <f aca="false">'⑮ Cohort Engine'!CG35</f>
        <v>57</v>
      </c>
      <c r="CH78" s="199" t="n">
        <f aca="false">'⑮ Cohort Engine'!CH35</f>
        <v>58</v>
      </c>
      <c r="CI78" s="199" t="n">
        <f aca="false">'⑮ Cohort Engine'!CI35</f>
        <v>59</v>
      </c>
      <c r="CJ78" s="199" t="n">
        <f aca="false">'⑮ Cohort Engine'!CJ35</f>
        <v>60</v>
      </c>
      <c r="CK78" s="199" t="n">
        <f aca="false">'⑮ Cohort Engine'!CK35</f>
        <v>61</v>
      </c>
      <c r="CL78" s="199" t="n">
        <f aca="false">'⑮ Cohort Engine'!CL35</f>
        <v>62</v>
      </c>
      <c r="CM78" s="199" t="n">
        <f aca="false">'⑮ Cohort Engine'!CM35</f>
        <v>63</v>
      </c>
      <c r="CN78" s="199" t="n">
        <f aca="false">'⑮ Cohort Engine'!CN35</f>
        <v>64</v>
      </c>
      <c r="CO78" s="199" t="n">
        <f aca="false">'⑮ Cohort Engine'!CO35</f>
        <v>65</v>
      </c>
      <c r="CP78" s="199" t="n">
        <f aca="false">'⑮ Cohort Engine'!CP35</f>
        <v>66</v>
      </c>
      <c r="CQ78" s="199" t="n">
        <f aca="false">'⑮ Cohort Engine'!CQ35</f>
        <v>67</v>
      </c>
      <c r="CR78" s="199" t="n">
        <f aca="false">'⑮ Cohort Engine'!CR35</f>
        <v>68</v>
      </c>
      <c r="CS78" s="199" t="n">
        <f aca="false">'⑮ Cohort Engine'!CS35</f>
        <v>69</v>
      </c>
      <c r="CT78" s="199" t="n">
        <f aca="false">'⑮ Cohort Engine'!CT35</f>
        <v>70</v>
      </c>
      <c r="CU78" s="199" t="n">
        <f aca="false">'⑮ Cohort Engine'!CU35</f>
        <v>71</v>
      </c>
      <c r="CV78" s="199" t="n">
        <f aca="false">'⑮ Cohort Engine'!CV35</f>
        <v>72</v>
      </c>
      <c r="CW78" s="199" t="n">
        <f aca="false">'⑮ Cohort Engine'!CW35</f>
        <v>73</v>
      </c>
      <c r="CX78" s="199" t="n">
        <f aca="false">'⑮ Cohort Engine'!CX35</f>
        <v>74</v>
      </c>
      <c r="CY78" s="199" t="n">
        <f aca="false">'⑮ Cohort Engine'!CY35</f>
        <v>75</v>
      </c>
      <c r="CZ78" s="199" t="n">
        <f aca="false">'⑮ Cohort Engine'!CZ35</f>
        <v>76</v>
      </c>
      <c r="DA78" s="199" t="n">
        <f aca="false">'⑮ Cohort Engine'!DA35</f>
        <v>77</v>
      </c>
      <c r="DB78" s="199" t="n">
        <f aca="false">'⑮ Cohort Engine'!DB35</f>
        <v>78</v>
      </c>
      <c r="DC78" s="199" t="n">
        <f aca="false">'⑮ Cohort Engine'!DC35</f>
        <v>79</v>
      </c>
      <c r="DD78" s="199" t="n">
        <f aca="false">'⑮ Cohort Engine'!DD35</f>
        <v>80</v>
      </c>
      <c r="DE78" s="199" t="n">
        <f aca="false">'⑮ Cohort Engine'!DE35</f>
        <v>81</v>
      </c>
      <c r="DF78" s="199" t="n">
        <f aca="false">'⑮ Cohort Engine'!DF35</f>
        <v>82</v>
      </c>
      <c r="DG78" s="199" t="n">
        <f aca="false">'⑮ Cohort Engine'!DG35</f>
        <v>83</v>
      </c>
      <c r="DH78" s="199" t="n">
        <f aca="false">'⑮ Cohort Engine'!DH35</f>
        <v>84</v>
      </c>
      <c r="DI78" s="199" t="n">
        <f aca="false">'⑮ Cohort Engine'!DI35</f>
        <v>85</v>
      </c>
      <c r="DJ78" s="199" t="n">
        <f aca="false">'⑮ Cohort Engine'!DJ35</f>
        <v>86</v>
      </c>
      <c r="DK78" s="199" t="n">
        <f aca="false">'⑮ Cohort Engine'!DK35</f>
        <v>87</v>
      </c>
      <c r="DL78" s="199" t="n">
        <f aca="false">'⑮ Cohort Engine'!DL35</f>
        <v>88</v>
      </c>
      <c r="DM78" s="199" t="n">
        <f aca="false">'⑮ Cohort Engine'!DM35</f>
        <v>89</v>
      </c>
      <c r="DN78" s="199" t="n">
        <f aca="false">'⑮ Cohort Engine'!DN35</f>
        <v>90</v>
      </c>
      <c r="DO78" s="199" t="n">
        <f aca="false">'⑮ Cohort Engine'!DO35</f>
        <v>91</v>
      </c>
      <c r="DP78" s="199" t="n">
        <f aca="false">'⑮ Cohort Engine'!DP35</f>
        <v>92</v>
      </c>
      <c r="DQ78" s="199" t="n">
        <f aca="false">'⑮ Cohort Engine'!DQ35</f>
        <v>93</v>
      </c>
      <c r="DR78" s="199" t="n">
        <f aca="false">'⑮ Cohort Engine'!DR35</f>
        <v>94</v>
      </c>
      <c r="DS78" s="199" t="n">
        <f aca="false">'⑮ Cohort Engine'!DS35</f>
        <v>95</v>
      </c>
      <c r="DT78" s="199" t="n">
        <f aca="false">'⑮ Cohort Engine'!DT35</f>
        <v>96</v>
      </c>
      <c r="DU78" s="199" t="n">
        <f aca="false">'⑮ Cohort Engine'!DU35</f>
        <v>97</v>
      </c>
      <c r="DV78" s="199" t="n">
        <f aca="false">'⑮ Cohort Engine'!DV35</f>
        <v>98</v>
      </c>
      <c r="DW78" s="199" t="n">
        <f aca="false">'⑮ Cohort Engine'!DW35</f>
        <v>99</v>
      </c>
      <c r="DX78" s="199" t="n">
        <f aca="false">'⑮ Cohort Engine'!DX35</f>
        <v>100</v>
      </c>
      <c r="DY78" s="199" t="n">
        <f aca="false">'⑮ Cohort Engine'!DY35</f>
        <v>101</v>
      </c>
      <c r="DZ78" s="199" t="n">
        <f aca="false">'⑮ Cohort Engine'!DZ35</f>
        <v>102</v>
      </c>
      <c r="EA78" s="199" t="n">
        <f aca="false">'⑮ Cohort Engine'!EA35</f>
        <v>103</v>
      </c>
      <c r="EB78" s="199" t="n">
        <f aca="false">'⑮ Cohort Engine'!EB35</f>
        <v>104</v>
      </c>
      <c r="EC78" s="199" t="n">
        <f aca="false">'⑮ Cohort Engine'!EC35</f>
        <v>105</v>
      </c>
      <c r="ED78" s="199" t="n">
        <f aca="false">'⑮ Cohort Engine'!ED35</f>
        <v>106</v>
      </c>
      <c r="EE78" s="199" t="n">
        <f aca="false">'⑮ Cohort Engine'!EE35</f>
        <v>107</v>
      </c>
      <c r="EF78" s="199" t="n">
        <f aca="false">'⑮ Cohort Engine'!EF35</f>
        <v>108</v>
      </c>
      <c r="EG78" s="199" t="n">
        <f aca="false">'⑮ Cohort Engine'!EG35</f>
        <v>109</v>
      </c>
      <c r="EH78" s="199" t="n">
        <f aca="false">'⑮ Cohort Engine'!EH35</f>
        <v>110</v>
      </c>
      <c r="EI78" s="199" t="n">
        <f aca="false">'⑮ Cohort Engine'!EI35</f>
        <v>111</v>
      </c>
      <c r="EJ78" s="199" t="n">
        <f aca="false">'⑮ Cohort Engine'!EJ35</f>
        <v>112</v>
      </c>
      <c r="EK78" s="199" t="n">
        <f aca="false">'⑮ Cohort Engine'!EK35</f>
        <v>113</v>
      </c>
      <c r="EL78" s="199" t="n">
        <f aca="false">'⑮ Cohort Engine'!EL35</f>
        <v>114</v>
      </c>
      <c r="EM78" s="199" t="n">
        <f aca="false">'⑮ Cohort Engine'!EM35</f>
        <v>115</v>
      </c>
      <c r="EN78" s="199" t="n">
        <f aca="false">'⑮ Cohort Engine'!EN35</f>
        <v>116</v>
      </c>
      <c r="EO78" s="199" t="n">
        <f aca="false">'⑮ Cohort Engine'!EO35</f>
        <v>117</v>
      </c>
      <c r="EP78" s="199" t="n">
        <f aca="false">'⑮ Cohort Engine'!EP35</f>
        <v>118</v>
      </c>
      <c r="EQ78" s="199" t="n">
        <f aca="false">'⑮ Cohort Engine'!EQ35</f>
        <v>119</v>
      </c>
      <c r="ER78" s="199" t="n">
        <f aca="false">'⑮ Cohort Engine'!ER35</f>
        <v>120</v>
      </c>
    </row>
    <row r="79" customFormat="false" ht="15" hidden="false" customHeight="false" outlineLevel="0" collapsed="false">
      <c r="B79" s="36" t="s">
        <v>1187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</row>
    <row r="80" customFormat="false" ht="15" hidden="false" customHeight="false" outlineLevel="0" collapsed="false">
      <c r="B80" s="18" t="s">
        <v>1188</v>
      </c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99" t="n">
        <f aca="false" t="array" ref="AC80:AC80">SUMPRODUCT((LEFT('⑫ Roll-out Plan'!$E$10:$E$97,1)="A")*('⑫ Roll-out Plan'!$O$10:$O$97)*((('⑫ Roll-out Plan'!$G$10:$G$97-2025)*12+'⑫ Roll-out Plan'!$F$10:$F$97)&lt;=1))</f>
        <v>1</v>
      </c>
      <c r="AD80" s="199" t="n">
        <f aca="false" t="array" ref="AD80:AD80">SUMPRODUCT((LEFT('⑫ Roll-out Plan'!$E$10:$E$97,1)="A")*('⑫ Roll-out Plan'!$O$10:$O$97)*((('⑫ Roll-out Plan'!$G$10:$G$97-2025)*12+'⑫ Roll-out Plan'!$F$10:$F$97)&lt;=2))</f>
        <v>1</v>
      </c>
      <c r="AE80" s="199" t="n">
        <f aca="false" t="array" ref="AE80:AE80">SUMPRODUCT((LEFT('⑫ Roll-out Plan'!$E$10:$E$97,1)="A")*('⑫ Roll-out Plan'!$O$10:$O$97)*((('⑫ Roll-out Plan'!$G$10:$G$97-2025)*12+'⑫ Roll-out Plan'!$F$10:$F$97)&lt;=3))</f>
        <v>1</v>
      </c>
      <c r="AF80" s="199" t="n">
        <f aca="false" t="array" ref="AF80:AF80">SUMPRODUCT((LEFT('⑫ Roll-out Plan'!$E$10:$E$97,1)="A")*('⑫ Roll-out Plan'!$O$10:$O$97)*((('⑫ Roll-out Plan'!$G$10:$G$97-2025)*12+'⑫ Roll-out Plan'!$F$10:$F$97)&lt;=4))</f>
        <v>1</v>
      </c>
      <c r="AG80" s="199" t="n">
        <f aca="false" t="array" ref="AG80:AG80">SUMPRODUCT((LEFT('⑫ Roll-out Plan'!$E$10:$E$97,1)="A")*('⑫ Roll-out Plan'!$O$10:$O$97)*((('⑫ Roll-out Plan'!$G$10:$G$97-2025)*12+'⑫ Roll-out Plan'!$F$10:$F$97)&lt;=5))</f>
        <v>1</v>
      </c>
      <c r="AH80" s="199" t="n">
        <f aca="false" t="array" ref="AH80:AH80">SUMPRODUCT((LEFT('⑫ Roll-out Plan'!$E$10:$E$97,1)="A")*('⑫ Roll-out Plan'!$O$10:$O$97)*((('⑫ Roll-out Plan'!$G$10:$G$97-2025)*12+'⑫ Roll-out Plan'!$F$10:$F$97)&lt;=6))</f>
        <v>1</v>
      </c>
      <c r="AI80" s="199" t="n">
        <f aca="false" t="array" ref="AI80:AI80">SUMPRODUCT((LEFT('⑫ Roll-out Plan'!$E$10:$E$97,1)="A")*('⑫ Roll-out Plan'!$O$10:$O$97)*((('⑫ Roll-out Plan'!$G$10:$G$97-2025)*12+'⑫ Roll-out Plan'!$F$10:$F$97)&lt;=7))</f>
        <v>1</v>
      </c>
      <c r="AJ80" s="199" t="n">
        <f aca="false" t="array" ref="AJ80:AJ80">SUMPRODUCT((LEFT('⑫ Roll-out Plan'!$E$10:$E$97,1)="A")*('⑫ Roll-out Plan'!$O$10:$O$97)*((('⑫ Roll-out Plan'!$G$10:$G$97-2025)*12+'⑫ Roll-out Plan'!$F$10:$F$97)&lt;=8))</f>
        <v>1</v>
      </c>
      <c r="AK80" s="199" t="n">
        <f aca="false" t="array" ref="AK80:AK80">SUMPRODUCT((LEFT('⑫ Roll-out Plan'!$E$10:$E$97,1)="A")*('⑫ Roll-out Plan'!$O$10:$O$97)*((('⑫ Roll-out Plan'!$G$10:$G$97-2025)*12+'⑫ Roll-out Plan'!$F$10:$F$97)&lt;=9))</f>
        <v>1</v>
      </c>
      <c r="AL80" s="199" t="n">
        <f aca="false" t="array" ref="AL80:AL80">SUMPRODUCT((LEFT('⑫ Roll-out Plan'!$E$10:$E$97,1)="A")*('⑫ Roll-out Plan'!$O$10:$O$97)*((('⑫ Roll-out Plan'!$G$10:$G$97-2025)*12+'⑫ Roll-out Plan'!$F$10:$F$97)&lt;=10))</f>
        <v>1</v>
      </c>
      <c r="AM80" s="199" t="n">
        <f aca="false" t="array" ref="AM80:AM80">SUMPRODUCT((LEFT('⑫ Roll-out Plan'!$E$10:$E$97,1)="A")*('⑫ Roll-out Plan'!$O$10:$O$97)*((('⑫ Roll-out Plan'!$G$10:$G$97-2025)*12+'⑫ Roll-out Plan'!$F$10:$F$97)&lt;=11))</f>
        <v>1</v>
      </c>
      <c r="AN80" s="199" t="n">
        <f aca="false" t="array" ref="AN80:AN80">SUMPRODUCT((LEFT('⑫ Roll-out Plan'!$E$10:$E$97,1)="A")*('⑫ Roll-out Plan'!$O$10:$O$97)*((('⑫ Roll-out Plan'!$G$10:$G$97-2025)*12+'⑫ Roll-out Plan'!$F$10:$F$97)&lt;=12))</f>
        <v>2</v>
      </c>
      <c r="AO80" s="199" t="n">
        <f aca="false" t="array" ref="AO80:AO80">SUMPRODUCT((LEFT('⑫ Roll-out Plan'!$E$10:$E$97,1)="A")*('⑫ Roll-out Plan'!$O$10:$O$97)*((('⑫ Roll-out Plan'!$G$10:$G$97-2025)*12+'⑫ Roll-out Plan'!$F$10:$F$97)&lt;=13))</f>
        <v>2</v>
      </c>
      <c r="AP80" s="199" t="n">
        <f aca="false" t="array" ref="AP80:AP80">SUMPRODUCT((LEFT('⑫ Roll-out Plan'!$E$10:$E$97,1)="A")*('⑫ Roll-out Plan'!$O$10:$O$97)*((('⑫ Roll-out Plan'!$G$10:$G$97-2025)*12+'⑫ Roll-out Plan'!$F$10:$F$97)&lt;=14))</f>
        <v>2</v>
      </c>
      <c r="AQ80" s="199" t="n">
        <f aca="false" t="array" ref="AQ80:AQ80">SUMPRODUCT((LEFT('⑫ Roll-out Plan'!$E$10:$E$97,1)="A")*('⑫ Roll-out Plan'!$O$10:$O$97)*((('⑫ Roll-out Plan'!$G$10:$G$97-2025)*12+'⑫ Roll-out Plan'!$F$10:$F$97)&lt;=15))</f>
        <v>2</v>
      </c>
      <c r="AR80" s="199" t="n">
        <f aca="false" t="array" ref="AR80:AR80">SUMPRODUCT((LEFT('⑫ Roll-out Plan'!$E$10:$E$97,1)="A")*('⑫ Roll-out Plan'!$O$10:$O$97)*((('⑫ Roll-out Plan'!$G$10:$G$97-2025)*12+'⑫ Roll-out Plan'!$F$10:$F$97)&lt;=16))</f>
        <v>2</v>
      </c>
      <c r="AS80" s="199" t="n">
        <f aca="false" t="array" ref="AS80:AS80">SUMPRODUCT((LEFT('⑫ Roll-out Plan'!$E$10:$E$97,1)="A")*('⑫ Roll-out Plan'!$O$10:$O$97)*((('⑫ Roll-out Plan'!$G$10:$G$97-2025)*12+'⑫ Roll-out Plan'!$F$10:$F$97)&lt;=17))</f>
        <v>2</v>
      </c>
      <c r="AT80" s="199" t="n">
        <f aca="false" t="array" ref="AT80:AT80">SUMPRODUCT((LEFT('⑫ Roll-out Plan'!$E$10:$E$97,1)="A")*('⑫ Roll-out Plan'!$O$10:$O$97)*((('⑫ Roll-out Plan'!$G$10:$G$97-2025)*12+'⑫ Roll-out Plan'!$F$10:$F$97)&lt;=18))</f>
        <v>2</v>
      </c>
      <c r="AU80" s="199" t="n">
        <f aca="false" t="array" ref="AU80:AU80">SUMPRODUCT((LEFT('⑫ Roll-out Plan'!$E$10:$E$97,1)="A")*('⑫ Roll-out Plan'!$O$10:$O$97)*((('⑫ Roll-out Plan'!$G$10:$G$97-2025)*12+'⑫ Roll-out Plan'!$F$10:$F$97)&lt;=19))</f>
        <v>2</v>
      </c>
      <c r="AV80" s="199" t="n">
        <f aca="false" t="array" ref="AV80:AV80">SUMPRODUCT((LEFT('⑫ Roll-out Plan'!$E$10:$E$97,1)="A")*('⑫ Roll-out Plan'!$O$10:$O$97)*((('⑫ Roll-out Plan'!$G$10:$G$97-2025)*12+'⑫ Roll-out Plan'!$F$10:$F$97)&lt;=20))</f>
        <v>2</v>
      </c>
      <c r="AW80" s="199" t="n">
        <f aca="false" t="array" ref="AW80:AW80">SUMPRODUCT((LEFT('⑫ Roll-out Plan'!$E$10:$E$97,1)="A")*('⑫ Roll-out Plan'!$O$10:$O$97)*((('⑫ Roll-out Plan'!$G$10:$G$97-2025)*12+'⑫ Roll-out Plan'!$F$10:$F$97)&lt;=21))</f>
        <v>2</v>
      </c>
      <c r="AX80" s="199" t="n">
        <f aca="false" t="array" ref="AX80:AX80">SUMPRODUCT((LEFT('⑫ Roll-out Plan'!$E$10:$E$97,1)="A")*('⑫ Roll-out Plan'!$O$10:$O$97)*((('⑫ Roll-out Plan'!$G$10:$G$97-2025)*12+'⑫ Roll-out Plan'!$F$10:$F$97)&lt;=22))</f>
        <v>2</v>
      </c>
      <c r="AY80" s="199" t="n">
        <f aca="false" t="array" ref="AY80:AY80">SUMPRODUCT((LEFT('⑫ Roll-out Plan'!$E$10:$E$97,1)="A")*('⑫ Roll-out Plan'!$O$10:$O$97)*((('⑫ Roll-out Plan'!$G$10:$G$97-2025)*12+'⑫ Roll-out Plan'!$F$10:$F$97)&lt;=23))</f>
        <v>2</v>
      </c>
      <c r="AZ80" s="199" t="n">
        <f aca="false" t="array" ref="AZ80:AZ80">SUMPRODUCT((LEFT('⑫ Roll-out Plan'!$E$10:$E$97,1)="A")*('⑫ Roll-out Plan'!$O$10:$O$97)*((('⑫ Roll-out Plan'!$G$10:$G$97-2025)*12+'⑫ Roll-out Plan'!$F$10:$F$97)&lt;=24))</f>
        <v>2</v>
      </c>
      <c r="BA80" s="199" t="n">
        <f aca="false" t="array" ref="BA80:BA80">SUMPRODUCT((LEFT('⑫ Roll-out Plan'!$E$10:$E$97,1)="A")*('⑫ Roll-out Plan'!$O$10:$O$97)*((('⑫ Roll-out Plan'!$G$10:$G$97-2025)*12+'⑫ Roll-out Plan'!$F$10:$F$97)&lt;=25))</f>
        <v>2</v>
      </c>
      <c r="BB80" s="199" t="n">
        <f aca="false" t="array" ref="BB80:BB80">SUMPRODUCT((LEFT('⑫ Roll-out Plan'!$E$10:$E$97,1)="A")*('⑫ Roll-out Plan'!$O$10:$O$97)*((('⑫ Roll-out Plan'!$G$10:$G$97-2025)*12+'⑫ Roll-out Plan'!$F$10:$F$97)&lt;=26))</f>
        <v>3</v>
      </c>
      <c r="BC80" s="199" t="n">
        <f aca="false" t="array" ref="BC80:BC80">SUMPRODUCT((LEFT('⑫ Roll-out Plan'!$E$10:$E$97,1)="A")*('⑫ Roll-out Plan'!$O$10:$O$97)*((('⑫ Roll-out Plan'!$G$10:$G$97-2025)*12+'⑫ Roll-out Plan'!$F$10:$F$97)&lt;=27))</f>
        <v>3</v>
      </c>
      <c r="BD80" s="199" t="n">
        <f aca="false" t="array" ref="BD80:BD80">SUMPRODUCT((LEFT('⑫ Roll-out Plan'!$E$10:$E$97,1)="A")*('⑫ Roll-out Plan'!$O$10:$O$97)*((('⑫ Roll-out Plan'!$G$10:$G$97-2025)*12+'⑫ Roll-out Plan'!$F$10:$F$97)&lt;=28))</f>
        <v>4</v>
      </c>
      <c r="BE80" s="199" t="n">
        <f aca="false" t="array" ref="BE80:BE80">SUMPRODUCT((LEFT('⑫ Roll-out Plan'!$E$10:$E$97,1)="A")*('⑫ Roll-out Plan'!$O$10:$O$97)*((('⑫ Roll-out Plan'!$G$10:$G$97-2025)*12+'⑫ Roll-out Plan'!$F$10:$F$97)&lt;=29))</f>
        <v>4</v>
      </c>
      <c r="BF80" s="199" t="n">
        <f aca="false" t="array" ref="BF80:BF80">SUMPRODUCT((LEFT('⑫ Roll-out Plan'!$E$10:$E$97,1)="A")*('⑫ Roll-out Plan'!$O$10:$O$97)*((('⑫ Roll-out Plan'!$G$10:$G$97-2025)*12+'⑫ Roll-out Plan'!$F$10:$F$97)&lt;=30))</f>
        <v>5</v>
      </c>
      <c r="BG80" s="199" t="n">
        <f aca="false" t="array" ref="BG80:BG80">SUMPRODUCT((LEFT('⑫ Roll-out Plan'!$E$10:$E$97,1)="A")*('⑫ Roll-out Plan'!$O$10:$O$97)*((('⑫ Roll-out Plan'!$G$10:$G$97-2025)*12+'⑫ Roll-out Plan'!$F$10:$F$97)&lt;=31))</f>
        <v>5</v>
      </c>
      <c r="BH80" s="199" t="n">
        <f aca="false" t="array" ref="BH80:BH80">SUMPRODUCT((LEFT('⑫ Roll-out Plan'!$E$10:$E$97,1)="A")*('⑫ Roll-out Plan'!$O$10:$O$97)*((('⑫ Roll-out Plan'!$G$10:$G$97-2025)*12+'⑫ Roll-out Plan'!$F$10:$F$97)&lt;=32))</f>
        <v>6</v>
      </c>
      <c r="BI80" s="199" t="n">
        <f aca="false" t="array" ref="BI80:BI80">SUMPRODUCT((LEFT('⑫ Roll-out Plan'!$E$10:$E$97,1)="A")*('⑫ Roll-out Plan'!$O$10:$O$97)*((('⑫ Roll-out Plan'!$G$10:$G$97-2025)*12+'⑫ Roll-out Plan'!$F$10:$F$97)&lt;=33))</f>
        <v>6</v>
      </c>
      <c r="BJ80" s="199" t="n">
        <f aca="false" t="array" ref="BJ80:BJ80">SUMPRODUCT((LEFT('⑫ Roll-out Plan'!$E$10:$E$97,1)="A")*('⑫ Roll-out Plan'!$O$10:$O$97)*((('⑫ Roll-out Plan'!$G$10:$G$97-2025)*12+'⑫ Roll-out Plan'!$F$10:$F$97)&lt;=34))</f>
        <v>7</v>
      </c>
      <c r="BK80" s="199" t="n">
        <f aca="false" t="array" ref="BK80:BK80">SUMPRODUCT((LEFT('⑫ Roll-out Plan'!$E$10:$E$97,1)="A")*('⑫ Roll-out Plan'!$O$10:$O$97)*((('⑫ Roll-out Plan'!$G$10:$G$97-2025)*12+'⑫ Roll-out Plan'!$F$10:$F$97)&lt;=35))</f>
        <v>7</v>
      </c>
      <c r="BL80" s="199" t="n">
        <f aca="false" t="array" ref="BL80:BL80">SUMPRODUCT((LEFT('⑫ Roll-out Plan'!$E$10:$E$97,1)="A")*('⑫ Roll-out Plan'!$O$10:$O$97)*((('⑫ Roll-out Plan'!$G$10:$G$97-2025)*12+'⑫ Roll-out Plan'!$F$10:$F$97)&lt;=36))</f>
        <v>7</v>
      </c>
      <c r="BM80" s="199" t="n">
        <f aca="false" t="array" ref="BM80:BM80">SUMPRODUCT((LEFT('⑫ Roll-out Plan'!$E$10:$E$97,1)="A")*('⑫ Roll-out Plan'!$O$10:$O$97)*((('⑫ Roll-out Plan'!$G$10:$G$97-2025)*12+'⑫ Roll-out Plan'!$F$10:$F$97)&lt;=37))</f>
        <v>7</v>
      </c>
      <c r="BN80" s="199" t="n">
        <f aca="false" t="array" ref="BN80:BN80">SUMPRODUCT((LEFT('⑫ Roll-out Plan'!$E$10:$E$97,1)="A")*('⑫ Roll-out Plan'!$O$10:$O$97)*((('⑫ Roll-out Plan'!$G$10:$G$97-2025)*12+'⑫ Roll-out Plan'!$F$10:$F$97)&lt;=38))</f>
        <v>7</v>
      </c>
      <c r="BO80" s="199" t="n">
        <f aca="false" t="array" ref="BO80:BO80">SUMPRODUCT((LEFT('⑫ Roll-out Plan'!$E$10:$E$97,1)="A")*('⑫ Roll-out Plan'!$O$10:$O$97)*((('⑫ Roll-out Plan'!$G$10:$G$97-2025)*12+'⑫ Roll-out Plan'!$F$10:$F$97)&lt;=39))</f>
        <v>7</v>
      </c>
      <c r="BP80" s="199" t="n">
        <f aca="false" t="array" ref="BP80:BP80">SUMPRODUCT((LEFT('⑫ Roll-out Plan'!$E$10:$E$97,1)="A")*('⑫ Roll-out Plan'!$O$10:$O$97)*((('⑫ Roll-out Plan'!$G$10:$G$97-2025)*12+'⑫ Roll-out Plan'!$F$10:$F$97)&lt;=40))</f>
        <v>7</v>
      </c>
      <c r="BQ80" s="199" t="n">
        <f aca="false" t="array" ref="BQ80:BQ80">SUMPRODUCT((LEFT('⑫ Roll-out Plan'!$E$10:$E$97,1)="A")*('⑫ Roll-out Plan'!$O$10:$O$97)*((('⑫ Roll-out Plan'!$G$10:$G$97-2025)*12+'⑫ Roll-out Plan'!$F$10:$F$97)&lt;=41))</f>
        <v>7</v>
      </c>
      <c r="BR80" s="199" t="n">
        <f aca="false" t="array" ref="BR80:BR80">SUMPRODUCT((LEFT('⑫ Roll-out Plan'!$E$10:$E$97,1)="A")*('⑫ Roll-out Plan'!$O$10:$O$97)*((('⑫ Roll-out Plan'!$G$10:$G$97-2025)*12+'⑫ Roll-out Plan'!$F$10:$F$97)&lt;=42))</f>
        <v>7</v>
      </c>
      <c r="BS80" s="199" t="n">
        <f aca="false" t="array" ref="BS80:BS80">SUMPRODUCT((LEFT('⑫ Roll-out Plan'!$E$10:$E$97,1)="A")*('⑫ Roll-out Plan'!$O$10:$O$97)*((('⑫ Roll-out Plan'!$G$10:$G$97-2025)*12+'⑫ Roll-out Plan'!$F$10:$F$97)&lt;=43))</f>
        <v>7</v>
      </c>
      <c r="BT80" s="199" t="n">
        <f aca="false" t="array" ref="BT80:BT80">SUMPRODUCT((LEFT('⑫ Roll-out Plan'!$E$10:$E$97,1)="A")*('⑫ Roll-out Plan'!$O$10:$O$97)*((('⑫ Roll-out Plan'!$G$10:$G$97-2025)*12+'⑫ Roll-out Plan'!$F$10:$F$97)&lt;=44))</f>
        <v>7</v>
      </c>
      <c r="BU80" s="199" t="n">
        <f aca="false" t="array" ref="BU80:BU80">SUMPRODUCT((LEFT('⑫ Roll-out Plan'!$E$10:$E$97,1)="A")*('⑫ Roll-out Plan'!$O$10:$O$97)*((('⑫ Roll-out Plan'!$G$10:$G$97-2025)*12+'⑫ Roll-out Plan'!$F$10:$F$97)&lt;=45))</f>
        <v>8</v>
      </c>
      <c r="BV80" s="199" t="n">
        <f aca="false" t="array" ref="BV80:BV80">SUMPRODUCT((LEFT('⑫ Roll-out Plan'!$E$10:$E$97,1)="A")*('⑫ Roll-out Plan'!$O$10:$O$97)*((('⑫ Roll-out Plan'!$G$10:$G$97-2025)*12+'⑫ Roll-out Plan'!$F$10:$F$97)&lt;=46))</f>
        <v>8</v>
      </c>
      <c r="BW80" s="199" t="n">
        <f aca="false" t="array" ref="BW80:BW80">SUMPRODUCT((LEFT('⑫ Roll-out Plan'!$E$10:$E$97,1)="A")*('⑫ Roll-out Plan'!$O$10:$O$97)*((('⑫ Roll-out Plan'!$G$10:$G$97-2025)*12+'⑫ Roll-out Plan'!$F$10:$F$97)&lt;=47))</f>
        <v>9</v>
      </c>
      <c r="BX80" s="199" t="n">
        <f aca="false" t="array" ref="BX80:BX80">SUMPRODUCT((LEFT('⑫ Roll-out Plan'!$E$10:$E$97,1)="A")*('⑫ Roll-out Plan'!$O$10:$O$97)*((('⑫ Roll-out Plan'!$G$10:$G$97-2025)*12+'⑫ Roll-out Plan'!$F$10:$F$97)&lt;=48))</f>
        <v>9</v>
      </c>
      <c r="BY80" s="199" t="n">
        <f aca="false" t="array" ref="BY80:BY80">SUMPRODUCT((LEFT('⑫ Roll-out Plan'!$E$10:$E$97,1)="A")*('⑫ Roll-out Plan'!$O$10:$O$97)*((('⑫ Roll-out Plan'!$G$10:$G$97-2025)*12+'⑫ Roll-out Plan'!$F$10:$F$97)&lt;=49))</f>
        <v>9</v>
      </c>
      <c r="BZ80" s="199" t="n">
        <f aca="false" t="array" ref="BZ80:BZ80">SUMPRODUCT((LEFT('⑫ Roll-out Plan'!$E$10:$E$97,1)="A")*('⑫ Roll-out Plan'!$O$10:$O$97)*((('⑫ Roll-out Plan'!$G$10:$G$97-2025)*12+'⑫ Roll-out Plan'!$F$10:$F$97)&lt;=50))</f>
        <v>9</v>
      </c>
      <c r="CA80" s="199" t="n">
        <f aca="false" t="array" ref="CA80:CA80">SUMPRODUCT((LEFT('⑫ Roll-out Plan'!$E$10:$E$97,1)="A")*('⑫ Roll-out Plan'!$O$10:$O$97)*((('⑫ Roll-out Plan'!$G$10:$G$97-2025)*12+'⑫ Roll-out Plan'!$F$10:$F$97)&lt;=51))</f>
        <v>9</v>
      </c>
      <c r="CB80" s="199" t="n">
        <f aca="false" t="array" ref="CB80:CB80">SUMPRODUCT((LEFT('⑫ Roll-out Plan'!$E$10:$E$97,1)="A")*('⑫ Roll-out Plan'!$O$10:$O$97)*((('⑫ Roll-out Plan'!$G$10:$G$97-2025)*12+'⑫ Roll-out Plan'!$F$10:$F$97)&lt;=52))</f>
        <v>9</v>
      </c>
      <c r="CC80" s="199" t="n">
        <f aca="false" t="array" ref="CC80:CC80">SUMPRODUCT((LEFT('⑫ Roll-out Plan'!$E$10:$E$97,1)="A")*('⑫ Roll-out Plan'!$O$10:$O$97)*((('⑫ Roll-out Plan'!$G$10:$G$97-2025)*12+'⑫ Roll-out Plan'!$F$10:$F$97)&lt;=53))</f>
        <v>9</v>
      </c>
      <c r="CD80" s="199" t="n">
        <f aca="false" t="array" ref="CD80:CD80">SUMPRODUCT((LEFT('⑫ Roll-out Plan'!$E$10:$E$97,1)="A")*('⑫ Roll-out Plan'!$O$10:$O$97)*((('⑫ Roll-out Plan'!$G$10:$G$97-2025)*12+'⑫ Roll-out Plan'!$F$10:$F$97)&lt;=54))</f>
        <v>9</v>
      </c>
      <c r="CE80" s="199" t="n">
        <f aca="false" t="array" ref="CE80:CE80">SUMPRODUCT((LEFT('⑫ Roll-out Plan'!$E$10:$E$97,1)="A")*('⑫ Roll-out Plan'!$O$10:$O$97)*((('⑫ Roll-out Plan'!$G$10:$G$97-2025)*12+'⑫ Roll-out Plan'!$F$10:$F$97)&lt;=55))</f>
        <v>9</v>
      </c>
      <c r="CF80" s="199" t="n">
        <f aca="false" t="array" ref="CF80:CF80">SUMPRODUCT((LEFT('⑫ Roll-out Plan'!$E$10:$E$97,1)="A")*('⑫ Roll-out Plan'!$O$10:$O$97)*((('⑫ Roll-out Plan'!$G$10:$G$97-2025)*12+'⑫ Roll-out Plan'!$F$10:$F$97)&lt;=56))</f>
        <v>9</v>
      </c>
      <c r="CG80" s="199" t="n">
        <f aca="false" t="array" ref="CG80:CG80">SUMPRODUCT((LEFT('⑫ Roll-out Plan'!$E$10:$E$97,1)="A")*('⑫ Roll-out Plan'!$O$10:$O$97)*((('⑫ Roll-out Plan'!$G$10:$G$97-2025)*12+'⑫ Roll-out Plan'!$F$10:$F$97)&lt;=57))</f>
        <v>9</v>
      </c>
      <c r="CH80" s="199" t="n">
        <f aca="false" t="array" ref="CH80:CH80">SUMPRODUCT((LEFT('⑫ Roll-out Plan'!$E$10:$E$97,1)="A")*('⑫ Roll-out Plan'!$O$10:$O$97)*((('⑫ Roll-out Plan'!$G$10:$G$97-2025)*12+'⑫ Roll-out Plan'!$F$10:$F$97)&lt;=58))</f>
        <v>9</v>
      </c>
      <c r="CI80" s="199" t="n">
        <f aca="false" t="array" ref="CI80:CI80">SUMPRODUCT((LEFT('⑫ Roll-out Plan'!$E$10:$E$97,1)="A")*('⑫ Roll-out Plan'!$O$10:$O$97)*((('⑫ Roll-out Plan'!$G$10:$G$97-2025)*12+'⑫ Roll-out Plan'!$F$10:$F$97)&lt;=59))</f>
        <v>9</v>
      </c>
      <c r="CJ80" s="199" t="n">
        <f aca="false" t="array" ref="CJ80:CJ80">SUMPRODUCT((LEFT('⑫ Roll-out Plan'!$E$10:$E$97,1)="A")*('⑫ Roll-out Plan'!$O$10:$O$97)*((('⑫ Roll-out Plan'!$G$10:$G$97-2025)*12+'⑫ Roll-out Plan'!$F$10:$F$97)&lt;=60))</f>
        <v>9</v>
      </c>
      <c r="CK80" s="199" t="n">
        <f aca="false" t="array" ref="CK80:CK80">SUMPRODUCT((LEFT('⑫ Roll-out Plan'!$E$10:$E$97,1)="A")*('⑫ Roll-out Plan'!$O$10:$O$97)*((('⑫ Roll-out Plan'!$G$10:$G$97-2025)*12+'⑫ Roll-out Plan'!$F$10:$F$97)&lt;=61))</f>
        <v>9</v>
      </c>
      <c r="CL80" s="199" t="n">
        <f aca="false" t="array" ref="CL80:CL80">SUMPRODUCT((LEFT('⑫ Roll-out Plan'!$E$10:$E$97,1)="A")*('⑫ Roll-out Plan'!$O$10:$O$97)*((('⑫ Roll-out Plan'!$G$10:$G$97-2025)*12+'⑫ Roll-out Plan'!$F$10:$F$97)&lt;=62))</f>
        <v>9</v>
      </c>
      <c r="CM80" s="199" t="n">
        <f aca="false" t="array" ref="CM80:CM80">SUMPRODUCT((LEFT('⑫ Roll-out Plan'!$E$10:$E$97,1)="A")*('⑫ Roll-out Plan'!$O$10:$O$97)*((('⑫ Roll-out Plan'!$G$10:$G$97-2025)*12+'⑫ Roll-out Plan'!$F$10:$F$97)&lt;=63))</f>
        <v>9</v>
      </c>
      <c r="CN80" s="199" t="n">
        <f aca="false" t="array" ref="CN80:CN80">SUMPRODUCT((LEFT('⑫ Roll-out Plan'!$E$10:$E$97,1)="A")*('⑫ Roll-out Plan'!$O$10:$O$97)*((('⑫ Roll-out Plan'!$G$10:$G$97-2025)*12+'⑫ Roll-out Plan'!$F$10:$F$97)&lt;=64))</f>
        <v>9</v>
      </c>
      <c r="CO80" s="199" t="n">
        <f aca="false" t="array" ref="CO80:CO80">SUMPRODUCT((LEFT('⑫ Roll-out Plan'!$E$10:$E$97,1)="A")*('⑫ Roll-out Plan'!$O$10:$O$97)*((('⑫ Roll-out Plan'!$G$10:$G$97-2025)*12+'⑫ Roll-out Plan'!$F$10:$F$97)&lt;=65))</f>
        <v>9</v>
      </c>
      <c r="CP80" s="199" t="n">
        <f aca="false" t="array" ref="CP80:CP80">SUMPRODUCT((LEFT('⑫ Roll-out Plan'!$E$10:$E$97,1)="A")*('⑫ Roll-out Plan'!$O$10:$O$97)*((('⑫ Roll-out Plan'!$G$10:$G$97-2025)*12+'⑫ Roll-out Plan'!$F$10:$F$97)&lt;=66))</f>
        <v>10</v>
      </c>
      <c r="CQ80" s="199" t="n">
        <f aca="false" t="array" ref="CQ80:CQ80">SUMPRODUCT((LEFT('⑫ Roll-out Plan'!$E$10:$E$97,1)="A")*('⑫ Roll-out Plan'!$O$10:$O$97)*((('⑫ Roll-out Plan'!$G$10:$G$97-2025)*12+'⑫ Roll-out Plan'!$F$10:$F$97)&lt;=67))</f>
        <v>10</v>
      </c>
      <c r="CR80" s="199" t="n">
        <f aca="false" t="array" ref="CR80:CR80">SUMPRODUCT((LEFT('⑫ Roll-out Plan'!$E$10:$E$97,1)="A")*('⑫ Roll-out Plan'!$O$10:$O$97)*((('⑫ Roll-out Plan'!$G$10:$G$97-2025)*12+'⑫ Roll-out Plan'!$F$10:$F$97)&lt;=68))</f>
        <v>10</v>
      </c>
      <c r="CS80" s="199" t="n">
        <f aca="false" t="array" ref="CS80:CS80">SUMPRODUCT((LEFT('⑫ Roll-out Plan'!$E$10:$E$97,1)="A")*('⑫ Roll-out Plan'!$O$10:$O$97)*((('⑫ Roll-out Plan'!$G$10:$G$97-2025)*12+'⑫ Roll-out Plan'!$F$10:$F$97)&lt;=69))</f>
        <v>10</v>
      </c>
      <c r="CT80" s="199" t="n">
        <f aca="false" t="array" ref="CT80:CT80">SUMPRODUCT((LEFT('⑫ Roll-out Plan'!$E$10:$E$97,1)="A")*('⑫ Roll-out Plan'!$O$10:$O$97)*((('⑫ Roll-out Plan'!$G$10:$G$97-2025)*12+'⑫ Roll-out Plan'!$F$10:$F$97)&lt;=70))</f>
        <v>10</v>
      </c>
      <c r="CU80" s="199" t="n">
        <f aca="false" t="array" ref="CU80:CU80">SUMPRODUCT((LEFT('⑫ Roll-out Plan'!$E$10:$E$97,1)="A")*('⑫ Roll-out Plan'!$O$10:$O$97)*((('⑫ Roll-out Plan'!$G$10:$G$97-2025)*12+'⑫ Roll-out Plan'!$F$10:$F$97)&lt;=71))</f>
        <v>10</v>
      </c>
      <c r="CV80" s="199" t="n">
        <f aca="false" t="array" ref="CV80:CV80">SUMPRODUCT((LEFT('⑫ Roll-out Plan'!$E$10:$E$97,1)="A")*('⑫ Roll-out Plan'!$O$10:$O$97)*((('⑫ Roll-out Plan'!$G$10:$G$97-2025)*12+'⑫ Roll-out Plan'!$F$10:$F$97)&lt;=72))</f>
        <v>10</v>
      </c>
      <c r="CW80" s="199" t="n">
        <f aca="false" t="array" ref="CW80:CW80">SUMPRODUCT((LEFT('⑫ Roll-out Plan'!$E$10:$E$97,1)="A")*('⑫ Roll-out Plan'!$O$10:$O$97)*((('⑫ Roll-out Plan'!$G$10:$G$97-2025)*12+'⑫ Roll-out Plan'!$F$10:$F$97)&lt;=73))</f>
        <v>10</v>
      </c>
      <c r="CX80" s="199" t="n">
        <f aca="false" t="array" ref="CX80:CX80">SUMPRODUCT((LEFT('⑫ Roll-out Plan'!$E$10:$E$97,1)="A")*('⑫ Roll-out Plan'!$O$10:$O$97)*((('⑫ Roll-out Plan'!$G$10:$G$97-2025)*12+'⑫ Roll-out Plan'!$F$10:$F$97)&lt;=74))</f>
        <v>10</v>
      </c>
      <c r="CY80" s="199" t="n">
        <f aca="false" t="array" ref="CY80:CY80">SUMPRODUCT((LEFT('⑫ Roll-out Plan'!$E$10:$E$97,1)="A")*('⑫ Roll-out Plan'!$O$10:$O$97)*((('⑫ Roll-out Plan'!$G$10:$G$97-2025)*12+'⑫ Roll-out Plan'!$F$10:$F$97)&lt;=75))</f>
        <v>10</v>
      </c>
      <c r="CZ80" s="199" t="n">
        <f aca="false" t="array" ref="CZ80:CZ80">SUMPRODUCT((LEFT('⑫ Roll-out Plan'!$E$10:$E$97,1)="A")*('⑫ Roll-out Plan'!$O$10:$O$97)*((('⑫ Roll-out Plan'!$G$10:$G$97-2025)*12+'⑫ Roll-out Plan'!$F$10:$F$97)&lt;=76))</f>
        <v>11</v>
      </c>
      <c r="DA80" s="199" t="n">
        <f aca="false" t="array" ref="DA80:DA80">SUMPRODUCT((LEFT('⑫ Roll-out Plan'!$E$10:$E$97,1)="A")*('⑫ Roll-out Plan'!$O$10:$O$97)*((('⑫ Roll-out Plan'!$G$10:$G$97-2025)*12+'⑫ Roll-out Plan'!$F$10:$F$97)&lt;=77))</f>
        <v>11</v>
      </c>
      <c r="DB80" s="199" t="n">
        <f aca="false" t="array" ref="DB80:DB80">SUMPRODUCT((LEFT('⑫ Roll-out Plan'!$E$10:$E$97,1)="A")*('⑫ Roll-out Plan'!$O$10:$O$97)*((('⑫ Roll-out Plan'!$G$10:$G$97-2025)*12+'⑫ Roll-out Plan'!$F$10:$F$97)&lt;=78))</f>
        <v>11</v>
      </c>
      <c r="DC80" s="199" t="n">
        <f aca="false" t="array" ref="DC80:DC80">SUMPRODUCT((LEFT('⑫ Roll-out Plan'!$E$10:$E$97,1)="A")*('⑫ Roll-out Plan'!$O$10:$O$97)*((('⑫ Roll-out Plan'!$G$10:$G$97-2025)*12+'⑫ Roll-out Plan'!$F$10:$F$97)&lt;=79))</f>
        <v>11</v>
      </c>
      <c r="DD80" s="199" t="n">
        <f aca="false" t="array" ref="DD80:DD80">SUMPRODUCT((LEFT('⑫ Roll-out Plan'!$E$10:$E$97,1)="A")*('⑫ Roll-out Plan'!$O$10:$O$97)*((('⑫ Roll-out Plan'!$G$10:$G$97-2025)*12+'⑫ Roll-out Plan'!$F$10:$F$97)&lt;=80))</f>
        <v>11</v>
      </c>
      <c r="DE80" s="199" t="n">
        <f aca="false" t="array" ref="DE80:DE80">SUMPRODUCT((LEFT('⑫ Roll-out Plan'!$E$10:$E$97,1)="A")*('⑫ Roll-out Plan'!$O$10:$O$97)*((('⑫ Roll-out Plan'!$G$10:$G$97-2025)*12+'⑫ Roll-out Plan'!$F$10:$F$97)&lt;=81))</f>
        <v>11</v>
      </c>
      <c r="DF80" s="199" t="n">
        <f aca="false" t="array" ref="DF80:DF80">SUMPRODUCT((LEFT('⑫ Roll-out Plan'!$E$10:$E$97,1)="A")*('⑫ Roll-out Plan'!$O$10:$O$97)*((('⑫ Roll-out Plan'!$G$10:$G$97-2025)*12+'⑫ Roll-out Plan'!$F$10:$F$97)&lt;=82))</f>
        <v>11</v>
      </c>
      <c r="DG80" s="199" t="n">
        <f aca="false" t="array" ref="DG80:DG80">SUMPRODUCT((LEFT('⑫ Roll-out Plan'!$E$10:$E$97,1)="A")*('⑫ Roll-out Plan'!$O$10:$O$97)*((('⑫ Roll-out Plan'!$G$10:$G$97-2025)*12+'⑫ Roll-out Plan'!$F$10:$F$97)&lt;=83))</f>
        <v>11</v>
      </c>
      <c r="DH80" s="199" t="n">
        <f aca="false" t="array" ref="DH80:DH80">SUMPRODUCT((LEFT('⑫ Roll-out Plan'!$E$10:$E$97,1)="A")*('⑫ Roll-out Plan'!$O$10:$O$97)*((('⑫ Roll-out Plan'!$G$10:$G$97-2025)*12+'⑫ Roll-out Plan'!$F$10:$F$97)&lt;=84))</f>
        <v>11</v>
      </c>
      <c r="DI80" s="199" t="n">
        <f aca="false" t="array" ref="DI80:DI80">SUMPRODUCT((LEFT('⑫ Roll-out Plan'!$E$10:$E$97,1)="A")*('⑫ Roll-out Plan'!$O$10:$O$97)*((('⑫ Roll-out Plan'!$G$10:$G$97-2025)*12+'⑫ Roll-out Plan'!$F$10:$F$97)&lt;=85))</f>
        <v>11</v>
      </c>
      <c r="DJ80" s="199" t="n">
        <f aca="false" t="array" ref="DJ80:DJ80">SUMPRODUCT((LEFT('⑫ Roll-out Plan'!$E$10:$E$97,1)="A")*('⑫ Roll-out Plan'!$O$10:$O$97)*((('⑫ Roll-out Plan'!$G$10:$G$97-2025)*12+'⑫ Roll-out Plan'!$F$10:$F$97)&lt;=86))</f>
        <v>11</v>
      </c>
      <c r="DK80" s="199" t="n">
        <f aca="false" t="array" ref="DK80:DK80">SUMPRODUCT((LEFT('⑫ Roll-out Plan'!$E$10:$E$97,1)="A")*('⑫ Roll-out Plan'!$O$10:$O$97)*((('⑫ Roll-out Plan'!$G$10:$G$97-2025)*12+'⑫ Roll-out Plan'!$F$10:$F$97)&lt;=87))</f>
        <v>11</v>
      </c>
      <c r="DL80" s="199" t="n">
        <f aca="false" t="array" ref="DL80:DL80">SUMPRODUCT((LEFT('⑫ Roll-out Plan'!$E$10:$E$97,1)="A")*('⑫ Roll-out Plan'!$O$10:$O$97)*((('⑫ Roll-out Plan'!$G$10:$G$97-2025)*12+'⑫ Roll-out Plan'!$F$10:$F$97)&lt;=88))</f>
        <v>12</v>
      </c>
      <c r="DM80" s="199" t="n">
        <f aca="false" t="array" ref="DM80:DM80">SUMPRODUCT((LEFT('⑫ Roll-out Plan'!$E$10:$E$97,1)="A")*('⑫ Roll-out Plan'!$O$10:$O$97)*((('⑫ Roll-out Plan'!$G$10:$G$97-2025)*12+'⑫ Roll-out Plan'!$F$10:$F$97)&lt;=89))</f>
        <v>12</v>
      </c>
      <c r="DN80" s="199" t="n">
        <f aca="false" t="array" ref="DN80:DN80">SUMPRODUCT((LEFT('⑫ Roll-out Plan'!$E$10:$E$97,1)="A")*('⑫ Roll-out Plan'!$O$10:$O$97)*((('⑫ Roll-out Plan'!$G$10:$G$97-2025)*12+'⑫ Roll-out Plan'!$F$10:$F$97)&lt;=90))</f>
        <v>12</v>
      </c>
      <c r="DO80" s="199" t="n">
        <f aca="false" t="array" ref="DO80:DO80">SUMPRODUCT((LEFT('⑫ Roll-out Plan'!$E$10:$E$97,1)="A")*('⑫ Roll-out Plan'!$O$10:$O$97)*((('⑫ Roll-out Plan'!$G$10:$G$97-2025)*12+'⑫ Roll-out Plan'!$F$10:$F$97)&lt;=91))</f>
        <v>12</v>
      </c>
      <c r="DP80" s="199" t="n">
        <f aca="false" t="array" ref="DP80:DP80">SUMPRODUCT((LEFT('⑫ Roll-out Plan'!$E$10:$E$97,1)="A")*('⑫ Roll-out Plan'!$O$10:$O$97)*((('⑫ Roll-out Plan'!$G$10:$G$97-2025)*12+'⑫ Roll-out Plan'!$F$10:$F$97)&lt;=92))</f>
        <v>12</v>
      </c>
      <c r="DQ80" s="199" t="n">
        <f aca="false" t="array" ref="DQ80:DQ80">SUMPRODUCT((LEFT('⑫ Roll-out Plan'!$E$10:$E$97,1)="A")*('⑫ Roll-out Plan'!$O$10:$O$97)*((('⑫ Roll-out Plan'!$G$10:$G$97-2025)*12+'⑫ Roll-out Plan'!$F$10:$F$97)&lt;=93))</f>
        <v>12</v>
      </c>
      <c r="DR80" s="199" t="n">
        <f aca="false" t="array" ref="DR80:DR80">SUMPRODUCT((LEFT('⑫ Roll-out Plan'!$E$10:$E$97,1)="A")*('⑫ Roll-out Plan'!$O$10:$O$97)*((('⑫ Roll-out Plan'!$G$10:$G$97-2025)*12+'⑫ Roll-out Plan'!$F$10:$F$97)&lt;=94))</f>
        <v>12</v>
      </c>
      <c r="DS80" s="199" t="n">
        <f aca="false" t="array" ref="DS80:DS80">SUMPRODUCT((LEFT('⑫ Roll-out Plan'!$E$10:$E$97,1)="A")*('⑫ Roll-out Plan'!$O$10:$O$97)*((('⑫ Roll-out Plan'!$G$10:$G$97-2025)*12+'⑫ Roll-out Plan'!$F$10:$F$97)&lt;=95))</f>
        <v>12</v>
      </c>
      <c r="DT80" s="199" t="n">
        <f aca="false" t="array" ref="DT80:DT80">SUMPRODUCT((LEFT('⑫ Roll-out Plan'!$E$10:$E$97,1)="A")*('⑫ Roll-out Plan'!$O$10:$O$97)*((('⑫ Roll-out Plan'!$G$10:$G$97-2025)*12+'⑫ Roll-out Plan'!$F$10:$F$97)&lt;=96))</f>
        <v>12</v>
      </c>
      <c r="DU80" s="199" t="n">
        <f aca="false" t="array" ref="DU80:DU80">SUMPRODUCT((LEFT('⑫ Roll-out Plan'!$E$10:$E$97,1)="A")*('⑫ Roll-out Plan'!$O$10:$O$97)*((('⑫ Roll-out Plan'!$G$10:$G$97-2025)*12+'⑫ Roll-out Plan'!$F$10:$F$97)&lt;=97))</f>
        <v>12</v>
      </c>
      <c r="DV80" s="199" t="n">
        <f aca="false" t="array" ref="DV80:DV80">SUMPRODUCT((LEFT('⑫ Roll-out Plan'!$E$10:$E$97,1)="A")*('⑫ Roll-out Plan'!$O$10:$O$97)*((('⑫ Roll-out Plan'!$G$10:$G$97-2025)*12+'⑫ Roll-out Plan'!$F$10:$F$97)&lt;=98))</f>
        <v>12</v>
      </c>
      <c r="DW80" s="199" t="n">
        <f aca="false" t="array" ref="DW80:DW80">SUMPRODUCT((LEFT('⑫ Roll-out Plan'!$E$10:$E$97,1)="A")*('⑫ Roll-out Plan'!$O$10:$O$97)*((('⑫ Roll-out Plan'!$G$10:$G$97-2025)*12+'⑫ Roll-out Plan'!$F$10:$F$97)&lt;=99))</f>
        <v>12</v>
      </c>
      <c r="DX80" s="199" t="n">
        <f aca="false" t="array" ref="DX80:DX80">SUMPRODUCT((LEFT('⑫ Roll-out Plan'!$E$10:$E$97,1)="A")*('⑫ Roll-out Plan'!$O$10:$O$97)*((('⑫ Roll-out Plan'!$G$10:$G$97-2025)*12+'⑫ Roll-out Plan'!$F$10:$F$97)&lt;=100))</f>
        <v>12</v>
      </c>
      <c r="DY80" s="199" t="n">
        <f aca="false" t="array" ref="DY80:DY80">SUMPRODUCT((LEFT('⑫ Roll-out Plan'!$E$10:$E$97,1)="A")*('⑫ Roll-out Plan'!$O$10:$O$97)*((('⑫ Roll-out Plan'!$G$10:$G$97-2025)*12+'⑫ Roll-out Plan'!$F$10:$F$97)&lt;=101))</f>
        <v>12</v>
      </c>
      <c r="DZ80" s="199" t="n">
        <f aca="false" t="array" ref="DZ80:DZ80">SUMPRODUCT((LEFT('⑫ Roll-out Plan'!$E$10:$E$97,1)="A")*('⑫ Roll-out Plan'!$O$10:$O$97)*((('⑫ Roll-out Plan'!$G$10:$G$97-2025)*12+'⑫ Roll-out Plan'!$F$10:$F$97)&lt;=102))</f>
        <v>12</v>
      </c>
      <c r="EA80" s="199" t="n">
        <f aca="false" t="array" ref="EA80:EA80">SUMPRODUCT((LEFT('⑫ Roll-out Plan'!$E$10:$E$97,1)="A")*('⑫ Roll-out Plan'!$O$10:$O$97)*((('⑫ Roll-out Plan'!$G$10:$G$97-2025)*12+'⑫ Roll-out Plan'!$F$10:$F$97)&lt;=103))</f>
        <v>12</v>
      </c>
      <c r="EB80" s="199" t="n">
        <f aca="false" t="array" ref="EB80:EB80">SUMPRODUCT((LEFT('⑫ Roll-out Plan'!$E$10:$E$97,1)="A")*('⑫ Roll-out Plan'!$O$10:$O$97)*((('⑫ Roll-out Plan'!$G$10:$G$97-2025)*12+'⑫ Roll-out Plan'!$F$10:$F$97)&lt;=104))</f>
        <v>12</v>
      </c>
      <c r="EC80" s="199" t="n">
        <f aca="false" t="array" ref="EC80:EC80">SUMPRODUCT((LEFT('⑫ Roll-out Plan'!$E$10:$E$97,1)="A")*('⑫ Roll-out Plan'!$O$10:$O$97)*((('⑫ Roll-out Plan'!$G$10:$G$97-2025)*12+'⑫ Roll-out Plan'!$F$10:$F$97)&lt;=105))</f>
        <v>12</v>
      </c>
      <c r="ED80" s="199" t="n">
        <f aca="false" t="array" ref="ED80:ED80">SUMPRODUCT((LEFT('⑫ Roll-out Plan'!$E$10:$E$97,1)="A")*('⑫ Roll-out Plan'!$O$10:$O$97)*((('⑫ Roll-out Plan'!$G$10:$G$97-2025)*12+'⑫ Roll-out Plan'!$F$10:$F$97)&lt;=106))</f>
        <v>12</v>
      </c>
      <c r="EE80" s="199" t="n">
        <f aca="false" t="array" ref="EE80:EE80">SUMPRODUCT((LEFT('⑫ Roll-out Plan'!$E$10:$E$97,1)="A")*('⑫ Roll-out Plan'!$O$10:$O$97)*((('⑫ Roll-out Plan'!$G$10:$G$97-2025)*12+'⑫ Roll-out Plan'!$F$10:$F$97)&lt;=107))</f>
        <v>12</v>
      </c>
      <c r="EF80" s="199" t="n">
        <f aca="false" t="array" ref="EF80:EF80">SUMPRODUCT((LEFT('⑫ Roll-out Plan'!$E$10:$E$97,1)="A")*('⑫ Roll-out Plan'!$O$10:$O$97)*((('⑫ Roll-out Plan'!$G$10:$G$97-2025)*12+'⑫ Roll-out Plan'!$F$10:$F$97)&lt;=108))</f>
        <v>13</v>
      </c>
      <c r="EG80" s="199" t="n">
        <f aca="false" t="array" ref="EG80:EG80">SUMPRODUCT((LEFT('⑫ Roll-out Plan'!$E$10:$E$97,1)="A")*('⑫ Roll-out Plan'!$O$10:$O$97)*((('⑫ Roll-out Plan'!$G$10:$G$97-2025)*12+'⑫ Roll-out Plan'!$F$10:$F$97)&lt;=109))</f>
        <v>13</v>
      </c>
      <c r="EH80" s="199" t="n">
        <f aca="false" t="array" ref="EH80:EH80">SUMPRODUCT((LEFT('⑫ Roll-out Plan'!$E$10:$E$97,1)="A")*('⑫ Roll-out Plan'!$O$10:$O$97)*((('⑫ Roll-out Plan'!$G$10:$G$97-2025)*12+'⑫ Roll-out Plan'!$F$10:$F$97)&lt;=110))</f>
        <v>13</v>
      </c>
      <c r="EI80" s="199" t="n">
        <f aca="false" t="array" ref="EI80:EI80">SUMPRODUCT((LEFT('⑫ Roll-out Plan'!$E$10:$E$97,1)="A")*('⑫ Roll-out Plan'!$O$10:$O$97)*((('⑫ Roll-out Plan'!$G$10:$G$97-2025)*12+'⑫ Roll-out Plan'!$F$10:$F$97)&lt;=111))</f>
        <v>13</v>
      </c>
      <c r="EJ80" s="199" t="n">
        <f aca="false" t="array" ref="EJ80:EJ80">SUMPRODUCT((LEFT('⑫ Roll-out Plan'!$E$10:$E$97,1)="A")*('⑫ Roll-out Plan'!$O$10:$O$97)*((('⑫ Roll-out Plan'!$G$10:$G$97-2025)*12+'⑫ Roll-out Plan'!$F$10:$F$97)&lt;=112))</f>
        <v>13</v>
      </c>
      <c r="EK80" s="199" t="n">
        <f aca="false" t="array" ref="EK80:EK80">SUMPRODUCT((LEFT('⑫ Roll-out Plan'!$E$10:$E$97,1)="A")*('⑫ Roll-out Plan'!$O$10:$O$97)*((('⑫ Roll-out Plan'!$G$10:$G$97-2025)*12+'⑫ Roll-out Plan'!$F$10:$F$97)&lt;=113))</f>
        <v>13</v>
      </c>
      <c r="EL80" s="199" t="n">
        <f aca="false" t="array" ref="EL80:EL80">SUMPRODUCT((LEFT('⑫ Roll-out Plan'!$E$10:$E$97,1)="A")*('⑫ Roll-out Plan'!$O$10:$O$97)*((('⑫ Roll-out Plan'!$G$10:$G$97-2025)*12+'⑫ Roll-out Plan'!$F$10:$F$97)&lt;=114))</f>
        <v>13</v>
      </c>
      <c r="EM80" s="199" t="n">
        <f aca="false" t="array" ref="EM80:EM80">SUMPRODUCT((LEFT('⑫ Roll-out Plan'!$E$10:$E$97,1)="A")*('⑫ Roll-out Plan'!$O$10:$O$97)*((('⑫ Roll-out Plan'!$G$10:$G$97-2025)*12+'⑫ Roll-out Plan'!$F$10:$F$97)&lt;=115))</f>
        <v>13</v>
      </c>
      <c r="EN80" s="199" t="n">
        <f aca="false" t="array" ref="EN80:EN80">SUMPRODUCT((LEFT('⑫ Roll-out Plan'!$E$10:$E$97,1)="A")*('⑫ Roll-out Plan'!$O$10:$O$97)*((('⑫ Roll-out Plan'!$G$10:$G$97-2025)*12+'⑫ Roll-out Plan'!$F$10:$F$97)&lt;=116))</f>
        <v>13</v>
      </c>
      <c r="EO80" s="199" t="n">
        <f aca="false" t="array" ref="EO80:EO80">SUMPRODUCT((LEFT('⑫ Roll-out Plan'!$E$10:$E$97,1)="A")*('⑫ Roll-out Plan'!$O$10:$O$97)*((('⑫ Roll-out Plan'!$G$10:$G$97-2025)*12+'⑫ Roll-out Plan'!$F$10:$F$97)&lt;=117))</f>
        <v>13</v>
      </c>
      <c r="EP80" s="199" t="n">
        <f aca="false" t="array" ref="EP80:EP80">SUMPRODUCT((LEFT('⑫ Roll-out Plan'!$E$10:$E$97,1)="A")*('⑫ Roll-out Plan'!$O$10:$O$97)*((('⑫ Roll-out Plan'!$G$10:$G$97-2025)*12+'⑫ Roll-out Plan'!$F$10:$F$97)&lt;=118))</f>
        <v>14</v>
      </c>
      <c r="EQ80" s="199" t="n">
        <f aca="false" t="array" ref="EQ80:EQ80">SUMPRODUCT((LEFT('⑫ Roll-out Plan'!$E$10:$E$97,1)="A")*('⑫ Roll-out Plan'!$O$10:$O$97)*((('⑫ Roll-out Plan'!$G$10:$G$97-2025)*12+'⑫ Roll-out Plan'!$F$10:$F$97)&lt;=119))</f>
        <v>14</v>
      </c>
      <c r="ER80" s="199" t="n">
        <f aca="false" t="array" ref="ER80:ER80">SUMPRODUCT((LEFT('⑫ Roll-out Plan'!$E$10:$E$97,1)="A")*('⑫ Roll-out Plan'!$O$10:$O$97)*((('⑫ Roll-out Plan'!$G$10:$G$97-2025)*12+'⑫ Roll-out Plan'!$F$10:$F$97)&lt;=120))</f>
        <v>14</v>
      </c>
    </row>
    <row r="81" customFormat="false" ht="15" hidden="false" customHeight="false" outlineLevel="0" collapsed="false">
      <c r="B81" s="18" t="s">
        <v>1189</v>
      </c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99" t="n">
        <f aca="false" t="array" ref="AC81:AC81">SUMPRODUCT((LEFT('⑫ Roll-out Plan'!$E$10:$E$97,1)="B")*('⑫ Roll-out Plan'!$O$10:$O$97)*((('⑫ Roll-out Plan'!$G$10:$G$97-2025)*12+'⑫ Roll-out Plan'!$F$10:$F$97)&lt;=1))</f>
        <v>0</v>
      </c>
      <c r="AD81" s="199" t="n">
        <f aca="false" t="array" ref="AD81:AD81">SUMPRODUCT((LEFT('⑫ Roll-out Plan'!$E$10:$E$97,1)="B")*('⑫ Roll-out Plan'!$O$10:$O$97)*((('⑫ Roll-out Plan'!$G$10:$G$97-2025)*12+'⑫ Roll-out Plan'!$F$10:$F$97)&lt;=2))</f>
        <v>0</v>
      </c>
      <c r="AE81" s="199" t="n">
        <f aca="false" t="array" ref="AE81:AE81">SUMPRODUCT((LEFT('⑫ Roll-out Plan'!$E$10:$E$97,1)="B")*('⑫ Roll-out Plan'!$O$10:$O$97)*((('⑫ Roll-out Plan'!$G$10:$G$97-2025)*12+'⑫ Roll-out Plan'!$F$10:$F$97)&lt;=3))</f>
        <v>0</v>
      </c>
      <c r="AF81" s="199" t="n">
        <f aca="false" t="array" ref="AF81:AF81">SUMPRODUCT((LEFT('⑫ Roll-out Plan'!$E$10:$E$97,1)="B")*('⑫ Roll-out Plan'!$O$10:$O$97)*((('⑫ Roll-out Plan'!$G$10:$G$97-2025)*12+'⑫ Roll-out Plan'!$F$10:$F$97)&lt;=4))</f>
        <v>0</v>
      </c>
      <c r="AG81" s="199" t="n">
        <f aca="false" t="array" ref="AG81:AG81">SUMPRODUCT((LEFT('⑫ Roll-out Plan'!$E$10:$E$97,1)="B")*('⑫ Roll-out Plan'!$O$10:$O$97)*((('⑫ Roll-out Plan'!$G$10:$G$97-2025)*12+'⑫ Roll-out Plan'!$F$10:$F$97)&lt;=5))</f>
        <v>1</v>
      </c>
      <c r="AH81" s="199" t="n">
        <f aca="false" t="array" ref="AH81:AH81">SUMPRODUCT((LEFT('⑫ Roll-out Plan'!$E$10:$E$97,1)="B")*('⑫ Roll-out Plan'!$O$10:$O$97)*((('⑫ Roll-out Plan'!$G$10:$G$97-2025)*12+'⑫ Roll-out Plan'!$F$10:$F$97)&lt;=6))</f>
        <v>1</v>
      </c>
      <c r="AI81" s="199" t="n">
        <f aca="false" t="array" ref="AI81:AI81">SUMPRODUCT((LEFT('⑫ Roll-out Plan'!$E$10:$E$97,1)="B")*('⑫ Roll-out Plan'!$O$10:$O$97)*((('⑫ Roll-out Plan'!$G$10:$G$97-2025)*12+'⑫ Roll-out Plan'!$F$10:$F$97)&lt;=7))</f>
        <v>1</v>
      </c>
      <c r="AJ81" s="199" t="n">
        <f aca="false" t="array" ref="AJ81:AJ81">SUMPRODUCT((LEFT('⑫ Roll-out Plan'!$E$10:$E$97,1)="B")*('⑫ Roll-out Plan'!$O$10:$O$97)*((('⑫ Roll-out Plan'!$G$10:$G$97-2025)*12+'⑫ Roll-out Plan'!$F$10:$F$97)&lt;=8))</f>
        <v>1</v>
      </c>
      <c r="AK81" s="199" t="n">
        <f aca="false" t="array" ref="AK81:AK81">SUMPRODUCT((LEFT('⑫ Roll-out Plan'!$E$10:$E$97,1)="B")*('⑫ Roll-out Plan'!$O$10:$O$97)*((('⑫ Roll-out Plan'!$G$10:$G$97-2025)*12+'⑫ Roll-out Plan'!$F$10:$F$97)&lt;=9))</f>
        <v>1</v>
      </c>
      <c r="AL81" s="199" t="n">
        <f aca="false" t="array" ref="AL81:AL81">SUMPRODUCT((LEFT('⑫ Roll-out Plan'!$E$10:$E$97,1)="B")*('⑫ Roll-out Plan'!$O$10:$O$97)*((('⑫ Roll-out Plan'!$G$10:$G$97-2025)*12+'⑫ Roll-out Plan'!$F$10:$F$97)&lt;=10))</f>
        <v>1</v>
      </c>
      <c r="AM81" s="199" t="n">
        <f aca="false" t="array" ref="AM81:AM81">SUMPRODUCT((LEFT('⑫ Roll-out Plan'!$E$10:$E$97,1)="B")*('⑫ Roll-out Plan'!$O$10:$O$97)*((('⑫ Roll-out Plan'!$G$10:$G$97-2025)*12+'⑫ Roll-out Plan'!$F$10:$F$97)&lt;=11))</f>
        <v>1</v>
      </c>
      <c r="AN81" s="199" t="n">
        <f aca="false" t="array" ref="AN81:AN81">SUMPRODUCT((LEFT('⑫ Roll-out Plan'!$E$10:$E$97,1)="B")*('⑫ Roll-out Plan'!$O$10:$O$97)*((('⑫ Roll-out Plan'!$G$10:$G$97-2025)*12+'⑫ Roll-out Plan'!$F$10:$F$97)&lt;=12))</f>
        <v>1</v>
      </c>
      <c r="AO81" s="199" t="n">
        <f aca="false" t="array" ref="AO81:AO81">SUMPRODUCT((LEFT('⑫ Roll-out Plan'!$E$10:$E$97,1)="B")*('⑫ Roll-out Plan'!$O$10:$O$97)*((('⑫ Roll-out Plan'!$G$10:$G$97-2025)*12+'⑫ Roll-out Plan'!$F$10:$F$97)&lt;=13))</f>
        <v>1</v>
      </c>
      <c r="AP81" s="199" t="n">
        <f aca="false" t="array" ref="AP81:AP81">SUMPRODUCT((LEFT('⑫ Roll-out Plan'!$E$10:$E$97,1)="B")*('⑫ Roll-out Plan'!$O$10:$O$97)*((('⑫ Roll-out Plan'!$G$10:$G$97-2025)*12+'⑫ Roll-out Plan'!$F$10:$F$97)&lt;=14))</f>
        <v>1</v>
      </c>
      <c r="AQ81" s="199" t="n">
        <f aca="false" t="array" ref="AQ81:AQ81">SUMPRODUCT((LEFT('⑫ Roll-out Plan'!$E$10:$E$97,1)="B")*('⑫ Roll-out Plan'!$O$10:$O$97)*((('⑫ Roll-out Plan'!$G$10:$G$97-2025)*12+'⑫ Roll-out Plan'!$F$10:$F$97)&lt;=15))</f>
        <v>1</v>
      </c>
      <c r="AR81" s="199" t="n">
        <f aca="false" t="array" ref="AR81:AR81">SUMPRODUCT((LEFT('⑫ Roll-out Plan'!$E$10:$E$97,1)="B")*('⑫ Roll-out Plan'!$O$10:$O$97)*((('⑫ Roll-out Plan'!$G$10:$G$97-2025)*12+'⑫ Roll-out Plan'!$F$10:$F$97)&lt;=16))</f>
        <v>1</v>
      </c>
      <c r="AS81" s="199" t="n">
        <f aca="false" t="array" ref="AS81:AS81">SUMPRODUCT((LEFT('⑫ Roll-out Plan'!$E$10:$E$97,1)="B")*('⑫ Roll-out Plan'!$O$10:$O$97)*((('⑫ Roll-out Plan'!$G$10:$G$97-2025)*12+'⑫ Roll-out Plan'!$F$10:$F$97)&lt;=17))</f>
        <v>1</v>
      </c>
      <c r="AT81" s="199" t="n">
        <f aca="false" t="array" ref="AT81:AT81">SUMPRODUCT((LEFT('⑫ Roll-out Plan'!$E$10:$E$97,1)="B")*('⑫ Roll-out Plan'!$O$10:$O$97)*((('⑫ Roll-out Plan'!$G$10:$G$97-2025)*12+'⑫ Roll-out Plan'!$F$10:$F$97)&lt;=18))</f>
        <v>1</v>
      </c>
      <c r="AU81" s="199" t="n">
        <f aca="false" t="array" ref="AU81:AU81">SUMPRODUCT((LEFT('⑫ Roll-out Plan'!$E$10:$E$97,1)="B")*('⑫ Roll-out Plan'!$O$10:$O$97)*((('⑫ Roll-out Plan'!$G$10:$G$97-2025)*12+'⑫ Roll-out Plan'!$F$10:$F$97)&lt;=19))</f>
        <v>1</v>
      </c>
      <c r="AV81" s="199" t="n">
        <f aca="false" t="array" ref="AV81:AV81">SUMPRODUCT((LEFT('⑫ Roll-out Plan'!$E$10:$E$97,1)="B")*('⑫ Roll-out Plan'!$O$10:$O$97)*((('⑫ Roll-out Plan'!$G$10:$G$97-2025)*12+'⑫ Roll-out Plan'!$F$10:$F$97)&lt;=20))</f>
        <v>1</v>
      </c>
      <c r="AW81" s="199" t="n">
        <f aca="false" t="array" ref="AW81:AW81">SUMPRODUCT((LEFT('⑫ Roll-out Plan'!$E$10:$E$97,1)="B")*('⑫ Roll-out Plan'!$O$10:$O$97)*((('⑫ Roll-out Plan'!$G$10:$G$97-2025)*12+'⑫ Roll-out Plan'!$F$10:$F$97)&lt;=21))</f>
        <v>1</v>
      </c>
      <c r="AX81" s="199" t="n">
        <f aca="false" t="array" ref="AX81:AX81">SUMPRODUCT((LEFT('⑫ Roll-out Plan'!$E$10:$E$97,1)="B")*('⑫ Roll-out Plan'!$O$10:$O$97)*((('⑫ Roll-out Plan'!$G$10:$G$97-2025)*12+'⑫ Roll-out Plan'!$F$10:$F$97)&lt;=22))</f>
        <v>1</v>
      </c>
      <c r="AY81" s="199" t="n">
        <f aca="false" t="array" ref="AY81:AY81">SUMPRODUCT((LEFT('⑫ Roll-out Plan'!$E$10:$E$97,1)="B")*('⑫ Roll-out Plan'!$O$10:$O$97)*((('⑫ Roll-out Plan'!$G$10:$G$97-2025)*12+'⑫ Roll-out Plan'!$F$10:$F$97)&lt;=23))</f>
        <v>1</v>
      </c>
      <c r="AZ81" s="199" t="n">
        <f aca="false" t="array" ref="AZ81:AZ81">SUMPRODUCT((LEFT('⑫ Roll-out Plan'!$E$10:$E$97,1)="B")*('⑫ Roll-out Plan'!$O$10:$O$97)*((('⑫ Roll-out Plan'!$G$10:$G$97-2025)*12+'⑫ Roll-out Plan'!$F$10:$F$97)&lt;=24))</f>
        <v>1</v>
      </c>
      <c r="BA81" s="199" t="n">
        <f aca="false" t="array" ref="BA81:BA81">SUMPRODUCT((LEFT('⑫ Roll-out Plan'!$E$10:$E$97,1)="B")*('⑫ Roll-out Plan'!$O$10:$O$97)*((('⑫ Roll-out Plan'!$G$10:$G$97-2025)*12+'⑫ Roll-out Plan'!$F$10:$F$97)&lt;=25))</f>
        <v>2</v>
      </c>
      <c r="BB81" s="199" t="n">
        <f aca="false" t="array" ref="BB81:BB81">SUMPRODUCT((LEFT('⑫ Roll-out Plan'!$E$10:$E$97,1)="B")*('⑫ Roll-out Plan'!$O$10:$O$97)*((('⑫ Roll-out Plan'!$G$10:$G$97-2025)*12+'⑫ Roll-out Plan'!$F$10:$F$97)&lt;=26))</f>
        <v>2</v>
      </c>
      <c r="BC81" s="199" t="n">
        <f aca="false" t="array" ref="BC81:BC81">SUMPRODUCT((LEFT('⑫ Roll-out Plan'!$E$10:$E$97,1)="B")*('⑫ Roll-out Plan'!$O$10:$O$97)*((('⑫ Roll-out Plan'!$G$10:$G$97-2025)*12+'⑫ Roll-out Plan'!$F$10:$F$97)&lt;=27))</f>
        <v>3</v>
      </c>
      <c r="BD81" s="199" t="n">
        <f aca="false" t="array" ref="BD81:BD81">SUMPRODUCT((LEFT('⑫ Roll-out Plan'!$E$10:$E$97,1)="B")*('⑫ Roll-out Plan'!$O$10:$O$97)*((('⑫ Roll-out Plan'!$G$10:$G$97-2025)*12+'⑫ Roll-out Plan'!$F$10:$F$97)&lt;=28))</f>
        <v>3</v>
      </c>
      <c r="BE81" s="199" t="n">
        <f aca="false" t="array" ref="BE81:BE81">SUMPRODUCT((LEFT('⑫ Roll-out Plan'!$E$10:$E$97,1)="B")*('⑫ Roll-out Plan'!$O$10:$O$97)*((('⑫ Roll-out Plan'!$G$10:$G$97-2025)*12+'⑫ Roll-out Plan'!$F$10:$F$97)&lt;=29))</f>
        <v>3</v>
      </c>
      <c r="BF81" s="199" t="n">
        <f aca="false" t="array" ref="BF81:BF81">SUMPRODUCT((LEFT('⑫ Roll-out Plan'!$E$10:$E$97,1)="B")*('⑫ Roll-out Plan'!$O$10:$O$97)*((('⑫ Roll-out Plan'!$G$10:$G$97-2025)*12+'⑫ Roll-out Plan'!$F$10:$F$97)&lt;=30))</f>
        <v>3</v>
      </c>
      <c r="BG81" s="199" t="n">
        <f aca="false" t="array" ref="BG81:BG81">SUMPRODUCT((LEFT('⑫ Roll-out Plan'!$E$10:$E$97,1)="B")*('⑫ Roll-out Plan'!$O$10:$O$97)*((('⑫ Roll-out Plan'!$G$10:$G$97-2025)*12+'⑫ Roll-out Plan'!$F$10:$F$97)&lt;=31))</f>
        <v>3</v>
      </c>
      <c r="BH81" s="199" t="n">
        <f aca="false" t="array" ref="BH81:BH81">SUMPRODUCT((LEFT('⑫ Roll-out Plan'!$E$10:$E$97,1)="B")*('⑫ Roll-out Plan'!$O$10:$O$97)*((('⑫ Roll-out Plan'!$G$10:$G$97-2025)*12+'⑫ Roll-out Plan'!$F$10:$F$97)&lt;=32))</f>
        <v>3</v>
      </c>
      <c r="BI81" s="199" t="n">
        <f aca="false" t="array" ref="BI81:BI81">SUMPRODUCT((LEFT('⑫ Roll-out Plan'!$E$10:$E$97,1)="B")*('⑫ Roll-out Plan'!$O$10:$O$97)*((('⑫ Roll-out Plan'!$G$10:$G$97-2025)*12+'⑫ Roll-out Plan'!$F$10:$F$97)&lt;=33))</f>
        <v>3</v>
      </c>
      <c r="BJ81" s="199" t="n">
        <f aca="false" t="array" ref="BJ81:BJ81">SUMPRODUCT((LEFT('⑫ Roll-out Plan'!$E$10:$E$97,1)="B")*('⑫ Roll-out Plan'!$O$10:$O$97)*((('⑫ Roll-out Plan'!$G$10:$G$97-2025)*12+'⑫ Roll-out Plan'!$F$10:$F$97)&lt;=34))</f>
        <v>3</v>
      </c>
      <c r="BK81" s="199" t="n">
        <f aca="false" t="array" ref="BK81:BK81">SUMPRODUCT((LEFT('⑫ Roll-out Plan'!$E$10:$E$97,1)="B")*('⑫ Roll-out Plan'!$O$10:$O$97)*((('⑫ Roll-out Plan'!$G$10:$G$97-2025)*12+'⑫ Roll-out Plan'!$F$10:$F$97)&lt;=35))</f>
        <v>3</v>
      </c>
      <c r="BL81" s="199" t="n">
        <f aca="false" t="array" ref="BL81:BL81">SUMPRODUCT((LEFT('⑫ Roll-out Plan'!$E$10:$E$97,1)="B")*('⑫ Roll-out Plan'!$O$10:$O$97)*((('⑫ Roll-out Plan'!$G$10:$G$97-2025)*12+'⑫ Roll-out Plan'!$F$10:$F$97)&lt;=36))</f>
        <v>3</v>
      </c>
      <c r="BM81" s="199" t="n">
        <f aca="false" t="array" ref="BM81:BM81">SUMPRODUCT((LEFT('⑫ Roll-out Plan'!$E$10:$E$97,1)="B")*('⑫ Roll-out Plan'!$O$10:$O$97)*((('⑫ Roll-out Plan'!$G$10:$G$97-2025)*12+'⑫ Roll-out Plan'!$F$10:$F$97)&lt;=37))</f>
        <v>3</v>
      </c>
      <c r="BN81" s="199" t="n">
        <f aca="false" t="array" ref="BN81:BN81">SUMPRODUCT((LEFT('⑫ Roll-out Plan'!$E$10:$E$97,1)="B")*('⑫ Roll-out Plan'!$O$10:$O$97)*((('⑫ Roll-out Plan'!$G$10:$G$97-2025)*12+'⑫ Roll-out Plan'!$F$10:$F$97)&lt;=38))</f>
        <v>3</v>
      </c>
      <c r="BO81" s="199" t="n">
        <f aca="false" t="array" ref="BO81:BO81">SUMPRODUCT((LEFT('⑫ Roll-out Plan'!$E$10:$E$97,1)="B")*('⑫ Roll-out Plan'!$O$10:$O$97)*((('⑫ Roll-out Plan'!$G$10:$G$97-2025)*12+'⑫ Roll-out Plan'!$F$10:$F$97)&lt;=39))</f>
        <v>4</v>
      </c>
      <c r="BP81" s="199" t="n">
        <f aca="false" t="array" ref="BP81:BP81">SUMPRODUCT((LEFT('⑫ Roll-out Plan'!$E$10:$E$97,1)="B")*('⑫ Roll-out Plan'!$O$10:$O$97)*((('⑫ Roll-out Plan'!$G$10:$G$97-2025)*12+'⑫ Roll-out Plan'!$F$10:$F$97)&lt;=40))</f>
        <v>4</v>
      </c>
      <c r="BQ81" s="199" t="n">
        <f aca="false" t="array" ref="BQ81:BQ81">SUMPRODUCT((LEFT('⑫ Roll-out Plan'!$E$10:$E$97,1)="B")*('⑫ Roll-out Plan'!$O$10:$O$97)*((('⑫ Roll-out Plan'!$G$10:$G$97-2025)*12+'⑫ Roll-out Plan'!$F$10:$F$97)&lt;=41))</f>
        <v>5</v>
      </c>
      <c r="BR81" s="199" t="n">
        <f aca="false" t="array" ref="BR81:BR81">SUMPRODUCT((LEFT('⑫ Roll-out Plan'!$E$10:$E$97,1)="B")*('⑫ Roll-out Plan'!$O$10:$O$97)*((('⑫ Roll-out Plan'!$G$10:$G$97-2025)*12+'⑫ Roll-out Plan'!$F$10:$F$97)&lt;=42))</f>
        <v>5</v>
      </c>
      <c r="BS81" s="199" t="n">
        <f aca="false" t="array" ref="BS81:BS81">SUMPRODUCT((LEFT('⑫ Roll-out Plan'!$E$10:$E$97,1)="B")*('⑫ Roll-out Plan'!$O$10:$O$97)*((('⑫ Roll-out Plan'!$G$10:$G$97-2025)*12+'⑫ Roll-out Plan'!$F$10:$F$97)&lt;=43))</f>
        <v>6</v>
      </c>
      <c r="BT81" s="199" t="n">
        <f aca="false" t="array" ref="BT81:BT81">SUMPRODUCT((LEFT('⑫ Roll-out Plan'!$E$10:$E$97,1)="B")*('⑫ Roll-out Plan'!$O$10:$O$97)*((('⑫ Roll-out Plan'!$G$10:$G$97-2025)*12+'⑫ Roll-out Plan'!$F$10:$F$97)&lt;=44))</f>
        <v>6</v>
      </c>
      <c r="BU81" s="199" t="n">
        <f aca="false" t="array" ref="BU81:BU81">SUMPRODUCT((LEFT('⑫ Roll-out Plan'!$E$10:$E$97,1)="B")*('⑫ Roll-out Plan'!$O$10:$O$97)*((('⑫ Roll-out Plan'!$G$10:$G$97-2025)*12+'⑫ Roll-out Plan'!$F$10:$F$97)&lt;=45))</f>
        <v>7</v>
      </c>
      <c r="BV81" s="199" t="n">
        <f aca="false" t="array" ref="BV81:BV81">SUMPRODUCT((LEFT('⑫ Roll-out Plan'!$E$10:$E$97,1)="B")*('⑫ Roll-out Plan'!$O$10:$O$97)*((('⑫ Roll-out Plan'!$G$10:$G$97-2025)*12+'⑫ Roll-out Plan'!$F$10:$F$97)&lt;=46))</f>
        <v>7</v>
      </c>
      <c r="BW81" s="199" t="n">
        <f aca="false" t="array" ref="BW81:BW81">SUMPRODUCT((LEFT('⑫ Roll-out Plan'!$E$10:$E$97,1)="B")*('⑫ Roll-out Plan'!$O$10:$O$97)*((('⑫ Roll-out Plan'!$G$10:$G$97-2025)*12+'⑫ Roll-out Plan'!$F$10:$F$97)&lt;=47))</f>
        <v>7</v>
      </c>
      <c r="BX81" s="199" t="n">
        <f aca="false" t="array" ref="BX81:BX81">SUMPRODUCT((LEFT('⑫ Roll-out Plan'!$E$10:$E$97,1)="B")*('⑫ Roll-out Plan'!$O$10:$O$97)*((('⑫ Roll-out Plan'!$G$10:$G$97-2025)*12+'⑫ Roll-out Plan'!$F$10:$F$97)&lt;=48))</f>
        <v>8</v>
      </c>
      <c r="BY81" s="199" t="n">
        <f aca="false" t="array" ref="BY81:BY81">SUMPRODUCT((LEFT('⑫ Roll-out Plan'!$E$10:$E$97,1)="B")*('⑫ Roll-out Plan'!$O$10:$O$97)*((('⑫ Roll-out Plan'!$G$10:$G$97-2025)*12+'⑫ Roll-out Plan'!$F$10:$F$97)&lt;=49))</f>
        <v>8</v>
      </c>
      <c r="BZ81" s="199" t="n">
        <f aca="false" t="array" ref="BZ81:BZ81">SUMPRODUCT((LEFT('⑫ Roll-out Plan'!$E$10:$E$97,1)="B")*('⑫ Roll-out Plan'!$O$10:$O$97)*((('⑫ Roll-out Plan'!$G$10:$G$97-2025)*12+'⑫ Roll-out Plan'!$F$10:$F$97)&lt;=50))</f>
        <v>8</v>
      </c>
      <c r="CA81" s="199" t="n">
        <f aca="false" t="array" ref="CA81:CA81">SUMPRODUCT((LEFT('⑫ Roll-out Plan'!$E$10:$E$97,1)="B")*('⑫ Roll-out Plan'!$O$10:$O$97)*((('⑫ Roll-out Plan'!$G$10:$G$97-2025)*12+'⑫ Roll-out Plan'!$F$10:$F$97)&lt;=51))</f>
        <v>8</v>
      </c>
      <c r="CB81" s="199" t="n">
        <f aca="false" t="array" ref="CB81:CB81">SUMPRODUCT((LEFT('⑫ Roll-out Plan'!$E$10:$E$97,1)="B")*('⑫ Roll-out Plan'!$O$10:$O$97)*((('⑫ Roll-out Plan'!$G$10:$G$97-2025)*12+'⑫ Roll-out Plan'!$F$10:$F$97)&lt;=52))</f>
        <v>8</v>
      </c>
      <c r="CC81" s="199" t="n">
        <f aca="false" t="array" ref="CC81:CC81">SUMPRODUCT((LEFT('⑫ Roll-out Plan'!$E$10:$E$97,1)="B")*('⑫ Roll-out Plan'!$O$10:$O$97)*((('⑫ Roll-out Plan'!$G$10:$G$97-2025)*12+'⑫ Roll-out Plan'!$F$10:$F$97)&lt;=53))</f>
        <v>8</v>
      </c>
      <c r="CD81" s="199" t="n">
        <f aca="false" t="array" ref="CD81:CD81">SUMPRODUCT((LEFT('⑫ Roll-out Plan'!$E$10:$E$97,1)="B")*('⑫ Roll-out Plan'!$O$10:$O$97)*((('⑫ Roll-out Plan'!$G$10:$G$97-2025)*12+'⑫ Roll-out Plan'!$F$10:$F$97)&lt;=54))</f>
        <v>8</v>
      </c>
      <c r="CE81" s="199" t="n">
        <f aca="false" t="array" ref="CE81:CE81">SUMPRODUCT((LEFT('⑫ Roll-out Plan'!$E$10:$E$97,1)="B")*('⑫ Roll-out Plan'!$O$10:$O$97)*((('⑫ Roll-out Plan'!$G$10:$G$97-2025)*12+'⑫ Roll-out Plan'!$F$10:$F$97)&lt;=55))</f>
        <v>8</v>
      </c>
      <c r="CF81" s="199" t="n">
        <f aca="false" t="array" ref="CF81:CF81">SUMPRODUCT((LEFT('⑫ Roll-out Plan'!$E$10:$E$97,1)="B")*('⑫ Roll-out Plan'!$O$10:$O$97)*((('⑫ Roll-out Plan'!$G$10:$G$97-2025)*12+'⑫ Roll-out Plan'!$F$10:$F$97)&lt;=56))</f>
        <v>8</v>
      </c>
      <c r="CG81" s="199" t="n">
        <f aca="false" t="array" ref="CG81:CG81">SUMPRODUCT((LEFT('⑫ Roll-out Plan'!$E$10:$E$97,1)="B")*('⑫ Roll-out Plan'!$O$10:$O$97)*((('⑫ Roll-out Plan'!$G$10:$G$97-2025)*12+'⑫ Roll-out Plan'!$F$10:$F$97)&lt;=57))</f>
        <v>8</v>
      </c>
      <c r="CH81" s="199" t="n">
        <f aca="false" t="array" ref="CH81:CH81">SUMPRODUCT((LEFT('⑫ Roll-out Plan'!$E$10:$E$97,1)="B")*('⑫ Roll-out Plan'!$O$10:$O$97)*((('⑫ Roll-out Plan'!$G$10:$G$97-2025)*12+'⑫ Roll-out Plan'!$F$10:$F$97)&lt;=58))</f>
        <v>8</v>
      </c>
      <c r="CI81" s="199" t="n">
        <f aca="false" t="array" ref="CI81:CI81">SUMPRODUCT((LEFT('⑫ Roll-out Plan'!$E$10:$E$97,1)="B")*('⑫ Roll-out Plan'!$O$10:$O$97)*((('⑫ Roll-out Plan'!$G$10:$G$97-2025)*12+'⑫ Roll-out Plan'!$F$10:$F$97)&lt;=59))</f>
        <v>8</v>
      </c>
      <c r="CJ81" s="199" t="n">
        <f aca="false" t="array" ref="CJ81:CJ81">SUMPRODUCT((LEFT('⑫ Roll-out Plan'!$E$10:$E$97,1)="B")*('⑫ Roll-out Plan'!$O$10:$O$97)*((('⑫ Roll-out Plan'!$G$10:$G$97-2025)*12+'⑫ Roll-out Plan'!$F$10:$F$97)&lt;=60))</f>
        <v>8</v>
      </c>
      <c r="CK81" s="199" t="n">
        <f aca="false" t="array" ref="CK81:CK81">SUMPRODUCT((LEFT('⑫ Roll-out Plan'!$E$10:$E$97,1)="B")*('⑫ Roll-out Plan'!$O$10:$O$97)*((('⑫ Roll-out Plan'!$G$10:$G$97-2025)*12+'⑫ Roll-out Plan'!$F$10:$F$97)&lt;=61))</f>
        <v>9</v>
      </c>
      <c r="CL81" s="199" t="n">
        <f aca="false" t="array" ref="CL81:CL81">SUMPRODUCT((LEFT('⑫ Roll-out Plan'!$E$10:$E$97,1)="B")*('⑫ Roll-out Plan'!$O$10:$O$97)*((('⑫ Roll-out Plan'!$G$10:$G$97-2025)*12+'⑫ Roll-out Plan'!$F$10:$F$97)&lt;=62))</f>
        <v>10</v>
      </c>
      <c r="CM81" s="199" t="n">
        <f aca="false" t="array" ref="CM81:CM81">SUMPRODUCT((LEFT('⑫ Roll-out Plan'!$E$10:$E$97,1)="B")*('⑫ Roll-out Plan'!$O$10:$O$97)*((('⑫ Roll-out Plan'!$G$10:$G$97-2025)*12+'⑫ Roll-out Plan'!$F$10:$F$97)&lt;=63))</f>
        <v>10</v>
      </c>
      <c r="CN81" s="199" t="n">
        <f aca="false" t="array" ref="CN81:CN81">SUMPRODUCT((LEFT('⑫ Roll-out Plan'!$E$10:$E$97,1)="B")*('⑫ Roll-out Plan'!$O$10:$O$97)*((('⑫ Roll-out Plan'!$G$10:$G$97-2025)*12+'⑫ Roll-out Plan'!$F$10:$F$97)&lt;=64))</f>
        <v>10</v>
      </c>
      <c r="CO81" s="199" t="n">
        <f aca="false" t="array" ref="CO81:CO81">SUMPRODUCT((LEFT('⑫ Roll-out Plan'!$E$10:$E$97,1)="B")*('⑫ Roll-out Plan'!$O$10:$O$97)*((('⑫ Roll-out Plan'!$G$10:$G$97-2025)*12+'⑫ Roll-out Plan'!$F$10:$F$97)&lt;=65))</f>
        <v>10</v>
      </c>
      <c r="CP81" s="199" t="n">
        <f aca="false" t="array" ref="CP81:CP81">SUMPRODUCT((LEFT('⑫ Roll-out Plan'!$E$10:$E$97,1)="B")*('⑫ Roll-out Plan'!$O$10:$O$97)*((('⑫ Roll-out Plan'!$G$10:$G$97-2025)*12+'⑫ Roll-out Plan'!$F$10:$F$97)&lt;=66))</f>
        <v>10</v>
      </c>
      <c r="CQ81" s="199" t="n">
        <f aca="false" t="array" ref="CQ81:CQ81">SUMPRODUCT((LEFT('⑫ Roll-out Plan'!$E$10:$E$97,1)="B")*('⑫ Roll-out Plan'!$O$10:$O$97)*((('⑫ Roll-out Plan'!$G$10:$G$97-2025)*12+'⑫ Roll-out Plan'!$F$10:$F$97)&lt;=67))</f>
        <v>10</v>
      </c>
      <c r="CR81" s="199" t="n">
        <f aca="false" t="array" ref="CR81:CR81">SUMPRODUCT((LEFT('⑫ Roll-out Plan'!$E$10:$E$97,1)="B")*('⑫ Roll-out Plan'!$O$10:$O$97)*((('⑫ Roll-out Plan'!$G$10:$G$97-2025)*12+'⑫ Roll-out Plan'!$F$10:$F$97)&lt;=68))</f>
        <v>10</v>
      </c>
      <c r="CS81" s="199" t="n">
        <f aca="false" t="array" ref="CS81:CS81">SUMPRODUCT((LEFT('⑫ Roll-out Plan'!$E$10:$E$97,1)="B")*('⑫ Roll-out Plan'!$O$10:$O$97)*((('⑫ Roll-out Plan'!$G$10:$G$97-2025)*12+'⑫ Roll-out Plan'!$F$10:$F$97)&lt;=69))</f>
        <v>10</v>
      </c>
      <c r="CT81" s="199" t="n">
        <f aca="false" t="array" ref="CT81:CT81">SUMPRODUCT((LEFT('⑫ Roll-out Plan'!$E$10:$E$97,1)="B")*('⑫ Roll-out Plan'!$O$10:$O$97)*((('⑫ Roll-out Plan'!$G$10:$G$97-2025)*12+'⑫ Roll-out Plan'!$F$10:$F$97)&lt;=70))</f>
        <v>10</v>
      </c>
      <c r="CU81" s="199" t="n">
        <f aca="false" t="array" ref="CU81:CU81">SUMPRODUCT((LEFT('⑫ Roll-out Plan'!$E$10:$E$97,1)="B")*('⑫ Roll-out Plan'!$O$10:$O$97)*((('⑫ Roll-out Plan'!$G$10:$G$97-2025)*12+'⑫ Roll-out Plan'!$F$10:$F$97)&lt;=71))</f>
        <v>10</v>
      </c>
      <c r="CV81" s="199" t="n">
        <f aca="false" t="array" ref="CV81:CV81">SUMPRODUCT((LEFT('⑫ Roll-out Plan'!$E$10:$E$97,1)="B")*('⑫ Roll-out Plan'!$O$10:$O$97)*((('⑫ Roll-out Plan'!$G$10:$G$97-2025)*12+'⑫ Roll-out Plan'!$F$10:$F$97)&lt;=72))</f>
        <v>10</v>
      </c>
      <c r="CW81" s="199" t="n">
        <f aca="false" t="array" ref="CW81:CW81">SUMPRODUCT((LEFT('⑫ Roll-out Plan'!$E$10:$E$97,1)="B")*('⑫ Roll-out Plan'!$O$10:$O$97)*((('⑫ Roll-out Plan'!$G$10:$G$97-2025)*12+'⑫ Roll-out Plan'!$F$10:$F$97)&lt;=73))</f>
        <v>11</v>
      </c>
      <c r="CX81" s="199" t="n">
        <f aca="false" t="array" ref="CX81:CX81">SUMPRODUCT((LEFT('⑫ Roll-out Plan'!$E$10:$E$97,1)="B")*('⑫ Roll-out Plan'!$O$10:$O$97)*((('⑫ Roll-out Plan'!$G$10:$G$97-2025)*12+'⑫ Roll-out Plan'!$F$10:$F$97)&lt;=74))</f>
        <v>11</v>
      </c>
      <c r="CY81" s="199" t="n">
        <f aca="false" t="array" ref="CY81:CY81">SUMPRODUCT((LEFT('⑫ Roll-out Plan'!$E$10:$E$97,1)="B")*('⑫ Roll-out Plan'!$O$10:$O$97)*((('⑫ Roll-out Plan'!$G$10:$G$97-2025)*12+'⑫ Roll-out Plan'!$F$10:$F$97)&lt;=75))</f>
        <v>12</v>
      </c>
      <c r="CZ81" s="199" t="n">
        <f aca="false" t="array" ref="CZ81:CZ81">SUMPRODUCT((LEFT('⑫ Roll-out Plan'!$E$10:$E$97,1)="B")*('⑫ Roll-out Plan'!$O$10:$O$97)*((('⑫ Roll-out Plan'!$G$10:$G$97-2025)*12+'⑫ Roll-out Plan'!$F$10:$F$97)&lt;=76))</f>
        <v>12</v>
      </c>
      <c r="DA81" s="199" t="n">
        <f aca="false" t="array" ref="DA81:DA81">SUMPRODUCT((LEFT('⑫ Roll-out Plan'!$E$10:$E$97,1)="B")*('⑫ Roll-out Plan'!$O$10:$O$97)*((('⑫ Roll-out Plan'!$G$10:$G$97-2025)*12+'⑫ Roll-out Plan'!$F$10:$F$97)&lt;=77))</f>
        <v>14</v>
      </c>
      <c r="DB81" s="199" t="n">
        <f aca="false" t="array" ref="DB81:DB81">SUMPRODUCT((LEFT('⑫ Roll-out Plan'!$E$10:$E$97,1)="B")*('⑫ Roll-out Plan'!$O$10:$O$97)*((('⑫ Roll-out Plan'!$G$10:$G$97-2025)*12+'⑫ Roll-out Plan'!$F$10:$F$97)&lt;=78))</f>
        <v>14</v>
      </c>
      <c r="DC81" s="199" t="n">
        <f aca="false" t="array" ref="DC81:DC81">SUMPRODUCT((LEFT('⑫ Roll-out Plan'!$E$10:$E$97,1)="B")*('⑫ Roll-out Plan'!$O$10:$O$97)*((('⑫ Roll-out Plan'!$G$10:$G$97-2025)*12+'⑫ Roll-out Plan'!$F$10:$F$97)&lt;=79))</f>
        <v>14</v>
      </c>
      <c r="DD81" s="199" t="n">
        <f aca="false" t="array" ref="DD81:DD81">SUMPRODUCT((LEFT('⑫ Roll-out Plan'!$E$10:$E$97,1)="B")*('⑫ Roll-out Plan'!$O$10:$O$97)*((('⑫ Roll-out Plan'!$G$10:$G$97-2025)*12+'⑫ Roll-out Plan'!$F$10:$F$97)&lt;=80))</f>
        <v>14</v>
      </c>
      <c r="DE81" s="199" t="n">
        <f aca="false" t="array" ref="DE81:DE81">SUMPRODUCT((LEFT('⑫ Roll-out Plan'!$E$10:$E$97,1)="B")*('⑫ Roll-out Plan'!$O$10:$O$97)*((('⑫ Roll-out Plan'!$G$10:$G$97-2025)*12+'⑫ Roll-out Plan'!$F$10:$F$97)&lt;=81))</f>
        <v>14</v>
      </c>
      <c r="DF81" s="199" t="n">
        <f aca="false" t="array" ref="DF81:DF81">SUMPRODUCT((LEFT('⑫ Roll-out Plan'!$E$10:$E$97,1)="B")*('⑫ Roll-out Plan'!$O$10:$O$97)*((('⑫ Roll-out Plan'!$G$10:$G$97-2025)*12+'⑫ Roll-out Plan'!$F$10:$F$97)&lt;=82))</f>
        <v>14</v>
      </c>
      <c r="DG81" s="199" t="n">
        <f aca="false" t="array" ref="DG81:DG81">SUMPRODUCT((LEFT('⑫ Roll-out Plan'!$E$10:$E$97,1)="B")*('⑫ Roll-out Plan'!$O$10:$O$97)*((('⑫ Roll-out Plan'!$G$10:$G$97-2025)*12+'⑫ Roll-out Plan'!$F$10:$F$97)&lt;=83))</f>
        <v>14</v>
      </c>
      <c r="DH81" s="199" t="n">
        <f aca="false" t="array" ref="DH81:DH81">SUMPRODUCT((LEFT('⑫ Roll-out Plan'!$E$10:$E$97,1)="B")*('⑫ Roll-out Plan'!$O$10:$O$97)*((('⑫ Roll-out Plan'!$G$10:$G$97-2025)*12+'⑫ Roll-out Plan'!$F$10:$F$97)&lt;=84))</f>
        <v>14</v>
      </c>
      <c r="DI81" s="199" t="n">
        <f aca="false" t="array" ref="DI81:DI81">SUMPRODUCT((LEFT('⑫ Roll-out Plan'!$E$10:$E$97,1)="B")*('⑫ Roll-out Plan'!$O$10:$O$97)*((('⑫ Roll-out Plan'!$G$10:$G$97-2025)*12+'⑫ Roll-out Plan'!$F$10:$F$97)&lt;=85))</f>
        <v>14</v>
      </c>
      <c r="DJ81" s="199" t="n">
        <f aca="false" t="array" ref="DJ81:DJ81">SUMPRODUCT((LEFT('⑫ Roll-out Plan'!$E$10:$E$97,1)="B")*('⑫ Roll-out Plan'!$O$10:$O$97)*((('⑫ Roll-out Plan'!$G$10:$G$97-2025)*12+'⑫ Roll-out Plan'!$F$10:$F$97)&lt;=86))</f>
        <v>14</v>
      </c>
      <c r="DK81" s="199" t="n">
        <f aca="false" t="array" ref="DK81:DK81">SUMPRODUCT((LEFT('⑫ Roll-out Plan'!$E$10:$E$97,1)="B")*('⑫ Roll-out Plan'!$O$10:$O$97)*((('⑫ Roll-out Plan'!$G$10:$G$97-2025)*12+'⑫ Roll-out Plan'!$F$10:$F$97)&lt;=87))</f>
        <v>15</v>
      </c>
      <c r="DL81" s="199" t="n">
        <f aca="false" t="array" ref="DL81:DL81">SUMPRODUCT((LEFT('⑫ Roll-out Plan'!$E$10:$E$97,1)="B")*('⑫ Roll-out Plan'!$O$10:$O$97)*((('⑫ Roll-out Plan'!$G$10:$G$97-2025)*12+'⑫ Roll-out Plan'!$F$10:$F$97)&lt;=88))</f>
        <v>15</v>
      </c>
      <c r="DM81" s="199" t="n">
        <f aca="false" t="array" ref="DM81:DM81">SUMPRODUCT((LEFT('⑫ Roll-out Plan'!$E$10:$E$97,1)="B")*('⑫ Roll-out Plan'!$O$10:$O$97)*((('⑫ Roll-out Plan'!$G$10:$G$97-2025)*12+'⑫ Roll-out Plan'!$F$10:$F$97)&lt;=89))</f>
        <v>15</v>
      </c>
      <c r="DN81" s="199" t="n">
        <f aca="false" t="array" ref="DN81:DN81">SUMPRODUCT((LEFT('⑫ Roll-out Plan'!$E$10:$E$97,1)="B")*('⑫ Roll-out Plan'!$O$10:$O$97)*((('⑫ Roll-out Plan'!$G$10:$G$97-2025)*12+'⑫ Roll-out Plan'!$F$10:$F$97)&lt;=90))</f>
        <v>15</v>
      </c>
      <c r="DO81" s="199" t="n">
        <f aca="false" t="array" ref="DO81:DO81">SUMPRODUCT((LEFT('⑫ Roll-out Plan'!$E$10:$E$97,1)="B")*('⑫ Roll-out Plan'!$O$10:$O$97)*((('⑫ Roll-out Plan'!$G$10:$G$97-2025)*12+'⑫ Roll-out Plan'!$F$10:$F$97)&lt;=91))</f>
        <v>15</v>
      </c>
      <c r="DP81" s="199" t="n">
        <f aca="false" t="array" ref="DP81:DP81">SUMPRODUCT((LEFT('⑫ Roll-out Plan'!$E$10:$E$97,1)="B")*('⑫ Roll-out Plan'!$O$10:$O$97)*((('⑫ Roll-out Plan'!$G$10:$G$97-2025)*12+'⑫ Roll-out Plan'!$F$10:$F$97)&lt;=92))</f>
        <v>16</v>
      </c>
      <c r="DQ81" s="199" t="n">
        <f aca="false" t="array" ref="DQ81:DQ81">SUMPRODUCT((LEFT('⑫ Roll-out Plan'!$E$10:$E$97,1)="B")*('⑫ Roll-out Plan'!$O$10:$O$97)*((('⑫ Roll-out Plan'!$G$10:$G$97-2025)*12+'⑫ Roll-out Plan'!$F$10:$F$97)&lt;=93))</f>
        <v>17</v>
      </c>
      <c r="DR81" s="199" t="n">
        <f aca="false" t="array" ref="DR81:DR81">SUMPRODUCT((LEFT('⑫ Roll-out Plan'!$E$10:$E$97,1)="B")*('⑫ Roll-out Plan'!$O$10:$O$97)*((('⑫ Roll-out Plan'!$G$10:$G$97-2025)*12+'⑫ Roll-out Plan'!$F$10:$F$97)&lt;=94))</f>
        <v>17</v>
      </c>
      <c r="DS81" s="199" t="n">
        <f aca="false" t="array" ref="DS81:DS81">SUMPRODUCT((LEFT('⑫ Roll-out Plan'!$E$10:$E$97,1)="B")*('⑫ Roll-out Plan'!$O$10:$O$97)*((('⑫ Roll-out Plan'!$G$10:$G$97-2025)*12+'⑫ Roll-out Plan'!$F$10:$F$97)&lt;=95))</f>
        <v>17</v>
      </c>
      <c r="DT81" s="199" t="n">
        <f aca="false" t="array" ref="DT81:DT81">SUMPRODUCT((LEFT('⑫ Roll-out Plan'!$E$10:$E$97,1)="B")*('⑫ Roll-out Plan'!$O$10:$O$97)*((('⑫ Roll-out Plan'!$G$10:$G$97-2025)*12+'⑫ Roll-out Plan'!$F$10:$F$97)&lt;=96))</f>
        <v>17</v>
      </c>
      <c r="DU81" s="199" t="n">
        <f aca="false" t="array" ref="DU81:DU81">SUMPRODUCT((LEFT('⑫ Roll-out Plan'!$E$10:$E$97,1)="B")*('⑫ Roll-out Plan'!$O$10:$O$97)*((('⑫ Roll-out Plan'!$G$10:$G$97-2025)*12+'⑫ Roll-out Plan'!$F$10:$F$97)&lt;=97))</f>
        <v>17</v>
      </c>
      <c r="DV81" s="199" t="n">
        <f aca="false" t="array" ref="DV81:DV81">SUMPRODUCT((LEFT('⑫ Roll-out Plan'!$E$10:$E$97,1)="B")*('⑫ Roll-out Plan'!$O$10:$O$97)*((('⑫ Roll-out Plan'!$G$10:$G$97-2025)*12+'⑫ Roll-out Plan'!$F$10:$F$97)&lt;=98))</f>
        <v>18</v>
      </c>
      <c r="DW81" s="199" t="n">
        <f aca="false" t="array" ref="DW81:DW81">SUMPRODUCT((LEFT('⑫ Roll-out Plan'!$E$10:$E$97,1)="B")*('⑫ Roll-out Plan'!$O$10:$O$97)*((('⑫ Roll-out Plan'!$G$10:$G$97-2025)*12+'⑫ Roll-out Plan'!$F$10:$F$97)&lt;=99))</f>
        <v>19</v>
      </c>
      <c r="DX81" s="199" t="n">
        <f aca="false" t="array" ref="DX81:DX81">SUMPRODUCT((LEFT('⑫ Roll-out Plan'!$E$10:$E$97,1)="B")*('⑫ Roll-out Plan'!$O$10:$O$97)*((('⑫ Roll-out Plan'!$G$10:$G$97-2025)*12+'⑫ Roll-out Plan'!$F$10:$F$97)&lt;=100))</f>
        <v>20</v>
      </c>
      <c r="DY81" s="199" t="n">
        <f aca="false" t="array" ref="DY81:DY81">SUMPRODUCT((LEFT('⑫ Roll-out Plan'!$E$10:$E$97,1)="B")*('⑫ Roll-out Plan'!$O$10:$O$97)*((('⑫ Roll-out Plan'!$G$10:$G$97-2025)*12+'⑫ Roll-out Plan'!$F$10:$F$97)&lt;=101))</f>
        <v>20</v>
      </c>
      <c r="DZ81" s="199" t="n">
        <f aca="false" t="array" ref="DZ81:DZ81">SUMPRODUCT((LEFT('⑫ Roll-out Plan'!$E$10:$E$97,1)="B")*('⑫ Roll-out Plan'!$O$10:$O$97)*((('⑫ Roll-out Plan'!$G$10:$G$97-2025)*12+'⑫ Roll-out Plan'!$F$10:$F$97)&lt;=102))</f>
        <v>20</v>
      </c>
      <c r="EA81" s="199" t="n">
        <f aca="false" t="array" ref="EA81:EA81">SUMPRODUCT((LEFT('⑫ Roll-out Plan'!$E$10:$E$97,1)="B")*('⑫ Roll-out Plan'!$O$10:$O$97)*((('⑫ Roll-out Plan'!$G$10:$G$97-2025)*12+'⑫ Roll-out Plan'!$F$10:$F$97)&lt;=103))</f>
        <v>20</v>
      </c>
      <c r="EB81" s="199" t="n">
        <f aca="false" t="array" ref="EB81:EB81">SUMPRODUCT((LEFT('⑫ Roll-out Plan'!$E$10:$E$97,1)="B")*('⑫ Roll-out Plan'!$O$10:$O$97)*((('⑫ Roll-out Plan'!$G$10:$G$97-2025)*12+'⑫ Roll-out Plan'!$F$10:$F$97)&lt;=104))</f>
        <v>20</v>
      </c>
      <c r="EC81" s="199" t="n">
        <f aca="false" t="array" ref="EC81:EC81">SUMPRODUCT((LEFT('⑫ Roll-out Plan'!$E$10:$E$97,1)="B")*('⑫ Roll-out Plan'!$O$10:$O$97)*((('⑫ Roll-out Plan'!$G$10:$G$97-2025)*12+'⑫ Roll-out Plan'!$F$10:$F$97)&lt;=105))</f>
        <v>20</v>
      </c>
      <c r="ED81" s="199" t="n">
        <f aca="false" t="array" ref="ED81:ED81">SUMPRODUCT((LEFT('⑫ Roll-out Plan'!$E$10:$E$97,1)="B")*('⑫ Roll-out Plan'!$O$10:$O$97)*((('⑫ Roll-out Plan'!$G$10:$G$97-2025)*12+'⑫ Roll-out Plan'!$F$10:$F$97)&lt;=106))</f>
        <v>20</v>
      </c>
      <c r="EE81" s="199" t="n">
        <f aca="false" t="array" ref="EE81:EE81">SUMPRODUCT((LEFT('⑫ Roll-out Plan'!$E$10:$E$97,1)="B")*('⑫ Roll-out Plan'!$O$10:$O$97)*((('⑫ Roll-out Plan'!$G$10:$G$97-2025)*12+'⑫ Roll-out Plan'!$F$10:$F$97)&lt;=107))</f>
        <v>20</v>
      </c>
      <c r="EF81" s="199" t="n">
        <f aca="false" t="array" ref="EF81:EF81">SUMPRODUCT((LEFT('⑫ Roll-out Plan'!$E$10:$E$97,1)="B")*('⑫ Roll-out Plan'!$O$10:$O$97)*((('⑫ Roll-out Plan'!$G$10:$G$97-2025)*12+'⑫ Roll-out Plan'!$F$10:$F$97)&lt;=108))</f>
        <v>20</v>
      </c>
      <c r="EG81" s="199" t="n">
        <f aca="false" t="array" ref="EG81:EG81">SUMPRODUCT((LEFT('⑫ Roll-out Plan'!$E$10:$E$97,1)="B")*('⑫ Roll-out Plan'!$O$10:$O$97)*((('⑫ Roll-out Plan'!$G$10:$G$97-2025)*12+'⑫ Roll-out Plan'!$F$10:$F$97)&lt;=109))</f>
        <v>22</v>
      </c>
      <c r="EH81" s="199" t="n">
        <f aca="false" t="array" ref="EH81:EH81">SUMPRODUCT((LEFT('⑫ Roll-out Plan'!$E$10:$E$97,1)="B")*('⑫ Roll-out Plan'!$O$10:$O$97)*((('⑫ Roll-out Plan'!$G$10:$G$97-2025)*12+'⑫ Roll-out Plan'!$F$10:$F$97)&lt;=110))</f>
        <v>23</v>
      </c>
      <c r="EI81" s="199" t="n">
        <f aca="false" t="array" ref="EI81:EI81">SUMPRODUCT((LEFT('⑫ Roll-out Plan'!$E$10:$E$97,1)="B")*('⑫ Roll-out Plan'!$O$10:$O$97)*((('⑫ Roll-out Plan'!$G$10:$G$97-2025)*12+'⑫ Roll-out Plan'!$F$10:$F$97)&lt;=111))</f>
        <v>24</v>
      </c>
      <c r="EJ81" s="199" t="n">
        <f aca="false" t="array" ref="EJ81:EJ81">SUMPRODUCT((LEFT('⑫ Roll-out Plan'!$E$10:$E$97,1)="B")*('⑫ Roll-out Plan'!$O$10:$O$97)*((('⑫ Roll-out Plan'!$G$10:$G$97-2025)*12+'⑫ Roll-out Plan'!$F$10:$F$97)&lt;=112))</f>
        <v>24</v>
      </c>
      <c r="EK81" s="199" t="n">
        <f aca="false" t="array" ref="EK81:EK81">SUMPRODUCT((LEFT('⑫ Roll-out Plan'!$E$10:$E$97,1)="B")*('⑫ Roll-out Plan'!$O$10:$O$97)*((('⑫ Roll-out Plan'!$G$10:$G$97-2025)*12+'⑫ Roll-out Plan'!$F$10:$F$97)&lt;=113))</f>
        <v>24</v>
      </c>
      <c r="EL81" s="199" t="n">
        <f aca="false" t="array" ref="EL81:EL81">SUMPRODUCT((LEFT('⑫ Roll-out Plan'!$E$10:$E$97,1)="B")*('⑫ Roll-out Plan'!$O$10:$O$97)*((('⑫ Roll-out Plan'!$G$10:$G$97-2025)*12+'⑫ Roll-out Plan'!$F$10:$F$97)&lt;=114))</f>
        <v>24</v>
      </c>
      <c r="EM81" s="199" t="n">
        <f aca="false" t="array" ref="EM81:EM81">SUMPRODUCT((LEFT('⑫ Roll-out Plan'!$E$10:$E$97,1)="B")*('⑫ Roll-out Plan'!$O$10:$O$97)*((('⑫ Roll-out Plan'!$G$10:$G$97-2025)*12+'⑫ Roll-out Plan'!$F$10:$F$97)&lt;=115))</f>
        <v>25</v>
      </c>
      <c r="EN81" s="199" t="n">
        <f aca="false" t="array" ref="EN81:EN81">SUMPRODUCT((LEFT('⑫ Roll-out Plan'!$E$10:$E$97,1)="B")*('⑫ Roll-out Plan'!$O$10:$O$97)*((('⑫ Roll-out Plan'!$G$10:$G$97-2025)*12+'⑫ Roll-out Plan'!$F$10:$F$97)&lt;=116))</f>
        <v>25</v>
      </c>
      <c r="EO81" s="199" t="n">
        <f aca="false" t="array" ref="EO81:EO81">SUMPRODUCT((LEFT('⑫ Roll-out Plan'!$E$10:$E$97,1)="B")*('⑫ Roll-out Plan'!$O$10:$O$97)*((('⑫ Roll-out Plan'!$G$10:$G$97-2025)*12+'⑫ Roll-out Plan'!$F$10:$F$97)&lt;=117))</f>
        <v>25</v>
      </c>
      <c r="EP81" s="199" t="n">
        <f aca="false" t="array" ref="EP81:EP81">SUMPRODUCT((LEFT('⑫ Roll-out Plan'!$E$10:$E$97,1)="B")*('⑫ Roll-out Plan'!$O$10:$O$97)*((('⑫ Roll-out Plan'!$G$10:$G$97-2025)*12+'⑫ Roll-out Plan'!$F$10:$F$97)&lt;=118))</f>
        <v>25</v>
      </c>
      <c r="EQ81" s="199" t="n">
        <f aca="false" t="array" ref="EQ81:EQ81">SUMPRODUCT((LEFT('⑫ Roll-out Plan'!$E$10:$E$97,1)="B")*('⑫ Roll-out Plan'!$O$10:$O$97)*((('⑫ Roll-out Plan'!$G$10:$G$97-2025)*12+'⑫ Roll-out Plan'!$F$10:$F$97)&lt;=119))</f>
        <v>25</v>
      </c>
      <c r="ER81" s="199" t="n">
        <f aca="false" t="array" ref="ER81:ER81">SUMPRODUCT((LEFT('⑫ Roll-out Plan'!$E$10:$E$97,1)="B")*('⑫ Roll-out Plan'!$O$10:$O$97)*((('⑫ Roll-out Plan'!$G$10:$G$97-2025)*12+'⑫ Roll-out Plan'!$F$10:$F$97)&lt;=120))</f>
        <v>25</v>
      </c>
    </row>
    <row r="82" customFormat="false" ht="15" hidden="false" customHeight="false" outlineLevel="0" collapsed="false">
      <c r="B82" s="18" t="s">
        <v>1190</v>
      </c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99" t="n">
        <f aca="false" t="array" ref="AC82:AC82">SUMPRODUCT((LEFT('⑫ Roll-out Plan'!$E$10:$E$97,1)="C")*('⑫ Roll-out Plan'!$O$10:$O$97)*((('⑫ Roll-out Plan'!$G$10:$G$97-2025)*12+'⑫ Roll-out Plan'!$F$10:$F$97)&lt;=1))</f>
        <v>0</v>
      </c>
      <c r="AD82" s="199" t="n">
        <f aca="false" t="array" ref="AD82:AD82">SUMPRODUCT((LEFT('⑫ Roll-out Plan'!$E$10:$E$97,1)="C")*('⑫ Roll-out Plan'!$O$10:$O$97)*((('⑫ Roll-out Plan'!$G$10:$G$97-2025)*12+'⑫ Roll-out Plan'!$F$10:$F$97)&lt;=2))</f>
        <v>0</v>
      </c>
      <c r="AE82" s="199" t="n">
        <f aca="false" t="array" ref="AE82:AE82">SUMPRODUCT((LEFT('⑫ Roll-out Plan'!$E$10:$E$97,1)="C")*('⑫ Roll-out Plan'!$O$10:$O$97)*((('⑫ Roll-out Plan'!$G$10:$G$97-2025)*12+'⑫ Roll-out Plan'!$F$10:$F$97)&lt;=3))</f>
        <v>0</v>
      </c>
      <c r="AF82" s="199" t="n">
        <f aca="false" t="array" ref="AF82:AF82">SUMPRODUCT((LEFT('⑫ Roll-out Plan'!$E$10:$E$97,1)="C")*('⑫ Roll-out Plan'!$O$10:$O$97)*((('⑫ Roll-out Plan'!$G$10:$G$97-2025)*12+'⑫ Roll-out Plan'!$F$10:$F$97)&lt;=4))</f>
        <v>0</v>
      </c>
      <c r="AG82" s="199" t="n">
        <f aca="false" t="array" ref="AG82:AG82">SUMPRODUCT((LEFT('⑫ Roll-out Plan'!$E$10:$E$97,1)="C")*('⑫ Roll-out Plan'!$O$10:$O$97)*((('⑫ Roll-out Plan'!$G$10:$G$97-2025)*12+'⑫ Roll-out Plan'!$F$10:$F$97)&lt;=5))</f>
        <v>0</v>
      </c>
      <c r="AH82" s="199" t="n">
        <f aca="false" t="array" ref="AH82:AH82">SUMPRODUCT((LEFT('⑫ Roll-out Plan'!$E$10:$E$97,1)="C")*('⑫ Roll-out Plan'!$O$10:$O$97)*((('⑫ Roll-out Plan'!$G$10:$G$97-2025)*12+'⑫ Roll-out Plan'!$F$10:$F$97)&lt;=6))</f>
        <v>0</v>
      </c>
      <c r="AI82" s="199" t="n">
        <f aca="false" t="array" ref="AI82:AI82">SUMPRODUCT((LEFT('⑫ Roll-out Plan'!$E$10:$E$97,1)="C")*('⑫ Roll-out Plan'!$O$10:$O$97)*((('⑫ Roll-out Plan'!$G$10:$G$97-2025)*12+'⑫ Roll-out Plan'!$F$10:$F$97)&lt;=7))</f>
        <v>0</v>
      </c>
      <c r="AJ82" s="199" t="n">
        <f aca="false" t="array" ref="AJ82:AJ82">SUMPRODUCT((LEFT('⑫ Roll-out Plan'!$E$10:$E$97,1)="C")*('⑫ Roll-out Plan'!$O$10:$O$97)*((('⑫ Roll-out Plan'!$G$10:$G$97-2025)*12+'⑫ Roll-out Plan'!$F$10:$F$97)&lt;=8))</f>
        <v>0</v>
      </c>
      <c r="AK82" s="199" t="n">
        <f aca="false" t="array" ref="AK82:AK82">SUMPRODUCT((LEFT('⑫ Roll-out Plan'!$E$10:$E$97,1)="C")*('⑫ Roll-out Plan'!$O$10:$O$97)*((('⑫ Roll-out Plan'!$G$10:$G$97-2025)*12+'⑫ Roll-out Plan'!$F$10:$F$97)&lt;=9))</f>
        <v>0</v>
      </c>
      <c r="AL82" s="199" t="n">
        <f aca="false" t="array" ref="AL82:AL82">SUMPRODUCT((LEFT('⑫ Roll-out Plan'!$E$10:$E$97,1)="C")*('⑫ Roll-out Plan'!$O$10:$O$97)*((('⑫ Roll-out Plan'!$G$10:$G$97-2025)*12+'⑫ Roll-out Plan'!$F$10:$F$97)&lt;=10))</f>
        <v>0</v>
      </c>
      <c r="AM82" s="199" t="n">
        <f aca="false" t="array" ref="AM82:AM82">SUMPRODUCT((LEFT('⑫ Roll-out Plan'!$E$10:$E$97,1)="C")*('⑫ Roll-out Plan'!$O$10:$O$97)*((('⑫ Roll-out Plan'!$G$10:$G$97-2025)*12+'⑫ Roll-out Plan'!$F$10:$F$97)&lt;=11))</f>
        <v>0</v>
      </c>
      <c r="AN82" s="199" t="n">
        <f aca="false" t="array" ref="AN82:AN82">SUMPRODUCT((LEFT('⑫ Roll-out Plan'!$E$10:$E$97,1)="C")*('⑫ Roll-out Plan'!$O$10:$O$97)*((('⑫ Roll-out Plan'!$G$10:$G$97-2025)*12+'⑫ Roll-out Plan'!$F$10:$F$97)&lt;=12))</f>
        <v>0</v>
      </c>
      <c r="AO82" s="199" t="n">
        <f aca="false" t="array" ref="AO82:AO82">SUMPRODUCT((LEFT('⑫ Roll-out Plan'!$E$10:$E$97,1)="C")*('⑫ Roll-out Plan'!$O$10:$O$97)*((('⑫ Roll-out Plan'!$G$10:$G$97-2025)*12+'⑫ Roll-out Plan'!$F$10:$F$97)&lt;=13))</f>
        <v>0</v>
      </c>
      <c r="AP82" s="199" t="n">
        <f aca="false" t="array" ref="AP82:AP82">SUMPRODUCT((LEFT('⑫ Roll-out Plan'!$E$10:$E$97,1)="C")*('⑫ Roll-out Plan'!$O$10:$O$97)*((('⑫ Roll-out Plan'!$G$10:$G$97-2025)*12+'⑫ Roll-out Plan'!$F$10:$F$97)&lt;=14))</f>
        <v>0</v>
      </c>
      <c r="AQ82" s="199" t="n">
        <f aca="false" t="array" ref="AQ82:AQ82">SUMPRODUCT((LEFT('⑫ Roll-out Plan'!$E$10:$E$97,1)="C")*('⑫ Roll-out Plan'!$O$10:$O$97)*((('⑫ Roll-out Plan'!$G$10:$G$97-2025)*12+'⑫ Roll-out Plan'!$F$10:$F$97)&lt;=15))</f>
        <v>0</v>
      </c>
      <c r="AR82" s="199" t="n">
        <f aca="false" t="array" ref="AR82:AR82">SUMPRODUCT((LEFT('⑫ Roll-out Plan'!$E$10:$E$97,1)="C")*('⑫ Roll-out Plan'!$O$10:$O$97)*((('⑫ Roll-out Plan'!$G$10:$G$97-2025)*12+'⑫ Roll-out Plan'!$F$10:$F$97)&lt;=16))</f>
        <v>0</v>
      </c>
      <c r="AS82" s="199" t="n">
        <f aca="false" t="array" ref="AS82:AS82">SUMPRODUCT((LEFT('⑫ Roll-out Plan'!$E$10:$E$97,1)="C")*('⑫ Roll-out Plan'!$O$10:$O$97)*((('⑫ Roll-out Plan'!$G$10:$G$97-2025)*12+'⑫ Roll-out Plan'!$F$10:$F$97)&lt;=17))</f>
        <v>0</v>
      </c>
      <c r="AT82" s="199" t="n">
        <f aca="false" t="array" ref="AT82:AT82">SUMPRODUCT((LEFT('⑫ Roll-out Plan'!$E$10:$E$97,1)="C")*('⑫ Roll-out Plan'!$O$10:$O$97)*((('⑫ Roll-out Plan'!$G$10:$G$97-2025)*12+'⑫ Roll-out Plan'!$F$10:$F$97)&lt;=18))</f>
        <v>0</v>
      </c>
      <c r="AU82" s="199" t="n">
        <f aca="false" t="array" ref="AU82:AU82">SUMPRODUCT((LEFT('⑫ Roll-out Plan'!$E$10:$E$97,1)="C")*('⑫ Roll-out Plan'!$O$10:$O$97)*((('⑫ Roll-out Plan'!$G$10:$G$97-2025)*12+'⑫ Roll-out Plan'!$F$10:$F$97)&lt;=19))</f>
        <v>0</v>
      </c>
      <c r="AV82" s="199" t="n">
        <f aca="false" t="array" ref="AV82:AV82">SUMPRODUCT((LEFT('⑫ Roll-out Plan'!$E$10:$E$97,1)="C")*('⑫ Roll-out Plan'!$O$10:$O$97)*((('⑫ Roll-out Plan'!$G$10:$G$97-2025)*12+'⑫ Roll-out Plan'!$F$10:$F$97)&lt;=20))</f>
        <v>0</v>
      </c>
      <c r="AW82" s="199" t="n">
        <f aca="false" t="array" ref="AW82:AW82">SUMPRODUCT((LEFT('⑫ Roll-out Plan'!$E$10:$E$97,1)="C")*('⑫ Roll-out Plan'!$O$10:$O$97)*((('⑫ Roll-out Plan'!$G$10:$G$97-2025)*12+'⑫ Roll-out Plan'!$F$10:$F$97)&lt;=21))</f>
        <v>0</v>
      </c>
      <c r="AX82" s="199" t="n">
        <f aca="false" t="array" ref="AX82:AX82">SUMPRODUCT((LEFT('⑫ Roll-out Plan'!$E$10:$E$97,1)="C")*('⑫ Roll-out Plan'!$O$10:$O$97)*((('⑫ Roll-out Plan'!$G$10:$G$97-2025)*12+'⑫ Roll-out Plan'!$F$10:$F$97)&lt;=22))</f>
        <v>0</v>
      </c>
      <c r="AY82" s="199" t="n">
        <f aca="false" t="array" ref="AY82:AY82">SUMPRODUCT((LEFT('⑫ Roll-out Plan'!$E$10:$E$97,1)="C")*('⑫ Roll-out Plan'!$O$10:$O$97)*((('⑫ Roll-out Plan'!$G$10:$G$97-2025)*12+'⑫ Roll-out Plan'!$F$10:$F$97)&lt;=23))</f>
        <v>0</v>
      </c>
      <c r="AZ82" s="199" t="n">
        <f aca="false" t="array" ref="AZ82:AZ82">SUMPRODUCT((LEFT('⑫ Roll-out Plan'!$E$10:$E$97,1)="C")*('⑫ Roll-out Plan'!$O$10:$O$97)*((('⑫ Roll-out Plan'!$G$10:$G$97-2025)*12+'⑫ Roll-out Plan'!$F$10:$F$97)&lt;=24))</f>
        <v>0</v>
      </c>
      <c r="BA82" s="199" t="n">
        <f aca="false" t="array" ref="BA82:BA82">SUMPRODUCT((LEFT('⑫ Roll-out Plan'!$E$10:$E$97,1)="C")*('⑫ Roll-out Plan'!$O$10:$O$97)*((('⑫ Roll-out Plan'!$G$10:$G$97-2025)*12+'⑫ Roll-out Plan'!$F$10:$F$97)&lt;=25))</f>
        <v>0</v>
      </c>
      <c r="BB82" s="199" t="n">
        <f aca="false" t="array" ref="BB82:BB82">SUMPRODUCT((LEFT('⑫ Roll-out Plan'!$E$10:$E$97,1)="C")*('⑫ Roll-out Plan'!$O$10:$O$97)*((('⑫ Roll-out Plan'!$G$10:$G$97-2025)*12+'⑫ Roll-out Plan'!$F$10:$F$97)&lt;=26))</f>
        <v>0</v>
      </c>
      <c r="BC82" s="199" t="n">
        <f aca="false" t="array" ref="BC82:BC82">SUMPRODUCT((LEFT('⑫ Roll-out Plan'!$E$10:$E$97,1)="C")*('⑫ Roll-out Plan'!$O$10:$O$97)*((('⑫ Roll-out Plan'!$G$10:$G$97-2025)*12+'⑫ Roll-out Plan'!$F$10:$F$97)&lt;=27))</f>
        <v>0</v>
      </c>
      <c r="BD82" s="199" t="n">
        <f aca="false" t="array" ref="BD82:BD82">SUMPRODUCT((LEFT('⑫ Roll-out Plan'!$E$10:$E$97,1)="C")*('⑫ Roll-out Plan'!$O$10:$O$97)*((('⑫ Roll-out Plan'!$G$10:$G$97-2025)*12+'⑫ Roll-out Plan'!$F$10:$F$97)&lt;=28))</f>
        <v>0</v>
      </c>
      <c r="BE82" s="199" t="n">
        <f aca="false" t="array" ref="BE82:BE82">SUMPRODUCT((LEFT('⑫ Roll-out Plan'!$E$10:$E$97,1)="C")*('⑫ Roll-out Plan'!$O$10:$O$97)*((('⑫ Roll-out Plan'!$G$10:$G$97-2025)*12+'⑫ Roll-out Plan'!$F$10:$F$97)&lt;=29))</f>
        <v>0</v>
      </c>
      <c r="BF82" s="199" t="n">
        <f aca="false" t="array" ref="BF82:BF82">SUMPRODUCT((LEFT('⑫ Roll-out Plan'!$E$10:$E$97,1)="C")*('⑫ Roll-out Plan'!$O$10:$O$97)*((('⑫ Roll-out Plan'!$G$10:$G$97-2025)*12+'⑫ Roll-out Plan'!$F$10:$F$97)&lt;=30))</f>
        <v>0</v>
      </c>
      <c r="BG82" s="199" t="n">
        <f aca="false" t="array" ref="BG82:BG82">SUMPRODUCT((LEFT('⑫ Roll-out Plan'!$E$10:$E$97,1)="C")*('⑫ Roll-out Plan'!$O$10:$O$97)*((('⑫ Roll-out Plan'!$G$10:$G$97-2025)*12+'⑫ Roll-out Plan'!$F$10:$F$97)&lt;=31))</f>
        <v>0</v>
      </c>
      <c r="BH82" s="199" t="n">
        <f aca="false" t="array" ref="BH82:BH82">SUMPRODUCT((LEFT('⑫ Roll-out Plan'!$E$10:$E$97,1)="C")*('⑫ Roll-out Plan'!$O$10:$O$97)*((('⑫ Roll-out Plan'!$G$10:$G$97-2025)*12+'⑫ Roll-out Plan'!$F$10:$F$97)&lt;=32))</f>
        <v>0</v>
      </c>
      <c r="BI82" s="199" t="n">
        <f aca="false" t="array" ref="BI82:BI82">SUMPRODUCT((LEFT('⑫ Roll-out Plan'!$E$10:$E$97,1)="C")*('⑫ Roll-out Plan'!$O$10:$O$97)*((('⑫ Roll-out Plan'!$G$10:$G$97-2025)*12+'⑫ Roll-out Plan'!$F$10:$F$97)&lt;=33))</f>
        <v>0</v>
      </c>
      <c r="BJ82" s="199" t="n">
        <f aca="false" t="array" ref="BJ82:BJ82">SUMPRODUCT((LEFT('⑫ Roll-out Plan'!$E$10:$E$97,1)="C")*('⑫ Roll-out Plan'!$O$10:$O$97)*((('⑫ Roll-out Plan'!$G$10:$G$97-2025)*12+'⑫ Roll-out Plan'!$F$10:$F$97)&lt;=34))</f>
        <v>0</v>
      </c>
      <c r="BK82" s="199" t="n">
        <f aca="false" t="array" ref="BK82:BK82">SUMPRODUCT((LEFT('⑫ Roll-out Plan'!$E$10:$E$97,1)="C")*('⑫ Roll-out Plan'!$O$10:$O$97)*((('⑫ Roll-out Plan'!$G$10:$G$97-2025)*12+'⑫ Roll-out Plan'!$F$10:$F$97)&lt;=35))</f>
        <v>0</v>
      </c>
      <c r="BL82" s="199" t="n">
        <f aca="false" t="array" ref="BL82:BL82">SUMPRODUCT((LEFT('⑫ Roll-out Plan'!$E$10:$E$97,1)="C")*('⑫ Roll-out Plan'!$O$10:$O$97)*((('⑫ Roll-out Plan'!$G$10:$G$97-2025)*12+'⑫ Roll-out Plan'!$F$10:$F$97)&lt;=36))</f>
        <v>0</v>
      </c>
      <c r="BM82" s="199" t="n">
        <f aca="false" t="array" ref="BM82:BM82">SUMPRODUCT((LEFT('⑫ Roll-out Plan'!$E$10:$E$97,1)="C")*('⑫ Roll-out Plan'!$O$10:$O$97)*((('⑫ Roll-out Plan'!$G$10:$G$97-2025)*12+'⑫ Roll-out Plan'!$F$10:$F$97)&lt;=37))</f>
        <v>0</v>
      </c>
      <c r="BN82" s="199" t="n">
        <f aca="false" t="array" ref="BN82:BN82">SUMPRODUCT((LEFT('⑫ Roll-out Plan'!$E$10:$E$97,1)="C")*('⑫ Roll-out Plan'!$O$10:$O$97)*((('⑫ Roll-out Plan'!$G$10:$G$97-2025)*12+'⑫ Roll-out Plan'!$F$10:$F$97)&lt;=38))</f>
        <v>0</v>
      </c>
      <c r="BO82" s="199" t="n">
        <f aca="false" t="array" ref="BO82:BO82">SUMPRODUCT((LEFT('⑫ Roll-out Plan'!$E$10:$E$97,1)="C")*('⑫ Roll-out Plan'!$O$10:$O$97)*((('⑫ Roll-out Plan'!$G$10:$G$97-2025)*12+'⑫ Roll-out Plan'!$F$10:$F$97)&lt;=39))</f>
        <v>0</v>
      </c>
      <c r="BP82" s="199" t="n">
        <f aca="false" t="array" ref="BP82:BP82">SUMPRODUCT((LEFT('⑫ Roll-out Plan'!$E$10:$E$97,1)="C")*('⑫ Roll-out Plan'!$O$10:$O$97)*((('⑫ Roll-out Plan'!$G$10:$G$97-2025)*12+'⑫ Roll-out Plan'!$F$10:$F$97)&lt;=40))</f>
        <v>0</v>
      </c>
      <c r="BQ82" s="199" t="n">
        <f aca="false" t="array" ref="BQ82:BQ82">SUMPRODUCT((LEFT('⑫ Roll-out Plan'!$E$10:$E$97,1)="C")*('⑫ Roll-out Plan'!$O$10:$O$97)*((('⑫ Roll-out Plan'!$G$10:$G$97-2025)*12+'⑫ Roll-out Plan'!$F$10:$F$97)&lt;=41))</f>
        <v>0</v>
      </c>
      <c r="BR82" s="199" t="n">
        <f aca="false" t="array" ref="BR82:BR82">SUMPRODUCT((LEFT('⑫ Roll-out Plan'!$E$10:$E$97,1)="C")*('⑫ Roll-out Plan'!$O$10:$O$97)*((('⑫ Roll-out Plan'!$G$10:$G$97-2025)*12+'⑫ Roll-out Plan'!$F$10:$F$97)&lt;=42))</f>
        <v>0</v>
      </c>
      <c r="BS82" s="199" t="n">
        <f aca="false" t="array" ref="BS82:BS82">SUMPRODUCT((LEFT('⑫ Roll-out Plan'!$E$10:$E$97,1)="C")*('⑫ Roll-out Plan'!$O$10:$O$97)*((('⑫ Roll-out Plan'!$G$10:$G$97-2025)*12+'⑫ Roll-out Plan'!$F$10:$F$97)&lt;=43))</f>
        <v>0</v>
      </c>
      <c r="BT82" s="199" t="n">
        <f aca="false" t="array" ref="BT82:BT82">SUMPRODUCT((LEFT('⑫ Roll-out Plan'!$E$10:$E$97,1)="C")*('⑫ Roll-out Plan'!$O$10:$O$97)*((('⑫ Roll-out Plan'!$G$10:$G$97-2025)*12+'⑫ Roll-out Plan'!$F$10:$F$97)&lt;=44))</f>
        <v>0</v>
      </c>
      <c r="BU82" s="199" t="n">
        <f aca="false" t="array" ref="BU82:BU82">SUMPRODUCT((LEFT('⑫ Roll-out Plan'!$E$10:$E$97,1)="C")*('⑫ Roll-out Plan'!$O$10:$O$97)*((('⑫ Roll-out Plan'!$G$10:$G$97-2025)*12+'⑫ Roll-out Plan'!$F$10:$F$97)&lt;=45))</f>
        <v>0</v>
      </c>
      <c r="BV82" s="199" t="n">
        <f aca="false" t="array" ref="BV82:BV82">SUMPRODUCT((LEFT('⑫ Roll-out Plan'!$E$10:$E$97,1)="C")*('⑫ Roll-out Plan'!$O$10:$O$97)*((('⑫ Roll-out Plan'!$G$10:$G$97-2025)*12+'⑫ Roll-out Plan'!$F$10:$F$97)&lt;=46))</f>
        <v>0</v>
      </c>
      <c r="BW82" s="199" t="n">
        <f aca="false" t="array" ref="BW82:BW82">SUMPRODUCT((LEFT('⑫ Roll-out Plan'!$E$10:$E$97,1)="C")*('⑫ Roll-out Plan'!$O$10:$O$97)*((('⑫ Roll-out Plan'!$G$10:$G$97-2025)*12+'⑫ Roll-out Plan'!$F$10:$F$97)&lt;=47))</f>
        <v>0</v>
      </c>
      <c r="BX82" s="199" t="n">
        <f aca="false" t="array" ref="BX82:BX82">SUMPRODUCT((LEFT('⑫ Roll-out Plan'!$E$10:$E$97,1)="C")*('⑫ Roll-out Plan'!$O$10:$O$97)*((('⑫ Roll-out Plan'!$G$10:$G$97-2025)*12+'⑫ Roll-out Plan'!$F$10:$F$97)&lt;=48))</f>
        <v>0</v>
      </c>
      <c r="BY82" s="199" t="n">
        <f aca="false" t="array" ref="BY82:BY82">SUMPRODUCT((LEFT('⑫ Roll-out Plan'!$E$10:$E$97,1)="C")*('⑫ Roll-out Plan'!$O$10:$O$97)*((('⑫ Roll-out Plan'!$G$10:$G$97-2025)*12+'⑫ Roll-out Plan'!$F$10:$F$97)&lt;=49))</f>
        <v>0</v>
      </c>
      <c r="BZ82" s="199" t="n">
        <f aca="false" t="array" ref="BZ82:BZ82">SUMPRODUCT((LEFT('⑫ Roll-out Plan'!$E$10:$E$97,1)="C")*('⑫ Roll-out Plan'!$O$10:$O$97)*((('⑫ Roll-out Plan'!$G$10:$G$97-2025)*12+'⑫ Roll-out Plan'!$F$10:$F$97)&lt;=50))</f>
        <v>0</v>
      </c>
      <c r="CA82" s="199" t="n">
        <f aca="false" t="array" ref="CA82:CA82">SUMPRODUCT((LEFT('⑫ Roll-out Plan'!$E$10:$E$97,1)="C")*('⑫ Roll-out Plan'!$O$10:$O$97)*((('⑫ Roll-out Plan'!$G$10:$G$97-2025)*12+'⑫ Roll-out Plan'!$F$10:$F$97)&lt;=51))</f>
        <v>0</v>
      </c>
      <c r="CB82" s="199" t="n">
        <f aca="false" t="array" ref="CB82:CB82">SUMPRODUCT((LEFT('⑫ Roll-out Plan'!$E$10:$E$97,1)="C")*('⑫ Roll-out Plan'!$O$10:$O$97)*((('⑫ Roll-out Plan'!$G$10:$G$97-2025)*12+'⑫ Roll-out Plan'!$F$10:$F$97)&lt;=52))</f>
        <v>0</v>
      </c>
      <c r="CC82" s="199" t="n">
        <f aca="false" t="array" ref="CC82:CC82">SUMPRODUCT((LEFT('⑫ Roll-out Plan'!$E$10:$E$97,1)="C")*('⑫ Roll-out Plan'!$O$10:$O$97)*((('⑫ Roll-out Plan'!$G$10:$G$97-2025)*12+'⑫ Roll-out Plan'!$F$10:$F$97)&lt;=53))</f>
        <v>0</v>
      </c>
      <c r="CD82" s="199" t="n">
        <f aca="false" t="array" ref="CD82:CD82">SUMPRODUCT((LEFT('⑫ Roll-out Plan'!$E$10:$E$97,1)="C")*('⑫ Roll-out Plan'!$O$10:$O$97)*((('⑫ Roll-out Plan'!$G$10:$G$97-2025)*12+'⑫ Roll-out Plan'!$F$10:$F$97)&lt;=54))</f>
        <v>0</v>
      </c>
      <c r="CE82" s="199" t="n">
        <f aca="false" t="array" ref="CE82:CE82">SUMPRODUCT((LEFT('⑫ Roll-out Plan'!$E$10:$E$97,1)="C")*('⑫ Roll-out Plan'!$O$10:$O$97)*((('⑫ Roll-out Plan'!$G$10:$G$97-2025)*12+'⑫ Roll-out Plan'!$F$10:$F$97)&lt;=55))</f>
        <v>0</v>
      </c>
      <c r="CF82" s="199" t="n">
        <f aca="false" t="array" ref="CF82:CF82">SUMPRODUCT((LEFT('⑫ Roll-out Plan'!$E$10:$E$97,1)="C")*('⑫ Roll-out Plan'!$O$10:$O$97)*((('⑫ Roll-out Plan'!$G$10:$G$97-2025)*12+'⑫ Roll-out Plan'!$F$10:$F$97)&lt;=56))</f>
        <v>1</v>
      </c>
      <c r="CG82" s="199" t="n">
        <f aca="false" t="array" ref="CG82:CG82">SUMPRODUCT((LEFT('⑫ Roll-out Plan'!$E$10:$E$97,1)="C")*('⑫ Roll-out Plan'!$O$10:$O$97)*((('⑫ Roll-out Plan'!$G$10:$G$97-2025)*12+'⑫ Roll-out Plan'!$F$10:$F$97)&lt;=57))</f>
        <v>1</v>
      </c>
      <c r="CH82" s="199" t="n">
        <f aca="false" t="array" ref="CH82:CH82">SUMPRODUCT((LEFT('⑫ Roll-out Plan'!$E$10:$E$97,1)="C")*('⑫ Roll-out Plan'!$O$10:$O$97)*((('⑫ Roll-out Plan'!$G$10:$G$97-2025)*12+'⑫ Roll-out Plan'!$F$10:$F$97)&lt;=58))</f>
        <v>1</v>
      </c>
      <c r="CI82" s="199" t="n">
        <f aca="false" t="array" ref="CI82:CI82">SUMPRODUCT((LEFT('⑫ Roll-out Plan'!$E$10:$E$97,1)="C")*('⑫ Roll-out Plan'!$O$10:$O$97)*((('⑫ Roll-out Plan'!$G$10:$G$97-2025)*12+'⑫ Roll-out Plan'!$F$10:$F$97)&lt;=59))</f>
        <v>1</v>
      </c>
      <c r="CJ82" s="199" t="n">
        <f aca="false" t="array" ref="CJ82:CJ82">SUMPRODUCT((LEFT('⑫ Roll-out Plan'!$E$10:$E$97,1)="C")*('⑫ Roll-out Plan'!$O$10:$O$97)*((('⑫ Roll-out Plan'!$G$10:$G$97-2025)*12+'⑫ Roll-out Plan'!$F$10:$F$97)&lt;=60))</f>
        <v>1</v>
      </c>
      <c r="CK82" s="199" t="n">
        <f aca="false" t="array" ref="CK82:CK82">SUMPRODUCT((LEFT('⑫ Roll-out Plan'!$E$10:$E$97,1)="C")*('⑫ Roll-out Plan'!$O$10:$O$97)*((('⑫ Roll-out Plan'!$G$10:$G$97-2025)*12+'⑫ Roll-out Plan'!$F$10:$F$97)&lt;=61))</f>
        <v>1</v>
      </c>
      <c r="CL82" s="199" t="n">
        <f aca="false" t="array" ref="CL82:CL82">SUMPRODUCT((LEFT('⑫ Roll-out Plan'!$E$10:$E$97,1)="C")*('⑫ Roll-out Plan'!$O$10:$O$97)*((('⑫ Roll-out Plan'!$G$10:$G$97-2025)*12+'⑫ Roll-out Plan'!$F$10:$F$97)&lt;=62))</f>
        <v>1</v>
      </c>
      <c r="CM82" s="199" t="n">
        <f aca="false" t="array" ref="CM82:CM82">SUMPRODUCT((LEFT('⑫ Roll-out Plan'!$E$10:$E$97,1)="C")*('⑫ Roll-out Plan'!$O$10:$O$97)*((('⑫ Roll-out Plan'!$G$10:$G$97-2025)*12+'⑫ Roll-out Plan'!$F$10:$F$97)&lt;=63))</f>
        <v>1</v>
      </c>
      <c r="CN82" s="199" t="n">
        <f aca="false" t="array" ref="CN82:CN82">SUMPRODUCT((LEFT('⑫ Roll-out Plan'!$E$10:$E$97,1)="C")*('⑫ Roll-out Plan'!$O$10:$O$97)*((('⑫ Roll-out Plan'!$G$10:$G$97-2025)*12+'⑫ Roll-out Plan'!$F$10:$F$97)&lt;=64))</f>
        <v>2</v>
      </c>
      <c r="CO82" s="199" t="n">
        <f aca="false" t="array" ref="CO82:CO82">SUMPRODUCT((LEFT('⑫ Roll-out Plan'!$E$10:$E$97,1)="C")*('⑫ Roll-out Plan'!$O$10:$O$97)*((('⑫ Roll-out Plan'!$G$10:$G$97-2025)*12+'⑫ Roll-out Plan'!$F$10:$F$97)&lt;=65))</f>
        <v>2</v>
      </c>
      <c r="CP82" s="199" t="n">
        <f aca="false" t="array" ref="CP82:CP82">SUMPRODUCT((LEFT('⑫ Roll-out Plan'!$E$10:$E$97,1)="C")*('⑫ Roll-out Plan'!$O$10:$O$97)*((('⑫ Roll-out Plan'!$G$10:$G$97-2025)*12+'⑫ Roll-out Plan'!$F$10:$F$97)&lt;=66))</f>
        <v>2</v>
      </c>
      <c r="CQ82" s="199" t="n">
        <f aca="false" t="array" ref="CQ82:CQ82">SUMPRODUCT((LEFT('⑫ Roll-out Plan'!$E$10:$E$97,1)="C")*('⑫ Roll-out Plan'!$O$10:$O$97)*((('⑫ Roll-out Plan'!$G$10:$G$97-2025)*12+'⑫ Roll-out Plan'!$F$10:$F$97)&lt;=67))</f>
        <v>2</v>
      </c>
      <c r="CR82" s="199" t="n">
        <f aca="false" t="array" ref="CR82:CR82">SUMPRODUCT((LEFT('⑫ Roll-out Plan'!$E$10:$E$97,1)="C")*('⑫ Roll-out Plan'!$O$10:$O$97)*((('⑫ Roll-out Plan'!$G$10:$G$97-2025)*12+'⑫ Roll-out Plan'!$F$10:$F$97)&lt;=68))</f>
        <v>2</v>
      </c>
      <c r="CS82" s="199" t="n">
        <f aca="false" t="array" ref="CS82:CS82">SUMPRODUCT((LEFT('⑫ Roll-out Plan'!$E$10:$E$97,1)="C")*('⑫ Roll-out Plan'!$O$10:$O$97)*((('⑫ Roll-out Plan'!$G$10:$G$97-2025)*12+'⑫ Roll-out Plan'!$F$10:$F$97)&lt;=69))</f>
        <v>2</v>
      </c>
      <c r="CT82" s="199" t="n">
        <f aca="false" t="array" ref="CT82:CT82">SUMPRODUCT((LEFT('⑫ Roll-out Plan'!$E$10:$E$97,1)="C")*('⑫ Roll-out Plan'!$O$10:$O$97)*((('⑫ Roll-out Plan'!$G$10:$G$97-2025)*12+'⑫ Roll-out Plan'!$F$10:$F$97)&lt;=70))</f>
        <v>2</v>
      </c>
      <c r="CU82" s="199" t="n">
        <f aca="false" t="array" ref="CU82:CU82">SUMPRODUCT((LEFT('⑫ Roll-out Plan'!$E$10:$E$97,1)="C")*('⑫ Roll-out Plan'!$O$10:$O$97)*((('⑫ Roll-out Plan'!$G$10:$G$97-2025)*12+'⑫ Roll-out Plan'!$F$10:$F$97)&lt;=71))</f>
        <v>2</v>
      </c>
      <c r="CV82" s="199" t="n">
        <f aca="false" t="array" ref="CV82:CV82">SUMPRODUCT((LEFT('⑫ Roll-out Plan'!$E$10:$E$97,1)="C")*('⑫ Roll-out Plan'!$O$10:$O$97)*((('⑫ Roll-out Plan'!$G$10:$G$97-2025)*12+'⑫ Roll-out Plan'!$F$10:$F$97)&lt;=72))</f>
        <v>2</v>
      </c>
      <c r="CW82" s="199" t="n">
        <f aca="false" t="array" ref="CW82:CW82">SUMPRODUCT((LEFT('⑫ Roll-out Plan'!$E$10:$E$97,1)="C")*('⑫ Roll-out Plan'!$O$10:$O$97)*((('⑫ Roll-out Plan'!$G$10:$G$97-2025)*12+'⑫ Roll-out Plan'!$F$10:$F$97)&lt;=73))</f>
        <v>2</v>
      </c>
      <c r="CX82" s="199" t="n">
        <f aca="false" t="array" ref="CX82:CX82">SUMPRODUCT((LEFT('⑫ Roll-out Plan'!$E$10:$E$97,1)="C")*('⑫ Roll-out Plan'!$O$10:$O$97)*((('⑫ Roll-out Plan'!$G$10:$G$97-2025)*12+'⑫ Roll-out Plan'!$F$10:$F$97)&lt;=74))</f>
        <v>3</v>
      </c>
      <c r="CY82" s="199" t="n">
        <f aca="false" t="array" ref="CY82:CY82">SUMPRODUCT((LEFT('⑫ Roll-out Plan'!$E$10:$E$97,1)="C")*('⑫ Roll-out Plan'!$O$10:$O$97)*((('⑫ Roll-out Plan'!$G$10:$G$97-2025)*12+'⑫ Roll-out Plan'!$F$10:$F$97)&lt;=75))</f>
        <v>3</v>
      </c>
      <c r="CZ82" s="199" t="n">
        <f aca="false" t="array" ref="CZ82:CZ82">SUMPRODUCT((LEFT('⑫ Roll-out Plan'!$E$10:$E$97,1)="C")*('⑫ Roll-out Plan'!$O$10:$O$97)*((('⑫ Roll-out Plan'!$G$10:$G$97-2025)*12+'⑫ Roll-out Plan'!$F$10:$F$97)&lt;=76))</f>
        <v>3</v>
      </c>
      <c r="DA82" s="199" t="n">
        <f aca="false" t="array" ref="DA82:DA82">SUMPRODUCT((LEFT('⑫ Roll-out Plan'!$E$10:$E$97,1)="C")*('⑫ Roll-out Plan'!$O$10:$O$97)*((('⑫ Roll-out Plan'!$G$10:$G$97-2025)*12+'⑫ Roll-out Plan'!$F$10:$F$97)&lt;=77))</f>
        <v>3</v>
      </c>
      <c r="DB82" s="199" t="n">
        <f aca="false" t="array" ref="DB82:DB82">SUMPRODUCT((LEFT('⑫ Roll-out Plan'!$E$10:$E$97,1)="C")*('⑫ Roll-out Plan'!$O$10:$O$97)*((('⑫ Roll-out Plan'!$G$10:$G$97-2025)*12+'⑫ Roll-out Plan'!$F$10:$F$97)&lt;=78))</f>
        <v>3</v>
      </c>
      <c r="DC82" s="199" t="n">
        <f aca="false" t="array" ref="DC82:DC82">SUMPRODUCT((LEFT('⑫ Roll-out Plan'!$E$10:$E$97,1)="C")*('⑫ Roll-out Plan'!$O$10:$O$97)*((('⑫ Roll-out Plan'!$G$10:$G$97-2025)*12+'⑫ Roll-out Plan'!$F$10:$F$97)&lt;=79))</f>
        <v>3</v>
      </c>
      <c r="DD82" s="199" t="n">
        <f aca="false" t="array" ref="DD82:DD82">SUMPRODUCT((LEFT('⑫ Roll-out Plan'!$E$10:$E$97,1)="C")*('⑫ Roll-out Plan'!$O$10:$O$97)*((('⑫ Roll-out Plan'!$G$10:$G$97-2025)*12+'⑫ Roll-out Plan'!$F$10:$F$97)&lt;=80))</f>
        <v>3</v>
      </c>
      <c r="DE82" s="199" t="n">
        <f aca="false" t="array" ref="DE82:DE82">SUMPRODUCT((LEFT('⑫ Roll-out Plan'!$E$10:$E$97,1)="C")*('⑫ Roll-out Plan'!$O$10:$O$97)*((('⑫ Roll-out Plan'!$G$10:$G$97-2025)*12+'⑫ Roll-out Plan'!$F$10:$F$97)&lt;=81))</f>
        <v>3</v>
      </c>
      <c r="DF82" s="199" t="n">
        <f aca="false" t="array" ref="DF82:DF82">SUMPRODUCT((LEFT('⑫ Roll-out Plan'!$E$10:$E$97,1)="C")*('⑫ Roll-out Plan'!$O$10:$O$97)*((('⑫ Roll-out Plan'!$G$10:$G$97-2025)*12+'⑫ Roll-out Plan'!$F$10:$F$97)&lt;=82))</f>
        <v>4</v>
      </c>
      <c r="DG82" s="199" t="n">
        <f aca="false" t="array" ref="DG82:DG82">SUMPRODUCT((LEFT('⑫ Roll-out Plan'!$E$10:$E$97,1)="C")*('⑫ Roll-out Plan'!$O$10:$O$97)*((('⑫ Roll-out Plan'!$G$10:$G$97-2025)*12+'⑫ Roll-out Plan'!$F$10:$F$97)&lt;=83))</f>
        <v>4</v>
      </c>
      <c r="DH82" s="199" t="n">
        <f aca="false" t="array" ref="DH82:DH82">SUMPRODUCT((LEFT('⑫ Roll-out Plan'!$E$10:$E$97,1)="C")*('⑫ Roll-out Plan'!$O$10:$O$97)*((('⑫ Roll-out Plan'!$G$10:$G$97-2025)*12+'⑫ Roll-out Plan'!$F$10:$F$97)&lt;=84))</f>
        <v>4</v>
      </c>
      <c r="DI82" s="199" t="n">
        <f aca="false" t="array" ref="DI82:DI82">SUMPRODUCT((LEFT('⑫ Roll-out Plan'!$E$10:$E$97,1)="C")*('⑫ Roll-out Plan'!$O$10:$O$97)*((('⑫ Roll-out Plan'!$G$10:$G$97-2025)*12+'⑫ Roll-out Plan'!$F$10:$F$97)&lt;=85))</f>
        <v>4</v>
      </c>
      <c r="DJ82" s="199" t="n">
        <f aca="false" t="array" ref="DJ82:DJ82">SUMPRODUCT((LEFT('⑫ Roll-out Plan'!$E$10:$E$97,1)="C")*('⑫ Roll-out Plan'!$O$10:$O$97)*((('⑫ Roll-out Plan'!$G$10:$G$97-2025)*12+'⑫ Roll-out Plan'!$F$10:$F$97)&lt;=86))</f>
        <v>4</v>
      </c>
      <c r="DK82" s="199" t="n">
        <f aca="false" t="array" ref="DK82:DK82">SUMPRODUCT((LEFT('⑫ Roll-out Plan'!$E$10:$E$97,1)="C")*('⑫ Roll-out Plan'!$O$10:$O$97)*((('⑫ Roll-out Plan'!$G$10:$G$97-2025)*12+'⑫ Roll-out Plan'!$F$10:$F$97)&lt;=87))</f>
        <v>4</v>
      </c>
      <c r="DL82" s="199" t="n">
        <f aca="false" t="array" ref="DL82:DL82">SUMPRODUCT((LEFT('⑫ Roll-out Plan'!$E$10:$E$97,1)="C")*('⑫ Roll-out Plan'!$O$10:$O$97)*((('⑫ Roll-out Plan'!$G$10:$G$97-2025)*12+'⑫ Roll-out Plan'!$F$10:$F$97)&lt;=88))</f>
        <v>4</v>
      </c>
      <c r="DM82" s="199" t="n">
        <f aca="false" t="array" ref="DM82:DM82">SUMPRODUCT((LEFT('⑫ Roll-out Plan'!$E$10:$E$97,1)="C")*('⑫ Roll-out Plan'!$O$10:$O$97)*((('⑫ Roll-out Plan'!$G$10:$G$97-2025)*12+'⑫ Roll-out Plan'!$F$10:$F$97)&lt;=89))</f>
        <v>4</v>
      </c>
      <c r="DN82" s="199" t="n">
        <f aca="false" t="array" ref="DN82:DN82">SUMPRODUCT((LEFT('⑫ Roll-out Plan'!$E$10:$E$97,1)="C")*('⑫ Roll-out Plan'!$O$10:$O$97)*((('⑫ Roll-out Plan'!$G$10:$G$97-2025)*12+'⑫ Roll-out Plan'!$F$10:$F$97)&lt;=90))</f>
        <v>4</v>
      </c>
      <c r="DO82" s="199" t="n">
        <f aca="false" t="array" ref="DO82:DO82">SUMPRODUCT((LEFT('⑫ Roll-out Plan'!$E$10:$E$97,1)="C")*('⑫ Roll-out Plan'!$O$10:$O$97)*((('⑫ Roll-out Plan'!$G$10:$G$97-2025)*12+'⑫ Roll-out Plan'!$F$10:$F$97)&lt;=91))</f>
        <v>4</v>
      </c>
      <c r="DP82" s="199" t="n">
        <f aca="false" t="array" ref="DP82:DP82">SUMPRODUCT((LEFT('⑫ Roll-out Plan'!$E$10:$E$97,1)="C")*('⑫ Roll-out Plan'!$O$10:$O$97)*((('⑫ Roll-out Plan'!$G$10:$G$97-2025)*12+'⑫ Roll-out Plan'!$F$10:$F$97)&lt;=92))</f>
        <v>4</v>
      </c>
      <c r="DQ82" s="199" t="n">
        <f aca="false" t="array" ref="DQ82:DQ82">SUMPRODUCT((LEFT('⑫ Roll-out Plan'!$E$10:$E$97,1)="C")*('⑫ Roll-out Plan'!$O$10:$O$97)*((('⑫ Roll-out Plan'!$G$10:$G$97-2025)*12+'⑫ Roll-out Plan'!$F$10:$F$97)&lt;=93))</f>
        <v>4</v>
      </c>
      <c r="DR82" s="199" t="n">
        <f aca="false" t="array" ref="DR82:DR82">SUMPRODUCT((LEFT('⑫ Roll-out Plan'!$E$10:$E$97,1)="C")*('⑫ Roll-out Plan'!$O$10:$O$97)*((('⑫ Roll-out Plan'!$G$10:$G$97-2025)*12+'⑫ Roll-out Plan'!$F$10:$F$97)&lt;=94))</f>
        <v>4</v>
      </c>
      <c r="DS82" s="199" t="n">
        <f aca="false" t="array" ref="DS82:DS82">SUMPRODUCT((LEFT('⑫ Roll-out Plan'!$E$10:$E$97,1)="C")*('⑫ Roll-out Plan'!$O$10:$O$97)*((('⑫ Roll-out Plan'!$G$10:$G$97-2025)*12+'⑫ Roll-out Plan'!$F$10:$F$97)&lt;=95))</f>
        <v>4</v>
      </c>
      <c r="DT82" s="199" t="n">
        <f aca="false" t="array" ref="DT82:DT82">SUMPRODUCT((LEFT('⑫ Roll-out Plan'!$E$10:$E$97,1)="C")*('⑫ Roll-out Plan'!$O$10:$O$97)*((('⑫ Roll-out Plan'!$G$10:$G$97-2025)*12+'⑫ Roll-out Plan'!$F$10:$F$97)&lt;=96))</f>
        <v>4</v>
      </c>
      <c r="DU82" s="199" t="n">
        <f aca="false" t="array" ref="DU82:DU82">SUMPRODUCT((LEFT('⑫ Roll-out Plan'!$E$10:$E$97,1)="C")*('⑫ Roll-out Plan'!$O$10:$O$97)*((('⑫ Roll-out Plan'!$G$10:$G$97-2025)*12+'⑫ Roll-out Plan'!$F$10:$F$97)&lt;=97))</f>
        <v>5</v>
      </c>
      <c r="DV82" s="199" t="n">
        <f aca="false" t="array" ref="DV82:DV82">SUMPRODUCT((LEFT('⑫ Roll-out Plan'!$E$10:$E$97,1)="C")*('⑫ Roll-out Plan'!$O$10:$O$97)*((('⑫ Roll-out Plan'!$G$10:$G$97-2025)*12+'⑫ Roll-out Plan'!$F$10:$F$97)&lt;=98))</f>
        <v>5</v>
      </c>
      <c r="DW82" s="199" t="n">
        <f aca="false" t="array" ref="DW82:DW82">SUMPRODUCT((LEFT('⑫ Roll-out Plan'!$E$10:$E$97,1)="C")*('⑫ Roll-out Plan'!$O$10:$O$97)*((('⑫ Roll-out Plan'!$G$10:$G$97-2025)*12+'⑫ Roll-out Plan'!$F$10:$F$97)&lt;=99))</f>
        <v>5</v>
      </c>
      <c r="DX82" s="199" t="n">
        <f aca="false" t="array" ref="DX82:DX82">SUMPRODUCT((LEFT('⑫ Roll-out Plan'!$E$10:$E$97,1)="C")*('⑫ Roll-out Plan'!$O$10:$O$97)*((('⑫ Roll-out Plan'!$G$10:$G$97-2025)*12+'⑫ Roll-out Plan'!$F$10:$F$97)&lt;=100))</f>
        <v>5</v>
      </c>
      <c r="DY82" s="199" t="n">
        <f aca="false" t="array" ref="DY82:DY82">SUMPRODUCT((LEFT('⑫ Roll-out Plan'!$E$10:$E$97,1)="C")*('⑫ Roll-out Plan'!$O$10:$O$97)*((('⑫ Roll-out Plan'!$G$10:$G$97-2025)*12+'⑫ Roll-out Plan'!$F$10:$F$97)&lt;=101))</f>
        <v>6</v>
      </c>
      <c r="DZ82" s="199" t="n">
        <f aca="false" t="array" ref="DZ82:DZ82">SUMPRODUCT((LEFT('⑫ Roll-out Plan'!$E$10:$E$97,1)="C")*('⑫ Roll-out Plan'!$O$10:$O$97)*((('⑫ Roll-out Plan'!$G$10:$G$97-2025)*12+'⑫ Roll-out Plan'!$F$10:$F$97)&lt;=102))</f>
        <v>6</v>
      </c>
      <c r="EA82" s="199" t="n">
        <f aca="false" t="array" ref="EA82:EA82">SUMPRODUCT((LEFT('⑫ Roll-out Plan'!$E$10:$E$97,1)="C")*('⑫ Roll-out Plan'!$O$10:$O$97)*((('⑫ Roll-out Plan'!$G$10:$G$97-2025)*12+'⑫ Roll-out Plan'!$F$10:$F$97)&lt;=103))</f>
        <v>6</v>
      </c>
      <c r="EB82" s="199" t="n">
        <f aca="false" t="array" ref="EB82:EB82">SUMPRODUCT((LEFT('⑫ Roll-out Plan'!$E$10:$E$97,1)="C")*('⑫ Roll-out Plan'!$O$10:$O$97)*((('⑫ Roll-out Plan'!$G$10:$G$97-2025)*12+'⑫ Roll-out Plan'!$F$10:$F$97)&lt;=104))</f>
        <v>6</v>
      </c>
      <c r="EC82" s="199" t="n">
        <f aca="false" t="array" ref="EC82:EC82">SUMPRODUCT((LEFT('⑫ Roll-out Plan'!$E$10:$E$97,1)="C")*('⑫ Roll-out Plan'!$O$10:$O$97)*((('⑫ Roll-out Plan'!$G$10:$G$97-2025)*12+'⑫ Roll-out Plan'!$F$10:$F$97)&lt;=105))</f>
        <v>6</v>
      </c>
      <c r="ED82" s="199" t="n">
        <f aca="false" t="array" ref="ED82:ED82">SUMPRODUCT((LEFT('⑫ Roll-out Plan'!$E$10:$E$97,1)="C")*('⑫ Roll-out Plan'!$O$10:$O$97)*((('⑫ Roll-out Plan'!$G$10:$G$97-2025)*12+'⑫ Roll-out Plan'!$F$10:$F$97)&lt;=106))</f>
        <v>7</v>
      </c>
      <c r="EE82" s="199" t="n">
        <f aca="false" t="array" ref="EE82:EE82">SUMPRODUCT((LEFT('⑫ Roll-out Plan'!$E$10:$E$97,1)="C")*('⑫ Roll-out Plan'!$O$10:$O$97)*((('⑫ Roll-out Plan'!$G$10:$G$97-2025)*12+'⑫ Roll-out Plan'!$F$10:$F$97)&lt;=107))</f>
        <v>8</v>
      </c>
      <c r="EF82" s="199" t="n">
        <f aca="false" t="array" ref="EF82:EF82">SUMPRODUCT((LEFT('⑫ Roll-out Plan'!$E$10:$E$97,1)="C")*('⑫ Roll-out Plan'!$O$10:$O$97)*((('⑫ Roll-out Plan'!$G$10:$G$97-2025)*12+'⑫ Roll-out Plan'!$F$10:$F$97)&lt;=108))</f>
        <v>8</v>
      </c>
      <c r="EG82" s="199" t="n">
        <f aca="false" t="array" ref="EG82:EG82">SUMPRODUCT((LEFT('⑫ Roll-out Plan'!$E$10:$E$97,1)="C")*('⑫ Roll-out Plan'!$O$10:$O$97)*((('⑫ Roll-out Plan'!$G$10:$G$97-2025)*12+'⑫ Roll-out Plan'!$F$10:$F$97)&lt;=109))</f>
        <v>8</v>
      </c>
      <c r="EH82" s="199" t="n">
        <f aca="false" t="array" ref="EH82:EH82">SUMPRODUCT((LEFT('⑫ Roll-out Plan'!$E$10:$E$97,1)="C")*('⑫ Roll-out Plan'!$O$10:$O$97)*((('⑫ Roll-out Plan'!$G$10:$G$97-2025)*12+'⑫ Roll-out Plan'!$F$10:$F$97)&lt;=110))</f>
        <v>9</v>
      </c>
      <c r="EI82" s="199" t="n">
        <f aca="false" t="array" ref="EI82:EI82">SUMPRODUCT((LEFT('⑫ Roll-out Plan'!$E$10:$E$97,1)="C")*('⑫ Roll-out Plan'!$O$10:$O$97)*((('⑫ Roll-out Plan'!$G$10:$G$97-2025)*12+'⑫ Roll-out Plan'!$F$10:$F$97)&lt;=111))</f>
        <v>10</v>
      </c>
      <c r="EJ82" s="199" t="n">
        <f aca="false" t="array" ref="EJ82:EJ82">SUMPRODUCT((LEFT('⑫ Roll-out Plan'!$E$10:$E$97,1)="C")*('⑫ Roll-out Plan'!$O$10:$O$97)*((('⑫ Roll-out Plan'!$G$10:$G$97-2025)*12+'⑫ Roll-out Plan'!$F$10:$F$97)&lt;=112))</f>
        <v>11</v>
      </c>
      <c r="EK82" s="199" t="n">
        <f aca="false" t="array" ref="EK82:EK82">SUMPRODUCT((LEFT('⑫ Roll-out Plan'!$E$10:$E$97,1)="C")*('⑫ Roll-out Plan'!$O$10:$O$97)*((('⑫ Roll-out Plan'!$G$10:$G$97-2025)*12+'⑫ Roll-out Plan'!$F$10:$F$97)&lt;=113))</f>
        <v>11</v>
      </c>
      <c r="EL82" s="199" t="n">
        <f aca="false" t="array" ref="EL82:EL82">SUMPRODUCT((LEFT('⑫ Roll-out Plan'!$E$10:$E$97,1)="C")*('⑫ Roll-out Plan'!$O$10:$O$97)*((('⑫ Roll-out Plan'!$G$10:$G$97-2025)*12+'⑫ Roll-out Plan'!$F$10:$F$97)&lt;=114))</f>
        <v>12</v>
      </c>
      <c r="EM82" s="199" t="n">
        <f aca="false" t="array" ref="EM82:EM82">SUMPRODUCT((LEFT('⑫ Roll-out Plan'!$E$10:$E$97,1)="C")*('⑫ Roll-out Plan'!$O$10:$O$97)*((('⑫ Roll-out Plan'!$G$10:$G$97-2025)*12+'⑫ Roll-out Plan'!$F$10:$F$97)&lt;=115))</f>
        <v>12</v>
      </c>
      <c r="EN82" s="199" t="n">
        <f aca="false" t="array" ref="EN82:EN82">SUMPRODUCT((LEFT('⑫ Roll-out Plan'!$E$10:$E$97,1)="C")*('⑫ Roll-out Plan'!$O$10:$O$97)*((('⑫ Roll-out Plan'!$G$10:$G$97-2025)*12+'⑫ Roll-out Plan'!$F$10:$F$97)&lt;=116))</f>
        <v>13</v>
      </c>
      <c r="EO82" s="199" t="n">
        <f aca="false" t="array" ref="EO82:EO82">SUMPRODUCT((LEFT('⑫ Roll-out Plan'!$E$10:$E$97,1)="C")*('⑫ Roll-out Plan'!$O$10:$O$97)*((('⑫ Roll-out Plan'!$G$10:$G$97-2025)*12+'⑫ Roll-out Plan'!$F$10:$F$97)&lt;=117))</f>
        <v>14</v>
      </c>
      <c r="EP82" s="199" t="n">
        <f aca="false" t="array" ref="EP82:EP82">SUMPRODUCT((LEFT('⑫ Roll-out Plan'!$E$10:$E$97,1)="C")*('⑫ Roll-out Plan'!$O$10:$O$97)*((('⑫ Roll-out Plan'!$G$10:$G$97-2025)*12+'⑫ Roll-out Plan'!$F$10:$F$97)&lt;=118))</f>
        <v>14</v>
      </c>
      <c r="EQ82" s="199" t="n">
        <f aca="false" t="array" ref="EQ82:EQ82">SUMPRODUCT((LEFT('⑫ Roll-out Plan'!$E$10:$E$97,1)="C")*('⑫ Roll-out Plan'!$O$10:$O$97)*((('⑫ Roll-out Plan'!$G$10:$G$97-2025)*12+'⑫ Roll-out Plan'!$F$10:$F$97)&lt;=119))</f>
        <v>14</v>
      </c>
      <c r="ER82" s="199" t="n">
        <f aca="false" t="array" ref="ER82:ER82">SUMPRODUCT((LEFT('⑫ Roll-out Plan'!$E$10:$E$97,1)="C")*('⑫ Roll-out Plan'!$O$10:$O$97)*((('⑫ Roll-out Plan'!$G$10:$G$97-2025)*12+'⑫ Roll-out Plan'!$F$10:$F$97)&lt;=120))</f>
        <v>14</v>
      </c>
    </row>
    <row r="83" customFormat="false" ht="15" hidden="false" customHeight="false" outlineLevel="0" collapsed="false">
      <c r="B83" s="18" t="s">
        <v>1191</v>
      </c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99" t="n">
        <f aca="false" t="array" ref="AC83:AC83">SUMPRODUCT((LEFT('⑫ Roll-out Plan'!$E$10:$E$97,1)="D")*('⑫ Roll-out Plan'!$O$10:$O$97)*((('⑫ Roll-out Plan'!$G$10:$G$97-2025)*12+'⑫ Roll-out Plan'!$F$10:$F$97)&lt;=1))</f>
        <v>0</v>
      </c>
      <c r="AD83" s="199" t="n">
        <f aca="false" t="array" ref="AD83:AD83">SUMPRODUCT((LEFT('⑫ Roll-out Plan'!$E$10:$E$97,1)="D")*('⑫ Roll-out Plan'!$O$10:$O$97)*((('⑫ Roll-out Plan'!$G$10:$G$97-2025)*12+'⑫ Roll-out Plan'!$F$10:$F$97)&lt;=2))</f>
        <v>1</v>
      </c>
      <c r="AE83" s="199" t="n">
        <f aca="false" t="array" ref="AE83:AE83">SUMPRODUCT((LEFT('⑫ Roll-out Plan'!$E$10:$E$97,1)="D")*('⑫ Roll-out Plan'!$O$10:$O$97)*((('⑫ Roll-out Plan'!$G$10:$G$97-2025)*12+'⑫ Roll-out Plan'!$F$10:$F$97)&lt;=3))</f>
        <v>1</v>
      </c>
      <c r="AF83" s="199" t="n">
        <f aca="false" t="array" ref="AF83:AF83">SUMPRODUCT((LEFT('⑫ Roll-out Plan'!$E$10:$E$97,1)="D")*('⑫ Roll-out Plan'!$O$10:$O$97)*((('⑫ Roll-out Plan'!$G$10:$G$97-2025)*12+'⑫ Roll-out Plan'!$F$10:$F$97)&lt;=4))</f>
        <v>1</v>
      </c>
      <c r="AG83" s="199" t="n">
        <f aca="false" t="array" ref="AG83:AG83">SUMPRODUCT((LEFT('⑫ Roll-out Plan'!$E$10:$E$97,1)="D")*('⑫ Roll-out Plan'!$O$10:$O$97)*((('⑫ Roll-out Plan'!$G$10:$G$97-2025)*12+'⑫ Roll-out Plan'!$F$10:$F$97)&lt;=5))</f>
        <v>1</v>
      </c>
      <c r="AH83" s="199" t="n">
        <f aca="false" t="array" ref="AH83:AH83">SUMPRODUCT((LEFT('⑫ Roll-out Plan'!$E$10:$E$97,1)="D")*('⑫ Roll-out Plan'!$O$10:$O$97)*((('⑫ Roll-out Plan'!$G$10:$G$97-2025)*12+'⑫ Roll-out Plan'!$F$10:$F$97)&lt;=6))</f>
        <v>1</v>
      </c>
      <c r="AI83" s="199" t="n">
        <f aca="false" t="array" ref="AI83:AI83">SUMPRODUCT((LEFT('⑫ Roll-out Plan'!$E$10:$E$97,1)="D")*('⑫ Roll-out Plan'!$O$10:$O$97)*((('⑫ Roll-out Plan'!$G$10:$G$97-2025)*12+'⑫ Roll-out Plan'!$F$10:$F$97)&lt;=7))</f>
        <v>1</v>
      </c>
      <c r="AJ83" s="199" t="n">
        <f aca="false" t="array" ref="AJ83:AJ83">SUMPRODUCT((LEFT('⑫ Roll-out Plan'!$E$10:$E$97,1)="D")*('⑫ Roll-out Plan'!$O$10:$O$97)*((('⑫ Roll-out Plan'!$G$10:$G$97-2025)*12+'⑫ Roll-out Plan'!$F$10:$F$97)&lt;=8))</f>
        <v>1</v>
      </c>
      <c r="AK83" s="199" t="n">
        <f aca="false" t="array" ref="AK83:AK83">SUMPRODUCT((LEFT('⑫ Roll-out Plan'!$E$10:$E$97,1)="D")*('⑫ Roll-out Plan'!$O$10:$O$97)*((('⑫ Roll-out Plan'!$G$10:$G$97-2025)*12+'⑫ Roll-out Plan'!$F$10:$F$97)&lt;=9))</f>
        <v>1</v>
      </c>
      <c r="AL83" s="199" t="n">
        <f aca="false" t="array" ref="AL83:AL83">SUMPRODUCT((LEFT('⑫ Roll-out Plan'!$E$10:$E$97,1)="D")*('⑫ Roll-out Plan'!$O$10:$O$97)*((('⑫ Roll-out Plan'!$G$10:$G$97-2025)*12+'⑫ Roll-out Plan'!$F$10:$F$97)&lt;=10))</f>
        <v>1</v>
      </c>
      <c r="AM83" s="199" t="n">
        <f aca="false" t="array" ref="AM83:AM83">SUMPRODUCT((LEFT('⑫ Roll-out Plan'!$E$10:$E$97,1)="D")*('⑫ Roll-out Plan'!$O$10:$O$97)*((('⑫ Roll-out Plan'!$G$10:$G$97-2025)*12+'⑫ Roll-out Plan'!$F$10:$F$97)&lt;=11))</f>
        <v>1</v>
      </c>
      <c r="AN83" s="199" t="n">
        <f aca="false" t="array" ref="AN83:AN83">SUMPRODUCT((LEFT('⑫ Roll-out Plan'!$E$10:$E$97,1)="D")*('⑫ Roll-out Plan'!$O$10:$O$97)*((('⑫ Roll-out Plan'!$G$10:$G$97-2025)*12+'⑫ Roll-out Plan'!$F$10:$F$97)&lt;=12))</f>
        <v>1</v>
      </c>
      <c r="AO83" s="199" t="n">
        <f aca="false" t="array" ref="AO83:AO83">SUMPRODUCT((LEFT('⑫ Roll-out Plan'!$E$10:$E$97,1)="D")*('⑫ Roll-out Plan'!$O$10:$O$97)*((('⑫ Roll-out Plan'!$G$10:$G$97-2025)*12+'⑫ Roll-out Plan'!$F$10:$F$97)&lt;=13))</f>
        <v>1</v>
      </c>
      <c r="AP83" s="199" t="n">
        <f aca="false" t="array" ref="AP83:AP83">SUMPRODUCT((LEFT('⑫ Roll-out Plan'!$E$10:$E$97,1)="D")*('⑫ Roll-out Plan'!$O$10:$O$97)*((('⑫ Roll-out Plan'!$G$10:$G$97-2025)*12+'⑫ Roll-out Plan'!$F$10:$F$97)&lt;=14))</f>
        <v>1</v>
      </c>
      <c r="AQ83" s="199" t="n">
        <f aca="false" t="array" ref="AQ83:AQ83">SUMPRODUCT((LEFT('⑫ Roll-out Plan'!$E$10:$E$97,1)="D")*('⑫ Roll-out Plan'!$O$10:$O$97)*((('⑫ Roll-out Plan'!$G$10:$G$97-2025)*12+'⑫ Roll-out Plan'!$F$10:$F$97)&lt;=15))</f>
        <v>1</v>
      </c>
      <c r="AR83" s="199" t="n">
        <f aca="false" t="array" ref="AR83:AR83">SUMPRODUCT((LEFT('⑫ Roll-out Plan'!$E$10:$E$97,1)="D")*('⑫ Roll-out Plan'!$O$10:$O$97)*((('⑫ Roll-out Plan'!$G$10:$G$97-2025)*12+'⑫ Roll-out Plan'!$F$10:$F$97)&lt;=16))</f>
        <v>1</v>
      </c>
      <c r="AS83" s="199" t="n">
        <f aca="false" t="array" ref="AS83:AS83">SUMPRODUCT((LEFT('⑫ Roll-out Plan'!$E$10:$E$97,1)="D")*('⑫ Roll-out Plan'!$O$10:$O$97)*((('⑫ Roll-out Plan'!$G$10:$G$97-2025)*12+'⑫ Roll-out Plan'!$F$10:$F$97)&lt;=17))</f>
        <v>1</v>
      </c>
      <c r="AT83" s="199" t="n">
        <f aca="false" t="array" ref="AT83:AT83">SUMPRODUCT((LEFT('⑫ Roll-out Plan'!$E$10:$E$97,1)="D")*('⑫ Roll-out Plan'!$O$10:$O$97)*((('⑫ Roll-out Plan'!$G$10:$G$97-2025)*12+'⑫ Roll-out Plan'!$F$10:$F$97)&lt;=18))</f>
        <v>1</v>
      </c>
      <c r="AU83" s="199" t="n">
        <f aca="false" t="array" ref="AU83:AU83">SUMPRODUCT((LEFT('⑫ Roll-out Plan'!$E$10:$E$97,1)="D")*('⑫ Roll-out Plan'!$O$10:$O$97)*((('⑫ Roll-out Plan'!$G$10:$G$97-2025)*12+'⑫ Roll-out Plan'!$F$10:$F$97)&lt;=19))</f>
        <v>1</v>
      </c>
      <c r="AV83" s="199" t="n">
        <f aca="false" t="array" ref="AV83:AV83">SUMPRODUCT((LEFT('⑫ Roll-out Plan'!$E$10:$E$97,1)="D")*('⑫ Roll-out Plan'!$O$10:$O$97)*((('⑫ Roll-out Plan'!$G$10:$G$97-2025)*12+'⑫ Roll-out Plan'!$F$10:$F$97)&lt;=20))</f>
        <v>1</v>
      </c>
      <c r="AW83" s="199" t="n">
        <f aca="false" t="array" ref="AW83:AW83">SUMPRODUCT((LEFT('⑫ Roll-out Plan'!$E$10:$E$97,1)="D")*('⑫ Roll-out Plan'!$O$10:$O$97)*((('⑫ Roll-out Plan'!$G$10:$G$97-2025)*12+'⑫ Roll-out Plan'!$F$10:$F$97)&lt;=21))</f>
        <v>1</v>
      </c>
      <c r="AX83" s="199" t="n">
        <f aca="false" t="array" ref="AX83:AX83">SUMPRODUCT((LEFT('⑫ Roll-out Plan'!$E$10:$E$97,1)="D")*('⑫ Roll-out Plan'!$O$10:$O$97)*((('⑫ Roll-out Plan'!$G$10:$G$97-2025)*12+'⑫ Roll-out Plan'!$F$10:$F$97)&lt;=22))</f>
        <v>1</v>
      </c>
      <c r="AY83" s="199" t="n">
        <f aca="false" t="array" ref="AY83:AY83">SUMPRODUCT((LEFT('⑫ Roll-out Plan'!$E$10:$E$97,1)="D")*('⑫ Roll-out Plan'!$O$10:$O$97)*((('⑫ Roll-out Plan'!$G$10:$G$97-2025)*12+'⑫ Roll-out Plan'!$F$10:$F$97)&lt;=23))</f>
        <v>1</v>
      </c>
      <c r="AZ83" s="199" t="n">
        <f aca="false" t="array" ref="AZ83:AZ83">SUMPRODUCT((LEFT('⑫ Roll-out Plan'!$E$10:$E$97,1)="D")*('⑫ Roll-out Plan'!$O$10:$O$97)*((('⑫ Roll-out Plan'!$G$10:$G$97-2025)*12+'⑫ Roll-out Plan'!$F$10:$F$97)&lt;=24))</f>
        <v>1</v>
      </c>
      <c r="BA83" s="199" t="n">
        <f aca="false" t="array" ref="BA83:BA83">SUMPRODUCT((LEFT('⑫ Roll-out Plan'!$E$10:$E$97,1)="D")*('⑫ Roll-out Plan'!$O$10:$O$97)*((('⑫ Roll-out Plan'!$G$10:$G$97-2025)*12+'⑫ Roll-out Plan'!$F$10:$F$97)&lt;=25))</f>
        <v>1</v>
      </c>
      <c r="BB83" s="199" t="n">
        <f aca="false" t="array" ref="BB83:BB83">SUMPRODUCT((LEFT('⑫ Roll-out Plan'!$E$10:$E$97,1)="D")*('⑫ Roll-out Plan'!$O$10:$O$97)*((('⑫ Roll-out Plan'!$G$10:$G$97-2025)*12+'⑫ Roll-out Plan'!$F$10:$F$97)&lt;=26))</f>
        <v>1</v>
      </c>
      <c r="BC83" s="199" t="n">
        <f aca="false" t="array" ref="BC83:BC83">SUMPRODUCT((LEFT('⑫ Roll-out Plan'!$E$10:$E$97,1)="D")*('⑫ Roll-out Plan'!$O$10:$O$97)*((('⑫ Roll-out Plan'!$G$10:$G$97-2025)*12+'⑫ Roll-out Plan'!$F$10:$F$97)&lt;=27))</f>
        <v>1</v>
      </c>
      <c r="BD83" s="199" t="n">
        <f aca="false" t="array" ref="BD83:BD83">SUMPRODUCT((LEFT('⑫ Roll-out Plan'!$E$10:$E$97,1)="D")*('⑫ Roll-out Plan'!$O$10:$O$97)*((('⑫ Roll-out Plan'!$G$10:$G$97-2025)*12+'⑫ Roll-out Plan'!$F$10:$F$97)&lt;=28))</f>
        <v>1</v>
      </c>
      <c r="BE83" s="199" t="n">
        <f aca="false" t="array" ref="BE83:BE83">SUMPRODUCT((LEFT('⑫ Roll-out Plan'!$E$10:$E$97,1)="D")*('⑫ Roll-out Plan'!$O$10:$O$97)*((('⑫ Roll-out Plan'!$G$10:$G$97-2025)*12+'⑫ Roll-out Plan'!$F$10:$F$97)&lt;=29))</f>
        <v>1</v>
      </c>
      <c r="BF83" s="199" t="n">
        <f aca="false" t="array" ref="BF83:BF83">SUMPRODUCT((LEFT('⑫ Roll-out Plan'!$E$10:$E$97,1)="D")*('⑫ Roll-out Plan'!$O$10:$O$97)*((('⑫ Roll-out Plan'!$G$10:$G$97-2025)*12+'⑫ Roll-out Plan'!$F$10:$F$97)&lt;=30))</f>
        <v>1</v>
      </c>
      <c r="BG83" s="199" t="n">
        <f aca="false" t="array" ref="BG83:BG83">SUMPRODUCT((LEFT('⑫ Roll-out Plan'!$E$10:$E$97,1)="D")*('⑫ Roll-out Plan'!$O$10:$O$97)*((('⑫ Roll-out Plan'!$G$10:$G$97-2025)*12+'⑫ Roll-out Plan'!$F$10:$F$97)&lt;=31))</f>
        <v>1</v>
      </c>
      <c r="BH83" s="199" t="n">
        <f aca="false" t="array" ref="BH83:BH83">SUMPRODUCT((LEFT('⑫ Roll-out Plan'!$E$10:$E$97,1)="D")*('⑫ Roll-out Plan'!$O$10:$O$97)*((('⑫ Roll-out Plan'!$G$10:$G$97-2025)*12+'⑫ Roll-out Plan'!$F$10:$F$97)&lt;=32))</f>
        <v>1</v>
      </c>
      <c r="BI83" s="199" t="n">
        <f aca="false" t="array" ref="BI83:BI83">SUMPRODUCT((LEFT('⑫ Roll-out Plan'!$E$10:$E$97,1)="D")*('⑫ Roll-out Plan'!$O$10:$O$97)*((('⑫ Roll-out Plan'!$G$10:$G$97-2025)*12+'⑫ Roll-out Plan'!$F$10:$F$97)&lt;=33))</f>
        <v>1</v>
      </c>
      <c r="BJ83" s="199" t="n">
        <f aca="false" t="array" ref="BJ83:BJ83">SUMPRODUCT((LEFT('⑫ Roll-out Plan'!$E$10:$E$97,1)="D")*('⑫ Roll-out Plan'!$O$10:$O$97)*((('⑫ Roll-out Plan'!$G$10:$G$97-2025)*12+'⑫ Roll-out Plan'!$F$10:$F$97)&lt;=34))</f>
        <v>1</v>
      </c>
      <c r="BK83" s="199" t="n">
        <f aca="false" t="array" ref="BK83:BK83">SUMPRODUCT((LEFT('⑫ Roll-out Plan'!$E$10:$E$97,1)="D")*('⑫ Roll-out Plan'!$O$10:$O$97)*((('⑫ Roll-out Plan'!$G$10:$G$97-2025)*12+'⑫ Roll-out Plan'!$F$10:$F$97)&lt;=35))</f>
        <v>1</v>
      </c>
      <c r="BL83" s="199" t="n">
        <f aca="false" t="array" ref="BL83:BL83">SUMPRODUCT((LEFT('⑫ Roll-out Plan'!$E$10:$E$97,1)="D")*('⑫ Roll-out Plan'!$O$10:$O$97)*((('⑫ Roll-out Plan'!$G$10:$G$97-2025)*12+'⑫ Roll-out Plan'!$F$10:$F$97)&lt;=36))</f>
        <v>1</v>
      </c>
      <c r="BM83" s="199" t="n">
        <f aca="false" t="array" ref="BM83:BM83">SUMPRODUCT((LEFT('⑫ Roll-out Plan'!$E$10:$E$97,1)="D")*('⑫ Roll-out Plan'!$O$10:$O$97)*((('⑫ Roll-out Plan'!$G$10:$G$97-2025)*12+'⑫ Roll-out Plan'!$F$10:$F$97)&lt;=37))</f>
        <v>1</v>
      </c>
      <c r="BN83" s="199" t="n">
        <f aca="false" t="array" ref="BN83:BN83">SUMPRODUCT((LEFT('⑫ Roll-out Plan'!$E$10:$E$97,1)="D")*('⑫ Roll-out Plan'!$O$10:$O$97)*((('⑫ Roll-out Plan'!$G$10:$G$97-2025)*12+'⑫ Roll-out Plan'!$F$10:$F$97)&lt;=38))</f>
        <v>1</v>
      </c>
      <c r="BO83" s="199" t="n">
        <f aca="false" t="array" ref="BO83:BO83">SUMPRODUCT((LEFT('⑫ Roll-out Plan'!$E$10:$E$97,1)="D")*('⑫ Roll-out Plan'!$O$10:$O$97)*((('⑫ Roll-out Plan'!$G$10:$G$97-2025)*12+'⑫ Roll-out Plan'!$F$10:$F$97)&lt;=39))</f>
        <v>1</v>
      </c>
      <c r="BP83" s="199" t="n">
        <f aca="false" t="array" ref="BP83:BP83">SUMPRODUCT((LEFT('⑫ Roll-out Plan'!$E$10:$E$97,1)="D")*('⑫ Roll-out Plan'!$O$10:$O$97)*((('⑫ Roll-out Plan'!$G$10:$G$97-2025)*12+'⑫ Roll-out Plan'!$F$10:$F$97)&lt;=40))</f>
        <v>1</v>
      </c>
      <c r="BQ83" s="199" t="n">
        <f aca="false" t="array" ref="BQ83:BQ83">SUMPRODUCT((LEFT('⑫ Roll-out Plan'!$E$10:$E$97,1)="D")*('⑫ Roll-out Plan'!$O$10:$O$97)*((('⑫ Roll-out Plan'!$G$10:$G$97-2025)*12+'⑫ Roll-out Plan'!$F$10:$F$97)&lt;=41))</f>
        <v>1</v>
      </c>
      <c r="BR83" s="199" t="n">
        <f aca="false" t="array" ref="BR83:BR83">SUMPRODUCT((LEFT('⑫ Roll-out Plan'!$E$10:$E$97,1)="D")*('⑫ Roll-out Plan'!$O$10:$O$97)*((('⑫ Roll-out Plan'!$G$10:$G$97-2025)*12+'⑫ Roll-out Plan'!$F$10:$F$97)&lt;=42))</f>
        <v>1</v>
      </c>
      <c r="BS83" s="199" t="n">
        <f aca="false" t="array" ref="BS83:BS83">SUMPRODUCT((LEFT('⑫ Roll-out Plan'!$E$10:$E$97,1)="D")*('⑫ Roll-out Plan'!$O$10:$O$97)*((('⑫ Roll-out Plan'!$G$10:$G$97-2025)*12+'⑫ Roll-out Plan'!$F$10:$F$97)&lt;=43))</f>
        <v>1</v>
      </c>
      <c r="BT83" s="199" t="n">
        <f aca="false" t="array" ref="BT83:BT83">SUMPRODUCT((LEFT('⑫ Roll-out Plan'!$E$10:$E$97,1)="D")*('⑫ Roll-out Plan'!$O$10:$O$97)*((('⑫ Roll-out Plan'!$G$10:$G$97-2025)*12+'⑫ Roll-out Plan'!$F$10:$F$97)&lt;=44))</f>
        <v>1</v>
      </c>
      <c r="BU83" s="199" t="n">
        <f aca="false" t="array" ref="BU83:BU83">SUMPRODUCT((LEFT('⑫ Roll-out Plan'!$E$10:$E$97,1)="D")*('⑫ Roll-out Plan'!$O$10:$O$97)*((('⑫ Roll-out Plan'!$G$10:$G$97-2025)*12+'⑫ Roll-out Plan'!$F$10:$F$97)&lt;=45))</f>
        <v>1</v>
      </c>
      <c r="BV83" s="199" t="n">
        <f aca="false" t="array" ref="BV83:BV83">SUMPRODUCT((LEFT('⑫ Roll-out Plan'!$E$10:$E$97,1)="D")*('⑫ Roll-out Plan'!$O$10:$O$97)*((('⑫ Roll-out Plan'!$G$10:$G$97-2025)*12+'⑫ Roll-out Plan'!$F$10:$F$97)&lt;=46))</f>
        <v>1</v>
      </c>
      <c r="BW83" s="199" t="n">
        <f aca="false" t="array" ref="BW83:BW83">SUMPRODUCT((LEFT('⑫ Roll-out Plan'!$E$10:$E$97,1)="D")*('⑫ Roll-out Plan'!$O$10:$O$97)*((('⑫ Roll-out Plan'!$G$10:$G$97-2025)*12+'⑫ Roll-out Plan'!$F$10:$F$97)&lt;=47))</f>
        <v>1</v>
      </c>
      <c r="BX83" s="199" t="n">
        <f aca="false" t="array" ref="BX83:BX83">SUMPRODUCT((LEFT('⑫ Roll-out Plan'!$E$10:$E$97,1)="D")*('⑫ Roll-out Plan'!$O$10:$O$97)*((('⑫ Roll-out Plan'!$G$10:$G$97-2025)*12+'⑫ Roll-out Plan'!$F$10:$F$97)&lt;=48))</f>
        <v>1</v>
      </c>
      <c r="BY83" s="199" t="n">
        <f aca="false" t="array" ref="BY83:BY83">SUMPRODUCT((LEFT('⑫ Roll-out Plan'!$E$10:$E$97,1)="D")*('⑫ Roll-out Plan'!$O$10:$O$97)*((('⑫ Roll-out Plan'!$G$10:$G$97-2025)*12+'⑫ Roll-out Plan'!$F$10:$F$97)&lt;=49))</f>
        <v>1</v>
      </c>
      <c r="BZ83" s="199" t="n">
        <f aca="false" t="array" ref="BZ83:BZ83">SUMPRODUCT((LEFT('⑫ Roll-out Plan'!$E$10:$E$97,1)="D")*('⑫ Roll-out Plan'!$O$10:$O$97)*((('⑫ Roll-out Plan'!$G$10:$G$97-2025)*12+'⑫ Roll-out Plan'!$F$10:$F$97)&lt;=50))</f>
        <v>1</v>
      </c>
      <c r="CA83" s="199" t="n">
        <f aca="false" t="array" ref="CA83:CA83">SUMPRODUCT((LEFT('⑫ Roll-out Plan'!$E$10:$E$97,1)="D")*('⑫ Roll-out Plan'!$O$10:$O$97)*((('⑫ Roll-out Plan'!$G$10:$G$97-2025)*12+'⑫ Roll-out Plan'!$F$10:$F$97)&lt;=51))</f>
        <v>1</v>
      </c>
      <c r="CB83" s="199" t="n">
        <f aca="false" t="array" ref="CB83:CB83">SUMPRODUCT((LEFT('⑫ Roll-out Plan'!$E$10:$E$97,1)="D")*('⑫ Roll-out Plan'!$O$10:$O$97)*((('⑫ Roll-out Plan'!$G$10:$G$97-2025)*12+'⑫ Roll-out Plan'!$F$10:$F$97)&lt;=52))</f>
        <v>1</v>
      </c>
      <c r="CC83" s="199" t="n">
        <f aca="false" t="array" ref="CC83:CC83">SUMPRODUCT((LEFT('⑫ Roll-out Plan'!$E$10:$E$97,1)="D")*('⑫ Roll-out Plan'!$O$10:$O$97)*((('⑫ Roll-out Plan'!$G$10:$G$97-2025)*12+'⑫ Roll-out Plan'!$F$10:$F$97)&lt;=53))</f>
        <v>1</v>
      </c>
      <c r="CD83" s="199" t="n">
        <f aca="false" t="array" ref="CD83:CD83">SUMPRODUCT((LEFT('⑫ Roll-out Plan'!$E$10:$E$97,1)="D")*('⑫ Roll-out Plan'!$O$10:$O$97)*((('⑫ Roll-out Plan'!$G$10:$G$97-2025)*12+'⑫ Roll-out Plan'!$F$10:$F$97)&lt;=54))</f>
        <v>1</v>
      </c>
      <c r="CE83" s="199" t="n">
        <f aca="false" t="array" ref="CE83:CE83">SUMPRODUCT((LEFT('⑫ Roll-out Plan'!$E$10:$E$97,1)="D")*('⑫ Roll-out Plan'!$O$10:$O$97)*((('⑫ Roll-out Plan'!$G$10:$G$97-2025)*12+'⑫ Roll-out Plan'!$F$10:$F$97)&lt;=55))</f>
        <v>1</v>
      </c>
      <c r="CF83" s="199" t="n">
        <f aca="false" t="array" ref="CF83:CF83">SUMPRODUCT((LEFT('⑫ Roll-out Plan'!$E$10:$E$97,1)="D")*('⑫ Roll-out Plan'!$O$10:$O$97)*((('⑫ Roll-out Plan'!$G$10:$G$97-2025)*12+'⑫ Roll-out Plan'!$F$10:$F$97)&lt;=56))</f>
        <v>1</v>
      </c>
      <c r="CG83" s="199" t="n">
        <f aca="false" t="array" ref="CG83:CG83">SUMPRODUCT((LEFT('⑫ Roll-out Plan'!$E$10:$E$97,1)="D")*('⑫ Roll-out Plan'!$O$10:$O$97)*((('⑫ Roll-out Plan'!$G$10:$G$97-2025)*12+'⑫ Roll-out Plan'!$F$10:$F$97)&lt;=57))</f>
        <v>1</v>
      </c>
      <c r="CH83" s="199" t="n">
        <f aca="false" t="array" ref="CH83:CH83">SUMPRODUCT((LEFT('⑫ Roll-out Plan'!$E$10:$E$97,1)="D")*('⑫ Roll-out Plan'!$O$10:$O$97)*((('⑫ Roll-out Plan'!$G$10:$G$97-2025)*12+'⑫ Roll-out Plan'!$F$10:$F$97)&lt;=58))</f>
        <v>1</v>
      </c>
      <c r="CI83" s="199" t="n">
        <f aca="false" t="array" ref="CI83:CI83">SUMPRODUCT((LEFT('⑫ Roll-out Plan'!$E$10:$E$97,1)="D")*('⑫ Roll-out Plan'!$O$10:$O$97)*((('⑫ Roll-out Plan'!$G$10:$G$97-2025)*12+'⑫ Roll-out Plan'!$F$10:$F$97)&lt;=59))</f>
        <v>1</v>
      </c>
      <c r="CJ83" s="199" t="n">
        <f aca="false" t="array" ref="CJ83:CJ83">SUMPRODUCT((LEFT('⑫ Roll-out Plan'!$E$10:$E$97,1)="D")*('⑫ Roll-out Plan'!$O$10:$O$97)*((('⑫ Roll-out Plan'!$G$10:$G$97-2025)*12+'⑫ Roll-out Plan'!$F$10:$F$97)&lt;=60))</f>
        <v>1</v>
      </c>
      <c r="CK83" s="199" t="n">
        <f aca="false" t="array" ref="CK83:CK83">SUMPRODUCT((LEFT('⑫ Roll-out Plan'!$E$10:$E$97,1)="D")*('⑫ Roll-out Plan'!$O$10:$O$97)*((('⑫ Roll-out Plan'!$G$10:$G$97-2025)*12+'⑫ Roll-out Plan'!$F$10:$F$97)&lt;=61))</f>
        <v>1</v>
      </c>
      <c r="CL83" s="199" t="n">
        <f aca="false" t="array" ref="CL83:CL83">SUMPRODUCT((LEFT('⑫ Roll-out Plan'!$E$10:$E$97,1)="D")*('⑫ Roll-out Plan'!$O$10:$O$97)*((('⑫ Roll-out Plan'!$G$10:$G$97-2025)*12+'⑫ Roll-out Plan'!$F$10:$F$97)&lt;=62))</f>
        <v>1</v>
      </c>
      <c r="CM83" s="199" t="n">
        <f aca="false" t="array" ref="CM83:CM83">SUMPRODUCT((LEFT('⑫ Roll-out Plan'!$E$10:$E$97,1)="D")*('⑫ Roll-out Plan'!$O$10:$O$97)*((('⑫ Roll-out Plan'!$G$10:$G$97-2025)*12+'⑫ Roll-out Plan'!$F$10:$F$97)&lt;=63))</f>
        <v>1</v>
      </c>
      <c r="CN83" s="199" t="n">
        <f aca="false" t="array" ref="CN83:CN83">SUMPRODUCT((LEFT('⑫ Roll-out Plan'!$E$10:$E$97,1)="D")*('⑫ Roll-out Plan'!$O$10:$O$97)*((('⑫ Roll-out Plan'!$G$10:$G$97-2025)*12+'⑫ Roll-out Plan'!$F$10:$F$97)&lt;=64))</f>
        <v>1</v>
      </c>
      <c r="CO83" s="199" t="n">
        <f aca="false" t="array" ref="CO83:CO83">SUMPRODUCT((LEFT('⑫ Roll-out Plan'!$E$10:$E$97,1)="D")*('⑫ Roll-out Plan'!$O$10:$O$97)*((('⑫ Roll-out Plan'!$G$10:$G$97-2025)*12+'⑫ Roll-out Plan'!$F$10:$F$97)&lt;=65))</f>
        <v>1</v>
      </c>
      <c r="CP83" s="199" t="n">
        <f aca="false" t="array" ref="CP83:CP83">SUMPRODUCT((LEFT('⑫ Roll-out Plan'!$E$10:$E$97,1)="D")*('⑫ Roll-out Plan'!$O$10:$O$97)*((('⑫ Roll-out Plan'!$G$10:$G$97-2025)*12+'⑫ Roll-out Plan'!$F$10:$F$97)&lt;=66))</f>
        <v>1</v>
      </c>
      <c r="CQ83" s="199" t="n">
        <f aca="false" t="array" ref="CQ83:CQ83">SUMPRODUCT((LEFT('⑫ Roll-out Plan'!$E$10:$E$97,1)="D")*('⑫ Roll-out Plan'!$O$10:$O$97)*((('⑫ Roll-out Plan'!$G$10:$G$97-2025)*12+'⑫ Roll-out Plan'!$F$10:$F$97)&lt;=67))</f>
        <v>1</v>
      </c>
      <c r="CR83" s="199" t="n">
        <f aca="false" t="array" ref="CR83:CR83">SUMPRODUCT((LEFT('⑫ Roll-out Plan'!$E$10:$E$97,1)="D")*('⑫ Roll-out Plan'!$O$10:$O$97)*((('⑫ Roll-out Plan'!$G$10:$G$97-2025)*12+'⑫ Roll-out Plan'!$F$10:$F$97)&lt;=68))</f>
        <v>1</v>
      </c>
      <c r="CS83" s="199" t="n">
        <f aca="false" t="array" ref="CS83:CS83">SUMPRODUCT((LEFT('⑫ Roll-out Plan'!$E$10:$E$97,1)="D")*('⑫ Roll-out Plan'!$O$10:$O$97)*((('⑫ Roll-out Plan'!$G$10:$G$97-2025)*12+'⑫ Roll-out Plan'!$F$10:$F$97)&lt;=69))</f>
        <v>1</v>
      </c>
      <c r="CT83" s="199" t="n">
        <f aca="false" t="array" ref="CT83:CT83">SUMPRODUCT((LEFT('⑫ Roll-out Plan'!$E$10:$E$97,1)="D")*('⑫ Roll-out Plan'!$O$10:$O$97)*((('⑫ Roll-out Plan'!$G$10:$G$97-2025)*12+'⑫ Roll-out Plan'!$F$10:$F$97)&lt;=70))</f>
        <v>1</v>
      </c>
      <c r="CU83" s="199" t="n">
        <f aca="false" t="array" ref="CU83:CU83">SUMPRODUCT((LEFT('⑫ Roll-out Plan'!$E$10:$E$97,1)="D")*('⑫ Roll-out Plan'!$O$10:$O$97)*((('⑫ Roll-out Plan'!$G$10:$G$97-2025)*12+'⑫ Roll-out Plan'!$F$10:$F$97)&lt;=71))</f>
        <v>1</v>
      </c>
      <c r="CV83" s="199" t="n">
        <f aca="false" t="array" ref="CV83:CV83">SUMPRODUCT((LEFT('⑫ Roll-out Plan'!$E$10:$E$97,1)="D")*('⑫ Roll-out Plan'!$O$10:$O$97)*((('⑫ Roll-out Plan'!$G$10:$G$97-2025)*12+'⑫ Roll-out Plan'!$F$10:$F$97)&lt;=72))</f>
        <v>1</v>
      </c>
      <c r="CW83" s="199" t="n">
        <f aca="false" t="array" ref="CW83:CW83">SUMPRODUCT((LEFT('⑫ Roll-out Plan'!$E$10:$E$97,1)="D")*('⑫ Roll-out Plan'!$O$10:$O$97)*((('⑫ Roll-out Plan'!$G$10:$G$97-2025)*12+'⑫ Roll-out Plan'!$F$10:$F$97)&lt;=73))</f>
        <v>1</v>
      </c>
      <c r="CX83" s="199" t="n">
        <f aca="false" t="array" ref="CX83:CX83">SUMPRODUCT((LEFT('⑫ Roll-out Plan'!$E$10:$E$97,1)="D")*('⑫ Roll-out Plan'!$O$10:$O$97)*((('⑫ Roll-out Plan'!$G$10:$G$97-2025)*12+'⑫ Roll-out Plan'!$F$10:$F$97)&lt;=74))</f>
        <v>1</v>
      </c>
      <c r="CY83" s="199" t="n">
        <f aca="false" t="array" ref="CY83:CY83">SUMPRODUCT((LEFT('⑫ Roll-out Plan'!$E$10:$E$97,1)="D")*('⑫ Roll-out Plan'!$O$10:$O$97)*((('⑫ Roll-out Plan'!$G$10:$G$97-2025)*12+'⑫ Roll-out Plan'!$F$10:$F$97)&lt;=75))</f>
        <v>1</v>
      </c>
      <c r="CZ83" s="199" t="n">
        <f aca="false" t="array" ref="CZ83:CZ83">SUMPRODUCT((LEFT('⑫ Roll-out Plan'!$E$10:$E$97,1)="D")*('⑫ Roll-out Plan'!$O$10:$O$97)*((('⑫ Roll-out Plan'!$G$10:$G$97-2025)*12+'⑫ Roll-out Plan'!$F$10:$F$97)&lt;=76))</f>
        <v>1</v>
      </c>
      <c r="DA83" s="199" t="n">
        <f aca="false" t="array" ref="DA83:DA83">SUMPRODUCT((LEFT('⑫ Roll-out Plan'!$E$10:$E$97,1)="D")*('⑫ Roll-out Plan'!$O$10:$O$97)*((('⑫ Roll-out Plan'!$G$10:$G$97-2025)*12+'⑫ Roll-out Plan'!$F$10:$F$97)&lt;=77))</f>
        <v>1</v>
      </c>
      <c r="DB83" s="199" t="n">
        <f aca="false" t="array" ref="DB83:DB83">SUMPRODUCT((LEFT('⑫ Roll-out Plan'!$E$10:$E$97,1)="D")*('⑫ Roll-out Plan'!$O$10:$O$97)*((('⑫ Roll-out Plan'!$G$10:$G$97-2025)*12+'⑫ Roll-out Plan'!$F$10:$F$97)&lt;=78))</f>
        <v>1</v>
      </c>
      <c r="DC83" s="199" t="n">
        <f aca="false" t="array" ref="DC83:DC83">SUMPRODUCT((LEFT('⑫ Roll-out Plan'!$E$10:$E$97,1)="D")*('⑫ Roll-out Plan'!$O$10:$O$97)*((('⑫ Roll-out Plan'!$G$10:$G$97-2025)*12+'⑫ Roll-out Plan'!$F$10:$F$97)&lt;=79))</f>
        <v>1</v>
      </c>
      <c r="DD83" s="199" t="n">
        <f aca="false" t="array" ref="DD83:DD83">SUMPRODUCT((LEFT('⑫ Roll-out Plan'!$E$10:$E$97,1)="D")*('⑫ Roll-out Plan'!$O$10:$O$97)*((('⑫ Roll-out Plan'!$G$10:$G$97-2025)*12+'⑫ Roll-out Plan'!$F$10:$F$97)&lt;=80))</f>
        <v>1</v>
      </c>
      <c r="DE83" s="199" t="n">
        <f aca="false" t="array" ref="DE83:DE83">SUMPRODUCT((LEFT('⑫ Roll-out Plan'!$E$10:$E$97,1)="D")*('⑫ Roll-out Plan'!$O$10:$O$97)*((('⑫ Roll-out Plan'!$G$10:$G$97-2025)*12+'⑫ Roll-out Plan'!$F$10:$F$97)&lt;=81))</f>
        <v>1</v>
      </c>
      <c r="DF83" s="199" t="n">
        <f aca="false" t="array" ref="DF83:DF83">SUMPRODUCT((LEFT('⑫ Roll-out Plan'!$E$10:$E$97,1)="D")*('⑫ Roll-out Plan'!$O$10:$O$97)*((('⑫ Roll-out Plan'!$G$10:$G$97-2025)*12+'⑫ Roll-out Plan'!$F$10:$F$97)&lt;=82))</f>
        <v>1</v>
      </c>
      <c r="DG83" s="199" t="n">
        <f aca="false" t="array" ref="DG83:DG83">SUMPRODUCT((LEFT('⑫ Roll-out Plan'!$E$10:$E$97,1)="D")*('⑫ Roll-out Plan'!$O$10:$O$97)*((('⑫ Roll-out Plan'!$G$10:$G$97-2025)*12+'⑫ Roll-out Plan'!$F$10:$F$97)&lt;=83))</f>
        <v>1</v>
      </c>
      <c r="DH83" s="199" t="n">
        <f aca="false" t="array" ref="DH83:DH83">SUMPRODUCT((LEFT('⑫ Roll-out Plan'!$E$10:$E$97,1)="D")*('⑫ Roll-out Plan'!$O$10:$O$97)*((('⑫ Roll-out Plan'!$G$10:$G$97-2025)*12+'⑫ Roll-out Plan'!$F$10:$F$97)&lt;=84))</f>
        <v>1</v>
      </c>
      <c r="DI83" s="199" t="n">
        <f aca="false" t="array" ref="DI83:DI83">SUMPRODUCT((LEFT('⑫ Roll-out Plan'!$E$10:$E$97,1)="D")*('⑫ Roll-out Plan'!$O$10:$O$97)*((('⑫ Roll-out Plan'!$G$10:$G$97-2025)*12+'⑫ Roll-out Plan'!$F$10:$F$97)&lt;=85))</f>
        <v>1</v>
      </c>
      <c r="DJ83" s="199" t="n">
        <f aca="false" t="array" ref="DJ83:DJ83">SUMPRODUCT((LEFT('⑫ Roll-out Plan'!$E$10:$E$97,1)="D")*('⑫ Roll-out Plan'!$O$10:$O$97)*((('⑫ Roll-out Plan'!$G$10:$G$97-2025)*12+'⑫ Roll-out Plan'!$F$10:$F$97)&lt;=86))</f>
        <v>1</v>
      </c>
      <c r="DK83" s="199" t="n">
        <f aca="false" t="array" ref="DK83:DK83">SUMPRODUCT((LEFT('⑫ Roll-out Plan'!$E$10:$E$97,1)="D")*('⑫ Roll-out Plan'!$O$10:$O$97)*((('⑫ Roll-out Plan'!$G$10:$G$97-2025)*12+'⑫ Roll-out Plan'!$F$10:$F$97)&lt;=87))</f>
        <v>1</v>
      </c>
      <c r="DL83" s="199" t="n">
        <f aca="false" t="array" ref="DL83:DL83">SUMPRODUCT((LEFT('⑫ Roll-out Plan'!$E$10:$E$97,1)="D")*('⑫ Roll-out Plan'!$O$10:$O$97)*((('⑫ Roll-out Plan'!$G$10:$G$97-2025)*12+'⑫ Roll-out Plan'!$F$10:$F$97)&lt;=88))</f>
        <v>1</v>
      </c>
      <c r="DM83" s="199" t="n">
        <f aca="false" t="array" ref="DM83:DM83">SUMPRODUCT((LEFT('⑫ Roll-out Plan'!$E$10:$E$97,1)="D")*('⑫ Roll-out Plan'!$O$10:$O$97)*((('⑫ Roll-out Plan'!$G$10:$G$97-2025)*12+'⑫ Roll-out Plan'!$F$10:$F$97)&lt;=89))</f>
        <v>1</v>
      </c>
      <c r="DN83" s="199" t="n">
        <f aca="false" t="array" ref="DN83:DN83">SUMPRODUCT((LEFT('⑫ Roll-out Plan'!$E$10:$E$97,1)="D")*('⑫ Roll-out Plan'!$O$10:$O$97)*((('⑫ Roll-out Plan'!$G$10:$G$97-2025)*12+'⑫ Roll-out Plan'!$F$10:$F$97)&lt;=90))</f>
        <v>1</v>
      </c>
      <c r="DO83" s="199" t="n">
        <f aca="false" t="array" ref="DO83:DO83">SUMPRODUCT((LEFT('⑫ Roll-out Plan'!$E$10:$E$97,1)="D")*('⑫ Roll-out Plan'!$O$10:$O$97)*((('⑫ Roll-out Plan'!$G$10:$G$97-2025)*12+'⑫ Roll-out Plan'!$F$10:$F$97)&lt;=91))</f>
        <v>1</v>
      </c>
      <c r="DP83" s="199" t="n">
        <f aca="false" t="array" ref="DP83:DP83">SUMPRODUCT((LEFT('⑫ Roll-out Plan'!$E$10:$E$97,1)="D")*('⑫ Roll-out Plan'!$O$10:$O$97)*((('⑫ Roll-out Plan'!$G$10:$G$97-2025)*12+'⑫ Roll-out Plan'!$F$10:$F$97)&lt;=92))</f>
        <v>1</v>
      </c>
      <c r="DQ83" s="199" t="n">
        <f aca="false" t="array" ref="DQ83:DQ83">SUMPRODUCT((LEFT('⑫ Roll-out Plan'!$E$10:$E$97,1)="D")*('⑫ Roll-out Plan'!$O$10:$O$97)*((('⑫ Roll-out Plan'!$G$10:$G$97-2025)*12+'⑫ Roll-out Plan'!$F$10:$F$97)&lt;=93))</f>
        <v>1</v>
      </c>
      <c r="DR83" s="199" t="n">
        <f aca="false" t="array" ref="DR83:DR83">SUMPRODUCT((LEFT('⑫ Roll-out Plan'!$E$10:$E$97,1)="D")*('⑫ Roll-out Plan'!$O$10:$O$97)*((('⑫ Roll-out Plan'!$G$10:$G$97-2025)*12+'⑫ Roll-out Plan'!$F$10:$F$97)&lt;=94))</f>
        <v>1</v>
      </c>
      <c r="DS83" s="199" t="n">
        <f aca="false" t="array" ref="DS83:DS83">SUMPRODUCT((LEFT('⑫ Roll-out Plan'!$E$10:$E$97,1)="D")*('⑫ Roll-out Plan'!$O$10:$O$97)*((('⑫ Roll-out Plan'!$G$10:$G$97-2025)*12+'⑫ Roll-out Plan'!$F$10:$F$97)&lt;=95))</f>
        <v>1</v>
      </c>
      <c r="DT83" s="199" t="n">
        <f aca="false" t="array" ref="DT83:DT83">SUMPRODUCT((LEFT('⑫ Roll-out Plan'!$E$10:$E$97,1)="D")*('⑫ Roll-out Plan'!$O$10:$O$97)*((('⑫ Roll-out Plan'!$G$10:$G$97-2025)*12+'⑫ Roll-out Plan'!$F$10:$F$97)&lt;=96))</f>
        <v>1</v>
      </c>
      <c r="DU83" s="199" t="n">
        <f aca="false" t="array" ref="DU83:DU83">SUMPRODUCT((LEFT('⑫ Roll-out Plan'!$E$10:$E$97,1)="D")*('⑫ Roll-out Plan'!$O$10:$O$97)*((('⑫ Roll-out Plan'!$G$10:$G$97-2025)*12+'⑫ Roll-out Plan'!$F$10:$F$97)&lt;=97))</f>
        <v>1</v>
      </c>
      <c r="DV83" s="199" t="n">
        <f aca="false" t="array" ref="DV83:DV83">SUMPRODUCT((LEFT('⑫ Roll-out Plan'!$E$10:$E$97,1)="D")*('⑫ Roll-out Plan'!$O$10:$O$97)*((('⑫ Roll-out Plan'!$G$10:$G$97-2025)*12+'⑫ Roll-out Plan'!$F$10:$F$97)&lt;=98))</f>
        <v>1</v>
      </c>
      <c r="DW83" s="199" t="n">
        <f aca="false" t="array" ref="DW83:DW83">SUMPRODUCT((LEFT('⑫ Roll-out Plan'!$E$10:$E$97,1)="D")*('⑫ Roll-out Plan'!$O$10:$O$97)*((('⑫ Roll-out Plan'!$G$10:$G$97-2025)*12+'⑫ Roll-out Plan'!$F$10:$F$97)&lt;=99))</f>
        <v>1</v>
      </c>
      <c r="DX83" s="199" t="n">
        <f aca="false" t="array" ref="DX83:DX83">SUMPRODUCT((LEFT('⑫ Roll-out Plan'!$E$10:$E$97,1)="D")*('⑫ Roll-out Plan'!$O$10:$O$97)*((('⑫ Roll-out Plan'!$G$10:$G$97-2025)*12+'⑫ Roll-out Plan'!$F$10:$F$97)&lt;=100))</f>
        <v>1</v>
      </c>
      <c r="DY83" s="199" t="n">
        <f aca="false" t="array" ref="DY83:DY83">SUMPRODUCT((LEFT('⑫ Roll-out Plan'!$E$10:$E$97,1)="D")*('⑫ Roll-out Plan'!$O$10:$O$97)*((('⑫ Roll-out Plan'!$G$10:$G$97-2025)*12+'⑫ Roll-out Plan'!$F$10:$F$97)&lt;=101))</f>
        <v>1</v>
      </c>
      <c r="DZ83" s="199" t="n">
        <f aca="false" t="array" ref="DZ83:DZ83">SUMPRODUCT((LEFT('⑫ Roll-out Plan'!$E$10:$E$97,1)="D")*('⑫ Roll-out Plan'!$O$10:$O$97)*((('⑫ Roll-out Plan'!$G$10:$G$97-2025)*12+'⑫ Roll-out Plan'!$F$10:$F$97)&lt;=102))</f>
        <v>1</v>
      </c>
      <c r="EA83" s="199" t="n">
        <f aca="false" t="array" ref="EA83:EA83">SUMPRODUCT((LEFT('⑫ Roll-out Plan'!$E$10:$E$97,1)="D")*('⑫ Roll-out Plan'!$O$10:$O$97)*((('⑫ Roll-out Plan'!$G$10:$G$97-2025)*12+'⑫ Roll-out Plan'!$F$10:$F$97)&lt;=103))</f>
        <v>1</v>
      </c>
      <c r="EB83" s="199" t="n">
        <f aca="false" t="array" ref="EB83:EB83">SUMPRODUCT((LEFT('⑫ Roll-out Plan'!$E$10:$E$97,1)="D")*('⑫ Roll-out Plan'!$O$10:$O$97)*((('⑫ Roll-out Plan'!$G$10:$G$97-2025)*12+'⑫ Roll-out Plan'!$F$10:$F$97)&lt;=104))</f>
        <v>1</v>
      </c>
      <c r="EC83" s="199" t="n">
        <f aca="false" t="array" ref="EC83:EC83">SUMPRODUCT((LEFT('⑫ Roll-out Plan'!$E$10:$E$97,1)="D")*('⑫ Roll-out Plan'!$O$10:$O$97)*((('⑫ Roll-out Plan'!$G$10:$G$97-2025)*12+'⑫ Roll-out Plan'!$F$10:$F$97)&lt;=105))</f>
        <v>1</v>
      </c>
      <c r="ED83" s="199" t="n">
        <f aca="false" t="array" ref="ED83:ED83">SUMPRODUCT((LEFT('⑫ Roll-out Plan'!$E$10:$E$97,1)="D")*('⑫ Roll-out Plan'!$O$10:$O$97)*((('⑫ Roll-out Plan'!$G$10:$G$97-2025)*12+'⑫ Roll-out Plan'!$F$10:$F$97)&lt;=106))</f>
        <v>1</v>
      </c>
      <c r="EE83" s="199" t="n">
        <f aca="false" t="array" ref="EE83:EE83">SUMPRODUCT((LEFT('⑫ Roll-out Plan'!$E$10:$E$97,1)="D")*('⑫ Roll-out Plan'!$O$10:$O$97)*((('⑫ Roll-out Plan'!$G$10:$G$97-2025)*12+'⑫ Roll-out Plan'!$F$10:$F$97)&lt;=107))</f>
        <v>1</v>
      </c>
      <c r="EF83" s="199" t="n">
        <f aca="false" t="array" ref="EF83:EF83">SUMPRODUCT((LEFT('⑫ Roll-out Plan'!$E$10:$E$97,1)="D")*('⑫ Roll-out Plan'!$O$10:$O$97)*((('⑫ Roll-out Plan'!$G$10:$G$97-2025)*12+'⑫ Roll-out Plan'!$F$10:$F$97)&lt;=108))</f>
        <v>1</v>
      </c>
      <c r="EG83" s="199" t="n">
        <f aca="false" t="array" ref="EG83:EG83">SUMPRODUCT((LEFT('⑫ Roll-out Plan'!$E$10:$E$97,1)="D")*('⑫ Roll-out Plan'!$O$10:$O$97)*((('⑫ Roll-out Plan'!$G$10:$G$97-2025)*12+'⑫ Roll-out Plan'!$F$10:$F$97)&lt;=109))</f>
        <v>1</v>
      </c>
      <c r="EH83" s="199" t="n">
        <f aca="false" t="array" ref="EH83:EH83">SUMPRODUCT((LEFT('⑫ Roll-out Plan'!$E$10:$E$97,1)="D")*('⑫ Roll-out Plan'!$O$10:$O$97)*((('⑫ Roll-out Plan'!$G$10:$G$97-2025)*12+'⑫ Roll-out Plan'!$F$10:$F$97)&lt;=110))</f>
        <v>1</v>
      </c>
      <c r="EI83" s="199" t="n">
        <f aca="false" t="array" ref="EI83:EI83">SUMPRODUCT((LEFT('⑫ Roll-out Plan'!$E$10:$E$97,1)="D")*('⑫ Roll-out Plan'!$O$10:$O$97)*((('⑫ Roll-out Plan'!$G$10:$G$97-2025)*12+'⑫ Roll-out Plan'!$F$10:$F$97)&lt;=111))</f>
        <v>1</v>
      </c>
      <c r="EJ83" s="199" t="n">
        <f aca="false" t="array" ref="EJ83:EJ83">SUMPRODUCT((LEFT('⑫ Roll-out Plan'!$E$10:$E$97,1)="D")*('⑫ Roll-out Plan'!$O$10:$O$97)*((('⑫ Roll-out Plan'!$G$10:$G$97-2025)*12+'⑫ Roll-out Plan'!$F$10:$F$97)&lt;=112))</f>
        <v>1</v>
      </c>
      <c r="EK83" s="199" t="n">
        <f aca="false" t="array" ref="EK83:EK83">SUMPRODUCT((LEFT('⑫ Roll-out Plan'!$E$10:$E$97,1)="D")*('⑫ Roll-out Plan'!$O$10:$O$97)*((('⑫ Roll-out Plan'!$G$10:$G$97-2025)*12+'⑫ Roll-out Plan'!$F$10:$F$97)&lt;=113))</f>
        <v>1</v>
      </c>
      <c r="EL83" s="199" t="n">
        <f aca="false" t="array" ref="EL83:EL83">SUMPRODUCT((LEFT('⑫ Roll-out Plan'!$E$10:$E$97,1)="D")*('⑫ Roll-out Plan'!$O$10:$O$97)*((('⑫ Roll-out Plan'!$G$10:$G$97-2025)*12+'⑫ Roll-out Plan'!$F$10:$F$97)&lt;=114))</f>
        <v>1</v>
      </c>
      <c r="EM83" s="199" t="n">
        <f aca="false" t="array" ref="EM83:EM83">SUMPRODUCT((LEFT('⑫ Roll-out Plan'!$E$10:$E$97,1)="D")*('⑫ Roll-out Plan'!$O$10:$O$97)*((('⑫ Roll-out Plan'!$G$10:$G$97-2025)*12+'⑫ Roll-out Plan'!$F$10:$F$97)&lt;=115))</f>
        <v>1</v>
      </c>
      <c r="EN83" s="199" t="n">
        <f aca="false" t="array" ref="EN83:EN83">SUMPRODUCT((LEFT('⑫ Roll-out Plan'!$E$10:$E$97,1)="D")*('⑫ Roll-out Plan'!$O$10:$O$97)*((('⑫ Roll-out Plan'!$G$10:$G$97-2025)*12+'⑫ Roll-out Plan'!$F$10:$F$97)&lt;=116))</f>
        <v>1</v>
      </c>
      <c r="EO83" s="199" t="n">
        <f aca="false" t="array" ref="EO83:EO83">SUMPRODUCT((LEFT('⑫ Roll-out Plan'!$E$10:$E$97,1)="D")*('⑫ Roll-out Plan'!$O$10:$O$97)*((('⑫ Roll-out Plan'!$G$10:$G$97-2025)*12+'⑫ Roll-out Plan'!$F$10:$F$97)&lt;=117))</f>
        <v>1</v>
      </c>
      <c r="EP83" s="199" t="n">
        <f aca="false" t="array" ref="EP83:EP83">SUMPRODUCT((LEFT('⑫ Roll-out Plan'!$E$10:$E$97,1)="D")*('⑫ Roll-out Plan'!$O$10:$O$97)*((('⑫ Roll-out Plan'!$G$10:$G$97-2025)*12+'⑫ Roll-out Plan'!$F$10:$F$97)&lt;=118))</f>
        <v>1</v>
      </c>
      <c r="EQ83" s="199" t="n">
        <f aca="false" t="array" ref="EQ83:EQ83">SUMPRODUCT((LEFT('⑫ Roll-out Plan'!$E$10:$E$97,1)="D")*('⑫ Roll-out Plan'!$O$10:$O$97)*((('⑫ Roll-out Plan'!$G$10:$G$97-2025)*12+'⑫ Roll-out Plan'!$F$10:$F$97)&lt;=119))</f>
        <v>1</v>
      </c>
      <c r="ER83" s="199" t="n">
        <f aca="false" t="array" ref="ER83:ER83">SUMPRODUCT((LEFT('⑫ Roll-out Plan'!$E$10:$E$97,1)="D")*('⑫ Roll-out Plan'!$O$10:$O$97)*((('⑫ Roll-out Plan'!$G$10:$G$97-2025)*12+'⑫ Roll-out Plan'!$F$10:$F$97)&lt;=120))</f>
        <v>1</v>
      </c>
    </row>
    <row r="84" customFormat="false" ht="15" hidden="false" customHeight="false" outlineLevel="0" collapsed="false">
      <c r="B84" s="18" t="s">
        <v>1192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99" t="n">
        <f aca="false" t="array" ref="AC84:AC84">SUMPRODUCT((LEFT('⑫ Roll-out Plan'!$E$10:$E$97,1)="E")*('⑫ Roll-out Plan'!$O$10:$O$97)*((('⑫ Roll-out Plan'!$G$10:$G$97-2025)*12+'⑫ Roll-out Plan'!$F$10:$F$97)&lt;=1))</f>
        <v>0</v>
      </c>
      <c r="AD84" s="199" t="n">
        <f aca="false" t="array" ref="AD84:AD84">SUMPRODUCT((LEFT('⑫ Roll-out Plan'!$E$10:$E$97,1)="E")*('⑫ Roll-out Plan'!$O$10:$O$97)*((('⑫ Roll-out Plan'!$G$10:$G$97-2025)*12+'⑫ Roll-out Plan'!$F$10:$F$97)&lt;=2))</f>
        <v>0</v>
      </c>
      <c r="AE84" s="199" t="n">
        <f aca="false" t="array" ref="AE84:AE84">SUMPRODUCT((LEFT('⑫ Roll-out Plan'!$E$10:$E$97,1)="E")*('⑫ Roll-out Plan'!$O$10:$O$97)*((('⑫ Roll-out Plan'!$G$10:$G$97-2025)*12+'⑫ Roll-out Plan'!$F$10:$F$97)&lt;=3))</f>
        <v>0</v>
      </c>
      <c r="AF84" s="199" t="n">
        <f aca="false" t="array" ref="AF84:AF84">SUMPRODUCT((LEFT('⑫ Roll-out Plan'!$E$10:$E$97,1)="E")*('⑫ Roll-out Plan'!$O$10:$O$97)*((('⑫ Roll-out Plan'!$G$10:$G$97-2025)*12+'⑫ Roll-out Plan'!$F$10:$F$97)&lt;=4))</f>
        <v>0</v>
      </c>
      <c r="AG84" s="199" t="n">
        <f aca="false" t="array" ref="AG84:AG84">SUMPRODUCT((LEFT('⑫ Roll-out Plan'!$E$10:$E$97,1)="E")*('⑫ Roll-out Plan'!$O$10:$O$97)*((('⑫ Roll-out Plan'!$G$10:$G$97-2025)*12+'⑫ Roll-out Plan'!$F$10:$F$97)&lt;=5))</f>
        <v>0</v>
      </c>
      <c r="AH84" s="199" t="n">
        <f aca="false" t="array" ref="AH84:AH84">SUMPRODUCT((LEFT('⑫ Roll-out Plan'!$E$10:$E$97,1)="E")*('⑫ Roll-out Plan'!$O$10:$O$97)*((('⑫ Roll-out Plan'!$G$10:$G$97-2025)*12+'⑫ Roll-out Plan'!$F$10:$F$97)&lt;=6))</f>
        <v>0</v>
      </c>
      <c r="AI84" s="199" t="n">
        <f aca="false" t="array" ref="AI84:AI84">SUMPRODUCT((LEFT('⑫ Roll-out Plan'!$E$10:$E$97,1)="E")*('⑫ Roll-out Plan'!$O$10:$O$97)*((('⑫ Roll-out Plan'!$G$10:$G$97-2025)*12+'⑫ Roll-out Plan'!$F$10:$F$97)&lt;=7))</f>
        <v>0</v>
      </c>
      <c r="AJ84" s="199" t="n">
        <f aca="false" t="array" ref="AJ84:AJ84">SUMPRODUCT((LEFT('⑫ Roll-out Plan'!$E$10:$E$97,1)="E")*('⑫ Roll-out Plan'!$O$10:$O$97)*((('⑫ Roll-out Plan'!$G$10:$G$97-2025)*12+'⑫ Roll-out Plan'!$F$10:$F$97)&lt;=8))</f>
        <v>0</v>
      </c>
      <c r="AK84" s="199" t="n">
        <f aca="false" t="array" ref="AK84:AK84">SUMPRODUCT((LEFT('⑫ Roll-out Plan'!$E$10:$E$97,1)="E")*('⑫ Roll-out Plan'!$O$10:$O$97)*((('⑫ Roll-out Plan'!$G$10:$G$97-2025)*12+'⑫ Roll-out Plan'!$F$10:$F$97)&lt;=9))</f>
        <v>0</v>
      </c>
      <c r="AL84" s="199" t="n">
        <f aca="false" t="array" ref="AL84:AL84">SUMPRODUCT((LEFT('⑫ Roll-out Plan'!$E$10:$E$97,1)="E")*('⑫ Roll-out Plan'!$O$10:$O$97)*((('⑫ Roll-out Plan'!$G$10:$G$97-2025)*12+'⑫ Roll-out Plan'!$F$10:$F$97)&lt;=10))</f>
        <v>0</v>
      </c>
      <c r="AM84" s="199" t="n">
        <f aca="false" t="array" ref="AM84:AM84">SUMPRODUCT((LEFT('⑫ Roll-out Plan'!$E$10:$E$97,1)="E")*('⑫ Roll-out Plan'!$O$10:$O$97)*((('⑫ Roll-out Plan'!$G$10:$G$97-2025)*12+'⑫ Roll-out Plan'!$F$10:$F$97)&lt;=11))</f>
        <v>0</v>
      </c>
      <c r="AN84" s="199" t="n">
        <f aca="false" t="array" ref="AN84:AN84">SUMPRODUCT((LEFT('⑫ Roll-out Plan'!$E$10:$E$97,1)="E")*('⑫ Roll-out Plan'!$O$10:$O$97)*((('⑫ Roll-out Plan'!$G$10:$G$97-2025)*12+'⑫ Roll-out Plan'!$F$10:$F$97)&lt;=12))</f>
        <v>0</v>
      </c>
      <c r="AO84" s="199" t="n">
        <f aca="false" t="array" ref="AO84:AO84">SUMPRODUCT((LEFT('⑫ Roll-out Plan'!$E$10:$E$97,1)="E")*('⑫ Roll-out Plan'!$O$10:$O$97)*((('⑫ Roll-out Plan'!$G$10:$G$97-2025)*12+'⑫ Roll-out Plan'!$F$10:$F$97)&lt;=13))</f>
        <v>0</v>
      </c>
      <c r="AP84" s="199" t="n">
        <f aca="false" t="array" ref="AP84:AP84">SUMPRODUCT((LEFT('⑫ Roll-out Plan'!$E$10:$E$97,1)="E")*('⑫ Roll-out Plan'!$O$10:$O$97)*((('⑫ Roll-out Plan'!$G$10:$G$97-2025)*12+'⑫ Roll-out Plan'!$F$10:$F$97)&lt;=14))</f>
        <v>0</v>
      </c>
      <c r="AQ84" s="199" t="n">
        <f aca="false" t="array" ref="AQ84:AQ84">SUMPRODUCT((LEFT('⑫ Roll-out Plan'!$E$10:$E$97,1)="E")*('⑫ Roll-out Plan'!$O$10:$O$97)*((('⑫ Roll-out Plan'!$G$10:$G$97-2025)*12+'⑫ Roll-out Plan'!$F$10:$F$97)&lt;=15))</f>
        <v>0</v>
      </c>
      <c r="AR84" s="199" t="n">
        <f aca="false" t="array" ref="AR84:AR84">SUMPRODUCT((LEFT('⑫ Roll-out Plan'!$E$10:$E$97,1)="E")*('⑫ Roll-out Plan'!$O$10:$O$97)*((('⑫ Roll-out Plan'!$G$10:$G$97-2025)*12+'⑫ Roll-out Plan'!$F$10:$F$97)&lt;=16))</f>
        <v>0</v>
      </c>
      <c r="AS84" s="199" t="n">
        <f aca="false" t="array" ref="AS84:AS84">SUMPRODUCT((LEFT('⑫ Roll-out Plan'!$E$10:$E$97,1)="E")*('⑫ Roll-out Plan'!$O$10:$O$97)*((('⑫ Roll-out Plan'!$G$10:$G$97-2025)*12+'⑫ Roll-out Plan'!$F$10:$F$97)&lt;=17))</f>
        <v>0</v>
      </c>
      <c r="AT84" s="199" t="n">
        <f aca="false" t="array" ref="AT84:AT84">SUMPRODUCT((LEFT('⑫ Roll-out Plan'!$E$10:$E$97,1)="E")*('⑫ Roll-out Plan'!$O$10:$O$97)*((('⑫ Roll-out Plan'!$G$10:$G$97-2025)*12+'⑫ Roll-out Plan'!$F$10:$F$97)&lt;=18))</f>
        <v>0</v>
      </c>
      <c r="AU84" s="199" t="n">
        <f aca="false" t="array" ref="AU84:AU84">SUMPRODUCT((LEFT('⑫ Roll-out Plan'!$E$10:$E$97,1)="E")*('⑫ Roll-out Plan'!$O$10:$O$97)*((('⑫ Roll-out Plan'!$G$10:$G$97-2025)*12+'⑫ Roll-out Plan'!$F$10:$F$97)&lt;=19))</f>
        <v>0</v>
      </c>
      <c r="AV84" s="199" t="n">
        <f aca="false" t="array" ref="AV84:AV84">SUMPRODUCT((LEFT('⑫ Roll-out Plan'!$E$10:$E$97,1)="E")*('⑫ Roll-out Plan'!$O$10:$O$97)*((('⑫ Roll-out Plan'!$G$10:$G$97-2025)*12+'⑫ Roll-out Plan'!$F$10:$F$97)&lt;=20))</f>
        <v>0</v>
      </c>
      <c r="AW84" s="199" t="n">
        <f aca="false" t="array" ref="AW84:AW84">SUMPRODUCT((LEFT('⑫ Roll-out Plan'!$E$10:$E$97,1)="E")*('⑫ Roll-out Plan'!$O$10:$O$97)*((('⑫ Roll-out Plan'!$G$10:$G$97-2025)*12+'⑫ Roll-out Plan'!$F$10:$F$97)&lt;=21))</f>
        <v>0</v>
      </c>
      <c r="AX84" s="199" t="n">
        <f aca="false" t="array" ref="AX84:AX84">SUMPRODUCT((LEFT('⑫ Roll-out Plan'!$E$10:$E$97,1)="E")*('⑫ Roll-out Plan'!$O$10:$O$97)*((('⑫ Roll-out Plan'!$G$10:$G$97-2025)*12+'⑫ Roll-out Plan'!$F$10:$F$97)&lt;=22))</f>
        <v>0</v>
      </c>
      <c r="AY84" s="199" t="n">
        <f aca="false" t="array" ref="AY84:AY84">SUMPRODUCT((LEFT('⑫ Roll-out Plan'!$E$10:$E$97,1)="E")*('⑫ Roll-out Plan'!$O$10:$O$97)*((('⑫ Roll-out Plan'!$G$10:$G$97-2025)*12+'⑫ Roll-out Plan'!$F$10:$F$97)&lt;=23))</f>
        <v>0</v>
      </c>
      <c r="AZ84" s="199" t="n">
        <f aca="false" t="array" ref="AZ84:AZ84">SUMPRODUCT((LEFT('⑫ Roll-out Plan'!$E$10:$E$97,1)="E")*('⑫ Roll-out Plan'!$O$10:$O$97)*((('⑫ Roll-out Plan'!$G$10:$G$97-2025)*12+'⑫ Roll-out Plan'!$F$10:$F$97)&lt;=24))</f>
        <v>0</v>
      </c>
      <c r="BA84" s="199" t="n">
        <f aca="false" t="array" ref="BA84:BA84">SUMPRODUCT((LEFT('⑫ Roll-out Plan'!$E$10:$E$97,1)="E")*('⑫ Roll-out Plan'!$O$10:$O$97)*((('⑫ Roll-out Plan'!$G$10:$G$97-2025)*12+'⑫ Roll-out Plan'!$F$10:$F$97)&lt;=25))</f>
        <v>0</v>
      </c>
      <c r="BB84" s="199" t="n">
        <f aca="false" t="array" ref="BB84:BB84">SUMPRODUCT((LEFT('⑫ Roll-out Plan'!$E$10:$E$97,1)="E")*('⑫ Roll-out Plan'!$O$10:$O$97)*((('⑫ Roll-out Plan'!$G$10:$G$97-2025)*12+'⑫ Roll-out Plan'!$F$10:$F$97)&lt;=26))</f>
        <v>0</v>
      </c>
      <c r="BC84" s="199" t="n">
        <f aca="false" t="array" ref="BC84:BC84">SUMPRODUCT((LEFT('⑫ Roll-out Plan'!$E$10:$E$97,1)="E")*('⑫ Roll-out Plan'!$O$10:$O$97)*((('⑫ Roll-out Plan'!$G$10:$G$97-2025)*12+'⑫ Roll-out Plan'!$F$10:$F$97)&lt;=27))</f>
        <v>0</v>
      </c>
      <c r="BD84" s="199" t="n">
        <f aca="false" t="array" ref="BD84:BD84">SUMPRODUCT((LEFT('⑫ Roll-out Plan'!$E$10:$E$97,1)="E")*('⑫ Roll-out Plan'!$O$10:$O$97)*((('⑫ Roll-out Plan'!$G$10:$G$97-2025)*12+'⑫ Roll-out Plan'!$F$10:$F$97)&lt;=28))</f>
        <v>0</v>
      </c>
      <c r="BE84" s="199" t="n">
        <f aca="false" t="array" ref="BE84:BE84">SUMPRODUCT((LEFT('⑫ Roll-out Plan'!$E$10:$E$97,1)="E")*('⑫ Roll-out Plan'!$O$10:$O$97)*((('⑫ Roll-out Plan'!$G$10:$G$97-2025)*12+'⑫ Roll-out Plan'!$F$10:$F$97)&lt;=29))</f>
        <v>0</v>
      </c>
      <c r="BF84" s="199" t="n">
        <f aca="false" t="array" ref="BF84:BF84">SUMPRODUCT((LEFT('⑫ Roll-out Plan'!$E$10:$E$97,1)="E")*('⑫ Roll-out Plan'!$O$10:$O$97)*((('⑫ Roll-out Plan'!$G$10:$G$97-2025)*12+'⑫ Roll-out Plan'!$F$10:$F$97)&lt;=30))</f>
        <v>0</v>
      </c>
      <c r="BG84" s="199" t="n">
        <f aca="false" t="array" ref="BG84:BG84">SUMPRODUCT((LEFT('⑫ Roll-out Plan'!$E$10:$E$97,1)="E")*('⑫ Roll-out Plan'!$O$10:$O$97)*((('⑫ Roll-out Plan'!$G$10:$G$97-2025)*12+'⑫ Roll-out Plan'!$F$10:$F$97)&lt;=31))</f>
        <v>0</v>
      </c>
      <c r="BH84" s="199" t="n">
        <f aca="false" t="array" ref="BH84:BH84">SUMPRODUCT((LEFT('⑫ Roll-out Plan'!$E$10:$E$97,1)="E")*('⑫ Roll-out Plan'!$O$10:$O$97)*((('⑫ Roll-out Plan'!$G$10:$G$97-2025)*12+'⑫ Roll-out Plan'!$F$10:$F$97)&lt;=32))</f>
        <v>0</v>
      </c>
      <c r="BI84" s="199" t="n">
        <f aca="false" t="array" ref="BI84:BI84">SUMPRODUCT((LEFT('⑫ Roll-out Plan'!$E$10:$E$97,1)="E")*('⑫ Roll-out Plan'!$O$10:$O$97)*((('⑫ Roll-out Plan'!$G$10:$G$97-2025)*12+'⑫ Roll-out Plan'!$F$10:$F$97)&lt;=33))</f>
        <v>0</v>
      </c>
      <c r="BJ84" s="199" t="n">
        <f aca="false" t="array" ref="BJ84:BJ84">SUMPRODUCT((LEFT('⑫ Roll-out Plan'!$E$10:$E$97,1)="E")*('⑫ Roll-out Plan'!$O$10:$O$97)*((('⑫ Roll-out Plan'!$G$10:$G$97-2025)*12+'⑫ Roll-out Plan'!$F$10:$F$97)&lt;=34))</f>
        <v>0</v>
      </c>
      <c r="BK84" s="199" t="n">
        <f aca="false" t="array" ref="BK84:BK84">SUMPRODUCT((LEFT('⑫ Roll-out Plan'!$E$10:$E$97,1)="E")*('⑫ Roll-out Plan'!$O$10:$O$97)*((('⑫ Roll-out Plan'!$G$10:$G$97-2025)*12+'⑫ Roll-out Plan'!$F$10:$F$97)&lt;=35))</f>
        <v>0</v>
      </c>
      <c r="BL84" s="199" t="n">
        <f aca="false" t="array" ref="BL84:BL84">SUMPRODUCT((LEFT('⑫ Roll-out Plan'!$E$10:$E$97,1)="E")*('⑫ Roll-out Plan'!$O$10:$O$97)*((('⑫ Roll-out Plan'!$G$10:$G$97-2025)*12+'⑫ Roll-out Plan'!$F$10:$F$97)&lt;=36))</f>
        <v>0</v>
      </c>
      <c r="BM84" s="199" t="n">
        <f aca="false" t="array" ref="BM84:BM84">SUMPRODUCT((LEFT('⑫ Roll-out Plan'!$E$10:$E$97,1)="E")*('⑫ Roll-out Plan'!$O$10:$O$97)*((('⑫ Roll-out Plan'!$G$10:$G$97-2025)*12+'⑫ Roll-out Plan'!$F$10:$F$97)&lt;=37))</f>
        <v>0</v>
      </c>
      <c r="BN84" s="199" t="n">
        <f aca="false" t="array" ref="BN84:BN84">SUMPRODUCT((LEFT('⑫ Roll-out Plan'!$E$10:$E$97,1)="E")*('⑫ Roll-out Plan'!$O$10:$O$97)*((('⑫ Roll-out Plan'!$G$10:$G$97-2025)*12+'⑫ Roll-out Plan'!$F$10:$F$97)&lt;=38))</f>
        <v>0</v>
      </c>
      <c r="BO84" s="199" t="n">
        <f aca="false" t="array" ref="BO84:BO84">SUMPRODUCT((LEFT('⑫ Roll-out Plan'!$E$10:$E$97,1)="E")*('⑫ Roll-out Plan'!$O$10:$O$97)*((('⑫ Roll-out Plan'!$G$10:$G$97-2025)*12+'⑫ Roll-out Plan'!$F$10:$F$97)&lt;=39))</f>
        <v>0</v>
      </c>
      <c r="BP84" s="199" t="n">
        <f aca="false" t="array" ref="BP84:BP84">SUMPRODUCT((LEFT('⑫ Roll-out Plan'!$E$10:$E$97,1)="E")*('⑫ Roll-out Plan'!$O$10:$O$97)*((('⑫ Roll-out Plan'!$G$10:$G$97-2025)*12+'⑫ Roll-out Plan'!$F$10:$F$97)&lt;=40))</f>
        <v>0</v>
      </c>
      <c r="BQ84" s="199" t="n">
        <f aca="false" t="array" ref="BQ84:BQ84">SUMPRODUCT((LEFT('⑫ Roll-out Plan'!$E$10:$E$97,1)="E")*('⑫ Roll-out Plan'!$O$10:$O$97)*((('⑫ Roll-out Plan'!$G$10:$G$97-2025)*12+'⑫ Roll-out Plan'!$F$10:$F$97)&lt;=41))</f>
        <v>0</v>
      </c>
      <c r="BR84" s="199" t="n">
        <f aca="false" t="array" ref="BR84:BR84">SUMPRODUCT((LEFT('⑫ Roll-out Plan'!$E$10:$E$97,1)="E")*('⑫ Roll-out Plan'!$O$10:$O$97)*((('⑫ Roll-out Plan'!$G$10:$G$97-2025)*12+'⑫ Roll-out Plan'!$F$10:$F$97)&lt;=42))</f>
        <v>0</v>
      </c>
      <c r="BS84" s="199" t="n">
        <f aca="false" t="array" ref="BS84:BS84">SUMPRODUCT((LEFT('⑫ Roll-out Plan'!$E$10:$E$97,1)="E")*('⑫ Roll-out Plan'!$O$10:$O$97)*((('⑫ Roll-out Plan'!$G$10:$G$97-2025)*12+'⑫ Roll-out Plan'!$F$10:$F$97)&lt;=43))</f>
        <v>0</v>
      </c>
      <c r="BT84" s="199" t="n">
        <f aca="false" t="array" ref="BT84:BT84">SUMPRODUCT((LEFT('⑫ Roll-out Plan'!$E$10:$E$97,1)="E")*('⑫ Roll-out Plan'!$O$10:$O$97)*((('⑫ Roll-out Plan'!$G$10:$G$97-2025)*12+'⑫ Roll-out Plan'!$F$10:$F$97)&lt;=44))</f>
        <v>0</v>
      </c>
      <c r="BU84" s="199" t="n">
        <f aca="false" t="array" ref="BU84:BU84">SUMPRODUCT((LEFT('⑫ Roll-out Plan'!$E$10:$E$97,1)="E")*('⑫ Roll-out Plan'!$O$10:$O$97)*((('⑫ Roll-out Plan'!$G$10:$G$97-2025)*12+'⑫ Roll-out Plan'!$F$10:$F$97)&lt;=45))</f>
        <v>0</v>
      </c>
      <c r="BV84" s="199" t="n">
        <f aca="false" t="array" ref="BV84:BV84">SUMPRODUCT((LEFT('⑫ Roll-out Plan'!$E$10:$E$97,1)="E")*('⑫ Roll-out Plan'!$O$10:$O$97)*((('⑫ Roll-out Plan'!$G$10:$G$97-2025)*12+'⑫ Roll-out Plan'!$F$10:$F$97)&lt;=46))</f>
        <v>0</v>
      </c>
      <c r="BW84" s="199" t="n">
        <f aca="false" t="array" ref="BW84:BW84">SUMPRODUCT((LEFT('⑫ Roll-out Plan'!$E$10:$E$97,1)="E")*('⑫ Roll-out Plan'!$O$10:$O$97)*((('⑫ Roll-out Plan'!$G$10:$G$97-2025)*12+'⑫ Roll-out Plan'!$F$10:$F$97)&lt;=47))</f>
        <v>0</v>
      </c>
      <c r="BX84" s="199" t="n">
        <f aca="false" t="array" ref="BX84:BX84">SUMPRODUCT((LEFT('⑫ Roll-out Plan'!$E$10:$E$97,1)="E")*('⑫ Roll-out Plan'!$O$10:$O$97)*((('⑫ Roll-out Plan'!$G$10:$G$97-2025)*12+'⑫ Roll-out Plan'!$F$10:$F$97)&lt;=48))</f>
        <v>0</v>
      </c>
      <c r="BY84" s="199" t="n">
        <f aca="false" t="array" ref="BY84:BY84">SUMPRODUCT((LEFT('⑫ Roll-out Plan'!$E$10:$E$97,1)="E")*('⑫ Roll-out Plan'!$O$10:$O$97)*((('⑫ Roll-out Plan'!$G$10:$G$97-2025)*12+'⑫ Roll-out Plan'!$F$10:$F$97)&lt;=49))</f>
        <v>0</v>
      </c>
      <c r="BZ84" s="199" t="n">
        <f aca="false" t="array" ref="BZ84:BZ84">SUMPRODUCT((LEFT('⑫ Roll-out Plan'!$E$10:$E$97,1)="E")*('⑫ Roll-out Plan'!$O$10:$O$97)*((('⑫ Roll-out Plan'!$G$10:$G$97-2025)*12+'⑫ Roll-out Plan'!$F$10:$F$97)&lt;=50))</f>
        <v>0</v>
      </c>
      <c r="CA84" s="199" t="n">
        <f aca="false" t="array" ref="CA84:CA84">SUMPRODUCT((LEFT('⑫ Roll-out Plan'!$E$10:$E$97,1)="E")*('⑫ Roll-out Plan'!$O$10:$O$97)*((('⑫ Roll-out Plan'!$G$10:$G$97-2025)*12+'⑫ Roll-out Plan'!$F$10:$F$97)&lt;=51))</f>
        <v>0</v>
      </c>
      <c r="CB84" s="199" t="n">
        <f aca="false" t="array" ref="CB84:CB84">SUMPRODUCT((LEFT('⑫ Roll-out Plan'!$E$10:$E$97,1)="E")*('⑫ Roll-out Plan'!$O$10:$O$97)*((('⑫ Roll-out Plan'!$G$10:$G$97-2025)*12+'⑫ Roll-out Plan'!$F$10:$F$97)&lt;=52))</f>
        <v>0</v>
      </c>
      <c r="CC84" s="199" t="n">
        <f aca="false" t="array" ref="CC84:CC84">SUMPRODUCT((LEFT('⑫ Roll-out Plan'!$E$10:$E$97,1)="E")*('⑫ Roll-out Plan'!$O$10:$O$97)*((('⑫ Roll-out Plan'!$G$10:$G$97-2025)*12+'⑫ Roll-out Plan'!$F$10:$F$97)&lt;=53))</f>
        <v>0</v>
      </c>
      <c r="CD84" s="199" t="n">
        <f aca="false" t="array" ref="CD84:CD84">SUMPRODUCT((LEFT('⑫ Roll-out Plan'!$E$10:$E$97,1)="E")*('⑫ Roll-out Plan'!$O$10:$O$97)*((('⑫ Roll-out Plan'!$G$10:$G$97-2025)*12+'⑫ Roll-out Plan'!$F$10:$F$97)&lt;=54))</f>
        <v>0</v>
      </c>
      <c r="CE84" s="199" t="n">
        <f aca="false" t="array" ref="CE84:CE84">SUMPRODUCT((LEFT('⑫ Roll-out Plan'!$E$10:$E$97,1)="E")*('⑫ Roll-out Plan'!$O$10:$O$97)*((('⑫ Roll-out Plan'!$G$10:$G$97-2025)*12+'⑫ Roll-out Plan'!$F$10:$F$97)&lt;=55))</f>
        <v>0</v>
      </c>
      <c r="CF84" s="199" t="n">
        <f aca="false" t="array" ref="CF84:CF84">SUMPRODUCT((LEFT('⑫ Roll-out Plan'!$E$10:$E$97,1)="E")*('⑫ Roll-out Plan'!$O$10:$O$97)*((('⑫ Roll-out Plan'!$G$10:$G$97-2025)*12+'⑫ Roll-out Plan'!$F$10:$F$97)&lt;=56))</f>
        <v>0</v>
      </c>
      <c r="CG84" s="199" t="n">
        <f aca="false" t="array" ref="CG84:CG84">SUMPRODUCT((LEFT('⑫ Roll-out Plan'!$E$10:$E$97,1)="E")*('⑫ Roll-out Plan'!$O$10:$O$97)*((('⑫ Roll-out Plan'!$G$10:$G$97-2025)*12+'⑫ Roll-out Plan'!$F$10:$F$97)&lt;=57))</f>
        <v>0</v>
      </c>
      <c r="CH84" s="199" t="n">
        <f aca="false" t="array" ref="CH84:CH84">SUMPRODUCT((LEFT('⑫ Roll-out Plan'!$E$10:$E$97,1)="E")*('⑫ Roll-out Plan'!$O$10:$O$97)*((('⑫ Roll-out Plan'!$G$10:$G$97-2025)*12+'⑫ Roll-out Plan'!$F$10:$F$97)&lt;=58))</f>
        <v>0</v>
      </c>
      <c r="CI84" s="199" t="n">
        <f aca="false" t="array" ref="CI84:CI84">SUMPRODUCT((LEFT('⑫ Roll-out Plan'!$E$10:$E$97,1)="E")*('⑫ Roll-out Plan'!$O$10:$O$97)*((('⑫ Roll-out Plan'!$G$10:$G$97-2025)*12+'⑫ Roll-out Plan'!$F$10:$F$97)&lt;=59))</f>
        <v>0</v>
      </c>
      <c r="CJ84" s="199" t="n">
        <f aca="false" t="array" ref="CJ84:CJ84">SUMPRODUCT((LEFT('⑫ Roll-out Plan'!$E$10:$E$97,1)="E")*('⑫ Roll-out Plan'!$O$10:$O$97)*((('⑫ Roll-out Plan'!$G$10:$G$97-2025)*12+'⑫ Roll-out Plan'!$F$10:$F$97)&lt;=60))</f>
        <v>0</v>
      </c>
      <c r="CK84" s="199" t="n">
        <f aca="false" t="array" ref="CK84:CK84">SUMPRODUCT((LEFT('⑫ Roll-out Plan'!$E$10:$E$97,1)="E")*('⑫ Roll-out Plan'!$O$10:$O$97)*((('⑫ Roll-out Plan'!$G$10:$G$97-2025)*12+'⑫ Roll-out Plan'!$F$10:$F$97)&lt;=61))</f>
        <v>0</v>
      </c>
      <c r="CL84" s="199" t="n">
        <f aca="false" t="array" ref="CL84:CL84">SUMPRODUCT((LEFT('⑫ Roll-out Plan'!$E$10:$E$97,1)="E")*('⑫ Roll-out Plan'!$O$10:$O$97)*((('⑫ Roll-out Plan'!$G$10:$G$97-2025)*12+'⑫ Roll-out Plan'!$F$10:$F$97)&lt;=62))</f>
        <v>0</v>
      </c>
      <c r="CM84" s="199" t="n">
        <f aca="false" t="array" ref="CM84:CM84">SUMPRODUCT((LEFT('⑫ Roll-out Plan'!$E$10:$E$97,1)="E")*('⑫ Roll-out Plan'!$O$10:$O$97)*((('⑫ Roll-out Plan'!$G$10:$G$97-2025)*12+'⑫ Roll-out Plan'!$F$10:$F$97)&lt;=63))</f>
        <v>0</v>
      </c>
      <c r="CN84" s="199" t="n">
        <f aca="false" t="array" ref="CN84:CN84">SUMPRODUCT((LEFT('⑫ Roll-out Plan'!$E$10:$E$97,1)="E")*('⑫ Roll-out Plan'!$O$10:$O$97)*((('⑫ Roll-out Plan'!$G$10:$G$97-2025)*12+'⑫ Roll-out Plan'!$F$10:$F$97)&lt;=64))</f>
        <v>0</v>
      </c>
      <c r="CO84" s="199" t="n">
        <f aca="false" t="array" ref="CO84:CO84">SUMPRODUCT((LEFT('⑫ Roll-out Plan'!$E$10:$E$97,1)="E")*('⑫ Roll-out Plan'!$O$10:$O$97)*((('⑫ Roll-out Plan'!$G$10:$G$97-2025)*12+'⑫ Roll-out Plan'!$F$10:$F$97)&lt;=65))</f>
        <v>0</v>
      </c>
      <c r="CP84" s="199" t="n">
        <f aca="false" t="array" ref="CP84:CP84">SUMPRODUCT((LEFT('⑫ Roll-out Plan'!$E$10:$E$97,1)="E")*('⑫ Roll-out Plan'!$O$10:$O$97)*((('⑫ Roll-out Plan'!$G$10:$G$97-2025)*12+'⑫ Roll-out Plan'!$F$10:$F$97)&lt;=66))</f>
        <v>0</v>
      </c>
      <c r="CQ84" s="199" t="n">
        <f aca="false" t="array" ref="CQ84:CQ84">SUMPRODUCT((LEFT('⑫ Roll-out Plan'!$E$10:$E$97,1)="E")*('⑫ Roll-out Plan'!$O$10:$O$97)*((('⑫ Roll-out Plan'!$G$10:$G$97-2025)*12+'⑫ Roll-out Plan'!$F$10:$F$97)&lt;=67))</f>
        <v>0</v>
      </c>
      <c r="CR84" s="199" t="n">
        <f aca="false" t="array" ref="CR84:CR84">SUMPRODUCT((LEFT('⑫ Roll-out Plan'!$E$10:$E$97,1)="E")*('⑫ Roll-out Plan'!$O$10:$O$97)*((('⑫ Roll-out Plan'!$G$10:$G$97-2025)*12+'⑫ Roll-out Plan'!$F$10:$F$97)&lt;=68))</f>
        <v>0</v>
      </c>
      <c r="CS84" s="199" t="n">
        <f aca="false" t="array" ref="CS84:CS84">SUMPRODUCT((LEFT('⑫ Roll-out Plan'!$E$10:$E$97,1)="E")*('⑫ Roll-out Plan'!$O$10:$O$97)*((('⑫ Roll-out Plan'!$G$10:$G$97-2025)*12+'⑫ Roll-out Plan'!$F$10:$F$97)&lt;=69))</f>
        <v>0</v>
      </c>
      <c r="CT84" s="199" t="n">
        <f aca="false" t="array" ref="CT84:CT84">SUMPRODUCT((LEFT('⑫ Roll-out Plan'!$E$10:$E$97,1)="E")*('⑫ Roll-out Plan'!$O$10:$O$97)*((('⑫ Roll-out Plan'!$G$10:$G$97-2025)*12+'⑫ Roll-out Plan'!$F$10:$F$97)&lt;=70))</f>
        <v>0</v>
      </c>
      <c r="CU84" s="199" t="n">
        <f aca="false" t="array" ref="CU84:CU84">SUMPRODUCT((LEFT('⑫ Roll-out Plan'!$E$10:$E$97,1)="E")*('⑫ Roll-out Plan'!$O$10:$O$97)*((('⑫ Roll-out Plan'!$G$10:$G$97-2025)*12+'⑫ Roll-out Plan'!$F$10:$F$97)&lt;=71))</f>
        <v>0</v>
      </c>
      <c r="CV84" s="199" t="n">
        <f aca="false" t="array" ref="CV84:CV84">SUMPRODUCT((LEFT('⑫ Roll-out Plan'!$E$10:$E$97,1)="E")*('⑫ Roll-out Plan'!$O$10:$O$97)*((('⑫ Roll-out Plan'!$G$10:$G$97-2025)*12+'⑫ Roll-out Plan'!$F$10:$F$97)&lt;=72))</f>
        <v>0</v>
      </c>
      <c r="CW84" s="199" t="n">
        <f aca="false" t="array" ref="CW84:CW84">SUMPRODUCT((LEFT('⑫ Roll-out Plan'!$E$10:$E$97,1)="E")*('⑫ Roll-out Plan'!$O$10:$O$97)*((('⑫ Roll-out Plan'!$G$10:$G$97-2025)*12+'⑫ Roll-out Plan'!$F$10:$F$97)&lt;=73))</f>
        <v>0</v>
      </c>
      <c r="CX84" s="199" t="n">
        <f aca="false" t="array" ref="CX84:CX84">SUMPRODUCT((LEFT('⑫ Roll-out Plan'!$E$10:$E$97,1)="E")*('⑫ Roll-out Plan'!$O$10:$O$97)*((('⑫ Roll-out Plan'!$G$10:$G$97-2025)*12+'⑫ Roll-out Plan'!$F$10:$F$97)&lt;=74))</f>
        <v>0</v>
      </c>
      <c r="CY84" s="199" t="n">
        <f aca="false" t="array" ref="CY84:CY84">SUMPRODUCT((LEFT('⑫ Roll-out Plan'!$E$10:$E$97,1)="E")*('⑫ Roll-out Plan'!$O$10:$O$97)*((('⑫ Roll-out Plan'!$G$10:$G$97-2025)*12+'⑫ Roll-out Plan'!$F$10:$F$97)&lt;=75))</f>
        <v>0</v>
      </c>
      <c r="CZ84" s="199" t="n">
        <f aca="false" t="array" ref="CZ84:CZ84">SUMPRODUCT((LEFT('⑫ Roll-out Plan'!$E$10:$E$97,1)="E")*('⑫ Roll-out Plan'!$O$10:$O$97)*((('⑫ Roll-out Plan'!$G$10:$G$97-2025)*12+'⑫ Roll-out Plan'!$F$10:$F$97)&lt;=76))</f>
        <v>0</v>
      </c>
      <c r="DA84" s="199" t="n">
        <f aca="false" t="array" ref="DA84:DA84">SUMPRODUCT((LEFT('⑫ Roll-out Plan'!$E$10:$E$97,1)="E")*('⑫ Roll-out Plan'!$O$10:$O$97)*((('⑫ Roll-out Plan'!$G$10:$G$97-2025)*12+'⑫ Roll-out Plan'!$F$10:$F$97)&lt;=77))</f>
        <v>0</v>
      </c>
      <c r="DB84" s="199" t="n">
        <f aca="false" t="array" ref="DB84:DB84">SUMPRODUCT((LEFT('⑫ Roll-out Plan'!$E$10:$E$97,1)="E")*('⑫ Roll-out Plan'!$O$10:$O$97)*((('⑫ Roll-out Plan'!$G$10:$G$97-2025)*12+'⑫ Roll-out Plan'!$F$10:$F$97)&lt;=78))</f>
        <v>0</v>
      </c>
      <c r="DC84" s="199" t="n">
        <f aca="false" t="array" ref="DC84:DC84">SUMPRODUCT((LEFT('⑫ Roll-out Plan'!$E$10:$E$97,1)="E")*('⑫ Roll-out Plan'!$O$10:$O$97)*((('⑫ Roll-out Plan'!$G$10:$G$97-2025)*12+'⑫ Roll-out Plan'!$F$10:$F$97)&lt;=79))</f>
        <v>0</v>
      </c>
      <c r="DD84" s="199" t="n">
        <f aca="false" t="array" ref="DD84:DD84">SUMPRODUCT((LEFT('⑫ Roll-out Plan'!$E$10:$E$97,1)="E")*('⑫ Roll-out Plan'!$O$10:$O$97)*((('⑫ Roll-out Plan'!$G$10:$G$97-2025)*12+'⑫ Roll-out Plan'!$F$10:$F$97)&lt;=80))</f>
        <v>0</v>
      </c>
      <c r="DE84" s="199" t="n">
        <f aca="false" t="array" ref="DE84:DE84">SUMPRODUCT((LEFT('⑫ Roll-out Plan'!$E$10:$E$97,1)="E")*('⑫ Roll-out Plan'!$O$10:$O$97)*((('⑫ Roll-out Plan'!$G$10:$G$97-2025)*12+'⑫ Roll-out Plan'!$F$10:$F$97)&lt;=81))</f>
        <v>0</v>
      </c>
      <c r="DF84" s="199" t="n">
        <f aca="false" t="array" ref="DF84:DF84">SUMPRODUCT((LEFT('⑫ Roll-out Plan'!$E$10:$E$97,1)="E")*('⑫ Roll-out Plan'!$O$10:$O$97)*((('⑫ Roll-out Plan'!$G$10:$G$97-2025)*12+'⑫ Roll-out Plan'!$F$10:$F$97)&lt;=82))</f>
        <v>0</v>
      </c>
      <c r="DG84" s="199" t="n">
        <f aca="false" t="array" ref="DG84:DG84">SUMPRODUCT((LEFT('⑫ Roll-out Plan'!$E$10:$E$97,1)="E")*('⑫ Roll-out Plan'!$O$10:$O$97)*((('⑫ Roll-out Plan'!$G$10:$G$97-2025)*12+'⑫ Roll-out Plan'!$F$10:$F$97)&lt;=83))</f>
        <v>0</v>
      </c>
      <c r="DH84" s="199" t="n">
        <f aca="false" t="array" ref="DH84:DH84">SUMPRODUCT((LEFT('⑫ Roll-out Plan'!$E$10:$E$97,1)="E")*('⑫ Roll-out Plan'!$O$10:$O$97)*((('⑫ Roll-out Plan'!$G$10:$G$97-2025)*12+'⑫ Roll-out Plan'!$F$10:$F$97)&lt;=84))</f>
        <v>0</v>
      </c>
      <c r="DI84" s="199" t="n">
        <f aca="false" t="array" ref="DI84:DI84">SUMPRODUCT((LEFT('⑫ Roll-out Plan'!$E$10:$E$97,1)="E")*('⑫ Roll-out Plan'!$O$10:$O$97)*((('⑫ Roll-out Plan'!$G$10:$G$97-2025)*12+'⑫ Roll-out Plan'!$F$10:$F$97)&lt;=85))</f>
        <v>0</v>
      </c>
      <c r="DJ84" s="199" t="n">
        <f aca="false" t="array" ref="DJ84:DJ84">SUMPRODUCT((LEFT('⑫ Roll-out Plan'!$E$10:$E$97,1)="E")*('⑫ Roll-out Plan'!$O$10:$O$97)*((('⑫ Roll-out Plan'!$G$10:$G$97-2025)*12+'⑫ Roll-out Plan'!$F$10:$F$97)&lt;=86))</f>
        <v>0</v>
      </c>
      <c r="DK84" s="199" t="n">
        <f aca="false" t="array" ref="DK84:DK84">SUMPRODUCT((LEFT('⑫ Roll-out Plan'!$E$10:$E$97,1)="E")*('⑫ Roll-out Plan'!$O$10:$O$97)*((('⑫ Roll-out Plan'!$G$10:$G$97-2025)*12+'⑫ Roll-out Plan'!$F$10:$F$97)&lt;=87))</f>
        <v>0</v>
      </c>
      <c r="DL84" s="199" t="n">
        <f aca="false" t="array" ref="DL84:DL84">SUMPRODUCT((LEFT('⑫ Roll-out Plan'!$E$10:$E$97,1)="E")*('⑫ Roll-out Plan'!$O$10:$O$97)*((('⑫ Roll-out Plan'!$G$10:$G$97-2025)*12+'⑫ Roll-out Plan'!$F$10:$F$97)&lt;=88))</f>
        <v>0</v>
      </c>
      <c r="DM84" s="199" t="n">
        <f aca="false" t="array" ref="DM84:DM84">SUMPRODUCT((LEFT('⑫ Roll-out Plan'!$E$10:$E$97,1)="E")*('⑫ Roll-out Plan'!$O$10:$O$97)*((('⑫ Roll-out Plan'!$G$10:$G$97-2025)*12+'⑫ Roll-out Plan'!$F$10:$F$97)&lt;=89))</f>
        <v>0</v>
      </c>
      <c r="DN84" s="199" t="n">
        <f aca="false" t="array" ref="DN84:DN84">SUMPRODUCT((LEFT('⑫ Roll-out Plan'!$E$10:$E$97,1)="E")*('⑫ Roll-out Plan'!$O$10:$O$97)*((('⑫ Roll-out Plan'!$G$10:$G$97-2025)*12+'⑫ Roll-out Plan'!$F$10:$F$97)&lt;=90))</f>
        <v>0</v>
      </c>
      <c r="DO84" s="199" t="n">
        <f aca="false" t="array" ref="DO84:DO84">SUMPRODUCT((LEFT('⑫ Roll-out Plan'!$E$10:$E$97,1)="E")*('⑫ Roll-out Plan'!$O$10:$O$97)*((('⑫ Roll-out Plan'!$G$10:$G$97-2025)*12+'⑫ Roll-out Plan'!$F$10:$F$97)&lt;=91))</f>
        <v>0</v>
      </c>
      <c r="DP84" s="199" t="n">
        <f aca="false" t="array" ref="DP84:DP84">SUMPRODUCT((LEFT('⑫ Roll-out Plan'!$E$10:$E$97,1)="E")*('⑫ Roll-out Plan'!$O$10:$O$97)*((('⑫ Roll-out Plan'!$G$10:$G$97-2025)*12+'⑫ Roll-out Plan'!$F$10:$F$97)&lt;=92))</f>
        <v>0</v>
      </c>
      <c r="DQ84" s="199" t="n">
        <f aca="false" t="array" ref="DQ84:DQ84">SUMPRODUCT((LEFT('⑫ Roll-out Plan'!$E$10:$E$97,1)="E")*('⑫ Roll-out Plan'!$O$10:$O$97)*((('⑫ Roll-out Plan'!$G$10:$G$97-2025)*12+'⑫ Roll-out Plan'!$F$10:$F$97)&lt;=93))</f>
        <v>0</v>
      </c>
      <c r="DR84" s="199" t="n">
        <f aca="false" t="array" ref="DR84:DR84">SUMPRODUCT((LEFT('⑫ Roll-out Plan'!$E$10:$E$97,1)="E")*('⑫ Roll-out Plan'!$O$10:$O$97)*((('⑫ Roll-out Plan'!$G$10:$G$97-2025)*12+'⑫ Roll-out Plan'!$F$10:$F$97)&lt;=94))</f>
        <v>0</v>
      </c>
      <c r="DS84" s="199" t="n">
        <f aca="false" t="array" ref="DS84:DS84">SUMPRODUCT((LEFT('⑫ Roll-out Plan'!$E$10:$E$97,1)="E")*('⑫ Roll-out Plan'!$O$10:$O$97)*((('⑫ Roll-out Plan'!$G$10:$G$97-2025)*12+'⑫ Roll-out Plan'!$F$10:$F$97)&lt;=95))</f>
        <v>0</v>
      </c>
      <c r="DT84" s="199" t="n">
        <f aca="false" t="array" ref="DT84:DT84">SUMPRODUCT((LEFT('⑫ Roll-out Plan'!$E$10:$E$97,1)="E")*('⑫ Roll-out Plan'!$O$10:$O$97)*((('⑫ Roll-out Plan'!$G$10:$G$97-2025)*12+'⑫ Roll-out Plan'!$F$10:$F$97)&lt;=96))</f>
        <v>0</v>
      </c>
      <c r="DU84" s="199" t="n">
        <f aca="false" t="array" ref="DU84:DU84">SUMPRODUCT((LEFT('⑫ Roll-out Plan'!$E$10:$E$97,1)="E")*('⑫ Roll-out Plan'!$O$10:$O$97)*((('⑫ Roll-out Plan'!$G$10:$G$97-2025)*12+'⑫ Roll-out Plan'!$F$10:$F$97)&lt;=97))</f>
        <v>0</v>
      </c>
      <c r="DV84" s="199" t="n">
        <f aca="false" t="array" ref="DV84:DV84">SUMPRODUCT((LEFT('⑫ Roll-out Plan'!$E$10:$E$97,1)="E")*('⑫ Roll-out Plan'!$O$10:$O$97)*((('⑫ Roll-out Plan'!$G$10:$G$97-2025)*12+'⑫ Roll-out Plan'!$F$10:$F$97)&lt;=98))</f>
        <v>0</v>
      </c>
      <c r="DW84" s="199" t="n">
        <f aca="false" t="array" ref="DW84:DW84">SUMPRODUCT((LEFT('⑫ Roll-out Plan'!$E$10:$E$97,1)="E")*('⑫ Roll-out Plan'!$O$10:$O$97)*((('⑫ Roll-out Plan'!$G$10:$G$97-2025)*12+'⑫ Roll-out Plan'!$F$10:$F$97)&lt;=99))</f>
        <v>0</v>
      </c>
      <c r="DX84" s="199" t="n">
        <f aca="false" t="array" ref="DX84:DX84">SUMPRODUCT((LEFT('⑫ Roll-out Plan'!$E$10:$E$97,1)="E")*('⑫ Roll-out Plan'!$O$10:$O$97)*((('⑫ Roll-out Plan'!$G$10:$G$97-2025)*12+'⑫ Roll-out Plan'!$F$10:$F$97)&lt;=100))</f>
        <v>0</v>
      </c>
      <c r="DY84" s="199" t="n">
        <f aca="false" t="array" ref="DY84:DY84">SUMPRODUCT((LEFT('⑫ Roll-out Plan'!$E$10:$E$97,1)="E")*('⑫ Roll-out Plan'!$O$10:$O$97)*((('⑫ Roll-out Plan'!$G$10:$G$97-2025)*12+'⑫ Roll-out Plan'!$F$10:$F$97)&lt;=101))</f>
        <v>0</v>
      </c>
      <c r="DZ84" s="199" t="n">
        <f aca="false" t="array" ref="DZ84:DZ84">SUMPRODUCT((LEFT('⑫ Roll-out Plan'!$E$10:$E$97,1)="E")*('⑫ Roll-out Plan'!$O$10:$O$97)*((('⑫ Roll-out Plan'!$G$10:$G$97-2025)*12+'⑫ Roll-out Plan'!$F$10:$F$97)&lt;=102))</f>
        <v>0</v>
      </c>
      <c r="EA84" s="199" t="n">
        <f aca="false" t="array" ref="EA84:EA84">SUMPRODUCT((LEFT('⑫ Roll-out Plan'!$E$10:$E$97,1)="E")*('⑫ Roll-out Plan'!$O$10:$O$97)*((('⑫ Roll-out Plan'!$G$10:$G$97-2025)*12+'⑫ Roll-out Plan'!$F$10:$F$97)&lt;=103))</f>
        <v>0</v>
      </c>
      <c r="EB84" s="199" t="n">
        <f aca="false" t="array" ref="EB84:EB84">SUMPRODUCT((LEFT('⑫ Roll-out Plan'!$E$10:$E$97,1)="E")*('⑫ Roll-out Plan'!$O$10:$O$97)*((('⑫ Roll-out Plan'!$G$10:$G$97-2025)*12+'⑫ Roll-out Plan'!$F$10:$F$97)&lt;=104))</f>
        <v>0</v>
      </c>
      <c r="EC84" s="199" t="n">
        <f aca="false" t="array" ref="EC84:EC84">SUMPRODUCT((LEFT('⑫ Roll-out Plan'!$E$10:$E$97,1)="E")*('⑫ Roll-out Plan'!$O$10:$O$97)*((('⑫ Roll-out Plan'!$G$10:$G$97-2025)*12+'⑫ Roll-out Plan'!$F$10:$F$97)&lt;=105))</f>
        <v>0</v>
      </c>
      <c r="ED84" s="199" t="n">
        <f aca="false" t="array" ref="ED84:ED84">SUMPRODUCT((LEFT('⑫ Roll-out Plan'!$E$10:$E$97,1)="E")*('⑫ Roll-out Plan'!$O$10:$O$97)*((('⑫ Roll-out Plan'!$G$10:$G$97-2025)*12+'⑫ Roll-out Plan'!$F$10:$F$97)&lt;=106))</f>
        <v>0</v>
      </c>
      <c r="EE84" s="199" t="n">
        <f aca="false" t="array" ref="EE84:EE84">SUMPRODUCT((LEFT('⑫ Roll-out Plan'!$E$10:$E$97,1)="E")*('⑫ Roll-out Plan'!$O$10:$O$97)*((('⑫ Roll-out Plan'!$G$10:$G$97-2025)*12+'⑫ Roll-out Plan'!$F$10:$F$97)&lt;=107))</f>
        <v>0</v>
      </c>
      <c r="EF84" s="199" t="n">
        <f aca="false" t="array" ref="EF84:EF84">SUMPRODUCT((LEFT('⑫ Roll-out Plan'!$E$10:$E$97,1)="E")*('⑫ Roll-out Plan'!$O$10:$O$97)*((('⑫ Roll-out Plan'!$G$10:$G$97-2025)*12+'⑫ Roll-out Plan'!$F$10:$F$97)&lt;=108))</f>
        <v>0</v>
      </c>
      <c r="EG84" s="199" t="n">
        <f aca="false" t="array" ref="EG84:EG84">SUMPRODUCT((LEFT('⑫ Roll-out Plan'!$E$10:$E$97,1)="E")*('⑫ Roll-out Plan'!$O$10:$O$97)*((('⑫ Roll-out Plan'!$G$10:$G$97-2025)*12+'⑫ Roll-out Plan'!$F$10:$F$97)&lt;=109))</f>
        <v>0</v>
      </c>
      <c r="EH84" s="199" t="n">
        <f aca="false" t="array" ref="EH84:EH84">SUMPRODUCT((LEFT('⑫ Roll-out Plan'!$E$10:$E$97,1)="E")*('⑫ Roll-out Plan'!$O$10:$O$97)*((('⑫ Roll-out Plan'!$G$10:$G$97-2025)*12+'⑫ Roll-out Plan'!$F$10:$F$97)&lt;=110))</f>
        <v>0</v>
      </c>
      <c r="EI84" s="199" t="n">
        <f aca="false" t="array" ref="EI84:EI84">SUMPRODUCT((LEFT('⑫ Roll-out Plan'!$E$10:$E$97,1)="E")*('⑫ Roll-out Plan'!$O$10:$O$97)*((('⑫ Roll-out Plan'!$G$10:$G$97-2025)*12+'⑫ Roll-out Plan'!$F$10:$F$97)&lt;=111))</f>
        <v>0</v>
      </c>
      <c r="EJ84" s="199" t="n">
        <f aca="false" t="array" ref="EJ84:EJ84">SUMPRODUCT((LEFT('⑫ Roll-out Plan'!$E$10:$E$97,1)="E")*('⑫ Roll-out Plan'!$O$10:$O$97)*((('⑫ Roll-out Plan'!$G$10:$G$97-2025)*12+'⑫ Roll-out Plan'!$F$10:$F$97)&lt;=112))</f>
        <v>0</v>
      </c>
      <c r="EK84" s="199" t="n">
        <f aca="false" t="array" ref="EK84:EK84">SUMPRODUCT((LEFT('⑫ Roll-out Plan'!$E$10:$E$97,1)="E")*('⑫ Roll-out Plan'!$O$10:$O$97)*((('⑫ Roll-out Plan'!$G$10:$G$97-2025)*12+'⑫ Roll-out Plan'!$F$10:$F$97)&lt;=113))</f>
        <v>0</v>
      </c>
      <c r="EL84" s="199" t="n">
        <f aca="false" t="array" ref="EL84:EL84">SUMPRODUCT((LEFT('⑫ Roll-out Plan'!$E$10:$E$97,1)="E")*('⑫ Roll-out Plan'!$O$10:$O$97)*((('⑫ Roll-out Plan'!$G$10:$G$97-2025)*12+'⑫ Roll-out Plan'!$F$10:$F$97)&lt;=114))</f>
        <v>0</v>
      </c>
      <c r="EM84" s="199" t="n">
        <f aca="false" t="array" ref="EM84:EM84">SUMPRODUCT((LEFT('⑫ Roll-out Plan'!$E$10:$E$97,1)="E")*('⑫ Roll-out Plan'!$O$10:$O$97)*((('⑫ Roll-out Plan'!$G$10:$G$97-2025)*12+'⑫ Roll-out Plan'!$F$10:$F$97)&lt;=115))</f>
        <v>0</v>
      </c>
      <c r="EN84" s="199" t="n">
        <f aca="false" t="array" ref="EN84:EN84">SUMPRODUCT((LEFT('⑫ Roll-out Plan'!$E$10:$E$97,1)="E")*('⑫ Roll-out Plan'!$O$10:$O$97)*((('⑫ Roll-out Plan'!$G$10:$G$97-2025)*12+'⑫ Roll-out Plan'!$F$10:$F$97)&lt;=116))</f>
        <v>0</v>
      </c>
      <c r="EO84" s="199" t="n">
        <f aca="false" t="array" ref="EO84:EO84">SUMPRODUCT((LEFT('⑫ Roll-out Plan'!$E$10:$E$97,1)="E")*('⑫ Roll-out Plan'!$O$10:$O$97)*((('⑫ Roll-out Plan'!$G$10:$G$97-2025)*12+'⑫ Roll-out Plan'!$F$10:$F$97)&lt;=117))</f>
        <v>0</v>
      </c>
      <c r="EP84" s="199" t="n">
        <f aca="false" t="array" ref="EP84:EP84">SUMPRODUCT((LEFT('⑫ Roll-out Plan'!$E$10:$E$97,1)="E")*('⑫ Roll-out Plan'!$O$10:$O$97)*((('⑫ Roll-out Plan'!$G$10:$G$97-2025)*12+'⑫ Roll-out Plan'!$F$10:$F$97)&lt;=118))</f>
        <v>0</v>
      </c>
      <c r="EQ84" s="199" t="n">
        <f aca="false" t="array" ref="EQ84:EQ84">SUMPRODUCT((LEFT('⑫ Roll-out Plan'!$E$10:$E$97,1)="E")*('⑫ Roll-out Plan'!$O$10:$O$97)*((('⑫ Roll-out Plan'!$G$10:$G$97-2025)*12+'⑫ Roll-out Plan'!$F$10:$F$97)&lt;=119))</f>
        <v>0</v>
      </c>
      <c r="ER84" s="199" t="n">
        <f aca="false" t="array" ref="ER84:ER84">SUMPRODUCT((LEFT('⑫ Roll-out Plan'!$E$10:$E$97,1)="E")*('⑫ Roll-out Plan'!$O$10:$O$97)*((('⑫ Roll-out Plan'!$G$10:$G$97-2025)*12+'⑫ Roll-out Plan'!$F$10:$F$97)&lt;=120))</f>
        <v>0</v>
      </c>
    </row>
    <row r="85" customFormat="false" ht="15" hidden="false" customHeight="false" outlineLevel="0" collapsed="false">
      <c r="B85" s="293" t="s">
        <v>1193</v>
      </c>
      <c r="C85" s="185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218" t="n">
        <f aca="false">SUM(AC80:AC84)</f>
        <v>1</v>
      </c>
      <c r="AD85" s="218" t="n">
        <f aca="false">SUM(AD80:AD84)</f>
        <v>2</v>
      </c>
      <c r="AE85" s="218" t="n">
        <f aca="false">SUM(AE80:AE84)</f>
        <v>2</v>
      </c>
      <c r="AF85" s="218" t="n">
        <f aca="false">SUM(AF80:AF84)</f>
        <v>2</v>
      </c>
      <c r="AG85" s="218" t="n">
        <f aca="false">SUM(AG80:AG84)</f>
        <v>3</v>
      </c>
      <c r="AH85" s="218" t="n">
        <f aca="false">SUM(AH80:AH84)</f>
        <v>3</v>
      </c>
      <c r="AI85" s="218" t="n">
        <f aca="false">SUM(AI80:AI84)</f>
        <v>3</v>
      </c>
      <c r="AJ85" s="218" t="n">
        <f aca="false">SUM(AJ80:AJ84)</f>
        <v>3</v>
      </c>
      <c r="AK85" s="218" t="n">
        <f aca="false">SUM(AK80:AK84)</f>
        <v>3</v>
      </c>
      <c r="AL85" s="218" t="n">
        <f aca="false">SUM(AL80:AL84)</f>
        <v>3</v>
      </c>
      <c r="AM85" s="218" t="n">
        <f aca="false">SUM(AM80:AM84)</f>
        <v>3</v>
      </c>
      <c r="AN85" s="218" t="n">
        <f aca="false">SUM(AN80:AN84)</f>
        <v>4</v>
      </c>
      <c r="AO85" s="218" t="n">
        <f aca="false">SUM(AO80:AO84)</f>
        <v>4</v>
      </c>
      <c r="AP85" s="218" t="n">
        <f aca="false">SUM(AP80:AP84)</f>
        <v>4</v>
      </c>
      <c r="AQ85" s="218" t="n">
        <f aca="false">SUM(AQ80:AQ84)</f>
        <v>4</v>
      </c>
      <c r="AR85" s="218" t="n">
        <f aca="false">SUM(AR80:AR84)</f>
        <v>4</v>
      </c>
      <c r="AS85" s="218" t="n">
        <f aca="false">SUM(AS80:AS84)</f>
        <v>4</v>
      </c>
      <c r="AT85" s="218" t="n">
        <f aca="false">SUM(AT80:AT84)</f>
        <v>4</v>
      </c>
      <c r="AU85" s="218" t="n">
        <f aca="false">SUM(AU80:AU84)</f>
        <v>4</v>
      </c>
      <c r="AV85" s="218" t="n">
        <f aca="false">SUM(AV80:AV84)</f>
        <v>4</v>
      </c>
      <c r="AW85" s="218" t="n">
        <f aca="false">SUM(AW80:AW84)</f>
        <v>4</v>
      </c>
      <c r="AX85" s="218" t="n">
        <f aca="false">SUM(AX80:AX84)</f>
        <v>4</v>
      </c>
      <c r="AY85" s="218" t="n">
        <f aca="false">SUM(AY80:AY84)</f>
        <v>4</v>
      </c>
      <c r="AZ85" s="218" t="n">
        <f aca="false">SUM(AZ80:AZ84)</f>
        <v>4</v>
      </c>
      <c r="BA85" s="218" t="n">
        <f aca="false">SUM(BA80:BA84)</f>
        <v>5</v>
      </c>
      <c r="BB85" s="218" t="n">
        <f aca="false">SUM(BB80:BB84)</f>
        <v>6</v>
      </c>
      <c r="BC85" s="218" t="n">
        <f aca="false">SUM(BC80:BC84)</f>
        <v>7</v>
      </c>
      <c r="BD85" s="218" t="n">
        <f aca="false">SUM(BD80:BD84)</f>
        <v>8</v>
      </c>
      <c r="BE85" s="218" t="n">
        <f aca="false">SUM(BE80:BE84)</f>
        <v>8</v>
      </c>
      <c r="BF85" s="218" t="n">
        <f aca="false">SUM(BF80:BF84)</f>
        <v>9</v>
      </c>
      <c r="BG85" s="218" t="n">
        <f aca="false">SUM(BG80:BG84)</f>
        <v>9</v>
      </c>
      <c r="BH85" s="218" t="n">
        <f aca="false">SUM(BH80:BH84)</f>
        <v>10</v>
      </c>
      <c r="BI85" s="218" t="n">
        <f aca="false">SUM(BI80:BI84)</f>
        <v>10</v>
      </c>
      <c r="BJ85" s="218" t="n">
        <f aca="false">SUM(BJ80:BJ84)</f>
        <v>11</v>
      </c>
      <c r="BK85" s="218" t="n">
        <f aca="false">SUM(BK80:BK84)</f>
        <v>11</v>
      </c>
      <c r="BL85" s="218" t="n">
        <f aca="false">SUM(BL80:BL84)</f>
        <v>11</v>
      </c>
      <c r="BM85" s="218" t="n">
        <f aca="false">SUM(BM80:BM84)</f>
        <v>11</v>
      </c>
      <c r="BN85" s="218" t="n">
        <f aca="false">SUM(BN80:BN84)</f>
        <v>11</v>
      </c>
      <c r="BO85" s="218" t="n">
        <f aca="false">SUM(BO80:BO84)</f>
        <v>12</v>
      </c>
      <c r="BP85" s="218" t="n">
        <f aca="false">SUM(BP80:BP84)</f>
        <v>12</v>
      </c>
      <c r="BQ85" s="218" t="n">
        <f aca="false">SUM(BQ80:BQ84)</f>
        <v>13</v>
      </c>
      <c r="BR85" s="218" t="n">
        <f aca="false">SUM(BR80:BR84)</f>
        <v>13</v>
      </c>
      <c r="BS85" s="218" t="n">
        <f aca="false">SUM(BS80:BS84)</f>
        <v>14</v>
      </c>
      <c r="BT85" s="218" t="n">
        <f aca="false">SUM(BT80:BT84)</f>
        <v>14</v>
      </c>
      <c r="BU85" s="218" t="n">
        <f aca="false">SUM(BU80:BU84)</f>
        <v>16</v>
      </c>
      <c r="BV85" s="218" t="n">
        <f aca="false">SUM(BV80:BV84)</f>
        <v>16</v>
      </c>
      <c r="BW85" s="218" t="n">
        <f aca="false">SUM(BW80:BW84)</f>
        <v>17</v>
      </c>
      <c r="BX85" s="218" t="n">
        <f aca="false">SUM(BX80:BX84)</f>
        <v>18</v>
      </c>
      <c r="BY85" s="218" t="n">
        <f aca="false">SUM(BY80:BY84)</f>
        <v>18</v>
      </c>
      <c r="BZ85" s="218" t="n">
        <f aca="false">SUM(BZ80:BZ84)</f>
        <v>18</v>
      </c>
      <c r="CA85" s="218" t="n">
        <f aca="false">SUM(CA80:CA84)</f>
        <v>18</v>
      </c>
      <c r="CB85" s="218" t="n">
        <f aca="false">SUM(CB80:CB84)</f>
        <v>18</v>
      </c>
      <c r="CC85" s="218" t="n">
        <f aca="false">SUM(CC80:CC84)</f>
        <v>18</v>
      </c>
      <c r="CD85" s="218" t="n">
        <f aca="false">SUM(CD80:CD84)</f>
        <v>18</v>
      </c>
      <c r="CE85" s="218" t="n">
        <f aca="false">SUM(CE80:CE84)</f>
        <v>18</v>
      </c>
      <c r="CF85" s="218" t="n">
        <f aca="false">SUM(CF80:CF84)</f>
        <v>19</v>
      </c>
      <c r="CG85" s="218" t="n">
        <f aca="false">SUM(CG80:CG84)</f>
        <v>19</v>
      </c>
      <c r="CH85" s="218" t="n">
        <f aca="false">SUM(CH80:CH84)</f>
        <v>19</v>
      </c>
      <c r="CI85" s="218" t="n">
        <f aca="false">SUM(CI80:CI84)</f>
        <v>19</v>
      </c>
      <c r="CJ85" s="218" t="n">
        <f aca="false">SUM(CJ80:CJ84)</f>
        <v>19</v>
      </c>
      <c r="CK85" s="218" t="n">
        <f aca="false">SUM(CK80:CK84)</f>
        <v>20</v>
      </c>
      <c r="CL85" s="218" t="n">
        <f aca="false">SUM(CL80:CL84)</f>
        <v>21</v>
      </c>
      <c r="CM85" s="218" t="n">
        <f aca="false">SUM(CM80:CM84)</f>
        <v>21</v>
      </c>
      <c r="CN85" s="218" t="n">
        <f aca="false">SUM(CN80:CN84)</f>
        <v>22</v>
      </c>
      <c r="CO85" s="218" t="n">
        <f aca="false">SUM(CO80:CO84)</f>
        <v>22</v>
      </c>
      <c r="CP85" s="218" t="n">
        <f aca="false">SUM(CP80:CP84)</f>
        <v>23</v>
      </c>
      <c r="CQ85" s="218" t="n">
        <f aca="false">SUM(CQ80:CQ84)</f>
        <v>23</v>
      </c>
      <c r="CR85" s="218" t="n">
        <f aca="false">SUM(CR80:CR84)</f>
        <v>23</v>
      </c>
      <c r="CS85" s="218" t="n">
        <f aca="false">SUM(CS80:CS84)</f>
        <v>23</v>
      </c>
      <c r="CT85" s="218" t="n">
        <f aca="false">SUM(CT80:CT84)</f>
        <v>23</v>
      </c>
      <c r="CU85" s="218" t="n">
        <f aca="false">SUM(CU80:CU84)</f>
        <v>23</v>
      </c>
      <c r="CV85" s="218" t="n">
        <f aca="false">SUM(CV80:CV84)</f>
        <v>23</v>
      </c>
      <c r="CW85" s="218" t="n">
        <f aca="false">SUM(CW80:CW84)</f>
        <v>24</v>
      </c>
      <c r="CX85" s="218" t="n">
        <f aca="false">SUM(CX80:CX84)</f>
        <v>25</v>
      </c>
      <c r="CY85" s="218" t="n">
        <f aca="false">SUM(CY80:CY84)</f>
        <v>26</v>
      </c>
      <c r="CZ85" s="218" t="n">
        <f aca="false">SUM(CZ80:CZ84)</f>
        <v>27</v>
      </c>
      <c r="DA85" s="218" t="n">
        <f aca="false">SUM(DA80:DA84)</f>
        <v>29</v>
      </c>
      <c r="DB85" s="218" t="n">
        <f aca="false">SUM(DB80:DB84)</f>
        <v>29</v>
      </c>
      <c r="DC85" s="218" t="n">
        <f aca="false">SUM(DC80:DC84)</f>
        <v>29</v>
      </c>
      <c r="DD85" s="218" t="n">
        <f aca="false">SUM(DD80:DD84)</f>
        <v>29</v>
      </c>
      <c r="DE85" s="218" t="n">
        <f aca="false">SUM(DE80:DE84)</f>
        <v>29</v>
      </c>
      <c r="DF85" s="218" t="n">
        <f aca="false">SUM(DF80:DF84)</f>
        <v>30</v>
      </c>
      <c r="DG85" s="218" t="n">
        <f aca="false">SUM(DG80:DG84)</f>
        <v>30</v>
      </c>
      <c r="DH85" s="218" t="n">
        <f aca="false">SUM(DH80:DH84)</f>
        <v>30</v>
      </c>
      <c r="DI85" s="218" t="n">
        <f aca="false">SUM(DI80:DI84)</f>
        <v>30</v>
      </c>
      <c r="DJ85" s="218" t="n">
        <f aca="false">SUM(DJ80:DJ84)</f>
        <v>30</v>
      </c>
      <c r="DK85" s="218" t="n">
        <f aca="false">SUM(DK80:DK84)</f>
        <v>31</v>
      </c>
      <c r="DL85" s="218" t="n">
        <f aca="false">SUM(DL80:DL84)</f>
        <v>32</v>
      </c>
      <c r="DM85" s="218" t="n">
        <f aca="false">SUM(DM80:DM84)</f>
        <v>32</v>
      </c>
      <c r="DN85" s="218" t="n">
        <f aca="false">SUM(DN80:DN84)</f>
        <v>32</v>
      </c>
      <c r="DO85" s="218" t="n">
        <f aca="false">SUM(DO80:DO84)</f>
        <v>32</v>
      </c>
      <c r="DP85" s="218" t="n">
        <f aca="false">SUM(DP80:DP84)</f>
        <v>33</v>
      </c>
      <c r="DQ85" s="218" t="n">
        <f aca="false">SUM(DQ80:DQ84)</f>
        <v>34</v>
      </c>
      <c r="DR85" s="218" t="n">
        <f aca="false">SUM(DR80:DR84)</f>
        <v>34</v>
      </c>
      <c r="DS85" s="218" t="n">
        <f aca="false">SUM(DS80:DS84)</f>
        <v>34</v>
      </c>
      <c r="DT85" s="218" t="n">
        <f aca="false">SUM(DT80:DT84)</f>
        <v>34</v>
      </c>
      <c r="DU85" s="218" t="n">
        <f aca="false">SUM(DU80:DU84)</f>
        <v>35</v>
      </c>
      <c r="DV85" s="218" t="n">
        <f aca="false">SUM(DV80:DV84)</f>
        <v>36</v>
      </c>
      <c r="DW85" s="218" t="n">
        <f aca="false">SUM(DW80:DW84)</f>
        <v>37</v>
      </c>
      <c r="DX85" s="218" t="n">
        <f aca="false">SUM(DX80:DX84)</f>
        <v>38</v>
      </c>
      <c r="DY85" s="218" t="n">
        <f aca="false">SUM(DY80:DY84)</f>
        <v>39</v>
      </c>
      <c r="DZ85" s="218" t="n">
        <f aca="false">SUM(DZ80:DZ84)</f>
        <v>39</v>
      </c>
      <c r="EA85" s="218" t="n">
        <f aca="false">SUM(EA80:EA84)</f>
        <v>39</v>
      </c>
      <c r="EB85" s="218" t="n">
        <f aca="false">SUM(EB80:EB84)</f>
        <v>39</v>
      </c>
      <c r="EC85" s="218" t="n">
        <f aca="false">SUM(EC80:EC84)</f>
        <v>39</v>
      </c>
      <c r="ED85" s="218" t="n">
        <f aca="false">SUM(ED80:ED84)</f>
        <v>40</v>
      </c>
      <c r="EE85" s="218" t="n">
        <f aca="false">SUM(EE80:EE84)</f>
        <v>41</v>
      </c>
      <c r="EF85" s="218" t="n">
        <f aca="false">SUM(EF80:EF84)</f>
        <v>42</v>
      </c>
      <c r="EG85" s="218" t="n">
        <f aca="false">SUM(EG80:EG84)</f>
        <v>44</v>
      </c>
      <c r="EH85" s="218" t="n">
        <f aca="false">SUM(EH80:EH84)</f>
        <v>46</v>
      </c>
      <c r="EI85" s="218" t="n">
        <f aca="false">SUM(EI80:EI84)</f>
        <v>48</v>
      </c>
      <c r="EJ85" s="218" t="n">
        <f aca="false">SUM(EJ80:EJ84)</f>
        <v>49</v>
      </c>
      <c r="EK85" s="218" t="n">
        <f aca="false">SUM(EK80:EK84)</f>
        <v>49</v>
      </c>
      <c r="EL85" s="218" t="n">
        <f aca="false">SUM(EL80:EL84)</f>
        <v>50</v>
      </c>
      <c r="EM85" s="218" t="n">
        <f aca="false">SUM(EM80:EM84)</f>
        <v>51</v>
      </c>
      <c r="EN85" s="218" t="n">
        <f aca="false">SUM(EN80:EN84)</f>
        <v>52</v>
      </c>
      <c r="EO85" s="218" t="n">
        <f aca="false">SUM(EO80:EO84)</f>
        <v>53</v>
      </c>
      <c r="EP85" s="218" t="n">
        <f aca="false">SUM(EP80:EP84)</f>
        <v>54</v>
      </c>
      <c r="EQ85" s="218" t="n">
        <f aca="false">SUM(EQ80:EQ84)</f>
        <v>54</v>
      </c>
      <c r="ER85" s="218" t="n">
        <f aca="false">SUM(ER80:ER84)</f>
        <v>54</v>
      </c>
    </row>
    <row r="86" customFormat="false" ht="15" hidden="false" customHeight="false" outlineLevel="0" collapsed="false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</row>
    <row r="87" customFormat="false" ht="15" hidden="false" customHeight="false" outlineLevel="0" collapsed="false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</row>
    <row r="88" customFormat="false" ht="15" hidden="false" customHeight="false" outlineLevel="0" collapsed="false">
      <c r="B88" s="185" t="s">
        <v>131</v>
      </c>
      <c r="C88" s="185"/>
      <c r="D88" s="185"/>
      <c r="E88" s="185"/>
      <c r="F88" s="185"/>
      <c r="G88" s="185"/>
      <c r="H88" s="185"/>
      <c r="I88" s="185"/>
      <c r="J88" s="185"/>
      <c r="K88" s="185"/>
      <c r="L88" s="185"/>
      <c r="M88" s="185"/>
      <c r="N88" s="185"/>
      <c r="O88" s="185"/>
      <c r="P88" s="185"/>
      <c r="Q88" s="185"/>
      <c r="R88" s="185"/>
      <c r="S88" s="185"/>
      <c r="T88" s="185"/>
      <c r="U88" s="185"/>
      <c r="V88" s="185"/>
      <c r="W88" s="185"/>
      <c r="X88" s="185"/>
      <c r="Y88" s="185"/>
      <c r="Z88" s="185"/>
      <c r="AA88" s="185"/>
      <c r="AB88" s="185"/>
      <c r="AC88" s="290" t="n">
        <f aca="false">'⑮ Cohort Engine'!AC1038</f>
        <v>5942.16</v>
      </c>
      <c r="AD88" s="290" t="n">
        <f aca="false">'⑮ Cohort Engine'!AD1038</f>
        <v>7334.70048</v>
      </c>
      <c r="AE88" s="290" t="n">
        <f aca="false">'⑮ Cohort Engine'!AE1038</f>
        <v>11112.191328</v>
      </c>
      <c r="AF88" s="290" t="n">
        <f aca="false">'⑮ Cohort Engine'!AF1038</f>
        <v>12314.3424864</v>
      </c>
      <c r="AG88" s="290" t="n">
        <f aca="false">'⑮ Cohort Engine'!AG1038</f>
        <v>15513.32392</v>
      </c>
      <c r="AH88" s="290" t="n">
        <f aca="false">'⑮ Cohort Engine'!AH1038</f>
        <v>15526.2621088</v>
      </c>
      <c r="AI88" s="290" t="n">
        <f aca="false">'⑮ Cohort Engine'!AI1038</f>
        <v>17927.616192</v>
      </c>
      <c r="AJ88" s="290" t="n">
        <f aca="false">'⑮ Cohort Engine'!AJ1038</f>
        <v>32300.0059872</v>
      </c>
      <c r="AK88" s="290" t="n">
        <f aca="false">'⑮ Cohort Engine'!AK1038</f>
        <v>30871.684272</v>
      </c>
      <c r="AL88" s="290" t="n">
        <f aca="false">'⑮ Cohort Engine'!AL1038</f>
        <v>27789.7975552</v>
      </c>
      <c r="AM88" s="290" t="n">
        <f aca="false">'⑮ Cohort Engine'!AM1038</f>
        <v>23567.002704</v>
      </c>
      <c r="AN88" s="290" t="n">
        <f aca="false">'⑮ Cohort Engine'!AN1038</f>
        <v>39132.7138384</v>
      </c>
      <c r="AO88" s="290" t="n">
        <f aca="false">'⑮ Cohort Engine'!AO1038</f>
        <v>46921.6529408</v>
      </c>
      <c r="AP88" s="290" t="n">
        <f aca="false">'⑮ Cohort Engine'!AP1038</f>
        <v>40120.0270928</v>
      </c>
      <c r="AQ88" s="290" t="n">
        <f aca="false">'⑮ Cohort Engine'!AQ1038</f>
        <v>55809.5124768</v>
      </c>
      <c r="AR88" s="290" t="n">
        <f aca="false">'⑮ Cohort Engine'!AR1038</f>
        <v>61526.8135968</v>
      </c>
      <c r="AS88" s="290" t="n">
        <f aca="false">'⑮ Cohort Engine'!AS1038</f>
        <v>58372.0535712</v>
      </c>
      <c r="AT88" s="290" t="n">
        <f aca="false">'⑮ Cohort Engine'!AT1038</f>
        <v>55304.7162384</v>
      </c>
      <c r="AU88" s="290" t="n">
        <f aca="false">'⑮ Cohort Engine'!AU1038</f>
        <v>59481.94455264</v>
      </c>
      <c r="AV88" s="290" t="n">
        <f aca="false">'⑮ Cohort Engine'!AV1038</f>
        <v>94836.574232</v>
      </c>
      <c r="AW88" s="290" t="n">
        <f aca="false">'⑮ Cohort Engine'!AW1038</f>
        <v>91413.4335632</v>
      </c>
      <c r="AX88" s="290" t="n">
        <f aca="false">'⑮ Cohort Engine'!AX1038</f>
        <v>82844.27868352</v>
      </c>
      <c r="AY88" s="290" t="n">
        <f aca="false">'⑮ Cohort Engine'!AY1038</f>
        <v>68583.30461888</v>
      </c>
      <c r="AZ88" s="290" t="n">
        <f aca="false">'⑮ Cohort Engine'!AZ1038</f>
        <v>90375.17558936</v>
      </c>
      <c r="BA88" s="290" t="n">
        <f aca="false">'⑮ Cohort Engine'!BA1038</f>
        <v>101838.3052262</v>
      </c>
      <c r="BB88" s="290" t="n">
        <f aca="false">'⑮ Cohort Engine'!BB1038</f>
        <v>94146.97744272</v>
      </c>
      <c r="BC88" s="290" t="n">
        <f aca="false">'⑮ Cohort Engine'!BC1038</f>
        <v>124803.8011514</v>
      </c>
      <c r="BD88" s="290" t="n">
        <f aca="false">'⑮ Cohort Engine'!BD1038</f>
        <v>134930.6999786</v>
      </c>
      <c r="BE88" s="290" t="n">
        <f aca="false">'⑮ Cohort Engine'!BE1038</f>
        <v>129568.87366756</v>
      </c>
      <c r="BF88" s="290" t="n">
        <f aca="false">'⑮ Cohort Engine'!BF1038</f>
        <v>129246.6617042</v>
      </c>
      <c r="BG88" s="290" t="n">
        <f aca="false">'⑮ Cohort Engine'!BG1038</f>
        <v>135950.73837444</v>
      </c>
      <c r="BH88" s="290" t="n">
        <f aca="false">'⑮ Cohort Engine'!BH1038</f>
        <v>183135.1102528</v>
      </c>
      <c r="BI88" s="290" t="n">
        <f aca="false">'⑮ Cohort Engine'!BI1038</f>
        <v>182534.7169216</v>
      </c>
      <c r="BJ88" s="290" t="n">
        <f aca="false">'⑮ Cohort Engine'!BJ1038</f>
        <v>179624.3469172</v>
      </c>
      <c r="BK88" s="290" t="n">
        <f aca="false">'⑮ Cohort Engine'!BK1038</f>
        <v>162246.05568268</v>
      </c>
      <c r="BL88" s="290" t="n">
        <f aca="false">'⑮ Cohort Engine'!BL1038</f>
        <v>196113.12804664</v>
      </c>
      <c r="BM88" s="290" t="n">
        <f aca="false">'⑮ Cohort Engine'!BM1038</f>
        <v>211021.8637376</v>
      </c>
      <c r="BN88" s="290" t="n">
        <f aca="false">'⑮ Cohort Engine'!BN1038</f>
        <v>195919.65010136</v>
      </c>
      <c r="BO88" s="290" t="n">
        <f aca="false">'⑮ Cohort Engine'!BO1038</f>
        <v>238734.7267744</v>
      </c>
      <c r="BP88" s="290" t="n">
        <f aca="false">'⑮ Cohort Engine'!BP1038</f>
        <v>250166.002872</v>
      </c>
      <c r="BQ88" s="290" t="n">
        <f aca="false">'⑮ Cohort Engine'!BQ1038</f>
        <v>246074.7372608</v>
      </c>
      <c r="BR88" s="290" t="n">
        <f aca="false">'⑮ Cohort Engine'!BR1038</f>
        <v>241166.2087616</v>
      </c>
      <c r="BS88" s="290" t="n">
        <f aca="false">'⑮ Cohort Engine'!BS1038</f>
        <v>258980.26280376</v>
      </c>
      <c r="BT88" s="290" t="n">
        <f aca="false">'⑮ Cohort Engine'!BT1038</f>
        <v>338676.0527744</v>
      </c>
      <c r="BU88" s="290" t="n">
        <f aca="false">'⑮ Cohort Engine'!BU1038</f>
        <v>346813.25182432</v>
      </c>
      <c r="BV88" s="290" t="n">
        <f aca="false">'⑮ Cohort Engine'!BV1038</f>
        <v>328999.02783992</v>
      </c>
      <c r="BW88" s="290" t="n">
        <f aca="false">'⑮ Cohort Engine'!BW1038</f>
        <v>299115.1018622</v>
      </c>
      <c r="BX88" s="290" t="n">
        <f aca="false">'⑮ Cohort Engine'!BX1038</f>
        <v>365044.60036144</v>
      </c>
      <c r="BY88" s="290" t="n">
        <f aca="false">'⑮ Cohort Engine'!BY1038</f>
        <v>394362.94464536</v>
      </c>
      <c r="BZ88" s="290" t="n">
        <f aca="false">'⑮ Cohort Engine'!BZ1038</f>
        <v>361904.58821772</v>
      </c>
      <c r="CA88" s="290" t="n">
        <f aca="false">'⑮ Cohort Engine'!CA1038</f>
        <v>425025.71749504</v>
      </c>
      <c r="CB88" s="290" t="n">
        <f aca="false">'⑮ Cohort Engine'!CB1038</f>
        <v>432405.5206672</v>
      </c>
      <c r="CC88" s="290" t="n">
        <f aca="false">'⑮ Cohort Engine'!CC1038</f>
        <v>416356.1464452</v>
      </c>
      <c r="CD88" s="290" t="n">
        <f aca="false">'⑮ Cohort Engine'!CD1038</f>
        <v>401806.9179528</v>
      </c>
      <c r="CE88" s="290" t="n">
        <f aca="false">'⑮ Cohort Engine'!CE1038</f>
        <v>418226.88043816</v>
      </c>
      <c r="CF88" s="290" t="n">
        <f aca="false">'⑮ Cohort Engine'!CF1038</f>
        <v>501466.57152</v>
      </c>
      <c r="CG88" s="290" t="n">
        <f aca="false">'⑮ Cohort Engine'!CG1038</f>
        <v>494426.6981728</v>
      </c>
      <c r="CH88" s="290" t="n">
        <f aca="false">'⑮ Cohort Engine'!CH1038</f>
        <v>484791.87324952</v>
      </c>
      <c r="CI88" s="290" t="n">
        <f aca="false">'⑮ Cohort Engine'!CI1038</f>
        <v>446419.12567144</v>
      </c>
      <c r="CJ88" s="290" t="n">
        <f aca="false">'⑮ Cohort Engine'!CJ1038</f>
        <v>505932.68910528</v>
      </c>
      <c r="CK88" s="290" t="n">
        <f aca="false">'⑮ Cohort Engine'!CK1038</f>
        <v>527060.1056352</v>
      </c>
      <c r="CL88" s="290" t="n">
        <f aca="false">'⑮ Cohort Engine'!CL1038</f>
        <v>510993.38977888</v>
      </c>
      <c r="CM88" s="290" t="n">
        <f aca="false">'⑮ Cohort Engine'!CM1038</f>
        <v>557500.01732224</v>
      </c>
      <c r="CN88" s="290" t="n">
        <f aca="false">'⑮ Cohort Engine'!CN1038</f>
        <v>565242.25825728</v>
      </c>
      <c r="CO88" s="290" t="n">
        <f aca="false">'⑮ Cohort Engine'!CO1038</f>
        <v>553330.03960268</v>
      </c>
      <c r="CP88" s="290" t="n">
        <f aca="false">'⑮ Cohort Engine'!CP1038</f>
        <v>546127.10429656</v>
      </c>
      <c r="CQ88" s="290" t="n">
        <f aca="false">'⑮ Cohort Engine'!CQ1038</f>
        <v>557019.73168976</v>
      </c>
      <c r="CR88" s="290" t="n">
        <f aca="false">'⑮ Cohort Engine'!CR1038</f>
        <v>603245.7730016</v>
      </c>
      <c r="CS88" s="290" t="n">
        <f aca="false">'⑮ Cohort Engine'!CS1038</f>
        <v>602002.5486272</v>
      </c>
      <c r="CT88" s="290" t="n">
        <f aca="false">'⑮ Cohort Engine'!CT1038</f>
        <v>594959.35653136</v>
      </c>
      <c r="CU88" s="290" t="n">
        <f aca="false">'⑮ Cohort Engine'!CU1038</f>
        <v>572847.6531144</v>
      </c>
      <c r="CV88" s="290" t="n">
        <f aca="false">'⑮ Cohort Engine'!CV1038</f>
        <v>607035.9238992</v>
      </c>
      <c r="CW88" s="290" t="n">
        <f aca="false">'⑮ Cohort Engine'!CW1038</f>
        <v>622035.65722592</v>
      </c>
      <c r="CX88" s="290" t="n">
        <f aca="false">'⑮ Cohort Engine'!CX1038</f>
        <v>613718.96336496</v>
      </c>
      <c r="CY88" s="290" t="n">
        <f aca="false">'⑮ Cohort Engine'!CY1038</f>
        <v>646338.69284096</v>
      </c>
      <c r="CZ88" s="290" t="n">
        <f aca="false">'⑮ Cohort Engine'!CZ1038</f>
        <v>660868.87660064</v>
      </c>
      <c r="DA88" s="290" t="n">
        <f aca="false">'⑮ Cohort Engine'!DA1038</f>
        <v>663910.4764892</v>
      </c>
      <c r="DB88" s="290" t="n">
        <f aca="false">'⑮ Cohort Engine'!DB1038</f>
        <v>658094.94655976</v>
      </c>
      <c r="DC88" s="290" t="n">
        <f aca="false">'⑮ Cohort Engine'!DC1038</f>
        <v>670189.98358104</v>
      </c>
      <c r="DD88" s="290" t="n">
        <f aca="false">'⑮ Cohort Engine'!DD1038</f>
        <v>734804.31848</v>
      </c>
      <c r="DE88" s="290" t="n">
        <f aca="false">'⑮ Cohort Engine'!DE1038</f>
        <v>731785.237056</v>
      </c>
      <c r="DF88" s="290" t="n">
        <f aca="false">'⑮ Cohort Engine'!DF1038</f>
        <v>722569.74438208</v>
      </c>
      <c r="DG88" s="290" t="n">
        <f aca="false">'⑮ Cohort Engine'!DG1038</f>
        <v>694844.26282556</v>
      </c>
      <c r="DH88" s="290" t="n">
        <f aca="false">'⑮ Cohort Engine'!DH1038</f>
        <v>741285.01081776</v>
      </c>
      <c r="DI88" s="290" t="n">
        <f aca="false">'⑮ Cohort Engine'!DI1038</f>
        <v>760866.68739048</v>
      </c>
      <c r="DJ88" s="290" t="n">
        <f aca="false">'⑮ Cohort Engine'!DJ1038</f>
        <v>736532.2070804</v>
      </c>
      <c r="DK88" s="290" t="n">
        <f aca="false">'⑮ Cohort Engine'!DK1038</f>
        <v>789623.68807608</v>
      </c>
      <c r="DL88" s="290" t="n">
        <f aca="false">'⑮ Cohort Engine'!DL1038</f>
        <v>805922.751086</v>
      </c>
      <c r="DM88" s="290" t="n">
        <f aca="false">'⑮ Cohort Engine'!DM1038</f>
        <v>793089.12807856</v>
      </c>
      <c r="DN88" s="290" t="n">
        <f aca="false">'⑮ Cohort Engine'!DN1038</f>
        <v>781349.79018016</v>
      </c>
      <c r="DO88" s="290" t="n">
        <f aca="false">'⑮ Cohort Engine'!DO1038</f>
        <v>795194.12516904</v>
      </c>
      <c r="DP88" s="290" t="n">
        <f aca="false">'⑮ Cohort Engine'!DP1038</f>
        <v>882789.51049568</v>
      </c>
      <c r="DQ88" s="290" t="n">
        <f aca="false">'⑮ Cohort Engine'!DQ1038</f>
        <v>882604.39294432</v>
      </c>
      <c r="DR88" s="290" t="n">
        <f aca="false">'⑮ Cohort Engine'!DR1038</f>
        <v>865609.01144304</v>
      </c>
      <c r="DS88" s="290" t="n">
        <f aca="false">'⑮ Cohort Engine'!DS1038</f>
        <v>826899.81225836</v>
      </c>
      <c r="DT88" s="290" t="n">
        <f aca="false">'⑮ Cohort Engine'!DT1038</f>
        <v>878692.56785</v>
      </c>
      <c r="DU88" s="290" t="n">
        <f aca="false">'⑮ Cohort Engine'!DU1038</f>
        <v>898174.39335408</v>
      </c>
      <c r="DV88" s="290" t="n">
        <f aca="false">'⑮ Cohort Engine'!DV1038</f>
        <v>878613.88079932</v>
      </c>
      <c r="DW88" s="290" t="n">
        <f aca="false">'⑮ Cohort Engine'!DW1038</f>
        <v>923864.70666024</v>
      </c>
      <c r="DX88" s="290" t="n">
        <f aca="false">'⑮ Cohort Engine'!DX1038</f>
        <v>934599.52794408</v>
      </c>
      <c r="DY88" s="290" t="n">
        <f aca="false">'⑮ Cohort Engine'!DY1038</f>
        <v>927825.02759024</v>
      </c>
      <c r="DZ88" s="290" t="n">
        <f aca="false">'⑮ Cohort Engine'!DZ1038</f>
        <v>920396.09198016</v>
      </c>
      <c r="EA88" s="290" t="n">
        <f aca="false">'⑮ Cohort Engine'!EA1038</f>
        <v>933673.25016264</v>
      </c>
      <c r="EB88" s="290" t="n">
        <f aca="false">'⑮ Cohort Engine'!EB1038</f>
        <v>1003102.38419016</v>
      </c>
      <c r="EC88" s="290" t="n">
        <f aca="false">'⑮ Cohort Engine'!EC1038</f>
        <v>994522.778218</v>
      </c>
      <c r="ED88" s="290" t="n">
        <f aca="false">'⑮ Cohort Engine'!ED1038</f>
        <v>982773.85640624</v>
      </c>
      <c r="EE88" s="290" t="n">
        <f aca="false">'⑮ Cohort Engine'!EE1038</f>
        <v>960149.68227544</v>
      </c>
      <c r="EF88" s="290" t="n">
        <f aca="false">'⑮ Cohort Engine'!EF1038</f>
        <v>1015907.46948648</v>
      </c>
      <c r="EG88" s="290" t="n">
        <f aca="false">'⑮ Cohort Engine'!EG1038</f>
        <v>1048639.42365484</v>
      </c>
      <c r="EH88" s="290" t="n">
        <f aca="false">'⑮ Cohort Engine'!EH1038</f>
        <v>1026044.97246972</v>
      </c>
      <c r="EI88" s="290" t="n">
        <f aca="false">'⑮ Cohort Engine'!EI1038</f>
        <v>1101289.28081328</v>
      </c>
      <c r="EJ88" s="290" t="n">
        <f aca="false">'⑮ Cohort Engine'!EJ1038</f>
        <v>1117347.4023352</v>
      </c>
      <c r="EK88" s="290" t="n">
        <f aca="false">'⑮ Cohort Engine'!EK1038</f>
        <v>1099139.94477728</v>
      </c>
      <c r="EL88" s="290" t="n">
        <f aca="false">'⑮ Cohort Engine'!EL1038</f>
        <v>1087447.63992416</v>
      </c>
      <c r="EM88" s="290" t="n">
        <f aca="false">'⑮ Cohort Engine'!EM1038</f>
        <v>1112684.15894956</v>
      </c>
      <c r="EN88" s="290" t="n">
        <f aca="false">'⑮ Cohort Engine'!EN1038</f>
        <v>1234922.47200816</v>
      </c>
      <c r="EO88" s="290" t="n">
        <f aca="false">'⑮ Cohort Engine'!EO1038</f>
        <v>1231282.5983684</v>
      </c>
      <c r="EP88" s="290" t="n">
        <f aca="false">'⑮ Cohort Engine'!EP1038</f>
        <v>1217856.15867112</v>
      </c>
      <c r="EQ88" s="290" t="n">
        <f aca="false">'⑮ Cohort Engine'!EQ1038</f>
        <v>1162337.82405868</v>
      </c>
      <c r="ER88" s="290" t="n">
        <f aca="false">'⑮ Cohort Engine'!ER1038</f>
        <v>1246965.74787976</v>
      </c>
    </row>
    <row r="89" customFormat="false" ht="15" hidden="false" customHeight="false" outlineLevel="0" collapsed="false">
      <c r="B89" s="18" t="s">
        <v>1166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0" t="n">
        <f aca="false">-AC88*$C$6</f>
        <v>-1782.648</v>
      </c>
      <c r="AD89" s="180" t="n">
        <f aca="false">-AD88*$C$6</f>
        <v>-2200.410144</v>
      </c>
      <c r="AE89" s="180" t="n">
        <f aca="false">-AE88*$C$6</f>
        <v>-3333.6573984</v>
      </c>
      <c r="AF89" s="180" t="n">
        <f aca="false">-AF88*$C$6</f>
        <v>-3694.30274592</v>
      </c>
      <c r="AG89" s="180" t="n">
        <f aca="false">-AG88*$C$6</f>
        <v>-4653.997176</v>
      </c>
      <c r="AH89" s="180" t="n">
        <f aca="false">-AH88*$C$6</f>
        <v>-4657.87863264</v>
      </c>
      <c r="AI89" s="180" t="n">
        <f aca="false">-AI88*$C$6</f>
        <v>-5378.2848576</v>
      </c>
      <c r="AJ89" s="180" t="n">
        <f aca="false">-AJ88*$C$6</f>
        <v>-9690.00179616</v>
      </c>
      <c r="AK89" s="180" t="n">
        <f aca="false">-AK88*$C$6</f>
        <v>-9261.5052816</v>
      </c>
      <c r="AL89" s="180" t="n">
        <f aca="false">-AL88*$C$6</f>
        <v>-8336.93926656</v>
      </c>
      <c r="AM89" s="180" t="n">
        <f aca="false">-AM88*$C$6</f>
        <v>-7070.1008112</v>
      </c>
      <c r="AN89" s="180" t="n">
        <f aca="false">-AN88*$C$6</f>
        <v>-11739.81415152</v>
      </c>
      <c r="AO89" s="180" t="n">
        <f aca="false">-AO88*$C$6</f>
        <v>-14076.49588224</v>
      </c>
      <c r="AP89" s="180" t="n">
        <f aca="false">-AP88*$C$6</f>
        <v>-12036.00812784</v>
      </c>
      <c r="AQ89" s="180" t="n">
        <f aca="false">-AQ88*$C$6</f>
        <v>-16742.85374304</v>
      </c>
      <c r="AR89" s="180" t="n">
        <f aca="false">-AR88*$C$6</f>
        <v>-18458.04407904</v>
      </c>
      <c r="AS89" s="180" t="n">
        <f aca="false">-AS88*$C$6</f>
        <v>-17511.61607136</v>
      </c>
      <c r="AT89" s="180" t="n">
        <f aca="false">-AT88*$C$6</f>
        <v>-16591.41487152</v>
      </c>
      <c r="AU89" s="180" t="n">
        <f aca="false">-AU88*$C$6</f>
        <v>-17844.583365792</v>
      </c>
      <c r="AV89" s="180" t="n">
        <f aca="false">-AV88*$C$6</f>
        <v>-28450.9722696</v>
      </c>
      <c r="AW89" s="180" t="n">
        <f aca="false">-AW88*$C$6</f>
        <v>-27424.03006896</v>
      </c>
      <c r="AX89" s="180" t="n">
        <f aca="false">-AX88*$C$6</f>
        <v>-24853.283605056</v>
      </c>
      <c r="AY89" s="180" t="n">
        <f aca="false">-AY88*$C$6</f>
        <v>-20574.991385664</v>
      </c>
      <c r="AZ89" s="180" t="n">
        <f aca="false">-AZ88*$C$6</f>
        <v>-27112.552676808</v>
      </c>
      <c r="BA89" s="180" t="n">
        <f aca="false">-BA88*$C$6</f>
        <v>-30551.49156786</v>
      </c>
      <c r="BB89" s="180" t="n">
        <f aca="false">-BB88*$C$6</f>
        <v>-28244.093232816</v>
      </c>
      <c r="BC89" s="180" t="n">
        <f aca="false">-BC88*$C$6</f>
        <v>-37441.14034542</v>
      </c>
      <c r="BD89" s="180" t="n">
        <f aca="false">-BD88*$C$6</f>
        <v>-40479.20999358</v>
      </c>
      <c r="BE89" s="180" t="n">
        <f aca="false">-BE88*$C$6</f>
        <v>-38870.662100268</v>
      </c>
      <c r="BF89" s="180" t="n">
        <f aca="false">-BF88*$C$6</f>
        <v>-38773.99851126</v>
      </c>
      <c r="BG89" s="180" t="n">
        <f aca="false">-BG88*$C$6</f>
        <v>-40785.221512332</v>
      </c>
      <c r="BH89" s="180" t="n">
        <f aca="false">-BH88*$C$6</f>
        <v>-54940.53307584</v>
      </c>
      <c r="BI89" s="180" t="n">
        <f aca="false">-BI88*$C$6</f>
        <v>-54760.41507648</v>
      </c>
      <c r="BJ89" s="180" t="n">
        <f aca="false">-BJ88*$C$6</f>
        <v>-53887.30407516</v>
      </c>
      <c r="BK89" s="180" t="n">
        <f aca="false">-BK88*$C$6</f>
        <v>-48673.816704804</v>
      </c>
      <c r="BL89" s="180" t="n">
        <f aca="false">-BL88*$C$6</f>
        <v>-58833.938413992</v>
      </c>
      <c r="BM89" s="180" t="n">
        <f aca="false">-BM88*$C$6</f>
        <v>-63306.55912128</v>
      </c>
      <c r="BN89" s="180" t="n">
        <f aca="false">-BN88*$C$6</f>
        <v>-58775.895030408</v>
      </c>
      <c r="BO89" s="180" t="n">
        <f aca="false">-BO88*$C$6</f>
        <v>-71620.41803232</v>
      </c>
      <c r="BP89" s="180" t="n">
        <f aca="false">-BP88*$C$6</f>
        <v>-75049.8008616</v>
      </c>
      <c r="BQ89" s="180" t="n">
        <f aca="false">-BQ88*$C$6</f>
        <v>-73822.42117824</v>
      </c>
      <c r="BR89" s="180" t="n">
        <f aca="false">-BR88*$C$6</f>
        <v>-72349.86262848</v>
      </c>
      <c r="BS89" s="180" t="n">
        <f aca="false">-BS88*$C$6</f>
        <v>-77694.078841128</v>
      </c>
      <c r="BT89" s="180" t="n">
        <f aca="false">-BT88*$C$6</f>
        <v>-101602.81583232</v>
      </c>
      <c r="BU89" s="180" t="n">
        <f aca="false">-BU88*$C$6</f>
        <v>-104043.975547296</v>
      </c>
      <c r="BV89" s="180" t="n">
        <f aca="false">-BV88*$C$6</f>
        <v>-98699.708351976</v>
      </c>
      <c r="BW89" s="180" t="n">
        <f aca="false">-BW88*$C$6</f>
        <v>-89734.53055866</v>
      </c>
      <c r="BX89" s="180" t="n">
        <f aca="false">-BX88*$C$6</f>
        <v>-109513.380108432</v>
      </c>
      <c r="BY89" s="180" t="n">
        <f aca="false">-BY88*$C$6</f>
        <v>-118308.883393608</v>
      </c>
      <c r="BZ89" s="180" t="n">
        <f aca="false">-BZ88*$C$6</f>
        <v>-108571.376465316</v>
      </c>
      <c r="CA89" s="180" t="n">
        <f aca="false">-CA88*$C$6</f>
        <v>-127507.715248512</v>
      </c>
      <c r="CB89" s="180" t="n">
        <f aca="false">-CB88*$C$6</f>
        <v>-129721.65620016</v>
      </c>
      <c r="CC89" s="180" t="n">
        <f aca="false">-CC88*$C$6</f>
        <v>-124906.84393356</v>
      </c>
      <c r="CD89" s="180" t="n">
        <f aca="false">-CD88*$C$6</f>
        <v>-120542.07538584</v>
      </c>
      <c r="CE89" s="180" t="n">
        <f aca="false">-CE88*$C$6</f>
        <v>-125468.064131448</v>
      </c>
      <c r="CF89" s="180" t="n">
        <f aca="false">-CF88*$C$6</f>
        <v>-150439.971456</v>
      </c>
      <c r="CG89" s="180" t="n">
        <f aca="false">-CG88*$C$6</f>
        <v>-148328.00945184</v>
      </c>
      <c r="CH89" s="180" t="n">
        <f aca="false">-CH88*$C$6</f>
        <v>-145437.561974856</v>
      </c>
      <c r="CI89" s="180" t="n">
        <f aca="false">-CI88*$C$6</f>
        <v>-133925.737701432</v>
      </c>
      <c r="CJ89" s="180" t="n">
        <f aca="false">-CJ88*$C$6</f>
        <v>-151779.806731584</v>
      </c>
      <c r="CK89" s="180" t="n">
        <f aca="false">-CK88*$C$6</f>
        <v>-158118.03169056</v>
      </c>
      <c r="CL89" s="180" t="n">
        <f aca="false">-CL88*$C$6</f>
        <v>-153298.016933664</v>
      </c>
      <c r="CM89" s="180" t="n">
        <f aca="false">-CM88*$C$6</f>
        <v>-167250.005196672</v>
      </c>
      <c r="CN89" s="180" t="n">
        <f aca="false">-CN88*$C$6</f>
        <v>-169572.677477184</v>
      </c>
      <c r="CO89" s="180" t="n">
        <f aca="false">-CO88*$C$6</f>
        <v>-165999.011880804</v>
      </c>
      <c r="CP89" s="180" t="n">
        <f aca="false">-CP88*$C$6</f>
        <v>-163838.131288968</v>
      </c>
      <c r="CQ89" s="180" t="n">
        <f aca="false">-CQ88*$C$6</f>
        <v>-167105.919506928</v>
      </c>
      <c r="CR89" s="180" t="n">
        <f aca="false">-CR88*$C$6</f>
        <v>-180973.73190048</v>
      </c>
      <c r="CS89" s="180" t="n">
        <f aca="false">-CS88*$C$6</f>
        <v>-180600.76458816</v>
      </c>
      <c r="CT89" s="180" t="n">
        <f aca="false">-CT88*$C$6</f>
        <v>-178487.806959408</v>
      </c>
      <c r="CU89" s="180" t="n">
        <f aca="false">-CU88*$C$6</f>
        <v>-171854.29593432</v>
      </c>
      <c r="CV89" s="180" t="n">
        <f aca="false">-CV88*$C$6</f>
        <v>-182110.77716976</v>
      </c>
      <c r="CW89" s="180" t="n">
        <f aca="false">-CW88*$C$6</f>
        <v>-186610.697167776</v>
      </c>
      <c r="CX89" s="180" t="n">
        <f aca="false">-CX88*$C$6</f>
        <v>-184115.689009488</v>
      </c>
      <c r="CY89" s="180" t="n">
        <f aca="false">-CY88*$C$6</f>
        <v>-193901.607852288</v>
      </c>
      <c r="CZ89" s="180" t="n">
        <f aca="false">-CZ88*$C$6</f>
        <v>-198260.662980192</v>
      </c>
      <c r="DA89" s="180" t="n">
        <f aca="false">-DA88*$C$6</f>
        <v>-199173.14294676</v>
      </c>
      <c r="DB89" s="180" t="n">
        <f aca="false">-DB88*$C$6</f>
        <v>-197428.483967928</v>
      </c>
      <c r="DC89" s="180" t="n">
        <f aca="false">-DC88*$C$6</f>
        <v>-201056.995074312</v>
      </c>
      <c r="DD89" s="180" t="n">
        <f aca="false">-DD88*$C$6</f>
        <v>-220441.295544</v>
      </c>
      <c r="DE89" s="180" t="n">
        <f aca="false">-DE88*$C$6</f>
        <v>-219535.5711168</v>
      </c>
      <c r="DF89" s="180" t="n">
        <f aca="false">-DF88*$C$6</f>
        <v>-216770.923314624</v>
      </c>
      <c r="DG89" s="180" t="n">
        <f aca="false">-DG88*$C$6</f>
        <v>-208453.278847668</v>
      </c>
      <c r="DH89" s="180" t="n">
        <f aca="false">-DH88*$C$6</f>
        <v>-222385.503245328</v>
      </c>
      <c r="DI89" s="180" t="n">
        <f aca="false">-DI88*$C$6</f>
        <v>-228260.006217144</v>
      </c>
      <c r="DJ89" s="180" t="n">
        <f aca="false">-DJ88*$C$6</f>
        <v>-220959.66212412</v>
      </c>
      <c r="DK89" s="180" t="n">
        <f aca="false">-DK88*$C$6</f>
        <v>-236887.106422824</v>
      </c>
      <c r="DL89" s="180" t="n">
        <f aca="false">-DL88*$C$6</f>
        <v>-241776.8253258</v>
      </c>
      <c r="DM89" s="180" t="n">
        <f aca="false">-DM88*$C$6</f>
        <v>-237926.738423568</v>
      </c>
      <c r="DN89" s="180" t="n">
        <f aca="false">-DN88*$C$6</f>
        <v>-234404.937054048</v>
      </c>
      <c r="DO89" s="180" t="n">
        <f aca="false">-DO88*$C$6</f>
        <v>-238558.237550712</v>
      </c>
      <c r="DP89" s="180" t="n">
        <f aca="false">-DP88*$C$6</f>
        <v>-264836.853148704</v>
      </c>
      <c r="DQ89" s="180" t="n">
        <f aca="false">-DQ88*$C$6</f>
        <v>-264781.317883296</v>
      </c>
      <c r="DR89" s="180" t="n">
        <f aca="false">-DR88*$C$6</f>
        <v>-259682.703432912</v>
      </c>
      <c r="DS89" s="180" t="n">
        <f aca="false">-DS88*$C$6</f>
        <v>-248069.943677508</v>
      </c>
      <c r="DT89" s="180" t="n">
        <f aca="false">-DT88*$C$6</f>
        <v>-263607.770355</v>
      </c>
      <c r="DU89" s="180" t="n">
        <f aca="false">-DU88*$C$6</f>
        <v>-269452.318006224</v>
      </c>
      <c r="DV89" s="180" t="n">
        <f aca="false">-DV88*$C$6</f>
        <v>-263584.164239796</v>
      </c>
      <c r="DW89" s="180" t="n">
        <f aca="false">-DW88*$C$6</f>
        <v>-277159.411998072</v>
      </c>
      <c r="DX89" s="180" t="n">
        <f aca="false">-DX88*$C$6</f>
        <v>-280379.858383224</v>
      </c>
      <c r="DY89" s="180" t="n">
        <f aca="false">-DY88*$C$6</f>
        <v>-278347.508277072</v>
      </c>
      <c r="DZ89" s="180" t="n">
        <f aca="false">-DZ88*$C$6</f>
        <v>-276118.827594048</v>
      </c>
      <c r="EA89" s="180" t="n">
        <f aca="false">-EA88*$C$6</f>
        <v>-280101.975048792</v>
      </c>
      <c r="EB89" s="180" t="n">
        <f aca="false">-EB88*$C$6</f>
        <v>-300930.715257048</v>
      </c>
      <c r="EC89" s="180" t="n">
        <f aca="false">-EC88*$C$6</f>
        <v>-298356.8334654</v>
      </c>
      <c r="ED89" s="180" t="n">
        <f aca="false">-ED88*$C$6</f>
        <v>-294832.156921872</v>
      </c>
      <c r="EE89" s="180" t="n">
        <f aca="false">-EE88*$C$6</f>
        <v>-288044.904682632</v>
      </c>
      <c r="EF89" s="180" t="n">
        <f aca="false">-EF88*$C$6</f>
        <v>-304772.240845944</v>
      </c>
      <c r="EG89" s="180" t="n">
        <f aca="false">-EG88*$C$6</f>
        <v>-314591.827096452</v>
      </c>
      <c r="EH89" s="180" t="n">
        <f aca="false">-EH88*$C$6</f>
        <v>-307813.491740916</v>
      </c>
      <c r="EI89" s="180" t="n">
        <f aca="false">-EI88*$C$6</f>
        <v>-330386.784243984</v>
      </c>
      <c r="EJ89" s="180" t="n">
        <f aca="false">-EJ88*$C$6</f>
        <v>-335204.22070056</v>
      </c>
      <c r="EK89" s="180" t="n">
        <f aca="false">-EK88*$C$6</f>
        <v>-329741.983433184</v>
      </c>
      <c r="EL89" s="180" t="n">
        <f aca="false">-EL88*$C$6</f>
        <v>-326234.291977248</v>
      </c>
      <c r="EM89" s="180" t="n">
        <f aca="false">-EM88*$C$6</f>
        <v>-333805.247684868</v>
      </c>
      <c r="EN89" s="180" t="n">
        <f aca="false">-EN88*$C$6</f>
        <v>-370476.741602448</v>
      </c>
      <c r="EO89" s="180" t="n">
        <f aca="false">-EO88*$C$6</f>
        <v>-369384.77951052</v>
      </c>
      <c r="EP89" s="180" t="n">
        <f aca="false">-EP88*$C$6</f>
        <v>-365356.847601336</v>
      </c>
      <c r="EQ89" s="180" t="n">
        <f aca="false">-EQ88*$C$6</f>
        <v>-348701.347217604</v>
      </c>
      <c r="ER89" s="180" t="n">
        <f aca="false">-ER88*$C$6</f>
        <v>-374089.724363928</v>
      </c>
    </row>
    <row r="90" customFormat="false" ht="15" hidden="false" customHeight="false" outlineLevel="0" collapsed="false">
      <c r="B90" s="185" t="s">
        <v>217</v>
      </c>
      <c r="C90" s="185"/>
      <c r="D90" s="185"/>
      <c r="E90" s="185"/>
      <c r="F90" s="185"/>
      <c r="G90" s="185"/>
      <c r="H90" s="185"/>
      <c r="I90" s="185"/>
      <c r="J90" s="185"/>
      <c r="K90" s="185"/>
      <c r="L90" s="185"/>
      <c r="M90" s="185"/>
      <c r="N90" s="185"/>
      <c r="O90" s="185"/>
      <c r="P90" s="185"/>
      <c r="Q90" s="185"/>
      <c r="R90" s="185"/>
      <c r="S90" s="185"/>
      <c r="T90" s="185"/>
      <c r="U90" s="185"/>
      <c r="V90" s="185"/>
      <c r="W90" s="185"/>
      <c r="X90" s="185"/>
      <c r="Y90" s="185"/>
      <c r="Z90" s="185"/>
      <c r="AA90" s="185"/>
      <c r="AB90" s="36"/>
      <c r="AC90" s="179" t="n">
        <f aca="false">AC88+AC89</f>
        <v>4159.512</v>
      </c>
      <c r="AD90" s="179" t="n">
        <f aca="false">AD88+AD89</f>
        <v>5134.290336</v>
      </c>
      <c r="AE90" s="179" t="n">
        <f aca="false">AE88+AE89</f>
        <v>7778.5339296</v>
      </c>
      <c r="AF90" s="179" t="n">
        <f aca="false">AF88+AF89</f>
        <v>8620.03974048</v>
      </c>
      <c r="AG90" s="179" t="n">
        <f aca="false">AG88+AG89</f>
        <v>10859.326744</v>
      </c>
      <c r="AH90" s="179" t="n">
        <f aca="false">AH88+AH89</f>
        <v>10868.38347616</v>
      </c>
      <c r="AI90" s="179" t="n">
        <f aca="false">AI88+AI89</f>
        <v>12549.3313344</v>
      </c>
      <c r="AJ90" s="179" t="n">
        <f aca="false">AJ88+AJ89</f>
        <v>22610.00419104</v>
      </c>
      <c r="AK90" s="179" t="n">
        <f aca="false">AK88+AK89</f>
        <v>21610.1789904</v>
      </c>
      <c r="AL90" s="179" t="n">
        <f aca="false">AL88+AL89</f>
        <v>19452.85828864</v>
      </c>
      <c r="AM90" s="179" t="n">
        <f aca="false">AM88+AM89</f>
        <v>16496.9018928</v>
      </c>
      <c r="AN90" s="179" t="n">
        <f aca="false">AN88+AN89</f>
        <v>27392.89968688</v>
      </c>
      <c r="AO90" s="179" t="n">
        <f aca="false">AO88+AO89</f>
        <v>32845.15705856</v>
      </c>
      <c r="AP90" s="179" t="n">
        <f aca="false">AP88+AP89</f>
        <v>28084.01896496</v>
      </c>
      <c r="AQ90" s="179" t="n">
        <f aca="false">AQ88+AQ89</f>
        <v>39066.65873376</v>
      </c>
      <c r="AR90" s="179" t="n">
        <f aca="false">AR88+AR89</f>
        <v>43068.76951776</v>
      </c>
      <c r="AS90" s="179" t="n">
        <f aca="false">AS88+AS89</f>
        <v>40860.43749984</v>
      </c>
      <c r="AT90" s="179" t="n">
        <f aca="false">AT88+AT89</f>
        <v>38713.30136688</v>
      </c>
      <c r="AU90" s="179" t="n">
        <f aca="false">AU88+AU89</f>
        <v>41637.361186848</v>
      </c>
      <c r="AV90" s="179" t="n">
        <f aca="false">AV88+AV89</f>
        <v>66385.6019624</v>
      </c>
      <c r="AW90" s="179" t="n">
        <f aca="false">AW88+AW89</f>
        <v>63989.40349424</v>
      </c>
      <c r="AX90" s="179" t="n">
        <f aca="false">AX88+AX89</f>
        <v>57990.995078464</v>
      </c>
      <c r="AY90" s="179" t="n">
        <f aca="false">AY88+AY89</f>
        <v>48008.313233216</v>
      </c>
      <c r="AZ90" s="179" t="n">
        <f aca="false">AZ88+AZ89</f>
        <v>63262.622912552</v>
      </c>
      <c r="BA90" s="179" t="n">
        <f aca="false">BA88+BA89</f>
        <v>71286.81365834</v>
      </c>
      <c r="BB90" s="179" t="n">
        <f aca="false">BB88+BB89</f>
        <v>65902.884209904</v>
      </c>
      <c r="BC90" s="179" t="n">
        <f aca="false">BC88+BC89</f>
        <v>87362.66080598</v>
      </c>
      <c r="BD90" s="179" t="n">
        <f aca="false">BD88+BD89</f>
        <v>94451.48998502</v>
      </c>
      <c r="BE90" s="179" t="n">
        <f aca="false">BE88+BE89</f>
        <v>90698.211567292</v>
      </c>
      <c r="BF90" s="179" t="n">
        <f aca="false">BF88+BF89</f>
        <v>90472.66319294</v>
      </c>
      <c r="BG90" s="179" t="n">
        <f aca="false">BG88+BG89</f>
        <v>95165.516862108</v>
      </c>
      <c r="BH90" s="179" t="n">
        <f aca="false">BH88+BH89</f>
        <v>128194.57717696</v>
      </c>
      <c r="BI90" s="179" t="n">
        <f aca="false">BI88+BI89</f>
        <v>127774.30184512</v>
      </c>
      <c r="BJ90" s="179" t="n">
        <f aca="false">BJ88+BJ89</f>
        <v>125737.04284204</v>
      </c>
      <c r="BK90" s="179" t="n">
        <f aca="false">BK88+BK89</f>
        <v>113572.238977876</v>
      </c>
      <c r="BL90" s="179" t="n">
        <f aca="false">BL88+BL89</f>
        <v>137279.189632648</v>
      </c>
      <c r="BM90" s="179" t="n">
        <f aca="false">BM88+BM89</f>
        <v>147715.30461632</v>
      </c>
      <c r="BN90" s="179" t="n">
        <f aca="false">BN88+BN89</f>
        <v>137143.755070952</v>
      </c>
      <c r="BO90" s="179" t="n">
        <f aca="false">BO88+BO89</f>
        <v>167114.30874208</v>
      </c>
      <c r="BP90" s="179" t="n">
        <f aca="false">BP88+BP89</f>
        <v>175116.2020104</v>
      </c>
      <c r="BQ90" s="179" t="n">
        <f aca="false">BQ88+BQ89</f>
        <v>172252.31608256</v>
      </c>
      <c r="BR90" s="179" t="n">
        <f aca="false">BR88+BR89</f>
        <v>168816.34613312</v>
      </c>
      <c r="BS90" s="179" t="n">
        <f aca="false">BS88+BS89</f>
        <v>181286.183962632</v>
      </c>
      <c r="BT90" s="179" t="n">
        <f aca="false">BT88+BT89</f>
        <v>237073.23694208</v>
      </c>
      <c r="BU90" s="179" t="n">
        <f aca="false">BU88+BU89</f>
        <v>242769.276277024</v>
      </c>
      <c r="BV90" s="179" t="n">
        <f aca="false">BV88+BV89</f>
        <v>230299.319487944</v>
      </c>
      <c r="BW90" s="179" t="n">
        <f aca="false">BW88+BW89</f>
        <v>209380.57130354</v>
      </c>
      <c r="BX90" s="179" t="n">
        <f aca="false">BX88+BX89</f>
        <v>255531.220253008</v>
      </c>
      <c r="BY90" s="179" t="n">
        <f aca="false">BY88+BY89</f>
        <v>276054.061251752</v>
      </c>
      <c r="BZ90" s="179" t="n">
        <f aca="false">BZ88+BZ89</f>
        <v>253333.211752404</v>
      </c>
      <c r="CA90" s="179" t="n">
        <f aca="false">CA88+CA89</f>
        <v>297518.002246528</v>
      </c>
      <c r="CB90" s="179" t="n">
        <f aca="false">CB88+CB89</f>
        <v>302683.86446704</v>
      </c>
      <c r="CC90" s="179" t="n">
        <f aca="false">CC88+CC89</f>
        <v>291449.30251164</v>
      </c>
      <c r="CD90" s="179" t="n">
        <f aca="false">CD88+CD89</f>
        <v>281264.84256696</v>
      </c>
      <c r="CE90" s="179" t="n">
        <f aca="false">CE88+CE89</f>
        <v>292758.816306712</v>
      </c>
      <c r="CF90" s="179" t="n">
        <f aca="false">CF88+CF89</f>
        <v>351026.600064</v>
      </c>
      <c r="CG90" s="179" t="n">
        <f aca="false">CG88+CG89</f>
        <v>346098.68872096</v>
      </c>
      <c r="CH90" s="179" t="n">
        <f aca="false">CH88+CH89</f>
        <v>339354.311274664</v>
      </c>
      <c r="CI90" s="179" t="n">
        <f aca="false">CI88+CI89</f>
        <v>312493.387970008</v>
      </c>
      <c r="CJ90" s="179" t="n">
        <f aca="false">CJ88+CJ89</f>
        <v>354152.882373696</v>
      </c>
      <c r="CK90" s="179" t="n">
        <f aca="false">CK88+CK89</f>
        <v>368942.07394464</v>
      </c>
      <c r="CL90" s="179" t="n">
        <f aca="false">CL88+CL89</f>
        <v>357695.372845216</v>
      </c>
      <c r="CM90" s="179" t="n">
        <f aca="false">CM88+CM89</f>
        <v>390250.012125568</v>
      </c>
      <c r="CN90" s="179" t="n">
        <f aca="false">CN88+CN89</f>
        <v>395669.580780096</v>
      </c>
      <c r="CO90" s="179" t="n">
        <f aca="false">CO88+CO89</f>
        <v>387331.027721876</v>
      </c>
      <c r="CP90" s="179" t="n">
        <f aca="false">CP88+CP89</f>
        <v>382288.973007592</v>
      </c>
      <c r="CQ90" s="179" t="n">
        <f aca="false">CQ88+CQ89</f>
        <v>389913.812182832</v>
      </c>
      <c r="CR90" s="179" t="n">
        <f aca="false">CR88+CR89</f>
        <v>422272.04110112</v>
      </c>
      <c r="CS90" s="179" t="n">
        <f aca="false">CS88+CS89</f>
        <v>421401.78403904</v>
      </c>
      <c r="CT90" s="179" t="n">
        <f aca="false">CT88+CT89</f>
        <v>416471.549571952</v>
      </c>
      <c r="CU90" s="179" t="n">
        <f aca="false">CU88+CU89</f>
        <v>400993.35718008</v>
      </c>
      <c r="CV90" s="179" t="n">
        <f aca="false">CV88+CV89</f>
        <v>424925.14672944</v>
      </c>
      <c r="CW90" s="179" t="n">
        <f aca="false">CW88+CW89</f>
        <v>435424.960058144</v>
      </c>
      <c r="CX90" s="179" t="n">
        <f aca="false">CX88+CX89</f>
        <v>429603.274355472</v>
      </c>
      <c r="CY90" s="179" t="n">
        <f aca="false">CY88+CY89</f>
        <v>452437.084988672</v>
      </c>
      <c r="CZ90" s="179" t="n">
        <f aca="false">CZ88+CZ89</f>
        <v>462608.213620448</v>
      </c>
      <c r="DA90" s="179" t="n">
        <f aca="false">DA88+DA89</f>
        <v>464737.33354244</v>
      </c>
      <c r="DB90" s="179" t="n">
        <f aca="false">DB88+DB89</f>
        <v>460666.462591832</v>
      </c>
      <c r="DC90" s="179" t="n">
        <f aca="false">DC88+DC89</f>
        <v>469132.988506728</v>
      </c>
      <c r="DD90" s="179" t="n">
        <f aca="false">DD88+DD89</f>
        <v>514363.022936</v>
      </c>
      <c r="DE90" s="179" t="n">
        <f aca="false">DE88+DE89</f>
        <v>512249.6659392</v>
      </c>
      <c r="DF90" s="179" t="n">
        <f aca="false">DF88+DF89</f>
        <v>505798.821067456</v>
      </c>
      <c r="DG90" s="179" t="n">
        <f aca="false">DG88+DG89</f>
        <v>486390.983977892</v>
      </c>
      <c r="DH90" s="179" t="n">
        <f aca="false">DH88+DH89</f>
        <v>518899.507572432</v>
      </c>
      <c r="DI90" s="179" t="n">
        <f aca="false">DI88+DI89</f>
        <v>532606.681173336</v>
      </c>
      <c r="DJ90" s="179" t="n">
        <f aca="false">DJ88+DJ89</f>
        <v>515572.54495628</v>
      </c>
      <c r="DK90" s="179" t="n">
        <f aca="false">DK88+DK89</f>
        <v>552736.581653256</v>
      </c>
      <c r="DL90" s="179" t="n">
        <f aca="false">DL88+DL89</f>
        <v>564145.9257602</v>
      </c>
      <c r="DM90" s="179" t="n">
        <f aca="false">DM88+DM89</f>
        <v>555162.389654992</v>
      </c>
      <c r="DN90" s="179" t="n">
        <f aca="false">DN88+DN89</f>
        <v>546944.853126112</v>
      </c>
      <c r="DO90" s="179" t="n">
        <f aca="false">DO88+DO89</f>
        <v>556635.887618328</v>
      </c>
      <c r="DP90" s="179" t="n">
        <f aca="false">DP88+DP89</f>
        <v>617952.657346976</v>
      </c>
      <c r="DQ90" s="179" t="n">
        <f aca="false">DQ88+DQ89</f>
        <v>617823.075061024</v>
      </c>
      <c r="DR90" s="179" t="n">
        <f aca="false">DR88+DR89</f>
        <v>605926.308010128</v>
      </c>
      <c r="DS90" s="179" t="n">
        <f aca="false">DS88+DS89</f>
        <v>578829.868580852</v>
      </c>
      <c r="DT90" s="179" t="n">
        <f aca="false">DT88+DT89</f>
        <v>615084.797495</v>
      </c>
      <c r="DU90" s="179" t="n">
        <f aca="false">DU88+DU89</f>
        <v>628722.075347856</v>
      </c>
      <c r="DV90" s="179" t="n">
        <f aca="false">DV88+DV89</f>
        <v>615029.716559524</v>
      </c>
      <c r="DW90" s="179" t="n">
        <f aca="false">DW88+DW89</f>
        <v>646705.294662168</v>
      </c>
      <c r="DX90" s="179" t="n">
        <f aca="false">DX88+DX89</f>
        <v>654219.669560856</v>
      </c>
      <c r="DY90" s="179" t="n">
        <f aca="false">DY88+DY89</f>
        <v>649477.519313168</v>
      </c>
      <c r="DZ90" s="179" t="n">
        <f aca="false">DZ88+DZ89</f>
        <v>644277.264386112</v>
      </c>
      <c r="EA90" s="179" t="n">
        <f aca="false">EA88+EA89</f>
        <v>653571.275113848</v>
      </c>
      <c r="EB90" s="179" t="n">
        <f aca="false">EB88+EB89</f>
        <v>702171.668933112</v>
      </c>
      <c r="EC90" s="179" t="n">
        <f aca="false">EC88+EC89</f>
        <v>696165.9447526</v>
      </c>
      <c r="ED90" s="179" t="n">
        <f aca="false">ED88+ED89</f>
        <v>687941.699484368</v>
      </c>
      <c r="EE90" s="179" t="n">
        <f aca="false">EE88+EE89</f>
        <v>672104.777592808</v>
      </c>
      <c r="EF90" s="179" t="n">
        <f aca="false">EF88+EF89</f>
        <v>711135.228640536</v>
      </c>
      <c r="EG90" s="179" t="n">
        <f aca="false">EG88+EG89</f>
        <v>734047.596558388</v>
      </c>
      <c r="EH90" s="179" t="n">
        <f aca="false">EH88+EH89</f>
        <v>718231.480728804</v>
      </c>
      <c r="EI90" s="179" t="n">
        <f aca="false">EI88+EI89</f>
        <v>770902.496569296</v>
      </c>
      <c r="EJ90" s="179" t="n">
        <f aca="false">EJ88+EJ89</f>
        <v>782143.18163464</v>
      </c>
      <c r="EK90" s="179" t="n">
        <f aca="false">EK88+EK89</f>
        <v>769397.961344096</v>
      </c>
      <c r="EL90" s="179" t="n">
        <f aca="false">EL88+EL89</f>
        <v>761213.347946912</v>
      </c>
      <c r="EM90" s="179" t="n">
        <f aca="false">EM88+EM89</f>
        <v>778878.911264692</v>
      </c>
      <c r="EN90" s="179" t="n">
        <f aca="false">EN88+EN89</f>
        <v>864445.730405712</v>
      </c>
      <c r="EO90" s="179" t="n">
        <f aca="false">EO88+EO89</f>
        <v>861897.81885788</v>
      </c>
      <c r="EP90" s="179" t="n">
        <f aca="false">EP88+EP89</f>
        <v>852499.311069784</v>
      </c>
      <c r="EQ90" s="179" t="n">
        <f aca="false">EQ88+EQ89</f>
        <v>813636.476841076</v>
      </c>
      <c r="ER90" s="179" t="n">
        <f aca="false">ER88+ER89</f>
        <v>872876.023515832</v>
      </c>
    </row>
    <row r="91" customFormat="false" ht="15" hidden="false" customHeight="false" outlineLevel="0" collapsed="false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</row>
    <row r="92" customFormat="false" ht="15" hidden="false" customHeight="false" outlineLevel="0" collapsed="false">
      <c r="B92" s="18" t="s">
        <v>1194</v>
      </c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0" t="n">
        <f aca="false">-($C$12*AC85+$C$31*IF(AC81&gt;=1,1,0))*(1+$C$15)</f>
        <v>-3484</v>
      </c>
      <c r="AD92" s="180" t="n">
        <f aca="false">-($C$12*AD85+$C$31*IF(AD81&gt;=1,1,0))*(1+$C$15)</f>
        <v>-6968</v>
      </c>
      <c r="AE92" s="180" t="n">
        <f aca="false">-($C$12*AE85+$C$31*IF(AE81&gt;=1,1,0))*(1+$C$15)</f>
        <v>-6968</v>
      </c>
      <c r="AF92" s="180" t="n">
        <f aca="false">-($C$12*AF85+$C$31*IF(AF81&gt;=1,1,0))*(1+$C$15)</f>
        <v>-6968</v>
      </c>
      <c r="AG92" s="180" t="n">
        <f aca="false">-($C$12*AG85+$C$31*IF(AG81&gt;=1,1,0))*(1+$C$15)</f>
        <v>-10720</v>
      </c>
      <c r="AH92" s="180" t="n">
        <f aca="false">-($C$12*AH85+$C$31*IF(AH81&gt;=1,1,0))*(1+$C$15)</f>
        <v>-10720</v>
      </c>
      <c r="AI92" s="180" t="n">
        <f aca="false">-($C$12*AI85+$C$31*IF(AI81&gt;=1,1,0))*(1+$C$15)</f>
        <v>-10720</v>
      </c>
      <c r="AJ92" s="180" t="n">
        <f aca="false">-($C$12*AJ85+$C$31*IF(AJ81&gt;=1,1,0))*(1+$C$15)</f>
        <v>-10720</v>
      </c>
      <c r="AK92" s="180" t="n">
        <f aca="false">-($C$12*AK85+$C$31*IF(AK81&gt;=1,1,0))*(1+$C$15)</f>
        <v>-10720</v>
      </c>
      <c r="AL92" s="180" t="n">
        <f aca="false">-($C$12*AL85+$C$31*IF(AL81&gt;=1,1,0))*(1+$C$15)</f>
        <v>-10720</v>
      </c>
      <c r="AM92" s="180" t="n">
        <f aca="false">-($C$12*AM85+$C$31*IF(AM81&gt;=1,1,0))*(1+$C$15)</f>
        <v>-10720</v>
      </c>
      <c r="AN92" s="180" t="n">
        <f aca="false">-($C$12*AN85+$C$31*IF(AN81&gt;=1,1,0))*(1+$C$15)</f>
        <v>-14204</v>
      </c>
      <c r="AO92" s="180" t="n">
        <f aca="false">-($C$12*AO85+$C$31*IF(AO81&gt;=1,1,0))*(1+$C$15)</f>
        <v>-14204</v>
      </c>
      <c r="AP92" s="180" t="n">
        <f aca="false">-($C$12*AP85+$C$31*IF(AP81&gt;=1,1,0))*(1+$C$15)</f>
        <v>-14204</v>
      </c>
      <c r="AQ92" s="180" t="n">
        <f aca="false">-($C$12*AQ85+$C$31*IF(AQ81&gt;=1,1,0))*(1+$C$15)</f>
        <v>-14204</v>
      </c>
      <c r="AR92" s="180" t="n">
        <f aca="false">-($C$12*AR85+$C$31*IF(AR81&gt;=1,1,0))*(1+$C$15)</f>
        <v>-14204</v>
      </c>
      <c r="AS92" s="180" t="n">
        <f aca="false">-($C$12*AS85+$C$31*IF(AS81&gt;=1,1,0))*(1+$C$15)</f>
        <v>-14204</v>
      </c>
      <c r="AT92" s="180" t="n">
        <f aca="false">-($C$12*AT85+$C$31*IF(AT81&gt;=1,1,0))*(1+$C$15)</f>
        <v>-14204</v>
      </c>
      <c r="AU92" s="180" t="n">
        <f aca="false">-($C$12*AU85+$C$31*IF(AU81&gt;=1,1,0))*(1+$C$15)</f>
        <v>-14204</v>
      </c>
      <c r="AV92" s="180" t="n">
        <f aca="false">-($C$12*AV85+$C$31*IF(AV81&gt;=1,1,0))*(1+$C$15)</f>
        <v>-14204</v>
      </c>
      <c r="AW92" s="180" t="n">
        <f aca="false">-($C$12*AW85+$C$31*IF(AW81&gt;=1,1,0))*(1+$C$15)</f>
        <v>-14204</v>
      </c>
      <c r="AX92" s="180" t="n">
        <f aca="false">-($C$12*AX85+$C$31*IF(AX81&gt;=1,1,0))*(1+$C$15)</f>
        <v>-14204</v>
      </c>
      <c r="AY92" s="180" t="n">
        <f aca="false">-($C$12*AY85+$C$31*IF(AY81&gt;=1,1,0))*(1+$C$15)</f>
        <v>-14204</v>
      </c>
      <c r="AZ92" s="180" t="n">
        <f aca="false">-($C$12*AZ85+$C$31*IF(AZ81&gt;=1,1,0))*(1+$C$15)</f>
        <v>-14204</v>
      </c>
      <c r="BA92" s="180" t="n">
        <f aca="false">-($C$12*BA85+$C$31*IF(BA81&gt;=1,1,0))*(1+$C$15)</f>
        <v>-17688</v>
      </c>
      <c r="BB92" s="180" t="n">
        <f aca="false">-($C$12*BB85+$C$31*IF(BB81&gt;=1,1,0))*(1+$C$15)</f>
        <v>-21172</v>
      </c>
      <c r="BC92" s="180" t="n">
        <f aca="false">-($C$12*BC85+$C$31*IF(BC81&gt;=1,1,0))*(1+$C$15)</f>
        <v>-24656</v>
      </c>
      <c r="BD92" s="180" t="n">
        <f aca="false">-($C$12*BD85+$C$31*IF(BD81&gt;=1,1,0))*(1+$C$15)</f>
        <v>-28140</v>
      </c>
      <c r="BE92" s="180" t="n">
        <f aca="false">-($C$12*BE85+$C$31*IF(BE81&gt;=1,1,0))*(1+$C$15)</f>
        <v>-28140</v>
      </c>
      <c r="BF92" s="180" t="n">
        <f aca="false">-($C$12*BF85+$C$31*IF(BF81&gt;=1,1,0))*(1+$C$15)</f>
        <v>-31624</v>
      </c>
      <c r="BG92" s="180" t="n">
        <f aca="false">-($C$12*BG85+$C$31*IF(BG81&gt;=1,1,0))*(1+$C$15)</f>
        <v>-31624</v>
      </c>
      <c r="BH92" s="180" t="n">
        <f aca="false">-($C$12*BH85+$C$31*IF(BH81&gt;=1,1,0))*(1+$C$15)</f>
        <v>-35108</v>
      </c>
      <c r="BI92" s="180" t="n">
        <f aca="false">-($C$12*BI85+$C$31*IF(BI81&gt;=1,1,0))*(1+$C$15)</f>
        <v>-35108</v>
      </c>
      <c r="BJ92" s="180" t="n">
        <f aca="false">-($C$12*BJ85+$C$31*IF(BJ81&gt;=1,1,0))*(1+$C$15)</f>
        <v>-38592</v>
      </c>
      <c r="BK92" s="180" t="n">
        <f aca="false">-($C$12*BK85+$C$31*IF(BK81&gt;=1,1,0))*(1+$C$15)</f>
        <v>-38592</v>
      </c>
      <c r="BL92" s="180" t="n">
        <f aca="false">-($C$12*BL85+$C$31*IF(BL81&gt;=1,1,0))*(1+$C$15)</f>
        <v>-38592</v>
      </c>
      <c r="BM92" s="180" t="n">
        <f aca="false">-($C$12*BM85+$C$31*IF(BM81&gt;=1,1,0))*(1+$C$15)</f>
        <v>-38592</v>
      </c>
      <c r="BN92" s="180" t="n">
        <f aca="false">-($C$12*BN85+$C$31*IF(BN81&gt;=1,1,0))*(1+$C$15)</f>
        <v>-38592</v>
      </c>
      <c r="BO92" s="180" t="n">
        <f aca="false">-($C$12*BO85+$C$31*IF(BO81&gt;=1,1,0))*(1+$C$15)</f>
        <v>-42076</v>
      </c>
      <c r="BP92" s="180" t="n">
        <f aca="false">-($C$12*BP85+$C$31*IF(BP81&gt;=1,1,0))*(1+$C$15)</f>
        <v>-42076</v>
      </c>
      <c r="BQ92" s="180" t="n">
        <f aca="false">-($C$12*BQ85+$C$31*IF(BQ81&gt;=1,1,0))*(1+$C$15)</f>
        <v>-45560</v>
      </c>
      <c r="BR92" s="180" t="n">
        <f aca="false">-($C$12*BR85+$C$31*IF(BR81&gt;=1,1,0))*(1+$C$15)</f>
        <v>-45560</v>
      </c>
      <c r="BS92" s="180" t="n">
        <f aca="false">-($C$12*BS85+$C$31*IF(BS81&gt;=1,1,0))*(1+$C$15)</f>
        <v>-49044</v>
      </c>
      <c r="BT92" s="180" t="n">
        <f aca="false">-($C$12*BT85+$C$31*IF(BT81&gt;=1,1,0))*(1+$C$15)</f>
        <v>-49044</v>
      </c>
      <c r="BU92" s="180" t="n">
        <f aca="false">-($C$12*BU85+$C$31*IF(BU81&gt;=1,1,0))*(1+$C$15)</f>
        <v>-56012</v>
      </c>
      <c r="BV92" s="180" t="n">
        <f aca="false">-($C$12*BV85+$C$31*IF(BV81&gt;=1,1,0))*(1+$C$15)</f>
        <v>-56012</v>
      </c>
      <c r="BW92" s="180" t="n">
        <f aca="false">-($C$12*BW85+$C$31*IF(BW81&gt;=1,1,0))*(1+$C$15)</f>
        <v>-59496</v>
      </c>
      <c r="BX92" s="180" t="n">
        <f aca="false">-($C$12*BX85+$C$31*IF(BX81&gt;=1,1,0))*(1+$C$15)</f>
        <v>-62980</v>
      </c>
      <c r="BY92" s="180" t="n">
        <f aca="false">-($C$12*BY85+$C$31*IF(BY81&gt;=1,1,0))*(1+$C$15)</f>
        <v>-62980</v>
      </c>
      <c r="BZ92" s="180" t="n">
        <f aca="false">-($C$12*BZ85+$C$31*IF(BZ81&gt;=1,1,0))*(1+$C$15)</f>
        <v>-62980</v>
      </c>
      <c r="CA92" s="180" t="n">
        <f aca="false">-($C$12*CA85+$C$31*IF(CA81&gt;=1,1,0))*(1+$C$15)</f>
        <v>-62980</v>
      </c>
      <c r="CB92" s="180" t="n">
        <f aca="false">-($C$12*CB85+$C$31*IF(CB81&gt;=1,1,0))*(1+$C$15)</f>
        <v>-62980</v>
      </c>
      <c r="CC92" s="180" t="n">
        <f aca="false">-($C$12*CC85+$C$31*IF(CC81&gt;=1,1,0))*(1+$C$15)</f>
        <v>-62980</v>
      </c>
      <c r="CD92" s="180" t="n">
        <f aca="false">-($C$12*CD85+$C$31*IF(CD81&gt;=1,1,0))*(1+$C$15)</f>
        <v>-62980</v>
      </c>
      <c r="CE92" s="180" t="n">
        <f aca="false">-($C$12*CE85+$C$31*IF(CE81&gt;=1,1,0))*(1+$C$15)</f>
        <v>-62980</v>
      </c>
      <c r="CF92" s="180" t="n">
        <f aca="false">-($C$12*CF85+$C$31*IF(CF81&gt;=1,1,0))*(1+$C$15)</f>
        <v>-66464</v>
      </c>
      <c r="CG92" s="180" t="n">
        <f aca="false">-($C$12*CG85+$C$31*IF(CG81&gt;=1,1,0))*(1+$C$15)</f>
        <v>-66464</v>
      </c>
      <c r="CH92" s="180" t="n">
        <f aca="false">-($C$12*CH85+$C$31*IF(CH81&gt;=1,1,0))*(1+$C$15)</f>
        <v>-66464</v>
      </c>
      <c r="CI92" s="180" t="n">
        <f aca="false">-($C$12*CI85+$C$31*IF(CI81&gt;=1,1,0))*(1+$C$15)</f>
        <v>-66464</v>
      </c>
      <c r="CJ92" s="180" t="n">
        <f aca="false">-($C$12*CJ85+$C$31*IF(CJ81&gt;=1,1,0))*(1+$C$15)</f>
        <v>-66464</v>
      </c>
      <c r="CK92" s="180" t="n">
        <f aca="false">-($C$12*CK85+$C$31*IF(CK81&gt;=1,1,0))*(1+$C$15)</f>
        <v>-69948</v>
      </c>
      <c r="CL92" s="180" t="n">
        <f aca="false">-($C$12*CL85+$C$31*IF(CL81&gt;=1,1,0))*(1+$C$15)</f>
        <v>-73432</v>
      </c>
      <c r="CM92" s="180" t="n">
        <f aca="false">-($C$12*CM85+$C$31*IF(CM81&gt;=1,1,0))*(1+$C$15)</f>
        <v>-73432</v>
      </c>
      <c r="CN92" s="180" t="n">
        <f aca="false">-($C$12*CN85+$C$31*IF(CN81&gt;=1,1,0))*(1+$C$15)</f>
        <v>-76916</v>
      </c>
      <c r="CO92" s="180" t="n">
        <f aca="false">-($C$12*CO85+$C$31*IF(CO81&gt;=1,1,0))*(1+$C$15)</f>
        <v>-76916</v>
      </c>
      <c r="CP92" s="180" t="n">
        <f aca="false">-($C$12*CP85+$C$31*IF(CP81&gt;=1,1,0))*(1+$C$15)</f>
        <v>-80400</v>
      </c>
      <c r="CQ92" s="180" t="n">
        <f aca="false">-($C$12*CQ85+$C$31*IF(CQ81&gt;=1,1,0))*(1+$C$15)</f>
        <v>-80400</v>
      </c>
      <c r="CR92" s="180" t="n">
        <f aca="false">-($C$12*CR85+$C$31*IF(CR81&gt;=1,1,0))*(1+$C$15)</f>
        <v>-80400</v>
      </c>
      <c r="CS92" s="180" t="n">
        <f aca="false">-($C$12*CS85+$C$31*IF(CS81&gt;=1,1,0))*(1+$C$15)</f>
        <v>-80400</v>
      </c>
      <c r="CT92" s="180" t="n">
        <f aca="false">-($C$12*CT85+$C$31*IF(CT81&gt;=1,1,0))*(1+$C$15)</f>
        <v>-80400</v>
      </c>
      <c r="CU92" s="180" t="n">
        <f aca="false">-($C$12*CU85+$C$31*IF(CU81&gt;=1,1,0))*(1+$C$15)</f>
        <v>-80400</v>
      </c>
      <c r="CV92" s="180" t="n">
        <f aca="false">-($C$12*CV85+$C$31*IF(CV81&gt;=1,1,0))*(1+$C$15)</f>
        <v>-80400</v>
      </c>
      <c r="CW92" s="180" t="n">
        <f aca="false">-($C$12*CW85+$C$31*IF(CW81&gt;=1,1,0))*(1+$C$15)</f>
        <v>-83884</v>
      </c>
      <c r="CX92" s="180" t="n">
        <f aca="false">-($C$12*CX85+$C$31*IF(CX81&gt;=1,1,0))*(1+$C$15)</f>
        <v>-87368</v>
      </c>
      <c r="CY92" s="180" t="n">
        <f aca="false">-($C$12*CY85+$C$31*IF(CY81&gt;=1,1,0))*(1+$C$15)</f>
        <v>-90852</v>
      </c>
      <c r="CZ92" s="180" t="n">
        <f aca="false">-($C$12*CZ85+$C$31*IF(CZ81&gt;=1,1,0))*(1+$C$15)</f>
        <v>-94336</v>
      </c>
      <c r="DA92" s="180" t="n">
        <f aca="false">-($C$12*DA85+$C$31*IF(DA81&gt;=1,1,0))*(1+$C$15)</f>
        <v>-101304</v>
      </c>
      <c r="DB92" s="180" t="n">
        <f aca="false">-($C$12*DB85+$C$31*IF(DB81&gt;=1,1,0))*(1+$C$15)</f>
        <v>-101304</v>
      </c>
      <c r="DC92" s="180" t="n">
        <f aca="false">-($C$12*DC85+$C$31*IF(DC81&gt;=1,1,0))*(1+$C$15)</f>
        <v>-101304</v>
      </c>
      <c r="DD92" s="180" t="n">
        <f aca="false">-($C$12*DD85+$C$31*IF(DD81&gt;=1,1,0))*(1+$C$15)</f>
        <v>-101304</v>
      </c>
      <c r="DE92" s="180" t="n">
        <f aca="false">-($C$12*DE85+$C$31*IF(DE81&gt;=1,1,0))*(1+$C$15)</f>
        <v>-101304</v>
      </c>
      <c r="DF92" s="180" t="n">
        <f aca="false">-($C$12*DF85+$C$31*IF(DF81&gt;=1,1,0))*(1+$C$15)</f>
        <v>-104788</v>
      </c>
      <c r="DG92" s="180" t="n">
        <f aca="false">-($C$12*DG85+$C$31*IF(DG81&gt;=1,1,0))*(1+$C$15)</f>
        <v>-104788</v>
      </c>
      <c r="DH92" s="180" t="n">
        <f aca="false">-($C$12*DH85+$C$31*IF(DH81&gt;=1,1,0))*(1+$C$15)</f>
        <v>-104788</v>
      </c>
      <c r="DI92" s="180" t="n">
        <f aca="false">-($C$12*DI85+$C$31*IF(DI81&gt;=1,1,0))*(1+$C$15)</f>
        <v>-104788</v>
      </c>
      <c r="DJ92" s="180" t="n">
        <f aca="false">-($C$12*DJ85+$C$31*IF(DJ81&gt;=1,1,0))*(1+$C$15)</f>
        <v>-104788</v>
      </c>
      <c r="DK92" s="180" t="n">
        <f aca="false">-($C$12*DK85+$C$31*IF(DK81&gt;=1,1,0))*(1+$C$15)</f>
        <v>-108272</v>
      </c>
      <c r="DL92" s="180" t="n">
        <f aca="false">-($C$12*DL85+$C$31*IF(DL81&gt;=1,1,0))*(1+$C$15)</f>
        <v>-111756</v>
      </c>
      <c r="DM92" s="180" t="n">
        <f aca="false">-($C$12*DM85+$C$31*IF(DM81&gt;=1,1,0))*(1+$C$15)</f>
        <v>-111756</v>
      </c>
      <c r="DN92" s="180" t="n">
        <f aca="false">-($C$12*DN85+$C$31*IF(DN81&gt;=1,1,0))*(1+$C$15)</f>
        <v>-111756</v>
      </c>
      <c r="DO92" s="180" t="n">
        <f aca="false">-($C$12*DO85+$C$31*IF(DO81&gt;=1,1,0))*(1+$C$15)</f>
        <v>-111756</v>
      </c>
      <c r="DP92" s="180" t="n">
        <f aca="false">-($C$12*DP85+$C$31*IF(DP81&gt;=1,1,0))*(1+$C$15)</f>
        <v>-115240</v>
      </c>
      <c r="DQ92" s="180" t="n">
        <f aca="false">-($C$12*DQ85+$C$31*IF(DQ81&gt;=1,1,0))*(1+$C$15)</f>
        <v>-118724</v>
      </c>
      <c r="DR92" s="180" t="n">
        <f aca="false">-($C$12*DR85+$C$31*IF(DR81&gt;=1,1,0))*(1+$C$15)</f>
        <v>-118724</v>
      </c>
      <c r="DS92" s="180" t="n">
        <f aca="false">-($C$12*DS85+$C$31*IF(DS81&gt;=1,1,0))*(1+$C$15)</f>
        <v>-118724</v>
      </c>
      <c r="DT92" s="180" t="n">
        <f aca="false">-($C$12*DT85+$C$31*IF(DT81&gt;=1,1,0))*(1+$C$15)</f>
        <v>-118724</v>
      </c>
      <c r="DU92" s="180" t="n">
        <f aca="false">-($C$12*DU85+$C$31*IF(DU81&gt;=1,1,0))*(1+$C$15)</f>
        <v>-122208</v>
      </c>
      <c r="DV92" s="180" t="n">
        <f aca="false">-($C$12*DV85+$C$31*IF(DV81&gt;=1,1,0))*(1+$C$15)</f>
        <v>-125692</v>
      </c>
      <c r="DW92" s="180" t="n">
        <f aca="false">-($C$12*DW85+$C$31*IF(DW81&gt;=1,1,0))*(1+$C$15)</f>
        <v>-129176</v>
      </c>
      <c r="DX92" s="180" t="n">
        <f aca="false">-($C$12*DX85+$C$31*IF(DX81&gt;=1,1,0))*(1+$C$15)</f>
        <v>-132660</v>
      </c>
      <c r="DY92" s="180" t="n">
        <f aca="false">-($C$12*DY85+$C$31*IF(DY81&gt;=1,1,0))*(1+$C$15)</f>
        <v>-136144</v>
      </c>
      <c r="DZ92" s="180" t="n">
        <f aca="false">-($C$12*DZ85+$C$31*IF(DZ81&gt;=1,1,0))*(1+$C$15)</f>
        <v>-136144</v>
      </c>
      <c r="EA92" s="180" t="n">
        <f aca="false">-($C$12*EA85+$C$31*IF(EA81&gt;=1,1,0))*(1+$C$15)</f>
        <v>-136144</v>
      </c>
      <c r="EB92" s="180" t="n">
        <f aca="false">-($C$12*EB85+$C$31*IF(EB81&gt;=1,1,0))*(1+$C$15)</f>
        <v>-136144</v>
      </c>
      <c r="EC92" s="180" t="n">
        <f aca="false">-($C$12*EC85+$C$31*IF(EC81&gt;=1,1,0))*(1+$C$15)</f>
        <v>-136144</v>
      </c>
      <c r="ED92" s="180" t="n">
        <f aca="false">-($C$12*ED85+$C$31*IF(ED81&gt;=1,1,0))*(1+$C$15)</f>
        <v>-139628</v>
      </c>
      <c r="EE92" s="180" t="n">
        <f aca="false">-($C$12*EE85+$C$31*IF(EE81&gt;=1,1,0))*(1+$C$15)</f>
        <v>-143112</v>
      </c>
      <c r="EF92" s="180" t="n">
        <f aca="false">-($C$12*EF85+$C$31*IF(EF81&gt;=1,1,0))*(1+$C$15)</f>
        <v>-146596</v>
      </c>
      <c r="EG92" s="180" t="n">
        <f aca="false">-($C$12*EG85+$C$31*IF(EG81&gt;=1,1,0))*(1+$C$15)</f>
        <v>-153564</v>
      </c>
      <c r="EH92" s="180" t="n">
        <f aca="false">-($C$12*EH85+$C$31*IF(EH81&gt;=1,1,0))*(1+$C$15)</f>
        <v>-160532</v>
      </c>
      <c r="EI92" s="180" t="n">
        <f aca="false">-($C$12*EI85+$C$31*IF(EI81&gt;=1,1,0))*(1+$C$15)</f>
        <v>-167500</v>
      </c>
      <c r="EJ92" s="180" t="n">
        <f aca="false">-($C$12*EJ85+$C$31*IF(EJ81&gt;=1,1,0))*(1+$C$15)</f>
        <v>-170984</v>
      </c>
      <c r="EK92" s="180" t="n">
        <f aca="false">-($C$12*EK85+$C$31*IF(EK81&gt;=1,1,0))*(1+$C$15)</f>
        <v>-170984</v>
      </c>
      <c r="EL92" s="180" t="n">
        <f aca="false">-($C$12*EL85+$C$31*IF(EL81&gt;=1,1,0))*(1+$C$15)</f>
        <v>-174468</v>
      </c>
      <c r="EM92" s="180" t="n">
        <f aca="false">-($C$12*EM85+$C$31*IF(EM81&gt;=1,1,0))*(1+$C$15)</f>
        <v>-177952</v>
      </c>
      <c r="EN92" s="180" t="n">
        <f aca="false">-($C$12*EN85+$C$31*IF(EN81&gt;=1,1,0))*(1+$C$15)</f>
        <v>-181436</v>
      </c>
      <c r="EO92" s="180" t="n">
        <f aca="false">-($C$12*EO85+$C$31*IF(EO81&gt;=1,1,0))*(1+$C$15)</f>
        <v>-184920</v>
      </c>
      <c r="EP92" s="180" t="n">
        <f aca="false">-($C$12*EP85+$C$31*IF(EP81&gt;=1,1,0))*(1+$C$15)</f>
        <v>-188404</v>
      </c>
      <c r="EQ92" s="180" t="n">
        <f aca="false">-($C$12*EQ85+$C$31*IF(EQ81&gt;=1,1,0))*(1+$C$15)</f>
        <v>-188404</v>
      </c>
      <c r="ER92" s="180" t="n">
        <f aca="false">-($C$12*ER85+$C$31*IF(ER81&gt;=1,1,0))*(1+$C$15)</f>
        <v>-188404</v>
      </c>
    </row>
    <row r="93" customFormat="false" ht="15" hidden="false" customHeight="false" outlineLevel="0" collapsed="false">
      <c r="B93" s="18" t="s">
        <v>1195</v>
      </c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0" t="n">
        <f aca="false">-$C$13*AC85*(1+$C$15)</f>
        <v>-938</v>
      </c>
      <c r="AD93" s="180" t="n">
        <f aca="false">-$C$13*AD85*(1+$C$15)</f>
        <v>-1876</v>
      </c>
      <c r="AE93" s="180" t="n">
        <f aca="false">-$C$13*AE85*(1+$C$15)</f>
        <v>-1876</v>
      </c>
      <c r="AF93" s="180" t="n">
        <f aca="false">-$C$13*AF85*(1+$C$15)</f>
        <v>-1876</v>
      </c>
      <c r="AG93" s="180" t="n">
        <f aca="false">-$C$13*AG85*(1+$C$15)</f>
        <v>-2814</v>
      </c>
      <c r="AH93" s="180" t="n">
        <f aca="false">-$C$13*AH85*(1+$C$15)</f>
        <v>-2814</v>
      </c>
      <c r="AI93" s="180" t="n">
        <f aca="false">-$C$13*AI85*(1+$C$15)</f>
        <v>-2814</v>
      </c>
      <c r="AJ93" s="180" t="n">
        <f aca="false">-$C$13*AJ85*(1+$C$15)</f>
        <v>-2814</v>
      </c>
      <c r="AK93" s="180" t="n">
        <f aca="false">-$C$13*AK85*(1+$C$15)</f>
        <v>-2814</v>
      </c>
      <c r="AL93" s="180" t="n">
        <f aca="false">-$C$13*AL85*(1+$C$15)</f>
        <v>-2814</v>
      </c>
      <c r="AM93" s="180" t="n">
        <f aca="false">-$C$13*AM85*(1+$C$15)</f>
        <v>-2814</v>
      </c>
      <c r="AN93" s="180" t="n">
        <f aca="false">-$C$13*AN85*(1+$C$15)</f>
        <v>-3752</v>
      </c>
      <c r="AO93" s="180" t="n">
        <f aca="false">-$C$13*AO85*(1+$C$15)</f>
        <v>-3752</v>
      </c>
      <c r="AP93" s="180" t="n">
        <f aca="false">-$C$13*AP85*(1+$C$15)</f>
        <v>-3752</v>
      </c>
      <c r="AQ93" s="180" t="n">
        <f aca="false">-$C$13*AQ85*(1+$C$15)</f>
        <v>-3752</v>
      </c>
      <c r="AR93" s="180" t="n">
        <f aca="false">-$C$13*AR85*(1+$C$15)</f>
        <v>-3752</v>
      </c>
      <c r="AS93" s="180" t="n">
        <f aca="false">-$C$13*AS85*(1+$C$15)</f>
        <v>-3752</v>
      </c>
      <c r="AT93" s="180" t="n">
        <f aca="false">-$C$13*AT85*(1+$C$15)</f>
        <v>-3752</v>
      </c>
      <c r="AU93" s="180" t="n">
        <f aca="false">-$C$13*AU85*(1+$C$15)</f>
        <v>-3752</v>
      </c>
      <c r="AV93" s="180" t="n">
        <f aca="false">-$C$13*AV85*(1+$C$15)</f>
        <v>-3752</v>
      </c>
      <c r="AW93" s="180" t="n">
        <f aca="false">-$C$13*AW85*(1+$C$15)</f>
        <v>-3752</v>
      </c>
      <c r="AX93" s="180" t="n">
        <f aca="false">-$C$13*AX85*(1+$C$15)</f>
        <v>-3752</v>
      </c>
      <c r="AY93" s="180" t="n">
        <f aca="false">-$C$13*AY85*(1+$C$15)</f>
        <v>-3752</v>
      </c>
      <c r="AZ93" s="180" t="n">
        <f aca="false">-$C$13*AZ85*(1+$C$15)</f>
        <v>-3752</v>
      </c>
      <c r="BA93" s="180" t="n">
        <f aca="false">-$C$13*BA85*(1+$C$15)</f>
        <v>-4690</v>
      </c>
      <c r="BB93" s="180" t="n">
        <f aca="false">-$C$13*BB85*(1+$C$15)</f>
        <v>-5628</v>
      </c>
      <c r="BC93" s="180" t="n">
        <f aca="false">-$C$13*BC85*(1+$C$15)</f>
        <v>-6566</v>
      </c>
      <c r="BD93" s="180" t="n">
        <f aca="false">-$C$13*BD85*(1+$C$15)</f>
        <v>-7504</v>
      </c>
      <c r="BE93" s="180" t="n">
        <f aca="false">-$C$13*BE85*(1+$C$15)</f>
        <v>-7504</v>
      </c>
      <c r="BF93" s="180" t="n">
        <f aca="false">-$C$13*BF85*(1+$C$15)</f>
        <v>-8442</v>
      </c>
      <c r="BG93" s="180" t="n">
        <f aca="false">-$C$13*BG85*(1+$C$15)</f>
        <v>-8442</v>
      </c>
      <c r="BH93" s="180" t="n">
        <f aca="false">-$C$13*BH85*(1+$C$15)</f>
        <v>-9380</v>
      </c>
      <c r="BI93" s="180" t="n">
        <f aca="false">-$C$13*BI85*(1+$C$15)</f>
        <v>-9380</v>
      </c>
      <c r="BJ93" s="180" t="n">
        <f aca="false">-$C$13*BJ85*(1+$C$15)</f>
        <v>-10318</v>
      </c>
      <c r="BK93" s="180" t="n">
        <f aca="false">-$C$13*BK85*(1+$C$15)</f>
        <v>-10318</v>
      </c>
      <c r="BL93" s="180" t="n">
        <f aca="false">-$C$13*BL85*(1+$C$15)</f>
        <v>-10318</v>
      </c>
      <c r="BM93" s="180" t="n">
        <f aca="false">-$C$13*BM85*(1+$C$15)</f>
        <v>-10318</v>
      </c>
      <c r="BN93" s="180" t="n">
        <f aca="false">-$C$13*BN85*(1+$C$15)</f>
        <v>-10318</v>
      </c>
      <c r="BO93" s="180" t="n">
        <f aca="false">-$C$13*BO85*(1+$C$15)</f>
        <v>-11256</v>
      </c>
      <c r="BP93" s="180" t="n">
        <f aca="false">-$C$13*BP85*(1+$C$15)</f>
        <v>-11256</v>
      </c>
      <c r="BQ93" s="180" t="n">
        <f aca="false">-$C$13*BQ85*(1+$C$15)</f>
        <v>-12194</v>
      </c>
      <c r="BR93" s="180" t="n">
        <f aca="false">-$C$13*BR85*(1+$C$15)</f>
        <v>-12194</v>
      </c>
      <c r="BS93" s="180" t="n">
        <f aca="false">-$C$13*BS85*(1+$C$15)</f>
        <v>-13132</v>
      </c>
      <c r="BT93" s="180" t="n">
        <f aca="false">-$C$13*BT85*(1+$C$15)</f>
        <v>-13132</v>
      </c>
      <c r="BU93" s="180" t="n">
        <f aca="false">-$C$13*BU85*(1+$C$15)</f>
        <v>-15008</v>
      </c>
      <c r="BV93" s="180" t="n">
        <f aca="false">-$C$13*BV85*(1+$C$15)</f>
        <v>-15008</v>
      </c>
      <c r="BW93" s="180" t="n">
        <f aca="false">-$C$13*BW85*(1+$C$15)</f>
        <v>-15946</v>
      </c>
      <c r="BX93" s="180" t="n">
        <f aca="false">-$C$13*BX85*(1+$C$15)</f>
        <v>-16884</v>
      </c>
      <c r="BY93" s="180" t="n">
        <f aca="false">-$C$13*BY85*(1+$C$15)</f>
        <v>-16884</v>
      </c>
      <c r="BZ93" s="180" t="n">
        <f aca="false">-$C$13*BZ85*(1+$C$15)</f>
        <v>-16884</v>
      </c>
      <c r="CA93" s="180" t="n">
        <f aca="false">-$C$13*CA85*(1+$C$15)</f>
        <v>-16884</v>
      </c>
      <c r="CB93" s="180" t="n">
        <f aca="false">-$C$13*CB85*(1+$C$15)</f>
        <v>-16884</v>
      </c>
      <c r="CC93" s="180" t="n">
        <f aca="false">-$C$13*CC85*(1+$C$15)</f>
        <v>-16884</v>
      </c>
      <c r="CD93" s="180" t="n">
        <f aca="false">-$C$13*CD85*(1+$C$15)</f>
        <v>-16884</v>
      </c>
      <c r="CE93" s="180" t="n">
        <f aca="false">-$C$13*CE85*(1+$C$15)</f>
        <v>-16884</v>
      </c>
      <c r="CF93" s="180" t="n">
        <f aca="false">-$C$13*CF85*(1+$C$15)</f>
        <v>-17822</v>
      </c>
      <c r="CG93" s="180" t="n">
        <f aca="false">-$C$13*CG85*(1+$C$15)</f>
        <v>-17822</v>
      </c>
      <c r="CH93" s="180" t="n">
        <f aca="false">-$C$13*CH85*(1+$C$15)</f>
        <v>-17822</v>
      </c>
      <c r="CI93" s="180" t="n">
        <f aca="false">-$C$13*CI85*(1+$C$15)</f>
        <v>-17822</v>
      </c>
      <c r="CJ93" s="180" t="n">
        <f aca="false">-$C$13*CJ85*(1+$C$15)</f>
        <v>-17822</v>
      </c>
      <c r="CK93" s="180" t="n">
        <f aca="false">-$C$13*CK85*(1+$C$15)</f>
        <v>-18760</v>
      </c>
      <c r="CL93" s="180" t="n">
        <f aca="false">-$C$13*CL85*(1+$C$15)</f>
        <v>-19698</v>
      </c>
      <c r="CM93" s="180" t="n">
        <f aca="false">-$C$13*CM85*(1+$C$15)</f>
        <v>-19698</v>
      </c>
      <c r="CN93" s="180" t="n">
        <f aca="false">-$C$13*CN85*(1+$C$15)</f>
        <v>-20636</v>
      </c>
      <c r="CO93" s="180" t="n">
        <f aca="false">-$C$13*CO85*(1+$C$15)</f>
        <v>-20636</v>
      </c>
      <c r="CP93" s="180" t="n">
        <f aca="false">-$C$13*CP85*(1+$C$15)</f>
        <v>-21574</v>
      </c>
      <c r="CQ93" s="180" t="n">
        <f aca="false">-$C$13*CQ85*(1+$C$15)</f>
        <v>-21574</v>
      </c>
      <c r="CR93" s="180" t="n">
        <f aca="false">-$C$13*CR85*(1+$C$15)</f>
        <v>-21574</v>
      </c>
      <c r="CS93" s="180" t="n">
        <f aca="false">-$C$13*CS85*(1+$C$15)</f>
        <v>-21574</v>
      </c>
      <c r="CT93" s="180" t="n">
        <f aca="false">-$C$13*CT85*(1+$C$15)</f>
        <v>-21574</v>
      </c>
      <c r="CU93" s="180" t="n">
        <f aca="false">-$C$13*CU85*(1+$C$15)</f>
        <v>-21574</v>
      </c>
      <c r="CV93" s="180" t="n">
        <f aca="false">-$C$13*CV85*(1+$C$15)</f>
        <v>-21574</v>
      </c>
      <c r="CW93" s="180" t="n">
        <f aca="false">-$C$13*CW85*(1+$C$15)</f>
        <v>-22512</v>
      </c>
      <c r="CX93" s="180" t="n">
        <f aca="false">-$C$13*CX85*(1+$C$15)</f>
        <v>-23450</v>
      </c>
      <c r="CY93" s="180" t="n">
        <f aca="false">-$C$13*CY85*(1+$C$15)</f>
        <v>-24388</v>
      </c>
      <c r="CZ93" s="180" t="n">
        <f aca="false">-$C$13*CZ85*(1+$C$15)</f>
        <v>-25326</v>
      </c>
      <c r="DA93" s="180" t="n">
        <f aca="false">-$C$13*DA85*(1+$C$15)</f>
        <v>-27202</v>
      </c>
      <c r="DB93" s="180" t="n">
        <f aca="false">-$C$13*DB85*(1+$C$15)</f>
        <v>-27202</v>
      </c>
      <c r="DC93" s="180" t="n">
        <f aca="false">-$C$13*DC85*(1+$C$15)</f>
        <v>-27202</v>
      </c>
      <c r="DD93" s="180" t="n">
        <f aca="false">-$C$13*DD85*(1+$C$15)</f>
        <v>-27202</v>
      </c>
      <c r="DE93" s="180" t="n">
        <f aca="false">-$C$13*DE85*(1+$C$15)</f>
        <v>-27202</v>
      </c>
      <c r="DF93" s="180" t="n">
        <f aca="false">-$C$13*DF85*(1+$C$15)</f>
        <v>-28140</v>
      </c>
      <c r="DG93" s="180" t="n">
        <f aca="false">-$C$13*DG85*(1+$C$15)</f>
        <v>-28140</v>
      </c>
      <c r="DH93" s="180" t="n">
        <f aca="false">-$C$13*DH85*(1+$C$15)</f>
        <v>-28140</v>
      </c>
      <c r="DI93" s="180" t="n">
        <f aca="false">-$C$13*DI85*(1+$C$15)</f>
        <v>-28140</v>
      </c>
      <c r="DJ93" s="180" t="n">
        <f aca="false">-$C$13*DJ85*(1+$C$15)</f>
        <v>-28140</v>
      </c>
      <c r="DK93" s="180" t="n">
        <f aca="false">-$C$13*DK85*(1+$C$15)</f>
        <v>-29078</v>
      </c>
      <c r="DL93" s="180" t="n">
        <f aca="false">-$C$13*DL85*(1+$C$15)</f>
        <v>-30016</v>
      </c>
      <c r="DM93" s="180" t="n">
        <f aca="false">-$C$13*DM85*(1+$C$15)</f>
        <v>-30016</v>
      </c>
      <c r="DN93" s="180" t="n">
        <f aca="false">-$C$13*DN85*(1+$C$15)</f>
        <v>-30016</v>
      </c>
      <c r="DO93" s="180" t="n">
        <f aca="false">-$C$13*DO85*(1+$C$15)</f>
        <v>-30016</v>
      </c>
      <c r="DP93" s="180" t="n">
        <f aca="false">-$C$13*DP85*(1+$C$15)</f>
        <v>-30954</v>
      </c>
      <c r="DQ93" s="180" t="n">
        <f aca="false">-$C$13*DQ85*(1+$C$15)</f>
        <v>-31892</v>
      </c>
      <c r="DR93" s="180" t="n">
        <f aca="false">-$C$13*DR85*(1+$C$15)</f>
        <v>-31892</v>
      </c>
      <c r="DS93" s="180" t="n">
        <f aca="false">-$C$13*DS85*(1+$C$15)</f>
        <v>-31892</v>
      </c>
      <c r="DT93" s="180" t="n">
        <f aca="false">-$C$13*DT85*(1+$C$15)</f>
        <v>-31892</v>
      </c>
      <c r="DU93" s="180" t="n">
        <f aca="false">-$C$13*DU85*(1+$C$15)</f>
        <v>-32830</v>
      </c>
      <c r="DV93" s="180" t="n">
        <f aca="false">-$C$13*DV85*(1+$C$15)</f>
        <v>-33768</v>
      </c>
      <c r="DW93" s="180" t="n">
        <f aca="false">-$C$13*DW85*(1+$C$15)</f>
        <v>-34706</v>
      </c>
      <c r="DX93" s="180" t="n">
        <f aca="false">-$C$13*DX85*(1+$C$15)</f>
        <v>-35644</v>
      </c>
      <c r="DY93" s="180" t="n">
        <f aca="false">-$C$13*DY85*(1+$C$15)</f>
        <v>-36582</v>
      </c>
      <c r="DZ93" s="180" t="n">
        <f aca="false">-$C$13*DZ85*(1+$C$15)</f>
        <v>-36582</v>
      </c>
      <c r="EA93" s="180" t="n">
        <f aca="false">-$C$13*EA85*(1+$C$15)</f>
        <v>-36582</v>
      </c>
      <c r="EB93" s="180" t="n">
        <f aca="false">-$C$13*EB85*(1+$C$15)</f>
        <v>-36582</v>
      </c>
      <c r="EC93" s="180" t="n">
        <f aca="false">-$C$13*EC85*(1+$C$15)</f>
        <v>-36582</v>
      </c>
      <c r="ED93" s="180" t="n">
        <f aca="false">-$C$13*ED85*(1+$C$15)</f>
        <v>-37520</v>
      </c>
      <c r="EE93" s="180" t="n">
        <f aca="false">-$C$13*EE85*(1+$C$15)</f>
        <v>-38458</v>
      </c>
      <c r="EF93" s="180" t="n">
        <f aca="false">-$C$13*EF85*(1+$C$15)</f>
        <v>-39396</v>
      </c>
      <c r="EG93" s="180" t="n">
        <f aca="false">-$C$13*EG85*(1+$C$15)</f>
        <v>-41272</v>
      </c>
      <c r="EH93" s="180" t="n">
        <f aca="false">-$C$13*EH85*(1+$C$15)</f>
        <v>-43148</v>
      </c>
      <c r="EI93" s="180" t="n">
        <f aca="false">-$C$13*EI85*(1+$C$15)</f>
        <v>-45024</v>
      </c>
      <c r="EJ93" s="180" t="n">
        <f aca="false">-$C$13*EJ85*(1+$C$15)</f>
        <v>-45962</v>
      </c>
      <c r="EK93" s="180" t="n">
        <f aca="false">-$C$13*EK85*(1+$C$15)</f>
        <v>-45962</v>
      </c>
      <c r="EL93" s="180" t="n">
        <f aca="false">-$C$13*EL85*(1+$C$15)</f>
        <v>-46900</v>
      </c>
      <c r="EM93" s="180" t="n">
        <f aca="false">-$C$13*EM85*(1+$C$15)</f>
        <v>-47838</v>
      </c>
      <c r="EN93" s="180" t="n">
        <f aca="false">-$C$13*EN85*(1+$C$15)</f>
        <v>-48776</v>
      </c>
      <c r="EO93" s="180" t="n">
        <f aca="false">-$C$13*EO85*(1+$C$15)</f>
        <v>-49714</v>
      </c>
      <c r="EP93" s="180" t="n">
        <f aca="false">-$C$13*EP85*(1+$C$15)</f>
        <v>-50652</v>
      </c>
      <c r="EQ93" s="180" t="n">
        <f aca="false">-$C$13*EQ85*(1+$C$15)</f>
        <v>-50652</v>
      </c>
      <c r="ER93" s="180" t="n">
        <f aca="false">-$C$13*ER85*(1+$C$15)</f>
        <v>-50652</v>
      </c>
    </row>
    <row r="94" customFormat="false" ht="15" hidden="false" customHeight="false" outlineLevel="0" collapsed="false">
      <c r="B94" s="18" t="s">
        <v>1196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0" t="n">
        <f aca="false" t="array" ref="AC94:AC94">-$C$14*(COUNTIF('⑮ Cohort Engine'!AC$950:AC$1037,"&gt;"&amp;$C$17)-SUMPRODUCT(--('⑮ Cohort Engine'!AC$950:AC$953&gt;$C$17))+SUMPRODUCT(--('⑮ Cohort Engine'!AC$950:AC$953*IFERROR(INDEX('㉔ Financial Statements'!$X$151:$AX$154,0,MATCH(AC$77,'㉔ Financial Statements'!$X$5:$AX$5,0)),1)&gt;$C$17)))*(1+$C$15)</f>
        <v>-0</v>
      </c>
      <c r="AD94" s="180" t="n">
        <f aca="false" t="array" ref="AD94:AD94">-$C$14*(COUNTIF('⑮ Cohort Engine'!AD$950:AD$1037,"&gt;"&amp;$C$17)-SUMPRODUCT(--('⑮ Cohort Engine'!AD$950:AD$953&gt;$C$17))+SUMPRODUCT(--('⑮ Cohort Engine'!AD$950:AD$953*IFERROR(INDEX('㉔ Financial Statements'!$X$151:$AX$154,0,MATCH(AD$77,'㉔ Financial Statements'!$X$5:$AX$5,0)),1)&gt;$C$17)))*(1+$C$15)</f>
        <v>-0</v>
      </c>
      <c r="AE94" s="180" t="n">
        <f aca="false" t="array" ref="AE94:AE94">-$C$14*(COUNTIF('⑮ Cohort Engine'!AE$950:AE$1037,"&gt;"&amp;$C$17)-SUMPRODUCT(--('⑮ Cohort Engine'!AE$950:AE$953&gt;$C$17))+SUMPRODUCT(--('⑮ Cohort Engine'!AE$950:AE$953*IFERROR(INDEX('㉔ Financial Statements'!$X$151:$AX$154,0,MATCH(AE$77,'㉔ Financial Statements'!$X$5:$AX$5,0)),1)&gt;$C$17)))*(1+$C$15)</f>
        <v>-0</v>
      </c>
      <c r="AF94" s="180" t="n">
        <f aca="false" t="array" ref="AF94:AF94">-$C$14*(COUNTIF('⑮ Cohort Engine'!AF$950:AF$1037,"&gt;"&amp;$C$17)-SUMPRODUCT(--('⑮ Cohort Engine'!AF$950:AF$953&gt;$C$17))+SUMPRODUCT(--('⑮ Cohort Engine'!AF$950:AF$953*IFERROR(INDEX('㉔ Financial Statements'!$X$151:$AX$154,0,MATCH(AF$77,'㉔ Financial Statements'!$X$5:$AX$5,0)),1)&gt;$C$17)))*(1+$C$15)</f>
        <v>-0</v>
      </c>
      <c r="AG94" s="180" t="n">
        <f aca="false" t="array" ref="AG94:AG94">-$C$14*(COUNTIF('⑮ Cohort Engine'!AG$950:AG$1037,"&gt;"&amp;$C$17)-SUMPRODUCT(--('⑮ Cohort Engine'!AG$950:AG$953&gt;$C$17))+SUMPRODUCT(--('⑮ Cohort Engine'!AG$950:AG$953*IFERROR(INDEX('㉔ Financial Statements'!$X$151:$AX$154,0,MATCH(AG$77,'㉔ Financial Statements'!$X$5:$AX$5,0)),1)&gt;$C$17)))*(1+$C$15)</f>
        <v>-0</v>
      </c>
      <c r="AH94" s="180" t="n">
        <f aca="false" t="array" ref="AH94:AH94">-$C$14*(COUNTIF('⑮ Cohort Engine'!AH$950:AH$1037,"&gt;"&amp;$C$17)-SUMPRODUCT(--('⑮ Cohort Engine'!AH$950:AH$953&gt;$C$17))+SUMPRODUCT(--('⑮ Cohort Engine'!AH$950:AH$953*IFERROR(INDEX('㉔ Financial Statements'!$X$151:$AX$154,0,MATCH(AH$77,'㉔ Financial Statements'!$X$5:$AX$5,0)),1)&gt;$C$17)))*(1+$C$15)</f>
        <v>-0</v>
      </c>
      <c r="AI94" s="180" t="n">
        <f aca="false" t="array" ref="AI94:AI94">-$C$14*(COUNTIF('⑮ Cohort Engine'!AI$950:AI$1037,"&gt;"&amp;$C$17)-SUMPRODUCT(--('⑮ Cohort Engine'!AI$950:AI$953&gt;$C$17))+SUMPRODUCT(--('⑮ Cohort Engine'!AI$950:AI$953*IFERROR(INDEX('㉔ Financial Statements'!$X$151:$AX$154,0,MATCH(AI$77,'㉔ Financial Statements'!$X$5:$AX$5,0)),1)&gt;$C$17)))*(1+$C$15)</f>
        <v>-0</v>
      </c>
      <c r="AJ94" s="180" t="n">
        <f aca="false" t="array" ref="AJ94:AJ94">-$C$14*(COUNTIF('⑮ Cohort Engine'!AJ$950:AJ$1037,"&gt;"&amp;$C$17)-SUMPRODUCT(--('⑮ Cohort Engine'!AJ$950:AJ$953&gt;$C$17))+SUMPRODUCT(--('⑮ Cohort Engine'!AJ$950:AJ$953*IFERROR(INDEX('㉔ Financial Statements'!$X$151:$AX$154,0,MATCH(AJ$77,'㉔ Financial Statements'!$X$5:$AX$5,0)),1)&gt;$C$17)))*(1+$C$15)</f>
        <v>-0</v>
      </c>
      <c r="AK94" s="180" t="n">
        <f aca="false" t="array" ref="AK94:AK94">-$C$14*(COUNTIF('⑮ Cohort Engine'!AK$950:AK$1037,"&gt;"&amp;$C$17)-SUMPRODUCT(--('⑮ Cohort Engine'!AK$950:AK$953&gt;$C$17))+SUMPRODUCT(--('⑮ Cohort Engine'!AK$950:AK$953*IFERROR(INDEX('㉔ Financial Statements'!$X$151:$AX$154,0,MATCH(AK$77,'㉔ Financial Statements'!$X$5:$AX$5,0)),1)&gt;$C$17)))*(1+$C$15)</f>
        <v>-0</v>
      </c>
      <c r="AL94" s="180" t="n">
        <f aca="false" t="array" ref="AL94:AL94">-$C$14*(COUNTIF('⑮ Cohort Engine'!AL$950:AL$1037,"&gt;"&amp;$C$17)-SUMPRODUCT(--('⑮ Cohort Engine'!AL$950:AL$953&gt;$C$17))+SUMPRODUCT(--('⑮ Cohort Engine'!AL$950:AL$953*IFERROR(INDEX('㉔ Financial Statements'!$X$151:$AX$154,0,MATCH(AL$77,'㉔ Financial Statements'!$X$5:$AX$5,0)),1)&gt;$C$17)))*(1+$C$15)</f>
        <v>-0</v>
      </c>
      <c r="AM94" s="180" t="n">
        <f aca="false" t="array" ref="AM94:AM94">-$C$14*(COUNTIF('⑮ Cohort Engine'!AM$950:AM$1037,"&gt;"&amp;$C$17)-SUMPRODUCT(--('⑮ Cohort Engine'!AM$950:AM$953&gt;$C$17))+SUMPRODUCT(--('⑮ Cohort Engine'!AM$950:AM$953*IFERROR(INDEX('㉔ Financial Statements'!$X$151:$AX$154,0,MATCH(AM$77,'㉔ Financial Statements'!$X$5:$AX$5,0)),1)&gt;$C$17)))*(1+$C$15)</f>
        <v>-0</v>
      </c>
      <c r="AN94" s="180" t="n">
        <f aca="false" t="array" ref="AN94:AN94">-$C$14*(COUNTIF('⑮ Cohort Engine'!AN$950:AN$1037,"&gt;"&amp;$C$17)-SUMPRODUCT(--('⑮ Cohort Engine'!AN$950:AN$953&gt;$C$17))+SUMPRODUCT(--('⑮ Cohort Engine'!AN$950:AN$953*IFERROR(INDEX('㉔ Financial Statements'!$X$151:$AX$154,0,MATCH(AN$77,'㉔ Financial Statements'!$X$5:$AX$5,0)),1)&gt;$C$17)))*(1+$C$15)</f>
        <v>-0</v>
      </c>
      <c r="AO94" s="180" t="n">
        <f aca="false" t="array" ref="AO94:AO94">-$C$14*(COUNTIF('⑮ Cohort Engine'!AO$950:AO$1037,"&gt;"&amp;$C$17)-SUMPRODUCT(--('⑮ Cohort Engine'!AO$950:AO$953&gt;$C$17))+SUMPRODUCT(--('⑮ Cohort Engine'!AO$950:AO$953*IFERROR(INDEX('㉔ Financial Statements'!$X$151:$AX$154,0,MATCH(AO$77,'㉔ Financial Statements'!$X$5:$AX$5,0)),1)&gt;$C$17)))*(1+$C$15)</f>
        <v>-0</v>
      </c>
      <c r="AP94" s="180" t="n">
        <f aca="false" t="array" ref="AP94:AP94">-$C$14*(COUNTIF('⑮ Cohort Engine'!AP$950:AP$1037,"&gt;"&amp;$C$17)-SUMPRODUCT(--('⑮ Cohort Engine'!AP$950:AP$953&gt;$C$17))+SUMPRODUCT(--('⑮ Cohort Engine'!AP$950:AP$953*IFERROR(INDEX('㉔ Financial Statements'!$X$151:$AX$154,0,MATCH(AP$77,'㉔ Financial Statements'!$X$5:$AX$5,0)),1)&gt;$C$17)))*(1+$C$15)</f>
        <v>-0</v>
      </c>
      <c r="AQ94" s="180" t="n">
        <f aca="false" t="array" ref="AQ94:AQ94">-$C$14*(COUNTIF('⑮ Cohort Engine'!AQ$950:AQ$1037,"&gt;"&amp;$C$17)-SUMPRODUCT(--('⑮ Cohort Engine'!AQ$950:AQ$953&gt;$C$17))+SUMPRODUCT(--('⑮ Cohort Engine'!AQ$950:AQ$953*IFERROR(INDEX('㉔ Financial Statements'!$X$151:$AX$154,0,MATCH(AQ$77,'㉔ Financial Statements'!$X$5:$AX$5,0)),1)&gt;$C$17)))*(1+$C$15)</f>
        <v>-938</v>
      </c>
      <c r="AR94" s="180" t="n">
        <f aca="false" t="array" ref="AR94:AR94">-$C$14*(COUNTIF('⑮ Cohort Engine'!AR$950:AR$1037,"&gt;"&amp;$C$17)-SUMPRODUCT(--('⑮ Cohort Engine'!AR$950:AR$953&gt;$C$17))+SUMPRODUCT(--('⑮ Cohort Engine'!AR$950:AR$953*IFERROR(INDEX('㉔ Financial Statements'!$X$151:$AX$154,0,MATCH(AR$77,'㉔ Financial Statements'!$X$5:$AX$5,0)),1)&gt;$C$17)))*(1+$C$15)</f>
        <v>-938</v>
      </c>
      <c r="AS94" s="180" t="n">
        <f aca="false" t="array" ref="AS94:AS94">-$C$14*(COUNTIF('⑮ Cohort Engine'!AS$950:AS$1037,"&gt;"&amp;$C$17)-SUMPRODUCT(--('⑮ Cohort Engine'!AS$950:AS$953&gt;$C$17))+SUMPRODUCT(--('⑮ Cohort Engine'!AS$950:AS$953*IFERROR(INDEX('㉔ Financial Statements'!$X$151:$AX$154,0,MATCH(AS$77,'㉔ Financial Statements'!$X$5:$AX$5,0)),1)&gt;$C$17)))*(1+$C$15)</f>
        <v>-938</v>
      </c>
      <c r="AT94" s="180" t="n">
        <f aca="false" t="array" ref="AT94:AT94">-$C$14*(COUNTIF('⑮ Cohort Engine'!AT$950:AT$1037,"&gt;"&amp;$C$17)-SUMPRODUCT(--('⑮ Cohort Engine'!AT$950:AT$953&gt;$C$17))+SUMPRODUCT(--('⑮ Cohort Engine'!AT$950:AT$953*IFERROR(INDEX('㉔ Financial Statements'!$X$151:$AX$154,0,MATCH(AT$77,'㉔ Financial Statements'!$X$5:$AX$5,0)),1)&gt;$C$17)))*(1+$C$15)</f>
        <v>-938</v>
      </c>
      <c r="AU94" s="180" t="n">
        <f aca="false" t="array" ref="AU94:AU94">-$C$14*(COUNTIF('⑮ Cohort Engine'!AU$950:AU$1037,"&gt;"&amp;$C$17)-SUMPRODUCT(--('⑮ Cohort Engine'!AU$950:AU$953&gt;$C$17))+SUMPRODUCT(--('⑮ Cohort Engine'!AU$950:AU$953*IFERROR(INDEX('㉔ Financial Statements'!$X$151:$AX$154,0,MATCH(AU$77,'㉔ Financial Statements'!$X$5:$AX$5,0)),1)&gt;$C$17)))*(1+$C$15)</f>
        <v>-938</v>
      </c>
      <c r="AV94" s="180" t="n">
        <f aca="false" t="array" ref="AV94:AV94">-$C$14*(COUNTIF('⑮ Cohort Engine'!AV$950:AV$1037,"&gt;"&amp;$C$17)-SUMPRODUCT(--('⑮ Cohort Engine'!AV$950:AV$953&gt;$C$17))+SUMPRODUCT(--('⑮ Cohort Engine'!AV$950:AV$953*IFERROR(INDEX('㉔ Financial Statements'!$X$151:$AX$154,0,MATCH(AV$77,'㉔ Financial Statements'!$X$5:$AX$5,0)),1)&gt;$C$17)))*(1+$C$15)</f>
        <v>-1876</v>
      </c>
      <c r="AW94" s="180" t="n">
        <f aca="false" t="array" ref="AW94:AW94">-$C$14*(COUNTIF('⑮ Cohort Engine'!AW$950:AW$1037,"&gt;"&amp;$C$17)-SUMPRODUCT(--('⑮ Cohort Engine'!AW$950:AW$953&gt;$C$17))+SUMPRODUCT(--('⑮ Cohort Engine'!AW$950:AW$953*IFERROR(INDEX('㉔ Financial Statements'!$X$151:$AX$154,0,MATCH(AW$77,'㉔ Financial Statements'!$X$5:$AX$5,0)),1)&gt;$C$17)))*(1+$C$15)</f>
        <v>-1876</v>
      </c>
      <c r="AX94" s="180" t="n">
        <f aca="false" t="array" ref="AX94:AX94">-$C$14*(COUNTIF('⑮ Cohort Engine'!AX$950:AX$1037,"&gt;"&amp;$C$17)-SUMPRODUCT(--('⑮ Cohort Engine'!AX$950:AX$953&gt;$C$17))+SUMPRODUCT(--('⑮ Cohort Engine'!AX$950:AX$953*IFERROR(INDEX('㉔ Financial Statements'!$X$151:$AX$154,0,MATCH(AX$77,'㉔ Financial Statements'!$X$5:$AX$5,0)),1)&gt;$C$17)))*(1+$C$15)</f>
        <v>-938</v>
      </c>
      <c r="AY94" s="180" t="n">
        <f aca="false" t="array" ref="AY94:AY94">-$C$14*(COUNTIF('⑮ Cohort Engine'!AY$950:AY$1037,"&gt;"&amp;$C$17)-SUMPRODUCT(--('⑮ Cohort Engine'!AY$950:AY$953&gt;$C$17))+SUMPRODUCT(--('⑮ Cohort Engine'!AY$950:AY$953*IFERROR(INDEX('㉔ Financial Statements'!$X$151:$AX$154,0,MATCH(AY$77,'㉔ Financial Statements'!$X$5:$AX$5,0)),1)&gt;$C$17)))*(1+$C$15)</f>
        <v>-938</v>
      </c>
      <c r="AZ94" s="180" t="n">
        <f aca="false" t="array" ref="AZ94:AZ94">-$C$14*(COUNTIF('⑮ Cohort Engine'!AZ$950:AZ$1037,"&gt;"&amp;$C$17)-SUMPRODUCT(--('⑮ Cohort Engine'!AZ$950:AZ$953&gt;$C$17))+SUMPRODUCT(--('⑮ Cohort Engine'!AZ$950:AZ$953*IFERROR(INDEX('㉔ Financial Statements'!$X$151:$AX$154,0,MATCH(AZ$77,'㉔ Financial Statements'!$X$5:$AX$5,0)),1)&gt;$C$17)))*(1+$C$15)</f>
        <v>-938</v>
      </c>
      <c r="BA94" s="180" t="n">
        <f aca="false" t="array" ref="BA94:BA94">-$C$14*(COUNTIF('⑮ Cohort Engine'!BA$950:BA$1037,"&gt;"&amp;$C$17)-SUMPRODUCT(--('⑮ Cohort Engine'!BA$950:BA$953&gt;$C$17))+SUMPRODUCT(--('⑮ Cohort Engine'!BA$950:BA$953*IFERROR(INDEX('㉔ Financial Statements'!$X$151:$AX$154,0,MATCH(BA$77,'㉔ Financial Statements'!$X$5:$AX$5,0)),1)&gt;$C$17)))*(1+$C$15)</f>
        <v>-938</v>
      </c>
      <c r="BB94" s="180" t="n">
        <f aca="false" t="array" ref="BB94:BB94">-$C$14*(COUNTIF('⑮ Cohort Engine'!BB$950:BB$1037,"&gt;"&amp;$C$17)-SUMPRODUCT(--('⑮ Cohort Engine'!BB$950:BB$953&gt;$C$17))+SUMPRODUCT(--('⑮ Cohort Engine'!BB$950:BB$953*IFERROR(INDEX('㉔ Financial Statements'!$X$151:$AX$154,0,MATCH(BB$77,'㉔ Financial Statements'!$X$5:$AX$5,0)),1)&gt;$C$17)))*(1+$C$15)</f>
        <v>-938</v>
      </c>
      <c r="BC94" s="180" t="n">
        <f aca="false" t="array" ref="BC94:BC94">-$C$14*(COUNTIF('⑮ Cohort Engine'!BC$950:BC$1037,"&gt;"&amp;$C$17)-SUMPRODUCT(--('⑮ Cohort Engine'!BC$950:BC$953&gt;$C$17))+SUMPRODUCT(--('⑮ Cohort Engine'!BC$950:BC$953*IFERROR(INDEX('㉔ Financial Statements'!$X$151:$AX$154,0,MATCH(BC$77,'㉔ Financial Statements'!$X$5:$AX$5,0)),1)&gt;$C$17)))*(1+$C$15)</f>
        <v>-1876</v>
      </c>
      <c r="BD94" s="180" t="n">
        <f aca="false" t="array" ref="BD94:BD94">-$C$14*(COUNTIF('⑮ Cohort Engine'!BD$950:BD$1037,"&gt;"&amp;$C$17)-SUMPRODUCT(--('⑮ Cohort Engine'!BD$950:BD$953&gt;$C$17))+SUMPRODUCT(--('⑮ Cohort Engine'!BD$950:BD$953*IFERROR(INDEX('㉔ Financial Statements'!$X$151:$AX$154,0,MATCH(BD$77,'㉔ Financial Statements'!$X$5:$AX$5,0)),1)&gt;$C$17)))*(1+$C$15)</f>
        <v>-2814</v>
      </c>
      <c r="BE94" s="180" t="n">
        <f aca="false" t="array" ref="BE94:BE94">-$C$14*(COUNTIF('⑮ Cohort Engine'!BE$950:BE$1037,"&gt;"&amp;$C$17)-SUMPRODUCT(--('⑮ Cohort Engine'!BE$950:BE$953&gt;$C$17))+SUMPRODUCT(--('⑮ Cohort Engine'!BE$950:BE$953*IFERROR(INDEX('㉔ Financial Statements'!$X$151:$AX$154,0,MATCH(BE$77,'㉔ Financial Statements'!$X$5:$AX$5,0)),1)&gt;$C$17)))*(1+$C$15)</f>
        <v>-2814</v>
      </c>
      <c r="BF94" s="180" t="n">
        <f aca="false" t="array" ref="BF94:BF94">-$C$14*(COUNTIF('⑮ Cohort Engine'!BF$950:BF$1037,"&gt;"&amp;$C$17)-SUMPRODUCT(--('⑮ Cohort Engine'!BF$950:BF$953&gt;$C$17))+SUMPRODUCT(--('⑮ Cohort Engine'!BF$950:BF$953*IFERROR(INDEX('㉔ Financial Statements'!$X$151:$AX$154,0,MATCH(BF$77,'㉔ Financial Statements'!$X$5:$AX$5,0)),1)&gt;$C$17)))*(1+$C$15)</f>
        <v>-2814</v>
      </c>
      <c r="BG94" s="180" t="n">
        <f aca="false" t="array" ref="BG94:BG94">-$C$14*(COUNTIF('⑮ Cohort Engine'!BG$950:BG$1037,"&gt;"&amp;$C$17)-SUMPRODUCT(--('⑮ Cohort Engine'!BG$950:BG$953&gt;$C$17))+SUMPRODUCT(--('⑮ Cohort Engine'!BG$950:BG$953*IFERROR(INDEX('㉔ Financial Statements'!$X$151:$AX$154,0,MATCH(BG$77,'㉔ Financial Statements'!$X$5:$AX$5,0)),1)&gt;$C$17)))*(1+$C$15)</f>
        <v>-2814</v>
      </c>
      <c r="BH94" s="180" t="n">
        <f aca="false" t="array" ref="BH94:BH94">-$C$14*(COUNTIF('⑮ Cohort Engine'!BH$950:BH$1037,"&gt;"&amp;$C$17)-SUMPRODUCT(--('⑮ Cohort Engine'!BH$950:BH$953&gt;$C$17))+SUMPRODUCT(--('⑮ Cohort Engine'!BH$950:BH$953*IFERROR(INDEX('㉔ Financial Statements'!$X$151:$AX$154,0,MATCH(BH$77,'㉔ Financial Statements'!$X$5:$AX$5,0)),1)&gt;$C$17)))*(1+$C$15)</f>
        <v>-2814</v>
      </c>
      <c r="BI94" s="180" t="n">
        <f aca="false" t="array" ref="BI94:BI94">-$C$14*(COUNTIF('⑮ Cohort Engine'!BI$950:BI$1037,"&gt;"&amp;$C$17)-SUMPRODUCT(--('⑮ Cohort Engine'!BI$950:BI$953&gt;$C$17))+SUMPRODUCT(--('⑮ Cohort Engine'!BI$950:BI$953*IFERROR(INDEX('㉔ Financial Statements'!$X$151:$AX$154,0,MATCH(BI$77,'㉔ Financial Statements'!$X$5:$AX$5,0)),1)&gt;$C$17)))*(1+$C$15)</f>
        <v>-2814</v>
      </c>
      <c r="BJ94" s="180" t="n">
        <f aca="false" t="array" ref="BJ94:BJ94">-$C$14*(COUNTIF('⑮ Cohort Engine'!BJ$950:BJ$1037,"&gt;"&amp;$C$17)-SUMPRODUCT(--('⑮ Cohort Engine'!BJ$950:BJ$953&gt;$C$17))+SUMPRODUCT(--('⑮ Cohort Engine'!BJ$950:BJ$953*IFERROR(INDEX('㉔ Financial Statements'!$X$151:$AX$154,0,MATCH(BJ$77,'㉔ Financial Statements'!$X$5:$AX$5,0)),1)&gt;$C$17)))*(1+$C$15)</f>
        <v>-2814</v>
      </c>
      <c r="BK94" s="180" t="n">
        <f aca="false" t="array" ref="BK94:BK94">-$C$14*(COUNTIF('⑮ Cohort Engine'!BK$950:BK$1037,"&gt;"&amp;$C$17)-SUMPRODUCT(--('⑮ Cohort Engine'!BK$950:BK$953&gt;$C$17))+SUMPRODUCT(--('⑮ Cohort Engine'!BK$950:BK$953*IFERROR(INDEX('㉔ Financial Statements'!$X$151:$AX$154,0,MATCH(BK$77,'㉔ Financial Statements'!$X$5:$AX$5,0)),1)&gt;$C$17)))*(1+$C$15)</f>
        <v>-2814</v>
      </c>
      <c r="BL94" s="180" t="n">
        <f aca="false" t="array" ref="BL94:BL94">-$C$14*(COUNTIF('⑮ Cohort Engine'!BL$950:BL$1037,"&gt;"&amp;$C$17)-SUMPRODUCT(--('⑮ Cohort Engine'!BL$950:BL$953&gt;$C$17))+SUMPRODUCT(--('⑮ Cohort Engine'!BL$950:BL$953*IFERROR(INDEX('㉔ Financial Statements'!$X$151:$AX$154,0,MATCH(BL$77,'㉔ Financial Statements'!$X$5:$AX$5,0)),1)&gt;$C$17)))*(1+$C$15)</f>
        <v>-2814</v>
      </c>
      <c r="BM94" s="180" t="n">
        <f aca="false" t="array" ref="BM94:BM94">-$C$14*(COUNTIF('⑮ Cohort Engine'!BM$950:BM$1037,"&gt;"&amp;$C$17)-SUMPRODUCT(--('⑮ Cohort Engine'!BM$950:BM$953&gt;$C$17))+SUMPRODUCT(--('⑮ Cohort Engine'!BM$950:BM$953*IFERROR(INDEX('㉔ Financial Statements'!$X$151:$AX$154,0,MATCH(BM$77,'㉔ Financial Statements'!$X$5:$AX$5,0)),1)&gt;$C$17)))*(1+$C$15)</f>
        <v>-2814</v>
      </c>
      <c r="BN94" s="180" t="n">
        <f aca="false" t="array" ref="BN94:BN94">-$C$14*(COUNTIF('⑮ Cohort Engine'!BN$950:BN$1037,"&gt;"&amp;$C$17)-SUMPRODUCT(--('⑮ Cohort Engine'!BN$950:BN$953&gt;$C$17))+SUMPRODUCT(--('⑮ Cohort Engine'!BN$950:BN$953*IFERROR(INDEX('㉔ Financial Statements'!$X$151:$AX$154,0,MATCH(BN$77,'㉔ Financial Statements'!$X$5:$AX$5,0)),1)&gt;$C$17)))*(1+$C$15)</f>
        <v>-2814</v>
      </c>
      <c r="BO94" s="180" t="n">
        <f aca="false" t="array" ref="BO94:BO94">-$C$14*(COUNTIF('⑮ Cohort Engine'!BO$950:BO$1037,"&gt;"&amp;$C$17)-SUMPRODUCT(--('⑮ Cohort Engine'!BO$950:BO$953&gt;$C$17))+SUMPRODUCT(--('⑮ Cohort Engine'!BO$950:BO$953*IFERROR(INDEX('㉔ Financial Statements'!$X$151:$AX$154,0,MATCH(BO$77,'㉔ Financial Statements'!$X$5:$AX$5,0)),1)&gt;$C$17)))*(1+$C$15)</f>
        <v>-4690</v>
      </c>
      <c r="BP94" s="180" t="n">
        <f aca="false" t="array" ref="BP94:BP94">-$C$14*(COUNTIF('⑮ Cohort Engine'!BP$950:BP$1037,"&gt;"&amp;$C$17)-SUMPRODUCT(--('⑮ Cohort Engine'!BP$950:BP$953&gt;$C$17))+SUMPRODUCT(--('⑮ Cohort Engine'!BP$950:BP$953*IFERROR(INDEX('㉔ Financial Statements'!$X$151:$AX$154,0,MATCH(BP$77,'㉔ Financial Statements'!$X$5:$AX$5,0)),1)&gt;$C$17)))*(1+$C$15)</f>
        <v>-5628</v>
      </c>
      <c r="BQ94" s="180" t="n">
        <f aca="false" t="array" ref="BQ94:BQ94">-$C$14*(COUNTIF('⑮ Cohort Engine'!BQ$950:BQ$1037,"&gt;"&amp;$C$17)-SUMPRODUCT(--('⑮ Cohort Engine'!BQ$950:BQ$953&gt;$C$17))+SUMPRODUCT(--('⑮ Cohort Engine'!BQ$950:BQ$953*IFERROR(INDEX('㉔ Financial Statements'!$X$151:$AX$154,0,MATCH(BQ$77,'㉔ Financial Statements'!$X$5:$AX$5,0)),1)&gt;$C$17)))*(1+$C$15)</f>
        <v>-4690</v>
      </c>
      <c r="BR94" s="180" t="n">
        <f aca="false" t="array" ref="BR94:BR94">-$C$14*(COUNTIF('⑮ Cohort Engine'!BR$950:BR$1037,"&gt;"&amp;$C$17)-SUMPRODUCT(--('⑮ Cohort Engine'!BR$950:BR$953&gt;$C$17))+SUMPRODUCT(--('⑮ Cohort Engine'!BR$950:BR$953*IFERROR(INDEX('㉔ Financial Statements'!$X$151:$AX$154,0,MATCH(BR$77,'㉔ Financial Statements'!$X$5:$AX$5,0)),1)&gt;$C$17)))*(1+$C$15)</f>
        <v>-4690</v>
      </c>
      <c r="BS94" s="180" t="n">
        <f aca="false" t="array" ref="BS94:BS94">-$C$14*(COUNTIF('⑮ Cohort Engine'!BS$950:BS$1037,"&gt;"&amp;$C$17)-SUMPRODUCT(--('⑮ Cohort Engine'!BS$950:BS$953&gt;$C$17))+SUMPRODUCT(--('⑮ Cohort Engine'!BS$950:BS$953*IFERROR(INDEX('㉔ Financial Statements'!$X$151:$AX$154,0,MATCH(BS$77,'㉔ Financial Statements'!$X$5:$AX$5,0)),1)&gt;$C$17)))*(1+$C$15)</f>
        <v>-5628</v>
      </c>
      <c r="BT94" s="180" t="n">
        <f aca="false" t="array" ref="BT94:BT94">-$C$14*(COUNTIF('⑮ Cohort Engine'!BT$950:BT$1037,"&gt;"&amp;$C$17)-SUMPRODUCT(--('⑮ Cohort Engine'!BT$950:BT$953&gt;$C$17))+SUMPRODUCT(--('⑮ Cohort Engine'!BT$950:BT$953*IFERROR(INDEX('㉔ Financial Statements'!$X$151:$AX$154,0,MATCH(BT$77,'㉔ Financial Statements'!$X$5:$AX$5,0)),1)&gt;$C$17)))*(1+$C$15)</f>
        <v>-9380</v>
      </c>
      <c r="BU94" s="180" t="n">
        <f aca="false" t="array" ref="BU94:BU94">-$C$14*(COUNTIF('⑮ Cohort Engine'!BU$950:BU$1037,"&gt;"&amp;$C$17)-SUMPRODUCT(--('⑮ Cohort Engine'!BU$950:BU$953&gt;$C$17))+SUMPRODUCT(--('⑮ Cohort Engine'!BU$950:BU$953*IFERROR(INDEX('㉔ Financial Statements'!$X$151:$AX$154,0,MATCH(BU$77,'㉔ Financial Statements'!$X$5:$AX$5,0)),1)&gt;$C$17)))*(1+$C$15)</f>
        <v>-8442</v>
      </c>
      <c r="BV94" s="180" t="n">
        <f aca="false" t="array" ref="BV94:BV94">-$C$14*(COUNTIF('⑮ Cohort Engine'!BV$950:BV$1037,"&gt;"&amp;$C$17)-SUMPRODUCT(--('⑮ Cohort Engine'!BV$950:BV$953&gt;$C$17))+SUMPRODUCT(--('⑮ Cohort Engine'!BV$950:BV$953*IFERROR(INDEX('㉔ Financial Statements'!$X$151:$AX$154,0,MATCH(BV$77,'㉔ Financial Statements'!$X$5:$AX$5,0)),1)&gt;$C$17)))*(1+$C$15)</f>
        <v>-8442</v>
      </c>
      <c r="BW94" s="180" t="n">
        <f aca="false" t="array" ref="BW94:BW94">-$C$14*(COUNTIF('⑮ Cohort Engine'!BW$950:BW$1037,"&gt;"&amp;$C$17)-SUMPRODUCT(--('⑮ Cohort Engine'!BW$950:BW$953&gt;$C$17))+SUMPRODUCT(--('⑮ Cohort Engine'!BW$950:BW$953*IFERROR(INDEX('㉔ Financial Statements'!$X$151:$AX$154,0,MATCH(BW$77,'㉔ Financial Statements'!$X$5:$AX$5,0)),1)&gt;$C$17)))*(1+$C$15)</f>
        <v>-7504</v>
      </c>
      <c r="BX94" s="180" t="n">
        <f aca="false" t="array" ref="BX94:BX94">-$C$14*(COUNTIF('⑮ Cohort Engine'!BX$950:BX$1037,"&gt;"&amp;$C$17)-SUMPRODUCT(--('⑮ Cohort Engine'!BX$950:BX$953&gt;$C$17))+SUMPRODUCT(--('⑮ Cohort Engine'!BX$950:BX$953*IFERROR(INDEX('㉔ Financial Statements'!$X$151:$AX$154,0,MATCH(BX$77,'㉔ Financial Statements'!$X$5:$AX$5,0)),1)&gt;$C$17)))*(1+$C$15)</f>
        <v>-9380</v>
      </c>
      <c r="BY94" s="180" t="n">
        <f aca="false" t="array" ref="BY94:BY94">-$C$14*(COUNTIF('⑮ Cohort Engine'!BY$950:BY$1037,"&gt;"&amp;$C$17)-SUMPRODUCT(--('⑮ Cohort Engine'!BY$950:BY$953&gt;$C$17))+SUMPRODUCT(--('⑮ Cohort Engine'!BY$950:BY$953*IFERROR(INDEX('㉔ Financial Statements'!$X$151:$AX$154,0,MATCH(BY$77,'㉔ Financial Statements'!$X$5:$AX$5,0)),1)&gt;$C$17)))*(1+$C$15)</f>
        <v>-9380</v>
      </c>
      <c r="BZ94" s="180" t="n">
        <f aca="false" t="array" ref="BZ94:BZ94">-$C$14*(COUNTIF('⑮ Cohort Engine'!BZ$950:BZ$1037,"&gt;"&amp;$C$17)-SUMPRODUCT(--('⑮ Cohort Engine'!BZ$950:BZ$953&gt;$C$17))+SUMPRODUCT(--('⑮ Cohort Engine'!BZ$950:BZ$953*IFERROR(INDEX('㉔ Financial Statements'!$X$151:$AX$154,0,MATCH(BZ$77,'㉔ Financial Statements'!$X$5:$AX$5,0)),1)&gt;$C$17)))*(1+$C$15)</f>
        <v>-9380</v>
      </c>
      <c r="CA94" s="180" t="n">
        <f aca="false" t="array" ref="CA94:CA94">-$C$14*(COUNTIF('⑮ Cohort Engine'!CA$950:CA$1037,"&gt;"&amp;$C$17)-SUMPRODUCT(--('⑮ Cohort Engine'!CA$950:CA$953&gt;$C$17))+SUMPRODUCT(--('⑮ Cohort Engine'!CA$950:CA$953*IFERROR(INDEX('㉔ Financial Statements'!$X$151:$AX$154,0,MATCH(CA$77,'㉔ Financial Statements'!$X$5:$AX$5,0)),1)&gt;$C$17)))*(1+$C$15)</f>
        <v>-9380</v>
      </c>
      <c r="CB94" s="180" t="n">
        <f aca="false" t="array" ref="CB94:CB94">-$C$14*(COUNTIF('⑮ Cohort Engine'!CB$950:CB$1037,"&gt;"&amp;$C$17)-SUMPRODUCT(--('⑮ Cohort Engine'!CB$950:CB$953&gt;$C$17))+SUMPRODUCT(--('⑮ Cohort Engine'!CB$950:CB$953*IFERROR(INDEX('㉔ Financial Statements'!$X$151:$AX$154,0,MATCH(CB$77,'㉔ Financial Statements'!$X$5:$AX$5,0)),1)&gt;$C$17)))*(1+$C$15)</f>
        <v>-9380</v>
      </c>
      <c r="CC94" s="180" t="n">
        <f aca="false" t="array" ref="CC94:CC94">-$C$14*(COUNTIF('⑮ Cohort Engine'!CC$950:CC$1037,"&gt;"&amp;$C$17)-SUMPRODUCT(--('⑮ Cohort Engine'!CC$950:CC$953&gt;$C$17))+SUMPRODUCT(--('⑮ Cohort Engine'!CC$950:CC$953*IFERROR(INDEX('㉔ Financial Statements'!$X$151:$AX$154,0,MATCH(CC$77,'㉔ Financial Statements'!$X$5:$AX$5,0)),1)&gt;$C$17)))*(1+$C$15)</f>
        <v>-9380</v>
      </c>
      <c r="CD94" s="180" t="n">
        <f aca="false" t="array" ref="CD94:CD94">-$C$14*(COUNTIF('⑮ Cohort Engine'!CD$950:CD$1037,"&gt;"&amp;$C$17)-SUMPRODUCT(--('⑮ Cohort Engine'!CD$950:CD$953&gt;$C$17))+SUMPRODUCT(--('⑮ Cohort Engine'!CD$950:CD$953*IFERROR(INDEX('㉔ Financial Statements'!$X$151:$AX$154,0,MATCH(CD$77,'㉔ Financial Statements'!$X$5:$AX$5,0)),1)&gt;$C$17)))*(1+$C$15)</f>
        <v>-9380</v>
      </c>
      <c r="CE94" s="180" t="n">
        <f aca="false" t="array" ref="CE94:CE94">-$C$14*(COUNTIF('⑮ Cohort Engine'!CE$950:CE$1037,"&gt;"&amp;$C$17)-SUMPRODUCT(--('⑮ Cohort Engine'!CE$950:CE$953&gt;$C$17))+SUMPRODUCT(--('⑮ Cohort Engine'!CE$950:CE$953*IFERROR(INDEX('㉔ Financial Statements'!$X$151:$AX$154,0,MATCH(CE$77,'㉔ Financial Statements'!$X$5:$AX$5,0)),1)&gt;$C$17)))*(1+$C$15)</f>
        <v>-9380</v>
      </c>
      <c r="CF94" s="180" t="n">
        <f aca="false" t="array" ref="CF94:CF94">-$C$14*(COUNTIF('⑮ Cohort Engine'!CF$950:CF$1037,"&gt;"&amp;$C$17)-SUMPRODUCT(--('⑮ Cohort Engine'!CF$950:CF$953&gt;$C$17))+SUMPRODUCT(--('⑮ Cohort Engine'!CF$950:CF$953*IFERROR(INDEX('㉔ Financial Statements'!$X$151:$AX$154,0,MATCH(CF$77,'㉔ Financial Statements'!$X$5:$AX$5,0)),1)&gt;$C$17)))*(1+$C$15)</f>
        <v>-14070</v>
      </c>
      <c r="CG94" s="180" t="n">
        <f aca="false" t="array" ref="CG94:CG94">-$C$14*(COUNTIF('⑮ Cohort Engine'!CG$950:CG$1037,"&gt;"&amp;$C$17)-SUMPRODUCT(--('⑮ Cohort Engine'!CG$950:CG$953&gt;$C$17))+SUMPRODUCT(--('⑮ Cohort Engine'!CG$950:CG$953*IFERROR(INDEX('㉔ Financial Statements'!$X$151:$AX$154,0,MATCH(CG$77,'㉔ Financial Statements'!$X$5:$AX$5,0)),1)&gt;$C$17)))*(1+$C$15)</f>
        <v>-13132</v>
      </c>
      <c r="CH94" s="180" t="n">
        <f aca="false" t="array" ref="CH94:CH94">-$C$14*(COUNTIF('⑮ Cohort Engine'!CH$950:CH$1037,"&gt;"&amp;$C$17)-SUMPRODUCT(--('⑮ Cohort Engine'!CH$950:CH$953&gt;$C$17))+SUMPRODUCT(--('⑮ Cohort Engine'!CH$950:CH$953*IFERROR(INDEX('㉔ Financial Statements'!$X$151:$AX$154,0,MATCH(CH$77,'㉔ Financial Statements'!$X$5:$AX$5,0)),1)&gt;$C$17)))*(1+$C$15)</f>
        <v>-12194</v>
      </c>
      <c r="CI94" s="180" t="n">
        <f aca="false" t="array" ref="CI94:CI94">-$C$14*(COUNTIF('⑮ Cohort Engine'!CI$950:CI$1037,"&gt;"&amp;$C$17)-SUMPRODUCT(--('⑮ Cohort Engine'!CI$950:CI$953&gt;$C$17))+SUMPRODUCT(--('⑮ Cohort Engine'!CI$950:CI$953*IFERROR(INDEX('㉔ Financial Statements'!$X$151:$AX$154,0,MATCH(CI$77,'㉔ Financial Statements'!$X$5:$AX$5,0)),1)&gt;$C$17)))*(1+$C$15)</f>
        <v>-11256</v>
      </c>
      <c r="CJ94" s="180" t="n">
        <f aca="false" t="array" ref="CJ94:CJ94">-$C$14*(COUNTIF('⑮ Cohort Engine'!CJ$950:CJ$1037,"&gt;"&amp;$C$17)-SUMPRODUCT(--('⑮ Cohort Engine'!CJ$950:CJ$953&gt;$C$17))+SUMPRODUCT(--('⑮ Cohort Engine'!CJ$950:CJ$953*IFERROR(INDEX('㉔ Financial Statements'!$X$151:$AX$154,0,MATCH(CJ$77,'㉔ Financial Statements'!$X$5:$AX$5,0)),1)&gt;$C$17)))*(1+$C$15)</f>
        <v>-14070</v>
      </c>
      <c r="CK94" s="180" t="n">
        <f aca="false" t="array" ref="CK94:CK94">-$C$14*(COUNTIF('⑮ Cohort Engine'!CK$950:CK$1037,"&gt;"&amp;$C$17)-SUMPRODUCT(--('⑮ Cohort Engine'!CK$950:CK$953&gt;$C$17))+SUMPRODUCT(--('⑮ Cohort Engine'!CK$950:CK$953*IFERROR(INDEX('㉔ Financial Statements'!$X$151:$AX$154,0,MATCH(CK$77,'㉔ Financial Statements'!$X$5:$AX$5,0)),1)&gt;$C$17)))*(1+$C$15)</f>
        <v>-15008</v>
      </c>
      <c r="CL94" s="180" t="n">
        <f aca="false" t="array" ref="CL94:CL94">-$C$14*(COUNTIF('⑮ Cohort Engine'!CL$950:CL$1037,"&gt;"&amp;$C$17)-SUMPRODUCT(--('⑮ Cohort Engine'!CL$950:CL$953&gt;$C$17))+SUMPRODUCT(--('⑮ Cohort Engine'!CL$950:CL$953*IFERROR(INDEX('㉔ Financial Statements'!$X$151:$AX$154,0,MATCH(CL$77,'㉔ Financial Statements'!$X$5:$AX$5,0)),1)&gt;$C$17)))*(1+$C$15)</f>
        <v>-15008</v>
      </c>
      <c r="CM94" s="180" t="n">
        <f aca="false" t="array" ref="CM94:CM94">-$C$14*(COUNTIF('⑮ Cohort Engine'!CM$950:CM$1037,"&gt;"&amp;$C$17)-SUMPRODUCT(--('⑮ Cohort Engine'!CM$950:CM$953&gt;$C$17))+SUMPRODUCT(--('⑮ Cohort Engine'!CM$950:CM$953*IFERROR(INDEX('㉔ Financial Statements'!$X$151:$AX$154,0,MATCH(CM$77,'㉔ Financial Statements'!$X$5:$AX$5,0)),1)&gt;$C$17)))*(1+$C$15)</f>
        <v>-15946</v>
      </c>
      <c r="CN94" s="180" t="n">
        <f aca="false" t="array" ref="CN94:CN94">-$C$14*(COUNTIF('⑮ Cohort Engine'!CN$950:CN$1037,"&gt;"&amp;$C$17)-SUMPRODUCT(--('⑮ Cohort Engine'!CN$950:CN$953&gt;$C$17))+SUMPRODUCT(--('⑮ Cohort Engine'!CN$950:CN$953*IFERROR(INDEX('㉔ Financial Statements'!$X$151:$AX$154,0,MATCH(CN$77,'㉔ Financial Statements'!$X$5:$AX$5,0)),1)&gt;$C$17)))*(1+$C$15)</f>
        <v>-15946</v>
      </c>
      <c r="CO94" s="180" t="n">
        <f aca="false" t="array" ref="CO94:CO94">-$C$14*(COUNTIF('⑮ Cohort Engine'!CO$950:CO$1037,"&gt;"&amp;$C$17)-SUMPRODUCT(--('⑮ Cohort Engine'!CO$950:CO$953&gt;$C$17))+SUMPRODUCT(--('⑮ Cohort Engine'!CO$950:CO$953*IFERROR(INDEX('㉔ Financial Statements'!$X$151:$AX$154,0,MATCH(CO$77,'㉔ Financial Statements'!$X$5:$AX$5,0)),1)&gt;$C$17)))*(1+$C$15)</f>
        <v>-15946</v>
      </c>
      <c r="CP94" s="180" t="n">
        <f aca="false" t="array" ref="CP94:CP94">-$C$14*(COUNTIF('⑮ Cohort Engine'!CP$950:CP$1037,"&gt;"&amp;$C$17)-SUMPRODUCT(--('⑮ Cohort Engine'!CP$950:CP$953&gt;$C$17))+SUMPRODUCT(--('⑮ Cohort Engine'!CP$950:CP$953*IFERROR(INDEX('㉔ Financial Statements'!$X$151:$AX$154,0,MATCH(CP$77,'㉔ Financial Statements'!$X$5:$AX$5,0)),1)&gt;$C$17)))*(1+$C$15)</f>
        <v>-15946</v>
      </c>
      <c r="CQ94" s="180" t="n">
        <f aca="false" t="array" ref="CQ94:CQ94">-$C$14*(COUNTIF('⑮ Cohort Engine'!CQ$950:CQ$1037,"&gt;"&amp;$C$17)-SUMPRODUCT(--('⑮ Cohort Engine'!CQ$950:CQ$953&gt;$C$17))+SUMPRODUCT(--('⑮ Cohort Engine'!CQ$950:CQ$953*IFERROR(INDEX('㉔ Financial Statements'!$X$151:$AX$154,0,MATCH(CQ$77,'㉔ Financial Statements'!$X$5:$AX$5,0)),1)&gt;$C$17)))*(1+$C$15)</f>
        <v>-15946</v>
      </c>
      <c r="CR94" s="180" t="n">
        <f aca="false" t="array" ref="CR94:CR94">-$C$14*(COUNTIF('⑮ Cohort Engine'!CR$950:CR$1037,"&gt;"&amp;$C$17)-SUMPRODUCT(--('⑮ Cohort Engine'!CR$950:CR$953&gt;$C$17))+SUMPRODUCT(--('⑮ Cohort Engine'!CR$950:CR$953*IFERROR(INDEX('㉔ Financial Statements'!$X$151:$AX$154,0,MATCH(CR$77,'㉔ Financial Statements'!$X$5:$AX$5,0)),1)&gt;$C$17)))*(1+$C$15)</f>
        <v>-15946</v>
      </c>
      <c r="CS94" s="180" t="n">
        <f aca="false" t="array" ref="CS94:CS94">-$C$14*(COUNTIF('⑮ Cohort Engine'!CS$950:CS$1037,"&gt;"&amp;$C$17)-SUMPRODUCT(--('⑮ Cohort Engine'!CS$950:CS$953&gt;$C$17))+SUMPRODUCT(--('⑮ Cohort Engine'!CS$950:CS$953*IFERROR(INDEX('㉔ Financial Statements'!$X$151:$AX$154,0,MATCH(CS$77,'㉔ Financial Statements'!$X$5:$AX$5,0)),1)&gt;$C$17)))*(1+$C$15)</f>
        <v>-15946</v>
      </c>
      <c r="CT94" s="180" t="n">
        <f aca="false" t="array" ref="CT94:CT94">-$C$14*(COUNTIF('⑮ Cohort Engine'!CT$950:CT$1037,"&gt;"&amp;$C$17)-SUMPRODUCT(--('⑮ Cohort Engine'!CT$950:CT$953&gt;$C$17))+SUMPRODUCT(--('⑮ Cohort Engine'!CT$950:CT$953*IFERROR(INDEX('㉔ Financial Statements'!$X$151:$AX$154,0,MATCH(CT$77,'㉔ Financial Statements'!$X$5:$AX$5,0)),1)&gt;$C$17)))*(1+$C$15)</f>
        <v>-15946</v>
      </c>
      <c r="CU94" s="180" t="n">
        <f aca="false" t="array" ref="CU94:CU94">-$C$14*(COUNTIF('⑮ Cohort Engine'!CU$950:CU$1037,"&gt;"&amp;$C$17)-SUMPRODUCT(--('⑮ Cohort Engine'!CU$950:CU$953&gt;$C$17))+SUMPRODUCT(--('⑮ Cohort Engine'!CU$950:CU$953*IFERROR(INDEX('㉔ Financial Statements'!$X$151:$AX$154,0,MATCH(CU$77,'㉔ Financial Statements'!$X$5:$AX$5,0)),1)&gt;$C$17)))*(1+$C$15)</f>
        <v>-15946</v>
      </c>
      <c r="CV94" s="180" t="n">
        <f aca="false" t="array" ref="CV94:CV94">-$C$14*(COUNTIF('⑮ Cohort Engine'!CV$950:CV$1037,"&gt;"&amp;$C$17)-SUMPRODUCT(--('⑮ Cohort Engine'!CV$950:CV$953&gt;$C$17))+SUMPRODUCT(--('⑮ Cohort Engine'!CV$950:CV$953*IFERROR(INDEX('㉔ Financial Statements'!$X$151:$AX$154,0,MATCH(CV$77,'㉔ Financial Statements'!$X$5:$AX$5,0)),1)&gt;$C$17)))*(1+$C$15)</f>
        <v>-15946</v>
      </c>
      <c r="CW94" s="180" t="n">
        <f aca="false" t="array" ref="CW94:CW94">-$C$14*(COUNTIF('⑮ Cohort Engine'!CW$950:CW$1037,"&gt;"&amp;$C$17)-SUMPRODUCT(--('⑮ Cohort Engine'!CW$950:CW$953&gt;$C$17))+SUMPRODUCT(--('⑮ Cohort Engine'!CW$950:CW$953*IFERROR(INDEX('㉔ Financial Statements'!$X$151:$AX$154,0,MATCH(CW$77,'㉔ Financial Statements'!$X$5:$AX$5,0)),1)&gt;$C$17)))*(1+$C$15)</f>
        <v>-15946</v>
      </c>
      <c r="CX94" s="180" t="n">
        <f aca="false" t="array" ref="CX94:CX94">-$C$14*(COUNTIF('⑮ Cohort Engine'!CX$950:CX$1037,"&gt;"&amp;$C$17)-SUMPRODUCT(--('⑮ Cohort Engine'!CX$950:CX$953&gt;$C$17))+SUMPRODUCT(--('⑮ Cohort Engine'!CX$950:CX$953*IFERROR(INDEX('㉔ Financial Statements'!$X$151:$AX$154,0,MATCH(CX$77,'㉔ Financial Statements'!$X$5:$AX$5,0)),1)&gt;$C$17)))*(1+$C$15)</f>
        <v>-15946</v>
      </c>
      <c r="CY94" s="180" t="n">
        <f aca="false" t="array" ref="CY94:CY94">-$C$14*(COUNTIF('⑮ Cohort Engine'!CY$950:CY$1037,"&gt;"&amp;$C$17)-SUMPRODUCT(--('⑮ Cohort Engine'!CY$950:CY$953&gt;$C$17))+SUMPRODUCT(--('⑮ Cohort Engine'!CY$950:CY$953*IFERROR(INDEX('㉔ Financial Statements'!$X$151:$AX$154,0,MATCH(CY$77,'㉔ Financial Statements'!$X$5:$AX$5,0)),1)&gt;$C$17)))*(1+$C$15)</f>
        <v>-16884</v>
      </c>
      <c r="CZ94" s="180" t="n">
        <f aca="false" t="array" ref="CZ94:CZ94">-$C$14*(COUNTIF('⑮ Cohort Engine'!CZ$950:CZ$1037,"&gt;"&amp;$C$17)-SUMPRODUCT(--('⑮ Cohort Engine'!CZ$950:CZ$953&gt;$C$17))+SUMPRODUCT(--('⑮ Cohort Engine'!CZ$950:CZ$953*IFERROR(INDEX('㉔ Financial Statements'!$X$151:$AX$154,0,MATCH(CZ$77,'㉔ Financial Statements'!$X$5:$AX$5,0)),1)&gt;$C$17)))*(1+$C$15)</f>
        <v>-16884</v>
      </c>
      <c r="DA94" s="180" t="n">
        <f aca="false" t="array" ref="DA94:DA94">-$C$14*(COUNTIF('⑮ Cohort Engine'!DA$950:DA$1037,"&gt;"&amp;$C$17)-SUMPRODUCT(--('⑮ Cohort Engine'!DA$950:DA$953&gt;$C$17))+SUMPRODUCT(--('⑮ Cohort Engine'!DA$950:DA$953*IFERROR(INDEX('㉔ Financial Statements'!$X$151:$AX$154,0,MATCH(DA$77,'㉔ Financial Statements'!$X$5:$AX$5,0)),1)&gt;$C$17)))*(1+$C$15)</f>
        <v>-17822</v>
      </c>
      <c r="DB94" s="180" t="n">
        <f aca="false" t="array" ref="DB94:DB94">-$C$14*(COUNTIF('⑮ Cohort Engine'!DB$950:DB$1037,"&gt;"&amp;$C$17)-SUMPRODUCT(--('⑮ Cohort Engine'!DB$950:DB$953&gt;$C$17))+SUMPRODUCT(--('⑮ Cohort Engine'!DB$950:DB$953*IFERROR(INDEX('㉔ Financial Statements'!$X$151:$AX$154,0,MATCH(DB$77,'㉔ Financial Statements'!$X$5:$AX$5,0)),1)&gt;$C$17)))*(1+$C$15)</f>
        <v>-16884</v>
      </c>
      <c r="DC94" s="180" t="n">
        <f aca="false" t="array" ref="DC94:DC94">-$C$14*(COUNTIF('⑮ Cohort Engine'!DC$950:DC$1037,"&gt;"&amp;$C$17)-SUMPRODUCT(--('⑮ Cohort Engine'!DC$950:DC$953&gt;$C$17))+SUMPRODUCT(--('⑮ Cohort Engine'!DC$950:DC$953*IFERROR(INDEX('㉔ Financial Statements'!$X$151:$AX$154,0,MATCH(DC$77,'㉔ Financial Statements'!$X$5:$AX$5,0)),1)&gt;$C$17)))*(1+$C$15)</f>
        <v>-17822</v>
      </c>
      <c r="DD94" s="180" t="n">
        <f aca="false" t="array" ref="DD94:DD94">-$C$14*(COUNTIF('⑮ Cohort Engine'!DD$950:DD$1037,"&gt;"&amp;$C$17)-SUMPRODUCT(--('⑮ Cohort Engine'!DD$950:DD$953&gt;$C$17))+SUMPRODUCT(--('⑮ Cohort Engine'!DD$950:DD$953*IFERROR(INDEX('㉔ Financial Statements'!$X$151:$AX$154,0,MATCH(DD$77,'㉔ Financial Statements'!$X$5:$AX$5,0)),1)&gt;$C$17)))*(1+$C$15)</f>
        <v>-19698</v>
      </c>
      <c r="DE94" s="180" t="n">
        <f aca="false" t="array" ref="DE94:DE94">-$C$14*(COUNTIF('⑮ Cohort Engine'!DE$950:DE$1037,"&gt;"&amp;$C$17)-SUMPRODUCT(--('⑮ Cohort Engine'!DE$950:DE$953&gt;$C$17))+SUMPRODUCT(--('⑮ Cohort Engine'!DE$950:DE$953*IFERROR(INDEX('㉔ Financial Statements'!$X$151:$AX$154,0,MATCH(DE$77,'㉔ Financial Statements'!$X$5:$AX$5,0)),1)&gt;$C$17)))*(1+$C$15)</f>
        <v>-19698</v>
      </c>
      <c r="DF94" s="180" t="n">
        <f aca="false" t="array" ref="DF94:DF94">-$C$14*(COUNTIF('⑮ Cohort Engine'!DF$950:DF$1037,"&gt;"&amp;$C$17)-SUMPRODUCT(--('⑮ Cohort Engine'!DF$950:DF$953&gt;$C$17))+SUMPRODUCT(--('⑮ Cohort Engine'!DF$950:DF$953*IFERROR(INDEX('㉔ Financial Statements'!$X$151:$AX$154,0,MATCH(DF$77,'㉔ Financial Statements'!$X$5:$AX$5,0)),1)&gt;$C$17)))*(1+$C$15)</f>
        <v>-18760</v>
      </c>
      <c r="DG94" s="180" t="n">
        <f aca="false" t="array" ref="DG94:DG94">-$C$14*(COUNTIF('⑮ Cohort Engine'!DG$950:DG$1037,"&gt;"&amp;$C$17)-SUMPRODUCT(--('⑮ Cohort Engine'!DG$950:DG$953&gt;$C$17))+SUMPRODUCT(--('⑮ Cohort Engine'!DG$950:DG$953*IFERROR(INDEX('㉔ Financial Statements'!$X$151:$AX$154,0,MATCH(DG$77,'㉔ Financial Statements'!$X$5:$AX$5,0)),1)&gt;$C$17)))*(1+$C$15)</f>
        <v>-18760</v>
      </c>
      <c r="DH94" s="180" t="n">
        <f aca="false" t="array" ref="DH94:DH94">-$C$14*(COUNTIF('⑮ Cohort Engine'!DH$950:DH$1037,"&gt;"&amp;$C$17)-SUMPRODUCT(--('⑮ Cohort Engine'!DH$950:DH$953&gt;$C$17))+SUMPRODUCT(--('⑮ Cohort Engine'!DH$950:DH$953*IFERROR(INDEX('㉔ Financial Statements'!$X$151:$AX$154,0,MATCH(DH$77,'㉔ Financial Statements'!$X$5:$AX$5,0)),1)&gt;$C$17)))*(1+$C$15)</f>
        <v>-19698</v>
      </c>
      <c r="DI94" s="180" t="n">
        <f aca="false" t="array" ref="DI94:DI94">-$C$14*(COUNTIF('⑮ Cohort Engine'!DI$950:DI$1037,"&gt;"&amp;$C$17)-SUMPRODUCT(--('⑮ Cohort Engine'!DI$950:DI$953&gt;$C$17))+SUMPRODUCT(--('⑮ Cohort Engine'!DI$950:DI$953*IFERROR(INDEX('㉔ Financial Statements'!$X$151:$AX$154,0,MATCH(DI$77,'㉔ Financial Statements'!$X$5:$AX$5,0)),1)&gt;$C$17)))*(1+$C$15)</f>
        <v>-19698</v>
      </c>
      <c r="DJ94" s="180" t="n">
        <f aca="false" t="array" ref="DJ94:DJ94">-$C$14*(COUNTIF('⑮ Cohort Engine'!DJ$950:DJ$1037,"&gt;"&amp;$C$17)-SUMPRODUCT(--('⑮ Cohort Engine'!DJ$950:DJ$953&gt;$C$17))+SUMPRODUCT(--('⑮ Cohort Engine'!DJ$950:DJ$953*IFERROR(INDEX('㉔ Financial Statements'!$X$151:$AX$154,0,MATCH(DJ$77,'㉔ Financial Statements'!$X$5:$AX$5,0)),1)&gt;$C$17)))*(1+$C$15)</f>
        <v>-18760</v>
      </c>
      <c r="DK94" s="180" t="n">
        <f aca="false" t="array" ref="DK94:DK94">-$C$14*(COUNTIF('⑮ Cohort Engine'!DK$950:DK$1037,"&gt;"&amp;$C$17)-SUMPRODUCT(--('⑮ Cohort Engine'!DK$950:DK$953&gt;$C$17))+SUMPRODUCT(--('⑮ Cohort Engine'!DK$950:DK$953*IFERROR(INDEX('㉔ Financial Statements'!$X$151:$AX$154,0,MATCH(DK$77,'㉔ Financial Statements'!$X$5:$AX$5,0)),1)&gt;$C$17)))*(1+$C$15)</f>
        <v>-21574</v>
      </c>
      <c r="DL94" s="180" t="n">
        <f aca="false" t="array" ref="DL94:DL94">-$C$14*(COUNTIF('⑮ Cohort Engine'!DL$950:DL$1037,"&gt;"&amp;$C$17)-SUMPRODUCT(--('⑮ Cohort Engine'!DL$950:DL$953&gt;$C$17))+SUMPRODUCT(--('⑮ Cohort Engine'!DL$950:DL$953*IFERROR(INDEX('㉔ Financial Statements'!$X$151:$AX$154,0,MATCH(DL$77,'㉔ Financial Statements'!$X$5:$AX$5,0)),1)&gt;$C$17)))*(1+$C$15)</f>
        <v>-22512</v>
      </c>
      <c r="DM94" s="180" t="n">
        <f aca="false" t="array" ref="DM94:DM94">-$C$14*(COUNTIF('⑮ Cohort Engine'!DM$950:DM$1037,"&gt;"&amp;$C$17)-SUMPRODUCT(--('⑮ Cohort Engine'!DM$950:DM$953&gt;$C$17))+SUMPRODUCT(--('⑮ Cohort Engine'!DM$950:DM$953*IFERROR(INDEX('㉔ Financial Statements'!$X$151:$AX$154,0,MATCH(DM$77,'㉔ Financial Statements'!$X$5:$AX$5,0)),1)&gt;$C$17)))*(1+$C$15)</f>
        <v>-20636</v>
      </c>
      <c r="DN94" s="180" t="n">
        <f aca="false" t="array" ref="DN94:DN94">-$C$14*(COUNTIF('⑮ Cohort Engine'!DN$950:DN$1037,"&gt;"&amp;$C$17)-SUMPRODUCT(--('⑮ Cohort Engine'!DN$950:DN$953&gt;$C$17))+SUMPRODUCT(--('⑮ Cohort Engine'!DN$950:DN$953*IFERROR(INDEX('㉔ Financial Statements'!$X$151:$AX$154,0,MATCH(DN$77,'㉔ Financial Statements'!$X$5:$AX$5,0)),1)&gt;$C$17)))*(1+$C$15)</f>
        <v>-20636</v>
      </c>
      <c r="DO94" s="180" t="n">
        <f aca="false" t="array" ref="DO94:DO94">-$C$14*(COUNTIF('⑮ Cohort Engine'!DO$950:DO$1037,"&gt;"&amp;$C$17)-SUMPRODUCT(--('⑮ Cohort Engine'!DO$950:DO$953&gt;$C$17))+SUMPRODUCT(--('⑮ Cohort Engine'!DO$950:DO$953*IFERROR(INDEX('㉔ Financial Statements'!$X$151:$AX$154,0,MATCH(DO$77,'㉔ Financial Statements'!$X$5:$AX$5,0)),1)&gt;$C$17)))*(1+$C$15)</f>
        <v>-21574</v>
      </c>
      <c r="DP94" s="180" t="n">
        <f aca="false" t="array" ref="DP94:DP94">-$C$14*(COUNTIF('⑮ Cohort Engine'!DP$950:DP$1037,"&gt;"&amp;$C$17)-SUMPRODUCT(--('⑮ Cohort Engine'!DP$950:DP$953&gt;$C$17))+SUMPRODUCT(--('⑮ Cohort Engine'!DP$950:DP$953*IFERROR(INDEX('㉔ Financial Statements'!$X$151:$AX$154,0,MATCH(DP$77,'㉔ Financial Statements'!$X$5:$AX$5,0)),1)&gt;$C$17)))*(1+$C$15)</f>
        <v>-26264</v>
      </c>
      <c r="DQ94" s="180" t="n">
        <f aca="false" t="array" ref="DQ94:DQ94">-$C$14*(COUNTIF('⑮ Cohort Engine'!DQ$950:DQ$1037,"&gt;"&amp;$C$17)-SUMPRODUCT(--('⑮ Cohort Engine'!DQ$950:DQ$953&gt;$C$17))+SUMPRODUCT(--('⑮ Cohort Engine'!DQ$950:DQ$953*IFERROR(INDEX('㉔ Financial Statements'!$X$151:$AX$154,0,MATCH(DQ$77,'㉔ Financial Statements'!$X$5:$AX$5,0)),1)&gt;$C$17)))*(1+$C$15)</f>
        <v>-25326</v>
      </c>
      <c r="DR94" s="180" t="n">
        <f aca="false" t="array" ref="DR94:DR94">-$C$14*(COUNTIF('⑮ Cohort Engine'!DR$950:DR$1037,"&gt;"&amp;$C$17)-SUMPRODUCT(--('⑮ Cohort Engine'!DR$950:DR$953&gt;$C$17))+SUMPRODUCT(--('⑮ Cohort Engine'!DR$950:DR$953*IFERROR(INDEX('㉔ Financial Statements'!$X$151:$AX$154,0,MATCH(DR$77,'㉔ Financial Statements'!$X$5:$AX$5,0)),1)&gt;$C$17)))*(1+$C$15)</f>
        <v>-25326</v>
      </c>
      <c r="DS94" s="180" t="n">
        <f aca="false" t="array" ref="DS94:DS94">-$C$14*(COUNTIF('⑮ Cohort Engine'!DS$950:DS$1037,"&gt;"&amp;$C$17)-SUMPRODUCT(--('⑮ Cohort Engine'!DS$950:DS$953&gt;$C$17))+SUMPRODUCT(--('⑮ Cohort Engine'!DS$950:DS$953*IFERROR(INDEX('㉔ Financial Statements'!$X$151:$AX$154,0,MATCH(DS$77,'㉔ Financial Statements'!$X$5:$AX$5,0)),1)&gt;$C$17)))*(1+$C$15)</f>
        <v>-24388</v>
      </c>
      <c r="DT94" s="180" t="n">
        <f aca="false" t="array" ref="DT94:DT94">-$C$14*(COUNTIF('⑮ Cohort Engine'!DT$950:DT$1037,"&gt;"&amp;$C$17)-SUMPRODUCT(--('⑮ Cohort Engine'!DT$950:DT$953&gt;$C$17))+SUMPRODUCT(--('⑮ Cohort Engine'!DT$950:DT$953*IFERROR(INDEX('㉔ Financial Statements'!$X$151:$AX$154,0,MATCH(DT$77,'㉔ Financial Statements'!$X$5:$AX$5,0)),1)&gt;$C$17)))*(1+$C$15)</f>
        <v>-25326</v>
      </c>
      <c r="DU94" s="180" t="n">
        <f aca="false" t="array" ref="DU94:DU94">-$C$14*(COUNTIF('⑮ Cohort Engine'!DU$950:DU$1037,"&gt;"&amp;$C$17)-SUMPRODUCT(--('⑮ Cohort Engine'!DU$950:DU$953&gt;$C$17))+SUMPRODUCT(--('⑮ Cohort Engine'!DU$950:DU$953*IFERROR(INDEX('㉔ Financial Statements'!$X$151:$AX$154,0,MATCH(DU$77,'㉔ Financial Statements'!$X$5:$AX$5,0)),1)&gt;$C$17)))*(1+$C$15)</f>
        <v>-25326</v>
      </c>
      <c r="DV94" s="180" t="n">
        <f aca="false" t="array" ref="DV94:DV94">-$C$14*(COUNTIF('⑮ Cohort Engine'!DV$950:DV$1037,"&gt;"&amp;$C$17)-SUMPRODUCT(--('⑮ Cohort Engine'!DV$950:DV$953&gt;$C$17))+SUMPRODUCT(--('⑮ Cohort Engine'!DV$950:DV$953*IFERROR(INDEX('㉔ Financial Statements'!$X$151:$AX$154,0,MATCH(DV$77,'㉔ Financial Statements'!$X$5:$AX$5,0)),1)&gt;$C$17)))*(1+$C$15)</f>
        <v>-25326</v>
      </c>
      <c r="DW94" s="180" t="n">
        <f aca="false" t="array" ref="DW94:DW94">-$C$14*(COUNTIF('⑮ Cohort Engine'!DW$950:DW$1037,"&gt;"&amp;$C$17)-SUMPRODUCT(--('⑮ Cohort Engine'!DW$950:DW$953&gt;$C$17))+SUMPRODUCT(--('⑮ Cohort Engine'!DW$950:DW$953*IFERROR(INDEX('㉔ Financial Statements'!$X$151:$AX$154,0,MATCH(DW$77,'㉔ Financial Statements'!$X$5:$AX$5,0)),1)&gt;$C$17)))*(1+$C$15)</f>
        <v>-26264</v>
      </c>
      <c r="DX94" s="180" t="n">
        <f aca="false" t="array" ref="DX94:DX94">-$C$14*(COUNTIF('⑮ Cohort Engine'!DX$950:DX$1037,"&gt;"&amp;$C$17)-SUMPRODUCT(--('⑮ Cohort Engine'!DX$950:DX$953&gt;$C$17))+SUMPRODUCT(--('⑮ Cohort Engine'!DX$950:DX$953*IFERROR(INDEX('㉔ Financial Statements'!$X$151:$AX$154,0,MATCH(DX$77,'㉔ Financial Statements'!$X$5:$AX$5,0)),1)&gt;$C$17)))*(1+$C$15)</f>
        <v>-26264</v>
      </c>
      <c r="DY94" s="180" t="n">
        <f aca="false" t="array" ref="DY94:DY94">-$C$14*(COUNTIF('⑮ Cohort Engine'!DY$950:DY$1037,"&gt;"&amp;$C$17)-SUMPRODUCT(--('⑮ Cohort Engine'!DY$950:DY$953&gt;$C$17))+SUMPRODUCT(--('⑮ Cohort Engine'!DY$950:DY$953*IFERROR(INDEX('㉔ Financial Statements'!$X$151:$AX$154,0,MATCH(DY$77,'㉔ Financial Statements'!$X$5:$AX$5,0)),1)&gt;$C$17)))*(1+$C$15)</f>
        <v>-25326</v>
      </c>
      <c r="DZ94" s="180" t="n">
        <f aca="false" t="array" ref="DZ94:DZ94">-$C$14*(COUNTIF('⑮ Cohort Engine'!DZ$950:DZ$1037,"&gt;"&amp;$C$17)-SUMPRODUCT(--('⑮ Cohort Engine'!DZ$950:DZ$953&gt;$C$17))+SUMPRODUCT(--('⑮ Cohort Engine'!DZ$950:DZ$953*IFERROR(INDEX('㉔ Financial Statements'!$X$151:$AX$154,0,MATCH(DZ$77,'㉔ Financial Statements'!$X$5:$AX$5,0)),1)&gt;$C$17)))*(1+$C$15)</f>
        <v>-25326</v>
      </c>
      <c r="EA94" s="180" t="n">
        <f aca="false" t="array" ref="EA94:EA94">-$C$14*(COUNTIF('⑮ Cohort Engine'!EA$950:EA$1037,"&gt;"&amp;$C$17)-SUMPRODUCT(--('⑮ Cohort Engine'!EA$950:EA$953&gt;$C$17))+SUMPRODUCT(--('⑮ Cohort Engine'!EA$950:EA$953*IFERROR(INDEX('㉔ Financial Statements'!$X$151:$AX$154,0,MATCH(EA$77,'㉔ Financial Statements'!$X$5:$AX$5,0)),1)&gt;$C$17)))*(1+$C$15)</f>
        <v>-25326</v>
      </c>
      <c r="EB94" s="180" t="n">
        <f aca="false" t="array" ref="EB94:EB94">-$C$14*(COUNTIF('⑮ Cohort Engine'!EB$950:EB$1037,"&gt;"&amp;$C$17)-SUMPRODUCT(--('⑮ Cohort Engine'!EB$950:EB$953&gt;$C$17))+SUMPRODUCT(--('⑮ Cohort Engine'!EB$950:EB$953*IFERROR(INDEX('㉔ Financial Statements'!$X$151:$AX$154,0,MATCH(EB$77,'㉔ Financial Statements'!$X$5:$AX$5,0)),1)&gt;$C$17)))*(1+$C$15)</f>
        <v>-29078</v>
      </c>
      <c r="EC94" s="180" t="n">
        <f aca="false" t="array" ref="EC94:EC94">-$C$14*(COUNTIF('⑮ Cohort Engine'!EC$950:EC$1037,"&gt;"&amp;$C$17)-SUMPRODUCT(--('⑮ Cohort Engine'!EC$950:EC$953&gt;$C$17))+SUMPRODUCT(--('⑮ Cohort Engine'!EC$950:EC$953*IFERROR(INDEX('㉔ Financial Statements'!$X$151:$AX$154,0,MATCH(EC$77,'㉔ Financial Statements'!$X$5:$AX$5,0)),1)&gt;$C$17)))*(1+$C$15)</f>
        <v>-29078</v>
      </c>
      <c r="ED94" s="180" t="n">
        <f aca="false" t="array" ref="ED94:ED94">-$C$14*(COUNTIF('⑮ Cohort Engine'!ED$950:ED$1037,"&gt;"&amp;$C$17)-SUMPRODUCT(--('⑮ Cohort Engine'!ED$950:ED$953&gt;$C$17))+SUMPRODUCT(--('⑮ Cohort Engine'!ED$950:ED$953*IFERROR(INDEX('㉔ Financial Statements'!$X$151:$AX$154,0,MATCH(ED$77,'㉔ Financial Statements'!$X$5:$AX$5,0)),1)&gt;$C$17)))*(1+$C$15)</f>
        <v>-28140</v>
      </c>
      <c r="EE94" s="180" t="n">
        <f aca="false" t="array" ref="EE94:EE94">-$C$14*(COUNTIF('⑮ Cohort Engine'!EE$950:EE$1037,"&gt;"&amp;$C$17)-SUMPRODUCT(--('⑮ Cohort Engine'!EE$950:EE$953&gt;$C$17))+SUMPRODUCT(--('⑮ Cohort Engine'!EE$950:EE$953*IFERROR(INDEX('㉔ Financial Statements'!$X$151:$AX$154,0,MATCH(EE$77,'㉔ Financial Statements'!$X$5:$AX$5,0)),1)&gt;$C$17)))*(1+$C$15)</f>
        <v>-25326</v>
      </c>
      <c r="EF94" s="180" t="n">
        <f aca="false" t="array" ref="EF94:EF94">-$C$14*(COUNTIF('⑮ Cohort Engine'!EF$950:EF$1037,"&gt;"&amp;$C$17)-SUMPRODUCT(--('⑮ Cohort Engine'!EF$950:EF$953&gt;$C$17))+SUMPRODUCT(--('⑮ Cohort Engine'!EF$950:EF$953*IFERROR(INDEX('㉔ Financial Statements'!$X$151:$AX$154,0,MATCH(EF$77,'㉔ Financial Statements'!$X$5:$AX$5,0)),1)&gt;$C$17)))*(1+$C$15)</f>
        <v>-28140</v>
      </c>
      <c r="EG94" s="180" t="n">
        <f aca="false" t="array" ref="EG94:EG94">-$C$14*(COUNTIF('⑮ Cohort Engine'!EG$950:EG$1037,"&gt;"&amp;$C$17)-SUMPRODUCT(--('⑮ Cohort Engine'!EG$950:EG$953&gt;$C$17))+SUMPRODUCT(--('⑮ Cohort Engine'!EG$950:EG$953*IFERROR(INDEX('㉔ Financial Statements'!$X$151:$AX$154,0,MATCH(EG$77,'㉔ Financial Statements'!$X$5:$AX$5,0)),1)&gt;$C$17)))*(1+$C$15)</f>
        <v>-30016</v>
      </c>
      <c r="EH94" s="180" t="n">
        <f aca="false" t="array" ref="EH94:EH94">-$C$14*(COUNTIF('⑮ Cohort Engine'!EH$950:EH$1037,"&gt;"&amp;$C$17)-SUMPRODUCT(--('⑮ Cohort Engine'!EH$950:EH$953&gt;$C$17))+SUMPRODUCT(--('⑮ Cohort Engine'!EH$950:EH$953*IFERROR(INDEX('㉔ Financial Statements'!$X$151:$AX$154,0,MATCH(EH$77,'㉔ Financial Statements'!$X$5:$AX$5,0)),1)&gt;$C$17)))*(1+$C$15)</f>
        <v>-28140</v>
      </c>
      <c r="EI94" s="180" t="n">
        <f aca="false" t="array" ref="EI94:EI94">-$C$14*(COUNTIF('⑮ Cohort Engine'!EI$950:EI$1037,"&gt;"&amp;$C$17)-SUMPRODUCT(--('⑮ Cohort Engine'!EI$950:EI$953&gt;$C$17))+SUMPRODUCT(--('⑮ Cohort Engine'!EI$950:EI$953*IFERROR(INDEX('㉔ Financial Statements'!$X$151:$AX$154,0,MATCH(EI$77,'㉔ Financial Statements'!$X$5:$AX$5,0)),1)&gt;$C$17)))*(1+$C$15)</f>
        <v>-30954</v>
      </c>
      <c r="EJ94" s="180" t="n">
        <f aca="false" t="array" ref="EJ94:EJ94">-$C$14*(COUNTIF('⑮ Cohort Engine'!EJ$950:EJ$1037,"&gt;"&amp;$C$17)-SUMPRODUCT(--('⑮ Cohort Engine'!EJ$950:EJ$953&gt;$C$17))+SUMPRODUCT(--('⑮ Cohort Engine'!EJ$950:EJ$953*IFERROR(INDEX('㉔ Financial Statements'!$X$151:$AX$154,0,MATCH(EJ$77,'㉔ Financial Statements'!$X$5:$AX$5,0)),1)&gt;$C$17)))*(1+$C$15)</f>
        <v>-30954</v>
      </c>
      <c r="EK94" s="180" t="n">
        <f aca="false" t="array" ref="EK94:EK94">-$C$14*(COUNTIF('⑮ Cohort Engine'!EK$950:EK$1037,"&gt;"&amp;$C$17)-SUMPRODUCT(--('⑮ Cohort Engine'!EK$950:EK$953&gt;$C$17))+SUMPRODUCT(--('⑮ Cohort Engine'!EK$950:EK$953*IFERROR(INDEX('㉔ Financial Statements'!$X$151:$AX$154,0,MATCH(EK$77,'㉔ Financial Statements'!$X$5:$AX$5,0)),1)&gt;$C$17)))*(1+$C$15)</f>
        <v>-31892</v>
      </c>
      <c r="EL94" s="180" t="n">
        <f aca="false" t="array" ref="EL94:EL94">-$C$14*(COUNTIF('⑮ Cohort Engine'!EL$950:EL$1037,"&gt;"&amp;$C$17)-SUMPRODUCT(--('⑮ Cohort Engine'!EL$950:EL$953&gt;$C$17))+SUMPRODUCT(--('⑮ Cohort Engine'!EL$950:EL$953*IFERROR(INDEX('㉔ Financial Statements'!$X$151:$AX$154,0,MATCH(EL$77,'㉔ Financial Statements'!$X$5:$AX$5,0)),1)&gt;$C$17)))*(1+$C$15)</f>
        <v>-29078</v>
      </c>
      <c r="EM94" s="180" t="n">
        <f aca="false" t="array" ref="EM94:EM94">-$C$14*(COUNTIF('⑮ Cohort Engine'!EM$950:EM$1037,"&gt;"&amp;$C$17)-SUMPRODUCT(--('⑮ Cohort Engine'!EM$950:EM$953&gt;$C$17))+SUMPRODUCT(--('⑮ Cohort Engine'!EM$950:EM$953*IFERROR(INDEX('㉔ Financial Statements'!$X$151:$AX$154,0,MATCH(EM$77,'㉔ Financial Statements'!$X$5:$AX$5,0)),1)&gt;$C$17)))*(1+$C$15)</f>
        <v>-31892</v>
      </c>
      <c r="EN94" s="180" t="n">
        <f aca="false" t="array" ref="EN94:EN94">-$C$14*(COUNTIF('⑮ Cohort Engine'!EN$950:EN$1037,"&gt;"&amp;$C$17)-SUMPRODUCT(--('⑮ Cohort Engine'!EN$950:EN$953&gt;$C$17))+SUMPRODUCT(--('⑮ Cohort Engine'!EN$950:EN$953*IFERROR(INDEX('㉔ Financial Statements'!$X$151:$AX$154,0,MATCH(EN$77,'㉔ Financial Statements'!$X$5:$AX$5,0)),1)&gt;$C$17)))*(1+$C$15)</f>
        <v>-34706</v>
      </c>
      <c r="EO94" s="180" t="n">
        <f aca="false" t="array" ref="EO94:EO94">-$C$14*(COUNTIF('⑮ Cohort Engine'!EO$950:EO$1037,"&gt;"&amp;$C$17)-SUMPRODUCT(--('⑮ Cohort Engine'!EO$950:EO$953&gt;$C$17))+SUMPRODUCT(--('⑮ Cohort Engine'!EO$950:EO$953*IFERROR(INDEX('㉔ Financial Statements'!$X$151:$AX$154,0,MATCH(EO$77,'㉔ Financial Statements'!$X$5:$AX$5,0)),1)&gt;$C$17)))*(1+$C$15)</f>
        <v>-33768</v>
      </c>
      <c r="EP94" s="180" t="n">
        <f aca="false" t="array" ref="EP94:EP94">-$C$14*(COUNTIF('⑮ Cohort Engine'!EP$950:EP$1037,"&gt;"&amp;$C$17)-SUMPRODUCT(--('⑮ Cohort Engine'!EP$950:EP$953&gt;$C$17))+SUMPRODUCT(--('⑮ Cohort Engine'!EP$950:EP$953*IFERROR(INDEX('㉔ Financial Statements'!$X$151:$AX$154,0,MATCH(EP$77,'㉔ Financial Statements'!$X$5:$AX$5,0)),1)&gt;$C$17)))*(1+$C$15)</f>
        <v>-33768</v>
      </c>
      <c r="EQ94" s="180" t="n">
        <f aca="false" t="array" ref="EQ94:EQ94">-$C$14*(COUNTIF('⑮ Cohort Engine'!EQ$950:EQ$1037,"&gt;"&amp;$C$17)-SUMPRODUCT(--('⑮ Cohort Engine'!EQ$950:EQ$953&gt;$C$17))+SUMPRODUCT(--('⑮ Cohort Engine'!EQ$950:EQ$953*IFERROR(INDEX('㉔ Financial Statements'!$X$151:$AX$154,0,MATCH(EQ$77,'㉔ Financial Statements'!$X$5:$AX$5,0)),1)&gt;$C$17)))*(1+$C$15)</f>
        <v>-33768</v>
      </c>
      <c r="ER94" s="180" t="n">
        <f aca="false" t="array" ref="ER94:ER94">-$C$14*(COUNTIF('⑮ Cohort Engine'!ER$950:ER$1037,"&gt;"&amp;$C$17)-SUMPRODUCT(--('⑮ Cohort Engine'!ER$950:ER$953&gt;$C$17))+SUMPRODUCT(--('⑮ Cohort Engine'!ER$950:ER$953*IFERROR(INDEX('㉔ Financial Statements'!$X$151:$AX$154,0,MATCH(ER$77,'㉔ Financial Statements'!$X$5:$AX$5,0)),1)&gt;$C$17)))*(1+$C$15)</f>
        <v>-33768</v>
      </c>
    </row>
    <row r="95" customFormat="false" ht="15" hidden="false" customHeight="false" outlineLevel="0" collapsed="false">
      <c r="B95" s="18" t="s">
        <v>1197</v>
      </c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0" t="n">
        <f aca="false">-$C$16*AC85</f>
        <v>-100</v>
      </c>
      <c r="AD95" s="180" t="n">
        <f aca="false">-$C$16*AD85</f>
        <v>-200</v>
      </c>
      <c r="AE95" s="180" t="n">
        <f aca="false">-$C$16*AE85</f>
        <v>-200</v>
      </c>
      <c r="AF95" s="180" t="n">
        <f aca="false">-$C$16*AF85</f>
        <v>-200</v>
      </c>
      <c r="AG95" s="180" t="n">
        <f aca="false">-$C$16*AG85</f>
        <v>-300</v>
      </c>
      <c r="AH95" s="180" t="n">
        <f aca="false">-$C$16*AH85</f>
        <v>-300</v>
      </c>
      <c r="AI95" s="180" t="n">
        <f aca="false">-$C$16*AI85</f>
        <v>-300</v>
      </c>
      <c r="AJ95" s="180" t="n">
        <f aca="false">-$C$16*AJ85</f>
        <v>-300</v>
      </c>
      <c r="AK95" s="180" t="n">
        <f aca="false">-$C$16*AK85</f>
        <v>-300</v>
      </c>
      <c r="AL95" s="180" t="n">
        <f aca="false">-$C$16*AL85</f>
        <v>-300</v>
      </c>
      <c r="AM95" s="180" t="n">
        <f aca="false">-$C$16*AM85</f>
        <v>-300</v>
      </c>
      <c r="AN95" s="180" t="n">
        <f aca="false">-$C$16*AN85</f>
        <v>-400</v>
      </c>
      <c r="AO95" s="180" t="n">
        <f aca="false">-$C$16*AO85</f>
        <v>-400</v>
      </c>
      <c r="AP95" s="180" t="n">
        <f aca="false">-$C$16*AP85</f>
        <v>-400</v>
      </c>
      <c r="AQ95" s="180" t="n">
        <f aca="false">-$C$16*AQ85</f>
        <v>-400</v>
      </c>
      <c r="AR95" s="180" t="n">
        <f aca="false">-$C$16*AR85</f>
        <v>-400</v>
      </c>
      <c r="AS95" s="180" t="n">
        <f aca="false">-$C$16*AS85</f>
        <v>-400</v>
      </c>
      <c r="AT95" s="180" t="n">
        <f aca="false">-$C$16*AT85</f>
        <v>-400</v>
      </c>
      <c r="AU95" s="180" t="n">
        <f aca="false">-$C$16*AU85</f>
        <v>-400</v>
      </c>
      <c r="AV95" s="180" t="n">
        <f aca="false">-$C$16*AV85</f>
        <v>-400</v>
      </c>
      <c r="AW95" s="180" t="n">
        <f aca="false">-$C$16*AW85</f>
        <v>-400</v>
      </c>
      <c r="AX95" s="180" t="n">
        <f aca="false">-$C$16*AX85</f>
        <v>-400</v>
      </c>
      <c r="AY95" s="180" t="n">
        <f aca="false">-$C$16*AY85</f>
        <v>-400</v>
      </c>
      <c r="AZ95" s="180" t="n">
        <f aca="false">-$C$16*AZ85</f>
        <v>-400</v>
      </c>
      <c r="BA95" s="180" t="n">
        <f aca="false">-$C$16*BA85</f>
        <v>-500</v>
      </c>
      <c r="BB95" s="180" t="n">
        <f aca="false">-$C$16*BB85</f>
        <v>-600</v>
      </c>
      <c r="BC95" s="180" t="n">
        <f aca="false">-$C$16*BC85</f>
        <v>-700</v>
      </c>
      <c r="BD95" s="180" t="n">
        <f aca="false">-$C$16*BD85</f>
        <v>-800</v>
      </c>
      <c r="BE95" s="180" t="n">
        <f aca="false">-$C$16*BE85</f>
        <v>-800</v>
      </c>
      <c r="BF95" s="180" t="n">
        <f aca="false">-$C$16*BF85</f>
        <v>-900</v>
      </c>
      <c r="BG95" s="180" t="n">
        <f aca="false">-$C$16*BG85</f>
        <v>-900</v>
      </c>
      <c r="BH95" s="180" t="n">
        <f aca="false">-$C$16*BH85</f>
        <v>-1000</v>
      </c>
      <c r="BI95" s="180" t="n">
        <f aca="false">-$C$16*BI85</f>
        <v>-1000</v>
      </c>
      <c r="BJ95" s="180" t="n">
        <f aca="false">-$C$16*BJ85</f>
        <v>-1100</v>
      </c>
      <c r="BK95" s="180" t="n">
        <f aca="false">-$C$16*BK85</f>
        <v>-1100</v>
      </c>
      <c r="BL95" s="180" t="n">
        <f aca="false">-$C$16*BL85</f>
        <v>-1100</v>
      </c>
      <c r="BM95" s="180" t="n">
        <f aca="false">-$C$16*BM85</f>
        <v>-1100</v>
      </c>
      <c r="BN95" s="180" t="n">
        <f aca="false">-$C$16*BN85</f>
        <v>-1100</v>
      </c>
      <c r="BO95" s="180" t="n">
        <f aca="false">-$C$16*BO85</f>
        <v>-1200</v>
      </c>
      <c r="BP95" s="180" t="n">
        <f aca="false">-$C$16*BP85</f>
        <v>-1200</v>
      </c>
      <c r="BQ95" s="180" t="n">
        <f aca="false">-$C$16*BQ85</f>
        <v>-1300</v>
      </c>
      <c r="BR95" s="180" t="n">
        <f aca="false">-$C$16*BR85</f>
        <v>-1300</v>
      </c>
      <c r="BS95" s="180" t="n">
        <f aca="false">-$C$16*BS85</f>
        <v>-1400</v>
      </c>
      <c r="BT95" s="180" t="n">
        <f aca="false">-$C$16*BT85</f>
        <v>-1400</v>
      </c>
      <c r="BU95" s="180" t="n">
        <f aca="false">-$C$16*BU85</f>
        <v>-1600</v>
      </c>
      <c r="BV95" s="180" t="n">
        <f aca="false">-$C$16*BV85</f>
        <v>-1600</v>
      </c>
      <c r="BW95" s="180" t="n">
        <f aca="false">-$C$16*BW85</f>
        <v>-1700</v>
      </c>
      <c r="BX95" s="180" t="n">
        <f aca="false">-$C$16*BX85</f>
        <v>-1800</v>
      </c>
      <c r="BY95" s="180" t="n">
        <f aca="false">-$C$16*BY85</f>
        <v>-1800</v>
      </c>
      <c r="BZ95" s="180" t="n">
        <f aca="false">-$C$16*BZ85</f>
        <v>-1800</v>
      </c>
      <c r="CA95" s="180" t="n">
        <f aca="false">-$C$16*CA85</f>
        <v>-1800</v>
      </c>
      <c r="CB95" s="180" t="n">
        <f aca="false">-$C$16*CB85</f>
        <v>-1800</v>
      </c>
      <c r="CC95" s="180" t="n">
        <f aca="false">-$C$16*CC85</f>
        <v>-1800</v>
      </c>
      <c r="CD95" s="180" t="n">
        <f aca="false">-$C$16*CD85</f>
        <v>-1800</v>
      </c>
      <c r="CE95" s="180" t="n">
        <f aca="false">-$C$16*CE85</f>
        <v>-1800</v>
      </c>
      <c r="CF95" s="180" t="n">
        <f aca="false">-$C$16*CF85</f>
        <v>-1900</v>
      </c>
      <c r="CG95" s="180" t="n">
        <f aca="false">-$C$16*CG85</f>
        <v>-1900</v>
      </c>
      <c r="CH95" s="180" t="n">
        <f aca="false">-$C$16*CH85</f>
        <v>-1900</v>
      </c>
      <c r="CI95" s="180" t="n">
        <f aca="false">-$C$16*CI85</f>
        <v>-1900</v>
      </c>
      <c r="CJ95" s="180" t="n">
        <f aca="false">-$C$16*CJ85</f>
        <v>-1900</v>
      </c>
      <c r="CK95" s="180" t="n">
        <f aca="false">-$C$16*CK85</f>
        <v>-2000</v>
      </c>
      <c r="CL95" s="180" t="n">
        <f aca="false">-$C$16*CL85</f>
        <v>-2100</v>
      </c>
      <c r="CM95" s="180" t="n">
        <f aca="false">-$C$16*CM85</f>
        <v>-2100</v>
      </c>
      <c r="CN95" s="180" t="n">
        <f aca="false">-$C$16*CN85</f>
        <v>-2200</v>
      </c>
      <c r="CO95" s="180" t="n">
        <f aca="false">-$C$16*CO85</f>
        <v>-2200</v>
      </c>
      <c r="CP95" s="180" t="n">
        <f aca="false">-$C$16*CP85</f>
        <v>-2300</v>
      </c>
      <c r="CQ95" s="180" t="n">
        <f aca="false">-$C$16*CQ85</f>
        <v>-2300</v>
      </c>
      <c r="CR95" s="180" t="n">
        <f aca="false">-$C$16*CR85</f>
        <v>-2300</v>
      </c>
      <c r="CS95" s="180" t="n">
        <f aca="false">-$C$16*CS85</f>
        <v>-2300</v>
      </c>
      <c r="CT95" s="180" t="n">
        <f aca="false">-$C$16*CT85</f>
        <v>-2300</v>
      </c>
      <c r="CU95" s="180" t="n">
        <f aca="false">-$C$16*CU85</f>
        <v>-2300</v>
      </c>
      <c r="CV95" s="180" t="n">
        <f aca="false">-$C$16*CV85</f>
        <v>-2300</v>
      </c>
      <c r="CW95" s="180" t="n">
        <f aca="false">-$C$16*CW85</f>
        <v>-2400</v>
      </c>
      <c r="CX95" s="180" t="n">
        <f aca="false">-$C$16*CX85</f>
        <v>-2500</v>
      </c>
      <c r="CY95" s="180" t="n">
        <f aca="false">-$C$16*CY85</f>
        <v>-2600</v>
      </c>
      <c r="CZ95" s="180" t="n">
        <f aca="false">-$C$16*CZ85</f>
        <v>-2700</v>
      </c>
      <c r="DA95" s="180" t="n">
        <f aca="false">-$C$16*DA85</f>
        <v>-2900</v>
      </c>
      <c r="DB95" s="180" t="n">
        <f aca="false">-$C$16*DB85</f>
        <v>-2900</v>
      </c>
      <c r="DC95" s="180" t="n">
        <f aca="false">-$C$16*DC85</f>
        <v>-2900</v>
      </c>
      <c r="DD95" s="180" t="n">
        <f aca="false">-$C$16*DD85</f>
        <v>-2900</v>
      </c>
      <c r="DE95" s="180" t="n">
        <f aca="false">-$C$16*DE85</f>
        <v>-2900</v>
      </c>
      <c r="DF95" s="180" t="n">
        <f aca="false">-$C$16*DF85</f>
        <v>-3000</v>
      </c>
      <c r="DG95" s="180" t="n">
        <f aca="false">-$C$16*DG85</f>
        <v>-3000</v>
      </c>
      <c r="DH95" s="180" t="n">
        <f aca="false">-$C$16*DH85</f>
        <v>-3000</v>
      </c>
      <c r="DI95" s="180" t="n">
        <f aca="false">-$C$16*DI85</f>
        <v>-3000</v>
      </c>
      <c r="DJ95" s="180" t="n">
        <f aca="false">-$C$16*DJ85</f>
        <v>-3000</v>
      </c>
      <c r="DK95" s="180" t="n">
        <f aca="false">-$C$16*DK85</f>
        <v>-3100</v>
      </c>
      <c r="DL95" s="180" t="n">
        <f aca="false">-$C$16*DL85</f>
        <v>-3200</v>
      </c>
      <c r="DM95" s="180" t="n">
        <f aca="false">-$C$16*DM85</f>
        <v>-3200</v>
      </c>
      <c r="DN95" s="180" t="n">
        <f aca="false">-$C$16*DN85</f>
        <v>-3200</v>
      </c>
      <c r="DO95" s="180" t="n">
        <f aca="false">-$C$16*DO85</f>
        <v>-3200</v>
      </c>
      <c r="DP95" s="180" t="n">
        <f aca="false">-$C$16*DP85</f>
        <v>-3300</v>
      </c>
      <c r="DQ95" s="180" t="n">
        <f aca="false">-$C$16*DQ85</f>
        <v>-3400</v>
      </c>
      <c r="DR95" s="180" t="n">
        <f aca="false">-$C$16*DR85</f>
        <v>-3400</v>
      </c>
      <c r="DS95" s="180" t="n">
        <f aca="false">-$C$16*DS85</f>
        <v>-3400</v>
      </c>
      <c r="DT95" s="180" t="n">
        <f aca="false">-$C$16*DT85</f>
        <v>-3400</v>
      </c>
      <c r="DU95" s="180" t="n">
        <f aca="false">-$C$16*DU85</f>
        <v>-3500</v>
      </c>
      <c r="DV95" s="180" t="n">
        <f aca="false">-$C$16*DV85</f>
        <v>-3600</v>
      </c>
      <c r="DW95" s="180" t="n">
        <f aca="false">-$C$16*DW85</f>
        <v>-3700</v>
      </c>
      <c r="DX95" s="180" t="n">
        <f aca="false">-$C$16*DX85</f>
        <v>-3800</v>
      </c>
      <c r="DY95" s="180" t="n">
        <f aca="false">-$C$16*DY85</f>
        <v>-3900</v>
      </c>
      <c r="DZ95" s="180" t="n">
        <f aca="false">-$C$16*DZ85</f>
        <v>-3900</v>
      </c>
      <c r="EA95" s="180" t="n">
        <f aca="false">-$C$16*EA85</f>
        <v>-3900</v>
      </c>
      <c r="EB95" s="180" t="n">
        <f aca="false">-$C$16*EB85</f>
        <v>-3900</v>
      </c>
      <c r="EC95" s="180" t="n">
        <f aca="false">-$C$16*EC85</f>
        <v>-3900</v>
      </c>
      <c r="ED95" s="180" t="n">
        <f aca="false">-$C$16*ED85</f>
        <v>-4000</v>
      </c>
      <c r="EE95" s="180" t="n">
        <f aca="false">-$C$16*EE85</f>
        <v>-4100</v>
      </c>
      <c r="EF95" s="180" t="n">
        <f aca="false">-$C$16*EF85</f>
        <v>-4200</v>
      </c>
      <c r="EG95" s="180" t="n">
        <f aca="false">-$C$16*EG85</f>
        <v>-4400</v>
      </c>
      <c r="EH95" s="180" t="n">
        <f aca="false">-$C$16*EH85</f>
        <v>-4600</v>
      </c>
      <c r="EI95" s="180" t="n">
        <f aca="false">-$C$16*EI85</f>
        <v>-4800</v>
      </c>
      <c r="EJ95" s="180" t="n">
        <f aca="false">-$C$16*EJ85</f>
        <v>-4900</v>
      </c>
      <c r="EK95" s="180" t="n">
        <f aca="false">-$C$16*EK85</f>
        <v>-4900</v>
      </c>
      <c r="EL95" s="180" t="n">
        <f aca="false">-$C$16*EL85</f>
        <v>-5000</v>
      </c>
      <c r="EM95" s="180" t="n">
        <f aca="false">-$C$16*EM85</f>
        <v>-5100</v>
      </c>
      <c r="EN95" s="180" t="n">
        <f aca="false">-$C$16*EN85</f>
        <v>-5200</v>
      </c>
      <c r="EO95" s="180" t="n">
        <f aca="false">-$C$16*EO85</f>
        <v>-5300</v>
      </c>
      <c r="EP95" s="180" t="n">
        <f aca="false">-$C$16*EP85</f>
        <v>-5400</v>
      </c>
      <c r="EQ95" s="180" t="n">
        <f aca="false">-$C$16*EQ85</f>
        <v>-5400</v>
      </c>
      <c r="ER95" s="180" t="n">
        <f aca="false">-$C$16*ER85</f>
        <v>-5400</v>
      </c>
    </row>
    <row r="96" customFormat="false" ht="15" hidden="false" customHeight="false" outlineLevel="0" collapsed="false">
      <c r="B96" s="18" t="s">
        <v>1171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0" t="n">
        <f aca="false">-AC88*$C$7*(1+$C$15)</f>
        <v>-79.624944</v>
      </c>
      <c r="AD96" s="180" t="n">
        <f aca="false">-AD88*$C$7*(1+$C$15)</f>
        <v>-98.284986432</v>
      </c>
      <c r="AE96" s="180" t="n">
        <f aca="false">-AE88*$C$7*(1+$C$15)</f>
        <v>-148.9033637952</v>
      </c>
      <c r="AF96" s="180" t="n">
        <f aca="false">-AF88*$C$7*(1+$C$15)</f>
        <v>-165.01218931776</v>
      </c>
      <c r="AG96" s="180" t="n">
        <f aca="false">-AG88*$C$7*(1+$C$15)</f>
        <v>-207.878540528</v>
      </c>
      <c r="AH96" s="180" t="n">
        <f aca="false">-AH88*$C$7*(1+$C$15)</f>
        <v>-208.05191225792</v>
      </c>
      <c r="AI96" s="180" t="n">
        <f aca="false">-AI88*$C$7*(1+$C$15)</f>
        <v>-240.2300569728</v>
      </c>
      <c r="AJ96" s="180" t="n">
        <f aca="false">-AJ88*$C$7*(1+$C$15)</f>
        <v>-432.82008022848</v>
      </c>
      <c r="AK96" s="180" t="n">
        <f aca="false">-AK88*$C$7*(1+$C$15)</f>
        <v>-413.6805692448</v>
      </c>
      <c r="AL96" s="180" t="n">
        <f aca="false">-AL88*$C$7*(1+$C$15)</f>
        <v>-372.38328723968</v>
      </c>
      <c r="AM96" s="180" t="n">
        <f aca="false">-AM88*$C$7*(1+$C$15)</f>
        <v>-315.7978362336</v>
      </c>
      <c r="AN96" s="180" t="n">
        <f aca="false">-AN88*$C$7*(1+$C$15)</f>
        <v>-524.37836543456</v>
      </c>
      <c r="AO96" s="180" t="n">
        <f aca="false">-AO88*$C$7*(1+$C$15)</f>
        <v>-628.75014940672</v>
      </c>
      <c r="AP96" s="180" t="n">
        <f aca="false">-AP88*$C$7*(1+$C$15)</f>
        <v>-537.60836304352</v>
      </c>
      <c r="AQ96" s="180" t="n">
        <f aca="false">-AQ88*$C$7*(1+$C$15)</f>
        <v>-747.84746718912</v>
      </c>
      <c r="AR96" s="180" t="n">
        <f aca="false">-AR88*$C$7*(1+$C$15)</f>
        <v>-824.45930219712</v>
      </c>
      <c r="AS96" s="180" t="n">
        <f aca="false">-AS88*$C$7*(1+$C$15)</f>
        <v>-782.18551785408</v>
      </c>
      <c r="AT96" s="180" t="n">
        <f aca="false">-AT88*$C$7*(1+$C$15)</f>
        <v>-741.08319759456</v>
      </c>
      <c r="AU96" s="180" t="n">
        <f aca="false">-AU88*$C$7*(1+$C$15)</f>
        <v>-797.058057005376</v>
      </c>
      <c r="AV96" s="180" t="n">
        <f aca="false">-AV88*$C$7*(1+$C$15)</f>
        <v>-1270.8100947088</v>
      </c>
      <c r="AW96" s="180" t="n">
        <f aca="false">-AW88*$C$7*(1+$C$15)</f>
        <v>-1224.94000974688</v>
      </c>
      <c r="AX96" s="180" t="n">
        <f aca="false">-'㉔ Financial Statements'!X11*$C$7*(1+$C$15)</f>
        <v>-814.964107715119</v>
      </c>
      <c r="AY96" s="180" t="n">
        <f aca="false">-'㉔ Financial Statements'!Y11*$C$7*(1+$C$15)</f>
        <v>-684.982901127719</v>
      </c>
      <c r="AZ96" s="180" t="n">
        <f aca="false">-'㉔ Financial Statements'!Z11*$C$7*(1+$C$15)</f>
        <v>-917.47380747866</v>
      </c>
      <c r="BA96" s="180" t="n">
        <f aca="false">-'㉔ Financial Statements'!AA11*$C$7*(1+$C$15)</f>
        <v>-1066.27669645998</v>
      </c>
      <c r="BB96" s="180" t="n">
        <f aca="false">-'㉔ Financial Statements'!AB11*$C$7*(1+$C$15)</f>
        <v>-1010.55060216523</v>
      </c>
      <c r="BC96" s="180" t="n">
        <f aca="false">-'㉔ Financial Statements'!AC11*$C$7*(1+$C$15)</f>
        <v>-1386.07163786903</v>
      </c>
      <c r="BD96" s="180" t="n">
        <f aca="false">-'㉔ Financial Statements'!AD11*$C$7*(1+$C$15)</f>
        <v>-1532.59658447867</v>
      </c>
      <c r="BE96" s="180" t="n">
        <f aca="false">-'㉔ Financial Statements'!AE11*$C$7*(1+$C$15)</f>
        <v>-1483.44582436369</v>
      </c>
      <c r="BF96" s="180" t="n">
        <f aca="false">-'㉔ Financial Statements'!AF11*$C$7*(1+$C$15)</f>
        <v>-1500.02916865459</v>
      </c>
      <c r="BG96" s="180" t="n">
        <f aca="false">-'㉔ Financial Statements'!AG11*$C$7*(1+$C$15)</f>
        <v>-1599.62893777135</v>
      </c>
      <c r="BH96" s="180" t="n">
        <f aca="false">-'㉔ Financial Statements'!AH11*$C$7*(1+$C$15)</f>
        <v>-2225.65115292686</v>
      </c>
      <c r="BI96" s="180" t="n">
        <f aca="false">-'㉔ Financial Statements'!AI11*$C$7*(1+$C$15)</f>
        <v>-2232.00580996211</v>
      </c>
      <c r="BJ96" s="180" t="n">
        <f aca="false">-'㉔ Financial Statements'!AJ11*$C$7*(1+$C$15)</f>
        <v>-2209.70274633895</v>
      </c>
      <c r="BK96" s="180" t="n">
        <f aca="false">-'㉔ Financial Statements'!AK11*$C$7*(1+$C$15)</f>
        <v>-2002.12365927951</v>
      </c>
      <c r="BL96" s="180" t="n">
        <f aca="false">-'㉔ Financial Statements'!AL11*$C$7*(1+$C$15)</f>
        <v>-2457.4442074182</v>
      </c>
      <c r="BM96" s="180" t="n">
        <f aca="false">-'㉔ Financial Statements'!AM11*$C$7*(1+$C$15)</f>
        <v>-2671.33328798979</v>
      </c>
      <c r="BN96" s="180" t="n">
        <f aca="false">-'㉔ Financial Statements'!AN11*$C$7*(1+$C$15)</f>
        <v>-2485.63739435456</v>
      </c>
      <c r="BO96" s="180" t="n">
        <f aca="false">-'㉔ Financial Statements'!AO11*$C$7*(1+$C$15)</f>
        <v>-3071.48550802956</v>
      </c>
      <c r="BP96" s="180" t="n">
        <f aca="false">-'㉔ Financial Statements'!AP11*$C$7*(1+$C$15)</f>
        <v>-3239.06453541072</v>
      </c>
      <c r="BQ96" s="180" t="n">
        <f aca="false">-'㉔ Financial Statements'!AQ11*$C$7*(1+$C$15)</f>
        <v>-3198.64150389396</v>
      </c>
      <c r="BR96" s="180" t="n">
        <f aca="false">-'㉔ Financial Statements'!AR11*$C$7*(1+$C$15)</f>
        <v>-3147.267149678</v>
      </c>
      <c r="BS96" s="180" t="n">
        <f aca="false">-'㉔ Financial Statements'!AS11*$C$7*(1+$C$15)</f>
        <v>-3400.37540151627</v>
      </c>
      <c r="BT96" s="180" t="n">
        <f aca="false">-'㉔ Financial Statements'!AT11*$C$7*(1+$C$15)</f>
        <v>-4482.69891479617</v>
      </c>
      <c r="BU96" s="180" t="n">
        <f aca="false">-'㉔ Financial Statements'!AU11*$C$7*(1+$C$15)</f>
        <v>-4606.13730973842</v>
      </c>
      <c r="BV96" s="180" t="n">
        <f aca="false">-'㉔ Financial Statements'!AV11*$C$7*(1+$C$15)</f>
        <v>-4376.86031126105</v>
      </c>
      <c r="BW96" s="180" t="n">
        <f aca="false">-'㉔ Financial Statements'!AW11*$C$7*(1+$C$15)</f>
        <v>-3982.63286713727</v>
      </c>
      <c r="BX96" s="180" t="n">
        <f aca="false">-'㉔ Financial Statements'!AX11*$C$7*(1+$C$15)</f>
        <v>-4872.30531100475</v>
      </c>
      <c r="BY96" s="180" t="n">
        <f aca="false">-BY88*$C$7*(1+$C$15)</f>
        <v>-5284.46345824782</v>
      </c>
      <c r="BZ96" s="180" t="n">
        <f aca="false">-BZ88*$C$7*(1+$C$15)</f>
        <v>-4849.52148211745</v>
      </c>
      <c r="CA96" s="180" t="n">
        <f aca="false">-CA88*$C$7*(1+$C$15)</f>
        <v>-5695.34461443354</v>
      </c>
      <c r="CB96" s="180" t="n">
        <f aca="false">-CB88*$C$7*(1+$C$15)</f>
        <v>-5794.23397694048</v>
      </c>
      <c r="CC96" s="180" t="n">
        <f aca="false">-CC88*$C$7*(1+$C$15)</f>
        <v>-5579.17236236568</v>
      </c>
      <c r="CD96" s="180" t="n">
        <f aca="false">-CD88*$C$7*(1+$C$15)</f>
        <v>-5384.21270056752</v>
      </c>
      <c r="CE96" s="180" t="n">
        <f aca="false">-CE88*$C$7*(1+$C$15)</f>
        <v>-5604.24019787134</v>
      </c>
      <c r="CF96" s="180" t="n">
        <f aca="false">-CF88*$C$7*(1+$C$15)</f>
        <v>-6719.652058368</v>
      </c>
      <c r="CG96" s="180" t="n">
        <f aca="false">-CG88*$C$7*(1+$C$15)</f>
        <v>-6625.31775551552</v>
      </c>
      <c r="CH96" s="180" t="n">
        <f aca="false">-CH88*$C$7*(1+$C$15)</f>
        <v>-6496.21110154357</v>
      </c>
      <c r="CI96" s="180" t="n">
        <f aca="false">-CI88*$C$7*(1+$C$15)</f>
        <v>-5982.0162839973</v>
      </c>
      <c r="CJ96" s="180" t="n">
        <f aca="false">-CJ88*$C$7*(1+$C$15)</f>
        <v>-6779.49803401075</v>
      </c>
      <c r="CK96" s="180" t="n">
        <f aca="false">-CK88*$C$7*(1+$C$15)</f>
        <v>-7062.60541551168</v>
      </c>
      <c r="CL96" s="180" t="n">
        <f aca="false">-CL88*$C$7*(1+$C$15)</f>
        <v>-6847.31142303699</v>
      </c>
      <c r="CM96" s="180" t="n">
        <f aca="false">-CM88*$C$7*(1+$C$15)</f>
        <v>-7470.50023211802</v>
      </c>
      <c r="CN96" s="180" t="n">
        <f aca="false">-CN88*$C$7*(1+$C$15)</f>
        <v>-7574.24626064755</v>
      </c>
      <c r="CO96" s="180" t="n">
        <f aca="false">-CO88*$C$7*(1+$C$15)</f>
        <v>-7414.62253067591</v>
      </c>
      <c r="CP96" s="180" t="n">
        <f aca="false">-CP88*$C$7*(1+$C$15)</f>
        <v>-7318.10319757391</v>
      </c>
      <c r="CQ96" s="180" t="n">
        <f aca="false">-CQ88*$C$7*(1+$C$15)</f>
        <v>-7464.06440464278</v>
      </c>
      <c r="CR96" s="180" t="n">
        <f aca="false">-CR88*$C$7*(1+$C$15)</f>
        <v>-8083.49335822144</v>
      </c>
      <c r="CS96" s="180" t="n">
        <f aca="false">-CS88*$C$7*(1+$C$15)</f>
        <v>-8066.83415160448</v>
      </c>
      <c r="CT96" s="180" t="n">
        <f aca="false">-CT88*$C$7*(1+$C$15)</f>
        <v>-7972.45537752022</v>
      </c>
      <c r="CU96" s="180" t="n">
        <f aca="false">-CU88*$C$7*(1+$C$15)</f>
        <v>-7676.15855173296</v>
      </c>
      <c r="CV96" s="180" t="n">
        <f aca="false">-CV88*$C$7*(1+$C$15)</f>
        <v>-8134.28138024928</v>
      </c>
      <c r="CW96" s="180" t="n">
        <f aca="false">-CW88*$C$7*(1+$C$15)</f>
        <v>-8335.27780682733</v>
      </c>
      <c r="CX96" s="180" t="n">
        <f aca="false">-CX88*$C$7*(1+$C$15)</f>
        <v>-8223.83410909047</v>
      </c>
      <c r="CY96" s="180" t="n">
        <f aca="false">-CY88*$C$7*(1+$C$15)</f>
        <v>-8660.93848406886</v>
      </c>
      <c r="CZ96" s="180" t="n">
        <f aca="false">-CZ88*$C$7*(1+$C$15)</f>
        <v>-8855.64294644858</v>
      </c>
      <c r="DA96" s="180" t="n">
        <f aca="false">-DA88*$C$7*(1+$C$15)</f>
        <v>-8896.40038495528</v>
      </c>
      <c r="DB96" s="180" t="n">
        <f aca="false">-DB88*$C$7*(1+$C$15)</f>
        <v>-8818.47228390079</v>
      </c>
      <c r="DC96" s="180" t="n">
        <f aca="false">-DC88*$C$7*(1+$C$15)</f>
        <v>-8980.54577998594</v>
      </c>
      <c r="DD96" s="180" t="n">
        <f aca="false">-DD88*$C$7*(1+$C$15)</f>
        <v>-9846.377867632</v>
      </c>
      <c r="DE96" s="180" t="n">
        <f aca="false">-DE88*$C$7*(1+$C$15)</f>
        <v>-9805.9221765504</v>
      </c>
      <c r="DF96" s="180" t="n">
        <f aca="false">-DF88*$C$7*(1+$C$15)</f>
        <v>-9682.43457471987</v>
      </c>
      <c r="DG96" s="180" t="n">
        <f aca="false">-DG88*$C$7*(1+$C$15)</f>
        <v>-9310.9131218625</v>
      </c>
      <c r="DH96" s="180" t="n">
        <f aca="false">-DH88*$C$7*(1+$C$15)</f>
        <v>-9933.21914495798</v>
      </c>
      <c r="DI96" s="180" t="n">
        <f aca="false">-DI88*$C$7*(1+$C$15)</f>
        <v>-10195.6136110324</v>
      </c>
      <c r="DJ96" s="180" t="n">
        <f aca="false">-DJ88*$C$7*(1+$C$15)</f>
        <v>-9869.53157487736</v>
      </c>
      <c r="DK96" s="180" t="n">
        <f aca="false">-DK88*$C$7*(1+$C$15)</f>
        <v>-10580.9574202195</v>
      </c>
      <c r="DL96" s="180" t="n">
        <f aca="false">-DL88*$C$7*(1+$C$15)</f>
        <v>-10799.3648645524</v>
      </c>
      <c r="DM96" s="180" t="n">
        <f aca="false">-DM88*$C$7*(1+$C$15)</f>
        <v>-10627.3943162527</v>
      </c>
      <c r="DN96" s="180" t="n">
        <f aca="false">-DN88*$C$7*(1+$C$15)</f>
        <v>-10470.0871884141</v>
      </c>
      <c r="DO96" s="180" t="n">
        <f aca="false">-DO88*$C$7*(1+$C$15)</f>
        <v>-10655.6012772651</v>
      </c>
      <c r="DP96" s="180" t="n">
        <f aca="false">-DP88*$C$7*(1+$C$15)</f>
        <v>-11829.3794406421</v>
      </c>
      <c r="DQ96" s="180" t="n">
        <f aca="false">-DQ88*$C$7*(1+$C$15)</f>
        <v>-11826.8988654539</v>
      </c>
      <c r="DR96" s="180" t="n">
        <f aca="false">-DR88*$C$7*(1+$C$15)</f>
        <v>-11599.1607533367</v>
      </c>
      <c r="DS96" s="180" t="n">
        <f aca="false">-DS88*$C$7*(1+$C$15)</f>
        <v>-11080.457484262</v>
      </c>
      <c r="DT96" s="180" t="n">
        <f aca="false">-DT88*$C$7*(1+$C$15)</f>
        <v>-11774.48040919</v>
      </c>
      <c r="DU96" s="180" t="n">
        <f aca="false">-DU88*$C$7*(1+$C$15)</f>
        <v>-12035.5368709447</v>
      </c>
      <c r="DV96" s="180" t="n">
        <f aca="false">-DV88*$C$7*(1+$C$15)</f>
        <v>-11773.4260027109</v>
      </c>
      <c r="DW96" s="180" t="n">
        <f aca="false">-DW88*$C$7*(1+$C$15)</f>
        <v>-12379.7870692472</v>
      </c>
      <c r="DX96" s="180" t="n">
        <f aca="false">-DX88*$C$7*(1+$C$15)</f>
        <v>-12523.6336744507</v>
      </c>
      <c r="DY96" s="180" t="n">
        <f aca="false">-DY88*$C$7*(1+$C$15)</f>
        <v>-12432.8553697092</v>
      </c>
      <c r="DZ96" s="180" t="n">
        <f aca="false">-DZ88*$C$7*(1+$C$15)</f>
        <v>-12333.3076325341</v>
      </c>
      <c r="EA96" s="180" t="n">
        <f aca="false">-EA88*$C$7*(1+$C$15)</f>
        <v>-12511.2215521794</v>
      </c>
      <c r="EB96" s="180" t="n">
        <f aca="false">-EB88*$C$7*(1+$C$15)</f>
        <v>-13441.5719481481</v>
      </c>
      <c r="EC96" s="180" t="n">
        <f aca="false">-EC88*$C$7*(1+$C$15)</f>
        <v>-13326.6052281212</v>
      </c>
      <c r="ED96" s="180" t="n">
        <f aca="false">-ED88*$C$7*(1+$C$15)</f>
        <v>-13169.1696758436</v>
      </c>
      <c r="EE96" s="180" t="n">
        <f aca="false">-EE88*$C$7*(1+$C$15)</f>
        <v>-12866.0057424909</v>
      </c>
      <c r="EF96" s="180" t="n">
        <f aca="false">-EF88*$C$7*(1+$C$15)</f>
        <v>-13613.1600911188</v>
      </c>
      <c r="EG96" s="180" t="n">
        <f aca="false">-EG88*$C$7*(1+$C$15)</f>
        <v>-14051.7682769749</v>
      </c>
      <c r="EH96" s="180" t="n">
        <f aca="false">-EH88*$C$7*(1+$C$15)</f>
        <v>-13749.0026310943</v>
      </c>
      <c r="EI96" s="180" t="n">
        <f aca="false">-EI88*$C$7*(1+$C$15)</f>
        <v>-14757.276362898</v>
      </c>
      <c r="EJ96" s="180" t="n">
        <f aca="false">-EJ88*$C$7*(1+$C$15)</f>
        <v>-14972.4551912917</v>
      </c>
      <c r="EK96" s="180" t="n">
        <f aca="false">-EK88*$C$7*(1+$C$15)</f>
        <v>-14728.4752600156</v>
      </c>
      <c r="EL96" s="180" t="n">
        <f aca="false">-EL88*$C$7*(1+$C$15)</f>
        <v>-14571.7983749837</v>
      </c>
      <c r="EM96" s="180" t="n">
        <f aca="false">-EM88*$C$7*(1+$C$15)</f>
        <v>-14909.9677299241</v>
      </c>
      <c r="EN96" s="180" t="n">
        <f aca="false">-EN88*$C$7*(1+$C$15)</f>
        <v>-16547.9611249093</v>
      </c>
      <c r="EO96" s="180" t="n">
        <f aca="false">-EO88*$C$7*(1+$C$15)</f>
        <v>-16499.1868181366</v>
      </c>
      <c r="EP96" s="180" t="n">
        <f aca="false">-EP88*$C$7*(1+$C$15)</f>
        <v>-16319.272526193</v>
      </c>
      <c r="EQ96" s="180" t="n">
        <f aca="false">-EQ88*$C$7*(1+$C$15)</f>
        <v>-15575.3268423863</v>
      </c>
      <c r="ER96" s="180" t="n">
        <f aca="false">-ER88*$C$7*(1+$C$15)</f>
        <v>-16709.3410215888</v>
      </c>
    </row>
    <row r="97" customFormat="false" ht="15" hidden="false" customHeight="false" outlineLevel="0" collapsed="false">
      <c r="B97" s="18" t="s">
        <v>1172</v>
      </c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0" t="n">
        <f aca="false">-AC88*$C$8*(1+$C$15)</f>
        <v>-39.812472</v>
      </c>
      <c r="AD97" s="180" t="n">
        <f aca="false">-AD88*$C$8*(1+$C$15)</f>
        <v>-49.142493216</v>
      </c>
      <c r="AE97" s="180" t="n">
        <f aca="false">-AE88*$C$8*(1+$C$15)</f>
        <v>-74.4516818976</v>
      </c>
      <c r="AF97" s="180" t="n">
        <f aca="false">-AF88*$C$8*(1+$C$15)</f>
        <v>-82.50609465888</v>
      </c>
      <c r="AG97" s="180" t="n">
        <f aca="false">-AG88*$C$8*(1+$C$15)</f>
        <v>-103.939270264</v>
      </c>
      <c r="AH97" s="180" t="n">
        <f aca="false">-AH88*$C$8*(1+$C$15)</f>
        <v>-104.02595612896</v>
      </c>
      <c r="AI97" s="180" t="n">
        <f aca="false">-AI88*$C$8*(1+$C$15)</f>
        <v>-120.1150284864</v>
      </c>
      <c r="AJ97" s="180" t="n">
        <f aca="false">-AJ88*$C$8*(1+$C$15)</f>
        <v>-216.41004011424</v>
      </c>
      <c r="AK97" s="180" t="n">
        <f aca="false">-AK88*$C$8*(1+$C$15)</f>
        <v>-206.8402846224</v>
      </c>
      <c r="AL97" s="180" t="n">
        <f aca="false">-AL88*$C$8*(1+$C$15)</f>
        <v>-186.19164361984</v>
      </c>
      <c r="AM97" s="180" t="n">
        <f aca="false">-AM88*$C$8*(1+$C$15)</f>
        <v>-157.8989181168</v>
      </c>
      <c r="AN97" s="180" t="n">
        <f aca="false">-AN88*$C$8*(1+$C$15)</f>
        <v>-262.18918271728</v>
      </c>
      <c r="AO97" s="180" t="n">
        <f aca="false">-AO88*$C$8*(1+$C$15)</f>
        <v>-314.37507470336</v>
      </c>
      <c r="AP97" s="180" t="n">
        <f aca="false">-AP88*$C$8*(1+$C$15)</f>
        <v>-268.80418152176</v>
      </c>
      <c r="AQ97" s="180" t="n">
        <f aca="false">-AQ88*$C$8*(1+$C$15)</f>
        <v>-373.92373359456</v>
      </c>
      <c r="AR97" s="180" t="n">
        <f aca="false">-AR88*$C$8*(1+$C$15)</f>
        <v>-412.22965109856</v>
      </c>
      <c r="AS97" s="180" t="n">
        <f aca="false">-AS88*$C$8*(1+$C$15)</f>
        <v>-391.09275892704</v>
      </c>
      <c r="AT97" s="180" t="n">
        <f aca="false">-AT88*$C$8*(1+$C$15)</f>
        <v>-370.54159879728</v>
      </c>
      <c r="AU97" s="180" t="n">
        <f aca="false">-AU88*$C$8*(1+$C$15)</f>
        <v>-398.529028502688</v>
      </c>
      <c r="AV97" s="180" t="n">
        <f aca="false">-AV88*$C$8*(1+$C$15)</f>
        <v>-635.4050473544</v>
      </c>
      <c r="AW97" s="180" t="n">
        <f aca="false">-AW88*$C$8*(1+$C$15)</f>
        <v>-612.47000487344</v>
      </c>
      <c r="AX97" s="180" t="n">
        <f aca="false">-'㉔ Financial Statements'!X11*$C$8*(1+$C$15)</f>
        <v>-407.482053857559</v>
      </c>
      <c r="AY97" s="180" t="n">
        <f aca="false">-'㉔ Financial Statements'!Y11*$C$8*(1+$C$15)</f>
        <v>-342.49145056386</v>
      </c>
      <c r="AZ97" s="180" t="n">
        <f aca="false">-'㉔ Financial Statements'!Z11*$C$8*(1+$C$15)</f>
        <v>-458.73690373933</v>
      </c>
      <c r="BA97" s="180" t="n">
        <f aca="false">-'㉔ Financial Statements'!AA11*$C$8*(1+$C$15)</f>
        <v>-533.138348229988</v>
      </c>
      <c r="BB97" s="180" t="n">
        <f aca="false">-'㉔ Financial Statements'!AB11*$C$8*(1+$C$15)</f>
        <v>-505.275301082615</v>
      </c>
      <c r="BC97" s="180" t="n">
        <f aca="false">-'㉔ Financial Statements'!AC11*$C$8*(1+$C$15)</f>
        <v>-693.035818934514</v>
      </c>
      <c r="BD97" s="180" t="n">
        <f aca="false">-'㉔ Financial Statements'!AD11*$C$8*(1+$C$15)</f>
        <v>-766.298292239334</v>
      </c>
      <c r="BE97" s="180" t="n">
        <f aca="false">-'㉔ Financial Statements'!AE11*$C$8*(1+$C$15)</f>
        <v>-741.722912181843</v>
      </c>
      <c r="BF97" s="180" t="n">
        <f aca="false">-'㉔ Financial Statements'!AF11*$C$8*(1+$C$15)</f>
        <v>-750.014584327293</v>
      </c>
      <c r="BG97" s="180" t="n">
        <f aca="false">-'㉔ Financial Statements'!AG11*$C$8*(1+$C$15)</f>
        <v>-799.814468885673</v>
      </c>
      <c r="BH97" s="180" t="n">
        <f aca="false">-'㉔ Financial Statements'!AH11*$C$8*(1+$C$15)</f>
        <v>-1112.82557646343</v>
      </c>
      <c r="BI97" s="180" t="n">
        <f aca="false">-'㉔ Financial Statements'!AI11*$C$8*(1+$C$15)</f>
        <v>-1116.00290498105</v>
      </c>
      <c r="BJ97" s="180" t="n">
        <f aca="false">-'㉔ Financial Statements'!AJ11*$C$8*(1+$C$15)</f>
        <v>-1104.85137316948</v>
      </c>
      <c r="BK97" s="180" t="n">
        <f aca="false">-'㉔ Financial Statements'!AK11*$C$8*(1+$C$15)</f>
        <v>-1001.06182963975</v>
      </c>
      <c r="BL97" s="180" t="n">
        <f aca="false">-'㉔ Financial Statements'!AL11*$C$8*(1+$C$15)</f>
        <v>-1228.7221037091</v>
      </c>
      <c r="BM97" s="180" t="n">
        <f aca="false">-'㉔ Financial Statements'!AM11*$C$8*(1+$C$15)</f>
        <v>-1335.6666439949</v>
      </c>
      <c r="BN97" s="180" t="n">
        <f aca="false">-'㉔ Financial Statements'!AN11*$C$8*(1+$C$15)</f>
        <v>-1242.81869717728</v>
      </c>
      <c r="BO97" s="180" t="n">
        <f aca="false">-'㉔ Financial Statements'!AO11*$C$8*(1+$C$15)</f>
        <v>-1535.74275401478</v>
      </c>
      <c r="BP97" s="180" t="n">
        <f aca="false">-'㉔ Financial Statements'!AP11*$C$8*(1+$C$15)</f>
        <v>-1619.53226770536</v>
      </c>
      <c r="BQ97" s="180" t="n">
        <f aca="false">-'㉔ Financial Statements'!AQ11*$C$8*(1+$C$15)</f>
        <v>-1599.32075194698</v>
      </c>
      <c r="BR97" s="180" t="n">
        <f aca="false">-'㉔ Financial Statements'!AR11*$C$8*(1+$C$15)</f>
        <v>-1573.633574839</v>
      </c>
      <c r="BS97" s="180" t="n">
        <f aca="false">-'㉔ Financial Statements'!AS11*$C$8*(1+$C$15)</f>
        <v>-1700.18770075813</v>
      </c>
      <c r="BT97" s="180" t="n">
        <f aca="false">-'㉔ Financial Statements'!AT11*$C$8*(1+$C$15)</f>
        <v>-2241.34945739808</v>
      </c>
      <c r="BU97" s="180" t="n">
        <f aca="false">-'㉔ Financial Statements'!AU11*$C$8*(1+$C$15)</f>
        <v>-2303.06865486921</v>
      </c>
      <c r="BV97" s="180" t="n">
        <f aca="false">-'㉔ Financial Statements'!AV11*$C$8*(1+$C$15)</f>
        <v>-2188.43015563053</v>
      </c>
      <c r="BW97" s="180" t="n">
        <f aca="false">-'㉔ Financial Statements'!AW11*$C$8*(1+$C$15)</f>
        <v>-1991.31643356863</v>
      </c>
      <c r="BX97" s="180" t="n">
        <f aca="false">-'㉔ Financial Statements'!AX11*$C$8*(1+$C$15)</f>
        <v>-2436.15265550238</v>
      </c>
      <c r="BY97" s="180" t="n">
        <f aca="false">-BY88*$C$8*(1+$C$15)</f>
        <v>-2642.23172912391</v>
      </c>
      <c r="BZ97" s="180" t="n">
        <f aca="false">-BZ88*$C$8*(1+$C$15)</f>
        <v>-2424.76074105872</v>
      </c>
      <c r="CA97" s="180" t="n">
        <f aca="false">-CA88*$C$8*(1+$C$15)</f>
        <v>-2847.67230721677</v>
      </c>
      <c r="CB97" s="180" t="n">
        <f aca="false">-CB88*$C$8*(1+$C$15)</f>
        <v>-2897.11698847024</v>
      </c>
      <c r="CC97" s="180" t="n">
        <f aca="false">-CC88*$C$8*(1+$C$15)</f>
        <v>-2789.58618118284</v>
      </c>
      <c r="CD97" s="180" t="n">
        <f aca="false">-CD88*$C$8*(1+$C$15)</f>
        <v>-2692.10635028376</v>
      </c>
      <c r="CE97" s="180" t="n">
        <f aca="false">-CE88*$C$8*(1+$C$15)</f>
        <v>-2802.12009893567</v>
      </c>
      <c r="CF97" s="180" t="n">
        <f aca="false">-CF88*$C$8*(1+$C$15)</f>
        <v>-3359.826029184</v>
      </c>
      <c r="CG97" s="180" t="n">
        <f aca="false">-CG88*$C$8*(1+$C$15)</f>
        <v>-3312.65887775776</v>
      </c>
      <c r="CH97" s="180" t="n">
        <f aca="false">-CH88*$C$8*(1+$C$15)</f>
        <v>-3248.10555077178</v>
      </c>
      <c r="CI97" s="180" t="n">
        <f aca="false">-CI88*$C$8*(1+$C$15)</f>
        <v>-2991.00814199865</v>
      </c>
      <c r="CJ97" s="180" t="n">
        <f aca="false">-CJ88*$C$8*(1+$C$15)</f>
        <v>-3389.74901700538</v>
      </c>
      <c r="CK97" s="180" t="n">
        <f aca="false">-CK88*$C$8*(1+$C$15)</f>
        <v>-3531.30270775584</v>
      </c>
      <c r="CL97" s="180" t="n">
        <f aca="false">-CL88*$C$8*(1+$C$15)</f>
        <v>-3423.6557115185</v>
      </c>
      <c r="CM97" s="180" t="n">
        <f aca="false">-CM88*$C$8*(1+$C$15)</f>
        <v>-3735.25011605901</v>
      </c>
      <c r="CN97" s="180" t="n">
        <f aca="false">-CN88*$C$8*(1+$C$15)</f>
        <v>-3787.12313032378</v>
      </c>
      <c r="CO97" s="180" t="n">
        <f aca="false">-CO88*$C$8*(1+$C$15)</f>
        <v>-3707.31126533796</v>
      </c>
      <c r="CP97" s="180" t="n">
        <f aca="false">-CP88*$C$8*(1+$C$15)</f>
        <v>-3659.05159878695</v>
      </c>
      <c r="CQ97" s="180" t="n">
        <f aca="false">-CQ88*$C$8*(1+$C$15)</f>
        <v>-3732.03220232139</v>
      </c>
      <c r="CR97" s="180" t="n">
        <f aca="false">-CR88*$C$8*(1+$C$15)</f>
        <v>-4041.74667911072</v>
      </c>
      <c r="CS97" s="180" t="n">
        <f aca="false">-CS88*$C$8*(1+$C$15)</f>
        <v>-4033.41707580224</v>
      </c>
      <c r="CT97" s="180" t="n">
        <f aca="false">-CT88*$C$8*(1+$C$15)</f>
        <v>-3986.22768876011</v>
      </c>
      <c r="CU97" s="180" t="n">
        <f aca="false">-CU88*$C$8*(1+$C$15)</f>
        <v>-3838.07927586648</v>
      </c>
      <c r="CV97" s="180" t="n">
        <f aca="false">-CV88*$C$8*(1+$C$15)</f>
        <v>-4067.14069012464</v>
      </c>
      <c r="CW97" s="180" t="n">
        <f aca="false">-CW88*$C$8*(1+$C$15)</f>
        <v>-4167.63890341367</v>
      </c>
      <c r="CX97" s="180" t="n">
        <f aca="false">-CX88*$C$8*(1+$C$15)</f>
        <v>-4111.91705454523</v>
      </c>
      <c r="CY97" s="180" t="n">
        <f aca="false">-CY88*$C$8*(1+$C$15)</f>
        <v>-4330.46924203443</v>
      </c>
      <c r="CZ97" s="180" t="n">
        <f aca="false">-CZ88*$C$8*(1+$C$15)</f>
        <v>-4427.82147322429</v>
      </c>
      <c r="DA97" s="180" t="n">
        <f aca="false">-DA88*$C$8*(1+$C$15)</f>
        <v>-4448.20019247764</v>
      </c>
      <c r="DB97" s="180" t="n">
        <f aca="false">-DB88*$C$8*(1+$C$15)</f>
        <v>-4409.23614195039</v>
      </c>
      <c r="DC97" s="180" t="n">
        <f aca="false">-DC88*$C$8*(1+$C$15)</f>
        <v>-4490.27288999297</v>
      </c>
      <c r="DD97" s="180" t="n">
        <f aca="false">-DD88*$C$8*(1+$C$15)</f>
        <v>-4923.188933816</v>
      </c>
      <c r="DE97" s="180" t="n">
        <f aca="false">-DE88*$C$8*(1+$C$15)</f>
        <v>-4902.9610882752</v>
      </c>
      <c r="DF97" s="180" t="n">
        <f aca="false">-DF88*$C$8*(1+$C$15)</f>
        <v>-4841.21728735994</v>
      </c>
      <c r="DG97" s="180" t="n">
        <f aca="false">-DG88*$C$8*(1+$C$15)</f>
        <v>-4655.45656093125</v>
      </c>
      <c r="DH97" s="180" t="n">
        <f aca="false">-DH88*$C$8*(1+$C$15)</f>
        <v>-4966.60957247899</v>
      </c>
      <c r="DI97" s="180" t="n">
        <f aca="false">-DI88*$C$8*(1+$C$15)</f>
        <v>-5097.80680551622</v>
      </c>
      <c r="DJ97" s="180" t="n">
        <f aca="false">-DJ88*$C$8*(1+$C$15)</f>
        <v>-4934.76578743868</v>
      </c>
      <c r="DK97" s="180" t="n">
        <f aca="false">-DK88*$C$8*(1+$C$15)</f>
        <v>-5290.47871010974</v>
      </c>
      <c r="DL97" s="180" t="n">
        <f aca="false">-DL88*$C$8*(1+$C$15)</f>
        <v>-5399.6824322762</v>
      </c>
      <c r="DM97" s="180" t="n">
        <f aca="false">-DM88*$C$8*(1+$C$15)</f>
        <v>-5313.69715812635</v>
      </c>
      <c r="DN97" s="180" t="n">
        <f aca="false">-DN88*$C$8*(1+$C$15)</f>
        <v>-5235.04359420707</v>
      </c>
      <c r="DO97" s="180" t="n">
        <f aca="false">-DO88*$C$8*(1+$C$15)</f>
        <v>-5327.80063863257</v>
      </c>
      <c r="DP97" s="180" t="n">
        <f aca="false">-DP88*$C$8*(1+$C$15)</f>
        <v>-5914.68972032106</v>
      </c>
      <c r="DQ97" s="180" t="n">
        <f aca="false">-DQ88*$C$8*(1+$C$15)</f>
        <v>-5913.44943272694</v>
      </c>
      <c r="DR97" s="180" t="n">
        <f aca="false">-DR88*$C$8*(1+$C$15)</f>
        <v>-5799.58037666837</v>
      </c>
      <c r="DS97" s="180" t="n">
        <f aca="false">-DS88*$C$8*(1+$C$15)</f>
        <v>-5540.22874213101</v>
      </c>
      <c r="DT97" s="180" t="n">
        <f aca="false">-DT88*$C$8*(1+$C$15)</f>
        <v>-5887.240204595</v>
      </c>
      <c r="DU97" s="180" t="n">
        <f aca="false">-DU88*$C$8*(1+$C$15)</f>
        <v>-6017.76843547234</v>
      </c>
      <c r="DV97" s="180" t="n">
        <f aca="false">-DV88*$C$8*(1+$C$15)</f>
        <v>-5886.71300135544</v>
      </c>
      <c r="DW97" s="180" t="n">
        <f aca="false">-DW88*$C$8*(1+$C$15)</f>
        <v>-6189.89353462361</v>
      </c>
      <c r="DX97" s="180" t="n">
        <f aca="false">-DX88*$C$8*(1+$C$15)</f>
        <v>-6261.81683722534</v>
      </c>
      <c r="DY97" s="180" t="n">
        <f aca="false">-DY88*$C$8*(1+$C$15)</f>
        <v>-6216.42768485461</v>
      </c>
      <c r="DZ97" s="180" t="n">
        <f aca="false">-DZ88*$C$8*(1+$C$15)</f>
        <v>-6166.65381626707</v>
      </c>
      <c r="EA97" s="180" t="n">
        <f aca="false">-EA88*$C$8*(1+$C$15)</f>
        <v>-6255.61077608969</v>
      </c>
      <c r="EB97" s="180" t="n">
        <f aca="false">-EB88*$C$8*(1+$C$15)</f>
        <v>-6720.78597407407</v>
      </c>
      <c r="EC97" s="180" t="n">
        <f aca="false">-EC88*$C$8*(1+$C$15)</f>
        <v>-6663.3026140606</v>
      </c>
      <c r="ED97" s="180" t="n">
        <f aca="false">-ED88*$C$8*(1+$C$15)</f>
        <v>-6584.58483792181</v>
      </c>
      <c r="EE97" s="180" t="n">
        <f aca="false">-EE88*$C$8*(1+$C$15)</f>
        <v>-6433.00287124545</v>
      </c>
      <c r="EF97" s="180" t="n">
        <f aca="false">-EF88*$C$8*(1+$C$15)</f>
        <v>-6806.58004555942</v>
      </c>
      <c r="EG97" s="180" t="n">
        <f aca="false">-EG88*$C$8*(1+$C$15)</f>
        <v>-7025.88413848743</v>
      </c>
      <c r="EH97" s="180" t="n">
        <f aca="false">-EH88*$C$8*(1+$C$15)</f>
        <v>-6874.50131554713</v>
      </c>
      <c r="EI97" s="180" t="n">
        <f aca="false">-EI88*$C$8*(1+$C$15)</f>
        <v>-7378.63818144898</v>
      </c>
      <c r="EJ97" s="180" t="n">
        <f aca="false">-EJ88*$C$8*(1+$C$15)</f>
        <v>-7486.22759564584</v>
      </c>
      <c r="EK97" s="180" t="n">
        <f aca="false">-EK88*$C$8*(1+$C$15)</f>
        <v>-7364.23763000778</v>
      </c>
      <c r="EL97" s="180" t="n">
        <f aca="false">-EL88*$C$8*(1+$C$15)</f>
        <v>-7285.89918749187</v>
      </c>
      <c r="EM97" s="180" t="n">
        <f aca="false">-EM88*$C$8*(1+$C$15)</f>
        <v>-7454.98386496205</v>
      </c>
      <c r="EN97" s="180" t="n">
        <f aca="false">-EN88*$C$8*(1+$C$15)</f>
        <v>-8273.98056245467</v>
      </c>
      <c r="EO97" s="180" t="n">
        <f aca="false">-EO88*$C$8*(1+$C$15)</f>
        <v>-8249.59340906828</v>
      </c>
      <c r="EP97" s="180" t="n">
        <f aca="false">-EP88*$C$8*(1+$C$15)</f>
        <v>-8159.6362630965</v>
      </c>
      <c r="EQ97" s="180" t="n">
        <f aca="false">-EQ88*$C$8*(1+$C$15)</f>
        <v>-7787.66342119316</v>
      </c>
      <c r="ER97" s="180" t="n">
        <f aca="false">-ER88*$C$8*(1+$C$15)</f>
        <v>-8354.67051079439</v>
      </c>
    </row>
    <row r="98" customFormat="false" ht="15" hidden="false" customHeight="false" outlineLevel="0" collapsed="false">
      <c r="B98" s="293" t="s">
        <v>1173</v>
      </c>
      <c r="C98" s="185"/>
      <c r="D98" s="185"/>
      <c r="E98" s="185"/>
      <c r="F98" s="185"/>
      <c r="G98" s="185"/>
      <c r="H98" s="185"/>
      <c r="I98" s="185"/>
      <c r="J98" s="185"/>
      <c r="K98" s="185"/>
      <c r="L98" s="185"/>
      <c r="M98" s="185"/>
      <c r="N98" s="185"/>
      <c r="O98" s="185"/>
      <c r="P98" s="185"/>
      <c r="Q98" s="185"/>
      <c r="R98" s="185"/>
      <c r="S98" s="185"/>
      <c r="T98" s="185"/>
      <c r="U98" s="185"/>
      <c r="V98" s="185"/>
      <c r="W98" s="185"/>
      <c r="X98" s="185"/>
      <c r="Y98" s="185"/>
      <c r="Z98" s="185"/>
      <c r="AA98" s="185"/>
      <c r="AB98" s="185"/>
      <c r="AC98" s="290" t="n">
        <f aca="false">SUM(AC92:AC97)</f>
        <v>-4641.437416</v>
      </c>
      <c r="AD98" s="290" t="n">
        <f aca="false">SUM(AD92:AD97)</f>
        <v>-9191.427479648</v>
      </c>
      <c r="AE98" s="290" t="n">
        <f aca="false">SUM(AE92:AE97)</f>
        <v>-9267.3550456928</v>
      </c>
      <c r="AF98" s="290" t="n">
        <f aca="false">SUM(AF92:AF97)</f>
        <v>-9291.51828397664</v>
      </c>
      <c r="AG98" s="290" t="n">
        <f aca="false">SUM(AG92:AG97)</f>
        <v>-14145.817810792</v>
      </c>
      <c r="AH98" s="290" t="n">
        <f aca="false">SUM(AH92:AH97)</f>
        <v>-14146.0778683869</v>
      </c>
      <c r="AI98" s="290" t="n">
        <f aca="false">SUM(AI92:AI97)</f>
        <v>-14194.3450854592</v>
      </c>
      <c r="AJ98" s="290" t="n">
        <f aca="false">SUM(AJ92:AJ97)</f>
        <v>-14483.2301203427</v>
      </c>
      <c r="AK98" s="290" t="n">
        <f aca="false">SUM(AK92:AK97)</f>
        <v>-14454.5208538672</v>
      </c>
      <c r="AL98" s="290" t="n">
        <f aca="false">SUM(AL92:AL97)</f>
        <v>-14392.5749308595</v>
      </c>
      <c r="AM98" s="290" t="n">
        <f aca="false">SUM(AM92:AM97)</f>
        <v>-14307.6967543504</v>
      </c>
      <c r="AN98" s="290" t="n">
        <f aca="false">SUM(AN92:AN97)</f>
        <v>-19142.5675481518</v>
      </c>
      <c r="AO98" s="290" t="n">
        <f aca="false">SUM(AO92:AO97)</f>
        <v>-19299.1252241101</v>
      </c>
      <c r="AP98" s="290" t="n">
        <f aca="false">SUM(AP92:AP97)</f>
        <v>-19162.4125445653</v>
      </c>
      <c r="AQ98" s="290" t="n">
        <f aca="false">SUM(AQ92:AQ97)</f>
        <v>-20415.7712007837</v>
      </c>
      <c r="AR98" s="290" t="n">
        <f aca="false">SUM(AR92:AR97)</f>
        <v>-20530.6889532957</v>
      </c>
      <c r="AS98" s="290" t="n">
        <f aca="false">SUM(AS92:AS97)</f>
        <v>-20467.2782767811</v>
      </c>
      <c r="AT98" s="290" t="n">
        <f aca="false">SUM(AT92:AT97)</f>
        <v>-20405.6247963918</v>
      </c>
      <c r="AU98" s="290" t="n">
        <f aca="false">SUM(AU92:AU97)</f>
        <v>-20489.5870855081</v>
      </c>
      <c r="AV98" s="290" t="n">
        <f aca="false">SUM(AV92:AV97)</f>
        <v>-22138.2151420632</v>
      </c>
      <c r="AW98" s="290" t="n">
        <f aca="false">SUM(AW92:AW97)</f>
        <v>-22069.4100146203</v>
      </c>
      <c r="AX98" s="290" t="n">
        <f aca="false">SUM(AX92:AX97)</f>
        <v>-20516.4461615727</v>
      </c>
      <c r="AY98" s="290" t="n">
        <f aca="false">SUM(AY92:AY97)</f>
        <v>-20321.4743516916</v>
      </c>
      <c r="AZ98" s="290" t="n">
        <f aca="false">SUM(AZ92:AZ97)</f>
        <v>-20670.210711218</v>
      </c>
      <c r="BA98" s="290" t="n">
        <f aca="false">SUM(BA92:BA97)</f>
        <v>-25415.41504469</v>
      </c>
      <c r="BB98" s="290" t="n">
        <f aca="false">SUM(BB92:BB97)</f>
        <v>-29853.8259032478</v>
      </c>
      <c r="BC98" s="290" t="n">
        <f aca="false">SUM(BC92:BC97)</f>
        <v>-35877.1074568035</v>
      </c>
      <c r="BD98" s="290" t="n">
        <f aca="false">SUM(BD92:BD97)</f>
        <v>-41556.894876718</v>
      </c>
      <c r="BE98" s="290" t="n">
        <f aca="false">SUM(BE92:BE97)</f>
        <v>-41483.1687365455</v>
      </c>
      <c r="BF98" s="290" t="n">
        <f aca="false">SUM(BF92:BF97)</f>
        <v>-46030.0437529819</v>
      </c>
      <c r="BG98" s="290" t="n">
        <f aca="false">SUM(BG92:BG97)</f>
        <v>-46179.443406657</v>
      </c>
      <c r="BH98" s="290" t="n">
        <f aca="false">SUM(BH92:BH97)</f>
        <v>-51640.4767293903</v>
      </c>
      <c r="BI98" s="290" t="n">
        <f aca="false">SUM(BI92:BI97)</f>
        <v>-51650.0087149432</v>
      </c>
      <c r="BJ98" s="290" t="n">
        <f aca="false">SUM(BJ92:BJ97)</f>
        <v>-56138.5541195084</v>
      </c>
      <c r="BK98" s="290" t="n">
        <f aca="false">SUM(BK92:BK97)</f>
        <v>-55827.1854889193</v>
      </c>
      <c r="BL98" s="290" t="n">
        <f aca="false">SUM(BL92:BL97)</f>
        <v>-56510.1663111273</v>
      </c>
      <c r="BM98" s="290" t="n">
        <f aca="false">SUM(BM92:BM97)</f>
        <v>-56830.9999319847</v>
      </c>
      <c r="BN98" s="290" t="n">
        <f aca="false">SUM(BN92:BN97)</f>
        <v>-56552.4560915318</v>
      </c>
      <c r="BO98" s="290" t="n">
        <f aca="false">SUM(BO92:BO97)</f>
        <v>-63829.2282620443</v>
      </c>
      <c r="BP98" s="290" t="n">
        <f aca="false">SUM(BP92:BP97)</f>
        <v>-65018.5968031161</v>
      </c>
      <c r="BQ98" s="290" t="n">
        <f aca="false">SUM(BQ92:BQ97)</f>
        <v>-68541.962255841</v>
      </c>
      <c r="BR98" s="290" t="n">
        <f aca="false">SUM(BR92:BR97)</f>
        <v>-68464.900724517</v>
      </c>
      <c r="BS98" s="290" t="n">
        <f aca="false">SUM(BS92:BS97)</f>
        <v>-74304.5631022744</v>
      </c>
      <c r="BT98" s="290" t="n">
        <f aca="false">SUM(BT92:BT97)</f>
        <v>-79680.0483721943</v>
      </c>
      <c r="BU98" s="290" t="n">
        <f aca="false">SUM(BU92:BU97)</f>
        <v>-87971.2059646076</v>
      </c>
      <c r="BV98" s="290" t="n">
        <f aca="false">SUM(BV92:BV97)</f>
        <v>-87627.2904668916</v>
      </c>
      <c r="BW98" s="290" t="n">
        <f aca="false">SUM(BW92:BW97)</f>
        <v>-90619.9493007059</v>
      </c>
      <c r="BX98" s="290" t="n">
        <f aca="false">SUM(BX92:BX97)</f>
        <v>-98352.4579665071</v>
      </c>
      <c r="BY98" s="290" t="n">
        <f aca="false">SUM(BY92:BY97)</f>
        <v>-98970.6951873718</v>
      </c>
      <c r="BZ98" s="290" t="n">
        <f aca="false">SUM(BZ92:BZ97)</f>
        <v>-98318.2822231762</v>
      </c>
      <c r="CA98" s="290" t="n">
        <f aca="false">SUM(CA92:CA97)</f>
        <v>-99587.0169216503</v>
      </c>
      <c r="CB98" s="290" t="n">
        <f aca="false">SUM(CB92:CB97)</f>
        <v>-99735.3509654107</v>
      </c>
      <c r="CC98" s="290" t="n">
        <f aca="false">SUM(CC92:CC97)</f>
        <v>-99412.7585435485</v>
      </c>
      <c r="CD98" s="290" t="n">
        <f aca="false">SUM(CD92:CD97)</f>
        <v>-99120.3190508513</v>
      </c>
      <c r="CE98" s="290" t="n">
        <f aca="false">SUM(CE92:CE97)</f>
        <v>-99450.360296807</v>
      </c>
      <c r="CF98" s="290" t="n">
        <f aca="false">SUM(CF92:CF97)</f>
        <v>-110335.478087552</v>
      </c>
      <c r="CG98" s="290" t="n">
        <f aca="false">SUM(CG92:CG97)</f>
        <v>-109255.976633273</v>
      </c>
      <c r="CH98" s="290" t="n">
        <f aca="false">SUM(CH92:CH97)</f>
        <v>-108124.316652315</v>
      </c>
      <c r="CI98" s="290" t="n">
        <f aca="false">SUM(CI92:CI97)</f>
        <v>-106415.024425996</v>
      </c>
      <c r="CJ98" s="290" t="n">
        <f aca="false">SUM(CJ92:CJ97)</f>
        <v>-110425.247051016</v>
      </c>
      <c r="CK98" s="290" t="n">
        <f aca="false">SUM(CK92:CK97)</f>
        <v>-116309.908123268</v>
      </c>
      <c r="CL98" s="290" t="n">
        <f aca="false">SUM(CL92:CL97)</f>
        <v>-120508.967134556</v>
      </c>
      <c r="CM98" s="290" t="n">
        <f aca="false">SUM(CM92:CM97)</f>
        <v>-122381.750348177</v>
      </c>
      <c r="CN98" s="290" t="n">
        <f aca="false">SUM(CN92:CN97)</f>
        <v>-127059.369390971</v>
      </c>
      <c r="CO98" s="290" t="n">
        <f aca="false">SUM(CO92:CO97)</f>
        <v>-126819.933796014</v>
      </c>
      <c r="CP98" s="290" t="n">
        <f aca="false">SUM(CP92:CP97)</f>
        <v>-131197.154796361</v>
      </c>
      <c r="CQ98" s="290" t="n">
        <f aca="false">SUM(CQ92:CQ97)</f>
        <v>-131416.096606964</v>
      </c>
      <c r="CR98" s="290" t="n">
        <f aca="false">SUM(CR92:CR97)</f>
        <v>-132345.240037332</v>
      </c>
      <c r="CS98" s="290" t="n">
        <f aca="false">SUM(CS92:CS97)</f>
        <v>-132320.251227407</v>
      </c>
      <c r="CT98" s="290" t="n">
        <f aca="false">SUM(CT92:CT97)</f>
        <v>-132178.68306628</v>
      </c>
      <c r="CU98" s="290" t="n">
        <f aca="false">SUM(CU92:CU97)</f>
        <v>-131734.237827599</v>
      </c>
      <c r="CV98" s="290" t="n">
        <f aca="false">SUM(CV92:CV97)</f>
        <v>-132421.422070374</v>
      </c>
      <c r="CW98" s="290" t="n">
        <f aca="false">SUM(CW92:CW97)</f>
        <v>-137244.916710241</v>
      </c>
      <c r="CX98" s="290" t="n">
        <f aca="false">SUM(CX92:CX97)</f>
        <v>-141599.751163636</v>
      </c>
      <c r="CY98" s="290" t="n">
        <f aca="false">SUM(CY92:CY97)</f>
        <v>-147715.407726103</v>
      </c>
      <c r="CZ98" s="290" t="n">
        <f aca="false">SUM(CZ92:CZ97)</f>
        <v>-152529.464419673</v>
      </c>
      <c r="DA98" s="290" t="n">
        <f aca="false">SUM(DA92:DA97)</f>
        <v>-162572.600577433</v>
      </c>
      <c r="DB98" s="290" t="n">
        <f aca="false">SUM(DB92:DB97)</f>
        <v>-161517.708425851</v>
      </c>
      <c r="DC98" s="290" t="n">
        <f aca="false">SUM(DC92:DC97)</f>
        <v>-162698.818669979</v>
      </c>
      <c r="DD98" s="290" t="n">
        <f aca="false">SUM(DD92:DD97)</f>
        <v>-165873.566801448</v>
      </c>
      <c r="DE98" s="290" t="n">
        <f aca="false">SUM(DE92:DE97)</f>
        <v>-165812.883264826</v>
      </c>
      <c r="DF98" s="290" t="n">
        <f aca="false">SUM(DF92:DF97)</f>
        <v>-169211.65186208</v>
      </c>
      <c r="DG98" s="290" t="n">
        <f aca="false">SUM(DG92:DG97)</f>
        <v>-168654.369682794</v>
      </c>
      <c r="DH98" s="290" t="n">
        <f aca="false">SUM(DH92:DH97)</f>
        <v>-170525.828717437</v>
      </c>
      <c r="DI98" s="290" t="n">
        <f aca="false">SUM(DI92:DI97)</f>
        <v>-170919.420416549</v>
      </c>
      <c r="DJ98" s="290" t="n">
        <f aca="false">SUM(DJ92:DJ97)</f>
        <v>-169492.297362316</v>
      </c>
      <c r="DK98" s="290" t="n">
        <f aca="false">SUM(DK92:DK97)</f>
        <v>-177895.436130329</v>
      </c>
      <c r="DL98" s="290" t="n">
        <f aca="false">SUM(DL92:DL97)</f>
        <v>-183683.047296829</v>
      </c>
      <c r="DM98" s="290" t="n">
        <f aca="false">SUM(DM92:DM97)</f>
        <v>-181549.091474379</v>
      </c>
      <c r="DN98" s="290" t="n">
        <f aca="false">SUM(DN92:DN97)</f>
        <v>-181313.130782621</v>
      </c>
      <c r="DO98" s="290" t="n">
        <f aca="false">SUM(DO92:DO97)</f>
        <v>-182529.401915898</v>
      </c>
      <c r="DP98" s="290" t="n">
        <f aca="false">SUM(DP92:DP97)</f>
        <v>-193502.069160963</v>
      </c>
      <c r="DQ98" s="290" t="n">
        <f aca="false">SUM(DQ92:DQ97)</f>
        <v>-197082.348298181</v>
      </c>
      <c r="DR98" s="290" t="n">
        <f aca="false">SUM(DR92:DR97)</f>
        <v>-196740.741130005</v>
      </c>
      <c r="DS98" s="290" t="n">
        <f aca="false">SUM(DS92:DS97)</f>
        <v>-195024.686226393</v>
      </c>
      <c r="DT98" s="290" t="n">
        <f aca="false">SUM(DT92:DT97)</f>
        <v>-197003.720613785</v>
      </c>
      <c r="DU98" s="290" t="n">
        <f aca="false">SUM(DU92:DU97)</f>
        <v>-201917.305306417</v>
      </c>
      <c r="DV98" s="290" t="n">
        <f aca="false">SUM(DV92:DV97)</f>
        <v>-206046.139004066</v>
      </c>
      <c r="DW98" s="290" t="n">
        <f aca="false">SUM(DW92:DW97)</f>
        <v>-212415.680603871</v>
      </c>
      <c r="DX98" s="290" t="n">
        <f aca="false">SUM(DX92:DX97)</f>
        <v>-217153.450511676</v>
      </c>
      <c r="DY98" s="290" t="n">
        <f aca="false">SUM(DY92:DY97)</f>
        <v>-220601.283054564</v>
      </c>
      <c r="DZ98" s="290" t="n">
        <f aca="false">SUM(DZ92:DZ97)</f>
        <v>-220451.961448801</v>
      </c>
      <c r="EA98" s="290" t="n">
        <f aca="false">SUM(EA92:EA97)</f>
        <v>-220718.832328269</v>
      </c>
      <c r="EB98" s="290" t="n">
        <f aca="false">SUM(EB92:EB97)</f>
        <v>-225866.357922222</v>
      </c>
      <c r="EC98" s="290" t="n">
        <f aca="false">SUM(EC92:EC97)</f>
        <v>-225693.907842182</v>
      </c>
      <c r="ED98" s="290" t="n">
        <f aca="false">SUM(ED92:ED97)</f>
        <v>-229041.754513765</v>
      </c>
      <c r="EE98" s="290" t="n">
        <f aca="false">SUM(EE92:EE97)</f>
        <v>-230295.008613736</v>
      </c>
      <c r="EF98" s="290" t="n">
        <f aca="false">SUM(EF92:EF97)</f>
        <v>-238751.740136678</v>
      </c>
      <c r="EG98" s="290" t="n">
        <f aca="false">SUM(EG92:EG97)</f>
        <v>-250329.652415462</v>
      </c>
      <c r="EH98" s="290" t="n">
        <f aca="false">SUM(EH92:EH97)</f>
        <v>-257043.503946641</v>
      </c>
      <c r="EI98" s="290" t="n">
        <f aca="false">SUM(EI92:EI97)</f>
        <v>-270413.914544347</v>
      </c>
      <c r="EJ98" s="290" t="n">
        <f aca="false">SUM(EJ92:EJ97)</f>
        <v>-275258.682786938</v>
      </c>
      <c r="EK98" s="290" t="n">
        <f aca="false">SUM(EK92:EK97)</f>
        <v>-275830.712890023</v>
      </c>
      <c r="EL98" s="290" t="n">
        <f aca="false">SUM(EL92:EL97)</f>
        <v>-277303.697562476</v>
      </c>
      <c r="EM98" s="290" t="n">
        <f aca="false">SUM(EM92:EM97)</f>
        <v>-285146.951594886</v>
      </c>
      <c r="EN98" s="290" t="n">
        <f aca="false">SUM(EN92:EN97)</f>
        <v>-294939.941687364</v>
      </c>
      <c r="EO98" s="290" t="n">
        <f aca="false">SUM(EO92:EO97)</f>
        <v>-298450.780227205</v>
      </c>
      <c r="EP98" s="290" t="n">
        <f aca="false">SUM(EP92:EP97)</f>
        <v>-302702.90878929</v>
      </c>
      <c r="EQ98" s="290" t="n">
        <f aca="false">SUM(EQ92:EQ97)</f>
        <v>-301586.99026358</v>
      </c>
      <c r="ER98" s="290" t="n">
        <f aca="false">SUM(ER92:ER97)</f>
        <v>-303288.011532383</v>
      </c>
    </row>
    <row r="99" customFormat="false" ht="15" hidden="false" customHeight="false" outlineLevel="0" collapsed="false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</row>
    <row r="100" customFormat="false" ht="15" hidden="false" customHeight="false" outlineLevel="0" collapsed="false">
      <c r="B100" s="18" t="s">
        <v>1198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0" t="n">
        <f aca="false">-(AC80*$C$18+AC81*$C$19+AC82*$C$20+AC83*$C$21+AC84*$C$22)</f>
        <v>-3000</v>
      </c>
      <c r="AD100" s="180" t="n">
        <f aca="false">-(AD80*$C$18+AD81*$C$19+AD82*$C$20+AD83*$C$21+AD84*$C$22)</f>
        <v>-4000</v>
      </c>
      <c r="AE100" s="180" t="n">
        <f aca="false">-(AE80*$C$18+AE81*$C$19+AE82*$C$20+AE83*$C$21+AE84*$C$22)</f>
        <v>-4000</v>
      </c>
      <c r="AF100" s="180" t="n">
        <f aca="false">-(AF80*$C$18+AF81*$C$19+AF82*$C$20+AF83*$C$21+AF84*$C$22)</f>
        <v>-4000</v>
      </c>
      <c r="AG100" s="180" t="n">
        <f aca="false">-(AG80*$C$18+AG81*$C$19+AG82*$C$20+AG83*$C$21+AG84*$C$22)</f>
        <v>-6500</v>
      </c>
      <c r="AH100" s="180" t="n">
        <f aca="false">-(AH80*$C$18+AH81*$C$19+AH82*$C$20+AH83*$C$21+AH84*$C$22)</f>
        <v>-6500</v>
      </c>
      <c r="AI100" s="180" t="n">
        <f aca="false">-(AI80*$C$18+AI81*$C$19+AI82*$C$20+AI83*$C$21+AI84*$C$22)</f>
        <v>-6500</v>
      </c>
      <c r="AJ100" s="180" t="n">
        <f aca="false">-(AJ80*$C$18+AJ81*$C$19+AJ82*$C$20+AJ83*$C$21+AJ84*$C$22)</f>
        <v>-6500</v>
      </c>
      <c r="AK100" s="180" t="n">
        <f aca="false">-(AK80*$C$18+AK81*$C$19+AK82*$C$20+AK83*$C$21+AK84*$C$22)</f>
        <v>-6500</v>
      </c>
      <c r="AL100" s="180" t="n">
        <f aca="false">-(AL80*$C$18+AL81*$C$19+AL82*$C$20+AL83*$C$21+AL84*$C$22)</f>
        <v>-6500</v>
      </c>
      <c r="AM100" s="180" t="n">
        <f aca="false">-(AM80*$C$18+AM81*$C$19+AM82*$C$20+AM83*$C$21+AM84*$C$22)</f>
        <v>-6500</v>
      </c>
      <c r="AN100" s="180" t="n">
        <f aca="false">-(AN80*$C$18+AN81*$C$19+AN82*$C$20+AN83*$C$21+AN84*$C$22)</f>
        <v>-9500</v>
      </c>
      <c r="AO100" s="180" t="n">
        <f aca="false">-(AO80*$C$18+AO81*$C$19+AO82*$C$20+AO83*$C$21+AO84*$C$22)</f>
        <v>-9500</v>
      </c>
      <c r="AP100" s="180" t="n">
        <f aca="false">-(AP80*$C$18+AP81*$C$19+AP82*$C$20+AP83*$C$21+AP84*$C$22)</f>
        <v>-9500</v>
      </c>
      <c r="AQ100" s="180" t="n">
        <f aca="false">-(AQ80*$C$18+AQ81*$C$19+AQ82*$C$20+AQ83*$C$21+AQ84*$C$22)</f>
        <v>-9500</v>
      </c>
      <c r="AR100" s="180" t="n">
        <f aca="false">-(AR80*$C$18+AR81*$C$19+AR82*$C$20+AR83*$C$21+AR84*$C$22)</f>
        <v>-9500</v>
      </c>
      <c r="AS100" s="180" t="n">
        <f aca="false">-(AS80*$C$18+AS81*$C$19+AS82*$C$20+AS83*$C$21+AS84*$C$22)</f>
        <v>-9500</v>
      </c>
      <c r="AT100" s="180" t="n">
        <f aca="false">-(AT80*$C$18+AT81*$C$19+AT82*$C$20+AT83*$C$21+AT84*$C$22)</f>
        <v>-9500</v>
      </c>
      <c r="AU100" s="180" t="n">
        <f aca="false">-(AU80*$C$18+AU81*$C$19+AU82*$C$20+AU83*$C$21+AU84*$C$22)</f>
        <v>-9500</v>
      </c>
      <c r="AV100" s="180" t="n">
        <f aca="false">-(AV80*$C$18+AV81*$C$19+AV82*$C$20+AV83*$C$21+AV84*$C$22)</f>
        <v>-9500</v>
      </c>
      <c r="AW100" s="180" t="n">
        <f aca="false">-(AW80*$C$18+AW81*$C$19+AW82*$C$20+AW83*$C$21+AW84*$C$22)</f>
        <v>-9500</v>
      </c>
      <c r="AX100" s="180" t="n">
        <f aca="false">-(AX80*$C$18+AX81*$C$19+AX82*$C$20+AX83*$C$21+AX84*$C$22)</f>
        <v>-9500</v>
      </c>
      <c r="AY100" s="180" t="n">
        <f aca="false">-(AY80*$C$18+AY81*$C$19+AY82*$C$20+AY83*$C$21+AY84*$C$22)</f>
        <v>-9500</v>
      </c>
      <c r="AZ100" s="180" t="n">
        <f aca="false">-(AZ80*$C$18+AZ81*$C$19+AZ82*$C$20+AZ83*$C$21+AZ84*$C$22)</f>
        <v>-9500</v>
      </c>
      <c r="BA100" s="180" t="n">
        <f aca="false">-(BA80*$C$18+BA81*$C$19+BA82*$C$20+BA83*$C$21+BA84*$C$22)</f>
        <v>-12000</v>
      </c>
      <c r="BB100" s="180" t="n">
        <f aca="false">-(BB80*$C$18+BB81*$C$19+BB82*$C$20+BB83*$C$21+BB84*$C$22)</f>
        <v>-15000</v>
      </c>
      <c r="BC100" s="180" t="n">
        <f aca="false">-(BC80*$C$18+BC81*$C$19+BC82*$C$20+BC83*$C$21+BC84*$C$22)</f>
        <v>-17500</v>
      </c>
      <c r="BD100" s="180" t="n">
        <f aca="false">-(BD80*$C$18+BD81*$C$19+BD82*$C$20+BD83*$C$21+BD84*$C$22)</f>
        <v>-20500</v>
      </c>
      <c r="BE100" s="180" t="n">
        <f aca="false">-(BE80*$C$18+BE81*$C$19+BE82*$C$20+BE83*$C$21+BE84*$C$22)</f>
        <v>-20500</v>
      </c>
      <c r="BF100" s="180" t="n">
        <f aca="false">-(BF80*$C$18+BF81*$C$19+BF82*$C$20+BF83*$C$21+BF84*$C$22)</f>
        <v>-23500</v>
      </c>
      <c r="BG100" s="180" t="n">
        <f aca="false">-(BG80*$C$18+BG81*$C$19+BG82*$C$20+BG83*$C$21+BG84*$C$22)</f>
        <v>-23500</v>
      </c>
      <c r="BH100" s="180" t="n">
        <f aca="false">-(BH80*$C$18+BH81*$C$19+BH82*$C$20+BH83*$C$21+BH84*$C$22)</f>
        <v>-26500</v>
      </c>
      <c r="BI100" s="180" t="n">
        <f aca="false">-(BI80*$C$18+BI81*$C$19+BI82*$C$20+BI83*$C$21+BI84*$C$22)</f>
        <v>-26500</v>
      </c>
      <c r="BJ100" s="180" t="n">
        <f aca="false">-(BJ80*$C$18+BJ81*$C$19+BJ82*$C$20+BJ83*$C$21+BJ84*$C$22)</f>
        <v>-29500</v>
      </c>
      <c r="BK100" s="180" t="n">
        <f aca="false">-(BK80*$C$18+BK81*$C$19+BK82*$C$20+BK83*$C$21+BK84*$C$22)</f>
        <v>-29500</v>
      </c>
      <c r="BL100" s="180" t="n">
        <f aca="false">-(BL80*$C$18+BL81*$C$19+BL82*$C$20+BL83*$C$21+BL84*$C$22)</f>
        <v>-29500</v>
      </c>
      <c r="BM100" s="180" t="n">
        <f aca="false">-(BM80*$C$18+BM81*$C$19+BM82*$C$20+BM83*$C$21+BM84*$C$22)</f>
        <v>-29500</v>
      </c>
      <c r="BN100" s="180" t="n">
        <f aca="false">-(BN80*$C$18+BN81*$C$19+BN82*$C$20+BN83*$C$21+BN84*$C$22)</f>
        <v>-29500</v>
      </c>
      <c r="BO100" s="180" t="n">
        <f aca="false">-(BO80*$C$18+BO81*$C$19+BO82*$C$20+BO83*$C$21+BO84*$C$22)</f>
        <v>-32000</v>
      </c>
      <c r="BP100" s="180" t="n">
        <f aca="false">-(BP80*$C$18+BP81*$C$19+BP82*$C$20+BP83*$C$21+BP84*$C$22)</f>
        <v>-32000</v>
      </c>
      <c r="BQ100" s="180" t="n">
        <f aca="false">-(BQ80*$C$18+BQ81*$C$19+BQ82*$C$20+BQ83*$C$21+BQ84*$C$22)</f>
        <v>-34500</v>
      </c>
      <c r="BR100" s="180" t="n">
        <f aca="false">-(BR80*$C$18+BR81*$C$19+BR82*$C$20+BR83*$C$21+BR84*$C$22)</f>
        <v>-34500</v>
      </c>
      <c r="BS100" s="180" t="n">
        <f aca="false">-(BS80*$C$18+BS81*$C$19+BS82*$C$20+BS83*$C$21+BS84*$C$22)</f>
        <v>-37000</v>
      </c>
      <c r="BT100" s="180" t="n">
        <f aca="false">-(BT80*$C$18+BT81*$C$19+BT82*$C$20+BT83*$C$21+BT84*$C$22)</f>
        <v>-37000</v>
      </c>
      <c r="BU100" s="180" t="n">
        <f aca="false">-(BU80*$C$18+BU81*$C$19+BU82*$C$20+BU83*$C$21+BU84*$C$22)</f>
        <v>-42500</v>
      </c>
      <c r="BV100" s="180" t="n">
        <f aca="false">-(BV80*$C$18+BV81*$C$19+BV82*$C$20+BV83*$C$21+BV84*$C$22)</f>
        <v>-42500</v>
      </c>
      <c r="BW100" s="180" t="n">
        <f aca="false">-(BW80*$C$18+BW81*$C$19+BW82*$C$20+BW83*$C$21+BW84*$C$22)</f>
        <v>-45500</v>
      </c>
      <c r="BX100" s="180" t="n">
        <f aca="false">-(BX80*$C$18+BX81*$C$19+BX82*$C$20+BX83*$C$21+BX84*$C$22)</f>
        <v>-48000</v>
      </c>
      <c r="BY100" s="180" t="n">
        <f aca="false">-(BY80*$C$18+BY81*$C$19+BY82*$C$20+BY83*$C$21+BY84*$C$22)</f>
        <v>-48000</v>
      </c>
      <c r="BZ100" s="180" t="n">
        <f aca="false">-(BZ80*$C$18+BZ81*$C$19+BZ82*$C$20+BZ83*$C$21+BZ84*$C$22)</f>
        <v>-48000</v>
      </c>
      <c r="CA100" s="180" t="n">
        <f aca="false">-(CA80*$C$18+CA81*$C$19+CA82*$C$20+CA83*$C$21+CA84*$C$22)</f>
        <v>-48000</v>
      </c>
      <c r="CB100" s="180" t="n">
        <f aca="false">-(CB80*$C$18+CB81*$C$19+CB82*$C$20+CB83*$C$21+CB84*$C$22)</f>
        <v>-48000</v>
      </c>
      <c r="CC100" s="180" t="n">
        <f aca="false">-(CC80*$C$18+CC81*$C$19+CC82*$C$20+CC83*$C$21+CC84*$C$22)</f>
        <v>-48000</v>
      </c>
      <c r="CD100" s="180" t="n">
        <f aca="false">-(CD80*$C$18+CD81*$C$19+CD82*$C$20+CD83*$C$21+CD84*$C$22)</f>
        <v>-48000</v>
      </c>
      <c r="CE100" s="180" t="n">
        <f aca="false">-(CE80*$C$18+CE81*$C$19+CE82*$C$20+CE83*$C$21+CE84*$C$22)</f>
        <v>-48000</v>
      </c>
      <c r="CF100" s="180" t="n">
        <f aca="false">-(CF80*$C$18+CF81*$C$19+CF82*$C$20+CF83*$C$21+CF84*$C$22)</f>
        <v>-49800</v>
      </c>
      <c r="CG100" s="180" t="n">
        <f aca="false">-(CG80*$C$18+CG81*$C$19+CG82*$C$20+CG83*$C$21+CG84*$C$22)</f>
        <v>-49800</v>
      </c>
      <c r="CH100" s="180" t="n">
        <f aca="false">-(CH80*$C$18+CH81*$C$19+CH82*$C$20+CH83*$C$21+CH84*$C$22)</f>
        <v>-49800</v>
      </c>
      <c r="CI100" s="180" t="n">
        <f aca="false">-(CI80*$C$18+CI81*$C$19+CI82*$C$20+CI83*$C$21+CI84*$C$22)</f>
        <v>-49800</v>
      </c>
      <c r="CJ100" s="180" t="n">
        <f aca="false">-(CJ80*$C$18+CJ81*$C$19+CJ82*$C$20+CJ83*$C$21+CJ84*$C$22)</f>
        <v>-49800</v>
      </c>
      <c r="CK100" s="180" t="n">
        <f aca="false">-(CK80*$C$18+CK81*$C$19+CK82*$C$20+CK83*$C$21+CK84*$C$22)</f>
        <v>-52300</v>
      </c>
      <c r="CL100" s="180" t="n">
        <f aca="false">-(CL80*$C$18+CL81*$C$19+CL82*$C$20+CL83*$C$21+CL84*$C$22)</f>
        <v>-54800</v>
      </c>
      <c r="CM100" s="180" t="n">
        <f aca="false">-(CM80*$C$18+CM81*$C$19+CM82*$C$20+CM83*$C$21+CM84*$C$22)</f>
        <v>-54800</v>
      </c>
      <c r="CN100" s="180" t="n">
        <f aca="false">-(CN80*$C$18+CN81*$C$19+CN82*$C$20+CN83*$C$21+CN84*$C$22)</f>
        <v>-56600</v>
      </c>
      <c r="CO100" s="180" t="n">
        <f aca="false">-(CO80*$C$18+CO81*$C$19+CO82*$C$20+CO83*$C$21+CO84*$C$22)</f>
        <v>-56600</v>
      </c>
      <c r="CP100" s="180" t="n">
        <f aca="false">-(CP80*$C$18+CP81*$C$19+CP82*$C$20+CP83*$C$21+CP84*$C$22)</f>
        <v>-59600</v>
      </c>
      <c r="CQ100" s="180" t="n">
        <f aca="false">-(CQ80*$C$18+CQ81*$C$19+CQ82*$C$20+CQ83*$C$21+CQ84*$C$22)</f>
        <v>-59600</v>
      </c>
      <c r="CR100" s="180" t="n">
        <f aca="false">-(CR80*$C$18+CR81*$C$19+CR82*$C$20+CR83*$C$21+CR84*$C$22)</f>
        <v>-59600</v>
      </c>
      <c r="CS100" s="180" t="n">
        <f aca="false">-(CS80*$C$18+CS81*$C$19+CS82*$C$20+CS83*$C$21+CS84*$C$22)</f>
        <v>-59600</v>
      </c>
      <c r="CT100" s="180" t="n">
        <f aca="false">-(CT80*$C$18+CT81*$C$19+CT82*$C$20+CT83*$C$21+CT84*$C$22)</f>
        <v>-59600</v>
      </c>
      <c r="CU100" s="180" t="n">
        <f aca="false">-(CU80*$C$18+CU81*$C$19+CU82*$C$20+CU83*$C$21+CU84*$C$22)</f>
        <v>-59600</v>
      </c>
      <c r="CV100" s="180" t="n">
        <f aca="false">-(CV80*$C$18+CV81*$C$19+CV82*$C$20+CV83*$C$21+CV84*$C$22)</f>
        <v>-59600</v>
      </c>
      <c r="CW100" s="180" t="n">
        <f aca="false">-(CW80*$C$18+CW81*$C$19+CW82*$C$20+CW83*$C$21+CW84*$C$22)</f>
        <v>-62100</v>
      </c>
      <c r="CX100" s="180" t="n">
        <f aca="false">-(CX80*$C$18+CX81*$C$19+CX82*$C$20+CX83*$C$21+CX84*$C$22)</f>
        <v>-63900</v>
      </c>
      <c r="CY100" s="180" t="n">
        <f aca="false">-(CY80*$C$18+CY81*$C$19+CY82*$C$20+CY83*$C$21+CY84*$C$22)</f>
        <v>-66400</v>
      </c>
      <c r="CZ100" s="180" t="n">
        <f aca="false">-(CZ80*$C$18+CZ81*$C$19+CZ82*$C$20+CZ83*$C$21+CZ84*$C$22)</f>
        <v>-69400</v>
      </c>
      <c r="DA100" s="180" t="n">
        <f aca="false">-(DA80*$C$18+DA81*$C$19+DA82*$C$20+DA83*$C$21+DA84*$C$22)</f>
        <v>-74400</v>
      </c>
      <c r="DB100" s="180" t="n">
        <f aca="false">-(DB80*$C$18+DB81*$C$19+DB82*$C$20+DB83*$C$21+DB84*$C$22)</f>
        <v>-74400</v>
      </c>
      <c r="DC100" s="180" t="n">
        <f aca="false">-(DC80*$C$18+DC81*$C$19+DC82*$C$20+DC83*$C$21+DC84*$C$22)</f>
        <v>-74400</v>
      </c>
      <c r="DD100" s="180" t="n">
        <f aca="false">-(DD80*$C$18+DD81*$C$19+DD82*$C$20+DD83*$C$21+DD84*$C$22)</f>
        <v>-74400</v>
      </c>
      <c r="DE100" s="180" t="n">
        <f aca="false">-(DE80*$C$18+DE81*$C$19+DE82*$C$20+DE83*$C$21+DE84*$C$22)</f>
        <v>-74400</v>
      </c>
      <c r="DF100" s="180" t="n">
        <f aca="false">-(DF80*$C$18+DF81*$C$19+DF82*$C$20+DF83*$C$21+DF84*$C$22)</f>
        <v>-76200</v>
      </c>
      <c r="DG100" s="180" t="n">
        <f aca="false">-(DG80*$C$18+DG81*$C$19+DG82*$C$20+DG83*$C$21+DG84*$C$22)</f>
        <v>-76200</v>
      </c>
      <c r="DH100" s="180" t="n">
        <f aca="false">-(DH80*$C$18+DH81*$C$19+DH82*$C$20+DH83*$C$21+DH84*$C$22)</f>
        <v>-76200</v>
      </c>
      <c r="DI100" s="180" t="n">
        <f aca="false">-(DI80*$C$18+DI81*$C$19+DI82*$C$20+DI83*$C$21+DI84*$C$22)</f>
        <v>-76200</v>
      </c>
      <c r="DJ100" s="180" t="n">
        <f aca="false">-(DJ80*$C$18+DJ81*$C$19+DJ82*$C$20+DJ83*$C$21+DJ84*$C$22)</f>
        <v>-76200</v>
      </c>
      <c r="DK100" s="180" t="n">
        <f aca="false">-(DK80*$C$18+DK81*$C$19+DK82*$C$20+DK83*$C$21+DK84*$C$22)</f>
        <v>-78700</v>
      </c>
      <c r="DL100" s="180" t="n">
        <f aca="false">-(DL80*$C$18+DL81*$C$19+DL82*$C$20+DL83*$C$21+DL84*$C$22)</f>
        <v>-81700</v>
      </c>
      <c r="DM100" s="180" t="n">
        <f aca="false">-(DM80*$C$18+DM81*$C$19+DM82*$C$20+DM83*$C$21+DM84*$C$22)</f>
        <v>-81700</v>
      </c>
      <c r="DN100" s="180" t="n">
        <f aca="false">-(DN80*$C$18+DN81*$C$19+DN82*$C$20+DN83*$C$21+DN84*$C$22)</f>
        <v>-81700</v>
      </c>
      <c r="DO100" s="180" t="n">
        <f aca="false">-(DO80*$C$18+DO81*$C$19+DO82*$C$20+DO83*$C$21+DO84*$C$22)</f>
        <v>-81700</v>
      </c>
      <c r="DP100" s="180" t="n">
        <f aca="false">-(DP80*$C$18+DP81*$C$19+DP82*$C$20+DP83*$C$21+DP84*$C$22)</f>
        <v>-84200</v>
      </c>
      <c r="DQ100" s="180" t="n">
        <f aca="false">-(DQ80*$C$18+DQ81*$C$19+DQ82*$C$20+DQ83*$C$21+DQ84*$C$22)</f>
        <v>-86700</v>
      </c>
      <c r="DR100" s="180" t="n">
        <f aca="false">-(DR80*$C$18+DR81*$C$19+DR82*$C$20+DR83*$C$21+DR84*$C$22)</f>
        <v>-86700</v>
      </c>
      <c r="DS100" s="180" t="n">
        <f aca="false">-(DS80*$C$18+DS81*$C$19+DS82*$C$20+DS83*$C$21+DS84*$C$22)</f>
        <v>-86700</v>
      </c>
      <c r="DT100" s="180" t="n">
        <f aca="false">-(DT80*$C$18+DT81*$C$19+DT82*$C$20+DT83*$C$21+DT84*$C$22)</f>
        <v>-86700</v>
      </c>
      <c r="DU100" s="180" t="n">
        <f aca="false">-(DU80*$C$18+DU81*$C$19+DU82*$C$20+DU83*$C$21+DU84*$C$22)</f>
        <v>-88500</v>
      </c>
      <c r="DV100" s="180" t="n">
        <f aca="false">-(DV80*$C$18+DV81*$C$19+DV82*$C$20+DV83*$C$21+DV84*$C$22)</f>
        <v>-91000</v>
      </c>
      <c r="DW100" s="180" t="n">
        <f aca="false">-(DW80*$C$18+DW81*$C$19+DW82*$C$20+DW83*$C$21+DW84*$C$22)</f>
        <v>-93500</v>
      </c>
      <c r="DX100" s="180" t="n">
        <f aca="false">-(DX80*$C$18+DX81*$C$19+DX82*$C$20+DX83*$C$21+DX84*$C$22)</f>
        <v>-96000</v>
      </c>
      <c r="DY100" s="180" t="n">
        <f aca="false">-(DY80*$C$18+DY81*$C$19+DY82*$C$20+DY83*$C$21+DY84*$C$22)</f>
        <v>-97800</v>
      </c>
      <c r="DZ100" s="180" t="n">
        <f aca="false">-(DZ80*$C$18+DZ81*$C$19+DZ82*$C$20+DZ83*$C$21+DZ84*$C$22)</f>
        <v>-97800</v>
      </c>
      <c r="EA100" s="180" t="n">
        <f aca="false">-(EA80*$C$18+EA81*$C$19+EA82*$C$20+EA83*$C$21+EA84*$C$22)</f>
        <v>-97800</v>
      </c>
      <c r="EB100" s="180" t="n">
        <f aca="false">-(EB80*$C$18+EB81*$C$19+EB82*$C$20+EB83*$C$21+EB84*$C$22)</f>
        <v>-97800</v>
      </c>
      <c r="EC100" s="180" t="n">
        <f aca="false">-(EC80*$C$18+EC81*$C$19+EC82*$C$20+EC83*$C$21+EC84*$C$22)</f>
        <v>-97800</v>
      </c>
      <c r="ED100" s="180" t="n">
        <f aca="false">-(ED80*$C$18+ED81*$C$19+ED82*$C$20+ED83*$C$21+ED84*$C$22)</f>
        <v>-99600</v>
      </c>
      <c r="EE100" s="180" t="n">
        <f aca="false">-(EE80*$C$18+EE81*$C$19+EE82*$C$20+EE83*$C$21+EE84*$C$22)</f>
        <v>-101400</v>
      </c>
      <c r="EF100" s="180" t="n">
        <f aca="false">-(EF80*$C$18+EF81*$C$19+EF82*$C$20+EF83*$C$21+EF84*$C$22)</f>
        <v>-104400</v>
      </c>
      <c r="EG100" s="180" t="n">
        <f aca="false">-(EG80*$C$18+EG81*$C$19+EG82*$C$20+EG83*$C$21+EG84*$C$22)</f>
        <v>-109400</v>
      </c>
      <c r="EH100" s="180" t="n">
        <f aca="false">-(EH80*$C$18+EH81*$C$19+EH82*$C$20+EH83*$C$21+EH84*$C$22)</f>
        <v>-113700</v>
      </c>
      <c r="EI100" s="180" t="n">
        <f aca="false">-(EI80*$C$18+EI81*$C$19+EI82*$C$20+EI83*$C$21+EI84*$C$22)</f>
        <v>-118000</v>
      </c>
      <c r="EJ100" s="180" t="n">
        <f aca="false">-(EJ80*$C$18+EJ81*$C$19+EJ82*$C$20+EJ83*$C$21+EJ84*$C$22)</f>
        <v>-119800</v>
      </c>
      <c r="EK100" s="180" t="n">
        <f aca="false">-(EK80*$C$18+EK81*$C$19+EK82*$C$20+EK83*$C$21+EK84*$C$22)</f>
        <v>-119800</v>
      </c>
      <c r="EL100" s="180" t="n">
        <f aca="false">-(EL80*$C$18+EL81*$C$19+EL82*$C$20+EL83*$C$21+EL84*$C$22)</f>
        <v>-121600</v>
      </c>
      <c r="EM100" s="180" t="n">
        <f aca="false">-(EM80*$C$18+EM81*$C$19+EM82*$C$20+EM83*$C$21+EM84*$C$22)</f>
        <v>-124100</v>
      </c>
      <c r="EN100" s="180" t="n">
        <f aca="false">-(EN80*$C$18+EN81*$C$19+EN82*$C$20+EN83*$C$21+EN84*$C$22)</f>
        <v>-125900</v>
      </c>
      <c r="EO100" s="180" t="n">
        <f aca="false">-(EO80*$C$18+EO81*$C$19+EO82*$C$20+EO83*$C$21+EO84*$C$22)</f>
        <v>-127700</v>
      </c>
      <c r="EP100" s="180" t="n">
        <f aca="false">-(EP80*$C$18+EP81*$C$19+EP82*$C$20+EP83*$C$21+EP84*$C$22)</f>
        <v>-130700</v>
      </c>
      <c r="EQ100" s="180" t="n">
        <f aca="false">-(EQ80*$C$18+EQ81*$C$19+EQ82*$C$20+EQ83*$C$21+EQ84*$C$22)</f>
        <v>-130700</v>
      </c>
      <c r="ER100" s="180" t="n">
        <f aca="false">-(ER80*$C$18+ER81*$C$19+ER82*$C$20+ER83*$C$21+ER84*$C$22)</f>
        <v>-130700</v>
      </c>
    </row>
    <row r="101" customFormat="false" ht="15" hidden="false" customHeight="false" outlineLevel="0" collapsed="false">
      <c r="B101" s="18" t="s">
        <v>1199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0" t="n">
        <f aca="false">-AC88*$C$24</f>
        <v>-118.8432</v>
      </c>
      <c r="AD101" s="180" t="n">
        <f aca="false">-AD88*$C$24</f>
        <v>-146.6940096</v>
      </c>
      <c r="AE101" s="180" t="n">
        <f aca="false">-AE88*$C$24</f>
        <v>-222.24382656</v>
      </c>
      <c r="AF101" s="180" t="n">
        <f aca="false">-AF88*$C$24</f>
        <v>-246.286849728</v>
      </c>
      <c r="AG101" s="180" t="n">
        <f aca="false">-AG88*$C$24</f>
        <v>-310.2664784</v>
      </c>
      <c r="AH101" s="180" t="n">
        <f aca="false">-AH88*$C$24</f>
        <v>-310.525242176</v>
      </c>
      <c r="AI101" s="180" t="n">
        <f aca="false">-AI88*$C$24</f>
        <v>-358.55232384</v>
      </c>
      <c r="AJ101" s="180" t="n">
        <f aca="false">-AJ88*$C$24</f>
        <v>-646.000119744</v>
      </c>
      <c r="AK101" s="180" t="n">
        <f aca="false">-AK88*$C$24</f>
        <v>-617.43368544</v>
      </c>
      <c r="AL101" s="180" t="n">
        <f aca="false">-AL88*$C$24</f>
        <v>-555.795951104</v>
      </c>
      <c r="AM101" s="180" t="n">
        <f aca="false">-AM88*$C$24</f>
        <v>-471.34005408</v>
      </c>
      <c r="AN101" s="180" t="n">
        <f aca="false">-AN88*$C$24</f>
        <v>-782.654276768</v>
      </c>
      <c r="AO101" s="180" t="n">
        <f aca="false">-AO88*$C$24</f>
        <v>-938.433058816</v>
      </c>
      <c r="AP101" s="180" t="n">
        <f aca="false">-AP88*$C$24</f>
        <v>-802.400541856</v>
      </c>
      <c r="AQ101" s="180" t="n">
        <f aca="false">-AQ88*$C$24</f>
        <v>-1116.190249536</v>
      </c>
      <c r="AR101" s="180" t="n">
        <f aca="false">-AR88*$C$24</f>
        <v>-1230.536271936</v>
      </c>
      <c r="AS101" s="180" t="n">
        <f aca="false">-AS88*$C$24</f>
        <v>-1167.441071424</v>
      </c>
      <c r="AT101" s="180" t="n">
        <f aca="false">-AT88*$C$24</f>
        <v>-1106.094324768</v>
      </c>
      <c r="AU101" s="180" t="n">
        <f aca="false">-AU88*$C$24</f>
        <v>-1189.6388910528</v>
      </c>
      <c r="AV101" s="180" t="n">
        <f aca="false">-AV88*$C$24</f>
        <v>-1896.73148464</v>
      </c>
      <c r="AW101" s="180" t="n">
        <f aca="false">-AW88*$C$24</f>
        <v>-1828.268671264</v>
      </c>
      <c r="AX101" s="180" t="n">
        <f aca="false">-AX88*$C$24</f>
        <v>-1656.8855736704</v>
      </c>
      <c r="AY101" s="180" t="n">
        <f aca="false">-AY88*$C$24</f>
        <v>-1371.6660923776</v>
      </c>
      <c r="AZ101" s="180" t="n">
        <f aca="false">-AZ88*$C$24</f>
        <v>-1807.5035117872</v>
      </c>
      <c r="BA101" s="180" t="n">
        <f aca="false">-BA88*$C$24</f>
        <v>-2036.766104524</v>
      </c>
      <c r="BB101" s="180" t="n">
        <f aca="false">-BB88*$C$24</f>
        <v>-1882.9395488544</v>
      </c>
      <c r="BC101" s="180" t="n">
        <f aca="false">-BC88*$C$24</f>
        <v>-2496.076023028</v>
      </c>
      <c r="BD101" s="180" t="n">
        <f aca="false">-BD88*$C$24</f>
        <v>-2698.613999572</v>
      </c>
      <c r="BE101" s="180" t="n">
        <f aca="false">-BE88*$C$24</f>
        <v>-2591.3774733512</v>
      </c>
      <c r="BF101" s="180" t="n">
        <f aca="false">-BF88*$C$24</f>
        <v>-2584.933234084</v>
      </c>
      <c r="BG101" s="180" t="n">
        <f aca="false">-BG88*$C$24</f>
        <v>-2719.0147674888</v>
      </c>
      <c r="BH101" s="180" t="n">
        <f aca="false">-BH88*$C$24</f>
        <v>-3662.702205056</v>
      </c>
      <c r="BI101" s="180" t="n">
        <f aca="false">-BI88*$C$24</f>
        <v>-3650.694338432</v>
      </c>
      <c r="BJ101" s="180" t="n">
        <f aca="false">-BJ88*$C$24</f>
        <v>-3592.486938344</v>
      </c>
      <c r="BK101" s="180" t="n">
        <f aca="false">-BK88*$C$24</f>
        <v>-3244.9211136536</v>
      </c>
      <c r="BL101" s="180" t="n">
        <f aca="false">-BL88*$C$24</f>
        <v>-3922.2625609328</v>
      </c>
      <c r="BM101" s="180" t="n">
        <f aca="false">-BM88*$C$24</f>
        <v>-4220.437274752</v>
      </c>
      <c r="BN101" s="180" t="n">
        <f aca="false">-BN88*$C$24</f>
        <v>-3918.3930020272</v>
      </c>
      <c r="BO101" s="180" t="n">
        <f aca="false">-BO88*$C$24</f>
        <v>-4774.694535488</v>
      </c>
      <c r="BP101" s="180" t="n">
        <f aca="false">-BP88*$C$24</f>
        <v>-5003.32005744</v>
      </c>
      <c r="BQ101" s="180" t="n">
        <f aca="false">-BQ88*$C$24</f>
        <v>-4921.494745216</v>
      </c>
      <c r="BR101" s="180" t="n">
        <f aca="false">-BR88*$C$24</f>
        <v>-4823.324175232</v>
      </c>
      <c r="BS101" s="180" t="n">
        <f aca="false">-BS88*$C$24</f>
        <v>-5179.6052560752</v>
      </c>
      <c r="BT101" s="180" t="n">
        <f aca="false">-BT88*$C$24</f>
        <v>-6773.521055488</v>
      </c>
      <c r="BU101" s="180" t="n">
        <f aca="false">-BU88*$C$24</f>
        <v>-6936.2650364864</v>
      </c>
      <c r="BV101" s="180" t="n">
        <f aca="false">-BV88*$C$24</f>
        <v>-6579.9805567984</v>
      </c>
      <c r="BW101" s="180" t="n">
        <f aca="false">-BW88*$C$24</f>
        <v>-5982.302037244</v>
      </c>
      <c r="BX101" s="180" t="n">
        <f aca="false">-BX88*$C$24</f>
        <v>-7300.8920072288</v>
      </c>
      <c r="BY101" s="180" t="n">
        <f aca="false">-BY88*$C$24</f>
        <v>-7887.2588929072</v>
      </c>
      <c r="BZ101" s="180" t="n">
        <f aca="false">-BZ88*$C$24</f>
        <v>-7238.0917643544</v>
      </c>
      <c r="CA101" s="180" t="n">
        <f aca="false">-CA88*$C$24</f>
        <v>-8500.5143499008</v>
      </c>
      <c r="CB101" s="180" t="n">
        <f aca="false">-CB88*$C$24</f>
        <v>-8648.110413344</v>
      </c>
      <c r="CC101" s="180" t="n">
        <f aca="false">-CC88*$C$24</f>
        <v>-8327.122928904</v>
      </c>
      <c r="CD101" s="180" t="n">
        <f aca="false">-CD88*$C$24</f>
        <v>-8036.138359056</v>
      </c>
      <c r="CE101" s="180" t="n">
        <f aca="false">-CE88*$C$24</f>
        <v>-8364.5376087632</v>
      </c>
      <c r="CF101" s="180" t="n">
        <f aca="false">-CF88*$C$24</f>
        <v>-10029.3314304</v>
      </c>
      <c r="CG101" s="180" t="n">
        <f aca="false">-CG88*$C$24</f>
        <v>-9888.533963456</v>
      </c>
      <c r="CH101" s="180" t="n">
        <f aca="false">-CH88*$C$24</f>
        <v>-9695.8374649904</v>
      </c>
      <c r="CI101" s="180" t="n">
        <f aca="false">-CI88*$C$24</f>
        <v>-8928.3825134288</v>
      </c>
      <c r="CJ101" s="180" t="n">
        <f aca="false">-CJ88*$C$24</f>
        <v>-10118.6537821056</v>
      </c>
      <c r="CK101" s="180" t="n">
        <f aca="false">-CK88*$C$24</f>
        <v>-10541.202112704</v>
      </c>
      <c r="CL101" s="180" t="n">
        <f aca="false">-CL88*$C$24</f>
        <v>-10219.8677955776</v>
      </c>
      <c r="CM101" s="180" t="n">
        <f aca="false">-CM88*$C$24</f>
        <v>-11150.0003464448</v>
      </c>
      <c r="CN101" s="180" t="n">
        <f aca="false">-CN88*$C$24</f>
        <v>-11304.8451651456</v>
      </c>
      <c r="CO101" s="180" t="n">
        <f aca="false">-CO88*$C$24</f>
        <v>-11066.6007920536</v>
      </c>
      <c r="CP101" s="180" t="n">
        <f aca="false">-CP88*$C$24</f>
        <v>-10922.5420859312</v>
      </c>
      <c r="CQ101" s="180" t="n">
        <f aca="false">-CQ88*$C$24</f>
        <v>-11140.3946337952</v>
      </c>
      <c r="CR101" s="180" t="n">
        <f aca="false">-CR88*$C$24</f>
        <v>-12064.915460032</v>
      </c>
      <c r="CS101" s="180" t="n">
        <f aca="false">-CS88*$C$24</f>
        <v>-12040.050972544</v>
      </c>
      <c r="CT101" s="180" t="n">
        <f aca="false">-CT88*$C$24</f>
        <v>-11899.1871306272</v>
      </c>
      <c r="CU101" s="180" t="n">
        <f aca="false">-CU88*$C$24</f>
        <v>-11456.953062288</v>
      </c>
      <c r="CV101" s="180" t="n">
        <f aca="false">-CV88*$C$24</f>
        <v>-12140.718477984</v>
      </c>
      <c r="CW101" s="180" t="n">
        <f aca="false">-CW88*$C$24</f>
        <v>-12440.7131445184</v>
      </c>
      <c r="CX101" s="180" t="n">
        <f aca="false">-CX88*$C$24</f>
        <v>-12274.3792672992</v>
      </c>
      <c r="CY101" s="180" t="n">
        <f aca="false">-CY88*$C$24</f>
        <v>-12926.7738568192</v>
      </c>
      <c r="CZ101" s="180" t="n">
        <f aca="false">-CZ88*$C$24</f>
        <v>-13217.3775320128</v>
      </c>
      <c r="DA101" s="180" t="n">
        <f aca="false">-DA88*$C$24</f>
        <v>-13278.209529784</v>
      </c>
      <c r="DB101" s="180" t="n">
        <f aca="false">-DB88*$C$24</f>
        <v>-13161.8989311952</v>
      </c>
      <c r="DC101" s="180" t="n">
        <f aca="false">-DC88*$C$24</f>
        <v>-13403.7996716208</v>
      </c>
      <c r="DD101" s="180" t="n">
        <f aca="false">-DD88*$C$24</f>
        <v>-14696.0863696</v>
      </c>
      <c r="DE101" s="180" t="n">
        <f aca="false">-DE88*$C$24</f>
        <v>-14635.70474112</v>
      </c>
      <c r="DF101" s="180" t="n">
        <f aca="false">-DF88*$C$24</f>
        <v>-14451.3948876416</v>
      </c>
      <c r="DG101" s="180" t="n">
        <f aca="false">-DG88*$C$24</f>
        <v>-13896.8852565112</v>
      </c>
      <c r="DH101" s="180" t="n">
        <f aca="false">-DH88*$C$24</f>
        <v>-14825.7002163552</v>
      </c>
      <c r="DI101" s="180" t="n">
        <f aca="false">-DI88*$C$24</f>
        <v>-15217.3337478096</v>
      </c>
      <c r="DJ101" s="180" t="n">
        <f aca="false">-DJ88*$C$24</f>
        <v>-14730.644141608</v>
      </c>
      <c r="DK101" s="180" t="n">
        <f aca="false">-DK88*$C$24</f>
        <v>-15792.4737615216</v>
      </c>
      <c r="DL101" s="180" t="n">
        <f aca="false">-DL88*$C$24</f>
        <v>-16118.45502172</v>
      </c>
      <c r="DM101" s="180" t="n">
        <f aca="false">-DM88*$C$24</f>
        <v>-15861.7825615712</v>
      </c>
      <c r="DN101" s="180" t="n">
        <f aca="false">-DN88*$C$24</f>
        <v>-15626.9958036032</v>
      </c>
      <c r="DO101" s="180" t="n">
        <f aca="false">-DO88*$C$24</f>
        <v>-15903.8825033808</v>
      </c>
      <c r="DP101" s="180" t="n">
        <f aca="false">-DP88*$C$24</f>
        <v>-17655.7902099136</v>
      </c>
      <c r="DQ101" s="180" t="n">
        <f aca="false">-DQ88*$C$24</f>
        <v>-17652.0878588864</v>
      </c>
      <c r="DR101" s="180" t="n">
        <f aca="false">-DR88*$C$24</f>
        <v>-17312.1802288608</v>
      </c>
      <c r="DS101" s="180" t="n">
        <f aca="false">-DS88*$C$24</f>
        <v>-16537.9962451672</v>
      </c>
      <c r="DT101" s="180" t="n">
        <f aca="false">-DT88*$C$24</f>
        <v>-17573.851357</v>
      </c>
      <c r="DU101" s="180" t="n">
        <f aca="false">-DU88*$C$24</f>
        <v>-17963.4878670816</v>
      </c>
      <c r="DV101" s="180" t="n">
        <f aca="false">-DV88*$C$24</f>
        <v>-17572.2776159864</v>
      </c>
      <c r="DW101" s="180" t="n">
        <f aca="false">-DW88*$C$24</f>
        <v>-18477.2941332048</v>
      </c>
      <c r="DX101" s="180" t="n">
        <f aca="false">-DX88*$C$24</f>
        <v>-18691.9905588816</v>
      </c>
      <c r="DY101" s="180" t="n">
        <f aca="false">-DY88*$C$24</f>
        <v>-18556.5005518048</v>
      </c>
      <c r="DZ101" s="180" t="n">
        <f aca="false">-DZ88*$C$24</f>
        <v>-18407.9218396032</v>
      </c>
      <c r="EA101" s="180" t="n">
        <f aca="false">-EA88*$C$24</f>
        <v>-18673.4650032528</v>
      </c>
      <c r="EB101" s="180" t="n">
        <f aca="false">-EB88*$C$24</f>
        <v>-20062.0476838032</v>
      </c>
      <c r="EC101" s="180" t="n">
        <f aca="false">-EC88*$C$24</f>
        <v>-19890.45556436</v>
      </c>
      <c r="ED101" s="180" t="n">
        <f aca="false">-ED88*$C$24</f>
        <v>-19655.4771281248</v>
      </c>
      <c r="EE101" s="180" t="n">
        <f aca="false">-EE88*$C$24</f>
        <v>-19202.9936455088</v>
      </c>
      <c r="EF101" s="180" t="n">
        <f aca="false">-EF88*$C$24</f>
        <v>-20318.1493897296</v>
      </c>
      <c r="EG101" s="180" t="n">
        <f aca="false">-EG88*$C$24</f>
        <v>-20972.7884730968</v>
      </c>
      <c r="EH101" s="180" t="n">
        <f aca="false">-EH88*$C$24</f>
        <v>-20520.8994493944</v>
      </c>
      <c r="EI101" s="180" t="n">
        <f aca="false">-EI88*$C$24</f>
        <v>-22025.7856162656</v>
      </c>
      <c r="EJ101" s="180" t="n">
        <f aca="false">-EJ88*$C$24</f>
        <v>-22346.948046704</v>
      </c>
      <c r="EK101" s="180" t="n">
        <f aca="false">-EK88*$C$24</f>
        <v>-21982.7988955456</v>
      </c>
      <c r="EL101" s="180" t="n">
        <f aca="false">-EL88*$C$24</f>
        <v>-21748.9527984832</v>
      </c>
      <c r="EM101" s="180" t="n">
        <f aca="false">-EM88*$C$24</f>
        <v>-22253.6831789912</v>
      </c>
      <c r="EN101" s="180" t="n">
        <f aca="false">-EN88*$C$24</f>
        <v>-24698.4494401632</v>
      </c>
      <c r="EO101" s="180" t="n">
        <f aca="false">-EO88*$C$24</f>
        <v>-24625.651967368</v>
      </c>
      <c r="EP101" s="180" t="n">
        <f aca="false">-EP88*$C$24</f>
        <v>-24357.1231734224</v>
      </c>
      <c r="EQ101" s="180" t="n">
        <f aca="false">-EQ88*$C$24</f>
        <v>-23246.7564811736</v>
      </c>
      <c r="ER101" s="180" t="n">
        <f aca="false">-ER88*$C$24</f>
        <v>-24939.3149575952</v>
      </c>
    </row>
    <row r="102" customFormat="false" ht="15" hidden="false" customHeight="false" outlineLevel="0" collapsed="false">
      <c r="B102" s="18" t="s">
        <v>1200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0" t="n">
        <f aca="false">-(AC80*$C$26+AC81*$C$27+AC82*$C$28+AC83*$C$29+AC84*$C$30)</f>
        <v>-900</v>
      </c>
      <c r="AD102" s="180" t="n">
        <f aca="false">-(AD80*$C$26+AD81*$C$27+AD82*$C$28+AD83*$C$29+AD84*$C$30)</f>
        <v>-1200</v>
      </c>
      <c r="AE102" s="180" t="n">
        <f aca="false">-(AE80*$C$26+AE81*$C$27+AE82*$C$28+AE83*$C$29+AE84*$C$30)</f>
        <v>-1200</v>
      </c>
      <c r="AF102" s="180" t="n">
        <f aca="false">-(AF80*$C$26+AF81*$C$27+AF82*$C$28+AF83*$C$29+AF84*$C$30)</f>
        <v>-1200</v>
      </c>
      <c r="AG102" s="180" t="n">
        <f aca="false">-(AG80*$C$26+AG81*$C$27+AG82*$C$28+AG83*$C$29+AG84*$C$30)</f>
        <v>-1850</v>
      </c>
      <c r="AH102" s="180" t="n">
        <f aca="false">-(AH80*$C$26+AH81*$C$27+AH82*$C$28+AH83*$C$29+AH84*$C$30)</f>
        <v>-1850</v>
      </c>
      <c r="AI102" s="180" t="n">
        <f aca="false">-(AI80*$C$26+AI81*$C$27+AI82*$C$28+AI83*$C$29+AI84*$C$30)</f>
        <v>-1850</v>
      </c>
      <c r="AJ102" s="180" t="n">
        <f aca="false">-(AJ80*$C$26+AJ81*$C$27+AJ82*$C$28+AJ83*$C$29+AJ84*$C$30)</f>
        <v>-1850</v>
      </c>
      <c r="AK102" s="180" t="n">
        <f aca="false">-(AK80*$C$26+AK81*$C$27+AK82*$C$28+AK83*$C$29+AK84*$C$30)</f>
        <v>-1850</v>
      </c>
      <c r="AL102" s="180" t="n">
        <f aca="false">-(AL80*$C$26+AL81*$C$27+AL82*$C$28+AL83*$C$29+AL84*$C$30)</f>
        <v>-1850</v>
      </c>
      <c r="AM102" s="180" t="n">
        <f aca="false">-(AM80*$C$26+AM81*$C$27+AM82*$C$28+AM83*$C$29+AM84*$C$30)</f>
        <v>-1850</v>
      </c>
      <c r="AN102" s="180" t="n">
        <f aca="false">-(AN80*$C$26+AN81*$C$27+AN82*$C$28+AN83*$C$29+AN84*$C$30)</f>
        <v>-2750</v>
      </c>
      <c r="AO102" s="180" t="n">
        <f aca="false">-(AO80*$C$26+AO81*$C$27+AO82*$C$28+AO83*$C$29+AO84*$C$30)</f>
        <v>-2750</v>
      </c>
      <c r="AP102" s="180" t="n">
        <f aca="false">-(AP80*$C$26+AP81*$C$27+AP82*$C$28+AP83*$C$29+AP84*$C$30)</f>
        <v>-2750</v>
      </c>
      <c r="AQ102" s="180" t="n">
        <f aca="false">-(AQ80*$C$26+AQ81*$C$27+AQ82*$C$28+AQ83*$C$29+AQ84*$C$30)</f>
        <v>-2750</v>
      </c>
      <c r="AR102" s="180" t="n">
        <f aca="false">-(AR80*$C$26+AR81*$C$27+AR82*$C$28+AR83*$C$29+AR84*$C$30)</f>
        <v>-2750</v>
      </c>
      <c r="AS102" s="180" t="n">
        <f aca="false">-(AS80*$C$26+AS81*$C$27+AS82*$C$28+AS83*$C$29+AS84*$C$30)</f>
        <v>-2750</v>
      </c>
      <c r="AT102" s="180" t="n">
        <f aca="false">-(AT80*$C$26+AT81*$C$27+AT82*$C$28+AT83*$C$29+AT84*$C$30)</f>
        <v>-2750</v>
      </c>
      <c r="AU102" s="180" t="n">
        <f aca="false">-(AU80*$C$26+AU81*$C$27+AU82*$C$28+AU83*$C$29+AU84*$C$30)</f>
        <v>-2750</v>
      </c>
      <c r="AV102" s="180" t="n">
        <f aca="false">-(AV80*$C$26+AV81*$C$27+AV82*$C$28+AV83*$C$29+AV84*$C$30)</f>
        <v>-2750</v>
      </c>
      <c r="AW102" s="180" t="n">
        <f aca="false">-(AW80*$C$26+AW81*$C$27+AW82*$C$28+AW83*$C$29+AW84*$C$30)</f>
        <v>-2750</v>
      </c>
      <c r="AX102" s="180" t="n">
        <f aca="false">-(AX80*$C$26+AX81*$C$27+AX82*$C$28+AX83*$C$29+AX84*$C$30)</f>
        <v>-2750</v>
      </c>
      <c r="AY102" s="180" t="n">
        <f aca="false">-(AY80*$C$26+AY81*$C$27+AY82*$C$28+AY83*$C$29+AY84*$C$30)</f>
        <v>-2750</v>
      </c>
      <c r="AZ102" s="180" t="n">
        <f aca="false">-(AZ80*$C$26+AZ81*$C$27+AZ82*$C$28+AZ83*$C$29+AZ84*$C$30)</f>
        <v>-2750</v>
      </c>
      <c r="BA102" s="180" t="n">
        <f aca="false">-(BA80*$C$26+BA81*$C$27+BA82*$C$28+BA83*$C$29+BA84*$C$30)</f>
        <v>-3400</v>
      </c>
      <c r="BB102" s="180" t="n">
        <f aca="false">-(BB80*$C$26+BB81*$C$27+BB82*$C$28+BB83*$C$29+BB84*$C$30)</f>
        <v>-4300</v>
      </c>
      <c r="BC102" s="180" t="n">
        <f aca="false">-(BC80*$C$26+BC81*$C$27+BC82*$C$28+BC83*$C$29+BC84*$C$30)</f>
        <v>-4950</v>
      </c>
      <c r="BD102" s="180" t="n">
        <f aca="false">-(BD80*$C$26+BD81*$C$27+BD82*$C$28+BD83*$C$29+BD84*$C$30)</f>
        <v>-5850</v>
      </c>
      <c r="BE102" s="180" t="n">
        <f aca="false">-(BE80*$C$26+BE81*$C$27+BE82*$C$28+BE83*$C$29+BE84*$C$30)</f>
        <v>-5850</v>
      </c>
      <c r="BF102" s="180" t="n">
        <f aca="false">-(BF80*$C$26+BF81*$C$27+BF82*$C$28+BF83*$C$29+BF84*$C$30)</f>
        <v>-6750</v>
      </c>
      <c r="BG102" s="180" t="n">
        <f aca="false">-(BG80*$C$26+BG81*$C$27+BG82*$C$28+BG83*$C$29+BG84*$C$30)</f>
        <v>-6750</v>
      </c>
      <c r="BH102" s="180" t="n">
        <f aca="false">-(BH80*$C$26+BH81*$C$27+BH82*$C$28+BH83*$C$29+BH84*$C$30)</f>
        <v>-7650</v>
      </c>
      <c r="BI102" s="180" t="n">
        <f aca="false">-(BI80*$C$26+BI81*$C$27+BI82*$C$28+BI83*$C$29+BI84*$C$30)</f>
        <v>-7650</v>
      </c>
      <c r="BJ102" s="180" t="n">
        <f aca="false">-(BJ80*$C$26+BJ81*$C$27+BJ82*$C$28+BJ83*$C$29+BJ84*$C$30)</f>
        <v>-8550</v>
      </c>
      <c r="BK102" s="180" t="n">
        <f aca="false">-(BK80*$C$26+BK81*$C$27+BK82*$C$28+BK83*$C$29+BK84*$C$30)</f>
        <v>-8550</v>
      </c>
      <c r="BL102" s="180" t="n">
        <f aca="false">-(BL80*$C$26+BL81*$C$27+BL82*$C$28+BL83*$C$29+BL84*$C$30)</f>
        <v>-8550</v>
      </c>
      <c r="BM102" s="180" t="n">
        <f aca="false">-(BM80*$C$26+BM81*$C$27+BM82*$C$28+BM83*$C$29+BM84*$C$30)</f>
        <v>-8550</v>
      </c>
      <c r="BN102" s="180" t="n">
        <f aca="false">-(BN80*$C$26+BN81*$C$27+BN82*$C$28+BN83*$C$29+BN84*$C$30)</f>
        <v>-8550</v>
      </c>
      <c r="BO102" s="180" t="n">
        <f aca="false">-(BO80*$C$26+BO81*$C$27+BO82*$C$28+BO83*$C$29+BO84*$C$30)</f>
        <v>-9200</v>
      </c>
      <c r="BP102" s="180" t="n">
        <f aca="false">-(BP80*$C$26+BP81*$C$27+BP82*$C$28+BP83*$C$29+BP84*$C$30)</f>
        <v>-9200</v>
      </c>
      <c r="BQ102" s="180" t="n">
        <f aca="false">-(BQ80*$C$26+BQ81*$C$27+BQ82*$C$28+BQ83*$C$29+BQ84*$C$30)</f>
        <v>-9850</v>
      </c>
      <c r="BR102" s="180" t="n">
        <f aca="false">-(BR80*$C$26+BR81*$C$27+BR82*$C$28+BR83*$C$29+BR84*$C$30)</f>
        <v>-9850</v>
      </c>
      <c r="BS102" s="180" t="n">
        <f aca="false">-(BS80*$C$26+BS81*$C$27+BS82*$C$28+BS83*$C$29+BS84*$C$30)</f>
        <v>-10500</v>
      </c>
      <c r="BT102" s="180" t="n">
        <f aca="false">-(BT80*$C$26+BT81*$C$27+BT82*$C$28+BT83*$C$29+BT84*$C$30)</f>
        <v>-10500</v>
      </c>
      <c r="BU102" s="180" t="n">
        <f aca="false">-(BU80*$C$26+BU81*$C$27+BU82*$C$28+BU83*$C$29+BU84*$C$30)</f>
        <v>-12050</v>
      </c>
      <c r="BV102" s="180" t="n">
        <f aca="false">-(BV80*$C$26+BV81*$C$27+BV82*$C$28+BV83*$C$29+BV84*$C$30)</f>
        <v>-12050</v>
      </c>
      <c r="BW102" s="180" t="n">
        <f aca="false">-(BW80*$C$26+BW81*$C$27+BW82*$C$28+BW83*$C$29+BW84*$C$30)</f>
        <v>-12950</v>
      </c>
      <c r="BX102" s="180" t="n">
        <f aca="false">-(BX80*$C$26+BX81*$C$27+BX82*$C$28+BX83*$C$29+BX84*$C$30)</f>
        <v>-13600</v>
      </c>
      <c r="BY102" s="180" t="n">
        <f aca="false">-(BY80*$C$26+BY81*$C$27+BY82*$C$28+BY83*$C$29+BY84*$C$30)</f>
        <v>-13600</v>
      </c>
      <c r="BZ102" s="180" t="n">
        <f aca="false">-(BZ80*$C$26+BZ81*$C$27+BZ82*$C$28+BZ83*$C$29+BZ84*$C$30)</f>
        <v>-13600</v>
      </c>
      <c r="CA102" s="180" t="n">
        <f aca="false">-(CA80*$C$26+CA81*$C$27+CA82*$C$28+CA83*$C$29+CA84*$C$30)</f>
        <v>-13600</v>
      </c>
      <c r="CB102" s="180" t="n">
        <f aca="false">-(CB80*$C$26+CB81*$C$27+CB82*$C$28+CB83*$C$29+CB84*$C$30)</f>
        <v>-13600</v>
      </c>
      <c r="CC102" s="180" t="n">
        <f aca="false">-(CC80*$C$26+CC81*$C$27+CC82*$C$28+CC83*$C$29+CC84*$C$30)</f>
        <v>-13600</v>
      </c>
      <c r="CD102" s="180" t="n">
        <f aca="false">-(CD80*$C$26+CD81*$C$27+CD82*$C$28+CD83*$C$29+CD84*$C$30)</f>
        <v>-13600</v>
      </c>
      <c r="CE102" s="180" t="n">
        <f aca="false">-(CE80*$C$26+CE81*$C$27+CE82*$C$28+CE83*$C$29+CE84*$C$30)</f>
        <v>-13600</v>
      </c>
      <c r="CF102" s="180" t="n">
        <f aca="false">-(CF80*$C$26+CF81*$C$27+CF82*$C$28+CF83*$C$29+CF84*$C$30)</f>
        <v>-14150</v>
      </c>
      <c r="CG102" s="180" t="n">
        <f aca="false">-(CG80*$C$26+CG81*$C$27+CG82*$C$28+CG83*$C$29+CG84*$C$30)</f>
        <v>-14150</v>
      </c>
      <c r="CH102" s="180" t="n">
        <f aca="false">-(CH80*$C$26+CH81*$C$27+CH82*$C$28+CH83*$C$29+CH84*$C$30)</f>
        <v>-14150</v>
      </c>
      <c r="CI102" s="180" t="n">
        <f aca="false">-(CI80*$C$26+CI81*$C$27+CI82*$C$28+CI83*$C$29+CI84*$C$30)</f>
        <v>-14150</v>
      </c>
      <c r="CJ102" s="180" t="n">
        <f aca="false">-(CJ80*$C$26+CJ81*$C$27+CJ82*$C$28+CJ83*$C$29+CJ84*$C$30)</f>
        <v>-14150</v>
      </c>
      <c r="CK102" s="180" t="n">
        <f aca="false">-(CK80*$C$26+CK81*$C$27+CK82*$C$28+CK83*$C$29+CK84*$C$30)</f>
        <v>-14800</v>
      </c>
      <c r="CL102" s="180" t="n">
        <f aca="false">-(CL80*$C$26+CL81*$C$27+CL82*$C$28+CL83*$C$29+CL84*$C$30)</f>
        <v>-15450</v>
      </c>
      <c r="CM102" s="180" t="n">
        <f aca="false">-(CM80*$C$26+CM81*$C$27+CM82*$C$28+CM83*$C$29+CM84*$C$30)</f>
        <v>-15450</v>
      </c>
      <c r="CN102" s="180" t="n">
        <f aca="false">-(CN80*$C$26+CN81*$C$27+CN82*$C$28+CN83*$C$29+CN84*$C$30)</f>
        <v>-16000</v>
      </c>
      <c r="CO102" s="180" t="n">
        <f aca="false">-(CO80*$C$26+CO81*$C$27+CO82*$C$28+CO83*$C$29+CO84*$C$30)</f>
        <v>-16000</v>
      </c>
      <c r="CP102" s="180" t="n">
        <f aca="false">-(CP80*$C$26+CP81*$C$27+CP82*$C$28+CP83*$C$29+CP84*$C$30)</f>
        <v>-16900</v>
      </c>
      <c r="CQ102" s="180" t="n">
        <f aca="false">-(CQ80*$C$26+CQ81*$C$27+CQ82*$C$28+CQ83*$C$29+CQ84*$C$30)</f>
        <v>-16900</v>
      </c>
      <c r="CR102" s="180" t="n">
        <f aca="false">-(CR80*$C$26+CR81*$C$27+CR82*$C$28+CR83*$C$29+CR84*$C$30)</f>
        <v>-16900</v>
      </c>
      <c r="CS102" s="180" t="n">
        <f aca="false">-(CS80*$C$26+CS81*$C$27+CS82*$C$28+CS83*$C$29+CS84*$C$30)</f>
        <v>-16900</v>
      </c>
      <c r="CT102" s="180" t="n">
        <f aca="false">-(CT80*$C$26+CT81*$C$27+CT82*$C$28+CT83*$C$29+CT84*$C$30)</f>
        <v>-16900</v>
      </c>
      <c r="CU102" s="180" t="n">
        <f aca="false">-(CU80*$C$26+CU81*$C$27+CU82*$C$28+CU83*$C$29+CU84*$C$30)</f>
        <v>-16900</v>
      </c>
      <c r="CV102" s="180" t="n">
        <f aca="false">-(CV80*$C$26+CV81*$C$27+CV82*$C$28+CV83*$C$29+CV84*$C$30)</f>
        <v>-16900</v>
      </c>
      <c r="CW102" s="180" t="n">
        <f aca="false">-(CW80*$C$26+CW81*$C$27+CW82*$C$28+CW83*$C$29+CW84*$C$30)</f>
        <v>-17550</v>
      </c>
      <c r="CX102" s="180" t="n">
        <f aca="false">-(CX80*$C$26+CX81*$C$27+CX82*$C$28+CX83*$C$29+CX84*$C$30)</f>
        <v>-18100</v>
      </c>
      <c r="CY102" s="180" t="n">
        <f aca="false">-(CY80*$C$26+CY81*$C$27+CY82*$C$28+CY83*$C$29+CY84*$C$30)</f>
        <v>-18750</v>
      </c>
      <c r="CZ102" s="180" t="n">
        <f aca="false">-(CZ80*$C$26+CZ81*$C$27+CZ82*$C$28+CZ83*$C$29+CZ84*$C$30)</f>
        <v>-19650</v>
      </c>
      <c r="DA102" s="180" t="n">
        <f aca="false">-(DA80*$C$26+DA81*$C$27+DA82*$C$28+DA83*$C$29+DA84*$C$30)</f>
        <v>-20950</v>
      </c>
      <c r="DB102" s="180" t="n">
        <f aca="false">-(DB80*$C$26+DB81*$C$27+DB82*$C$28+DB83*$C$29+DB84*$C$30)</f>
        <v>-20950</v>
      </c>
      <c r="DC102" s="180" t="n">
        <f aca="false">-(DC80*$C$26+DC81*$C$27+DC82*$C$28+DC83*$C$29+DC84*$C$30)</f>
        <v>-20950</v>
      </c>
      <c r="DD102" s="180" t="n">
        <f aca="false">-(DD80*$C$26+DD81*$C$27+DD82*$C$28+DD83*$C$29+DD84*$C$30)</f>
        <v>-20950</v>
      </c>
      <c r="DE102" s="180" t="n">
        <f aca="false">-(DE80*$C$26+DE81*$C$27+DE82*$C$28+DE83*$C$29+DE84*$C$30)</f>
        <v>-20950</v>
      </c>
      <c r="DF102" s="180" t="n">
        <f aca="false">-(DF80*$C$26+DF81*$C$27+DF82*$C$28+DF83*$C$29+DF84*$C$30)</f>
        <v>-21500</v>
      </c>
      <c r="DG102" s="180" t="n">
        <f aca="false">-(DG80*$C$26+DG81*$C$27+DG82*$C$28+DG83*$C$29+DG84*$C$30)</f>
        <v>-21500</v>
      </c>
      <c r="DH102" s="180" t="n">
        <f aca="false">-(DH80*$C$26+DH81*$C$27+DH82*$C$28+DH83*$C$29+DH84*$C$30)</f>
        <v>-21500</v>
      </c>
      <c r="DI102" s="180" t="n">
        <f aca="false">-(DI80*$C$26+DI81*$C$27+DI82*$C$28+DI83*$C$29+DI84*$C$30)</f>
        <v>-21500</v>
      </c>
      <c r="DJ102" s="180" t="n">
        <f aca="false">-(DJ80*$C$26+DJ81*$C$27+DJ82*$C$28+DJ83*$C$29+DJ84*$C$30)</f>
        <v>-21500</v>
      </c>
      <c r="DK102" s="180" t="n">
        <f aca="false">-(DK80*$C$26+DK81*$C$27+DK82*$C$28+DK83*$C$29+DK84*$C$30)</f>
        <v>-22150</v>
      </c>
      <c r="DL102" s="180" t="n">
        <f aca="false">-(DL80*$C$26+DL81*$C$27+DL82*$C$28+DL83*$C$29+DL84*$C$30)</f>
        <v>-23050</v>
      </c>
      <c r="DM102" s="180" t="n">
        <f aca="false">-(DM80*$C$26+DM81*$C$27+DM82*$C$28+DM83*$C$29+DM84*$C$30)</f>
        <v>-23050</v>
      </c>
      <c r="DN102" s="180" t="n">
        <f aca="false">-(DN80*$C$26+DN81*$C$27+DN82*$C$28+DN83*$C$29+DN84*$C$30)</f>
        <v>-23050</v>
      </c>
      <c r="DO102" s="180" t="n">
        <f aca="false">-(DO80*$C$26+DO81*$C$27+DO82*$C$28+DO83*$C$29+DO84*$C$30)</f>
        <v>-23050</v>
      </c>
      <c r="DP102" s="180" t="n">
        <f aca="false">-(DP80*$C$26+DP81*$C$27+DP82*$C$28+DP83*$C$29+DP84*$C$30)</f>
        <v>-23700</v>
      </c>
      <c r="DQ102" s="180" t="n">
        <f aca="false">-(DQ80*$C$26+DQ81*$C$27+DQ82*$C$28+DQ83*$C$29+DQ84*$C$30)</f>
        <v>-24350</v>
      </c>
      <c r="DR102" s="180" t="n">
        <f aca="false">-(DR80*$C$26+DR81*$C$27+DR82*$C$28+DR83*$C$29+DR84*$C$30)</f>
        <v>-24350</v>
      </c>
      <c r="DS102" s="180" t="n">
        <f aca="false">-(DS80*$C$26+DS81*$C$27+DS82*$C$28+DS83*$C$29+DS84*$C$30)</f>
        <v>-24350</v>
      </c>
      <c r="DT102" s="180" t="n">
        <f aca="false">-(DT80*$C$26+DT81*$C$27+DT82*$C$28+DT83*$C$29+DT84*$C$30)</f>
        <v>-24350</v>
      </c>
      <c r="DU102" s="180" t="n">
        <f aca="false">-(DU80*$C$26+DU81*$C$27+DU82*$C$28+DU83*$C$29+DU84*$C$30)</f>
        <v>-24900</v>
      </c>
      <c r="DV102" s="180" t="n">
        <f aca="false">-(DV80*$C$26+DV81*$C$27+DV82*$C$28+DV83*$C$29+DV84*$C$30)</f>
        <v>-25550</v>
      </c>
      <c r="DW102" s="180" t="n">
        <f aca="false">-(DW80*$C$26+DW81*$C$27+DW82*$C$28+DW83*$C$29+DW84*$C$30)</f>
        <v>-26200</v>
      </c>
      <c r="DX102" s="180" t="n">
        <f aca="false">-(DX80*$C$26+DX81*$C$27+DX82*$C$28+DX83*$C$29+DX84*$C$30)</f>
        <v>-26850</v>
      </c>
      <c r="DY102" s="180" t="n">
        <f aca="false">-(DY80*$C$26+DY81*$C$27+DY82*$C$28+DY83*$C$29+DY84*$C$30)</f>
        <v>-27400</v>
      </c>
      <c r="DZ102" s="180" t="n">
        <f aca="false">-(DZ80*$C$26+DZ81*$C$27+DZ82*$C$28+DZ83*$C$29+DZ84*$C$30)</f>
        <v>-27400</v>
      </c>
      <c r="EA102" s="180" t="n">
        <f aca="false">-(EA80*$C$26+EA81*$C$27+EA82*$C$28+EA83*$C$29+EA84*$C$30)</f>
        <v>-27400</v>
      </c>
      <c r="EB102" s="180" t="n">
        <f aca="false">-(EB80*$C$26+EB81*$C$27+EB82*$C$28+EB83*$C$29+EB84*$C$30)</f>
        <v>-27400</v>
      </c>
      <c r="EC102" s="180" t="n">
        <f aca="false">-(EC80*$C$26+EC81*$C$27+EC82*$C$28+EC83*$C$29+EC84*$C$30)</f>
        <v>-27400</v>
      </c>
      <c r="ED102" s="180" t="n">
        <f aca="false">-(ED80*$C$26+ED81*$C$27+ED82*$C$28+ED83*$C$29+ED84*$C$30)</f>
        <v>-27950</v>
      </c>
      <c r="EE102" s="180" t="n">
        <f aca="false">-(EE80*$C$26+EE81*$C$27+EE82*$C$28+EE83*$C$29+EE84*$C$30)</f>
        <v>-28500</v>
      </c>
      <c r="EF102" s="180" t="n">
        <f aca="false">-(EF80*$C$26+EF81*$C$27+EF82*$C$28+EF83*$C$29+EF84*$C$30)</f>
        <v>-29400</v>
      </c>
      <c r="EG102" s="180" t="n">
        <f aca="false">-(EG80*$C$26+EG81*$C$27+EG82*$C$28+EG83*$C$29+EG84*$C$30)</f>
        <v>-30700</v>
      </c>
      <c r="EH102" s="180" t="n">
        <f aca="false">-(EH80*$C$26+EH81*$C$27+EH82*$C$28+EH83*$C$29+EH84*$C$30)</f>
        <v>-31900</v>
      </c>
      <c r="EI102" s="180" t="n">
        <f aca="false">-(EI80*$C$26+EI81*$C$27+EI82*$C$28+EI83*$C$29+EI84*$C$30)</f>
        <v>-33100</v>
      </c>
      <c r="EJ102" s="180" t="n">
        <f aca="false">-(EJ80*$C$26+EJ81*$C$27+EJ82*$C$28+EJ83*$C$29+EJ84*$C$30)</f>
        <v>-33650</v>
      </c>
      <c r="EK102" s="180" t="n">
        <f aca="false">-(EK80*$C$26+EK81*$C$27+EK82*$C$28+EK83*$C$29+EK84*$C$30)</f>
        <v>-33650</v>
      </c>
      <c r="EL102" s="180" t="n">
        <f aca="false">-(EL80*$C$26+EL81*$C$27+EL82*$C$28+EL83*$C$29+EL84*$C$30)</f>
        <v>-34200</v>
      </c>
      <c r="EM102" s="180" t="n">
        <f aca="false">-(EM80*$C$26+EM81*$C$27+EM82*$C$28+EM83*$C$29+EM84*$C$30)</f>
        <v>-34850</v>
      </c>
      <c r="EN102" s="180" t="n">
        <f aca="false">-(EN80*$C$26+EN81*$C$27+EN82*$C$28+EN83*$C$29+EN84*$C$30)</f>
        <v>-35400</v>
      </c>
      <c r="EO102" s="180" t="n">
        <f aca="false">-(EO80*$C$26+EO81*$C$27+EO82*$C$28+EO83*$C$29+EO84*$C$30)</f>
        <v>-35950</v>
      </c>
      <c r="EP102" s="180" t="n">
        <f aca="false">-(EP80*$C$26+EP81*$C$27+EP82*$C$28+EP83*$C$29+EP84*$C$30)</f>
        <v>-36850</v>
      </c>
      <c r="EQ102" s="180" t="n">
        <f aca="false">-(EQ80*$C$26+EQ81*$C$27+EQ82*$C$28+EQ83*$C$29+EQ84*$C$30)</f>
        <v>-36850</v>
      </c>
      <c r="ER102" s="180" t="n">
        <f aca="false">-(ER80*$C$26+ER81*$C$27+ER82*$C$28+ER83*$C$29+ER84*$C$30)</f>
        <v>-36850</v>
      </c>
    </row>
    <row r="103" customFormat="false" ht="15" hidden="false" customHeight="false" outlineLevel="0" collapsed="false">
      <c r="B103" s="18" t="s">
        <v>1201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0" t="n">
        <f aca="false">-AC88*$C$25</f>
        <v>-356.5296</v>
      </c>
      <c r="AD103" s="180" t="n">
        <f aca="false">-AD88*$C$25</f>
        <v>-440.0820288</v>
      </c>
      <c r="AE103" s="180" t="n">
        <f aca="false">-AE88*$C$25</f>
        <v>-666.73147968</v>
      </c>
      <c r="AF103" s="180" t="n">
        <f aca="false">-AF88*$C$25</f>
        <v>-738.860549184</v>
      </c>
      <c r="AG103" s="180" t="n">
        <f aca="false">-AG88*$C$25</f>
        <v>-930.7994352</v>
      </c>
      <c r="AH103" s="180" t="n">
        <f aca="false">-AH88*$C$25</f>
        <v>-931.575726528</v>
      </c>
      <c r="AI103" s="180" t="n">
        <f aca="false">-AI88*$C$25</f>
        <v>-1075.65697152</v>
      </c>
      <c r="AJ103" s="180" t="n">
        <f aca="false">-AJ88*$C$25</f>
        <v>-1938.000359232</v>
      </c>
      <c r="AK103" s="180" t="n">
        <f aca="false">-AK88*$C$25</f>
        <v>-1852.30105632</v>
      </c>
      <c r="AL103" s="180" t="n">
        <f aca="false">-AL88*$C$25</f>
        <v>-1667.387853312</v>
      </c>
      <c r="AM103" s="180" t="n">
        <f aca="false">-AM88*$C$25</f>
        <v>-1414.02016224</v>
      </c>
      <c r="AN103" s="180" t="n">
        <f aca="false">-AN88*$C$25</f>
        <v>-2347.962830304</v>
      </c>
      <c r="AO103" s="180" t="n">
        <f aca="false">-AO88*$C$25</f>
        <v>-2815.299176448</v>
      </c>
      <c r="AP103" s="180" t="n">
        <f aca="false">-AP88*$C$25</f>
        <v>-2407.201625568</v>
      </c>
      <c r="AQ103" s="180" t="n">
        <f aca="false">-AQ88*$C$25</f>
        <v>-3348.570748608</v>
      </c>
      <c r="AR103" s="180" t="n">
        <f aca="false">-AR88*$C$25</f>
        <v>-3691.608815808</v>
      </c>
      <c r="AS103" s="180" t="n">
        <f aca="false">-AS88*$C$25</f>
        <v>-3502.323214272</v>
      </c>
      <c r="AT103" s="180" t="n">
        <f aca="false">-AT88*$C$25</f>
        <v>-3318.282974304</v>
      </c>
      <c r="AU103" s="180" t="n">
        <f aca="false">-AU88*$C$25</f>
        <v>-3568.9166731584</v>
      </c>
      <c r="AV103" s="180" t="n">
        <f aca="false">-AV88*$C$25</f>
        <v>-5690.19445392</v>
      </c>
      <c r="AW103" s="180" t="n">
        <f aca="false">-AW88*$C$25</f>
        <v>-5484.806013792</v>
      </c>
      <c r="AX103" s="180" t="n">
        <f aca="false">-AX88*$C$25</f>
        <v>-4970.6567210112</v>
      </c>
      <c r="AY103" s="180" t="n">
        <f aca="false">-AY88*$C$25</f>
        <v>-4114.9982771328</v>
      </c>
      <c r="AZ103" s="180" t="n">
        <f aca="false">-AZ88*$C$25</f>
        <v>-5422.5105353616</v>
      </c>
      <c r="BA103" s="180" t="n">
        <f aca="false">-BA88*$C$25</f>
        <v>-6110.298313572</v>
      </c>
      <c r="BB103" s="180" t="n">
        <f aca="false">-BB88*$C$25</f>
        <v>-5648.8186465632</v>
      </c>
      <c r="BC103" s="180" t="n">
        <f aca="false">-BC88*$C$25</f>
        <v>-7488.228069084</v>
      </c>
      <c r="BD103" s="180" t="n">
        <f aca="false">-BD88*$C$25</f>
        <v>-8095.841998716</v>
      </c>
      <c r="BE103" s="180" t="n">
        <f aca="false">-BE88*$C$25</f>
        <v>-7774.1324200536</v>
      </c>
      <c r="BF103" s="180" t="n">
        <f aca="false">-BF88*$C$25</f>
        <v>-7754.799702252</v>
      </c>
      <c r="BG103" s="180" t="n">
        <f aca="false">-BG88*$C$25</f>
        <v>-8157.0443024664</v>
      </c>
      <c r="BH103" s="180" t="n">
        <f aca="false">-BH88*$C$25</f>
        <v>-10988.106615168</v>
      </c>
      <c r="BI103" s="180" t="n">
        <f aca="false">-BI88*$C$25</f>
        <v>-10952.083015296</v>
      </c>
      <c r="BJ103" s="180" t="n">
        <f aca="false">-BJ88*$C$25</f>
        <v>-10777.460815032</v>
      </c>
      <c r="BK103" s="180" t="n">
        <f aca="false">-BK88*$C$25</f>
        <v>-9734.7633409608</v>
      </c>
      <c r="BL103" s="180" t="n">
        <f aca="false">-BL88*$C$25</f>
        <v>-11766.7876827984</v>
      </c>
      <c r="BM103" s="180" t="n">
        <f aca="false">-BM88*$C$25</f>
        <v>-12661.311824256</v>
      </c>
      <c r="BN103" s="180" t="n">
        <f aca="false">-BN88*$C$25</f>
        <v>-11755.1790060816</v>
      </c>
      <c r="BO103" s="180" t="n">
        <f aca="false">-BO88*$C$25</f>
        <v>-14324.083606464</v>
      </c>
      <c r="BP103" s="180" t="n">
        <f aca="false">-BP88*$C$25</f>
        <v>-15009.96017232</v>
      </c>
      <c r="BQ103" s="180" t="n">
        <f aca="false">-BQ88*$C$25</f>
        <v>-14764.484235648</v>
      </c>
      <c r="BR103" s="180" t="n">
        <f aca="false">-BR88*$C$25</f>
        <v>-14469.972525696</v>
      </c>
      <c r="BS103" s="180" t="n">
        <f aca="false">-BS88*$C$25</f>
        <v>-15538.8157682256</v>
      </c>
      <c r="BT103" s="180" t="n">
        <f aca="false">-BT88*$C$25</f>
        <v>-20320.563166464</v>
      </c>
      <c r="BU103" s="180" t="n">
        <f aca="false">-BU88*$C$25</f>
        <v>-20808.7951094592</v>
      </c>
      <c r="BV103" s="180" t="n">
        <f aca="false">-BV88*$C$25</f>
        <v>-19739.9416703952</v>
      </c>
      <c r="BW103" s="180" t="n">
        <f aca="false">-BW88*$C$25</f>
        <v>-17946.906111732</v>
      </c>
      <c r="BX103" s="180" t="n">
        <f aca="false">-BX88*$C$25</f>
        <v>-21902.6760216864</v>
      </c>
      <c r="BY103" s="180" t="n">
        <f aca="false">-BY88*$C$25</f>
        <v>-23661.7766787216</v>
      </c>
      <c r="BZ103" s="180" t="n">
        <f aca="false">-BZ88*$C$25</f>
        <v>-21714.2752930632</v>
      </c>
      <c r="CA103" s="180" t="n">
        <f aca="false">-CA88*$C$25</f>
        <v>-25501.5430497024</v>
      </c>
      <c r="CB103" s="180" t="n">
        <f aca="false">-CB88*$C$25</f>
        <v>-25944.331240032</v>
      </c>
      <c r="CC103" s="180" t="n">
        <f aca="false">-CC88*$C$25</f>
        <v>-24981.368786712</v>
      </c>
      <c r="CD103" s="180" t="n">
        <f aca="false">-CD88*$C$25</f>
        <v>-24108.415077168</v>
      </c>
      <c r="CE103" s="180" t="n">
        <f aca="false">-CE88*$C$25</f>
        <v>-25093.6128262896</v>
      </c>
      <c r="CF103" s="180" t="n">
        <f aca="false">-CF88*$C$25</f>
        <v>-30087.9942912</v>
      </c>
      <c r="CG103" s="180" t="n">
        <f aca="false">-CG88*$C$25</f>
        <v>-29665.601890368</v>
      </c>
      <c r="CH103" s="180" t="n">
        <f aca="false">-CH88*$C$25</f>
        <v>-29087.5123949712</v>
      </c>
      <c r="CI103" s="180" t="n">
        <f aca="false">-CI88*$C$25</f>
        <v>-26785.1475402864</v>
      </c>
      <c r="CJ103" s="180" t="n">
        <f aca="false">-CJ88*$C$25</f>
        <v>-30355.9613463168</v>
      </c>
      <c r="CK103" s="180" t="n">
        <f aca="false">-CK88*$C$25</f>
        <v>-31623.606338112</v>
      </c>
      <c r="CL103" s="180" t="n">
        <f aca="false">-CL88*$C$25</f>
        <v>-30659.6033867328</v>
      </c>
      <c r="CM103" s="180" t="n">
        <f aca="false">-CM88*$C$25</f>
        <v>-33450.0010393344</v>
      </c>
      <c r="CN103" s="180" t="n">
        <f aca="false">-CN88*$C$25</f>
        <v>-33914.5354954368</v>
      </c>
      <c r="CO103" s="180" t="n">
        <f aca="false">-CO88*$C$25</f>
        <v>-33199.8023761608</v>
      </c>
      <c r="CP103" s="180" t="n">
        <f aca="false">-CP88*$C$25</f>
        <v>-32767.6262577936</v>
      </c>
      <c r="CQ103" s="180" t="n">
        <f aca="false">-CQ88*$C$25</f>
        <v>-33421.1839013856</v>
      </c>
      <c r="CR103" s="180" t="n">
        <f aca="false">-CR88*$C$25</f>
        <v>-36194.746380096</v>
      </c>
      <c r="CS103" s="180" t="n">
        <f aca="false">-CS88*$C$25</f>
        <v>-36120.152917632</v>
      </c>
      <c r="CT103" s="180" t="n">
        <f aca="false">-CT88*$C$25</f>
        <v>-35697.5613918816</v>
      </c>
      <c r="CU103" s="180" t="n">
        <f aca="false">-CU88*$C$25</f>
        <v>-34370.859186864</v>
      </c>
      <c r="CV103" s="180" t="n">
        <f aca="false">-CV88*$C$25</f>
        <v>-36422.155433952</v>
      </c>
      <c r="CW103" s="180" t="n">
        <f aca="false">-CW88*$C$25</f>
        <v>-37322.1394335552</v>
      </c>
      <c r="CX103" s="180" t="n">
        <f aca="false">-CX88*$C$25</f>
        <v>-36823.1378018976</v>
      </c>
      <c r="CY103" s="180" t="n">
        <f aca="false">-CY88*$C$25</f>
        <v>-38780.3215704576</v>
      </c>
      <c r="CZ103" s="180" t="n">
        <f aca="false">-CZ88*$C$25</f>
        <v>-39652.1325960384</v>
      </c>
      <c r="DA103" s="180" t="n">
        <f aca="false">-DA88*$C$25</f>
        <v>-39834.628589352</v>
      </c>
      <c r="DB103" s="180" t="n">
        <f aca="false">-DB88*$C$25</f>
        <v>-39485.6967935856</v>
      </c>
      <c r="DC103" s="180" t="n">
        <f aca="false">-DC88*$C$25</f>
        <v>-40211.3990148624</v>
      </c>
      <c r="DD103" s="180" t="n">
        <f aca="false">-DD88*$C$25</f>
        <v>-44088.2591088</v>
      </c>
      <c r="DE103" s="180" t="n">
        <f aca="false">-DE88*$C$25</f>
        <v>-43907.11422336</v>
      </c>
      <c r="DF103" s="180" t="n">
        <f aca="false">-DF88*$C$25</f>
        <v>-43354.1846629248</v>
      </c>
      <c r="DG103" s="180" t="n">
        <f aca="false">-DG88*$C$25</f>
        <v>-41690.6557695336</v>
      </c>
      <c r="DH103" s="180" t="n">
        <f aca="false">-DH88*$C$25</f>
        <v>-44477.1006490656</v>
      </c>
      <c r="DI103" s="180" t="n">
        <f aca="false">-DI88*$C$25</f>
        <v>-45652.0012434288</v>
      </c>
      <c r="DJ103" s="180" t="n">
        <f aca="false">-DJ88*$C$25</f>
        <v>-44191.932424824</v>
      </c>
      <c r="DK103" s="180" t="n">
        <f aca="false">-DK88*$C$25</f>
        <v>-47377.4212845648</v>
      </c>
      <c r="DL103" s="180" t="n">
        <f aca="false">-DL88*$C$25</f>
        <v>-48355.36506516</v>
      </c>
      <c r="DM103" s="180" t="n">
        <f aca="false">-DM88*$C$25</f>
        <v>-47585.3476847136</v>
      </c>
      <c r="DN103" s="180" t="n">
        <f aca="false">-DN88*$C$25</f>
        <v>-46880.9874108096</v>
      </c>
      <c r="DO103" s="180" t="n">
        <f aca="false">-DO88*$C$25</f>
        <v>-47711.6475101424</v>
      </c>
      <c r="DP103" s="180" t="n">
        <f aca="false">-DP88*$C$25</f>
        <v>-52967.3706297408</v>
      </c>
      <c r="DQ103" s="180" t="n">
        <f aca="false">-DQ88*$C$25</f>
        <v>-52956.2635766592</v>
      </c>
      <c r="DR103" s="180" t="n">
        <f aca="false">-DR88*$C$25</f>
        <v>-51936.5406865824</v>
      </c>
      <c r="DS103" s="180" t="n">
        <f aca="false">-DS88*$C$25</f>
        <v>-49613.9887355016</v>
      </c>
      <c r="DT103" s="180" t="n">
        <f aca="false">-DT88*$C$25</f>
        <v>-52721.554071</v>
      </c>
      <c r="DU103" s="180" t="n">
        <f aca="false">-DU88*$C$25</f>
        <v>-53890.4636012448</v>
      </c>
      <c r="DV103" s="180" t="n">
        <f aca="false">-DV88*$C$25</f>
        <v>-52716.8328479592</v>
      </c>
      <c r="DW103" s="180" t="n">
        <f aca="false">-DW88*$C$25</f>
        <v>-55431.8823996144</v>
      </c>
      <c r="DX103" s="180" t="n">
        <f aca="false">-DX88*$C$25</f>
        <v>-56075.9716766448</v>
      </c>
      <c r="DY103" s="180" t="n">
        <f aca="false">-DY88*$C$25</f>
        <v>-55669.5016554144</v>
      </c>
      <c r="DZ103" s="180" t="n">
        <f aca="false">-DZ88*$C$25</f>
        <v>-55223.7655188096</v>
      </c>
      <c r="EA103" s="180" t="n">
        <f aca="false">-EA88*$C$25</f>
        <v>-56020.3950097584</v>
      </c>
      <c r="EB103" s="180" t="n">
        <f aca="false">-EB88*$C$25</f>
        <v>-60186.1430514096</v>
      </c>
      <c r="EC103" s="180" t="n">
        <f aca="false">-EC88*$C$25</f>
        <v>-59671.36669308</v>
      </c>
      <c r="ED103" s="180" t="n">
        <f aca="false">-ED88*$C$25</f>
        <v>-58966.4313843744</v>
      </c>
      <c r="EE103" s="180" t="n">
        <f aca="false">-EE88*$C$25</f>
        <v>-57608.9809365264</v>
      </c>
      <c r="EF103" s="180" t="n">
        <f aca="false">-EF88*$C$25</f>
        <v>-60954.4481691888</v>
      </c>
      <c r="EG103" s="180" t="n">
        <f aca="false">-EG88*$C$25</f>
        <v>-62918.3654192904</v>
      </c>
      <c r="EH103" s="180" t="n">
        <f aca="false">-EH88*$C$25</f>
        <v>-61562.6983481832</v>
      </c>
      <c r="EI103" s="180" t="n">
        <f aca="false">-EI88*$C$25</f>
        <v>-66077.3568487968</v>
      </c>
      <c r="EJ103" s="180" t="n">
        <f aca="false">-EJ88*$C$25</f>
        <v>-67040.844140112</v>
      </c>
      <c r="EK103" s="180" t="n">
        <f aca="false">-EK88*$C$25</f>
        <v>-65948.3966866368</v>
      </c>
      <c r="EL103" s="180" t="n">
        <f aca="false">-EL88*$C$25</f>
        <v>-65246.8583954496</v>
      </c>
      <c r="EM103" s="180" t="n">
        <f aca="false">-EM88*$C$25</f>
        <v>-66761.0495369736</v>
      </c>
      <c r="EN103" s="180" t="n">
        <f aca="false">-EN88*$C$25</f>
        <v>-74095.3483204896</v>
      </c>
      <c r="EO103" s="180" t="n">
        <f aca="false">-EO88*$C$25</f>
        <v>-73876.955902104</v>
      </c>
      <c r="EP103" s="180" t="n">
        <f aca="false">-EP88*$C$25</f>
        <v>-73071.3695202672</v>
      </c>
      <c r="EQ103" s="180" t="n">
        <f aca="false">-EQ88*$C$25</f>
        <v>-69740.2694435208</v>
      </c>
      <c r="ER103" s="180" t="n">
        <f aca="false">-ER88*$C$25</f>
        <v>-74817.9448727856</v>
      </c>
    </row>
    <row r="104" customFormat="false" ht="15" hidden="false" customHeight="false" outlineLevel="0" collapsed="false">
      <c r="B104" s="18" t="s">
        <v>1202</v>
      </c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40" t="n">
        <f aca="false">-(AC80*$E$26+AC81*$E$27+AC82*$E$28+AC83*$E$29+AC84*$E$30)</f>
        <v>-500</v>
      </c>
      <c r="AD104" s="40" t="n">
        <f aca="false">-(AD80*$E$26+AD81*$E$27+AD82*$E$28+AD83*$E$29+AD84*$E$30)</f>
        <v>-650</v>
      </c>
      <c r="AE104" s="40" t="n">
        <f aca="false">-(AE80*$E$26+AE81*$E$27+AE82*$E$28+AE83*$E$29+AE84*$E$30)</f>
        <v>-650</v>
      </c>
      <c r="AF104" s="40" t="n">
        <f aca="false">-(AF80*$E$26+AF81*$E$27+AF82*$E$28+AF83*$E$29+AF84*$E$30)</f>
        <v>-650</v>
      </c>
      <c r="AG104" s="40" t="n">
        <f aca="false">-(AG80*$E$26+AG81*$E$27+AG82*$E$28+AG83*$E$29+AG84*$E$30)</f>
        <v>-1050</v>
      </c>
      <c r="AH104" s="40" t="n">
        <f aca="false">-(AH80*$E$26+AH81*$E$27+AH82*$E$28+AH83*$E$29+AH84*$E$30)</f>
        <v>-1050</v>
      </c>
      <c r="AI104" s="40" t="n">
        <f aca="false">-(AI80*$E$26+AI81*$E$27+AI82*$E$28+AI83*$E$29+AI84*$E$30)</f>
        <v>-1050</v>
      </c>
      <c r="AJ104" s="40" t="n">
        <f aca="false">-(AJ80*$E$26+AJ81*$E$27+AJ82*$E$28+AJ83*$E$29+AJ84*$E$30)</f>
        <v>-1050</v>
      </c>
      <c r="AK104" s="40" t="n">
        <f aca="false">-(AK80*$E$26+AK81*$E$27+AK82*$E$28+AK83*$E$29+AK84*$E$30)</f>
        <v>-1050</v>
      </c>
      <c r="AL104" s="40" t="n">
        <f aca="false">-(AL80*$E$26+AL81*$E$27+AL82*$E$28+AL83*$E$29+AL84*$E$30)</f>
        <v>-1050</v>
      </c>
      <c r="AM104" s="40" t="n">
        <f aca="false">-(AM80*$E$26+AM81*$E$27+AM82*$E$28+AM83*$E$29+AM84*$E$30)</f>
        <v>-1050</v>
      </c>
      <c r="AN104" s="40" t="n">
        <f aca="false">-(AN80*$E$26+AN81*$E$27+AN82*$E$28+AN83*$E$29+AN84*$E$30)</f>
        <v>-1550</v>
      </c>
      <c r="AO104" s="40" t="n">
        <f aca="false">-(AO80*$E$26+AO81*$E$27+AO82*$E$28+AO83*$E$29+AO84*$E$30)</f>
        <v>-1550</v>
      </c>
      <c r="AP104" s="40" t="n">
        <f aca="false">-(AP80*$E$26+AP81*$E$27+AP82*$E$28+AP83*$E$29+AP84*$E$30)</f>
        <v>-1550</v>
      </c>
      <c r="AQ104" s="40" t="n">
        <f aca="false">-(AQ80*$E$26+AQ81*$E$27+AQ82*$E$28+AQ83*$E$29+AQ84*$E$30)</f>
        <v>-1550</v>
      </c>
      <c r="AR104" s="40" t="n">
        <f aca="false">-(AR80*$E$26+AR81*$E$27+AR82*$E$28+AR83*$E$29+AR84*$E$30)</f>
        <v>-1550</v>
      </c>
      <c r="AS104" s="40" t="n">
        <f aca="false">-(AS80*$E$26+AS81*$E$27+AS82*$E$28+AS83*$E$29+AS84*$E$30)</f>
        <v>-1550</v>
      </c>
      <c r="AT104" s="40" t="n">
        <f aca="false">-(AT80*$E$26+AT81*$E$27+AT82*$E$28+AT83*$E$29+AT84*$E$30)</f>
        <v>-1550</v>
      </c>
      <c r="AU104" s="40" t="n">
        <f aca="false">-(AU80*$E$26+AU81*$E$27+AU82*$E$28+AU83*$E$29+AU84*$E$30)</f>
        <v>-1550</v>
      </c>
      <c r="AV104" s="40" t="n">
        <f aca="false">-(AV80*$E$26+AV81*$E$27+AV82*$E$28+AV83*$E$29+AV84*$E$30)</f>
        <v>-1550</v>
      </c>
      <c r="AW104" s="40" t="n">
        <f aca="false">-(AW80*$E$26+AW81*$E$27+AW82*$E$28+AW83*$E$29+AW84*$E$30)</f>
        <v>-1550</v>
      </c>
      <c r="AX104" s="40" t="n">
        <f aca="false">-(AX80*$E$26+AX81*$E$27+AX82*$E$28+AX83*$E$29+AX84*$E$30)</f>
        <v>-1550</v>
      </c>
      <c r="AY104" s="40" t="n">
        <f aca="false">-(AY80*$E$26+AY81*$E$27+AY82*$E$28+AY83*$E$29+AY84*$E$30)</f>
        <v>-1550</v>
      </c>
      <c r="AZ104" s="40" t="n">
        <f aca="false">-(AZ80*$E$26+AZ81*$E$27+AZ82*$E$28+AZ83*$E$29+AZ84*$E$30)</f>
        <v>-1550</v>
      </c>
      <c r="BA104" s="40" t="n">
        <f aca="false">-(BA80*$E$26+BA81*$E$27+BA82*$E$28+BA83*$E$29+BA84*$E$30)</f>
        <v>-1950</v>
      </c>
      <c r="BB104" s="40" t="n">
        <f aca="false">-(BB80*$E$26+BB81*$E$27+BB82*$E$28+BB83*$E$29+BB84*$E$30)</f>
        <v>-2450</v>
      </c>
      <c r="BC104" s="40" t="n">
        <f aca="false">-(BC80*$E$26+BC81*$E$27+BC82*$E$28+BC83*$E$29+BC84*$E$30)</f>
        <v>-2850</v>
      </c>
      <c r="BD104" s="40" t="n">
        <f aca="false">-(BD80*$E$26+BD81*$E$27+BD82*$E$28+BD83*$E$29+BD84*$E$30)</f>
        <v>-3350</v>
      </c>
      <c r="BE104" s="40" t="n">
        <f aca="false">-(BE80*$E$26+BE81*$E$27+BE82*$E$28+BE83*$E$29+BE84*$E$30)</f>
        <v>-3350</v>
      </c>
      <c r="BF104" s="40" t="n">
        <f aca="false">-(BF80*$E$26+BF81*$E$27+BF82*$E$28+BF83*$E$29+BF84*$E$30)</f>
        <v>-3850</v>
      </c>
      <c r="BG104" s="40" t="n">
        <f aca="false">-(BG80*$E$26+BG81*$E$27+BG82*$E$28+BG83*$E$29+BG84*$E$30)</f>
        <v>-3850</v>
      </c>
      <c r="BH104" s="40" t="n">
        <f aca="false">-(BH80*$E$26+BH81*$E$27+BH82*$E$28+BH83*$E$29+BH84*$E$30)</f>
        <v>-4350</v>
      </c>
      <c r="BI104" s="40" t="n">
        <f aca="false">-(BI80*$E$26+BI81*$E$27+BI82*$E$28+BI83*$E$29+BI84*$E$30)</f>
        <v>-4350</v>
      </c>
      <c r="BJ104" s="40" t="n">
        <f aca="false">-(BJ80*$E$26+BJ81*$E$27+BJ82*$E$28+BJ83*$E$29+BJ84*$E$30)</f>
        <v>-4850</v>
      </c>
      <c r="BK104" s="40" t="n">
        <f aca="false">-(BK80*$E$26+BK81*$E$27+BK82*$E$28+BK83*$E$29+BK84*$E$30)</f>
        <v>-4850</v>
      </c>
      <c r="BL104" s="40" t="n">
        <f aca="false">-(BL80*$E$26+BL81*$E$27+BL82*$E$28+BL83*$E$29+BL84*$E$30)</f>
        <v>-4850</v>
      </c>
      <c r="BM104" s="40" t="n">
        <f aca="false">-(BM80*$E$26+BM81*$E$27+BM82*$E$28+BM83*$E$29+BM84*$E$30)</f>
        <v>-4850</v>
      </c>
      <c r="BN104" s="40" t="n">
        <f aca="false">-(BN80*$E$26+BN81*$E$27+BN82*$E$28+BN83*$E$29+BN84*$E$30)</f>
        <v>-4850</v>
      </c>
      <c r="BO104" s="40" t="n">
        <f aca="false">-(BO80*$E$26+BO81*$E$27+BO82*$E$28+BO83*$E$29+BO84*$E$30)</f>
        <v>-5250</v>
      </c>
      <c r="BP104" s="40" t="n">
        <f aca="false">-(BP80*$E$26+BP81*$E$27+BP82*$E$28+BP83*$E$29+BP84*$E$30)</f>
        <v>-5250</v>
      </c>
      <c r="BQ104" s="40" t="n">
        <f aca="false">-(BQ80*$E$26+BQ81*$E$27+BQ82*$E$28+BQ83*$E$29+BQ84*$E$30)</f>
        <v>-5650</v>
      </c>
      <c r="BR104" s="40" t="n">
        <f aca="false">-(BR80*$E$26+BR81*$E$27+BR82*$E$28+BR83*$E$29+BR84*$E$30)</f>
        <v>-5650</v>
      </c>
      <c r="BS104" s="40" t="n">
        <f aca="false">-(BS80*$E$26+BS81*$E$27+BS82*$E$28+BS83*$E$29+BS84*$E$30)</f>
        <v>-6050</v>
      </c>
      <c r="BT104" s="40" t="n">
        <f aca="false">-(BT80*$E$26+BT81*$E$27+BT82*$E$28+BT83*$E$29+BT84*$E$30)</f>
        <v>-6050</v>
      </c>
      <c r="BU104" s="40" t="n">
        <f aca="false">-(BU80*$E$26+BU81*$E$27+BU82*$E$28+BU83*$E$29+BU84*$E$30)</f>
        <v>-6950</v>
      </c>
      <c r="BV104" s="40" t="n">
        <f aca="false">-(BV80*$E$26+BV81*$E$27+BV82*$E$28+BV83*$E$29+BV84*$E$30)</f>
        <v>-6950</v>
      </c>
      <c r="BW104" s="40" t="n">
        <f aca="false">-(BW80*$E$26+BW81*$E$27+BW82*$E$28+BW83*$E$29+BW84*$E$30)</f>
        <v>-7450</v>
      </c>
      <c r="BX104" s="40" t="n">
        <f aca="false">-(BX80*$E$26+BX81*$E$27+BX82*$E$28+BX83*$E$29+BX84*$E$30)</f>
        <v>-7850</v>
      </c>
      <c r="BY104" s="40" t="n">
        <f aca="false">-(BY80*$E$26+BY81*$E$27+BY82*$E$28+BY83*$E$29+BY84*$E$30)</f>
        <v>-7850</v>
      </c>
      <c r="BZ104" s="40" t="n">
        <f aca="false">-(BZ80*$E$26+BZ81*$E$27+BZ82*$E$28+BZ83*$E$29+BZ84*$E$30)</f>
        <v>-7850</v>
      </c>
      <c r="CA104" s="40" t="n">
        <f aca="false">-(CA80*$E$26+CA81*$E$27+CA82*$E$28+CA83*$E$29+CA84*$E$30)</f>
        <v>-7850</v>
      </c>
      <c r="CB104" s="40" t="n">
        <f aca="false">-(CB80*$E$26+CB81*$E$27+CB82*$E$28+CB83*$E$29+CB84*$E$30)</f>
        <v>-7850</v>
      </c>
      <c r="CC104" s="40" t="n">
        <f aca="false">-(CC80*$E$26+CC81*$E$27+CC82*$E$28+CC83*$E$29+CC84*$E$30)</f>
        <v>-7850</v>
      </c>
      <c r="CD104" s="40" t="n">
        <f aca="false">-(CD80*$E$26+CD81*$E$27+CD82*$E$28+CD83*$E$29+CD84*$E$30)</f>
        <v>-7850</v>
      </c>
      <c r="CE104" s="40" t="n">
        <f aca="false">-(CE80*$E$26+CE81*$E$27+CE82*$E$28+CE83*$E$29+CE84*$E$30)</f>
        <v>-7850</v>
      </c>
      <c r="CF104" s="40" t="n">
        <f aca="false">-(CF80*$E$26+CF81*$E$27+CF82*$E$28+CF83*$E$29+CF84*$E$30)</f>
        <v>-8150</v>
      </c>
      <c r="CG104" s="40" t="n">
        <f aca="false">-(CG80*$E$26+CG81*$E$27+CG82*$E$28+CG83*$E$29+CG84*$E$30)</f>
        <v>-8150</v>
      </c>
      <c r="CH104" s="40" t="n">
        <f aca="false">-(CH80*$E$26+CH81*$E$27+CH82*$E$28+CH83*$E$29+CH84*$E$30)</f>
        <v>-8150</v>
      </c>
      <c r="CI104" s="40" t="n">
        <f aca="false">-(CI80*$E$26+CI81*$E$27+CI82*$E$28+CI83*$E$29+CI84*$E$30)</f>
        <v>-8150</v>
      </c>
      <c r="CJ104" s="40" t="n">
        <f aca="false">-(CJ80*$E$26+CJ81*$E$27+CJ82*$E$28+CJ83*$E$29+CJ84*$E$30)</f>
        <v>-8150</v>
      </c>
      <c r="CK104" s="40" t="n">
        <f aca="false">-(CK80*$E$26+CK81*$E$27+CK82*$E$28+CK83*$E$29+CK84*$E$30)</f>
        <v>-8550</v>
      </c>
      <c r="CL104" s="40" t="n">
        <f aca="false">-(CL80*$E$26+CL81*$E$27+CL82*$E$28+CL83*$E$29+CL84*$E$30)</f>
        <v>-8950</v>
      </c>
      <c r="CM104" s="40" t="n">
        <f aca="false">-(CM80*$E$26+CM81*$E$27+CM82*$E$28+CM83*$E$29+CM84*$E$30)</f>
        <v>-8950</v>
      </c>
      <c r="CN104" s="40" t="n">
        <f aca="false">-(CN80*$E$26+CN81*$E$27+CN82*$E$28+CN83*$E$29+CN84*$E$30)</f>
        <v>-9250</v>
      </c>
      <c r="CO104" s="40" t="n">
        <f aca="false">-(CO80*$E$26+CO81*$E$27+CO82*$E$28+CO83*$E$29+CO84*$E$30)</f>
        <v>-9250</v>
      </c>
      <c r="CP104" s="40" t="n">
        <f aca="false">-(CP80*$E$26+CP81*$E$27+CP82*$E$28+CP83*$E$29+CP84*$E$30)</f>
        <v>-9750</v>
      </c>
      <c r="CQ104" s="40" t="n">
        <f aca="false">-(CQ80*$E$26+CQ81*$E$27+CQ82*$E$28+CQ83*$E$29+CQ84*$E$30)</f>
        <v>-9750</v>
      </c>
      <c r="CR104" s="40" t="n">
        <f aca="false">-(CR80*$E$26+CR81*$E$27+CR82*$E$28+CR83*$E$29+CR84*$E$30)</f>
        <v>-9750</v>
      </c>
      <c r="CS104" s="40" t="n">
        <f aca="false">-(CS80*$E$26+CS81*$E$27+CS82*$E$28+CS83*$E$29+CS84*$E$30)</f>
        <v>-9750</v>
      </c>
      <c r="CT104" s="40" t="n">
        <f aca="false">-(CT80*$E$26+CT81*$E$27+CT82*$E$28+CT83*$E$29+CT84*$E$30)</f>
        <v>-9750</v>
      </c>
      <c r="CU104" s="40" t="n">
        <f aca="false">-(CU80*$E$26+CU81*$E$27+CU82*$E$28+CU83*$E$29+CU84*$E$30)</f>
        <v>-9750</v>
      </c>
      <c r="CV104" s="40" t="n">
        <f aca="false">-(CV80*$E$26+CV81*$E$27+CV82*$E$28+CV83*$E$29+CV84*$E$30)</f>
        <v>-9750</v>
      </c>
      <c r="CW104" s="40" t="n">
        <f aca="false">-(CW80*$E$26+CW81*$E$27+CW82*$E$28+CW83*$E$29+CW84*$E$30)</f>
        <v>-10150</v>
      </c>
      <c r="CX104" s="40" t="n">
        <f aca="false">-(CX80*$E$26+CX81*$E$27+CX82*$E$28+CX83*$E$29+CX84*$E$30)</f>
        <v>-10450</v>
      </c>
      <c r="CY104" s="40" t="n">
        <f aca="false">-(CY80*$E$26+CY81*$E$27+CY82*$E$28+CY83*$E$29+CY84*$E$30)</f>
        <v>-10850</v>
      </c>
      <c r="CZ104" s="40" t="n">
        <f aca="false">-(CZ80*$E$26+CZ81*$E$27+CZ82*$E$28+CZ83*$E$29+CZ84*$E$30)</f>
        <v>-11350</v>
      </c>
      <c r="DA104" s="40" t="n">
        <f aca="false">-(DA80*$E$26+DA81*$E$27+DA82*$E$28+DA83*$E$29+DA84*$E$30)</f>
        <v>-12150</v>
      </c>
      <c r="DB104" s="40" t="n">
        <f aca="false">-(DB80*$E$26+DB81*$E$27+DB82*$E$28+DB83*$E$29+DB84*$E$30)</f>
        <v>-12150</v>
      </c>
      <c r="DC104" s="40" t="n">
        <f aca="false">-(DC80*$E$26+DC81*$E$27+DC82*$E$28+DC83*$E$29+DC84*$E$30)</f>
        <v>-12150</v>
      </c>
      <c r="DD104" s="40" t="n">
        <f aca="false">-(DD80*$E$26+DD81*$E$27+DD82*$E$28+DD83*$E$29+DD84*$E$30)</f>
        <v>-12150</v>
      </c>
      <c r="DE104" s="40" t="n">
        <f aca="false">-(DE80*$E$26+DE81*$E$27+DE82*$E$28+DE83*$E$29+DE84*$E$30)</f>
        <v>-12150</v>
      </c>
      <c r="DF104" s="40" t="n">
        <f aca="false">-(DF80*$E$26+DF81*$E$27+DF82*$E$28+DF83*$E$29+DF84*$E$30)</f>
        <v>-12450</v>
      </c>
      <c r="DG104" s="40" t="n">
        <f aca="false">-(DG80*$E$26+DG81*$E$27+DG82*$E$28+DG83*$E$29+DG84*$E$30)</f>
        <v>-12450</v>
      </c>
      <c r="DH104" s="40" t="n">
        <f aca="false">-(DH80*$E$26+DH81*$E$27+DH82*$E$28+DH83*$E$29+DH84*$E$30)</f>
        <v>-12450</v>
      </c>
      <c r="DI104" s="40" t="n">
        <f aca="false">-(DI80*$E$26+DI81*$E$27+DI82*$E$28+DI83*$E$29+DI84*$E$30)</f>
        <v>-12450</v>
      </c>
      <c r="DJ104" s="40" t="n">
        <f aca="false">-(DJ80*$E$26+DJ81*$E$27+DJ82*$E$28+DJ83*$E$29+DJ84*$E$30)</f>
        <v>-12450</v>
      </c>
      <c r="DK104" s="40" t="n">
        <f aca="false">-(DK80*$E$26+DK81*$E$27+DK82*$E$28+DK83*$E$29+DK84*$E$30)</f>
        <v>-12850</v>
      </c>
      <c r="DL104" s="40" t="n">
        <f aca="false">-(DL80*$E$26+DL81*$E$27+DL82*$E$28+DL83*$E$29+DL84*$E$30)</f>
        <v>-13350</v>
      </c>
      <c r="DM104" s="40" t="n">
        <f aca="false">-(DM80*$E$26+DM81*$E$27+DM82*$E$28+DM83*$E$29+DM84*$E$30)</f>
        <v>-13350</v>
      </c>
      <c r="DN104" s="40" t="n">
        <f aca="false">-(DN80*$E$26+DN81*$E$27+DN82*$E$28+DN83*$E$29+DN84*$E$30)</f>
        <v>-13350</v>
      </c>
      <c r="DO104" s="40" t="n">
        <f aca="false">-(DO80*$E$26+DO81*$E$27+DO82*$E$28+DO83*$E$29+DO84*$E$30)</f>
        <v>-13350</v>
      </c>
      <c r="DP104" s="40" t="n">
        <f aca="false">-(DP80*$E$26+DP81*$E$27+DP82*$E$28+DP83*$E$29+DP84*$E$30)</f>
        <v>-13750</v>
      </c>
      <c r="DQ104" s="40" t="n">
        <f aca="false">-(DQ80*$E$26+DQ81*$E$27+DQ82*$E$28+DQ83*$E$29+DQ84*$E$30)</f>
        <v>-14150</v>
      </c>
      <c r="DR104" s="40" t="n">
        <f aca="false">-(DR80*$E$26+DR81*$E$27+DR82*$E$28+DR83*$E$29+DR84*$E$30)</f>
        <v>-14150</v>
      </c>
      <c r="DS104" s="40" t="n">
        <f aca="false">-(DS80*$E$26+DS81*$E$27+DS82*$E$28+DS83*$E$29+DS84*$E$30)</f>
        <v>-14150</v>
      </c>
      <c r="DT104" s="40" t="n">
        <f aca="false">-(DT80*$E$26+DT81*$E$27+DT82*$E$28+DT83*$E$29+DT84*$E$30)</f>
        <v>-14150</v>
      </c>
      <c r="DU104" s="40" t="n">
        <f aca="false">-(DU80*$E$26+DU81*$E$27+DU82*$E$28+DU83*$E$29+DU84*$E$30)</f>
        <v>-14450</v>
      </c>
      <c r="DV104" s="40" t="n">
        <f aca="false">-(DV80*$E$26+DV81*$E$27+DV82*$E$28+DV83*$E$29+DV84*$E$30)</f>
        <v>-14850</v>
      </c>
      <c r="DW104" s="40" t="n">
        <f aca="false">-(DW80*$E$26+DW81*$E$27+DW82*$E$28+DW83*$E$29+DW84*$E$30)</f>
        <v>-15250</v>
      </c>
      <c r="DX104" s="40" t="n">
        <f aca="false">-(DX80*$E$26+DX81*$E$27+DX82*$E$28+DX83*$E$29+DX84*$E$30)</f>
        <v>-15650</v>
      </c>
      <c r="DY104" s="40" t="n">
        <f aca="false">-(DY80*$E$26+DY81*$E$27+DY82*$E$28+DY83*$E$29+DY84*$E$30)</f>
        <v>-15950</v>
      </c>
      <c r="DZ104" s="40" t="n">
        <f aca="false">-(DZ80*$E$26+DZ81*$E$27+DZ82*$E$28+DZ83*$E$29+DZ84*$E$30)</f>
        <v>-15950</v>
      </c>
      <c r="EA104" s="40" t="n">
        <f aca="false">-(EA80*$E$26+EA81*$E$27+EA82*$E$28+EA83*$E$29+EA84*$E$30)</f>
        <v>-15950</v>
      </c>
      <c r="EB104" s="40" t="n">
        <f aca="false">-(EB80*$E$26+EB81*$E$27+EB82*$E$28+EB83*$E$29+EB84*$E$30)</f>
        <v>-15950</v>
      </c>
      <c r="EC104" s="40" t="n">
        <f aca="false">-(EC80*$E$26+EC81*$E$27+EC82*$E$28+EC83*$E$29+EC84*$E$30)</f>
        <v>-15950</v>
      </c>
      <c r="ED104" s="40" t="n">
        <f aca="false">-(ED80*$E$26+ED81*$E$27+ED82*$E$28+ED83*$E$29+ED84*$E$30)</f>
        <v>-16250</v>
      </c>
      <c r="EE104" s="40" t="n">
        <f aca="false">-(EE80*$E$26+EE81*$E$27+EE82*$E$28+EE83*$E$29+EE84*$E$30)</f>
        <v>-16550</v>
      </c>
      <c r="EF104" s="40" t="n">
        <f aca="false">-(EF80*$E$26+EF81*$E$27+EF82*$E$28+EF83*$E$29+EF84*$E$30)</f>
        <v>-17050</v>
      </c>
      <c r="EG104" s="40" t="n">
        <f aca="false">-(EG80*$E$26+EG81*$E$27+EG82*$E$28+EG83*$E$29+EG84*$E$30)</f>
        <v>-17850</v>
      </c>
      <c r="EH104" s="40" t="n">
        <f aca="false">-(EH80*$E$26+EH81*$E$27+EH82*$E$28+EH83*$E$29+EH84*$E$30)</f>
        <v>-18550</v>
      </c>
      <c r="EI104" s="40" t="n">
        <f aca="false">-(EI80*$E$26+EI81*$E$27+EI82*$E$28+EI83*$E$29+EI84*$E$30)</f>
        <v>-19250</v>
      </c>
      <c r="EJ104" s="40" t="n">
        <f aca="false">-(EJ80*$E$26+EJ81*$E$27+EJ82*$E$28+EJ83*$E$29+EJ84*$E$30)</f>
        <v>-19550</v>
      </c>
      <c r="EK104" s="40" t="n">
        <f aca="false">-(EK80*$E$26+EK81*$E$27+EK82*$E$28+EK83*$E$29+EK84*$E$30)</f>
        <v>-19550</v>
      </c>
      <c r="EL104" s="40" t="n">
        <f aca="false">-(EL80*$E$26+EL81*$E$27+EL82*$E$28+EL83*$E$29+EL84*$E$30)</f>
        <v>-19850</v>
      </c>
      <c r="EM104" s="40" t="n">
        <f aca="false">-(EM80*$E$26+EM81*$E$27+EM82*$E$28+EM83*$E$29+EM84*$E$30)</f>
        <v>-20250</v>
      </c>
      <c r="EN104" s="40" t="n">
        <f aca="false">-(EN80*$E$26+EN81*$E$27+EN82*$E$28+EN83*$E$29+EN84*$E$30)</f>
        <v>-20550</v>
      </c>
      <c r="EO104" s="40" t="n">
        <f aca="false">-(EO80*$E$26+EO81*$E$27+EO82*$E$28+EO83*$E$29+EO84*$E$30)</f>
        <v>-20850</v>
      </c>
      <c r="EP104" s="40" t="n">
        <f aca="false">-(EP80*$E$26+EP81*$E$27+EP82*$E$28+EP83*$E$29+EP84*$E$30)</f>
        <v>-21350</v>
      </c>
      <c r="EQ104" s="40" t="n">
        <f aca="false">-(EQ80*$E$26+EQ81*$E$27+EQ82*$E$28+EQ83*$E$29+EQ84*$E$30)</f>
        <v>-21350</v>
      </c>
      <c r="ER104" s="9" t="n">
        <f aca="false">-(ER80*$E$26+ER81*$E$27+ER82*$E$28+ER83*$E$29+ER84*$E$30)</f>
        <v>-21350</v>
      </c>
    </row>
    <row r="105" customFormat="false" ht="15" hidden="false" customHeight="false" outlineLevel="0" collapsed="false">
      <c r="B105" s="293" t="s">
        <v>1203</v>
      </c>
      <c r="C105" s="185"/>
      <c r="D105" s="185"/>
      <c r="E105" s="185"/>
      <c r="F105" s="185"/>
      <c r="G105" s="185"/>
      <c r="H105" s="185"/>
      <c r="I105" s="185"/>
      <c r="J105" s="185"/>
      <c r="K105" s="185"/>
      <c r="L105" s="185"/>
      <c r="M105" s="185"/>
      <c r="N105" s="185"/>
      <c r="O105" s="185"/>
      <c r="P105" s="185"/>
      <c r="Q105" s="185"/>
      <c r="R105" s="185"/>
      <c r="S105" s="185"/>
      <c r="T105" s="185"/>
      <c r="U105" s="185"/>
      <c r="V105" s="185"/>
      <c r="W105" s="185"/>
      <c r="X105" s="185"/>
      <c r="Y105" s="185"/>
      <c r="Z105" s="185"/>
      <c r="AA105" s="185"/>
      <c r="AB105" s="185"/>
      <c r="AC105" s="290" t="n">
        <f aca="false">AC98+SUM(AC100:AC104)</f>
        <v>-9516.810216</v>
      </c>
      <c r="AD105" s="290" t="n">
        <f aca="false">AD98+SUM(AD100:AD104)</f>
        <v>-15628.203518048</v>
      </c>
      <c r="AE105" s="290" t="n">
        <f aca="false">AE98+SUM(AE100:AE104)</f>
        <v>-16006.3303519328</v>
      </c>
      <c r="AF105" s="290" t="n">
        <f aca="false">AF98+SUM(AF100:AF104)</f>
        <v>-16126.6656828886</v>
      </c>
      <c r="AG105" s="290" t="n">
        <f aca="false">AG98+SUM(AG100:AG104)</f>
        <v>-24786.883724392</v>
      </c>
      <c r="AH105" s="290" t="n">
        <f aca="false">AH98+SUM(AH100:AH104)</f>
        <v>-24788.1788370909</v>
      </c>
      <c r="AI105" s="290" t="n">
        <f aca="false">AI98+SUM(AI100:AI104)</f>
        <v>-25028.5543808192</v>
      </c>
      <c r="AJ105" s="290" t="n">
        <f aca="false">AJ98+SUM(AJ100:AJ104)</f>
        <v>-26467.2305993187</v>
      </c>
      <c r="AK105" s="290" t="n">
        <f aca="false">AK98+SUM(AK100:AK104)</f>
        <v>-26324.2555956272</v>
      </c>
      <c r="AL105" s="290" t="n">
        <f aca="false">AL98+SUM(AL100:AL104)</f>
        <v>-26015.7587352755</v>
      </c>
      <c r="AM105" s="290" t="n">
        <f aca="false">AM98+SUM(AM100:AM104)</f>
        <v>-25593.0569706704</v>
      </c>
      <c r="AN105" s="290" t="n">
        <f aca="false">AN98+SUM(AN100:AN104)</f>
        <v>-36073.1846552238</v>
      </c>
      <c r="AO105" s="290" t="n">
        <f aca="false">AO98+SUM(AO100:AO104)</f>
        <v>-36852.8574593741</v>
      </c>
      <c r="AP105" s="290" t="n">
        <f aca="false">AP98+SUM(AP100:AP104)</f>
        <v>-36172.0147119893</v>
      </c>
      <c r="AQ105" s="290" t="n">
        <f aca="false">AQ98+SUM(AQ100:AQ104)</f>
        <v>-38680.5321989277</v>
      </c>
      <c r="AR105" s="290" t="n">
        <f aca="false">AR98+SUM(AR100:AR104)</f>
        <v>-39252.8340410397</v>
      </c>
      <c r="AS105" s="290" t="n">
        <f aca="false">AS98+SUM(AS100:AS104)</f>
        <v>-38937.0425624771</v>
      </c>
      <c r="AT105" s="290" t="n">
        <f aca="false">AT98+SUM(AT100:AT104)</f>
        <v>-38630.0020954638</v>
      </c>
      <c r="AU105" s="290" t="n">
        <f aca="false">AU98+SUM(AU100:AU104)</f>
        <v>-39048.1426497193</v>
      </c>
      <c r="AV105" s="290" t="n">
        <f aca="false">AV98+SUM(AV100:AV104)</f>
        <v>-43525.1410806232</v>
      </c>
      <c r="AW105" s="290" t="n">
        <f aca="false">AW98+SUM(AW100:AW104)</f>
        <v>-43182.4846996763</v>
      </c>
      <c r="AX105" s="290" t="n">
        <f aca="false">AX98+SUM(AX100:AX104)</f>
        <v>-40943.9884562543</v>
      </c>
      <c r="AY105" s="290" t="n">
        <f aca="false">AY98+SUM(AY100:AY104)</f>
        <v>-39608.138721202</v>
      </c>
      <c r="AZ105" s="290" t="n">
        <f aca="false">AZ98+SUM(AZ100:AZ104)</f>
        <v>-41700.2247583668</v>
      </c>
      <c r="BA105" s="290" t="n">
        <f aca="false">BA98+SUM(BA100:BA104)</f>
        <v>-50912.479462786</v>
      </c>
      <c r="BB105" s="290" t="n">
        <f aca="false">BB98+SUM(BB100:BB104)</f>
        <v>-59135.5840986654</v>
      </c>
      <c r="BC105" s="290" t="n">
        <f aca="false">BC98+SUM(BC100:BC104)</f>
        <v>-71161.4115489155</v>
      </c>
      <c r="BD105" s="290" t="n">
        <f aca="false">BD98+SUM(BD100:BD104)</f>
        <v>-82051.350875006</v>
      </c>
      <c r="BE105" s="290" t="n">
        <f aca="false">BE98+SUM(BE100:BE104)</f>
        <v>-81548.6786299503</v>
      </c>
      <c r="BF105" s="290" t="n">
        <f aca="false">BF98+SUM(BF100:BF104)</f>
        <v>-90469.7766893179</v>
      </c>
      <c r="BG105" s="290" t="n">
        <f aca="false">BG98+SUM(BG100:BG104)</f>
        <v>-91155.5024766122</v>
      </c>
      <c r="BH105" s="290" t="n">
        <f aca="false">BH98+SUM(BH100:BH104)</f>
        <v>-104791.285549614</v>
      </c>
      <c r="BI105" s="290" t="n">
        <f aca="false">BI98+SUM(BI100:BI104)</f>
        <v>-104752.786068671</v>
      </c>
      <c r="BJ105" s="290" t="n">
        <f aca="false">BJ98+SUM(BJ100:BJ104)</f>
        <v>-113408.501872884</v>
      </c>
      <c r="BK105" s="290" t="n">
        <f aca="false">BK98+SUM(BK100:BK104)</f>
        <v>-111706.869943534</v>
      </c>
      <c r="BL105" s="290" t="n">
        <f aca="false">BL98+SUM(BL100:BL104)</f>
        <v>-115099.216554858</v>
      </c>
      <c r="BM105" s="290" t="n">
        <f aca="false">BM98+SUM(BM100:BM104)</f>
        <v>-116612.749030993</v>
      </c>
      <c r="BN105" s="290" t="n">
        <f aca="false">BN98+SUM(BN100:BN104)</f>
        <v>-115126.028099641</v>
      </c>
      <c r="BO105" s="290" t="n">
        <f aca="false">BO98+SUM(BO100:BO104)</f>
        <v>-129378.006403996</v>
      </c>
      <c r="BP105" s="290" t="n">
        <f aca="false">BP98+SUM(BP100:BP104)</f>
        <v>-131481.877032876</v>
      </c>
      <c r="BQ105" s="290" t="n">
        <f aca="false">BQ98+SUM(BQ100:BQ104)</f>
        <v>-138227.941236705</v>
      </c>
      <c r="BR105" s="290" t="n">
        <f aca="false">BR98+SUM(BR100:BR104)</f>
        <v>-137758.197425445</v>
      </c>
      <c r="BS105" s="290" t="n">
        <f aca="false">BS98+SUM(BS100:BS104)</f>
        <v>-148572.984126575</v>
      </c>
      <c r="BT105" s="290" t="n">
        <f aca="false">BT98+SUM(BT100:BT104)</f>
        <v>-160324.132594146</v>
      </c>
      <c r="BU105" s="290" t="n">
        <f aca="false">BU98+SUM(BU100:BU104)</f>
        <v>-177216.266110553</v>
      </c>
      <c r="BV105" s="290" t="n">
        <f aca="false">BV98+SUM(BV100:BV104)</f>
        <v>-175447.212694085</v>
      </c>
      <c r="BW105" s="290" t="n">
        <f aca="false">BW98+SUM(BW100:BW104)</f>
        <v>-180449.157449682</v>
      </c>
      <c r="BX105" s="290" t="n">
        <f aca="false">BX98+SUM(BX100:BX104)</f>
        <v>-197006.025995422</v>
      </c>
      <c r="BY105" s="290" t="n">
        <f aca="false">BY98+SUM(BY100:BY104)</f>
        <v>-199969.730759001</v>
      </c>
      <c r="BZ105" s="290" t="n">
        <f aca="false">BZ98+SUM(BZ100:BZ104)</f>
        <v>-196720.649280594</v>
      </c>
      <c r="CA105" s="290" t="n">
        <f aca="false">CA98+SUM(CA100:CA104)</f>
        <v>-203039.074321254</v>
      </c>
      <c r="CB105" s="290" t="n">
        <f aca="false">CB98+SUM(CB100:CB104)</f>
        <v>-203777.792618787</v>
      </c>
      <c r="CC105" s="290" t="n">
        <f aca="false">CC98+SUM(CC100:CC104)</f>
        <v>-202171.250259165</v>
      </c>
      <c r="CD105" s="290" t="n">
        <f aca="false">CD98+SUM(CD100:CD104)</f>
        <v>-200714.872487075</v>
      </c>
      <c r="CE105" s="290" t="n">
        <f aca="false">CE98+SUM(CE100:CE104)</f>
        <v>-202358.51073186</v>
      </c>
      <c r="CF105" s="290" t="n">
        <f aca="false">CF98+SUM(CF100:CF104)</f>
        <v>-222552.803809152</v>
      </c>
      <c r="CG105" s="290" t="n">
        <f aca="false">CG98+SUM(CG100:CG104)</f>
        <v>-220910.112487097</v>
      </c>
      <c r="CH105" s="290" t="n">
        <f aca="false">CH98+SUM(CH100:CH104)</f>
        <v>-219007.666512277</v>
      </c>
      <c r="CI105" s="290" t="n">
        <f aca="false">CI98+SUM(CI100:CI104)</f>
        <v>-214228.554479711</v>
      </c>
      <c r="CJ105" s="290" t="n">
        <f aca="false">CJ98+SUM(CJ100:CJ104)</f>
        <v>-222999.862179439</v>
      </c>
      <c r="CK105" s="290" t="n">
        <f aca="false">CK98+SUM(CK100:CK104)</f>
        <v>-234124.716574084</v>
      </c>
      <c r="CL105" s="290" t="n">
        <f aca="false">CL98+SUM(CL100:CL104)</f>
        <v>-240588.438316866</v>
      </c>
      <c r="CM105" s="290" t="n">
        <f aca="false">CM98+SUM(CM100:CM104)</f>
        <v>-246181.751733956</v>
      </c>
      <c r="CN105" s="290" t="n">
        <f aca="false">CN98+SUM(CN100:CN104)</f>
        <v>-254128.750051554</v>
      </c>
      <c r="CO105" s="290" t="n">
        <f aca="false">CO98+SUM(CO100:CO104)</f>
        <v>-252936.336964228</v>
      </c>
      <c r="CP105" s="290" t="n">
        <f aca="false">CP98+SUM(CP100:CP104)</f>
        <v>-261137.323140086</v>
      </c>
      <c r="CQ105" s="290" t="n">
        <f aca="false">CQ98+SUM(CQ100:CQ104)</f>
        <v>-262227.675142145</v>
      </c>
      <c r="CR105" s="290" t="n">
        <f aca="false">CR98+SUM(CR100:CR104)</f>
        <v>-266854.90187746</v>
      </c>
      <c r="CS105" s="290" t="n">
        <f aca="false">CS98+SUM(CS100:CS104)</f>
        <v>-266730.455117583</v>
      </c>
      <c r="CT105" s="290" t="n">
        <f aca="false">CT98+SUM(CT100:CT104)</f>
        <v>-266025.431588789</v>
      </c>
      <c r="CU105" s="290" t="n">
        <f aca="false">CU98+SUM(CU100:CU104)</f>
        <v>-263812.050076751</v>
      </c>
      <c r="CV105" s="290" t="n">
        <f aca="false">CV98+SUM(CV100:CV104)</f>
        <v>-267234.29598231</v>
      </c>
      <c r="CW105" s="290" t="n">
        <f aca="false">CW98+SUM(CW100:CW104)</f>
        <v>-276807.769288315</v>
      </c>
      <c r="CX105" s="290" t="n">
        <f aca="false">CX98+SUM(CX100:CX104)</f>
        <v>-283147.268232833</v>
      </c>
      <c r="CY105" s="290" t="n">
        <f aca="false">CY98+SUM(CY100:CY104)</f>
        <v>-295422.50315338</v>
      </c>
      <c r="CZ105" s="290" t="n">
        <f aca="false">CZ98+SUM(CZ100:CZ104)</f>
        <v>-305798.974547724</v>
      </c>
      <c r="DA105" s="290" t="n">
        <f aca="false">DA98+SUM(DA100:DA104)</f>
        <v>-323185.438696569</v>
      </c>
      <c r="DB105" s="290" t="n">
        <f aca="false">DB98+SUM(DB100:DB104)</f>
        <v>-321665.304150632</v>
      </c>
      <c r="DC105" s="290" t="n">
        <f aca="false">DC98+SUM(DC100:DC104)</f>
        <v>-323814.017356462</v>
      </c>
      <c r="DD105" s="290" t="n">
        <f aca="false">DD98+SUM(DD100:DD104)</f>
        <v>-332157.912279848</v>
      </c>
      <c r="DE105" s="290" t="n">
        <f aca="false">DE98+SUM(DE100:DE104)</f>
        <v>-331855.702229306</v>
      </c>
      <c r="DF105" s="290" t="n">
        <f aca="false">DF98+SUM(DF100:DF104)</f>
        <v>-337167.231412646</v>
      </c>
      <c r="DG105" s="290" t="n">
        <f aca="false">DG98+SUM(DG100:DG104)</f>
        <v>-334391.910708839</v>
      </c>
      <c r="DH105" s="290" t="n">
        <f aca="false">DH98+SUM(DH100:DH104)</f>
        <v>-339978.629582858</v>
      </c>
      <c r="DI105" s="290" t="n">
        <f aca="false">DI98+SUM(DI100:DI104)</f>
        <v>-341938.755407787</v>
      </c>
      <c r="DJ105" s="290" t="n">
        <f aca="false">DJ98+SUM(DJ100:DJ104)</f>
        <v>-338564.873928748</v>
      </c>
      <c r="DK105" s="290" t="n">
        <f aca="false">DK98+SUM(DK100:DK104)</f>
        <v>-354765.331176416</v>
      </c>
      <c r="DL105" s="290" t="n">
        <f aca="false">DL98+SUM(DL100:DL104)</f>
        <v>-366256.867383709</v>
      </c>
      <c r="DM105" s="290" t="n">
        <f aca="false">DM98+SUM(DM100:DM104)</f>
        <v>-363096.221720664</v>
      </c>
      <c r="DN105" s="290" t="n">
        <f aca="false">DN98+SUM(DN100:DN104)</f>
        <v>-361921.113997034</v>
      </c>
      <c r="DO105" s="290" t="n">
        <f aca="false">DO98+SUM(DO100:DO104)</f>
        <v>-364244.931929421</v>
      </c>
      <c r="DP105" s="290" t="n">
        <f aca="false">DP98+SUM(DP100:DP104)</f>
        <v>-385775.230000618</v>
      </c>
      <c r="DQ105" s="290" t="n">
        <f aca="false">DQ98+SUM(DQ100:DQ104)</f>
        <v>-392890.699733726</v>
      </c>
      <c r="DR105" s="290" t="n">
        <f aca="false">DR98+SUM(DR100:DR104)</f>
        <v>-391189.462045448</v>
      </c>
      <c r="DS105" s="290" t="n">
        <f aca="false">DS98+SUM(DS100:DS104)</f>
        <v>-386376.671207062</v>
      </c>
      <c r="DT105" s="290" t="n">
        <f aca="false">DT98+SUM(DT100:DT104)</f>
        <v>-392499.126041785</v>
      </c>
      <c r="DU105" s="290" t="n">
        <f aca="false">DU98+SUM(DU100:DU104)</f>
        <v>-401621.256774743</v>
      </c>
      <c r="DV105" s="290" t="n">
        <f aca="false">DV98+SUM(DV100:DV104)</f>
        <v>-407735.249468012</v>
      </c>
      <c r="DW105" s="290" t="n">
        <f aca="false">DW98+SUM(DW100:DW104)</f>
        <v>-421274.85713669</v>
      </c>
      <c r="DX105" s="290" t="n">
        <f aca="false">DX98+SUM(DX100:DX104)</f>
        <v>-430421.412747202</v>
      </c>
      <c r="DY105" s="290" t="n">
        <f aca="false">DY98+SUM(DY100:DY104)</f>
        <v>-435977.285261783</v>
      </c>
      <c r="DZ105" s="290" t="n">
        <f aca="false">DZ98+SUM(DZ100:DZ104)</f>
        <v>-435233.648807214</v>
      </c>
      <c r="EA105" s="290" t="n">
        <f aca="false">EA98+SUM(EA100:EA104)</f>
        <v>-436562.69234128</v>
      </c>
      <c r="EB105" s="290" t="n">
        <f aca="false">EB98+SUM(EB100:EB104)</f>
        <v>-447264.548657435</v>
      </c>
      <c r="EC105" s="290" t="n">
        <f aca="false">EC98+SUM(EC100:EC104)</f>
        <v>-446405.730099622</v>
      </c>
      <c r="ED105" s="290" t="n">
        <f aca="false">ED98+SUM(ED100:ED104)</f>
        <v>-451463.663026265</v>
      </c>
      <c r="EE105" s="290" t="n">
        <f aca="false">EE98+SUM(EE100:EE104)</f>
        <v>-453556.983195772</v>
      </c>
      <c r="EF105" s="290" t="n">
        <f aca="false">EF98+SUM(EF100:EF104)</f>
        <v>-470874.337695597</v>
      </c>
      <c r="EG105" s="290" t="n">
        <f aca="false">EG98+SUM(EG100:EG104)</f>
        <v>-492170.80630785</v>
      </c>
      <c r="EH105" s="290" t="n">
        <f aca="false">EH98+SUM(EH100:EH104)</f>
        <v>-503277.101744219</v>
      </c>
      <c r="EI105" s="290" t="n">
        <f aca="false">EI98+SUM(EI100:EI104)</f>
        <v>-528867.057009409</v>
      </c>
      <c r="EJ105" s="290" t="n">
        <f aca="false">EJ98+SUM(EJ100:EJ104)</f>
        <v>-537646.474973754</v>
      </c>
      <c r="EK105" s="290" t="n">
        <f aca="false">EK98+SUM(EK100:EK104)</f>
        <v>-536761.908472206</v>
      </c>
      <c r="EL105" s="290" t="n">
        <f aca="false">EL98+SUM(EL100:EL104)</f>
        <v>-539949.508756408</v>
      </c>
      <c r="EM105" s="290" t="n">
        <f aca="false">EM98+SUM(EM100:EM104)</f>
        <v>-553361.684310851</v>
      </c>
      <c r="EN105" s="290" t="n">
        <f aca="false">EN98+SUM(EN100:EN104)</f>
        <v>-575583.739448017</v>
      </c>
      <c r="EO105" s="290" t="n">
        <f aca="false">EO98+SUM(EO100:EO104)</f>
        <v>-581453.388096677</v>
      </c>
      <c r="EP105" s="290" t="n">
        <f aca="false">EP98+SUM(EP100:EP104)</f>
        <v>-589031.401482979</v>
      </c>
      <c r="EQ105" s="290" t="n">
        <f aca="false">EQ98+SUM(EQ100:EQ104)</f>
        <v>-583474.016188274</v>
      </c>
      <c r="ER105" s="290" t="n">
        <f aca="false">ER98+SUM(ER100:ER104)</f>
        <v>-591945.271362764</v>
      </c>
    </row>
    <row r="106" customFormat="false" ht="15" hidden="false" customHeight="false" outlineLevel="0" collapsed="false"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</row>
    <row r="107" customFormat="false" ht="15" hidden="false" customHeight="false" outlineLevel="0" collapsed="false">
      <c r="B107" s="299" t="s">
        <v>136</v>
      </c>
      <c r="C107" s="299"/>
      <c r="D107" s="299"/>
      <c r="E107" s="299"/>
      <c r="F107" s="299"/>
      <c r="G107" s="299"/>
      <c r="H107" s="299"/>
      <c r="I107" s="299"/>
      <c r="J107" s="299"/>
      <c r="K107" s="299"/>
      <c r="L107" s="299"/>
      <c r="M107" s="299"/>
      <c r="N107" s="299"/>
      <c r="O107" s="299"/>
      <c r="P107" s="299"/>
      <c r="Q107" s="299"/>
      <c r="R107" s="299"/>
      <c r="S107" s="299"/>
      <c r="T107" s="299"/>
      <c r="U107" s="299"/>
      <c r="V107" s="299"/>
      <c r="W107" s="299"/>
      <c r="X107" s="299"/>
      <c r="Y107" s="299"/>
      <c r="Z107" s="299"/>
      <c r="AA107" s="299"/>
      <c r="AB107" s="299"/>
      <c r="AC107" s="300" t="n">
        <f aca="false">AC90+AC105</f>
        <v>-5357.298216</v>
      </c>
      <c r="AD107" s="300" t="n">
        <f aca="false">AD90+AD105</f>
        <v>-10493.913182048</v>
      </c>
      <c r="AE107" s="300" t="n">
        <f aca="false">AE90+AE105</f>
        <v>-8227.7964223328</v>
      </c>
      <c r="AF107" s="300" t="n">
        <f aca="false">AF90+AF105</f>
        <v>-7506.62594240864</v>
      </c>
      <c r="AG107" s="300" t="n">
        <f aca="false">AG90+AG105</f>
        <v>-13927.556980392</v>
      </c>
      <c r="AH107" s="300" t="n">
        <f aca="false">AH90+AH105</f>
        <v>-13919.7953609309</v>
      </c>
      <c r="AI107" s="300" t="n">
        <f aca="false">AI90+AI105</f>
        <v>-12479.2230464192</v>
      </c>
      <c r="AJ107" s="300" t="n">
        <f aca="false">AJ90+AJ105</f>
        <v>-3857.22640827872</v>
      </c>
      <c r="AK107" s="300" t="n">
        <f aca="false">AK90+AK105</f>
        <v>-4714.0766052272</v>
      </c>
      <c r="AL107" s="300" t="n">
        <f aca="false">AL90+AL105</f>
        <v>-6562.90044663552</v>
      </c>
      <c r="AM107" s="300" t="n">
        <f aca="false">AM90+AM105</f>
        <v>-9096.1550778704</v>
      </c>
      <c r="AN107" s="300" t="n">
        <f aca="false">AN90+AN105</f>
        <v>-8680.28496834384</v>
      </c>
      <c r="AO107" s="300" t="n">
        <f aca="false">AO90+AO105</f>
        <v>-4007.70040081407</v>
      </c>
      <c r="AP107" s="300" t="n">
        <f aca="false">AP90+AP105</f>
        <v>-8087.99574702928</v>
      </c>
      <c r="AQ107" s="300" t="n">
        <f aca="false">AQ90+AQ105</f>
        <v>386.126534832307</v>
      </c>
      <c r="AR107" s="300" t="n">
        <f aca="false">AR90+AR105</f>
        <v>3815.93547672033</v>
      </c>
      <c r="AS107" s="300" t="n">
        <f aca="false">AS90+AS105</f>
        <v>1923.39493736289</v>
      </c>
      <c r="AT107" s="300" t="n">
        <f aca="false">AT90+AT105</f>
        <v>83.2992714161665</v>
      </c>
      <c r="AU107" s="300" t="n">
        <f aca="false">AU90+AU105</f>
        <v>2589.21853712873</v>
      </c>
      <c r="AV107" s="300" t="n">
        <f aca="false">AV90+AV105</f>
        <v>22860.4608817768</v>
      </c>
      <c r="AW107" s="300" t="n">
        <f aca="false">AW90+AW105</f>
        <v>20806.9187945637</v>
      </c>
      <c r="AX107" s="300" t="n">
        <f aca="false">AX90+AX105</f>
        <v>17047.0066222097</v>
      </c>
      <c r="AY107" s="300" t="n">
        <f aca="false">AY90+AY105</f>
        <v>8400.17451201403</v>
      </c>
      <c r="AZ107" s="300" t="n">
        <f aca="false">AZ90+AZ105</f>
        <v>21562.3981541852</v>
      </c>
      <c r="BA107" s="300" t="n">
        <f aca="false">BA90+BA105</f>
        <v>20374.334195554</v>
      </c>
      <c r="BB107" s="300" t="n">
        <f aca="false">BB90+BB105</f>
        <v>6767.30011123855</v>
      </c>
      <c r="BC107" s="300" t="n">
        <f aca="false">BC90+BC105</f>
        <v>16201.2492570645</v>
      </c>
      <c r="BD107" s="300" t="n">
        <f aca="false">BD90+BD105</f>
        <v>12400.139110014</v>
      </c>
      <c r="BE107" s="300" t="n">
        <f aca="false">BE90+BE105</f>
        <v>9149.53293734166</v>
      </c>
      <c r="BF107" s="300" t="n">
        <f aca="false">BF90+BF105</f>
        <v>2.88650362211047</v>
      </c>
      <c r="BG107" s="300" t="n">
        <f aca="false">BG90+BG105</f>
        <v>4010.01438549577</v>
      </c>
      <c r="BH107" s="300" t="n">
        <f aca="false">BH90+BH105</f>
        <v>23403.2916273457</v>
      </c>
      <c r="BI107" s="300" t="n">
        <f aca="false">BI90+BI105</f>
        <v>23021.5157764488</v>
      </c>
      <c r="BJ107" s="300" t="n">
        <f aca="false">BJ90+BJ105</f>
        <v>12328.5409691556</v>
      </c>
      <c r="BK107" s="300" t="n">
        <f aca="false">BK90+BK105</f>
        <v>1865.36903434234</v>
      </c>
      <c r="BL107" s="300" t="n">
        <f aca="false">BL90+BL105</f>
        <v>22179.9730777895</v>
      </c>
      <c r="BM107" s="300" t="n">
        <f aca="false">BM90+BM105</f>
        <v>31102.5555853273</v>
      </c>
      <c r="BN107" s="300" t="n">
        <f aca="false">BN90+BN105</f>
        <v>22017.7269713114</v>
      </c>
      <c r="BO107" s="300" t="n">
        <f aca="false">BO90+BO105</f>
        <v>37736.3023380837</v>
      </c>
      <c r="BP107" s="300" t="n">
        <f aca="false">BP90+BP105</f>
        <v>43634.3249775239</v>
      </c>
      <c r="BQ107" s="300" t="n">
        <f aca="false">BQ90+BQ105</f>
        <v>34024.3748458551</v>
      </c>
      <c r="BR107" s="300" t="n">
        <f aca="false">BR90+BR105</f>
        <v>31058.148707675</v>
      </c>
      <c r="BS107" s="300" t="n">
        <f aca="false">BS90+BS105</f>
        <v>32713.1998360568</v>
      </c>
      <c r="BT107" s="300" t="n">
        <f aca="false">BT90+BT105</f>
        <v>76749.1043479338</v>
      </c>
      <c r="BU107" s="300" t="n">
        <f aca="false">BU90+BU105</f>
        <v>65553.0101664708</v>
      </c>
      <c r="BV107" s="300" t="n">
        <f aca="false">BV90+BV105</f>
        <v>54852.1067938588</v>
      </c>
      <c r="BW107" s="300" t="n">
        <f aca="false">BW90+BW105</f>
        <v>28931.4138538581</v>
      </c>
      <c r="BX107" s="300" t="n">
        <f aca="false">BX90+BX105</f>
        <v>58525.1942575857</v>
      </c>
      <c r="BY107" s="300" t="n">
        <f aca="false">BY90+BY105</f>
        <v>76084.3304927515</v>
      </c>
      <c r="BZ107" s="300" t="n">
        <f aca="false">BZ90+BZ105</f>
        <v>56612.5624718102</v>
      </c>
      <c r="CA107" s="300" t="n">
        <f aca="false">CA90+CA105</f>
        <v>94478.9279252745</v>
      </c>
      <c r="CB107" s="300" t="n">
        <f aca="false">CB90+CB105</f>
        <v>98906.0718482533</v>
      </c>
      <c r="CC107" s="300" t="n">
        <f aca="false">CC90+CC105</f>
        <v>89278.0522524755</v>
      </c>
      <c r="CD107" s="300" t="n">
        <f aca="false">CD90+CD105</f>
        <v>80549.9700798848</v>
      </c>
      <c r="CE107" s="300" t="n">
        <f aca="false">CE90+CE105</f>
        <v>90400.3055748522</v>
      </c>
      <c r="CF107" s="300" t="n">
        <f aca="false">CF90+CF105</f>
        <v>128473.796254848</v>
      </c>
      <c r="CG107" s="300" t="n">
        <f aca="false">CG90+CG105</f>
        <v>125188.576233863</v>
      </c>
      <c r="CH107" s="300" t="n">
        <f aca="false">CH90+CH105</f>
        <v>120346.644762387</v>
      </c>
      <c r="CI107" s="300" t="n">
        <f aca="false">CI90+CI105</f>
        <v>98264.8334902969</v>
      </c>
      <c r="CJ107" s="300" t="n">
        <f aca="false">CJ90+CJ105</f>
        <v>131153.020194258</v>
      </c>
      <c r="CK107" s="300" t="n">
        <f aca="false">CK90+CK105</f>
        <v>134817.357370556</v>
      </c>
      <c r="CL107" s="300" t="n">
        <f aca="false">CL90+CL105</f>
        <v>117106.93452835</v>
      </c>
      <c r="CM107" s="300" t="n">
        <f aca="false">CM90+CM105</f>
        <v>144068.260391612</v>
      </c>
      <c r="CN107" s="300" t="n">
        <f aca="false">CN90+CN105</f>
        <v>141540.830728542</v>
      </c>
      <c r="CO107" s="300" t="n">
        <f aca="false">CO90+CO105</f>
        <v>134394.690757648</v>
      </c>
      <c r="CP107" s="300" t="n">
        <f aca="false">CP90+CP105</f>
        <v>121151.649867506</v>
      </c>
      <c r="CQ107" s="300" t="n">
        <f aca="false">CQ90+CQ105</f>
        <v>127686.137040687</v>
      </c>
      <c r="CR107" s="300" t="n">
        <f aca="false">CR90+CR105</f>
        <v>155417.13922366</v>
      </c>
      <c r="CS107" s="300" t="n">
        <f aca="false">CS90+CS105</f>
        <v>154671.328921457</v>
      </c>
      <c r="CT107" s="300" t="n">
        <f aca="false">CT90+CT105</f>
        <v>150446.117983163</v>
      </c>
      <c r="CU107" s="300" t="n">
        <f aca="false">CU90+CU105</f>
        <v>137181.307103329</v>
      </c>
      <c r="CV107" s="300" t="n">
        <f aca="false">CV90+CV105</f>
        <v>157690.85074713</v>
      </c>
      <c r="CW107" s="300" t="n">
        <f aca="false">CW90+CW105</f>
        <v>158617.190769829</v>
      </c>
      <c r="CX107" s="300" t="n">
        <f aca="false">CX90+CX105</f>
        <v>146456.00612264</v>
      </c>
      <c r="CY107" s="300" t="n">
        <f aca="false">CY90+CY105</f>
        <v>157014.581835292</v>
      </c>
      <c r="CZ107" s="300" t="n">
        <f aca="false">CZ90+CZ105</f>
        <v>156809.239072724</v>
      </c>
      <c r="DA107" s="300" t="n">
        <f aca="false">DA90+DA105</f>
        <v>141551.894845871</v>
      </c>
      <c r="DB107" s="300" t="n">
        <f aca="false">DB90+DB105</f>
        <v>139001.1584412</v>
      </c>
      <c r="DC107" s="300" t="n">
        <f aca="false">DC90+DC105</f>
        <v>145318.971150266</v>
      </c>
      <c r="DD107" s="300" t="n">
        <f aca="false">DD90+DD105</f>
        <v>182205.110656152</v>
      </c>
      <c r="DE107" s="300" t="n">
        <f aca="false">DE90+DE105</f>
        <v>180393.963709894</v>
      </c>
      <c r="DF107" s="300" t="n">
        <f aca="false">DF90+DF105</f>
        <v>168631.58965481</v>
      </c>
      <c r="DG107" s="300" t="n">
        <f aca="false">DG90+DG105</f>
        <v>151999.073269053</v>
      </c>
      <c r="DH107" s="300" t="n">
        <f aca="false">DH90+DH105</f>
        <v>178920.877989574</v>
      </c>
      <c r="DI107" s="300" t="n">
        <f aca="false">DI90+DI105</f>
        <v>190667.925765549</v>
      </c>
      <c r="DJ107" s="300" t="n">
        <f aca="false">DJ90+DJ105</f>
        <v>177007.671027532</v>
      </c>
      <c r="DK107" s="300" t="n">
        <f aca="false">DK90+DK105</f>
        <v>197971.25047684</v>
      </c>
      <c r="DL107" s="300" t="n">
        <f aca="false">DL90+DL105</f>
        <v>197889.058376491</v>
      </c>
      <c r="DM107" s="300" t="n">
        <f aca="false">DM90+DM105</f>
        <v>192066.167934328</v>
      </c>
      <c r="DN107" s="300" t="n">
        <f aca="false">DN90+DN105</f>
        <v>185023.739129078</v>
      </c>
      <c r="DO107" s="300" t="n">
        <f aca="false">DO90+DO105</f>
        <v>192390.955688907</v>
      </c>
      <c r="DP107" s="300" t="n">
        <f aca="false">DP90+DP105</f>
        <v>232177.427346358</v>
      </c>
      <c r="DQ107" s="300" t="n">
        <f aca="false">DQ90+DQ105</f>
        <v>224932.375327298</v>
      </c>
      <c r="DR107" s="300" t="n">
        <f aca="false">DR90+DR105</f>
        <v>214736.84596468</v>
      </c>
      <c r="DS107" s="300" t="n">
        <f aca="false">DS90+DS105</f>
        <v>192453.19737379</v>
      </c>
      <c r="DT107" s="300" t="n">
        <f aca="false">DT90+DT105</f>
        <v>222585.671453215</v>
      </c>
      <c r="DU107" s="300" t="n">
        <f aca="false">DU90+DU105</f>
        <v>227100.818573113</v>
      </c>
      <c r="DV107" s="300" t="n">
        <f aca="false">DV90+DV105</f>
        <v>207294.467091512</v>
      </c>
      <c r="DW107" s="300" t="n">
        <f aca="false">DW90+DW105</f>
        <v>225430.437525478</v>
      </c>
      <c r="DX107" s="300" t="n">
        <f aca="false">DX90+DX105</f>
        <v>223798.256813654</v>
      </c>
      <c r="DY107" s="300" t="n">
        <f aca="false">DY90+DY105</f>
        <v>213500.234051385</v>
      </c>
      <c r="DZ107" s="300" t="n">
        <f aca="false">DZ90+DZ105</f>
        <v>209043.615578898</v>
      </c>
      <c r="EA107" s="300" t="n">
        <f aca="false">EA90+EA105</f>
        <v>217008.582772568</v>
      </c>
      <c r="EB107" s="300" t="n">
        <f aca="false">EB90+EB105</f>
        <v>254907.120275677</v>
      </c>
      <c r="EC107" s="300" t="n">
        <f aca="false">EC90+EC105</f>
        <v>249760.214652978</v>
      </c>
      <c r="ED107" s="300" t="n">
        <f aca="false">ED90+ED105</f>
        <v>236478.036458103</v>
      </c>
      <c r="EE107" s="300" t="n">
        <f aca="false">EE90+EE105</f>
        <v>218547.794397037</v>
      </c>
      <c r="EF107" s="300" t="n">
        <f aca="false">EF90+EF105</f>
        <v>240260.890944939</v>
      </c>
      <c r="EG107" s="300" t="n">
        <f aca="false">EG90+EG105</f>
        <v>241876.790250538</v>
      </c>
      <c r="EH107" s="300" t="n">
        <f aca="false">EH90+EH105</f>
        <v>214954.378984585</v>
      </c>
      <c r="EI107" s="300" t="n">
        <f aca="false">EI90+EI105</f>
        <v>242035.439559887</v>
      </c>
      <c r="EJ107" s="300" t="n">
        <f aca="false">EJ90+EJ105</f>
        <v>244496.706660887</v>
      </c>
      <c r="EK107" s="300" t="n">
        <f aca="false">EK90+EK105</f>
        <v>232636.05287189</v>
      </c>
      <c r="EL107" s="300" t="n">
        <f aca="false">EL90+EL105</f>
        <v>221263.839190504</v>
      </c>
      <c r="EM107" s="300" t="n">
        <f aca="false">EM90+EM105</f>
        <v>225517.226953841</v>
      </c>
      <c r="EN107" s="300" t="n">
        <f aca="false">EN90+EN105</f>
        <v>288861.990957695</v>
      </c>
      <c r="EO107" s="300" t="n">
        <f aca="false">EO90+EO105</f>
        <v>280444.430761203</v>
      </c>
      <c r="EP107" s="300" t="n">
        <f aca="false">EP90+EP105</f>
        <v>263467.909586805</v>
      </c>
      <c r="EQ107" s="300" t="n">
        <f aca="false">EQ90+EQ105</f>
        <v>230162.460652802</v>
      </c>
      <c r="ER107" s="300" t="n">
        <f aca="false">ER90+ER105</f>
        <v>280930.752153068</v>
      </c>
    </row>
    <row r="108" customFormat="false" ht="15" hidden="false" customHeight="false" outlineLevel="0" collapsed="false">
      <c r="B108" s="18" t="s">
        <v>232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292" t="n">
        <f aca="false">IFERROR(AC107/AC88,0)</f>
        <v>-0.901574211397876</v>
      </c>
      <c r="AD108" s="292" t="n">
        <f aca="false">IFERROR(AD107/AD88,0)</f>
        <v>-1.43072143309225</v>
      </c>
      <c r="AE108" s="292" t="n">
        <f aca="false">IFERROR(AE107/AE88,0)</f>
        <v>-0.740429693790528</v>
      </c>
      <c r="AF108" s="292" t="n">
        <f aca="false">IFERROR(AF107/AF88,0)</f>
        <v>-0.609583983123661</v>
      </c>
      <c r="AG108" s="292" t="n">
        <f aca="false">IFERROR(AG107/AG88,0)</f>
        <v>-0.897780324333742</v>
      </c>
      <c r="AH108" s="292" t="n">
        <f aca="false">IFERROR(AH107/AH88,0)</f>
        <v>-0.896532292408061</v>
      </c>
      <c r="AI108" s="292" t="n">
        <f aca="false">IFERROR(AI107/AI88,0)</f>
        <v>-0.696089369203917</v>
      </c>
      <c r="AJ108" s="292" t="n">
        <f aca="false">IFERROR(AJ107/AJ88,0)</f>
        <v>-0.119418752114389</v>
      </c>
      <c r="AK108" s="292" t="n">
        <f aca="false">IFERROR(AK107/AK88,0)</f>
        <v>-0.152699041739772</v>
      </c>
      <c r="AL108" s="292" t="n">
        <f aca="false">IFERROR(AL107/AL88,0)</f>
        <v>-0.236162225852828</v>
      </c>
      <c r="AM108" s="292" t="n">
        <f aca="false">IFERROR(AM107/AM88,0)</f>
        <v>-0.385969959443613</v>
      </c>
      <c r="AN108" s="292" t="n">
        <f aca="false">IFERROR(AN107/AN88,0)</f>
        <v>-0.221816585585896</v>
      </c>
      <c r="AO108" s="292" t="n">
        <f aca="false">IFERROR(AO107/AO88,0)</f>
        <v>-0.0854126005720749</v>
      </c>
      <c r="AP108" s="292" t="n">
        <f aca="false">IFERROR(AP107/AP88,0)</f>
        <v>-0.201594972214781</v>
      </c>
      <c r="AQ108" s="292" t="n">
        <f aca="false">IFERROR(AQ107/AQ88,0)</f>
        <v>0.0069186509198198</v>
      </c>
      <c r="AR108" s="292" t="n">
        <f aca="false">IFERROR(AR107/AR88,0)</f>
        <v>0.0620206907142481</v>
      </c>
      <c r="AS108" s="292" t="n">
        <f aca="false">IFERROR(AS107/AS88,0)</f>
        <v>0.0329506128307924</v>
      </c>
      <c r="AT108" s="292" t="n">
        <f aca="false">IFERROR(AT107/AT88,0)</f>
        <v>0.00150618748421186</v>
      </c>
      <c r="AU108" s="292" t="n">
        <f aca="false">IFERROR(AU107/AU88,0)</f>
        <v>0.0435294870838887</v>
      </c>
      <c r="AV108" s="292" t="n">
        <f aca="false">IFERROR(AV107/AV88,0)</f>
        <v>0.241051103615921</v>
      </c>
      <c r="AW108" s="292" t="n">
        <f aca="false">IFERROR(AW107/AW88,0)</f>
        <v>0.227613360351228</v>
      </c>
      <c r="AX108" s="292" t="n">
        <f aca="false">IFERROR(AX107/AX88,0)</f>
        <v>0.205771682644885</v>
      </c>
      <c r="AY108" s="292" t="n">
        <f aca="false">IFERROR(AY107/AY88,0)</f>
        <v>0.122481332136066</v>
      </c>
      <c r="AZ108" s="292" t="n">
        <f aca="false">IFERROR(AZ107/AZ88,0)</f>
        <v>0.238587621142324</v>
      </c>
      <c r="BA108" s="292" t="n">
        <f aca="false">IFERROR(BA107/BA88,0)</f>
        <v>0.200065526918375</v>
      </c>
      <c r="BB108" s="292" t="n">
        <f aca="false">IFERROR(BB107/BB88,0)</f>
        <v>0.0718801632835833</v>
      </c>
      <c r="BC108" s="292" t="n">
        <f aca="false">IFERROR(BC107/BC88,0)</f>
        <v>0.129813748520453</v>
      </c>
      <c r="BD108" s="292" t="n">
        <f aca="false">IFERROR(BD107/BD88,0)</f>
        <v>0.0919000576739071</v>
      </c>
      <c r="BE108" s="292" t="n">
        <f aca="false">IFERROR(BE107/BE88,0)</f>
        <v>0.0706152077914714</v>
      </c>
      <c r="BF108" s="292" t="n">
        <f aca="false">IFERROR(BF107/BF88,0)</f>
        <v>2.23332934410071E-005</v>
      </c>
      <c r="BG108" s="292" t="n">
        <f aca="false">IFERROR(BG107/BG88,0)</f>
        <v>0.0294960839010029</v>
      </c>
      <c r="BH108" s="292" t="n">
        <f aca="false">IFERROR(BH107/BH88,0)</f>
        <v>0.127792489354116</v>
      </c>
      <c r="BI108" s="292" t="n">
        <f aca="false">IFERROR(BI107/BI88,0)</f>
        <v>0.126121299907769</v>
      </c>
      <c r="BJ108" s="292" t="n">
        <f aca="false">IFERROR(BJ107/BJ88,0)</f>
        <v>0.0686351331584163</v>
      </c>
      <c r="BK108" s="292" t="n">
        <f aca="false">IFERROR(BK107/BK88,0)</f>
        <v>0.0114971610649852</v>
      </c>
      <c r="BL108" s="292" t="n">
        <f aca="false">IFERROR(BL107/BL88,0)</f>
        <v>0.113097849688648</v>
      </c>
      <c r="BM108" s="292" t="n">
        <f aca="false">IFERROR(BM107/BM88,0)</f>
        <v>0.147390204192313</v>
      </c>
      <c r="BN108" s="292" t="n">
        <f aca="false">IFERROR(BN107/BN88,0)</f>
        <v>0.112381412277535</v>
      </c>
      <c r="BO108" s="292" t="n">
        <f aca="false">IFERROR(BO107/BO88,0)</f>
        <v>0.158067922702104</v>
      </c>
      <c r="BP108" s="292" t="n">
        <f aca="false">IFERROR(BP107/BP88,0)</f>
        <v>0.174421482042266</v>
      </c>
      <c r="BQ108" s="292" t="n">
        <f aca="false">IFERROR(BQ107/BQ88,0)</f>
        <v>0.138268459511935</v>
      </c>
      <c r="BR108" s="292" t="n">
        <f aca="false">IFERROR(BR107/BR88,0)</f>
        <v>0.128783169363403</v>
      </c>
      <c r="BS108" s="292" t="n">
        <f aca="false">IFERROR(BS107/BS88,0)</f>
        <v>0.126315416788518</v>
      </c>
      <c r="BT108" s="292" t="n">
        <f aca="false">IFERROR(BT107/BT88,0)</f>
        <v>0.226615090494922</v>
      </c>
      <c r="BU108" s="292" t="n">
        <f aca="false">IFERROR(BU107/BU88,0)</f>
        <v>0.189015298065015</v>
      </c>
      <c r="BV108" s="292" t="n">
        <f aca="false">IFERROR(BV107/BV88,0)</f>
        <v>0.166724221509092</v>
      </c>
      <c r="BW108" s="292" t="n">
        <f aca="false">IFERROR(BW107/BW88,0)</f>
        <v>0.0967233472122934</v>
      </c>
      <c r="BX108" s="292" t="n">
        <f aca="false">IFERROR(BX107/BX88,0)</f>
        <v>0.160323407604546</v>
      </c>
      <c r="BY108" s="292" t="n">
        <f aca="false">IFERROR(BY107/BY88,0)</f>
        <v>0.192929714938537</v>
      </c>
      <c r="BZ108" s="292" t="n">
        <f aca="false">IFERROR(BZ107/BZ88,0)</f>
        <v>0.156429524009661</v>
      </c>
      <c r="CA108" s="292" t="n">
        <f aca="false">IFERROR(CA107/CA88,0)</f>
        <v>0.222289908672119</v>
      </c>
      <c r="CB108" s="292" t="n">
        <f aca="false">IFERROR(CB107/CB88,0)</f>
        <v>0.228734526089402</v>
      </c>
      <c r="CC108" s="292" t="n">
        <f aca="false">IFERROR(CC107/CC88,0)</f>
        <v>0.214427126907387</v>
      </c>
      <c r="CD108" s="292" t="n">
        <f aca="false">IFERROR(CD107/CD88,0)</f>
        <v>0.200469346048808</v>
      </c>
      <c r="CE108" s="292" t="n">
        <f aca="false">IFERROR(CE107/CE88,0)</f>
        <v>0.216151351821632</v>
      </c>
      <c r="CF108" s="292" t="n">
        <f aca="false">IFERROR(CF107/CF88,0)</f>
        <v>0.256196132606466</v>
      </c>
      <c r="CG108" s="292" t="n">
        <f aca="false">IFERROR(CG107/CG88,0)</f>
        <v>0.253199466567054</v>
      </c>
      <c r="CH108" s="292" t="n">
        <f aca="false">IFERROR(CH107/CH88,0)</f>
        <v>0.248243940138091</v>
      </c>
      <c r="CI108" s="292" t="n">
        <f aca="false">IFERROR(CI107/CI88,0)</f>
        <v>0.220117884381636</v>
      </c>
      <c r="CJ108" s="292" t="n">
        <f aca="false">IFERROR(CJ107/CJ88,0)</f>
        <v>0.259230176303089</v>
      </c>
      <c r="CK108" s="292" t="n">
        <f aca="false">IFERROR(CK107/CK88,0)</f>
        <v>0.255791238853257</v>
      </c>
      <c r="CL108" s="292" t="n">
        <f aca="false">IFERROR(CL107/CL88,0)</f>
        <v>0.22917504780057</v>
      </c>
      <c r="CM108" s="292" t="n">
        <f aca="false">IFERROR(CM107/CM88,0)</f>
        <v>0.258418396260496</v>
      </c>
      <c r="CN108" s="292" t="n">
        <f aca="false">IFERROR(CN107/CN88,0)</f>
        <v>0.250407376060191</v>
      </c>
      <c r="CO108" s="292" t="n">
        <f aca="false">IFERROR(CO107/CO88,0)</f>
        <v>0.24288341701844</v>
      </c>
      <c r="CP108" s="292" t="n">
        <f aca="false">IFERROR(CP107/CP88,0)</f>
        <v>0.221837826605504</v>
      </c>
      <c r="CQ108" s="292" t="n">
        <f aca="false">IFERROR(CQ107/CQ88,0)</f>
        <v>0.2292309047174</v>
      </c>
      <c r="CR108" s="292" t="n">
        <f aca="false">IFERROR(CR107/CR88,0)</f>
        <v>0.257634858260744</v>
      </c>
      <c r="CS108" s="292" t="n">
        <f aca="false">IFERROR(CS107/CS88,0)</f>
        <v>0.256928030079222</v>
      </c>
      <c r="CT108" s="292" t="n">
        <f aca="false">IFERROR(CT107/CT88,0)</f>
        <v>0.252867891447696</v>
      </c>
      <c r="CU108" s="292" t="n">
        <f aca="false">IFERROR(CU107/CU88,0)</f>
        <v>0.239472582906668</v>
      </c>
      <c r="CV108" s="292" t="n">
        <f aca="false">IFERROR(CV107/CV88,0)</f>
        <v>0.259771859520649</v>
      </c>
      <c r="CW108" s="292" t="n">
        <f aca="false">IFERROR(CW107/CW88,0)</f>
        <v>0.254996942582378</v>
      </c>
      <c r="CX108" s="292" t="n">
        <f aca="false">IFERROR(CX107/CX88,0)</f>
        <v>0.238636924822456</v>
      </c>
      <c r="CY108" s="292" t="n">
        <f aca="false">IFERROR(CY107/CY88,0)</f>
        <v>0.242929262280647</v>
      </c>
      <c r="CZ108" s="292" t="n">
        <f aca="false">IFERROR(CZ107/CZ88,0)</f>
        <v>0.237277385310253</v>
      </c>
      <c r="DA108" s="292" t="n">
        <f aca="false">IFERROR(DA107/DA88,0)</f>
        <v>0.213209310379325</v>
      </c>
      <c r="DB108" s="292" t="n">
        <f aca="false">IFERROR(DB107/DB88,0)</f>
        <v>0.211217483385701</v>
      </c>
      <c r="DC108" s="292" t="n">
        <f aca="false">IFERROR(DC107/DC88,0)</f>
        <v>0.216832502291037</v>
      </c>
      <c r="DD108" s="292" t="n">
        <f aca="false">IFERROR(DD107/DD88,0)</f>
        <v>0.247964126058836</v>
      </c>
      <c r="DE108" s="292" t="n">
        <f aca="false">IFERROR(DE107/DE88,0)</f>
        <v>0.246512165831093</v>
      </c>
      <c r="DF108" s="292" t="n">
        <f aca="false">IFERROR(DF107/DF88,0)</f>
        <v>0.233377595679734</v>
      </c>
      <c r="DG108" s="292" t="n">
        <f aca="false">IFERROR(DG107/DG88,0)</f>
        <v>0.218752721150714</v>
      </c>
      <c r="DH108" s="292" t="n">
        <f aca="false">IFERROR(DH107/DH88,0)</f>
        <v>0.241365838211398</v>
      </c>
      <c r="DI108" s="292" t="n">
        <f aca="false">IFERROR(DI107/DI88,0)</f>
        <v>0.250593078821044</v>
      </c>
      <c r="DJ108" s="292" t="n">
        <f aca="false">IFERROR(DJ107/DJ88,0)</f>
        <v>0.24032577167153</v>
      </c>
      <c r="DK108" s="292" t="n">
        <f aca="false">IFERROR(DK107/DK88,0)</f>
        <v>0.250715946679864</v>
      </c>
      <c r="DL108" s="292" t="n">
        <f aca="false">IFERROR(DL107/DL88,0)</f>
        <v>0.245543456999857</v>
      </c>
      <c r="DM108" s="292" t="n">
        <f aca="false">IFERROR(DM107/DM88,0)</f>
        <v>0.242174758339775</v>
      </c>
      <c r="DN108" s="292" t="n">
        <f aca="false">IFERROR(DN107/DN88,0)</f>
        <v>0.236800139264664</v>
      </c>
      <c r="DO108" s="292" t="n">
        <f aca="false">IFERROR(DO107/DO88,0)</f>
        <v>0.241942124066886</v>
      </c>
      <c r="DP108" s="292" t="n">
        <f aca="false">IFERROR(DP107/DP88,0)</f>
        <v>0.263004288775466</v>
      </c>
      <c r="DQ108" s="292" t="n">
        <f aca="false">IFERROR(DQ107/DQ88,0)</f>
        <v>0.254850731681649</v>
      </c>
      <c r="DR108" s="292" t="n">
        <f aca="false">IFERROR(DR107/DR88,0)</f>
        <v>0.248076028698796</v>
      </c>
      <c r="DS108" s="292" t="n">
        <f aca="false">IFERROR(DS107/DS88,0)</f>
        <v>0.232740647078124</v>
      </c>
      <c r="DT108" s="292" t="n">
        <f aca="false">IFERROR(DT107/DT88,0)</f>
        <v>0.253314617190676</v>
      </c>
      <c r="DU108" s="292" t="n">
        <f aca="false">IFERROR(DU107/DU88,0)</f>
        <v>0.252847131084469</v>
      </c>
      <c r="DV108" s="292" t="n">
        <f aca="false">IFERROR(DV107/DV88,0)</f>
        <v>0.235933521677265</v>
      </c>
      <c r="DW108" s="292" t="n">
        <f aca="false">IFERROR(DW107/DW88,0)</f>
        <v>0.24400806297754</v>
      </c>
      <c r="DX108" s="292" t="n">
        <f aca="false">IFERROR(DX107/DX88,0)</f>
        <v>0.239458987643576</v>
      </c>
      <c r="DY108" s="292" t="n">
        <f aca="false">IFERROR(DY107/DY88,0)</f>
        <v>0.230108293808253</v>
      </c>
      <c r="DZ108" s="292" t="n">
        <f aca="false">IFERROR(DZ107/DZ88,0)</f>
        <v>0.227123536703809</v>
      </c>
      <c r="EA108" s="292" t="n">
        <f aca="false">IFERROR(EA107/EA88,0)</f>
        <v>0.232424547597102</v>
      </c>
      <c r="EB108" s="292" t="n">
        <f aca="false">IFERROR(EB107/EB88,0)</f>
        <v>0.254118746294749</v>
      </c>
      <c r="EC108" s="292" t="n">
        <f aca="false">IFERROR(EC107/EC88,0)</f>
        <v>0.251135740802742</v>
      </c>
      <c r="ED108" s="292" t="n">
        <f aca="false">IFERROR(ED107/ED88,0)</f>
        <v>0.240623043558408</v>
      </c>
      <c r="EE108" s="292" t="n">
        <f aca="false">IFERROR(EE107/EE88,0)</f>
        <v>0.227618462445464</v>
      </c>
      <c r="EF108" s="292" t="n">
        <f aca="false">IFERROR(EF107/EF88,0)</f>
        <v>0.236498793602124</v>
      </c>
      <c r="EG108" s="292" t="n">
        <f aca="false">IFERROR(EG107/EG88,0)</f>
        <v>0.230657731146061</v>
      </c>
      <c r="EH108" s="292" t="n">
        <f aca="false">IFERROR(EH107/EH88,0)</f>
        <v>0.209498009104984</v>
      </c>
      <c r="EI108" s="292" t="n">
        <f aca="false">IFERROR(EI107/EI88,0)</f>
        <v>0.219774625774209</v>
      </c>
      <c r="EJ108" s="292" t="n">
        <f aca="false">IFERROR(EJ107/EJ88,0)</f>
        <v>0.218818879562346</v>
      </c>
      <c r="EK108" s="292" t="n">
        <f aca="false">IFERROR(EK107/EK88,0)</f>
        <v>0.21165280542964</v>
      </c>
      <c r="EL108" s="292" t="n">
        <f aca="false">IFERROR(EL107/EL88,0)</f>
        <v>0.203470798102918</v>
      </c>
      <c r="EM108" s="292" t="n">
        <f aca="false">IFERROR(EM107/EM88,0)</f>
        <v>0.202678563489879</v>
      </c>
      <c r="EN108" s="292" t="n">
        <f aca="false">IFERROR(EN107/EN88,0)</f>
        <v>0.233911032882869</v>
      </c>
      <c r="EO108" s="292" t="n">
        <f aca="false">IFERROR(EO107/EO88,0)</f>
        <v>0.227766096209616</v>
      </c>
      <c r="EP108" s="292" t="n">
        <f aca="false">IFERROR(EP107/EP88,0)</f>
        <v>0.216337461292877</v>
      </c>
      <c r="EQ108" s="292" t="n">
        <f aca="false">IFERROR(EQ107/EQ88,0)</f>
        <v>0.198016838038631</v>
      </c>
      <c r="ER108" s="292" t="n">
        <f aca="false">IFERROR(ER107/ER88,0)</f>
        <v>0.225291474630109</v>
      </c>
    </row>
  </sheetData>
  <mergeCells count="2">
    <mergeCell ref="B1:N1"/>
    <mergeCell ref="B4:F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5D50"/>
    <pageSetUpPr fitToPage="false"/>
  </sheetPr>
  <dimension ref="B1:EE75"/>
  <sheetViews>
    <sheetView showFormulas="false" showGridLines="true" showRowColHeaders="true" showZeros="true" rightToLeft="false" tabSelected="false" showOutlineSymbols="true" defaultGridColor="true" view="normal" topLeftCell="A29" colorId="64" zoomScale="100" zoomScaleNormal="100" zoomScalePageLayoutView="100" workbookViewId="0">
      <selection pane="topLeft" activeCell="D29" activeCellId="0" sqref="D29"/>
    </sheetView>
  </sheetViews>
  <sheetFormatPr defaultColWidth="10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12" min="3" style="0" width="13.34"/>
    <col collapsed="false" customWidth="true" hidden="false" outlineLevel="0" max="13" min="13" style="0" width="16.67"/>
    <col collapsed="false" customWidth="true" hidden="false" outlineLevel="0" max="14" min="14" style="0" width="15.16"/>
    <col collapsed="false" customWidth="true" hidden="false" outlineLevel="0" max="134" min="16" style="0" width="12.5"/>
  </cols>
  <sheetData>
    <row r="1" customFormat="false" ht="15.75" hidden="false" customHeight="true" outlineLevel="0" collapsed="false">
      <c r="B1" s="176" t="s">
        <v>1204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</row>
    <row r="2" customFormat="false" ht="15" hidden="false" customHeight="false" outlineLevel="0" collapsed="false">
      <c r="B2" s="44" t="s">
        <v>1205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</row>
    <row r="3" customFormat="false" ht="15" hidden="false" customHeight="false" outlineLevel="0" collapsed="false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</row>
    <row r="4" customFormat="false" ht="15" hidden="false" customHeight="false" outlineLevel="0" collapsed="false">
      <c r="B4" s="21" t="s">
        <v>1206</v>
      </c>
      <c r="C4" s="21"/>
      <c r="D4" s="21"/>
      <c r="E4" s="21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</row>
    <row r="5" customFormat="false" ht="15" hidden="false" customHeight="false" outlineLevel="0" collapsed="false">
      <c r="B5" s="26" t="s">
        <v>109</v>
      </c>
      <c r="C5" s="26" t="s">
        <v>1207</v>
      </c>
      <c r="D5" s="26" t="s">
        <v>1208</v>
      </c>
      <c r="E5" s="26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</row>
    <row r="6" customFormat="false" ht="15" hidden="false" customHeight="false" outlineLevel="0" collapsed="false">
      <c r="B6" s="36" t="s">
        <v>1209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</row>
    <row r="7" customFormat="false" ht="15" hidden="false" customHeight="false" outlineLevel="0" collapsed="false">
      <c r="B7" s="36" t="s">
        <v>1210</v>
      </c>
      <c r="C7" s="116" t="n">
        <v>8500</v>
      </c>
      <c r="D7" s="18" t="s">
        <v>1211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</row>
    <row r="8" customFormat="false" ht="15" hidden="false" customHeight="false" outlineLevel="0" collapsed="false">
      <c r="B8" s="36" t="s">
        <v>1212</v>
      </c>
      <c r="C8" s="23" t="n">
        <v>1370.82</v>
      </c>
      <c r="D8" s="18" t="s">
        <v>1213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</row>
    <row r="9" customFormat="false" ht="15" hidden="false" customHeight="false" outlineLevel="0" collapsed="false">
      <c r="B9" s="36" t="s">
        <v>1214</v>
      </c>
      <c r="C9" s="23" t="n">
        <v>4174.3</v>
      </c>
      <c r="D9" s="18" t="s">
        <v>1215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</row>
    <row r="10" customFormat="false" ht="15" hidden="false" customHeight="false" outlineLevel="0" collapsed="false">
      <c r="B10" s="36" t="s">
        <v>1216</v>
      </c>
      <c r="C10" s="23" t="n">
        <v>592.95</v>
      </c>
      <c r="D10" s="18" t="s">
        <v>1217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</row>
    <row r="11" customFormat="false" ht="15" hidden="false" customHeight="false" outlineLevel="0" collapsed="false">
      <c r="B11" s="36" t="s">
        <v>1218</v>
      </c>
      <c r="C11" s="23" t="n">
        <v>978.23</v>
      </c>
      <c r="D11" s="18" t="s">
        <v>1219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</row>
    <row r="12" customFormat="false" ht="15" hidden="false" customHeight="false" outlineLevel="0" collapsed="false">
      <c r="B12" s="36" t="s">
        <v>1220</v>
      </c>
      <c r="C12" s="23" t="n">
        <v>1000</v>
      </c>
      <c r="D12" s="18" t="s">
        <v>1221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</row>
    <row r="13" customFormat="false" ht="15" hidden="false" customHeight="false" outlineLevel="0" collapsed="false">
      <c r="B13" s="36" t="s">
        <v>1222</v>
      </c>
      <c r="C13" s="305" t="n">
        <v>0.1935</v>
      </c>
      <c r="D13" s="18" t="s">
        <v>1223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</row>
    <row r="14" customFormat="false" ht="15" hidden="false" customHeight="false" outlineLevel="0" collapsed="false">
      <c r="B14" s="36" t="s">
        <v>1224</v>
      </c>
      <c r="C14" s="116" t="n">
        <v>1000</v>
      </c>
      <c r="D14" s="18" t="s">
        <v>1225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</row>
    <row r="15" customFormat="false" ht="15" hidden="false" customHeight="false" outlineLevel="0" collapsed="false">
      <c r="B15" s="36" t="s">
        <v>1226</v>
      </c>
      <c r="C15" s="116" t="n">
        <v>1500</v>
      </c>
      <c r="D15" s="18" t="s">
        <v>1227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</row>
    <row r="16" customFormat="false" ht="15" hidden="false" customHeight="false" outlineLevel="0" collapsed="false">
      <c r="B16" s="36" t="s">
        <v>1228</v>
      </c>
      <c r="C16" s="23" t="n">
        <v>12000</v>
      </c>
      <c r="D16" s="18" t="s">
        <v>1229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</row>
    <row r="17" customFormat="false" ht="15" hidden="false" customHeight="false" outlineLevel="0" collapsed="false">
      <c r="B17" s="36" t="s">
        <v>1230</v>
      </c>
      <c r="C17" s="23" t="n">
        <v>4000</v>
      </c>
      <c r="D17" s="18" t="s">
        <v>1231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</row>
    <row r="18" customFormat="false" ht="15" hidden="false" customHeight="false" outlineLevel="0" collapsed="false">
      <c r="B18" s="36" t="s">
        <v>1232</v>
      </c>
      <c r="C18" s="23" t="n">
        <v>0</v>
      </c>
      <c r="D18" s="18" t="s">
        <v>1233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</row>
    <row r="19" customFormat="false" ht="15" hidden="false" customHeight="false" outlineLevel="0" collapsed="false">
      <c r="B19" s="36" t="s">
        <v>1234</v>
      </c>
      <c r="C19" s="23" t="n">
        <v>3000</v>
      </c>
      <c r="D19" s="18" t="s">
        <v>1235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</row>
    <row r="20" customFormat="false" ht="15" hidden="false" customHeight="false" outlineLevel="0" collapsed="false">
      <c r="B20" s="36" t="s">
        <v>1236</v>
      </c>
      <c r="C20" s="23" t="n">
        <v>1500</v>
      </c>
      <c r="D20" s="18" t="s">
        <v>1237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</row>
    <row r="21" customFormat="false" ht="15" hidden="false" customHeight="false" outlineLevel="0" collapsed="false">
      <c r="B21" s="26" t="s">
        <v>1238</v>
      </c>
      <c r="C21" s="167"/>
      <c r="D21" s="167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</row>
    <row r="22" customFormat="false" ht="15" hidden="false" customHeight="false" outlineLevel="0" collapsed="false">
      <c r="B22" s="36" t="s">
        <v>1239</v>
      </c>
      <c r="C22" s="23" t="n">
        <v>0</v>
      </c>
      <c r="D22" s="18" t="s">
        <v>1240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</row>
    <row r="23" customFormat="false" ht="15" hidden="false" customHeight="false" outlineLevel="0" collapsed="false">
      <c r="B23" s="36" t="s">
        <v>1241</v>
      </c>
      <c r="C23" s="23" t="n">
        <v>3500</v>
      </c>
      <c r="D23" s="18" t="s">
        <v>1242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</row>
    <row r="24" customFormat="false" ht="15" hidden="false" customHeight="false" outlineLevel="0" collapsed="false">
      <c r="B24" s="36" t="s">
        <v>1243</v>
      </c>
      <c r="C24" s="23" t="n">
        <v>3500</v>
      </c>
      <c r="D24" s="18" t="s">
        <v>1244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</row>
    <row r="25" customFormat="false" ht="15" hidden="false" customHeight="false" outlineLevel="0" collapsed="false">
      <c r="B25" s="36" t="s">
        <v>1245</v>
      </c>
      <c r="C25" s="23" t="n">
        <v>2500</v>
      </c>
      <c r="D25" s="18" t="s">
        <v>1246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</row>
    <row r="26" customFormat="false" ht="15" hidden="false" customHeight="false" outlineLevel="0" collapsed="false">
      <c r="B26" s="36" t="s">
        <v>1247</v>
      </c>
      <c r="C26" s="23" t="n">
        <v>2000</v>
      </c>
      <c r="D26" s="18" t="s">
        <v>1248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</row>
    <row r="27" customFormat="false" ht="15" hidden="false" customHeight="false" outlineLevel="0" collapsed="false">
      <c r="B27" s="36" t="s">
        <v>1249</v>
      </c>
      <c r="C27" s="23" t="n">
        <v>1000</v>
      </c>
      <c r="D27" s="18" t="s">
        <v>1250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</row>
    <row r="28" customFormat="false" ht="15" hidden="false" customHeight="false" outlineLevel="0" collapsed="false">
      <c r="B28" s="36" t="s">
        <v>1251</v>
      </c>
      <c r="C28" s="23" t="n">
        <v>2500</v>
      </c>
      <c r="D28" s="18" t="s">
        <v>1252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</row>
    <row r="29" customFormat="false" ht="15" hidden="false" customHeight="false" outlineLevel="0" collapsed="false">
      <c r="B29" s="36" t="s">
        <v>1253</v>
      </c>
      <c r="C29" s="23" t="n">
        <v>3500</v>
      </c>
      <c r="D29" s="18" t="s">
        <v>1254</v>
      </c>
      <c r="E29" s="23" t="n">
        <v>150000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</row>
    <row r="30" customFormat="false" ht="15" hidden="false" customHeight="false" outlineLevel="0" collapsed="false">
      <c r="B30" s="36" t="s">
        <v>1255</v>
      </c>
      <c r="C30" s="22" t="n">
        <v>0.005</v>
      </c>
      <c r="D30" s="18" t="s">
        <v>1256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</row>
    <row r="31" customFormat="false" ht="15" hidden="false" customHeight="false" outlineLevel="0" collapsed="false">
      <c r="B31" s="36" t="s">
        <v>1257</v>
      </c>
      <c r="C31" s="22" t="n">
        <v>0.362</v>
      </c>
      <c r="D31" s="18" t="s">
        <v>1258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</row>
    <row r="32" customFormat="false" ht="15" hidden="false" customHeight="false" outlineLevel="0" collapsed="false">
      <c r="B32" s="36" t="s">
        <v>1259</v>
      </c>
      <c r="C32" s="177" t="n">
        <v>0</v>
      </c>
      <c r="D32" s="18" t="s">
        <v>1260</v>
      </c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</row>
    <row r="33" customFormat="false" ht="15" hidden="false" customHeight="false" outlineLevel="0" collapsed="false">
      <c r="B33" s="36" t="s">
        <v>1261</v>
      </c>
      <c r="C33" s="23" t="n">
        <v>15000</v>
      </c>
      <c r="D33" s="18" t="s">
        <v>1262</v>
      </c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</row>
    <row r="34" customFormat="false" ht="15" hidden="false" customHeight="false" outlineLevel="0" collapsed="false">
      <c r="B34" s="36" t="s">
        <v>1263</v>
      </c>
      <c r="C34" s="306" t="n">
        <v>21</v>
      </c>
      <c r="D34" s="18" t="s">
        <v>1264</v>
      </c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</row>
    <row r="35" customFormat="false" ht="15" hidden="false" customHeight="false" outlineLevel="0" collapsed="false">
      <c r="B35" s="36" t="s">
        <v>1265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</row>
    <row r="36" customFormat="false" ht="15" hidden="false" customHeight="false" outlineLevel="0" collapsed="false">
      <c r="B36" s="36"/>
      <c r="C36" s="116"/>
      <c r="D36" s="18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</row>
    <row r="37" customFormat="false" ht="15" hidden="false" customHeight="false" outlineLevel="0" collapsed="false">
      <c r="B37" s="36" t="s">
        <v>1266</v>
      </c>
      <c r="C37" s="307" t="n">
        <f aca="false">-AVERAGE('EEFF a septiemrbe'!H24:J24)</f>
        <v>3307.66666666667</v>
      </c>
      <c r="D37" s="18" t="s">
        <v>1267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</row>
    <row r="38" customFormat="false" ht="15" hidden="false" customHeight="false" outlineLevel="0" collapsed="false">
      <c r="B38" s="36" t="s">
        <v>1268</v>
      </c>
      <c r="C38" s="307" t="n">
        <f aca="false">-AVERAGE('EEFF a septiemrbe'!H26:J26)</f>
        <v>2851.06</v>
      </c>
      <c r="D38" s="18" t="s">
        <v>1269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</row>
    <row r="39" customFormat="false" ht="15" hidden="false" customHeight="false" outlineLevel="0" collapsed="false">
      <c r="B39" s="36" t="s">
        <v>1270</v>
      </c>
      <c r="C39" s="308" t="n">
        <f aca="false">-AVERAGE('EEFF a septiemrbe'!H25:J25)</f>
        <v>1689.61333333333</v>
      </c>
      <c r="D39" s="90" t="s">
        <v>1271</v>
      </c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</row>
    <row r="40" customFormat="false" ht="15" hidden="false" customHeight="false" outlineLevel="0" collapsed="false">
      <c r="B40" s="36" t="s">
        <v>1272</v>
      </c>
      <c r="C40" s="221" t="n">
        <v>0</v>
      </c>
      <c r="D40" s="90" t="s">
        <v>1273</v>
      </c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</row>
    <row r="41" customFormat="false" ht="15" hidden="false" customHeight="false" outlineLevel="0" collapsed="false">
      <c r="B41" s="26" t="s">
        <v>1274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</row>
    <row r="42" customFormat="false" ht="15" hidden="false" customHeight="false" outlineLevel="0" collapsed="false">
      <c r="B42" s="26" t="s">
        <v>1275</v>
      </c>
      <c r="C42" s="178" t="n">
        <v>2025</v>
      </c>
      <c r="D42" s="178" t="n">
        <v>2026</v>
      </c>
      <c r="E42" s="178" t="n">
        <v>2027</v>
      </c>
      <c r="F42" s="178" t="n">
        <v>2028</v>
      </c>
      <c r="G42" s="178" t="n">
        <v>2029</v>
      </c>
      <c r="H42" s="178" t="n">
        <v>2030</v>
      </c>
      <c r="I42" s="178" t="n">
        <v>2031</v>
      </c>
      <c r="J42" s="178" t="n">
        <v>2032</v>
      </c>
      <c r="K42" s="178" t="n">
        <v>2033</v>
      </c>
      <c r="L42" s="178" t="n">
        <v>2034</v>
      </c>
      <c r="M42" s="26" t="n">
        <v>2035</v>
      </c>
      <c r="N42" s="26" t="n">
        <v>2036</v>
      </c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</row>
    <row r="43" customFormat="false" ht="15" hidden="false" customHeight="false" outlineLevel="0" collapsed="false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</row>
    <row r="44" customFormat="false" ht="15" hidden="false" customHeight="false" outlineLevel="0" collapsed="false">
      <c r="B44" s="90" t="s">
        <v>1276</v>
      </c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</row>
    <row r="45" customFormat="false" ht="15" hidden="false" customHeight="false" outlineLevel="0" collapsed="false">
      <c r="B45" s="18"/>
      <c r="C45" s="180"/>
      <c r="D45" s="180"/>
      <c r="E45" s="180"/>
      <c r="F45" s="180"/>
      <c r="G45" s="180"/>
      <c r="H45" s="180"/>
      <c r="I45" s="180"/>
      <c r="J45" s="180"/>
      <c r="K45" s="180"/>
      <c r="L45" s="180"/>
      <c r="M45" s="180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</row>
    <row r="46" customFormat="false" ht="15" hidden="false" customHeight="false" outlineLevel="0" collapsed="false">
      <c r="B46" s="18"/>
      <c r="C46" s="180"/>
      <c r="D46" s="180"/>
      <c r="E46" s="180"/>
      <c r="F46" s="180"/>
      <c r="G46" s="180"/>
      <c r="H46" s="180"/>
      <c r="I46" s="180"/>
      <c r="J46" s="180"/>
      <c r="K46" s="180"/>
      <c r="L46" s="180"/>
      <c r="M46" s="180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</row>
    <row r="47" customFormat="false" ht="15" hidden="false" customHeight="false" outlineLevel="0" collapsed="false">
      <c r="B47" s="18"/>
      <c r="C47" s="180"/>
      <c r="D47" s="180"/>
      <c r="E47" s="180"/>
      <c r="F47" s="180"/>
      <c r="G47" s="180"/>
      <c r="H47" s="180"/>
      <c r="I47" s="180"/>
      <c r="J47" s="180"/>
      <c r="K47" s="180"/>
      <c r="L47" s="180"/>
      <c r="M47" s="180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</row>
    <row r="48" customFormat="false" ht="15" hidden="false" customHeight="false" outlineLevel="0" collapsed="false">
      <c r="B48" s="293" t="s">
        <v>1277</v>
      </c>
      <c r="C48" s="290" t="n">
        <f aca="false" t="array" ref="C48:C48">-12*($C$8+$C$9+$C$10+$C$11+$C$12)-12*IF(C$42&gt;=2028,$C$33,IF(C$42=2027,(3*$C$7+9*$C$16)/12,$C$7))*(1+$C$13)+(-12*((IF('⑯ Store P&amp;L'!C37&gt;=5,0,0)+IF('⑯ Store P&amp;L'!C37&gt;=7,$C$14,0)+IF('⑯ Store P&amp;L'!C37&gt;=8,$C$15,0)+IF(SUMPRODUCT(('⑫ Roll-out Plan'!$G$10:$G$97&lt;=C$42)*ISNUMBER(SEARCH("Colombia",'⑫ Roll-out Plan'!$C$10:$C$97))*'⑫ Roll-out Plan'!$O$10:$O$97)&gt;=1,$C$23,0)+IF(SUMPRODUCT(('⑫ Roll-out Plan'!$G$10:$G$97&lt;=C$42)*(ISNUMBER(SEARCH("Dominicana",'⑫ Roll-out Plan'!$C$10:$C$97))+ISNUMBER(SEARCH("Guatemala",'⑫ Roll-out Plan'!$C$10:$C$97))+ISNUMBER(SEARCH("Salvador",'⑫ Roll-out Plan'!$C$10:$C$97)))*'⑫ Roll-out Plan'!$O$10:$O$97)&gt;=1,$C$24,0)+IF(C$42&gt;=2027,$C$17,0)+IF('⑯ Store P&amp;L'!C37&gt;=8,$C$18,0)+IF(C$42&gt;=2029,$C$19,0)+IF(C$42&gt;=2027,$C$20,0)+IF(C$42&gt;=2027,$C$22,0)+IF(SUMPRODUCT(('⑫ Roll-out Plan'!$G$10:$G$97=C$42)*'⑫ Roll-out Plan'!$O$10:$O$97)&gt;=10,$C$25,0)+IF('⑯ Store P&amp;L'!C37&gt;=25,$C$26,0)+$C$27*(IF(SUMPRODUCT(('⑫ Roll-out Plan'!$G$10:$G$97&lt;=C$42)*ISNUMBER(SEARCH("Colombia",'⑫ Roll-out Plan'!$C$10:$C$97))*'⑫ Roll-out Plan'!$O$10:$O$97)&gt;=1,1,0)+IF(SUMPRODUCT(('⑫ Roll-out Plan'!$G$10:$G$97&lt;=C$42)*ISNUMBER(SEARCH("Dominicana",'⑫ Roll-out Plan'!$C$10:$C$97))*'⑫ Roll-out Plan'!$O$10:$O$97)&gt;=1,1,0)+IF(SUMPRODUCT(('⑫ Roll-out Plan'!$G$10:$G$97&lt;=C$42)*ISNUMBER(SEARCH("Guatemala",'⑫ Roll-out Plan'!$C$10:$C$97))*'⑫ Roll-out Plan'!$O$10:$O$97)&gt;=1,1,0)+IF(SUMPRODUCT(('⑫ Roll-out Plan'!$G$10:$G$97&lt;=C$42)*ISNUMBER(SEARCH("Salvador",'⑫ Roll-out Plan'!$C$10:$C$97))*'⑫ Roll-out Plan'!$O$10:$O$97)&gt;=1,1,0))+IF(C$42&gt;=2030,$C$28,0)+IF(AND(C$42&gt;=2030,SUMPRODUCT(('⑫ Roll-out Plan'!$G$10:$G$97&lt;=C$42)*ISNUMBER(SEARCH("Colombia",'⑫ Roll-out Plan'!$C$10:$C$97))*'⑫ Roll-out Plan'!$O$10:$O$97)&gt;=1),$C$29,0))*(1+$C$31+C$64)))*IF((IF(SUMPRODUCT(('⑫ Roll-out Plan'!$G$10:$G$97&lt;=C$42)*ISNUMBER(SEARCH("Colombia",'⑫ Roll-out Plan'!$C$10:$C$97))*'⑫ Roll-out Plan'!$O$10:$O$97)&gt;=1,1,0)+IF(SUMPRODUCT(('⑫ Roll-out Plan'!$G$10:$G$97&lt;=C$42)*ISNUMBER(SEARCH("Dominicana",'⑫ Roll-out Plan'!$C$10:$C$97))*'⑫ Roll-out Plan'!$O$10:$O$97)&gt;=1,1,0)+IF(SUMPRODUCT(('⑫ Roll-out Plan'!$G$10:$G$97&lt;=C$42)*ISNUMBER(SEARCH("Guatemala",'⑫ Roll-out Plan'!$C$10:$C$97))*'⑫ Roll-out Plan'!$O$10:$O$97)&gt;=1,1,0)+IF(SUMPRODUCT(('⑫ Roll-out Plan'!$G$10:$G$97&lt;=C$42)*ISNUMBER(SEARCH("Salvador",'⑫ Roll-out Plan'!$C$10:$C$97))*'⑫ Roll-out Plan'!$O$10:$O$97)&gt;=1,1,0))=0,'🎚️ Escenario'!$C$7,1)-IF(AND(C$42&gt;=2031,(IF(SUMPRODUCT(('⑫ Roll-out Plan'!$G$10:$G$97&lt;=C$42)*ISNUMBER(SEARCH("Colombia",'⑫ Roll-out Plan'!$C$10:$C$97))*'⑫ Roll-out Plan'!$O$10:$O$97)&gt;=1,1,0)+IF(SUMPRODUCT(('⑫ Roll-out Plan'!$G$10:$G$97&lt;=C$42)*ISNUMBER(SEARCH("Dominicana",'⑫ Roll-out Plan'!$C$10:$C$97))*'⑫ Roll-out Plan'!$O$10:$O$97)&gt;=1,1,0)+IF(SUMPRODUCT(('⑫ Roll-out Plan'!$G$10:$G$97&lt;=C$42)*ISNUMBER(SEARCH("Guatemala",'⑫ Roll-out Plan'!$C$10:$C$97))*'⑫ Roll-out Plan'!$O$10:$O$97)&gt;=1,1,0)+IF(SUMPRODUCT(('⑫ Roll-out Plan'!$G$10:$G$97&lt;=C$42)*ISNUMBER(SEARCH("Salvador",'⑫ Roll-out Plan'!$C$10:$C$97))*'⑫ Roll-out Plan'!$O$10:$O$97)&gt;=1,1,0))&gt;=1),$C$30*'🎚️ Escenario'!C29,0)+12*(C67-C68)*C66</f>
        <v>-219132.6</v>
      </c>
      <c r="D48" s="290" t="n">
        <f aca="false" t="array" ref="D48:D48">-12*($C$8+$C$9+$C$10+$C$11+$C$12)-12*IF(D$42&gt;=2028,$C$33,IF(D$42=2027,(3*$C$7+9*$C$16)/12,$C$7))*(1+$C$13)+(-12*((IF('⑯ Store P&amp;L'!D37&gt;=5,0,0)+IF('⑯ Store P&amp;L'!D37&gt;=7,$C$14,0)+IF('⑯ Store P&amp;L'!D37&gt;=8,$C$15,0)+IF(SUMPRODUCT(('⑫ Roll-out Plan'!$G$10:$G$97&lt;=D$42)*ISNUMBER(SEARCH("Colombia",'⑫ Roll-out Plan'!$C$10:$C$97))*'⑫ Roll-out Plan'!$O$10:$O$97)&gt;=1,$C$23,0)+IF(SUMPRODUCT(('⑫ Roll-out Plan'!$G$10:$G$97&lt;=D$42)*(ISNUMBER(SEARCH("Dominicana",'⑫ Roll-out Plan'!$C$10:$C$97))+ISNUMBER(SEARCH("Guatemala",'⑫ Roll-out Plan'!$C$10:$C$97))+ISNUMBER(SEARCH("Salvador",'⑫ Roll-out Plan'!$C$10:$C$97)))*'⑫ Roll-out Plan'!$O$10:$O$97)&gt;=1,$C$24,0)+IF(D$42&gt;=2027,$C$17,0)+IF('⑯ Store P&amp;L'!D37&gt;=8,$C$18,0)+IF(D$42&gt;=2029,$C$19,0)+IF(D$42&gt;=2027,$C$20,0)+IF(D$42&gt;=2027,$C$22,0)+IF(SUMPRODUCT(('⑫ Roll-out Plan'!$G$10:$G$97=D$42)*'⑫ Roll-out Plan'!$O$10:$O$97)&gt;=10,$C$25,0)+IF('⑯ Store P&amp;L'!D37&gt;=25,$C$26,0)+$C$27*(IF(SUMPRODUCT(('⑫ Roll-out Plan'!$G$10:$G$97&lt;=D$42)*ISNUMBER(SEARCH("Colombia",'⑫ Roll-out Plan'!$C$10:$C$97))*'⑫ Roll-out Plan'!$O$10:$O$97)&gt;=1,1,0)+IF(SUMPRODUCT(('⑫ Roll-out Plan'!$G$10:$G$97&lt;=D$42)*ISNUMBER(SEARCH("Dominicana",'⑫ Roll-out Plan'!$C$10:$C$97))*'⑫ Roll-out Plan'!$O$10:$O$97)&gt;=1,1,0)+IF(SUMPRODUCT(('⑫ Roll-out Plan'!$G$10:$G$97&lt;=D$42)*ISNUMBER(SEARCH("Guatemala",'⑫ Roll-out Plan'!$C$10:$C$97))*'⑫ Roll-out Plan'!$O$10:$O$97)&gt;=1,1,0)+IF(SUMPRODUCT(('⑫ Roll-out Plan'!$G$10:$G$97&lt;=D$42)*ISNUMBER(SEARCH("Salvador",'⑫ Roll-out Plan'!$C$10:$C$97))*'⑫ Roll-out Plan'!$O$10:$O$97)&gt;=1,1,0))+IF(D$42&gt;=2030,$C$28,0)+IF(AND(D$42&gt;=2030,SUMPRODUCT(('⑫ Roll-out Plan'!$G$10:$G$97&lt;=D$42)*ISNUMBER(SEARCH("Colombia",'⑫ Roll-out Plan'!$C$10:$C$97))*'⑫ Roll-out Plan'!$O$10:$O$97)&gt;=1),$C$29,0))*(1+$C$31+D$64)))*IF((IF(SUMPRODUCT(('⑫ Roll-out Plan'!$G$10:$G$97&lt;=D$42)*ISNUMBER(SEARCH("Colombia",'⑫ Roll-out Plan'!$C$10:$C$97))*'⑫ Roll-out Plan'!$O$10:$O$97)&gt;=1,1,0)+IF(SUMPRODUCT(('⑫ Roll-out Plan'!$G$10:$G$97&lt;=D$42)*ISNUMBER(SEARCH("Dominicana",'⑫ Roll-out Plan'!$C$10:$C$97))*'⑫ Roll-out Plan'!$O$10:$O$97)&gt;=1,1,0)+IF(SUMPRODUCT(('⑫ Roll-out Plan'!$G$10:$G$97&lt;=D$42)*ISNUMBER(SEARCH("Guatemala",'⑫ Roll-out Plan'!$C$10:$C$97))*'⑫ Roll-out Plan'!$O$10:$O$97)&gt;=1,1,0)+IF(SUMPRODUCT(('⑫ Roll-out Plan'!$G$10:$G$97&lt;=D$42)*ISNUMBER(SEARCH("Salvador",'⑫ Roll-out Plan'!$C$10:$C$97))*'⑫ Roll-out Plan'!$O$10:$O$97)&gt;=1,1,0))=0,'🎚️ Escenario'!$C$7,1)-IF(AND(D$42&gt;=2031,(IF(SUMPRODUCT(('⑫ Roll-out Plan'!$G$10:$G$97&lt;=D$42)*ISNUMBER(SEARCH("Colombia",'⑫ Roll-out Plan'!$C$10:$C$97))*'⑫ Roll-out Plan'!$O$10:$O$97)&gt;=1,1,0)+IF(SUMPRODUCT(('⑫ Roll-out Plan'!$G$10:$G$97&lt;=D$42)*ISNUMBER(SEARCH("Dominicana",'⑫ Roll-out Plan'!$C$10:$C$97))*'⑫ Roll-out Plan'!$O$10:$O$97)&gt;=1,1,0)+IF(SUMPRODUCT(('⑫ Roll-out Plan'!$G$10:$G$97&lt;=D$42)*ISNUMBER(SEARCH("Guatemala",'⑫ Roll-out Plan'!$C$10:$C$97))*'⑫ Roll-out Plan'!$O$10:$O$97)&gt;=1,1,0)+IF(SUMPRODUCT(('⑫ Roll-out Plan'!$G$10:$G$97&lt;=D$42)*ISNUMBER(SEARCH("Salvador",'⑫ Roll-out Plan'!$C$10:$C$97))*'⑫ Roll-out Plan'!$O$10:$O$97)&gt;=1,1,0))&gt;=1),$C$30*'🎚️ Escenario'!D29,0)+12*(D67-D68)*D66</f>
        <v>-219132.6</v>
      </c>
      <c r="E48" s="290" t="n">
        <f aca="false" t="array" ref="E48:E48">-12*($C$8+$C$9+$C$10+$C$11+$C$12)-12*IF(E$42&gt;=2028,$C$33,IF(E$42=2027,(3*$C$7+9*$C$16)/12,$C$7))*(1+$C$13)+(-12*((IF('⑯ Store P&amp;L'!E37&gt;=5,0,0)+IF('⑯ Store P&amp;L'!E37&gt;=7,$C$14,0)+IF('⑯ Store P&amp;L'!E37&gt;=8,$C$15,0)+IF(SUMPRODUCT(('⑫ Roll-out Plan'!$G$10:$G$97&lt;=E$42)*ISNUMBER(SEARCH("Colombia",'⑫ Roll-out Plan'!$C$10:$C$97))*'⑫ Roll-out Plan'!$O$10:$O$97)&gt;=1,$C$23,0)+IF(SUMPRODUCT(('⑫ Roll-out Plan'!$G$10:$G$97&lt;=E$42)*(ISNUMBER(SEARCH("Dominicana",'⑫ Roll-out Plan'!$C$10:$C$97))+ISNUMBER(SEARCH("Guatemala",'⑫ Roll-out Plan'!$C$10:$C$97))+ISNUMBER(SEARCH("Salvador",'⑫ Roll-out Plan'!$C$10:$C$97)))*'⑫ Roll-out Plan'!$O$10:$O$97)&gt;=1,$C$24,0)+IF(E$42&gt;=2027,$C$17,0)+IF('⑯ Store P&amp;L'!E37&gt;=8,$C$18,0)+IF(E$42&gt;=2029,$C$19,0)+IF(E$42&gt;=2027,$C$20,0)+IF(E$42&gt;=2027,$C$22,0)+IF(SUMPRODUCT(('⑫ Roll-out Plan'!$G$10:$G$97=E$42)*'⑫ Roll-out Plan'!$O$10:$O$97)&gt;=10,$C$25,0)+IF('⑯ Store P&amp;L'!E37&gt;=25,$C$26,0)+$C$27*(IF(SUMPRODUCT(('⑫ Roll-out Plan'!$G$10:$G$97&lt;=E$42)*ISNUMBER(SEARCH("Colombia",'⑫ Roll-out Plan'!$C$10:$C$97))*'⑫ Roll-out Plan'!$O$10:$O$97)&gt;=1,1,0)+IF(SUMPRODUCT(('⑫ Roll-out Plan'!$G$10:$G$97&lt;=E$42)*ISNUMBER(SEARCH("Dominicana",'⑫ Roll-out Plan'!$C$10:$C$97))*'⑫ Roll-out Plan'!$O$10:$O$97)&gt;=1,1,0)+IF(SUMPRODUCT(('⑫ Roll-out Plan'!$G$10:$G$97&lt;=E$42)*ISNUMBER(SEARCH("Guatemala",'⑫ Roll-out Plan'!$C$10:$C$97))*'⑫ Roll-out Plan'!$O$10:$O$97)&gt;=1,1,0)+IF(SUMPRODUCT(('⑫ Roll-out Plan'!$G$10:$G$97&lt;=E$42)*ISNUMBER(SEARCH("Salvador",'⑫ Roll-out Plan'!$C$10:$C$97))*'⑫ Roll-out Plan'!$O$10:$O$97)&gt;=1,1,0))+IF(E$42&gt;=2030,$C$28,0)+IF(AND(E$42&gt;=2030,SUMPRODUCT(('⑫ Roll-out Plan'!$G$10:$G$97&lt;=E$42)*ISNUMBER(SEARCH("Colombia",'⑫ Roll-out Plan'!$C$10:$C$97))*'⑫ Roll-out Plan'!$O$10:$O$97)&gt;=1),$C$29,0))*(1+$C$31+E$64)))*IF((IF(SUMPRODUCT(('⑫ Roll-out Plan'!$G$10:$G$97&lt;=E$42)*ISNUMBER(SEARCH("Colombia",'⑫ Roll-out Plan'!$C$10:$C$97))*'⑫ Roll-out Plan'!$O$10:$O$97)&gt;=1,1,0)+IF(SUMPRODUCT(('⑫ Roll-out Plan'!$G$10:$G$97&lt;=E$42)*ISNUMBER(SEARCH("Dominicana",'⑫ Roll-out Plan'!$C$10:$C$97))*'⑫ Roll-out Plan'!$O$10:$O$97)&gt;=1,1,0)+IF(SUMPRODUCT(('⑫ Roll-out Plan'!$G$10:$G$97&lt;=E$42)*ISNUMBER(SEARCH("Guatemala",'⑫ Roll-out Plan'!$C$10:$C$97))*'⑫ Roll-out Plan'!$O$10:$O$97)&gt;=1,1,0)+IF(SUMPRODUCT(('⑫ Roll-out Plan'!$G$10:$G$97&lt;=E$42)*ISNUMBER(SEARCH("Salvador",'⑫ Roll-out Plan'!$C$10:$C$97))*'⑫ Roll-out Plan'!$O$10:$O$97)&gt;=1,1,0))=0,'🎚️ Escenario'!$C$7,1)-IF(AND(E$42&gt;=2031,(IF(SUMPRODUCT(('⑫ Roll-out Plan'!$G$10:$G$97&lt;=E$42)*ISNUMBER(SEARCH("Colombia",'⑫ Roll-out Plan'!$C$10:$C$97))*'⑫ Roll-out Plan'!$O$10:$O$97)&gt;=1,1,0)+IF(SUMPRODUCT(('⑫ Roll-out Plan'!$G$10:$G$97&lt;=E$42)*ISNUMBER(SEARCH("Dominicana",'⑫ Roll-out Plan'!$C$10:$C$97))*'⑫ Roll-out Plan'!$O$10:$O$97)&gt;=1,1,0)+IF(SUMPRODUCT(('⑫ Roll-out Plan'!$G$10:$G$97&lt;=E$42)*ISNUMBER(SEARCH("Guatemala",'⑫ Roll-out Plan'!$C$10:$C$97))*'⑫ Roll-out Plan'!$O$10:$O$97)&gt;=1,1,0)+IF(SUMPRODUCT(('⑫ Roll-out Plan'!$G$10:$G$97&lt;=E$42)*ISNUMBER(SEARCH("Salvador",'⑫ Roll-out Plan'!$C$10:$C$97))*'⑫ Roll-out Plan'!$O$10:$O$97)&gt;=1,1,0))&gt;=1),$C$30*'🎚️ Escenario'!E29,0)+12*(E67-E68)*E66</f>
        <v>-354791.85</v>
      </c>
      <c r="F48" s="290" t="n">
        <f aca="false" t="array" ref="F48:F48">-12*($C$8+$C$9+$C$10+$C$11+$C$12)-12*IF(F$42&gt;=2028,$C$33,IF(F$42=2027,(3*$C$7+9*$C$16)/12,$C$7))*(1+$C$13)+(-12*((IF('⑯ Store P&amp;L'!F37&gt;=5,0,0)+IF('⑯ Store P&amp;L'!F37&gt;=7,$C$14,0)+IF('⑯ Store P&amp;L'!F37&gt;=8,$C$15,0)+IF(SUMPRODUCT(('⑫ Roll-out Plan'!$G$10:$G$97&lt;=F$42)*ISNUMBER(SEARCH("Colombia",'⑫ Roll-out Plan'!$C$10:$C$97))*'⑫ Roll-out Plan'!$O$10:$O$97)&gt;=1,$C$23,0)+IF(SUMPRODUCT(('⑫ Roll-out Plan'!$G$10:$G$97&lt;=F$42)*(ISNUMBER(SEARCH("Dominicana",'⑫ Roll-out Plan'!$C$10:$C$97))+ISNUMBER(SEARCH("Guatemala",'⑫ Roll-out Plan'!$C$10:$C$97))+ISNUMBER(SEARCH("Salvador",'⑫ Roll-out Plan'!$C$10:$C$97)))*'⑫ Roll-out Plan'!$O$10:$O$97)&gt;=1,$C$24,0)+IF(F$42&gt;=2027,$C$17,0)+IF('⑯ Store P&amp;L'!F37&gt;=8,$C$18,0)+IF(F$42&gt;=2029,$C$19,0)+IF(F$42&gt;=2027,$C$20,0)+IF(F$42&gt;=2027,$C$22,0)+IF(SUMPRODUCT(('⑫ Roll-out Plan'!$G$10:$G$97=F$42)*'⑫ Roll-out Plan'!$O$10:$O$97)&gt;=10,$C$25,0)+IF('⑯ Store P&amp;L'!F37&gt;=25,$C$26,0)+$C$27*(IF(SUMPRODUCT(('⑫ Roll-out Plan'!$G$10:$G$97&lt;=F$42)*ISNUMBER(SEARCH("Colombia",'⑫ Roll-out Plan'!$C$10:$C$97))*'⑫ Roll-out Plan'!$O$10:$O$97)&gt;=1,1,0)+IF(SUMPRODUCT(('⑫ Roll-out Plan'!$G$10:$G$97&lt;=F$42)*ISNUMBER(SEARCH("Dominicana",'⑫ Roll-out Plan'!$C$10:$C$97))*'⑫ Roll-out Plan'!$O$10:$O$97)&gt;=1,1,0)+IF(SUMPRODUCT(('⑫ Roll-out Plan'!$G$10:$G$97&lt;=F$42)*ISNUMBER(SEARCH("Guatemala",'⑫ Roll-out Plan'!$C$10:$C$97))*'⑫ Roll-out Plan'!$O$10:$O$97)&gt;=1,1,0)+IF(SUMPRODUCT(('⑫ Roll-out Plan'!$G$10:$G$97&lt;=F$42)*ISNUMBER(SEARCH("Salvador",'⑫ Roll-out Plan'!$C$10:$C$97))*'⑫ Roll-out Plan'!$O$10:$O$97)&gt;=1,1,0))+IF(F$42&gt;=2030,$C$28,0)+IF(AND(F$42&gt;=2030,SUMPRODUCT(('⑫ Roll-out Plan'!$G$10:$G$97&lt;=F$42)*ISNUMBER(SEARCH("Colombia",'⑫ Roll-out Plan'!$C$10:$C$97))*'⑫ Roll-out Plan'!$O$10:$O$97)&gt;=1),$C$29,0))*(1+$C$31+F$64)))*IF((IF(SUMPRODUCT(('⑫ Roll-out Plan'!$G$10:$G$97&lt;=F$42)*ISNUMBER(SEARCH("Colombia",'⑫ Roll-out Plan'!$C$10:$C$97))*'⑫ Roll-out Plan'!$O$10:$O$97)&gt;=1,1,0)+IF(SUMPRODUCT(('⑫ Roll-out Plan'!$G$10:$G$97&lt;=F$42)*ISNUMBER(SEARCH("Dominicana",'⑫ Roll-out Plan'!$C$10:$C$97))*'⑫ Roll-out Plan'!$O$10:$O$97)&gt;=1,1,0)+IF(SUMPRODUCT(('⑫ Roll-out Plan'!$G$10:$G$97&lt;=F$42)*ISNUMBER(SEARCH("Guatemala",'⑫ Roll-out Plan'!$C$10:$C$97))*'⑫ Roll-out Plan'!$O$10:$O$97)&gt;=1,1,0)+IF(SUMPRODUCT(('⑫ Roll-out Plan'!$G$10:$G$97&lt;=F$42)*ISNUMBER(SEARCH("Salvador",'⑫ Roll-out Plan'!$C$10:$C$97))*'⑫ Roll-out Plan'!$O$10:$O$97)&gt;=1,1,0))=0,'🎚️ Escenario'!$C$7,1)-IF(AND(F$42&gt;=2031,(IF(SUMPRODUCT(('⑫ Roll-out Plan'!$G$10:$G$97&lt;=F$42)*ISNUMBER(SEARCH("Colombia",'⑫ Roll-out Plan'!$C$10:$C$97))*'⑫ Roll-out Plan'!$O$10:$O$97)&gt;=1,1,0)+IF(SUMPRODUCT(('⑫ Roll-out Plan'!$G$10:$G$97&lt;=F$42)*ISNUMBER(SEARCH("Dominicana",'⑫ Roll-out Plan'!$C$10:$C$97))*'⑫ Roll-out Plan'!$O$10:$O$97)&gt;=1,1,0)+IF(SUMPRODUCT(('⑫ Roll-out Plan'!$G$10:$G$97&lt;=F$42)*ISNUMBER(SEARCH("Guatemala",'⑫ Roll-out Plan'!$C$10:$C$97))*'⑫ Roll-out Plan'!$O$10:$O$97)&gt;=1,1,0)+IF(SUMPRODUCT(('⑫ Roll-out Plan'!$G$10:$G$97&lt;=F$42)*ISNUMBER(SEARCH("Salvador",'⑫ Roll-out Plan'!$C$10:$C$97))*'⑫ Roll-out Plan'!$O$10:$O$97)&gt;=1,1,0))&gt;=1),$C$30*'🎚️ Escenario'!F29,0)+12*(F67-F68)*F66</f>
        <v>-442977.6</v>
      </c>
      <c r="G48" s="290" t="n">
        <f aca="false" t="array" ref="G48:G48">-12*($C$8+$C$9+$C$10+$C$11+$C$12)-12*IF(G$42&gt;=2028,$C$33,IF(G$42=2027,(3*$C$7+9*$C$16)/12,$C$7))*(1+$C$13)+(-12*((IF('⑯ Store P&amp;L'!G37&gt;=5,0,0)+IF('⑯ Store P&amp;L'!G37&gt;=7,$C$14,0)+IF('⑯ Store P&amp;L'!G37&gt;=8,$C$15,0)+IF(SUMPRODUCT(('⑫ Roll-out Plan'!$G$10:$G$97&lt;=G$42)*ISNUMBER(SEARCH("Colombia",'⑫ Roll-out Plan'!$C$10:$C$97))*'⑫ Roll-out Plan'!$O$10:$O$97)&gt;=1,$C$23,0)+IF(SUMPRODUCT(('⑫ Roll-out Plan'!$G$10:$G$97&lt;=G$42)*(ISNUMBER(SEARCH("Dominicana",'⑫ Roll-out Plan'!$C$10:$C$97))+ISNUMBER(SEARCH("Guatemala",'⑫ Roll-out Plan'!$C$10:$C$97))+ISNUMBER(SEARCH("Salvador",'⑫ Roll-out Plan'!$C$10:$C$97)))*'⑫ Roll-out Plan'!$O$10:$O$97)&gt;=1,$C$24,0)+IF(G$42&gt;=2027,$C$17,0)+IF('⑯ Store P&amp;L'!G37&gt;=8,$C$18,0)+IF(G$42&gt;=2029,$C$19,0)+IF(G$42&gt;=2027,$C$20,0)+IF(G$42&gt;=2027,$C$22,0)+IF(SUMPRODUCT(('⑫ Roll-out Plan'!$G$10:$G$97=G$42)*'⑫ Roll-out Plan'!$O$10:$O$97)&gt;=10,$C$25,0)+IF('⑯ Store P&amp;L'!G37&gt;=25,$C$26,0)+$C$27*(IF(SUMPRODUCT(('⑫ Roll-out Plan'!$G$10:$G$97&lt;=G$42)*ISNUMBER(SEARCH("Colombia",'⑫ Roll-out Plan'!$C$10:$C$97))*'⑫ Roll-out Plan'!$O$10:$O$97)&gt;=1,1,0)+IF(SUMPRODUCT(('⑫ Roll-out Plan'!$G$10:$G$97&lt;=G$42)*ISNUMBER(SEARCH("Dominicana",'⑫ Roll-out Plan'!$C$10:$C$97))*'⑫ Roll-out Plan'!$O$10:$O$97)&gt;=1,1,0)+IF(SUMPRODUCT(('⑫ Roll-out Plan'!$G$10:$G$97&lt;=G$42)*ISNUMBER(SEARCH("Guatemala",'⑫ Roll-out Plan'!$C$10:$C$97))*'⑫ Roll-out Plan'!$O$10:$O$97)&gt;=1,1,0)+IF(SUMPRODUCT(('⑫ Roll-out Plan'!$G$10:$G$97&lt;=G$42)*ISNUMBER(SEARCH("Salvador",'⑫ Roll-out Plan'!$C$10:$C$97))*'⑫ Roll-out Plan'!$O$10:$O$97)&gt;=1,1,0))+IF(G$42&gt;=2030,$C$28,0)+IF(AND(G$42&gt;=2030,SUMPRODUCT(('⑫ Roll-out Plan'!$G$10:$G$97&lt;=G$42)*ISNUMBER(SEARCH("Colombia",'⑫ Roll-out Plan'!$C$10:$C$97))*'⑫ Roll-out Plan'!$O$10:$O$97)&gt;=1),$C$29,0))*(1+$C$31+G$64)))*IF((IF(SUMPRODUCT(('⑫ Roll-out Plan'!$G$10:$G$97&lt;=G$42)*ISNUMBER(SEARCH("Colombia",'⑫ Roll-out Plan'!$C$10:$C$97))*'⑫ Roll-out Plan'!$O$10:$O$97)&gt;=1,1,0)+IF(SUMPRODUCT(('⑫ Roll-out Plan'!$G$10:$G$97&lt;=G$42)*ISNUMBER(SEARCH("Dominicana",'⑫ Roll-out Plan'!$C$10:$C$97))*'⑫ Roll-out Plan'!$O$10:$O$97)&gt;=1,1,0)+IF(SUMPRODUCT(('⑫ Roll-out Plan'!$G$10:$G$97&lt;=G$42)*ISNUMBER(SEARCH("Guatemala",'⑫ Roll-out Plan'!$C$10:$C$97))*'⑫ Roll-out Plan'!$O$10:$O$97)&gt;=1,1,0)+IF(SUMPRODUCT(('⑫ Roll-out Plan'!$G$10:$G$97&lt;=G$42)*ISNUMBER(SEARCH("Salvador",'⑫ Roll-out Plan'!$C$10:$C$97))*'⑫ Roll-out Plan'!$O$10:$O$97)&gt;=1,1,0))=0,'🎚️ Escenario'!$C$7,1)-IF(AND(G$42&gt;=2031,(IF(SUMPRODUCT(('⑫ Roll-out Plan'!$G$10:$G$97&lt;=G$42)*ISNUMBER(SEARCH("Colombia",'⑫ Roll-out Plan'!$C$10:$C$97))*'⑫ Roll-out Plan'!$O$10:$O$97)&gt;=1,1,0)+IF(SUMPRODUCT(('⑫ Roll-out Plan'!$G$10:$G$97&lt;=G$42)*ISNUMBER(SEARCH("Dominicana",'⑫ Roll-out Plan'!$C$10:$C$97))*'⑫ Roll-out Plan'!$O$10:$O$97)&gt;=1,1,0)+IF(SUMPRODUCT(('⑫ Roll-out Plan'!$G$10:$G$97&lt;=G$42)*ISNUMBER(SEARCH("Guatemala",'⑫ Roll-out Plan'!$C$10:$C$97))*'⑫ Roll-out Plan'!$O$10:$O$97)&gt;=1,1,0)+IF(SUMPRODUCT(('⑫ Roll-out Plan'!$G$10:$G$97&lt;=G$42)*ISNUMBER(SEARCH("Salvador",'⑫ Roll-out Plan'!$C$10:$C$97))*'⑫ Roll-out Plan'!$O$10:$O$97)&gt;=1,1,0))&gt;=1),$C$30*'🎚️ Escenario'!G29,0)+12*(G67-G68)*G66</f>
        <v>-492009.6</v>
      </c>
      <c r="H48" s="290" t="n">
        <f aca="false" t="array" ref="H48:H48">-12*($C$8+$C$9+$C$10+$C$11+$C$12)-12*IF(H$42&gt;=2028,$C$33,IF(H$42=2027,(3*$C$7+9*$C$16)/12,$C$7))*(1+$C$13)+(-12*((IF('⑯ Store P&amp;L'!H37&gt;=5,0,0)+IF('⑯ Store P&amp;L'!H37&gt;=7,$C$14,0)+IF('⑯ Store P&amp;L'!H37&gt;=8,$C$15,0)+IF(SUMPRODUCT(('⑫ Roll-out Plan'!$G$10:$G$97&lt;=H$42)*ISNUMBER(SEARCH("Colombia",'⑫ Roll-out Plan'!$C$10:$C$97))*'⑫ Roll-out Plan'!$O$10:$O$97)&gt;=1,$C$23,0)+IF(SUMPRODUCT(('⑫ Roll-out Plan'!$G$10:$G$97&lt;=H$42)*(ISNUMBER(SEARCH("Dominicana",'⑫ Roll-out Plan'!$C$10:$C$97))+ISNUMBER(SEARCH("Guatemala",'⑫ Roll-out Plan'!$C$10:$C$97))+ISNUMBER(SEARCH("Salvador",'⑫ Roll-out Plan'!$C$10:$C$97)))*'⑫ Roll-out Plan'!$O$10:$O$97)&gt;=1,$C$24,0)+IF(H$42&gt;=2027,$C$17,0)+IF('⑯ Store P&amp;L'!H37&gt;=8,$C$18,0)+IF(H$42&gt;=2029,$C$19,0)+IF(H$42&gt;=2027,$C$20,0)+IF(H$42&gt;=2027,$C$22,0)+IF(SUMPRODUCT(('⑫ Roll-out Plan'!$G$10:$G$97=H$42)*'⑫ Roll-out Plan'!$O$10:$O$97)&gt;=10,$C$25,0)+IF('⑯ Store P&amp;L'!H37&gt;=25,$C$26,0)+$C$27*(IF(SUMPRODUCT(('⑫ Roll-out Plan'!$G$10:$G$97&lt;=H$42)*ISNUMBER(SEARCH("Colombia",'⑫ Roll-out Plan'!$C$10:$C$97))*'⑫ Roll-out Plan'!$O$10:$O$97)&gt;=1,1,0)+IF(SUMPRODUCT(('⑫ Roll-out Plan'!$G$10:$G$97&lt;=H$42)*ISNUMBER(SEARCH("Dominicana",'⑫ Roll-out Plan'!$C$10:$C$97))*'⑫ Roll-out Plan'!$O$10:$O$97)&gt;=1,1,0)+IF(SUMPRODUCT(('⑫ Roll-out Plan'!$G$10:$G$97&lt;=H$42)*ISNUMBER(SEARCH("Guatemala",'⑫ Roll-out Plan'!$C$10:$C$97))*'⑫ Roll-out Plan'!$O$10:$O$97)&gt;=1,1,0)+IF(SUMPRODUCT(('⑫ Roll-out Plan'!$G$10:$G$97&lt;=H$42)*ISNUMBER(SEARCH("Salvador",'⑫ Roll-out Plan'!$C$10:$C$97))*'⑫ Roll-out Plan'!$O$10:$O$97)&gt;=1,1,0))+IF(H$42&gt;=2030,$C$28,0)+IF(AND(H$42&gt;=2030,SUMPRODUCT(('⑫ Roll-out Plan'!$G$10:$G$97&lt;=H$42)*ISNUMBER(SEARCH("Colombia",'⑫ Roll-out Plan'!$C$10:$C$97))*'⑫ Roll-out Plan'!$O$10:$O$97)&gt;=1),$C$29,0))*(1+$C$31+H$64)))*IF((IF(SUMPRODUCT(('⑫ Roll-out Plan'!$G$10:$G$97&lt;=H$42)*ISNUMBER(SEARCH("Colombia",'⑫ Roll-out Plan'!$C$10:$C$97))*'⑫ Roll-out Plan'!$O$10:$O$97)&gt;=1,1,0)+IF(SUMPRODUCT(('⑫ Roll-out Plan'!$G$10:$G$97&lt;=H$42)*ISNUMBER(SEARCH("Dominicana",'⑫ Roll-out Plan'!$C$10:$C$97))*'⑫ Roll-out Plan'!$O$10:$O$97)&gt;=1,1,0)+IF(SUMPRODUCT(('⑫ Roll-out Plan'!$G$10:$G$97&lt;=H$42)*ISNUMBER(SEARCH("Guatemala",'⑫ Roll-out Plan'!$C$10:$C$97))*'⑫ Roll-out Plan'!$O$10:$O$97)&gt;=1,1,0)+IF(SUMPRODUCT(('⑫ Roll-out Plan'!$G$10:$G$97&lt;=H$42)*ISNUMBER(SEARCH("Salvador",'⑫ Roll-out Plan'!$C$10:$C$97))*'⑫ Roll-out Plan'!$O$10:$O$97)&gt;=1,1,0))=0,'🎚️ Escenario'!$C$7,1)-IF(AND(H$42&gt;=2031,(IF(SUMPRODUCT(('⑫ Roll-out Plan'!$G$10:$G$97&lt;=H$42)*ISNUMBER(SEARCH("Colombia",'⑫ Roll-out Plan'!$C$10:$C$97))*'⑫ Roll-out Plan'!$O$10:$O$97)&gt;=1,1,0)+IF(SUMPRODUCT(('⑫ Roll-out Plan'!$G$10:$G$97&lt;=H$42)*ISNUMBER(SEARCH("Dominicana",'⑫ Roll-out Plan'!$C$10:$C$97))*'⑫ Roll-out Plan'!$O$10:$O$97)&gt;=1,1,0)+IF(SUMPRODUCT(('⑫ Roll-out Plan'!$G$10:$G$97&lt;=H$42)*ISNUMBER(SEARCH("Guatemala",'⑫ Roll-out Plan'!$C$10:$C$97))*'⑫ Roll-out Plan'!$O$10:$O$97)&gt;=1,1,0)+IF(SUMPRODUCT(('⑫ Roll-out Plan'!$G$10:$G$97&lt;=H$42)*ISNUMBER(SEARCH("Salvador",'⑫ Roll-out Plan'!$C$10:$C$97))*'⑫ Roll-out Plan'!$O$10:$O$97)&gt;=1,1,0))&gt;=1),$C$30*'🎚️ Escenario'!H29,0)+12*(H67-H68)*H66</f>
        <v>-532869.6</v>
      </c>
      <c r="I48" s="290" t="n">
        <f aca="false" t="array" ref="I48:I48">-12*($C$8+$C$9+$C$10+$C$11+$C$12)-12*IF(I$42&gt;=2028,$C$33,IF(I$42=2027,(3*$C$7+9*$C$16)/12,$C$7))*(1+$C$13)+(-12*((IF('⑯ Store P&amp;L'!I37&gt;=5,0,0)+IF('⑯ Store P&amp;L'!I37&gt;=7,$C$14,0)+IF('⑯ Store P&amp;L'!I37&gt;=8,$C$15,0)+IF(SUMPRODUCT(('⑫ Roll-out Plan'!$G$10:$G$97&lt;=I$42)*ISNUMBER(SEARCH("Colombia",'⑫ Roll-out Plan'!$C$10:$C$97))*'⑫ Roll-out Plan'!$O$10:$O$97)&gt;=1,$C$23,0)+IF(SUMPRODUCT(('⑫ Roll-out Plan'!$G$10:$G$97&lt;=I$42)*(ISNUMBER(SEARCH("Dominicana",'⑫ Roll-out Plan'!$C$10:$C$97))+ISNUMBER(SEARCH("Guatemala",'⑫ Roll-out Plan'!$C$10:$C$97))+ISNUMBER(SEARCH("Salvador",'⑫ Roll-out Plan'!$C$10:$C$97)))*'⑫ Roll-out Plan'!$O$10:$O$97)&gt;=1,$C$24,0)+IF(I$42&gt;=2027,$C$17,0)+IF('⑯ Store P&amp;L'!I37&gt;=8,$C$18,0)+IF(I$42&gt;=2029,$C$19,0)+IF(I$42&gt;=2027,$C$20,0)+IF(I$42&gt;=2027,$C$22,0)+IF(SUMPRODUCT(('⑫ Roll-out Plan'!$G$10:$G$97=I$42)*'⑫ Roll-out Plan'!$O$10:$O$97)&gt;=10,$C$25,0)+IF('⑯ Store P&amp;L'!I37&gt;=25,$C$26,0)+$C$27*(IF(SUMPRODUCT(('⑫ Roll-out Plan'!$G$10:$G$97&lt;=I$42)*ISNUMBER(SEARCH("Colombia",'⑫ Roll-out Plan'!$C$10:$C$97))*'⑫ Roll-out Plan'!$O$10:$O$97)&gt;=1,1,0)+IF(SUMPRODUCT(('⑫ Roll-out Plan'!$G$10:$G$97&lt;=I$42)*ISNUMBER(SEARCH("Dominicana",'⑫ Roll-out Plan'!$C$10:$C$97))*'⑫ Roll-out Plan'!$O$10:$O$97)&gt;=1,1,0)+IF(SUMPRODUCT(('⑫ Roll-out Plan'!$G$10:$G$97&lt;=I$42)*ISNUMBER(SEARCH("Guatemala",'⑫ Roll-out Plan'!$C$10:$C$97))*'⑫ Roll-out Plan'!$O$10:$O$97)&gt;=1,1,0)+IF(SUMPRODUCT(('⑫ Roll-out Plan'!$G$10:$G$97&lt;=I$42)*ISNUMBER(SEARCH("Salvador",'⑫ Roll-out Plan'!$C$10:$C$97))*'⑫ Roll-out Plan'!$O$10:$O$97)&gt;=1,1,0))+IF(I$42&gt;=2030,$C$28,0)+IF(AND(I$42&gt;=2030,SUMPRODUCT(('⑫ Roll-out Plan'!$G$10:$G$97&lt;=I$42)*ISNUMBER(SEARCH("Colombia",'⑫ Roll-out Plan'!$C$10:$C$97))*'⑫ Roll-out Plan'!$O$10:$O$97)&gt;=1),$C$29,0))*(1+$C$31+I$64)))*IF((IF(SUMPRODUCT(('⑫ Roll-out Plan'!$G$10:$G$97&lt;=I$42)*ISNUMBER(SEARCH("Colombia",'⑫ Roll-out Plan'!$C$10:$C$97))*'⑫ Roll-out Plan'!$O$10:$O$97)&gt;=1,1,0)+IF(SUMPRODUCT(('⑫ Roll-out Plan'!$G$10:$G$97&lt;=I$42)*ISNUMBER(SEARCH("Dominicana",'⑫ Roll-out Plan'!$C$10:$C$97))*'⑫ Roll-out Plan'!$O$10:$O$97)&gt;=1,1,0)+IF(SUMPRODUCT(('⑫ Roll-out Plan'!$G$10:$G$97&lt;=I$42)*ISNUMBER(SEARCH("Guatemala",'⑫ Roll-out Plan'!$C$10:$C$97))*'⑫ Roll-out Plan'!$O$10:$O$97)&gt;=1,1,0)+IF(SUMPRODUCT(('⑫ Roll-out Plan'!$G$10:$G$97&lt;=I$42)*ISNUMBER(SEARCH("Salvador",'⑫ Roll-out Plan'!$C$10:$C$97))*'⑫ Roll-out Plan'!$O$10:$O$97)&gt;=1,1,0))=0,'🎚️ Escenario'!$C$7,1)-IF(AND(I$42&gt;=2031,(IF(SUMPRODUCT(('⑫ Roll-out Plan'!$G$10:$G$97&lt;=I$42)*ISNUMBER(SEARCH("Colombia",'⑫ Roll-out Plan'!$C$10:$C$97))*'⑫ Roll-out Plan'!$O$10:$O$97)&gt;=1,1,0)+IF(SUMPRODUCT(('⑫ Roll-out Plan'!$G$10:$G$97&lt;=I$42)*ISNUMBER(SEARCH("Dominicana",'⑫ Roll-out Plan'!$C$10:$C$97))*'⑫ Roll-out Plan'!$O$10:$O$97)&gt;=1,1,0)+IF(SUMPRODUCT(('⑫ Roll-out Plan'!$G$10:$G$97&lt;=I$42)*ISNUMBER(SEARCH("Guatemala",'⑫ Roll-out Plan'!$C$10:$C$97))*'⑫ Roll-out Plan'!$O$10:$O$97)&gt;=1,1,0)+IF(SUMPRODUCT(('⑫ Roll-out Plan'!$G$10:$G$97&lt;=I$42)*ISNUMBER(SEARCH("Salvador",'⑫ Roll-out Plan'!$C$10:$C$97))*'⑫ Roll-out Plan'!$O$10:$O$97)&gt;=1,1,0))&gt;=1),$C$30*'🎚️ Escenario'!I29,0)+12*(I67-I68)*I66</f>
        <v>-562833.6</v>
      </c>
      <c r="J48" s="290" t="n">
        <f aca="false" t="array" ref="J48:J48">-12*($C$8+$C$9+$C$10+$C$11+$C$12)-12*IF(J$42&gt;=2028,$C$33,IF(J$42=2027,(3*$C$7+9*$C$16)/12,$C$7))*(1+$C$13)+(-12*((IF('⑯ Store P&amp;L'!J37&gt;=5,0,0)+IF('⑯ Store P&amp;L'!J37&gt;=7,$C$14,0)+IF('⑯ Store P&amp;L'!J37&gt;=8,$C$15,0)+IF(SUMPRODUCT(('⑫ Roll-out Plan'!$G$10:$G$97&lt;=J$42)*ISNUMBER(SEARCH("Colombia",'⑫ Roll-out Plan'!$C$10:$C$97))*'⑫ Roll-out Plan'!$O$10:$O$97)&gt;=1,$C$23,0)+IF(SUMPRODUCT(('⑫ Roll-out Plan'!$G$10:$G$97&lt;=J$42)*(ISNUMBER(SEARCH("Dominicana",'⑫ Roll-out Plan'!$C$10:$C$97))+ISNUMBER(SEARCH("Guatemala",'⑫ Roll-out Plan'!$C$10:$C$97))+ISNUMBER(SEARCH("Salvador",'⑫ Roll-out Plan'!$C$10:$C$97)))*'⑫ Roll-out Plan'!$O$10:$O$97)&gt;=1,$C$24,0)+IF(J$42&gt;=2027,$C$17,0)+IF('⑯ Store P&amp;L'!J37&gt;=8,$C$18,0)+IF(J$42&gt;=2029,$C$19,0)+IF(J$42&gt;=2027,$C$20,0)+IF(J$42&gt;=2027,$C$22,0)+IF(SUMPRODUCT(('⑫ Roll-out Plan'!$G$10:$G$97=J$42)*'⑫ Roll-out Plan'!$O$10:$O$97)&gt;=10,$C$25,0)+IF('⑯ Store P&amp;L'!J37&gt;=25,$C$26,0)+$C$27*(IF(SUMPRODUCT(('⑫ Roll-out Plan'!$G$10:$G$97&lt;=J$42)*ISNUMBER(SEARCH("Colombia",'⑫ Roll-out Plan'!$C$10:$C$97))*'⑫ Roll-out Plan'!$O$10:$O$97)&gt;=1,1,0)+IF(SUMPRODUCT(('⑫ Roll-out Plan'!$G$10:$G$97&lt;=J$42)*ISNUMBER(SEARCH("Dominicana",'⑫ Roll-out Plan'!$C$10:$C$97))*'⑫ Roll-out Plan'!$O$10:$O$97)&gt;=1,1,0)+IF(SUMPRODUCT(('⑫ Roll-out Plan'!$G$10:$G$97&lt;=J$42)*ISNUMBER(SEARCH("Guatemala",'⑫ Roll-out Plan'!$C$10:$C$97))*'⑫ Roll-out Plan'!$O$10:$O$97)&gt;=1,1,0)+IF(SUMPRODUCT(('⑫ Roll-out Plan'!$G$10:$G$97&lt;=J$42)*ISNUMBER(SEARCH("Salvador",'⑫ Roll-out Plan'!$C$10:$C$97))*'⑫ Roll-out Plan'!$O$10:$O$97)&gt;=1,1,0))+IF(J$42&gt;=2030,$C$28,0)+IF(AND(J$42&gt;=2030,SUMPRODUCT(('⑫ Roll-out Plan'!$G$10:$G$97&lt;=J$42)*ISNUMBER(SEARCH("Colombia",'⑫ Roll-out Plan'!$C$10:$C$97))*'⑫ Roll-out Plan'!$O$10:$O$97)&gt;=1),$C$29,0))*(1+$C$31+J$64)))*IF((IF(SUMPRODUCT(('⑫ Roll-out Plan'!$G$10:$G$97&lt;=J$42)*ISNUMBER(SEARCH("Colombia",'⑫ Roll-out Plan'!$C$10:$C$97))*'⑫ Roll-out Plan'!$O$10:$O$97)&gt;=1,1,0)+IF(SUMPRODUCT(('⑫ Roll-out Plan'!$G$10:$G$97&lt;=J$42)*ISNUMBER(SEARCH("Dominicana",'⑫ Roll-out Plan'!$C$10:$C$97))*'⑫ Roll-out Plan'!$O$10:$O$97)&gt;=1,1,0)+IF(SUMPRODUCT(('⑫ Roll-out Plan'!$G$10:$G$97&lt;=J$42)*ISNUMBER(SEARCH("Guatemala",'⑫ Roll-out Plan'!$C$10:$C$97))*'⑫ Roll-out Plan'!$O$10:$O$97)&gt;=1,1,0)+IF(SUMPRODUCT(('⑫ Roll-out Plan'!$G$10:$G$97&lt;=J$42)*ISNUMBER(SEARCH("Salvador",'⑫ Roll-out Plan'!$C$10:$C$97))*'⑫ Roll-out Plan'!$O$10:$O$97)&gt;=1,1,0))=0,'🎚️ Escenario'!$C$7,1)-IF(AND(J$42&gt;=2031,(IF(SUMPRODUCT(('⑫ Roll-out Plan'!$G$10:$G$97&lt;=J$42)*ISNUMBER(SEARCH("Colombia",'⑫ Roll-out Plan'!$C$10:$C$97))*'⑫ Roll-out Plan'!$O$10:$O$97)&gt;=1,1,0)+IF(SUMPRODUCT(('⑫ Roll-out Plan'!$G$10:$G$97&lt;=J$42)*ISNUMBER(SEARCH("Dominicana",'⑫ Roll-out Plan'!$C$10:$C$97))*'⑫ Roll-out Plan'!$O$10:$O$97)&gt;=1,1,0)+IF(SUMPRODUCT(('⑫ Roll-out Plan'!$G$10:$G$97&lt;=J$42)*ISNUMBER(SEARCH("Guatemala",'⑫ Roll-out Plan'!$C$10:$C$97))*'⑫ Roll-out Plan'!$O$10:$O$97)&gt;=1,1,0)+IF(SUMPRODUCT(('⑫ Roll-out Plan'!$G$10:$G$97&lt;=J$42)*ISNUMBER(SEARCH("Salvador",'⑫ Roll-out Plan'!$C$10:$C$97))*'⑫ Roll-out Plan'!$O$10:$O$97)&gt;=1,1,0))&gt;=1),$C$30*'🎚️ Escenario'!J29,0)+12*(J67-J68)*J66</f>
        <v>-747930.282436472</v>
      </c>
      <c r="K48" s="290" t="n">
        <f aca="false" t="array" ref="K48:K48">-12*($C$8+$C$9+$C$10+$C$11+$C$12)-12*IF(K$42&gt;=2028,$C$33,IF(K$42=2027,(3*$C$7+9*$C$16)/12,$C$7))*(1+$C$13)+(-12*((IF('⑯ Store P&amp;L'!K37&gt;=5,0,0)+IF('⑯ Store P&amp;L'!K37&gt;=7,$C$14,0)+IF('⑯ Store P&amp;L'!K37&gt;=8,$C$15,0)+IF(SUMPRODUCT(('⑫ Roll-out Plan'!$G$10:$G$97&lt;=K$42)*ISNUMBER(SEARCH("Colombia",'⑫ Roll-out Plan'!$C$10:$C$97))*'⑫ Roll-out Plan'!$O$10:$O$97)&gt;=1,$C$23,0)+IF(SUMPRODUCT(('⑫ Roll-out Plan'!$G$10:$G$97&lt;=K$42)*(ISNUMBER(SEARCH("Dominicana",'⑫ Roll-out Plan'!$C$10:$C$97))+ISNUMBER(SEARCH("Guatemala",'⑫ Roll-out Plan'!$C$10:$C$97))+ISNUMBER(SEARCH("Salvador",'⑫ Roll-out Plan'!$C$10:$C$97)))*'⑫ Roll-out Plan'!$O$10:$O$97)&gt;=1,$C$24,0)+IF(K$42&gt;=2027,$C$17,0)+IF('⑯ Store P&amp;L'!K37&gt;=8,$C$18,0)+IF(K$42&gt;=2029,$C$19,0)+IF(K$42&gt;=2027,$C$20,0)+IF(K$42&gt;=2027,$C$22,0)+IF(SUMPRODUCT(('⑫ Roll-out Plan'!$G$10:$G$97=K$42)*'⑫ Roll-out Plan'!$O$10:$O$97)&gt;=10,$C$25,0)+IF('⑯ Store P&amp;L'!K37&gt;=25,$C$26,0)+$C$27*(IF(SUMPRODUCT(('⑫ Roll-out Plan'!$G$10:$G$97&lt;=K$42)*ISNUMBER(SEARCH("Colombia",'⑫ Roll-out Plan'!$C$10:$C$97))*'⑫ Roll-out Plan'!$O$10:$O$97)&gt;=1,1,0)+IF(SUMPRODUCT(('⑫ Roll-out Plan'!$G$10:$G$97&lt;=K$42)*ISNUMBER(SEARCH("Dominicana",'⑫ Roll-out Plan'!$C$10:$C$97))*'⑫ Roll-out Plan'!$O$10:$O$97)&gt;=1,1,0)+IF(SUMPRODUCT(('⑫ Roll-out Plan'!$G$10:$G$97&lt;=K$42)*ISNUMBER(SEARCH("Guatemala",'⑫ Roll-out Plan'!$C$10:$C$97))*'⑫ Roll-out Plan'!$O$10:$O$97)&gt;=1,1,0)+IF(SUMPRODUCT(('⑫ Roll-out Plan'!$G$10:$G$97&lt;=K$42)*ISNUMBER(SEARCH("Salvador",'⑫ Roll-out Plan'!$C$10:$C$97))*'⑫ Roll-out Plan'!$O$10:$O$97)&gt;=1,1,0))+IF(K$42&gt;=2030,$C$28,0)+IF(AND(K$42&gt;=2030,SUMPRODUCT(('⑫ Roll-out Plan'!$G$10:$G$97&lt;=K$42)*ISNUMBER(SEARCH("Colombia",'⑫ Roll-out Plan'!$C$10:$C$97))*'⑫ Roll-out Plan'!$O$10:$O$97)&gt;=1),$C$29,0))*(1+$C$31+K$64)))*IF((IF(SUMPRODUCT(('⑫ Roll-out Plan'!$G$10:$G$97&lt;=K$42)*ISNUMBER(SEARCH("Colombia",'⑫ Roll-out Plan'!$C$10:$C$97))*'⑫ Roll-out Plan'!$O$10:$O$97)&gt;=1,1,0)+IF(SUMPRODUCT(('⑫ Roll-out Plan'!$G$10:$G$97&lt;=K$42)*ISNUMBER(SEARCH("Dominicana",'⑫ Roll-out Plan'!$C$10:$C$97))*'⑫ Roll-out Plan'!$O$10:$O$97)&gt;=1,1,0)+IF(SUMPRODUCT(('⑫ Roll-out Plan'!$G$10:$G$97&lt;=K$42)*ISNUMBER(SEARCH("Guatemala",'⑫ Roll-out Plan'!$C$10:$C$97))*'⑫ Roll-out Plan'!$O$10:$O$97)&gt;=1,1,0)+IF(SUMPRODUCT(('⑫ Roll-out Plan'!$G$10:$G$97&lt;=K$42)*ISNUMBER(SEARCH("Salvador",'⑫ Roll-out Plan'!$C$10:$C$97))*'⑫ Roll-out Plan'!$O$10:$O$97)&gt;=1,1,0))=0,'🎚️ Escenario'!$C$7,1)-IF(AND(K$42&gt;=2031,(IF(SUMPRODUCT(('⑫ Roll-out Plan'!$G$10:$G$97&lt;=K$42)*ISNUMBER(SEARCH("Colombia",'⑫ Roll-out Plan'!$C$10:$C$97))*'⑫ Roll-out Plan'!$O$10:$O$97)&gt;=1,1,0)+IF(SUMPRODUCT(('⑫ Roll-out Plan'!$G$10:$G$97&lt;=K$42)*ISNUMBER(SEARCH("Dominicana",'⑫ Roll-out Plan'!$C$10:$C$97))*'⑫ Roll-out Plan'!$O$10:$O$97)&gt;=1,1,0)+IF(SUMPRODUCT(('⑫ Roll-out Plan'!$G$10:$G$97&lt;=K$42)*ISNUMBER(SEARCH("Guatemala",'⑫ Roll-out Plan'!$C$10:$C$97))*'⑫ Roll-out Plan'!$O$10:$O$97)&gt;=1,1,0)+IF(SUMPRODUCT(('⑫ Roll-out Plan'!$G$10:$G$97&lt;=K$42)*ISNUMBER(SEARCH("Salvador",'⑫ Roll-out Plan'!$C$10:$C$97))*'⑫ Roll-out Plan'!$O$10:$O$97)&gt;=1,1,0))&gt;=1),$C$30*'🎚️ Escenario'!K29,0)+12*(K67-K68)*K66</f>
        <v>-756327.279977112</v>
      </c>
      <c r="L48" s="290" t="n">
        <f aca="false" t="array" ref="L48:L48">-12*($C$8+$C$9+$C$10+$C$11+$C$12)-12*IF(L$42&gt;=2028,$C$33,IF(L$42=2027,(3*$C$7+9*$C$16)/12,$C$7))*(1+$C$13)+(-12*((IF('⑯ Store P&amp;L'!L37&gt;=5,0,0)+IF('⑯ Store P&amp;L'!L37&gt;=7,$C$14,0)+IF('⑯ Store P&amp;L'!L37&gt;=8,$C$15,0)+IF(SUMPRODUCT(('⑫ Roll-out Plan'!$G$10:$G$97&lt;=L$42)*ISNUMBER(SEARCH("Colombia",'⑫ Roll-out Plan'!$C$10:$C$97))*'⑫ Roll-out Plan'!$O$10:$O$97)&gt;=1,$C$23,0)+IF(SUMPRODUCT(('⑫ Roll-out Plan'!$G$10:$G$97&lt;=L$42)*(ISNUMBER(SEARCH("Dominicana",'⑫ Roll-out Plan'!$C$10:$C$97))+ISNUMBER(SEARCH("Guatemala",'⑫ Roll-out Plan'!$C$10:$C$97))+ISNUMBER(SEARCH("Salvador",'⑫ Roll-out Plan'!$C$10:$C$97)))*'⑫ Roll-out Plan'!$O$10:$O$97)&gt;=1,$C$24,0)+IF(L$42&gt;=2027,$C$17,0)+IF('⑯ Store P&amp;L'!L37&gt;=8,$C$18,0)+IF(L$42&gt;=2029,$C$19,0)+IF(L$42&gt;=2027,$C$20,0)+IF(L$42&gt;=2027,$C$22,0)+IF(SUMPRODUCT(('⑫ Roll-out Plan'!$G$10:$G$97=L$42)*'⑫ Roll-out Plan'!$O$10:$O$97)&gt;=10,$C$25,0)+IF('⑯ Store P&amp;L'!L37&gt;=25,$C$26,0)+$C$27*(IF(SUMPRODUCT(('⑫ Roll-out Plan'!$G$10:$G$97&lt;=L$42)*ISNUMBER(SEARCH("Colombia",'⑫ Roll-out Plan'!$C$10:$C$97))*'⑫ Roll-out Plan'!$O$10:$O$97)&gt;=1,1,0)+IF(SUMPRODUCT(('⑫ Roll-out Plan'!$G$10:$G$97&lt;=L$42)*ISNUMBER(SEARCH("Dominicana",'⑫ Roll-out Plan'!$C$10:$C$97))*'⑫ Roll-out Plan'!$O$10:$O$97)&gt;=1,1,0)+IF(SUMPRODUCT(('⑫ Roll-out Plan'!$G$10:$G$97&lt;=L$42)*ISNUMBER(SEARCH("Guatemala",'⑫ Roll-out Plan'!$C$10:$C$97))*'⑫ Roll-out Plan'!$O$10:$O$97)&gt;=1,1,0)+IF(SUMPRODUCT(('⑫ Roll-out Plan'!$G$10:$G$97&lt;=L$42)*ISNUMBER(SEARCH("Salvador",'⑫ Roll-out Plan'!$C$10:$C$97))*'⑫ Roll-out Plan'!$O$10:$O$97)&gt;=1,1,0))+IF(L$42&gt;=2030,$C$28,0)+IF(AND(L$42&gt;=2030,SUMPRODUCT(('⑫ Roll-out Plan'!$G$10:$G$97&lt;=L$42)*ISNUMBER(SEARCH("Colombia",'⑫ Roll-out Plan'!$C$10:$C$97))*'⑫ Roll-out Plan'!$O$10:$O$97)&gt;=1),$C$29,0))*(1+$C$31+L$64)))*IF((IF(SUMPRODUCT(('⑫ Roll-out Plan'!$G$10:$G$97&lt;=L$42)*ISNUMBER(SEARCH("Colombia",'⑫ Roll-out Plan'!$C$10:$C$97))*'⑫ Roll-out Plan'!$O$10:$O$97)&gt;=1,1,0)+IF(SUMPRODUCT(('⑫ Roll-out Plan'!$G$10:$G$97&lt;=L$42)*ISNUMBER(SEARCH("Dominicana",'⑫ Roll-out Plan'!$C$10:$C$97))*'⑫ Roll-out Plan'!$O$10:$O$97)&gt;=1,1,0)+IF(SUMPRODUCT(('⑫ Roll-out Plan'!$G$10:$G$97&lt;=L$42)*ISNUMBER(SEARCH("Guatemala",'⑫ Roll-out Plan'!$C$10:$C$97))*'⑫ Roll-out Plan'!$O$10:$O$97)&gt;=1,1,0)+IF(SUMPRODUCT(('⑫ Roll-out Plan'!$G$10:$G$97&lt;=L$42)*ISNUMBER(SEARCH("Salvador",'⑫ Roll-out Plan'!$C$10:$C$97))*'⑫ Roll-out Plan'!$O$10:$O$97)&gt;=1,1,0))=0,'🎚️ Escenario'!$C$7,1)-IF(AND(L$42&gt;=2031,(IF(SUMPRODUCT(('⑫ Roll-out Plan'!$G$10:$G$97&lt;=L$42)*ISNUMBER(SEARCH("Colombia",'⑫ Roll-out Plan'!$C$10:$C$97))*'⑫ Roll-out Plan'!$O$10:$O$97)&gt;=1,1,0)+IF(SUMPRODUCT(('⑫ Roll-out Plan'!$G$10:$G$97&lt;=L$42)*ISNUMBER(SEARCH("Dominicana",'⑫ Roll-out Plan'!$C$10:$C$97))*'⑫ Roll-out Plan'!$O$10:$O$97)&gt;=1,1,0)+IF(SUMPRODUCT(('⑫ Roll-out Plan'!$G$10:$G$97&lt;=L$42)*ISNUMBER(SEARCH("Guatemala",'⑫ Roll-out Plan'!$C$10:$C$97))*'⑫ Roll-out Plan'!$O$10:$O$97)&gt;=1,1,0)+IF(SUMPRODUCT(('⑫ Roll-out Plan'!$G$10:$G$97&lt;=L$42)*ISNUMBER(SEARCH("Salvador",'⑫ Roll-out Plan'!$C$10:$C$97))*'⑫ Roll-out Plan'!$O$10:$O$97)&gt;=1,1,0))&gt;=1),$C$30*'🎚️ Escenario'!L29,0)+12*(L67-L68)*L66</f>
        <v>-809440.877525528</v>
      </c>
      <c r="M48" s="290" t="n">
        <f aca="false" t="array" ref="M48:M48">-12*($C$8+$C$9+$C$10+$C$11+$C$12)-12*IF(M$42&gt;=2028,$C$33,IF(M$42=2027,(3*$C$7+9*$C$16)/12,$C$7))*(1+$C$13)+(-12*((IF('⑯ Store P&amp;L'!M37&gt;=5,0,0)+IF('⑯ Store P&amp;L'!M37&gt;=7,$C$14,0)+IF('⑯ Store P&amp;L'!M37&gt;=8,$C$15,0)+IF(SUMPRODUCT(('⑫ Roll-out Plan'!$G$10:$G$97&lt;=M$42)*ISNUMBER(SEARCH("Colombia",'⑫ Roll-out Plan'!$C$10:$C$97))*'⑫ Roll-out Plan'!$O$10:$O$97)&gt;=1,$C$23,0)+IF(SUMPRODUCT(('⑫ Roll-out Plan'!$G$10:$G$97&lt;=M$42)*(ISNUMBER(SEARCH("Dominicana",'⑫ Roll-out Plan'!$C$10:$C$97))+ISNUMBER(SEARCH("Guatemala",'⑫ Roll-out Plan'!$C$10:$C$97))+ISNUMBER(SEARCH("Salvador",'⑫ Roll-out Plan'!$C$10:$C$97)))*'⑫ Roll-out Plan'!$O$10:$O$97)&gt;=1,$C$24,0)+IF(M$42&gt;=2027,$C$17,0)+IF('⑯ Store P&amp;L'!M37&gt;=8,$C$18,0)+IF(M$42&gt;=2029,$C$19,0)+IF(M$42&gt;=2027,$C$20,0)+IF(M$42&gt;=2027,$C$22,0)+IF(SUMPRODUCT(('⑫ Roll-out Plan'!$G$10:$G$97=M$42)*'⑫ Roll-out Plan'!$O$10:$O$97)&gt;=10,$C$25,0)+IF('⑯ Store P&amp;L'!M37&gt;=25,$C$26,0)+$C$27*(IF(SUMPRODUCT(('⑫ Roll-out Plan'!$G$10:$G$97&lt;=M$42)*ISNUMBER(SEARCH("Colombia",'⑫ Roll-out Plan'!$C$10:$C$97))*'⑫ Roll-out Plan'!$O$10:$O$97)&gt;=1,1,0)+IF(SUMPRODUCT(('⑫ Roll-out Plan'!$G$10:$G$97&lt;=M$42)*ISNUMBER(SEARCH("Dominicana",'⑫ Roll-out Plan'!$C$10:$C$97))*'⑫ Roll-out Plan'!$O$10:$O$97)&gt;=1,1,0)+IF(SUMPRODUCT(('⑫ Roll-out Plan'!$G$10:$G$97&lt;=M$42)*ISNUMBER(SEARCH("Guatemala",'⑫ Roll-out Plan'!$C$10:$C$97))*'⑫ Roll-out Plan'!$O$10:$O$97)&gt;=1,1,0)+IF(SUMPRODUCT(('⑫ Roll-out Plan'!$G$10:$G$97&lt;=M$42)*ISNUMBER(SEARCH("Salvador",'⑫ Roll-out Plan'!$C$10:$C$97))*'⑫ Roll-out Plan'!$O$10:$O$97)&gt;=1,1,0))+IF(M$42&gt;=2030,$C$28,0)+IF(AND(M$42&gt;=2030,SUMPRODUCT(('⑫ Roll-out Plan'!$G$10:$G$97&lt;=M$42)*ISNUMBER(SEARCH("Colombia",'⑫ Roll-out Plan'!$C$10:$C$97))*'⑫ Roll-out Plan'!$O$10:$O$97)&gt;=1),$C$29,0))*(1+$C$31+M$64)))*IF((IF(SUMPRODUCT(('⑫ Roll-out Plan'!$G$10:$G$97&lt;=M$42)*ISNUMBER(SEARCH("Colombia",'⑫ Roll-out Plan'!$C$10:$C$97))*'⑫ Roll-out Plan'!$O$10:$O$97)&gt;=1,1,0)+IF(SUMPRODUCT(('⑫ Roll-out Plan'!$G$10:$G$97&lt;=M$42)*ISNUMBER(SEARCH("Dominicana",'⑫ Roll-out Plan'!$C$10:$C$97))*'⑫ Roll-out Plan'!$O$10:$O$97)&gt;=1,1,0)+IF(SUMPRODUCT(('⑫ Roll-out Plan'!$G$10:$G$97&lt;=M$42)*ISNUMBER(SEARCH("Guatemala",'⑫ Roll-out Plan'!$C$10:$C$97))*'⑫ Roll-out Plan'!$O$10:$O$97)&gt;=1,1,0)+IF(SUMPRODUCT(('⑫ Roll-out Plan'!$G$10:$G$97&lt;=M$42)*ISNUMBER(SEARCH("Salvador",'⑫ Roll-out Plan'!$C$10:$C$97))*'⑫ Roll-out Plan'!$O$10:$O$97)&gt;=1,1,0))=0,'🎚️ Escenario'!$C$7,1)-IF(AND(M$42&gt;=2031,(IF(SUMPRODUCT(('⑫ Roll-out Plan'!$G$10:$G$97&lt;=M$42)*ISNUMBER(SEARCH("Colombia",'⑫ Roll-out Plan'!$C$10:$C$97))*'⑫ Roll-out Plan'!$O$10:$O$97)&gt;=1,1,0)+IF(SUMPRODUCT(('⑫ Roll-out Plan'!$G$10:$G$97&lt;=M$42)*ISNUMBER(SEARCH("Dominicana",'⑫ Roll-out Plan'!$C$10:$C$97))*'⑫ Roll-out Plan'!$O$10:$O$97)&gt;=1,1,0)+IF(SUMPRODUCT(('⑫ Roll-out Plan'!$G$10:$G$97&lt;=M$42)*ISNUMBER(SEARCH("Guatemala",'⑫ Roll-out Plan'!$C$10:$C$97))*'⑫ Roll-out Plan'!$O$10:$O$97)&gt;=1,1,0)+IF(SUMPRODUCT(('⑫ Roll-out Plan'!$G$10:$G$97&lt;=M$42)*ISNUMBER(SEARCH("Salvador",'⑫ Roll-out Plan'!$C$10:$C$97))*'⑫ Roll-out Plan'!$O$10:$O$97)&gt;=1,1,0))&gt;=1),$C$30*'🎚️ Escenario'!M29,0)+12*(M67-M68)*M66</f>
        <v>-825391.764173715</v>
      </c>
      <c r="N48" s="290" t="n">
        <f aca="false" t="array" ref="N48:N48">-12*($C$8+$C$9+$C$10+$C$11+$C$12)-12*IF(N$42&gt;=2028,$C$33,IF(N$42=2027,(3*$C$7+9*$C$16)/12,$C$7))*(1+$C$13)+(-12*((IF('⑯ Store P&amp;L'!N37&gt;=5,0,0)+IF('⑯ Store P&amp;L'!N37&gt;=7,$C$14,0)+IF('⑯ Store P&amp;L'!N37&gt;=8,$C$15,0)+IF(SUMPRODUCT(('⑫ Roll-out Plan'!$G$10:$G$97&lt;=N$42)*ISNUMBER(SEARCH("Colombia",'⑫ Roll-out Plan'!$C$10:$C$97))*'⑫ Roll-out Plan'!$O$10:$O$97)&gt;=1,$C$23,0)+IF(SUMPRODUCT(('⑫ Roll-out Plan'!$G$10:$G$97&lt;=N$42)*(ISNUMBER(SEARCH("Dominicana",'⑫ Roll-out Plan'!$C$10:$C$97))+ISNUMBER(SEARCH("Guatemala",'⑫ Roll-out Plan'!$C$10:$C$97))+ISNUMBER(SEARCH("Salvador",'⑫ Roll-out Plan'!$C$10:$C$97)))*'⑫ Roll-out Plan'!$O$10:$O$97)&gt;=1,$C$24,0)+IF(N$42&gt;=2027,$C$17,0)+IF('⑯ Store P&amp;L'!N37&gt;=8,$C$18,0)+IF(N$42&gt;=2029,$C$19,0)+IF(N$42&gt;=2027,$C$20,0)+IF(N$42&gt;=2027,$C$22,0)+IF(SUMPRODUCT(('⑫ Roll-out Plan'!$G$10:$G$97=N$42)*'⑫ Roll-out Plan'!$O$10:$O$97)&gt;=10,$C$25,0)+IF('⑯ Store P&amp;L'!N37&gt;=25,$C$26,0)+$C$27*(IF(SUMPRODUCT(('⑫ Roll-out Plan'!$G$10:$G$97&lt;=N$42)*ISNUMBER(SEARCH("Colombia",'⑫ Roll-out Plan'!$C$10:$C$97))*'⑫ Roll-out Plan'!$O$10:$O$97)&gt;=1,1,0)+IF(SUMPRODUCT(('⑫ Roll-out Plan'!$G$10:$G$97&lt;=N$42)*ISNUMBER(SEARCH("Dominicana",'⑫ Roll-out Plan'!$C$10:$C$97))*'⑫ Roll-out Plan'!$O$10:$O$97)&gt;=1,1,0)+IF(SUMPRODUCT(('⑫ Roll-out Plan'!$G$10:$G$97&lt;=N$42)*ISNUMBER(SEARCH("Guatemala",'⑫ Roll-out Plan'!$C$10:$C$97))*'⑫ Roll-out Plan'!$O$10:$O$97)&gt;=1,1,0)+IF(SUMPRODUCT(('⑫ Roll-out Plan'!$G$10:$G$97&lt;=N$42)*ISNUMBER(SEARCH("Salvador",'⑫ Roll-out Plan'!$C$10:$C$97))*'⑫ Roll-out Plan'!$O$10:$O$97)&gt;=1,1,0))+IF(N$42&gt;=2030,$C$28,0)+IF(AND(N$42&gt;=2030,SUMPRODUCT(('⑫ Roll-out Plan'!$G$10:$G$97&lt;=N$42)*ISNUMBER(SEARCH("Colombia",'⑫ Roll-out Plan'!$C$10:$C$97))*'⑫ Roll-out Plan'!$O$10:$O$97)&gt;=1),$C$29,0))*(1+$C$31+N$64)))*IF((IF(SUMPRODUCT(('⑫ Roll-out Plan'!$G$10:$G$97&lt;=N$42)*ISNUMBER(SEARCH("Colombia",'⑫ Roll-out Plan'!$C$10:$C$97))*'⑫ Roll-out Plan'!$O$10:$O$97)&gt;=1,1,0)+IF(SUMPRODUCT(('⑫ Roll-out Plan'!$G$10:$G$97&lt;=N$42)*ISNUMBER(SEARCH("Dominicana",'⑫ Roll-out Plan'!$C$10:$C$97))*'⑫ Roll-out Plan'!$O$10:$O$97)&gt;=1,1,0)+IF(SUMPRODUCT(('⑫ Roll-out Plan'!$G$10:$G$97&lt;=N$42)*ISNUMBER(SEARCH("Guatemala",'⑫ Roll-out Plan'!$C$10:$C$97))*'⑫ Roll-out Plan'!$O$10:$O$97)&gt;=1,1,0)+IF(SUMPRODUCT(('⑫ Roll-out Plan'!$G$10:$G$97&lt;=N$42)*ISNUMBER(SEARCH("Salvador",'⑫ Roll-out Plan'!$C$10:$C$97))*'⑫ Roll-out Plan'!$O$10:$O$97)&gt;=1,1,0))=0,'🎚️ Escenario'!$C$7,1)-IF(AND(N$42&gt;=2031,(IF(SUMPRODUCT(('⑫ Roll-out Plan'!$G$10:$G$97&lt;=N$42)*ISNUMBER(SEARCH("Colombia",'⑫ Roll-out Plan'!$C$10:$C$97))*'⑫ Roll-out Plan'!$O$10:$O$97)&gt;=1,1,0)+IF(SUMPRODUCT(('⑫ Roll-out Plan'!$G$10:$G$97&lt;=N$42)*ISNUMBER(SEARCH("Dominicana",'⑫ Roll-out Plan'!$C$10:$C$97))*'⑫ Roll-out Plan'!$O$10:$O$97)&gt;=1,1,0)+IF(SUMPRODUCT(('⑫ Roll-out Plan'!$G$10:$G$97&lt;=N$42)*ISNUMBER(SEARCH("Guatemala",'⑫ Roll-out Plan'!$C$10:$C$97))*'⑫ Roll-out Plan'!$O$10:$O$97)&gt;=1,1,0)+IF(SUMPRODUCT(('⑫ Roll-out Plan'!$G$10:$G$97&lt;=N$42)*ISNUMBER(SEARCH("Salvador",'⑫ Roll-out Plan'!$C$10:$C$97))*'⑫ Roll-out Plan'!$O$10:$O$97)&gt;=1,1,0))&gt;=1),$C$30*'🎚️ Escenario'!N29,0)+12*(N67-N68)*N66</f>
        <v>-802188.264973499</v>
      </c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</row>
    <row r="49" customFormat="false" ht="15" hidden="false" customHeight="false" outlineLevel="0" collapsed="false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</row>
    <row r="50" customFormat="false" ht="15" hidden="false" customHeight="false" outlineLevel="0" collapsed="false">
      <c r="B50" s="18" t="s">
        <v>1278</v>
      </c>
      <c r="C50" s="180" t="n">
        <f aca="false" t="array" ref="C50:C50">-'⑮ Cohort Engine'!C943*C55*IF((IF(SUMPRODUCT(('⑫ Roll-out Plan'!$G$10:$G$97&lt;=C$42)*ISNUMBER(SEARCH("Colombia",'⑫ Roll-out Plan'!$C$10:$C$97))*'⑫ Roll-out Plan'!$O$10:$O$97)&gt;=1,1,0)+IF(SUMPRODUCT(('⑫ Roll-out Plan'!$G$10:$G$97&lt;=C$42)*ISNUMBER(SEARCH("Dominicana",'⑫ Roll-out Plan'!$C$10:$C$97))*'⑫ Roll-out Plan'!$O$10:$O$97)&gt;=1,1,0)+IF(SUMPRODUCT(('⑫ Roll-out Plan'!$G$10:$G$97&lt;=C$42)*ISNUMBER(SEARCH("Guatemala",'⑫ Roll-out Plan'!$C$10:$C$97))*'⑫ Roll-out Plan'!$O$10:$O$97)&gt;=1,1,0)+IF(SUMPRODUCT(('⑫ Roll-out Plan'!$G$10:$G$97&lt;=C$42)*ISNUMBER(SEARCH("Salvador",'⑫ Roll-out Plan'!$C$10:$C$97))*'⑫ Roll-out Plan'!$O$10:$O$97)&gt;=1,1,0))=0,'🎚️ Escenario'!$C$7,1)-'🎚️ Escenario'!$C$9*(IF(AND(SUMPRODUCT(('⑫ Roll-out Plan'!$G$10:$G$97=C$42)*ISNUMBER(SEARCH("Colombia",'⑫ Roll-out Plan'!$C$10:$C$97))*'⑫ Roll-out Plan'!$O$10:$O$97)&gt;=1,SUMPRODUCT(('⑫ Roll-out Plan'!$G$10:$G$97&lt;C$42)*ISNUMBER(SEARCH("Colombia",'⑫ Roll-out Plan'!$C$10:$C$97))*'⑫ Roll-out Plan'!$O$10:$O$97)=0),1,0)+IF(AND(SUMPRODUCT(('⑫ Roll-out Plan'!$G$10:$G$97=C$42)*ISNUMBER(SEARCH("Dominicana",'⑫ Roll-out Plan'!$C$10:$C$97))*'⑫ Roll-out Plan'!$O$10:$O$97)&gt;=1,SUMPRODUCT(('⑫ Roll-out Plan'!$G$10:$G$97&lt;C$42)*ISNUMBER(SEARCH("Dominicana",'⑫ Roll-out Plan'!$C$10:$C$97))*'⑫ Roll-out Plan'!$O$10:$O$97)=0),1,0)+IF(AND(SUMPRODUCT(('⑫ Roll-out Plan'!$G$10:$G$97=C$42)*ISNUMBER(SEARCH("Guatemala",'⑫ Roll-out Plan'!$C$10:$C$97))*'⑫ Roll-out Plan'!$O$10:$O$97)&gt;=1,SUMPRODUCT(('⑫ Roll-out Plan'!$G$10:$G$97&lt;C$42)*ISNUMBER(SEARCH("Guatemala",'⑫ Roll-out Plan'!$C$10:$C$97))*'⑫ Roll-out Plan'!$O$10:$O$97)=0),1,0)+IF(AND(SUMPRODUCT(('⑫ Roll-out Plan'!$G$10:$G$97=C$42)*ISNUMBER(SEARCH("Salvador",'⑫ Roll-out Plan'!$C$10:$C$97))*'⑫ Roll-out Plan'!$O$10:$O$97)&gt;=1,SUMPRODUCT(('⑫ Roll-out Plan'!$G$10:$G$97&lt;C$42)*ISNUMBER(SEARCH("Salvador",'⑫ Roll-out Plan'!$C$10:$C$97))*'⑫ Roll-out Plan'!$O$10:$O$97)=0),1,0))</f>
        <v>-33307.029</v>
      </c>
      <c r="D50" s="180" t="n">
        <f aca="false" t="array" ref="D50:D50">-'⑮ Cohort Engine'!D943*D55*IF((IF(SUMPRODUCT(('⑫ Roll-out Plan'!$G$10:$G$97&lt;=D$42)*ISNUMBER(SEARCH("Colombia",'⑫ Roll-out Plan'!$C$10:$C$97))*'⑫ Roll-out Plan'!$O$10:$O$97)&gt;=1,1,0)+IF(SUMPRODUCT(('⑫ Roll-out Plan'!$G$10:$G$97&lt;=D$42)*ISNUMBER(SEARCH("Dominicana",'⑫ Roll-out Plan'!$C$10:$C$97))*'⑫ Roll-out Plan'!$O$10:$O$97)&gt;=1,1,0)+IF(SUMPRODUCT(('⑫ Roll-out Plan'!$G$10:$G$97&lt;=D$42)*ISNUMBER(SEARCH("Guatemala",'⑫ Roll-out Plan'!$C$10:$C$97))*'⑫ Roll-out Plan'!$O$10:$O$97)&gt;=1,1,0)+IF(SUMPRODUCT(('⑫ Roll-out Plan'!$G$10:$G$97&lt;=D$42)*ISNUMBER(SEARCH("Salvador",'⑫ Roll-out Plan'!$C$10:$C$97))*'⑫ Roll-out Plan'!$O$10:$O$97)&gt;=1,1,0))=0,'🎚️ Escenario'!$C$7,1)-'🎚️ Escenario'!$C$9*(IF(AND(SUMPRODUCT(('⑫ Roll-out Plan'!$G$10:$G$97=D$42)*ISNUMBER(SEARCH("Colombia",'⑫ Roll-out Plan'!$C$10:$C$97))*'⑫ Roll-out Plan'!$O$10:$O$97)&gt;=1,SUMPRODUCT(('⑫ Roll-out Plan'!$G$10:$G$97&lt;D$42)*ISNUMBER(SEARCH("Colombia",'⑫ Roll-out Plan'!$C$10:$C$97))*'⑫ Roll-out Plan'!$O$10:$O$97)=0),1,0)+IF(AND(SUMPRODUCT(('⑫ Roll-out Plan'!$G$10:$G$97=D$42)*ISNUMBER(SEARCH("Dominicana",'⑫ Roll-out Plan'!$C$10:$C$97))*'⑫ Roll-out Plan'!$O$10:$O$97)&gt;=1,SUMPRODUCT(('⑫ Roll-out Plan'!$G$10:$G$97&lt;D$42)*ISNUMBER(SEARCH("Dominicana",'⑫ Roll-out Plan'!$C$10:$C$97))*'⑫ Roll-out Plan'!$O$10:$O$97)=0),1,0)+IF(AND(SUMPRODUCT(('⑫ Roll-out Plan'!$G$10:$G$97=D$42)*ISNUMBER(SEARCH("Guatemala",'⑫ Roll-out Plan'!$C$10:$C$97))*'⑫ Roll-out Plan'!$O$10:$O$97)&gt;=1,SUMPRODUCT(('⑫ Roll-out Plan'!$G$10:$G$97&lt;D$42)*ISNUMBER(SEARCH("Guatemala",'⑫ Roll-out Plan'!$C$10:$C$97))*'⑫ Roll-out Plan'!$O$10:$O$97)=0),1,0)+IF(AND(SUMPRODUCT(('⑫ Roll-out Plan'!$G$10:$G$97=D$42)*ISNUMBER(SEARCH("Salvador",'⑫ Roll-out Plan'!$C$10:$C$97))*'⑫ Roll-out Plan'!$O$10:$O$97)&gt;=1,SUMPRODUCT(('⑫ Roll-out Plan'!$G$10:$G$97&lt;D$42)*ISNUMBER(SEARCH("Salvador",'⑫ Roll-out Plan'!$C$10:$C$97))*'⑫ Roll-out Plan'!$O$10:$O$97)=0),1,0))</f>
        <v>-105710.6316</v>
      </c>
      <c r="E50" s="180" t="n">
        <f aca="false" t="array" ref="E50:E50">-'⑮ Cohort Engine'!E943*E55*IF((IF(SUMPRODUCT(('⑫ Roll-out Plan'!$G$10:$G$97&lt;=E$42)*ISNUMBER(SEARCH("Colombia",'⑫ Roll-out Plan'!$C$10:$C$97))*'⑫ Roll-out Plan'!$O$10:$O$97)&gt;=1,1,0)+IF(SUMPRODUCT(('⑫ Roll-out Plan'!$G$10:$G$97&lt;=E$42)*ISNUMBER(SEARCH("Dominicana",'⑫ Roll-out Plan'!$C$10:$C$97))*'⑫ Roll-out Plan'!$O$10:$O$97)&gt;=1,1,0)+IF(SUMPRODUCT(('⑫ Roll-out Plan'!$G$10:$G$97&lt;=E$42)*ISNUMBER(SEARCH("Guatemala",'⑫ Roll-out Plan'!$C$10:$C$97))*'⑫ Roll-out Plan'!$O$10:$O$97)&gt;=1,1,0)+IF(SUMPRODUCT(('⑫ Roll-out Plan'!$G$10:$G$97&lt;=E$42)*ISNUMBER(SEARCH("Salvador",'⑫ Roll-out Plan'!$C$10:$C$97))*'⑫ Roll-out Plan'!$O$10:$O$97)&gt;=1,1,0))=0,'🎚️ Escenario'!$C$7,1)-'🎚️ Escenario'!$C$9*(IF(AND(SUMPRODUCT(('⑫ Roll-out Plan'!$G$10:$G$97=E$42)*ISNUMBER(SEARCH("Colombia",'⑫ Roll-out Plan'!$C$10:$C$97))*'⑫ Roll-out Plan'!$O$10:$O$97)&gt;=1,SUMPRODUCT(('⑫ Roll-out Plan'!$G$10:$G$97&lt;E$42)*ISNUMBER(SEARCH("Colombia",'⑫ Roll-out Plan'!$C$10:$C$97))*'⑫ Roll-out Plan'!$O$10:$O$97)=0),1,0)+IF(AND(SUMPRODUCT(('⑫ Roll-out Plan'!$G$10:$G$97=E$42)*ISNUMBER(SEARCH("Dominicana",'⑫ Roll-out Plan'!$C$10:$C$97))*'⑫ Roll-out Plan'!$O$10:$O$97)&gt;=1,SUMPRODUCT(('⑫ Roll-out Plan'!$G$10:$G$97&lt;E$42)*ISNUMBER(SEARCH("Dominicana",'⑫ Roll-out Plan'!$C$10:$C$97))*'⑫ Roll-out Plan'!$O$10:$O$97)=0),1,0)+IF(AND(SUMPRODUCT(('⑫ Roll-out Plan'!$G$10:$G$97=E$42)*ISNUMBER(SEARCH("Guatemala",'⑫ Roll-out Plan'!$C$10:$C$97))*'⑫ Roll-out Plan'!$O$10:$O$97)&gt;=1,SUMPRODUCT(('⑫ Roll-out Plan'!$G$10:$G$97&lt;E$42)*ISNUMBER(SEARCH("Guatemala",'⑫ Roll-out Plan'!$C$10:$C$97))*'⑫ Roll-out Plan'!$O$10:$O$97)=0),1,0)+IF(AND(SUMPRODUCT(('⑫ Roll-out Plan'!$G$10:$G$97=E$42)*ISNUMBER(SEARCH("Salvador",'⑫ Roll-out Plan'!$C$10:$C$97))*'⑫ Roll-out Plan'!$O$10:$O$97)&gt;=1,SUMPRODUCT(('⑫ Roll-out Plan'!$G$10:$G$97&lt;E$42)*ISNUMBER(SEARCH("Salvador",'⑫ Roll-out Plan'!$C$10:$C$97))*'⑫ Roll-out Plan'!$O$10:$O$97)=0),1,0))</f>
        <v>-234483.7698</v>
      </c>
      <c r="F50" s="180" t="n">
        <f aca="false" t="array" ref="F50:F50">-'⑮ Cohort Engine'!F943*F55*IF((IF(SUMPRODUCT(('⑫ Roll-out Plan'!$G$10:$G$97&lt;=F$42)*ISNUMBER(SEARCH("Colombia",'⑫ Roll-out Plan'!$C$10:$C$97))*'⑫ Roll-out Plan'!$O$10:$O$97)&gt;=1,1,0)+IF(SUMPRODUCT(('⑫ Roll-out Plan'!$G$10:$G$97&lt;=F$42)*ISNUMBER(SEARCH("Dominicana",'⑫ Roll-out Plan'!$C$10:$C$97))*'⑫ Roll-out Plan'!$O$10:$O$97)&gt;=1,1,0)+IF(SUMPRODUCT(('⑫ Roll-out Plan'!$G$10:$G$97&lt;=F$42)*ISNUMBER(SEARCH("Guatemala",'⑫ Roll-out Plan'!$C$10:$C$97))*'⑫ Roll-out Plan'!$O$10:$O$97)&gt;=1,1,0)+IF(SUMPRODUCT(('⑫ Roll-out Plan'!$G$10:$G$97&lt;=F$42)*ISNUMBER(SEARCH("Salvador",'⑫ Roll-out Plan'!$C$10:$C$97))*'⑫ Roll-out Plan'!$O$10:$O$97)&gt;=1,1,0))=0,'🎚️ Escenario'!$C$7,1)-'🎚️ Escenario'!$C$9*(IF(AND(SUMPRODUCT(('⑫ Roll-out Plan'!$G$10:$G$97=F$42)*ISNUMBER(SEARCH("Colombia",'⑫ Roll-out Plan'!$C$10:$C$97))*'⑫ Roll-out Plan'!$O$10:$O$97)&gt;=1,SUMPRODUCT(('⑫ Roll-out Plan'!$G$10:$G$97&lt;F$42)*ISNUMBER(SEARCH("Colombia",'⑫ Roll-out Plan'!$C$10:$C$97))*'⑫ Roll-out Plan'!$O$10:$O$97)=0),1,0)+IF(AND(SUMPRODUCT(('⑫ Roll-out Plan'!$G$10:$G$97=F$42)*ISNUMBER(SEARCH("Dominicana",'⑫ Roll-out Plan'!$C$10:$C$97))*'⑫ Roll-out Plan'!$O$10:$O$97)&gt;=1,SUMPRODUCT(('⑫ Roll-out Plan'!$G$10:$G$97&lt;F$42)*ISNUMBER(SEARCH("Dominicana",'⑫ Roll-out Plan'!$C$10:$C$97))*'⑫ Roll-out Plan'!$O$10:$O$97)=0),1,0)+IF(AND(SUMPRODUCT(('⑫ Roll-out Plan'!$G$10:$G$97=F$42)*ISNUMBER(SEARCH("Guatemala",'⑫ Roll-out Plan'!$C$10:$C$97))*'⑫ Roll-out Plan'!$O$10:$O$97)&gt;=1,SUMPRODUCT(('⑫ Roll-out Plan'!$G$10:$G$97&lt;F$42)*ISNUMBER(SEARCH("Guatemala",'⑫ Roll-out Plan'!$C$10:$C$97))*'⑫ Roll-out Plan'!$O$10:$O$97)=0),1,0)+IF(AND(SUMPRODUCT(('⑫ Roll-out Plan'!$G$10:$G$97=F$42)*ISNUMBER(SEARCH("Salvador",'⑫ Roll-out Plan'!$C$10:$C$97))*'⑫ Roll-out Plan'!$O$10:$O$97)&gt;=1,SUMPRODUCT(('⑫ Roll-out Plan'!$G$10:$G$97&lt;F$42)*ISNUMBER(SEARCH("Salvador",'⑫ Roll-out Plan'!$C$10:$C$97))*'⑫ Roll-out Plan'!$O$10:$O$97)=0),1,0))</f>
        <v>-456447.033</v>
      </c>
      <c r="G50" s="180" t="n">
        <f aca="false" t="array" ref="G50:G50">-'⑮ Cohort Engine'!G943*G55*IF((IF(SUMPRODUCT(('⑫ Roll-out Plan'!$G$10:$G$97&lt;=G$42)*ISNUMBER(SEARCH("Colombia",'⑫ Roll-out Plan'!$C$10:$C$97))*'⑫ Roll-out Plan'!$O$10:$O$97)&gt;=1,1,0)+IF(SUMPRODUCT(('⑫ Roll-out Plan'!$G$10:$G$97&lt;=G$42)*ISNUMBER(SEARCH("Dominicana",'⑫ Roll-out Plan'!$C$10:$C$97))*'⑫ Roll-out Plan'!$O$10:$O$97)&gt;=1,1,0)+IF(SUMPRODUCT(('⑫ Roll-out Plan'!$G$10:$G$97&lt;=G$42)*ISNUMBER(SEARCH("Guatemala",'⑫ Roll-out Plan'!$C$10:$C$97))*'⑫ Roll-out Plan'!$O$10:$O$97)&gt;=1,1,0)+IF(SUMPRODUCT(('⑫ Roll-out Plan'!$G$10:$G$97&lt;=G$42)*ISNUMBER(SEARCH("Salvador",'⑫ Roll-out Plan'!$C$10:$C$97))*'⑫ Roll-out Plan'!$O$10:$O$97)&gt;=1,1,0))=0,'🎚️ Escenario'!$C$7,1)-'🎚️ Escenario'!$C$9*(IF(AND(SUMPRODUCT(('⑫ Roll-out Plan'!$G$10:$G$97=G$42)*ISNUMBER(SEARCH("Colombia",'⑫ Roll-out Plan'!$C$10:$C$97))*'⑫ Roll-out Plan'!$O$10:$O$97)&gt;=1,SUMPRODUCT(('⑫ Roll-out Plan'!$G$10:$G$97&lt;G$42)*ISNUMBER(SEARCH("Colombia",'⑫ Roll-out Plan'!$C$10:$C$97))*'⑫ Roll-out Plan'!$O$10:$O$97)=0),1,0)+IF(AND(SUMPRODUCT(('⑫ Roll-out Plan'!$G$10:$G$97=G$42)*ISNUMBER(SEARCH("Dominicana",'⑫ Roll-out Plan'!$C$10:$C$97))*'⑫ Roll-out Plan'!$O$10:$O$97)&gt;=1,SUMPRODUCT(('⑫ Roll-out Plan'!$G$10:$G$97&lt;G$42)*ISNUMBER(SEARCH("Dominicana",'⑫ Roll-out Plan'!$C$10:$C$97))*'⑫ Roll-out Plan'!$O$10:$O$97)=0),1,0)+IF(AND(SUMPRODUCT(('⑫ Roll-out Plan'!$G$10:$G$97=G$42)*ISNUMBER(SEARCH("Guatemala",'⑫ Roll-out Plan'!$C$10:$C$97))*'⑫ Roll-out Plan'!$O$10:$O$97)&gt;=1,SUMPRODUCT(('⑫ Roll-out Plan'!$G$10:$G$97&lt;G$42)*ISNUMBER(SEARCH("Guatemala",'⑫ Roll-out Plan'!$C$10:$C$97))*'⑫ Roll-out Plan'!$O$10:$O$97)=0),1,0)+IF(AND(SUMPRODUCT(('⑫ Roll-out Plan'!$G$10:$G$97=G$42)*ISNUMBER(SEARCH("Salvador",'⑫ Roll-out Plan'!$C$10:$C$97))*'⑫ Roll-out Plan'!$O$10:$O$97)&gt;=1,SUMPRODUCT(('⑫ Roll-out Plan'!$G$10:$G$97&lt;G$42)*ISNUMBER(SEARCH("Salvador",'⑫ Roll-out Plan'!$C$10:$C$97))*'⑫ Roll-out Plan'!$O$10:$O$97)=0),1,0))</f>
        <v>-730036.1628</v>
      </c>
      <c r="H50" s="180" t="n">
        <f aca="false" t="array" ref="H50:H50">-'⑮ Cohort Engine'!H943*H55*IF((IF(SUMPRODUCT(('⑫ Roll-out Plan'!$G$10:$G$97&lt;=H$42)*ISNUMBER(SEARCH("Colombia",'⑫ Roll-out Plan'!$C$10:$C$97))*'⑫ Roll-out Plan'!$O$10:$O$97)&gt;=1,1,0)+IF(SUMPRODUCT(('⑫ Roll-out Plan'!$G$10:$G$97&lt;=H$42)*ISNUMBER(SEARCH("Dominicana",'⑫ Roll-out Plan'!$C$10:$C$97))*'⑫ Roll-out Plan'!$O$10:$O$97)&gt;=1,1,0)+IF(SUMPRODUCT(('⑫ Roll-out Plan'!$G$10:$G$97&lt;=H$42)*ISNUMBER(SEARCH("Guatemala",'⑫ Roll-out Plan'!$C$10:$C$97))*'⑫ Roll-out Plan'!$O$10:$O$97)&gt;=1,1,0)+IF(SUMPRODUCT(('⑫ Roll-out Plan'!$G$10:$G$97&lt;=H$42)*ISNUMBER(SEARCH("Salvador",'⑫ Roll-out Plan'!$C$10:$C$97))*'⑫ Roll-out Plan'!$O$10:$O$97)&gt;=1,1,0))=0,'🎚️ Escenario'!$C$7,1)-'🎚️ Escenario'!$C$9*(IF(AND(SUMPRODUCT(('⑫ Roll-out Plan'!$G$10:$G$97=H$42)*ISNUMBER(SEARCH("Colombia",'⑫ Roll-out Plan'!$C$10:$C$97))*'⑫ Roll-out Plan'!$O$10:$O$97)&gt;=1,SUMPRODUCT(('⑫ Roll-out Plan'!$G$10:$G$97&lt;H$42)*ISNUMBER(SEARCH("Colombia",'⑫ Roll-out Plan'!$C$10:$C$97))*'⑫ Roll-out Plan'!$O$10:$O$97)=0),1,0)+IF(AND(SUMPRODUCT(('⑫ Roll-out Plan'!$G$10:$G$97=H$42)*ISNUMBER(SEARCH("Dominicana",'⑫ Roll-out Plan'!$C$10:$C$97))*'⑫ Roll-out Plan'!$O$10:$O$97)&gt;=1,SUMPRODUCT(('⑫ Roll-out Plan'!$G$10:$G$97&lt;H$42)*ISNUMBER(SEARCH("Dominicana",'⑫ Roll-out Plan'!$C$10:$C$97))*'⑫ Roll-out Plan'!$O$10:$O$97)=0),1,0)+IF(AND(SUMPRODUCT(('⑫ Roll-out Plan'!$G$10:$G$97=H$42)*ISNUMBER(SEARCH("Guatemala",'⑫ Roll-out Plan'!$C$10:$C$97))*'⑫ Roll-out Plan'!$O$10:$O$97)&gt;=1,SUMPRODUCT(('⑫ Roll-out Plan'!$G$10:$G$97&lt;H$42)*ISNUMBER(SEARCH("Guatemala",'⑫ Roll-out Plan'!$C$10:$C$97))*'⑫ Roll-out Plan'!$O$10:$O$97)=0),1,0)+IF(AND(SUMPRODUCT(('⑫ Roll-out Plan'!$G$10:$G$97=H$42)*ISNUMBER(SEARCH("Salvador",'⑫ Roll-out Plan'!$C$10:$C$97))*'⑫ Roll-out Plan'!$O$10:$O$97)&gt;=1,SUMPRODUCT(('⑫ Roll-out Plan'!$G$10:$G$97&lt;H$42)*ISNUMBER(SEARCH("Salvador",'⑫ Roll-out Plan'!$C$10:$C$97))*'⑫ Roll-out Plan'!$O$10:$O$97)=0),1,0))</f>
        <v>-977716.4166</v>
      </c>
      <c r="I50" s="180" t="n">
        <f aca="false" t="array" ref="I50:I50">-'⑮ Cohort Engine'!I943*I55*IF((IF(SUMPRODUCT(('⑫ Roll-out Plan'!$G$10:$G$97&lt;=I$42)*ISNUMBER(SEARCH("Colombia",'⑫ Roll-out Plan'!$C$10:$C$97))*'⑫ Roll-out Plan'!$O$10:$O$97)&gt;=1,1,0)+IF(SUMPRODUCT(('⑫ Roll-out Plan'!$G$10:$G$97&lt;=I$42)*ISNUMBER(SEARCH("Dominicana",'⑫ Roll-out Plan'!$C$10:$C$97))*'⑫ Roll-out Plan'!$O$10:$O$97)&gt;=1,1,0)+IF(SUMPRODUCT(('⑫ Roll-out Plan'!$G$10:$G$97&lt;=I$42)*ISNUMBER(SEARCH("Guatemala",'⑫ Roll-out Plan'!$C$10:$C$97))*'⑫ Roll-out Plan'!$O$10:$O$97)&gt;=1,1,0)+IF(SUMPRODUCT(('⑫ Roll-out Plan'!$G$10:$G$97&lt;=I$42)*ISNUMBER(SEARCH("Salvador",'⑫ Roll-out Plan'!$C$10:$C$97))*'⑫ Roll-out Plan'!$O$10:$O$97)&gt;=1,1,0))=0,'🎚️ Escenario'!$C$7,1)-'🎚️ Escenario'!$C$9*(IF(AND(SUMPRODUCT(('⑫ Roll-out Plan'!$G$10:$G$97=I$42)*ISNUMBER(SEARCH("Colombia",'⑫ Roll-out Plan'!$C$10:$C$97))*'⑫ Roll-out Plan'!$O$10:$O$97)&gt;=1,SUMPRODUCT(('⑫ Roll-out Plan'!$G$10:$G$97&lt;I$42)*ISNUMBER(SEARCH("Colombia",'⑫ Roll-out Plan'!$C$10:$C$97))*'⑫ Roll-out Plan'!$O$10:$O$97)=0),1,0)+IF(AND(SUMPRODUCT(('⑫ Roll-out Plan'!$G$10:$G$97=I$42)*ISNUMBER(SEARCH("Dominicana",'⑫ Roll-out Plan'!$C$10:$C$97))*'⑫ Roll-out Plan'!$O$10:$O$97)&gt;=1,SUMPRODUCT(('⑫ Roll-out Plan'!$G$10:$G$97&lt;I$42)*ISNUMBER(SEARCH("Dominicana",'⑫ Roll-out Plan'!$C$10:$C$97))*'⑫ Roll-out Plan'!$O$10:$O$97)=0),1,0)+IF(AND(SUMPRODUCT(('⑫ Roll-out Plan'!$G$10:$G$97=I$42)*ISNUMBER(SEARCH("Guatemala",'⑫ Roll-out Plan'!$C$10:$C$97))*'⑫ Roll-out Plan'!$O$10:$O$97)&gt;=1,SUMPRODUCT(('⑫ Roll-out Plan'!$G$10:$G$97&lt;I$42)*ISNUMBER(SEARCH("Guatemala",'⑫ Roll-out Plan'!$C$10:$C$97))*'⑫ Roll-out Plan'!$O$10:$O$97)=0),1,0)+IF(AND(SUMPRODUCT(('⑫ Roll-out Plan'!$G$10:$G$97=I$42)*ISNUMBER(SEARCH("Salvador",'⑫ Roll-out Plan'!$C$10:$C$97))*'⑫ Roll-out Plan'!$O$10:$O$97)&gt;=1,SUMPRODUCT(('⑫ Roll-out Plan'!$G$10:$G$97&lt;I$42)*ISNUMBER(SEARCH("Salvador",'⑫ Roll-out Plan'!$C$10:$C$97))*'⑫ Roll-out Plan'!$O$10:$O$97)=0),1,0))</f>
        <v>-1219286.7498</v>
      </c>
      <c r="J50" s="180" t="n">
        <f aca="false" t="array" ref="J50:J50">-'⑮ Cohort Engine'!J943*J55*IF((IF(SUMPRODUCT(('⑫ Roll-out Plan'!$G$10:$G$97&lt;=J$42)*ISNUMBER(SEARCH("Colombia",'⑫ Roll-out Plan'!$C$10:$C$97))*'⑫ Roll-out Plan'!$O$10:$O$97)&gt;=1,1,0)+IF(SUMPRODUCT(('⑫ Roll-out Plan'!$G$10:$G$97&lt;=J$42)*ISNUMBER(SEARCH("Dominicana",'⑫ Roll-out Plan'!$C$10:$C$97))*'⑫ Roll-out Plan'!$O$10:$O$97)&gt;=1,1,0)+IF(SUMPRODUCT(('⑫ Roll-out Plan'!$G$10:$G$97&lt;=J$42)*ISNUMBER(SEARCH("Guatemala",'⑫ Roll-out Plan'!$C$10:$C$97))*'⑫ Roll-out Plan'!$O$10:$O$97)&gt;=1,1,0)+IF(SUMPRODUCT(('⑫ Roll-out Plan'!$G$10:$G$97&lt;=J$42)*ISNUMBER(SEARCH("Salvador",'⑫ Roll-out Plan'!$C$10:$C$97))*'⑫ Roll-out Plan'!$O$10:$O$97)&gt;=1,1,0))=0,'🎚️ Escenario'!$C$7,1)-'🎚️ Escenario'!$C$9*(IF(AND(SUMPRODUCT(('⑫ Roll-out Plan'!$G$10:$G$97=J$42)*ISNUMBER(SEARCH("Colombia",'⑫ Roll-out Plan'!$C$10:$C$97))*'⑫ Roll-out Plan'!$O$10:$O$97)&gt;=1,SUMPRODUCT(('⑫ Roll-out Plan'!$G$10:$G$97&lt;J$42)*ISNUMBER(SEARCH("Colombia",'⑫ Roll-out Plan'!$C$10:$C$97))*'⑫ Roll-out Plan'!$O$10:$O$97)=0),1,0)+IF(AND(SUMPRODUCT(('⑫ Roll-out Plan'!$G$10:$G$97=J$42)*ISNUMBER(SEARCH("Dominicana",'⑫ Roll-out Plan'!$C$10:$C$97))*'⑫ Roll-out Plan'!$O$10:$O$97)&gt;=1,SUMPRODUCT(('⑫ Roll-out Plan'!$G$10:$G$97&lt;J$42)*ISNUMBER(SEARCH("Dominicana",'⑫ Roll-out Plan'!$C$10:$C$97))*'⑫ Roll-out Plan'!$O$10:$O$97)=0),1,0)+IF(AND(SUMPRODUCT(('⑫ Roll-out Plan'!$G$10:$G$97=J$42)*ISNUMBER(SEARCH("Guatemala",'⑫ Roll-out Plan'!$C$10:$C$97))*'⑫ Roll-out Plan'!$O$10:$O$97)&gt;=1,SUMPRODUCT(('⑫ Roll-out Plan'!$G$10:$G$97&lt;J$42)*ISNUMBER(SEARCH("Guatemala",'⑫ Roll-out Plan'!$C$10:$C$97))*'⑫ Roll-out Plan'!$O$10:$O$97)=0),1,0)+IF(AND(SUMPRODUCT(('⑫ Roll-out Plan'!$G$10:$G$97=J$42)*ISNUMBER(SEARCH("Salvador",'⑫ Roll-out Plan'!$C$10:$C$97))*'⑫ Roll-out Plan'!$O$10:$O$97)&gt;=1,SUMPRODUCT(('⑫ Roll-out Plan'!$G$10:$G$97&lt;J$42)*ISNUMBER(SEARCH("Salvador",'⑫ Roll-out Plan'!$C$10:$C$97))*'⑫ Roll-out Plan'!$O$10:$O$97)=0),1,0))</f>
        <v>-1520097.8432</v>
      </c>
      <c r="K50" s="180" t="n">
        <f aca="false" t="array" ref="K50:K50">-'⑮ Cohort Engine'!K943*K55*IF((IF(SUMPRODUCT(('⑫ Roll-out Plan'!$G$10:$G$97&lt;=K$42)*ISNUMBER(SEARCH("Colombia",'⑫ Roll-out Plan'!$C$10:$C$97))*'⑫ Roll-out Plan'!$O$10:$O$97)&gt;=1,1,0)+IF(SUMPRODUCT(('⑫ Roll-out Plan'!$G$10:$G$97&lt;=K$42)*ISNUMBER(SEARCH("Dominicana",'⑫ Roll-out Plan'!$C$10:$C$97))*'⑫ Roll-out Plan'!$O$10:$O$97)&gt;=1,1,0)+IF(SUMPRODUCT(('⑫ Roll-out Plan'!$G$10:$G$97&lt;=K$42)*ISNUMBER(SEARCH("Guatemala",'⑫ Roll-out Plan'!$C$10:$C$97))*'⑫ Roll-out Plan'!$O$10:$O$97)&gt;=1,1,0)+IF(SUMPRODUCT(('⑫ Roll-out Plan'!$G$10:$G$97&lt;=K$42)*ISNUMBER(SEARCH("Salvador",'⑫ Roll-out Plan'!$C$10:$C$97))*'⑫ Roll-out Plan'!$O$10:$O$97)&gt;=1,1,0))=0,'🎚️ Escenario'!$C$7,1)-'🎚️ Escenario'!$C$9*(IF(AND(SUMPRODUCT(('⑫ Roll-out Plan'!$G$10:$G$97=K$42)*ISNUMBER(SEARCH("Colombia",'⑫ Roll-out Plan'!$C$10:$C$97))*'⑫ Roll-out Plan'!$O$10:$O$97)&gt;=1,SUMPRODUCT(('⑫ Roll-out Plan'!$G$10:$G$97&lt;K$42)*ISNUMBER(SEARCH("Colombia",'⑫ Roll-out Plan'!$C$10:$C$97))*'⑫ Roll-out Plan'!$O$10:$O$97)=0),1,0)+IF(AND(SUMPRODUCT(('⑫ Roll-out Plan'!$G$10:$G$97=K$42)*ISNUMBER(SEARCH("Dominicana",'⑫ Roll-out Plan'!$C$10:$C$97))*'⑫ Roll-out Plan'!$O$10:$O$97)&gt;=1,SUMPRODUCT(('⑫ Roll-out Plan'!$G$10:$G$97&lt;K$42)*ISNUMBER(SEARCH("Dominicana",'⑫ Roll-out Plan'!$C$10:$C$97))*'⑫ Roll-out Plan'!$O$10:$O$97)=0),1,0)+IF(AND(SUMPRODUCT(('⑫ Roll-out Plan'!$G$10:$G$97=K$42)*ISNUMBER(SEARCH("Guatemala",'⑫ Roll-out Plan'!$C$10:$C$97))*'⑫ Roll-out Plan'!$O$10:$O$97)&gt;=1,SUMPRODUCT(('⑫ Roll-out Plan'!$G$10:$G$97&lt;K$42)*ISNUMBER(SEARCH("Guatemala",'⑫ Roll-out Plan'!$C$10:$C$97))*'⑫ Roll-out Plan'!$O$10:$O$97)=0),1,0)+IF(AND(SUMPRODUCT(('⑫ Roll-out Plan'!$G$10:$G$97=K$42)*ISNUMBER(SEARCH("Salvador",'⑫ Roll-out Plan'!$C$10:$C$97))*'⑫ Roll-out Plan'!$O$10:$O$97)&gt;=1,SUMPRODUCT(('⑫ Roll-out Plan'!$G$10:$G$97&lt;K$42)*ISNUMBER(SEARCH("Salvador",'⑫ Roll-out Plan'!$C$10:$C$97))*'⑫ Roll-out Plan'!$O$10:$O$97)=0),1,0))</f>
        <v>-1707489.5712</v>
      </c>
      <c r="L50" s="180" t="n">
        <f aca="false" t="array" ref="L50:L50">-'⑮ Cohort Engine'!L943*L55*IF((IF(SUMPRODUCT(('⑫ Roll-out Plan'!$G$10:$G$97&lt;=L$42)*ISNUMBER(SEARCH("Colombia",'⑫ Roll-out Plan'!$C$10:$C$97))*'⑫ Roll-out Plan'!$O$10:$O$97)&gt;=1,1,0)+IF(SUMPRODUCT(('⑫ Roll-out Plan'!$G$10:$G$97&lt;=L$42)*ISNUMBER(SEARCH("Dominicana",'⑫ Roll-out Plan'!$C$10:$C$97))*'⑫ Roll-out Plan'!$O$10:$O$97)&gt;=1,1,0)+IF(SUMPRODUCT(('⑫ Roll-out Plan'!$G$10:$G$97&lt;=L$42)*ISNUMBER(SEARCH("Guatemala",'⑫ Roll-out Plan'!$C$10:$C$97))*'⑫ Roll-out Plan'!$O$10:$O$97)&gt;=1,1,0)+IF(SUMPRODUCT(('⑫ Roll-out Plan'!$G$10:$G$97&lt;=L$42)*ISNUMBER(SEARCH("Salvador",'⑫ Roll-out Plan'!$C$10:$C$97))*'⑫ Roll-out Plan'!$O$10:$O$97)&gt;=1,1,0))=0,'🎚️ Escenario'!$C$7,1)-'🎚️ Escenario'!$C$9*(IF(AND(SUMPRODUCT(('⑫ Roll-out Plan'!$G$10:$G$97=L$42)*ISNUMBER(SEARCH("Colombia",'⑫ Roll-out Plan'!$C$10:$C$97))*'⑫ Roll-out Plan'!$O$10:$O$97)&gt;=1,SUMPRODUCT(('⑫ Roll-out Plan'!$G$10:$G$97&lt;L$42)*ISNUMBER(SEARCH("Colombia",'⑫ Roll-out Plan'!$C$10:$C$97))*'⑫ Roll-out Plan'!$O$10:$O$97)=0),1,0)+IF(AND(SUMPRODUCT(('⑫ Roll-out Plan'!$G$10:$G$97=L$42)*ISNUMBER(SEARCH("Dominicana",'⑫ Roll-out Plan'!$C$10:$C$97))*'⑫ Roll-out Plan'!$O$10:$O$97)&gt;=1,SUMPRODUCT(('⑫ Roll-out Plan'!$G$10:$G$97&lt;L$42)*ISNUMBER(SEARCH("Dominicana",'⑫ Roll-out Plan'!$C$10:$C$97))*'⑫ Roll-out Plan'!$O$10:$O$97)=0),1,0)+IF(AND(SUMPRODUCT(('⑫ Roll-out Plan'!$G$10:$G$97=L$42)*ISNUMBER(SEARCH("Guatemala",'⑫ Roll-out Plan'!$C$10:$C$97))*'⑫ Roll-out Plan'!$O$10:$O$97)&gt;=1,SUMPRODUCT(('⑫ Roll-out Plan'!$G$10:$G$97&lt;L$42)*ISNUMBER(SEARCH("Guatemala",'⑫ Roll-out Plan'!$C$10:$C$97))*'⑫ Roll-out Plan'!$O$10:$O$97)=0),1,0)+IF(AND(SUMPRODUCT(('⑫ Roll-out Plan'!$G$10:$G$97=L$42)*ISNUMBER(SEARCH("Salvador",'⑫ Roll-out Plan'!$C$10:$C$97))*'⑫ Roll-out Plan'!$O$10:$O$97)&gt;=1,SUMPRODUCT(('⑫ Roll-out Plan'!$G$10:$G$97&lt;L$42)*ISNUMBER(SEARCH("Salvador",'⑫ Roll-out Plan'!$C$10:$C$97))*'⑫ Roll-out Plan'!$O$10:$O$97)=0),1,0))</f>
        <v>-2047113.4908</v>
      </c>
      <c r="M50" s="180" t="n">
        <f aca="false" t="array" ref="M50:M50">-'⑮ Cohort Engine'!M943*M55*IF((IF(SUMPRODUCT(('⑫ Roll-out Plan'!$G$10:$G$97&lt;=M$42)*ISNUMBER(SEARCH("Colombia",'⑫ Roll-out Plan'!$C$10:$C$97))*'⑫ Roll-out Plan'!$O$10:$O$97)&gt;=1,1,0)+IF(SUMPRODUCT(('⑫ Roll-out Plan'!$G$10:$G$97&lt;=M$42)*ISNUMBER(SEARCH("Dominicana",'⑫ Roll-out Plan'!$C$10:$C$97))*'⑫ Roll-out Plan'!$O$10:$O$97)&gt;=1,1,0)+IF(SUMPRODUCT(('⑫ Roll-out Plan'!$G$10:$G$97&lt;=M$42)*ISNUMBER(SEARCH("Guatemala",'⑫ Roll-out Plan'!$C$10:$C$97))*'⑫ Roll-out Plan'!$O$10:$O$97)&gt;=1,1,0)+IF(SUMPRODUCT(('⑫ Roll-out Plan'!$G$10:$G$97&lt;=M$42)*ISNUMBER(SEARCH("Salvador",'⑫ Roll-out Plan'!$C$10:$C$97))*'⑫ Roll-out Plan'!$O$10:$O$97)&gt;=1,1,0))=0,'🎚️ Escenario'!$C$7,1)-'🎚️ Escenario'!$C$9*(IF(AND(SUMPRODUCT(('⑫ Roll-out Plan'!$G$10:$G$97=M$42)*ISNUMBER(SEARCH("Colombia",'⑫ Roll-out Plan'!$C$10:$C$97))*'⑫ Roll-out Plan'!$O$10:$O$97)&gt;=1,SUMPRODUCT(('⑫ Roll-out Plan'!$G$10:$G$97&lt;M$42)*ISNUMBER(SEARCH("Colombia",'⑫ Roll-out Plan'!$C$10:$C$97))*'⑫ Roll-out Plan'!$O$10:$O$97)=0),1,0)+IF(AND(SUMPRODUCT(('⑫ Roll-out Plan'!$G$10:$G$97=M$42)*ISNUMBER(SEARCH("Dominicana",'⑫ Roll-out Plan'!$C$10:$C$97))*'⑫ Roll-out Plan'!$O$10:$O$97)&gt;=1,SUMPRODUCT(('⑫ Roll-out Plan'!$G$10:$G$97&lt;M$42)*ISNUMBER(SEARCH("Dominicana",'⑫ Roll-out Plan'!$C$10:$C$97))*'⑫ Roll-out Plan'!$O$10:$O$97)=0),1,0)+IF(AND(SUMPRODUCT(('⑫ Roll-out Plan'!$G$10:$G$97=M$42)*ISNUMBER(SEARCH("Guatemala",'⑫ Roll-out Plan'!$C$10:$C$97))*'⑫ Roll-out Plan'!$O$10:$O$97)&gt;=1,SUMPRODUCT(('⑫ Roll-out Plan'!$G$10:$G$97&lt;M$42)*ISNUMBER(SEARCH("Guatemala",'⑫ Roll-out Plan'!$C$10:$C$97))*'⑫ Roll-out Plan'!$O$10:$O$97)=0),1,0)+IF(AND(SUMPRODUCT(('⑫ Roll-out Plan'!$G$10:$G$97=M$42)*ISNUMBER(SEARCH("Salvador",'⑫ Roll-out Plan'!$C$10:$C$97))*'⑫ Roll-out Plan'!$O$10:$O$97)&gt;=1,SUMPRODUCT(('⑫ Roll-out Plan'!$G$10:$G$97&lt;M$42)*ISNUMBER(SEARCH("Salvador",'⑫ Roll-out Plan'!$C$10:$C$97))*'⑫ Roll-out Plan'!$O$10:$O$97)=0),1,0))</f>
        <v>-2472644.8236</v>
      </c>
      <c r="N50" s="292" t="n">
        <f aca="false" t="array" ref="N50:N50">-'⑮ Cohort Engine'!N943*N55*IF((IF(SUMPRODUCT(('⑫ Roll-out Plan'!$G$10:$G$97&lt;=N$42)*ISNUMBER(SEARCH("Colombia",'⑫ Roll-out Plan'!$C$10:$C$97))*'⑫ Roll-out Plan'!$O$10:$O$97)&gt;=1,1,0)+IF(SUMPRODUCT(('⑫ Roll-out Plan'!$G$10:$G$97&lt;=N$42)*ISNUMBER(SEARCH("Dominicana",'⑫ Roll-out Plan'!$C$10:$C$97))*'⑫ Roll-out Plan'!$O$10:$O$97)&gt;=1,1,0)+IF(SUMPRODUCT(('⑫ Roll-out Plan'!$G$10:$G$97&lt;=N$42)*ISNUMBER(SEARCH("Guatemala",'⑫ Roll-out Plan'!$C$10:$C$97))*'⑫ Roll-out Plan'!$O$10:$O$97)&gt;=1,1,0)+IF(SUMPRODUCT(('⑫ Roll-out Plan'!$G$10:$G$97&lt;=N$42)*ISNUMBER(SEARCH("Salvador",'⑫ Roll-out Plan'!$C$10:$C$97))*'⑫ Roll-out Plan'!$O$10:$O$97)&gt;=1,1,0))=0,'🎚️ Escenario'!$C$7,1)-'🎚️ Escenario'!$C$9*(IF(AND(SUMPRODUCT(('⑫ Roll-out Plan'!$G$10:$G$97=N$42)*ISNUMBER(SEARCH("Colombia",'⑫ Roll-out Plan'!$C$10:$C$97))*'⑫ Roll-out Plan'!$O$10:$O$97)&gt;=1,SUMPRODUCT(('⑫ Roll-out Plan'!$G$10:$G$97&lt;N$42)*ISNUMBER(SEARCH("Colombia",'⑫ Roll-out Plan'!$C$10:$C$97))*'⑫ Roll-out Plan'!$O$10:$O$97)=0),1,0)+IF(AND(SUMPRODUCT(('⑫ Roll-out Plan'!$G$10:$G$97=N$42)*ISNUMBER(SEARCH("Dominicana",'⑫ Roll-out Plan'!$C$10:$C$97))*'⑫ Roll-out Plan'!$O$10:$O$97)&gt;=1,SUMPRODUCT(('⑫ Roll-out Plan'!$G$10:$G$97&lt;N$42)*ISNUMBER(SEARCH("Dominicana",'⑫ Roll-out Plan'!$C$10:$C$97))*'⑫ Roll-out Plan'!$O$10:$O$97)=0),1,0)+IF(AND(SUMPRODUCT(('⑫ Roll-out Plan'!$G$10:$G$97=N$42)*ISNUMBER(SEARCH("Guatemala",'⑫ Roll-out Plan'!$C$10:$C$97))*'⑫ Roll-out Plan'!$O$10:$O$97)&gt;=1,SUMPRODUCT(('⑫ Roll-out Plan'!$G$10:$G$97&lt;N$42)*ISNUMBER(SEARCH("Guatemala",'⑫ Roll-out Plan'!$C$10:$C$97))*'⑫ Roll-out Plan'!$O$10:$O$97)=0),1,0)+IF(AND(SUMPRODUCT(('⑫ Roll-out Plan'!$G$10:$G$97=N$42)*ISNUMBER(SEARCH("Salvador",'⑫ Roll-out Plan'!$C$10:$C$97))*'⑫ Roll-out Plan'!$O$10:$O$97)&gt;=1,SUMPRODUCT(('⑫ Roll-out Plan'!$G$10:$G$97&lt;N$42)*ISNUMBER(SEARCH("Salvador",'⑫ Roll-out Plan'!$C$10:$C$97))*'⑫ Roll-out Plan'!$O$10:$O$97)=0),1,0))</f>
        <v>-2948760.444</v>
      </c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</row>
    <row r="51" customFormat="false" ht="15" hidden="false" customHeight="false" outlineLevel="0" collapsed="false">
      <c r="B51" s="18" t="s">
        <v>1279</v>
      </c>
      <c r="C51" s="180" t="n">
        <f aca="false" t="array" ref="C51:C51">(-$C$37*12)*IF((IF(SUMPRODUCT(('⑫ Roll-out Plan'!$G$10:$G$97&lt;=C$42)*ISNUMBER(SEARCH("Colombia",'⑫ Roll-out Plan'!$C$10:$C$97))*'⑫ Roll-out Plan'!$O$10:$O$97)&gt;=1,1,0)+IF(SUMPRODUCT(('⑫ Roll-out Plan'!$G$10:$G$97&lt;=C$42)*ISNUMBER(SEARCH("Dominicana",'⑫ Roll-out Plan'!$C$10:$C$97))*'⑫ Roll-out Plan'!$O$10:$O$97)&gt;=1,1,0)+IF(SUMPRODUCT(('⑫ Roll-out Plan'!$G$10:$G$97&lt;=C$42)*ISNUMBER(SEARCH("Guatemala",'⑫ Roll-out Plan'!$C$10:$C$97))*'⑫ Roll-out Plan'!$O$10:$O$97)&gt;=1,1,0)+IF(SUMPRODUCT(('⑫ Roll-out Plan'!$G$10:$G$97&lt;=C$42)*ISNUMBER(SEARCH("Salvador",'⑫ Roll-out Plan'!$C$10:$C$97))*'⑫ Roll-out Plan'!$O$10:$O$97)&gt;=1,1,0))=0,'🎚️ Escenario'!$C$7,1)</f>
        <v>-39692</v>
      </c>
      <c r="D51" s="180" t="n">
        <f aca="false" t="array" ref="D51:D51">(-$C$37*12)*IF((IF(SUMPRODUCT(('⑫ Roll-out Plan'!$G$10:$G$97&lt;=D$42)*ISNUMBER(SEARCH("Colombia",'⑫ Roll-out Plan'!$C$10:$C$97))*'⑫ Roll-out Plan'!$O$10:$O$97)&gt;=1,1,0)+IF(SUMPRODUCT(('⑫ Roll-out Plan'!$G$10:$G$97&lt;=D$42)*ISNUMBER(SEARCH("Dominicana",'⑫ Roll-out Plan'!$C$10:$C$97))*'⑫ Roll-out Plan'!$O$10:$O$97)&gt;=1,1,0)+IF(SUMPRODUCT(('⑫ Roll-out Plan'!$G$10:$G$97&lt;=D$42)*ISNUMBER(SEARCH("Guatemala",'⑫ Roll-out Plan'!$C$10:$C$97))*'⑫ Roll-out Plan'!$O$10:$O$97)&gt;=1,1,0)+IF(SUMPRODUCT(('⑫ Roll-out Plan'!$G$10:$G$97&lt;=D$42)*ISNUMBER(SEARCH("Salvador",'⑫ Roll-out Plan'!$C$10:$C$97))*'⑫ Roll-out Plan'!$O$10:$O$97)&gt;=1,1,0))=0,'🎚️ Escenario'!$C$7,1)</f>
        <v>-39692</v>
      </c>
      <c r="E51" s="180" t="n">
        <f aca="false" t="array" ref="E51:E51">(-$C$37*12)*IF((IF(SUMPRODUCT(('⑫ Roll-out Plan'!$G$10:$G$97&lt;=E$42)*ISNUMBER(SEARCH("Colombia",'⑫ Roll-out Plan'!$C$10:$C$97))*'⑫ Roll-out Plan'!$O$10:$O$97)&gt;=1,1,0)+IF(SUMPRODUCT(('⑫ Roll-out Plan'!$G$10:$G$97&lt;=E$42)*ISNUMBER(SEARCH("Dominicana",'⑫ Roll-out Plan'!$C$10:$C$97))*'⑫ Roll-out Plan'!$O$10:$O$97)&gt;=1,1,0)+IF(SUMPRODUCT(('⑫ Roll-out Plan'!$G$10:$G$97&lt;=E$42)*ISNUMBER(SEARCH("Guatemala",'⑫ Roll-out Plan'!$C$10:$C$97))*'⑫ Roll-out Plan'!$O$10:$O$97)&gt;=1,1,0)+IF(SUMPRODUCT(('⑫ Roll-out Plan'!$G$10:$G$97&lt;=E$42)*ISNUMBER(SEARCH("Salvador",'⑫ Roll-out Plan'!$C$10:$C$97))*'⑫ Roll-out Plan'!$O$10:$O$97)&gt;=1,1,0))=0,'🎚️ Escenario'!$C$7,1)</f>
        <v>-39692</v>
      </c>
      <c r="F51" s="180" t="n">
        <f aca="false" t="array" ref="F51:F51">(-$C$37*12)*IF((IF(SUMPRODUCT(('⑫ Roll-out Plan'!$G$10:$G$97&lt;=F$42)*ISNUMBER(SEARCH("Colombia",'⑫ Roll-out Plan'!$C$10:$C$97))*'⑫ Roll-out Plan'!$O$10:$O$97)&gt;=1,1,0)+IF(SUMPRODUCT(('⑫ Roll-out Plan'!$G$10:$G$97&lt;=F$42)*ISNUMBER(SEARCH("Dominicana",'⑫ Roll-out Plan'!$C$10:$C$97))*'⑫ Roll-out Plan'!$O$10:$O$97)&gt;=1,1,0)+IF(SUMPRODUCT(('⑫ Roll-out Plan'!$G$10:$G$97&lt;=F$42)*ISNUMBER(SEARCH("Guatemala",'⑫ Roll-out Plan'!$C$10:$C$97))*'⑫ Roll-out Plan'!$O$10:$O$97)&gt;=1,1,0)+IF(SUMPRODUCT(('⑫ Roll-out Plan'!$G$10:$G$97&lt;=F$42)*ISNUMBER(SEARCH("Salvador",'⑫ Roll-out Plan'!$C$10:$C$97))*'⑫ Roll-out Plan'!$O$10:$O$97)&gt;=1,1,0))=0,'🎚️ Escenario'!$C$7,1)</f>
        <v>-39692</v>
      </c>
      <c r="G51" s="180" t="n">
        <f aca="false" t="array" ref="G51:G51">(-$C$37*12)*IF((IF(SUMPRODUCT(('⑫ Roll-out Plan'!$G$10:$G$97&lt;=G$42)*ISNUMBER(SEARCH("Colombia",'⑫ Roll-out Plan'!$C$10:$C$97))*'⑫ Roll-out Plan'!$O$10:$O$97)&gt;=1,1,0)+IF(SUMPRODUCT(('⑫ Roll-out Plan'!$G$10:$G$97&lt;=G$42)*ISNUMBER(SEARCH("Dominicana",'⑫ Roll-out Plan'!$C$10:$C$97))*'⑫ Roll-out Plan'!$O$10:$O$97)&gt;=1,1,0)+IF(SUMPRODUCT(('⑫ Roll-out Plan'!$G$10:$G$97&lt;=G$42)*ISNUMBER(SEARCH("Guatemala",'⑫ Roll-out Plan'!$C$10:$C$97))*'⑫ Roll-out Plan'!$O$10:$O$97)&gt;=1,1,0)+IF(SUMPRODUCT(('⑫ Roll-out Plan'!$G$10:$G$97&lt;=G$42)*ISNUMBER(SEARCH("Salvador",'⑫ Roll-out Plan'!$C$10:$C$97))*'⑫ Roll-out Plan'!$O$10:$O$97)&gt;=1,1,0))=0,'🎚️ Escenario'!$C$7,1)</f>
        <v>-39692</v>
      </c>
      <c r="H51" s="180" t="n">
        <f aca="false" t="array" ref="H51:H51">(-$C$37*12)*IF((IF(SUMPRODUCT(('⑫ Roll-out Plan'!$G$10:$G$97&lt;=H$42)*ISNUMBER(SEARCH("Colombia",'⑫ Roll-out Plan'!$C$10:$C$97))*'⑫ Roll-out Plan'!$O$10:$O$97)&gt;=1,1,0)+IF(SUMPRODUCT(('⑫ Roll-out Plan'!$G$10:$G$97&lt;=H$42)*ISNUMBER(SEARCH("Dominicana",'⑫ Roll-out Plan'!$C$10:$C$97))*'⑫ Roll-out Plan'!$O$10:$O$97)&gt;=1,1,0)+IF(SUMPRODUCT(('⑫ Roll-out Plan'!$G$10:$G$97&lt;=H$42)*ISNUMBER(SEARCH("Guatemala",'⑫ Roll-out Plan'!$C$10:$C$97))*'⑫ Roll-out Plan'!$O$10:$O$97)&gt;=1,1,0)+IF(SUMPRODUCT(('⑫ Roll-out Plan'!$G$10:$G$97&lt;=H$42)*ISNUMBER(SEARCH("Salvador",'⑫ Roll-out Plan'!$C$10:$C$97))*'⑫ Roll-out Plan'!$O$10:$O$97)&gt;=1,1,0))=0,'🎚️ Escenario'!$C$7,1)</f>
        <v>-39692</v>
      </c>
      <c r="I51" s="180" t="n">
        <f aca="false" t="array" ref="I51:I51">(-$C$37*12)*IF((IF(SUMPRODUCT(('⑫ Roll-out Plan'!$G$10:$G$97&lt;=I$42)*ISNUMBER(SEARCH("Colombia",'⑫ Roll-out Plan'!$C$10:$C$97))*'⑫ Roll-out Plan'!$O$10:$O$97)&gt;=1,1,0)+IF(SUMPRODUCT(('⑫ Roll-out Plan'!$G$10:$G$97&lt;=I$42)*ISNUMBER(SEARCH("Dominicana",'⑫ Roll-out Plan'!$C$10:$C$97))*'⑫ Roll-out Plan'!$O$10:$O$97)&gt;=1,1,0)+IF(SUMPRODUCT(('⑫ Roll-out Plan'!$G$10:$G$97&lt;=I$42)*ISNUMBER(SEARCH("Guatemala",'⑫ Roll-out Plan'!$C$10:$C$97))*'⑫ Roll-out Plan'!$O$10:$O$97)&gt;=1,1,0)+IF(SUMPRODUCT(('⑫ Roll-out Plan'!$G$10:$G$97&lt;=I$42)*ISNUMBER(SEARCH("Salvador",'⑫ Roll-out Plan'!$C$10:$C$97))*'⑫ Roll-out Plan'!$O$10:$O$97)&gt;=1,1,0))=0,'🎚️ Escenario'!$C$7,1)</f>
        <v>-39692</v>
      </c>
      <c r="J51" s="180" t="n">
        <f aca="false" t="array" ref="J51:J51">(-$C$37*12)*IF((IF(SUMPRODUCT(('⑫ Roll-out Plan'!$G$10:$G$97&lt;=J$42)*ISNUMBER(SEARCH("Colombia",'⑫ Roll-out Plan'!$C$10:$C$97))*'⑫ Roll-out Plan'!$O$10:$O$97)&gt;=1,1,0)+IF(SUMPRODUCT(('⑫ Roll-out Plan'!$G$10:$G$97&lt;=J$42)*ISNUMBER(SEARCH("Dominicana",'⑫ Roll-out Plan'!$C$10:$C$97))*'⑫ Roll-out Plan'!$O$10:$O$97)&gt;=1,1,0)+IF(SUMPRODUCT(('⑫ Roll-out Plan'!$G$10:$G$97&lt;=J$42)*ISNUMBER(SEARCH("Guatemala",'⑫ Roll-out Plan'!$C$10:$C$97))*'⑫ Roll-out Plan'!$O$10:$O$97)&gt;=1,1,0)+IF(SUMPRODUCT(('⑫ Roll-out Plan'!$G$10:$G$97&lt;=J$42)*ISNUMBER(SEARCH("Salvador",'⑫ Roll-out Plan'!$C$10:$C$97))*'⑫ Roll-out Plan'!$O$10:$O$97)&gt;=1,1,0))=0,'🎚️ Escenario'!$C$7,1)</f>
        <v>-39692</v>
      </c>
      <c r="K51" s="180" t="n">
        <f aca="false" t="array" ref="K51:K51">(-$C$37*12)*IF((IF(SUMPRODUCT(('⑫ Roll-out Plan'!$G$10:$G$97&lt;=K$42)*ISNUMBER(SEARCH("Colombia",'⑫ Roll-out Plan'!$C$10:$C$97))*'⑫ Roll-out Plan'!$O$10:$O$97)&gt;=1,1,0)+IF(SUMPRODUCT(('⑫ Roll-out Plan'!$G$10:$G$97&lt;=K$42)*ISNUMBER(SEARCH("Dominicana",'⑫ Roll-out Plan'!$C$10:$C$97))*'⑫ Roll-out Plan'!$O$10:$O$97)&gt;=1,1,0)+IF(SUMPRODUCT(('⑫ Roll-out Plan'!$G$10:$G$97&lt;=K$42)*ISNUMBER(SEARCH("Guatemala",'⑫ Roll-out Plan'!$C$10:$C$97))*'⑫ Roll-out Plan'!$O$10:$O$97)&gt;=1,1,0)+IF(SUMPRODUCT(('⑫ Roll-out Plan'!$G$10:$G$97&lt;=K$42)*ISNUMBER(SEARCH("Salvador",'⑫ Roll-out Plan'!$C$10:$C$97))*'⑫ Roll-out Plan'!$O$10:$O$97)&gt;=1,1,0))=0,'🎚️ Escenario'!$C$7,1)</f>
        <v>-39692</v>
      </c>
      <c r="L51" s="180" t="n">
        <f aca="false" t="array" ref="L51:L51">(-$C$37*12)*IF((IF(SUMPRODUCT(('⑫ Roll-out Plan'!$G$10:$G$97&lt;=L$42)*ISNUMBER(SEARCH("Colombia",'⑫ Roll-out Plan'!$C$10:$C$97))*'⑫ Roll-out Plan'!$O$10:$O$97)&gt;=1,1,0)+IF(SUMPRODUCT(('⑫ Roll-out Plan'!$G$10:$G$97&lt;=L$42)*ISNUMBER(SEARCH("Dominicana",'⑫ Roll-out Plan'!$C$10:$C$97))*'⑫ Roll-out Plan'!$O$10:$O$97)&gt;=1,1,0)+IF(SUMPRODUCT(('⑫ Roll-out Plan'!$G$10:$G$97&lt;=L$42)*ISNUMBER(SEARCH("Guatemala",'⑫ Roll-out Plan'!$C$10:$C$97))*'⑫ Roll-out Plan'!$O$10:$O$97)&gt;=1,1,0)+IF(SUMPRODUCT(('⑫ Roll-out Plan'!$G$10:$G$97&lt;=L$42)*ISNUMBER(SEARCH("Salvador",'⑫ Roll-out Plan'!$C$10:$C$97))*'⑫ Roll-out Plan'!$O$10:$O$97)&gt;=1,1,0))=0,'🎚️ Escenario'!$C$7,1)</f>
        <v>-39692</v>
      </c>
      <c r="M51" s="180" t="n">
        <f aca="false" t="array" ref="M51:M51">(-$C$37*12)*IF((IF(SUMPRODUCT(('⑫ Roll-out Plan'!$G$10:$G$97&lt;=M$42)*ISNUMBER(SEARCH("Colombia",'⑫ Roll-out Plan'!$C$10:$C$97))*'⑫ Roll-out Plan'!$O$10:$O$97)&gt;=1,1,0)+IF(SUMPRODUCT(('⑫ Roll-out Plan'!$G$10:$G$97&lt;=M$42)*ISNUMBER(SEARCH("Dominicana",'⑫ Roll-out Plan'!$C$10:$C$97))*'⑫ Roll-out Plan'!$O$10:$O$97)&gt;=1,1,0)+IF(SUMPRODUCT(('⑫ Roll-out Plan'!$G$10:$G$97&lt;=M$42)*ISNUMBER(SEARCH("Guatemala",'⑫ Roll-out Plan'!$C$10:$C$97))*'⑫ Roll-out Plan'!$O$10:$O$97)&gt;=1,1,0)+IF(SUMPRODUCT(('⑫ Roll-out Plan'!$G$10:$G$97&lt;=M$42)*ISNUMBER(SEARCH("Salvador",'⑫ Roll-out Plan'!$C$10:$C$97))*'⑫ Roll-out Plan'!$O$10:$O$97)&gt;=1,1,0))=0,'🎚️ Escenario'!$C$7,1)</f>
        <v>-39692</v>
      </c>
      <c r="N51" s="292" t="n">
        <f aca="false" t="array" ref="N51:N51">(-$C$37*12)*IF((IF(SUMPRODUCT(('⑫ Roll-out Plan'!$G$10:$G$97&lt;=N$42)*ISNUMBER(SEARCH("Colombia",'⑫ Roll-out Plan'!$C$10:$C$97))*'⑫ Roll-out Plan'!$O$10:$O$97)&gt;=1,1,0)+IF(SUMPRODUCT(('⑫ Roll-out Plan'!$G$10:$G$97&lt;=N$42)*ISNUMBER(SEARCH("Dominicana",'⑫ Roll-out Plan'!$C$10:$C$97))*'⑫ Roll-out Plan'!$O$10:$O$97)&gt;=1,1,0)+IF(SUMPRODUCT(('⑫ Roll-out Plan'!$G$10:$G$97&lt;=N$42)*ISNUMBER(SEARCH("Guatemala",'⑫ Roll-out Plan'!$C$10:$C$97))*'⑫ Roll-out Plan'!$O$10:$O$97)&gt;=1,1,0)+IF(SUMPRODUCT(('⑫ Roll-out Plan'!$G$10:$G$97&lt;=N$42)*ISNUMBER(SEARCH("Salvador",'⑫ Roll-out Plan'!$C$10:$C$97))*'⑫ Roll-out Plan'!$O$10:$O$97)&gt;=1,1,0))=0,'🎚️ Escenario'!$C$7,1)</f>
        <v>-39692</v>
      </c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</row>
    <row r="52" customFormat="false" ht="15" hidden="false" customHeight="false" outlineLevel="0" collapsed="false">
      <c r="B52" s="18" t="s">
        <v>1280</v>
      </c>
      <c r="C52" s="180" t="n">
        <f aca="false" t="array" ref="C52:C52">(-$C$38*12)*IF((IF(SUMPRODUCT(('⑫ Roll-out Plan'!$G$10:$G$97&lt;=C$42)*ISNUMBER(SEARCH("Colombia",'⑫ Roll-out Plan'!$C$10:$C$97))*'⑫ Roll-out Plan'!$O$10:$O$97)&gt;=1,1,0)+IF(SUMPRODUCT(('⑫ Roll-out Plan'!$G$10:$G$97&lt;=C$42)*ISNUMBER(SEARCH("Dominicana",'⑫ Roll-out Plan'!$C$10:$C$97))*'⑫ Roll-out Plan'!$O$10:$O$97)&gt;=1,1,0)+IF(SUMPRODUCT(('⑫ Roll-out Plan'!$G$10:$G$97&lt;=C$42)*ISNUMBER(SEARCH("Guatemala",'⑫ Roll-out Plan'!$C$10:$C$97))*'⑫ Roll-out Plan'!$O$10:$O$97)&gt;=1,1,0)+IF(SUMPRODUCT(('⑫ Roll-out Plan'!$G$10:$G$97&lt;=C$42)*ISNUMBER(SEARCH("Salvador",'⑫ Roll-out Plan'!$C$10:$C$97))*'⑫ Roll-out Plan'!$O$10:$O$97)&gt;=1,1,0))=0,'🎚️ Escenario'!$C$7,1)</f>
        <v>-34212.72</v>
      </c>
      <c r="D52" s="180" t="n">
        <f aca="false" t="array" ref="D52:D52">(-$C$38*12)*IF((IF(SUMPRODUCT(('⑫ Roll-out Plan'!$G$10:$G$97&lt;=D$42)*ISNUMBER(SEARCH("Colombia",'⑫ Roll-out Plan'!$C$10:$C$97))*'⑫ Roll-out Plan'!$O$10:$O$97)&gt;=1,1,0)+IF(SUMPRODUCT(('⑫ Roll-out Plan'!$G$10:$G$97&lt;=D$42)*ISNUMBER(SEARCH("Dominicana",'⑫ Roll-out Plan'!$C$10:$C$97))*'⑫ Roll-out Plan'!$O$10:$O$97)&gt;=1,1,0)+IF(SUMPRODUCT(('⑫ Roll-out Plan'!$G$10:$G$97&lt;=D$42)*ISNUMBER(SEARCH("Guatemala",'⑫ Roll-out Plan'!$C$10:$C$97))*'⑫ Roll-out Plan'!$O$10:$O$97)&gt;=1,1,0)+IF(SUMPRODUCT(('⑫ Roll-out Plan'!$G$10:$G$97&lt;=D$42)*ISNUMBER(SEARCH("Salvador",'⑫ Roll-out Plan'!$C$10:$C$97))*'⑫ Roll-out Plan'!$O$10:$O$97)&gt;=1,1,0))=0,'🎚️ Escenario'!$C$7,1)</f>
        <v>-34212.72</v>
      </c>
      <c r="E52" s="180" t="n">
        <f aca="false" t="array" ref="E52:E52">(-$C$38*12)*IF((IF(SUMPRODUCT(('⑫ Roll-out Plan'!$G$10:$G$97&lt;=E$42)*ISNUMBER(SEARCH("Colombia",'⑫ Roll-out Plan'!$C$10:$C$97))*'⑫ Roll-out Plan'!$O$10:$O$97)&gt;=1,1,0)+IF(SUMPRODUCT(('⑫ Roll-out Plan'!$G$10:$G$97&lt;=E$42)*ISNUMBER(SEARCH("Dominicana",'⑫ Roll-out Plan'!$C$10:$C$97))*'⑫ Roll-out Plan'!$O$10:$O$97)&gt;=1,1,0)+IF(SUMPRODUCT(('⑫ Roll-out Plan'!$G$10:$G$97&lt;=E$42)*ISNUMBER(SEARCH("Guatemala",'⑫ Roll-out Plan'!$C$10:$C$97))*'⑫ Roll-out Plan'!$O$10:$O$97)&gt;=1,1,0)+IF(SUMPRODUCT(('⑫ Roll-out Plan'!$G$10:$G$97&lt;=E$42)*ISNUMBER(SEARCH("Salvador",'⑫ Roll-out Plan'!$C$10:$C$97))*'⑫ Roll-out Plan'!$O$10:$O$97)&gt;=1,1,0))=0,'🎚️ Escenario'!$C$7,1)</f>
        <v>-34212.72</v>
      </c>
      <c r="F52" s="180" t="n">
        <f aca="false" t="array" ref="F52:F52">(-$C$38*12)*IF((IF(SUMPRODUCT(('⑫ Roll-out Plan'!$G$10:$G$97&lt;=F$42)*ISNUMBER(SEARCH("Colombia",'⑫ Roll-out Plan'!$C$10:$C$97))*'⑫ Roll-out Plan'!$O$10:$O$97)&gt;=1,1,0)+IF(SUMPRODUCT(('⑫ Roll-out Plan'!$G$10:$G$97&lt;=F$42)*ISNUMBER(SEARCH("Dominicana",'⑫ Roll-out Plan'!$C$10:$C$97))*'⑫ Roll-out Plan'!$O$10:$O$97)&gt;=1,1,0)+IF(SUMPRODUCT(('⑫ Roll-out Plan'!$G$10:$G$97&lt;=F$42)*ISNUMBER(SEARCH("Guatemala",'⑫ Roll-out Plan'!$C$10:$C$97))*'⑫ Roll-out Plan'!$O$10:$O$97)&gt;=1,1,0)+IF(SUMPRODUCT(('⑫ Roll-out Plan'!$G$10:$G$97&lt;=F$42)*ISNUMBER(SEARCH("Salvador",'⑫ Roll-out Plan'!$C$10:$C$97))*'⑫ Roll-out Plan'!$O$10:$O$97)&gt;=1,1,0))=0,'🎚️ Escenario'!$C$7,1)</f>
        <v>-34212.72</v>
      </c>
      <c r="G52" s="180" t="n">
        <f aca="false" t="array" ref="G52:G52">(-$C$38*12)*IF((IF(SUMPRODUCT(('⑫ Roll-out Plan'!$G$10:$G$97&lt;=G$42)*ISNUMBER(SEARCH("Colombia",'⑫ Roll-out Plan'!$C$10:$C$97))*'⑫ Roll-out Plan'!$O$10:$O$97)&gt;=1,1,0)+IF(SUMPRODUCT(('⑫ Roll-out Plan'!$G$10:$G$97&lt;=G$42)*ISNUMBER(SEARCH("Dominicana",'⑫ Roll-out Plan'!$C$10:$C$97))*'⑫ Roll-out Plan'!$O$10:$O$97)&gt;=1,1,0)+IF(SUMPRODUCT(('⑫ Roll-out Plan'!$G$10:$G$97&lt;=G$42)*ISNUMBER(SEARCH("Guatemala",'⑫ Roll-out Plan'!$C$10:$C$97))*'⑫ Roll-out Plan'!$O$10:$O$97)&gt;=1,1,0)+IF(SUMPRODUCT(('⑫ Roll-out Plan'!$G$10:$G$97&lt;=G$42)*ISNUMBER(SEARCH("Salvador",'⑫ Roll-out Plan'!$C$10:$C$97))*'⑫ Roll-out Plan'!$O$10:$O$97)&gt;=1,1,0))=0,'🎚️ Escenario'!$C$7,1)</f>
        <v>-34212.72</v>
      </c>
      <c r="H52" s="180" t="n">
        <f aca="false" t="array" ref="H52:H52">(-$C$38*12)*IF((IF(SUMPRODUCT(('⑫ Roll-out Plan'!$G$10:$G$97&lt;=H$42)*ISNUMBER(SEARCH("Colombia",'⑫ Roll-out Plan'!$C$10:$C$97))*'⑫ Roll-out Plan'!$O$10:$O$97)&gt;=1,1,0)+IF(SUMPRODUCT(('⑫ Roll-out Plan'!$G$10:$G$97&lt;=H$42)*ISNUMBER(SEARCH("Dominicana",'⑫ Roll-out Plan'!$C$10:$C$97))*'⑫ Roll-out Plan'!$O$10:$O$97)&gt;=1,1,0)+IF(SUMPRODUCT(('⑫ Roll-out Plan'!$G$10:$G$97&lt;=H$42)*ISNUMBER(SEARCH("Guatemala",'⑫ Roll-out Plan'!$C$10:$C$97))*'⑫ Roll-out Plan'!$O$10:$O$97)&gt;=1,1,0)+IF(SUMPRODUCT(('⑫ Roll-out Plan'!$G$10:$G$97&lt;=H$42)*ISNUMBER(SEARCH("Salvador",'⑫ Roll-out Plan'!$C$10:$C$97))*'⑫ Roll-out Plan'!$O$10:$O$97)&gt;=1,1,0))=0,'🎚️ Escenario'!$C$7,1)</f>
        <v>-34212.72</v>
      </c>
      <c r="I52" s="180" t="n">
        <f aca="false" t="array" ref="I52:I52">(-$C$38*12)*IF((IF(SUMPRODUCT(('⑫ Roll-out Plan'!$G$10:$G$97&lt;=I$42)*ISNUMBER(SEARCH("Colombia",'⑫ Roll-out Plan'!$C$10:$C$97))*'⑫ Roll-out Plan'!$O$10:$O$97)&gt;=1,1,0)+IF(SUMPRODUCT(('⑫ Roll-out Plan'!$G$10:$G$97&lt;=I$42)*ISNUMBER(SEARCH("Dominicana",'⑫ Roll-out Plan'!$C$10:$C$97))*'⑫ Roll-out Plan'!$O$10:$O$97)&gt;=1,1,0)+IF(SUMPRODUCT(('⑫ Roll-out Plan'!$G$10:$G$97&lt;=I$42)*ISNUMBER(SEARCH("Guatemala",'⑫ Roll-out Plan'!$C$10:$C$97))*'⑫ Roll-out Plan'!$O$10:$O$97)&gt;=1,1,0)+IF(SUMPRODUCT(('⑫ Roll-out Plan'!$G$10:$G$97&lt;=I$42)*ISNUMBER(SEARCH("Salvador",'⑫ Roll-out Plan'!$C$10:$C$97))*'⑫ Roll-out Plan'!$O$10:$O$97)&gt;=1,1,0))=0,'🎚️ Escenario'!$C$7,1)</f>
        <v>-34212.72</v>
      </c>
      <c r="J52" s="180" t="n">
        <f aca="false" t="array" ref="J52:J52">(-$C$38*12)*IF((IF(SUMPRODUCT(('⑫ Roll-out Plan'!$G$10:$G$97&lt;=J$42)*ISNUMBER(SEARCH("Colombia",'⑫ Roll-out Plan'!$C$10:$C$97))*'⑫ Roll-out Plan'!$O$10:$O$97)&gt;=1,1,0)+IF(SUMPRODUCT(('⑫ Roll-out Plan'!$G$10:$G$97&lt;=J$42)*ISNUMBER(SEARCH("Dominicana",'⑫ Roll-out Plan'!$C$10:$C$97))*'⑫ Roll-out Plan'!$O$10:$O$97)&gt;=1,1,0)+IF(SUMPRODUCT(('⑫ Roll-out Plan'!$G$10:$G$97&lt;=J$42)*ISNUMBER(SEARCH("Guatemala",'⑫ Roll-out Plan'!$C$10:$C$97))*'⑫ Roll-out Plan'!$O$10:$O$97)&gt;=1,1,0)+IF(SUMPRODUCT(('⑫ Roll-out Plan'!$G$10:$G$97&lt;=J$42)*ISNUMBER(SEARCH("Salvador",'⑫ Roll-out Plan'!$C$10:$C$97))*'⑫ Roll-out Plan'!$O$10:$O$97)&gt;=1,1,0))=0,'🎚️ Escenario'!$C$7,1)</f>
        <v>-34212.72</v>
      </c>
      <c r="K52" s="180" t="n">
        <f aca="false" t="array" ref="K52:K52">(-$C$38*12)*IF((IF(SUMPRODUCT(('⑫ Roll-out Plan'!$G$10:$G$97&lt;=K$42)*ISNUMBER(SEARCH("Colombia",'⑫ Roll-out Plan'!$C$10:$C$97))*'⑫ Roll-out Plan'!$O$10:$O$97)&gt;=1,1,0)+IF(SUMPRODUCT(('⑫ Roll-out Plan'!$G$10:$G$97&lt;=K$42)*ISNUMBER(SEARCH("Dominicana",'⑫ Roll-out Plan'!$C$10:$C$97))*'⑫ Roll-out Plan'!$O$10:$O$97)&gt;=1,1,0)+IF(SUMPRODUCT(('⑫ Roll-out Plan'!$G$10:$G$97&lt;=K$42)*ISNUMBER(SEARCH("Guatemala",'⑫ Roll-out Plan'!$C$10:$C$97))*'⑫ Roll-out Plan'!$O$10:$O$97)&gt;=1,1,0)+IF(SUMPRODUCT(('⑫ Roll-out Plan'!$G$10:$G$97&lt;=K$42)*ISNUMBER(SEARCH("Salvador",'⑫ Roll-out Plan'!$C$10:$C$97))*'⑫ Roll-out Plan'!$O$10:$O$97)&gt;=1,1,0))=0,'🎚️ Escenario'!$C$7,1)</f>
        <v>-34212.72</v>
      </c>
      <c r="L52" s="180" t="n">
        <f aca="false" t="array" ref="L52:L52">(-$C$38*12)*IF((IF(SUMPRODUCT(('⑫ Roll-out Plan'!$G$10:$G$97&lt;=L$42)*ISNUMBER(SEARCH("Colombia",'⑫ Roll-out Plan'!$C$10:$C$97))*'⑫ Roll-out Plan'!$O$10:$O$97)&gt;=1,1,0)+IF(SUMPRODUCT(('⑫ Roll-out Plan'!$G$10:$G$97&lt;=L$42)*ISNUMBER(SEARCH("Dominicana",'⑫ Roll-out Plan'!$C$10:$C$97))*'⑫ Roll-out Plan'!$O$10:$O$97)&gt;=1,1,0)+IF(SUMPRODUCT(('⑫ Roll-out Plan'!$G$10:$G$97&lt;=L$42)*ISNUMBER(SEARCH("Guatemala",'⑫ Roll-out Plan'!$C$10:$C$97))*'⑫ Roll-out Plan'!$O$10:$O$97)&gt;=1,1,0)+IF(SUMPRODUCT(('⑫ Roll-out Plan'!$G$10:$G$97&lt;=L$42)*ISNUMBER(SEARCH("Salvador",'⑫ Roll-out Plan'!$C$10:$C$97))*'⑫ Roll-out Plan'!$O$10:$O$97)&gt;=1,1,0))=0,'🎚️ Escenario'!$C$7,1)</f>
        <v>-34212.72</v>
      </c>
      <c r="M52" s="180" t="n">
        <f aca="false" t="array" ref="M52:M52">(-$C$38*12)*IF((IF(SUMPRODUCT(('⑫ Roll-out Plan'!$G$10:$G$97&lt;=M$42)*ISNUMBER(SEARCH("Colombia",'⑫ Roll-out Plan'!$C$10:$C$97))*'⑫ Roll-out Plan'!$O$10:$O$97)&gt;=1,1,0)+IF(SUMPRODUCT(('⑫ Roll-out Plan'!$G$10:$G$97&lt;=M$42)*ISNUMBER(SEARCH("Dominicana",'⑫ Roll-out Plan'!$C$10:$C$97))*'⑫ Roll-out Plan'!$O$10:$O$97)&gt;=1,1,0)+IF(SUMPRODUCT(('⑫ Roll-out Plan'!$G$10:$G$97&lt;=M$42)*ISNUMBER(SEARCH("Guatemala",'⑫ Roll-out Plan'!$C$10:$C$97))*'⑫ Roll-out Plan'!$O$10:$O$97)&gt;=1,1,0)+IF(SUMPRODUCT(('⑫ Roll-out Plan'!$G$10:$G$97&lt;=M$42)*ISNUMBER(SEARCH("Salvador",'⑫ Roll-out Plan'!$C$10:$C$97))*'⑫ Roll-out Plan'!$O$10:$O$97)&gt;=1,1,0))=0,'🎚️ Escenario'!$C$7,1)</f>
        <v>-34212.72</v>
      </c>
      <c r="N52" s="292" t="n">
        <f aca="false" t="array" ref="N52:N52">(-$C$38*12)*IF((IF(SUMPRODUCT(('⑫ Roll-out Plan'!$G$10:$G$97&lt;=N$42)*ISNUMBER(SEARCH("Colombia",'⑫ Roll-out Plan'!$C$10:$C$97))*'⑫ Roll-out Plan'!$O$10:$O$97)&gt;=1,1,0)+IF(SUMPRODUCT(('⑫ Roll-out Plan'!$G$10:$G$97&lt;=N$42)*ISNUMBER(SEARCH("Dominicana",'⑫ Roll-out Plan'!$C$10:$C$97))*'⑫ Roll-out Plan'!$O$10:$O$97)&gt;=1,1,0)+IF(SUMPRODUCT(('⑫ Roll-out Plan'!$G$10:$G$97&lt;=N$42)*ISNUMBER(SEARCH("Guatemala",'⑫ Roll-out Plan'!$C$10:$C$97))*'⑫ Roll-out Plan'!$O$10:$O$97)&gt;=1,1,0)+IF(SUMPRODUCT(('⑫ Roll-out Plan'!$G$10:$G$97&lt;=N$42)*ISNUMBER(SEARCH("Salvador",'⑫ Roll-out Plan'!$C$10:$C$97))*'⑫ Roll-out Plan'!$O$10:$O$97)&gt;=1,1,0))=0,'🎚️ Escenario'!$C$7,1)</f>
        <v>-34212.72</v>
      </c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</row>
    <row r="53" customFormat="false" ht="15" hidden="false" customHeight="false" outlineLevel="0" collapsed="false">
      <c r="B53" s="18" t="s">
        <v>1281</v>
      </c>
      <c r="C53" s="121" t="n">
        <f aca="false">IF(COUNTIF('⑮ Cohort Engine'!$AC$37:$ER$37,C$42)=12,-SUMIF('⑮ Cohort Engine'!$AC$37:$ER$37,C$42,$P$69:$EE$69),-IF(C$42&gt;=2027,1+INT('⑯ Store P&amp;L'!C37/$D$59),0)*$C$59*(1+$C$31)*12)</f>
        <v>-0</v>
      </c>
      <c r="D53" s="121" t="n">
        <f aca="false">IF(COUNTIF('⑮ Cohort Engine'!$AC$37:$ER$37,D$42)=12,-SUMIF('⑮ Cohort Engine'!$AC$37:$ER$37,D$42,$P$69:$EE$69),-IF(D$42&gt;=2027,1+INT('⑯ Store P&amp;L'!D37/$D$59),0)*$C$59*(1+$C$31)*12)</f>
        <v>-0</v>
      </c>
      <c r="E53" s="121" t="n">
        <f aca="false">IF(COUNTIF('⑮ Cohort Engine'!$AC$37:$ER$37,E$42)=12,-SUMIF('⑮ Cohort Engine'!$AC$37:$ER$37,E$42,$P$69:$EE$69),-IF(E$42&gt;=2027,1+INT('⑯ Store P&amp;L'!E37/$D$59),0)*$C$59*(1+$C$31)*12)</f>
        <v>-31870.8</v>
      </c>
      <c r="F53" s="121" t="n">
        <f aca="false">IF(COUNTIF('⑮ Cohort Engine'!$AC$37:$ER$37,F$42)=12,-SUMIF('⑮ Cohort Engine'!$AC$37:$ER$37,F$42,$P$69:$EE$69),-IF(F$42&gt;=2027,1+INT('⑯ Store P&amp;L'!F37/$D$59),0)*$C$59*(1+$C$31)*12)</f>
        <v>-58838.4</v>
      </c>
      <c r="G53" s="121" t="n">
        <f aca="false">IF(COUNTIF('⑮ Cohort Engine'!$AC$37:$ER$37,G$42)=12,-SUMIF('⑮ Cohort Engine'!$AC$37:$ER$37,G$42,$P$69:$EE$69),-IF(G$42&gt;=2027,1+INT('⑯ Store P&amp;L'!G37/$D$59),0)*$C$59*(1+$C$31)*12)</f>
        <v>-58838.4</v>
      </c>
      <c r="H53" s="121" t="n">
        <f aca="false">IF(COUNTIF('⑮ Cohort Engine'!$AC$37:$ER$37,H$42)=12,-SUMIF('⑮ Cohort Engine'!$AC$37:$ER$37,H$42,$P$69:$EE$69),-IF(H$42&gt;=2027,1+INT('⑯ Store P&amp;L'!H37/$D$59),0)*$C$59*(1+$C$31)*12)</f>
        <v>-80902.8</v>
      </c>
      <c r="I53" s="121" t="n">
        <f aca="false">IF(COUNTIF('⑮ Cohort Engine'!$AC$37:$ER$37,I$42)=12,-SUMIF('⑮ Cohort Engine'!$AC$37:$ER$37,I$42,$P$69:$EE$69),-IF(I$42&gt;=2027,1+INT('⑯ Store P&amp;L'!I37/$D$59),0)*$C$59*(1+$C$31)*12)</f>
        <v>-88257.6</v>
      </c>
      <c r="J53" s="121" t="n">
        <f aca="false">IF(COUNTIF('⑮ Cohort Engine'!$AC$37:$ER$37,J$42)=12,-SUMIF('⑮ Cohort Engine'!$AC$37:$ER$37,J$42,$P$69:$EE$69),-IF(J$42&gt;=2027,1+INT('⑯ Store P&amp;L'!J37/$D$59),0)*$C$59*(1+$C$31)*12)</f>
        <v>-100515.6</v>
      </c>
      <c r="K53" s="121" t="n">
        <f aca="false">IF(COUNTIF('⑮ Cohort Engine'!$AC$37:$ER$37,K$42)=12,-SUMIF('⑮ Cohort Engine'!$AC$37:$ER$37,K$42,$P$69:$EE$69),-IF(K$42&gt;=2027,1+INT('⑯ Store P&amp;L'!K37/$D$59),0)*$C$59*(1+$C$31)*12)</f>
        <v>-117676.8</v>
      </c>
      <c r="L53" s="121" t="n">
        <f aca="false">IF(COUNTIF('⑮ Cohort Engine'!$AC$37:$ER$37,L$42)=12,-SUMIF('⑮ Cohort Engine'!$AC$37:$ER$37,L$42,$P$69:$EE$69),-IF(L$42&gt;=2027,1+INT('⑯ Store P&amp;L'!L37/$D$59),0)*$C$59*(1+$C$31)*12)</f>
        <v>-147096</v>
      </c>
      <c r="M53" s="121" t="n">
        <f aca="false">IF(COUNTIF('⑮ Cohort Engine'!$AC$37:$ER$37,M$42)=12,-SUMIF('⑮ Cohort Engine'!$AC$37:$ER$37,M$42,$P$69:$EE$69),-IF(M$42&gt;=2027,1+INT('⑯ Store P&amp;L'!M37/$D$59),0)*$C$59*(1+$C$31)*12)</f>
        <v>-147096</v>
      </c>
      <c r="N53" s="121" t="n">
        <f aca="false">IF(COUNTIF('⑮ Cohort Engine'!$AC$37:$ER$37,N$42)=12,-SUMIF('⑮ Cohort Engine'!$AC$37:$ER$37,N$42,$P$69:$EE$69),-IF(N$42&gt;=2027,1+INT('⑯ Store P&amp;L'!N37/$D$59),0)*$C$59*(1+$C$31)*12)</f>
        <v>-147096</v>
      </c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</row>
    <row r="54" customFormat="false" ht="15.75" hidden="false" customHeight="true" outlineLevel="0" collapsed="false">
      <c r="B54" s="309" t="s">
        <v>1282</v>
      </c>
      <c r="C54" s="184" t="n">
        <f aca="false">C48+SUM(C50:C53)</f>
        <v>-326344.349</v>
      </c>
      <c r="D54" s="184" t="n">
        <f aca="false">D48+SUM(D50:D53)</f>
        <v>-398747.9516</v>
      </c>
      <c r="E54" s="184" t="n">
        <f aca="false">E48+SUM(E50:E53)</f>
        <v>-695051.1398</v>
      </c>
      <c r="F54" s="184" t="n">
        <f aca="false">F48+SUM(F50:F53)</f>
        <v>-1032167.753</v>
      </c>
      <c r="G54" s="184" t="n">
        <f aca="false">G48+SUM(G50:G53)</f>
        <v>-1354788.8828</v>
      </c>
      <c r="H54" s="184" t="n">
        <f aca="false">H48+SUM(H50:H53)</f>
        <v>-1665393.5366</v>
      </c>
      <c r="I54" s="184" t="n">
        <f aca="false">I48+SUM(I50:I53)</f>
        <v>-1944282.6698</v>
      </c>
      <c r="J54" s="184" t="n">
        <f aca="false">J48+SUM(J50:J53)</f>
        <v>-2442448.44563647</v>
      </c>
      <c r="K54" s="184" t="n">
        <f aca="false">K48+SUM(K50:K53)</f>
        <v>-2655398.37117711</v>
      </c>
      <c r="L54" s="184" t="n">
        <f aca="false">L48+SUM(L50:L53)</f>
        <v>-3077555.08832553</v>
      </c>
      <c r="M54" s="184" t="n">
        <f aca="false">M48+SUM(M50:M53)</f>
        <v>-3519037.30777372</v>
      </c>
      <c r="N54" s="135" t="n">
        <f aca="false">N48+SUM(N50:N53)</f>
        <v>-3971949.4289735</v>
      </c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</row>
    <row r="55" customFormat="false" ht="15.75" hidden="false" customHeight="true" outlineLevel="0" collapsed="false">
      <c r="B55" s="18" t="s">
        <v>1283</v>
      </c>
      <c r="C55" s="28" t="n">
        <f aca="false">$C$34</f>
        <v>21</v>
      </c>
      <c r="D55" s="28" t="n">
        <f aca="false">$C$34</f>
        <v>21</v>
      </c>
      <c r="E55" s="28" t="n">
        <f aca="false">$C$34</f>
        <v>21</v>
      </c>
      <c r="F55" s="28" t="n">
        <f aca="false">$C$34</f>
        <v>21</v>
      </c>
      <c r="G55" s="28" t="n">
        <f aca="false">$C$34</f>
        <v>21</v>
      </c>
      <c r="H55" s="28" t="n">
        <f aca="false">$C$34</f>
        <v>21</v>
      </c>
      <c r="I55" s="28" t="n">
        <f aca="false">$C$34</f>
        <v>21</v>
      </c>
      <c r="J55" s="28" t="n">
        <f aca="false">$C$34</f>
        <v>21</v>
      </c>
      <c r="K55" s="28" t="n">
        <f aca="false">$C$34</f>
        <v>21</v>
      </c>
      <c r="L55" s="28" t="n">
        <f aca="false">$C$34</f>
        <v>21</v>
      </c>
      <c r="M55" s="28" t="n">
        <f aca="false">$C$34</f>
        <v>21</v>
      </c>
      <c r="N55" s="28" t="n">
        <f aca="false">$C$34</f>
        <v>21</v>
      </c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</row>
    <row r="56" customFormat="false" ht="15" hidden="false" customHeight="false" outlineLevel="0" collapsed="false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</row>
    <row r="57" customFormat="false" ht="15" hidden="false" customHeight="false" outlineLevel="0" collapsed="false">
      <c r="B57" s="21" t="s">
        <v>1284</v>
      </c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</row>
    <row r="58" customFormat="false" ht="15" hidden="false" customHeight="false" outlineLevel="0" collapsed="false">
      <c r="B58" s="112" t="s">
        <v>1285</v>
      </c>
      <c r="C58" s="251" t="n">
        <f aca="false" t="array" ref="C58:C58">4+IF('⑯ Store P&amp;L'!C37&gt;=5,2,0)+IF('⑯ Store P&amp;L'!C37&gt;=7,2,0)+IF(C$42&gt;=2027,1,0)+IF(SUMPRODUCT(('⑫ Roll-out Plan'!$G$10:$G$97&lt;=C$42)*ISNUMBER(SEARCH("Colombia",'⑫ Roll-out Plan'!$C$10:$C$97))*'⑫ Roll-out Plan'!$O$10:$O$97)&gt;=1,1,0)+IF(SUMPRODUCT(('⑫ Roll-out Plan'!$G$10:$G$97&lt;=C$42)*(ISNUMBER(SEARCH("Dominicana",'⑫ Roll-out Plan'!$C$10:$C$97))+ISNUMBER(SEARCH("Guatemala",'⑫ Roll-out Plan'!$C$10:$C$97))+ISNUMBER(SEARCH("Salvador",'⑫ Roll-out Plan'!$C$10:$C$97)))*'⑫ Roll-out Plan'!$O$10:$O$97)&gt;=1,1,0)+IF(SUMPRODUCT(('⑫ Roll-out Plan'!$G$10:$G$97=C$42)*'⑫ Roll-out Plan'!$O$10:$O$97)&gt;=10,1,0)+IF('⑯ Store P&amp;L'!C37&gt;=25,1,0)+IF(C$42&gt;=2030,1,0)+IF(AND(C$42&gt;=2030,SUMPRODUCT(('⑫ Roll-out Plan'!$G$10:$G$97&lt;=C$42)*ISNUMBER(SEARCH("Colombia",'⑫ Roll-out Plan'!$C$10:$C$97))*'⑫ Roll-out Plan'!$O$10:$O$97)&gt;=1),1,0)</f>
        <v>4</v>
      </c>
      <c r="D58" s="251" t="n">
        <f aca="false" t="array" ref="D58:D58">4+IF('⑯ Store P&amp;L'!D37&gt;=5,2,0)+IF('⑯ Store P&amp;L'!D37&gt;=7,2,0)+IF(D$42&gt;=2027,1,0)+IF(SUMPRODUCT(('⑫ Roll-out Plan'!$G$10:$G$97&lt;=D$42)*ISNUMBER(SEARCH("Colombia",'⑫ Roll-out Plan'!$C$10:$C$97))*'⑫ Roll-out Plan'!$O$10:$O$97)&gt;=1,1,0)+IF(SUMPRODUCT(('⑫ Roll-out Plan'!$G$10:$G$97&lt;=D$42)*(ISNUMBER(SEARCH("Dominicana",'⑫ Roll-out Plan'!$C$10:$C$97))+ISNUMBER(SEARCH("Guatemala",'⑫ Roll-out Plan'!$C$10:$C$97))+ISNUMBER(SEARCH("Salvador",'⑫ Roll-out Plan'!$C$10:$C$97)))*'⑫ Roll-out Plan'!$O$10:$O$97)&gt;=1,1,0)+IF(SUMPRODUCT(('⑫ Roll-out Plan'!$G$10:$G$97=D$42)*'⑫ Roll-out Plan'!$O$10:$O$97)&gt;=10,1,0)+IF('⑯ Store P&amp;L'!D37&gt;=25,1,0)+IF(D$42&gt;=2030,1,0)+IF(AND(D$42&gt;=2030,SUMPRODUCT(('⑫ Roll-out Plan'!$G$10:$G$97&lt;=D$42)*ISNUMBER(SEARCH("Colombia",'⑫ Roll-out Plan'!$C$10:$C$97))*'⑫ Roll-out Plan'!$O$10:$O$97)&gt;=1),1,0)</f>
        <v>4</v>
      </c>
      <c r="E58" s="251" t="n">
        <f aca="false" t="array" ref="E58:E58">4+IF('⑯ Store P&amp;L'!E37&gt;=5,2,0)+IF('⑯ Store P&amp;L'!E37&gt;=7,2,0)+IF(E$42&gt;=2027,1,0)+IF(SUMPRODUCT(('⑫ Roll-out Plan'!$G$10:$G$97&lt;=E$42)*ISNUMBER(SEARCH("Colombia",'⑫ Roll-out Plan'!$C$10:$C$97))*'⑫ Roll-out Plan'!$O$10:$O$97)&gt;=1,1,0)+IF(SUMPRODUCT(('⑫ Roll-out Plan'!$G$10:$G$97&lt;=E$42)*(ISNUMBER(SEARCH("Dominicana",'⑫ Roll-out Plan'!$C$10:$C$97))+ISNUMBER(SEARCH("Guatemala",'⑫ Roll-out Plan'!$C$10:$C$97))+ISNUMBER(SEARCH("Salvador",'⑫ Roll-out Plan'!$C$10:$C$97)))*'⑫ Roll-out Plan'!$O$10:$O$97)&gt;=1,1,0)+IF(SUMPRODUCT(('⑫ Roll-out Plan'!$G$10:$G$97=E$42)*'⑫ Roll-out Plan'!$O$10:$O$97)&gt;=10,1,0)+IF('⑯ Store P&amp;L'!E37&gt;=25,1,0)+IF(E$42&gt;=2030,1,0)+IF(AND(E$42&gt;=2030,SUMPRODUCT(('⑫ Roll-out Plan'!$G$10:$G$97&lt;=E$42)*ISNUMBER(SEARCH("Colombia",'⑫ Roll-out Plan'!$C$10:$C$97))*'⑫ Roll-out Plan'!$O$10:$O$97)&gt;=1),1,0)</f>
        <v>9</v>
      </c>
      <c r="F58" s="251" t="n">
        <f aca="false" t="array" ref="F58:F58">4+IF('⑯ Store P&amp;L'!F37&gt;=5,2,0)+IF('⑯ Store P&amp;L'!F37&gt;=7,2,0)+IF(F$42&gt;=2027,1,0)+IF(SUMPRODUCT(('⑫ Roll-out Plan'!$G$10:$G$97&lt;=F$42)*ISNUMBER(SEARCH("Colombia",'⑫ Roll-out Plan'!$C$10:$C$97))*'⑫ Roll-out Plan'!$O$10:$O$97)&gt;=1,1,0)+IF(SUMPRODUCT(('⑫ Roll-out Plan'!$G$10:$G$97&lt;=F$42)*(ISNUMBER(SEARCH("Dominicana",'⑫ Roll-out Plan'!$C$10:$C$97))+ISNUMBER(SEARCH("Guatemala",'⑫ Roll-out Plan'!$C$10:$C$97))+ISNUMBER(SEARCH("Salvador",'⑫ Roll-out Plan'!$C$10:$C$97)))*'⑫ Roll-out Plan'!$O$10:$O$97)&gt;=1,1,0)+IF(SUMPRODUCT(('⑫ Roll-out Plan'!$G$10:$G$97=F$42)*'⑫ Roll-out Plan'!$O$10:$O$97)&gt;=10,1,0)+IF('⑯ Store P&amp;L'!F37&gt;=25,1,0)+IF(F$42&gt;=2030,1,0)+IF(AND(F$42&gt;=2030,SUMPRODUCT(('⑫ Roll-out Plan'!$G$10:$G$97&lt;=F$42)*ISNUMBER(SEARCH("Colombia",'⑫ Roll-out Plan'!$C$10:$C$97))*'⑫ Roll-out Plan'!$O$10:$O$97)&gt;=1),1,0)</f>
        <v>9</v>
      </c>
      <c r="G58" s="251" t="n">
        <f aca="false" t="array" ref="G58:G58">4+IF('⑯ Store P&amp;L'!G37&gt;=5,2,0)+IF('⑯ Store P&amp;L'!G37&gt;=7,2,0)+IF(G$42&gt;=2027,1,0)+IF(SUMPRODUCT(('⑫ Roll-out Plan'!$G$10:$G$97&lt;=G$42)*ISNUMBER(SEARCH("Colombia",'⑫ Roll-out Plan'!$C$10:$C$97))*'⑫ Roll-out Plan'!$O$10:$O$97)&gt;=1,1,0)+IF(SUMPRODUCT(('⑫ Roll-out Plan'!$G$10:$G$97&lt;=G$42)*(ISNUMBER(SEARCH("Dominicana",'⑫ Roll-out Plan'!$C$10:$C$97))+ISNUMBER(SEARCH("Guatemala",'⑫ Roll-out Plan'!$C$10:$C$97))+ISNUMBER(SEARCH("Salvador",'⑫ Roll-out Plan'!$C$10:$C$97)))*'⑫ Roll-out Plan'!$O$10:$O$97)&gt;=1,1,0)+IF(SUMPRODUCT(('⑫ Roll-out Plan'!$G$10:$G$97=G$42)*'⑫ Roll-out Plan'!$O$10:$O$97)&gt;=10,1,0)+IF('⑯ Store P&amp;L'!G37&gt;=25,1,0)+IF(G$42&gt;=2030,1,0)+IF(AND(G$42&gt;=2030,SUMPRODUCT(('⑫ Roll-out Plan'!$G$10:$G$97&lt;=G$42)*ISNUMBER(SEARCH("Colombia",'⑫ Roll-out Plan'!$C$10:$C$97))*'⑫ Roll-out Plan'!$O$10:$O$97)&gt;=1),1,0)</f>
        <v>9</v>
      </c>
      <c r="H58" s="251" t="n">
        <f aca="false" t="array" ref="H58:H58">4+IF('⑯ Store P&amp;L'!H37&gt;=5,2,0)+IF('⑯ Store P&amp;L'!H37&gt;=7,2,0)+IF(H$42&gt;=2027,1,0)+IF(SUMPRODUCT(('⑫ Roll-out Plan'!$G$10:$G$97&lt;=H$42)*ISNUMBER(SEARCH("Colombia",'⑫ Roll-out Plan'!$C$10:$C$97))*'⑫ Roll-out Plan'!$O$10:$O$97)&gt;=1,1,0)+IF(SUMPRODUCT(('⑫ Roll-out Plan'!$G$10:$G$97&lt;=H$42)*(ISNUMBER(SEARCH("Dominicana",'⑫ Roll-out Plan'!$C$10:$C$97))+ISNUMBER(SEARCH("Guatemala",'⑫ Roll-out Plan'!$C$10:$C$97))+ISNUMBER(SEARCH("Salvador",'⑫ Roll-out Plan'!$C$10:$C$97)))*'⑫ Roll-out Plan'!$O$10:$O$97)&gt;=1,1,0)+IF(SUMPRODUCT(('⑫ Roll-out Plan'!$G$10:$G$97=H$42)*'⑫ Roll-out Plan'!$O$10:$O$97)&gt;=10,1,0)+IF('⑯ Store P&amp;L'!H37&gt;=25,1,0)+IF(H$42&gt;=2030,1,0)+IF(AND(H$42&gt;=2030,SUMPRODUCT(('⑫ Roll-out Plan'!$G$10:$G$97&lt;=H$42)*ISNUMBER(SEARCH("Colombia",'⑫ Roll-out Plan'!$C$10:$C$97))*'⑫ Roll-out Plan'!$O$10:$O$97)&gt;=1),1,0)</f>
        <v>10</v>
      </c>
      <c r="I58" s="251" t="n">
        <f aca="false" t="array" ref="I58:I58">4+IF('⑯ Store P&amp;L'!I37&gt;=5,2,0)+IF('⑯ Store P&amp;L'!I37&gt;=7,2,0)+IF(I$42&gt;=2027,1,0)+IF(SUMPRODUCT(('⑫ Roll-out Plan'!$G$10:$G$97&lt;=I$42)*ISNUMBER(SEARCH("Colombia",'⑫ Roll-out Plan'!$C$10:$C$97))*'⑫ Roll-out Plan'!$O$10:$O$97)&gt;=1,1,0)+IF(SUMPRODUCT(('⑫ Roll-out Plan'!$G$10:$G$97&lt;=I$42)*(ISNUMBER(SEARCH("Dominicana",'⑫ Roll-out Plan'!$C$10:$C$97))+ISNUMBER(SEARCH("Guatemala",'⑫ Roll-out Plan'!$C$10:$C$97))+ISNUMBER(SEARCH("Salvador",'⑫ Roll-out Plan'!$C$10:$C$97)))*'⑫ Roll-out Plan'!$O$10:$O$97)&gt;=1,1,0)+IF(SUMPRODUCT(('⑫ Roll-out Plan'!$G$10:$G$97=I$42)*'⑫ Roll-out Plan'!$O$10:$O$97)&gt;=10,1,0)+IF('⑯ Store P&amp;L'!I37&gt;=25,1,0)+IF(I$42&gt;=2030,1,0)+IF(AND(I$42&gt;=2030,SUMPRODUCT(('⑫ Roll-out Plan'!$G$10:$G$97&lt;=I$42)*ISNUMBER(SEARCH("Colombia",'⑫ Roll-out Plan'!$C$10:$C$97))*'⑫ Roll-out Plan'!$O$10:$O$97)&gt;=1),1,0)</f>
        <v>11</v>
      </c>
      <c r="J58" s="251" t="n">
        <f aca="false" t="array" ref="J58:J58">4+IF('⑯ Store P&amp;L'!J37&gt;=5,2,0)+IF('⑯ Store P&amp;L'!J37&gt;=7,2,0)+IF(J$42&gt;=2027,1,0)+IF(SUMPRODUCT(('⑫ Roll-out Plan'!$G$10:$G$97&lt;=J$42)*ISNUMBER(SEARCH("Colombia",'⑫ Roll-out Plan'!$C$10:$C$97))*'⑫ Roll-out Plan'!$O$10:$O$97)&gt;=1,1,0)+IF(SUMPRODUCT(('⑫ Roll-out Plan'!$G$10:$G$97&lt;=J$42)*(ISNUMBER(SEARCH("Dominicana",'⑫ Roll-out Plan'!$C$10:$C$97))+ISNUMBER(SEARCH("Guatemala",'⑫ Roll-out Plan'!$C$10:$C$97))+ISNUMBER(SEARCH("Salvador",'⑫ Roll-out Plan'!$C$10:$C$97)))*'⑫ Roll-out Plan'!$O$10:$O$97)&gt;=1,1,0)+IF(SUMPRODUCT(('⑫ Roll-out Plan'!$G$10:$G$97=J$42)*'⑫ Roll-out Plan'!$O$10:$O$97)&gt;=10,1,0)+IF('⑯ Store P&amp;L'!J37&gt;=25,1,0)+IF(J$42&gt;=2030,1,0)+IF(AND(J$42&gt;=2030,SUMPRODUCT(('⑫ Roll-out Plan'!$G$10:$G$97&lt;=J$42)*ISNUMBER(SEARCH("Colombia",'⑫ Roll-out Plan'!$C$10:$C$97))*'⑫ Roll-out Plan'!$O$10:$O$97)&gt;=1),1,0)</f>
        <v>13</v>
      </c>
      <c r="K58" s="251" t="n">
        <f aca="false" t="array" ref="K58:K58">4+IF('⑯ Store P&amp;L'!K37&gt;=5,2,0)+IF('⑯ Store P&amp;L'!K37&gt;=7,2,0)+IF(K$42&gt;=2027,1,0)+IF(SUMPRODUCT(('⑫ Roll-out Plan'!$G$10:$G$97&lt;=K$42)*ISNUMBER(SEARCH("Colombia",'⑫ Roll-out Plan'!$C$10:$C$97))*'⑫ Roll-out Plan'!$O$10:$O$97)&gt;=1,1,0)+IF(SUMPRODUCT(('⑫ Roll-out Plan'!$G$10:$G$97&lt;=K$42)*(ISNUMBER(SEARCH("Dominicana",'⑫ Roll-out Plan'!$C$10:$C$97))+ISNUMBER(SEARCH("Guatemala",'⑫ Roll-out Plan'!$C$10:$C$97))+ISNUMBER(SEARCH("Salvador",'⑫ Roll-out Plan'!$C$10:$C$97)))*'⑫ Roll-out Plan'!$O$10:$O$97)&gt;=1,1,0)+IF(SUMPRODUCT(('⑫ Roll-out Plan'!$G$10:$G$97=K$42)*'⑫ Roll-out Plan'!$O$10:$O$97)&gt;=10,1,0)+IF('⑯ Store P&amp;L'!K37&gt;=25,1,0)+IF(K$42&gt;=2030,1,0)+IF(AND(K$42&gt;=2030,SUMPRODUCT(('⑫ Roll-out Plan'!$G$10:$G$97&lt;=K$42)*ISNUMBER(SEARCH("Colombia",'⑫ Roll-out Plan'!$C$10:$C$97))*'⑫ Roll-out Plan'!$O$10:$O$97)&gt;=1),1,0)</f>
        <v>13</v>
      </c>
      <c r="L58" s="251" t="n">
        <f aca="false" t="array" ref="L58:L58">4+IF('⑯ Store P&amp;L'!L37&gt;=5,2,0)+IF('⑯ Store P&amp;L'!L37&gt;=7,2,0)+IF(L$42&gt;=2027,1,0)+IF(SUMPRODUCT(('⑫ Roll-out Plan'!$G$10:$G$97&lt;=L$42)*ISNUMBER(SEARCH("Colombia",'⑫ Roll-out Plan'!$C$10:$C$97))*'⑫ Roll-out Plan'!$O$10:$O$97)&gt;=1,1,0)+IF(SUMPRODUCT(('⑫ Roll-out Plan'!$G$10:$G$97&lt;=L$42)*(ISNUMBER(SEARCH("Dominicana",'⑫ Roll-out Plan'!$C$10:$C$97))+ISNUMBER(SEARCH("Guatemala",'⑫ Roll-out Plan'!$C$10:$C$97))+ISNUMBER(SEARCH("Salvador",'⑫ Roll-out Plan'!$C$10:$C$97)))*'⑫ Roll-out Plan'!$O$10:$O$97)&gt;=1,1,0)+IF(SUMPRODUCT(('⑫ Roll-out Plan'!$G$10:$G$97=L$42)*'⑫ Roll-out Plan'!$O$10:$O$97)&gt;=10,1,0)+IF('⑯ Store P&amp;L'!L37&gt;=25,1,0)+IF(L$42&gt;=2030,1,0)+IF(AND(L$42&gt;=2030,SUMPRODUCT(('⑫ Roll-out Plan'!$G$10:$G$97&lt;=L$42)*ISNUMBER(SEARCH("Colombia",'⑫ Roll-out Plan'!$C$10:$C$97))*'⑫ Roll-out Plan'!$O$10:$O$97)&gt;=1),1,0)</f>
        <v>14</v>
      </c>
      <c r="M58" s="9" t="n">
        <f aca="false" t="array" ref="M58:M58">4+IF('⑯ Store P&amp;L'!M37&gt;=5,2,0)+IF('⑯ Store P&amp;L'!M37&gt;=7,2,0)+IF(M$42&gt;=2027,1,0)+IF(SUMPRODUCT(('⑫ Roll-out Plan'!$G$10:$G$97&lt;=M$42)*ISNUMBER(SEARCH("Colombia",'⑫ Roll-out Plan'!$C$10:$C$97))*'⑫ Roll-out Plan'!$O$10:$O$97)&gt;=1,1,0)+IF(SUMPRODUCT(('⑫ Roll-out Plan'!$G$10:$G$97&lt;=M$42)*(ISNUMBER(SEARCH("Dominicana",'⑫ Roll-out Plan'!$C$10:$C$97))+ISNUMBER(SEARCH("Guatemala",'⑫ Roll-out Plan'!$C$10:$C$97))+ISNUMBER(SEARCH("Salvador",'⑫ Roll-out Plan'!$C$10:$C$97)))*'⑫ Roll-out Plan'!$O$10:$O$97)&gt;=1,1,0)+IF(SUMPRODUCT(('⑫ Roll-out Plan'!$G$10:$G$97=M$42)*'⑫ Roll-out Plan'!$O$10:$O$97)&gt;=10,1,0)+IF('⑯ Store P&amp;L'!M37&gt;=25,1,0)+IF(M$42&gt;=2030,1,0)+IF(AND(M$42&gt;=2030,SUMPRODUCT(('⑫ Roll-out Plan'!$G$10:$G$97&lt;=M$42)*ISNUMBER(SEARCH("Colombia",'⑫ Roll-out Plan'!$C$10:$C$97))*'⑫ Roll-out Plan'!$O$10:$O$97)&gt;=1),1,0)</f>
        <v>14</v>
      </c>
      <c r="N58" s="9" t="n">
        <f aca="false" t="array" ref="N58:N58">4+IF('⑯ Store P&amp;L'!N37&gt;=5,2,0)+IF('⑯ Store P&amp;L'!N37&gt;=7,2,0)+IF(N$42&gt;=2027,1,0)+IF(SUMPRODUCT(('⑫ Roll-out Plan'!$G$10:$G$97&lt;=N$42)*ISNUMBER(SEARCH("Colombia",'⑫ Roll-out Plan'!$C$10:$C$97))*'⑫ Roll-out Plan'!$O$10:$O$97)&gt;=1,1,0)+IF(SUMPRODUCT(('⑫ Roll-out Plan'!$G$10:$G$97&lt;=N$42)*(ISNUMBER(SEARCH("Dominicana",'⑫ Roll-out Plan'!$C$10:$C$97))+ISNUMBER(SEARCH("Guatemala",'⑫ Roll-out Plan'!$C$10:$C$97))+ISNUMBER(SEARCH("Salvador",'⑫ Roll-out Plan'!$C$10:$C$97)))*'⑫ Roll-out Plan'!$O$10:$O$97)&gt;=1,1,0)+IF(SUMPRODUCT(('⑫ Roll-out Plan'!$G$10:$G$97=N$42)*'⑫ Roll-out Plan'!$O$10:$O$97)&gt;=10,1,0)+IF('⑯ Store P&amp;L'!N37&gt;=25,1,0)+IF(N$42&gt;=2030,1,0)+IF(AND(N$42&gt;=2030,SUMPRODUCT(('⑫ Roll-out Plan'!$G$10:$G$97&lt;=N$42)*ISNUMBER(SEARCH("Colombia",'⑫ Roll-out Plan'!$C$10:$C$97))*'⑫ Roll-out Plan'!$O$10:$O$97)&gt;=1),1,0)</f>
        <v>13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</row>
    <row r="59" customFormat="false" ht="15" hidden="false" customHeight="false" outlineLevel="0" collapsed="false">
      <c r="B59" s="9" t="s">
        <v>1286</v>
      </c>
      <c r="C59" s="23" t="n">
        <v>1800</v>
      </c>
      <c r="D59" s="136" t="n">
        <v>11</v>
      </c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</row>
    <row r="60" customFormat="false" ht="15" hidden="false" customHeight="false" outlineLevel="0" collapsed="false">
      <c r="B60" s="26" t="s">
        <v>1287</v>
      </c>
      <c r="C60" s="310" t="n">
        <v>0.14</v>
      </c>
      <c r="D60" s="311" t="n">
        <v>0.13</v>
      </c>
      <c r="E60" s="311" t="n">
        <v>0.12</v>
      </c>
      <c r="F60" s="311" t="n">
        <v>0.11</v>
      </c>
      <c r="G60" s="311" t="n">
        <v>0.1</v>
      </c>
      <c r="H60" s="311" t="n">
        <v>0.1</v>
      </c>
      <c r="I60" s="311" t="n">
        <v>0.1</v>
      </c>
      <c r="J60" s="311" t="n">
        <v>0.1</v>
      </c>
      <c r="K60" s="311" t="n">
        <v>0.1</v>
      </c>
      <c r="L60" s="311" t="n">
        <v>0.1</v>
      </c>
      <c r="M60" s="312" t="n">
        <v>0.1</v>
      </c>
      <c r="N60" s="312" t="n">
        <v>0.1</v>
      </c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6"/>
      <c r="EA60" s="26"/>
      <c r="EB60" s="26"/>
      <c r="EC60" s="26"/>
      <c r="ED60" s="26"/>
      <c r="EE60" s="9"/>
    </row>
    <row r="61" customFormat="false" ht="15" hidden="false" customHeight="false" outlineLevel="0" collapsed="false">
      <c r="B61" s="77" t="s">
        <v>1288</v>
      </c>
      <c r="C61" s="313" t="n">
        <f aca="false">IF('⑯ Store P&amp;L'!C43=0,"",-C50/'⑯ Store P&amp;L'!C43)</f>
        <v>0.139166750421994</v>
      </c>
      <c r="D61" s="314" t="n">
        <f aca="false">IF('⑯ Store P&amp;L'!D43=0,"",-D50/'⑯ Store P&amp;L'!D43)</f>
        <v>0.131221463642905</v>
      </c>
      <c r="E61" s="314" t="n">
        <f aca="false">IF('⑯ Store P&amp;L'!E43=0,"",-E50/'⑯ Store P&amp;L'!E43)</f>
        <v>0.13367453450162</v>
      </c>
      <c r="F61" s="314" t="n">
        <f aca="false">IF('⑯ Store P&amp;L'!F43=0,"",-F50/'⑯ Store P&amp;L'!F43)</f>
        <v>0.137454589111554</v>
      </c>
      <c r="G61" s="314" t="n">
        <f aca="false">IF('⑯ Store P&amp;L'!G43=0,"",-G50/'⑯ Store P&amp;L'!G43)</f>
        <v>0.138182622921638</v>
      </c>
      <c r="H61" s="314" t="n">
        <f aca="false">IF('⑯ Store P&amp;L'!H43=0,"",-H50/'⑯ Store P&amp;L'!H43)</f>
        <v>0.14383758626596</v>
      </c>
      <c r="I61" s="314" t="n">
        <f aca="false">IF('⑯ Store P&amp;L'!I43=0,"",-I50/'⑯ Store P&amp;L'!I43)</f>
        <v>0.149414226179075</v>
      </c>
      <c r="J61" s="314" t="n">
        <f aca="false">IF('⑯ Store P&amp;L'!J43=0,"",-J50/'⑯ Store P&amp;L'!J43)</f>
        <v>0.155125104837709</v>
      </c>
      <c r="K61" s="314" t="n">
        <f aca="false">IF('⑯ Store P&amp;L'!K43=0,"",-K50/'⑯ Store P&amp;L'!K43)</f>
        <v>0.150127410270403</v>
      </c>
      <c r="L61" s="314" t="n">
        <f aca="false">IF('⑯ Store P&amp;L'!L43=0,"",-L50/'⑯ Store P&amp;L'!L43)</f>
        <v>0.149577658140894</v>
      </c>
      <c r="M61" s="315" t="n">
        <f aca="false">IF('⑯ Store P&amp;L'!M43=0,"",-M50/'⑯ Store P&amp;L'!M43)</f>
        <v>0.14784812477078</v>
      </c>
      <c r="N61" s="315" t="n">
        <f aca="false">IF('⑯ Store P&amp;L'!N43=0,"",-N50/'⑯ Store P&amp;L'!N43)</f>
        <v>0.146796778954961</v>
      </c>
      <c r="O61" s="77"/>
      <c r="P61" s="316" t="n">
        <f aca="false">'⑮ Cohort Engine'!AC36</f>
        <v>45658</v>
      </c>
      <c r="Q61" s="316" t="n">
        <f aca="false">'⑮ Cohort Engine'!AD36</f>
        <v>45689</v>
      </c>
      <c r="R61" s="316" t="n">
        <f aca="false">'⑮ Cohort Engine'!AE36</f>
        <v>45717</v>
      </c>
      <c r="S61" s="316" t="n">
        <f aca="false">'⑮ Cohort Engine'!AF36</f>
        <v>45748</v>
      </c>
      <c r="T61" s="316" t="n">
        <f aca="false">'⑮ Cohort Engine'!AG36</f>
        <v>45778</v>
      </c>
      <c r="U61" s="316" t="n">
        <f aca="false">'⑮ Cohort Engine'!AH36</f>
        <v>45809</v>
      </c>
      <c r="V61" s="316" t="n">
        <f aca="false">'⑮ Cohort Engine'!AI36</f>
        <v>45839</v>
      </c>
      <c r="W61" s="316" t="n">
        <f aca="false">'⑮ Cohort Engine'!AJ36</f>
        <v>45870</v>
      </c>
      <c r="X61" s="316" t="n">
        <f aca="false">'⑮ Cohort Engine'!AK36</f>
        <v>45901</v>
      </c>
      <c r="Y61" s="316" t="n">
        <f aca="false">'⑮ Cohort Engine'!AL36</f>
        <v>45931</v>
      </c>
      <c r="Z61" s="316" t="n">
        <f aca="false">'⑮ Cohort Engine'!AM36</f>
        <v>45962</v>
      </c>
      <c r="AA61" s="316" t="n">
        <f aca="false">'⑮ Cohort Engine'!AN36</f>
        <v>45992</v>
      </c>
      <c r="AB61" s="316" t="n">
        <f aca="false">'⑮ Cohort Engine'!AO36</f>
        <v>46023</v>
      </c>
      <c r="AC61" s="316" t="n">
        <f aca="false">'⑮ Cohort Engine'!AP36</f>
        <v>46054</v>
      </c>
      <c r="AD61" s="316" t="n">
        <f aca="false">'⑮ Cohort Engine'!AQ36</f>
        <v>46082</v>
      </c>
      <c r="AE61" s="316" t="n">
        <f aca="false">'⑮ Cohort Engine'!AR36</f>
        <v>46113</v>
      </c>
      <c r="AF61" s="316" t="n">
        <f aca="false">'⑮ Cohort Engine'!AS36</f>
        <v>46143</v>
      </c>
      <c r="AG61" s="316" t="n">
        <f aca="false">'⑮ Cohort Engine'!AT36</f>
        <v>46174</v>
      </c>
      <c r="AH61" s="316" t="n">
        <f aca="false">'⑮ Cohort Engine'!AU36</f>
        <v>46204</v>
      </c>
      <c r="AI61" s="316" t="n">
        <f aca="false">'⑮ Cohort Engine'!AV36</f>
        <v>46235</v>
      </c>
      <c r="AJ61" s="316" t="n">
        <f aca="false">'⑮ Cohort Engine'!AW36</f>
        <v>46266</v>
      </c>
      <c r="AK61" s="316" t="n">
        <f aca="false">'⑮ Cohort Engine'!AX36</f>
        <v>46296</v>
      </c>
      <c r="AL61" s="316" t="n">
        <f aca="false">'⑮ Cohort Engine'!AY36</f>
        <v>46327</v>
      </c>
      <c r="AM61" s="316" t="n">
        <f aca="false">'⑮ Cohort Engine'!AZ36</f>
        <v>46357</v>
      </c>
      <c r="AN61" s="316" t="n">
        <f aca="false">'⑮ Cohort Engine'!BA36</f>
        <v>46388</v>
      </c>
      <c r="AO61" s="316" t="n">
        <f aca="false">'⑮ Cohort Engine'!BB36</f>
        <v>46419</v>
      </c>
      <c r="AP61" s="316" t="n">
        <f aca="false">'⑮ Cohort Engine'!BC36</f>
        <v>46447</v>
      </c>
      <c r="AQ61" s="316" t="n">
        <f aca="false">'⑮ Cohort Engine'!BD36</f>
        <v>46478</v>
      </c>
      <c r="AR61" s="316" t="n">
        <f aca="false">'⑮ Cohort Engine'!BE36</f>
        <v>46508</v>
      </c>
      <c r="AS61" s="316" t="n">
        <f aca="false">'⑮ Cohort Engine'!BF36</f>
        <v>46539</v>
      </c>
      <c r="AT61" s="316" t="n">
        <f aca="false">'⑮ Cohort Engine'!BG36</f>
        <v>46569</v>
      </c>
      <c r="AU61" s="316" t="n">
        <f aca="false">'⑮ Cohort Engine'!BH36</f>
        <v>46600</v>
      </c>
      <c r="AV61" s="316" t="n">
        <f aca="false">'⑮ Cohort Engine'!BI36</f>
        <v>46631</v>
      </c>
      <c r="AW61" s="316" t="n">
        <f aca="false">'⑮ Cohort Engine'!BJ36</f>
        <v>46661</v>
      </c>
      <c r="AX61" s="316" t="n">
        <f aca="false">'⑮ Cohort Engine'!BK36</f>
        <v>46692</v>
      </c>
      <c r="AY61" s="316" t="n">
        <f aca="false">'⑮ Cohort Engine'!BL36</f>
        <v>46722</v>
      </c>
      <c r="AZ61" s="316" t="n">
        <f aca="false">'⑮ Cohort Engine'!BM36</f>
        <v>46753</v>
      </c>
      <c r="BA61" s="316" t="n">
        <f aca="false">'⑮ Cohort Engine'!BN36</f>
        <v>46784</v>
      </c>
      <c r="BB61" s="316" t="n">
        <f aca="false">'⑮ Cohort Engine'!BO36</f>
        <v>46813</v>
      </c>
      <c r="BC61" s="316" t="n">
        <f aca="false">'⑮ Cohort Engine'!BP36</f>
        <v>46844</v>
      </c>
      <c r="BD61" s="316" t="n">
        <f aca="false">'⑮ Cohort Engine'!BQ36</f>
        <v>46874</v>
      </c>
      <c r="BE61" s="316" t="n">
        <f aca="false">'⑮ Cohort Engine'!BR36</f>
        <v>46905</v>
      </c>
      <c r="BF61" s="316" t="n">
        <f aca="false">'⑮ Cohort Engine'!BS36</f>
        <v>46935</v>
      </c>
      <c r="BG61" s="316" t="n">
        <f aca="false">'⑮ Cohort Engine'!BT36</f>
        <v>46966</v>
      </c>
      <c r="BH61" s="316" t="n">
        <f aca="false">'⑮ Cohort Engine'!BU36</f>
        <v>46997</v>
      </c>
      <c r="BI61" s="316" t="n">
        <f aca="false">'⑮ Cohort Engine'!BV36</f>
        <v>47027</v>
      </c>
      <c r="BJ61" s="316" t="n">
        <f aca="false">'⑮ Cohort Engine'!BW36</f>
        <v>47058</v>
      </c>
      <c r="BK61" s="316" t="n">
        <f aca="false">'⑮ Cohort Engine'!BX36</f>
        <v>47088</v>
      </c>
      <c r="BL61" s="316" t="n">
        <f aca="false">'⑮ Cohort Engine'!BY36</f>
        <v>47119</v>
      </c>
      <c r="BM61" s="316" t="n">
        <f aca="false">'⑮ Cohort Engine'!BZ36</f>
        <v>47150</v>
      </c>
      <c r="BN61" s="316" t="n">
        <f aca="false">'⑮ Cohort Engine'!CA36</f>
        <v>47178</v>
      </c>
      <c r="BO61" s="316" t="n">
        <f aca="false">'⑮ Cohort Engine'!CB36</f>
        <v>47209</v>
      </c>
      <c r="BP61" s="316" t="n">
        <f aca="false">'⑮ Cohort Engine'!CC36</f>
        <v>47239</v>
      </c>
      <c r="BQ61" s="316" t="n">
        <f aca="false">'⑮ Cohort Engine'!CD36</f>
        <v>47270</v>
      </c>
      <c r="BR61" s="316" t="n">
        <f aca="false">'⑮ Cohort Engine'!CE36</f>
        <v>47300</v>
      </c>
      <c r="BS61" s="316" t="n">
        <f aca="false">'⑮ Cohort Engine'!CF36</f>
        <v>47331</v>
      </c>
      <c r="BT61" s="316" t="n">
        <f aca="false">'⑮ Cohort Engine'!CG36</f>
        <v>47362</v>
      </c>
      <c r="BU61" s="316" t="n">
        <f aca="false">'⑮ Cohort Engine'!CH36</f>
        <v>47392</v>
      </c>
      <c r="BV61" s="316" t="n">
        <f aca="false">'⑮ Cohort Engine'!CI36</f>
        <v>47423</v>
      </c>
      <c r="BW61" s="316" t="n">
        <f aca="false">'⑮ Cohort Engine'!CJ36</f>
        <v>47453</v>
      </c>
      <c r="BX61" s="316" t="n">
        <f aca="false">'⑮ Cohort Engine'!CK36</f>
        <v>47484</v>
      </c>
      <c r="BY61" s="316" t="n">
        <f aca="false">'⑮ Cohort Engine'!CL36</f>
        <v>47515</v>
      </c>
      <c r="BZ61" s="316" t="n">
        <f aca="false">'⑮ Cohort Engine'!CM36</f>
        <v>47543</v>
      </c>
      <c r="CA61" s="316" t="n">
        <f aca="false">'⑮ Cohort Engine'!CN36</f>
        <v>47574</v>
      </c>
      <c r="CB61" s="316" t="n">
        <f aca="false">'⑮ Cohort Engine'!CO36</f>
        <v>47604</v>
      </c>
      <c r="CC61" s="316" t="n">
        <f aca="false">'⑮ Cohort Engine'!CP36</f>
        <v>47635</v>
      </c>
      <c r="CD61" s="316" t="n">
        <f aca="false">'⑮ Cohort Engine'!CQ36</f>
        <v>47665</v>
      </c>
      <c r="CE61" s="316" t="n">
        <f aca="false">'⑮ Cohort Engine'!CR36</f>
        <v>47696</v>
      </c>
      <c r="CF61" s="316" t="n">
        <f aca="false">'⑮ Cohort Engine'!CS36</f>
        <v>47727</v>
      </c>
      <c r="CG61" s="316" t="n">
        <f aca="false">'⑮ Cohort Engine'!CT36</f>
        <v>47757</v>
      </c>
      <c r="CH61" s="316" t="n">
        <f aca="false">'⑮ Cohort Engine'!CU36</f>
        <v>47788</v>
      </c>
      <c r="CI61" s="316" t="n">
        <f aca="false">'⑮ Cohort Engine'!CV36</f>
        <v>47818</v>
      </c>
      <c r="CJ61" s="316" t="n">
        <f aca="false">'⑮ Cohort Engine'!CW36</f>
        <v>47849</v>
      </c>
      <c r="CK61" s="316" t="n">
        <f aca="false">'⑮ Cohort Engine'!CX36</f>
        <v>47880</v>
      </c>
      <c r="CL61" s="316" t="n">
        <f aca="false">'⑮ Cohort Engine'!CY36</f>
        <v>47908</v>
      </c>
      <c r="CM61" s="316" t="n">
        <f aca="false">'⑮ Cohort Engine'!CZ36</f>
        <v>47939</v>
      </c>
      <c r="CN61" s="316" t="n">
        <f aca="false">'⑮ Cohort Engine'!DA36</f>
        <v>47969</v>
      </c>
      <c r="CO61" s="316" t="n">
        <f aca="false">'⑮ Cohort Engine'!DB36</f>
        <v>48000</v>
      </c>
      <c r="CP61" s="316" t="n">
        <f aca="false">'⑮ Cohort Engine'!DC36</f>
        <v>48030</v>
      </c>
      <c r="CQ61" s="316" t="n">
        <f aca="false">'⑮ Cohort Engine'!DD36</f>
        <v>48061</v>
      </c>
      <c r="CR61" s="316" t="n">
        <f aca="false">'⑮ Cohort Engine'!DE36</f>
        <v>48092</v>
      </c>
      <c r="CS61" s="316" t="n">
        <f aca="false">'⑮ Cohort Engine'!DF36</f>
        <v>48122</v>
      </c>
      <c r="CT61" s="316" t="n">
        <f aca="false">'⑮ Cohort Engine'!DG36</f>
        <v>48153</v>
      </c>
      <c r="CU61" s="316" t="n">
        <f aca="false">'⑮ Cohort Engine'!DH36</f>
        <v>48183</v>
      </c>
      <c r="CV61" s="316" t="n">
        <f aca="false">'⑮ Cohort Engine'!DI36</f>
        <v>48214</v>
      </c>
      <c r="CW61" s="316" t="n">
        <f aca="false">'⑮ Cohort Engine'!DJ36</f>
        <v>48245</v>
      </c>
      <c r="CX61" s="316" t="n">
        <f aca="false">'⑮ Cohort Engine'!DK36</f>
        <v>48274</v>
      </c>
      <c r="CY61" s="316" t="n">
        <f aca="false">'⑮ Cohort Engine'!DL36</f>
        <v>48305</v>
      </c>
      <c r="CZ61" s="316" t="n">
        <f aca="false">'⑮ Cohort Engine'!DM36</f>
        <v>48335</v>
      </c>
      <c r="DA61" s="316" t="n">
        <f aca="false">'⑮ Cohort Engine'!DN36</f>
        <v>48366</v>
      </c>
      <c r="DB61" s="316" t="n">
        <f aca="false">'⑮ Cohort Engine'!DO36</f>
        <v>48396</v>
      </c>
      <c r="DC61" s="316" t="n">
        <f aca="false">'⑮ Cohort Engine'!DP36</f>
        <v>48427</v>
      </c>
      <c r="DD61" s="316" t="n">
        <f aca="false">'⑮ Cohort Engine'!DQ36</f>
        <v>48458</v>
      </c>
      <c r="DE61" s="316" t="n">
        <f aca="false">'⑮ Cohort Engine'!DR36</f>
        <v>48488</v>
      </c>
      <c r="DF61" s="316" t="n">
        <f aca="false">'⑮ Cohort Engine'!DS36</f>
        <v>48519</v>
      </c>
      <c r="DG61" s="316" t="n">
        <f aca="false">'⑮ Cohort Engine'!DT36</f>
        <v>48549</v>
      </c>
      <c r="DH61" s="316" t="n">
        <f aca="false">'⑮ Cohort Engine'!DU36</f>
        <v>48580</v>
      </c>
      <c r="DI61" s="316" t="n">
        <f aca="false">'⑮ Cohort Engine'!DV36</f>
        <v>48611</v>
      </c>
      <c r="DJ61" s="316" t="n">
        <f aca="false">'⑮ Cohort Engine'!DW36</f>
        <v>48639</v>
      </c>
      <c r="DK61" s="316" t="n">
        <f aca="false">'⑮ Cohort Engine'!DX36</f>
        <v>48670</v>
      </c>
      <c r="DL61" s="316" t="n">
        <f aca="false">'⑮ Cohort Engine'!DY36</f>
        <v>48700</v>
      </c>
      <c r="DM61" s="316" t="n">
        <f aca="false">'⑮ Cohort Engine'!DZ36</f>
        <v>48731</v>
      </c>
      <c r="DN61" s="316" t="n">
        <f aca="false">'⑮ Cohort Engine'!EA36</f>
        <v>48761</v>
      </c>
      <c r="DO61" s="316" t="n">
        <f aca="false">'⑮ Cohort Engine'!EB36</f>
        <v>48792</v>
      </c>
      <c r="DP61" s="316" t="n">
        <f aca="false">'⑮ Cohort Engine'!EC36</f>
        <v>48823</v>
      </c>
      <c r="DQ61" s="316" t="n">
        <f aca="false">'⑮ Cohort Engine'!ED36</f>
        <v>48853</v>
      </c>
      <c r="DR61" s="316" t="n">
        <f aca="false">'⑮ Cohort Engine'!EE36</f>
        <v>48884</v>
      </c>
      <c r="DS61" s="316" t="n">
        <f aca="false">'⑮ Cohort Engine'!EF36</f>
        <v>48914</v>
      </c>
      <c r="DT61" s="316" t="n">
        <f aca="false">'⑮ Cohort Engine'!EG36</f>
        <v>48945</v>
      </c>
      <c r="DU61" s="316" t="n">
        <f aca="false">'⑮ Cohort Engine'!EH36</f>
        <v>48976</v>
      </c>
      <c r="DV61" s="316" t="n">
        <f aca="false">'⑮ Cohort Engine'!EI36</f>
        <v>49004</v>
      </c>
      <c r="DW61" s="316" t="n">
        <f aca="false">'⑮ Cohort Engine'!EJ36</f>
        <v>49035</v>
      </c>
      <c r="DX61" s="316" t="n">
        <f aca="false">'⑮ Cohort Engine'!EK36</f>
        <v>49065</v>
      </c>
      <c r="DY61" s="316" t="n">
        <f aca="false">'⑮ Cohort Engine'!EL36</f>
        <v>49096</v>
      </c>
      <c r="DZ61" s="316" t="n">
        <f aca="false">'⑮ Cohort Engine'!EM36</f>
        <v>49126</v>
      </c>
      <c r="EA61" s="316" t="n">
        <f aca="false">'⑮ Cohort Engine'!EN36</f>
        <v>49157</v>
      </c>
      <c r="EB61" s="316" t="n">
        <f aca="false">'⑮ Cohort Engine'!EO36</f>
        <v>49188</v>
      </c>
      <c r="EC61" s="316" t="n">
        <f aca="false">'⑮ Cohort Engine'!EP36</f>
        <v>49218</v>
      </c>
      <c r="ED61" s="316" t="n">
        <f aca="false">'⑮ Cohort Engine'!EQ36</f>
        <v>49249</v>
      </c>
      <c r="EE61" s="158" t="n">
        <f aca="false">'⑮ Cohort Engine'!ER36</f>
        <v>49279</v>
      </c>
    </row>
    <row r="62" customFormat="false" ht="15" hidden="false" customHeight="false" outlineLevel="0" collapsed="false">
      <c r="B62" s="90" t="s">
        <v>1289</v>
      </c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317" t="n">
        <f aca="false">'⑮ Cohort Engine'!AC35</f>
        <v>1</v>
      </c>
      <c r="Q62" s="317" t="n">
        <f aca="false">'⑮ Cohort Engine'!AD35</f>
        <v>2</v>
      </c>
      <c r="R62" s="317" t="n">
        <f aca="false">'⑮ Cohort Engine'!AE35</f>
        <v>3</v>
      </c>
      <c r="S62" s="317" t="n">
        <f aca="false">'⑮ Cohort Engine'!AF35</f>
        <v>4</v>
      </c>
      <c r="T62" s="317" t="n">
        <f aca="false">'⑮ Cohort Engine'!AG35</f>
        <v>5</v>
      </c>
      <c r="U62" s="317" t="n">
        <f aca="false">'⑮ Cohort Engine'!AH35</f>
        <v>6</v>
      </c>
      <c r="V62" s="317" t="n">
        <f aca="false">'⑮ Cohort Engine'!AI35</f>
        <v>7</v>
      </c>
      <c r="W62" s="317" t="n">
        <f aca="false">'⑮ Cohort Engine'!AJ35</f>
        <v>8</v>
      </c>
      <c r="X62" s="317" t="n">
        <f aca="false">'⑮ Cohort Engine'!AK35</f>
        <v>9</v>
      </c>
      <c r="Y62" s="317" t="n">
        <f aca="false">'⑮ Cohort Engine'!AL35</f>
        <v>10</v>
      </c>
      <c r="Z62" s="317" t="n">
        <f aca="false">'⑮ Cohort Engine'!AM35</f>
        <v>11</v>
      </c>
      <c r="AA62" s="317" t="n">
        <f aca="false">'⑮ Cohort Engine'!AN35</f>
        <v>12</v>
      </c>
      <c r="AB62" s="317" t="n">
        <f aca="false">'⑮ Cohort Engine'!AO35</f>
        <v>13</v>
      </c>
      <c r="AC62" s="317" t="n">
        <f aca="false">'⑮ Cohort Engine'!AP35</f>
        <v>14</v>
      </c>
      <c r="AD62" s="317" t="n">
        <f aca="false">'⑮ Cohort Engine'!AQ35</f>
        <v>15</v>
      </c>
      <c r="AE62" s="317" t="n">
        <f aca="false">'⑮ Cohort Engine'!AR35</f>
        <v>16</v>
      </c>
      <c r="AF62" s="317" t="n">
        <f aca="false">'⑮ Cohort Engine'!AS35</f>
        <v>17</v>
      </c>
      <c r="AG62" s="317" t="n">
        <f aca="false">'⑮ Cohort Engine'!AT35</f>
        <v>18</v>
      </c>
      <c r="AH62" s="317" t="n">
        <f aca="false">'⑮ Cohort Engine'!AU35</f>
        <v>19</v>
      </c>
      <c r="AI62" s="317" t="n">
        <f aca="false">'⑮ Cohort Engine'!AV35</f>
        <v>20</v>
      </c>
      <c r="AJ62" s="317" t="n">
        <f aca="false">'⑮ Cohort Engine'!AW35</f>
        <v>21</v>
      </c>
      <c r="AK62" s="317" t="n">
        <f aca="false">'⑮ Cohort Engine'!AX35</f>
        <v>22</v>
      </c>
      <c r="AL62" s="317" t="n">
        <f aca="false">'⑮ Cohort Engine'!AY35</f>
        <v>23</v>
      </c>
      <c r="AM62" s="317" t="n">
        <f aca="false">'⑮ Cohort Engine'!AZ35</f>
        <v>24</v>
      </c>
      <c r="AN62" s="317" t="n">
        <f aca="false">'⑮ Cohort Engine'!BA35</f>
        <v>25</v>
      </c>
      <c r="AO62" s="317" t="n">
        <f aca="false">'⑮ Cohort Engine'!BB35</f>
        <v>26</v>
      </c>
      <c r="AP62" s="317" t="n">
        <f aca="false">'⑮ Cohort Engine'!BC35</f>
        <v>27</v>
      </c>
      <c r="AQ62" s="317" t="n">
        <f aca="false">'⑮ Cohort Engine'!BD35</f>
        <v>28</v>
      </c>
      <c r="AR62" s="317" t="n">
        <f aca="false">'⑮ Cohort Engine'!BE35</f>
        <v>29</v>
      </c>
      <c r="AS62" s="317" t="n">
        <f aca="false">'⑮ Cohort Engine'!BF35</f>
        <v>30</v>
      </c>
      <c r="AT62" s="317" t="n">
        <f aca="false">'⑮ Cohort Engine'!BG35</f>
        <v>31</v>
      </c>
      <c r="AU62" s="317" t="n">
        <f aca="false">'⑮ Cohort Engine'!BH35</f>
        <v>32</v>
      </c>
      <c r="AV62" s="317" t="n">
        <f aca="false">'⑮ Cohort Engine'!BI35</f>
        <v>33</v>
      </c>
      <c r="AW62" s="317" t="n">
        <f aca="false">'⑮ Cohort Engine'!BJ35</f>
        <v>34</v>
      </c>
      <c r="AX62" s="317" t="n">
        <f aca="false">'⑮ Cohort Engine'!BK35</f>
        <v>35</v>
      </c>
      <c r="AY62" s="317" t="n">
        <f aca="false">'⑮ Cohort Engine'!BL35</f>
        <v>36</v>
      </c>
      <c r="AZ62" s="317" t="n">
        <f aca="false">'⑮ Cohort Engine'!BM35</f>
        <v>37</v>
      </c>
      <c r="BA62" s="317" t="n">
        <f aca="false">'⑮ Cohort Engine'!BN35</f>
        <v>38</v>
      </c>
      <c r="BB62" s="317" t="n">
        <f aca="false">'⑮ Cohort Engine'!BO35</f>
        <v>39</v>
      </c>
      <c r="BC62" s="317" t="n">
        <f aca="false">'⑮ Cohort Engine'!BP35</f>
        <v>40</v>
      </c>
      <c r="BD62" s="317" t="n">
        <f aca="false">'⑮ Cohort Engine'!BQ35</f>
        <v>41</v>
      </c>
      <c r="BE62" s="317" t="n">
        <f aca="false">'⑮ Cohort Engine'!BR35</f>
        <v>42</v>
      </c>
      <c r="BF62" s="317" t="n">
        <f aca="false">'⑮ Cohort Engine'!BS35</f>
        <v>43</v>
      </c>
      <c r="BG62" s="317" t="n">
        <f aca="false">'⑮ Cohort Engine'!BT35</f>
        <v>44</v>
      </c>
      <c r="BH62" s="317" t="n">
        <f aca="false">'⑮ Cohort Engine'!BU35</f>
        <v>45</v>
      </c>
      <c r="BI62" s="317" t="n">
        <f aca="false">'⑮ Cohort Engine'!BV35</f>
        <v>46</v>
      </c>
      <c r="BJ62" s="317" t="n">
        <f aca="false">'⑮ Cohort Engine'!BW35</f>
        <v>47</v>
      </c>
      <c r="BK62" s="317" t="n">
        <f aca="false">'⑮ Cohort Engine'!BX35</f>
        <v>48</v>
      </c>
      <c r="BL62" s="317" t="n">
        <f aca="false">'⑮ Cohort Engine'!BY35</f>
        <v>49</v>
      </c>
      <c r="BM62" s="317" t="n">
        <f aca="false">'⑮ Cohort Engine'!BZ35</f>
        <v>50</v>
      </c>
      <c r="BN62" s="317" t="n">
        <f aca="false">'⑮ Cohort Engine'!CA35</f>
        <v>51</v>
      </c>
      <c r="BO62" s="317" t="n">
        <f aca="false">'⑮ Cohort Engine'!CB35</f>
        <v>52</v>
      </c>
      <c r="BP62" s="317" t="n">
        <f aca="false">'⑮ Cohort Engine'!CC35</f>
        <v>53</v>
      </c>
      <c r="BQ62" s="317" t="n">
        <f aca="false">'⑮ Cohort Engine'!CD35</f>
        <v>54</v>
      </c>
      <c r="BR62" s="317" t="n">
        <f aca="false">'⑮ Cohort Engine'!CE35</f>
        <v>55</v>
      </c>
      <c r="BS62" s="317" t="n">
        <f aca="false">'⑮ Cohort Engine'!CF35</f>
        <v>56</v>
      </c>
      <c r="BT62" s="317" t="n">
        <f aca="false">'⑮ Cohort Engine'!CG35</f>
        <v>57</v>
      </c>
      <c r="BU62" s="317" t="n">
        <f aca="false">'⑮ Cohort Engine'!CH35</f>
        <v>58</v>
      </c>
      <c r="BV62" s="317" t="n">
        <f aca="false">'⑮ Cohort Engine'!CI35</f>
        <v>59</v>
      </c>
      <c r="BW62" s="317" t="n">
        <f aca="false">'⑮ Cohort Engine'!CJ35</f>
        <v>60</v>
      </c>
      <c r="BX62" s="317" t="n">
        <f aca="false">'⑮ Cohort Engine'!CK35</f>
        <v>61</v>
      </c>
      <c r="BY62" s="317" t="n">
        <f aca="false">'⑮ Cohort Engine'!CL35</f>
        <v>62</v>
      </c>
      <c r="BZ62" s="317" t="n">
        <f aca="false">'⑮ Cohort Engine'!CM35</f>
        <v>63</v>
      </c>
      <c r="CA62" s="317" t="n">
        <f aca="false">'⑮ Cohort Engine'!CN35</f>
        <v>64</v>
      </c>
      <c r="CB62" s="317" t="n">
        <f aca="false">'⑮ Cohort Engine'!CO35</f>
        <v>65</v>
      </c>
      <c r="CC62" s="317" t="n">
        <f aca="false">'⑮ Cohort Engine'!CP35</f>
        <v>66</v>
      </c>
      <c r="CD62" s="317" t="n">
        <f aca="false">'⑮ Cohort Engine'!CQ35</f>
        <v>67</v>
      </c>
      <c r="CE62" s="317" t="n">
        <f aca="false">'⑮ Cohort Engine'!CR35</f>
        <v>68</v>
      </c>
      <c r="CF62" s="317" t="n">
        <f aca="false">'⑮ Cohort Engine'!CS35</f>
        <v>69</v>
      </c>
      <c r="CG62" s="317" t="n">
        <f aca="false">'⑮ Cohort Engine'!CT35</f>
        <v>70</v>
      </c>
      <c r="CH62" s="317" t="n">
        <f aca="false">'⑮ Cohort Engine'!CU35</f>
        <v>71</v>
      </c>
      <c r="CI62" s="317" t="n">
        <f aca="false">'⑮ Cohort Engine'!CV35</f>
        <v>72</v>
      </c>
      <c r="CJ62" s="317" t="n">
        <f aca="false">'⑮ Cohort Engine'!CW35</f>
        <v>73</v>
      </c>
      <c r="CK62" s="317" t="n">
        <f aca="false">'⑮ Cohort Engine'!CX35</f>
        <v>74</v>
      </c>
      <c r="CL62" s="317" t="n">
        <f aca="false">'⑮ Cohort Engine'!CY35</f>
        <v>75</v>
      </c>
      <c r="CM62" s="317" t="n">
        <f aca="false">'⑮ Cohort Engine'!CZ35</f>
        <v>76</v>
      </c>
      <c r="CN62" s="317" t="n">
        <f aca="false">'⑮ Cohort Engine'!DA35</f>
        <v>77</v>
      </c>
      <c r="CO62" s="317" t="n">
        <f aca="false">'⑮ Cohort Engine'!DB35</f>
        <v>78</v>
      </c>
      <c r="CP62" s="317" t="n">
        <f aca="false">'⑮ Cohort Engine'!DC35</f>
        <v>79</v>
      </c>
      <c r="CQ62" s="317" t="n">
        <f aca="false">'⑮ Cohort Engine'!DD35</f>
        <v>80</v>
      </c>
      <c r="CR62" s="317" t="n">
        <f aca="false">'⑮ Cohort Engine'!DE35</f>
        <v>81</v>
      </c>
      <c r="CS62" s="317" t="n">
        <f aca="false">'⑮ Cohort Engine'!DF35</f>
        <v>82</v>
      </c>
      <c r="CT62" s="317" t="n">
        <f aca="false">'⑮ Cohort Engine'!DG35</f>
        <v>83</v>
      </c>
      <c r="CU62" s="317" t="n">
        <f aca="false">'⑮ Cohort Engine'!DH35</f>
        <v>84</v>
      </c>
      <c r="CV62" s="317" t="n">
        <f aca="false">'⑮ Cohort Engine'!DI35</f>
        <v>85</v>
      </c>
      <c r="CW62" s="317" t="n">
        <f aca="false">'⑮ Cohort Engine'!DJ35</f>
        <v>86</v>
      </c>
      <c r="CX62" s="317" t="n">
        <f aca="false">'⑮ Cohort Engine'!DK35</f>
        <v>87</v>
      </c>
      <c r="CY62" s="317" t="n">
        <f aca="false">'⑮ Cohort Engine'!DL35</f>
        <v>88</v>
      </c>
      <c r="CZ62" s="317" t="n">
        <f aca="false">'⑮ Cohort Engine'!DM35</f>
        <v>89</v>
      </c>
      <c r="DA62" s="317" t="n">
        <f aca="false">'⑮ Cohort Engine'!DN35</f>
        <v>90</v>
      </c>
      <c r="DB62" s="317" t="n">
        <f aca="false">'⑮ Cohort Engine'!DO35</f>
        <v>91</v>
      </c>
      <c r="DC62" s="317" t="n">
        <f aca="false">'⑮ Cohort Engine'!DP35</f>
        <v>92</v>
      </c>
      <c r="DD62" s="317" t="n">
        <f aca="false">'⑮ Cohort Engine'!DQ35</f>
        <v>93</v>
      </c>
      <c r="DE62" s="317" t="n">
        <f aca="false">'⑮ Cohort Engine'!DR35</f>
        <v>94</v>
      </c>
      <c r="DF62" s="317" t="n">
        <f aca="false">'⑮ Cohort Engine'!DS35</f>
        <v>95</v>
      </c>
      <c r="DG62" s="317" t="n">
        <f aca="false">'⑮ Cohort Engine'!DT35</f>
        <v>96</v>
      </c>
      <c r="DH62" s="317" t="n">
        <f aca="false">'⑮ Cohort Engine'!DU35</f>
        <v>97</v>
      </c>
      <c r="DI62" s="317" t="n">
        <f aca="false">'⑮ Cohort Engine'!DV35</f>
        <v>98</v>
      </c>
      <c r="DJ62" s="317" t="n">
        <f aca="false">'⑮ Cohort Engine'!DW35</f>
        <v>99</v>
      </c>
      <c r="DK62" s="317" t="n">
        <f aca="false">'⑮ Cohort Engine'!DX35</f>
        <v>100</v>
      </c>
      <c r="DL62" s="317" t="n">
        <f aca="false">'⑮ Cohort Engine'!DY35</f>
        <v>101</v>
      </c>
      <c r="DM62" s="317" t="n">
        <f aca="false">'⑮ Cohort Engine'!DZ35</f>
        <v>102</v>
      </c>
      <c r="DN62" s="317" t="n">
        <f aca="false">'⑮ Cohort Engine'!EA35</f>
        <v>103</v>
      </c>
      <c r="DO62" s="317" t="n">
        <f aca="false">'⑮ Cohort Engine'!EB35</f>
        <v>104</v>
      </c>
      <c r="DP62" s="317" t="n">
        <f aca="false">'⑮ Cohort Engine'!EC35</f>
        <v>105</v>
      </c>
      <c r="DQ62" s="317" t="n">
        <f aca="false">'⑮ Cohort Engine'!ED35</f>
        <v>106</v>
      </c>
      <c r="DR62" s="317" t="n">
        <f aca="false">'⑮ Cohort Engine'!EE35</f>
        <v>107</v>
      </c>
      <c r="DS62" s="317" t="n">
        <f aca="false">'⑮ Cohort Engine'!EF35</f>
        <v>108</v>
      </c>
      <c r="DT62" s="317" t="n">
        <f aca="false">'⑮ Cohort Engine'!EG35</f>
        <v>109</v>
      </c>
      <c r="DU62" s="317" t="n">
        <f aca="false">'⑮ Cohort Engine'!EH35</f>
        <v>110</v>
      </c>
      <c r="DV62" s="317" t="n">
        <f aca="false">'⑮ Cohort Engine'!EI35</f>
        <v>111</v>
      </c>
      <c r="DW62" s="317" t="n">
        <f aca="false">'⑮ Cohort Engine'!EJ35</f>
        <v>112</v>
      </c>
      <c r="DX62" s="317" t="n">
        <f aca="false">'⑮ Cohort Engine'!EK35</f>
        <v>113</v>
      </c>
      <c r="DY62" s="317" t="n">
        <f aca="false">'⑮ Cohort Engine'!EL35</f>
        <v>114</v>
      </c>
      <c r="DZ62" s="317" t="n">
        <f aca="false">'⑮ Cohort Engine'!EM35</f>
        <v>115</v>
      </c>
      <c r="EA62" s="317" t="n">
        <f aca="false">'⑮ Cohort Engine'!EN35</f>
        <v>116</v>
      </c>
      <c r="EB62" s="317" t="n">
        <f aca="false">'⑮ Cohort Engine'!EO35</f>
        <v>117</v>
      </c>
      <c r="EC62" s="317" t="n">
        <f aca="false">'⑮ Cohort Engine'!EP35</f>
        <v>118</v>
      </c>
      <c r="ED62" s="317" t="n">
        <f aca="false">'⑮ Cohort Engine'!EQ35</f>
        <v>119</v>
      </c>
      <c r="EE62" s="63" t="n">
        <f aca="false">'⑮ Cohort Engine'!ER35</f>
        <v>120</v>
      </c>
    </row>
    <row r="63" customFormat="false" ht="15" hidden="false" customHeight="false" outlineLevel="0" collapsed="false">
      <c r="B63" s="90" t="s">
        <v>1290</v>
      </c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317" t="n">
        <f aca="false">'⑯ Store P&amp;L'!AC85</f>
        <v>1</v>
      </c>
      <c r="Q63" s="317" t="n">
        <f aca="false">'⑯ Store P&amp;L'!AD85</f>
        <v>2</v>
      </c>
      <c r="R63" s="317" t="n">
        <f aca="false">'⑯ Store P&amp;L'!AE85</f>
        <v>2</v>
      </c>
      <c r="S63" s="317" t="n">
        <f aca="false">'⑯ Store P&amp;L'!AF85</f>
        <v>2</v>
      </c>
      <c r="T63" s="317" t="n">
        <f aca="false">'⑯ Store P&amp;L'!AG85</f>
        <v>3</v>
      </c>
      <c r="U63" s="317" t="n">
        <f aca="false">'⑯ Store P&amp;L'!AH85</f>
        <v>3</v>
      </c>
      <c r="V63" s="317" t="n">
        <f aca="false">'⑯ Store P&amp;L'!AI85</f>
        <v>3</v>
      </c>
      <c r="W63" s="317" t="n">
        <f aca="false">'⑯ Store P&amp;L'!AJ85</f>
        <v>3</v>
      </c>
      <c r="X63" s="317" t="n">
        <f aca="false">'⑯ Store P&amp;L'!AK85</f>
        <v>3</v>
      </c>
      <c r="Y63" s="317" t="n">
        <f aca="false">'⑯ Store P&amp;L'!AL85</f>
        <v>3</v>
      </c>
      <c r="Z63" s="317" t="n">
        <f aca="false">'⑯ Store P&amp;L'!AM85</f>
        <v>3</v>
      </c>
      <c r="AA63" s="317" t="n">
        <f aca="false">'⑯ Store P&amp;L'!AN85</f>
        <v>4</v>
      </c>
      <c r="AB63" s="317" t="n">
        <f aca="false">'⑯ Store P&amp;L'!AO85</f>
        <v>4</v>
      </c>
      <c r="AC63" s="317" t="n">
        <f aca="false">'⑯ Store P&amp;L'!AP85</f>
        <v>4</v>
      </c>
      <c r="AD63" s="317" t="n">
        <f aca="false">'⑯ Store P&amp;L'!AQ85</f>
        <v>4</v>
      </c>
      <c r="AE63" s="317" t="n">
        <f aca="false">'⑯ Store P&amp;L'!AR85</f>
        <v>4</v>
      </c>
      <c r="AF63" s="317" t="n">
        <f aca="false">'⑯ Store P&amp;L'!AS85</f>
        <v>4</v>
      </c>
      <c r="AG63" s="317" t="n">
        <f aca="false">'⑯ Store P&amp;L'!AT85</f>
        <v>4</v>
      </c>
      <c r="AH63" s="317" t="n">
        <f aca="false">'⑯ Store P&amp;L'!AU85</f>
        <v>4</v>
      </c>
      <c r="AI63" s="317" t="n">
        <f aca="false">'⑯ Store P&amp;L'!AV85</f>
        <v>4</v>
      </c>
      <c r="AJ63" s="317" t="n">
        <f aca="false">'⑯ Store P&amp;L'!AW85</f>
        <v>4</v>
      </c>
      <c r="AK63" s="317" t="n">
        <f aca="false">'⑯ Store P&amp;L'!AX85</f>
        <v>4</v>
      </c>
      <c r="AL63" s="317" t="n">
        <f aca="false">'⑯ Store P&amp;L'!AY85</f>
        <v>4</v>
      </c>
      <c r="AM63" s="317" t="n">
        <f aca="false">'⑯ Store P&amp;L'!AZ85</f>
        <v>4</v>
      </c>
      <c r="AN63" s="317" t="n">
        <f aca="false">'⑯ Store P&amp;L'!BA85</f>
        <v>5</v>
      </c>
      <c r="AO63" s="317" t="n">
        <f aca="false">'⑯ Store P&amp;L'!BB85</f>
        <v>6</v>
      </c>
      <c r="AP63" s="317" t="n">
        <f aca="false">'⑯ Store P&amp;L'!BC85</f>
        <v>7</v>
      </c>
      <c r="AQ63" s="317" t="n">
        <f aca="false">'⑯ Store P&amp;L'!BD85</f>
        <v>8</v>
      </c>
      <c r="AR63" s="317" t="n">
        <f aca="false">'⑯ Store P&amp;L'!BE85</f>
        <v>8</v>
      </c>
      <c r="AS63" s="317" t="n">
        <f aca="false">'⑯ Store P&amp;L'!BF85</f>
        <v>9</v>
      </c>
      <c r="AT63" s="317" t="n">
        <f aca="false">'⑯ Store P&amp;L'!BG85</f>
        <v>9</v>
      </c>
      <c r="AU63" s="317" t="n">
        <f aca="false">'⑯ Store P&amp;L'!BH85</f>
        <v>10</v>
      </c>
      <c r="AV63" s="317" t="n">
        <f aca="false">'⑯ Store P&amp;L'!BI85</f>
        <v>10</v>
      </c>
      <c r="AW63" s="317" t="n">
        <f aca="false">'⑯ Store P&amp;L'!BJ85</f>
        <v>11</v>
      </c>
      <c r="AX63" s="317" t="n">
        <f aca="false">'⑯ Store P&amp;L'!BK85</f>
        <v>11</v>
      </c>
      <c r="AY63" s="317" t="n">
        <f aca="false">'⑯ Store P&amp;L'!BL85</f>
        <v>11</v>
      </c>
      <c r="AZ63" s="317" t="n">
        <f aca="false">'⑯ Store P&amp;L'!BM85</f>
        <v>11</v>
      </c>
      <c r="BA63" s="317" t="n">
        <f aca="false">'⑯ Store P&amp;L'!BN85</f>
        <v>11</v>
      </c>
      <c r="BB63" s="317" t="n">
        <f aca="false">'⑯ Store P&amp;L'!BO85</f>
        <v>12</v>
      </c>
      <c r="BC63" s="317" t="n">
        <f aca="false">'⑯ Store P&amp;L'!BP85</f>
        <v>12</v>
      </c>
      <c r="BD63" s="317" t="n">
        <f aca="false">'⑯ Store P&amp;L'!BQ85</f>
        <v>13</v>
      </c>
      <c r="BE63" s="317" t="n">
        <f aca="false">'⑯ Store P&amp;L'!BR85</f>
        <v>13</v>
      </c>
      <c r="BF63" s="317" t="n">
        <f aca="false">'⑯ Store P&amp;L'!BS85</f>
        <v>14</v>
      </c>
      <c r="BG63" s="317" t="n">
        <f aca="false">'⑯ Store P&amp;L'!BT85</f>
        <v>14</v>
      </c>
      <c r="BH63" s="317" t="n">
        <f aca="false">'⑯ Store P&amp;L'!BU85</f>
        <v>16</v>
      </c>
      <c r="BI63" s="317" t="n">
        <f aca="false">'⑯ Store P&amp;L'!BV85</f>
        <v>16</v>
      </c>
      <c r="BJ63" s="317" t="n">
        <f aca="false">'⑯ Store P&amp;L'!BW85</f>
        <v>17</v>
      </c>
      <c r="BK63" s="317" t="n">
        <f aca="false">'⑯ Store P&amp;L'!BX85</f>
        <v>18</v>
      </c>
      <c r="BL63" s="317" t="n">
        <f aca="false">'⑯ Store P&amp;L'!BY85</f>
        <v>18</v>
      </c>
      <c r="BM63" s="317" t="n">
        <f aca="false">'⑯ Store P&amp;L'!BZ85</f>
        <v>18</v>
      </c>
      <c r="BN63" s="317" t="n">
        <f aca="false">'⑯ Store P&amp;L'!CA85</f>
        <v>18</v>
      </c>
      <c r="BO63" s="317" t="n">
        <f aca="false">'⑯ Store P&amp;L'!CB85</f>
        <v>18</v>
      </c>
      <c r="BP63" s="317" t="n">
        <f aca="false">'⑯ Store P&amp;L'!CC85</f>
        <v>18</v>
      </c>
      <c r="BQ63" s="317" t="n">
        <f aca="false">'⑯ Store P&amp;L'!CD85</f>
        <v>18</v>
      </c>
      <c r="BR63" s="317" t="n">
        <f aca="false">'⑯ Store P&amp;L'!CE85</f>
        <v>18</v>
      </c>
      <c r="BS63" s="317" t="n">
        <f aca="false">'⑯ Store P&amp;L'!CF85</f>
        <v>19</v>
      </c>
      <c r="BT63" s="317" t="n">
        <f aca="false">'⑯ Store P&amp;L'!CG85</f>
        <v>19</v>
      </c>
      <c r="BU63" s="317" t="n">
        <f aca="false">'⑯ Store P&amp;L'!CH85</f>
        <v>19</v>
      </c>
      <c r="BV63" s="317" t="n">
        <f aca="false">'⑯ Store P&amp;L'!CI85</f>
        <v>19</v>
      </c>
      <c r="BW63" s="317" t="n">
        <f aca="false">'⑯ Store P&amp;L'!CJ85</f>
        <v>19</v>
      </c>
      <c r="BX63" s="317" t="n">
        <f aca="false">'⑯ Store P&amp;L'!CK85</f>
        <v>20</v>
      </c>
      <c r="BY63" s="317" t="n">
        <f aca="false">'⑯ Store P&amp;L'!CL85</f>
        <v>21</v>
      </c>
      <c r="BZ63" s="317" t="n">
        <f aca="false">'⑯ Store P&amp;L'!CM85</f>
        <v>21</v>
      </c>
      <c r="CA63" s="317" t="n">
        <f aca="false">'⑯ Store P&amp;L'!CN85</f>
        <v>22</v>
      </c>
      <c r="CB63" s="317" t="n">
        <f aca="false">'⑯ Store P&amp;L'!CO85</f>
        <v>22</v>
      </c>
      <c r="CC63" s="317" t="n">
        <f aca="false">'⑯ Store P&amp;L'!CP85</f>
        <v>23</v>
      </c>
      <c r="CD63" s="317" t="n">
        <f aca="false">'⑯ Store P&amp;L'!CQ85</f>
        <v>23</v>
      </c>
      <c r="CE63" s="317" t="n">
        <f aca="false">'⑯ Store P&amp;L'!CR85</f>
        <v>23</v>
      </c>
      <c r="CF63" s="317" t="n">
        <f aca="false">'⑯ Store P&amp;L'!CS85</f>
        <v>23</v>
      </c>
      <c r="CG63" s="317" t="n">
        <f aca="false">'⑯ Store P&amp;L'!CT85</f>
        <v>23</v>
      </c>
      <c r="CH63" s="317" t="n">
        <f aca="false">'⑯ Store P&amp;L'!CU85</f>
        <v>23</v>
      </c>
      <c r="CI63" s="317" t="n">
        <f aca="false">'⑯ Store P&amp;L'!CV85</f>
        <v>23</v>
      </c>
      <c r="CJ63" s="317" t="n">
        <f aca="false">'⑯ Store P&amp;L'!CW85</f>
        <v>24</v>
      </c>
      <c r="CK63" s="317" t="n">
        <f aca="false">'⑯ Store P&amp;L'!CX85</f>
        <v>25</v>
      </c>
      <c r="CL63" s="317" t="n">
        <f aca="false">'⑯ Store P&amp;L'!CY85</f>
        <v>26</v>
      </c>
      <c r="CM63" s="317" t="n">
        <f aca="false">'⑯ Store P&amp;L'!CZ85</f>
        <v>27</v>
      </c>
      <c r="CN63" s="317" t="n">
        <f aca="false">'⑯ Store P&amp;L'!DA85</f>
        <v>29</v>
      </c>
      <c r="CO63" s="317" t="n">
        <f aca="false">'⑯ Store P&amp;L'!DB85</f>
        <v>29</v>
      </c>
      <c r="CP63" s="317" t="n">
        <f aca="false">'⑯ Store P&amp;L'!DC85</f>
        <v>29</v>
      </c>
      <c r="CQ63" s="317" t="n">
        <f aca="false">'⑯ Store P&amp;L'!DD85</f>
        <v>29</v>
      </c>
      <c r="CR63" s="317" t="n">
        <f aca="false">'⑯ Store P&amp;L'!DE85</f>
        <v>29</v>
      </c>
      <c r="CS63" s="317" t="n">
        <f aca="false">'⑯ Store P&amp;L'!DF85</f>
        <v>30</v>
      </c>
      <c r="CT63" s="317" t="n">
        <f aca="false">'⑯ Store P&amp;L'!DG85</f>
        <v>30</v>
      </c>
      <c r="CU63" s="317" t="n">
        <f aca="false">'⑯ Store P&amp;L'!DH85</f>
        <v>30</v>
      </c>
      <c r="CV63" s="317" t="n">
        <f aca="false">'⑯ Store P&amp;L'!DI85</f>
        <v>30</v>
      </c>
      <c r="CW63" s="317" t="n">
        <f aca="false">'⑯ Store P&amp;L'!DJ85</f>
        <v>30</v>
      </c>
      <c r="CX63" s="317" t="n">
        <f aca="false">'⑯ Store P&amp;L'!DK85</f>
        <v>31</v>
      </c>
      <c r="CY63" s="317" t="n">
        <f aca="false">'⑯ Store P&amp;L'!DL85</f>
        <v>32</v>
      </c>
      <c r="CZ63" s="317" t="n">
        <f aca="false">'⑯ Store P&amp;L'!DM85</f>
        <v>32</v>
      </c>
      <c r="DA63" s="317" t="n">
        <f aca="false">'⑯ Store P&amp;L'!DN85</f>
        <v>32</v>
      </c>
      <c r="DB63" s="317" t="n">
        <f aca="false">'⑯ Store P&amp;L'!DO85</f>
        <v>32</v>
      </c>
      <c r="DC63" s="317" t="n">
        <f aca="false">'⑯ Store P&amp;L'!DP85</f>
        <v>33</v>
      </c>
      <c r="DD63" s="317" t="n">
        <f aca="false">'⑯ Store P&amp;L'!DQ85</f>
        <v>34</v>
      </c>
      <c r="DE63" s="317" t="n">
        <f aca="false">'⑯ Store P&amp;L'!DR85</f>
        <v>34</v>
      </c>
      <c r="DF63" s="317" t="n">
        <f aca="false">'⑯ Store P&amp;L'!DS85</f>
        <v>34</v>
      </c>
      <c r="DG63" s="317" t="n">
        <f aca="false">'⑯ Store P&amp;L'!DT85</f>
        <v>34</v>
      </c>
      <c r="DH63" s="317" t="n">
        <f aca="false">'⑯ Store P&amp;L'!DU85</f>
        <v>35</v>
      </c>
      <c r="DI63" s="317" t="n">
        <f aca="false">'⑯ Store P&amp;L'!DV85</f>
        <v>36</v>
      </c>
      <c r="DJ63" s="317" t="n">
        <f aca="false">'⑯ Store P&amp;L'!DW85</f>
        <v>37</v>
      </c>
      <c r="DK63" s="317" t="n">
        <f aca="false">'⑯ Store P&amp;L'!DX85</f>
        <v>38</v>
      </c>
      <c r="DL63" s="317" t="n">
        <f aca="false">'⑯ Store P&amp;L'!DY85</f>
        <v>39</v>
      </c>
      <c r="DM63" s="317" t="n">
        <f aca="false">'⑯ Store P&amp;L'!DZ85</f>
        <v>39</v>
      </c>
      <c r="DN63" s="317" t="n">
        <f aca="false">'⑯ Store P&amp;L'!EA85</f>
        <v>39</v>
      </c>
      <c r="DO63" s="317" t="n">
        <f aca="false">'⑯ Store P&amp;L'!EB85</f>
        <v>39</v>
      </c>
      <c r="DP63" s="317" t="n">
        <f aca="false">'⑯ Store P&amp;L'!EC85</f>
        <v>39</v>
      </c>
      <c r="DQ63" s="317" t="n">
        <f aca="false">'⑯ Store P&amp;L'!ED85</f>
        <v>40</v>
      </c>
      <c r="DR63" s="317" t="n">
        <f aca="false">'⑯ Store P&amp;L'!EE85</f>
        <v>41</v>
      </c>
      <c r="DS63" s="317" t="n">
        <f aca="false">'⑯ Store P&amp;L'!EF85</f>
        <v>42</v>
      </c>
      <c r="DT63" s="317" t="n">
        <f aca="false">'⑯ Store P&amp;L'!EG85</f>
        <v>44</v>
      </c>
      <c r="DU63" s="317" t="n">
        <f aca="false">'⑯ Store P&amp;L'!EH85</f>
        <v>46</v>
      </c>
      <c r="DV63" s="317" t="n">
        <f aca="false">'⑯ Store P&amp;L'!EI85</f>
        <v>48</v>
      </c>
      <c r="DW63" s="317" t="n">
        <f aca="false">'⑯ Store P&amp;L'!EJ85</f>
        <v>49</v>
      </c>
      <c r="DX63" s="317" t="n">
        <f aca="false">'⑯ Store P&amp;L'!EK85</f>
        <v>49</v>
      </c>
      <c r="DY63" s="317" t="n">
        <f aca="false">'⑯ Store P&amp;L'!EL85</f>
        <v>50</v>
      </c>
      <c r="DZ63" s="317" t="n">
        <f aca="false">'⑯ Store P&amp;L'!EM85</f>
        <v>51</v>
      </c>
      <c r="EA63" s="317" t="n">
        <f aca="false">'⑯ Store P&amp;L'!EN85</f>
        <v>52</v>
      </c>
      <c r="EB63" s="317" t="n">
        <f aca="false">'⑯ Store P&amp;L'!EO85</f>
        <v>53</v>
      </c>
      <c r="EC63" s="317" t="n">
        <f aca="false">'⑯ Store P&amp;L'!EP85</f>
        <v>54</v>
      </c>
      <c r="ED63" s="317" t="n">
        <f aca="false">'⑯ Store P&amp;L'!EQ85</f>
        <v>54</v>
      </c>
      <c r="EE63" s="63" t="n">
        <f aca="false">'⑯ Store P&amp;L'!ER85</f>
        <v>54</v>
      </c>
    </row>
    <row r="64" customFormat="false" ht="15" hidden="false" customHeight="false" outlineLevel="0" collapsed="false">
      <c r="B64" s="9" t="s">
        <v>1291</v>
      </c>
      <c r="C64" s="236" t="n">
        <v>0</v>
      </c>
      <c r="D64" s="236" t="n">
        <v>0</v>
      </c>
      <c r="E64" s="236" t="n">
        <v>0</v>
      </c>
      <c r="F64" s="236" t="n">
        <v>0</v>
      </c>
      <c r="G64" s="236" t="n">
        <v>0</v>
      </c>
      <c r="H64" s="236" t="n">
        <v>0</v>
      </c>
      <c r="I64" s="236" t="n">
        <v>0</v>
      </c>
      <c r="J64" s="236" t="n">
        <v>0</v>
      </c>
      <c r="K64" s="236" t="n">
        <v>0</v>
      </c>
      <c r="L64" s="236" t="n">
        <v>0</v>
      </c>
      <c r="M64" s="9" t="n">
        <v>0</v>
      </c>
      <c r="N64" s="9" t="n">
        <v>0</v>
      </c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</row>
    <row r="65" customFormat="false" ht="15" hidden="false" customHeight="false" outlineLevel="0" collapsed="false">
      <c r="B65" s="26" t="s">
        <v>1292</v>
      </c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  <c r="ED65" s="26"/>
      <c r="EE65" s="9"/>
    </row>
    <row r="66" customFormat="false" ht="15" hidden="false" customHeight="false" outlineLevel="0" collapsed="false">
      <c r="B66" s="90" t="s">
        <v>1293</v>
      </c>
      <c r="C66" s="114" t="n">
        <f aca="false" t="array" ref="C66:C66">(1+$C$31+C$64)*IF((IF(SUMPRODUCT(('⑫ Roll-out Plan'!$G$10:$G$97&lt;=C$42)*ISNUMBER(SEARCH("Colombia",'⑫ Roll-out Plan'!$C$10:$C$97))*'⑫ Roll-out Plan'!$O$10:$O$97)&gt;=1,1,0)+IF(SUMPRODUCT(('⑫ Roll-out Plan'!$G$10:$G$97&lt;=C$42)*ISNUMBER(SEARCH("Dominicana",'⑫ Roll-out Plan'!$C$10:$C$97))*'⑫ Roll-out Plan'!$O$10:$O$97)&gt;=1,1,0)+IF(SUMPRODUCT(('⑫ Roll-out Plan'!$G$10:$G$97&lt;=C$42)*ISNUMBER(SEARCH("Guatemala",'⑫ Roll-out Plan'!$C$10:$C$97))*'⑫ Roll-out Plan'!$O$10:$O$97)&gt;=1,1,0)+IF(SUMPRODUCT(('⑫ Roll-out Plan'!$G$10:$G$97&lt;=C$42)*ISNUMBER(SEARCH("Salvador",'⑫ Roll-out Plan'!$C$10:$C$97))*'⑫ Roll-out Plan'!$O$10:$O$97)&gt;=1,1,0))=0,'🎚️ Escenario'!$C$7,1)</f>
        <v>1.362</v>
      </c>
      <c r="D66" s="114" t="n">
        <f aca="false" t="array" ref="D66:D66">(1+$C$31+D$64)*IF((IF(SUMPRODUCT(('⑫ Roll-out Plan'!$G$10:$G$97&lt;=D$42)*ISNUMBER(SEARCH("Colombia",'⑫ Roll-out Plan'!$C$10:$C$97))*'⑫ Roll-out Plan'!$O$10:$O$97)&gt;=1,1,0)+IF(SUMPRODUCT(('⑫ Roll-out Plan'!$G$10:$G$97&lt;=D$42)*ISNUMBER(SEARCH("Dominicana",'⑫ Roll-out Plan'!$C$10:$C$97))*'⑫ Roll-out Plan'!$O$10:$O$97)&gt;=1,1,0)+IF(SUMPRODUCT(('⑫ Roll-out Plan'!$G$10:$G$97&lt;=D$42)*ISNUMBER(SEARCH("Guatemala",'⑫ Roll-out Plan'!$C$10:$C$97))*'⑫ Roll-out Plan'!$O$10:$O$97)&gt;=1,1,0)+IF(SUMPRODUCT(('⑫ Roll-out Plan'!$G$10:$G$97&lt;=D$42)*ISNUMBER(SEARCH("Salvador",'⑫ Roll-out Plan'!$C$10:$C$97))*'⑫ Roll-out Plan'!$O$10:$O$97)&gt;=1,1,0))=0,'🎚️ Escenario'!$C$7,1)</f>
        <v>1.362</v>
      </c>
      <c r="E66" s="114" t="n">
        <f aca="false" t="array" ref="E66:E66">(1+$C$31+E$64)*IF((IF(SUMPRODUCT(('⑫ Roll-out Plan'!$G$10:$G$97&lt;=E$42)*ISNUMBER(SEARCH("Colombia",'⑫ Roll-out Plan'!$C$10:$C$97))*'⑫ Roll-out Plan'!$O$10:$O$97)&gt;=1,1,0)+IF(SUMPRODUCT(('⑫ Roll-out Plan'!$G$10:$G$97&lt;=E$42)*ISNUMBER(SEARCH("Dominicana",'⑫ Roll-out Plan'!$C$10:$C$97))*'⑫ Roll-out Plan'!$O$10:$O$97)&gt;=1,1,0)+IF(SUMPRODUCT(('⑫ Roll-out Plan'!$G$10:$G$97&lt;=E$42)*ISNUMBER(SEARCH("Guatemala",'⑫ Roll-out Plan'!$C$10:$C$97))*'⑫ Roll-out Plan'!$O$10:$O$97)&gt;=1,1,0)+IF(SUMPRODUCT(('⑫ Roll-out Plan'!$G$10:$G$97&lt;=E$42)*ISNUMBER(SEARCH("Salvador",'⑫ Roll-out Plan'!$C$10:$C$97))*'⑫ Roll-out Plan'!$O$10:$O$97)&gt;=1,1,0))=0,'🎚️ Escenario'!$C$7,1)</f>
        <v>1.362</v>
      </c>
      <c r="F66" s="114" t="n">
        <f aca="false" t="array" ref="F66:F66">(1+$C$31+F$64)*IF((IF(SUMPRODUCT(('⑫ Roll-out Plan'!$G$10:$G$97&lt;=F$42)*ISNUMBER(SEARCH("Colombia",'⑫ Roll-out Plan'!$C$10:$C$97))*'⑫ Roll-out Plan'!$O$10:$O$97)&gt;=1,1,0)+IF(SUMPRODUCT(('⑫ Roll-out Plan'!$G$10:$G$97&lt;=F$42)*ISNUMBER(SEARCH("Dominicana",'⑫ Roll-out Plan'!$C$10:$C$97))*'⑫ Roll-out Plan'!$O$10:$O$97)&gt;=1,1,0)+IF(SUMPRODUCT(('⑫ Roll-out Plan'!$G$10:$G$97&lt;=F$42)*ISNUMBER(SEARCH("Guatemala",'⑫ Roll-out Plan'!$C$10:$C$97))*'⑫ Roll-out Plan'!$O$10:$O$97)&gt;=1,1,0)+IF(SUMPRODUCT(('⑫ Roll-out Plan'!$G$10:$G$97&lt;=F$42)*ISNUMBER(SEARCH("Salvador",'⑫ Roll-out Plan'!$C$10:$C$97))*'⑫ Roll-out Plan'!$O$10:$O$97)&gt;=1,1,0))=0,'🎚️ Escenario'!$C$7,1)</f>
        <v>1.362</v>
      </c>
      <c r="G66" s="114" t="n">
        <f aca="false" t="array" ref="G66:G66">(1+$C$31+G$64)*IF((IF(SUMPRODUCT(('⑫ Roll-out Plan'!$G$10:$G$97&lt;=G$42)*ISNUMBER(SEARCH("Colombia",'⑫ Roll-out Plan'!$C$10:$C$97))*'⑫ Roll-out Plan'!$O$10:$O$97)&gt;=1,1,0)+IF(SUMPRODUCT(('⑫ Roll-out Plan'!$G$10:$G$97&lt;=G$42)*ISNUMBER(SEARCH("Dominicana",'⑫ Roll-out Plan'!$C$10:$C$97))*'⑫ Roll-out Plan'!$O$10:$O$97)&gt;=1,1,0)+IF(SUMPRODUCT(('⑫ Roll-out Plan'!$G$10:$G$97&lt;=G$42)*ISNUMBER(SEARCH("Guatemala",'⑫ Roll-out Plan'!$C$10:$C$97))*'⑫ Roll-out Plan'!$O$10:$O$97)&gt;=1,1,0)+IF(SUMPRODUCT(('⑫ Roll-out Plan'!$G$10:$G$97&lt;=G$42)*ISNUMBER(SEARCH("Salvador",'⑫ Roll-out Plan'!$C$10:$C$97))*'⑫ Roll-out Plan'!$O$10:$O$97)&gt;=1,1,0))=0,'🎚️ Escenario'!$C$7,1)</f>
        <v>1.362</v>
      </c>
      <c r="H66" s="114" t="n">
        <f aca="false" t="array" ref="H66:H66">(1+$C$31+H$64)*IF((IF(SUMPRODUCT(('⑫ Roll-out Plan'!$G$10:$G$97&lt;=H$42)*ISNUMBER(SEARCH("Colombia",'⑫ Roll-out Plan'!$C$10:$C$97))*'⑫ Roll-out Plan'!$O$10:$O$97)&gt;=1,1,0)+IF(SUMPRODUCT(('⑫ Roll-out Plan'!$G$10:$G$97&lt;=H$42)*ISNUMBER(SEARCH("Dominicana",'⑫ Roll-out Plan'!$C$10:$C$97))*'⑫ Roll-out Plan'!$O$10:$O$97)&gt;=1,1,0)+IF(SUMPRODUCT(('⑫ Roll-out Plan'!$G$10:$G$97&lt;=H$42)*ISNUMBER(SEARCH("Guatemala",'⑫ Roll-out Plan'!$C$10:$C$97))*'⑫ Roll-out Plan'!$O$10:$O$97)&gt;=1,1,0)+IF(SUMPRODUCT(('⑫ Roll-out Plan'!$G$10:$G$97&lt;=H$42)*ISNUMBER(SEARCH("Salvador",'⑫ Roll-out Plan'!$C$10:$C$97))*'⑫ Roll-out Plan'!$O$10:$O$97)&gt;=1,1,0))=0,'🎚️ Escenario'!$C$7,1)</f>
        <v>1.362</v>
      </c>
      <c r="I66" s="114" t="n">
        <f aca="false" t="array" ref="I66:I66">(1+$C$31+I$64)*IF((IF(SUMPRODUCT(('⑫ Roll-out Plan'!$G$10:$G$97&lt;=I$42)*ISNUMBER(SEARCH("Colombia",'⑫ Roll-out Plan'!$C$10:$C$97))*'⑫ Roll-out Plan'!$O$10:$O$97)&gt;=1,1,0)+IF(SUMPRODUCT(('⑫ Roll-out Plan'!$G$10:$G$97&lt;=I$42)*ISNUMBER(SEARCH("Dominicana",'⑫ Roll-out Plan'!$C$10:$C$97))*'⑫ Roll-out Plan'!$O$10:$O$97)&gt;=1,1,0)+IF(SUMPRODUCT(('⑫ Roll-out Plan'!$G$10:$G$97&lt;=I$42)*ISNUMBER(SEARCH("Guatemala",'⑫ Roll-out Plan'!$C$10:$C$97))*'⑫ Roll-out Plan'!$O$10:$O$97)&gt;=1,1,0)+IF(SUMPRODUCT(('⑫ Roll-out Plan'!$G$10:$G$97&lt;=I$42)*ISNUMBER(SEARCH("Salvador",'⑫ Roll-out Plan'!$C$10:$C$97))*'⑫ Roll-out Plan'!$O$10:$O$97)&gt;=1,1,0))=0,'🎚️ Escenario'!$C$7,1)</f>
        <v>1.362</v>
      </c>
      <c r="J66" s="114" t="n">
        <f aca="false" t="array" ref="J66:J66">(1+$C$31+J$64)*IF((IF(SUMPRODUCT(('⑫ Roll-out Plan'!$G$10:$G$97&lt;=J$42)*ISNUMBER(SEARCH("Colombia",'⑫ Roll-out Plan'!$C$10:$C$97))*'⑫ Roll-out Plan'!$O$10:$O$97)&gt;=1,1,0)+IF(SUMPRODUCT(('⑫ Roll-out Plan'!$G$10:$G$97&lt;=J$42)*ISNUMBER(SEARCH("Dominicana",'⑫ Roll-out Plan'!$C$10:$C$97))*'⑫ Roll-out Plan'!$O$10:$O$97)&gt;=1,1,0)+IF(SUMPRODUCT(('⑫ Roll-out Plan'!$G$10:$G$97&lt;=J$42)*ISNUMBER(SEARCH("Guatemala",'⑫ Roll-out Plan'!$C$10:$C$97))*'⑫ Roll-out Plan'!$O$10:$O$97)&gt;=1,1,0)+IF(SUMPRODUCT(('⑫ Roll-out Plan'!$G$10:$G$97&lt;=J$42)*ISNUMBER(SEARCH("Salvador",'⑫ Roll-out Plan'!$C$10:$C$97))*'⑫ Roll-out Plan'!$O$10:$O$97)&gt;=1,1,0))=0,'🎚️ Escenario'!$C$7,1)</f>
        <v>1.362</v>
      </c>
      <c r="K66" s="114" t="n">
        <f aca="false" t="array" ref="K66:K66">(1+$C$31+K$64)*IF((IF(SUMPRODUCT(('⑫ Roll-out Plan'!$G$10:$G$97&lt;=K$42)*ISNUMBER(SEARCH("Colombia",'⑫ Roll-out Plan'!$C$10:$C$97))*'⑫ Roll-out Plan'!$O$10:$O$97)&gt;=1,1,0)+IF(SUMPRODUCT(('⑫ Roll-out Plan'!$G$10:$G$97&lt;=K$42)*ISNUMBER(SEARCH("Dominicana",'⑫ Roll-out Plan'!$C$10:$C$97))*'⑫ Roll-out Plan'!$O$10:$O$97)&gt;=1,1,0)+IF(SUMPRODUCT(('⑫ Roll-out Plan'!$G$10:$G$97&lt;=K$42)*ISNUMBER(SEARCH("Guatemala",'⑫ Roll-out Plan'!$C$10:$C$97))*'⑫ Roll-out Plan'!$O$10:$O$97)&gt;=1,1,0)+IF(SUMPRODUCT(('⑫ Roll-out Plan'!$G$10:$G$97&lt;=K$42)*ISNUMBER(SEARCH("Salvador",'⑫ Roll-out Plan'!$C$10:$C$97))*'⑫ Roll-out Plan'!$O$10:$O$97)&gt;=1,1,0))=0,'🎚️ Escenario'!$C$7,1)</f>
        <v>1.362</v>
      </c>
      <c r="L66" s="114" t="n">
        <f aca="false" t="array" ref="L66:L66">(1+$C$31+L$64)*IF((IF(SUMPRODUCT(('⑫ Roll-out Plan'!$G$10:$G$97&lt;=L$42)*ISNUMBER(SEARCH("Colombia",'⑫ Roll-out Plan'!$C$10:$C$97))*'⑫ Roll-out Plan'!$O$10:$O$97)&gt;=1,1,0)+IF(SUMPRODUCT(('⑫ Roll-out Plan'!$G$10:$G$97&lt;=L$42)*ISNUMBER(SEARCH("Dominicana",'⑫ Roll-out Plan'!$C$10:$C$97))*'⑫ Roll-out Plan'!$O$10:$O$97)&gt;=1,1,0)+IF(SUMPRODUCT(('⑫ Roll-out Plan'!$G$10:$G$97&lt;=L$42)*ISNUMBER(SEARCH("Guatemala",'⑫ Roll-out Plan'!$C$10:$C$97))*'⑫ Roll-out Plan'!$O$10:$O$97)&gt;=1,1,0)+IF(SUMPRODUCT(('⑫ Roll-out Plan'!$G$10:$G$97&lt;=L$42)*ISNUMBER(SEARCH("Salvador",'⑫ Roll-out Plan'!$C$10:$C$97))*'⑫ Roll-out Plan'!$O$10:$O$97)&gt;=1,1,0))=0,'🎚️ Escenario'!$C$7,1)</f>
        <v>1.362</v>
      </c>
      <c r="M66" s="114" t="n">
        <f aca="false" t="array" ref="M66:M66">(1+$C$31+M$64)*IF((IF(SUMPRODUCT(('⑫ Roll-out Plan'!$G$10:$G$97&lt;=M$42)*ISNUMBER(SEARCH("Colombia",'⑫ Roll-out Plan'!$C$10:$C$97))*'⑫ Roll-out Plan'!$O$10:$O$97)&gt;=1,1,0)+IF(SUMPRODUCT(('⑫ Roll-out Plan'!$G$10:$G$97&lt;=M$42)*ISNUMBER(SEARCH("Dominicana",'⑫ Roll-out Plan'!$C$10:$C$97))*'⑫ Roll-out Plan'!$O$10:$O$97)&gt;=1,1,0)+IF(SUMPRODUCT(('⑫ Roll-out Plan'!$G$10:$G$97&lt;=M$42)*ISNUMBER(SEARCH("Guatemala",'⑫ Roll-out Plan'!$C$10:$C$97))*'⑫ Roll-out Plan'!$O$10:$O$97)&gt;=1,1,0)+IF(SUMPRODUCT(('⑫ Roll-out Plan'!$G$10:$G$97&lt;=M$42)*ISNUMBER(SEARCH("Salvador",'⑫ Roll-out Plan'!$C$10:$C$97))*'⑫ Roll-out Plan'!$O$10:$O$97)&gt;=1,1,0))=0,'🎚️ Escenario'!$C$7,1)</f>
        <v>1.362</v>
      </c>
      <c r="N66" s="114" t="n">
        <f aca="false" t="array" ref="N66:N66">(1+$C$31+N$64)*IF((IF(SUMPRODUCT(('⑫ Roll-out Plan'!$G$10:$G$97&lt;=N$42)*ISNUMBER(SEARCH("Colombia",'⑫ Roll-out Plan'!$C$10:$C$97))*'⑫ Roll-out Plan'!$O$10:$O$97)&gt;=1,1,0)+IF(SUMPRODUCT(('⑫ Roll-out Plan'!$G$10:$G$97&lt;=N$42)*ISNUMBER(SEARCH("Dominicana",'⑫ Roll-out Plan'!$C$10:$C$97))*'⑫ Roll-out Plan'!$O$10:$O$97)&gt;=1,1,0)+IF(SUMPRODUCT(('⑫ Roll-out Plan'!$G$10:$G$97&lt;=N$42)*ISNUMBER(SEARCH("Guatemala",'⑫ Roll-out Plan'!$C$10:$C$97))*'⑫ Roll-out Plan'!$O$10:$O$97)&gt;=1,1,0)+IF(SUMPRODUCT(('⑫ Roll-out Plan'!$G$10:$G$97&lt;=N$42)*ISNUMBER(SEARCH("Salvador",'⑫ Roll-out Plan'!$C$10:$C$97))*'⑫ Roll-out Plan'!$O$10:$O$97)&gt;=1,1,0))=0,'🎚️ Escenario'!$C$7,1)</f>
        <v>1.362</v>
      </c>
      <c r="O66" s="9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40"/>
      <c r="DE66" s="40"/>
      <c r="DF66" s="40"/>
      <c r="DG66" s="40"/>
      <c r="DH66" s="40"/>
      <c r="DI66" s="40"/>
      <c r="DJ66" s="40"/>
      <c r="DK66" s="40"/>
      <c r="DL66" s="40"/>
      <c r="DM66" s="40"/>
      <c r="DN66" s="40"/>
      <c r="DO66" s="40"/>
      <c r="DP66" s="40"/>
      <c r="DQ66" s="40"/>
      <c r="DR66" s="40"/>
      <c r="DS66" s="40"/>
      <c r="DT66" s="40"/>
      <c r="DU66" s="40"/>
      <c r="DV66" s="40"/>
      <c r="DW66" s="40"/>
      <c r="DX66" s="40"/>
      <c r="DY66" s="40"/>
      <c r="DZ66" s="40"/>
      <c r="EA66" s="40"/>
      <c r="EB66" s="40"/>
      <c r="EC66" s="40"/>
      <c r="ED66" s="40"/>
      <c r="EE66" s="121"/>
    </row>
    <row r="67" customFormat="false" ht="15" hidden="false" customHeight="false" outlineLevel="0" collapsed="false">
      <c r="B67" s="9" t="s">
        <v>1294</v>
      </c>
      <c r="C67" s="28" t="n">
        <f aca="false">IF('⑯ Store P&amp;L'!C37&gt;=5,0,0)+IF('⑯ Store P&amp;L'!C37&gt;=7,$C$14,0)+IF('⑯ Store P&amp;L'!C37&gt;=8,$C$15,0)+IF('⑯ Store P&amp;L'!C37&gt;=8,$C$18,0)+IF('⑯ Store P&amp;L'!C37&gt;=25,$C$26,0)+IF(C$42&gt;=2027,$C$17+$C$22+$C$20,0)</f>
        <v>0</v>
      </c>
      <c r="D67" s="28" t="n">
        <f aca="false">IF('⑯ Store P&amp;L'!D37&gt;=5,0,0)+IF('⑯ Store P&amp;L'!D37&gt;=7,$C$14,0)+IF('⑯ Store P&amp;L'!D37&gt;=8,$C$15,0)+IF('⑯ Store P&amp;L'!D37&gt;=8,$C$18,0)+IF('⑯ Store P&amp;L'!D37&gt;=25,$C$26,0)+IF(D$42&gt;=2027,$C$17+$C$22+$C$20,0)</f>
        <v>0</v>
      </c>
      <c r="E67" s="28" t="n">
        <f aca="false">IF('⑯ Store P&amp;L'!E37&gt;=5,0,0)+IF('⑯ Store P&amp;L'!E37&gt;=7,$C$14,0)+IF('⑯ Store P&amp;L'!E37&gt;=8,$C$15,0)+IF('⑯ Store P&amp;L'!E37&gt;=8,$C$18,0)+IF('⑯ Store P&amp;L'!E37&gt;=25,$C$26,0)+IF(E$42&gt;=2027,$C$17+$C$22+$C$20,0)</f>
        <v>8000</v>
      </c>
      <c r="F67" s="28" t="n">
        <f aca="false">IF('⑯ Store P&amp;L'!F37&gt;=5,0,0)+IF('⑯ Store P&amp;L'!F37&gt;=7,$C$14,0)+IF('⑯ Store P&amp;L'!F37&gt;=8,$C$15,0)+IF('⑯ Store P&amp;L'!F37&gt;=8,$C$18,0)+IF('⑯ Store P&amp;L'!F37&gt;=25,$C$26,0)+IF(F$42&gt;=2027,$C$17+$C$22+$C$20,0)</f>
        <v>8000</v>
      </c>
      <c r="G67" s="28" t="n">
        <f aca="false">IF('⑯ Store P&amp;L'!G37&gt;=5,0,0)+IF('⑯ Store P&amp;L'!G37&gt;=7,$C$14,0)+IF('⑯ Store P&amp;L'!G37&gt;=8,$C$15,0)+IF('⑯ Store P&amp;L'!G37&gt;=8,$C$18,0)+IF('⑯ Store P&amp;L'!G37&gt;=25,$C$26,0)+IF(G$42&gt;=2027,$C$17+$C$22+$C$20,0)</f>
        <v>8000</v>
      </c>
      <c r="H67" s="28" t="n">
        <f aca="false">IF('⑯ Store P&amp;L'!H37&gt;=5,0,0)+IF('⑯ Store P&amp;L'!H37&gt;=7,$C$14,0)+IF('⑯ Store P&amp;L'!H37&gt;=8,$C$15,0)+IF('⑯ Store P&amp;L'!H37&gt;=8,$C$18,0)+IF('⑯ Store P&amp;L'!H37&gt;=25,$C$26,0)+IF(H$42&gt;=2027,$C$17+$C$22+$C$20,0)</f>
        <v>8000</v>
      </c>
      <c r="I67" s="28" t="n">
        <f aca="false">IF('⑯ Store P&amp;L'!I37&gt;=5,0,0)+IF('⑯ Store P&amp;L'!I37&gt;=7,$C$14,0)+IF('⑯ Store P&amp;L'!I37&gt;=8,$C$15,0)+IF('⑯ Store P&amp;L'!I37&gt;=8,$C$18,0)+IF('⑯ Store P&amp;L'!I37&gt;=25,$C$26,0)+IF(I$42&gt;=2027,$C$17+$C$22+$C$20,0)</f>
        <v>10000</v>
      </c>
      <c r="J67" s="28" t="n">
        <f aca="false">IF('⑯ Store P&amp;L'!J37&gt;=5,0,0)+IF('⑯ Store P&amp;L'!J37&gt;=7,$C$14,0)+IF('⑯ Store P&amp;L'!J37&gt;=8,$C$15,0)+IF('⑯ Store P&amp;L'!J37&gt;=8,$C$18,0)+IF('⑯ Store P&amp;L'!J37&gt;=25,$C$26,0)+IF(J$42&gt;=2027,$C$17+$C$22+$C$20,0)</f>
        <v>10000</v>
      </c>
      <c r="K67" s="28" t="n">
        <f aca="false">IF('⑯ Store P&amp;L'!K37&gt;=5,0,0)+IF('⑯ Store P&amp;L'!K37&gt;=7,$C$14,0)+IF('⑯ Store P&amp;L'!K37&gt;=8,$C$15,0)+IF('⑯ Store P&amp;L'!K37&gt;=8,$C$18,0)+IF('⑯ Store P&amp;L'!K37&gt;=25,$C$26,0)+IF(K$42&gt;=2027,$C$17+$C$22+$C$20,0)</f>
        <v>10000</v>
      </c>
      <c r="L67" s="28" t="n">
        <f aca="false">IF('⑯ Store P&amp;L'!L37&gt;=5,0,0)+IF('⑯ Store P&amp;L'!L37&gt;=7,$C$14,0)+IF('⑯ Store P&amp;L'!L37&gt;=8,$C$15,0)+IF('⑯ Store P&amp;L'!L37&gt;=8,$C$18,0)+IF('⑯ Store P&amp;L'!L37&gt;=25,$C$26,0)+IF(L$42&gt;=2027,$C$17+$C$22+$C$20,0)</f>
        <v>10000</v>
      </c>
      <c r="M67" s="28" t="n">
        <f aca="false">IF('⑯ Store P&amp;L'!M37&gt;=5,0,0)+IF('⑯ Store P&amp;L'!M37&gt;=7,$C$14,0)+IF('⑯ Store P&amp;L'!M37&gt;=8,$C$15,0)+IF('⑯ Store P&amp;L'!M37&gt;=8,$C$18,0)+IF('⑯ Store P&amp;L'!M37&gt;=25,$C$26,0)+IF(M$42&gt;=2027,$C$17+$C$22+$C$20,0)</f>
        <v>10000</v>
      </c>
      <c r="N67" s="28" t="n">
        <f aca="false">IF('⑯ Store P&amp;L'!N37&gt;=5,0,0)+IF('⑯ Store P&amp;L'!N37&gt;=7,$C$14,0)+IF('⑯ Store P&amp;L'!N37&gt;=8,$C$15,0)+IF('⑯ Store P&amp;L'!N37&gt;=8,$C$18,0)+IF('⑯ Store P&amp;L'!N37&gt;=25,$C$26,0)+IF(N$42&gt;=2027,$C$17+$C$22+$C$20,0)</f>
        <v>10000</v>
      </c>
      <c r="O67" s="9"/>
      <c r="P67" s="28" t="n">
        <f aca="false">IF(P63&gt;=5,0,0)+IF(P63&gt;=7,IF(P$61&gt;=DATE(2027,4,1),$C$14,0),0)+IF(P63&gt;=8,$C$15,0)+IF(P63&gt;=8,$C$18,0)+IF(P63&gt;=25,$C$26,0)+IF(P$61&gt;=DATE(2027,3,1),$C$22,0)+IF(P$61&gt;=DATE(2027,4,1),$C$17+$C$20,0)</f>
        <v>0</v>
      </c>
      <c r="Q67" s="28" t="n">
        <f aca="false">IF(Q63&gt;=5,0,0)+IF(Q63&gt;=7,IF(Q$61&gt;=DATE(2027,4,1),$C$14,0),0)+IF(Q63&gt;=8,$C$15,0)+IF(Q63&gt;=8,$C$18,0)+IF(Q63&gt;=25,$C$26,0)+IF(Q$61&gt;=DATE(2027,3,1),$C$22,0)+IF(Q$61&gt;=DATE(2027,4,1),$C$17+$C$20,0)</f>
        <v>0</v>
      </c>
      <c r="R67" s="28" t="n">
        <f aca="false">IF(R63&gt;=5,0,0)+IF(R63&gt;=7,IF(R$61&gt;=DATE(2027,4,1),$C$14,0),0)+IF(R63&gt;=8,$C$15,0)+IF(R63&gt;=8,$C$18,0)+IF(R63&gt;=25,$C$26,0)+IF(R$61&gt;=DATE(2027,3,1),$C$22,0)+IF(R$61&gt;=DATE(2027,4,1),$C$17+$C$20,0)</f>
        <v>0</v>
      </c>
      <c r="S67" s="28" t="n">
        <f aca="false">IF(S63&gt;=5,0,0)+IF(S63&gt;=7,IF(S$61&gt;=DATE(2027,4,1),$C$14,0),0)+IF(S63&gt;=8,$C$15,0)+IF(S63&gt;=8,$C$18,0)+IF(S63&gt;=25,$C$26,0)+IF(S$61&gt;=DATE(2027,3,1),$C$22,0)+IF(S$61&gt;=DATE(2027,4,1),$C$17+$C$20,0)</f>
        <v>0</v>
      </c>
      <c r="T67" s="28" t="n">
        <f aca="false">IF(T63&gt;=5,0,0)+IF(T63&gt;=7,IF(T$61&gt;=DATE(2027,4,1),$C$14,0),0)+IF(T63&gt;=8,$C$15,0)+IF(T63&gt;=8,$C$18,0)+IF(T63&gt;=25,$C$26,0)+IF(T$61&gt;=DATE(2027,3,1),$C$22,0)+IF(T$61&gt;=DATE(2027,4,1),$C$17+$C$20,0)</f>
        <v>0</v>
      </c>
      <c r="U67" s="28" t="n">
        <f aca="false">IF(U63&gt;=5,0,0)+IF(U63&gt;=7,IF(U$61&gt;=DATE(2027,4,1),$C$14,0),0)+IF(U63&gt;=8,$C$15,0)+IF(U63&gt;=8,$C$18,0)+IF(U63&gt;=25,$C$26,0)+IF(U$61&gt;=DATE(2027,3,1),$C$22,0)+IF(U$61&gt;=DATE(2027,4,1),$C$17+$C$20,0)</f>
        <v>0</v>
      </c>
      <c r="V67" s="28" t="n">
        <f aca="false">IF(V63&gt;=5,0,0)+IF(V63&gt;=7,IF(V$61&gt;=DATE(2027,4,1),$C$14,0),0)+IF(V63&gt;=8,$C$15,0)+IF(V63&gt;=8,$C$18,0)+IF(V63&gt;=25,$C$26,0)+IF(V$61&gt;=DATE(2027,3,1),$C$22,0)+IF(V$61&gt;=DATE(2027,4,1),$C$17+$C$20,0)</f>
        <v>0</v>
      </c>
      <c r="W67" s="28" t="n">
        <f aca="false">IF(W63&gt;=5,0,0)+IF(W63&gt;=7,IF(W$61&gt;=DATE(2027,4,1),$C$14,0),0)+IF(W63&gt;=8,$C$15,0)+IF(W63&gt;=8,$C$18,0)+IF(W63&gt;=25,$C$26,0)+IF(W$61&gt;=DATE(2027,3,1),$C$22,0)+IF(W$61&gt;=DATE(2027,4,1),$C$17+$C$20,0)</f>
        <v>0</v>
      </c>
      <c r="X67" s="28" t="n">
        <f aca="false">IF(X63&gt;=5,0,0)+IF(X63&gt;=7,IF(X$61&gt;=DATE(2027,4,1),$C$14,0),0)+IF(X63&gt;=8,$C$15,0)+IF(X63&gt;=8,$C$18,0)+IF(X63&gt;=25,$C$26,0)+IF(X$61&gt;=DATE(2027,3,1),$C$22,0)+IF(X$61&gt;=DATE(2027,4,1),$C$17+$C$20,0)</f>
        <v>0</v>
      </c>
      <c r="Y67" s="28" t="n">
        <f aca="false">IF(Y63&gt;=5,0,0)+IF(Y63&gt;=7,IF(Y$61&gt;=DATE(2027,4,1),$C$14,0),0)+IF(Y63&gt;=8,$C$15,0)+IF(Y63&gt;=8,$C$18,0)+IF(Y63&gt;=25,$C$26,0)+IF(Y$61&gt;=DATE(2027,3,1),$C$22,0)+IF(Y$61&gt;=DATE(2027,4,1),$C$17+$C$20,0)</f>
        <v>0</v>
      </c>
      <c r="Z67" s="28" t="n">
        <f aca="false">IF(Z63&gt;=5,0,0)+IF(Z63&gt;=7,IF(Z$61&gt;=DATE(2027,4,1),$C$14,0),0)+IF(Z63&gt;=8,$C$15,0)+IF(Z63&gt;=8,$C$18,0)+IF(Z63&gt;=25,$C$26,0)+IF(Z$61&gt;=DATE(2027,3,1),$C$22,0)+IF(Z$61&gt;=DATE(2027,4,1),$C$17+$C$20,0)</f>
        <v>0</v>
      </c>
      <c r="AA67" s="28" t="n">
        <f aca="false">IF(AA63&gt;=5,0,0)+IF(AA63&gt;=7,IF(AA$61&gt;=DATE(2027,4,1),$C$14,0),0)+IF(AA63&gt;=8,$C$15,0)+IF(AA63&gt;=8,$C$18,0)+IF(AA63&gt;=25,$C$26,0)+IF(AA$61&gt;=DATE(2027,3,1),$C$22,0)+IF(AA$61&gt;=DATE(2027,4,1),$C$17+$C$20,0)</f>
        <v>0</v>
      </c>
      <c r="AB67" s="28" t="n">
        <f aca="false">IF(AB63&gt;=5,0,0)+IF(AB63&gt;=7,IF(AB$61&gt;=DATE(2027,4,1),$C$14,0),0)+IF(AB63&gt;=8,$C$15,0)+IF(AB63&gt;=8,$C$18,0)+IF(AB63&gt;=25,$C$26,0)+IF(AB$61&gt;=DATE(2027,3,1),$C$22,0)+IF(AB$61&gt;=DATE(2027,4,1),$C$17+$C$20,0)</f>
        <v>0</v>
      </c>
      <c r="AC67" s="28" t="n">
        <f aca="false">IF(AC63&gt;=5,0,0)+IF(AC63&gt;=7,IF(AC$61&gt;=DATE(2027,4,1),$C$14,0),0)+IF(AC63&gt;=8,$C$15,0)+IF(AC63&gt;=8,$C$18,0)+IF(AC63&gt;=25,$C$26,0)+IF(AC$61&gt;=DATE(2027,3,1),$C$22,0)+IF(AC$61&gt;=DATE(2027,4,1),$C$17+$C$20,0)</f>
        <v>0</v>
      </c>
      <c r="AD67" s="28" t="n">
        <f aca="false">IF(AD63&gt;=5,0,0)+IF(AD63&gt;=7,IF(AD$61&gt;=DATE(2027,4,1),$C$14,0),0)+IF(AD63&gt;=8,$C$15,0)+IF(AD63&gt;=8,$C$18,0)+IF(AD63&gt;=25,$C$26,0)+IF(AD$61&gt;=DATE(2027,3,1),$C$22,0)+IF(AD$61&gt;=DATE(2027,4,1),$C$17+$C$20,0)</f>
        <v>0</v>
      </c>
      <c r="AE67" s="28" t="n">
        <f aca="false">IF(AE63&gt;=5,0,0)+IF(AE63&gt;=7,IF(AE$61&gt;=DATE(2027,4,1),$C$14,0),0)+IF(AE63&gt;=8,$C$15,0)+IF(AE63&gt;=8,$C$18,0)+IF(AE63&gt;=25,$C$26,0)+IF(AE$61&gt;=DATE(2027,3,1),$C$22,0)+IF(AE$61&gt;=DATE(2027,4,1),$C$17+$C$20,0)</f>
        <v>0</v>
      </c>
      <c r="AF67" s="28" t="n">
        <f aca="false">IF(AF63&gt;=5,0,0)+IF(AF63&gt;=7,IF(AF$61&gt;=DATE(2027,4,1),$C$14,0),0)+IF(AF63&gt;=8,$C$15,0)+IF(AF63&gt;=8,$C$18,0)+IF(AF63&gt;=25,$C$26,0)+IF(AF$61&gt;=DATE(2027,3,1),$C$22,0)+IF(AF$61&gt;=DATE(2027,4,1),$C$17+$C$20,0)</f>
        <v>0</v>
      </c>
      <c r="AG67" s="28" t="n">
        <f aca="false">IF(AG63&gt;=5,0,0)+IF(AG63&gt;=7,IF(AG$61&gt;=DATE(2027,4,1),$C$14,0),0)+IF(AG63&gt;=8,$C$15,0)+IF(AG63&gt;=8,$C$18,0)+IF(AG63&gt;=25,$C$26,0)+IF(AG$61&gt;=DATE(2027,3,1),$C$22,0)+IF(AG$61&gt;=DATE(2027,4,1),$C$17+$C$20,0)</f>
        <v>0</v>
      </c>
      <c r="AH67" s="28" t="n">
        <f aca="false">IF(AH63&gt;=5,0,0)+IF(AH63&gt;=7,IF(AH$61&gt;=DATE(2027,4,1),$C$14,0),0)+IF(AH63&gt;=8,$C$15,0)+IF(AH63&gt;=8,$C$18,0)+IF(AH63&gt;=25,$C$26,0)+IF(AH$61&gt;=DATE(2027,3,1),$C$22,0)+IF(AH$61&gt;=DATE(2027,4,1),$C$17+$C$20,0)</f>
        <v>0</v>
      </c>
      <c r="AI67" s="28" t="n">
        <f aca="false">IF(AI63&gt;=5,0,0)+IF(AI63&gt;=7,IF(AI$61&gt;=DATE(2027,4,1),$C$14,0),0)+IF(AI63&gt;=8,$C$15,0)+IF(AI63&gt;=8,$C$18,0)+IF(AI63&gt;=25,$C$26,0)+IF(AI$61&gt;=DATE(2027,3,1),$C$22,0)+IF(AI$61&gt;=DATE(2027,4,1),$C$17+$C$20,0)</f>
        <v>0</v>
      </c>
      <c r="AJ67" s="28" t="n">
        <f aca="false">IF(AJ63&gt;=5,0,0)+IF(AJ63&gt;=7,IF(AJ$61&gt;=DATE(2027,4,1),$C$14,0),0)+IF(AJ63&gt;=8,$C$15,0)+IF(AJ63&gt;=8,$C$18,0)+IF(AJ63&gt;=25,$C$26,0)+IF(AJ$61&gt;=DATE(2027,3,1),$C$22,0)+IF(AJ$61&gt;=DATE(2027,4,1),$C$17+$C$20,0)</f>
        <v>0</v>
      </c>
      <c r="AK67" s="28" t="n">
        <f aca="false">IF(AK63&gt;=5,0,0)+IF(AK63&gt;=7,IF(AK$61&gt;=DATE(2027,4,1),$C$14,0),0)+IF(AK63&gt;=8,$C$15,0)+IF(AK63&gt;=8,$C$18,0)+IF(AK63&gt;=25,$C$26,0)+IF(AK$61&gt;=DATE(2027,3,1),$C$22,0)+IF(AK$61&gt;=DATE(2027,4,1),$C$17+$C$20,0)</f>
        <v>0</v>
      </c>
      <c r="AL67" s="28" t="n">
        <f aca="false">IF(AL63&gt;=5,0,0)+IF(AL63&gt;=7,IF(AL$61&gt;=DATE(2027,4,1),$C$14,0),0)+IF(AL63&gt;=8,$C$15,0)+IF(AL63&gt;=8,$C$18,0)+IF(AL63&gt;=25,$C$26,0)+IF(AL$61&gt;=DATE(2027,3,1),$C$22,0)+IF(AL$61&gt;=DATE(2027,4,1),$C$17+$C$20,0)</f>
        <v>0</v>
      </c>
      <c r="AM67" s="28" t="n">
        <f aca="false">IF(AM63&gt;=5,0,0)+IF(AM63&gt;=7,IF(AM$61&gt;=DATE(2027,4,1),$C$14,0),0)+IF(AM63&gt;=8,$C$15,0)+IF(AM63&gt;=8,$C$18,0)+IF(AM63&gt;=25,$C$26,0)+IF(AM$61&gt;=DATE(2027,3,1),$C$22,0)+IF(AM$61&gt;=DATE(2027,4,1),$C$17+$C$20,0)</f>
        <v>0</v>
      </c>
      <c r="AN67" s="28" t="n">
        <f aca="false">IF(AN63&gt;=5,0,0)+IF(AN63&gt;=7,IF(AN$61&gt;=DATE(2027,4,1),$C$14,0),0)+IF(AN63&gt;=8,$C$15,0)+IF(AN63&gt;=8,$C$18,0)+IF(AN63&gt;=25,$C$26,0)+IF(AN$61&gt;=DATE(2027,3,1),$C$22,0)+IF(AN$61&gt;=DATE(2027,4,1),$C$17+$C$20,0)</f>
        <v>0</v>
      </c>
      <c r="AO67" s="28" t="n">
        <f aca="false">IF(AO63&gt;=5,0,0)+IF(AO63&gt;=7,IF(AO$61&gt;=DATE(2027,4,1),$C$14,0),0)+IF(AO63&gt;=8,$C$15,0)+IF(AO63&gt;=8,$C$18,0)+IF(AO63&gt;=25,$C$26,0)+IF(AO$61&gt;=DATE(2027,3,1),$C$22,0)+IF(AO$61&gt;=DATE(2027,4,1),$C$17+$C$20,0)</f>
        <v>0</v>
      </c>
      <c r="AP67" s="28" t="n">
        <f aca="false">IF(AP63&gt;=5,0,0)+IF(AP63&gt;=7,IF(AP$61&gt;=DATE(2027,4,1),$C$14,0),0)+IF(AP63&gt;=8,$C$15,0)+IF(AP63&gt;=8,$C$18,0)+IF(AP63&gt;=25,$C$26,0)+IF(AP$61&gt;=DATE(2027,3,1),$C$22,0)+IF(AP$61&gt;=DATE(2027,4,1),$C$17+$C$20,0)</f>
        <v>0</v>
      </c>
      <c r="AQ67" s="28" t="n">
        <f aca="false">IF(AQ63&gt;=5,0,0)+IF(AQ63&gt;=7,IF(AQ$61&gt;=DATE(2027,4,1),$C$14,0),0)+IF(AQ63&gt;=8,$C$15,0)+IF(AQ63&gt;=8,$C$18,0)+IF(AQ63&gt;=25,$C$26,0)+IF(AQ$61&gt;=DATE(2027,3,1),$C$22,0)+IF(AQ$61&gt;=DATE(2027,4,1),$C$17+$C$20,0)</f>
        <v>8000</v>
      </c>
      <c r="AR67" s="28" t="n">
        <f aca="false">IF(AR63&gt;=5,0,0)+IF(AR63&gt;=7,IF(AR$61&gt;=DATE(2027,4,1),$C$14,0),0)+IF(AR63&gt;=8,$C$15,0)+IF(AR63&gt;=8,$C$18,0)+IF(AR63&gt;=25,$C$26,0)+IF(AR$61&gt;=DATE(2027,3,1),$C$22,0)+IF(AR$61&gt;=DATE(2027,4,1),$C$17+$C$20,0)</f>
        <v>8000</v>
      </c>
      <c r="AS67" s="28" t="n">
        <f aca="false">IF(AS63&gt;=5,0,0)+IF(AS63&gt;=7,IF(AS$61&gt;=DATE(2027,4,1),$C$14,0),0)+IF(AS63&gt;=8,$C$15,0)+IF(AS63&gt;=8,$C$18,0)+IF(AS63&gt;=25,$C$26,0)+IF(AS$61&gt;=DATE(2027,3,1),$C$22,0)+IF(AS$61&gt;=DATE(2027,4,1),$C$17+$C$20,0)</f>
        <v>8000</v>
      </c>
      <c r="AT67" s="28" t="n">
        <f aca="false">IF(AT63&gt;=5,0,0)+IF(AT63&gt;=7,IF(AT$61&gt;=DATE(2027,4,1),$C$14,0),0)+IF(AT63&gt;=8,$C$15,0)+IF(AT63&gt;=8,$C$18,0)+IF(AT63&gt;=25,$C$26,0)+IF(AT$61&gt;=DATE(2027,3,1),$C$22,0)+IF(AT$61&gt;=DATE(2027,4,1),$C$17+$C$20,0)</f>
        <v>8000</v>
      </c>
      <c r="AU67" s="28" t="n">
        <f aca="false">IF(AU63&gt;=5,0,0)+IF(AU63&gt;=7,IF(AU$61&gt;=DATE(2027,4,1),$C$14,0),0)+IF(AU63&gt;=8,$C$15,0)+IF(AU63&gt;=8,$C$18,0)+IF(AU63&gt;=25,$C$26,0)+IF(AU$61&gt;=DATE(2027,3,1),$C$22,0)+IF(AU$61&gt;=DATE(2027,4,1),$C$17+$C$20,0)</f>
        <v>8000</v>
      </c>
      <c r="AV67" s="28" t="n">
        <f aca="false">IF(AV63&gt;=5,0,0)+IF(AV63&gt;=7,IF(AV$61&gt;=DATE(2027,4,1),$C$14,0),0)+IF(AV63&gt;=8,$C$15,0)+IF(AV63&gt;=8,$C$18,0)+IF(AV63&gt;=25,$C$26,0)+IF(AV$61&gt;=DATE(2027,3,1),$C$22,0)+IF(AV$61&gt;=DATE(2027,4,1),$C$17+$C$20,0)</f>
        <v>8000</v>
      </c>
      <c r="AW67" s="28" t="n">
        <f aca="false">IF(AW63&gt;=5,0,0)+IF(AW63&gt;=7,IF(AW$61&gt;=DATE(2027,4,1),$C$14,0),0)+IF(AW63&gt;=8,$C$15,0)+IF(AW63&gt;=8,$C$18,0)+IF(AW63&gt;=25,$C$26,0)+IF(AW$61&gt;=DATE(2027,3,1),$C$22,0)+IF(AW$61&gt;=DATE(2027,4,1),$C$17+$C$20,0)</f>
        <v>8000</v>
      </c>
      <c r="AX67" s="28" t="n">
        <f aca="false">IF(AX63&gt;=5,0,0)+IF(AX63&gt;=7,IF(AX$61&gt;=DATE(2027,4,1),$C$14,0),0)+IF(AX63&gt;=8,$C$15,0)+IF(AX63&gt;=8,$C$18,0)+IF(AX63&gt;=25,$C$26,0)+IF(AX$61&gt;=DATE(2027,3,1),$C$22,0)+IF(AX$61&gt;=DATE(2027,4,1),$C$17+$C$20,0)</f>
        <v>8000</v>
      </c>
      <c r="AY67" s="28" t="n">
        <f aca="false">IF(AY63&gt;=5,0,0)+IF(AY63&gt;=7,IF(AY$61&gt;=DATE(2027,4,1),$C$14,0),0)+IF(AY63&gt;=8,$C$15,0)+IF(AY63&gt;=8,$C$18,0)+IF(AY63&gt;=25,$C$26,0)+IF(AY$61&gt;=DATE(2027,3,1),$C$22,0)+IF(AY$61&gt;=DATE(2027,4,1),$C$17+$C$20,0)</f>
        <v>8000</v>
      </c>
      <c r="AZ67" s="28" t="n">
        <f aca="false">IF(AZ63&gt;=5,0,0)+IF(AZ63&gt;=7,IF(AZ$61&gt;=DATE(2027,4,1),$C$14,0),0)+IF(AZ63&gt;=8,$C$15,0)+IF(AZ63&gt;=8,$C$18,0)+IF(AZ63&gt;=25,$C$26,0)+IF(AZ$61&gt;=DATE(2027,3,1),$C$22,0)+IF(AZ$61&gt;=DATE(2027,4,1),$C$17+$C$20,0)</f>
        <v>8000</v>
      </c>
      <c r="BA67" s="28" t="n">
        <f aca="false">IF(BA63&gt;=5,0,0)+IF(BA63&gt;=7,IF(BA$61&gt;=DATE(2027,4,1),$C$14,0),0)+IF(BA63&gt;=8,$C$15,0)+IF(BA63&gt;=8,$C$18,0)+IF(BA63&gt;=25,$C$26,0)+IF(BA$61&gt;=DATE(2027,3,1),$C$22,0)+IF(BA$61&gt;=DATE(2027,4,1),$C$17+$C$20,0)</f>
        <v>8000</v>
      </c>
      <c r="BB67" s="28" t="n">
        <f aca="false">IF(BB63&gt;=5,0,0)+IF(BB63&gt;=7,IF(BB$61&gt;=DATE(2027,4,1),$C$14,0),0)+IF(BB63&gt;=8,$C$15,0)+IF(BB63&gt;=8,$C$18,0)+IF(BB63&gt;=25,$C$26,0)+IF(BB$61&gt;=DATE(2027,3,1),$C$22,0)+IF(BB$61&gt;=DATE(2027,4,1),$C$17+$C$20,0)</f>
        <v>8000</v>
      </c>
      <c r="BC67" s="28" t="n">
        <f aca="false">IF(BC63&gt;=5,0,0)+IF(BC63&gt;=7,IF(BC$61&gt;=DATE(2027,4,1),$C$14,0),0)+IF(BC63&gt;=8,$C$15,0)+IF(BC63&gt;=8,$C$18,0)+IF(BC63&gt;=25,$C$26,0)+IF(BC$61&gt;=DATE(2027,3,1),$C$22,0)+IF(BC$61&gt;=DATE(2027,4,1),$C$17+$C$20,0)</f>
        <v>8000</v>
      </c>
      <c r="BD67" s="28" t="n">
        <f aca="false">IF(BD63&gt;=5,0,0)+IF(BD63&gt;=7,IF(BD$61&gt;=DATE(2027,4,1),$C$14,0),0)+IF(BD63&gt;=8,$C$15,0)+IF(BD63&gt;=8,$C$18,0)+IF(BD63&gt;=25,$C$26,0)+IF(BD$61&gt;=DATE(2027,3,1),$C$22,0)+IF(BD$61&gt;=DATE(2027,4,1),$C$17+$C$20,0)</f>
        <v>8000</v>
      </c>
      <c r="BE67" s="28" t="n">
        <f aca="false">IF(BE63&gt;=5,0,0)+IF(BE63&gt;=7,IF(BE$61&gt;=DATE(2027,4,1),$C$14,0),0)+IF(BE63&gt;=8,$C$15,0)+IF(BE63&gt;=8,$C$18,0)+IF(BE63&gt;=25,$C$26,0)+IF(BE$61&gt;=DATE(2027,3,1),$C$22,0)+IF(BE$61&gt;=DATE(2027,4,1),$C$17+$C$20,0)</f>
        <v>8000</v>
      </c>
      <c r="BF67" s="28" t="n">
        <f aca="false">IF(BF63&gt;=5,0,0)+IF(BF63&gt;=7,IF(BF$61&gt;=DATE(2027,4,1),$C$14,0),0)+IF(BF63&gt;=8,$C$15,0)+IF(BF63&gt;=8,$C$18,0)+IF(BF63&gt;=25,$C$26,0)+IF(BF$61&gt;=DATE(2027,3,1),$C$22,0)+IF(BF$61&gt;=DATE(2027,4,1),$C$17+$C$20,0)</f>
        <v>8000</v>
      </c>
      <c r="BG67" s="28" t="n">
        <f aca="false">IF(BG63&gt;=5,0,0)+IF(BG63&gt;=7,IF(BG$61&gt;=DATE(2027,4,1),$C$14,0),0)+IF(BG63&gt;=8,$C$15,0)+IF(BG63&gt;=8,$C$18,0)+IF(BG63&gt;=25,$C$26,0)+IF(BG$61&gt;=DATE(2027,3,1),$C$22,0)+IF(BG$61&gt;=DATE(2027,4,1),$C$17+$C$20,0)</f>
        <v>8000</v>
      </c>
      <c r="BH67" s="28" t="n">
        <f aca="false">IF(BH63&gt;=5,0,0)+IF(BH63&gt;=7,IF(BH$61&gt;=DATE(2027,4,1),$C$14,0),0)+IF(BH63&gt;=8,$C$15,0)+IF(BH63&gt;=8,$C$18,0)+IF(BH63&gt;=25,$C$26,0)+IF(BH$61&gt;=DATE(2027,3,1),$C$22,0)+IF(BH$61&gt;=DATE(2027,4,1),$C$17+$C$20,0)</f>
        <v>8000</v>
      </c>
      <c r="BI67" s="28" t="n">
        <f aca="false">IF(BI63&gt;=5,0,0)+IF(BI63&gt;=7,IF(BI$61&gt;=DATE(2027,4,1),$C$14,0),0)+IF(BI63&gt;=8,$C$15,0)+IF(BI63&gt;=8,$C$18,0)+IF(BI63&gt;=25,$C$26,0)+IF(BI$61&gt;=DATE(2027,3,1),$C$22,0)+IF(BI$61&gt;=DATE(2027,4,1),$C$17+$C$20,0)</f>
        <v>8000</v>
      </c>
      <c r="BJ67" s="28" t="n">
        <f aca="false">IF(BJ63&gt;=5,0,0)+IF(BJ63&gt;=7,IF(BJ$61&gt;=DATE(2027,4,1),$C$14,0),0)+IF(BJ63&gt;=8,$C$15,0)+IF(BJ63&gt;=8,$C$18,0)+IF(BJ63&gt;=25,$C$26,0)+IF(BJ$61&gt;=DATE(2027,3,1),$C$22,0)+IF(BJ$61&gt;=DATE(2027,4,1),$C$17+$C$20,0)</f>
        <v>8000</v>
      </c>
      <c r="BK67" s="28" t="n">
        <f aca="false">IF(BK63&gt;=5,0,0)+IF(BK63&gt;=7,IF(BK$61&gt;=DATE(2027,4,1),$C$14,0),0)+IF(BK63&gt;=8,$C$15,0)+IF(BK63&gt;=8,$C$18,0)+IF(BK63&gt;=25,$C$26,0)+IF(BK$61&gt;=DATE(2027,3,1),$C$22,0)+IF(BK$61&gt;=DATE(2027,4,1),$C$17+$C$20,0)</f>
        <v>8000</v>
      </c>
      <c r="BL67" s="28" t="n">
        <f aca="false">IF(BL63&gt;=5,0,0)+IF(BL63&gt;=7,IF(BL$61&gt;=DATE(2027,4,1),$C$14,0),0)+IF(BL63&gt;=8,$C$15,0)+IF(BL63&gt;=8,$C$18,0)+IF(BL63&gt;=25,$C$26,0)+IF(BL$61&gt;=DATE(2027,3,1),$C$22,0)+IF(BL$61&gt;=DATE(2027,4,1),$C$17+$C$20,0)</f>
        <v>8000</v>
      </c>
      <c r="BM67" s="28" t="n">
        <f aca="false">IF(BM63&gt;=5,0,0)+IF(BM63&gt;=7,IF(BM$61&gt;=DATE(2027,4,1),$C$14,0),0)+IF(BM63&gt;=8,$C$15,0)+IF(BM63&gt;=8,$C$18,0)+IF(BM63&gt;=25,$C$26,0)+IF(BM$61&gt;=DATE(2027,3,1),$C$22,0)+IF(BM$61&gt;=DATE(2027,4,1),$C$17+$C$20,0)</f>
        <v>8000</v>
      </c>
      <c r="BN67" s="28" t="n">
        <f aca="false">IF(BN63&gt;=5,0,0)+IF(BN63&gt;=7,IF(BN$61&gt;=DATE(2027,4,1),$C$14,0),0)+IF(BN63&gt;=8,$C$15,0)+IF(BN63&gt;=8,$C$18,0)+IF(BN63&gt;=25,$C$26,0)+IF(BN$61&gt;=DATE(2027,3,1),$C$22,0)+IF(BN$61&gt;=DATE(2027,4,1),$C$17+$C$20,0)</f>
        <v>8000</v>
      </c>
      <c r="BO67" s="28" t="n">
        <f aca="false">IF(BO63&gt;=5,0,0)+IF(BO63&gt;=7,IF(BO$61&gt;=DATE(2027,4,1),$C$14,0),0)+IF(BO63&gt;=8,$C$15,0)+IF(BO63&gt;=8,$C$18,0)+IF(BO63&gt;=25,$C$26,0)+IF(BO$61&gt;=DATE(2027,3,1),$C$22,0)+IF(BO$61&gt;=DATE(2027,4,1),$C$17+$C$20,0)</f>
        <v>8000</v>
      </c>
      <c r="BP67" s="28" t="n">
        <f aca="false">IF(BP63&gt;=5,0,0)+IF(BP63&gt;=7,IF(BP$61&gt;=DATE(2027,4,1),$C$14,0),0)+IF(BP63&gt;=8,$C$15,0)+IF(BP63&gt;=8,$C$18,0)+IF(BP63&gt;=25,$C$26,0)+IF(BP$61&gt;=DATE(2027,3,1),$C$22,0)+IF(BP$61&gt;=DATE(2027,4,1),$C$17+$C$20,0)</f>
        <v>8000</v>
      </c>
      <c r="BQ67" s="28" t="n">
        <f aca="false">IF(BQ63&gt;=5,0,0)+IF(BQ63&gt;=7,IF(BQ$61&gt;=DATE(2027,4,1),$C$14,0),0)+IF(BQ63&gt;=8,$C$15,0)+IF(BQ63&gt;=8,$C$18,0)+IF(BQ63&gt;=25,$C$26,0)+IF(BQ$61&gt;=DATE(2027,3,1),$C$22,0)+IF(BQ$61&gt;=DATE(2027,4,1),$C$17+$C$20,0)</f>
        <v>8000</v>
      </c>
      <c r="BR67" s="28" t="n">
        <f aca="false">IF(BR63&gt;=5,0,0)+IF(BR63&gt;=7,IF(BR$61&gt;=DATE(2027,4,1),$C$14,0),0)+IF(BR63&gt;=8,$C$15,0)+IF(BR63&gt;=8,$C$18,0)+IF(BR63&gt;=25,$C$26,0)+IF(BR$61&gt;=DATE(2027,3,1),$C$22,0)+IF(BR$61&gt;=DATE(2027,4,1),$C$17+$C$20,0)</f>
        <v>8000</v>
      </c>
      <c r="BS67" s="28" t="n">
        <f aca="false">IF(BS63&gt;=5,0,0)+IF(BS63&gt;=7,IF(BS$61&gt;=DATE(2027,4,1),$C$14,0),0)+IF(BS63&gt;=8,$C$15,0)+IF(BS63&gt;=8,$C$18,0)+IF(BS63&gt;=25,$C$26,0)+IF(BS$61&gt;=DATE(2027,3,1),$C$22,0)+IF(BS$61&gt;=DATE(2027,4,1),$C$17+$C$20,0)</f>
        <v>8000</v>
      </c>
      <c r="BT67" s="28" t="n">
        <f aca="false">IF(BT63&gt;=5,0,0)+IF(BT63&gt;=7,IF(BT$61&gt;=DATE(2027,4,1),$C$14,0),0)+IF(BT63&gt;=8,$C$15,0)+IF(BT63&gt;=8,$C$18,0)+IF(BT63&gt;=25,$C$26,0)+IF(BT$61&gt;=DATE(2027,3,1),$C$22,0)+IF(BT$61&gt;=DATE(2027,4,1),$C$17+$C$20,0)</f>
        <v>8000</v>
      </c>
      <c r="BU67" s="28" t="n">
        <f aca="false">IF(BU63&gt;=5,0,0)+IF(BU63&gt;=7,IF(BU$61&gt;=DATE(2027,4,1),$C$14,0),0)+IF(BU63&gt;=8,$C$15,0)+IF(BU63&gt;=8,$C$18,0)+IF(BU63&gt;=25,$C$26,0)+IF(BU$61&gt;=DATE(2027,3,1),$C$22,0)+IF(BU$61&gt;=DATE(2027,4,1),$C$17+$C$20,0)</f>
        <v>8000</v>
      </c>
      <c r="BV67" s="28" t="n">
        <f aca="false">IF(BV63&gt;=5,0,0)+IF(BV63&gt;=7,IF(BV$61&gt;=DATE(2027,4,1),$C$14,0),0)+IF(BV63&gt;=8,$C$15,0)+IF(BV63&gt;=8,$C$18,0)+IF(BV63&gt;=25,$C$26,0)+IF(BV$61&gt;=DATE(2027,3,1),$C$22,0)+IF(BV$61&gt;=DATE(2027,4,1),$C$17+$C$20,0)</f>
        <v>8000</v>
      </c>
      <c r="BW67" s="28" t="n">
        <f aca="false">IF(BW63&gt;=5,0,0)+IF(BW63&gt;=7,IF(BW$61&gt;=DATE(2027,4,1),$C$14,0),0)+IF(BW63&gt;=8,$C$15,0)+IF(BW63&gt;=8,$C$18,0)+IF(BW63&gt;=25,$C$26,0)+IF(BW$61&gt;=DATE(2027,3,1),$C$22,0)+IF(BW$61&gt;=DATE(2027,4,1),$C$17+$C$20,0)</f>
        <v>8000</v>
      </c>
      <c r="BX67" s="28" t="n">
        <f aca="false">IF(BX63&gt;=5,0,0)+IF(BX63&gt;=7,IF(BX$61&gt;=DATE(2027,4,1),$C$14,0),0)+IF(BX63&gt;=8,$C$15,0)+IF(BX63&gt;=8,$C$18,0)+IF(BX63&gt;=25,$C$26,0)+IF(BX$61&gt;=DATE(2027,3,1),$C$22,0)+IF(BX$61&gt;=DATE(2027,4,1),$C$17+$C$20,0)</f>
        <v>8000</v>
      </c>
      <c r="BY67" s="28" t="n">
        <f aca="false">IF(BY63&gt;=5,0,0)+IF(BY63&gt;=7,IF(BY$61&gt;=DATE(2027,4,1),$C$14,0),0)+IF(BY63&gt;=8,$C$15,0)+IF(BY63&gt;=8,$C$18,0)+IF(BY63&gt;=25,$C$26,0)+IF(BY$61&gt;=DATE(2027,3,1),$C$22,0)+IF(BY$61&gt;=DATE(2027,4,1),$C$17+$C$20,0)</f>
        <v>8000</v>
      </c>
      <c r="BZ67" s="28" t="n">
        <f aca="false">IF(BZ63&gt;=5,0,0)+IF(BZ63&gt;=7,IF(BZ$61&gt;=DATE(2027,4,1),$C$14,0),0)+IF(BZ63&gt;=8,$C$15,0)+IF(BZ63&gt;=8,$C$18,0)+IF(BZ63&gt;=25,$C$26,0)+IF(BZ$61&gt;=DATE(2027,3,1),$C$22,0)+IF(BZ$61&gt;=DATE(2027,4,1),$C$17+$C$20,0)</f>
        <v>8000</v>
      </c>
      <c r="CA67" s="28" t="n">
        <f aca="false">IF(CA63&gt;=5,0,0)+IF(CA63&gt;=7,IF(CA$61&gt;=DATE(2027,4,1),$C$14,0),0)+IF(CA63&gt;=8,$C$15,0)+IF(CA63&gt;=8,$C$18,0)+IF(CA63&gt;=25,$C$26,0)+IF(CA$61&gt;=DATE(2027,3,1),$C$22,0)+IF(CA$61&gt;=DATE(2027,4,1),$C$17+$C$20,0)</f>
        <v>8000</v>
      </c>
      <c r="CB67" s="28" t="n">
        <f aca="false">IF(CB63&gt;=5,0,0)+IF(CB63&gt;=7,IF(CB$61&gt;=DATE(2027,4,1),$C$14,0),0)+IF(CB63&gt;=8,$C$15,0)+IF(CB63&gt;=8,$C$18,0)+IF(CB63&gt;=25,$C$26,0)+IF(CB$61&gt;=DATE(2027,3,1),$C$22,0)+IF(CB$61&gt;=DATE(2027,4,1),$C$17+$C$20,0)</f>
        <v>8000</v>
      </c>
      <c r="CC67" s="28" t="n">
        <f aca="false">IF(CC63&gt;=5,0,0)+IF(CC63&gt;=7,IF(CC$61&gt;=DATE(2027,4,1),$C$14,0),0)+IF(CC63&gt;=8,$C$15,0)+IF(CC63&gt;=8,$C$18,0)+IF(CC63&gt;=25,$C$26,0)+IF(CC$61&gt;=DATE(2027,3,1),$C$22,0)+IF(CC$61&gt;=DATE(2027,4,1),$C$17+$C$20,0)</f>
        <v>8000</v>
      </c>
      <c r="CD67" s="28" t="n">
        <f aca="false">IF(CD63&gt;=5,0,0)+IF(CD63&gt;=7,IF(CD$61&gt;=DATE(2027,4,1),$C$14,0),0)+IF(CD63&gt;=8,$C$15,0)+IF(CD63&gt;=8,$C$18,0)+IF(CD63&gt;=25,$C$26,0)+IF(CD$61&gt;=DATE(2027,3,1),$C$22,0)+IF(CD$61&gt;=DATE(2027,4,1),$C$17+$C$20,0)</f>
        <v>8000</v>
      </c>
      <c r="CE67" s="28" t="n">
        <f aca="false">IF(CE63&gt;=5,0,0)+IF(CE63&gt;=7,IF(CE$61&gt;=DATE(2027,4,1),$C$14,0),0)+IF(CE63&gt;=8,$C$15,0)+IF(CE63&gt;=8,$C$18,0)+IF(CE63&gt;=25,$C$26,0)+IF(CE$61&gt;=DATE(2027,3,1),$C$22,0)+IF(CE$61&gt;=DATE(2027,4,1),$C$17+$C$20,0)</f>
        <v>8000</v>
      </c>
      <c r="CF67" s="28" t="n">
        <f aca="false">IF(CF63&gt;=5,0,0)+IF(CF63&gt;=7,IF(CF$61&gt;=DATE(2027,4,1),$C$14,0),0)+IF(CF63&gt;=8,$C$15,0)+IF(CF63&gt;=8,$C$18,0)+IF(CF63&gt;=25,$C$26,0)+IF(CF$61&gt;=DATE(2027,3,1),$C$22,0)+IF(CF$61&gt;=DATE(2027,4,1),$C$17+$C$20,0)</f>
        <v>8000</v>
      </c>
      <c r="CG67" s="28" t="n">
        <f aca="false">IF(CG63&gt;=5,0,0)+IF(CG63&gt;=7,IF(CG$61&gt;=DATE(2027,4,1),$C$14,0),0)+IF(CG63&gt;=8,$C$15,0)+IF(CG63&gt;=8,$C$18,0)+IF(CG63&gt;=25,$C$26,0)+IF(CG$61&gt;=DATE(2027,3,1),$C$22,0)+IF(CG$61&gt;=DATE(2027,4,1),$C$17+$C$20,0)</f>
        <v>8000</v>
      </c>
      <c r="CH67" s="28" t="n">
        <f aca="false">IF(CH63&gt;=5,0,0)+IF(CH63&gt;=7,IF(CH$61&gt;=DATE(2027,4,1),$C$14,0),0)+IF(CH63&gt;=8,$C$15,0)+IF(CH63&gt;=8,$C$18,0)+IF(CH63&gt;=25,$C$26,0)+IF(CH$61&gt;=DATE(2027,3,1),$C$22,0)+IF(CH$61&gt;=DATE(2027,4,1),$C$17+$C$20,0)</f>
        <v>8000</v>
      </c>
      <c r="CI67" s="28" t="n">
        <f aca="false">IF(CI63&gt;=5,0,0)+IF(CI63&gt;=7,IF(CI$61&gt;=DATE(2027,4,1),$C$14,0),0)+IF(CI63&gt;=8,$C$15,0)+IF(CI63&gt;=8,$C$18,0)+IF(CI63&gt;=25,$C$26,0)+IF(CI$61&gt;=DATE(2027,3,1),$C$22,0)+IF(CI$61&gt;=DATE(2027,4,1),$C$17+$C$20,0)</f>
        <v>8000</v>
      </c>
      <c r="CJ67" s="28" t="n">
        <f aca="false">IF(CJ63&gt;=5,0,0)+IF(CJ63&gt;=7,IF(CJ$61&gt;=DATE(2027,4,1),$C$14,0),0)+IF(CJ63&gt;=8,$C$15,0)+IF(CJ63&gt;=8,$C$18,0)+IF(CJ63&gt;=25,$C$26,0)+IF(CJ$61&gt;=DATE(2027,3,1),$C$22,0)+IF(CJ$61&gt;=DATE(2027,4,1),$C$17+$C$20,0)</f>
        <v>8000</v>
      </c>
      <c r="CK67" s="28" t="n">
        <f aca="false">IF(CK63&gt;=5,0,0)+IF(CK63&gt;=7,IF(CK$61&gt;=DATE(2027,4,1),$C$14,0),0)+IF(CK63&gt;=8,$C$15,0)+IF(CK63&gt;=8,$C$18,0)+IF(CK63&gt;=25,$C$26,0)+IF(CK$61&gt;=DATE(2027,3,1),$C$22,0)+IF(CK$61&gt;=DATE(2027,4,1),$C$17+$C$20,0)</f>
        <v>10000</v>
      </c>
      <c r="CL67" s="28" t="n">
        <f aca="false">IF(CL63&gt;=5,0,0)+IF(CL63&gt;=7,IF(CL$61&gt;=DATE(2027,4,1),$C$14,0),0)+IF(CL63&gt;=8,$C$15,0)+IF(CL63&gt;=8,$C$18,0)+IF(CL63&gt;=25,$C$26,0)+IF(CL$61&gt;=DATE(2027,3,1),$C$22,0)+IF(CL$61&gt;=DATE(2027,4,1),$C$17+$C$20,0)</f>
        <v>10000</v>
      </c>
      <c r="CM67" s="28" t="n">
        <f aca="false">IF(CM63&gt;=5,0,0)+IF(CM63&gt;=7,IF(CM$61&gt;=DATE(2027,4,1),$C$14,0),0)+IF(CM63&gt;=8,$C$15,0)+IF(CM63&gt;=8,$C$18,0)+IF(CM63&gt;=25,$C$26,0)+IF(CM$61&gt;=DATE(2027,3,1),$C$22,0)+IF(CM$61&gt;=DATE(2027,4,1),$C$17+$C$20,0)</f>
        <v>10000</v>
      </c>
      <c r="CN67" s="28" t="n">
        <f aca="false">IF(CN63&gt;=5,0,0)+IF(CN63&gt;=7,IF(CN$61&gt;=DATE(2027,4,1),$C$14,0),0)+IF(CN63&gt;=8,$C$15,0)+IF(CN63&gt;=8,$C$18,0)+IF(CN63&gt;=25,$C$26,0)+IF(CN$61&gt;=DATE(2027,3,1),$C$22,0)+IF(CN$61&gt;=DATE(2027,4,1),$C$17+$C$20,0)</f>
        <v>10000</v>
      </c>
      <c r="CO67" s="28" t="n">
        <f aca="false">IF(CO63&gt;=5,0,0)+IF(CO63&gt;=7,IF(CO$61&gt;=DATE(2027,4,1),$C$14,0),0)+IF(CO63&gt;=8,$C$15,0)+IF(CO63&gt;=8,$C$18,0)+IF(CO63&gt;=25,$C$26,0)+IF(CO$61&gt;=DATE(2027,3,1),$C$22,0)+IF(CO$61&gt;=DATE(2027,4,1),$C$17+$C$20,0)</f>
        <v>10000</v>
      </c>
      <c r="CP67" s="28" t="n">
        <f aca="false">IF(CP63&gt;=5,0,0)+IF(CP63&gt;=7,IF(CP$61&gt;=DATE(2027,4,1),$C$14,0),0)+IF(CP63&gt;=8,$C$15,0)+IF(CP63&gt;=8,$C$18,0)+IF(CP63&gt;=25,$C$26,0)+IF(CP$61&gt;=DATE(2027,3,1),$C$22,0)+IF(CP$61&gt;=DATE(2027,4,1),$C$17+$C$20,0)</f>
        <v>10000</v>
      </c>
      <c r="CQ67" s="28" t="n">
        <f aca="false">IF(CQ63&gt;=5,0,0)+IF(CQ63&gt;=7,IF(CQ$61&gt;=DATE(2027,4,1),$C$14,0),0)+IF(CQ63&gt;=8,$C$15,0)+IF(CQ63&gt;=8,$C$18,0)+IF(CQ63&gt;=25,$C$26,0)+IF(CQ$61&gt;=DATE(2027,3,1),$C$22,0)+IF(CQ$61&gt;=DATE(2027,4,1),$C$17+$C$20,0)</f>
        <v>10000</v>
      </c>
      <c r="CR67" s="28" t="n">
        <f aca="false">IF(CR63&gt;=5,0,0)+IF(CR63&gt;=7,IF(CR$61&gt;=DATE(2027,4,1),$C$14,0),0)+IF(CR63&gt;=8,$C$15,0)+IF(CR63&gt;=8,$C$18,0)+IF(CR63&gt;=25,$C$26,0)+IF(CR$61&gt;=DATE(2027,3,1),$C$22,0)+IF(CR$61&gt;=DATE(2027,4,1),$C$17+$C$20,0)</f>
        <v>10000</v>
      </c>
      <c r="CS67" s="28" t="n">
        <f aca="false">IF(CS63&gt;=5,0,0)+IF(CS63&gt;=7,IF(CS$61&gt;=DATE(2027,4,1),$C$14,0),0)+IF(CS63&gt;=8,$C$15,0)+IF(CS63&gt;=8,$C$18,0)+IF(CS63&gt;=25,$C$26,0)+IF(CS$61&gt;=DATE(2027,3,1),$C$22,0)+IF(CS$61&gt;=DATE(2027,4,1),$C$17+$C$20,0)</f>
        <v>10000</v>
      </c>
      <c r="CT67" s="28" t="n">
        <f aca="false">IF(CT63&gt;=5,0,0)+IF(CT63&gt;=7,IF(CT$61&gt;=DATE(2027,4,1),$C$14,0),0)+IF(CT63&gt;=8,$C$15,0)+IF(CT63&gt;=8,$C$18,0)+IF(CT63&gt;=25,$C$26,0)+IF(CT$61&gt;=DATE(2027,3,1),$C$22,0)+IF(CT$61&gt;=DATE(2027,4,1),$C$17+$C$20,0)</f>
        <v>10000</v>
      </c>
      <c r="CU67" s="28" t="n">
        <f aca="false">IF(CU63&gt;=5,0,0)+IF(CU63&gt;=7,IF(CU$61&gt;=DATE(2027,4,1),$C$14,0),0)+IF(CU63&gt;=8,$C$15,0)+IF(CU63&gt;=8,$C$18,0)+IF(CU63&gt;=25,$C$26,0)+IF(CU$61&gt;=DATE(2027,3,1),$C$22,0)+IF(CU$61&gt;=DATE(2027,4,1),$C$17+$C$20,0)</f>
        <v>10000</v>
      </c>
      <c r="CV67" s="28" t="n">
        <f aca="false">IF(CV63&gt;=5,0,0)+IF(CV63&gt;=7,IF(CV$61&gt;=DATE(2027,4,1),$C$14,0),0)+IF(CV63&gt;=8,$C$15,0)+IF(CV63&gt;=8,$C$18,0)+IF(CV63&gt;=25,$C$26,0)+IF(CV$61&gt;=DATE(2027,3,1),$C$22,0)+IF(CV$61&gt;=DATE(2027,4,1),$C$17+$C$20,0)</f>
        <v>10000</v>
      </c>
      <c r="CW67" s="28" t="n">
        <f aca="false">IF(CW63&gt;=5,0,0)+IF(CW63&gt;=7,IF(CW$61&gt;=DATE(2027,4,1),$C$14,0),0)+IF(CW63&gt;=8,$C$15,0)+IF(CW63&gt;=8,$C$18,0)+IF(CW63&gt;=25,$C$26,0)+IF(CW$61&gt;=DATE(2027,3,1),$C$22,0)+IF(CW$61&gt;=DATE(2027,4,1),$C$17+$C$20,0)</f>
        <v>10000</v>
      </c>
      <c r="CX67" s="28" t="n">
        <f aca="false">IF(CX63&gt;=5,0,0)+IF(CX63&gt;=7,IF(CX$61&gt;=DATE(2027,4,1),$C$14,0),0)+IF(CX63&gt;=8,$C$15,0)+IF(CX63&gt;=8,$C$18,0)+IF(CX63&gt;=25,$C$26,0)+IF(CX$61&gt;=DATE(2027,3,1),$C$22,0)+IF(CX$61&gt;=DATE(2027,4,1),$C$17+$C$20,0)</f>
        <v>10000</v>
      </c>
      <c r="CY67" s="28" t="n">
        <f aca="false">IF(CY63&gt;=5,0,0)+IF(CY63&gt;=7,IF(CY$61&gt;=DATE(2027,4,1),$C$14,0),0)+IF(CY63&gt;=8,$C$15,0)+IF(CY63&gt;=8,$C$18,0)+IF(CY63&gt;=25,$C$26,0)+IF(CY$61&gt;=DATE(2027,3,1),$C$22,0)+IF(CY$61&gt;=DATE(2027,4,1),$C$17+$C$20,0)</f>
        <v>10000</v>
      </c>
      <c r="CZ67" s="28" t="n">
        <f aca="false">IF(CZ63&gt;=5,0,0)+IF(CZ63&gt;=7,IF(CZ$61&gt;=DATE(2027,4,1),$C$14,0),0)+IF(CZ63&gt;=8,$C$15,0)+IF(CZ63&gt;=8,$C$18,0)+IF(CZ63&gt;=25,$C$26,0)+IF(CZ$61&gt;=DATE(2027,3,1),$C$22,0)+IF(CZ$61&gt;=DATE(2027,4,1),$C$17+$C$20,0)</f>
        <v>10000</v>
      </c>
      <c r="DA67" s="28" t="n">
        <f aca="false">IF(DA63&gt;=5,0,0)+IF(DA63&gt;=7,IF(DA$61&gt;=DATE(2027,4,1),$C$14,0),0)+IF(DA63&gt;=8,$C$15,0)+IF(DA63&gt;=8,$C$18,0)+IF(DA63&gt;=25,$C$26,0)+IF(DA$61&gt;=DATE(2027,3,1),$C$22,0)+IF(DA$61&gt;=DATE(2027,4,1),$C$17+$C$20,0)</f>
        <v>10000</v>
      </c>
      <c r="DB67" s="28" t="n">
        <f aca="false">IF(DB63&gt;=5,0,0)+IF(DB63&gt;=7,IF(DB$61&gt;=DATE(2027,4,1),$C$14,0),0)+IF(DB63&gt;=8,$C$15,0)+IF(DB63&gt;=8,$C$18,0)+IF(DB63&gt;=25,$C$26,0)+IF(DB$61&gt;=DATE(2027,3,1),$C$22,0)+IF(DB$61&gt;=DATE(2027,4,1),$C$17+$C$20,0)</f>
        <v>10000</v>
      </c>
      <c r="DC67" s="28" t="n">
        <f aca="false">IF(DC63&gt;=5,0,0)+IF(DC63&gt;=7,IF(DC$61&gt;=DATE(2027,4,1),$C$14,0),0)+IF(DC63&gt;=8,$C$15,0)+IF(DC63&gt;=8,$C$18,0)+IF(DC63&gt;=25,$C$26,0)+IF(DC$61&gt;=DATE(2027,3,1),$C$22,0)+IF(DC$61&gt;=DATE(2027,4,1),$C$17+$C$20,0)</f>
        <v>10000</v>
      </c>
      <c r="DD67" s="28" t="n">
        <f aca="false">IF(DD63&gt;=5,0,0)+IF(DD63&gt;=7,IF(DD$61&gt;=DATE(2027,4,1),$C$14,0),0)+IF(DD63&gt;=8,$C$15,0)+IF(DD63&gt;=8,$C$18,0)+IF(DD63&gt;=25,$C$26,0)+IF(DD$61&gt;=DATE(2027,3,1),$C$22,0)+IF(DD$61&gt;=DATE(2027,4,1),$C$17+$C$20,0)</f>
        <v>10000</v>
      </c>
      <c r="DE67" s="28" t="n">
        <f aca="false">IF(DE63&gt;=5,0,0)+IF(DE63&gt;=7,IF(DE$61&gt;=DATE(2027,4,1),$C$14,0),0)+IF(DE63&gt;=8,$C$15,0)+IF(DE63&gt;=8,$C$18,0)+IF(DE63&gt;=25,$C$26,0)+IF(DE$61&gt;=DATE(2027,3,1),$C$22,0)+IF(DE$61&gt;=DATE(2027,4,1),$C$17+$C$20,0)</f>
        <v>10000</v>
      </c>
      <c r="DF67" s="28" t="n">
        <f aca="false">IF(DF63&gt;=5,0,0)+IF(DF63&gt;=7,IF(DF$61&gt;=DATE(2027,4,1),$C$14,0),0)+IF(DF63&gt;=8,$C$15,0)+IF(DF63&gt;=8,$C$18,0)+IF(DF63&gt;=25,$C$26,0)+IF(DF$61&gt;=DATE(2027,3,1),$C$22,0)+IF(DF$61&gt;=DATE(2027,4,1),$C$17+$C$20,0)</f>
        <v>10000</v>
      </c>
      <c r="DG67" s="28" t="n">
        <f aca="false">IF(DG63&gt;=5,0,0)+IF(DG63&gt;=7,IF(DG$61&gt;=DATE(2027,4,1),$C$14,0),0)+IF(DG63&gt;=8,$C$15,0)+IF(DG63&gt;=8,$C$18,0)+IF(DG63&gt;=25,$C$26,0)+IF(DG$61&gt;=DATE(2027,3,1),$C$22,0)+IF(DG$61&gt;=DATE(2027,4,1),$C$17+$C$20,0)</f>
        <v>10000</v>
      </c>
      <c r="DH67" s="28" t="n">
        <f aca="false">IF(DH63&gt;=5,0,0)+IF(DH63&gt;=7,IF(DH$61&gt;=DATE(2027,4,1),$C$14,0),0)+IF(DH63&gt;=8,$C$15,0)+IF(DH63&gt;=8,$C$18,0)+IF(DH63&gt;=25,$C$26,0)+IF(DH$61&gt;=DATE(2027,3,1),$C$22,0)+IF(DH$61&gt;=DATE(2027,4,1),$C$17+$C$20,0)</f>
        <v>10000</v>
      </c>
      <c r="DI67" s="28" t="n">
        <f aca="false">IF(DI63&gt;=5,0,0)+IF(DI63&gt;=7,IF(DI$61&gt;=DATE(2027,4,1),$C$14,0),0)+IF(DI63&gt;=8,$C$15,0)+IF(DI63&gt;=8,$C$18,0)+IF(DI63&gt;=25,$C$26,0)+IF(DI$61&gt;=DATE(2027,3,1),$C$22,0)+IF(DI$61&gt;=DATE(2027,4,1),$C$17+$C$20,0)</f>
        <v>10000</v>
      </c>
      <c r="DJ67" s="28" t="n">
        <f aca="false">IF(DJ63&gt;=5,0,0)+IF(DJ63&gt;=7,IF(DJ$61&gt;=DATE(2027,4,1),$C$14,0),0)+IF(DJ63&gt;=8,$C$15,0)+IF(DJ63&gt;=8,$C$18,0)+IF(DJ63&gt;=25,$C$26,0)+IF(DJ$61&gt;=DATE(2027,3,1),$C$22,0)+IF(DJ$61&gt;=DATE(2027,4,1),$C$17+$C$20,0)</f>
        <v>10000</v>
      </c>
      <c r="DK67" s="28" t="n">
        <f aca="false">IF(DK63&gt;=5,0,0)+IF(DK63&gt;=7,IF(DK$61&gt;=DATE(2027,4,1),$C$14,0),0)+IF(DK63&gt;=8,$C$15,0)+IF(DK63&gt;=8,$C$18,0)+IF(DK63&gt;=25,$C$26,0)+IF(DK$61&gt;=DATE(2027,3,1),$C$22,0)+IF(DK$61&gt;=DATE(2027,4,1),$C$17+$C$20,0)</f>
        <v>10000</v>
      </c>
      <c r="DL67" s="28" t="n">
        <f aca="false">IF(DL63&gt;=5,0,0)+IF(DL63&gt;=7,IF(DL$61&gt;=DATE(2027,4,1),$C$14,0),0)+IF(DL63&gt;=8,$C$15,0)+IF(DL63&gt;=8,$C$18,0)+IF(DL63&gt;=25,$C$26,0)+IF(DL$61&gt;=DATE(2027,3,1),$C$22,0)+IF(DL$61&gt;=DATE(2027,4,1),$C$17+$C$20,0)</f>
        <v>10000</v>
      </c>
      <c r="DM67" s="28" t="n">
        <f aca="false">IF(DM63&gt;=5,0,0)+IF(DM63&gt;=7,IF(DM$61&gt;=DATE(2027,4,1),$C$14,0),0)+IF(DM63&gt;=8,$C$15,0)+IF(DM63&gt;=8,$C$18,0)+IF(DM63&gt;=25,$C$26,0)+IF(DM$61&gt;=DATE(2027,3,1),$C$22,0)+IF(DM$61&gt;=DATE(2027,4,1),$C$17+$C$20,0)</f>
        <v>10000</v>
      </c>
      <c r="DN67" s="28" t="n">
        <f aca="false">IF(DN63&gt;=5,0,0)+IF(DN63&gt;=7,IF(DN$61&gt;=DATE(2027,4,1),$C$14,0),0)+IF(DN63&gt;=8,$C$15,0)+IF(DN63&gt;=8,$C$18,0)+IF(DN63&gt;=25,$C$26,0)+IF(DN$61&gt;=DATE(2027,3,1),$C$22,0)+IF(DN$61&gt;=DATE(2027,4,1),$C$17+$C$20,0)</f>
        <v>10000</v>
      </c>
      <c r="DO67" s="28" t="n">
        <f aca="false">IF(DO63&gt;=5,0,0)+IF(DO63&gt;=7,IF(DO$61&gt;=DATE(2027,4,1),$C$14,0),0)+IF(DO63&gt;=8,$C$15,0)+IF(DO63&gt;=8,$C$18,0)+IF(DO63&gt;=25,$C$26,0)+IF(DO$61&gt;=DATE(2027,3,1),$C$22,0)+IF(DO$61&gt;=DATE(2027,4,1),$C$17+$C$20,0)</f>
        <v>10000</v>
      </c>
      <c r="DP67" s="28" t="n">
        <f aca="false">IF(DP63&gt;=5,0,0)+IF(DP63&gt;=7,IF(DP$61&gt;=DATE(2027,4,1),$C$14,0),0)+IF(DP63&gt;=8,$C$15,0)+IF(DP63&gt;=8,$C$18,0)+IF(DP63&gt;=25,$C$26,0)+IF(DP$61&gt;=DATE(2027,3,1),$C$22,0)+IF(DP$61&gt;=DATE(2027,4,1),$C$17+$C$20,0)</f>
        <v>10000</v>
      </c>
      <c r="DQ67" s="28" t="n">
        <f aca="false">IF(DQ63&gt;=5,0,0)+IF(DQ63&gt;=7,IF(DQ$61&gt;=DATE(2027,4,1),$C$14,0),0)+IF(DQ63&gt;=8,$C$15,0)+IF(DQ63&gt;=8,$C$18,0)+IF(DQ63&gt;=25,$C$26,0)+IF(DQ$61&gt;=DATE(2027,3,1),$C$22,0)+IF(DQ$61&gt;=DATE(2027,4,1),$C$17+$C$20,0)</f>
        <v>10000</v>
      </c>
      <c r="DR67" s="28" t="n">
        <f aca="false">IF(DR63&gt;=5,0,0)+IF(DR63&gt;=7,IF(DR$61&gt;=DATE(2027,4,1),$C$14,0),0)+IF(DR63&gt;=8,$C$15,0)+IF(DR63&gt;=8,$C$18,0)+IF(DR63&gt;=25,$C$26,0)+IF(DR$61&gt;=DATE(2027,3,1),$C$22,0)+IF(DR$61&gt;=DATE(2027,4,1),$C$17+$C$20,0)</f>
        <v>10000</v>
      </c>
      <c r="DS67" s="28" t="n">
        <f aca="false">IF(DS63&gt;=5,0,0)+IF(DS63&gt;=7,IF(DS$61&gt;=DATE(2027,4,1),$C$14,0),0)+IF(DS63&gt;=8,$C$15,0)+IF(DS63&gt;=8,$C$18,0)+IF(DS63&gt;=25,$C$26,0)+IF(DS$61&gt;=DATE(2027,3,1),$C$22,0)+IF(DS$61&gt;=DATE(2027,4,1),$C$17+$C$20,0)</f>
        <v>10000</v>
      </c>
      <c r="DT67" s="28" t="n">
        <f aca="false">IF(DT63&gt;=5,0,0)+IF(DT63&gt;=7,IF(DT$61&gt;=DATE(2027,4,1),$C$14,0),0)+IF(DT63&gt;=8,$C$15,0)+IF(DT63&gt;=8,$C$18,0)+IF(DT63&gt;=25,$C$26,0)+IF(DT$61&gt;=DATE(2027,3,1),$C$22,0)+IF(DT$61&gt;=DATE(2027,4,1),$C$17+$C$20,0)</f>
        <v>10000</v>
      </c>
      <c r="DU67" s="28" t="n">
        <f aca="false">IF(DU63&gt;=5,0,0)+IF(DU63&gt;=7,IF(DU$61&gt;=DATE(2027,4,1),$C$14,0),0)+IF(DU63&gt;=8,$C$15,0)+IF(DU63&gt;=8,$C$18,0)+IF(DU63&gt;=25,$C$26,0)+IF(DU$61&gt;=DATE(2027,3,1),$C$22,0)+IF(DU$61&gt;=DATE(2027,4,1),$C$17+$C$20,0)</f>
        <v>10000</v>
      </c>
      <c r="DV67" s="28" t="n">
        <f aca="false">IF(DV63&gt;=5,0,0)+IF(DV63&gt;=7,IF(DV$61&gt;=DATE(2027,4,1),$C$14,0),0)+IF(DV63&gt;=8,$C$15,0)+IF(DV63&gt;=8,$C$18,0)+IF(DV63&gt;=25,$C$26,0)+IF(DV$61&gt;=DATE(2027,3,1),$C$22,0)+IF(DV$61&gt;=DATE(2027,4,1),$C$17+$C$20,0)</f>
        <v>10000</v>
      </c>
      <c r="DW67" s="28" t="n">
        <f aca="false">IF(DW63&gt;=5,0,0)+IF(DW63&gt;=7,IF(DW$61&gt;=DATE(2027,4,1),$C$14,0),0)+IF(DW63&gt;=8,$C$15,0)+IF(DW63&gt;=8,$C$18,0)+IF(DW63&gt;=25,$C$26,0)+IF(DW$61&gt;=DATE(2027,3,1),$C$22,0)+IF(DW$61&gt;=DATE(2027,4,1),$C$17+$C$20,0)</f>
        <v>10000</v>
      </c>
      <c r="DX67" s="28" t="n">
        <f aca="false">IF(DX63&gt;=5,0,0)+IF(DX63&gt;=7,IF(DX$61&gt;=DATE(2027,4,1),$C$14,0),0)+IF(DX63&gt;=8,$C$15,0)+IF(DX63&gt;=8,$C$18,0)+IF(DX63&gt;=25,$C$26,0)+IF(DX$61&gt;=DATE(2027,3,1),$C$22,0)+IF(DX$61&gt;=DATE(2027,4,1),$C$17+$C$20,0)</f>
        <v>10000</v>
      </c>
      <c r="DY67" s="28" t="n">
        <f aca="false">IF(DY63&gt;=5,0,0)+IF(DY63&gt;=7,IF(DY$61&gt;=DATE(2027,4,1),$C$14,0),0)+IF(DY63&gt;=8,$C$15,0)+IF(DY63&gt;=8,$C$18,0)+IF(DY63&gt;=25,$C$26,0)+IF(DY$61&gt;=DATE(2027,3,1),$C$22,0)+IF(DY$61&gt;=DATE(2027,4,1),$C$17+$C$20,0)</f>
        <v>10000</v>
      </c>
      <c r="DZ67" s="28" t="n">
        <f aca="false">IF(DZ63&gt;=5,0,0)+IF(DZ63&gt;=7,IF(DZ$61&gt;=DATE(2027,4,1),$C$14,0),0)+IF(DZ63&gt;=8,$C$15,0)+IF(DZ63&gt;=8,$C$18,0)+IF(DZ63&gt;=25,$C$26,0)+IF(DZ$61&gt;=DATE(2027,3,1),$C$22,0)+IF(DZ$61&gt;=DATE(2027,4,1),$C$17+$C$20,0)</f>
        <v>10000</v>
      </c>
      <c r="EA67" s="28" t="n">
        <f aca="false">IF(EA63&gt;=5,0,0)+IF(EA63&gt;=7,IF(EA$61&gt;=DATE(2027,4,1),$C$14,0),0)+IF(EA63&gt;=8,$C$15,0)+IF(EA63&gt;=8,$C$18,0)+IF(EA63&gt;=25,$C$26,0)+IF(EA$61&gt;=DATE(2027,3,1),$C$22,0)+IF(EA$61&gt;=DATE(2027,4,1),$C$17+$C$20,0)</f>
        <v>10000</v>
      </c>
      <c r="EB67" s="28" t="n">
        <f aca="false">IF(EB63&gt;=5,0,0)+IF(EB63&gt;=7,IF(EB$61&gt;=DATE(2027,4,1),$C$14,0),0)+IF(EB63&gt;=8,$C$15,0)+IF(EB63&gt;=8,$C$18,0)+IF(EB63&gt;=25,$C$26,0)+IF(EB$61&gt;=DATE(2027,3,1),$C$22,0)+IF(EB$61&gt;=DATE(2027,4,1),$C$17+$C$20,0)</f>
        <v>10000</v>
      </c>
      <c r="EC67" s="28" t="n">
        <f aca="false">IF(EC63&gt;=5,0,0)+IF(EC63&gt;=7,IF(EC$61&gt;=DATE(2027,4,1),$C$14,0),0)+IF(EC63&gt;=8,$C$15,0)+IF(EC63&gt;=8,$C$18,0)+IF(EC63&gt;=25,$C$26,0)+IF(EC$61&gt;=DATE(2027,3,1),$C$22,0)+IF(EC$61&gt;=DATE(2027,4,1),$C$17+$C$20,0)</f>
        <v>10000</v>
      </c>
      <c r="ED67" s="28" t="n">
        <f aca="false">IF(ED63&gt;=5,0,0)+IF(ED63&gt;=7,IF(ED$61&gt;=DATE(2027,4,1),$C$14,0),0)+IF(ED63&gt;=8,$C$15,0)+IF(ED63&gt;=8,$C$18,0)+IF(ED63&gt;=25,$C$26,0)+IF(ED$61&gt;=DATE(2027,3,1),$C$22,0)+IF(ED$61&gt;=DATE(2027,4,1),$C$17+$C$20,0)</f>
        <v>10000</v>
      </c>
      <c r="EE67" s="28" t="n">
        <f aca="false">IF(EE63&gt;=5,0,0)+IF(EE63&gt;=7,IF(EE$61&gt;=DATE(2027,4,1),$C$14,0),0)+IF(EE63&gt;=8,$C$15,0)+IF(EE63&gt;=8,$C$18,0)+IF(EE63&gt;=25,$C$26,0)+IF(EE$61&gt;=DATE(2027,3,1),$C$22,0)+IF(EE$61&gt;=DATE(2027,4,1),$C$17+$C$20,0)</f>
        <v>10000</v>
      </c>
    </row>
    <row r="68" customFormat="false" ht="15" hidden="false" customHeight="false" outlineLevel="0" collapsed="false">
      <c r="B68" s="9" t="s">
        <v>1295</v>
      </c>
      <c r="C68" s="28" t="n">
        <f aca="false">IF(COUNTIF('⑮ Cohort Engine'!$AC$37:$ER$37,C$42)=12,AVERAGEIF('⑮ Cohort Engine'!$AC$37:$ER$37,C$42,$P$67:$EE$67),C67)</f>
        <v>0</v>
      </c>
      <c r="D68" s="28" t="n">
        <f aca="false">IF(COUNTIF('⑮ Cohort Engine'!$AC$37:$ER$37,D$42)=12,AVERAGEIF('⑮ Cohort Engine'!$AC$37:$ER$37,D$42,$P$67:$EE$67),D67)</f>
        <v>0</v>
      </c>
      <c r="E68" s="28" t="n">
        <f aca="false">IF(COUNTIF('⑮ Cohort Engine'!$AC$37:$ER$37,E$42)=12,AVERAGEIF('⑮ Cohort Engine'!$AC$37:$ER$37,E$42,$P$67:$EE$67),E67)</f>
        <v>6000</v>
      </c>
      <c r="F68" s="28" t="n">
        <f aca="false">IF(COUNTIF('⑮ Cohort Engine'!$AC$37:$ER$37,F$42)=12,AVERAGEIF('⑮ Cohort Engine'!$AC$37:$ER$37,F$42,$P$67:$EE$67),F67)</f>
        <v>8000</v>
      </c>
      <c r="G68" s="28" t="n">
        <f aca="false">IF(COUNTIF('⑮ Cohort Engine'!$AC$37:$ER$37,G$42)=12,AVERAGEIF('⑮ Cohort Engine'!$AC$37:$ER$37,G$42,$P$67:$EE$67),G67)</f>
        <v>8000</v>
      </c>
      <c r="H68" s="28" t="n">
        <f aca="false">IF(COUNTIF('⑮ Cohort Engine'!$AC$37:$ER$37,H$42)=12,AVERAGEIF('⑮ Cohort Engine'!$AC$37:$ER$37,H$42,$P$67:$EE$67),H67)</f>
        <v>8000</v>
      </c>
      <c r="I68" s="28" t="n">
        <f aca="false">IF(COUNTIF('⑮ Cohort Engine'!$AC$37:$ER$37,I$42)=12,AVERAGEIF('⑮ Cohort Engine'!$AC$37:$ER$37,I$42,$P$67:$EE$67),I67)</f>
        <v>9833.33333333333</v>
      </c>
      <c r="J68" s="28" t="n">
        <f aca="false">IF(COUNTIF('⑮ Cohort Engine'!$AC$37:$ER$37,J$42)=12,AVERAGEIF('⑮ Cohort Engine'!$AC$37:$ER$37,J$42,$P$67:$EE$67),J67)</f>
        <v>10000</v>
      </c>
      <c r="K68" s="28" t="n">
        <f aca="false">IF(COUNTIF('⑮ Cohort Engine'!$AC$37:$ER$37,K$42)=12,AVERAGEIF('⑮ Cohort Engine'!$AC$37:$ER$37,K$42,$P$67:$EE$67),K67)</f>
        <v>10000</v>
      </c>
      <c r="L68" s="28" t="n">
        <f aca="false">IF(COUNTIF('⑮ Cohort Engine'!$AC$37:$ER$37,L$42)=12,AVERAGEIF('⑮ Cohort Engine'!$AC$37:$ER$37,L$42,$P$67:$EE$67),L67)</f>
        <v>10000</v>
      </c>
      <c r="M68" s="28" t="n">
        <f aca="false">IF(COUNTIF('⑮ Cohort Engine'!$AC$37:$ER$37,M$42)=12,AVERAGEIF('⑮ Cohort Engine'!$AC$37:$ER$37,M$42,$P$67:$EE$67),M67)</f>
        <v>10000</v>
      </c>
      <c r="N68" s="28" t="n">
        <f aca="false">IF(COUNTIF('⑮ Cohort Engine'!$AC$37:$ER$37,N$42)=12,AVERAGEIF('⑮ Cohort Engine'!$AC$37:$ER$37,N$42,$P$67:$EE$67),N67)</f>
        <v>10000</v>
      </c>
      <c r="O68" s="9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40"/>
      <c r="CY68" s="40"/>
      <c r="CZ68" s="40"/>
      <c r="DA68" s="40"/>
      <c r="DB68" s="40"/>
      <c r="DC68" s="40"/>
      <c r="DD68" s="40"/>
      <c r="DE68" s="40"/>
      <c r="DF68" s="40"/>
      <c r="DG68" s="40"/>
      <c r="DH68" s="40"/>
      <c r="DI68" s="40"/>
      <c r="DJ68" s="40"/>
      <c r="DK68" s="40"/>
      <c r="DL68" s="40"/>
      <c r="DM68" s="40"/>
      <c r="DN68" s="40"/>
      <c r="DO68" s="40"/>
      <c r="DP68" s="40"/>
      <c r="DQ68" s="40"/>
      <c r="DR68" s="40"/>
      <c r="DS68" s="40"/>
      <c r="DT68" s="40"/>
      <c r="DU68" s="40"/>
      <c r="DV68" s="40"/>
      <c r="DW68" s="40"/>
      <c r="DX68" s="40"/>
      <c r="DY68" s="40"/>
      <c r="DZ68" s="40"/>
      <c r="EA68" s="40"/>
      <c r="EB68" s="40"/>
      <c r="EC68" s="40"/>
      <c r="ED68" s="40"/>
      <c r="EE68" s="295"/>
    </row>
    <row r="69" customFormat="false" ht="15" hidden="false" customHeight="false" outlineLevel="0" collapsed="false">
      <c r="B69" s="9" t="s">
        <v>1296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28" t="n">
        <f aca="false">IF(P$61&gt;=DATE(2027,3,1),1+INT(P63/$D$59),0)*$C$59*(1+$C$31)</f>
        <v>0</v>
      </c>
      <c r="Q69" s="28" t="n">
        <f aca="false">IF(Q$61&gt;=DATE(2027,3,1),1+INT(Q63/$D$59),0)*$C$59*(1+$C$31)</f>
        <v>0</v>
      </c>
      <c r="R69" s="28" t="n">
        <f aca="false">IF(R$61&gt;=DATE(2027,3,1),1+INT(R63/$D$59),0)*$C$59*(1+$C$31)</f>
        <v>0</v>
      </c>
      <c r="S69" s="28" t="n">
        <f aca="false">IF(S$61&gt;=DATE(2027,3,1),1+INT(S63/$D$59),0)*$C$59*(1+$C$31)</f>
        <v>0</v>
      </c>
      <c r="T69" s="28" t="n">
        <f aca="false">IF(T$61&gt;=DATE(2027,3,1),1+INT(T63/$D$59),0)*$C$59*(1+$C$31)</f>
        <v>0</v>
      </c>
      <c r="U69" s="28" t="n">
        <f aca="false">IF(U$61&gt;=DATE(2027,3,1),1+INT(U63/$D$59),0)*$C$59*(1+$C$31)</f>
        <v>0</v>
      </c>
      <c r="V69" s="28" t="n">
        <f aca="false">IF(V$61&gt;=DATE(2027,3,1),1+INT(V63/$D$59),0)*$C$59*(1+$C$31)</f>
        <v>0</v>
      </c>
      <c r="W69" s="28" t="n">
        <f aca="false">IF(W$61&gt;=DATE(2027,3,1),1+INT(W63/$D$59),0)*$C$59*(1+$C$31)</f>
        <v>0</v>
      </c>
      <c r="X69" s="28" t="n">
        <f aca="false">IF(X$61&gt;=DATE(2027,3,1),1+INT(X63/$D$59),0)*$C$59*(1+$C$31)</f>
        <v>0</v>
      </c>
      <c r="Y69" s="28" t="n">
        <f aca="false">IF(Y$61&gt;=DATE(2027,3,1),1+INT(Y63/$D$59),0)*$C$59*(1+$C$31)</f>
        <v>0</v>
      </c>
      <c r="Z69" s="28" t="n">
        <f aca="false">IF(Z$61&gt;=DATE(2027,3,1),1+INT(Z63/$D$59),0)*$C$59*(1+$C$31)</f>
        <v>0</v>
      </c>
      <c r="AA69" s="28" t="n">
        <f aca="false">IF(AA$61&gt;=DATE(2027,3,1),1+INT(AA63/$D$59),0)*$C$59*(1+$C$31)</f>
        <v>0</v>
      </c>
      <c r="AB69" s="28" t="n">
        <f aca="false">IF(AB$61&gt;=DATE(2027,3,1),1+INT(AB63/$D$59),0)*$C$59*(1+$C$31)</f>
        <v>0</v>
      </c>
      <c r="AC69" s="28" t="n">
        <f aca="false">IF(AC$61&gt;=DATE(2027,3,1),1+INT(AC63/$D$59),0)*$C$59*(1+$C$31)</f>
        <v>0</v>
      </c>
      <c r="AD69" s="28" t="n">
        <f aca="false">IF(AD$61&gt;=DATE(2027,3,1),1+INT(AD63/$D$59),0)*$C$59*(1+$C$31)</f>
        <v>0</v>
      </c>
      <c r="AE69" s="28" t="n">
        <f aca="false">IF(AE$61&gt;=DATE(2027,3,1),1+INT(AE63/$D$59),0)*$C$59*(1+$C$31)</f>
        <v>0</v>
      </c>
      <c r="AF69" s="28" t="n">
        <f aca="false">IF(AF$61&gt;=DATE(2027,3,1),1+INT(AF63/$D$59),0)*$C$59*(1+$C$31)</f>
        <v>0</v>
      </c>
      <c r="AG69" s="28" t="n">
        <f aca="false">IF(AG$61&gt;=DATE(2027,3,1),1+INT(AG63/$D$59),0)*$C$59*(1+$C$31)</f>
        <v>0</v>
      </c>
      <c r="AH69" s="28" t="n">
        <f aca="false">IF(AH$61&gt;=DATE(2027,3,1),1+INT(AH63/$D$59),0)*$C$59*(1+$C$31)</f>
        <v>0</v>
      </c>
      <c r="AI69" s="28" t="n">
        <f aca="false">IF(AI$61&gt;=DATE(2027,3,1),1+INT(AI63/$D$59),0)*$C$59*(1+$C$31)</f>
        <v>0</v>
      </c>
      <c r="AJ69" s="28" t="n">
        <f aca="false">IF(AJ$61&gt;=DATE(2027,3,1),1+INT(AJ63/$D$59),0)*$C$59*(1+$C$31)</f>
        <v>0</v>
      </c>
      <c r="AK69" s="28" t="n">
        <f aca="false">IF(AK$61&gt;=DATE(2027,3,1),1+INT(AK63/$D$59),0)*$C$59*(1+$C$31)</f>
        <v>0</v>
      </c>
      <c r="AL69" s="28" t="n">
        <f aca="false">IF(AL$61&gt;=DATE(2027,3,1),1+INT(AL63/$D$59),0)*$C$59*(1+$C$31)</f>
        <v>0</v>
      </c>
      <c r="AM69" s="28" t="n">
        <f aca="false">IF(AM$61&gt;=DATE(2027,3,1),1+INT(AM63/$D$59),0)*$C$59*(1+$C$31)</f>
        <v>0</v>
      </c>
      <c r="AN69" s="28" t="n">
        <f aca="false">IF(AN$61&gt;=DATE(2027,3,1),1+INT(AN63/$D$59),0)*$C$59*(1+$C$31)</f>
        <v>0</v>
      </c>
      <c r="AO69" s="28" t="n">
        <f aca="false">IF(AO$61&gt;=DATE(2027,3,1),1+INT(AO63/$D$59),0)*$C$59*(1+$C$31)</f>
        <v>0</v>
      </c>
      <c r="AP69" s="28" t="n">
        <f aca="false">IF(AP$61&gt;=DATE(2027,3,1),1+INT(AP63/$D$59),0)*$C$59*(1+$C$31)</f>
        <v>2451.6</v>
      </c>
      <c r="AQ69" s="28" t="n">
        <f aca="false">IF(AQ$61&gt;=DATE(2027,3,1),1+INT(AQ63/$D$59),0)*$C$59*(1+$C$31)</f>
        <v>2451.6</v>
      </c>
      <c r="AR69" s="28" t="n">
        <f aca="false">IF(AR$61&gt;=DATE(2027,3,1),1+INT(AR63/$D$59),0)*$C$59*(1+$C$31)</f>
        <v>2451.6</v>
      </c>
      <c r="AS69" s="28" t="n">
        <f aca="false">IF(AS$61&gt;=DATE(2027,3,1),1+INT(AS63/$D$59),0)*$C$59*(1+$C$31)</f>
        <v>2451.6</v>
      </c>
      <c r="AT69" s="28" t="n">
        <f aca="false">IF(AT$61&gt;=DATE(2027,3,1),1+INT(AT63/$D$59),0)*$C$59*(1+$C$31)</f>
        <v>2451.6</v>
      </c>
      <c r="AU69" s="28" t="n">
        <f aca="false">IF(AU$61&gt;=DATE(2027,3,1),1+INT(AU63/$D$59),0)*$C$59*(1+$C$31)</f>
        <v>2451.6</v>
      </c>
      <c r="AV69" s="28" t="n">
        <f aca="false">IF(AV$61&gt;=DATE(2027,3,1),1+INT(AV63/$D$59),0)*$C$59*(1+$C$31)</f>
        <v>2451.6</v>
      </c>
      <c r="AW69" s="28" t="n">
        <f aca="false">IF(AW$61&gt;=DATE(2027,3,1),1+INT(AW63/$D$59),0)*$C$59*(1+$C$31)</f>
        <v>4903.2</v>
      </c>
      <c r="AX69" s="28" t="n">
        <f aca="false">IF(AX$61&gt;=DATE(2027,3,1),1+INT(AX63/$D$59),0)*$C$59*(1+$C$31)</f>
        <v>4903.2</v>
      </c>
      <c r="AY69" s="28" t="n">
        <f aca="false">IF(AY$61&gt;=DATE(2027,3,1),1+INT(AY63/$D$59),0)*$C$59*(1+$C$31)</f>
        <v>4903.2</v>
      </c>
      <c r="AZ69" s="28" t="n">
        <f aca="false">IF(AZ$61&gt;=DATE(2027,3,1),1+INT(AZ63/$D$59),0)*$C$59*(1+$C$31)</f>
        <v>4903.2</v>
      </c>
      <c r="BA69" s="28" t="n">
        <f aca="false">IF(BA$61&gt;=DATE(2027,3,1),1+INT(BA63/$D$59),0)*$C$59*(1+$C$31)</f>
        <v>4903.2</v>
      </c>
      <c r="BB69" s="28" t="n">
        <f aca="false">IF(BB$61&gt;=DATE(2027,3,1),1+INT(BB63/$D$59),0)*$C$59*(1+$C$31)</f>
        <v>4903.2</v>
      </c>
      <c r="BC69" s="28" t="n">
        <f aca="false">IF(BC$61&gt;=DATE(2027,3,1),1+INT(BC63/$D$59),0)*$C$59*(1+$C$31)</f>
        <v>4903.2</v>
      </c>
      <c r="BD69" s="28" t="n">
        <f aca="false">IF(BD$61&gt;=DATE(2027,3,1),1+INT(BD63/$D$59),0)*$C$59*(1+$C$31)</f>
        <v>4903.2</v>
      </c>
      <c r="BE69" s="28" t="n">
        <f aca="false">IF(BE$61&gt;=DATE(2027,3,1),1+INT(BE63/$D$59),0)*$C$59*(1+$C$31)</f>
        <v>4903.2</v>
      </c>
      <c r="BF69" s="28" t="n">
        <f aca="false">IF(BF$61&gt;=DATE(2027,3,1),1+INT(BF63/$D$59),0)*$C$59*(1+$C$31)</f>
        <v>4903.2</v>
      </c>
      <c r="BG69" s="28" t="n">
        <f aca="false">IF(BG$61&gt;=DATE(2027,3,1),1+INT(BG63/$D$59),0)*$C$59*(1+$C$31)</f>
        <v>4903.2</v>
      </c>
      <c r="BH69" s="28" t="n">
        <f aca="false">IF(BH$61&gt;=DATE(2027,3,1),1+INT(BH63/$D$59),0)*$C$59*(1+$C$31)</f>
        <v>4903.2</v>
      </c>
      <c r="BI69" s="28" t="n">
        <f aca="false">IF(BI$61&gt;=DATE(2027,3,1),1+INT(BI63/$D$59),0)*$C$59*(1+$C$31)</f>
        <v>4903.2</v>
      </c>
      <c r="BJ69" s="28" t="n">
        <f aca="false">IF(BJ$61&gt;=DATE(2027,3,1),1+INT(BJ63/$D$59),0)*$C$59*(1+$C$31)</f>
        <v>4903.2</v>
      </c>
      <c r="BK69" s="28" t="n">
        <f aca="false">IF(BK$61&gt;=DATE(2027,3,1),1+INT(BK63/$D$59),0)*$C$59*(1+$C$31)</f>
        <v>4903.2</v>
      </c>
      <c r="BL69" s="28" t="n">
        <f aca="false">IF(BL$61&gt;=DATE(2027,3,1),1+INT(BL63/$D$59),0)*$C$59*(1+$C$31)</f>
        <v>4903.2</v>
      </c>
      <c r="BM69" s="28" t="n">
        <f aca="false">IF(BM$61&gt;=DATE(2027,3,1),1+INT(BM63/$D$59),0)*$C$59*(1+$C$31)</f>
        <v>4903.2</v>
      </c>
      <c r="BN69" s="28" t="n">
        <f aca="false">IF(BN$61&gt;=DATE(2027,3,1),1+INT(BN63/$D$59),0)*$C$59*(1+$C$31)</f>
        <v>4903.2</v>
      </c>
      <c r="BO69" s="28" t="n">
        <f aca="false">IF(BO$61&gt;=DATE(2027,3,1),1+INT(BO63/$D$59),0)*$C$59*(1+$C$31)</f>
        <v>4903.2</v>
      </c>
      <c r="BP69" s="28" t="n">
        <f aca="false">IF(BP$61&gt;=DATE(2027,3,1),1+INT(BP63/$D$59),0)*$C$59*(1+$C$31)</f>
        <v>4903.2</v>
      </c>
      <c r="BQ69" s="28" t="n">
        <f aca="false">IF(BQ$61&gt;=DATE(2027,3,1),1+INT(BQ63/$D$59),0)*$C$59*(1+$C$31)</f>
        <v>4903.2</v>
      </c>
      <c r="BR69" s="28" t="n">
        <f aca="false">IF(BR$61&gt;=DATE(2027,3,1),1+INT(BR63/$D$59),0)*$C$59*(1+$C$31)</f>
        <v>4903.2</v>
      </c>
      <c r="BS69" s="28" t="n">
        <f aca="false">IF(BS$61&gt;=DATE(2027,3,1),1+INT(BS63/$D$59),0)*$C$59*(1+$C$31)</f>
        <v>4903.2</v>
      </c>
      <c r="BT69" s="28" t="n">
        <f aca="false">IF(BT$61&gt;=DATE(2027,3,1),1+INT(BT63/$D$59),0)*$C$59*(1+$C$31)</f>
        <v>4903.2</v>
      </c>
      <c r="BU69" s="28" t="n">
        <f aca="false">IF(BU$61&gt;=DATE(2027,3,1),1+INT(BU63/$D$59),0)*$C$59*(1+$C$31)</f>
        <v>4903.2</v>
      </c>
      <c r="BV69" s="28" t="n">
        <f aca="false">IF(BV$61&gt;=DATE(2027,3,1),1+INT(BV63/$D$59),0)*$C$59*(1+$C$31)</f>
        <v>4903.2</v>
      </c>
      <c r="BW69" s="28" t="n">
        <f aca="false">IF(BW$61&gt;=DATE(2027,3,1),1+INT(BW63/$D$59),0)*$C$59*(1+$C$31)</f>
        <v>4903.2</v>
      </c>
      <c r="BX69" s="28" t="n">
        <f aca="false">IF(BX$61&gt;=DATE(2027,3,1),1+INT(BX63/$D$59),0)*$C$59*(1+$C$31)</f>
        <v>4903.2</v>
      </c>
      <c r="BY69" s="28" t="n">
        <f aca="false">IF(BY$61&gt;=DATE(2027,3,1),1+INT(BY63/$D$59),0)*$C$59*(1+$C$31)</f>
        <v>4903.2</v>
      </c>
      <c r="BZ69" s="28" t="n">
        <f aca="false">IF(BZ$61&gt;=DATE(2027,3,1),1+INT(BZ63/$D$59),0)*$C$59*(1+$C$31)</f>
        <v>4903.2</v>
      </c>
      <c r="CA69" s="28" t="n">
        <f aca="false">IF(CA$61&gt;=DATE(2027,3,1),1+INT(CA63/$D$59),0)*$C$59*(1+$C$31)</f>
        <v>7354.8</v>
      </c>
      <c r="CB69" s="28" t="n">
        <f aca="false">IF(CB$61&gt;=DATE(2027,3,1),1+INT(CB63/$D$59),0)*$C$59*(1+$C$31)</f>
        <v>7354.8</v>
      </c>
      <c r="CC69" s="28" t="n">
        <f aca="false">IF(CC$61&gt;=DATE(2027,3,1),1+INT(CC63/$D$59),0)*$C$59*(1+$C$31)</f>
        <v>7354.8</v>
      </c>
      <c r="CD69" s="28" t="n">
        <f aca="false">IF(CD$61&gt;=DATE(2027,3,1),1+INT(CD63/$D$59),0)*$C$59*(1+$C$31)</f>
        <v>7354.8</v>
      </c>
      <c r="CE69" s="28" t="n">
        <f aca="false">IF(CE$61&gt;=DATE(2027,3,1),1+INT(CE63/$D$59),0)*$C$59*(1+$C$31)</f>
        <v>7354.8</v>
      </c>
      <c r="CF69" s="28" t="n">
        <f aca="false">IF(CF$61&gt;=DATE(2027,3,1),1+INT(CF63/$D$59),0)*$C$59*(1+$C$31)</f>
        <v>7354.8</v>
      </c>
      <c r="CG69" s="28" t="n">
        <f aca="false">IF(CG$61&gt;=DATE(2027,3,1),1+INT(CG63/$D$59),0)*$C$59*(1+$C$31)</f>
        <v>7354.8</v>
      </c>
      <c r="CH69" s="28" t="n">
        <f aca="false">IF(CH$61&gt;=DATE(2027,3,1),1+INT(CH63/$D$59),0)*$C$59*(1+$C$31)</f>
        <v>7354.8</v>
      </c>
      <c r="CI69" s="28" t="n">
        <f aca="false">IF(CI$61&gt;=DATE(2027,3,1),1+INT(CI63/$D$59),0)*$C$59*(1+$C$31)</f>
        <v>7354.8</v>
      </c>
      <c r="CJ69" s="28" t="n">
        <f aca="false">IF(CJ$61&gt;=DATE(2027,3,1),1+INT(CJ63/$D$59),0)*$C$59*(1+$C$31)</f>
        <v>7354.8</v>
      </c>
      <c r="CK69" s="28" t="n">
        <f aca="false">IF(CK$61&gt;=DATE(2027,3,1),1+INT(CK63/$D$59),0)*$C$59*(1+$C$31)</f>
        <v>7354.8</v>
      </c>
      <c r="CL69" s="28" t="n">
        <f aca="false">IF(CL$61&gt;=DATE(2027,3,1),1+INT(CL63/$D$59),0)*$C$59*(1+$C$31)</f>
        <v>7354.8</v>
      </c>
      <c r="CM69" s="28" t="n">
        <f aca="false">IF(CM$61&gt;=DATE(2027,3,1),1+INT(CM63/$D$59),0)*$C$59*(1+$C$31)</f>
        <v>7354.8</v>
      </c>
      <c r="CN69" s="28" t="n">
        <f aca="false">IF(CN$61&gt;=DATE(2027,3,1),1+INT(CN63/$D$59),0)*$C$59*(1+$C$31)</f>
        <v>7354.8</v>
      </c>
      <c r="CO69" s="28" t="n">
        <f aca="false">IF(CO$61&gt;=DATE(2027,3,1),1+INT(CO63/$D$59),0)*$C$59*(1+$C$31)</f>
        <v>7354.8</v>
      </c>
      <c r="CP69" s="28" t="n">
        <f aca="false">IF(CP$61&gt;=DATE(2027,3,1),1+INT(CP63/$D$59),0)*$C$59*(1+$C$31)</f>
        <v>7354.8</v>
      </c>
      <c r="CQ69" s="28" t="n">
        <f aca="false">IF(CQ$61&gt;=DATE(2027,3,1),1+INT(CQ63/$D$59),0)*$C$59*(1+$C$31)</f>
        <v>7354.8</v>
      </c>
      <c r="CR69" s="28" t="n">
        <f aca="false">IF(CR$61&gt;=DATE(2027,3,1),1+INT(CR63/$D$59),0)*$C$59*(1+$C$31)</f>
        <v>7354.8</v>
      </c>
      <c r="CS69" s="28" t="n">
        <f aca="false">IF(CS$61&gt;=DATE(2027,3,1),1+INT(CS63/$D$59),0)*$C$59*(1+$C$31)</f>
        <v>7354.8</v>
      </c>
      <c r="CT69" s="28" t="n">
        <f aca="false">IF(CT$61&gt;=DATE(2027,3,1),1+INT(CT63/$D$59),0)*$C$59*(1+$C$31)</f>
        <v>7354.8</v>
      </c>
      <c r="CU69" s="28" t="n">
        <f aca="false">IF(CU$61&gt;=DATE(2027,3,1),1+INT(CU63/$D$59),0)*$C$59*(1+$C$31)</f>
        <v>7354.8</v>
      </c>
      <c r="CV69" s="28" t="n">
        <f aca="false">IF(CV$61&gt;=DATE(2027,3,1),1+INT(CV63/$D$59),0)*$C$59*(1+$C$31)</f>
        <v>7354.8</v>
      </c>
      <c r="CW69" s="28" t="n">
        <f aca="false">IF(CW$61&gt;=DATE(2027,3,1),1+INT(CW63/$D$59),0)*$C$59*(1+$C$31)</f>
        <v>7354.8</v>
      </c>
      <c r="CX69" s="28" t="n">
        <f aca="false">IF(CX$61&gt;=DATE(2027,3,1),1+INT(CX63/$D$59),0)*$C$59*(1+$C$31)</f>
        <v>7354.8</v>
      </c>
      <c r="CY69" s="28" t="n">
        <f aca="false">IF(CY$61&gt;=DATE(2027,3,1),1+INT(CY63/$D$59),0)*$C$59*(1+$C$31)</f>
        <v>7354.8</v>
      </c>
      <c r="CZ69" s="28" t="n">
        <f aca="false">IF(CZ$61&gt;=DATE(2027,3,1),1+INT(CZ63/$D$59),0)*$C$59*(1+$C$31)</f>
        <v>7354.8</v>
      </c>
      <c r="DA69" s="28" t="n">
        <f aca="false">IF(DA$61&gt;=DATE(2027,3,1),1+INT(DA63/$D$59),0)*$C$59*(1+$C$31)</f>
        <v>7354.8</v>
      </c>
      <c r="DB69" s="28" t="n">
        <f aca="false">IF(DB$61&gt;=DATE(2027,3,1),1+INT(DB63/$D$59),0)*$C$59*(1+$C$31)</f>
        <v>7354.8</v>
      </c>
      <c r="DC69" s="28" t="n">
        <f aca="false">IF(DC$61&gt;=DATE(2027,3,1),1+INT(DC63/$D$59),0)*$C$59*(1+$C$31)</f>
        <v>9806.4</v>
      </c>
      <c r="DD69" s="28" t="n">
        <f aca="false">IF(DD$61&gt;=DATE(2027,3,1),1+INT(DD63/$D$59),0)*$C$59*(1+$C$31)</f>
        <v>9806.4</v>
      </c>
      <c r="DE69" s="28" t="n">
        <f aca="false">IF(DE$61&gt;=DATE(2027,3,1),1+INT(DE63/$D$59),0)*$C$59*(1+$C$31)</f>
        <v>9806.4</v>
      </c>
      <c r="DF69" s="28" t="n">
        <f aca="false">IF(DF$61&gt;=DATE(2027,3,1),1+INT(DF63/$D$59),0)*$C$59*(1+$C$31)</f>
        <v>9806.4</v>
      </c>
      <c r="DG69" s="28" t="n">
        <f aca="false">IF(DG$61&gt;=DATE(2027,3,1),1+INT(DG63/$D$59),0)*$C$59*(1+$C$31)</f>
        <v>9806.4</v>
      </c>
      <c r="DH69" s="28" t="n">
        <f aca="false">IF(DH$61&gt;=DATE(2027,3,1),1+INT(DH63/$D$59),0)*$C$59*(1+$C$31)</f>
        <v>9806.4</v>
      </c>
      <c r="DI69" s="28" t="n">
        <f aca="false">IF(DI$61&gt;=DATE(2027,3,1),1+INT(DI63/$D$59),0)*$C$59*(1+$C$31)</f>
        <v>9806.4</v>
      </c>
      <c r="DJ69" s="28" t="n">
        <f aca="false">IF(DJ$61&gt;=DATE(2027,3,1),1+INT(DJ63/$D$59),0)*$C$59*(1+$C$31)</f>
        <v>9806.4</v>
      </c>
      <c r="DK69" s="28" t="n">
        <f aca="false">IF(DK$61&gt;=DATE(2027,3,1),1+INT(DK63/$D$59),0)*$C$59*(1+$C$31)</f>
        <v>9806.4</v>
      </c>
      <c r="DL69" s="28" t="n">
        <f aca="false">IF(DL$61&gt;=DATE(2027,3,1),1+INT(DL63/$D$59),0)*$C$59*(1+$C$31)</f>
        <v>9806.4</v>
      </c>
      <c r="DM69" s="28" t="n">
        <f aca="false">IF(DM$61&gt;=DATE(2027,3,1),1+INT(DM63/$D$59),0)*$C$59*(1+$C$31)</f>
        <v>9806.4</v>
      </c>
      <c r="DN69" s="28" t="n">
        <f aca="false">IF(DN$61&gt;=DATE(2027,3,1),1+INT(DN63/$D$59),0)*$C$59*(1+$C$31)</f>
        <v>9806.4</v>
      </c>
      <c r="DO69" s="28" t="n">
        <f aca="false">IF(DO$61&gt;=DATE(2027,3,1),1+INT(DO63/$D$59),0)*$C$59*(1+$C$31)</f>
        <v>9806.4</v>
      </c>
      <c r="DP69" s="28" t="n">
        <f aca="false">IF(DP$61&gt;=DATE(2027,3,1),1+INT(DP63/$D$59),0)*$C$59*(1+$C$31)</f>
        <v>9806.4</v>
      </c>
      <c r="DQ69" s="28" t="n">
        <f aca="false">IF(DQ$61&gt;=DATE(2027,3,1),1+INT(DQ63/$D$59),0)*$C$59*(1+$C$31)</f>
        <v>9806.4</v>
      </c>
      <c r="DR69" s="28" t="n">
        <f aca="false">IF(DR$61&gt;=DATE(2027,3,1),1+INT(DR63/$D$59),0)*$C$59*(1+$C$31)</f>
        <v>9806.4</v>
      </c>
      <c r="DS69" s="28" t="n">
        <f aca="false">IF(DS$61&gt;=DATE(2027,3,1),1+INT(DS63/$D$59),0)*$C$59*(1+$C$31)</f>
        <v>9806.4</v>
      </c>
      <c r="DT69" s="28" t="n">
        <f aca="false">IF(DT$61&gt;=DATE(2027,3,1),1+INT(DT63/$D$59),0)*$C$59*(1+$C$31)</f>
        <v>12258</v>
      </c>
      <c r="DU69" s="28" t="n">
        <f aca="false">IF(DU$61&gt;=DATE(2027,3,1),1+INT(DU63/$D$59),0)*$C$59*(1+$C$31)</f>
        <v>12258</v>
      </c>
      <c r="DV69" s="28" t="n">
        <f aca="false">IF(DV$61&gt;=DATE(2027,3,1),1+INT(DV63/$D$59),0)*$C$59*(1+$C$31)</f>
        <v>12258</v>
      </c>
      <c r="DW69" s="28" t="n">
        <f aca="false">IF(DW$61&gt;=DATE(2027,3,1),1+INT(DW63/$D$59),0)*$C$59*(1+$C$31)</f>
        <v>12258</v>
      </c>
      <c r="DX69" s="28" t="n">
        <f aca="false">IF(DX$61&gt;=DATE(2027,3,1),1+INT(DX63/$D$59),0)*$C$59*(1+$C$31)</f>
        <v>12258</v>
      </c>
      <c r="DY69" s="28" t="n">
        <f aca="false">IF(DY$61&gt;=DATE(2027,3,1),1+INT(DY63/$D$59),0)*$C$59*(1+$C$31)</f>
        <v>12258</v>
      </c>
      <c r="DZ69" s="28" t="n">
        <f aca="false">IF(DZ$61&gt;=DATE(2027,3,1),1+INT(DZ63/$D$59),0)*$C$59*(1+$C$31)</f>
        <v>12258</v>
      </c>
      <c r="EA69" s="28" t="n">
        <f aca="false">IF(EA$61&gt;=DATE(2027,3,1),1+INT(EA63/$D$59),0)*$C$59*(1+$C$31)</f>
        <v>12258</v>
      </c>
      <c r="EB69" s="28" t="n">
        <f aca="false">IF(EB$61&gt;=DATE(2027,3,1),1+INT(EB63/$D$59),0)*$C$59*(1+$C$31)</f>
        <v>12258</v>
      </c>
      <c r="EC69" s="28" t="n">
        <f aca="false">IF(EC$61&gt;=DATE(2027,3,1),1+INT(EC63/$D$59),0)*$C$59*(1+$C$31)</f>
        <v>12258</v>
      </c>
      <c r="ED69" s="28" t="n">
        <f aca="false">IF(ED$61&gt;=DATE(2027,3,1),1+INT(ED63/$D$59),0)*$C$59*(1+$C$31)</f>
        <v>12258</v>
      </c>
      <c r="EE69" s="28" t="n">
        <f aca="false">IF(EE$61&gt;=DATE(2027,3,1),1+INT(EE63/$D$59),0)*$C$59*(1+$C$31)</f>
        <v>12258</v>
      </c>
    </row>
    <row r="70" customFormat="false" ht="15" hidden="false" customHeight="false" outlineLevel="0" collapsed="false">
      <c r="B70" s="10" t="s">
        <v>1297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46" t="n">
        <f aca="false">INDEX($C$48:$L$48,MATCH('⑮ Cohort Engine'!AC37,$C$42:$L$42,0))/12+(INDEX($C$68:$L$68,MATCH('⑮ Cohort Engine'!AC37,$C$42:$L$42,0))-P67)*INDEX($C$66:$L$66,MATCH('⑮ Cohort Engine'!AC37,$C$42:$L$42,0))</f>
        <v>-18261.05</v>
      </c>
      <c r="Q70" s="46" t="n">
        <f aca="false">INDEX($C$48:$L$48,MATCH('⑮ Cohort Engine'!AD37,$C$42:$L$42,0))/12+(INDEX($C$68:$L$68,MATCH('⑮ Cohort Engine'!AD37,$C$42:$L$42,0))-Q67)*INDEX($C$66:$L$66,MATCH('⑮ Cohort Engine'!AD37,$C$42:$L$42,0))</f>
        <v>-18261.05</v>
      </c>
      <c r="R70" s="46" t="n">
        <f aca="false">INDEX($C$48:$L$48,MATCH('⑮ Cohort Engine'!AE37,$C$42:$L$42,0))/12+(INDEX($C$68:$L$68,MATCH('⑮ Cohort Engine'!AE37,$C$42:$L$42,0))-R67)*INDEX($C$66:$L$66,MATCH('⑮ Cohort Engine'!AE37,$C$42:$L$42,0))</f>
        <v>-18261.05</v>
      </c>
      <c r="S70" s="46" t="n">
        <f aca="false">INDEX($C$48:$L$48,MATCH('⑮ Cohort Engine'!AF37,$C$42:$L$42,0))/12+(INDEX($C$68:$L$68,MATCH('⑮ Cohort Engine'!AF37,$C$42:$L$42,0))-S67)*INDEX($C$66:$L$66,MATCH('⑮ Cohort Engine'!AF37,$C$42:$L$42,0))</f>
        <v>-18261.05</v>
      </c>
      <c r="T70" s="46" t="n">
        <f aca="false">INDEX($C$48:$L$48,MATCH('⑮ Cohort Engine'!AG37,$C$42:$L$42,0))/12+(INDEX($C$68:$L$68,MATCH('⑮ Cohort Engine'!AG37,$C$42:$L$42,0))-T67)*INDEX($C$66:$L$66,MATCH('⑮ Cohort Engine'!AG37,$C$42:$L$42,0))</f>
        <v>-18261.05</v>
      </c>
      <c r="U70" s="46" t="n">
        <f aca="false">INDEX($C$48:$L$48,MATCH('⑮ Cohort Engine'!AH37,$C$42:$L$42,0))/12+(INDEX($C$68:$L$68,MATCH('⑮ Cohort Engine'!AH37,$C$42:$L$42,0))-U67)*INDEX($C$66:$L$66,MATCH('⑮ Cohort Engine'!AH37,$C$42:$L$42,0))</f>
        <v>-18261.05</v>
      </c>
      <c r="V70" s="46" t="n">
        <f aca="false">INDEX($C$48:$L$48,MATCH('⑮ Cohort Engine'!AI37,$C$42:$L$42,0))/12+(INDEX($C$68:$L$68,MATCH('⑮ Cohort Engine'!AI37,$C$42:$L$42,0))-V67)*INDEX($C$66:$L$66,MATCH('⑮ Cohort Engine'!AI37,$C$42:$L$42,0))</f>
        <v>-18261.05</v>
      </c>
      <c r="W70" s="46" t="n">
        <f aca="false">INDEX($C$48:$L$48,MATCH('⑮ Cohort Engine'!AJ37,$C$42:$L$42,0))/12+(INDEX($C$68:$L$68,MATCH('⑮ Cohort Engine'!AJ37,$C$42:$L$42,0))-W67)*INDEX($C$66:$L$66,MATCH('⑮ Cohort Engine'!AJ37,$C$42:$L$42,0))</f>
        <v>-18261.05</v>
      </c>
      <c r="X70" s="46" t="n">
        <f aca="false">INDEX($C$48:$L$48,MATCH('⑮ Cohort Engine'!AK37,$C$42:$L$42,0))/12+(INDEX($C$68:$L$68,MATCH('⑮ Cohort Engine'!AK37,$C$42:$L$42,0))-X67)*INDEX($C$66:$L$66,MATCH('⑮ Cohort Engine'!AK37,$C$42:$L$42,0))</f>
        <v>-18261.05</v>
      </c>
      <c r="Y70" s="46" t="n">
        <f aca="false">INDEX($C$48:$L$48,MATCH('⑮ Cohort Engine'!AL37,$C$42:$L$42,0))/12+(INDEX($C$68:$L$68,MATCH('⑮ Cohort Engine'!AL37,$C$42:$L$42,0))-Y67)*INDEX($C$66:$L$66,MATCH('⑮ Cohort Engine'!AL37,$C$42:$L$42,0))</f>
        <v>-18261.05</v>
      </c>
      <c r="Z70" s="46" t="n">
        <f aca="false">INDEX($C$48:$L$48,MATCH('⑮ Cohort Engine'!AM37,$C$42:$L$42,0))/12+(INDEX($C$68:$L$68,MATCH('⑮ Cohort Engine'!AM37,$C$42:$L$42,0))-Z67)*INDEX($C$66:$L$66,MATCH('⑮ Cohort Engine'!AM37,$C$42:$L$42,0))</f>
        <v>-18261.05</v>
      </c>
      <c r="AA70" s="46" t="n">
        <f aca="false">INDEX($C$48:$L$48,MATCH('⑮ Cohort Engine'!AN37,$C$42:$L$42,0))/12+(INDEX($C$68:$L$68,MATCH('⑮ Cohort Engine'!AN37,$C$42:$L$42,0))-AA67)*INDEX($C$66:$L$66,MATCH('⑮ Cohort Engine'!AN37,$C$42:$L$42,0))</f>
        <v>-18261.05</v>
      </c>
      <c r="AB70" s="46" t="n">
        <f aca="false">INDEX($C$48:$L$48,MATCH('⑮ Cohort Engine'!AO37,$C$42:$L$42,0))/12+(INDEX($C$68:$L$68,MATCH('⑮ Cohort Engine'!AO37,$C$42:$L$42,0))-AB67)*INDEX($C$66:$L$66,MATCH('⑮ Cohort Engine'!AO37,$C$42:$L$42,0))</f>
        <v>-18261.05</v>
      </c>
      <c r="AC70" s="46" t="n">
        <f aca="false">INDEX($C$48:$L$48,MATCH('⑮ Cohort Engine'!AP37,$C$42:$L$42,0))/12+(INDEX($C$68:$L$68,MATCH('⑮ Cohort Engine'!AP37,$C$42:$L$42,0))-AC67)*INDEX($C$66:$L$66,MATCH('⑮ Cohort Engine'!AP37,$C$42:$L$42,0))</f>
        <v>-18261.05</v>
      </c>
      <c r="AD70" s="46" t="n">
        <f aca="false">INDEX($C$48:$L$48,MATCH('⑮ Cohort Engine'!AQ37,$C$42:$L$42,0))/12+(INDEX($C$68:$L$68,MATCH('⑮ Cohort Engine'!AQ37,$C$42:$L$42,0))-AD67)*INDEX($C$66:$L$66,MATCH('⑮ Cohort Engine'!AQ37,$C$42:$L$42,0))</f>
        <v>-18261.05</v>
      </c>
      <c r="AE70" s="46" t="n">
        <f aca="false">INDEX($C$48:$L$48,MATCH('⑮ Cohort Engine'!AR37,$C$42:$L$42,0))/12+(INDEX($C$68:$L$68,MATCH('⑮ Cohort Engine'!AR37,$C$42:$L$42,0))-AE67)*INDEX($C$66:$L$66,MATCH('⑮ Cohort Engine'!AR37,$C$42:$L$42,0))</f>
        <v>-18261.05</v>
      </c>
      <c r="AF70" s="46" t="n">
        <f aca="false">INDEX($C$48:$L$48,MATCH('⑮ Cohort Engine'!AS37,$C$42:$L$42,0))/12+(INDEX($C$68:$L$68,MATCH('⑮ Cohort Engine'!AS37,$C$42:$L$42,0))-AF67)*INDEX($C$66:$L$66,MATCH('⑮ Cohort Engine'!AS37,$C$42:$L$42,0))</f>
        <v>-18261.05</v>
      </c>
      <c r="AG70" s="46" t="n">
        <f aca="false">INDEX($C$48:$L$48,MATCH('⑮ Cohort Engine'!AT37,$C$42:$L$42,0))/12+(INDEX($C$68:$L$68,MATCH('⑮ Cohort Engine'!AT37,$C$42:$L$42,0))-AG67)*INDEX($C$66:$L$66,MATCH('⑮ Cohort Engine'!AT37,$C$42:$L$42,0))</f>
        <v>-18261.05</v>
      </c>
      <c r="AH70" s="46" t="n">
        <f aca="false">INDEX($C$48:$L$48,MATCH('⑮ Cohort Engine'!AU37,$C$42:$L$42,0))/12+(INDEX($C$68:$L$68,MATCH('⑮ Cohort Engine'!AU37,$C$42:$L$42,0))-AH67)*INDEX($C$66:$L$66,MATCH('⑮ Cohort Engine'!AU37,$C$42:$L$42,0))</f>
        <v>-18261.05</v>
      </c>
      <c r="AI70" s="46" t="n">
        <f aca="false">INDEX($C$48:$L$48,MATCH('⑮ Cohort Engine'!AV37,$C$42:$L$42,0))/12+(INDEX($C$68:$L$68,MATCH('⑮ Cohort Engine'!AV37,$C$42:$L$42,0))-AI67)*INDEX($C$66:$L$66,MATCH('⑮ Cohort Engine'!AV37,$C$42:$L$42,0))</f>
        <v>-18261.05</v>
      </c>
      <c r="AJ70" s="46" t="n">
        <f aca="false">INDEX($C$48:$L$48,MATCH('⑮ Cohort Engine'!AW37,$C$42:$L$42,0))/12+(INDEX($C$68:$L$68,MATCH('⑮ Cohort Engine'!AW37,$C$42:$L$42,0))-AJ67)*INDEX($C$66:$L$66,MATCH('⑮ Cohort Engine'!AW37,$C$42:$L$42,0))</f>
        <v>-18261.05</v>
      </c>
      <c r="AK70" s="46" t="n">
        <f aca="false">INDEX($C$48:$L$48,MATCH('⑮ Cohort Engine'!AX37,$C$42:$L$42,0))/12+(INDEX($C$68:$L$68,MATCH('⑮ Cohort Engine'!AX37,$C$42:$L$42,0))-AK67)*INDEX($C$66:$L$66,MATCH('⑮ Cohort Engine'!AX37,$C$42:$L$42,0))</f>
        <v>-18261.05</v>
      </c>
      <c r="AL70" s="46" t="n">
        <f aca="false">INDEX($C$48:$L$48,MATCH('⑮ Cohort Engine'!AY37,$C$42:$L$42,0))/12+(INDEX($C$68:$L$68,MATCH('⑮ Cohort Engine'!AY37,$C$42:$L$42,0))-AL67)*INDEX($C$66:$L$66,MATCH('⑮ Cohort Engine'!AY37,$C$42:$L$42,0))</f>
        <v>-18261.05</v>
      </c>
      <c r="AM70" s="46" t="n">
        <f aca="false">INDEX($C$48:$L$48,MATCH('⑮ Cohort Engine'!AZ37,$C$42:$L$42,0))/12+(INDEX($C$68:$L$68,MATCH('⑮ Cohort Engine'!AZ37,$C$42:$L$42,0))-AM67)*INDEX($C$66:$L$66,MATCH('⑮ Cohort Engine'!AZ37,$C$42:$L$42,0))</f>
        <v>-18261.05</v>
      </c>
      <c r="AN70" s="46" t="n">
        <f aca="false">INDEX($C$48:$L$48,MATCH('⑮ Cohort Engine'!BA37,$C$42:$L$42,0))/12+(INDEX($C$68:$L$68,MATCH('⑮ Cohort Engine'!BA37,$C$42:$L$42,0))-AN67)*INDEX($C$66:$L$66,MATCH('⑮ Cohort Engine'!BA37,$C$42:$L$42,0))</f>
        <v>-21393.9875</v>
      </c>
      <c r="AO70" s="46" t="n">
        <f aca="false">INDEX($C$48:$L$48,MATCH('⑮ Cohort Engine'!BB37,$C$42:$L$42,0))/12+(INDEX($C$68:$L$68,MATCH('⑮ Cohort Engine'!BB37,$C$42:$L$42,0))-AO67)*INDEX($C$66:$L$66,MATCH('⑮ Cohort Engine'!BB37,$C$42:$L$42,0))</f>
        <v>-21393.9875</v>
      </c>
      <c r="AP70" s="46" t="n">
        <f aca="false">INDEX($C$48:$L$48,MATCH('⑮ Cohort Engine'!BC37,$C$42:$L$42,0))/12+(INDEX($C$68:$L$68,MATCH('⑮ Cohort Engine'!BC37,$C$42:$L$42,0))-AP67)*INDEX($C$66:$L$66,MATCH('⑮ Cohort Engine'!BC37,$C$42:$L$42,0))</f>
        <v>-21393.9875</v>
      </c>
      <c r="AQ70" s="46" t="n">
        <f aca="false">INDEX($C$48:$L$48,MATCH('⑮ Cohort Engine'!BD37,$C$42:$L$42,0))/12+(INDEX($C$68:$L$68,MATCH('⑮ Cohort Engine'!BD37,$C$42:$L$42,0))-AQ67)*INDEX($C$66:$L$66,MATCH('⑮ Cohort Engine'!BD37,$C$42:$L$42,0))</f>
        <v>-32289.9875</v>
      </c>
      <c r="AR70" s="46" t="n">
        <f aca="false">INDEX($C$48:$L$48,MATCH('⑮ Cohort Engine'!BE37,$C$42:$L$42,0))/12+(INDEX($C$68:$L$68,MATCH('⑮ Cohort Engine'!BE37,$C$42:$L$42,0))-AR67)*INDEX($C$66:$L$66,MATCH('⑮ Cohort Engine'!BE37,$C$42:$L$42,0))</f>
        <v>-32289.9875</v>
      </c>
      <c r="AS70" s="46" t="n">
        <f aca="false">INDEX($C$48:$L$48,MATCH('⑮ Cohort Engine'!BF37,$C$42:$L$42,0))/12+(INDEX($C$68:$L$68,MATCH('⑮ Cohort Engine'!BF37,$C$42:$L$42,0))-AS67)*INDEX($C$66:$L$66,MATCH('⑮ Cohort Engine'!BF37,$C$42:$L$42,0))</f>
        <v>-32289.9875</v>
      </c>
      <c r="AT70" s="46" t="n">
        <f aca="false">INDEX($C$48:$L$48,MATCH('⑮ Cohort Engine'!BG37,$C$42:$L$42,0))/12+(INDEX($C$68:$L$68,MATCH('⑮ Cohort Engine'!BG37,$C$42:$L$42,0))-AT67)*INDEX($C$66:$L$66,MATCH('⑮ Cohort Engine'!BG37,$C$42:$L$42,0))</f>
        <v>-32289.9875</v>
      </c>
      <c r="AU70" s="46" t="n">
        <f aca="false">INDEX($C$48:$L$48,MATCH('⑮ Cohort Engine'!BH37,$C$42:$L$42,0))/12+(INDEX($C$68:$L$68,MATCH('⑮ Cohort Engine'!BH37,$C$42:$L$42,0))-AU67)*INDEX($C$66:$L$66,MATCH('⑮ Cohort Engine'!BH37,$C$42:$L$42,0))</f>
        <v>-32289.9875</v>
      </c>
      <c r="AV70" s="46" t="n">
        <f aca="false">INDEX($C$48:$L$48,MATCH('⑮ Cohort Engine'!BI37,$C$42:$L$42,0))/12+(INDEX($C$68:$L$68,MATCH('⑮ Cohort Engine'!BI37,$C$42:$L$42,0))-AV67)*INDEX($C$66:$L$66,MATCH('⑮ Cohort Engine'!BI37,$C$42:$L$42,0))</f>
        <v>-32289.9875</v>
      </c>
      <c r="AW70" s="46" t="n">
        <f aca="false">INDEX($C$48:$L$48,MATCH('⑮ Cohort Engine'!BJ37,$C$42:$L$42,0))/12+(INDEX($C$68:$L$68,MATCH('⑮ Cohort Engine'!BJ37,$C$42:$L$42,0))-AW67)*INDEX($C$66:$L$66,MATCH('⑮ Cohort Engine'!BJ37,$C$42:$L$42,0))</f>
        <v>-32289.9875</v>
      </c>
      <c r="AX70" s="46" t="n">
        <f aca="false">INDEX($C$48:$L$48,MATCH('⑮ Cohort Engine'!BK37,$C$42:$L$42,0))/12+(INDEX($C$68:$L$68,MATCH('⑮ Cohort Engine'!BK37,$C$42:$L$42,0))-AX67)*INDEX($C$66:$L$66,MATCH('⑮ Cohort Engine'!BK37,$C$42:$L$42,0))</f>
        <v>-32289.9875</v>
      </c>
      <c r="AY70" s="46" t="n">
        <f aca="false">INDEX($C$48:$L$48,MATCH('⑮ Cohort Engine'!BL37,$C$42:$L$42,0))/12+(INDEX($C$68:$L$68,MATCH('⑮ Cohort Engine'!BL37,$C$42:$L$42,0))-AY67)*INDEX($C$66:$L$66,MATCH('⑮ Cohort Engine'!BL37,$C$42:$L$42,0))</f>
        <v>-32289.9875</v>
      </c>
      <c r="AZ70" s="46" t="n">
        <f aca="false">INDEX($C$48:$L$48,MATCH('⑮ Cohort Engine'!BM37,$C$42:$L$42,0))/12+(INDEX($C$68:$L$68,MATCH('⑮ Cohort Engine'!BM37,$C$42:$L$42,0))-AZ67)*INDEX($C$66:$L$66,MATCH('⑮ Cohort Engine'!BM37,$C$42:$L$42,0))</f>
        <v>-36914.8</v>
      </c>
      <c r="BA70" s="46" t="n">
        <f aca="false">INDEX($C$48:$L$48,MATCH('⑮ Cohort Engine'!BN37,$C$42:$L$42,0))/12+(INDEX($C$68:$L$68,MATCH('⑮ Cohort Engine'!BN37,$C$42:$L$42,0))-BA67)*INDEX($C$66:$L$66,MATCH('⑮ Cohort Engine'!BN37,$C$42:$L$42,0))</f>
        <v>-36914.8</v>
      </c>
      <c r="BB70" s="46" t="n">
        <f aca="false">INDEX($C$48:$L$48,MATCH('⑮ Cohort Engine'!BO37,$C$42:$L$42,0))/12+(INDEX($C$68:$L$68,MATCH('⑮ Cohort Engine'!BO37,$C$42:$L$42,0))-BB67)*INDEX($C$66:$L$66,MATCH('⑮ Cohort Engine'!BO37,$C$42:$L$42,0))</f>
        <v>-36914.8</v>
      </c>
      <c r="BC70" s="46" t="n">
        <f aca="false">INDEX($C$48:$L$48,MATCH('⑮ Cohort Engine'!BP37,$C$42:$L$42,0))/12+(INDEX($C$68:$L$68,MATCH('⑮ Cohort Engine'!BP37,$C$42:$L$42,0))-BC67)*INDEX($C$66:$L$66,MATCH('⑮ Cohort Engine'!BP37,$C$42:$L$42,0))</f>
        <v>-36914.8</v>
      </c>
      <c r="BD70" s="46" t="n">
        <f aca="false">INDEX($C$48:$L$48,MATCH('⑮ Cohort Engine'!BQ37,$C$42:$L$42,0))/12+(INDEX($C$68:$L$68,MATCH('⑮ Cohort Engine'!BQ37,$C$42:$L$42,0))-BD67)*INDEX($C$66:$L$66,MATCH('⑮ Cohort Engine'!BQ37,$C$42:$L$42,0))</f>
        <v>-36914.8</v>
      </c>
      <c r="BE70" s="46" t="n">
        <f aca="false">INDEX($C$48:$L$48,MATCH('⑮ Cohort Engine'!BR37,$C$42:$L$42,0))/12+(INDEX($C$68:$L$68,MATCH('⑮ Cohort Engine'!BR37,$C$42:$L$42,0))-BE67)*INDEX($C$66:$L$66,MATCH('⑮ Cohort Engine'!BR37,$C$42:$L$42,0))</f>
        <v>-36914.8</v>
      </c>
      <c r="BF70" s="46" t="n">
        <f aca="false">INDEX($C$48:$L$48,MATCH('⑮ Cohort Engine'!BS37,$C$42:$L$42,0))/12+(INDEX($C$68:$L$68,MATCH('⑮ Cohort Engine'!BS37,$C$42:$L$42,0))-BF67)*INDEX($C$66:$L$66,MATCH('⑮ Cohort Engine'!BS37,$C$42:$L$42,0))</f>
        <v>-36914.8</v>
      </c>
      <c r="BG70" s="46" t="n">
        <f aca="false">INDEX($C$48:$L$48,MATCH('⑮ Cohort Engine'!BT37,$C$42:$L$42,0))/12+(INDEX($C$68:$L$68,MATCH('⑮ Cohort Engine'!BT37,$C$42:$L$42,0))-BG67)*INDEX($C$66:$L$66,MATCH('⑮ Cohort Engine'!BT37,$C$42:$L$42,0))</f>
        <v>-36914.8</v>
      </c>
      <c r="BH70" s="46" t="n">
        <f aca="false">INDEX($C$48:$L$48,MATCH('⑮ Cohort Engine'!BU37,$C$42:$L$42,0))/12+(INDEX($C$68:$L$68,MATCH('⑮ Cohort Engine'!BU37,$C$42:$L$42,0))-BH67)*INDEX($C$66:$L$66,MATCH('⑮ Cohort Engine'!BU37,$C$42:$L$42,0))</f>
        <v>-36914.8</v>
      </c>
      <c r="BI70" s="46" t="n">
        <f aca="false">INDEX($C$48:$L$48,MATCH('⑮ Cohort Engine'!BV37,$C$42:$L$42,0))/12+(INDEX($C$68:$L$68,MATCH('⑮ Cohort Engine'!BV37,$C$42:$L$42,0))-BI67)*INDEX($C$66:$L$66,MATCH('⑮ Cohort Engine'!BV37,$C$42:$L$42,0))</f>
        <v>-36914.8</v>
      </c>
      <c r="BJ70" s="46" t="n">
        <f aca="false">INDEX($C$48:$L$48,MATCH('⑮ Cohort Engine'!BW37,$C$42:$L$42,0))/12+(INDEX($C$68:$L$68,MATCH('⑮ Cohort Engine'!BW37,$C$42:$L$42,0))-BJ67)*INDEX($C$66:$L$66,MATCH('⑮ Cohort Engine'!BW37,$C$42:$L$42,0))</f>
        <v>-36914.8</v>
      </c>
      <c r="BK70" s="46" t="n">
        <f aca="false">INDEX($C$48:$L$48,MATCH('⑮ Cohort Engine'!BX37,$C$42:$L$42,0))/12+(INDEX($C$68:$L$68,MATCH('⑮ Cohort Engine'!BX37,$C$42:$L$42,0))-BK67)*INDEX($C$66:$L$66,MATCH('⑮ Cohort Engine'!BX37,$C$42:$L$42,0))</f>
        <v>-36914.8</v>
      </c>
      <c r="BL70" s="46" t="n">
        <f aca="false">INDEX($C$48:$L$48,MATCH('⑮ Cohort Engine'!BY37,$C$42:$L$42,0))/12+(INDEX($C$68:$L$68,MATCH('⑮ Cohort Engine'!BY37,$C$42:$L$42,0))-BL67)*INDEX($C$66:$L$66,MATCH('⑮ Cohort Engine'!BY37,$C$42:$L$42,0))</f>
        <v>-41000.8</v>
      </c>
      <c r="BM70" s="46" t="n">
        <f aca="false">INDEX($C$48:$L$48,MATCH('⑮ Cohort Engine'!BZ37,$C$42:$L$42,0))/12+(INDEX($C$68:$L$68,MATCH('⑮ Cohort Engine'!BZ37,$C$42:$L$42,0))-BM67)*INDEX($C$66:$L$66,MATCH('⑮ Cohort Engine'!BZ37,$C$42:$L$42,0))</f>
        <v>-41000.8</v>
      </c>
      <c r="BN70" s="46" t="n">
        <f aca="false">INDEX($C$48:$L$48,MATCH('⑮ Cohort Engine'!CA37,$C$42:$L$42,0))/12+(INDEX($C$68:$L$68,MATCH('⑮ Cohort Engine'!CA37,$C$42:$L$42,0))-BN67)*INDEX($C$66:$L$66,MATCH('⑮ Cohort Engine'!CA37,$C$42:$L$42,0))</f>
        <v>-41000.8</v>
      </c>
      <c r="BO70" s="46" t="n">
        <f aca="false">INDEX($C$48:$L$48,MATCH('⑮ Cohort Engine'!CB37,$C$42:$L$42,0))/12+(INDEX($C$68:$L$68,MATCH('⑮ Cohort Engine'!CB37,$C$42:$L$42,0))-BO67)*INDEX($C$66:$L$66,MATCH('⑮ Cohort Engine'!CB37,$C$42:$L$42,0))</f>
        <v>-41000.8</v>
      </c>
      <c r="BP70" s="46" t="n">
        <f aca="false">INDEX($C$48:$L$48,MATCH('⑮ Cohort Engine'!CC37,$C$42:$L$42,0))/12+(INDEX($C$68:$L$68,MATCH('⑮ Cohort Engine'!CC37,$C$42:$L$42,0))-BP67)*INDEX($C$66:$L$66,MATCH('⑮ Cohort Engine'!CC37,$C$42:$L$42,0))</f>
        <v>-41000.8</v>
      </c>
      <c r="BQ70" s="46" t="n">
        <f aca="false">INDEX($C$48:$L$48,MATCH('⑮ Cohort Engine'!CD37,$C$42:$L$42,0))/12+(INDEX($C$68:$L$68,MATCH('⑮ Cohort Engine'!CD37,$C$42:$L$42,0))-BQ67)*INDEX($C$66:$L$66,MATCH('⑮ Cohort Engine'!CD37,$C$42:$L$42,0))</f>
        <v>-41000.8</v>
      </c>
      <c r="BR70" s="46" t="n">
        <f aca="false">INDEX($C$48:$L$48,MATCH('⑮ Cohort Engine'!CE37,$C$42:$L$42,0))/12+(INDEX($C$68:$L$68,MATCH('⑮ Cohort Engine'!CE37,$C$42:$L$42,0))-BR67)*INDEX($C$66:$L$66,MATCH('⑮ Cohort Engine'!CE37,$C$42:$L$42,0))</f>
        <v>-41000.8</v>
      </c>
      <c r="BS70" s="46" t="n">
        <f aca="false">INDEX($C$48:$L$48,MATCH('⑮ Cohort Engine'!CF37,$C$42:$L$42,0))/12+(INDEX($C$68:$L$68,MATCH('⑮ Cohort Engine'!CF37,$C$42:$L$42,0))-BS67)*INDEX($C$66:$L$66,MATCH('⑮ Cohort Engine'!CF37,$C$42:$L$42,0))</f>
        <v>-41000.8</v>
      </c>
      <c r="BT70" s="46" t="n">
        <f aca="false">INDEX($C$48:$L$48,MATCH('⑮ Cohort Engine'!CG37,$C$42:$L$42,0))/12+(INDEX($C$68:$L$68,MATCH('⑮ Cohort Engine'!CG37,$C$42:$L$42,0))-BT67)*INDEX($C$66:$L$66,MATCH('⑮ Cohort Engine'!CG37,$C$42:$L$42,0))</f>
        <v>-41000.8</v>
      </c>
      <c r="BU70" s="46" t="n">
        <f aca="false">INDEX($C$48:$L$48,MATCH('⑮ Cohort Engine'!CH37,$C$42:$L$42,0))/12+(INDEX($C$68:$L$68,MATCH('⑮ Cohort Engine'!CH37,$C$42:$L$42,0))-BU67)*INDEX($C$66:$L$66,MATCH('⑮ Cohort Engine'!CH37,$C$42:$L$42,0))</f>
        <v>-41000.8</v>
      </c>
      <c r="BV70" s="46" t="n">
        <f aca="false">INDEX($C$48:$L$48,MATCH('⑮ Cohort Engine'!CI37,$C$42:$L$42,0))/12+(INDEX($C$68:$L$68,MATCH('⑮ Cohort Engine'!CI37,$C$42:$L$42,0))-BV67)*INDEX($C$66:$L$66,MATCH('⑮ Cohort Engine'!CI37,$C$42:$L$42,0))</f>
        <v>-41000.8</v>
      </c>
      <c r="BW70" s="46" t="n">
        <f aca="false">INDEX($C$48:$L$48,MATCH('⑮ Cohort Engine'!CJ37,$C$42:$L$42,0))/12+(INDEX($C$68:$L$68,MATCH('⑮ Cohort Engine'!CJ37,$C$42:$L$42,0))-BW67)*INDEX($C$66:$L$66,MATCH('⑮ Cohort Engine'!CJ37,$C$42:$L$42,0))</f>
        <v>-41000.8</v>
      </c>
      <c r="BX70" s="46" t="n">
        <f aca="false">INDEX($C$48:$L$48,MATCH('⑮ Cohort Engine'!CK37,$C$42:$L$42,0))/12+(INDEX($C$68:$L$68,MATCH('⑮ Cohort Engine'!CK37,$C$42:$L$42,0))-BX67)*INDEX($C$66:$L$66,MATCH('⑮ Cohort Engine'!CK37,$C$42:$L$42,0))</f>
        <v>-44405.8</v>
      </c>
      <c r="BY70" s="46" t="n">
        <f aca="false">INDEX($C$48:$L$48,MATCH('⑮ Cohort Engine'!CL37,$C$42:$L$42,0))/12+(INDEX($C$68:$L$68,MATCH('⑮ Cohort Engine'!CL37,$C$42:$L$42,0))-BY67)*INDEX($C$66:$L$66,MATCH('⑮ Cohort Engine'!CL37,$C$42:$L$42,0))</f>
        <v>-44405.8</v>
      </c>
      <c r="BZ70" s="46" t="n">
        <f aca="false">INDEX($C$48:$L$48,MATCH('⑮ Cohort Engine'!CM37,$C$42:$L$42,0))/12+(INDEX($C$68:$L$68,MATCH('⑮ Cohort Engine'!CM37,$C$42:$L$42,0))-BZ67)*INDEX($C$66:$L$66,MATCH('⑮ Cohort Engine'!CM37,$C$42:$L$42,0))</f>
        <v>-44405.8</v>
      </c>
      <c r="CA70" s="46" t="n">
        <f aca="false">INDEX($C$48:$L$48,MATCH('⑮ Cohort Engine'!CN37,$C$42:$L$42,0))/12+(INDEX($C$68:$L$68,MATCH('⑮ Cohort Engine'!CN37,$C$42:$L$42,0))-CA67)*INDEX($C$66:$L$66,MATCH('⑮ Cohort Engine'!CN37,$C$42:$L$42,0))</f>
        <v>-44405.8</v>
      </c>
      <c r="CB70" s="46" t="n">
        <f aca="false">INDEX($C$48:$L$48,MATCH('⑮ Cohort Engine'!CO37,$C$42:$L$42,0))/12+(INDEX($C$68:$L$68,MATCH('⑮ Cohort Engine'!CO37,$C$42:$L$42,0))-CB67)*INDEX($C$66:$L$66,MATCH('⑮ Cohort Engine'!CO37,$C$42:$L$42,0))</f>
        <v>-44405.8</v>
      </c>
      <c r="CC70" s="46" t="n">
        <f aca="false">INDEX($C$48:$L$48,MATCH('⑮ Cohort Engine'!CP37,$C$42:$L$42,0))/12+(INDEX($C$68:$L$68,MATCH('⑮ Cohort Engine'!CP37,$C$42:$L$42,0))-CC67)*INDEX($C$66:$L$66,MATCH('⑮ Cohort Engine'!CP37,$C$42:$L$42,0))</f>
        <v>-44405.8</v>
      </c>
      <c r="CD70" s="46" t="n">
        <f aca="false">INDEX($C$48:$L$48,MATCH('⑮ Cohort Engine'!CQ37,$C$42:$L$42,0))/12+(INDEX($C$68:$L$68,MATCH('⑮ Cohort Engine'!CQ37,$C$42:$L$42,0))-CD67)*INDEX($C$66:$L$66,MATCH('⑮ Cohort Engine'!CQ37,$C$42:$L$42,0))</f>
        <v>-44405.8</v>
      </c>
      <c r="CE70" s="46" t="n">
        <f aca="false">INDEX($C$48:$L$48,MATCH('⑮ Cohort Engine'!CR37,$C$42:$L$42,0))/12+(INDEX($C$68:$L$68,MATCH('⑮ Cohort Engine'!CR37,$C$42:$L$42,0))-CE67)*INDEX($C$66:$L$66,MATCH('⑮ Cohort Engine'!CR37,$C$42:$L$42,0))</f>
        <v>-44405.8</v>
      </c>
      <c r="CF70" s="46" t="n">
        <f aca="false">INDEX($C$48:$L$48,MATCH('⑮ Cohort Engine'!CS37,$C$42:$L$42,0))/12+(INDEX($C$68:$L$68,MATCH('⑮ Cohort Engine'!CS37,$C$42:$L$42,0))-CF67)*INDEX($C$66:$L$66,MATCH('⑮ Cohort Engine'!CS37,$C$42:$L$42,0))</f>
        <v>-44405.8</v>
      </c>
      <c r="CG70" s="46" t="n">
        <f aca="false">INDEX($C$48:$L$48,MATCH('⑮ Cohort Engine'!CT37,$C$42:$L$42,0))/12+(INDEX($C$68:$L$68,MATCH('⑮ Cohort Engine'!CT37,$C$42:$L$42,0))-CG67)*INDEX($C$66:$L$66,MATCH('⑮ Cohort Engine'!CT37,$C$42:$L$42,0))</f>
        <v>-44405.8</v>
      </c>
      <c r="CH70" s="46" t="n">
        <f aca="false">INDEX($C$48:$L$48,MATCH('⑮ Cohort Engine'!CU37,$C$42:$L$42,0))/12+(INDEX($C$68:$L$68,MATCH('⑮ Cohort Engine'!CU37,$C$42:$L$42,0))-CH67)*INDEX($C$66:$L$66,MATCH('⑮ Cohort Engine'!CU37,$C$42:$L$42,0))</f>
        <v>-44405.8</v>
      </c>
      <c r="CI70" s="46" t="n">
        <f aca="false">INDEX($C$48:$L$48,MATCH('⑮ Cohort Engine'!CV37,$C$42:$L$42,0))/12+(INDEX($C$68:$L$68,MATCH('⑮ Cohort Engine'!CV37,$C$42:$L$42,0))-CI67)*INDEX($C$66:$L$66,MATCH('⑮ Cohort Engine'!CV37,$C$42:$L$42,0))</f>
        <v>-44405.8</v>
      </c>
      <c r="CJ70" s="46" t="n">
        <f aca="false">INDEX($C$48:$L$48,MATCH('⑮ Cohort Engine'!CW37,$C$42:$L$42,0))/12+(INDEX($C$68:$L$68,MATCH('⑮ Cohort Engine'!CW37,$C$42:$L$42,0))-CJ67)*INDEX($C$66:$L$66,MATCH('⑮ Cohort Engine'!CW37,$C$42:$L$42,0))</f>
        <v>-44405.8</v>
      </c>
      <c r="CK70" s="46" t="n">
        <f aca="false">INDEX($C$48:$L$48,MATCH('⑮ Cohort Engine'!CX37,$C$42:$L$42,0))/12+(INDEX($C$68:$L$68,MATCH('⑮ Cohort Engine'!CX37,$C$42:$L$42,0))-CK67)*INDEX($C$66:$L$66,MATCH('⑮ Cohort Engine'!CX37,$C$42:$L$42,0))</f>
        <v>-47129.8</v>
      </c>
      <c r="CL70" s="46" t="n">
        <f aca="false">INDEX($C$48:$L$48,MATCH('⑮ Cohort Engine'!CY37,$C$42:$L$42,0))/12+(INDEX($C$68:$L$68,MATCH('⑮ Cohort Engine'!CY37,$C$42:$L$42,0))-CL67)*INDEX($C$66:$L$66,MATCH('⑮ Cohort Engine'!CY37,$C$42:$L$42,0))</f>
        <v>-47129.8</v>
      </c>
      <c r="CM70" s="46" t="n">
        <f aca="false">INDEX($C$48:$L$48,MATCH('⑮ Cohort Engine'!CZ37,$C$42:$L$42,0))/12+(INDEX($C$68:$L$68,MATCH('⑮ Cohort Engine'!CZ37,$C$42:$L$42,0))-CM67)*INDEX($C$66:$L$66,MATCH('⑮ Cohort Engine'!CZ37,$C$42:$L$42,0))</f>
        <v>-47129.8</v>
      </c>
      <c r="CN70" s="46" t="n">
        <f aca="false">INDEX($C$48:$L$48,MATCH('⑮ Cohort Engine'!DA37,$C$42:$L$42,0))/12+(INDEX($C$68:$L$68,MATCH('⑮ Cohort Engine'!DA37,$C$42:$L$42,0))-CN67)*INDEX($C$66:$L$66,MATCH('⑮ Cohort Engine'!DA37,$C$42:$L$42,0))</f>
        <v>-47129.8</v>
      </c>
      <c r="CO70" s="46" t="n">
        <f aca="false">INDEX($C$48:$L$48,MATCH('⑮ Cohort Engine'!DB37,$C$42:$L$42,0))/12+(INDEX($C$68:$L$68,MATCH('⑮ Cohort Engine'!DB37,$C$42:$L$42,0))-CO67)*INDEX($C$66:$L$66,MATCH('⑮ Cohort Engine'!DB37,$C$42:$L$42,0))</f>
        <v>-47129.8</v>
      </c>
      <c r="CP70" s="46" t="n">
        <f aca="false">INDEX($C$48:$L$48,MATCH('⑮ Cohort Engine'!DC37,$C$42:$L$42,0))/12+(INDEX($C$68:$L$68,MATCH('⑮ Cohort Engine'!DC37,$C$42:$L$42,0))-CP67)*INDEX($C$66:$L$66,MATCH('⑮ Cohort Engine'!DC37,$C$42:$L$42,0))</f>
        <v>-47129.8</v>
      </c>
      <c r="CQ70" s="46" t="n">
        <f aca="false">INDEX($C$48:$L$48,MATCH('⑮ Cohort Engine'!DD37,$C$42:$L$42,0))/12+(INDEX($C$68:$L$68,MATCH('⑮ Cohort Engine'!DD37,$C$42:$L$42,0))-CQ67)*INDEX($C$66:$L$66,MATCH('⑮ Cohort Engine'!DD37,$C$42:$L$42,0))</f>
        <v>-47129.8</v>
      </c>
      <c r="CR70" s="46" t="n">
        <f aca="false">INDEX($C$48:$L$48,MATCH('⑮ Cohort Engine'!DE37,$C$42:$L$42,0))/12+(INDEX($C$68:$L$68,MATCH('⑮ Cohort Engine'!DE37,$C$42:$L$42,0))-CR67)*INDEX($C$66:$L$66,MATCH('⑮ Cohort Engine'!DE37,$C$42:$L$42,0))</f>
        <v>-47129.8</v>
      </c>
      <c r="CS70" s="46" t="n">
        <f aca="false">INDEX($C$48:$L$48,MATCH('⑮ Cohort Engine'!DF37,$C$42:$L$42,0))/12+(INDEX($C$68:$L$68,MATCH('⑮ Cohort Engine'!DF37,$C$42:$L$42,0))-CS67)*INDEX($C$66:$L$66,MATCH('⑮ Cohort Engine'!DF37,$C$42:$L$42,0))</f>
        <v>-47129.8</v>
      </c>
      <c r="CT70" s="46" t="n">
        <f aca="false">INDEX($C$48:$L$48,MATCH('⑮ Cohort Engine'!DG37,$C$42:$L$42,0))/12+(INDEX($C$68:$L$68,MATCH('⑮ Cohort Engine'!DG37,$C$42:$L$42,0))-CT67)*INDEX($C$66:$L$66,MATCH('⑮ Cohort Engine'!DG37,$C$42:$L$42,0))</f>
        <v>-47129.8</v>
      </c>
      <c r="CU70" s="46" t="n">
        <f aca="false">INDEX($C$48:$L$48,MATCH('⑮ Cohort Engine'!DH37,$C$42:$L$42,0))/12+(INDEX($C$68:$L$68,MATCH('⑮ Cohort Engine'!DH37,$C$42:$L$42,0))-CU67)*INDEX($C$66:$L$66,MATCH('⑮ Cohort Engine'!DH37,$C$42:$L$42,0))</f>
        <v>-47129.8</v>
      </c>
      <c r="CV70" s="46" t="n">
        <f aca="false">INDEX($C$48:$L$48,MATCH('⑮ Cohort Engine'!DI37,$C$42:$L$42,0))/12+(INDEX($C$68:$L$68,MATCH('⑮ Cohort Engine'!DI37,$C$42:$L$42,0))-CV67)*INDEX($C$66:$L$66,MATCH('⑮ Cohort Engine'!DI37,$C$42:$L$42,0))</f>
        <v>-62327.5235363727</v>
      </c>
      <c r="CW70" s="46" t="n">
        <f aca="false">INDEX($C$48:$L$48,MATCH('⑮ Cohort Engine'!DJ37,$C$42:$L$42,0))/12+(INDEX($C$68:$L$68,MATCH('⑮ Cohort Engine'!DJ37,$C$42:$L$42,0))-CW67)*INDEX($C$66:$L$66,MATCH('⑮ Cohort Engine'!DJ37,$C$42:$L$42,0))</f>
        <v>-62327.5235363727</v>
      </c>
      <c r="CX70" s="46" t="n">
        <f aca="false">INDEX($C$48:$L$48,MATCH('⑮ Cohort Engine'!DK37,$C$42:$L$42,0))/12+(INDEX($C$68:$L$68,MATCH('⑮ Cohort Engine'!DK37,$C$42:$L$42,0))-CX67)*INDEX($C$66:$L$66,MATCH('⑮ Cohort Engine'!DK37,$C$42:$L$42,0))</f>
        <v>-62327.5235363727</v>
      </c>
      <c r="CY70" s="46" t="n">
        <f aca="false">INDEX($C$48:$L$48,MATCH('⑮ Cohort Engine'!DL37,$C$42:$L$42,0))/12+(INDEX($C$68:$L$68,MATCH('⑮ Cohort Engine'!DL37,$C$42:$L$42,0))-CY67)*INDEX($C$66:$L$66,MATCH('⑮ Cohort Engine'!DL37,$C$42:$L$42,0))</f>
        <v>-62327.5235363727</v>
      </c>
      <c r="CZ70" s="46" t="n">
        <f aca="false">INDEX($C$48:$L$48,MATCH('⑮ Cohort Engine'!DM37,$C$42:$L$42,0))/12+(INDEX($C$68:$L$68,MATCH('⑮ Cohort Engine'!DM37,$C$42:$L$42,0))-CZ67)*INDEX($C$66:$L$66,MATCH('⑮ Cohort Engine'!DM37,$C$42:$L$42,0))</f>
        <v>-62327.5235363727</v>
      </c>
      <c r="DA70" s="46" t="n">
        <f aca="false">INDEX($C$48:$L$48,MATCH('⑮ Cohort Engine'!DN37,$C$42:$L$42,0))/12+(INDEX($C$68:$L$68,MATCH('⑮ Cohort Engine'!DN37,$C$42:$L$42,0))-DA67)*INDEX($C$66:$L$66,MATCH('⑮ Cohort Engine'!DN37,$C$42:$L$42,0))</f>
        <v>-62327.5235363727</v>
      </c>
      <c r="DB70" s="46" t="n">
        <f aca="false">INDEX($C$48:$L$48,MATCH('⑮ Cohort Engine'!DO37,$C$42:$L$42,0))/12+(INDEX($C$68:$L$68,MATCH('⑮ Cohort Engine'!DO37,$C$42:$L$42,0))-DB67)*INDEX($C$66:$L$66,MATCH('⑮ Cohort Engine'!DO37,$C$42:$L$42,0))</f>
        <v>-62327.5235363727</v>
      </c>
      <c r="DC70" s="46" t="n">
        <f aca="false">INDEX($C$48:$L$48,MATCH('⑮ Cohort Engine'!DP37,$C$42:$L$42,0))/12+(INDEX($C$68:$L$68,MATCH('⑮ Cohort Engine'!DP37,$C$42:$L$42,0))-DC67)*INDEX($C$66:$L$66,MATCH('⑮ Cohort Engine'!DP37,$C$42:$L$42,0))</f>
        <v>-62327.5235363727</v>
      </c>
      <c r="DD70" s="46" t="n">
        <f aca="false">INDEX($C$48:$L$48,MATCH('⑮ Cohort Engine'!DQ37,$C$42:$L$42,0))/12+(INDEX($C$68:$L$68,MATCH('⑮ Cohort Engine'!DQ37,$C$42:$L$42,0))-DD67)*INDEX($C$66:$L$66,MATCH('⑮ Cohort Engine'!DQ37,$C$42:$L$42,0))</f>
        <v>-62327.5235363727</v>
      </c>
      <c r="DE70" s="46" t="n">
        <f aca="false">INDEX($C$48:$L$48,MATCH('⑮ Cohort Engine'!DR37,$C$42:$L$42,0))/12+(INDEX($C$68:$L$68,MATCH('⑮ Cohort Engine'!DR37,$C$42:$L$42,0))-DE67)*INDEX($C$66:$L$66,MATCH('⑮ Cohort Engine'!DR37,$C$42:$L$42,0))</f>
        <v>-62327.5235363727</v>
      </c>
      <c r="DF70" s="46" t="n">
        <f aca="false">INDEX($C$48:$L$48,MATCH('⑮ Cohort Engine'!DS37,$C$42:$L$42,0))/12+(INDEX($C$68:$L$68,MATCH('⑮ Cohort Engine'!DS37,$C$42:$L$42,0))-DF67)*INDEX($C$66:$L$66,MATCH('⑮ Cohort Engine'!DS37,$C$42:$L$42,0))</f>
        <v>-62327.5235363727</v>
      </c>
      <c r="DG70" s="46" t="n">
        <f aca="false">INDEX($C$48:$L$48,MATCH('⑮ Cohort Engine'!DT37,$C$42:$L$42,0))/12+(INDEX($C$68:$L$68,MATCH('⑮ Cohort Engine'!DT37,$C$42:$L$42,0))-DG67)*INDEX($C$66:$L$66,MATCH('⑮ Cohort Engine'!DT37,$C$42:$L$42,0))</f>
        <v>-62327.5235363727</v>
      </c>
      <c r="DH70" s="46" t="n">
        <f aca="false">INDEX($C$48:$L$48,MATCH('⑮ Cohort Engine'!DU37,$C$42:$L$42,0))/12+(INDEX($C$68:$L$68,MATCH('⑮ Cohort Engine'!DU37,$C$42:$L$42,0))-DH67)*INDEX($C$66:$L$66,MATCH('⑮ Cohort Engine'!DU37,$C$42:$L$42,0))</f>
        <v>-63027.273331426</v>
      </c>
      <c r="DI70" s="46" t="n">
        <f aca="false">INDEX($C$48:$L$48,MATCH('⑮ Cohort Engine'!DV37,$C$42:$L$42,0))/12+(INDEX($C$68:$L$68,MATCH('⑮ Cohort Engine'!DV37,$C$42:$L$42,0))-DI67)*INDEX($C$66:$L$66,MATCH('⑮ Cohort Engine'!DV37,$C$42:$L$42,0))</f>
        <v>-63027.273331426</v>
      </c>
      <c r="DJ70" s="46" t="n">
        <f aca="false">INDEX($C$48:$L$48,MATCH('⑮ Cohort Engine'!DW37,$C$42:$L$42,0))/12+(INDEX($C$68:$L$68,MATCH('⑮ Cohort Engine'!DW37,$C$42:$L$42,0))-DJ67)*INDEX($C$66:$L$66,MATCH('⑮ Cohort Engine'!DW37,$C$42:$L$42,0))</f>
        <v>-63027.273331426</v>
      </c>
      <c r="DK70" s="46" t="n">
        <f aca="false">INDEX($C$48:$L$48,MATCH('⑮ Cohort Engine'!DX37,$C$42:$L$42,0))/12+(INDEX($C$68:$L$68,MATCH('⑮ Cohort Engine'!DX37,$C$42:$L$42,0))-DK67)*INDEX($C$66:$L$66,MATCH('⑮ Cohort Engine'!DX37,$C$42:$L$42,0))</f>
        <v>-63027.273331426</v>
      </c>
      <c r="DL70" s="46" t="n">
        <f aca="false">INDEX($C$48:$L$48,MATCH('⑮ Cohort Engine'!DY37,$C$42:$L$42,0))/12+(INDEX($C$68:$L$68,MATCH('⑮ Cohort Engine'!DY37,$C$42:$L$42,0))-DL67)*INDEX($C$66:$L$66,MATCH('⑮ Cohort Engine'!DY37,$C$42:$L$42,0))</f>
        <v>-63027.273331426</v>
      </c>
      <c r="DM70" s="46" t="n">
        <f aca="false">INDEX($C$48:$L$48,MATCH('⑮ Cohort Engine'!DZ37,$C$42:$L$42,0))/12+(INDEX($C$68:$L$68,MATCH('⑮ Cohort Engine'!DZ37,$C$42:$L$42,0))-DM67)*INDEX($C$66:$L$66,MATCH('⑮ Cohort Engine'!DZ37,$C$42:$L$42,0))</f>
        <v>-63027.273331426</v>
      </c>
      <c r="DN70" s="46" t="n">
        <f aca="false">INDEX($C$48:$L$48,MATCH('⑮ Cohort Engine'!EA37,$C$42:$L$42,0))/12+(INDEX($C$68:$L$68,MATCH('⑮ Cohort Engine'!EA37,$C$42:$L$42,0))-DN67)*INDEX($C$66:$L$66,MATCH('⑮ Cohort Engine'!EA37,$C$42:$L$42,0))</f>
        <v>-63027.273331426</v>
      </c>
      <c r="DO70" s="46" t="n">
        <f aca="false">INDEX($C$48:$L$48,MATCH('⑮ Cohort Engine'!EB37,$C$42:$L$42,0))/12+(INDEX($C$68:$L$68,MATCH('⑮ Cohort Engine'!EB37,$C$42:$L$42,0))-DO67)*INDEX($C$66:$L$66,MATCH('⑮ Cohort Engine'!EB37,$C$42:$L$42,0))</f>
        <v>-63027.273331426</v>
      </c>
      <c r="DP70" s="46" t="n">
        <f aca="false">INDEX($C$48:$L$48,MATCH('⑮ Cohort Engine'!EC37,$C$42:$L$42,0))/12+(INDEX($C$68:$L$68,MATCH('⑮ Cohort Engine'!EC37,$C$42:$L$42,0))-DP67)*INDEX($C$66:$L$66,MATCH('⑮ Cohort Engine'!EC37,$C$42:$L$42,0))</f>
        <v>-63027.273331426</v>
      </c>
      <c r="DQ70" s="46" t="n">
        <f aca="false">INDEX($C$48:$L$48,MATCH('⑮ Cohort Engine'!ED37,$C$42:$L$42,0))/12+(INDEX($C$68:$L$68,MATCH('⑮ Cohort Engine'!ED37,$C$42:$L$42,0))-DQ67)*INDEX($C$66:$L$66,MATCH('⑮ Cohort Engine'!ED37,$C$42:$L$42,0))</f>
        <v>-63027.273331426</v>
      </c>
      <c r="DR70" s="46" t="n">
        <f aca="false">INDEX($C$48:$L$48,MATCH('⑮ Cohort Engine'!EE37,$C$42:$L$42,0))/12+(INDEX($C$68:$L$68,MATCH('⑮ Cohort Engine'!EE37,$C$42:$L$42,0))-DR67)*INDEX($C$66:$L$66,MATCH('⑮ Cohort Engine'!EE37,$C$42:$L$42,0))</f>
        <v>-63027.273331426</v>
      </c>
      <c r="DS70" s="46" t="n">
        <f aca="false">INDEX($C$48:$L$48,MATCH('⑮ Cohort Engine'!EF37,$C$42:$L$42,0))/12+(INDEX($C$68:$L$68,MATCH('⑮ Cohort Engine'!EF37,$C$42:$L$42,0))-DS67)*INDEX($C$66:$L$66,MATCH('⑮ Cohort Engine'!EF37,$C$42:$L$42,0))</f>
        <v>-63027.273331426</v>
      </c>
      <c r="DT70" s="46" t="n">
        <f aca="false">INDEX($C$48:$L$48,MATCH('⑮ Cohort Engine'!EG37,$C$42:$L$42,0))/12+(INDEX($C$68:$L$68,MATCH('⑮ Cohort Engine'!EG37,$C$42:$L$42,0))-DT67)*INDEX($C$66:$L$66,MATCH('⑮ Cohort Engine'!EG37,$C$42:$L$42,0))</f>
        <v>-67453.4064604607</v>
      </c>
      <c r="DU70" s="46" t="n">
        <f aca="false">INDEX($C$48:$L$48,MATCH('⑮ Cohort Engine'!EH37,$C$42:$L$42,0))/12+(INDEX($C$68:$L$68,MATCH('⑮ Cohort Engine'!EH37,$C$42:$L$42,0))-DU67)*INDEX($C$66:$L$66,MATCH('⑮ Cohort Engine'!EH37,$C$42:$L$42,0))</f>
        <v>-67453.4064604607</v>
      </c>
      <c r="DV70" s="46" t="n">
        <f aca="false">INDEX($C$48:$L$48,MATCH('⑮ Cohort Engine'!EI37,$C$42:$L$42,0))/12+(INDEX($C$68:$L$68,MATCH('⑮ Cohort Engine'!EI37,$C$42:$L$42,0))-DV67)*INDEX($C$66:$L$66,MATCH('⑮ Cohort Engine'!EI37,$C$42:$L$42,0))</f>
        <v>-67453.4064604607</v>
      </c>
      <c r="DW70" s="46" t="n">
        <f aca="false">INDEX($C$48:$L$48,MATCH('⑮ Cohort Engine'!EJ37,$C$42:$L$42,0))/12+(INDEX($C$68:$L$68,MATCH('⑮ Cohort Engine'!EJ37,$C$42:$L$42,0))-DW67)*INDEX($C$66:$L$66,MATCH('⑮ Cohort Engine'!EJ37,$C$42:$L$42,0))</f>
        <v>-67453.4064604607</v>
      </c>
      <c r="DX70" s="46" t="n">
        <f aca="false">INDEX($C$48:$L$48,MATCH('⑮ Cohort Engine'!EK37,$C$42:$L$42,0))/12+(INDEX($C$68:$L$68,MATCH('⑮ Cohort Engine'!EK37,$C$42:$L$42,0))-DX67)*INDEX($C$66:$L$66,MATCH('⑮ Cohort Engine'!EK37,$C$42:$L$42,0))</f>
        <v>-67453.4064604607</v>
      </c>
      <c r="DY70" s="46" t="n">
        <f aca="false">INDEX($C$48:$L$48,MATCH('⑮ Cohort Engine'!EL37,$C$42:$L$42,0))/12+(INDEX($C$68:$L$68,MATCH('⑮ Cohort Engine'!EL37,$C$42:$L$42,0))-DY67)*INDEX($C$66:$L$66,MATCH('⑮ Cohort Engine'!EL37,$C$42:$L$42,0))</f>
        <v>-67453.4064604607</v>
      </c>
      <c r="DZ70" s="46" t="n">
        <f aca="false">INDEX($C$48:$L$48,MATCH('⑮ Cohort Engine'!EM37,$C$42:$L$42,0))/12+(INDEX($C$68:$L$68,MATCH('⑮ Cohort Engine'!EM37,$C$42:$L$42,0))-DZ67)*INDEX($C$66:$L$66,MATCH('⑮ Cohort Engine'!EM37,$C$42:$L$42,0))</f>
        <v>-67453.4064604607</v>
      </c>
      <c r="EA70" s="46" t="n">
        <f aca="false">INDEX($C$48:$L$48,MATCH('⑮ Cohort Engine'!EN37,$C$42:$L$42,0))/12+(INDEX($C$68:$L$68,MATCH('⑮ Cohort Engine'!EN37,$C$42:$L$42,0))-EA67)*INDEX($C$66:$L$66,MATCH('⑮ Cohort Engine'!EN37,$C$42:$L$42,0))</f>
        <v>-67453.4064604607</v>
      </c>
      <c r="EB70" s="46" t="n">
        <f aca="false">INDEX($C$48:$L$48,MATCH('⑮ Cohort Engine'!EO37,$C$42:$L$42,0))/12+(INDEX($C$68:$L$68,MATCH('⑮ Cohort Engine'!EO37,$C$42:$L$42,0))-EB67)*INDEX($C$66:$L$66,MATCH('⑮ Cohort Engine'!EO37,$C$42:$L$42,0))</f>
        <v>-67453.4064604607</v>
      </c>
      <c r="EC70" s="46" t="n">
        <f aca="false">INDEX($C$48:$L$48,MATCH('⑮ Cohort Engine'!EP37,$C$42:$L$42,0))/12+(INDEX($C$68:$L$68,MATCH('⑮ Cohort Engine'!EP37,$C$42:$L$42,0))-EC67)*INDEX($C$66:$L$66,MATCH('⑮ Cohort Engine'!EP37,$C$42:$L$42,0))</f>
        <v>-67453.4064604607</v>
      </c>
      <c r="ED70" s="46" t="n">
        <f aca="false">INDEX($C$48:$L$48,MATCH('⑮ Cohort Engine'!EQ37,$C$42:$L$42,0))/12+(INDEX($C$68:$L$68,MATCH('⑮ Cohort Engine'!EQ37,$C$42:$L$42,0))-ED67)*INDEX($C$66:$L$66,MATCH('⑮ Cohort Engine'!EQ37,$C$42:$L$42,0))</f>
        <v>-67453.4064604607</v>
      </c>
      <c r="EE70" s="9" t="n">
        <f aca="false">INDEX($C$48:$L$48,MATCH('⑮ Cohort Engine'!ER37,$C$42:$L$42,0))/12+(INDEX($C$68:$L$68,MATCH('⑮ Cohort Engine'!ER37,$C$42:$L$42,0))-EE67)*INDEX($C$66:$L$66,MATCH('⑮ Cohort Engine'!ER37,$C$42:$L$42,0))</f>
        <v>-67453.4064604607</v>
      </c>
    </row>
    <row r="71" customFormat="false" ht="15" hidden="false" customHeight="false" outlineLevel="0" collapsed="false">
      <c r="B71" s="9" t="s">
        <v>1298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40" t="n">
        <f aca="false">-'⑮ Cohort Engine'!AC925*$C$34*'🎚️ Escenario'!$C$7</f>
        <v>-952.56</v>
      </c>
      <c r="Q71" s="40" t="n">
        <f aca="false">-'⑮ Cohort Engine'!AD925*$C$34*'🎚️ Escenario'!$C$7</f>
        <v>-1053.864</v>
      </c>
      <c r="R71" s="40" t="n">
        <f aca="false">-'⑮ Cohort Engine'!AE925*$C$34*'🎚️ Escenario'!$C$7</f>
        <v>-1629.684</v>
      </c>
      <c r="S71" s="40" t="n">
        <f aca="false">-'⑮ Cohort Engine'!AF925*$C$34*'🎚️ Escenario'!$C$7</f>
        <v>-1725.57</v>
      </c>
      <c r="T71" s="40" t="n">
        <f aca="false">-'⑮ Cohort Engine'!AG925*$C$34*'🎚️ Escenario'!$C$7</f>
        <v>-2201.514</v>
      </c>
      <c r="U71" s="40" t="n">
        <f aca="false">-'⑮ Cohort Engine'!AH925*$C$34*'🎚️ Escenario'!$C$7</f>
        <v>-2117.64</v>
      </c>
      <c r="V71" s="40" t="n">
        <f aca="false">-'⑮ Cohort Engine'!AI925*$C$34*'🎚️ Escenario'!$C$7</f>
        <v>-2489.886</v>
      </c>
      <c r="W71" s="40" t="n">
        <f aca="false">-'⑮ Cohort Engine'!AJ925*$C$34*'🎚️ Escenario'!$C$7</f>
        <v>-4714.542</v>
      </c>
      <c r="X71" s="40" t="n">
        <f aca="false">-'⑮ Cohort Engine'!AK925*$C$34*'🎚️ Escenario'!$C$7</f>
        <v>-4180.176</v>
      </c>
      <c r="Y71" s="40" t="n">
        <f aca="false">-'⑮ Cohort Engine'!AL925*$C$34*'🎚️ Escenario'!$C$7</f>
        <v>-3684.24</v>
      </c>
      <c r="Z71" s="40" t="n">
        <f aca="false">-'⑮ Cohort Engine'!AM925*$C$34*'🎚️ Escenario'!$C$7</f>
        <v>-3002.076</v>
      </c>
      <c r="AA71" s="40" t="n">
        <f aca="false">-'⑮ Cohort Engine'!AN925*$C$34*'🎚️ Escenario'!$C$7</f>
        <v>-5555.277</v>
      </c>
      <c r="AB71" s="40" t="n">
        <f aca="false">-'⑮ Cohort Engine'!AO925*$C$34*'🎚️ Escenario'!$C$7</f>
        <v>-6445.656</v>
      </c>
      <c r="AC71" s="40" t="n">
        <f aca="false">-'⑮ Cohort Engine'!AP925*$C$34*'🎚️ Escenario'!$C$7</f>
        <v>-5162.556</v>
      </c>
      <c r="AD71" s="40" t="n">
        <f aca="false">-'⑮ Cohort Engine'!AQ925*$C$34*'🎚️ Escenario'!$C$7</f>
        <v>-7709.94</v>
      </c>
      <c r="AE71" s="40" t="n">
        <f aca="false">-'⑮ Cohort Engine'!AR925*$C$34*'🎚️ Escenario'!$C$7</f>
        <v>-8238.846</v>
      </c>
      <c r="AF71" s="40" t="n">
        <f aca="false">-'⑮ Cohort Engine'!AS925*$C$34*'🎚️ Escenario'!$C$7</f>
        <v>-7568.0304</v>
      </c>
      <c r="AG71" s="40" t="n">
        <f aca="false">-'⑮ Cohort Engine'!AT925*$C$34*'🎚️ Escenario'!$C$7</f>
        <v>-7018.704</v>
      </c>
      <c r="AH71" s="40" t="n">
        <f aca="false">-'⑮ Cohort Engine'!AU925*$C$34*'🎚️ Escenario'!$C$7</f>
        <v>-7654.3488</v>
      </c>
      <c r="AI71" s="40" t="n">
        <f aca="false">-'⑮ Cohort Engine'!AV925*$C$34*'🎚️ Escenario'!$C$7</f>
        <v>-14166.8856</v>
      </c>
      <c r="AJ71" s="40" t="n">
        <f aca="false">-'⑮ Cohort Engine'!AW925*$C$34*'🎚️ Escenario'!$C$7</f>
        <v>-11857.9608</v>
      </c>
      <c r="AK71" s="40" t="n">
        <f aca="false">-('⑮ Cohort Engine'!AX925-((1-'㉔ Financial Statements'!X151)*'⑮ Cohort Engine'!AX49+(1-'㉔ Financial Statements'!X152)*'⑮ Cohort Engine'!AX59+(1-'㉔ Financial Statements'!X153)*'⑮ Cohort Engine'!AX69+(1-'㉔ Financial Statements'!X154)*'⑮ Cohort Engine'!AX79))*$C$34*'🎚️ Escenario'!$C$7</f>
        <v>-7540.82746755566</v>
      </c>
      <c r="AL71" s="40" t="n">
        <f aca="false">-('⑮ Cohort Engine'!AY925-((1-'㉔ Financial Statements'!Y151)*'⑮ Cohort Engine'!AY49+(1-'㉔ Financial Statements'!Y152)*'⑮ Cohort Engine'!AY59+(1-'㉔ Financial Statements'!Y153)*'⑮ Cohort Engine'!AY69+(1-'㉔ Financial Statements'!Y154)*'⑮ Cohort Engine'!AY79))*$C$34*'🎚️ Escenario'!$C$7</f>
        <v>-5967.8064860103</v>
      </c>
      <c r="AM71" s="40" t="n">
        <f aca="false">-('⑮ Cohort Engine'!AZ925-((1-'㉔ Financial Statements'!Z151)*'⑮ Cohort Engine'!AZ49+(1-'㉔ Financial Statements'!Z152)*'⑮ Cohort Engine'!AZ59+(1-'㉔ Financial Statements'!Z153)*'⑮ Cohort Engine'!AZ69+(1-'㉔ Financial Statements'!Z154)*'⑮ Cohort Engine'!AZ79))*$C$34*'🎚️ Escenario'!$C$7</f>
        <v>-8837.3730434798</v>
      </c>
      <c r="AN71" s="40" t="n">
        <f aca="false">-('⑮ Cohort Engine'!BA925-((1-'㉔ Financial Statements'!AA151)*'⑮ Cohort Engine'!BA49+(1-'㉔ Financial Statements'!AA152)*'⑮ Cohort Engine'!BA59+(1-'㉔ Financial Statements'!AA153)*'⑮ Cohort Engine'!BA69+(1-'㉔ Financial Statements'!AA154)*'⑮ Cohort Engine'!BA79))*$C$34*'🎚️ Escenario'!$C$7</f>
        <v>-10588.679888417</v>
      </c>
      <c r="AO71" s="40" t="n">
        <f aca="false">-('⑮ Cohort Engine'!BB925-((1-'㉔ Financial Statements'!AB151)*'⑮ Cohort Engine'!BB49+(1-'㉔ Financial Statements'!AB152)*'⑮ Cohort Engine'!BB59+(1-'㉔ Financial Statements'!AB153)*'⑮ Cohort Engine'!BB69+(1-'㉔ Financial Statements'!AB154)*'⑮ Cohort Engine'!BB79))*$C$34*'🎚️ Escenario'!$C$7</f>
        <v>-9014.57049752581</v>
      </c>
      <c r="AP71" s="40" t="n">
        <f aca="false">-('⑮ Cohort Engine'!BC925-((1-'㉔ Financial Statements'!AC151)*'⑮ Cohort Engine'!BC49+(1-'㉔ Financial Statements'!AC152)*'⑮ Cohort Engine'!BC59+(1-'㉔ Financial Statements'!AC153)*'⑮ Cohort Engine'!BC69+(1-'㉔ Financial Statements'!AC154)*'⑮ Cohort Engine'!BC79))*$C$34*'🎚️ Escenario'!$C$7</f>
        <v>-14886.8314000982</v>
      </c>
      <c r="AQ71" s="40" t="n">
        <f aca="false">-('⑮ Cohort Engine'!BD925-((1-'㉔ Financial Statements'!AD151)*'⑮ Cohort Engine'!BD49+(1-'㉔ Financial Statements'!AD152)*'⑮ Cohort Engine'!BD59+(1-'㉔ Financial Statements'!AD153)*'⑮ Cohort Engine'!BD69+(1-'㉔ Financial Statements'!AD154)*'⑮ Cohort Engine'!BD79))*$C$34*'🎚️ Escenario'!$C$7</f>
        <v>-15893.8559716755</v>
      </c>
      <c r="AR71" s="40" t="n">
        <f aca="false">-('⑮ Cohort Engine'!BE925-((1-'㉔ Financial Statements'!AE151)*'⑮ Cohort Engine'!BE49+(1-'㉔ Financial Statements'!AE152)*'⑮ Cohort Engine'!BE59+(1-'㉔ Financial Statements'!AE153)*'⑮ Cohort Engine'!BE69+(1-'㉔ Financial Statements'!AE154)*'⑮ Cohort Engine'!BE79))*$C$34*'🎚️ Escenario'!$C$7</f>
        <v>-13883.1454198752</v>
      </c>
      <c r="AS71" s="40" t="n">
        <f aca="false">-('⑮ Cohort Engine'!BF925-((1-'㉔ Financial Statements'!AF151)*'⑮ Cohort Engine'!BF49+(1-'㉔ Financial Statements'!AF152)*'⑮ Cohort Engine'!BF59+(1-'㉔ Financial Statements'!AF153)*'⑮ Cohort Engine'!BF69+(1-'㉔ Financial Statements'!AF154)*'⑮ Cohort Engine'!BF79))*$C$34*'🎚️ Escenario'!$C$7</f>
        <v>-13287.4339916178</v>
      </c>
      <c r="AT71" s="40" t="n">
        <f aca="false">-('⑮ Cohort Engine'!BG925-((1-'㉔ Financial Statements'!AG151)*'⑮ Cohort Engine'!BG49+(1-'㉔ Financial Statements'!AG152)*'⑮ Cohort Engine'!BG59+(1-'㉔ Financial Statements'!AG153)*'⑮ Cohort Engine'!BG69+(1-'㉔ Financial Statements'!AG154)*'⑮ Cohort Engine'!BG79))*$C$34*'🎚️ Escenario'!$C$7</f>
        <v>-14626.8108730049</v>
      </c>
      <c r="AU71" s="40" t="n">
        <f aca="false">-('⑮ Cohort Engine'!BH925-((1-'㉔ Financial Statements'!AH151)*'⑮ Cohort Engine'!BH49+(1-'㉔ Financial Statements'!AH152)*'⑮ Cohort Engine'!BH59+(1-'㉔ Financial Statements'!AH153)*'⑮ Cohort Engine'!BH69+(1-'㉔ Financial Statements'!AH154)*'⑮ Cohort Engine'!BH79))*$C$34*'🎚️ Escenario'!$C$7</f>
        <v>-27378.926826509</v>
      </c>
      <c r="AV71" s="40" t="n">
        <f aca="false">-('⑮ Cohort Engine'!BI925-((1-'㉔ Financial Statements'!AI151)*'⑮ Cohort Engine'!BI49+(1-'㉔ Financial Statements'!AI152)*'⑮ Cohort Engine'!BI59+(1-'㉔ Financial Statements'!AI153)*'⑮ Cohort Engine'!BI69+(1-'㉔ Financial Statements'!AI154)*'⑮ Cohort Engine'!BI79))*$C$34*'🎚️ Escenario'!$C$7</f>
        <v>-23839.855481134</v>
      </c>
      <c r="AW71" s="40" t="n">
        <f aca="false">-('⑮ Cohort Engine'!BJ925-((1-'㉔ Financial Statements'!AJ151)*'⑮ Cohort Engine'!BJ49+(1-'㉔ Financial Statements'!AJ152)*'⑮ Cohort Engine'!BJ59+(1-'㉔ Financial Statements'!AJ153)*'⑮ Cohort Engine'!BJ69+(1-'㉔ Financial Statements'!AJ154)*'⑮ Cohort Engine'!BJ79))*$C$34*'🎚️ Escenario'!$C$7</f>
        <v>-21477.7199081551</v>
      </c>
      <c r="AX71" s="40" t="n">
        <f aca="false">-('⑮ Cohort Engine'!BK925-((1-'㉔ Financial Statements'!AK151)*'⑮ Cohort Engine'!BK49+(1-'㉔ Financial Statements'!AK152)*'⑮ Cohort Engine'!BK59+(1-'㉔ Financial Statements'!AK153)*'⑮ Cohort Engine'!BK69+(1-'㉔ Financial Statements'!AK154)*'⑮ Cohort Engine'!BK79))*$C$34*'🎚️ Escenario'!$C$7</f>
        <v>-16983.4512434406</v>
      </c>
      <c r="AY71" s="40" t="n">
        <f aca="false">-('⑮ Cohort Engine'!BL925-((1-'㉔ Financial Statements'!AL151)*'⑮ Cohort Engine'!BL49+(1-'㉔ Financial Statements'!AL152)*'⑮ Cohort Engine'!BL59+(1-'㉔ Financial Statements'!AL153)*'⑮ Cohort Engine'!BL69+(1-'㉔ Financial Statements'!AL154)*'⑮ Cohort Engine'!BL79))*$C$34*'🎚️ Escenario'!$C$7</f>
        <v>-25216.3888986425</v>
      </c>
      <c r="AZ71" s="40" t="n">
        <f aca="false">-('⑮ Cohort Engine'!BM925-((1-'㉔ Financial Statements'!AM151)*'⑮ Cohort Engine'!BM49+(1-'㉔ Financial Statements'!AM152)*'⑮ Cohort Engine'!BM59+(1-'㉔ Financial Statements'!AM153)*'⑮ Cohort Engine'!BM69+(1-'㉔ Financial Statements'!AM154)*'⑮ Cohort Engine'!BM79))*$C$34*'🎚️ Escenario'!$C$7</f>
        <v>-28089.28373151</v>
      </c>
      <c r="BA71" s="40" t="n">
        <f aca="false">-('⑮ Cohort Engine'!BN925-((1-'㉔ Financial Statements'!AN151)*'⑮ Cohort Engine'!BN49+(1-'㉔ Financial Statements'!AN152)*'⑮ Cohort Engine'!BN59+(1-'㉔ Financial Statements'!AN153)*'⑮ Cohort Engine'!BN69+(1-'㉔ Financial Statements'!AN154)*'⑮ Cohort Engine'!BN79))*$C$34*'🎚️ Escenario'!$C$7</f>
        <v>-22484.36792625</v>
      </c>
      <c r="BB71" s="40" t="n">
        <f aca="false">-('⑮ Cohort Engine'!BO925-((1-'㉔ Financial Statements'!AO151)*'⑮ Cohort Engine'!BO49+(1-'㉔ Financial Statements'!AO152)*'⑮ Cohort Engine'!BO59+(1-'㉔ Financial Statements'!AO153)*'⑮ Cohort Engine'!BO69+(1-'㉔ Financial Statements'!AO154)*'⑮ Cohort Engine'!BO79))*$C$34*'🎚️ Escenario'!$C$7</f>
        <v>-34070.9395126832</v>
      </c>
      <c r="BC71" s="40" t="n">
        <f aca="false">-('⑮ Cohort Engine'!BP925-((1-'㉔ Financial Statements'!AP151)*'⑮ Cohort Engine'!BP49+(1-'㉔ Financial Statements'!AP152)*'⑮ Cohort Engine'!BP59+(1-'㉔ Financial Statements'!AP153)*'⑮ Cohort Engine'!BP69+(1-'㉔ Financial Statements'!AP154)*'⑮ Cohort Engine'!BP79))*$C$34*'🎚️ Escenario'!$C$7</f>
        <v>-34385.948686826</v>
      </c>
      <c r="BD71" s="40" t="n">
        <f aca="false">-('⑮ Cohort Engine'!BQ925-((1-'㉔ Financial Statements'!AQ151)*'⑮ Cohort Engine'!BQ49+(1-'㉔ Financial Statements'!AQ152)*'⑮ Cohort Engine'!BQ59+(1-'㉔ Financial Statements'!AQ153)*'⑮ Cohort Engine'!BQ69+(1-'㉔ Financial Statements'!AQ154)*'⑮ Cohort Engine'!BQ79))*$C$34*'🎚️ Escenario'!$C$7</f>
        <v>-31065.280577937</v>
      </c>
      <c r="BE71" s="40" t="n">
        <f aca="false">-('⑮ Cohort Engine'!BR925-((1-'㉔ Financial Statements'!AR151)*'⑮ Cohort Engine'!BR49+(1-'㉔ Financial Statements'!AR152)*'⑮ Cohort Engine'!BR59+(1-'㉔ Financial Statements'!AR153)*'⑮ Cohort Engine'!BR69+(1-'㉔ Financial Statements'!AR154)*'⑮ Cohort Engine'!BR79))*$C$34*'🎚️ Escenario'!$C$7</f>
        <v>-28616.9988687991</v>
      </c>
      <c r="BF71" s="40" t="n">
        <f aca="false">-('⑮ Cohort Engine'!BS925-((1-'㉔ Financial Statements'!AS151)*'⑮ Cohort Engine'!BS49+(1-'㉔ Financial Statements'!AS152)*'⑮ Cohort Engine'!BS59+(1-'㉔ Financial Statements'!AS153)*'⑮ Cohort Engine'!BS69+(1-'㉔ Financial Statements'!AS154)*'⑮ Cohort Engine'!BS79))*$C$34*'🎚️ Escenario'!$C$7</f>
        <v>-32278.7120479824</v>
      </c>
      <c r="BG71" s="40" t="n">
        <f aca="false">-('⑮ Cohort Engine'!BT925-((1-'㉔ Financial Statements'!AT151)*'⑮ Cohort Engine'!BT49+(1-'㉔ Financial Statements'!AT152)*'⑮ Cohort Engine'!BT59+(1-'㉔ Financial Statements'!AT153)*'⑮ Cohort Engine'!BT69+(1-'㉔ Financial Statements'!AT154)*'⑮ Cohort Engine'!BT79))*$C$34*'🎚️ Escenario'!$C$7</f>
        <v>-56532.8960012699</v>
      </c>
      <c r="BH71" s="40" t="n">
        <f aca="false">-('⑮ Cohort Engine'!BU925-((1-'㉔ Financial Statements'!AU151)*'⑮ Cohort Engine'!BU49+(1-'㉔ Financial Statements'!AU152)*'⑮ Cohort Engine'!BU59+(1-'㉔ Financial Statements'!AU153)*'⑮ Cohort Engine'!BU69+(1-'㉔ Financial Statements'!AU154)*'⑮ Cohort Engine'!BU79))*$C$34*'🎚️ Escenario'!$C$7</f>
        <v>-50350.8820039849</v>
      </c>
      <c r="BI71" s="40" t="n">
        <f aca="false">-('⑮ Cohort Engine'!BV925-((1-'㉔ Financial Statements'!AV151)*'⑮ Cohort Engine'!BV49+(1-'㉔ Financial Statements'!AV152)*'⑮ Cohort Engine'!BV59+(1-'㉔ Financial Statements'!AV153)*'⑮ Cohort Engine'!BV69+(1-'㉔ Financial Statements'!AV154)*'⑮ Cohort Engine'!BV79))*$C$34*'🎚️ Escenario'!$C$7</f>
        <v>-42996.2650155749</v>
      </c>
      <c r="BJ71" s="40" t="n">
        <f aca="false">-('⑮ Cohort Engine'!BW925-((1-'㉔ Financial Statements'!AW151)*'⑮ Cohort Engine'!BW49+(1-'㉔ Financial Statements'!AW152)*'⑮ Cohort Engine'!BW59+(1-'㉔ Financial Statements'!AW153)*'⑮ Cohort Engine'!BW69+(1-'㉔ Financial Statements'!AW154)*'⑮ Cohort Engine'!BW79))*$C$34*'🎚️ Escenario'!$C$7</f>
        <v>-34359.9856815784</v>
      </c>
      <c r="BK71" s="40" t="n">
        <f aca="false">-('⑮ Cohort Engine'!BX925-((1-'㉔ Financial Statements'!AX151)*'⑮ Cohort Engine'!BX49+(1-'㉔ Financial Statements'!AX152)*'⑮ Cohort Engine'!BX59+(1-'㉔ Financial Statements'!AX153)*'⑮ Cohort Engine'!BX69+(1-'㉔ Financial Statements'!AX154)*'⑮ Cohort Engine'!BX79))*$C$34*'🎚️ Escenario'!$C$7</f>
        <v>-50981.6182130361</v>
      </c>
      <c r="BL71" s="40" t="n">
        <f aca="false">-'⑮ Cohort Engine'!BY925*$C$34*'🎚️ Escenario'!$C$7</f>
        <v>-56235.9672</v>
      </c>
      <c r="BM71" s="40" t="n">
        <f aca="false">-'⑮ Cohort Engine'!BZ925*$C$34*'🎚️ Escenario'!$C$7</f>
        <v>-43945.44</v>
      </c>
      <c r="BN71" s="40" t="n">
        <f aca="false">-'⑮ Cohort Engine'!CA925*$C$34*'🎚️ Escenario'!$C$7</f>
        <v>-63871.92</v>
      </c>
      <c r="BO71" s="40" t="n">
        <f aca="false">-'⑮ Cohort Engine'!CB925*$C$34*'🎚️ Escenario'!$C$7</f>
        <v>-62205.066</v>
      </c>
      <c r="BP71" s="40" t="n">
        <f aca="false">-'⑮ Cohort Engine'!CC925*$C$34*'🎚️ Escenario'!$C$7</f>
        <v>-53516.9796</v>
      </c>
      <c r="BQ71" s="40" t="n">
        <f aca="false">-'⑮ Cohort Engine'!CD925*$C$34*'🎚️ Escenario'!$C$7</f>
        <v>-47948.712</v>
      </c>
      <c r="BR71" s="40" t="n">
        <f aca="false">-'⑮ Cohort Engine'!CE925*$C$34*'🎚️ Escenario'!$C$7</f>
        <v>-51622.578</v>
      </c>
      <c r="BS71" s="40" t="n">
        <f aca="false">-'⑮ Cohort Engine'!CF925*$C$34*'🎚️ Escenario'!$C$7</f>
        <v>-90532.9236</v>
      </c>
      <c r="BT71" s="40" t="n">
        <f aca="false">-'⑮ Cohort Engine'!CG925*$C$34*'🎚️ Escenario'!$C$7</f>
        <v>-75407.8416</v>
      </c>
      <c r="BU71" s="40" t="n">
        <f aca="false">-'⑮ Cohort Engine'!CH925*$C$34*'🎚️ Escenario'!$C$7</f>
        <v>-64192.2624</v>
      </c>
      <c r="BV71" s="40" t="n">
        <f aca="false">-'⑮ Cohort Engine'!CI925*$C$34*'🎚️ Escenario'!$C$7</f>
        <v>-48930.1344</v>
      </c>
      <c r="BW71" s="40" t="n">
        <f aca="false">-'⑮ Cohort Engine'!CJ925*$C$34*'🎚️ Escenario'!$C$7</f>
        <v>-71626.338</v>
      </c>
      <c r="BX71" s="40" t="n">
        <f aca="false">-'⑮ Cohort Engine'!CK925*$C$34*'🎚️ Escenario'!$C$7</f>
        <v>-78021.468</v>
      </c>
      <c r="BY71" s="40" t="n">
        <f aca="false">-'⑮ Cohort Engine'!CL925*$C$34*'🎚️ Escenario'!$C$7</f>
        <v>-61265.316</v>
      </c>
      <c r="BZ71" s="40" t="n">
        <f aca="false">-'⑮ Cohort Engine'!CM925*$C$34*'🎚️ Escenario'!$C$7</f>
        <v>-88766.3784</v>
      </c>
      <c r="CA71" s="40" t="n">
        <f aca="false">-'⑮ Cohort Engine'!CN925*$C$34*'🎚️ Escenario'!$C$7</f>
        <v>-85892.961</v>
      </c>
      <c r="CB71" s="40" t="n">
        <f aca="false">-'⑮ Cohort Engine'!CO925*$C$34*'🎚️ Escenario'!$C$7</f>
        <v>-72989.028</v>
      </c>
      <c r="CC71" s="40" t="n">
        <f aca="false">-'⑮ Cohort Engine'!CP925*$C$34*'🎚️ Escenario'!$C$7</f>
        <v>-65078.832</v>
      </c>
      <c r="CD71" s="40" t="n">
        <f aca="false">-'⑮ Cohort Engine'!CQ925*$C$34*'🎚️ Escenario'!$C$7</f>
        <v>-69517.1232</v>
      </c>
      <c r="CE71" s="40" t="n">
        <f aca="false">-'⑮ Cohort Engine'!CR925*$C$34*'🎚️ Escenario'!$C$7</f>
        <v>-119486.9508</v>
      </c>
      <c r="CF71" s="40" t="n">
        <f aca="false">-'⑮ Cohort Engine'!CS925*$C$34*'🎚️ Escenario'!$C$7</f>
        <v>-99190.7532</v>
      </c>
      <c r="CG71" s="40" t="n">
        <f aca="false">-'⑮ Cohort Engine'!CT925*$C$34*'🎚️ Escenario'!$C$7</f>
        <v>-83128.5504</v>
      </c>
      <c r="CH71" s="40" t="n">
        <f aca="false">-'⑮ Cohort Engine'!CU925*$C$34*'🎚️ Escenario'!$C$7</f>
        <v>-63336.7728</v>
      </c>
      <c r="CI71" s="40" t="n">
        <f aca="false">-'⑮ Cohort Engine'!CV925*$C$34*'🎚️ Escenario'!$C$7</f>
        <v>-91042.2828</v>
      </c>
      <c r="CJ71" s="40" t="n">
        <f aca="false">-'⑮ Cohort Engine'!CW925*$C$34*'🎚️ Escenario'!$C$7</f>
        <v>-98340.0264</v>
      </c>
      <c r="CK71" s="40" t="n">
        <f aca="false">-'⑮ Cohort Engine'!CX925*$C$34*'🎚️ Escenario'!$C$7</f>
        <v>-76149.5952</v>
      </c>
      <c r="CL71" s="40" t="n">
        <f aca="false">-'⑮ Cohort Engine'!CY925*$C$34*'🎚️ Escenario'!$C$7</f>
        <v>-109572.2544</v>
      </c>
      <c r="CM71" s="40" t="n">
        <f aca="false">-'⑮ Cohort Engine'!CZ925*$C$34*'🎚️ Escenario'!$C$7</f>
        <v>-106696.359</v>
      </c>
      <c r="CN71" s="40" t="n">
        <f aca="false">-'⑮ Cohort Engine'!DA925*$C$34*'🎚️ Escenario'!$C$7</f>
        <v>-92142.2964</v>
      </c>
      <c r="CO71" s="40" t="n">
        <f aca="false">-'⑮ Cohort Engine'!DB925*$C$34*'🎚️ Escenario'!$C$7</f>
        <v>-81258.912</v>
      </c>
      <c r="CP71" s="40" t="n">
        <f aca="false">-'⑮ Cohort Engine'!DC925*$C$34*'🎚️ Escenario'!$C$7</f>
        <v>-86744.3472</v>
      </c>
      <c r="CQ71" s="40" t="n">
        <f aca="false">-'⑮ Cohort Engine'!DD925*$C$34*'🎚️ Escenario'!$C$7</f>
        <v>-148349.7288</v>
      </c>
      <c r="CR71" s="40" t="n">
        <f aca="false">-'⑮ Cohort Engine'!DE925*$C$34*'🎚️ Escenario'!$C$7</f>
        <v>-123325.1796</v>
      </c>
      <c r="CS71" s="40" t="n">
        <f aca="false">-'⑮ Cohort Engine'!DF925*$C$34*'🎚️ Escenario'!$C$7</f>
        <v>-103958.064</v>
      </c>
      <c r="CT71" s="40" t="n">
        <f aca="false">-'⑮ Cohort Engine'!DG925*$C$34*'🎚️ Escenario'!$C$7</f>
        <v>-79170.4368</v>
      </c>
      <c r="CU71" s="40" t="n">
        <f aca="false">-'⑮ Cohort Engine'!DH925*$C$34*'🎚️ Escenario'!$C$7</f>
        <v>-113579.55</v>
      </c>
      <c r="CV71" s="40" t="n">
        <f aca="false">-'⑮ Cohort Engine'!DI925*$C$34*'🎚️ Escenario'!$C$7</f>
        <v>-121724.0136</v>
      </c>
      <c r="CW71" s="40" t="n">
        <f aca="false">-'⑮ Cohort Engine'!DJ925*$C$34*'🎚️ Escenario'!$C$7</f>
        <v>-93246.6444</v>
      </c>
      <c r="CX71" s="40" t="n">
        <f aca="false">-'⑮ Cohort Engine'!DK925*$C$34*'🎚️ Escenario'!$C$7</f>
        <v>-134422.8648</v>
      </c>
      <c r="CY71" s="40" t="n">
        <f aca="false">-'⑮ Cohort Engine'!DL925*$C$34*'🎚️ Escenario'!$C$7</f>
        <v>-130623.108</v>
      </c>
      <c r="CZ71" s="40" t="n">
        <f aca="false">-'⑮ Cohort Engine'!DM925*$C$34*'🎚️ Escenario'!$C$7</f>
        <v>-110691.6216</v>
      </c>
      <c r="DA71" s="40" t="n">
        <f aca="false">-'⑮ Cohort Engine'!DN925*$C$34*'🎚️ Escenario'!$C$7</f>
        <v>-97481.328</v>
      </c>
      <c r="DB71" s="40" t="n">
        <f aca="false">-'⑮ Cohort Engine'!DO925*$C$34*'🎚️ Escenario'!$C$7</f>
        <v>-103488.9408</v>
      </c>
      <c r="DC71" s="40" t="n">
        <f aca="false">-'⑮ Cohort Engine'!DP925*$C$34*'🎚️ Escenario'!$C$7</f>
        <v>-178997.2338</v>
      </c>
      <c r="DD71" s="40" t="n">
        <f aca="false">-'⑮ Cohort Engine'!DQ925*$C$34*'🎚️ Escenario'!$C$7</f>
        <v>-148517.3172</v>
      </c>
      <c r="DE71" s="40" t="n">
        <f aca="false">-'⑮ Cohort Engine'!DR925*$C$34*'🎚️ Escenario'!$C$7</f>
        <v>-123929.7696</v>
      </c>
      <c r="DF71" s="40" t="n">
        <f aca="false">-'⑮ Cohort Engine'!DS925*$C$34*'🎚️ Escenario'!$C$7</f>
        <v>-93578.7384</v>
      </c>
      <c r="DG71" s="40" t="n">
        <f aca="false">-'⑮ Cohort Engine'!DT925*$C$34*'🎚️ Escenario'!$C$7</f>
        <v>-133396.263</v>
      </c>
      <c r="DH71" s="40" t="n">
        <f aca="false">-'⑮ Cohort Engine'!DU925*$C$34*'🎚️ Escenario'!$C$7</f>
        <v>-143249.148</v>
      </c>
      <c r="DI71" s="40" t="n">
        <f aca="false">-'⑮ Cohort Engine'!DV925*$C$34*'🎚️ Escenario'!$C$7</f>
        <v>-110226.4254</v>
      </c>
      <c r="DJ71" s="40" t="n">
        <f aca="false">-'⑮ Cohort Engine'!DW925*$C$34*'🎚️ Escenario'!$C$7</f>
        <v>-158201.8788</v>
      </c>
      <c r="DK71" s="40" t="n">
        <f aca="false">-'⑮ Cohort Engine'!DX925*$C$34*'🎚️ Escenario'!$C$7</f>
        <v>-152068.224</v>
      </c>
      <c r="DL71" s="40" t="n">
        <f aca="false">-'⑮ Cohort Engine'!DY925*$C$34*'🎚️ Escenario'!$C$7</f>
        <v>-128642.4132</v>
      </c>
      <c r="DM71" s="40" t="n">
        <f aca="false">-'⑮ Cohort Engine'!DZ925*$C$34*'🎚️ Escenario'!$C$7</f>
        <v>-113153.04</v>
      </c>
      <c r="DN71" s="40" t="n">
        <f aca="false">-'⑮ Cohort Engine'!EA925*$C$34*'🎚️ Escenario'!$C$7</f>
        <v>-120439.746</v>
      </c>
      <c r="DO71" s="40" t="n">
        <f aca="false">-'⑮ Cohort Engine'!EB925*$C$34*'🎚️ Escenario'!$C$7</f>
        <v>-205669.4346</v>
      </c>
      <c r="DP71" s="40" t="n">
        <f aca="false">-'⑮ Cohort Engine'!EC925*$C$34*'🎚️ Escenario'!$C$7</f>
        <v>-169559.2416</v>
      </c>
      <c r="DQ71" s="40" t="n">
        <f aca="false">-'⑮ Cohort Engine'!ED925*$C$34*'🎚️ Escenario'!$C$7</f>
        <v>-142071.552</v>
      </c>
      <c r="DR71" s="40" t="n">
        <f aca="false">-'⑮ Cohort Engine'!EE925*$C$34*'🎚️ Escenario'!$C$7</f>
        <v>-108093.9384</v>
      </c>
      <c r="DS71" s="40" t="n">
        <f aca="false">-'⑮ Cohort Engine'!EF925*$C$34*'🎚️ Escenario'!$C$7</f>
        <v>-156114.5292</v>
      </c>
      <c r="DT71" s="40" t="n">
        <f aca="false">-'⑮ Cohort Engine'!EG925*$C$34*'🎚️ Escenario'!$C$7</f>
        <v>-168153.6024</v>
      </c>
      <c r="DU71" s="40" t="n">
        <f aca="false">-'⑮ Cohort Engine'!EH925*$C$34*'🎚️ Escenario'!$C$7</f>
        <v>-129896.6592</v>
      </c>
      <c r="DV71" s="40" t="n">
        <f aca="false">-'⑮ Cohort Engine'!EI925*$C$34*'🎚️ Escenario'!$C$7</f>
        <v>-187031.208</v>
      </c>
      <c r="DW71" s="40" t="n">
        <f aca="false">-'⑮ Cohort Engine'!EJ925*$C$34*'🎚️ Escenario'!$C$7</f>
        <v>-180140.961</v>
      </c>
      <c r="DX71" s="40" t="n">
        <f aca="false">-'⑮ Cohort Engine'!EK925*$C$34*'🎚️ Escenario'!$C$7</f>
        <v>-152799.5616</v>
      </c>
      <c r="DY71" s="40" t="n">
        <f aca="false">-'⑮ Cohort Engine'!EL925*$C$34*'🎚️ Escenario'!$C$7</f>
        <v>-135126.936</v>
      </c>
      <c r="DZ71" s="40" t="n">
        <f aca="false">-'⑮ Cohort Engine'!EM925*$C$34*'🎚️ Escenario'!$C$7</f>
        <v>-144523.2852</v>
      </c>
      <c r="EA71" s="40" t="n">
        <f aca="false">-'⑮ Cohort Engine'!EN925*$C$34*'🎚️ Escenario'!$C$7</f>
        <v>-248804.661</v>
      </c>
      <c r="EB71" s="40" t="n">
        <f aca="false">-'⑮ Cohort Engine'!EO925*$C$34*'🎚️ Escenario'!$C$7</f>
        <v>-206431.0248</v>
      </c>
      <c r="EC71" s="40" t="n">
        <f aca="false">-'⑮ Cohort Engine'!EP925*$C$34*'🎚️ Escenario'!$C$7</f>
        <v>-173736.864</v>
      </c>
      <c r="ED71" s="40" t="n">
        <f aca="false">-'⑮ Cohort Engine'!EQ925*$C$34*'🎚️ Escenario'!$C$7</f>
        <v>-131794.0848</v>
      </c>
      <c r="EE71" s="9" t="n">
        <f aca="false">-'⑮ Cohort Engine'!ER925*$C$34*'🎚️ Escenario'!$C$7</f>
        <v>-188674.6428</v>
      </c>
    </row>
    <row r="72" customFormat="false" ht="15" hidden="false" customHeight="false" outlineLevel="0" collapsed="false">
      <c r="B72" s="9" t="s">
        <v>1279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40" t="n">
        <f aca="false">-$C$37*(1-$C$40)</f>
        <v>-3307.66666666667</v>
      </c>
      <c r="Q72" s="40" t="n">
        <f aca="false">-$C$37*(1-$C$40)</f>
        <v>-3307.66666666667</v>
      </c>
      <c r="R72" s="40" t="n">
        <f aca="false">-$C$37*(1-$C$40)</f>
        <v>-3307.66666666667</v>
      </c>
      <c r="S72" s="40" t="n">
        <f aca="false">-$C$37*(1-$C$40)</f>
        <v>-3307.66666666667</v>
      </c>
      <c r="T72" s="40" t="n">
        <f aca="false">-$C$37*(1-$C$40)</f>
        <v>-3307.66666666667</v>
      </c>
      <c r="U72" s="40" t="n">
        <f aca="false">-$C$37*(1-$C$40)</f>
        <v>-3307.66666666667</v>
      </c>
      <c r="V72" s="40" t="n">
        <f aca="false">-$C$37*(1-$C$40)</f>
        <v>-3307.66666666667</v>
      </c>
      <c r="W72" s="40" t="n">
        <f aca="false">-$C$37*(1-$C$40)</f>
        <v>-3307.66666666667</v>
      </c>
      <c r="X72" s="40" t="n">
        <f aca="false">-$C$37*(1-$C$40)</f>
        <v>-3307.66666666667</v>
      </c>
      <c r="Y72" s="40" t="n">
        <f aca="false">-$C$37*(1-$C$40)</f>
        <v>-3307.66666666667</v>
      </c>
      <c r="Z72" s="40" t="n">
        <f aca="false">-$C$37*(1-$C$40)</f>
        <v>-3307.66666666667</v>
      </c>
      <c r="AA72" s="40" t="n">
        <f aca="false">-$C$37*(1-$C$40)</f>
        <v>-3307.66666666667</v>
      </c>
      <c r="AB72" s="40" t="n">
        <f aca="false">-$C$37*(1-$C$40)</f>
        <v>-3307.66666666667</v>
      </c>
      <c r="AC72" s="40" t="n">
        <f aca="false">-$C$37*(1-$C$40)</f>
        <v>-3307.66666666667</v>
      </c>
      <c r="AD72" s="40" t="n">
        <f aca="false">-$C$37*(1-$C$40)</f>
        <v>-3307.66666666667</v>
      </c>
      <c r="AE72" s="40" t="n">
        <f aca="false">-$C$37*(1-$C$40)</f>
        <v>-3307.66666666667</v>
      </c>
      <c r="AF72" s="40" t="n">
        <f aca="false">-$C$37*(1-$C$40)</f>
        <v>-3307.66666666667</v>
      </c>
      <c r="AG72" s="40" t="n">
        <f aca="false">-$C$37*(1-$C$40)</f>
        <v>-3307.66666666667</v>
      </c>
      <c r="AH72" s="40" t="n">
        <f aca="false">-$C$37*(1-$C$40)</f>
        <v>-3307.66666666667</v>
      </c>
      <c r="AI72" s="40" t="n">
        <f aca="false">-$C$37*(1-$C$40)</f>
        <v>-3307.66666666667</v>
      </c>
      <c r="AJ72" s="40" t="n">
        <f aca="false">-$C$37*(1-$C$40)</f>
        <v>-3307.66666666667</v>
      </c>
      <c r="AK72" s="40" t="n">
        <f aca="false">-$C$37*(1-$C$40)</f>
        <v>-3307.66666666667</v>
      </c>
      <c r="AL72" s="40" t="n">
        <f aca="false">-$C$37*(1-$C$40)</f>
        <v>-3307.66666666667</v>
      </c>
      <c r="AM72" s="40" t="n">
        <f aca="false">-$C$37*(1-$C$40)</f>
        <v>-3307.66666666667</v>
      </c>
      <c r="AN72" s="40" t="n">
        <f aca="false">-$C$37*(1-$C$40)</f>
        <v>-3307.66666666667</v>
      </c>
      <c r="AO72" s="40" t="n">
        <f aca="false">-$C$37*(1-$C$40)</f>
        <v>-3307.66666666667</v>
      </c>
      <c r="AP72" s="40" t="n">
        <f aca="false">-$C$37*(1-$C$40)</f>
        <v>-3307.66666666667</v>
      </c>
      <c r="AQ72" s="40" t="n">
        <f aca="false">-$C$37*(1-$C$40)</f>
        <v>-3307.66666666667</v>
      </c>
      <c r="AR72" s="40" t="n">
        <f aca="false">-$C$37*(1-$C$40)</f>
        <v>-3307.66666666667</v>
      </c>
      <c r="AS72" s="40" t="n">
        <f aca="false">-$C$37*(1-$C$40)</f>
        <v>-3307.66666666667</v>
      </c>
      <c r="AT72" s="40" t="n">
        <f aca="false">-$C$37*(1-$C$40)</f>
        <v>-3307.66666666667</v>
      </c>
      <c r="AU72" s="40" t="n">
        <f aca="false">-$C$37*(1-$C$40)</f>
        <v>-3307.66666666667</v>
      </c>
      <c r="AV72" s="40" t="n">
        <f aca="false">-$C$37*(1-$C$40)</f>
        <v>-3307.66666666667</v>
      </c>
      <c r="AW72" s="40" t="n">
        <f aca="false">-$C$37*(1-$C$40)</f>
        <v>-3307.66666666667</v>
      </c>
      <c r="AX72" s="40" t="n">
        <f aca="false">-$C$37*(1-$C$40)</f>
        <v>-3307.66666666667</v>
      </c>
      <c r="AY72" s="40" t="n">
        <f aca="false">-$C$37*(1-$C$40)</f>
        <v>-3307.66666666667</v>
      </c>
      <c r="AZ72" s="40" t="n">
        <f aca="false">-$C$37*(1-$C$40)</f>
        <v>-3307.66666666667</v>
      </c>
      <c r="BA72" s="40" t="n">
        <f aca="false">-$C$37*(1-$C$40)</f>
        <v>-3307.66666666667</v>
      </c>
      <c r="BB72" s="40" t="n">
        <f aca="false">-$C$37*(1-$C$40)</f>
        <v>-3307.66666666667</v>
      </c>
      <c r="BC72" s="40" t="n">
        <f aca="false">-$C$37*(1-$C$40)</f>
        <v>-3307.66666666667</v>
      </c>
      <c r="BD72" s="40" t="n">
        <f aca="false">-$C$37*(1-$C$40)</f>
        <v>-3307.66666666667</v>
      </c>
      <c r="BE72" s="40" t="n">
        <f aca="false">-$C$37*(1-$C$40)</f>
        <v>-3307.66666666667</v>
      </c>
      <c r="BF72" s="40" t="n">
        <f aca="false">-$C$37*(1-$C$40)</f>
        <v>-3307.66666666667</v>
      </c>
      <c r="BG72" s="40" t="n">
        <f aca="false">-$C$37*(1-$C$40)</f>
        <v>-3307.66666666667</v>
      </c>
      <c r="BH72" s="40" t="n">
        <f aca="false">-$C$37*(1-$C$40)</f>
        <v>-3307.66666666667</v>
      </c>
      <c r="BI72" s="40" t="n">
        <f aca="false">-$C$37*(1-$C$40)</f>
        <v>-3307.66666666667</v>
      </c>
      <c r="BJ72" s="40" t="n">
        <f aca="false">-$C$37*(1-$C$40)</f>
        <v>-3307.66666666667</v>
      </c>
      <c r="BK72" s="40" t="n">
        <f aca="false">-$C$37*(1-$C$40)</f>
        <v>-3307.66666666667</v>
      </c>
      <c r="BL72" s="40" t="n">
        <f aca="false">-$C$37*(1-$C$40)</f>
        <v>-3307.66666666667</v>
      </c>
      <c r="BM72" s="40" t="n">
        <f aca="false">-$C$37*(1-$C$40)</f>
        <v>-3307.66666666667</v>
      </c>
      <c r="BN72" s="40" t="n">
        <f aca="false">-$C$37*(1-$C$40)</f>
        <v>-3307.66666666667</v>
      </c>
      <c r="BO72" s="40" t="n">
        <f aca="false">-$C$37*(1-$C$40)</f>
        <v>-3307.66666666667</v>
      </c>
      <c r="BP72" s="40" t="n">
        <f aca="false">-$C$37*(1-$C$40)</f>
        <v>-3307.66666666667</v>
      </c>
      <c r="BQ72" s="40" t="n">
        <f aca="false">-$C$37*(1-$C$40)</f>
        <v>-3307.66666666667</v>
      </c>
      <c r="BR72" s="40" t="n">
        <f aca="false">-$C$37*(1-$C$40)</f>
        <v>-3307.66666666667</v>
      </c>
      <c r="BS72" s="40" t="n">
        <f aca="false">-$C$37*(1-$C$40)</f>
        <v>-3307.66666666667</v>
      </c>
      <c r="BT72" s="40" t="n">
        <f aca="false">-$C$37*(1-$C$40)</f>
        <v>-3307.66666666667</v>
      </c>
      <c r="BU72" s="40" t="n">
        <f aca="false">-$C$37*(1-$C$40)</f>
        <v>-3307.66666666667</v>
      </c>
      <c r="BV72" s="40" t="n">
        <f aca="false">-$C$37*(1-$C$40)</f>
        <v>-3307.66666666667</v>
      </c>
      <c r="BW72" s="40" t="n">
        <f aca="false">-$C$37*(1-$C$40)</f>
        <v>-3307.66666666667</v>
      </c>
      <c r="BX72" s="40" t="n">
        <f aca="false">-$C$37*(1-$C$40)</f>
        <v>-3307.66666666667</v>
      </c>
      <c r="BY72" s="40" t="n">
        <f aca="false">-$C$37*(1-$C$40)</f>
        <v>-3307.66666666667</v>
      </c>
      <c r="BZ72" s="40" t="n">
        <f aca="false">-$C$37*(1-$C$40)</f>
        <v>-3307.66666666667</v>
      </c>
      <c r="CA72" s="40" t="n">
        <f aca="false">-$C$37*(1-$C$40)</f>
        <v>-3307.66666666667</v>
      </c>
      <c r="CB72" s="40" t="n">
        <f aca="false">-$C$37*(1-$C$40)</f>
        <v>-3307.66666666667</v>
      </c>
      <c r="CC72" s="40" t="n">
        <f aca="false">-$C$37*(1-$C$40)</f>
        <v>-3307.66666666667</v>
      </c>
      <c r="CD72" s="40" t="n">
        <f aca="false">-$C$37*(1-$C$40)</f>
        <v>-3307.66666666667</v>
      </c>
      <c r="CE72" s="40" t="n">
        <f aca="false">-$C$37*(1-$C$40)</f>
        <v>-3307.66666666667</v>
      </c>
      <c r="CF72" s="40" t="n">
        <f aca="false">-$C$37*(1-$C$40)</f>
        <v>-3307.66666666667</v>
      </c>
      <c r="CG72" s="40" t="n">
        <f aca="false">-$C$37*(1-$C$40)</f>
        <v>-3307.66666666667</v>
      </c>
      <c r="CH72" s="40" t="n">
        <f aca="false">-$C$37*(1-$C$40)</f>
        <v>-3307.66666666667</v>
      </c>
      <c r="CI72" s="40" t="n">
        <f aca="false">-$C$37*(1-$C$40)</f>
        <v>-3307.66666666667</v>
      </c>
      <c r="CJ72" s="40" t="n">
        <f aca="false">-$C$37*(1-$C$40)</f>
        <v>-3307.66666666667</v>
      </c>
      <c r="CK72" s="40" t="n">
        <f aca="false">-$C$37*(1-$C$40)</f>
        <v>-3307.66666666667</v>
      </c>
      <c r="CL72" s="40" t="n">
        <f aca="false">-$C$37*(1-$C$40)</f>
        <v>-3307.66666666667</v>
      </c>
      <c r="CM72" s="40" t="n">
        <f aca="false">-$C$37*(1-$C$40)</f>
        <v>-3307.66666666667</v>
      </c>
      <c r="CN72" s="40" t="n">
        <f aca="false">-$C$37*(1-$C$40)</f>
        <v>-3307.66666666667</v>
      </c>
      <c r="CO72" s="40" t="n">
        <f aca="false">-$C$37*(1-$C$40)</f>
        <v>-3307.66666666667</v>
      </c>
      <c r="CP72" s="40" t="n">
        <f aca="false">-$C$37*(1-$C$40)</f>
        <v>-3307.66666666667</v>
      </c>
      <c r="CQ72" s="40" t="n">
        <f aca="false">-$C$37*(1-$C$40)</f>
        <v>-3307.66666666667</v>
      </c>
      <c r="CR72" s="40" t="n">
        <f aca="false">-$C$37*(1-$C$40)</f>
        <v>-3307.66666666667</v>
      </c>
      <c r="CS72" s="40" t="n">
        <f aca="false">-$C$37*(1-$C$40)</f>
        <v>-3307.66666666667</v>
      </c>
      <c r="CT72" s="40" t="n">
        <f aca="false">-$C$37*(1-$C$40)</f>
        <v>-3307.66666666667</v>
      </c>
      <c r="CU72" s="40" t="n">
        <f aca="false">-$C$37*(1-$C$40)</f>
        <v>-3307.66666666667</v>
      </c>
      <c r="CV72" s="40" t="n">
        <f aca="false">-$C$37*(1-$C$40)</f>
        <v>-3307.66666666667</v>
      </c>
      <c r="CW72" s="40" t="n">
        <f aca="false">-$C$37*(1-$C$40)</f>
        <v>-3307.66666666667</v>
      </c>
      <c r="CX72" s="40" t="n">
        <f aca="false">-$C$37*(1-$C$40)</f>
        <v>-3307.66666666667</v>
      </c>
      <c r="CY72" s="40" t="n">
        <f aca="false">-$C$37*(1-$C$40)</f>
        <v>-3307.66666666667</v>
      </c>
      <c r="CZ72" s="40" t="n">
        <f aca="false">-$C$37*(1-$C$40)</f>
        <v>-3307.66666666667</v>
      </c>
      <c r="DA72" s="40" t="n">
        <f aca="false">-$C$37*(1-$C$40)</f>
        <v>-3307.66666666667</v>
      </c>
      <c r="DB72" s="40" t="n">
        <f aca="false">-$C$37*(1-$C$40)</f>
        <v>-3307.66666666667</v>
      </c>
      <c r="DC72" s="40" t="n">
        <f aca="false">-$C$37*(1-$C$40)</f>
        <v>-3307.66666666667</v>
      </c>
      <c r="DD72" s="40" t="n">
        <f aca="false">-$C$37*(1-$C$40)</f>
        <v>-3307.66666666667</v>
      </c>
      <c r="DE72" s="40" t="n">
        <f aca="false">-$C$37*(1-$C$40)</f>
        <v>-3307.66666666667</v>
      </c>
      <c r="DF72" s="40" t="n">
        <f aca="false">-$C$37*(1-$C$40)</f>
        <v>-3307.66666666667</v>
      </c>
      <c r="DG72" s="40" t="n">
        <f aca="false">-$C$37*(1-$C$40)</f>
        <v>-3307.66666666667</v>
      </c>
      <c r="DH72" s="40" t="n">
        <f aca="false">-$C$37*(1-$C$40)</f>
        <v>-3307.66666666667</v>
      </c>
      <c r="DI72" s="40" t="n">
        <f aca="false">-$C$37*(1-$C$40)</f>
        <v>-3307.66666666667</v>
      </c>
      <c r="DJ72" s="40" t="n">
        <f aca="false">-$C$37*(1-$C$40)</f>
        <v>-3307.66666666667</v>
      </c>
      <c r="DK72" s="40" t="n">
        <f aca="false">-$C$37*(1-$C$40)</f>
        <v>-3307.66666666667</v>
      </c>
      <c r="DL72" s="40" t="n">
        <f aca="false">-$C$37*(1-$C$40)</f>
        <v>-3307.66666666667</v>
      </c>
      <c r="DM72" s="40" t="n">
        <f aca="false">-$C$37*(1-$C$40)</f>
        <v>-3307.66666666667</v>
      </c>
      <c r="DN72" s="40" t="n">
        <f aca="false">-$C$37*(1-$C$40)</f>
        <v>-3307.66666666667</v>
      </c>
      <c r="DO72" s="40" t="n">
        <f aca="false">-$C$37*(1-$C$40)</f>
        <v>-3307.66666666667</v>
      </c>
      <c r="DP72" s="40" t="n">
        <f aca="false">-$C$37*(1-$C$40)</f>
        <v>-3307.66666666667</v>
      </c>
      <c r="DQ72" s="40" t="n">
        <f aca="false">-$C$37*(1-$C$40)</f>
        <v>-3307.66666666667</v>
      </c>
      <c r="DR72" s="40" t="n">
        <f aca="false">-$C$37*(1-$C$40)</f>
        <v>-3307.66666666667</v>
      </c>
      <c r="DS72" s="40" t="n">
        <f aca="false">-$C$37*(1-$C$40)</f>
        <v>-3307.66666666667</v>
      </c>
      <c r="DT72" s="40" t="n">
        <f aca="false">-$C$37*(1-$C$40)</f>
        <v>-3307.66666666667</v>
      </c>
      <c r="DU72" s="40" t="n">
        <f aca="false">-$C$37*(1-$C$40)</f>
        <v>-3307.66666666667</v>
      </c>
      <c r="DV72" s="40" t="n">
        <f aca="false">-$C$37*(1-$C$40)</f>
        <v>-3307.66666666667</v>
      </c>
      <c r="DW72" s="40" t="n">
        <f aca="false">-$C$37*(1-$C$40)</f>
        <v>-3307.66666666667</v>
      </c>
      <c r="DX72" s="40" t="n">
        <f aca="false">-$C$37*(1-$C$40)</f>
        <v>-3307.66666666667</v>
      </c>
      <c r="DY72" s="40" t="n">
        <f aca="false">-$C$37*(1-$C$40)</f>
        <v>-3307.66666666667</v>
      </c>
      <c r="DZ72" s="40" t="n">
        <f aca="false">-$C$37*(1-$C$40)</f>
        <v>-3307.66666666667</v>
      </c>
      <c r="EA72" s="40" t="n">
        <f aca="false">-$C$37*(1-$C$40)</f>
        <v>-3307.66666666667</v>
      </c>
      <c r="EB72" s="40" t="n">
        <f aca="false">-$C$37*(1-$C$40)</f>
        <v>-3307.66666666667</v>
      </c>
      <c r="EC72" s="40" t="n">
        <f aca="false">-$C$37*(1-$C$40)</f>
        <v>-3307.66666666667</v>
      </c>
      <c r="ED72" s="40" t="n">
        <f aca="false">-$C$37*(1-$C$40)</f>
        <v>-3307.66666666667</v>
      </c>
      <c r="EE72" s="9" t="n">
        <f aca="false">-$C$37*(1-$C$40)</f>
        <v>-3307.66666666667</v>
      </c>
    </row>
    <row r="73" customFormat="false" ht="15" hidden="false" customHeight="false" outlineLevel="0" collapsed="false">
      <c r="B73" s="9" t="s">
        <v>1280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40" t="n">
        <f aca="false">-$C$38*(1-$C$40)</f>
        <v>-2851.06</v>
      </c>
      <c r="Q73" s="40" t="n">
        <f aca="false">-$C$38*(1-$C$40)</f>
        <v>-2851.06</v>
      </c>
      <c r="R73" s="40" t="n">
        <f aca="false">-$C$38*(1-$C$40)</f>
        <v>-2851.06</v>
      </c>
      <c r="S73" s="40" t="n">
        <f aca="false">-$C$38*(1-$C$40)</f>
        <v>-2851.06</v>
      </c>
      <c r="T73" s="40" t="n">
        <f aca="false">-$C$38*(1-$C$40)</f>
        <v>-2851.06</v>
      </c>
      <c r="U73" s="40" t="n">
        <f aca="false">-$C$38*(1-$C$40)</f>
        <v>-2851.06</v>
      </c>
      <c r="V73" s="40" t="n">
        <f aca="false">-$C$38*(1-$C$40)</f>
        <v>-2851.06</v>
      </c>
      <c r="W73" s="40" t="n">
        <f aca="false">-$C$38*(1-$C$40)</f>
        <v>-2851.06</v>
      </c>
      <c r="X73" s="40" t="n">
        <f aca="false">-$C$38*(1-$C$40)</f>
        <v>-2851.06</v>
      </c>
      <c r="Y73" s="40" t="n">
        <f aca="false">-$C$38*(1-$C$40)</f>
        <v>-2851.06</v>
      </c>
      <c r="Z73" s="40" t="n">
        <f aca="false">-$C$38*(1-$C$40)</f>
        <v>-2851.06</v>
      </c>
      <c r="AA73" s="40" t="n">
        <f aca="false">-$C$38*(1-$C$40)</f>
        <v>-2851.06</v>
      </c>
      <c r="AB73" s="40" t="n">
        <f aca="false">-$C$38*(1-$C$40)</f>
        <v>-2851.06</v>
      </c>
      <c r="AC73" s="40" t="n">
        <f aca="false">-$C$38*(1-$C$40)</f>
        <v>-2851.06</v>
      </c>
      <c r="AD73" s="40" t="n">
        <f aca="false">-$C$38*(1-$C$40)</f>
        <v>-2851.06</v>
      </c>
      <c r="AE73" s="40" t="n">
        <f aca="false">-$C$38*(1-$C$40)</f>
        <v>-2851.06</v>
      </c>
      <c r="AF73" s="40" t="n">
        <f aca="false">-$C$38*(1-$C$40)</f>
        <v>-2851.06</v>
      </c>
      <c r="AG73" s="40" t="n">
        <f aca="false">-$C$38*(1-$C$40)</f>
        <v>-2851.06</v>
      </c>
      <c r="AH73" s="40" t="n">
        <f aca="false">-$C$38*(1-$C$40)</f>
        <v>-2851.06</v>
      </c>
      <c r="AI73" s="40" t="n">
        <f aca="false">-$C$38*(1-$C$40)</f>
        <v>-2851.06</v>
      </c>
      <c r="AJ73" s="40" t="n">
        <f aca="false">-$C$38*(1-$C$40)</f>
        <v>-2851.06</v>
      </c>
      <c r="AK73" s="40" t="n">
        <f aca="false">-$C$38*(1-$C$40)</f>
        <v>-2851.06</v>
      </c>
      <c r="AL73" s="40" t="n">
        <f aca="false">-$C$38*(1-$C$40)</f>
        <v>-2851.06</v>
      </c>
      <c r="AM73" s="40" t="n">
        <f aca="false">-$C$38*(1-$C$40)</f>
        <v>-2851.06</v>
      </c>
      <c r="AN73" s="40" t="n">
        <f aca="false">-$C$38*(1-$C$40)</f>
        <v>-2851.06</v>
      </c>
      <c r="AO73" s="40" t="n">
        <f aca="false">-$C$38*(1-$C$40)</f>
        <v>-2851.06</v>
      </c>
      <c r="AP73" s="40" t="n">
        <f aca="false">-$C$38*(1-$C$40)</f>
        <v>-2851.06</v>
      </c>
      <c r="AQ73" s="40" t="n">
        <f aca="false">-$C$38*(1-$C$40)</f>
        <v>-2851.06</v>
      </c>
      <c r="AR73" s="40" t="n">
        <f aca="false">-$C$38*(1-$C$40)</f>
        <v>-2851.06</v>
      </c>
      <c r="AS73" s="40" t="n">
        <f aca="false">-$C$38*(1-$C$40)</f>
        <v>-2851.06</v>
      </c>
      <c r="AT73" s="40" t="n">
        <f aca="false">-$C$38*(1-$C$40)</f>
        <v>-2851.06</v>
      </c>
      <c r="AU73" s="40" t="n">
        <f aca="false">-$C$38*(1-$C$40)</f>
        <v>-2851.06</v>
      </c>
      <c r="AV73" s="40" t="n">
        <f aca="false">-$C$38*(1-$C$40)</f>
        <v>-2851.06</v>
      </c>
      <c r="AW73" s="40" t="n">
        <f aca="false">-$C$38*(1-$C$40)</f>
        <v>-2851.06</v>
      </c>
      <c r="AX73" s="40" t="n">
        <f aca="false">-$C$38*(1-$C$40)</f>
        <v>-2851.06</v>
      </c>
      <c r="AY73" s="40" t="n">
        <f aca="false">-$C$38*(1-$C$40)</f>
        <v>-2851.06</v>
      </c>
      <c r="AZ73" s="40" t="n">
        <f aca="false">-$C$38*(1-$C$40)</f>
        <v>-2851.06</v>
      </c>
      <c r="BA73" s="40" t="n">
        <f aca="false">-$C$38*(1-$C$40)</f>
        <v>-2851.06</v>
      </c>
      <c r="BB73" s="40" t="n">
        <f aca="false">-$C$38*(1-$C$40)</f>
        <v>-2851.06</v>
      </c>
      <c r="BC73" s="40" t="n">
        <f aca="false">-$C$38*(1-$C$40)</f>
        <v>-2851.06</v>
      </c>
      <c r="BD73" s="40" t="n">
        <f aca="false">-$C$38*(1-$C$40)</f>
        <v>-2851.06</v>
      </c>
      <c r="BE73" s="40" t="n">
        <f aca="false">-$C$38*(1-$C$40)</f>
        <v>-2851.06</v>
      </c>
      <c r="BF73" s="40" t="n">
        <f aca="false">-$C$38*(1-$C$40)</f>
        <v>-2851.06</v>
      </c>
      <c r="BG73" s="40" t="n">
        <f aca="false">-$C$38*(1-$C$40)</f>
        <v>-2851.06</v>
      </c>
      <c r="BH73" s="40" t="n">
        <f aca="false">-$C$38*(1-$C$40)</f>
        <v>-2851.06</v>
      </c>
      <c r="BI73" s="40" t="n">
        <f aca="false">-$C$38*(1-$C$40)</f>
        <v>-2851.06</v>
      </c>
      <c r="BJ73" s="40" t="n">
        <f aca="false">-$C$38*(1-$C$40)</f>
        <v>-2851.06</v>
      </c>
      <c r="BK73" s="40" t="n">
        <f aca="false">-$C$38*(1-$C$40)</f>
        <v>-2851.06</v>
      </c>
      <c r="BL73" s="40" t="n">
        <f aca="false">-$C$38*(1-$C$40)</f>
        <v>-2851.06</v>
      </c>
      <c r="BM73" s="40" t="n">
        <f aca="false">-$C$38*(1-$C$40)</f>
        <v>-2851.06</v>
      </c>
      <c r="BN73" s="40" t="n">
        <f aca="false">-$C$38*(1-$C$40)</f>
        <v>-2851.06</v>
      </c>
      <c r="BO73" s="40" t="n">
        <f aca="false">-$C$38*(1-$C$40)</f>
        <v>-2851.06</v>
      </c>
      <c r="BP73" s="40" t="n">
        <f aca="false">-$C$38*(1-$C$40)</f>
        <v>-2851.06</v>
      </c>
      <c r="BQ73" s="40" t="n">
        <f aca="false">-$C$38*(1-$C$40)</f>
        <v>-2851.06</v>
      </c>
      <c r="BR73" s="40" t="n">
        <f aca="false">-$C$38*(1-$C$40)</f>
        <v>-2851.06</v>
      </c>
      <c r="BS73" s="40" t="n">
        <f aca="false">-$C$38*(1-$C$40)</f>
        <v>-2851.06</v>
      </c>
      <c r="BT73" s="40" t="n">
        <f aca="false">-$C$38*(1-$C$40)</f>
        <v>-2851.06</v>
      </c>
      <c r="BU73" s="40" t="n">
        <f aca="false">-$C$38*(1-$C$40)</f>
        <v>-2851.06</v>
      </c>
      <c r="BV73" s="40" t="n">
        <f aca="false">-$C$38*(1-$C$40)</f>
        <v>-2851.06</v>
      </c>
      <c r="BW73" s="40" t="n">
        <f aca="false">-$C$38*(1-$C$40)</f>
        <v>-2851.06</v>
      </c>
      <c r="BX73" s="40" t="n">
        <f aca="false">-$C$38*(1-$C$40)</f>
        <v>-2851.06</v>
      </c>
      <c r="BY73" s="40" t="n">
        <f aca="false">-$C$38*(1-$C$40)</f>
        <v>-2851.06</v>
      </c>
      <c r="BZ73" s="40" t="n">
        <f aca="false">-$C$38*(1-$C$40)</f>
        <v>-2851.06</v>
      </c>
      <c r="CA73" s="40" t="n">
        <f aca="false">-$C$38*(1-$C$40)</f>
        <v>-2851.06</v>
      </c>
      <c r="CB73" s="40" t="n">
        <f aca="false">-$C$38*(1-$C$40)</f>
        <v>-2851.06</v>
      </c>
      <c r="CC73" s="40" t="n">
        <f aca="false">-$C$38*(1-$C$40)</f>
        <v>-2851.06</v>
      </c>
      <c r="CD73" s="40" t="n">
        <f aca="false">-$C$38*(1-$C$40)</f>
        <v>-2851.06</v>
      </c>
      <c r="CE73" s="40" t="n">
        <f aca="false">-$C$38*(1-$C$40)</f>
        <v>-2851.06</v>
      </c>
      <c r="CF73" s="40" t="n">
        <f aca="false">-$C$38*(1-$C$40)</f>
        <v>-2851.06</v>
      </c>
      <c r="CG73" s="40" t="n">
        <f aca="false">-$C$38*(1-$C$40)</f>
        <v>-2851.06</v>
      </c>
      <c r="CH73" s="40" t="n">
        <f aca="false">-$C$38*(1-$C$40)</f>
        <v>-2851.06</v>
      </c>
      <c r="CI73" s="40" t="n">
        <f aca="false">-$C$38*(1-$C$40)</f>
        <v>-2851.06</v>
      </c>
      <c r="CJ73" s="40" t="n">
        <f aca="false">-$C$38*(1-$C$40)</f>
        <v>-2851.06</v>
      </c>
      <c r="CK73" s="40" t="n">
        <f aca="false">-$C$38*(1-$C$40)</f>
        <v>-2851.06</v>
      </c>
      <c r="CL73" s="40" t="n">
        <f aca="false">-$C$38*(1-$C$40)</f>
        <v>-2851.06</v>
      </c>
      <c r="CM73" s="40" t="n">
        <f aca="false">-$C$38*(1-$C$40)</f>
        <v>-2851.06</v>
      </c>
      <c r="CN73" s="40" t="n">
        <f aca="false">-$C$38*(1-$C$40)</f>
        <v>-2851.06</v>
      </c>
      <c r="CO73" s="40" t="n">
        <f aca="false">-$C$38*(1-$C$40)</f>
        <v>-2851.06</v>
      </c>
      <c r="CP73" s="40" t="n">
        <f aca="false">-$C$38*(1-$C$40)</f>
        <v>-2851.06</v>
      </c>
      <c r="CQ73" s="40" t="n">
        <f aca="false">-$C$38*(1-$C$40)</f>
        <v>-2851.06</v>
      </c>
      <c r="CR73" s="40" t="n">
        <f aca="false">-$C$38*(1-$C$40)</f>
        <v>-2851.06</v>
      </c>
      <c r="CS73" s="40" t="n">
        <f aca="false">-$C$38*(1-$C$40)</f>
        <v>-2851.06</v>
      </c>
      <c r="CT73" s="40" t="n">
        <f aca="false">-$C$38*(1-$C$40)</f>
        <v>-2851.06</v>
      </c>
      <c r="CU73" s="40" t="n">
        <f aca="false">-$C$38*(1-$C$40)</f>
        <v>-2851.06</v>
      </c>
      <c r="CV73" s="40" t="n">
        <f aca="false">-$C$38*(1-$C$40)</f>
        <v>-2851.06</v>
      </c>
      <c r="CW73" s="40" t="n">
        <f aca="false">-$C$38*(1-$C$40)</f>
        <v>-2851.06</v>
      </c>
      <c r="CX73" s="40" t="n">
        <f aca="false">-$C$38*(1-$C$40)</f>
        <v>-2851.06</v>
      </c>
      <c r="CY73" s="40" t="n">
        <f aca="false">-$C$38*(1-$C$40)</f>
        <v>-2851.06</v>
      </c>
      <c r="CZ73" s="40" t="n">
        <f aca="false">-$C$38*(1-$C$40)</f>
        <v>-2851.06</v>
      </c>
      <c r="DA73" s="40" t="n">
        <f aca="false">-$C$38*(1-$C$40)</f>
        <v>-2851.06</v>
      </c>
      <c r="DB73" s="40" t="n">
        <f aca="false">-$C$38*(1-$C$40)</f>
        <v>-2851.06</v>
      </c>
      <c r="DC73" s="40" t="n">
        <f aca="false">-$C$38*(1-$C$40)</f>
        <v>-2851.06</v>
      </c>
      <c r="DD73" s="40" t="n">
        <f aca="false">-$C$38*(1-$C$40)</f>
        <v>-2851.06</v>
      </c>
      <c r="DE73" s="40" t="n">
        <f aca="false">-$C$38*(1-$C$40)</f>
        <v>-2851.06</v>
      </c>
      <c r="DF73" s="40" t="n">
        <f aca="false">-$C$38*(1-$C$40)</f>
        <v>-2851.06</v>
      </c>
      <c r="DG73" s="40" t="n">
        <f aca="false">-$C$38*(1-$C$40)</f>
        <v>-2851.06</v>
      </c>
      <c r="DH73" s="40" t="n">
        <f aca="false">-$C$38*(1-$C$40)</f>
        <v>-2851.06</v>
      </c>
      <c r="DI73" s="40" t="n">
        <f aca="false">-$C$38*(1-$C$40)</f>
        <v>-2851.06</v>
      </c>
      <c r="DJ73" s="40" t="n">
        <f aca="false">-$C$38*(1-$C$40)</f>
        <v>-2851.06</v>
      </c>
      <c r="DK73" s="40" t="n">
        <f aca="false">-$C$38*(1-$C$40)</f>
        <v>-2851.06</v>
      </c>
      <c r="DL73" s="40" t="n">
        <f aca="false">-$C$38*(1-$C$40)</f>
        <v>-2851.06</v>
      </c>
      <c r="DM73" s="40" t="n">
        <f aca="false">-$C$38*(1-$C$40)</f>
        <v>-2851.06</v>
      </c>
      <c r="DN73" s="40" t="n">
        <f aca="false">-$C$38*(1-$C$40)</f>
        <v>-2851.06</v>
      </c>
      <c r="DO73" s="40" t="n">
        <f aca="false">-$C$38*(1-$C$40)</f>
        <v>-2851.06</v>
      </c>
      <c r="DP73" s="40" t="n">
        <f aca="false">-$C$38*(1-$C$40)</f>
        <v>-2851.06</v>
      </c>
      <c r="DQ73" s="40" t="n">
        <f aca="false">-$C$38*(1-$C$40)</f>
        <v>-2851.06</v>
      </c>
      <c r="DR73" s="40" t="n">
        <f aca="false">-$C$38*(1-$C$40)</f>
        <v>-2851.06</v>
      </c>
      <c r="DS73" s="40" t="n">
        <f aca="false">-$C$38*(1-$C$40)</f>
        <v>-2851.06</v>
      </c>
      <c r="DT73" s="40" t="n">
        <f aca="false">-$C$38*(1-$C$40)</f>
        <v>-2851.06</v>
      </c>
      <c r="DU73" s="40" t="n">
        <f aca="false">-$C$38*(1-$C$40)</f>
        <v>-2851.06</v>
      </c>
      <c r="DV73" s="40" t="n">
        <f aca="false">-$C$38*(1-$C$40)</f>
        <v>-2851.06</v>
      </c>
      <c r="DW73" s="40" t="n">
        <f aca="false">-$C$38*(1-$C$40)</f>
        <v>-2851.06</v>
      </c>
      <c r="DX73" s="40" t="n">
        <f aca="false">-$C$38*(1-$C$40)</f>
        <v>-2851.06</v>
      </c>
      <c r="DY73" s="40" t="n">
        <f aca="false">-$C$38*(1-$C$40)</f>
        <v>-2851.06</v>
      </c>
      <c r="DZ73" s="40" t="n">
        <f aca="false">-$C$38*(1-$C$40)</f>
        <v>-2851.06</v>
      </c>
      <c r="EA73" s="40" t="n">
        <f aca="false">-$C$38*(1-$C$40)</f>
        <v>-2851.06</v>
      </c>
      <c r="EB73" s="40" t="n">
        <f aca="false">-$C$38*(1-$C$40)</f>
        <v>-2851.06</v>
      </c>
      <c r="EC73" s="40" t="n">
        <f aca="false">-$C$38*(1-$C$40)</f>
        <v>-2851.06</v>
      </c>
      <c r="ED73" s="40" t="n">
        <f aca="false">-$C$38*(1-$C$40)</f>
        <v>-2851.06</v>
      </c>
      <c r="EE73" s="9" t="n">
        <f aca="false">-$C$38*(1-$C$40)</f>
        <v>-2851.06</v>
      </c>
    </row>
    <row r="74" customFormat="false" ht="15" hidden="false" customHeight="false" outlineLevel="0" collapsed="false">
      <c r="B74" s="47" t="s">
        <v>1299</v>
      </c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8" t="n">
        <f aca="false">P70+SUM(P71:P73)+P75</f>
        <v>-27061.95</v>
      </c>
      <c r="Q74" s="48" t="n">
        <f aca="false">Q70+SUM(Q71:Q73)+Q75</f>
        <v>-27163.254</v>
      </c>
      <c r="R74" s="48" t="n">
        <f aca="false">R70+SUM(R71:R73)+R75</f>
        <v>-27739.074</v>
      </c>
      <c r="S74" s="48" t="n">
        <f aca="false">S70+SUM(S71:S73)+S75</f>
        <v>-27834.96</v>
      </c>
      <c r="T74" s="48" t="n">
        <f aca="false">T70+SUM(T71:T73)+T75</f>
        <v>-28310.904</v>
      </c>
      <c r="U74" s="48" t="n">
        <f aca="false">U70+SUM(U71:U73)+U75</f>
        <v>-28227.03</v>
      </c>
      <c r="V74" s="48" t="n">
        <f aca="false">V70+SUM(V71:V73)+V75</f>
        <v>-28599.276</v>
      </c>
      <c r="W74" s="48" t="n">
        <f aca="false">W70+SUM(W71:W73)+W75</f>
        <v>-30823.932</v>
      </c>
      <c r="X74" s="48" t="n">
        <f aca="false">X70+SUM(X71:X73)+X75</f>
        <v>-30289.566</v>
      </c>
      <c r="Y74" s="48" t="n">
        <f aca="false">Y70+SUM(Y71:Y73)+Y75</f>
        <v>-29793.63</v>
      </c>
      <c r="Z74" s="48" t="n">
        <f aca="false">Z70+SUM(Z71:Z73)+Z75</f>
        <v>-29111.466</v>
      </c>
      <c r="AA74" s="48" t="n">
        <f aca="false">AA70+SUM(AA71:AA73)+AA75</f>
        <v>-31664.667</v>
      </c>
      <c r="AB74" s="48" t="n">
        <f aca="false">AB70+SUM(AB71:AB73)+AB75</f>
        <v>-32555.046</v>
      </c>
      <c r="AC74" s="48" t="n">
        <f aca="false">AC70+SUM(AC71:AC73)+AC75</f>
        <v>-31271.946</v>
      </c>
      <c r="AD74" s="48" t="n">
        <f aca="false">AD70+SUM(AD71:AD73)+AD75</f>
        <v>-33819.33</v>
      </c>
      <c r="AE74" s="48" t="n">
        <f aca="false">AE70+SUM(AE71:AE73)+AE75</f>
        <v>-34348.236</v>
      </c>
      <c r="AF74" s="48" t="n">
        <f aca="false">AF70+SUM(AF71:AF73)+AF75</f>
        <v>-33677.4204</v>
      </c>
      <c r="AG74" s="48" t="n">
        <f aca="false">AG70+SUM(AG71:AG73)+AG75</f>
        <v>-33128.094</v>
      </c>
      <c r="AH74" s="48" t="n">
        <f aca="false">AH70+SUM(AH71:AH73)+AH75</f>
        <v>-33763.7388</v>
      </c>
      <c r="AI74" s="48" t="n">
        <f aca="false">AI70+SUM(AI71:AI73)+AI75</f>
        <v>-40276.2756</v>
      </c>
      <c r="AJ74" s="48" t="n">
        <f aca="false">AJ70+SUM(AJ71:AJ73)+AJ75</f>
        <v>-37967.3508</v>
      </c>
      <c r="AK74" s="48" t="n">
        <f aca="false">AK70+SUM(AK71:AK73)+AK75</f>
        <v>-33650.2174675557</v>
      </c>
      <c r="AL74" s="48" t="n">
        <f aca="false">AL70+SUM(AL71:AL73)+AL75</f>
        <v>-32077.1964860103</v>
      </c>
      <c r="AM74" s="48" t="n">
        <f aca="false">AM70+SUM(AM71:AM73)+AM75</f>
        <v>-34946.7630434798</v>
      </c>
      <c r="AN74" s="48" t="n">
        <f aca="false">AN70+SUM(AN71:AN73)+AN75</f>
        <v>-39831.007388417</v>
      </c>
      <c r="AO74" s="48" t="n">
        <f aca="false">AO70+SUM(AO71:AO73)+AO75</f>
        <v>-38256.8979975258</v>
      </c>
      <c r="AP74" s="48" t="n">
        <f aca="false">AP70+SUM(AP71:AP73)+AP75</f>
        <v>-44129.1589000982</v>
      </c>
      <c r="AQ74" s="48" t="n">
        <f aca="false">AQ70+SUM(AQ71:AQ73)+AQ75</f>
        <v>-56032.1834716756</v>
      </c>
      <c r="AR74" s="48" t="n">
        <f aca="false">AR70+SUM(AR71:AR73)+AR75</f>
        <v>-54021.4729198752</v>
      </c>
      <c r="AS74" s="48" t="n">
        <f aca="false">AS70+SUM(AS71:AS73)+AS75</f>
        <v>-53425.7614916178</v>
      </c>
      <c r="AT74" s="48" t="n">
        <f aca="false">AT70+SUM(AT71:AT73)+AT75</f>
        <v>-54765.1383730049</v>
      </c>
      <c r="AU74" s="48" t="n">
        <f aca="false">AU70+SUM(AU71:AU73)+AU75</f>
        <v>-67517.254326509</v>
      </c>
      <c r="AV74" s="48" t="n">
        <f aca="false">AV70+SUM(AV71:AV73)+AV75</f>
        <v>-63978.182981134</v>
      </c>
      <c r="AW74" s="48" t="n">
        <f aca="false">AW70+SUM(AW71:AW73)+AW75</f>
        <v>-61616.0474081551</v>
      </c>
      <c r="AX74" s="48" t="n">
        <f aca="false">AX70+SUM(AX71:AX73)+AX75</f>
        <v>-57121.7787434406</v>
      </c>
      <c r="AY74" s="48" t="n">
        <f aca="false">AY70+SUM(AY71:AY73)+AY75</f>
        <v>-65354.7163986425</v>
      </c>
      <c r="AZ74" s="48" t="n">
        <f aca="false">AZ70+SUM(AZ71:AZ73)+AZ75</f>
        <v>-72852.42373151</v>
      </c>
      <c r="BA74" s="48" t="n">
        <f aca="false">BA70+SUM(BA71:BA73)+BA75</f>
        <v>-67247.50792625</v>
      </c>
      <c r="BB74" s="48" t="n">
        <f aca="false">BB70+SUM(BB71:BB73)+BB75</f>
        <v>-78834.0795126831</v>
      </c>
      <c r="BC74" s="48" t="n">
        <f aca="false">BC70+SUM(BC71:BC73)+BC75</f>
        <v>-79149.088686826</v>
      </c>
      <c r="BD74" s="48" t="n">
        <f aca="false">BD70+SUM(BD71:BD73)+BD75</f>
        <v>-75828.420577937</v>
      </c>
      <c r="BE74" s="48" t="n">
        <f aca="false">BE70+SUM(BE71:BE73)+BE75</f>
        <v>-73380.1388687991</v>
      </c>
      <c r="BF74" s="48" t="n">
        <f aca="false">BF70+SUM(BF71:BF73)+BF75</f>
        <v>-77041.8520479824</v>
      </c>
      <c r="BG74" s="48" t="n">
        <f aca="false">BG70+SUM(BG71:BG73)+BG75</f>
        <v>-101296.03600127</v>
      </c>
      <c r="BH74" s="48" t="n">
        <f aca="false">BH70+SUM(BH71:BH73)+BH75</f>
        <v>-95114.0220039849</v>
      </c>
      <c r="BI74" s="48" t="n">
        <f aca="false">BI70+SUM(BI71:BI73)+BI75</f>
        <v>-87759.4050155749</v>
      </c>
      <c r="BJ74" s="48" t="n">
        <f aca="false">BJ70+SUM(BJ71:BJ73)+BJ75</f>
        <v>-79123.1256815784</v>
      </c>
      <c r="BK74" s="48" t="n">
        <f aca="false">BK70+SUM(BK71:BK73)+BK75</f>
        <v>-95744.7582130361</v>
      </c>
      <c r="BL74" s="48" t="n">
        <f aca="false">BL70+SUM(BL71:BL73)+BL75</f>
        <v>-105085.1072</v>
      </c>
      <c r="BM74" s="48" t="n">
        <f aca="false">BM70+SUM(BM71:BM73)+BM75</f>
        <v>-92794.58</v>
      </c>
      <c r="BN74" s="48" t="n">
        <f aca="false">BN70+SUM(BN71:BN73)+BN75</f>
        <v>-112721.06</v>
      </c>
      <c r="BO74" s="48" t="n">
        <f aca="false">BO70+SUM(BO71:BO73)+BO75</f>
        <v>-111054.206</v>
      </c>
      <c r="BP74" s="48" t="n">
        <f aca="false">BP70+SUM(BP71:BP73)+BP75</f>
        <v>-102366.1196</v>
      </c>
      <c r="BQ74" s="48" t="n">
        <f aca="false">BQ70+SUM(BQ71:BQ73)+BQ75</f>
        <v>-96797.852</v>
      </c>
      <c r="BR74" s="48" t="n">
        <f aca="false">BR70+SUM(BR71:BR73)+BR75</f>
        <v>-100471.718</v>
      </c>
      <c r="BS74" s="48" t="n">
        <f aca="false">BS70+SUM(BS71:BS73)+BS75</f>
        <v>-139382.0636</v>
      </c>
      <c r="BT74" s="48" t="n">
        <f aca="false">BT70+SUM(BT71:BT73)+BT75</f>
        <v>-124256.9816</v>
      </c>
      <c r="BU74" s="48" t="n">
        <f aca="false">BU70+SUM(BU71:BU73)+BU75</f>
        <v>-113041.4024</v>
      </c>
      <c r="BV74" s="48" t="n">
        <f aca="false">BV70+SUM(BV71:BV73)+BV75</f>
        <v>-97779.2744</v>
      </c>
      <c r="BW74" s="48" t="n">
        <f aca="false">BW70+SUM(BW71:BW73)+BW75</f>
        <v>-120475.478</v>
      </c>
      <c r="BX74" s="48" t="n">
        <f aca="false">BX70+SUM(BX71:BX73)+BX75</f>
        <v>-130275.608</v>
      </c>
      <c r="BY74" s="48" t="n">
        <f aca="false">BY70+SUM(BY71:BY73)+BY75</f>
        <v>-113519.456</v>
      </c>
      <c r="BZ74" s="48" t="n">
        <f aca="false">BZ70+SUM(BZ71:BZ73)+BZ75</f>
        <v>-141020.5184</v>
      </c>
      <c r="CA74" s="48" t="n">
        <f aca="false">CA70+SUM(CA71:CA73)+CA75</f>
        <v>-138147.101</v>
      </c>
      <c r="CB74" s="48" t="n">
        <f aca="false">CB70+SUM(CB71:CB73)+CB75</f>
        <v>-125243.168</v>
      </c>
      <c r="CC74" s="48" t="n">
        <f aca="false">CC70+SUM(CC71:CC73)+CC75</f>
        <v>-117332.972</v>
      </c>
      <c r="CD74" s="48" t="n">
        <f aca="false">CD70+SUM(CD71:CD73)+CD75</f>
        <v>-121771.2632</v>
      </c>
      <c r="CE74" s="48" t="n">
        <f aca="false">CE70+SUM(CE71:CE73)+CE75</f>
        <v>-171741.0908</v>
      </c>
      <c r="CF74" s="48" t="n">
        <f aca="false">CF70+SUM(CF71:CF73)+CF75</f>
        <v>-151444.8932</v>
      </c>
      <c r="CG74" s="48" t="n">
        <f aca="false">CG70+SUM(CG71:CG73)+CG75</f>
        <v>-135382.6904</v>
      </c>
      <c r="CH74" s="48" t="n">
        <f aca="false">CH70+SUM(CH71:CH73)+CH75</f>
        <v>-115590.9128</v>
      </c>
      <c r="CI74" s="48" t="n">
        <f aca="false">CI70+SUM(CI71:CI73)+CI75</f>
        <v>-143296.4228</v>
      </c>
      <c r="CJ74" s="48" t="n">
        <f aca="false">CJ70+SUM(CJ71:CJ73)+CJ75</f>
        <v>-150594.1664</v>
      </c>
      <c r="CK74" s="48" t="n">
        <f aca="false">CK70+SUM(CK71:CK73)+CK75</f>
        <v>-131127.7352</v>
      </c>
      <c r="CL74" s="48" t="n">
        <f aca="false">CL70+SUM(CL71:CL73)+CL75</f>
        <v>-164550.3944</v>
      </c>
      <c r="CM74" s="48" t="n">
        <f aca="false">CM70+SUM(CM71:CM73)+CM75</f>
        <v>-161674.499</v>
      </c>
      <c r="CN74" s="48" t="n">
        <f aca="false">CN70+SUM(CN71:CN73)+CN75</f>
        <v>-147120.4364</v>
      </c>
      <c r="CO74" s="48" t="n">
        <f aca="false">CO70+SUM(CO71:CO73)+CO75</f>
        <v>-136237.052</v>
      </c>
      <c r="CP74" s="48" t="n">
        <f aca="false">CP70+SUM(CP71:CP73)+CP75</f>
        <v>-141722.4872</v>
      </c>
      <c r="CQ74" s="48" t="n">
        <f aca="false">CQ70+SUM(CQ71:CQ73)+CQ75</f>
        <v>-203327.8688</v>
      </c>
      <c r="CR74" s="48" t="n">
        <f aca="false">CR70+SUM(CR71:CR73)+CR75</f>
        <v>-178303.3196</v>
      </c>
      <c r="CS74" s="48" t="n">
        <f aca="false">CS70+SUM(CS71:CS73)+CS75</f>
        <v>-158936.204</v>
      </c>
      <c r="CT74" s="48" t="n">
        <f aca="false">CT70+SUM(CT71:CT73)+CT75</f>
        <v>-134148.5768</v>
      </c>
      <c r="CU74" s="48" t="n">
        <f aca="false">CU70+SUM(CU71:CU73)+CU75</f>
        <v>-168557.69</v>
      </c>
      <c r="CV74" s="48" t="n">
        <f aca="false">CV70+SUM(CV71:CV73)+CV75</f>
        <v>-191899.877136373</v>
      </c>
      <c r="CW74" s="48" t="n">
        <f aca="false">CW70+SUM(CW71:CW73)+CW75</f>
        <v>-163422.507936373</v>
      </c>
      <c r="CX74" s="48" t="n">
        <f aca="false">CX70+SUM(CX71:CX73)+CX75</f>
        <v>-204598.728336373</v>
      </c>
      <c r="CY74" s="48" t="n">
        <f aca="false">CY70+SUM(CY71:CY73)+CY75</f>
        <v>-200798.971536373</v>
      </c>
      <c r="CZ74" s="48" t="n">
        <f aca="false">CZ70+SUM(CZ71:CZ73)+CZ75</f>
        <v>-180867.485136373</v>
      </c>
      <c r="DA74" s="48" t="n">
        <f aca="false">DA70+SUM(DA71:DA73)+DA75</f>
        <v>-167657.191536373</v>
      </c>
      <c r="DB74" s="48" t="n">
        <f aca="false">DB70+SUM(DB71:DB73)+DB75</f>
        <v>-173664.804336373</v>
      </c>
      <c r="DC74" s="48" t="n">
        <f aca="false">DC70+SUM(DC71:DC73)+DC75</f>
        <v>-249173.097336373</v>
      </c>
      <c r="DD74" s="48" t="n">
        <f aca="false">DD70+SUM(DD71:DD73)+DD75</f>
        <v>-218693.180736373</v>
      </c>
      <c r="DE74" s="48" t="n">
        <f aca="false">DE70+SUM(DE71:DE73)+DE75</f>
        <v>-194105.633136373</v>
      </c>
      <c r="DF74" s="48" t="n">
        <f aca="false">DF70+SUM(DF71:DF73)+DF75</f>
        <v>-163754.601936373</v>
      </c>
      <c r="DG74" s="48" t="n">
        <f aca="false">DG70+SUM(DG71:DG73)+DG75</f>
        <v>-203572.126536373</v>
      </c>
      <c r="DH74" s="48" t="n">
        <f aca="false">DH70+SUM(DH71:DH73)+DH75</f>
        <v>-214124.761331426</v>
      </c>
      <c r="DI74" s="48" t="n">
        <f aca="false">DI70+SUM(DI71:DI73)+DI75</f>
        <v>-181102.038731426</v>
      </c>
      <c r="DJ74" s="48" t="n">
        <f aca="false">DJ70+SUM(DJ71:DJ73)+DJ75</f>
        <v>-229077.492131426</v>
      </c>
      <c r="DK74" s="48" t="n">
        <f aca="false">DK70+SUM(DK71:DK73)+DK75</f>
        <v>-222943.837331426</v>
      </c>
      <c r="DL74" s="48" t="n">
        <f aca="false">DL70+SUM(DL71:DL73)+DL75</f>
        <v>-199518.026531426</v>
      </c>
      <c r="DM74" s="48" t="n">
        <f aca="false">DM70+SUM(DM71:DM73)+DM75</f>
        <v>-184028.653331426</v>
      </c>
      <c r="DN74" s="48" t="n">
        <f aca="false">DN70+SUM(DN71:DN73)+DN75</f>
        <v>-191315.359331426</v>
      </c>
      <c r="DO74" s="48" t="n">
        <f aca="false">DO70+SUM(DO71:DO73)+DO75</f>
        <v>-276545.047931426</v>
      </c>
      <c r="DP74" s="48" t="n">
        <f aca="false">DP70+SUM(DP71:DP73)+DP75</f>
        <v>-240434.854931426</v>
      </c>
      <c r="DQ74" s="48" t="n">
        <f aca="false">DQ70+SUM(DQ71:DQ73)+DQ75</f>
        <v>-212947.165331426</v>
      </c>
      <c r="DR74" s="48" t="n">
        <f aca="false">DR70+SUM(DR71:DR73)+DR75</f>
        <v>-178969.551731426</v>
      </c>
      <c r="DS74" s="48" t="n">
        <f aca="false">DS70+SUM(DS71:DS73)+DS75</f>
        <v>-226990.142531426</v>
      </c>
      <c r="DT74" s="48" t="n">
        <f aca="false">DT70+SUM(DT71:DT73)+DT75</f>
        <v>-243455.348860461</v>
      </c>
      <c r="DU74" s="48" t="n">
        <f aca="false">DU70+SUM(DU71:DU73)+DU75</f>
        <v>-205198.405660461</v>
      </c>
      <c r="DV74" s="48" t="n">
        <f aca="false">DV70+SUM(DV71:DV73)+DV75</f>
        <v>-262332.954460461</v>
      </c>
      <c r="DW74" s="48" t="n">
        <f aca="false">DW70+SUM(DW71:DW73)+DW75</f>
        <v>-255442.707460461</v>
      </c>
      <c r="DX74" s="48" t="n">
        <f aca="false">DX70+SUM(DX71:DX73)+DX75</f>
        <v>-228101.308060461</v>
      </c>
      <c r="DY74" s="48" t="n">
        <f aca="false">DY70+SUM(DY71:DY73)+DY75</f>
        <v>-210428.682460461</v>
      </c>
      <c r="DZ74" s="48" t="n">
        <f aca="false">DZ70+SUM(DZ71:DZ73)+DZ75</f>
        <v>-219825.031660461</v>
      </c>
      <c r="EA74" s="48" t="n">
        <f aca="false">EA70+SUM(EA71:EA73)+EA75</f>
        <v>-324106.407460461</v>
      </c>
      <c r="EB74" s="48" t="n">
        <f aca="false">EB70+SUM(EB71:EB73)+EB75</f>
        <v>-281732.771260461</v>
      </c>
      <c r="EC74" s="48" t="n">
        <f aca="false">EC70+SUM(EC71:EC73)+EC75</f>
        <v>-249038.610460461</v>
      </c>
      <c r="ED74" s="48" t="n">
        <f aca="false">ED70+SUM(ED71:ED73)+ED75</f>
        <v>-207095.831260461</v>
      </c>
      <c r="EE74" s="9" t="n">
        <f aca="false">EE70+SUM(EE71:EE73)+EE75</f>
        <v>-263976.389260461</v>
      </c>
    </row>
    <row r="75" customFormat="false" ht="15" hidden="false" customHeight="false" outlineLevel="0" collapsed="false">
      <c r="B75" s="112" t="s">
        <v>1300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40" t="n">
        <f aca="false">-$C$39</f>
        <v>-1689.61333333333</v>
      </c>
      <c r="Q75" s="40" t="n">
        <f aca="false">-$C$39</f>
        <v>-1689.61333333333</v>
      </c>
      <c r="R75" s="40" t="n">
        <f aca="false">-$C$39</f>
        <v>-1689.61333333333</v>
      </c>
      <c r="S75" s="40" t="n">
        <f aca="false">-$C$39</f>
        <v>-1689.61333333333</v>
      </c>
      <c r="T75" s="40" t="n">
        <f aca="false">-$C$39</f>
        <v>-1689.61333333333</v>
      </c>
      <c r="U75" s="40" t="n">
        <f aca="false">-$C$39</f>
        <v>-1689.61333333333</v>
      </c>
      <c r="V75" s="40" t="n">
        <f aca="false">-$C$39</f>
        <v>-1689.61333333333</v>
      </c>
      <c r="W75" s="40" t="n">
        <f aca="false">-$C$39</f>
        <v>-1689.61333333333</v>
      </c>
      <c r="X75" s="40" t="n">
        <f aca="false">-$C$39</f>
        <v>-1689.61333333333</v>
      </c>
      <c r="Y75" s="40" t="n">
        <f aca="false">-$C$39</f>
        <v>-1689.61333333333</v>
      </c>
      <c r="Z75" s="40" t="n">
        <f aca="false">-$C$39</f>
        <v>-1689.61333333333</v>
      </c>
      <c r="AA75" s="40" t="n">
        <f aca="false">-$C$39</f>
        <v>-1689.61333333333</v>
      </c>
      <c r="AB75" s="40" t="n">
        <f aca="false">-$C$39</f>
        <v>-1689.61333333333</v>
      </c>
      <c r="AC75" s="40" t="n">
        <f aca="false">-$C$39</f>
        <v>-1689.61333333333</v>
      </c>
      <c r="AD75" s="40" t="n">
        <f aca="false">-$C$39</f>
        <v>-1689.61333333333</v>
      </c>
      <c r="AE75" s="40" t="n">
        <f aca="false">-$C$39</f>
        <v>-1689.61333333333</v>
      </c>
      <c r="AF75" s="40" t="n">
        <f aca="false">-$C$39</f>
        <v>-1689.61333333333</v>
      </c>
      <c r="AG75" s="40" t="n">
        <f aca="false">-$C$39</f>
        <v>-1689.61333333333</v>
      </c>
      <c r="AH75" s="40" t="n">
        <f aca="false">-$C$39</f>
        <v>-1689.61333333333</v>
      </c>
      <c r="AI75" s="40" t="n">
        <f aca="false">-$C$39</f>
        <v>-1689.61333333333</v>
      </c>
      <c r="AJ75" s="40" t="n">
        <f aca="false">-$C$39</f>
        <v>-1689.61333333333</v>
      </c>
      <c r="AK75" s="40" t="n">
        <f aca="false">-$C$39</f>
        <v>-1689.61333333333</v>
      </c>
      <c r="AL75" s="40" t="n">
        <f aca="false">-$C$39</f>
        <v>-1689.61333333333</v>
      </c>
      <c r="AM75" s="40" t="n">
        <f aca="false">-$C$39</f>
        <v>-1689.61333333333</v>
      </c>
      <c r="AN75" s="40" t="n">
        <f aca="false">-$C$39</f>
        <v>-1689.61333333333</v>
      </c>
      <c r="AO75" s="40" t="n">
        <f aca="false">-$C$39</f>
        <v>-1689.61333333333</v>
      </c>
      <c r="AP75" s="40" t="n">
        <f aca="false">-$C$39</f>
        <v>-1689.61333333333</v>
      </c>
      <c r="AQ75" s="40" t="n">
        <f aca="false">-$C$39</f>
        <v>-1689.61333333333</v>
      </c>
      <c r="AR75" s="40" t="n">
        <f aca="false">-$C$39</f>
        <v>-1689.61333333333</v>
      </c>
      <c r="AS75" s="40" t="n">
        <f aca="false">-$C$39</f>
        <v>-1689.61333333333</v>
      </c>
      <c r="AT75" s="40" t="n">
        <f aca="false">-$C$39</f>
        <v>-1689.61333333333</v>
      </c>
      <c r="AU75" s="40" t="n">
        <f aca="false">-$C$39</f>
        <v>-1689.61333333333</v>
      </c>
      <c r="AV75" s="40" t="n">
        <f aca="false">-$C$39</f>
        <v>-1689.61333333333</v>
      </c>
      <c r="AW75" s="40" t="n">
        <f aca="false">-$C$39</f>
        <v>-1689.61333333333</v>
      </c>
      <c r="AX75" s="40" t="n">
        <f aca="false">-$C$39</f>
        <v>-1689.61333333333</v>
      </c>
      <c r="AY75" s="40" t="n">
        <f aca="false">-$C$39</f>
        <v>-1689.61333333333</v>
      </c>
      <c r="AZ75" s="40" t="n">
        <f aca="false">-$C$39</f>
        <v>-1689.61333333333</v>
      </c>
      <c r="BA75" s="40" t="n">
        <f aca="false">-$C$39</f>
        <v>-1689.61333333333</v>
      </c>
      <c r="BB75" s="40" t="n">
        <f aca="false">-$C$39</f>
        <v>-1689.61333333333</v>
      </c>
      <c r="BC75" s="40" t="n">
        <f aca="false">-$C$39</f>
        <v>-1689.61333333333</v>
      </c>
      <c r="BD75" s="40" t="n">
        <f aca="false">-$C$39</f>
        <v>-1689.61333333333</v>
      </c>
      <c r="BE75" s="40" t="n">
        <f aca="false">-$C$39</f>
        <v>-1689.61333333333</v>
      </c>
      <c r="BF75" s="40" t="n">
        <f aca="false">-$C$39</f>
        <v>-1689.61333333333</v>
      </c>
      <c r="BG75" s="40" t="n">
        <f aca="false">-$C$39</f>
        <v>-1689.61333333333</v>
      </c>
      <c r="BH75" s="40" t="n">
        <f aca="false">-$C$39</f>
        <v>-1689.61333333333</v>
      </c>
      <c r="BI75" s="40" t="n">
        <f aca="false">-$C$39</f>
        <v>-1689.61333333333</v>
      </c>
      <c r="BJ75" s="40" t="n">
        <f aca="false">-$C$39</f>
        <v>-1689.61333333333</v>
      </c>
      <c r="BK75" s="40" t="n">
        <f aca="false">-$C$39</f>
        <v>-1689.61333333333</v>
      </c>
      <c r="BL75" s="40" t="n">
        <f aca="false">-$C$39</f>
        <v>-1689.61333333333</v>
      </c>
      <c r="BM75" s="40" t="n">
        <f aca="false">-$C$39</f>
        <v>-1689.61333333333</v>
      </c>
      <c r="BN75" s="40" t="n">
        <f aca="false">-$C$39</f>
        <v>-1689.61333333333</v>
      </c>
      <c r="BO75" s="40" t="n">
        <f aca="false">-$C$39</f>
        <v>-1689.61333333333</v>
      </c>
      <c r="BP75" s="40" t="n">
        <f aca="false">-$C$39</f>
        <v>-1689.61333333333</v>
      </c>
      <c r="BQ75" s="40" t="n">
        <f aca="false">-$C$39</f>
        <v>-1689.61333333333</v>
      </c>
      <c r="BR75" s="40" t="n">
        <f aca="false">-$C$39</f>
        <v>-1689.61333333333</v>
      </c>
      <c r="BS75" s="40" t="n">
        <f aca="false">-$C$39</f>
        <v>-1689.61333333333</v>
      </c>
      <c r="BT75" s="40" t="n">
        <f aca="false">-$C$39</f>
        <v>-1689.61333333333</v>
      </c>
      <c r="BU75" s="40" t="n">
        <f aca="false">-$C$39</f>
        <v>-1689.61333333333</v>
      </c>
      <c r="BV75" s="40" t="n">
        <f aca="false">-$C$39</f>
        <v>-1689.61333333333</v>
      </c>
      <c r="BW75" s="40" t="n">
        <f aca="false">-$C$39</f>
        <v>-1689.61333333333</v>
      </c>
      <c r="BX75" s="40" t="n">
        <f aca="false">-$C$39</f>
        <v>-1689.61333333333</v>
      </c>
      <c r="BY75" s="40" t="n">
        <f aca="false">-$C$39</f>
        <v>-1689.61333333333</v>
      </c>
      <c r="BZ75" s="40" t="n">
        <f aca="false">-$C$39</f>
        <v>-1689.61333333333</v>
      </c>
      <c r="CA75" s="40" t="n">
        <f aca="false">-$C$39</f>
        <v>-1689.61333333333</v>
      </c>
      <c r="CB75" s="40" t="n">
        <f aca="false">-$C$39</f>
        <v>-1689.61333333333</v>
      </c>
      <c r="CC75" s="40" t="n">
        <f aca="false">-$C$39</f>
        <v>-1689.61333333333</v>
      </c>
      <c r="CD75" s="40" t="n">
        <f aca="false">-$C$39</f>
        <v>-1689.61333333333</v>
      </c>
      <c r="CE75" s="40" t="n">
        <f aca="false">-$C$39</f>
        <v>-1689.61333333333</v>
      </c>
      <c r="CF75" s="40" t="n">
        <f aca="false">-$C$39</f>
        <v>-1689.61333333333</v>
      </c>
      <c r="CG75" s="40" t="n">
        <f aca="false">-$C$39</f>
        <v>-1689.61333333333</v>
      </c>
      <c r="CH75" s="40" t="n">
        <f aca="false">-$C$39</f>
        <v>-1689.61333333333</v>
      </c>
      <c r="CI75" s="40" t="n">
        <f aca="false">-$C$39</f>
        <v>-1689.61333333333</v>
      </c>
      <c r="CJ75" s="40" t="n">
        <f aca="false">-$C$39</f>
        <v>-1689.61333333333</v>
      </c>
      <c r="CK75" s="40" t="n">
        <f aca="false">-$C$39</f>
        <v>-1689.61333333333</v>
      </c>
      <c r="CL75" s="40" t="n">
        <f aca="false">-$C$39</f>
        <v>-1689.61333333333</v>
      </c>
      <c r="CM75" s="40" t="n">
        <f aca="false">-$C$39</f>
        <v>-1689.61333333333</v>
      </c>
      <c r="CN75" s="40" t="n">
        <f aca="false">-$C$39</f>
        <v>-1689.61333333333</v>
      </c>
      <c r="CO75" s="40" t="n">
        <f aca="false">-$C$39</f>
        <v>-1689.61333333333</v>
      </c>
      <c r="CP75" s="40" t="n">
        <f aca="false">-$C$39</f>
        <v>-1689.61333333333</v>
      </c>
      <c r="CQ75" s="40" t="n">
        <f aca="false">-$C$39</f>
        <v>-1689.61333333333</v>
      </c>
      <c r="CR75" s="40" t="n">
        <f aca="false">-$C$39</f>
        <v>-1689.61333333333</v>
      </c>
      <c r="CS75" s="40" t="n">
        <f aca="false">-$C$39</f>
        <v>-1689.61333333333</v>
      </c>
      <c r="CT75" s="40" t="n">
        <f aca="false">-$C$39</f>
        <v>-1689.61333333333</v>
      </c>
      <c r="CU75" s="40" t="n">
        <f aca="false">-$C$39</f>
        <v>-1689.61333333333</v>
      </c>
      <c r="CV75" s="40" t="n">
        <f aca="false">-$C$39</f>
        <v>-1689.61333333333</v>
      </c>
      <c r="CW75" s="40" t="n">
        <f aca="false">-$C$39</f>
        <v>-1689.61333333333</v>
      </c>
      <c r="CX75" s="40" t="n">
        <f aca="false">-$C$39</f>
        <v>-1689.61333333333</v>
      </c>
      <c r="CY75" s="40" t="n">
        <f aca="false">-$C$39</f>
        <v>-1689.61333333333</v>
      </c>
      <c r="CZ75" s="40" t="n">
        <f aca="false">-$C$39</f>
        <v>-1689.61333333333</v>
      </c>
      <c r="DA75" s="40" t="n">
        <f aca="false">-$C$39</f>
        <v>-1689.61333333333</v>
      </c>
      <c r="DB75" s="40" t="n">
        <f aca="false">-$C$39</f>
        <v>-1689.61333333333</v>
      </c>
      <c r="DC75" s="40" t="n">
        <f aca="false">-$C$39</f>
        <v>-1689.61333333333</v>
      </c>
      <c r="DD75" s="40" t="n">
        <f aca="false">-$C$39</f>
        <v>-1689.61333333333</v>
      </c>
      <c r="DE75" s="40" t="n">
        <f aca="false">-$C$39</f>
        <v>-1689.61333333333</v>
      </c>
      <c r="DF75" s="40" t="n">
        <f aca="false">-$C$39</f>
        <v>-1689.61333333333</v>
      </c>
      <c r="DG75" s="40" t="n">
        <f aca="false">-$C$39</f>
        <v>-1689.61333333333</v>
      </c>
      <c r="DH75" s="40" t="n">
        <f aca="false">-$C$39</f>
        <v>-1689.61333333333</v>
      </c>
      <c r="DI75" s="40" t="n">
        <f aca="false">-$C$39</f>
        <v>-1689.61333333333</v>
      </c>
      <c r="DJ75" s="40" t="n">
        <f aca="false">-$C$39</f>
        <v>-1689.61333333333</v>
      </c>
      <c r="DK75" s="40" t="n">
        <f aca="false">-$C$39</f>
        <v>-1689.61333333333</v>
      </c>
      <c r="DL75" s="40" t="n">
        <f aca="false">-$C$39</f>
        <v>-1689.61333333333</v>
      </c>
      <c r="DM75" s="40" t="n">
        <f aca="false">-$C$39</f>
        <v>-1689.61333333333</v>
      </c>
      <c r="DN75" s="40" t="n">
        <f aca="false">-$C$39</f>
        <v>-1689.61333333333</v>
      </c>
      <c r="DO75" s="40" t="n">
        <f aca="false">-$C$39</f>
        <v>-1689.61333333333</v>
      </c>
      <c r="DP75" s="40" t="n">
        <f aca="false">-$C$39</f>
        <v>-1689.61333333333</v>
      </c>
      <c r="DQ75" s="40" t="n">
        <f aca="false">-$C$39</f>
        <v>-1689.61333333333</v>
      </c>
      <c r="DR75" s="40" t="n">
        <f aca="false">-$C$39</f>
        <v>-1689.61333333333</v>
      </c>
      <c r="DS75" s="40" t="n">
        <f aca="false">-$C$39</f>
        <v>-1689.61333333333</v>
      </c>
      <c r="DT75" s="40" t="n">
        <f aca="false">-$C$39</f>
        <v>-1689.61333333333</v>
      </c>
      <c r="DU75" s="40" t="n">
        <f aca="false">-$C$39</f>
        <v>-1689.61333333333</v>
      </c>
      <c r="DV75" s="40" t="n">
        <f aca="false">-$C$39</f>
        <v>-1689.61333333333</v>
      </c>
      <c r="DW75" s="40" t="n">
        <f aca="false">-$C$39</f>
        <v>-1689.61333333333</v>
      </c>
      <c r="DX75" s="40" t="n">
        <f aca="false">-$C$39</f>
        <v>-1689.61333333333</v>
      </c>
      <c r="DY75" s="40" t="n">
        <f aca="false">-$C$39</f>
        <v>-1689.61333333333</v>
      </c>
      <c r="DZ75" s="40" t="n">
        <f aca="false">-$C$39</f>
        <v>-1689.61333333333</v>
      </c>
      <c r="EA75" s="40" t="n">
        <f aca="false">-$C$39</f>
        <v>-1689.61333333333</v>
      </c>
      <c r="EB75" s="40" t="n">
        <f aca="false">-$C$39</f>
        <v>-1689.61333333333</v>
      </c>
      <c r="EC75" s="40" t="n">
        <f aca="false">-$C$39</f>
        <v>-1689.61333333333</v>
      </c>
      <c r="ED75" s="40" t="n">
        <f aca="false">-$C$39</f>
        <v>-1689.61333333333</v>
      </c>
      <c r="EE75" s="9" t="n">
        <f aca="false">-$C$39</f>
        <v>-1689.61333333333</v>
      </c>
    </row>
  </sheetData>
  <mergeCells count="3">
    <mergeCell ref="B1:N1"/>
    <mergeCell ref="B2:N2"/>
    <mergeCell ref="B4:E4"/>
  </mergeCells>
  <conditionalFormatting sqref="C61:L61">
    <cfRule type="expression" priority="2" aboveAverage="0" equalAverage="0" bottom="0" percent="0" rank="0" text="" dxfId="0">
      <formula>C61&gt;C60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5D50"/>
    <pageSetUpPr fitToPage="false"/>
  </sheetPr>
  <dimension ref="B1:N42"/>
  <sheetViews>
    <sheetView showFormulas="false" showGridLines="true" showRowColHeaders="true" showZeros="true" rightToLeft="false" tabSelected="false" showOutlineSymbols="true" defaultGridColor="true" view="normal" topLeftCell="A12" colorId="64" zoomScale="100" zoomScaleNormal="100" zoomScalePageLayoutView="100" workbookViewId="0">
      <selection pane="topLeft" activeCell="C39" activeCellId="0" sqref="C39"/>
    </sheetView>
  </sheetViews>
  <sheetFormatPr defaultColWidth="10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12" min="3" style="0" width="13.34"/>
    <col collapsed="false" customWidth="true" hidden="false" outlineLevel="0" max="13" min="13" style="0" width="16.67"/>
  </cols>
  <sheetData>
    <row r="1" customFormat="false" ht="15.75" hidden="false" customHeight="true" outlineLevel="0" collapsed="false">
      <c r="B1" s="176" t="s">
        <v>1301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</row>
    <row r="2" customFormat="false" ht="15" hidden="false" customHeight="false" outlineLevel="0" collapsed="false">
      <c r="B2" s="44" t="s">
        <v>1302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customFormat="false" ht="15" hidden="false" customHeight="false" outlineLevel="0" collapsed="false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customFormat="false" ht="15" hidden="false" customHeight="false" outlineLevel="0" collapsed="false">
      <c r="B4" s="21" t="s">
        <v>1303</v>
      </c>
      <c r="C4" s="21"/>
      <c r="D4" s="21"/>
      <c r="E4" s="21"/>
      <c r="F4" s="9"/>
      <c r="G4" s="9"/>
      <c r="H4" s="9"/>
      <c r="I4" s="9"/>
      <c r="J4" s="9"/>
      <c r="K4" s="9"/>
      <c r="L4" s="9"/>
      <c r="M4" s="9"/>
      <c r="N4" s="9"/>
    </row>
    <row r="5" customFormat="false" ht="15" hidden="false" customHeight="false" outlineLevel="0" collapsed="false">
      <c r="B5" s="26" t="s">
        <v>1113</v>
      </c>
      <c r="C5" s="26" t="s">
        <v>1304</v>
      </c>
      <c r="D5" s="26" t="s">
        <v>536</v>
      </c>
      <c r="E5" s="26" t="s">
        <v>468</v>
      </c>
      <c r="F5" s="9"/>
      <c r="G5" s="9"/>
      <c r="H5" s="9"/>
      <c r="I5" s="9"/>
      <c r="J5" s="9"/>
      <c r="K5" s="9"/>
      <c r="L5" s="9"/>
      <c r="M5" s="9"/>
      <c r="N5" s="9"/>
    </row>
    <row r="6" customFormat="false" ht="15" hidden="false" customHeight="false" outlineLevel="0" collapsed="false">
      <c r="B6" s="36" t="s">
        <v>1305</v>
      </c>
      <c r="C6" s="116" t="n">
        <v>7000</v>
      </c>
      <c r="D6" s="9" t="s">
        <v>1114</v>
      </c>
      <c r="E6" s="18" t="s">
        <v>1306</v>
      </c>
      <c r="F6" s="9"/>
      <c r="G6" s="9"/>
      <c r="H6" s="9"/>
      <c r="I6" s="9"/>
      <c r="J6" s="9"/>
      <c r="K6" s="9"/>
      <c r="L6" s="9"/>
      <c r="M6" s="9"/>
      <c r="N6" s="9"/>
    </row>
    <row r="7" customFormat="false" ht="15" hidden="false" customHeight="false" outlineLevel="0" collapsed="false">
      <c r="B7" s="36" t="s">
        <v>1307</v>
      </c>
      <c r="C7" s="116" t="n">
        <v>7000</v>
      </c>
      <c r="D7" s="9" t="s">
        <v>1114</v>
      </c>
      <c r="E7" s="18" t="s">
        <v>1308</v>
      </c>
      <c r="F7" s="9"/>
      <c r="G7" s="9"/>
      <c r="H7" s="9"/>
      <c r="I7" s="9"/>
      <c r="J7" s="9"/>
      <c r="K7" s="9"/>
      <c r="L7" s="9"/>
      <c r="M7" s="9"/>
      <c r="N7" s="9"/>
    </row>
    <row r="8" customFormat="false" ht="15" hidden="false" customHeight="false" outlineLevel="0" collapsed="false">
      <c r="B8" s="36" t="s">
        <v>1309</v>
      </c>
      <c r="C8" s="177" t="n">
        <v>0.3</v>
      </c>
      <c r="D8" s="9" t="s">
        <v>394</v>
      </c>
      <c r="E8" s="18" t="s">
        <v>1310</v>
      </c>
      <c r="F8" s="9"/>
      <c r="G8" s="9"/>
      <c r="H8" s="9"/>
      <c r="I8" s="9"/>
      <c r="J8" s="9"/>
      <c r="K8" s="9"/>
      <c r="L8" s="9"/>
      <c r="M8" s="9"/>
      <c r="N8" s="9"/>
    </row>
    <row r="9" customFormat="false" ht="15" hidden="false" customHeight="false" outlineLevel="0" collapsed="false">
      <c r="B9" s="36" t="s">
        <v>1311</v>
      </c>
      <c r="C9" s="177" t="n">
        <v>0.3</v>
      </c>
      <c r="D9" s="9" t="s">
        <v>394</v>
      </c>
      <c r="E9" s="18" t="s">
        <v>1312</v>
      </c>
      <c r="F9" s="9"/>
      <c r="G9" s="9"/>
      <c r="H9" s="9"/>
      <c r="I9" s="9"/>
      <c r="J9" s="9"/>
      <c r="K9" s="9"/>
      <c r="L9" s="9"/>
      <c r="M9" s="9"/>
      <c r="N9" s="9"/>
    </row>
    <row r="10" customFormat="false" ht="15" hidden="false" customHeight="false" outlineLevel="0" collapsed="false">
      <c r="B10" s="36" t="s">
        <v>1313</v>
      </c>
      <c r="C10" s="177" t="n">
        <v>0.3</v>
      </c>
      <c r="D10" s="9" t="s">
        <v>394</v>
      </c>
      <c r="E10" s="18" t="s">
        <v>1314</v>
      </c>
      <c r="F10" s="9"/>
      <c r="G10" s="9"/>
      <c r="H10" s="9"/>
      <c r="I10" s="9"/>
      <c r="J10" s="9"/>
      <c r="K10" s="9"/>
      <c r="L10" s="9"/>
      <c r="M10" s="9"/>
      <c r="N10" s="9"/>
    </row>
    <row r="11" customFormat="false" ht="15" hidden="false" customHeight="false" outlineLevel="0" collapsed="false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customFormat="false" ht="15" hidden="false" customHeight="false" outlineLevel="0" collapsed="false">
      <c r="B12" s="36" t="s">
        <v>1315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customFormat="false" ht="15" hidden="false" customHeight="false" outlineLevel="0" collapsed="false">
      <c r="B13" s="26" t="s">
        <v>123</v>
      </c>
      <c r="C13" s="178" t="n">
        <v>2025</v>
      </c>
      <c r="D13" s="178" t="n">
        <v>2026</v>
      </c>
      <c r="E13" s="178" t="n">
        <v>2027</v>
      </c>
      <c r="F13" s="178" t="n">
        <v>2028</v>
      </c>
      <c r="G13" s="178" t="n">
        <v>2029</v>
      </c>
      <c r="H13" s="178" t="n">
        <v>2030</v>
      </c>
      <c r="I13" s="178" t="n">
        <v>2031</v>
      </c>
      <c r="J13" s="178" t="n">
        <v>2032</v>
      </c>
      <c r="K13" s="178" t="n">
        <v>2033</v>
      </c>
      <c r="L13" s="178" t="n">
        <v>2034</v>
      </c>
      <c r="M13" s="178" t="n">
        <v>2035</v>
      </c>
      <c r="N13" s="178" t="n">
        <v>2036</v>
      </c>
    </row>
    <row r="14" customFormat="false" ht="15" hidden="false" customHeight="false" outlineLevel="0" collapsed="false">
      <c r="B14" s="30" t="s">
        <v>1316</v>
      </c>
      <c r="C14" s="318" t="n">
        <v>0</v>
      </c>
      <c r="D14" s="318" t="n">
        <v>0.015</v>
      </c>
      <c r="E14" s="318" t="n">
        <v>0.02</v>
      </c>
      <c r="F14" s="318" t="n">
        <v>0.025</v>
      </c>
      <c r="G14" s="318" t="n">
        <v>0.03</v>
      </c>
      <c r="H14" s="318" t="n">
        <v>0.035</v>
      </c>
      <c r="I14" s="318" t="n">
        <v>0.04</v>
      </c>
      <c r="J14" s="318" t="n">
        <v>0.045</v>
      </c>
      <c r="K14" s="318" t="n">
        <v>0.048</v>
      </c>
      <c r="L14" s="318" t="n">
        <v>0.05</v>
      </c>
      <c r="M14" s="318" t="n">
        <v>0.05</v>
      </c>
      <c r="N14" s="318" t="n">
        <v>0.05</v>
      </c>
    </row>
    <row r="15" customFormat="false" ht="15" hidden="false" customHeight="false" outlineLevel="0" collapsed="false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customFormat="false" ht="15" hidden="false" customHeight="false" outlineLevel="0" collapsed="false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customFormat="false" ht="15" hidden="false" customHeight="false" outlineLevel="0" collapsed="false">
      <c r="B17" s="26" t="s">
        <v>1317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customFormat="false" ht="15" hidden="false" customHeight="false" outlineLevel="0" collapsed="false">
      <c r="B18" s="26" t="s">
        <v>1164</v>
      </c>
      <c r="C18" s="178" t="n">
        <v>2025</v>
      </c>
      <c r="D18" s="178" t="n">
        <v>2026</v>
      </c>
      <c r="E18" s="178" t="n">
        <v>2027</v>
      </c>
      <c r="F18" s="178" t="n">
        <v>2028</v>
      </c>
      <c r="G18" s="178" t="n">
        <v>2029</v>
      </c>
      <c r="H18" s="178" t="n">
        <v>2030</v>
      </c>
      <c r="I18" s="178" t="n">
        <v>2031</v>
      </c>
      <c r="J18" s="178" t="n">
        <v>2032</v>
      </c>
      <c r="K18" s="178" t="n">
        <v>2033</v>
      </c>
      <c r="L18" s="178" t="n">
        <v>2034</v>
      </c>
      <c r="M18" s="26" t="n">
        <v>2035</v>
      </c>
      <c r="N18" s="26" t="n">
        <v>2036</v>
      </c>
    </row>
    <row r="19" customFormat="false" ht="15" hidden="false" customHeight="false" outlineLevel="0" collapsed="false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customFormat="false" ht="15" hidden="false" customHeight="false" outlineLevel="0" collapsed="false">
      <c r="B20" s="21" t="s">
        <v>1318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customFormat="false" ht="15" hidden="false" customHeight="false" outlineLevel="0" collapsed="false">
      <c r="B21" s="36" t="s">
        <v>1319</v>
      </c>
      <c r="C21" s="179" t="n">
        <f aca="false">$C$6*12</f>
        <v>84000</v>
      </c>
      <c r="D21" s="179" t="n">
        <f aca="false">$C$6*12</f>
        <v>84000</v>
      </c>
      <c r="E21" s="179" t="n">
        <f aca="false">$C$7*12</f>
        <v>84000</v>
      </c>
      <c r="F21" s="179" t="n">
        <f aca="false">$C$7*12</f>
        <v>84000</v>
      </c>
      <c r="G21" s="179" t="n">
        <f aca="false">$C$7*12</f>
        <v>84000</v>
      </c>
      <c r="H21" s="179" t="n">
        <f aca="false">$C$7*12</f>
        <v>84000</v>
      </c>
      <c r="I21" s="179" t="n">
        <f aca="false">$C$7*12</f>
        <v>84000</v>
      </c>
      <c r="J21" s="179" t="n">
        <f aca="false">$C$7*12</f>
        <v>84000</v>
      </c>
      <c r="K21" s="179" t="n">
        <f aca="false">$C$7*12</f>
        <v>84000</v>
      </c>
      <c r="L21" s="179" t="n">
        <f aca="false">$C$7*12</f>
        <v>84000</v>
      </c>
      <c r="M21" s="179" t="n">
        <f aca="false">$C$7*12</f>
        <v>84000</v>
      </c>
      <c r="N21" s="179" t="n">
        <f aca="false">$C$7*12</f>
        <v>84000</v>
      </c>
    </row>
    <row r="22" customFormat="false" ht="15" hidden="false" customHeight="false" outlineLevel="0" collapsed="false">
      <c r="B22" s="18" t="s">
        <v>1320</v>
      </c>
      <c r="C22" s="180" t="n">
        <f aca="false">-C21*$C$8</f>
        <v>-25200</v>
      </c>
      <c r="D22" s="180" t="n">
        <f aca="false">-D21*$C$8</f>
        <v>-25200</v>
      </c>
      <c r="E22" s="180" t="n">
        <f aca="false">-E21*$C$8</f>
        <v>-25200</v>
      </c>
      <c r="F22" s="180" t="n">
        <f aca="false">-F21*$C$8</f>
        <v>-25200</v>
      </c>
      <c r="G22" s="180" t="n">
        <f aca="false">-G21*$C$8</f>
        <v>-25200</v>
      </c>
      <c r="H22" s="180" t="n">
        <f aca="false">-H21*$C$8</f>
        <v>-25200</v>
      </c>
      <c r="I22" s="180" t="n">
        <f aca="false">-I21*$C$8</f>
        <v>-25200</v>
      </c>
      <c r="J22" s="180" t="n">
        <f aca="false">-J21*$C$8</f>
        <v>-25200</v>
      </c>
      <c r="K22" s="180" t="n">
        <f aca="false">-K21*$C$8</f>
        <v>-25200</v>
      </c>
      <c r="L22" s="180" t="n">
        <f aca="false">-L21*$C$8</f>
        <v>-25200</v>
      </c>
      <c r="M22" s="180" t="n">
        <f aca="false">-M21*$C$8</f>
        <v>-25200</v>
      </c>
      <c r="N22" s="180" t="n">
        <f aca="false">-N21*$C$8</f>
        <v>-25200</v>
      </c>
    </row>
    <row r="23" customFormat="false" ht="15" hidden="false" customHeight="false" outlineLevel="0" collapsed="false">
      <c r="B23" s="18" t="s">
        <v>1321</v>
      </c>
      <c r="C23" s="180" t="n">
        <f aca="false">-C21*$C$9</f>
        <v>-25200</v>
      </c>
      <c r="D23" s="180" t="n">
        <f aca="false">-D21*$C$9</f>
        <v>-25200</v>
      </c>
      <c r="E23" s="180" t="n">
        <f aca="false">-E21*$C$9</f>
        <v>-25200</v>
      </c>
      <c r="F23" s="180" t="n">
        <f aca="false">-F21*$C$9</f>
        <v>-25200</v>
      </c>
      <c r="G23" s="180" t="n">
        <f aca="false">-G21*$C$9</f>
        <v>-25200</v>
      </c>
      <c r="H23" s="180" t="n">
        <f aca="false">-H21*$C$9</f>
        <v>-25200</v>
      </c>
      <c r="I23" s="180" t="n">
        <f aca="false">-I21*$C$9</f>
        <v>-25200</v>
      </c>
      <c r="J23" s="180" t="n">
        <f aca="false">-J21*$C$9</f>
        <v>-25200</v>
      </c>
      <c r="K23" s="180" t="n">
        <f aca="false">-K21*$C$9</f>
        <v>-25200</v>
      </c>
      <c r="L23" s="180" t="n">
        <f aca="false">-L21*$C$9</f>
        <v>-25200</v>
      </c>
      <c r="M23" s="180" t="n">
        <f aca="false">-M21*$C$9</f>
        <v>-25200</v>
      </c>
      <c r="N23" s="180" t="n">
        <f aca="false">-N21*$C$9</f>
        <v>-25200</v>
      </c>
    </row>
    <row r="24" customFormat="false" ht="15" hidden="false" customHeight="false" outlineLevel="0" collapsed="false">
      <c r="B24" s="185" t="s">
        <v>1322</v>
      </c>
      <c r="C24" s="290" t="n">
        <f aca="false">C21+C22+C23</f>
        <v>33600</v>
      </c>
      <c r="D24" s="290" t="n">
        <f aca="false">D21+D22+D23</f>
        <v>33600</v>
      </c>
      <c r="E24" s="290" t="n">
        <f aca="false">E21+E22+E23</f>
        <v>33600</v>
      </c>
      <c r="F24" s="290" t="n">
        <f aca="false">F21+F22+F23</f>
        <v>33600</v>
      </c>
      <c r="G24" s="290" t="n">
        <f aca="false">G21+G22+G23</f>
        <v>33600</v>
      </c>
      <c r="H24" s="290" t="n">
        <f aca="false">H21+H22+H23</f>
        <v>33600</v>
      </c>
      <c r="I24" s="290" t="n">
        <f aca="false">I21+I22+I23</f>
        <v>33600</v>
      </c>
      <c r="J24" s="290" t="n">
        <f aca="false">J21+J22+J23</f>
        <v>33600</v>
      </c>
      <c r="K24" s="290" t="n">
        <f aca="false">K21+K22+K23</f>
        <v>33600</v>
      </c>
      <c r="L24" s="290" t="n">
        <f aca="false">L21+L22+L23</f>
        <v>33600</v>
      </c>
      <c r="M24" s="290" t="n">
        <f aca="false">M21+M22+M23</f>
        <v>33600</v>
      </c>
      <c r="N24" s="290" t="n">
        <f aca="false">N21+N22+N23</f>
        <v>33600</v>
      </c>
    </row>
    <row r="25" customFormat="false" ht="15" hidden="false" customHeight="false" outlineLevel="0" collapsed="false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customFormat="false" ht="15" hidden="false" customHeight="false" outlineLevel="0" collapsed="false">
      <c r="B26" s="21" t="s">
        <v>1323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customFormat="false" ht="15" hidden="false" customHeight="false" outlineLevel="0" collapsed="false">
      <c r="B27" s="36" t="s">
        <v>1324</v>
      </c>
      <c r="C27" s="179" t="n">
        <f aca="false">C14*'⑯ Store P&amp;L'!C43</f>
        <v>0</v>
      </c>
      <c r="D27" s="179" t="n">
        <f aca="false">D14*'⑯ Store P&amp;L'!D43</f>
        <v>12083.842307346</v>
      </c>
      <c r="E27" s="179" t="n">
        <f aca="false">E14*'⑯ Store P&amp;L'!E43</f>
        <v>35082.7883073208</v>
      </c>
      <c r="F27" s="179" t="n">
        <f aca="false">F14*'⑯ Store P&amp;L'!F43</f>
        <v>83017.787174345</v>
      </c>
      <c r="G27" s="179" t="n">
        <f aca="false">G14*'⑯ Store P&amp;L'!G43</f>
        <v>158493.770207416</v>
      </c>
      <c r="H27" s="179" t="n">
        <f aca="false">H14*'⑯ Store P&amp;L'!H43</f>
        <v>237907.736561473</v>
      </c>
      <c r="I27" s="179" t="n">
        <f aca="false">I14*'⑯ Store P&amp;L'!I43</f>
        <v>326417.846808955</v>
      </c>
      <c r="J27" s="179" t="n">
        <f aca="false">J14*'⑯ Store P&amp;L'!J43</f>
        <v>440962.815242345</v>
      </c>
      <c r="K27" s="179" t="n">
        <f aca="false">K14*'⑯ Store P&amp;L'!K43</f>
        <v>545932.94635522</v>
      </c>
      <c r="L27" s="179" t="n">
        <f aca="false">L14*'⑯ Store P&amp;L'!L43</f>
        <v>684297.881195508</v>
      </c>
      <c r="M27" s="179" t="n">
        <f aca="false">M14*'⑯ Store P&amp;L'!M43</f>
        <v>836211.087368718</v>
      </c>
      <c r="N27" s="179" t="n">
        <f aca="false">N14*'⑯ Store P&amp;L'!N43</f>
        <v>1004368.23784285</v>
      </c>
    </row>
    <row r="28" customFormat="false" ht="15" hidden="false" customHeight="false" outlineLevel="0" collapsed="false">
      <c r="B28" s="18" t="s">
        <v>1320</v>
      </c>
      <c r="C28" s="180" t="n">
        <f aca="false">-C27*$C$10</f>
        <v>-0</v>
      </c>
      <c r="D28" s="180" t="n">
        <f aca="false">-D27*$C$10</f>
        <v>-3625.1526922038</v>
      </c>
      <c r="E28" s="180" t="n">
        <f aca="false">-E27*$C$10</f>
        <v>-10524.8364921962</v>
      </c>
      <c r="F28" s="180" t="n">
        <f aca="false">-F27*$C$10</f>
        <v>-24905.3361523035</v>
      </c>
      <c r="G28" s="180" t="n">
        <f aca="false">-G27*$C$10</f>
        <v>-47548.1310622247</v>
      </c>
      <c r="H28" s="180" t="n">
        <f aca="false">-H27*$C$10</f>
        <v>-71372.3209684418</v>
      </c>
      <c r="I28" s="180" t="n">
        <f aca="false">-I27*$C$10</f>
        <v>-97925.3540426866</v>
      </c>
      <c r="J28" s="180" t="n">
        <f aca="false">-J27*$C$10</f>
        <v>-132288.844572704</v>
      </c>
      <c r="K28" s="180" t="n">
        <f aca="false">-K27*$C$10</f>
        <v>-163779.883906566</v>
      </c>
      <c r="L28" s="180" t="n">
        <f aca="false">-L27*$C$10</f>
        <v>-205289.364358652</v>
      </c>
      <c r="M28" s="180" t="n">
        <f aca="false">-M27*$C$10</f>
        <v>-250863.326210615</v>
      </c>
      <c r="N28" s="180" t="n">
        <f aca="false">-N27*$C$10</f>
        <v>-301310.471352854</v>
      </c>
    </row>
    <row r="29" customFormat="false" ht="15" hidden="false" customHeight="false" outlineLevel="0" collapsed="false">
      <c r="B29" s="185" t="s">
        <v>1325</v>
      </c>
      <c r="C29" s="290" t="n">
        <f aca="false">C27+C28</f>
        <v>0</v>
      </c>
      <c r="D29" s="290" t="n">
        <f aca="false">D27+D28</f>
        <v>8458.6896151422</v>
      </c>
      <c r="E29" s="290" t="n">
        <f aca="false">E27+E28</f>
        <v>24557.9518151246</v>
      </c>
      <c r="F29" s="290" t="n">
        <f aca="false">F27+F28</f>
        <v>58112.4510220415</v>
      </c>
      <c r="G29" s="290" t="n">
        <f aca="false">G27+G28</f>
        <v>110945.639145191</v>
      </c>
      <c r="H29" s="290" t="n">
        <f aca="false">H27+H28</f>
        <v>166535.415593031</v>
      </c>
      <c r="I29" s="290" t="n">
        <f aca="false">I27+I28</f>
        <v>228492.492766269</v>
      </c>
      <c r="J29" s="290" t="n">
        <f aca="false">J27+J28</f>
        <v>308673.970669642</v>
      </c>
      <c r="K29" s="290" t="n">
        <f aca="false">K27+K28</f>
        <v>382153.062448654</v>
      </c>
      <c r="L29" s="290" t="n">
        <f aca="false">L27+L28</f>
        <v>479008.516836856</v>
      </c>
      <c r="M29" s="290" t="n">
        <f aca="false">M27+M28</f>
        <v>585347.761158103</v>
      </c>
      <c r="N29" s="290" t="n">
        <f aca="false">N27+N28</f>
        <v>703057.766489992</v>
      </c>
    </row>
    <row r="30" customFormat="false" ht="15" hidden="false" customHeight="false" outlineLevel="0" collapsed="false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customFormat="false" ht="15" hidden="false" customHeight="false" outlineLevel="0" collapsed="false">
      <c r="B31" s="26" t="s">
        <v>1326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</row>
    <row r="32" customFormat="false" ht="15" hidden="false" customHeight="false" outlineLevel="0" collapsed="false">
      <c r="B32" s="9" t="s">
        <v>1327</v>
      </c>
      <c r="C32" s="121" t="n">
        <f aca="false">C21+C27</f>
        <v>84000</v>
      </c>
      <c r="D32" s="121" t="n">
        <f aca="false">D21+D27</f>
        <v>96083.842307346</v>
      </c>
      <c r="E32" s="121" t="n">
        <f aca="false">E21+E27</f>
        <v>119082.788307321</v>
      </c>
      <c r="F32" s="121" t="n">
        <f aca="false">F21+F27</f>
        <v>167017.787174345</v>
      </c>
      <c r="G32" s="121" t="n">
        <f aca="false">G21+G27</f>
        <v>242493.770207416</v>
      </c>
      <c r="H32" s="121" t="n">
        <f aca="false">H21+H27</f>
        <v>321907.736561473</v>
      </c>
      <c r="I32" s="121" t="n">
        <f aca="false">I21+I27</f>
        <v>410417.846808955</v>
      </c>
      <c r="J32" s="121" t="n">
        <f aca="false">J21+J27</f>
        <v>524962.815242345</v>
      </c>
      <c r="K32" s="121" t="n">
        <f aca="false">K21+K27</f>
        <v>629932.94635522</v>
      </c>
      <c r="L32" s="121" t="n">
        <f aca="false">L21+L27</f>
        <v>768297.881195508</v>
      </c>
      <c r="M32" s="121" t="n">
        <f aca="false">M21+M27</f>
        <v>920211.087368718</v>
      </c>
      <c r="N32" s="121" t="n">
        <f aca="false">N21+N27</f>
        <v>1088368.23784285</v>
      </c>
    </row>
    <row r="33" customFormat="false" ht="15.75" hidden="false" customHeight="true" outlineLevel="0" collapsed="false">
      <c r="B33" s="187" t="s">
        <v>1328</v>
      </c>
      <c r="C33" s="250" t="n">
        <f aca="false">C24+C29+C42</f>
        <v>-11274.8707997136</v>
      </c>
      <c r="D33" s="250" t="n">
        <f aca="false">D24+D29+D42</f>
        <v>23344.9239217679</v>
      </c>
      <c r="E33" s="250" t="n">
        <f aca="false">E24+E29+E42</f>
        <v>83267.1928050356</v>
      </c>
      <c r="F33" s="250" t="n">
        <f aca="false">F24+F29+F42</f>
        <v>133265.321720231</v>
      </c>
      <c r="G33" s="250" t="n">
        <f aca="false">G24+G29+G42</f>
        <v>276762.045264611</v>
      </c>
      <c r="H33" s="250" t="n">
        <f aca="false">H24+H29+H42</f>
        <v>402309.627854175</v>
      </c>
      <c r="I33" s="250" t="n">
        <f aca="false">I24+I29+I42</f>
        <v>527241.105830612</v>
      </c>
      <c r="J33" s="250" t="n">
        <f aca="false">J24+J29+J42</f>
        <v>627199.79431845</v>
      </c>
      <c r="K33" s="250" t="n">
        <f aca="false">K24+K29+K42</f>
        <v>773417.523315553</v>
      </c>
      <c r="L33" s="250" t="n">
        <f aca="false">L24+L29+L42</f>
        <v>921171.759061505</v>
      </c>
      <c r="M33" s="250" t="n">
        <f aca="false">M24+M29+M42</f>
        <v>1167878.8058868</v>
      </c>
      <c r="N33" s="250" t="n">
        <f aca="false">N24+N29+N42</f>
        <v>1440966.01825678</v>
      </c>
    </row>
    <row r="34" customFormat="false" ht="15.75" hidden="false" customHeight="true" outlineLevel="0" collapsed="false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customFormat="false" ht="15" hidden="false" customHeight="false" outlineLevel="0" collapsed="false">
      <c r="B35" s="26" t="s">
        <v>1329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</row>
    <row r="36" customFormat="false" ht="15" hidden="false" customHeight="false" outlineLevel="0" collapsed="false">
      <c r="B36" s="9" t="s">
        <v>1330</v>
      </c>
      <c r="C36" s="121" t="n">
        <f aca="false">0.11*'⑯ Store P&amp;L'!C43</f>
        <v>26326.49809592</v>
      </c>
      <c r="D36" s="121" t="n">
        <f aca="false">0.11*'⑯ Store P&amp;L'!D43</f>
        <v>88614.843587204</v>
      </c>
      <c r="E36" s="121" t="n">
        <f aca="false">0.11*'⑯ Store P&amp;L'!E43</f>
        <v>192955.335690264</v>
      </c>
      <c r="F36" s="121" t="n">
        <f aca="false">0.11*'⑯ Store P&amp;L'!F43</f>
        <v>365278.263567118</v>
      </c>
      <c r="G36" s="121" t="n">
        <f aca="false">0.11*'⑯ Store P&amp;L'!G43</f>
        <v>581143.824093857</v>
      </c>
      <c r="H36" s="121" t="n">
        <f aca="false">0.11*'⑯ Store P&amp;L'!H43</f>
        <v>747710.0291932</v>
      </c>
      <c r="I36" s="121" t="n">
        <f aca="false">0.11*'⑯ Store P&amp;L'!I43</f>
        <v>897649.078724627</v>
      </c>
      <c r="J36" s="121" t="n">
        <f aca="false">0.11*'⑯ Store P&amp;L'!J43</f>
        <v>1077909.10392573</v>
      </c>
      <c r="K36" s="121" t="n">
        <f aca="false">0.11*'⑯ Store P&amp;L'!K43</f>
        <v>1251096.33539738</v>
      </c>
      <c r="L36" s="121" t="n">
        <f aca="false">0.11*'⑯ Store P&amp;L'!L43</f>
        <v>1505455.33863012</v>
      </c>
      <c r="M36" s="121" t="n">
        <f aca="false">0.11*'⑯ Store P&amp;L'!M43</f>
        <v>1839664.39221118</v>
      </c>
      <c r="N36" s="121" t="n">
        <f aca="false">0.11*'⑯ Store P&amp;L'!N43</f>
        <v>2209610.12325426</v>
      </c>
    </row>
    <row r="37" customFormat="false" ht="15" hidden="false" customHeight="false" outlineLevel="0" collapsed="false">
      <c r="B37" s="9" t="s">
        <v>1331</v>
      </c>
      <c r="C37" s="121" t="n">
        <f aca="false">C36*0.42</f>
        <v>11057.1292002864</v>
      </c>
      <c r="D37" s="121" t="n">
        <f aca="false">D36*0.42</f>
        <v>37218.2343066257</v>
      </c>
      <c r="E37" s="121" t="n">
        <f aca="false">E36*0.42</f>
        <v>81041.2409899111</v>
      </c>
      <c r="F37" s="121" t="n">
        <f aca="false">F36*0.42</f>
        <v>153416.87069819</v>
      </c>
      <c r="G37" s="121" t="n">
        <f aca="false">G36*0.42</f>
        <v>244080.40611942</v>
      </c>
      <c r="H37" s="121" t="n">
        <f aca="false">H36*0.42</f>
        <v>314038.212261144</v>
      </c>
      <c r="I37" s="121" t="n">
        <f aca="false">I36*0.42</f>
        <v>377012.613064343</v>
      </c>
      <c r="J37" s="121" t="n">
        <f aca="false">J36*0.42</f>
        <v>452721.823648808</v>
      </c>
      <c r="K37" s="121" t="n">
        <f aca="false">K36*0.42</f>
        <v>525460.460866899</v>
      </c>
      <c r="L37" s="121" t="n">
        <f aca="false">L36*0.42</f>
        <v>632291.242224649</v>
      </c>
      <c r="M37" s="121" t="n">
        <f aca="false">M36*0.42</f>
        <v>772659.044728695</v>
      </c>
      <c r="N37" s="121" t="n">
        <f aca="false">N36*0.42</f>
        <v>928036.25176679</v>
      </c>
    </row>
    <row r="38" customFormat="false" ht="15" hidden="false" customHeight="false" outlineLevel="0" collapsed="false">
      <c r="B38" s="9" t="s">
        <v>1332</v>
      </c>
      <c r="C38" s="121" t="n">
        <f aca="false">-CEILING('⑯ Store P&amp;L'!C37/16,1)*1200*1.44*12</f>
        <v>-20736</v>
      </c>
      <c r="D38" s="121" t="n">
        <f aca="false">-CEILING('⑯ Store P&amp;L'!D37/16,1)*1200*1.44*12</f>
        <v>-20736</v>
      </c>
      <c r="E38" s="121" t="n">
        <f aca="false">-CEILING('⑯ Store P&amp;L'!E37/16,1)*1200*1.44*12</f>
        <v>-20736</v>
      </c>
      <c r="F38" s="121" t="n">
        <f aca="false">-CEILING('⑯ Store P&amp;L'!F37/16,1)*1200*1.44*12</f>
        <v>-41472</v>
      </c>
      <c r="G38" s="121" t="n">
        <f aca="false">-CEILING('⑯ Store P&amp;L'!G37/16,1)*1200*1.44*12</f>
        <v>-41472</v>
      </c>
      <c r="H38" s="121" t="n">
        <f aca="false">-CEILING('⑯ Store P&amp;L'!H37/16,1)*1200*1.44*12</f>
        <v>-41472</v>
      </c>
      <c r="I38" s="121" t="n">
        <f aca="false">-CEILING('⑯ Store P&amp;L'!I37/16,1)*1200*1.44*12</f>
        <v>-41472</v>
      </c>
      <c r="J38" s="121" t="n">
        <f aca="false">-CEILING('⑯ Store P&amp;L'!J37/16,1)*1200*1.44*12</f>
        <v>-62208</v>
      </c>
      <c r="K38" s="121" t="n">
        <f aca="false">-CEILING('⑯ Store P&amp;L'!K37/16,1)*1200*1.44*12</f>
        <v>-62208</v>
      </c>
      <c r="L38" s="121" t="n">
        <f aca="false">-CEILING('⑯ Store P&amp;L'!L37/16,1)*1200*1.44*12</f>
        <v>-82944</v>
      </c>
      <c r="M38" s="121" t="n">
        <f aca="false">-CEILING('⑯ Store P&amp;L'!M37/16,1)*1200*1.44*12</f>
        <v>-82944</v>
      </c>
      <c r="N38" s="121" t="n">
        <f aca="false">-CEILING('⑯ Store P&amp;L'!N37/16,1)*1200*1.44*12</f>
        <v>-82944</v>
      </c>
    </row>
    <row r="39" customFormat="false" ht="15" hidden="false" customHeight="false" outlineLevel="0" collapsed="false">
      <c r="B39" s="9" t="s">
        <v>1333</v>
      </c>
      <c r="C39" s="121" t="n">
        <f aca="false">-CEILING('⑯ Store P&amp;L'!C37/16,1)*(600+300+200)*12</f>
        <v>-13200</v>
      </c>
      <c r="D39" s="121" t="n">
        <f aca="false">-CEILING('⑯ Store P&amp;L'!D37/16,1)*(600+300+200)*12</f>
        <v>-13200</v>
      </c>
      <c r="E39" s="121" t="n">
        <f aca="false">-CEILING('⑯ Store P&amp;L'!E37/16,1)*(600+300+200)*12</f>
        <v>-13200</v>
      </c>
      <c r="F39" s="121" t="n">
        <f aca="false">-CEILING('⑯ Store P&amp;L'!F37/16,1)*(600+300+200)*12</f>
        <v>-26400</v>
      </c>
      <c r="G39" s="121" t="n">
        <f aca="false">-CEILING('⑯ Store P&amp;L'!G37/16,1)*(600+300+200)*12</f>
        <v>-26400</v>
      </c>
      <c r="H39" s="121" t="n">
        <f aca="false">-CEILING('⑯ Store P&amp;L'!H37/16,1)*(600+300+200)*12</f>
        <v>-26400</v>
      </c>
      <c r="I39" s="121" t="n">
        <f aca="false">-CEILING('⑯ Store P&amp;L'!I37/16,1)*(600+300+200)*12</f>
        <v>-26400</v>
      </c>
      <c r="J39" s="121" t="n">
        <f aca="false">-CEILING('⑯ Store P&amp;L'!J37/16,1)*(600+300+200)*12</f>
        <v>-39600</v>
      </c>
      <c r="K39" s="121" t="n">
        <f aca="false">-CEILING('⑯ Store P&amp;L'!K37/16,1)*(600+300+200)*12</f>
        <v>-39600</v>
      </c>
      <c r="L39" s="121" t="n">
        <f aca="false">-CEILING('⑯ Store P&amp;L'!L37/16,1)*(600+300+200)*12</f>
        <v>-52800</v>
      </c>
      <c r="M39" s="121" t="n">
        <f aca="false">-CEILING('⑯ Store P&amp;L'!M37/16,1)*(600+300+200)*12</f>
        <v>-52800</v>
      </c>
      <c r="N39" s="121" t="n">
        <f aca="false">-CEILING('⑯ Store P&amp;L'!N37/16,1)*(600+300+200)*12</f>
        <v>-52800</v>
      </c>
    </row>
    <row r="40" customFormat="false" ht="15" hidden="false" customHeight="false" outlineLevel="0" collapsed="false">
      <c r="B40" s="9" t="s">
        <v>1334</v>
      </c>
      <c r="C40" s="121" t="n">
        <f aca="false">-CEILING('⑯ Store P&amp;L'!C37/16,1)*1503*12</f>
        <v>-18036</v>
      </c>
      <c r="D40" s="121" t="n">
        <f aca="false">-CEILING('⑯ Store P&amp;L'!D37/16,1)*1503*12</f>
        <v>-18036</v>
      </c>
      <c r="E40" s="121" t="n">
        <f aca="false">-CEILING('⑯ Store P&amp;L'!E37/16,1)*1503*12</f>
        <v>-18036</v>
      </c>
      <c r="F40" s="121" t="n">
        <f aca="false">-CEILING('⑯ Store P&amp;L'!F37/16,1)*1503*12</f>
        <v>-36072</v>
      </c>
      <c r="G40" s="121" t="n">
        <f aca="false">-CEILING('⑯ Store P&amp;L'!G37/16,1)*1503*12</f>
        <v>-36072</v>
      </c>
      <c r="H40" s="121" t="n">
        <f aca="false">-CEILING('⑯ Store P&amp;L'!H37/16,1)*1503*12</f>
        <v>-36072</v>
      </c>
      <c r="I40" s="121" t="n">
        <f aca="false">-CEILING('⑯ Store P&amp;L'!I37/16,1)*1503*12</f>
        <v>-36072</v>
      </c>
      <c r="J40" s="121" t="n">
        <f aca="false">-CEILING('⑯ Store P&amp;L'!J37/16,1)*1503*12</f>
        <v>-54108</v>
      </c>
      <c r="K40" s="121" t="n">
        <f aca="false">-CEILING('⑯ Store P&amp;L'!K37/16,1)*1503*12</f>
        <v>-54108</v>
      </c>
      <c r="L40" s="121" t="n">
        <f aca="false">-CEILING('⑯ Store P&amp;L'!L37/16,1)*1503*12</f>
        <v>-72144</v>
      </c>
      <c r="M40" s="121" t="n">
        <f aca="false">-CEILING('⑯ Store P&amp;L'!M37/16,1)*1503*12</f>
        <v>-72144</v>
      </c>
      <c r="N40" s="121" t="n">
        <f aca="false">-CEILING('⑯ Store P&amp;L'!N37/16,1)*1503*12</f>
        <v>-72144</v>
      </c>
    </row>
    <row r="41" customFormat="false" ht="15.75" hidden="false" customHeight="true" outlineLevel="0" collapsed="false">
      <c r="B41" s="9" t="s">
        <v>1335</v>
      </c>
      <c r="C41" s="121" t="n">
        <f aca="false">-CEILING('⑯ Store P&amp;L'!C37/16,1)*330*12</f>
        <v>-3960</v>
      </c>
      <c r="D41" s="121" t="n">
        <f aca="false">-CEILING('⑯ Store P&amp;L'!D37/16,1)*330*12</f>
        <v>-3960</v>
      </c>
      <c r="E41" s="121" t="n">
        <f aca="false">-CEILING('⑯ Store P&amp;L'!E37/16,1)*330*12</f>
        <v>-3960</v>
      </c>
      <c r="F41" s="121" t="n">
        <f aca="false">-CEILING('⑯ Store P&amp;L'!F37/16,1)*330*12</f>
        <v>-7920</v>
      </c>
      <c r="G41" s="121" t="n">
        <f aca="false">-CEILING('⑯ Store P&amp;L'!G37/16,1)*330*12</f>
        <v>-7920</v>
      </c>
      <c r="H41" s="121" t="n">
        <f aca="false">-CEILING('⑯ Store P&amp;L'!H37/16,1)*330*12</f>
        <v>-7920</v>
      </c>
      <c r="I41" s="121" t="n">
        <f aca="false">-CEILING('⑯ Store P&amp;L'!I37/16,1)*330*12</f>
        <v>-7920</v>
      </c>
      <c r="J41" s="121" t="n">
        <f aca="false">-CEILING('⑯ Store P&amp;L'!J37/16,1)*330*12</f>
        <v>-11880</v>
      </c>
      <c r="K41" s="121" t="n">
        <f aca="false">-CEILING('⑯ Store P&amp;L'!K37/16,1)*330*12</f>
        <v>-11880</v>
      </c>
      <c r="L41" s="121" t="n">
        <f aca="false">-CEILING('⑯ Store P&amp;L'!L37/16,1)*330*12</f>
        <v>-15840</v>
      </c>
      <c r="M41" s="121" t="n">
        <f aca="false">-CEILING('⑯ Store P&amp;L'!M37/16,1)*330*12</f>
        <v>-15840</v>
      </c>
      <c r="N41" s="121" t="n">
        <f aca="false">-CEILING('⑯ Store P&amp;L'!N37/16,1)*330*12</f>
        <v>-15840</v>
      </c>
    </row>
    <row r="42" customFormat="false" ht="15.75" hidden="false" customHeight="true" outlineLevel="0" collapsed="false">
      <c r="B42" s="319" t="s">
        <v>1336</v>
      </c>
      <c r="C42" s="320" t="n">
        <f aca="false">C37+C38+C39+C40+C41</f>
        <v>-44874.8707997136</v>
      </c>
      <c r="D42" s="320" t="n">
        <f aca="false">D37+D38+D39+D40+D41</f>
        <v>-18713.7656933743</v>
      </c>
      <c r="E42" s="320" t="n">
        <f aca="false">E37+E38+E39+E40+E41</f>
        <v>25109.2409899111</v>
      </c>
      <c r="F42" s="320" t="n">
        <f aca="false">F37+F38+F39+F40+F41</f>
        <v>41552.8706981895</v>
      </c>
      <c r="G42" s="320" t="n">
        <f aca="false">G37+G38+G39+G40+G41</f>
        <v>132216.40611942</v>
      </c>
      <c r="H42" s="320" t="n">
        <f aca="false">H37+H38+H39+H40+H41</f>
        <v>202174.212261144</v>
      </c>
      <c r="I42" s="320" t="n">
        <f aca="false">I37+I38+I39+I40+I41</f>
        <v>265148.613064343</v>
      </c>
      <c r="J42" s="320" t="n">
        <f aca="false">J37+J38+J39+J40+J41</f>
        <v>284925.823648808</v>
      </c>
      <c r="K42" s="320" t="n">
        <f aca="false">K37+K38+K39+K40+K41</f>
        <v>357664.460866899</v>
      </c>
      <c r="L42" s="320" t="n">
        <f aca="false">L37+L38+L39+L40+L41</f>
        <v>408563.242224649</v>
      </c>
      <c r="M42" s="320" t="n">
        <f aca="false">M37+M38+M39+M40+M41</f>
        <v>548931.044728695</v>
      </c>
      <c r="N42" s="320" t="n">
        <f aca="false">N37+N38+N39+N40+N41</f>
        <v>704308.25176679</v>
      </c>
    </row>
  </sheetData>
  <mergeCells count="3">
    <mergeCell ref="B1:N1"/>
    <mergeCell ref="B2:N2"/>
    <mergeCell ref="B4:E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09080"/>
    <pageSetUpPr fitToPage="false"/>
  </sheetPr>
  <dimension ref="B1:N157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F29" activeCellId="0" sqref="F29"/>
    </sheetView>
  </sheetViews>
  <sheetFormatPr defaultColWidth="10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12" min="3" style="0" width="15"/>
    <col collapsed="false" customWidth="true" hidden="false" outlineLevel="0" max="13" min="13" style="0" width="16.67"/>
  </cols>
  <sheetData>
    <row r="1" customFormat="false" ht="15.75" hidden="false" customHeight="true" outlineLevel="0" collapsed="false">
      <c r="B1" s="176" t="s">
        <v>1337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</row>
    <row r="2" customFormat="false" ht="15" hidden="false" customHeight="false" outlineLevel="0" collapsed="false">
      <c r="B2" s="44" t="s">
        <v>1338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customFormat="false" ht="15" hidden="false" customHeight="false" outlineLevel="0" collapsed="false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customFormat="false" ht="15" hidden="false" customHeight="false" outlineLevel="0" collapsed="false">
      <c r="B4" s="21" t="s">
        <v>1339</v>
      </c>
      <c r="C4" s="21"/>
      <c r="D4" s="21"/>
      <c r="E4" s="9"/>
      <c r="F4" s="9"/>
      <c r="G4" s="9"/>
      <c r="H4" s="9"/>
      <c r="I4" s="9"/>
      <c r="J4" s="9"/>
      <c r="K4" s="9"/>
      <c r="L4" s="9"/>
      <c r="M4" s="9"/>
      <c r="N4" s="9"/>
    </row>
    <row r="5" customFormat="false" ht="15" hidden="false" customHeight="false" outlineLevel="0" collapsed="false">
      <c r="B5" s="36" t="s">
        <v>1340</v>
      </c>
      <c r="C5" s="9" t="s">
        <v>748</v>
      </c>
      <c r="D5" s="18"/>
      <c r="E5" s="9"/>
      <c r="F5" s="9"/>
      <c r="G5" s="9"/>
      <c r="H5" s="9"/>
      <c r="I5" s="9"/>
      <c r="J5" s="9"/>
      <c r="K5" s="9"/>
      <c r="L5" s="9"/>
      <c r="M5" s="9"/>
      <c r="N5" s="9"/>
    </row>
    <row r="6" customFormat="false" ht="15" hidden="false" customHeight="false" outlineLevel="0" collapsed="false">
      <c r="B6" s="36" t="s">
        <v>1341</v>
      </c>
      <c r="C6" s="9" t="s">
        <v>1342</v>
      </c>
      <c r="D6" s="18"/>
      <c r="E6" s="9"/>
      <c r="F6" s="9"/>
      <c r="G6" s="9"/>
      <c r="H6" s="9"/>
      <c r="I6" s="9"/>
      <c r="J6" s="9"/>
      <c r="K6" s="9"/>
      <c r="L6" s="9"/>
      <c r="M6" s="9"/>
      <c r="N6" s="9"/>
    </row>
    <row r="7" customFormat="false" ht="15" hidden="false" customHeight="false" outlineLevel="0" collapsed="false">
      <c r="B7" s="36" t="s">
        <v>1343</v>
      </c>
      <c r="C7" s="116" t="n">
        <f aca="false">SUM('㉕ Funding Gap'!$C$40:$L$40)</f>
        <v>800000</v>
      </c>
      <c r="D7" s="18" t="s">
        <v>1344</v>
      </c>
      <c r="E7" s="321" t="n">
        <f aca="false">C7</f>
        <v>800000</v>
      </c>
      <c r="F7" s="3" t="s">
        <v>1345</v>
      </c>
      <c r="G7" s="9"/>
      <c r="H7" s="9"/>
      <c r="I7" s="9"/>
      <c r="J7" s="9"/>
      <c r="K7" s="9"/>
      <c r="L7" s="9"/>
      <c r="M7" s="9"/>
      <c r="N7" s="9"/>
    </row>
    <row r="8" customFormat="false" ht="15" hidden="false" customHeight="false" outlineLevel="0" collapsed="false">
      <c r="B8" s="36" t="s">
        <v>1346</v>
      </c>
      <c r="C8" s="305" t="n">
        <v>0.0215</v>
      </c>
      <c r="D8" s="18" t="s">
        <v>1347</v>
      </c>
      <c r="E8" s="9"/>
      <c r="F8" s="9"/>
      <c r="G8" s="9"/>
      <c r="H8" s="9"/>
      <c r="I8" s="9"/>
      <c r="J8" s="9"/>
      <c r="K8" s="9"/>
      <c r="L8" s="9"/>
      <c r="M8" s="9"/>
      <c r="N8" s="9"/>
    </row>
    <row r="9" customFormat="false" ht="15" hidden="false" customHeight="false" outlineLevel="0" collapsed="false">
      <c r="B9" s="36" t="s">
        <v>1348</v>
      </c>
      <c r="C9" s="181" t="n">
        <f aca="false">C7*(1-C8)</f>
        <v>782800</v>
      </c>
      <c r="D9" s="18" t="s">
        <v>1349</v>
      </c>
      <c r="E9" s="9"/>
      <c r="F9" s="9"/>
      <c r="G9" s="9"/>
      <c r="H9" s="9"/>
      <c r="I9" s="9"/>
      <c r="J9" s="9"/>
      <c r="K9" s="9"/>
      <c r="L9" s="9"/>
      <c r="M9" s="9"/>
      <c r="N9" s="9"/>
    </row>
    <row r="10" customFormat="false" ht="15" hidden="false" customHeight="false" outlineLevel="0" collapsed="false">
      <c r="B10" s="36" t="s">
        <v>1350</v>
      </c>
      <c r="C10" s="136" t="n">
        <v>60</v>
      </c>
      <c r="D10" s="18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customFormat="false" ht="15" hidden="false" customHeight="false" outlineLevel="0" collapsed="false">
      <c r="B11" s="36" t="s">
        <v>1351</v>
      </c>
      <c r="C11" s="305" t="n">
        <v>0.13</v>
      </c>
      <c r="D11" s="18" t="s">
        <v>1352</v>
      </c>
      <c r="E11" s="9"/>
      <c r="F11" s="9"/>
      <c r="G11" s="9"/>
      <c r="H11" s="9"/>
      <c r="I11" s="9"/>
      <c r="J11" s="9"/>
      <c r="K11" s="9"/>
      <c r="L11" s="9"/>
      <c r="M11" s="9"/>
      <c r="N11" s="9"/>
    </row>
    <row r="12" customFormat="false" ht="15" hidden="false" customHeight="false" outlineLevel="0" collapsed="false">
      <c r="B12" s="36" t="s">
        <v>1353</v>
      </c>
      <c r="C12" s="322" t="n">
        <f aca="false">C11/12</f>
        <v>0.0108333333333333</v>
      </c>
      <c r="D12" s="18" t="s">
        <v>1354</v>
      </c>
      <c r="E12" s="9"/>
      <c r="F12" s="9"/>
      <c r="G12" s="9"/>
      <c r="H12" s="9"/>
      <c r="I12" s="9"/>
      <c r="J12" s="9"/>
      <c r="K12" s="9"/>
      <c r="L12" s="9"/>
      <c r="M12" s="9"/>
      <c r="N12" s="9"/>
    </row>
    <row r="13" customFormat="false" ht="17.15" hidden="false" customHeight="false" outlineLevel="0" collapsed="false">
      <c r="B13" s="36" t="s">
        <v>1355</v>
      </c>
      <c r="C13" s="158" t="n">
        <f aca="false" t="array" ref="C13:C13">IFERROR(DATE(INDEX('㉕ Funding Gap'!$C$37:$L$37,MATCH(TRUE(),INDEX('㉕ Funding Gap'!$C$40:$L$40&gt;0,0),0)),1,1),"")</f>
        <v>47484</v>
      </c>
      <c r="D13" s="18" t="s">
        <v>1356</v>
      </c>
      <c r="E13" s="9"/>
      <c r="F13" s="9"/>
      <c r="G13" s="9"/>
      <c r="H13" s="9"/>
      <c r="I13" s="9"/>
      <c r="J13" s="9"/>
      <c r="K13" s="9"/>
      <c r="L13" s="9"/>
      <c r="M13" s="9"/>
      <c r="N13" s="9"/>
    </row>
    <row r="14" customFormat="false" ht="15" hidden="false" customHeight="false" outlineLevel="0" collapsed="false">
      <c r="B14" s="36" t="s">
        <v>1357</v>
      </c>
      <c r="C14" s="323" t="s">
        <v>1358</v>
      </c>
      <c r="D14" s="3" t="s">
        <v>1359</v>
      </c>
      <c r="E14" s="9"/>
      <c r="F14" s="9"/>
      <c r="G14" s="9"/>
      <c r="H14" s="9"/>
      <c r="I14" s="9"/>
      <c r="J14" s="9"/>
      <c r="K14" s="9"/>
      <c r="L14" s="9"/>
      <c r="M14" s="9"/>
      <c r="N14" s="9"/>
    </row>
    <row r="15" customFormat="false" ht="15" hidden="false" customHeight="false" outlineLevel="0" collapsed="false">
      <c r="B15" s="36" t="s">
        <v>1360</v>
      </c>
      <c r="C15" s="324"/>
      <c r="D15" s="18" t="s">
        <v>1361</v>
      </c>
      <c r="E15" s="9"/>
      <c r="F15" s="9"/>
      <c r="G15" s="9"/>
      <c r="H15" s="9"/>
      <c r="I15" s="9"/>
      <c r="J15" s="9"/>
      <c r="K15" s="9"/>
      <c r="L15" s="9"/>
      <c r="M15" s="9"/>
      <c r="N15" s="9"/>
    </row>
    <row r="16" customFormat="false" ht="15" hidden="false" customHeight="false" outlineLevel="0" collapsed="false">
      <c r="B16" s="26" t="str">
        <f aca="false">"MONTHLY AMORTIZATION (60 meses — "&amp;TEXT(C13,"mmm-yyyy")&amp;" a "&amp;TEXT(EDATE(C13,59),"mmm-yyyy")&amp;")"</f>
        <v>MONTHLY AMORTIZATION (60 meses — Jan-2030 a Dec-2034)</v>
      </c>
      <c r="C16" s="26"/>
      <c r="D16" s="26"/>
      <c r="E16" s="26"/>
      <c r="F16" s="26"/>
      <c r="G16" s="26"/>
      <c r="H16" s="9"/>
      <c r="I16" s="9"/>
      <c r="J16" s="9"/>
      <c r="K16" s="9"/>
      <c r="L16" s="9"/>
      <c r="M16" s="9"/>
      <c r="N16" s="9"/>
    </row>
    <row r="17" customFormat="false" ht="15" hidden="false" customHeight="false" outlineLevel="0" collapsed="false">
      <c r="B17" s="27" t="s">
        <v>1362</v>
      </c>
      <c r="C17" s="27" t="s">
        <v>197</v>
      </c>
      <c r="D17" s="27" t="s">
        <v>1363</v>
      </c>
      <c r="E17" s="27" t="s">
        <v>1364</v>
      </c>
      <c r="F17" s="27" t="s">
        <v>1365</v>
      </c>
      <c r="G17" s="27" t="s">
        <v>1366</v>
      </c>
      <c r="H17" s="27" t="s">
        <v>1367</v>
      </c>
      <c r="I17" s="27" t="s">
        <v>1368</v>
      </c>
      <c r="J17" s="27" t="s">
        <v>1369</v>
      </c>
      <c r="K17" s="9"/>
      <c r="L17" s="9"/>
      <c r="M17" s="9"/>
      <c r="N17" s="9"/>
    </row>
    <row r="18" customFormat="false" ht="15" hidden="false" customHeight="false" outlineLevel="0" collapsed="false">
      <c r="B18" s="325" t="n">
        <v>1</v>
      </c>
      <c r="C18" s="326" t="n">
        <f aca="false">+C13</f>
        <v>47484</v>
      </c>
      <c r="D18" s="327" t="n">
        <v>0</v>
      </c>
      <c r="E18" s="327" t="n">
        <f aca="false">(D18+H18)*$C$12</f>
        <v>3250</v>
      </c>
      <c r="F18" s="327" t="n">
        <f aca="false">I18-E18</f>
        <v>3575.92191326721</v>
      </c>
      <c r="G18" s="327" t="n">
        <f aca="false">(D18+H18)-F18-J18</f>
        <v>296424.078086733</v>
      </c>
      <c r="H18" s="28" t="n">
        <f aca="false">IF($C$14="ON",IF(MONTH(C18)=1,SUMIFS('㉕ Funding Gap'!$C$40:$L$40,'㉕ Funding Gap'!$C$37:$L$37,YEAR(C18)),0),0)</f>
        <v>300000</v>
      </c>
      <c r="I18" s="28" t="n">
        <f aca="false">IF((D18+H18)&lt;=0,0,-PMT($C$12,(YEAR($C$77)-YEAR(C18))*12+(MONTH($C$77)-MONTH(C18))+1,(D18+H18)))</f>
        <v>6825.92191326721</v>
      </c>
      <c r="J18" s="9" t="n">
        <f aca="false">IF(AND($C$15&lt;&gt;"",C18=$C$15),MAX(0,(D18+H18)-F18),0)</f>
        <v>0</v>
      </c>
      <c r="K18" s="9"/>
      <c r="L18" s="9"/>
      <c r="M18" s="9"/>
      <c r="N18" s="9"/>
    </row>
    <row r="19" customFormat="false" ht="15" hidden="false" customHeight="false" outlineLevel="0" collapsed="false">
      <c r="B19" s="328" t="n">
        <v>2</v>
      </c>
      <c r="C19" s="329" t="n">
        <f aca="false">EDATE(C18,1)</f>
        <v>47515</v>
      </c>
      <c r="D19" s="330" t="n">
        <f aca="false">G18</f>
        <v>296424.078086733</v>
      </c>
      <c r="E19" s="327" t="n">
        <f aca="false">(D19+H19)*$C$12</f>
        <v>3211.26084593961</v>
      </c>
      <c r="F19" s="327" t="n">
        <f aca="false">I19-E19</f>
        <v>3614.6610673276</v>
      </c>
      <c r="G19" s="327" t="n">
        <f aca="false">(D19+H19)-F19-J19</f>
        <v>292809.417019405</v>
      </c>
      <c r="H19" s="28" t="n">
        <f aca="false">IF($C$14="ON",IF(MONTH(C19)=1,SUMIFS('㉕ Funding Gap'!$C$40:$L$40,'㉕ Funding Gap'!$C$37:$L$37,YEAR(C19)),0),0)</f>
        <v>0</v>
      </c>
      <c r="I19" s="28" t="n">
        <f aca="false">IF((D19+H19)&lt;=0,0,-PMT($C$12,(YEAR($C$77)-YEAR(C19))*12+(MONTH($C$77)-MONTH(C19))+1,(D19+H19)))</f>
        <v>6825.9219132672</v>
      </c>
      <c r="J19" s="9" t="n">
        <f aca="false">IF(AND($C$15&lt;&gt;"",C19=$C$15),MAX(0,(D19+H19)-F19),0)</f>
        <v>0</v>
      </c>
      <c r="K19" s="9"/>
      <c r="L19" s="9"/>
      <c r="M19" s="9"/>
      <c r="N19" s="9"/>
    </row>
    <row r="20" customFormat="false" ht="15" hidden="false" customHeight="false" outlineLevel="0" collapsed="false">
      <c r="B20" s="328" t="n">
        <v>3</v>
      </c>
      <c r="C20" s="329" t="n">
        <f aca="false">EDATE(C19,1)</f>
        <v>47543</v>
      </c>
      <c r="D20" s="330" t="n">
        <f aca="false">G19</f>
        <v>292809.417019405</v>
      </c>
      <c r="E20" s="327" t="n">
        <f aca="false">(D20+H20)*$C$12</f>
        <v>3172.10201771022</v>
      </c>
      <c r="F20" s="327" t="n">
        <f aca="false">I20-E20</f>
        <v>3653.81989555698</v>
      </c>
      <c r="G20" s="327" t="n">
        <f aca="false">(D20+H20)-F20-J20</f>
        <v>289155.597123848</v>
      </c>
      <c r="H20" s="28" t="n">
        <f aca="false">IF($C$14="ON",IF(MONTH(C20)=1,SUMIFS('㉕ Funding Gap'!$C$40:$L$40,'㉕ Funding Gap'!$C$37:$L$37,YEAR(C20)),0),0)</f>
        <v>0</v>
      </c>
      <c r="I20" s="28" t="n">
        <f aca="false">IF((D20+H20)&lt;=0,0,-PMT($C$12,(YEAR($C$77)-YEAR(C20))*12+(MONTH($C$77)-MONTH(C20))+1,(D20+H20)))</f>
        <v>6825.92191326721</v>
      </c>
      <c r="J20" s="9" t="n">
        <f aca="false">IF(AND($C$15&lt;&gt;"",C20=$C$15),MAX(0,(D20+H20)-F20),0)</f>
        <v>0</v>
      </c>
      <c r="K20" s="9"/>
      <c r="L20" s="9"/>
      <c r="M20" s="9"/>
      <c r="N20" s="9"/>
    </row>
    <row r="21" customFormat="false" ht="15" hidden="false" customHeight="false" outlineLevel="0" collapsed="false">
      <c r="B21" s="328" t="n">
        <v>4</v>
      </c>
      <c r="C21" s="329" t="n">
        <f aca="false">EDATE(C20,1)</f>
        <v>47574</v>
      </c>
      <c r="D21" s="330" t="n">
        <f aca="false">G20</f>
        <v>289155.597123848</v>
      </c>
      <c r="E21" s="327" t="n">
        <f aca="false">(D21+H21)*$C$12</f>
        <v>3132.51896884169</v>
      </c>
      <c r="F21" s="327" t="n">
        <f aca="false">I21-E21</f>
        <v>3693.40294442552</v>
      </c>
      <c r="G21" s="327" t="n">
        <f aca="false">(D21+H21)-F21-J21</f>
        <v>285462.194179423</v>
      </c>
      <c r="H21" s="28" t="n">
        <f aca="false">IF($C$14="ON",IF(MONTH(C21)=1,SUMIFS('㉕ Funding Gap'!$C$40:$L$40,'㉕ Funding Gap'!$C$37:$L$37,YEAR(C21)),0),0)</f>
        <v>0</v>
      </c>
      <c r="I21" s="28" t="n">
        <f aca="false">IF((D21+H21)&lt;=0,0,-PMT($C$12,(YEAR($C$77)-YEAR(C21))*12+(MONTH($C$77)-MONTH(C21))+1,(D21+H21)))</f>
        <v>6825.92191326721</v>
      </c>
      <c r="J21" s="9" t="n">
        <f aca="false">IF(AND($C$15&lt;&gt;"",C21=$C$15),MAX(0,(D21+H21)-F21),0)</f>
        <v>0</v>
      </c>
      <c r="K21" s="9"/>
      <c r="L21" s="9"/>
      <c r="M21" s="9"/>
      <c r="N21" s="9"/>
    </row>
    <row r="22" customFormat="false" ht="15" hidden="false" customHeight="false" outlineLevel="0" collapsed="false">
      <c r="B22" s="328" t="n">
        <v>5</v>
      </c>
      <c r="C22" s="329" t="n">
        <f aca="false">EDATE(C21,1)</f>
        <v>47604</v>
      </c>
      <c r="D22" s="330" t="n">
        <f aca="false">G21</f>
        <v>285462.194179423</v>
      </c>
      <c r="E22" s="327" t="n">
        <f aca="false">(D22+H22)*$C$12</f>
        <v>3092.50710361041</v>
      </c>
      <c r="F22" s="327" t="n">
        <f aca="false">I22-E22</f>
        <v>3733.41480965679</v>
      </c>
      <c r="G22" s="327" t="n">
        <f aca="false">(D22+H22)-F22-J22</f>
        <v>281728.779369766</v>
      </c>
      <c r="H22" s="28" t="n">
        <f aca="false">IF($C$14="ON",IF(MONTH(C22)=1,SUMIFS('㉕ Funding Gap'!$C$40:$L$40,'㉕ Funding Gap'!$C$37:$L$37,YEAR(C22)),0),0)</f>
        <v>0</v>
      </c>
      <c r="I22" s="28" t="n">
        <f aca="false">IF((D22+H22)&lt;=0,0,-PMT($C$12,(YEAR($C$77)-YEAR(C22))*12+(MONTH($C$77)-MONTH(C22))+1,(D22+H22)))</f>
        <v>6825.9219132672</v>
      </c>
      <c r="J22" s="9" t="n">
        <f aca="false">IF(AND($C$15&lt;&gt;"",C22=$C$15),MAX(0,(D22+H22)-F22),0)</f>
        <v>0</v>
      </c>
      <c r="K22" s="9"/>
      <c r="L22" s="9"/>
      <c r="M22" s="9"/>
      <c r="N22" s="9"/>
    </row>
    <row r="23" customFormat="false" ht="15" hidden="false" customHeight="false" outlineLevel="0" collapsed="false">
      <c r="B23" s="328" t="n">
        <v>6</v>
      </c>
      <c r="C23" s="329" t="n">
        <f aca="false">EDATE(C22,1)</f>
        <v>47635</v>
      </c>
      <c r="D23" s="330" t="n">
        <f aca="false">G22</f>
        <v>281728.779369766</v>
      </c>
      <c r="E23" s="327" t="n">
        <f aca="false">(D23+H23)*$C$12</f>
        <v>3052.0617765058</v>
      </c>
      <c r="F23" s="327" t="n">
        <f aca="false">I23-E23</f>
        <v>3773.86013676141</v>
      </c>
      <c r="G23" s="327" t="n">
        <f aca="false">(D23+H23)-F23-J23</f>
        <v>277954.919233004</v>
      </c>
      <c r="H23" s="28" t="n">
        <f aca="false">IF($C$14="ON",IF(MONTH(C23)=1,SUMIFS('㉕ Funding Gap'!$C$40:$L$40,'㉕ Funding Gap'!$C$37:$L$37,YEAR(C23)),0),0)</f>
        <v>0</v>
      </c>
      <c r="I23" s="28" t="n">
        <f aca="false">IF((D23+H23)&lt;=0,0,-PMT($C$12,(YEAR($C$77)-YEAR(C23))*12+(MONTH($C$77)-MONTH(C23))+1,(D23+H23)))</f>
        <v>6825.9219132672</v>
      </c>
      <c r="J23" s="9" t="n">
        <f aca="false">IF(AND($C$15&lt;&gt;"",C23=$C$15),MAX(0,(D23+H23)-F23),0)</f>
        <v>0</v>
      </c>
      <c r="K23" s="9"/>
      <c r="L23" s="9"/>
      <c r="M23" s="9"/>
      <c r="N23" s="9"/>
    </row>
    <row r="24" customFormat="false" ht="15" hidden="false" customHeight="false" outlineLevel="0" collapsed="false">
      <c r="B24" s="328" t="n">
        <v>7</v>
      </c>
      <c r="C24" s="329" t="n">
        <f aca="false">EDATE(C23,1)</f>
        <v>47665</v>
      </c>
      <c r="D24" s="330" t="n">
        <f aca="false">G23</f>
        <v>277954.919233004</v>
      </c>
      <c r="E24" s="327" t="n">
        <f aca="false">(D24+H24)*$C$12</f>
        <v>3011.17829169088</v>
      </c>
      <c r="F24" s="327" t="n">
        <f aca="false">I24-E24</f>
        <v>3814.74362157632</v>
      </c>
      <c r="G24" s="327" t="n">
        <f aca="false">(D24+H24)-F24-J24</f>
        <v>274140.175611428</v>
      </c>
      <c r="H24" s="28" t="n">
        <f aca="false">IF($C$14="ON",IF(MONTH(C24)=1,SUMIFS('㉕ Funding Gap'!$C$40:$L$40,'㉕ Funding Gap'!$C$37:$L$37,YEAR(C24)),0),0)</f>
        <v>0</v>
      </c>
      <c r="I24" s="28" t="n">
        <f aca="false">IF((D24+H24)&lt;=0,0,-PMT($C$12,(YEAR($C$77)-YEAR(C24))*12+(MONTH($C$77)-MONTH(C24))+1,(D24+H24)))</f>
        <v>6825.9219132672</v>
      </c>
      <c r="J24" s="9" t="n">
        <f aca="false">IF(AND($C$15&lt;&gt;"",C24=$C$15),MAX(0,(D24+H24)-F24),0)</f>
        <v>0</v>
      </c>
      <c r="K24" s="9"/>
      <c r="L24" s="9"/>
      <c r="M24" s="9"/>
      <c r="N24" s="9"/>
    </row>
    <row r="25" customFormat="false" ht="15" hidden="false" customHeight="false" outlineLevel="0" collapsed="false">
      <c r="B25" s="328" t="n">
        <v>8</v>
      </c>
      <c r="C25" s="329" t="n">
        <f aca="false">EDATE(C24,1)</f>
        <v>47696</v>
      </c>
      <c r="D25" s="330" t="n">
        <f aca="false">G24</f>
        <v>274140.175611428</v>
      </c>
      <c r="E25" s="327" t="n">
        <f aca="false">(D25+H25)*$C$12</f>
        <v>2969.85190245714</v>
      </c>
      <c r="F25" s="327" t="n">
        <f aca="false">I25-E25</f>
        <v>3856.07001081006</v>
      </c>
      <c r="G25" s="327" t="n">
        <f aca="false">(D25+H25)-F25-J25</f>
        <v>270284.105600618</v>
      </c>
      <c r="H25" s="28" t="n">
        <f aca="false">IF($C$14="ON",IF(MONTH(C25)=1,SUMIFS('㉕ Funding Gap'!$C$40:$L$40,'㉕ Funding Gap'!$C$37:$L$37,YEAR(C25)),0),0)</f>
        <v>0</v>
      </c>
      <c r="I25" s="28" t="n">
        <f aca="false">IF((D25+H25)&lt;=0,0,-PMT($C$12,(YEAR($C$77)-YEAR(C25))*12+(MONTH($C$77)-MONTH(C25))+1,(D25+H25)))</f>
        <v>6825.9219132672</v>
      </c>
      <c r="J25" s="9" t="n">
        <f aca="false">IF(AND($C$15&lt;&gt;"",C25=$C$15),MAX(0,(D25+H25)-F25),0)</f>
        <v>0</v>
      </c>
      <c r="K25" s="9"/>
      <c r="L25" s="9"/>
      <c r="M25" s="9"/>
      <c r="N25" s="9"/>
    </row>
    <row r="26" customFormat="false" ht="15" hidden="false" customHeight="false" outlineLevel="0" collapsed="false">
      <c r="B26" s="328" t="n">
        <v>9</v>
      </c>
      <c r="C26" s="329" t="n">
        <f aca="false">EDATE(C25,1)</f>
        <v>47727</v>
      </c>
      <c r="D26" s="330" t="n">
        <f aca="false">G25</f>
        <v>270284.105600618</v>
      </c>
      <c r="E26" s="327" t="n">
        <f aca="false">(D26+H26)*$C$12</f>
        <v>2928.07781067336</v>
      </c>
      <c r="F26" s="327" t="n">
        <f aca="false">I26-E26</f>
        <v>3897.84410259384</v>
      </c>
      <c r="G26" s="327" t="n">
        <f aca="false">(D26+H26)-F26-J26</f>
        <v>266386.261498024</v>
      </c>
      <c r="H26" s="28" t="n">
        <f aca="false">IF($C$14="ON",IF(MONTH(C26)=1,SUMIFS('㉕ Funding Gap'!$C$40:$L$40,'㉕ Funding Gap'!$C$37:$L$37,YEAR(C26)),0),0)</f>
        <v>0</v>
      </c>
      <c r="I26" s="28" t="n">
        <f aca="false">IF((D26+H26)&lt;=0,0,-PMT($C$12,(YEAR($C$77)-YEAR(C26))*12+(MONTH($C$77)-MONTH(C26))+1,(D26+H26)))</f>
        <v>6825.92191326721</v>
      </c>
      <c r="J26" s="9" t="n">
        <f aca="false">IF(AND($C$15&lt;&gt;"",C26=$C$15),MAX(0,(D26+H26)-F26),0)</f>
        <v>0</v>
      </c>
      <c r="K26" s="9"/>
      <c r="L26" s="9"/>
      <c r="M26" s="9"/>
      <c r="N26" s="9"/>
    </row>
    <row r="27" customFormat="false" ht="15" hidden="false" customHeight="false" outlineLevel="0" collapsed="false">
      <c r="B27" s="328" t="n">
        <v>10</v>
      </c>
      <c r="C27" s="329" t="n">
        <f aca="false">EDATE(C26,1)</f>
        <v>47757</v>
      </c>
      <c r="D27" s="330" t="n">
        <f aca="false">G26</f>
        <v>266386.261498024</v>
      </c>
      <c r="E27" s="327" t="n">
        <f aca="false">(D27+H27)*$C$12</f>
        <v>2885.8511662286</v>
      </c>
      <c r="F27" s="327" t="n">
        <f aca="false">I27-E27</f>
        <v>3940.07074703861</v>
      </c>
      <c r="G27" s="327" t="n">
        <f aca="false">(D27+H27)-F27-J27</f>
        <v>262446.190750986</v>
      </c>
      <c r="H27" s="28" t="n">
        <f aca="false">IF($C$14="ON",IF(MONTH(C27)=1,SUMIFS('㉕ Funding Gap'!$C$40:$L$40,'㉕ Funding Gap'!$C$37:$L$37,YEAR(C27)),0),0)</f>
        <v>0</v>
      </c>
      <c r="I27" s="28" t="n">
        <f aca="false">IF((D27+H27)&lt;=0,0,-PMT($C$12,(YEAR($C$77)-YEAR(C27))*12+(MONTH($C$77)-MONTH(C27))+1,(D27+H27)))</f>
        <v>6825.9219132672</v>
      </c>
      <c r="J27" s="9" t="n">
        <f aca="false">IF(AND($C$15&lt;&gt;"",C27=$C$15),MAX(0,(D27+H27)-F27),0)</f>
        <v>0</v>
      </c>
      <c r="K27" s="9"/>
      <c r="L27" s="9"/>
      <c r="M27" s="9"/>
      <c r="N27" s="9"/>
    </row>
    <row r="28" customFormat="false" ht="15" hidden="false" customHeight="false" outlineLevel="0" collapsed="false">
      <c r="B28" s="328" t="n">
        <v>11</v>
      </c>
      <c r="C28" s="329" t="n">
        <f aca="false">EDATE(C27,1)</f>
        <v>47788</v>
      </c>
      <c r="D28" s="330" t="n">
        <f aca="false">G27</f>
        <v>262446.190750986</v>
      </c>
      <c r="E28" s="327" t="n">
        <f aca="false">(D28+H28)*$C$12</f>
        <v>2843.16706646901</v>
      </c>
      <c r="F28" s="327" t="n">
        <f aca="false">I28-E28</f>
        <v>3982.75484679819</v>
      </c>
      <c r="G28" s="327" t="n">
        <f aca="false">(D28+H28)-F28-J28</f>
        <v>258463.435904187</v>
      </c>
      <c r="H28" s="28" t="n">
        <f aca="false">IF($C$14="ON",IF(MONTH(C28)=1,SUMIFS('㉕ Funding Gap'!$C$40:$L$40,'㉕ Funding Gap'!$C$37:$L$37,YEAR(C28)),0),0)</f>
        <v>0</v>
      </c>
      <c r="I28" s="28" t="n">
        <f aca="false">IF((D28+H28)&lt;=0,0,-PMT($C$12,(YEAR($C$77)-YEAR(C28))*12+(MONTH($C$77)-MONTH(C28))+1,(D28+H28)))</f>
        <v>6825.92191326721</v>
      </c>
      <c r="J28" s="9" t="n">
        <f aca="false">IF(AND($C$15&lt;&gt;"",C28=$C$15),MAX(0,(D28+H28)-F28),0)</f>
        <v>0</v>
      </c>
      <c r="K28" s="9"/>
      <c r="L28" s="9"/>
      <c r="M28" s="9"/>
      <c r="N28" s="9"/>
    </row>
    <row r="29" customFormat="false" ht="15" hidden="false" customHeight="false" outlineLevel="0" collapsed="false">
      <c r="B29" s="328" t="n">
        <v>12</v>
      </c>
      <c r="C29" s="329" t="n">
        <f aca="false">EDATE(C28,1)</f>
        <v>47818</v>
      </c>
      <c r="D29" s="330" t="n">
        <f aca="false">G28</f>
        <v>258463.435904187</v>
      </c>
      <c r="E29" s="327" t="n">
        <f aca="false">(D29+H29)*$C$12</f>
        <v>2800.0205556287</v>
      </c>
      <c r="F29" s="327" t="n">
        <f aca="false">I29-E29</f>
        <v>4025.90135763851</v>
      </c>
      <c r="G29" s="327" t="n">
        <f aca="false">(D29+H29)-F29-J29</f>
        <v>254437.534546549</v>
      </c>
      <c r="H29" s="28" t="n">
        <f aca="false">IF($C$14="ON",IF(MONTH(C29)=1,SUMIFS('㉕ Funding Gap'!$C$40:$L$40,'㉕ Funding Gap'!$C$37:$L$37,YEAR(C29)),0),0)</f>
        <v>0</v>
      </c>
      <c r="I29" s="28" t="n">
        <f aca="false">IF((D29+H29)&lt;=0,0,-PMT($C$12,(YEAR($C$77)-YEAR(C29))*12+(MONTH($C$77)-MONTH(C29))+1,(D29+H29)))</f>
        <v>6825.92191326721</v>
      </c>
      <c r="J29" s="9" t="n">
        <f aca="false">IF(AND($C$15&lt;&gt;"",C29=$C$15),MAX(0,(D29+H29)-F29),0)</f>
        <v>0</v>
      </c>
      <c r="K29" s="9"/>
      <c r="L29" s="9"/>
      <c r="M29" s="9"/>
      <c r="N29" s="9"/>
    </row>
    <row r="30" customFormat="false" ht="15" hidden="false" customHeight="false" outlineLevel="0" collapsed="false">
      <c r="B30" s="328" t="n">
        <v>13</v>
      </c>
      <c r="C30" s="329" t="n">
        <f aca="false">EDATE(C29,1)</f>
        <v>47849</v>
      </c>
      <c r="D30" s="330" t="n">
        <f aca="false">G29</f>
        <v>254437.534546549</v>
      </c>
      <c r="E30" s="327" t="n">
        <f aca="false">(D30+H30)*$C$12</f>
        <v>8173.07329092095</v>
      </c>
      <c r="F30" s="327" t="n">
        <f aca="false">I30-E30</f>
        <v>12066.5965692287</v>
      </c>
      <c r="G30" s="327" t="n">
        <f aca="false">(D30+H30)-F30-J30</f>
        <v>742370.93797732</v>
      </c>
      <c r="H30" s="28" t="n">
        <f aca="false">IF($C$14="ON",IF(MONTH(C30)=1,SUMIFS('㉕ Funding Gap'!$C$40:$L$40,'㉕ Funding Gap'!$C$37:$L$37,YEAR(C30)),0),0)</f>
        <v>500000</v>
      </c>
      <c r="I30" s="28" t="n">
        <f aca="false">IF((D30+H30)&lt;=0,0,-PMT($C$12,(YEAR($C$77)-YEAR(C30))*12+(MONTH($C$77)-MONTH(C30))+1,(D30+H30)))</f>
        <v>20239.6698601497</v>
      </c>
      <c r="J30" s="9" t="n">
        <f aca="false">IF(AND($C$15&lt;&gt;"",C30=$C$15),MAX(0,(D30+H30)-F30),0)</f>
        <v>0</v>
      </c>
      <c r="K30" s="9"/>
      <c r="L30" s="9"/>
      <c r="M30" s="9"/>
      <c r="N30" s="9"/>
    </row>
    <row r="31" customFormat="false" ht="15" hidden="false" customHeight="false" outlineLevel="0" collapsed="false">
      <c r="B31" s="328" t="n">
        <v>14</v>
      </c>
      <c r="C31" s="329" t="n">
        <f aca="false">EDATE(C30,1)</f>
        <v>47880</v>
      </c>
      <c r="D31" s="330" t="n">
        <f aca="false">G30</f>
        <v>742370.93797732</v>
      </c>
      <c r="E31" s="327" t="n">
        <f aca="false">(D31+H31)*$C$12</f>
        <v>8042.35182808764</v>
      </c>
      <c r="F31" s="327" t="n">
        <f aca="false">I31-E31</f>
        <v>12197.318032062</v>
      </c>
      <c r="G31" s="327" t="n">
        <f aca="false">(D31+H31)-F31-J31</f>
        <v>730173.619945258</v>
      </c>
      <c r="H31" s="28" t="n">
        <f aca="false">IF($C$14="ON",IF(MONTH(C31)=1,SUMIFS('㉕ Funding Gap'!$C$40:$L$40,'㉕ Funding Gap'!$C$37:$L$37,YEAR(C31)),0),0)</f>
        <v>0</v>
      </c>
      <c r="I31" s="28" t="n">
        <f aca="false">IF((D31+H31)&lt;=0,0,-PMT($C$12,(YEAR($C$77)-YEAR(C31))*12+(MONTH($C$77)-MONTH(C31))+1,(D31+H31)))</f>
        <v>20239.6698601497</v>
      </c>
      <c r="J31" s="9" t="n">
        <f aca="false">IF(AND($C$15&lt;&gt;"",C31=$C$15),MAX(0,(D31+H31)-F31),0)</f>
        <v>0</v>
      </c>
      <c r="K31" s="9"/>
      <c r="L31" s="9"/>
      <c r="M31" s="9"/>
      <c r="N31" s="9"/>
    </row>
    <row r="32" customFormat="false" ht="15" hidden="false" customHeight="false" outlineLevel="0" collapsed="false">
      <c r="B32" s="328" t="n">
        <v>15</v>
      </c>
      <c r="C32" s="329" t="n">
        <f aca="false">EDATE(C31,1)</f>
        <v>47908</v>
      </c>
      <c r="D32" s="330" t="n">
        <f aca="false">G31</f>
        <v>730173.619945258</v>
      </c>
      <c r="E32" s="327" t="n">
        <f aca="false">(D32+H32)*$C$12</f>
        <v>7910.21421607363</v>
      </c>
      <c r="F32" s="327" t="n">
        <f aca="false">I32-E32</f>
        <v>12329.455644076</v>
      </c>
      <c r="G32" s="327" t="n">
        <f aca="false">(D32+H32)-F32-J32</f>
        <v>717844.164301182</v>
      </c>
      <c r="H32" s="28" t="n">
        <f aca="false">IF($C$14="ON",IF(MONTH(C32)=1,SUMIFS('㉕ Funding Gap'!$C$40:$L$40,'㉕ Funding Gap'!$C$37:$L$37,YEAR(C32)),0),0)</f>
        <v>0</v>
      </c>
      <c r="I32" s="28" t="n">
        <f aca="false">IF((D32+H32)&lt;=0,0,-PMT($C$12,(YEAR($C$77)-YEAR(C32))*12+(MONTH($C$77)-MONTH(C32))+1,(D32+H32)))</f>
        <v>20239.6698601497</v>
      </c>
      <c r="J32" s="9" t="n">
        <f aca="false">IF(AND($C$15&lt;&gt;"",C32=$C$15),MAX(0,(D32+H32)-F32),0)</f>
        <v>0</v>
      </c>
      <c r="K32" s="9"/>
      <c r="L32" s="9"/>
      <c r="M32" s="9"/>
      <c r="N32" s="9"/>
    </row>
    <row r="33" customFormat="false" ht="15" hidden="false" customHeight="false" outlineLevel="0" collapsed="false">
      <c r="B33" s="328" t="n">
        <v>16</v>
      </c>
      <c r="C33" s="329" t="n">
        <f aca="false">EDATE(C32,1)</f>
        <v>47939</v>
      </c>
      <c r="D33" s="330" t="n">
        <f aca="false">G32</f>
        <v>717844.164301182</v>
      </c>
      <c r="E33" s="327" t="n">
        <f aca="false">(D33+H33)*$C$12</f>
        <v>7776.64511326281</v>
      </c>
      <c r="F33" s="327" t="n">
        <f aca="false">I33-E33</f>
        <v>12463.0247468868</v>
      </c>
      <c r="G33" s="327" t="n">
        <f aca="false">(D33+H33)-F33-J33</f>
        <v>705381.139554296</v>
      </c>
      <c r="H33" s="28" t="n">
        <f aca="false">IF($C$14="ON",IF(MONTH(C33)=1,SUMIFS('㉕ Funding Gap'!$C$40:$L$40,'㉕ Funding Gap'!$C$37:$L$37,YEAR(C33)),0),0)</f>
        <v>0</v>
      </c>
      <c r="I33" s="28" t="n">
        <f aca="false">IF((D33+H33)&lt;=0,0,-PMT($C$12,(YEAR($C$77)-YEAR(C33))*12+(MONTH($C$77)-MONTH(C33))+1,(D33+H33)))</f>
        <v>20239.6698601497</v>
      </c>
      <c r="J33" s="9" t="n">
        <f aca="false">IF(AND($C$15&lt;&gt;"",C33=$C$15),MAX(0,(D33+H33)-F33),0)</f>
        <v>0</v>
      </c>
      <c r="K33" s="9"/>
      <c r="L33" s="9"/>
      <c r="M33" s="9"/>
      <c r="N33" s="9"/>
    </row>
    <row r="34" customFormat="false" ht="15" hidden="false" customHeight="false" outlineLevel="0" collapsed="false">
      <c r="B34" s="328" t="n">
        <v>17</v>
      </c>
      <c r="C34" s="329" t="n">
        <f aca="false">EDATE(C33,1)</f>
        <v>47969</v>
      </c>
      <c r="D34" s="330" t="n">
        <f aca="false">G33</f>
        <v>705381.139554296</v>
      </c>
      <c r="E34" s="327" t="n">
        <f aca="false">(D34+H34)*$C$12</f>
        <v>7641.6290118382</v>
      </c>
      <c r="F34" s="327" t="n">
        <f aca="false">I34-E34</f>
        <v>12598.0408483115</v>
      </c>
      <c r="G34" s="327" t="n">
        <f aca="false">(D34+H34)-F34-J34</f>
        <v>692783.098705984</v>
      </c>
      <c r="H34" s="28" t="n">
        <f aca="false">IF($C$14="ON",IF(MONTH(C34)=1,SUMIFS('㉕ Funding Gap'!$C$40:$L$40,'㉕ Funding Gap'!$C$37:$L$37,YEAR(C34)),0),0)</f>
        <v>0</v>
      </c>
      <c r="I34" s="28" t="n">
        <f aca="false">IF((D34+H34)&lt;=0,0,-PMT($C$12,(YEAR($C$77)-YEAR(C34))*12+(MONTH($C$77)-MONTH(C34))+1,(D34+H34)))</f>
        <v>20239.6698601497</v>
      </c>
      <c r="J34" s="9" t="n">
        <f aca="false">IF(AND($C$15&lt;&gt;"",C34=$C$15),MAX(0,(D34+H34)-F34),0)</f>
        <v>0</v>
      </c>
      <c r="K34" s="9"/>
      <c r="L34" s="9"/>
      <c r="M34" s="9"/>
      <c r="N34" s="9"/>
    </row>
    <row r="35" customFormat="false" ht="15" hidden="false" customHeight="false" outlineLevel="0" collapsed="false">
      <c r="B35" s="328" t="n">
        <v>18</v>
      </c>
      <c r="C35" s="329" t="n">
        <f aca="false">EDATE(C34,1)</f>
        <v>48000</v>
      </c>
      <c r="D35" s="330" t="n">
        <f aca="false">G34</f>
        <v>692783.098705984</v>
      </c>
      <c r="E35" s="327" t="n">
        <f aca="false">(D35+H35)*$C$12</f>
        <v>7505.15023598149</v>
      </c>
      <c r="F35" s="327" t="n">
        <f aca="false">I35-E35</f>
        <v>12734.5196241682</v>
      </c>
      <c r="G35" s="327" t="n">
        <f aca="false">(D35+H35)-F35-J35</f>
        <v>680048.579081816</v>
      </c>
      <c r="H35" s="28" t="n">
        <f aca="false">IF($C$14="ON",IF(MONTH(C35)=1,SUMIFS('㉕ Funding Gap'!$C$40:$L$40,'㉕ Funding Gap'!$C$37:$L$37,YEAR(C35)),0),0)</f>
        <v>0</v>
      </c>
      <c r="I35" s="28" t="n">
        <f aca="false">IF((D35+H35)&lt;=0,0,-PMT($C$12,(YEAR($C$77)-YEAR(C35))*12+(MONTH($C$77)-MONTH(C35))+1,(D35+H35)))</f>
        <v>20239.6698601497</v>
      </c>
      <c r="J35" s="9" t="n">
        <f aca="false">IF(AND($C$15&lt;&gt;"",C35=$C$15),MAX(0,(D35+H35)-F35),0)</f>
        <v>0</v>
      </c>
      <c r="K35" s="9"/>
      <c r="L35" s="9"/>
      <c r="M35" s="9"/>
      <c r="N35" s="9"/>
    </row>
    <row r="36" customFormat="false" ht="15" hidden="false" customHeight="false" outlineLevel="0" collapsed="false">
      <c r="B36" s="328" t="n">
        <v>19</v>
      </c>
      <c r="C36" s="329" t="n">
        <f aca="false">EDATE(C35,1)</f>
        <v>48030</v>
      </c>
      <c r="D36" s="330" t="n">
        <f aca="false">G35</f>
        <v>680048.579081816</v>
      </c>
      <c r="E36" s="327" t="n">
        <f aca="false">(D36+H36)*$C$12</f>
        <v>7367.192940053</v>
      </c>
      <c r="F36" s="327" t="n">
        <f aca="false">I36-E36</f>
        <v>12872.4769200967</v>
      </c>
      <c r="G36" s="327" t="n">
        <f aca="false">(D36+H36)-F36-J36</f>
        <v>667176.102161719</v>
      </c>
      <c r="H36" s="28" t="n">
        <f aca="false">IF($C$14="ON",IF(MONTH(C36)=1,SUMIFS('㉕ Funding Gap'!$C$40:$L$40,'㉕ Funding Gap'!$C$37:$L$37,YEAR(C36)),0),0)</f>
        <v>0</v>
      </c>
      <c r="I36" s="28" t="n">
        <f aca="false">IF((D36+H36)&lt;=0,0,-PMT($C$12,(YEAR($C$77)-YEAR(C36))*12+(MONTH($C$77)-MONTH(C36))+1,(D36+H36)))</f>
        <v>20239.6698601497</v>
      </c>
      <c r="J36" s="9" t="n">
        <f aca="false">IF(AND($C$15&lt;&gt;"",C36=$C$15),MAX(0,(D36+H36)-F36),0)</f>
        <v>0</v>
      </c>
      <c r="K36" s="9"/>
      <c r="L36" s="9"/>
      <c r="M36" s="9"/>
      <c r="N36" s="9"/>
    </row>
    <row r="37" customFormat="false" ht="15" hidden="false" customHeight="false" outlineLevel="0" collapsed="false">
      <c r="B37" s="328" t="n">
        <v>20</v>
      </c>
      <c r="C37" s="329" t="n">
        <f aca="false">EDATE(C36,1)</f>
        <v>48061</v>
      </c>
      <c r="D37" s="330" t="n">
        <f aca="false">G36</f>
        <v>667176.102161719</v>
      </c>
      <c r="E37" s="327" t="n">
        <f aca="false">(D37+H37)*$C$12</f>
        <v>7227.74110675196</v>
      </c>
      <c r="F37" s="327" t="n">
        <f aca="false">I37-E37</f>
        <v>13011.9287533977</v>
      </c>
      <c r="G37" s="327" t="n">
        <f aca="false">(D37+H37)-F37-J37</f>
        <v>654164.173408322</v>
      </c>
      <c r="H37" s="28" t="n">
        <f aca="false">IF($C$14="ON",IF(MONTH(C37)=1,SUMIFS('㉕ Funding Gap'!$C$40:$L$40,'㉕ Funding Gap'!$C$37:$L$37,YEAR(C37)),0),0)</f>
        <v>0</v>
      </c>
      <c r="I37" s="28" t="n">
        <f aca="false">IF((D37+H37)&lt;=0,0,-PMT($C$12,(YEAR($C$77)-YEAR(C37))*12+(MONTH($C$77)-MONTH(C37))+1,(D37+H37)))</f>
        <v>20239.6698601497</v>
      </c>
      <c r="J37" s="9" t="n">
        <f aca="false">IF(AND($C$15&lt;&gt;"",C37=$C$15),MAX(0,(D37+H37)-F37),0)</f>
        <v>0</v>
      </c>
      <c r="K37" s="9"/>
      <c r="L37" s="9"/>
      <c r="M37" s="9"/>
      <c r="N37" s="9"/>
    </row>
    <row r="38" customFormat="false" ht="15" hidden="false" customHeight="false" outlineLevel="0" collapsed="false">
      <c r="B38" s="328" t="n">
        <v>21</v>
      </c>
      <c r="C38" s="329" t="n">
        <f aca="false">EDATE(C37,1)</f>
        <v>48092</v>
      </c>
      <c r="D38" s="330" t="n">
        <f aca="false">G37</f>
        <v>654164.173408322</v>
      </c>
      <c r="E38" s="327" t="n">
        <f aca="false">(D38+H38)*$C$12</f>
        <v>7086.77854525682</v>
      </c>
      <c r="F38" s="327" t="n">
        <f aca="false">I38-E38</f>
        <v>13152.8913148928</v>
      </c>
      <c r="G38" s="327" t="n">
        <f aca="false">(D38+H38)-F38-J38</f>
        <v>641011.282093429</v>
      </c>
      <c r="H38" s="28" t="n">
        <f aca="false">IF($C$14="ON",IF(MONTH(C38)=1,SUMIFS('㉕ Funding Gap'!$C$40:$L$40,'㉕ Funding Gap'!$C$37:$L$37,YEAR(C38)),0),0)</f>
        <v>0</v>
      </c>
      <c r="I38" s="28" t="n">
        <f aca="false">IF((D38+H38)&lt;=0,0,-PMT($C$12,(YEAR($C$77)-YEAR(C38))*12+(MONTH($C$77)-MONTH(C38))+1,(D38+H38)))</f>
        <v>20239.6698601497</v>
      </c>
      <c r="J38" s="9" t="n">
        <f aca="false">IF(AND($C$15&lt;&gt;"",C38=$C$15),MAX(0,(D38+H38)-F38),0)</f>
        <v>0</v>
      </c>
      <c r="K38" s="9"/>
      <c r="L38" s="9"/>
      <c r="M38" s="9"/>
      <c r="N38" s="9"/>
    </row>
    <row r="39" customFormat="false" ht="15" hidden="false" customHeight="false" outlineLevel="0" collapsed="false">
      <c r="B39" s="328" t="n">
        <v>22</v>
      </c>
      <c r="C39" s="329" t="n">
        <f aca="false">EDATE(C38,1)</f>
        <v>48122</v>
      </c>
      <c r="D39" s="330" t="n">
        <f aca="false">G38</f>
        <v>641011.282093429</v>
      </c>
      <c r="E39" s="327" t="n">
        <f aca="false">(D39+H39)*$C$12</f>
        <v>6944.28888934548</v>
      </c>
      <c r="F39" s="327" t="n">
        <f aca="false">I39-E39</f>
        <v>13295.3809708042</v>
      </c>
      <c r="G39" s="327" t="n">
        <f aca="false">(D39+H39)-F39-J39</f>
        <v>627715.901122625</v>
      </c>
      <c r="H39" s="28" t="n">
        <f aca="false">IF($C$14="ON",IF(MONTH(C39)=1,SUMIFS('㉕ Funding Gap'!$C$40:$L$40,'㉕ Funding Gap'!$C$37:$L$37,YEAR(C39)),0),0)</f>
        <v>0</v>
      </c>
      <c r="I39" s="28" t="n">
        <f aca="false">IF((D39+H39)&lt;=0,0,-PMT($C$12,(YEAR($C$77)-YEAR(C39))*12+(MONTH($C$77)-MONTH(C39))+1,(D39+H39)))</f>
        <v>20239.6698601497</v>
      </c>
      <c r="J39" s="9" t="n">
        <f aca="false">IF(AND($C$15&lt;&gt;"",C39=$C$15),MAX(0,(D39+H39)-F39),0)</f>
        <v>0</v>
      </c>
      <c r="K39" s="9"/>
      <c r="L39" s="9"/>
      <c r="M39" s="9"/>
      <c r="N39" s="9"/>
    </row>
    <row r="40" customFormat="false" ht="15" hidden="false" customHeight="false" outlineLevel="0" collapsed="false">
      <c r="B40" s="328" t="n">
        <v>23</v>
      </c>
      <c r="C40" s="329" t="n">
        <f aca="false">EDATE(C39,1)</f>
        <v>48153</v>
      </c>
      <c r="D40" s="330" t="n">
        <f aca="false">G39</f>
        <v>627715.901122625</v>
      </c>
      <c r="E40" s="327" t="n">
        <f aca="false">(D40+H40)*$C$12</f>
        <v>6800.2555954951</v>
      </c>
      <c r="F40" s="327" t="n">
        <f aca="false">I40-E40</f>
        <v>13439.4142646546</v>
      </c>
      <c r="G40" s="327" t="n">
        <f aca="false">(D40+H40)-F40-J40</f>
        <v>614276.48685797</v>
      </c>
      <c r="H40" s="28" t="n">
        <f aca="false">IF($C$14="ON",IF(MONTH(C40)=1,SUMIFS('㉕ Funding Gap'!$C$40:$L$40,'㉕ Funding Gap'!$C$37:$L$37,YEAR(C40)),0),0)</f>
        <v>0</v>
      </c>
      <c r="I40" s="28" t="n">
        <f aca="false">IF((D40+H40)&lt;=0,0,-PMT($C$12,(YEAR($C$77)-YEAR(C40))*12+(MONTH($C$77)-MONTH(C40))+1,(D40+H40)))</f>
        <v>20239.6698601497</v>
      </c>
      <c r="J40" s="9" t="n">
        <f aca="false">IF(AND($C$15&lt;&gt;"",C40=$C$15),MAX(0,(D40+H40)-F40),0)</f>
        <v>0</v>
      </c>
      <c r="K40" s="9"/>
      <c r="L40" s="9"/>
      <c r="M40" s="9"/>
      <c r="N40" s="9"/>
    </row>
    <row r="41" customFormat="false" ht="15" hidden="false" customHeight="false" outlineLevel="0" collapsed="false">
      <c r="B41" s="328" t="n">
        <v>24</v>
      </c>
      <c r="C41" s="329" t="n">
        <f aca="false">EDATE(C40,1)</f>
        <v>48183</v>
      </c>
      <c r="D41" s="330" t="n">
        <f aca="false">G40</f>
        <v>614276.48685797</v>
      </c>
      <c r="E41" s="327" t="n">
        <f aca="false">(D41+H41)*$C$12</f>
        <v>6654.66194096134</v>
      </c>
      <c r="F41" s="327" t="n">
        <f aca="false">I41-E41</f>
        <v>13585.0079191883</v>
      </c>
      <c r="G41" s="327" t="n">
        <f aca="false">(D41+H41)-F41-J41</f>
        <v>600691.478938782</v>
      </c>
      <c r="H41" s="28" t="n">
        <f aca="false">IF($C$14="ON",IF(MONTH(C41)=1,SUMIFS('㉕ Funding Gap'!$C$40:$L$40,'㉕ Funding Gap'!$C$37:$L$37,YEAR(C41)),0),0)</f>
        <v>0</v>
      </c>
      <c r="I41" s="28" t="n">
        <f aca="false">IF((D41+H41)&lt;=0,0,-PMT($C$12,(YEAR($C$77)-YEAR(C41))*12+(MONTH($C$77)-MONTH(C41))+1,(D41+H41)))</f>
        <v>20239.6698601497</v>
      </c>
      <c r="J41" s="9" t="n">
        <f aca="false">IF(AND($C$15&lt;&gt;"",C41=$C$15),MAX(0,(D41+H41)-F41),0)</f>
        <v>0</v>
      </c>
      <c r="K41" s="9"/>
      <c r="L41" s="9"/>
      <c r="M41" s="9"/>
      <c r="N41" s="9"/>
    </row>
    <row r="42" customFormat="false" ht="15" hidden="false" customHeight="false" outlineLevel="0" collapsed="false">
      <c r="B42" s="328" t="n">
        <v>25</v>
      </c>
      <c r="C42" s="329" t="n">
        <f aca="false">EDATE(C41,1)</f>
        <v>48214</v>
      </c>
      <c r="D42" s="330" t="n">
        <f aca="false">G41</f>
        <v>600691.478938782</v>
      </c>
      <c r="E42" s="327" t="n">
        <f aca="false">(D42+H42)*$C$12</f>
        <v>6507.4910218368</v>
      </c>
      <c r="F42" s="327" t="n">
        <f aca="false">I42-E42</f>
        <v>13732.1788383129</v>
      </c>
      <c r="G42" s="327" t="n">
        <f aca="false">(D42+H42)-F42-J42</f>
        <v>586959.300100469</v>
      </c>
      <c r="H42" s="28" t="n">
        <f aca="false">IF($C$14="ON",IF(MONTH(C42)=1,SUMIFS('㉕ Funding Gap'!$C$40:$L$40,'㉕ Funding Gap'!$C$37:$L$37,YEAR(C42)),0),0)</f>
        <v>0</v>
      </c>
      <c r="I42" s="28" t="n">
        <f aca="false">IF((D42+H42)&lt;=0,0,-PMT($C$12,(YEAR($C$77)-YEAR(C42))*12+(MONTH($C$77)-MONTH(C42))+1,(D42+H42)))</f>
        <v>20239.6698601497</v>
      </c>
      <c r="J42" s="9" t="n">
        <f aca="false">IF(AND($C$15&lt;&gt;"",C42=$C$15),MAX(0,(D42+H42)-F42),0)</f>
        <v>0</v>
      </c>
      <c r="K42" s="9"/>
      <c r="L42" s="9"/>
      <c r="M42" s="9"/>
      <c r="N42" s="9"/>
    </row>
    <row r="43" customFormat="false" ht="15" hidden="false" customHeight="false" outlineLevel="0" collapsed="false">
      <c r="B43" s="328" t="n">
        <v>26</v>
      </c>
      <c r="C43" s="329" t="n">
        <f aca="false">EDATE(C42,1)</f>
        <v>48245</v>
      </c>
      <c r="D43" s="330" t="n">
        <f aca="false">G42</f>
        <v>586959.300100469</v>
      </c>
      <c r="E43" s="327" t="n">
        <f aca="false">(D43+H43)*$C$12</f>
        <v>6358.72575108841</v>
      </c>
      <c r="F43" s="327" t="n">
        <f aca="false">I43-E43</f>
        <v>13880.9441090612</v>
      </c>
      <c r="G43" s="327" t="n">
        <f aca="false">(D43+H43)-F43-J43</f>
        <v>573078.355991408</v>
      </c>
      <c r="H43" s="28" t="n">
        <f aca="false">IF($C$14="ON",IF(MONTH(C43)=1,SUMIFS('㉕ Funding Gap'!$C$40:$L$40,'㉕ Funding Gap'!$C$37:$L$37,YEAR(C43)),0),0)</f>
        <v>0</v>
      </c>
      <c r="I43" s="28" t="n">
        <f aca="false">IF((D43+H43)&lt;=0,0,-PMT($C$12,(YEAR($C$77)-YEAR(C43))*12+(MONTH($C$77)-MONTH(C43))+1,(D43+H43)))</f>
        <v>20239.6698601497</v>
      </c>
      <c r="J43" s="9" t="n">
        <f aca="false">IF(AND($C$15&lt;&gt;"",C43=$C$15),MAX(0,(D43+H43)-F43),0)</f>
        <v>0</v>
      </c>
      <c r="K43" s="9"/>
      <c r="L43" s="9"/>
      <c r="M43" s="9"/>
      <c r="N43" s="9"/>
    </row>
    <row r="44" customFormat="false" ht="15" hidden="false" customHeight="false" outlineLevel="0" collapsed="false">
      <c r="B44" s="328" t="n">
        <v>27</v>
      </c>
      <c r="C44" s="329" t="n">
        <f aca="false">EDATE(C43,1)</f>
        <v>48274</v>
      </c>
      <c r="D44" s="330" t="n">
        <f aca="false">G43</f>
        <v>573078.355991408</v>
      </c>
      <c r="E44" s="327" t="n">
        <f aca="false">(D44+H44)*$C$12</f>
        <v>6208.34885657358</v>
      </c>
      <c r="F44" s="327" t="n">
        <f aca="false">I44-E44</f>
        <v>14031.3210035761</v>
      </c>
      <c r="G44" s="327" t="n">
        <f aca="false">(D44+H44)-F44-J44</f>
        <v>559047.034987832</v>
      </c>
      <c r="H44" s="28" t="n">
        <f aca="false">IF($C$14="ON",IF(MONTH(C44)=1,SUMIFS('㉕ Funding Gap'!$C$40:$L$40,'㉕ Funding Gap'!$C$37:$L$37,YEAR(C44)),0),0)</f>
        <v>0</v>
      </c>
      <c r="I44" s="28" t="n">
        <f aca="false">IF((D44+H44)&lt;=0,0,-PMT($C$12,(YEAR($C$77)-YEAR(C44))*12+(MONTH($C$77)-MONTH(C44))+1,(D44+H44)))</f>
        <v>20239.6698601497</v>
      </c>
      <c r="J44" s="9" t="n">
        <f aca="false">IF(AND($C$15&lt;&gt;"",C44=$C$15),MAX(0,(D44+H44)-F44),0)</f>
        <v>0</v>
      </c>
      <c r="K44" s="9"/>
      <c r="L44" s="9"/>
      <c r="M44" s="9"/>
      <c r="N44" s="9"/>
    </row>
    <row r="45" customFormat="false" ht="15" hidden="false" customHeight="false" outlineLevel="0" collapsed="false">
      <c r="B45" s="328" t="n">
        <v>28</v>
      </c>
      <c r="C45" s="329" t="n">
        <f aca="false">EDATE(C44,1)</f>
        <v>48305</v>
      </c>
      <c r="D45" s="330" t="n">
        <f aca="false">G44</f>
        <v>559047.034987832</v>
      </c>
      <c r="E45" s="327" t="n">
        <f aca="false">(D45+H45)*$C$12</f>
        <v>6056.34287903484</v>
      </c>
      <c r="F45" s="327" t="n">
        <f aca="false">I45-E45</f>
        <v>14183.3269811148</v>
      </c>
      <c r="G45" s="327" t="n">
        <f aca="false">(D45+H45)-F45-J45</f>
        <v>544863.708006717</v>
      </c>
      <c r="H45" s="28" t="n">
        <f aca="false">IF($C$14="ON",IF(MONTH(C45)=1,SUMIFS('㉕ Funding Gap'!$C$40:$L$40,'㉕ Funding Gap'!$C$37:$L$37,YEAR(C45)),0),0)</f>
        <v>0</v>
      </c>
      <c r="I45" s="28" t="n">
        <f aca="false">IF((D45+H45)&lt;=0,0,-PMT($C$12,(YEAR($C$77)-YEAR(C45))*12+(MONTH($C$77)-MONTH(C45))+1,(D45+H45)))</f>
        <v>20239.6698601497</v>
      </c>
      <c r="J45" s="9" t="n">
        <f aca="false">IF(AND($C$15&lt;&gt;"",C45=$C$15),MAX(0,(D45+H45)-F45),0)</f>
        <v>0</v>
      </c>
      <c r="K45" s="9"/>
      <c r="L45" s="9"/>
      <c r="M45" s="9"/>
      <c r="N45" s="9"/>
    </row>
    <row r="46" customFormat="false" ht="15" hidden="false" customHeight="false" outlineLevel="0" collapsed="false">
      <c r="B46" s="328" t="n">
        <v>29</v>
      </c>
      <c r="C46" s="329" t="n">
        <f aca="false">EDATE(C45,1)</f>
        <v>48335</v>
      </c>
      <c r="D46" s="330" t="n">
        <f aca="false">G45</f>
        <v>544863.708006717</v>
      </c>
      <c r="E46" s="327" t="n">
        <f aca="false">(D46+H46)*$C$12</f>
        <v>5902.69017007276</v>
      </c>
      <c r="F46" s="327" t="n">
        <f aca="false">I46-E46</f>
        <v>14336.9796900769</v>
      </c>
      <c r="G46" s="327" t="n">
        <f aca="false">(D46+H46)-F46-J46</f>
        <v>530526.72831664</v>
      </c>
      <c r="H46" s="28" t="n">
        <f aca="false">IF($C$14="ON",IF(MONTH(C46)=1,SUMIFS('㉕ Funding Gap'!$C$40:$L$40,'㉕ Funding Gap'!$C$37:$L$37,YEAR(C46)),0),0)</f>
        <v>0</v>
      </c>
      <c r="I46" s="28" t="n">
        <f aca="false">IF((D46+H46)&lt;=0,0,-PMT($C$12,(YEAR($C$77)-YEAR(C46))*12+(MONTH($C$77)-MONTH(C46))+1,(D46+H46)))</f>
        <v>20239.6698601497</v>
      </c>
      <c r="J46" s="9" t="n">
        <f aca="false">IF(AND($C$15&lt;&gt;"",C46=$C$15),MAX(0,(D46+H46)-F46),0)</f>
        <v>0</v>
      </c>
      <c r="K46" s="9"/>
      <c r="L46" s="9"/>
      <c r="M46" s="9"/>
      <c r="N46" s="9"/>
    </row>
    <row r="47" customFormat="false" ht="15" hidden="false" customHeight="false" outlineLevel="0" collapsed="false">
      <c r="B47" s="328" t="n">
        <v>30</v>
      </c>
      <c r="C47" s="329" t="n">
        <f aca="false">EDATE(C46,1)</f>
        <v>48366</v>
      </c>
      <c r="D47" s="330" t="n">
        <f aca="false">G46</f>
        <v>530526.72831664</v>
      </c>
      <c r="E47" s="327" t="n">
        <f aca="false">(D47+H47)*$C$12</f>
        <v>5747.37289009693</v>
      </c>
      <c r="F47" s="327" t="n">
        <f aca="false">I47-E47</f>
        <v>14492.2969700527</v>
      </c>
      <c r="G47" s="327" t="n">
        <f aca="false">(D47+H47)-F47-J47</f>
        <v>516034.431346587</v>
      </c>
      <c r="H47" s="28" t="n">
        <f aca="false">IF($C$14="ON",IF(MONTH(C47)=1,SUMIFS('㉕ Funding Gap'!$C$40:$L$40,'㉕ Funding Gap'!$C$37:$L$37,YEAR(C47)),0),0)</f>
        <v>0</v>
      </c>
      <c r="I47" s="28" t="n">
        <f aca="false">IF((D47+H47)&lt;=0,0,-PMT($C$12,(YEAR($C$77)-YEAR(C47))*12+(MONTH($C$77)-MONTH(C47))+1,(D47+H47)))</f>
        <v>20239.6698601497</v>
      </c>
      <c r="J47" s="9" t="n">
        <f aca="false">IF(AND($C$15&lt;&gt;"",C47=$C$15),MAX(0,(D47+H47)-F47),0)</f>
        <v>0</v>
      </c>
      <c r="K47" s="9"/>
      <c r="L47" s="9"/>
      <c r="M47" s="9"/>
      <c r="N47" s="9"/>
    </row>
    <row r="48" customFormat="false" ht="15" hidden="false" customHeight="false" outlineLevel="0" collapsed="false">
      <c r="B48" s="328" t="n">
        <v>31</v>
      </c>
      <c r="C48" s="329" t="n">
        <f aca="false">EDATE(C47,1)</f>
        <v>48396</v>
      </c>
      <c r="D48" s="330" t="n">
        <f aca="false">G47</f>
        <v>516034.431346587</v>
      </c>
      <c r="E48" s="327" t="n">
        <f aca="false">(D48+H48)*$C$12</f>
        <v>5590.37300625469</v>
      </c>
      <c r="F48" s="327" t="n">
        <f aca="false">I48-E48</f>
        <v>14649.296853895</v>
      </c>
      <c r="G48" s="327" t="n">
        <f aca="false">(D48+H48)-F48-J48</f>
        <v>501385.134492692</v>
      </c>
      <c r="H48" s="28" t="n">
        <f aca="false">IF($C$14="ON",IF(MONTH(C48)=1,SUMIFS('㉕ Funding Gap'!$C$40:$L$40,'㉕ Funding Gap'!$C$37:$L$37,YEAR(C48)),0),0)</f>
        <v>0</v>
      </c>
      <c r="I48" s="28" t="n">
        <f aca="false">IF((D48+H48)&lt;=0,0,-PMT($C$12,(YEAR($C$77)-YEAR(C48))*12+(MONTH($C$77)-MONTH(C48))+1,(D48+H48)))</f>
        <v>20239.6698601497</v>
      </c>
      <c r="J48" s="9" t="n">
        <f aca="false">IF(AND($C$15&lt;&gt;"",C48=$C$15),MAX(0,(D48+H48)-F48),0)</f>
        <v>0</v>
      </c>
      <c r="K48" s="9"/>
      <c r="L48" s="9"/>
      <c r="M48" s="9"/>
      <c r="N48" s="9"/>
    </row>
    <row r="49" customFormat="false" ht="15" hidden="false" customHeight="false" outlineLevel="0" collapsed="false">
      <c r="B49" s="328" t="n">
        <v>32</v>
      </c>
      <c r="C49" s="329" t="n">
        <f aca="false">EDATE(C48,1)</f>
        <v>48427</v>
      </c>
      <c r="D49" s="330" t="n">
        <f aca="false">G48</f>
        <v>501385.134492692</v>
      </c>
      <c r="E49" s="327" t="n">
        <f aca="false">(D49+H49)*$C$12</f>
        <v>5431.6722903375</v>
      </c>
      <c r="F49" s="327" t="n">
        <f aca="false">I49-E49</f>
        <v>14807.9975698122</v>
      </c>
      <c r="G49" s="327" t="n">
        <f aca="false">(D49+H49)-F49-J49</f>
        <v>486577.13692288</v>
      </c>
      <c r="H49" s="28" t="n">
        <f aca="false">IF($C$14="ON",IF(MONTH(C49)=1,SUMIFS('㉕ Funding Gap'!$C$40:$L$40,'㉕ Funding Gap'!$C$37:$L$37,YEAR(C49)),0),0)</f>
        <v>0</v>
      </c>
      <c r="I49" s="28" t="n">
        <f aca="false">IF((D49+H49)&lt;=0,0,-PMT($C$12,(YEAR($C$77)-YEAR(C49))*12+(MONTH($C$77)-MONTH(C49))+1,(D49+H49)))</f>
        <v>20239.6698601497</v>
      </c>
      <c r="J49" s="9" t="n">
        <f aca="false">IF(AND($C$15&lt;&gt;"",C49=$C$15),MAX(0,(D49+H49)-F49),0)</f>
        <v>0</v>
      </c>
      <c r="K49" s="9"/>
      <c r="L49" s="9"/>
      <c r="M49" s="9"/>
      <c r="N49" s="9"/>
    </row>
    <row r="50" customFormat="false" ht="15" hidden="false" customHeight="false" outlineLevel="0" collapsed="false">
      <c r="B50" s="328" t="n">
        <v>33</v>
      </c>
      <c r="C50" s="329" t="n">
        <f aca="false">EDATE(C49,1)</f>
        <v>48458</v>
      </c>
      <c r="D50" s="330" t="n">
        <f aca="false">G49</f>
        <v>486577.13692288</v>
      </c>
      <c r="E50" s="327" t="n">
        <f aca="false">(D50+H50)*$C$12</f>
        <v>5271.25231666453</v>
      </c>
      <c r="F50" s="327" t="n">
        <f aca="false">I50-E50</f>
        <v>14968.4175434851</v>
      </c>
      <c r="G50" s="327" t="n">
        <f aca="false">(D50+H50)-F50-J50</f>
        <v>471608.719379395</v>
      </c>
      <c r="H50" s="28" t="n">
        <f aca="false">IF($C$14="ON",IF(MONTH(C50)=1,SUMIFS('㉕ Funding Gap'!$C$40:$L$40,'㉕ Funding Gap'!$C$37:$L$37,YEAR(C50)),0),0)</f>
        <v>0</v>
      </c>
      <c r="I50" s="28" t="n">
        <f aca="false">IF((D50+H50)&lt;=0,0,-PMT($C$12,(YEAR($C$77)-YEAR(C50))*12+(MONTH($C$77)-MONTH(C50))+1,(D50+H50)))</f>
        <v>20239.6698601497</v>
      </c>
      <c r="J50" s="9" t="n">
        <f aca="false">IF(AND($C$15&lt;&gt;"",C50=$C$15),MAX(0,(D50+H50)-F50),0)</f>
        <v>0</v>
      </c>
      <c r="K50" s="9"/>
      <c r="L50" s="9"/>
      <c r="M50" s="9"/>
      <c r="N50" s="9"/>
    </row>
    <row r="51" customFormat="false" ht="15" hidden="false" customHeight="false" outlineLevel="0" collapsed="false">
      <c r="B51" s="328" t="n">
        <v>34</v>
      </c>
      <c r="C51" s="329" t="n">
        <f aca="false">EDATE(C50,1)</f>
        <v>48488</v>
      </c>
      <c r="D51" s="330" t="n">
        <f aca="false">G50</f>
        <v>471608.719379395</v>
      </c>
      <c r="E51" s="327" t="n">
        <f aca="false">(D51+H51)*$C$12</f>
        <v>5109.09445994344</v>
      </c>
      <c r="F51" s="327" t="n">
        <f aca="false">I51-E51</f>
        <v>15130.5754002062</v>
      </c>
      <c r="G51" s="327" t="n">
        <f aca="false">(D51+H51)-F51-J51</f>
        <v>456478.143979189</v>
      </c>
      <c r="H51" s="28" t="n">
        <f aca="false">IF($C$14="ON",IF(MONTH(C51)=1,SUMIFS('㉕ Funding Gap'!$C$40:$L$40,'㉕ Funding Gap'!$C$37:$L$37,YEAR(C51)),0),0)</f>
        <v>0</v>
      </c>
      <c r="I51" s="28" t="n">
        <f aca="false">IF((D51+H51)&lt;=0,0,-PMT($C$12,(YEAR($C$77)-YEAR(C51))*12+(MONTH($C$77)-MONTH(C51))+1,(D51+H51)))</f>
        <v>20239.6698601497</v>
      </c>
      <c r="J51" s="9" t="n">
        <f aca="false">IF(AND($C$15&lt;&gt;"",C51=$C$15),MAX(0,(D51+H51)-F51),0)</f>
        <v>0</v>
      </c>
      <c r="K51" s="9"/>
      <c r="L51" s="9"/>
      <c r="M51" s="9"/>
      <c r="N51" s="9"/>
    </row>
    <row r="52" customFormat="false" ht="15" hidden="false" customHeight="false" outlineLevel="0" collapsed="false">
      <c r="B52" s="328" t="n">
        <v>35</v>
      </c>
      <c r="C52" s="329" t="n">
        <f aca="false">EDATE(C51,1)</f>
        <v>48519</v>
      </c>
      <c r="D52" s="330" t="n">
        <f aca="false">G51</f>
        <v>456478.143979189</v>
      </c>
      <c r="E52" s="327" t="n">
        <f aca="false">(D52+H52)*$C$12</f>
        <v>4945.17989310788</v>
      </c>
      <c r="F52" s="327" t="n">
        <f aca="false">I52-E52</f>
        <v>15294.4899670418</v>
      </c>
      <c r="G52" s="327" t="n">
        <f aca="false">(D52+H52)-F52-J52</f>
        <v>441183.654012147</v>
      </c>
      <c r="H52" s="28" t="n">
        <f aca="false">IF($C$14="ON",IF(MONTH(C52)=1,SUMIFS('㉕ Funding Gap'!$C$40:$L$40,'㉕ Funding Gap'!$C$37:$L$37,YEAR(C52)),0),0)</f>
        <v>0</v>
      </c>
      <c r="I52" s="28" t="n">
        <f aca="false">IF((D52+H52)&lt;=0,0,-PMT($C$12,(YEAR($C$77)-YEAR(C52))*12+(MONTH($C$77)-MONTH(C52))+1,(D52+H52)))</f>
        <v>20239.6698601497</v>
      </c>
      <c r="J52" s="9" t="n">
        <f aca="false">IF(AND($C$15&lt;&gt;"",C52=$C$15),MAX(0,(D52+H52)-F52),0)</f>
        <v>0</v>
      </c>
      <c r="K52" s="9"/>
      <c r="L52" s="9"/>
      <c r="M52" s="9"/>
      <c r="N52" s="9"/>
    </row>
    <row r="53" customFormat="false" ht="15" hidden="false" customHeight="false" outlineLevel="0" collapsed="false">
      <c r="B53" s="328" t="n">
        <v>36</v>
      </c>
      <c r="C53" s="329" t="n">
        <f aca="false">EDATE(C52,1)</f>
        <v>48549</v>
      </c>
      <c r="D53" s="330" t="n">
        <f aca="false">G52</f>
        <v>441183.654012147</v>
      </c>
      <c r="E53" s="327" t="n">
        <f aca="false">(D53+H53)*$C$12</f>
        <v>4779.48958513159</v>
      </c>
      <c r="F53" s="327" t="n">
        <f aca="false">I53-E53</f>
        <v>15460.1802750181</v>
      </c>
      <c r="G53" s="327" t="n">
        <f aca="false">(D53+H53)-F53-J53</f>
        <v>425723.473737129</v>
      </c>
      <c r="H53" s="28" t="n">
        <f aca="false">IF($C$14="ON",IF(MONTH(C53)=1,SUMIFS('㉕ Funding Gap'!$C$40:$L$40,'㉕ Funding Gap'!$C$37:$L$37,YEAR(C53)),0),0)</f>
        <v>0</v>
      </c>
      <c r="I53" s="28" t="n">
        <f aca="false">IF((D53+H53)&lt;=0,0,-PMT($C$12,(YEAR($C$77)-YEAR(C53))*12+(MONTH($C$77)-MONTH(C53))+1,(D53+H53)))</f>
        <v>20239.6698601497</v>
      </c>
      <c r="J53" s="9" t="n">
        <f aca="false">IF(AND($C$15&lt;&gt;"",C53=$C$15),MAX(0,(D53+H53)-F53),0)</f>
        <v>0</v>
      </c>
      <c r="K53" s="9"/>
      <c r="L53" s="9"/>
      <c r="M53" s="9"/>
      <c r="N53" s="9"/>
    </row>
    <row r="54" customFormat="false" ht="15" hidden="false" customHeight="false" outlineLevel="0" collapsed="false">
      <c r="B54" s="328" t="n">
        <v>37</v>
      </c>
      <c r="C54" s="329" t="n">
        <f aca="false">EDATE(C53,1)</f>
        <v>48580</v>
      </c>
      <c r="D54" s="330" t="n">
        <f aca="false">G53</f>
        <v>425723.473737129</v>
      </c>
      <c r="E54" s="327" t="n">
        <f aca="false">(D54+H54)*$C$12</f>
        <v>4612.0042988189</v>
      </c>
      <c r="F54" s="327" t="n">
        <f aca="false">I54-E54</f>
        <v>15627.6655613308</v>
      </c>
      <c r="G54" s="327" t="n">
        <f aca="false">(D54+H54)-F54-J54</f>
        <v>410095.808175798</v>
      </c>
      <c r="H54" s="28" t="n">
        <f aca="false">IF($C$14="ON",IF(MONTH(C54)=1,SUMIFS('㉕ Funding Gap'!$C$40:$L$40,'㉕ Funding Gap'!$C$37:$L$37,YEAR(C54)),0),0)</f>
        <v>0</v>
      </c>
      <c r="I54" s="28" t="n">
        <f aca="false">IF((D54+H54)&lt;=0,0,-PMT($C$12,(YEAR($C$77)-YEAR(C54))*12+(MONTH($C$77)-MONTH(C54))+1,(D54+H54)))</f>
        <v>20239.6698601497</v>
      </c>
      <c r="J54" s="9" t="n">
        <f aca="false">IF(AND($C$15&lt;&gt;"",C54=$C$15),MAX(0,(D54+H54)-F54),0)</f>
        <v>0</v>
      </c>
      <c r="K54" s="9"/>
      <c r="L54" s="9"/>
      <c r="M54" s="9"/>
      <c r="N54" s="9"/>
    </row>
    <row r="55" customFormat="false" ht="15" hidden="false" customHeight="false" outlineLevel="0" collapsed="false">
      <c r="B55" s="328" t="n">
        <v>38</v>
      </c>
      <c r="C55" s="329" t="n">
        <f aca="false">EDATE(C54,1)</f>
        <v>48611</v>
      </c>
      <c r="D55" s="330" t="n">
        <f aca="false">G54</f>
        <v>410095.808175798</v>
      </c>
      <c r="E55" s="327" t="n">
        <f aca="false">(D55+H55)*$C$12</f>
        <v>4442.70458857115</v>
      </c>
      <c r="F55" s="327" t="n">
        <f aca="false">I55-E55</f>
        <v>15796.9652715785</v>
      </c>
      <c r="G55" s="327" t="n">
        <f aca="false">(D55+H55)-F55-J55</f>
        <v>394298.84290422</v>
      </c>
      <c r="H55" s="28" t="n">
        <f aca="false">IF($C$14="ON",IF(MONTH(C55)=1,SUMIFS('㉕ Funding Gap'!$C$40:$L$40,'㉕ Funding Gap'!$C$37:$L$37,YEAR(C55)),0),0)</f>
        <v>0</v>
      </c>
      <c r="I55" s="28" t="n">
        <f aca="false">IF((D55+H55)&lt;=0,0,-PMT($C$12,(YEAR($C$77)-YEAR(C55))*12+(MONTH($C$77)-MONTH(C55))+1,(D55+H55)))</f>
        <v>20239.6698601497</v>
      </c>
      <c r="J55" s="9" t="n">
        <f aca="false">IF(AND($C$15&lt;&gt;"",C55=$C$15),MAX(0,(D55+H55)-F55),0)</f>
        <v>0</v>
      </c>
      <c r="K55" s="9"/>
      <c r="L55" s="9"/>
      <c r="M55" s="9"/>
      <c r="N55" s="9"/>
    </row>
    <row r="56" customFormat="false" ht="15" hidden="false" customHeight="false" outlineLevel="0" collapsed="false">
      <c r="B56" s="328" t="n">
        <v>39</v>
      </c>
      <c r="C56" s="329" t="n">
        <f aca="false">EDATE(C55,1)</f>
        <v>48639</v>
      </c>
      <c r="D56" s="330" t="n">
        <f aca="false">G55</f>
        <v>394298.84290422</v>
      </c>
      <c r="E56" s="327" t="n">
        <f aca="false">(D56+H56)*$C$12</f>
        <v>4271.57079812905</v>
      </c>
      <c r="F56" s="327" t="n">
        <f aca="false">I56-E56</f>
        <v>15968.0990620206</v>
      </c>
      <c r="G56" s="327" t="n">
        <f aca="false">(D56+H56)-F56-J56</f>
        <v>378330.743842199</v>
      </c>
      <c r="H56" s="28" t="n">
        <f aca="false">IF($C$14="ON",IF(MONTH(C56)=1,SUMIFS('㉕ Funding Gap'!$C$40:$L$40,'㉕ Funding Gap'!$C$37:$L$37,YEAR(C56)),0),0)</f>
        <v>0</v>
      </c>
      <c r="I56" s="28" t="n">
        <f aca="false">IF((D56+H56)&lt;=0,0,-PMT($C$12,(YEAR($C$77)-YEAR(C56))*12+(MONTH($C$77)-MONTH(C56))+1,(D56+H56)))</f>
        <v>20239.6698601497</v>
      </c>
      <c r="J56" s="9" t="n">
        <f aca="false">IF(AND($C$15&lt;&gt;"",C56=$C$15),MAX(0,(D56+H56)-F56),0)</f>
        <v>0</v>
      </c>
      <c r="K56" s="9"/>
      <c r="L56" s="9"/>
      <c r="M56" s="9"/>
      <c r="N56" s="9"/>
    </row>
    <row r="57" customFormat="false" ht="15" hidden="false" customHeight="false" outlineLevel="0" collapsed="false">
      <c r="B57" s="328" t="n">
        <v>40</v>
      </c>
      <c r="C57" s="329" t="n">
        <f aca="false">EDATE(C56,1)</f>
        <v>48670</v>
      </c>
      <c r="D57" s="330" t="n">
        <f aca="false">G56</f>
        <v>378330.743842199</v>
      </c>
      <c r="E57" s="327" t="n">
        <f aca="false">(D57+H57)*$C$12</f>
        <v>4098.58305829049</v>
      </c>
      <c r="F57" s="327" t="n">
        <f aca="false">I57-E57</f>
        <v>16141.0868018592</v>
      </c>
      <c r="G57" s="327" t="n">
        <f aca="false">(D57+H57)-F57-J57</f>
        <v>362189.65704034</v>
      </c>
      <c r="H57" s="28" t="n">
        <f aca="false">IF($C$14="ON",IF(MONTH(C57)=1,SUMIFS('㉕ Funding Gap'!$C$40:$L$40,'㉕ Funding Gap'!$C$37:$L$37,YEAR(C57)),0),0)</f>
        <v>0</v>
      </c>
      <c r="I57" s="28" t="n">
        <f aca="false">IF((D57+H57)&lt;=0,0,-PMT($C$12,(YEAR($C$77)-YEAR(C57))*12+(MONTH($C$77)-MONTH(C57))+1,(D57+H57)))</f>
        <v>20239.6698601497</v>
      </c>
      <c r="J57" s="9" t="n">
        <f aca="false">IF(AND($C$15&lt;&gt;"",C57=$C$15),MAX(0,(D57+H57)-F57),0)</f>
        <v>0</v>
      </c>
      <c r="K57" s="9"/>
      <c r="L57" s="9"/>
      <c r="M57" s="9"/>
      <c r="N57" s="9"/>
    </row>
    <row r="58" customFormat="false" ht="15" hidden="false" customHeight="false" outlineLevel="0" collapsed="false">
      <c r="B58" s="328" t="n">
        <v>41</v>
      </c>
      <c r="C58" s="329" t="n">
        <f aca="false">EDATE(C57,1)</f>
        <v>48700</v>
      </c>
      <c r="D58" s="330" t="n">
        <f aca="false">G57</f>
        <v>362189.65704034</v>
      </c>
      <c r="E58" s="327" t="n">
        <f aca="false">(D58+H58)*$C$12</f>
        <v>3923.72128460368</v>
      </c>
      <c r="F58" s="327" t="n">
        <f aca="false">I58-E58</f>
        <v>16315.948575546</v>
      </c>
      <c r="G58" s="327" t="n">
        <f aca="false">(D58+H58)-F58-J58</f>
        <v>345873.708464794</v>
      </c>
      <c r="H58" s="28" t="n">
        <f aca="false">IF($C$14="ON",IF(MONTH(C58)=1,SUMIFS('㉕ Funding Gap'!$C$40:$L$40,'㉕ Funding Gap'!$C$37:$L$37,YEAR(C58)),0),0)</f>
        <v>0</v>
      </c>
      <c r="I58" s="28" t="n">
        <f aca="false">IF((D58+H58)&lt;=0,0,-PMT($C$12,(YEAR($C$77)-YEAR(C58))*12+(MONTH($C$77)-MONTH(C58))+1,(D58+H58)))</f>
        <v>20239.6698601497</v>
      </c>
      <c r="J58" s="9" t="n">
        <f aca="false">IF(AND($C$15&lt;&gt;"",C58=$C$15),MAX(0,(D58+H58)-F58),0)</f>
        <v>0</v>
      </c>
      <c r="K58" s="9"/>
      <c r="L58" s="9"/>
      <c r="M58" s="9"/>
      <c r="N58" s="9"/>
    </row>
    <row r="59" customFormat="false" ht="15" hidden="false" customHeight="false" outlineLevel="0" collapsed="false">
      <c r="B59" s="328" t="n">
        <v>42</v>
      </c>
      <c r="C59" s="329" t="n">
        <f aca="false">EDATE(C58,1)</f>
        <v>48731</v>
      </c>
      <c r="D59" s="330" t="n">
        <f aca="false">G58</f>
        <v>345873.708464794</v>
      </c>
      <c r="E59" s="327" t="n">
        <f aca="false">(D59+H59)*$C$12</f>
        <v>3746.96517503527</v>
      </c>
      <c r="F59" s="327" t="n">
        <f aca="false">I59-E59</f>
        <v>16492.7046851144</v>
      </c>
      <c r="G59" s="327" t="n">
        <f aca="false">(D59+H59)-F59-J59</f>
        <v>329381.003779679</v>
      </c>
      <c r="H59" s="28" t="n">
        <f aca="false">IF($C$14="ON",IF(MONTH(C59)=1,SUMIFS('㉕ Funding Gap'!$C$40:$L$40,'㉕ Funding Gap'!$C$37:$L$37,YEAR(C59)),0),0)</f>
        <v>0</v>
      </c>
      <c r="I59" s="28" t="n">
        <f aca="false">IF((D59+H59)&lt;=0,0,-PMT($C$12,(YEAR($C$77)-YEAR(C59))*12+(MONTH($C$77)-MONTH(C59))+1,(D59+H59)))</f>
        <v>20239.6698601497</v>
      </c>
      <c r="J59" s="9" t="n">
        <f aca="false">IF(AND($C$15&lt;&gt;"",C59=$C$15),MAX(0,(D59+H59)-F59),0)</f>
        <v>0</v>
      </c>
      <c r="K59" s="9"/>
      <c r="L59" s="9"/>
      <c r="M59" s="9"/>
      <c r="N59" s="9"/>
    </row>
    <row r="60" customFormat="false" ht="15" hidden="false" customHeight="false" outlineLevel="0" collapsed="false">
      <c r="B60" s="328" t="n">
        <v>43</v>
      </c>
      <c r="C60" s="329" t="n">
        <f aca="false">EDATE(C59,1)</f>
        <v>48761</v>
      </c>
      <c r="D60" s="330" t="n">
        <f aca="false">G59</f>
        <v>329381.003779679</v>
      </c>
      <c r="E60" s="327" t="n">
        <f aca="false">(D60+H60)*$C$12</f>
        <v>3568.29420761319</v>
      </c>
      <c r="F60" s="327" t="n">
        <f aca="false">I60-E60</f>
        <v>16671.3756525365</v>
      </c>
      <c r="G60" s="327" t="n">
        <f aca="false">(D60+H60)-F60-J60</f>
        <v>312709.628127143</v>
      </c>
      <c r="H60" s="28" t="n">
        <f aca="false">IF($C$14="ON",IF(MONTH(C60)=1,SUMIFS('㉕ Funding Gap'!$C$40:$L$40,'㉕ Funding Gap'!$C$37:$L$37,YEAR(C60)),0),0)</f>
        <v>0</v>
      </c>
      <c r="I60" s="28" t="n">
        <f aca="false">IF((D60+H60)&lt;=0,0,-PMT($C$12,(YEAR($C$77)-YEAR(C60))*12+(MONTH($C$77)-MONTH(C60))+1,(D60+H60)))</f>
        <v>20239.6698601497</v>
      </c>
      <c r="J60" s="9" t="n">
        <f aca="false">IF(AND($C$15&lt;&gt;"",C60=$C$15),MAX(0,(D60+H60)-F60),0)</f>
        <v>0</v>
      </c>
      <c r="K60" s="9"/>
      <c r="L60" s="9"/>
      <c r="M60" s="9"/>
      <c r="N60" s="9"/>
    </row>
    <row r="61" customFormat="false" ht="15" hidden="false" customHeight="false" outlineLevel="0" collapsed="false">
      <c r="B61" s="328" t="n">
        <v>44</v>
      </c>
      <c r="C61" s="329" t="n">
        <f aca="false">EDATE(C60,1)</f>
        <v>48792</v>
      </c>
      <c r="D61" s="330" t="n">
        <f aca="false">G60</f>
        <v>312709.628127143</v>
      </c>
      <c r="E61" s="327" t="n">
        <f aca="false">(D61+H61)*$C$12</f>
        <v>3387.68763804405</v>
      </c>
      <c r="F61" s="327" t="n">
        <f aca="false">I61-E61</f>
        <v>16851.9822221056</v>
      </c>
      <c r="G61" s="327" t="n">
        <f aca="false">(D61+H61)-F61-J61</f>
        <v>295857.645905037</v>
      </c>
      <c r="H61" s="28" t="n">
        <f aca="false">IF($C$14="ON",IF(MONTH(C61)=1,SUMIFS('㉕ Funding Gap'!$C$40:$L$40,'㉕ Funding Gap'!$C$37:$L$37,YEAR(C61)),0),0)</f>
        <v>0</v>
      </c>
      <c r="I61" s="28" t="n">
        <f aca="false">IF((D61+H61)&lt;=0,0,-PMT($C$12,(YEAR($C$77)-YEAR(C61))*12+(MONTH($C$77)-MONTH(C61))+1,(D61+H61)))</f>
        <v>20239.6698601497</v>
      </c>
      <c r="J61" s="9" t="n">
        <f aca="false">IF(AND($C$15&lt;&gt;"",C61=$C$15),MAX(0,(D61+H61)-F61),0)</f>
        <v>0</v>
      </c>
      <c r="K61" s="9"/>
      <c r="L61" s="9"/>
      <c r="M61" s="9"/>
      <c r="N61" s="9"/>
    </row>
    <row r="62" customFormat="false" ht="15" hidden="false" customHeight="false" outlineLevel="0" collapsed="false">
      <c r="B62" s="328" t="n">
        <v>45</v>
      </c>
      <c r="C62" s="329" t="n">
        <f aca="false">EDATE(C61,1)</f>
        <v>48823</v>
      </c>
      <c r="D62" s="330" t="n">
        <f aca="false">G61</f>
        <v>295857.645905037</v>
      </c>
      <c r="E62" s="327" t="n">
        <f aca="false">(D62+H62)*$C$12</f>
        <v>3205.12449730457</v>
      </c>
      <c r="F62" s="327" t="n">
        <f aca="false">I62-E62</f>
        <v>17034.5453628451</v>
      </c>
      <c r="G62" s="327" t="n">
        <f aca="false">(D62+H62)-F62-J62</f>
        <v>278823.100542192</v>
      </c>
      <c r="H62" s="28" t="n">
        <f aca="false">IF($C$14="ON",IF(MONTH(C62)=1,SUMIFS('㉕ Funding Gap'!$C$40:$L$40,'㉕ Funding Gap'!$C$37:$L$37,YEAR(C62)),0),0)</f>
        <v>0</v>
      </c>
      <c r="I62" s="28" t="n">
        <f aca="false">IF((D62+H62)&lt;=0,0,-PMT($C$12,(YEAR($C$77)-YEAR(C62))*12+(MONTH($C$77)-MONTH(C62))+1,(D62+H62)))</f>
        <v>20239.6698601497</v>
      </c>
      <c r="J62" s="9" t="n">
        <f aca="false">IF(AND($C$15&lt;&gt;"",C62=$C$15),MAX(0,(D62+H62)-F62),0)</f>
        <v>0</v>
      </c>
      <c r="K62" s="9"/>
      <c r="L62" s="9"/>
      <c r="M62" s="9"/>
      <c r="N62" s="9"/>
    </row>
    <row r="63" customFormat="false" ht="15" hidden="false" customHeight="false" outlineLevel="0" collapsed="false">
      <c r="B63" s="328" t="n">
        <v>46</v>
      </c>
      <c r="C63" s="329" t="n">
        <f aca="false">EDATE(C62,1)</f>
        <v>48853</v>
      </c>
      <c r="D63" s="330" t="n">
        <f aca="false">G62</f>
        <v>278823.100542192</v>
      </c>
      <c r="E63" s="327" t="n">
        <f aca="false">(D63+H63)*$C$12</f>
        <v>3020.58358920708</v>
      </c>
      <c r="F63" s="327" t="n">
        <f aca="false">I63-E63</f>
        <v>17219.0862709426</v>
      </c>
      <c r="G63" s="327" t="n">
        <f aca="false">(D63+H63)-F63-J63</f>
        <v>261604.01427125</v>
      </c>
      <c r="H63" s="28" t="n">
        <f aca="false">IF($C$14="ON",IF(MONTH(C63)=1,SUMIFS('㉕ Funding Gap'!$C$40:$L$40,'㉕ Funding Gap'!$C$37:$L$37,YEAR(C63)),0),0)</f>
        <v>0</v>
      </c>
      <c r="I63" s="28" t="n">
        <f aca="false">IF((D63+H63)&lt;=0,0,-PMT($C$12,(YEAR($C$77)-YEAR(C63))*12+(MONTH($C$77)-MONTH(C63))+1,(D63+H63)))</f>
        <v>20239.6698601497</v>
      </c>
      <c r="J63" s="9" t="n">
        <f aca="false">IF(AND($C$15&lt;&gt;"",C63=$C$15),MAX(0,(D63+H63)-F63),0)</f>
        <v>0</v>
      </c>
      <c r="K63" s="9"/>
      <c r="L63" s="9"/>
      <c r="M63" s="9"/>
      <c r="N63" s="9"/>
    </row>
    <row r="64" customFormat="false" ht="15" hidden="false" customHeight="false" outlineLevel="0" collapsed="false">
      <c r="B64" s="328" t="n">
        <v>47</v>
      </c>
      <c r="C64" s="329" t="n">
        <f aca="false">EDATE(C63,1)</f>
        <v>48884</v>
      </c>
      <c r="D64" s="330" t="n">
        <f aca="false">G63</f>
        <v>261604.01427125</v>
      </c>
      <c r="E64" s="327" t="n">
        <f aca="false">(D64+H64)*$C$12</f>
        <v>2834.04348793854</v>
      </c>
      <c r="F64" s="327" t="n">
        <f aca="false">I64-E64</f>
        <v>17405.6263722111</v>
      </c>
      <c r="G64" s="327" t="n">
        <f aca="false">(D64+H64)-F64-J64</f>
        <v>244198.387899038</v>
      </c>
      <c r="H64" s="28" t="n">
        <f aca="false">IF($C$14="ON",IF(MONTH(C64)=1,SUMIFS('㉕ Funding Gap'!$C$40:$L$40,'㉕ Funding Gap'!$C$37:$L$37,YEAR(C64)),0),0)</f>
        <v>0</v>
      </c>
      <c r="I64" s="28" t="n">
        <f aca="false">IF((D64+H64)&lt;=0,0,-PMT($C$12,(YEAR($C$77)-YEAR(C64))*12+(MONTH($C$77)-MONTH(C64))+1,(D64+H64)))</f>
        <v>20239.6698601497</v>
      </c>
      <c r="J64" s="9" t="n">
        <f aca="false">IF(AND($C$15&lt;&gt;"",C64=$C$15),MAX(0,(D64+H64)-F64),0)</f>
        <v>0</v>
      </c>
      <c r="K64" s="9"/>
      <c r="L64" s="9"/>
      <c r="M64" s="9"/>
      <c r="N64" s="9"/>
    </row>
    <row r="65" customFormat="false" ht="15" hidden="false" customHeight="false" outlineLevel="0" collapsed="false">
      <c r="B65" s="328" t="n">
        <v>48</v>
      </c>
      <c r="C65" s="329" t="n">
        <f aca="false">EDATE(C64,1)</f>
        <v>48914</v>
      </c>
      <c r="D65" s="330" t="n">
        <f aca="false">G64</f>
        <v>244198.387899038</v>
      </c>
      <c r="E65" s="327" t="n">
        <f aca="false">(D65+H65)*$C$12</f>
        <v>2645.48253557292</v>
      </c>
      <c r="F65" s="327" t="n">
        <f aca="false">I65-E65</f>
        <v>17594.1873245767</v>
      </c>
      <c r="G65" s="327" t="n">
        <f aca="false">(D65+H65)-F65-J65</f>
        <v>226604.200574462</v>
      </c>
      <c r="H65" s="28" t="n">
        <f aca="false">IF($C$14="ON",IF(MONTH(C65)=1,SUMIFS('㉕ Funding Gap'!$C$40:$L$40,'㉕ Funding Gap'!$C$37:$L$37,YEAR(C65)),0),0)</f>
        <v>0</v>
      </c>
      <c r="I65" s="28" t="n">
        <f aca="false">IF((D65+H65)&lt;=0,0,-PMT($C$12,(YEAR($C$77)-YEAR(C65))*12+(MONTH($C$77)-MONTH(C65))+1,(D65+H65)))</f>
        <v>20239.6698601497</v>
      </c>
      <c r="J65" s="9" t="n">
        <f aca="false">IF(AND($C$15&lt;&gt;"",C65=$C$15),MAX(0,(D65+H65)-F65),0)</f>
        <v>0</v>
      </c>
      <c r="K65" s="9"/>
      <c r="L65" s="9"/>
      <c r="M65" s="9"/>
      <c r="N65" s="9"/>
    </row>
    <row r="66" customFormat="false" ht="15" hidden="false" customHeight="false" outlineLevel="0" collapsed="false">
      <c r="B66" s="328" t="n">
        <v>49</v>
      </c>
      <c r="C66" s="329" t="n">
        <f aca="false">EDATE(C65,1)</f>
        <v>48945</v>
      </c>
      <c r="D66" s="330" t="n">
        <f aca="false">G65</f>
        <v>226604.200574462</v>
      </c>
      <c r="E66" s="327" t="n">
        <f aca="false">(D66+H66)*$C$12</f>
        <v>2454.87883955667</v>
      </c>
      <c r="F66" s="327" t="n">
        <f aca="false">I66-E66</f>
        <v>17784.791020593</v>
      </c>
      <c r="G66" s="327" t="n">
        <f aca="false">(D66+H66)-F66-J66</f>
        <v>208819.409553869</v>
      </c>
      <c r="H66" s="28" t="n">
        <f aca="false">IF($C$14="ON",IF(MONTH(C66)=1,SUMIFS('㉕ Funding Gap'!$C$40:$L$40,'㉕ Funding Gap'!$C$37:$L$37,YEAR(C66)),0),0)</f>
        <v>0</v>
      </c>
      <c r="I66" s="28" t="n">
        <f aca="false">IF((D66+H66)&lt;=0,0,-PMT($C$12,(YEAR($C$77)-YEAR(C66))*12+(MONTH($C$77)-MONTH(C66))+1,(D66+H66)))</f>
        <v>20239.6698601497</v>
      </c>
      <c r="J66" s="9" t="n">
        <f aca="false">IF(AND($C$15&lt;&gt;"",C66=$C$15),MAX(0,(D66+H66)-F66),0)</f>
        <v>0</v>
      </c>
      <c r="K66" s="9"/>
      <c r="L66" s="9"/>
      <c r="M66" s="9"/>
      <c r="N66" s="9"/>
    </row>
    <row r="67" customFormat="false" ht="15" hidden="false" customHeight="false" outlineLevel="0" collapsed="false">
      <c r="B67" s="328" t="n">
        <v>50</v>
      </c>
      <c r="C67" s="329" t="n">
        <f aca="false">EDATE(C66,1)</f>
        <v>48976</v>
      </c>
      <c r="D67" s="330" t="n">
        <f aca="false">G66</f>
        <v>208819.409553869</v>
      </c>
      <c r="E67" s="327" t="n">
        <f aca="false">(D67+H67)*$C$12</f>
        <v>2262.21027016691</v>
      </c>
      <c r="F67" s="327" t="n">
        <f aca="false">I67-E67</f>
        <v>17977.4595899828</v>
      </c>
      <c r="G67" s="327" t="n">
        <f aca="false">(D67+H67)-F67-J67</f>
        <v>190841.949963886</v>
      </c>
      <c r="H67" s="28" t="n">
        <f aca="false">IF($C$14="ON",IF(MONTH(C67)=1,SUMIFS('㉕ Funding Gap'!$C$40:$L$40,'㉕ Funding Gap'!$C$37:$L$37,YEAR(C67)),0),0)</f>
        <v>0</v>
      </c>
      <c r="I67" s="28" t="n">
        <f aca="false">IF((D67+H67)&lt;=0,0,-PMT($C$12,(YEAR($C$77)-YEAR(C67))*12+(MONTH($C$77)-MONTH(C67))+1,(D67+H67)))</f>
        <v>20239.6698601497</v>
      </c>
      <c r="J67" s="9" t="n">
        <f aca="false">IF(AND($C$15&lt;&gt;"",C67=$C$15),MAX(0,(D67+H67)-F67),0)</f>
        <v>0</v>
      </c>
      <c r="K67" s="9"/>
      <c r="L67" s="9"/>
      <c r="M67" s="9"/>
      <c r="N67" s="9"/>
    </row>
    <row r="68" customFormat="false" ht="15" hidden="false" customHeight="false" outlineLevel="0" collapsed="false">
      <c r="B68" s="328" t="n">
        <v>51</v>
      </c>
      <c r="C68" s="329" t="n">
        <f aca="false">EDATE(C67,1)</f>
        <v>49004</v>
      </c>
      <c r="D68" s="330" t="n">
        <f aca="false">G67</f>
        <v>190841.949963886</v>
      </c>
      <c r="E68" s="327" t="n">
        <f aca="false">(D68+H68)*$C$12</f>
        <v>2067.4544579421</v>
      </c>
      <c r="F68" s="327" t="n">
        <f aca="false">I68-E68</f>
        <v>18172.2154022076</v>
      </c>
      <c r="G68" s="327" t="n">
        <f aca="false">(D68+H68)-F68-J68</f>
        <v>172669.734561678</v>
      </c>
      <c r="H68" s="28" t="n">
        <f aca="false">IF($C$14="ON",IF(MONTH(C68)=1,SUMIFS('㉕ Funding Gap'!$C$40:$L$40,'㉕ Funding Gap'!$C$37:$L$37,YEAR(C68)),0),0)</f>
        <v>0</v>
      </c>
      <c r="I68" s="28" t="n">
        <f aca="false">IF((D68+H68)&lt;=0,0,-PMT($C$12,(YEAR($C$77)-YEAR(C68))*12+(MONTH($C$77)-MONTH(C68))+1,(D68+H68)))</f>
        <v>20239.6698601497</v>
      </c>
      <c r="J68" s="9" t="n">
        <f aca="false">IF(AND($C$15&lt;&gt;"",C68=$C$15),MAX(0,(D68+H68)-F68),0)</f>
        <v>0</v>
      </c>
      <c r="K68" s="9"/>
      <c r="L68" s="9"/>
      <c r="M68" s="9"/>
      <c r="N68" s="9"/>
    </row>
    <row r="69" customFormat="false" ht="15" hidden="false" customHeight="false" outlineLevel="0" collapsed="false">
      <c r="B69" s="328" t="n">
        <v>52</v>
      </c>
      <c r="C69" s="329" t="n">
        <f aca="false">EDATE(C68,1)</f>
        <v>49035</v>
      </c>
      <c r="D69" s="330" t="n">
        <f aca="false">G68</f>
        <v>172669.734561678</v>
      </c>
      <c r="E69" s="327" t="n">
        <f aca="false">(D69+H69)*$C$12</f>
        <v>1870.58879108485</v>
      </c>
      <c r="F69" s="327" t="n">
        <f aca="false">I69-E69</f>
        <v>18369.0810690648</v>
      </c>
      <c r="G69" s="327" t="n">
        <f aca="false">(D69+H69)-F69-J69</f>
        <v>154300.653492614</v>
      </c>
      <c r="H69" s="28" t="n">
        <f aca="false">IF($C$14="ON",IF(MONTH(C69)=1,SUMIFS('㉕ Funding Gap'!$C$40:$L$40,'㉕ Funding Gap'!$C$37:$L$37,YEAR(C69)),0),0)</f>
        <v>0</v>
      </c>
      <c r="I69" s="28" t="n">
        <f aca="false">IF((D69+H69)&lt;=0,0,-PMT($C$12,(YEAR($C$77)-YEAR(C69))*12+(MONTH($C$77)-MONTH(C69))+1,(D69+H69)))</f>
        <v>20239.6698601497</v>
      </c>
      <c r="J69" s="9" t="n">
        <f aca="false">IF(AND($C$15&lt;&gt;"",C69=$C$15),MAX(0,(D69+H69)-F69),0)</f>
        <v>0</v>
      </c>
      <c r="K69" s="9"/>
      <c r="L69" s="9"/>
      <c r="M69" s="9"/>
      <c r="N69" s="9"/>
    </row>
    <row r="70" customFormat="false" ht="15" hidden="false" customHeight="false" outlineLevel="0" collapsed="false">
      <c r="B70" s="328" t="n">
        <v>53</v>
      </c>
      <c r="C70" s="329" t="n">
        <f aca="false">EDATE(C69,1)</f>
        <v>49065</v>
      </c>
      <c r="D70" s="330" t="n">
        <f aca="false">G69</f>
        <v>154300.653492614</v>
      </c>
      <c r="E70" s="327" t="n">
        <f aca="false">(D70+H70)*$C$12</f>
        <v>1671.59041283665</v>
      </c>
      <c r="F70" s="327" t="n">
        <f aca="false">I70-E70</f>
        <v>18568.079447313</v>
      </c>
      <c r="G70" s="327" t="n">
        <f aca="false">(D70+H70)-F70-J70</f>
        <v>135732.574045301</v>
      </c>
      <c r="H70" s="28" t="n">
        <f aca="false">IF($C$14="ON",IF(MONTH(C70)=1,SUMIFS('㉕ Funding Gap'!$C$40:$L$40,'㉕ Funding Gap'!$C$37:$L$37,YEAR(C70)),0),0)</f>
        <v>0</v>
      </c>
      <c r="I70" s="28" t="n">
        <f aca="false">IF((D70+H70)&lt;=0,0,-PMT($C$12,(YEAR($C$77)-YEAR(C70))*12+(MONTH($C$77)-MONTH(C70))+1,(D70+H70)))</f>
        <v>20239.6698601497</v>
      </c>
      <c r="J70" s="9" t="n">
        <f aca="false">IF(AND($C$15&lt;&gt;"",C70=$C$15),MAX(0,(D70+H70)-F70),0)</f>
        <v>0</v>
      </c>
      <c r="K70" s="9"/>
      <c r="L70" s="9"/>
      <c r="M70" s="9"/>
      <c r="N70" s="9"/>
    </row>
    <row r="71" customFormat="false" ht="15" hidden="false" customHeight="false" outlineLevel="0" collapsed="false">
      <c r="B71" s="328" t="n">
        <v>54</v>
      </c>
      <c r="C71" s="329" t="n">
        <f aca="false">EDATE(C70,1)</f>
        <v>49096</v>
      </c>
      <c r="D71" s="330" t="n">
        <f aca="false">G70</f>
        <v>135732.574045301</v>
      </c>
      <c r="E71" s="327" t="n">
        <f aca="false">(D71+H71)*$C$12</f>
        <v>1470.43621882409</v>
      </c>
      <c r="F71" s="327" t="n">
        <f aca="false">I71-E71</f>
        <v>18769.2336413256</v>
      </c>
      <c r="G71" s="327" t="n">
        <f aca="false">(D71+H71)-F71-J71</f>
        <v>116963.340403975</v>
      </c>
      <c r="H71" s="28" t="n">
        <f aca="false">IF($C$14="ON",IF(MONTH(C71)=1,SUMIFS('㉕ Funding Gap'!$C$40:$L$40,'㉕ Funding Gap'!$C$37:$L$37,YEAR(C71)),0),0)</f>
        <v>0</v>
      </c>
      <c r="I71" s="28" t="n">
        <f aca="false">IF((D71+H71)&lt;=0,0,-PMT($C$12,(YEAR($C$77)-YEAR(C71))*12+(MONTH($C$77)-MONTH(C71))+1,(D71+H71)))</f>
        <v>20239.6698601497</v>
      </c>
      <c r="J71" s="9" t="n">
        <f aca="false">IF(AND($C$15&lt;&gt;"",C71=$C$15),MAX(0,(D71+H71)-F71),0)</f>
        <v>0</v>
      </c>
      <c r="K71" s="9"/>
      <c r="L71" s="9"/>
      <c r="M71" s="9"/>
      <c r="N71" s="9"/>
    </row>
    <row r="72" customFormat="false" ht="15" hidden="false" customHeight="false" outlineLevel="0" collapsed="false">
      <c r="B72" s="328" t="n">
        <v>55</v>
      </c>
      <c r="C72" s="329" t="n">
        <f aca="false">EDATE(C71,1)</f>
        <v>49126</v>
      </c>
      <c r="D72" s="330" t="n">
        <f aca="false">G71</f>
        <v>116963.340403975</v>
      </c>
      <c r="E72" s="327" t="n">
        <f aca="false">(D72+H72)*$C$12</f>
        <v>1267.1028543764</v>
      </c>
      <c r="F72" s="327" t="n">
        <f aca="false">I72-E72</f>
        <v>18972.5670057733</v>
      </c>
      <c r="G72" s="327" t="n">
        <f aca="false">(D72+H72)-F72-J72</f>
        <v>97990.7733982017</v>
      </c>
      <c r="H72" s="28" t="n">
        <f aca="false">IF($C$14="ON",IF(MONTH(C72)=1,SUMIFS('㉕ Funding Gap'!$C$40:$L$40,'㉕ Funding Gap'!$C$37:$L$37,YEAR(C72)),0),0)</f>
        <v>0</v>
      </c>
      <c r="I72" s="28" t="n">
        <f aca="false">IF((D72+H72)&lt;=0,0,-PMT($C$12,(YEAR($C$77)-YEAR(C72))*12+(MONTH($C$77)-MONTH(C72))+1,(D72+H72)))</f>
        <v>20239.6698601497</v>
      </c>
      <c r="J72" s="9" t="n">
        <f aca="false">IF(AND($C$15&lt;&gt;"",C72=$C$15),MAX(0,(D72+H72)-F72),0)</f>
        <v>0</v>
      </c>
      <c r="K72" s="9"/>
      <c r="L72" s="9"/>
      <c r="M72" s="9"/>
      <c r="N72" s="9"/>
    </row>
    <row r="73" customFormat="false" ht="15" hidden="false" customHeight="false" outlineLevel="0" collapsed="false">
      <c r="B73" s="328" t="n">
        <v>56</v>
      </c>
      <c r="C73" s="329" t="n">
        <f aca="false">EDATE(C72,1)</f>
        <v>49157</v>
      </c>
      <c r="D73" s="330" t="n">
        <f aca="false">G72</f>
        <v>97990.7733982017</v>
      </c>
      <c r="E73" s="327" t="n">
        <f aca="false">(D73+H73)*$C$12</f>
        <v>1061.56671181385</v>
      </c>
      <c r="F73" s="327" t="n">
        <f aca="false">I73-E73</f>
        <v>19178.1031483358</v>
      </c>
      <c r="G73" s="327" t="n">
        <f aca="false">(D73+H73)-F73-J73</f>
        <v>78812.6702498659</v>
      </c>
      <c r="H73" s="28" t="n">
        <f aca="false">IF($C$14="ON",IF(MONTH(C73)=1,SUMIFS('㉕ Funding Gap'!$C$40:$L$40,'㉕ Funding Gap'!$C$37:$L$37,YEAR(C73)),0),0)</f>
        <v>0</v>
      </c>
      <c r="I73" s="28" t="n">
        <f aca="false">IF((D73+H73)&lt;=0,0,-PMT($C$12,(YEAR($C$77)-YEAR(C73))*12+(MONTH($C$77)-MONTH(C73))+1,(D73+H73)))</f>
        <v>20239.6698601497</v>
      </c>
      <c r="J73" s="9" t="n">
        <f aca="false">IF(AND($C$15&lt;&gt;"",C73=$C$15),MAX(0,(D73+H73)-F73),0)</f>
        <v>0</v>
      </c>
      <c r="K73" s="9"/>
      <c r="L73" s="9"/>
      <c r="M73" s="9"/>
      <c r="N73" s="9"/>
    </row>
    <row r="74" customFormat="false" ht="15" hidden="false" customHeight="false" outlineLevel="0" collapsed="false">
      <c r="B74" s="328" t="n">
        <v>57</v>
      </c>
      <c r="C74" s="329" t="n">
        <f aca="false">EDATE(C73,1)</f>
        <v>49188</v>
      </c>
      <c r="D74" s="330" t="n">
        <f aca="false">G73</f>
        <v>78812.6702498659</v>
      </c>
      <c r="E74" s="327" t="n">
        <f aca="false">(D74+H74)*$C$12</f>
        <v>853.803927706881</v>
      </c>
      <c r="F74" s="327" t="n">
        <f aca="false">I74-E74</f>
        <v>19385.8659324428</v>
      </c>
      <c r="G74" s="327" t="n">
        <f aca="false">(D74+H74)-F74-J74</f>
        <v>59426.8043174231</v>
      </c>
      <c r="H74" s="28" t="n">
        <f aca="false">IF($C$14="ON",IF(MONTH(C74)=1,SUMIFS('㉕ Funding Gap'!$C$40:$L$40,'㉕ Funding Gap'!$C$37:$L$37,YEAR(C74)),0),0)</f>
        <v>0</v>
      </c>
      <c r="I74" s="28" t="n">
        <f aca="false">IF((D74+H74)&lt;=0,0,-PMT($C$12,(YEAR($C$77)-YEAR(C74))*12+(MONTH($C$77)-MONTH(C74))+1,(D74+H74)))</f>
        <v>20239.6698601497</v>
      </c>
      <c r="J74" s="9" t="n">
        <f aca="false">IF(AND($C$15&lt;&gt;"",C74=$C$15),MAX(0,(D74+H74)-F74),0)</f>
        <v>0</v>
      </c>
      <c r="K74" s="9"/>
      <c r="L74" s="9"/>
      <c r="M74" s="9"/>
      <c r="N74" s="9"/>
    </row>
    <row r="75" customFormat="false" ht="15" hidden="false" customHeight="false" outlineLevel="0" collapsed="false">
      <c r="B75" s="328" t="n">
        <v>58</v>
      </c>
      <c r="C75" s="329" t="n">
        <f aca="false">EDATE(C74,1)</f>
        <v>49218</v>
      </c>
      <c r="D75" s="330" t="n">
        <f aca="false">G74</f>
        <v>59426.8043174231</v>
      </c>
      <c r="E75" s="327" t="n">
        <f aca="false">(D75+H75)*$C$12</f>
        <v>643.790380105417</v>
      </c>
      <c r="F75" s="327" t="n">
        <f aca="false">I75-E75</f>
        <v>19595.8794800442</v>
      </c>
      <c r="G75" s="327" t="n">
        <f aca="false">(D75+H75)-F75-J75</f>
        <v>39830.9248373789</v>
      </c>
      <c r="H75" s="28" t="n">
        <f aca="false">IF($C$14="ON",IF(MONTH(C75)=1,SUMIFS('㉕ Funding Gap'!$C$40:$L$40,'㉕ Funding Gap'!$C$37:$L$37,YEAR(C75)),0),0)</f>
        <v>0</v>
      </c>
      <c r="I75" s="28" t="n">
        <f aca="false">IF((D75+H75)&lt;=0,0,-PMT($C$12,(YEAR($C$77)-YEAR(C75))*12+(MONTH($C$77)-MONTH(C75))+1,(D75+H75)))</f>
        <v>20239.6698601497</v>
      </c>
      <c r="J75" s="9" t="n">
        <f aca="false">IF(AND($C$15&lt;&gt;"",C75=$C$15),MAX(0,(D75+H75)-F75),0)</f>
        <v>0</v>
      </c>
      <c r="K75" s="9"/>
      <c r="L75" s="9"/>
      <c r="M75" s="9"/>
      <c r="N75" s="9"/>
    </row>
    <row r="76" customFormat="false" ht="15" hidden="false" customHeight="false" outlineLevel="0" collapsed="false">
      <c r="B76" s="328" t="n">
        <v>59</v>
      </c>
      <c r="C76" s="329" t="n">
        <f aca="false">EDATE(C75,1)</f>
        <v>49249</v>
      </c>
      <c r="D76" s="330" t="n">
        <f aca="false">G75</f>
        <v>39830.9248373789</v>
      </c>
      <c r="E76" s="327" t="n">
        <f aca="false">(D76+H76)*$C$12</f>
        <v>431.501685738271</v>
      </c>
      <c r="F76" s="327" t="n">
        <f aca="false">I76-E76</f>
        <v>19808.1681744114</v>
      </c>
      <c r="G76" s="327" t="n">
        <f aca="false">(D76+H76)-F76-J76</f>
        <v>20022.7566629675</v>
      </c>
      <c r="H76" s="28" t="n">
        <f aca="false">IF($C$14="ON",IF(MONTH(C76)=1,SUMIFS('㉕ Funding Gap'!$C$40:$L$40,'㉕ Funding Gap'!$C$37:$L$37,YEAR(C76)),0),0)</f>
        <v>0</v>
      </c>
      <c r="I76" s="28" t="n">
        <f aca="false">IF((D76+H76)&lt;=0,0,-PMT($C$12,(YEAR($C$77)-YEAR(C76))*12+(MONTH($C$77)-MONTH(C76))+1,(D76+H76)))</f>
        <v>20239.6698601497</v>
      </c>
      <c r="J76" s="9" t="n">
        <f aca="false">IF(AND($C$15&lt;&gt;"",C76=$C$15),MAX(0,(D76+H76)-F76),0)</f>
        <v>0</v>
      </c>
      <c r="K76" s="9"/>
      <c r="L76" s="9"/>
      <c r="M76" s="9"/>
      <c r="N76" s="9"/>
    </row>
    <row r="77" customFormat="false" ht="15" hidden="false" customHeight="false" outlineLevel="0" collapsed="false">
      <c r="B77" s="331" t="n">
        <v>60</v>
      </c>
      <c r="C77" s="329" t="n">
        <f aca="false">EDATE(C76,1)</f>
        <v>49279</v>
      </c>
      <c r="D77" s="330" t="n">
        <f aca="false">G76</f>
        <v>20022.7566629675</v>
      </c>
      <c r="E77" s="327" t="n">
        <f aca="false">(D77+H77)*$C$12</f>
        <v>216.913197182148</v>
      </c>
      <c r="F77" s="327" t="n">
        <f aca="false">I77-E77</f>
        <v>20022.7566629675</v>
      </c>
      <c r="G77" s="327" t="n">
        <f aca="false">(D77+H77)-F77-J77</f>
        <v>0</v>
      </c>
      <c r="H77" s="28" t="n">
        <f aca="false">IF($C$14="ON",IF(MONTH(C77)=1,SUMIFS('㉕ Funding Gap'!$C$40:$L$40,'㉕ Funding Gap'!$C$37:$L$37,YEAR(C77)),0),0)</f>
        <v>0</v>
      </c>
      <c r="I77" s="28" t="n">
        <f aca="false">IF((D77+H77)&lt;=0,0,-PMT($C$12,(YEAR($C$77)-YEAR(C77))*12+(MONTH($C$77)-MONTH(C77))+1,(D77+H77)))</f>
        <v>20239.6698601497</v>
      </c>
      <c r="J77" s="9" t="n">
        <f aca="false">IF(AND($C$15&lt;&gt;"",C77=$C$15),MAX(0,(D77+H77)-F77),0)</f>
        <v>0</v>
      </c>
      <c r="K77" s="9"/>
      <c r="L77" s="9"/>
      <c r="M77" s="9"/>
      <c r="N77" s="9"/>
    </row>
    <row r="78" customFormat="false" ht="15.75" hidden="false" customHeight="true" outlineLevel="0" collapsed="false">
      <c r="B78" s="128" t="s">
        <v>124</v>
      </c>
      <c r="C78" s="128"/>
      <c r="D78" s="128"/>
      <c r="E78" s="129" t="n">
        <f aca="false">SUM(E18:E77)</f>
        <v>253415.21624639</v>
      </c>
      <c r="F78" s="129" t="n">
        <f aca="false">SUM(F18:F77)</f>
        <v>800000</v>
      </c>
      <c r="G78" s="128"/>
      <c r="H78" s="9"/>
      <c r="I78" s="9"/>
      <c r="J78" s="9"/>
      <c r="K78" s="9"/>
      <c r="L78" s="9"/>
      <c r="M78" s="9"/>
      <c r="N78" s="9"/>
    </row>
    <row r="79" customFormat="false" ht="15.75" hidden="false" customHeight="true" outlineLevel="0" collapsed="false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customFormat="false" ht="15" hidden="false" customHeight="false" outlineLevel="0" collapsed="false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customFormat="false" ht="15" hidden="false" customHeight="false" outlineLevel="0" collapsed="false">
      <c r="B81" s="26" t="s">
        <v>968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9"/>
    </row>
    <row r="82" customFormat="false" ht="15" hidden="false" customHeight="false" outlineLevel="0" collapsed="false">
      <c r="B82" s="26" t="s">
        <v>1164</v>
      </c>
      <c r="C82" s="178" t="n">
        <v>2025</v>
      </c>
      <c r="D82" s="178" t="n">
        <v>2026</v>
      </c>
      <c r="E82" s="178" t="n">
        <v>2027</v>
      </c>
      <c r="F82" s="178" t="n">
        <v>2028</v>
      </c>
      <c r="G82" s="178" t="n">
        <v>2029</v>
      </c>
      <c r="H82" s="178" t="n">
        <v>2030</v>
      </c>
      <c r="I82" s="178" t="n">
        <v>2031</v>
      </c>
      <c r="J82" s="178" t="n">
        <v>2032</v>
      </c>
      <c r="K82" s="178" t="n">
        <v>2033</v>
      </c>
      <c r="L82" s="178" t="n">
        <v>2034</v>
      </c>
      <c r="M82" s="26" t="s">
        <v>1028</v>
      </c>
      <c r="N82" s="9"/>
    </row>
    <row r="83" customFormat="false" ht="15" hidden="false" customHeight="false" outlineLevel="0" collapsed="false">
      <c r="B83" s="18" t="s">
        <v>1363</v>
      </c>
      <c r="C83" s="180" t="n">
        <v>0</v>
      </c>
      <c r="D83" s="180" t="n">
        <v>0</v>
      </c>
      <c r="E83" s="180" t="n">
        <f aca="false">G25</f>
        <v>270284.105600618</v>
      </c>
      <c r="F83" s="180" t="n">
        <f aca="false">G37</f>
        <v>654164.173408322</v>
      </c>
      <c r="G83" s="180" t="n">
        <f aca="false">G49</f>
        <v>486577.13692288</v>
      </c>
      <c r="H83" s="180" t="n">
        <f aca="false">G61</f>
        <v>295857.645905037</v>
      </c>
      <c r="I83" s="180" t="n">
        <f aca="false">G73</f>
        <v>78812.6702498659</v>
      </c>
      <c r="J83" s="180" t="n">
        <v>0</v>
      </c>
      <c r="K83" s="180" t="n">
        <v>0</v>
      </c>
      <c r="L83" s="180" t="n">
        <v>0</v>
      </c>
      <c r="M83" s="9"/>
      <c r="N83" s="9"/>
    </row>
    <row r="84" customFormat="false" ht="15" hidden="false" customHeight="false" outlineLevel="0" collapsed="false">
      <c r="B84" s="18" t="s">
        <v>1370</v>
      </c>
      <c r="C84" s="180" t="n">
        <v>0</v>
      </c>
      <c r="D84" s="180" t="n">
        <f aca="false">$C$9</f>
        <v>782800</v>
      </c>
      <c r="E84" s="180" t="n">
        <v>0</v>
      </c>
      <c r="F84" s="180" t="n">
        <v>0</v>
      </c>
      <c r="G84" s="180" t="n">
        <v>0</v>
      </c>
      <c r="H84" s="180" t="n">
        <v>0</v>
      </c>
      <c r="I84" s="180" t="n">
        <v>0</v>
      </c>
      <c r="J84" s="180" t="n">
        <v>0</v>
      </c>
      <c r="K84" s="180" t="n">
        <v>0</v>
      </c>
      <c r="L84" s="180" t="n">
        <v>0</v>
      </c>
      <c r="M84" s="180" t="n">
        <f aca="false">SUM(C84:L84)</f>
        <v>782800</v>
      </c>
      <c r="N84" s="9"/>
    </row>
    <row r="85" customFormat="false" ht="15" hidden="false" customHeight="false" outlineLevel="0" collapsed="false">
      <c r="B85" s="18" t="s">
        <v>1371</v>
      </c>
      <c r="C85" s="180" t="n">
        <v>0</v>
      </c>
      <c r="D85" s="180" t="n">
        <f aca="false">-SUM(E18:E25)</f>
        <v>-24891.4809067557</v>
      </c>
      <c r="E85" s="180" t="n">
        <f aca="false">-SUM(E26:E37)</f>
        <v>-73101.1143419693</v>
      </c>
      <c r="F85" s="180" t="n">
        <f aca="false">-SUM(E38:E49)</f>
        <v>-75289.0018363543</v>
      </c>
      <c r="G85" s="180" t="n">
        <f aca="false">-SUM(E50:E61)</f>
        <v>-52156.5473039532</v>
      </c>
      <c r="H85" s="180" t="n">
        <f aca="false">-SUM(E62:E73)</f>
        <v>-25831.0626666246</v>
      </c>
      <c r="I85" s="180" t="n">
        <f aca="false">-SUM(E74:E77)</f>
        <v>-2146.00919073272</v>
      </c>
      <c r="J85" s="180" t="n">
        <v>0</v>
      </c>
      <c r="K85" s="180" t="n">
        <v>0</v>
      </c>
      <c r="L85" s="180" t="n">
        <v>0</v>
      </c>
      <c r="M85" s="180" t="n">
        <f aca="false">SUM(C85:L85)</f>
        <v>-253415.21624639</v>
      </c>
      <c r="N85" s="9"/>
    </row>
    <row r="86" customFormat="false" ht="15" hidden="false" customHeight="false" outlineLevel="0" collapsed="false">
      <c r="B86" s="18" t="s">
        <v>1372</v>
      </c>
      <c r="C86" s="180" t="n">
        <v>0</v>
      </c>
      <c r="D86" s="180" t="n">
        <f aca="false">-SUM(F18:F25)</f>
        <v>-29715.8943993819</v>
      </c>
      <c r="E86" s="180" t="n">
        <f aca="false">-SUM(F26:F37)</f>
        <v>-116119.932192297</v>
      </c>
      <c r="F86" s="180" t="n">
        <f aca="false">-SUM(F38:F49)</f>
        <v>-167587.036485442</v>
      </c>
      <c r="G86" s="180" t="n">
        <f aca="false">-SUM(F50:F61)</f>
        <v>-190719.491017843</v>
      </c>
      <c r="H86" s="180" t="n">
        <f aca="false">-SUM(F62:F73)</f>
        <v>-217044.975655171</v>
      </c>
      <c r="I86" s="180" t="n">
        <f aca="false">-SUM(F74:F77)</f>
        <v>-78812.6702498659</v>
      </c>
      <c r="J86" s="180" t="n">
        <v>0</v>
      </c>
      <c r="K86" s="180" t="n">
        <v>0</v>
      </c>
      <c r="L86" s="180" t="n">
        <v>0</v>
      </c>
      <c r="M86" s="180" t="n">
        <f aca="false">SUM(C86:L86)</f>
        <v>-800000</v>
      </c>
      <c r="N86" s="9"/>
    </row>
    <row r="87" customFormat="false" ht="15" hidden="false" customHeight="false" outlineLevel="0" collapsed="false">
      <c r="B87" s="18" t="s">
        <v>1373</v>
      </c>
      <c r="C87" s="180" t="n">
        <v>0</v>
      </c>
      <c r="D87" s="180" t="n">
        <f aca="false">-$C$7*$C$8</f>
        <v>-17200</v>
      </c>
      <c r="E87" s="180" t="n">
        <v>0</v>
      </c>
      <c r="F87" s="180" t="n">
        <v>0</v>
      </c>
      <c r="G87" s="180" t="n">
        <v>0</v>
      </c>
      <c r="H87" s="180" t="n">
        <v>0</v>
      </c>
      <c r="I87" s="180" t="n">
        <v>0</v>
      </c>
      <c r="J87" s="180" t="n">
        <v>0</v>
      </c>
      <c r="K87" s="180" t="n">
        <v>0</v>
      </c>
      <c r="L87" s="180" t="n">
        <v>0</v>
      </c>
      <c r="M87" s="180" t="n">
        <f aca="false">SUM(C87:L87)</f>
        <v>-17200</v>
      </c>
      <c r="N87" s="9"/>
    </row>
    <row r="88" customFormat="false" ht="15.75" hidden="false" customHeight="true" outlineLevel="0" collapsed="false">
      <c r="B88" s="183" t="s">
        <v>1374</v>
      </c>
      <c r="C88" s="184" t="n">
        <f aca="false">C84+C85+C86+C87</f>
        <v>0</v>
      </c>
      <c r="D88" s="184" t="n">
        <f aca="false">D84+D85+D86+D87</f>
        <v>710992.624693862</v>
      </c>
      <c r="E88" s="184" t="n">
        <f aca="false">E84+E85+E86+E87</f>
        <v>-189221.046534266</v>
      </c>
      <c r="F88" s="184" t="n">
        <f aca="false">F84+F85+F86+F87</f>
        <v>-242876.038321796</v>
      </c>
      <c r="G88" s="184" t="n">
        <f aca="false">G84+G85+G86+G87</f>
        <v>-242876.038321796</v>
      </c>
      <c r="H88" s="184" t="n">
        <f aca="false">H84+H85+H86+H87</f>
        <v>-242876.038321796</v>
      </c>
      <c r="I88" s="184" t="n">
        <f aca="false">I84+I85+I86+I87</f>
        <v>-80958.6794405986</v>
      </c>
      <c r="J88" s="184" t="n">
        <f aca="false">J84+J85+J86+J87</f>
        <v>0</v>
      </c>
      <c r="K88" s="184" t="n">
        <f aca="false">K84+K85+K86+K87</f>
        <v>0</v>
      </c>
      <c r="L88" s="184" t="n">
        <f aca="false">L84+L85+L86+L87</f>
        <v>0</v>
      </c>
      <c r="M88" s="184" t="n">
        <f aca="false">SUM(C88:L88)</f>
        <v>-287815.21624639</v>
      </c>
      <c r="N88" s="9"/>
    </row>
    <row r="89" customFormat="false" ht="15.75" hidden="false" customHeight="true" outlineLevel="0" collapsed="false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customFormat="false" ht="15" hidden="false" customHeight="false" outlineLevel="0" collapsed="false">
      <c r="B90" s="285" t="s">
        <v>1375</v>
      </c>
      <c r="C90" s="332" t="n">
        <v>0</v>
      </c>
      <c r="D90" s="179" t="n">
        <f aca="false">G25</f>
        <v>270284.105600618</v>
      </c>
      <c r="E90" s="179" t="n">
        <f aca="false">G37</f>
        <v>654164.173408322</v>
      </c>
      <c r="F90" s="179" t="n">
        <f aca="false">G49</f>
        <v>486577.13692288</v>
      </c>
      <c r="G90" s="179" t="n">
        <f aca="false">G61</f>
        <v>295857.645905037</v>
      </c>
      <c r="H90" s="179" t="n">
        <f aca="false">G73</f>
        <v>78812.6702498659</v>
      </c>
      <c r="I90" s="179" t="n">
        <v>0</v>
      </c>
      <c r="J90" s="332" t="n">
        <v>0</v>
      </c>
      <c r="K90" s="332" t="n">
        <v>0</v>
      </c>
      <c r="L90" s="332" t="n">
        <v>0</v>
      </c>
      <c r="M90" s="9"/>
      <c r="N90" s="9"/>
    </row>
    <row r="93" customFormat="false" ht="15" hidden="false" customHeight="false" outlineLevel="0" collapsed="false">
      <c r="B93" s="14" t="s">
        <v>1376</v>
      </c>
    </row>
    <row r="94" customFormat="false" ht="15" hidden="false" customHeight="false" outlineLevel="0" collapsed="false">
      <c r="B94" s="0" t="s">
        <v>1377</v>
      </c>
      <c r="C94" s="333" t="n">
        <f aca="false">'EEFF a septiemrbe'!J52</f>
        <v>100338.96</v>
      </c>
      <c r="E94" s="276" t="s">
        <v>1378</v>
      </c>
    </row>
    <row r="95" customFormat="false" ht="15" hidden="false" customHeight="false" outlineLevel="0" collapsed="false">
      <c r="B95" s="0" t="s">
        <v>1379</v>
      </c>
      <c r="C95" s="333" t="n">
        <f aca="false">68.28*365/12</f>
        <v>2076.85</v>
      </c>
      <c r="E95" s="276" t="s">
        <v>1380</v>
      </c>
    </row>
    <row r="96" customFormat="false" ht="15" hidden="false" customHeight="false" outlineLevel="0" collapsed="false">
      <c r="B96" s="0" t="s">
        <v>1381</v>
      </c>
      <c r="C96" s="22" t="n">
        <v>0.11</v>
      </c>
      <c r="D96" s="276" t="s">
        <v>1382</v>
      </c>
      <c r="E96" s="276" t="s">
        <v>1383</v>
      </c>
    </row>
    <row r="97" customFormat="false" ht="15" hidden="false" customHeight="false" outlineLevel="0" collapsed="false">
      <c r="B97" s="14" t="s">
        <v>1073</v>
      </c>
      <c r="C97" s="14" t="s">
        <v>1384</v>
      </c>
      <c r="D97" s="14" t="s">
        <v>1385</v>
      </c>
      <c r="E97" s="14" t="s">
        <v>1386</v>
      </c>
      <c r="F97" s="14" t="s">
        <v>1387</v>
      </c>
      <c r="G97" s="14" t="s">
        <v>1388</v>
      </c>
    </row>
    <row r="98" customFormat="false" ht="15" hidden="false" customHeight="false" outlineLevel="0" collapsed="false">
      <c r="B98" s="0" t="n">
        <v>1</v>
      </c>
      <c r="C98" s="334" t="n">
        <f aca="false">DATE(2026,10,1)</f>
        <v>46296</v>
      </c>
      <c r="D98" s="333" t="n">
        <f aca="false">$C$94</f>
        <v>100338.96</v>
      </c>
      <c r="E98" s="333" t="n">
        <f aca="false">D98*$C$96/12</f>
        <v>919.7738</v>
      </c>
      <c r="F98" s="333" t="n">
        <f aca="false">MIN(D98,MAX(0,$C$95-E98))</f>
        <v>1157.0762</v>
      </c>
      <c r="G98" s="333" t="n">
        <f aca="false">D98-F98</f>
        <v>99181.8838</v>
      </c>
    </row>
    <row r="99" customFormat="false" ht="15" hidden="false" customHeight="false" outlineLevel="0" collapsed="false">
      <c r="B99" s="0" t="n">
        <v>2</v>
      </c>
      <c r="C99" s="334" t="n">
        <f aca="false">EDATE(C98,1)</f>
        <v>46327</v>
      </c>
      <c r="D99" s="333" t="n">
        <f aca="false">G98</f>
        <v>99181.8838</v>
      </c>
      <c r="E99" s="333" t="n">
        <f aca="false">D99*$C$96/12</f>
        <v>909.167268166667</v>
      </c>
      <c r="F99" s="333" t="n">
        <f aca="false">MIN(D99,MAX(0,$C$95-E99))</f>
        <v>1167.68273183333</v>
      </c>
      <c r="G99" s="333" t="n">
        <f aca="false">D99-F99</f>
        <v>98014.2010681667</v>
      </c>
    </row>
    <row r="100" customFormat="false" ht="15" hidden="false" customHeight="false" outlineLevel="0" collapsed="false">
      <c r="B100" s="0" t="n">
        <v>3</v>
      </c>
      <c r="C100" s="334" t="n">
        <f aca="false">EDATE(C99,1)</f>
        <v>46357</v>
      </c>
      <c r="D100" s="333" t="n">
        <f aca="false">G99</f>
        <v>98014.2010681667</v>
      </c>
      <c r="E100" s="333" t="n">
        <f aca="false">D100*$C$96/12</f>
        <v>898.463509791528</v>
      </c>
      <c r="F100" s="333" t="n">
        <f aca="false">MIN(D100,MAX(0,$C$95-E100))</f>
        <v>1178.38649020847</v>
      </c>
      <c r="G100" s="333" t="n">
        <f aca="false">D100-F100</f>
        <v>96835.8145779582</v>
      </c>
    </row>
    <row r="101" customFormat="false" ht="15" hidden="false" customHeight="false" outlineLevel="0" collapsed="false">
      <c r="B101" s="0" t="n">
        <v>4</v>
      </c>
      <c r="C101" s="334" t="n">
        <f aca="false">EDATE(C100,1)</f>
        <v>46388</v>
      </c>
      <c r="D101" s="333" t="n">
        <f aca="false">G100</f>
        <v>96835.8145779582</v>
      </c>
      <c r="E101" s="333" t="n">
        <f aca="false">D101*$C$96/12</f>
        <v>887.661633631284</v>
      </c>
      <c r="F101" s="333" t="n">
        <f aca="false">MIN(D101,MAX(0,$C$95-E101))</f>
        <v>1189.18836636872</v>
      </c>
      <c r="G101" s="333" t="n">
        <f aca="false">D101-F101</f>
        <v>95646.6262115895</v>
      </c>
    </row>
    <row r="102" customFormat="false" ht="15" hidden="false" customHeight="false" outlineLevel="0" collapsed="false">
      <c r="B102" s="0" t="n">
        <v>5</v>
      </c>
      <c r="C102" s="334" t="n">
        <f aca="false">EDATE(C101,1)</f>
        <v>46419</v>
      </c>
      <c r="D102" s="333" t="n">
        <f aca="false">G101</f>
        <v>95646.6262115895</v>
      </c>
      <c r="E102" s="333" t="n">
        <f aca="false">D102*$C$96/12</f>
        <v>876.760740272904</v>
      </c>
      <c r="F102" s="333" t="n">
        <f aca="false">MIN(D102,MAX(0,$C$95-E102))</f>
        <v>1200.0892597271</v>
      </c>
      <c r="G102" s="333" t="n">
        <f aca="false">D102-F102</f>
        <v>94446.5369518624</v>
      </c>
    </row>
    <row r="103" customFormat="false" ht="15" hidden="false" customHeight="false" outlineLevel="0" collapsed="false">
      <c r="B103" s="0" t="n">
        <v>6</v>
      </c>
      <c r="C103" s="334" t="n">
        <f aca="false">EDATE(C102,1)</f>
        <v>46447</v>
      </c>
      <c r="D103" s="333" t="n">
        <f aca="false">G102</f>
        <v>94446.5369518624</v>
      </c>
      <c r="E103" s="333" t="n">
        <f aca="false">D103*$C$96/12</f>
        <v>865.759922058739</v>
      </c>
      <c r="F103" s="333" t="n">
        <f aca="false">MIN(D103,MAX(0,$C$95-E103))</f>
        <v>1211.09007794126</v>
      </c>
      <c r="G103" s="333" t="n">
        <f aca="false">D103-F103</f>
        <v>93235.4468739211</v>
      </c>
    </row>
    <row r="104" customFormat="false" ht="15" hidden="false" customHeight="false" outlineLevel="0" collapsed="false">
      <c r="B104" s="0" t="n">
        <v>7</v>
      </c>
      <c r="C104" s="334" t="n">
        <f aca="false">EDATE(C103,1)</f>
        <v>46478</v>
      </c>
      <c r="D104" s="333" t="n">
        <f aca="false">G103</f>
        <v>93235.4468739211</v>
      </c>
      <c r="E104" s="333" t="n">
        <f aca="false">D104*$C$96/12</f>
        <v>854.658263010944</v>
      </c>
      <c r="F104" s="333" t="n">
        <f aca="false">MIN(D104,MAX(0,$C$95-E104))</f>
        <v>1222.19173698906</v>
      </c>
      <c r="G104" s="333" t="n">
        <f aca="false">D104-F104</f>
        <v>92013.2551369321</v>
      </c>
    </row>
    <row r="105" customFormat="false" ht="15" hidden="false" customHeight="false" outlineLevel="0" collapsed="false">
      <c r="B105" s="0" t="n">
        <v>8</v>
      </c>
      <c r="C105" s="334" t="n">
        <f aca="false">EDATE(C104,1)</f>
        <v>46508</v>
      </c>
      <c r="D105" s="333" t="n">
        <f aca="false">G104</f>
        <v>92013.2551369321</v>
      </c>
      <c r="E105" s="333" t="n">
        <f aca="false">D105*$C$96/12</f>
        <v>843.454838755211</v>
      </c>
      <c r="F105" s="333" t="n">
        <f aca="false">MIN(D105,MAX(0,$C$95-E105))</f>
        <v>1233.39516124479</v>
      </c>
      <c r="G105" s="333" t="n">
        <f aca="false">D105-F105</f>
        <v>90779.8599756873</v>
      </c>
    </row>
    <row r="106" customFormat="false" ht="15" hidden="false" customHeight="false" outlineLevel="0" collapsed="false">
      <c r="B106" s="0" t="n">
        <v>9</v>
      </c>
      <c r="C106" s="334" t="n">
        <f aca="false">EDATE(C105,1)</f>
        <v>46539</v>
      </c>
      <c r="D106" s="333" t="n">
        <f aca="false">G105</f>
        <v>90779.8599756873</v>
      </c>
      <c r="E106" s="333" t="n">
        <f aca="false">D106*$C$96/12</f>
        <v>832.1487164438</v>
      </c>
      <c r="F106" s="333" t="n">
        <f aca="false">MIN(D106,MAX(0,$C$95-E106))</f>
        <v>1244.7012835562</v>
      </c>
      <c r="G106" s="333" t="n">
        <f aca="false">D106-F106</f>
        <v>89535.1586921311</v>
      </c>
    </row>
    <row r="107" customFormat="false" ht="15" hidden="false" customHeight="false" outlineLevel="0" collapsed="false">
      <c r="B107" s="0" t="n">
        <v>10</v>
      </c>
      <c r="C107" s="334" t="n">
        <f aca="false">EDATE(C106,1)</f>
        <v>46569</v>
      </c>
      <c r="D107" s="333" t="n">
        <f aca="false">G106</f>
        <v>89535.1586921311</v>
      </c>
      <c r="E107" s="333" t="n">
        <f aca="false">D107*$C$96/12</f>
        <v>820.738954677868</v>
      </c>
      <c r="F107" s="333" t="n">
        <f aca="false">MIN(D107,MAX(0,$C$95-E107))</f>
        <v>1256.11104532213</v>
      </c>
      <c r="G107" s="333" t="n">
        <f aca="false">D107-F107</f>
        <v>88279.0476468089</v>
      </c>
    </row>
    <row r="108" customFormat="false" ht="15" hidden="false" customHeight="false" outlineLevel="0" collapsed="false">
      <c r="B108" s="0" t="n">
        <v>11</v>
      </c>
      <c r="C108" s="334" t="n">
        <f aca="false">EDATE(C107,1)</f>
        <v>46600</v>
      </c>
      <c r="D108" s="333" t="n">
        <f aca="false">G107</f>
        <v>88279.0476468089</v>
      </c>
      <c r="E108" s="333" t="n">
        <f aca="false">D108*$C$96/12</f>
        <v>809.224603429082</v>
      </c>
      <c r="F108" s="333" t="n">
        <f aca="false">MIN(D108,MAX(0,$C$95-E108))</f>
        <v>1267.62539657092</v>
      </c>
      <c r="G108" s="333" t="n">
        <f aca="false">D108-F108</f>
        <v>87011.422250238</v>
      </c>
    </row>
    <row r="109" customFormat="false" ht="15" hidden="false" customHeight="false" outlineLevel="0" collapsed="false">
      <c r="B109" s="0" t="n">
        <v>12</v>
      </c>
      <c r="C109" s="334" t="n">
        <f aca="false">EDATE(C108,1)</f>
        <v>46631</v>
      </c>
      <c r="D109" s="333" t="n">
        <f aca="false">G108</f>
        <v>87011.422250238</v>
      </c>
      <c r="E109" s="333" t="n">
        <f aca="false">D109*$C$96/12</f>
        <v>797.604703960515</v>
      </c>
      <c r="F109" s="333" t="n">
        <f aca="false">MIN(D109,MAX(0,$C$95-E109))</f>
        <v>1279.24529603948</v>
      </c>
      <c r="G109" s="333" t="n">
        <f aca="false">D109-F109</f>
        <v>85732.1769541985</v>
      </c>
    </row>
    <row r="110" customFormat="false" ht="15" hidden="false" customHeight="false" outlineLevel="0" collapsed="false">
      <c r="B110" s="0" t="n">
        <v>13</v>
      </c>
      <c r="C110" s="334" t="n">
        <f aca="false">EDATE(C109,1)</f>
        <v>46661</v>
      </c>
      <c r="D110" s="333" t="n">
        <f aca="false">G109</f>
        <v>85732.1769541985</v>
      </c>
      <c r="E110" s="333" t="n">
        <f aca="false">D110*$C$96/12</f>
        <v>785.87828874682</v>
      </c>
      <c r="F110" s="333" t="n">
        <f aca="false">MIN(D110,MAX(0,$C$95-E110))</f>
        <v>1290.97171125318</v>
      </c>
      <c r="G110" s="333" t="n">
        <f aca="false">D110-F110</f>
        <v>84441.2052429454</v>
      </c>
    </row>
    <row r="111" customFormat="false" ht="15" hidden="false" customHeight="false" outlineLevel="0" collapsed="false">
      <c r="B111" s="0" t="n">
        <v>14</v>
      </c>
      <c r="C111" s="334" t="n">
        <f aca="false">EDATE(C110,1)</f>
        <v>46692</v>
      </c>
      <c r="D111" s="333" t="n">
        <f aca="false">G110</f>
        <v>84441.2052429454</v>
      </c>
      <c r="E111" s="333" t="n">
        <f aca="false">D111*$C$96/12</f>
        <v>774.044381393666</v>
      </c>
      <c r="F111" s="333" t="n">
        <f aca="false">MIN(D111,MAX(0,$C$95-E111))</f>
        <v>1302.80561860633</v>
      </c>
      <c r="G111" s="333" t="n">
        <f aca="false">D111-F111</f>
        <v>83138.399624339</v>
      </c>
    </row>
    <row r="112" customFormat="false" ht="15" hidden="false" customHeight="false" outlineLevel="0" collapsed="false">
      <c r="B112" s="0" t="n">
        <v>15</v>
      </c>
      <c r="C112" s="334" t="n">
        <f aca="false">EDATE(C111,1)</f>
        <v>46722</v>
      </c>
      <c r="D112" s="333" t="n">
        <f aca="false">G111</f>
        <v>83138.399624339</v>
      </c>
      <c r="E112" s="333" t="n">
        <f aca="false">D112*$C$96/12</f>
        <v>762.101996556441</v>
      </c>
      <c r="F112" s="333" t="n">
        <f aca="false">MIN(D112,MAX(0,$C$95-E112))</f>
        <v>1314.74800344356</v>
      </c>
      <c r="G112" s="333" t="n">
        <f aca="false">D112-F112</f>
        <v>81823.6516208955</v>
      </c>
    </row>
    <row r="113" customFormat="false" ht="15" hidden="false" customHeight="false" outlineLevel="0" collapsed="false">
      <c r="B113" s="0" t="n">
        <v>16</v>
      </c>
      <c r="C113" s="334" t="n">
        <f aca="false">EDATE(C112,1)</f>
        <v>46753</v>
      </c>
      <c r="D113" s="333" t="n">
        <f aca="false">G112</f>
        <v>81823.6516208955</v>
      </c>
      <c r="E113" s="333" t="n">
        <f aca="false">D113*$C$96/12</f>
        <v>750.050139858208</v>
      </c>
      <c r="F113" s="333" t="n">
        <f aca="false">MIN(D113,MAX(0,$C$95-E113))</f>
        <v>1326.79986014179</v>
      </c>
      <c r="G113" s="333" t="n">
        <f aca="false">D113-F113</f>
        <v>80496.8517607537</v>
      </c>
    </row>
    <row r="114" customFormat="false" ht="15" hidden="false" customHeight="false" outlineLevel="0" collapsed="false">
      <c r="B114" s="0" t="n">
        <v>17</v>
      </c>
      <c r="C114" s="334" t="n">
        <f aca="false">EDATE(C113,1)</f>
        <v>46784</v>
      </c>
      <c r="D114" s="333" t="n">
        <f aca="false">G113</f>
        <v>80496.8517607537</v>
      </c>
      <c r="E114" s="333" t="n">
        <f aca="false">D114*$C$96/12</f>
        <v>737.887807806909</v>
      </c>
      <c r="F114" s="333" t="n">
        <f aca="false">MIN(D114,MAX(0,$C$95-E114))</f>
        <v>1338.96219219309</v>
      </c>
      <c r="G114" s="333" t="n">
        <f aca="false">D114-F114</f>
        <v>79157.8895685606</v>
      </c>
    </row>
    <row r="115" customFormat="false" ht="15" hidden="false" customHeight="false" outlineLevel="0" collapsed="false">
      <c r="B115" s="0" t="n">
        <v>18</v>
      </c>
      <c r="C115" s="334" t="n">
        <f aca="false">EDATE(C114,1)</f>
        <v>46813</v>
      </c>
      <c r="D115" s="333" t="n">
        <f aca="false">G114</f>
        <v>79157.8895685606</v>
      </c>
      <c r="E115" s="333" t="n">
        <f aca="false">D115*$C$96/12</f>
        <v>725.613987711805</v>
      </c>
      <c r="F115" s="333" t="n">
        <f aca="false">MIN(D115,MAX(0,$C$95-E115))</f>
        <v>1351.23601228819</v>
      </c>
      <c r="G115" s="333" t="n">
        <f aca="false">D115-F115</f>
        <v>77806.6535562724</v>
      </c>
    </row>
    <row r="116" customFormat="false" ht="15" hidden="false" customHeight="false" outlineLevel="0" collapsed="false">
      <c r="B116" s="0" t="n">
        <v>19</v>
      </c>
      <c r="C116" s="334" t="n">
        <f aca="false">EDATE(C115,1)</f>
        <v>46844</v>
      </c>
      <c r="D116" s="333" t="n">
        <f aca="false">G115</f>
        <v>77806.6535562724</v>
      </c>
      <c r="E116" s="333" t="n">
        <f aca="false">D116*$C$96/12</f>
        <v>713.227657599164</v>
      </c>
      <c r="F116" s="333" t="n">
        <f aca="false">MIN(D116,MAX(0,$C$95-E116))</f>
        <v>1363.62234240084</v>
      </c>
      <c r="G116" s="333" t="n">
        <f aca="false">D116-F116</f>
        <v>76443.0312138715</v>
      </c>
    </row>
    <row r="117" customFormat="false" ht="15" hidden="false" customHeight="false" outlineLevel="0" collapsed="false">
      <c r="B117" s="0" t="n">
        <v>20</v>
      </c>
      <c r="C117" s="334" t="n">
        <f aca="false">EDATE(C116,1)</f>
        <v>46874</v>
      </c>
      <c r="D117" s="333" t="n">
        <f aca="false">G116</f>
        <v>76443.0312138715</v>
      </c>
      <c r="E117" s="333" t="n">
        <f aca="false">D117*$C$96/12</f>
        <v>700.727786127156</v>
      </c>
      <c r="F117" s="333" t="n">
        <f aca="false">MIN(D117,MAX(0,$C$95-E117))</f>
        <v>1376.12221387284</v>
      </c>
      <c r="G117" s="333" t="n">
        <f aca="false">D117-F117</f>
        <v>75066.9089999987</v>
      </c>
    </row>
    <row r="118" customFormat="false" ht="15" hidden="false" customHeight="false" outlineLevel="0" collapsed="false">
      <c r="B118" s="0" t="n">
        <v>21</v>
      </c>
      <c r="C118" s="334" t="n">
        <f aca="false">EDATE(C117,1)</f>
        <v>46905</v>
      </c>
      <c r="D118" s="333" t="n">
        <f aca="false">G117</f>
        <v>75066.9089999987</v>
      </c>
      <c r="E118" s="333" t="n">
        <f aca="false">D118*$C$96/12</f>
        <v>688.113332499988</v>
      </c>
      <c r="F118" s="333" t="n">
        <f aca="false">MIN(D118,MAX(0,$C$95-E118))</f>
        <v>1388.73666750001</v>
      </c>
      <c r="G118" s="333" t="n">
        <f aca="false">D118-F118</f>
        <v>73678.1723324987</v>
      </c>
    </row>
    <row r="119" customFormat="false" ht="15" hidden="false" customHeight="false" outlineLevel="0" collapsed="false">
      <c r="B119" s="0" t="n">
        <v>22</v>
      </c>
      <c r="C119" s="334" t="n">
        <f aca="false">EDATE(C118,1)</f>
        <v>46935</v>
      </c>
      <c r="D119" s="333" t="n">
        <f aca="false">G118</f>
        <v>73678.1723324987</v>
      </c>
      <c r="E119" s="333" t="n">
        <f aca="false">D119*$C$96/12</f>
        <v>675.383246381238</v>
      </c>
      <c r="F119" s="333" t="n">
        <f aca="false">MIN(D119,MAX(0,$C$95-E119))</f>
        <v>1401.46675361876</v>
      </c>
      <c r="G119" s="333" t="n">
        <f aca="false">D119-F119</f>
        <v>72276.7055788799</v>
      </c>
    </row>
    <row r="120" customFormat="false" ht="15" hidden="false" customHeight="false" outlineLevel="0" collapsed="false">
      <c r="B120" s="0" t="n">
        <v>23</v>
      </c>
      <c r="C120" s="334" t="n">
        <f aca="false">EDATE(C119,1)</f>
        <v>46966</v>
      </c>
      <c r="D120" s="333" t="n">
        <f aca="false">G119</f>
        <v>72276.7055788799</v>
      </c>
      <c r="E120" s="333" t="n">
        <f aca="false">D120*$C$96/12</f>
        <v>662.536467806399</v>
      </c>
      <c r="F120" s="333" t="n">
        <f aca="false">MIN(D120,MAX(0,$C$95-E120))</f>
        <v>1414.3135321936</v>
      </c>
      <c r="G120" s="333" t="n">
        <f aca="false">D120-F120</f>
        <v>70862.3920466863</v>
      </c>
    </row>
    <row r="121" customFormat="false" ht="15" hidden="false" customHeight="false" outlineLevel="0" collapsed="false">
      <c r="B121" s="0" t="n">
        <v>24</v>
      </c>
      <c r="C121" s="334" t="n">
        <f aca="false">EDATE(C120,1)</f>
        <v>46997</v>
      </c>
      <c r="D121" s="333" t="n">
        <f aca="false">G120</f>
        <v>70862.3920466863</v>
      </c>
      <c r="E121" s="333" t="n">
        <f aca="false">D121*$C$96/12</f>
        <v>649.571927094625</v>
      </c>
      <c r="F121" s="333" t="n">
        <f aca="false">MIN(D121,MAX(0,$C$95-E121))</f>
        <v>1427.27807290538</v>
      </c>
      <c r="G121" s="333" t="n">
        <f aca="false">D121-F121</f>
        <v>69435.1139737809</v>
      </c>
    </row>
    <row r="122" customFormat="false" ht="15" hidden="false" customHeight="false" outlineLevel="0" collapsed="false">
      <c r="B122" s="0" t="n">
        <v>25</v>
      </c>
      <c r="C122" s="334" t="n">
        <f aca="false">EDATE(C121,1)</f>
        <v>47027</v>
      </c>
      <c r="D122" s="333" t="n">
        <f aca="false">G121</f>
        <v>69435.1139737809</v>
      </c>
      <c r="E122" s="333" t="n">
        <f aca="false">D122*$C$96/12</f>
        <v>636.488544759659</v>
      </c>
      <c r="F122" s="333" t="n">
        <f aca="false">MIN(D122,MAX(0,$C$95-E122))</f>
        <v>1440.36145524034</v>
      </c>
      <c r="G122" s="333" t="n">
        <f aca="false">D122-F122</f>
        <v>67994.7525185406</v>
      </c>
    </row>
    <row r="123" customFormat="false" ht="15" hidden="false" customHeight="false" outlineLevel="0" collapsed="false">
      <c r="B123" s="0" t="n">
        <v>26</v>
      </c>
      <c r="C123" s="334" t="n">
        <f aca="false">EDATE(C122,1)</f>
        <v>47058</v>
      </c>
      <c r="D123" s="333" t="n">
        <f aca="false">G122</f>
        <v>67994.7525185406</v>
      </c>
      <c r="E123" s="333" t="n">
        <f aca="false">D123*$C$96/12</f>
        <v>623.285231419956</v>
      </c>
      <c r="F123" s="333" t="n">
        <f aca="false">MIN(D123,MAX(0,$C$95-E123))</f>
        <v>1453.56476858004</v>
      </c>
      <c r="G123" s="333" t="n">
        <f aca="false">D123-F123</f>
        <v>66541.1877499606</v>
      </c>
    </row>
    <row r="124" customFormat="false" ht="15" hidden="false" customHeight="false" outlineLevel="0" collapsed="false">
      <c r="B124" s="0" t="n">
        <v>27</v>
      </c>
      <c r="C124" s="334" t="n">
        <f aca="false">EDATE(C123,1)</f>
        <v>47088</v>
      </c>
      <c r="D124" s="333" t="n">
        <f aca="false">G123</f>
        <v>66541.1877499606</v>
      </c>
      <c r="E124" s="333" t="n">
        <f aca="false">D124*$C$96/12</f>
        <v>609.960887707972</v>
      </c>
      <c r="F124" s="333" t="n">
        <f aca="false">MIN(D124,MAX(0,$C$95-E124))</f>
        <v>1466.88911229203</v>
      </c>
      <c r="G124" s="333" t="n">
        <f aca="false">D124-F124</f>
        <v>65074.2986376685</v>
      </c>
    </row>
    <row r="125" customFormat="false" ht="15" hidden="false" customHeight="false" outlineLevel="0" collapsed="false">
      <c r="B125" s="0" t="n">
        <v>28</v>
      </c>
      <c r="C125" s="334" t="n">
        <f aca="false">EDATE(C124,1)</f>
        <v>47119</v>
      </c>
      <c r="D125" s="333" t="n">
        <f aca="false">G124</f>
        <v>65074.2986376685</v>
      </c>
      <c r="E125" s="333" t="n">
        <f aca="false">D125*$C$96/12</f>
        <v>596.514404178628</v>
      </c>
      <c r="F125" s="333" t="n">
        <f aca="false">MIN(D125,MAX(0,$C$95-E125))</f>
        <v>1480.33559582137</v>
      </c>
      <c r="G125" s="333" t="n">
        <f aca="false">D125-F125</f>
        <v>63593.9630418472</v>
      </c>
    </row>
    <row r="126" customFormat="false" ht="15" hidden="false" customHeight="false" outlineLevel="0" collapsed="false">
      <c r="B126" s="0" t="n">
        <v>29</v>
      </c>
      <c r="C126" s="334" t="n">
        <f aca="false">EDATE(C125,1)</f>
        <v>47150</v>
      </c>
      <c r="D126" s="333" t="n">
        <f aca="false">G125</f>
        <v>63593.9630418472</v>
      </c>
      <c r="E126" s="333" t="n">
        <f aca="false">D126*$C$96/12</f>
        <v>582.944661216932</v>
      </c>
      <c r="F126" s="333" t="n">
        <f aca="false">MIN(D126,MAX(0,$C$95-E126))</f>
        <v>1493.90533878307</v>
      </c>
      <c r="G126" s="333" t="n">
        <f aca="false">D126-F126</f>
        <v>62100.0577030641</v>
      </c>
    </row>
    <row r="127" customFormat="false" ht="15" hidden="false" customHeight="false" outlineLevel="0" collapsed="false">
      <c r="B127" s="0" t="n">
        <v>30</v>
      </c>
      <c r="C127" s="334" t="n">
        <f aca="false">EDATE(C126,1)</f>
        <v>47178</v>
      </c>
      <c r="D127" s="333" t="n">
        <f aca="false">G126</f>
        <v>62100.0577030641</v>
      </c>
      <c r="E127" s="333" t="n">
        <f aca="false">D127*$C$96/12</f>
        <v>569.250528944754</v>
      </c>
      <c r="F127" s="333" t="n">
        <f aca="false">MIN(D127,MAX(0,$C$95-E127))</f>
        <v>1507.59947105525</v>
      </c>
      <c r="G127" s="333" t="n">
        <f aca="false">D127-F127</f>
        <v>60592.4582320088</v>
      </c>
    </row>
    <row r="128" customFormat="false" ht="15" hidden="false" customHeight="false" outlineLevel="0" collapsed="false">
      <c r="B128" s="0" t="n">
        <v>31</v>
      </c>
      <c r="C128" s="334" t="n">
        <f aca="false">EDATE(C127,1)</f>
        <v>47209</v>
      </c>
      <c r="D128" s="333" t="n">
        <f aca="false">G127</f>
        <v>60592.4582320088</v>
      </c>
      <c r="E128" s="333" t="n">
        <f aca="false">D128*$C$96/12</f>
        <v>555.430867126748</v>
      </c>
      <c r="F128" s="333" t="n">
        <f aca="false">MIN(D128,MAX(0,$C$95-E128))</f>
        <v>1521.41913287325</v>
      </c>
      <c r="G128" s="333" t="n">
        <f aca="false">D128-F128</f>
        <v>59071.0390991356</v>
      </c>
    </row>
    <row r="129" customFormat="false" ht="15" hidden="false" customHeight="false" outlineLevel="0" collapsed="false">
      <c r="B129" s="0" t="n">
        <v>32</v>
      </c>
      <c r="C129" s="334" t="n">
        <f aca="false">EDATE(C128,1)</f>
        <v>47239</v>
      </c>
      <c r="D129" s="333" t="n">
        <f aca="false">G128</f>
        <v>59071.0390991356</v>
      </c>
      <c r="E129" s="333" t="n">
        <f aca="false">D129*$C$96/12</f>
        <v>541.48452507541</v>
      </c>
      <c r="F129" s="333" t="n">
        <f aca="false">MIN(D129,MAX(0,$C$95-E129))</f>
        <v>1535.36547492459</v>
      </c>
      <c r="G129" s="333" t="n">
        <f aca="false">D129-F129</f>
        <v>57535.673624211</v>
      </c>
    </row>
    <row r="130" customFormat="false" ht="15" hidden="false" customHeight="false" outlineLevel="0" collapsed="false">
      <c r="B130" s="0" t="n">
        <v>33</v>
      </c>
      <c r="C130" s="334" t="n">
        <f aca="false">EDATE(C129,1)</f>
        <v>47270</v>
      </c>
      <c r="D130" s="333" t="n">
        <f aca="false">G129</f>
        <v>57535.673624211</v>
      </c>
      <c r="E130" s="333" t="n">
        <f aca="false">D130*$C$96/12</f>
        <v>527.410341555268</v>
      </c>
      <c r="F130" s="333" t="n">
        <f aca="false">MIN(D130,MAX(0,$C$95-E130))</f>
        <v>1549.43965844473</v>
      </c>
      <c r="G130" s="333" t="n">
        <f aca="false">D130-F130</f>
        <v>55986.2339657663</v>
      </c>
    </row>
    <row r="131" customFormat="false" ht="15" hidden="false" customHeight="false" outlineLevel="0" collapsed="false">
      <c r="B131" s="0" t="n">
        <v>34</v>
      </c>
      <c r="C131" s="334" t="n">
        <f aca="false">EDATE(C130,1)</f>
        <v>47300</v>
      </c>
      <c r="D131" s="333" t="n">
        <f aca="false">G130</f>
        <v>55986.2339657663</v>
      </c>
      <c r="E131" s="333" t="n">
        <f aca="false">D131*$C$96/12</f>
        <v>513.207144686191</v>
      </c>
      <c r="F131" s="333" t="n">
        <f aca="false">MIN(D131,MAX(0,$C$95-E131))</f>
        <v>1563.64285531381</v>
      </c>
      <c r="G131" s="333" t="n">
        <f aca="false">D131-F131</f>
        <v>54422.5911104525</v>
      </c>
    </row>
    <row r="132" customFormat="false" ht="15" hidden="false" customHeight="false" outlineLevel="0" collapsed="false">
      <c r="B132" s="0" t="n">
        <v>35</v>
      </c>
      <c r="C132" s="334" t="n">
        <f aca="false">EDATE(C131,1)</f>
        <v>47331</v>
      </c>
      <c r="D132" s="333" t="n">
        <f aca="false">G131</f>
        <v>54422.5911104525</v>
      </c>
      <c r="E132" s="333" t="n">
        <f aca="false">D132*$C$96/12</f>
        <v>498.873751845814</v>
      </c>
      <c r="F132" s="333" t="n">
        <f aca="false">MIN(D132,MAX(0,$C$95-E132))</f>
        <v>1577.97624815419</v>
      </c>
      <c r="G132" s="333" t="n">
        <f aca="false">D132-F132</f>
        <v>52844.6148622983</v>
      </c>
    </row>
    <row r="133" customFormat="false" ht="15" hidden="false" customHeight="false" outlineLevel="0" collapsed="false">
      <c r="B133" s="0" t="n">
        <v>36</v>
      </c>
      <c r="C133" s="334" t="n">
        <f aca="false">EDATE(C132,1)</f>
        <v>47362</v>
      </c>
      <c r="D133" s="333" t="n">
        <f aca="false">G132</f>
        <v>52844.6148622983</v>
      </c>
      <c r="E133" s="333" t="n">
        <f aca="false">D133*$C$96/12</f>
        <v>484.408969571068</v>
      </c>
      <c r="F133" s="333" t="n">
        <f aca="false">MIN(D133,MAX(0,$C$95-E133))</f>
        <v>1592.44103042893</v>
      </c>
      <c r="G133" s="333" t="n">
        <f aca="false">D133-F133</f>
        <v>51252.1738318693</v>
      </c>
    </row>
    <row r="134" customFormat="false" ht="15" hidden="false" customHeight="false" outlineLevel="0" collapsed="false">
      <c r="B134" s="0" t="n">
        <v>37</v>
      </c>
      <c r="C134" s="334" t="n">
        <f aca="false">EDATE(C133,1)</f>
        <v>47392</v>
      </c>
      <c r="D134" s="333" t="n">
        <f aca="false">G133</f>
        <v>51252.1738318693</v>
      </c>
      <c r="E134" s="333" t="n">
        <f aca="false">D134*$C$96/12</f>
        <v>469.811593458802</v>
      </c>
      <c r="F134" s="333" t="n">
        <f aca="false">MIN(D134,MAX(0,$C$95-E134))</f>
        <v>1607.0384065412</v>
      </c>
      <c r="G134" s="333" t="n">
        <f aca="false">D134-F134</f>
        <v>49645.1354253281</v>
      </c>
    </row>
    <row r="135" customFormat="false" ht="15" hidden="false" customHeight="false" outlineLevel="0" collapsed="false">
      <c r="B135" s="0" t="n">
        <v>38</v>
      </c>
      <c r="C135" s="334" t="n">
        <f aca="false">EDATE(C134,1)</f>
        <v>47423</v>
      </c>
      <c r="D135" s="333" t="n">
        <f aca="false">G134</f>
        <v>49645.1354253281</v>
      </c>
      <c r="E135" s="333" t="n">
        <f aca="false">D135*$C$96/12</f>
        <v>455.080408065508</v>
      </c>
      <c r="F135" s="333" t="n">
        <f aca="false">MIN(D135,MAX(0,$C$95-E135))</f>
        <v>1621.76959193449</v>
      </c>
      <c r="G135" s="333" t="n">
        <f aca="false">D135-F135</f>
        <v>48023.3658333936</v>
      </c>
    </row>
    <row r="136" customFormat="false" ht="15" hidden="false" customHeight="false" outlineLevel="0" collapsed="false">
      <c r="B136" s="0" t="n">
        <v>39</v>
      </c>
      <c r="C136" s="334" t="n">
        <f aca="false">EDATE(C135,1)</f>
        <v>47453</v>
      </c>
      <c r="D136" s="333" t="n">
        <f aca="false">G135</f>
        <v>48023.3658333936</v>
      </c>
      <c r="E136" s="333" t="n">
        <f aca="false">D136*$C$96/12</f>
        <v>440.214186806108</v>
      </c>
      <c r="F136" s="333" t="n">
        <f aca="false">MIN(D136,MAX(0,$C$95-E136))</f>
        <v>1636.63581319389</v>
      </c>
      <c r="G136" s="333" t="n">
        <f aca="false">D136-F136</f>
        <v>46386.7300201998</v>
      </c>
    </row>
    <row r="137" customFormat="false" ht="15" hidden="false" customHeight="false" outlineLevel="0" collapsed="false">
      <c r="B137" s="0" t="n">
        <v>40</v>
      </c>
      <c r="C137" s="334" t="n">
        <f aca="false">EDATE(C136,1)</f>
        <v>47484</v>
      </c>
      <c r="D137" s="333" t="n">
        <f aca="false">G136</f>
        <v>46386.7300201998</v>
      </c>
      <c r="E137" s="333" t="n">
        <f aca="false">D137*$C$96/12</f>
        <v>425.211691851831</v>
      </c>
      <c r="F137" s="333" t="n">
        <f aca="false">MIN(D137,MAX(0,$C$95-E137))</f>
        <v>1651.63830814817</v>
      </c>
      <c r="G137" s="333" t="n">
        <f aca="false">D137-F137</f>
        <v>44735.0917120516</v>
      </c>
    </row>
    <row r="138" customFormat="false" ht="15" hidden="false" customHeight="false" outlineLevel="0" collapsed="false">
      <c r="B138" s="0" t="n">
        <v>41</v>
      </c>
      <c r="C138" s="334" t="n">
        <f aca="false">EDATE(C137,1)</f>
        <v>47515</v>
      </c>
      <c r="D138" s="333" t="n">
        <f aca="false">G137</f>
        <v>44735.0917120516</v>
      </c>
      <c r="E138" s="333" t="n">
        <f aca="false">D138*$C$96/12</f>
        <v>410.07167402714</v>
      </c>
      <c r="F138" s="333" t="n">
        <f aca="false">MIN(D138,MAX(0,$C$95-E138))</f>
        <v>1666.77832597286</v>
      </c>
      <c r="G138" s="333" t="n">
        <f aca="false">D138-F138</f>
        <v>43068.3133860787</v>
      </c>
    </row>
    <row r="139" customFormat="false" ht="15" hidden="false" customHeight="false" outlineLevel="0" collapsed="false">
      <c r="B139" s="0" t="n">
        <v>42</v>
      </c>
      <c r="C139" s="334" t="n">
        <f aca="false">EDATE(C138,1)</f>
        <v>47543</v>
      </c>
      <c r="D139" s="333" t="n">
        <f aca="false">G138</f>
        <v>43068.3133860787</v>
      </c>
      <c r="E139" s="333" t="n">
        <f aca="false">D139*$C$96/12</f>
        <v>394.792872705722</v>
      </c>
      <c r="F139" s="333" t="n">
        <f aca="false">MIN(D139,MAX(0,$C$95-E139))</f>
        <v>1682.05712729428</v>
      </c>
      <c r="G139" s="333" t="n">
        <f aca="false">D139-F139</f>
        <v>41386.2562587844</v>
      </c>
    </row>
    <row r="140" customFormat="false" ht="15" hidden="false" customHeight="false" outlineLevel="0" collapsed="false">
      <c r="B140" s="0" t="n">
        <v>43</v>
      </c>
      <c r="C140" s="334" t="n">
        <f aca="false">EDATE(C139,1)</f>
        <v>47574</v>
      </c>
      <c r="D140" s="333" t="n">
        <f aca="false">G139</f>
        <v>41386.2562587844</v>
      </c>
      <c r="E140" s="333" t="n">
        <f aca="false">D140*$C$96/12</f>
        <v>379.374015705524</v>
      </c>
      <c r="F140" s="333" t="n">
        <f aca="false">MIN(D140,MAX(0,$C$95-E140))</f>
        <v>1697.47598429448</v>
      </c>
      <c r="G140" s="333" t="n">
        <f aca="false">D140-F140</f>
        <v>39688.78027449</v>
      </c>
    </row>
    <row r="141" customFormat="false" ht="15" hidden="false" customHeight="false" outlineLevel="0" collapsed="false">
      <c r="B141" s="0" t="n">
        <v>44</v>
      </c>
      <c r="C141" s="334" t="n">
        <f aca="false">EDATE(C140,1)</f>
        <v>47604</v>
      </c>
      <c r="D141" s="333" t="n">
        <f aca="false">G140</f>
        <v>39688.78027449</v>
      </c>
      <c r="E141" s="333" t="n">
        <f aca="false">D141*$C$96/12</f>
        <v>363.813819182825</v>
      </c>
      <c r="F141" s="333" t="n">
        <f aca="false">MIN(D141,MAX(0,$C$95-E141))</f>
        <v>1713.03618081718</v>
      </c>
      <c r="G141" s="333" t="n">
        <f aca="false">D141-F141</f>
        <v>37975.7440936728</v>
      </c>
    </row>
    <row r="142" customFormat="false" ht="15" hidden="false" customHeight="false" outlineLevel="0" collapsed="false">
      <c r="B142" s="0" t="n">
        <v>45</v>
      </c>
      <c r="C142" s="334" t="n">
        <f aca="false">EDATE(C141,1)</f>
        <v>47635</v>
      </c>
      <c r="D142" s="333" t="n">
        <f aca="false">G141</f>
        <v>37975.7440936728</v>
      </c>
      <c r="E142" s="333" t="n">
        <f aca="false">D142*$C$96/12</f>
        <v>348.110987525334</v>
      </c>
      <c r="F142" s="333" t="n">
        <f aca="false">MIN(D142,MAX(0,$C$95-E142))</f>
        <v>1728.73901247467</v>
      </c>
      <c r="G142" s="333" t="n">
        <f aca="false">D142-F142</f>
        <v>36247.0050811981</v>
      </c>
    </row>
    <row r="143" customFormat="false" ht="15" hidden="false" customHeight="false" outlineLevel="0" collapsed="false">
      <c r="B143" s="0" t="n">
        <v>46</v>
      </c>
      <c r="C143" s="334" t="n">
        <f aca="false">EDATE(C142,1)</f>
        <v>47665</v>
      </c>
      <c r="D143" s="333" t="n">
        <f aca="false">G142</f>
        <v>36247.0050811981</v>
      </c>
      <c r="E143" s="333" t="n">
        <f aca="false">D143*$C$96/12</f>
        <v>332.264213244316</v>
      </c>
      <c r="F143" s="333" t="n">
        <f aca="false">MIN(D143,MAX(0,$C$95-E143))</f>
        <v>1744.58578675568</v>
      </c>
      <c r="G143" s="333" t="n">
        <f aca="false">D143-F143</f>
        <v>34502.4192944424</v>
      </c>
    </row>
    <row r="144" customFormat="false" ht="15" hidden="false" customHeight="false" outlineLevel="0" collapsed="false">
      <c r="B144" s="0" t="n">
        <v>47</v>
      </c>
      <c r="C144" s="334" t="n">
        <f aca="false">EDATE(C143,1)</f>
        <v>47696</v>
      </c>
      <c r="D144" s="333" t="n">
        <f aca="false">G143</f>
        <v>34502.4192944424</v>
      </c>
      <c r="E144" s="333" t="n">
        <f aca="false">D144*$C$96/12</f>
        <v>316.272176865722</v>
      </c>
      <c r="F144" s="333" t="n">
        <f aca="false">MIN(D144,MAX(0,$C$95-E144))</f>
        <v>1760.57782313428</v>
      </c>
      <c r="G144" s="333" t="n">
        <f aca="false">D144-F144</f>
        <v>32741.8414713082</v>
      </c>
    </row>
    <row r="145" customFormat="false" ht="15" hidden="false" customHeight="false" outlineLevel="0" collapsed="false">
      <c r="B145" s="0" t="n">
        <v>48</v>
      </c>
      <c r="C145" s="334" t="n">
        <f aca="false">EDATE(C144,1)</f>
        <v>47727</v>
      </c>
      <c r="D145" s="333" t="n">
        <f aca="false">G144</f>
        <v>32741.8414713082</v>
      </c>
      <c r="E145" s="333" t="n">
        <f aca="false">D145*$C$96/12</f>
        <v>300.133546820325</v>
      </c>
      <c r="F145" s="333" t="n">
        <f aca="false">MIN(D145,MAX(0,$C$95-E145))</f>
        <v>1776.71645317968</v>
      </c>
      <c r="G145" s="333" t="n">
        <f aca="false">D145-F145</f>
        <v>30965.1250181285</v>
      </c>
    </row>
    <row r="146" customFormat="false" ht="15" hidden="false" customHeight="false" outlineLevel="0" collapsed="false">
      <c r="B146" s="0" t="n">
        <v>49</v>
      </c>
      <c r="C146" s="334" t="n">
        <f aca="false">EDATE(C145,1)</f>
        <v>47757</v>
      </c>
      <c r="D146" s="333" t="n">
        <f aca="false">G145</f>
        <v>30965.1250181285</v>
      </c>
      <c r="E146" s="333" t="n">
        <f aca="false">D146*$C$96/12</f>
        <v>283.846979332845</v>
      </c>
      <c r="F146" s="333" t="n">
        <f aca="false">MIN(D146,MAX(0,$C$95-E146))</f>
        <v>1793.00302066716</v>
      </c>
      <c r="G146" s="333" t="n">
        <f aca="false">D146-F146</f>
        <v>29172.1219974613</v>
      </c>
    </row>
    <row r="147" customFormat="false" ht="15" hidden="false" customHeight="false" outlineLevel="0" collapsed="false">
      <c r="B147" s="0" t="n">
        <v>50</v>
      </c>
      <c r="C147" s="334" t="n">
        <f aca="false">EDATE(C146,1)</f>
        <v>47788</v>
      </c>
      <c r="D147" s="333" t="n">
        <f aca="false">G146</f>
        <v>29172.1219974613</v>
      </c>
      <c r="E147" s="333" t="n">
        <f aca="false">D147*$C$96/12</f>
        <v>267.411118310062</v>
      </c>
      <c r="F147" s="333" t="n">
        <f aca="false">MIN(D147,MAX(0,$C$95-E147))</f>
        <v>1809.43888168994</v>
      </c>
      <c r="G147" s="333" t="n">
        <f aca="false">D147-F147</f>
        <v>27362.6831157714</v>
      </c>
    </row>
    <row r="148" customFormat="false" ht="15" hidden="false" customHeight="false" outlineLevel="0" collapsed="false">
      <c r="B148" s="0" t="n">
        <v>51</v>
      </c>
      <c r="C148" s="334" t="n">
        <f aca="false">EDATE(C147,1)</f>
        <v>47818</v>
      </c>
      <c r="D148" s="333" t="n">
        <f aca="false">G147</f>
        <v>27362.6831157714</v>
      </c>
      <c r="E148" s="333" t="n">
        <f aca="false">D148*$C$96/12</f>
        <v>250.824595227905</v>
      </c>
      <c r="F148" s="333" t="n">
        <f aca="false">MIN(D148,MAX(0,$C$95-E148))</f>
        <v>1826.0254047721</v>
      </c>
      <c r="G148" s="333" t="n">
        <f aca="false">D148-F148</f>
        <v>25536.6577109993</v>
      </c>
    </row>
    <row r="149" customFormat="false" ht="15" hidden="false" customHeight="false" outlineLevel="0" collapsed="false">
      <c r="B149" s="0" t="n">
        <v>52</v>
      </c>
      <c r="C149" s="334" t="n">
        <f aca="false">EDATE(C148,1)</f>
        <v>47849</v>
      </c>
      <c r="D149" s="333" t="n">
        <f aca="false">G148</f>
        <v>25536.6577109993</v>
      </c>
      <c r="E149" s="333" t="n">
        <f aca="false">D149*$C$96/12</f>
        <v>234.086029017494</v>
      </c>
      <c r="F149" s="333" t="n">
        <f aca="false">MIN(D149,MAX(0,$C$95-E149))</f>
        <v>1842.76397098251</v>
      </c>
      <c r="G149" s="333" t="n">
        <f aca="false">D149-F149</f>
        <v>23693.8937400168</v>
      </c>
    </row>
    <row r="150" customFormat="false" ht="15" hidden="false" customHeight="false" outlineLevel="0" collapsed="false">
      <c r="B150" s="0" t="n">
        <v>53</v>
      </c>
      <c r="C150" s="334" t="n">
        <f aca="false">EDATE(C149,1)</f>
        <v>47880</v>
      </c>
      <c r="D150" s="333" t="n">
        <f aca="false">G149</f>
        <v>23693.8937400168</v>
      </c>
      <c r="E150" s="333" t="n">
        <f aca="false">D150*$C$96/12</f>
        <v>217.194025950154</v>
      </c>
      <c r="F150" s="333" t="n">
        <f aca="false">MIN(D150,MAX(0,$C$95-E150))</f>
        <v>1859.65597404985</v>
      </c>
      <c r="G150" s="333" t="n">
        <f aca="false">D150-F150</f>
        <v>21834.237765967</v>
      </c>
    </row>
    <row r="151" customFormat="false" ht="15" hidden="false" customHeight="false" outlineLevel="0" collapsed="false">
      <c r="B151" s="0" t="n">
        <v>54</v>
      </c>
      <c r="C151" s="334" t="n">
        <f aca="false">EDATE(C150,1)</f>
        <v>47908</v>
      </c>
      <c r="D151" s="333" t="n">
        <f aca="false">G150</f>
        <v>21834.237765967</v>
      </c>
      <c r="E151" s="333" t="n">
        <f aca="false">D151*$C$96/12</f>
        <v>200.147179521364</v>
      </c>
      <c r="F151" s="333" t="n">
        <f aca="false">MIN(D151,MAX(0,$C$95-E151))</f>
        <v>1876.70282047864</v>
      </c>
      <c r="G151" s="333" t="n">
        <f aca="false">D151-F151</f>
        <v>19957.5349454883</v>
      </c>
    </row>
    <row r="152" customFormat="false" ht="15" hidden="false" customHeight="false" outlineLevel="0" collapsed="false">
      <c r="B152" s="0" t="n">
        <v>55</v>
      </c>
      <c r="C152" s="334" t="n">
        <f aca="false">EDATE(C151,1)</f>
        <v>47939</v>
      </c>
      <c r="D152" s="333" t="n">
        <f aca="false">G151</f>
        <v>19957.5349454883</v>
      </c>
      <c r="E152" s="333" t="n">
        <f aca="false">D152*$C$96/12</f>
        <v>182.944070333643</v>
      </c>
      <c r="F152" s="333" t="n">
        <f aca="false">MIN(D152,MAX(0,$C$95-E152))</f>
        <v>1893.90592966636</v>
      </c>
      <c r="G152" s="333" t="n">
        <f aca="false">D152-F152</f>
        <v>18063.629015822</v>
      </c>
    </row>
    <row r="153" customFormat="false" ht="15" hidden="false" customHeight="false" outlineLevel="0" collapsed="false">
      <c r="B153" s="0" t="n">
        <v>56</v>
      </c>
      <c r="C153" s="334" t="n">
        <f aca="false">EDATE(C152,1)</f>
        <v>47969</v>
      </c>
      <c r="D153" s="333" t="n">
        <f aca="false">G152</f>
        <v>18063.629015822</v>
      </c>
      <c r="E153" s="333" t="n">
        <f aca="false">D153*$C$96/12</f>
        <v>165.583265978368</v>
      </c>
      <c r="F153" s="333" t="n">
        <f aca="false">MIN(D153,MAX(0,$C$95-E153))</f>
        <v>1911.26673402163</v>
      </c>
      <c r="G153" s="333" t="n">
        <f aca="false">D153-F153</f>
        <v>16152.3622818003</v>
      </c>
    </row>
    <row r="154" customFormat="false" ht="15" hidden="false" customHeight="false" outlineLevel="0" collapsed="false">
      <c r="B154" s="0" t="n">
        <v>57</v>
      </c>
      <c r="C154" s="334" t="n">
        <f aca="false">EDATE(C153,1)</f>
        <v>48000</v>
      </c>
      <c r="D154" s="333" t="n">
        <f aca="false">G153</f>
        <v>16152.3622818003</v>
      </c>
      <c r="E154" s="333" t="n">
        <f aca="false">D154*$C$96/12</f>
        <v>148.063320916503</v>
      </c>
      <c r="F154" s="333" t="n">
        <f aca="false">MIN(D154,MAX(0,$C$95-E154))</f>
        <v>1928.7866790835</v>
      </c>
      <c r="G154" s="333" t="n">
        <f aca="false">D154-F154</f>
        <v>14223.5756027168</v>
      </c>
    </row>
    <row r="155" customFormat="false" ht="15" hidden="false" customHeight="false" outlineLevel="0" collapsed="false">
      <c r="B155" s="0" t="n">
        <v>58</v>
      </c>
      <c r="C155" s="334" t="n">
        <f aca="false">EDATE(C154,1)</f>
        <v>48030</v>
      </c>
      <c r="D155" s="333" t="n">
        <f aca="false">G154</f>
        <v>14223.5756027168</v>
      </c>
      <c r="E155" s="333" t="n">
        <f aca="false">D155*$C$96/12</f>
        <v>130.382776358238</v>
      </c>
      <c r="F155" s="333" t="n">
        <f aca="false">MIN(D155,MAX(0,$C$95-E155))</f>
        <v>1946.46722364176</v>
      </c>
      <c r="G155" s="333" t="n">
        <f aca="false">D155-F155</f>
        <v>12277.1083790751</v>
      </c>
    </row>
    <row r="156" customFormat="false" ht="15" hidden="false" customHeight="false" outlineLevel="0" collapsed="false">
      <c r="B156" s="0" t="n">
        <v>59</v>
      </c>
      <c r="C156" s="334" t="n">
        <f aca="false">EDATE(C155,1)</f>
        <v>48061</v>
      </c>
      <c r="D156" s="333" t="n">
        <f aca="false">G155</f>
        <v>12277.1083790751</v>
      </c>
      <c r="E156" s="333" t="n">
        <f aca="false">D156*$C$96/12</f>
        <v>112.540160141521</v>
      </c>
      <c r="F156" s="333" t="n">
        <f aca="false">MIN(D156,MAX(0,$C$95-E156))</f>
        <v>1964.30983985848</v>
      </c>
      <c r="G156" s="333" t="n">
        <f aca="false">D156-F156</f>
        <v>10312.7985392166</v>
      </c>
    </row>
    <row r="157" customFormat="false" ht="15" hidden="false" customHeight="false" outlineLevel="0" collapsed="false">
      <c r="B157" s="0" t="n">
        <v>60</v>
      </c>
      <c r="C157" s="334" t="n">
        <f aca="false">EDATE(C156,1)</f>
        <v>48092</v>
      </c>
      <c r="D157" s="333" t="n">
        <f aca="false">G156</f>
        <v>10312.7985392166</v>
      </c>
      <c r="E157" s="333" t="n">
        <f aca="false">D157*$C$96/12</f>
        <v>94.5339866094854</v>
      </c>
      <c r="F157" s="333" t="n">
        <f aca="false">MIN(D157,MAX(0,$C$95-E157))</f>
        <v>1982.31601339051</v>
      </c>
      <c r="G157" s="333" t="n">
        <f aca="false">D157-F157</f>
        <v>8330.48252582608</v>
      </c>
    </row>
  </sheetData>
  <mergeCells count="4">
    <mergeCell ref="B1:N1"/>
    <mergeCell ref="B2:N2"/>
    <mergeCell ref="B4:D4"/>
    <mergeCell ref="B16:G16"/>
  </mergeCells>
  <dataValidations count="1">
    <dataValidation allowBlank="true" errorStyle="stop" operator="between" prompt="ON = deuda activa; OFF = apaga monto y cuota" promptTitle="Toggle Deuda" showDropDown="false" showErrorMessage="true" showInputMessage="true" sqref="C14" type="list">
      <formula1>"ON,OFF"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63" activePane="bottomRight" state="frozen"/>
      <selection pane="topLeft" activeCell="A1" activeCellId="0" sqref="A1"/>
      <selection pane="topRight" activeCell="B1" activeCellId="0" sqref="B1"/>
      <selection pane="bottomLeft" activeCell="A63" activeCellId="0" sqref="A63"/>
      <selection pane="bottomRight" activeCell="J102" activeCellId="0" sqref="J102"/>
    </sheetView>
  </sheetViews>
  <sheetFormatPr defaultColWidth="8.6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12" min="2" style="0" width="12.5"/>
  </cols>
  <sheetData>
    <row r="1" customFormat="false" ht="15.75" hidden="false" customHeight="true" outlineLevel="0" collapsed="false">
      <c r="A1" s="335" t="s">
        <v>1389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</row>
    <row r="2" customFormat="false" ht="15" hidden="false" customHeight="false" outlineLevel="0" collapsed="false">
      <c r="A2" s="337" t="s">
        <v>1390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</row>
    <row r="3" customFormat="false" ht="15" hidden="false" customHeight="false" outlineLevel="0" collapsed="false">
      <c r="A3" s="338" t="s">
        <v>1391</v>
      </c>
      <c r="B3" s="336"/>
      <c r="C3" s="336"/>
      <c r="D3" s="336"/>
      <c r="E3" s="336"/>
      <c r="F3" s="336"/>
      <c r="G3" s="336"/>
      <c r="H3" s="336"/>
      <c r="I3" s="336"/>
      <c r="J3" s="336"/>
      <c r="K3" s="336"/>
      <c r="L3" s="336"/>
    </row>
    <row r="4" customFormat="false" ht="15" hidden="false" customHeight="false" outlineLevel="0" collapsed="false">
      <c r="A4" s="336"/>
      <c r="B4" s="336"/>
      <c r="C4" s="336"/>
      <c r="D4" s="336"/>
      <c r="E4" s="336"/>
      <c r="F4" s="336"/>
      <c r="G4" s="336"/>
      <c r="H4" s="336"/>
      <c r="I4" s="336"/>
      <c r="J4" s="336"/>
      <c r="K4" s="336"/>
      <c r="L4" s="336"/>
    </row>
    <row r="5" customFormat="false" ht="15" hidden="false" customHeight="false" outlineLevel="0" collapsed="false">
      <c r="A5" s="339" t="s">
        <v>1392</v>
      </c>
      <c r="B5" s="340"/>
      <c r="C5" s="340"/>
      <c r="D5" s="340"/>
      <c r="E5" s="340"/>
      <c r="F5" s="340"/>
      <c r="G5" s="340"/>
      <c r="H5" s="340"/>
      <c r="I5" s="340"/>
      <c r="J5" s="340"/>
      <c r="K5" s="340"/>
      <c r="L5" s="340"/>
    </row>
    <row r="6" customFormat="false" ht="15" hidden="false" customHeight="false" outlineLevel="0" collapsed="false">
      <c r="A6" s="341" t="s">
        <v>1393</v>
      </c>
      <c r="B6" s="342" t="s">
        <v>1394</v>
      </c>
      <c r="C6" s="342" t="s">
        <v>1395</v>
      </c>
      <c r="D6" s="342" t="s">
        <v>1396</v>
      </c>
      <c r="E6" s="342" t="s">
        <v>1397</v>
      </c>
      <c r="F6" s="342" t="s">
        <v>1398</v>
      </c>
      <c r="G6" s="342" t="s">
        <v>1399</v>
      </c>
      <c r="H6" s="342" t="s">
        <v>1400</v>
      </c>
      <c r="I6" s="342" t="s">
        <v>1401</v>
      </c>
      <c r="J6" s="342" t="s">
        <v>1402</v>
      </c>
      <c r="K6" s="343" t="s">
        <v>1403</v>
      </c>
      <c r="L6" s="343" t="s">
        <v>1404</v>
      </c>
    </row>
    <row r="7" customFormat="false" ht="15" hidden="false" customHeight="false" outlineLevel="0" collapsed="false">
      <c r="A7" s="336" t="s">
        <v>1405</v>
      </c>
      <c r="B7" s="344" t="n">
        <v>55876.98</v>
      </c>
      <c r="C7" s="344" t="n">
        <v>55564.7</v>
      </c>
      <c r="D7" s="344" t="n">
        <v>51452.64</v>
      </c>
      <c r="E7" s="344" t="n">
        <v>56089.3</v>
      </c>
      <c r="F7" s="344" t="n">
        <v>57868.78</v>
      </c>
      <c r="G7" s="344" t="n">
        <v>50692.17</v>
      </c>
      <c r="H7" s="344" t="n">
        <v>68327.13</v>
      </c>
      <c r="I7" s="344" t="n">
        <v>83843.68</v>
      </c>
      <c r="J7" s="344" t="n">
        <v>58154.54</v>
      </c>
      <c r="K7" s="344" t="n">
        <v>537869.92</v>
      </c>
      <c r="L7" s="344" t="n">
        <v>393537.43</v>
      </c>
    </row>
    <row r="8" customFormat="false" ht="15" hidden="false" customHeight="false" outlineLevel="0" collapsed="false">
      <c r="A8" s="336" t="s">
        <v>1406</v>
      </c>
      <c r="B8" s="344" t="n">
        <v>-1223.39</v>
      </c>
      <c r="C8" s="344" t="n">
        <v>-1968.55</v>
      </c>
      <c r="D8" s="344" t="n">
        <v>-3292.68</v>
      </c>
      <c r="E8" s="344" t="n">
        <v>-3017.39</v>
      </c>
      <c r="F8" s="344" t="n">
        <v>-3915.83</v>
      </c>
      <c r="G8" s="344" t="n">
        <v>-4324.69</v>
      </c>
      <c r="H8" s="344" t="n">
        <v>-5322.38</v>
      </c>
      <c r="I8" s="344" t="n">
        <v>-5781.4</v>
      </c>
      <c r="J8" s="344" t="n">
        <v>-2985.72</v>
      </c>
      <c r="K8" s="344" t="n">
        <v>-31832.03</v>
      </c>
      <c r="L8" s="344" t="n">
        <v>-32159.24</v>
      </c>
    </row>
    <row r="9" customFormat="false" ht="15" hidden="false" customHeight="false" outlineLevel="0" collapsed="false">
      <c r="A9" s="336" t="s">
        <v>1407</v>
      </c>
      <c r="B9" s="344" t="n">
        <v>0</v>
      </c>
      <c r="C9" s="344" t="n">
        <v>-24034.98</v>
      </c>
      <c r="D9" s="344" t="n">
        <v>-2280</v>
      </c>
      <c r="E9" s="344" t="n">
        <v>-95</v>
      </c>
      <c r="F9" s="344" t="n">
        <v>-95</v>
      </c>
      <c r="G9" s="344" t="n">
        <v>0</v>
      </c>
      <c r="H9" s="344" t="n">
        <v>0</v>
      </c>
      <c r="I9" s="344" t="n">
        <v>95</v>
      </c>
      <c r="J9" s="344" t="n">
        <v>-85.9</v>
      </c>
      <c r="K9" s="344" t="n">
        <v>-26495.88</v>
      </c>
      <c r="L9" s="344" t="n">
        <v>-2247.46</v>
      </c>
    </row>
    <row r="10" customFormat="false" ht="15" hidden="false" customHeight="false" outlineLevel="0" collapsed="false">
      <c r="A10" s="345" t="s">
        <v>210</v>
      </c>
      <c r="B10" s="346" t="n">
        <v>54653.59</v>
      </c>
      <c r="C10" s="346" t="n">
        <v>53596.15</v>
      </c>
      <c r="D10" s="346" t="n">
        <v>48159.96</v>
      </c>
      <c r="E10" s="346" t="n">
        <v>53071.91</v>
      </c>
      <c r="F10" s="346" t="n">
        <v>53952.95</v>
      </c>
      <c r="G10" s="346" t="n">
        <v>46367.48</v>
      </c>
      <c r="H10" s="346" t="n">
        <v>63004.75</v>
      </c>
      <c r="I10" s="346" t="n">
        <v>78062.28</v>
      </c>
      <c r="J10" s="346" t="n">
        <v>55168.82</v>
      </c>
      <c r="K10" s="346" t="n">
        <v>506037.89</v>
      </c>
      <c r="L10" s="346" t="n">
        <v>361378.19</v>
      </c>
    </row>
    <row r="11" customFormat="false" ht="15" hidden="false" customHeight="false" outlineLevel="0" collapsed="false">
      <c r="A11" s="336" t="s">
        <v>215</v>
      </c>
      <c r="B11" s="344" t="n">
        <v>-41736.32</v>
      </c>
      <c r="C11" s="344" t="n">
        <v>-24993.65</v>
      </c>
      <c r="D11" s="344" t="n">
        <v>-16158.66</v>
      </c>
      <c r="E11" s="344" t="n">
        <v>-16575.86</v>
      </c>
      <c r="F11" s="344" t="n">
        <v>-17488.75</v>
      </c>
      <c r="G11" s="344" t="n">
        <v>-17409.8</v>
      </c>
      <c r="H11" s="344" t="n">
        <v>-16973.43</v>
      </c>
      <c r="I11" s="344" t="n">
        <v>-22614.97</v>
      </c>
      <c r="J11" s="344" t="n">
        <v>-15846.93</v>
      </c>
      <c r="K11" s="344" t="n">
        <v>-189798.37</v>
      </c>
      <c r="L11" s="344" t="n">
        <v>-123517.95</v>
      </c>
    </row>
    <row r="12" customFormat="false" ht="15" hidden="false" customHeight="false" outlineLevel="0" collapsed="false">
      <c r="A12" s="336" t="s">
        <v>1408</v>
      </c>
      <c r="B12" s="344" t="n">
        <v>19876.16</v>
      </c>
      <c r="C12" s="344" t="n">
        <v>9650.66</v>
      </c>
      <c r="D12" s="344" t="n">
        <v>-2672.3</v>
      </c>
      <c r="E12" s="344" t="n">
        <v>-3889.08</v>
      </c>
      <c r="F12" s="344" t="n">
        <v>6.2</v>
      </c>
      <c r="G12" s="344" t="n">
        <v>0</v>
      </c>
      <c r="H12" s="344" t="n">
        <v>0</v>
      </c>
      <c r="I12" s="344" t="n">
        <v>0</v>
      </c>
      <c r="J12" s="344" t="n">
        <v>0</v>
      </c>
      <c r="K12" s="344" t="n">
        <v>22971.64</v>
      </c>
      <c r="L12" s="344" t="n">
        <v>296.84</v>
      </c>
    </row>
    <row r="13" customFormat="false" ht="15" hidden="false" customHeight="false" outlineLevel="0" collapsed="false">
      <c r="A13" s="345" t="s">
        <v>1409</v>
      </c>
      <c r="B13" s="346" t="n">
        <v>32793.43</v>
      </c>
      <c r="C13" s="346" t="n">
        <v>38253.16</v>
      </c>
      <c r="D13" s="346" t="n">
        <v>29329</v>
      </c>
      <c r="E13" s="346" t="n">
        <v>32606.97</v>
      </c>
      <c r="F13" s="346" t="n">
        <v>36470.4</v>
      </c>
      <c r="G13" s="346" t="n">
        <v>28957.68</v>
      </c>
      <c r="H13" s="346" t="n">
        <v>46031.32</v>
      </c>
      <c r="I13" s="346" t="n">
        <v>55447.31</v>
      </c>
      <c r="J13" s="346" t="n">
        <v>39321.89</v>
      </c>
      <c r="K13" s="346" t="n">
        <v>339211.16</v>
      </c>
      <c r="L13" s="346" t="n">
        <v>238157.08</v>
      </c>
    </row>
    <row r="14" customFormat="false" ht="15" hidden="false" customHeight="false" outlineLevel="0" collapsed="false">
      <c r="A14" s="336" t="s">
        <v>1410</v>
      </c>
      <c r="B14" s="347" t="n">
        <v>0.600023347048199</v>
      </c>
      <c r="C14" s="347" t="n">
        <v>0.713729624236069</v>
      </c>
      <c r="D14" s="347" t="n">
        <v>0.608991369594161</v>
      </c>
      <c r="E14" s="347" t="n">
        <v>0.614392246293755</v>
      </c>
      <c r="F14" s="347" t="n">
        <v>0.675966745099202</v>
      </c>
      <c r="G14" s="347" t="n">
        <v>0.624525637364808</v>
      </c>
      <c r="H14" s="347" t="n">
        <v>0.730600788035823</v>
      </c>
      <c r="I14" s="347" t="n">
        <v>0.710295804836856</v>
      </c>
      <c r="J14" s="347" t="n">
        <v>0.712755683373326</v>
      </c>
      <c r="K14" s="347" t="n">
        <v>0.670327591477389</v>
      </c>
      <c r="L14" s="347" t="n">
        <v>0.659024497300183</v>
      </c>
    </row>
    <row r="15" customFormat="false" ht="15" hidden="false" customHeight="false" outlineLevel="0" collapsed="false">
      <c r="A15" s="348" t="s">
        <v>1411</v>
      </c>
      <c r="B15" s="336"/>
      <c r="C15" s="336"/>
      <c r="D15" s="336"/>
      <c r="E15" s="336"/>
      <c r="F15" s="336"/>
      <c r="G15" s="336"/>
      <c r="H15" s="336"/>
      <c r="I15" s="336"/>
      <c r="J15" s="336"/>
      <c r="K15" s="336"/>
      <c r="L15" s="336"/>
    </row>
    <row r="16" customFormat="false" ht="15" hidden="false" customHeight="false" outlineLevel="0" collapsed="false">
      <c r="A16" s="336" t="s">
        <v>1412</v>
      </c>
      <c r="B16" s="344" t="n">
        <v>-22610.19</v>
      </c>
      <c r="C16" s="344" t="n">
        <v>-20423.06</v>
      </c>
      <c r="D16" s="344" t="n">
        <v>-23222.78</v>
      </c>
      <c r="E16" s="344" t="n">
        <v>-19193.54</v>
      </c>
      <c r="F16" s="344" t="n">
        <v>-20206.65</v>
      </c>
      <c r="G16" s="344" t="n">
        <v>-17980.72</v>
      </c>
      <c r="H16" s="344" t="n">
        <v>-17614.62</v>
      </c>
      <c r="I16" s="344" t="n">
        <v>-19394.2</v>
      </c>
      <c r="J16" s="344" t="n">
        <v>-15677.61</v>
      </c>
      <c r="K16" s="344" t="n">
        <v>-176323.37</v>
      </c>
      <c r="L16" s="344" t="n">
        <v>-159004.49</v>
      </c>
    </row>
    <row r="17" customFormat="false" ht="15" hidden="false" customHeight="false" outlineLevel="0" collapsed="false">
      <c r="A17" s="336" t="s">
        <v>1413</v>
      </c>
      <c r="B17" s="344" t="n">
        <v>-8150.76</v>
      </c>
      <c r="C17" s="344" t="n">
        <v>-9189.83</v>
      </c>
      <c r="D17" s="344" t="n">
        <v>-8258.91</v>
      </c>
      <c r="E17" s="344" t="n">
        <v>-8224.93</v>
      </c>
      <c r="F17" s="344" t="n">
        <v>-8328.76</v>
      </c>
      <c r="G17" s="344" t="n">
        <v>-8289.91</v>
      </c>
      <c r="H17" s="344" t="n">
        <v>-8224.91</v>
      </c>
      <c r="I17" s="344" t="n">
        <v>-8676.15</v>
      </c>
      <c r="J17" s="344" t="n">
        <v>-8541.36</v>
      </c>
      <c r="K17" s="344" t="n">
        <v>-75885.52</v>
      </c>
      <c r="L17" s="344" t="n">
        <v>-65747.71</v>
      </c>
    </row>
    <row r="18" customFormat="false" ht="15" hidden="false" customHeight="false" outlineLevel="0" collapsed="false">
      <c r="A18" s="336" t="s">
        <v>1414</v>
      </c>
      <c r="B18" s="344" t="n">
        <v>-5685.79</v>
      </c>
      <c r="C18" s="344" t="n">
        <v>-6239.65</v>
      </c>
      <c r="D18" s="344" t="n">
        <v>-4798.87</v>
      </c>
      <c r="E18" s="344" t="n">
        <v>-5931.16</v>
      </c>
      <c r="F18" s="344" t="n">
        <v>-7665.14</v>
      </c>
      <c r="G18" s="344" t="n">
        <v>-5286.32</v>
      </c>
      <c r="H18" s="344" t="n">
        <v>-5390.56</v>
      </c>
      <c r="I18" s="344" t="n">
        <v>-3476.14</v>
      </c>
      <c r="J18" s="344" t="n">
        <v>-2563.22</v>
      </c>
      <c r="K18" s="344" t="n">
        <v>-47036.85</v>
      </c>
      <c r="L18" s="344" t="n">
        <v>-38881.429</v>
      </c>
    </row>
    <row r="19" customFormat="false" ht="15" hidden="false" customHeight="false" outlineLevel="0" collapsed="false">
      <c r="A19" s="345" t="s">
        <v>1415</v>
      </c>
      <c r="B19" s="346" t="n">
        <v>-36446.74</v>
      </c>
      <c r="C19" s="346" t="n">
        <v>-35852.54</v>
      </c>
      <c r="D19" s="346" t="n">
        <v>-36280.56</v>
      </c>
      <c r="E19" s="346" t="n">
        <v>-33349.63</v>
      </c>
      <c r="F19" s="346" t="n">
        <v>-36200.55</v>
      </c>
      <c r="G19" s="346" t="n">
        <v>-31556.95</v>
      </c>
      <c r="H19" s="346" t="n">
        <v>-31230.09</v>
      </c>
      <c r="I19" s="346" t="n">
        <v>-31546.49</v>
      </c>
      <c r="J19" s="346" t="n">
        <v>-26782.19</v>
      </c>
      <c r="K19" s="346" t="n">
        <v>-299245.74</v>
      </c>
      <c r="L19" s="346" t="n">
        <v>-263633.629</v>
      </c>
    </row>
    <row r="20" customFormat="false" ht="15" hidden="false" customHeight="false" outlineLevel="0" collapsed="false">
      <c r="A20" s="349" t="s">
        <v>1416</v>
      </c>
      <c r="B20" s="350" t="n">
        <v>-3653.30999999999</v>
      </c>
      <c r="C20" s="350" t="n">
        <v>2400.61999999999</v>
      </c>
      <c r="D20" s="350" t="n">
        <v>-6951.56</v>
      </c>
      <c r="E20" s="350" t="n">
        <v>-742.660000000003</v>
      </c>
      <c r="F20" s="350" t="n">
        <v>269.849999999991</v>
      </c>
      <c r="G20" s="350" t="n">
        <v>-2599.27</v>
      </c>
      <c r="H20" s="350" t="n">
        <v>14801.23</v>
      </c>
      <c r="I20" s="350" t="n">
        <v>23900.82</v>
      </c>
      <c r="J20" s="350" t="n">
        <v>12539.7</v>
      </c>
      <c r="K20" s="350" t="n">
        <v>39965.42</v>
      </c>
      <c r="L20" s="350" t="n">
        <v>-25476.549</v>
      </c>
    </row>
    <row r="21" customFormat="false" ht="15" hidden="false" customHeight="false" outlineLevel="0" collapsed="false">
      <c r="A21" s="348" t="s">
        <v>1417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</row>
    <row r="22" customFormat="false" ht="15" hidden="false" customHeight="false" outlineLevel="0" collapsed="false">
      <c r="A22" s="336" t="s">
        <v>1418</v>
      </c>
      <c r="B22" s="344" t="n">
        <v>-26001.05</v>
      </c>
      <c r="C22" s="344" t="n">
        <v>-36385.94</v>
      </c>
      <c r="D22" s="344" t="n">
        <v>-26805.29</v>
      </c>
      <c r="E22" s="344" t="n">
        <v>-23614.43</v>
      </c>
      <c r="F22" s="344" t="n">
        <v>-20696.31</v>
      </c>
      <c r="G22" s="344" t="n">
        <v>-20654.45</v>
      </c>
      <c r="H22" s="344" t="n">
        <v>-17323.97</v>
      </c>
      <c r="I22" s="344" t="n">
        <v>-16692.3</v>
      </c>
      <c r="J22" s="344" t="n">
        <v>-12835.4</v>
      </c>
      <c r="K22" s="344" t="n">
        <v>-201009.14</v>
      </c>
      <c r="L22" s="344" t="n">
        <v>-291299.91</v>
      </c>
    </row>
    <row r="23" customFormat="false" ht="15" hidden="false" customHeight="false" outlineLevel="0" collapsed="false">
      <c r="A23" s="336" t="s">
        <v>1419</v>
      </c>
      <c r="B23" s="344" t="n">
        <v>-7238.69</v>
      </c>
      <c r="C23" s="344" t="n">
        <v>-3942.63</v>
      </c>
      <c r="D23" s="344" t="n">
        <v>-5437.84</v>
      </c>
      <c r="E23" s="344" t="n">
        <v>-6848.11</v>
      </c>
      <c r="F23" s="344" t="n">
        <v>-8371.05</v>
      </c>
      <c r="G23" s="344" t="n">
        <v>-10366.96</v>
      </c>
      <c r="H23" s="344" t="n">
        <v>-7519.94</v>
      </c>
      <c r="I23" s="344" t="n">
        <v>-8614.97</v>
      </c>
      <c r="J23" s="344" t="n">
        <v>-10721.51</v>
      </c>
      <c r="K23" s="344" t="n">
        <v>-69061.7</v>
      </c>
      <c r="L23" s="344" t="n">
        <v>-98390.775</v>
      </c>
    </row>
    <row r="24" customFormat="false" ht="15" hidden="false" customHeight="false" outlineLevel="0" collapsed="false">
      <c r="A24" s="336" t="s">
        <v>1420</v>
      </c>
      <c r="B24" s="344" t="n">
        <v>-1387.68</v>
      </c>
      <c r="C24" s="344" t="n">
        <v>-2471.23</v>
      </c>
      <c r="D24" s="344" t="n">
        <v>-4684.11</v>
      </c>
      <c r="E24" s="344" t="n">
        <v>-2813.42</v>
      </c>
      <c r="F24" s="344" t="n">
        <v>-2450.28</v>
      </c>
      <c r="G24" s="344" t="n">
        <v>-1524.82</v>
      </c>
      <c r="H24" s="344" t="n">
        <v>-3876.23</v>
      </c>
      <c r="I24" s="344" t="n">
        <v>-2341.07</v>
      </c>
      <c r="J24" s="344" t="n">
        <v>-3705.7</v>
      </c>
      <c r="K24" s="344" t="n">
        <v>-25254.54</v>
      </c>
      <c r="L24" s="344" t="n">
        <v>-36568.06</v>
      </c>
    </row>
    <row r="25" customFormat="false" ht="15" hidden="false" customHeight="false" outlineLevel="0" collapsed="false">
      <c r="A25" s="336" t="s">
        <v>1421</v>
      </c>
      <c r="B25" s="344" t="n">
        <v>-2910.38</v>
      </c>
      <c r="C25" s="344" t="n">
        <v>-1421.29</v>
      </c>
      <c r="D25" s="344" t="n">
        <v>338.77</v>
      </c>
      <c r="E25" s="344" t="n">
        <v>-1751.7</v>
      </c>
      <c r="F25" s="344" t="n">
        <v>-2733.77</v>
      </c>
      <c r="G25" s="344" t="n">
        <v>-2103.61</v>
      </c>
      <c r="H25" s="344" t="n">
        <v>-2082.18</v>
      </c>
      <c r="I25" s="344" t="n">
        <v>-1415.09</v>
      </c>
      <c r="J25" s="344" t="n">
        <v>-1571.57</v>
      </c>
      <c r="K25" s="344" t="n">
        <v>-15650.82</v>
      </c>
      <c r="L25" s="344" t="n">
        <v>-20765.17</v>
      </c>
    </row>
    <row r="26" customFormat="false" ht="15" hidden="false" customHeight="false" outlineLevel="0" collapsed="false">
      <c r="A26" s="336" t="s">
        <v>1422</v>
      </c>
      <c r="B26" s="344" t="n">
        <v>-1802.3</v>
      </c>
      <c r="C26" s="344" t="n">
        <v>-1365.75</v>
      </c>
      <c r="D26" s="344" t="n">
        <v>-2680.79</v>
      </c>
      <c r="E26" s="344" t="n">
        <v>-997.35</v>
      </c>
      <c r="F26" s="344" t="n">
        <v>-4490.44</v>
      </c>
      <c r="G26" s="344" t="n">
        <v>-837.46</v>
      </c>
      <c r="H26" s="344" t="n">
        <v>-1822.01</v>
      </c>
      <c r="I26" s="344" t="n">
        <v>-4320.08</v>
      </c>
      <c r="J26" s="344" t="n">
        <v>-2411.09</v>
      </c>
      <c r="K26" s="344" t="n">
        <v>-20727.27</v>
      </c>
      <c r="L26" s="344" t="n">
        <v>-45539.406</v>
      </c>
    </row>
    <row r="27" customFormat="false" ht="15" hidden="false" customHeight="false" outlineLevel="0" collapsed="false">
      <c r="A27" s="345" t="s">
        <v>1423</v>
      </c>
      <c r="B27" s="346" t="n">
        <v>-39340.1</v>
      </c>
      <c r="C27" s="346" t="n">
        <v>-45586.84</v>
      </c>
      <c r="D27" s="346" t="n">
        <v>-39269.26</v>
      </c>
      <c r="E27" s="346" t="n">
        <v>-36025.01</v>
      </c>
      <c r="F27" s="346" t="n">
        <v>-38741.85</v>
      </c>
      <c r="G27" s="346" t="n">
        <v>-35487.3</v>
      </c>
      <c r="H27" s="346" t="n">
        <v>-32624.33</v>
      </c>
      <c r="I27" s="346" t="n">
        <v>-33383.51</v>
      </c>
      <c r="J27" s="346" t="n">
        <v>-31245.27</v>
      </c>
      <c r="K27" s="346" t="n">
        <v>-331703.47</v>
      </c>
      <c r="L27" s="346" t="n">
        <v>-492563.321</v>
      </c>
    </row>
    <row r="28" customFormat="false" ht="15" hidden="false" customHeight="false" outlineLevel="0" collapsed="false">
      <c r="A28" s="349" t="s">
        <v>1424</v>
      </c>
      <c r="B28" s="350" t="n">
        <v>-42993.41</v>
      </c>
      <c r="C28" s="350" t="n">
        <v>-43186.22</v>
      </c>
      <c r="D28" s="350" t="n">
        <v>-46220.82</v>
      </c>
      <c r="E28" s="350" t="n">
        <v>-36767.67</v>
      </c>
      <c r="F28" s="350" t="n">
        <v>-38472</v>
      </c>
      <c r="G28" s="350" t="n">
        <v>-38086.57</v>
      </c>
      <c r="H28" s="350" t="n">
        <v>-17823.1</v>
      </c>
      <c r="I28" s="350" t="n">
        <v>-9482.69</v>
      </c>
      <c r="J28" s="350" t="n">
        <v>-18705.57</v>
      </c>
      <c r="K28" s="350" t="n">
        <v>-291738.05</v>
      </c>
      <c r="L28" s="350" t="n">
        <v>-518039.87</v>
      </c>
    </row>
    <row r="29" customFormat="false" ht="15" hidden="false" customHeight="false" outlineLevel="0" collapsed="false">
      <c r="A29" s="345" t="s">
        <v>1425</v>
      </c>
      <c r="B29" s="346" t="n">
        <v>0</v>
      </c>
      <c r="C29" s="346" t="n">
        <v>0</v>
      </c>
      <c r="D29" s="346" t="n">
        <v>-45203.03</v>
      </c>
      <c r="E29" s="346" t="n">
        <v>0</v>
      </c>
      <c r="F29" s="346" t="n">
        <v>0</v>
      </c>
      <c r="G29" s="346" t="n">
        <v>0</v>
      </c>
      <c r="H29" s="346" t="n">
        <v>845.36</v>
      </c>
      <c r="I29" s="346" t="n">
        <v>-4272.18</v>
      </c>
      <c r="J29" s="346" t="n">
        <v>-772.82</v>
      </c>
      <c r="K29" s="346" t="n">
        <v>-49402.67</v>
      </c>
      <c r="L29" s="346" t="n">
        <v>0</v>
      </c>
    </row>
    <row r="30" customFormat="false" ht="15" hidden="false" customHeight="false" outlineLevel="0" collapsed="false">
      <c r="A30" s="349" t="s">
        <v>1426</v>
      </c>
      <c r="B30" s="350" t="n">
        <v>-42993.41</v>
      </c>
      <c r="C30" s="350" t="n">
        <v>-43186.22</v>
      </c>
      <c r="D30" s="350" t="n">
        <v>-91423.85</v>
      </c>
      <c r="E30" s="350" t="n">
        <v>-36767.67</v>
      </c>
      <c r="F30" s="350" t="n">
        <v>-38472</v>
      </c>
      <c r="G30" s="350" t="n">
        <v>-38086.57</v>
      </c>
      <c r="H30" s="350" t="n">
        <v>-16977.74</v>
      </c>
      <c r="I30" s="350" t="n">
        <v>-13754.87</v>
      </c>
      <c r="J30" s="350" t="n">
        <v>-19478.39</v>
      </c>
      <c r="K30" s="350" t="n">
        <v>-341140.72</v>
      </c>
      <c r="L30" s="350" t="n">
        <v>-518039.87</v>
      </c>
    </row>
    <row r="31" customFormat="false" ht="15" hidden="false" customHeight="false" outlineLevel="0" collapsed="false">
      <c r="A31" s="336" t="s">
        <v>236</v>
      </c>
      <c r="B31" s="344" t="n">
        <v>-9139.25</v>
      </c>
      <c r="C31" s="344" t="n">
        <v>-9139.02</v>
      </c>
      <c r="D31" s="344" t="n">
        <v>-9140.85</v>
      </c>
      <c r="E31" s="344" t="n">
        <v>-9152.55</v>
      </c>
      <c r="F31" s="344" t="n">
        <v>-9194.6</v>
      </c>
      <c r="G31" s="344" t="n">
        <v>-9447.33</v>
      </c>
      <c r="H31" s="344" t="n">
        <v>-9934.5</v>
      </c>
      <c r="I31" s="344" t="n">
        <v>-9541.22</v>
      </c>
      <c r="J31" s="344" t="n">
        <v>-9529.37</v>
      </c>
      <c r="K31" s="344" t="n">
        <v>-84218.69</v>
      </c>
      <c r="L31" s="344" t="n">
        <v>-55169.28</v>
      </c>
    </row>
    <row r="32" customFormat="false" ht="15" hidden="false" customHeight="false" outlineLevel="0" collapsed="false">
      <c r="A32" s="336" t="s">
        <v>1427</v>
      </c>
      <c r="B32" s="344" t="n">
        <v>-2018.81</v>
      </c>
      <c r="C32" s="344" t="n">
        <v>-1817.17</v>
      </c>
      <c r="D32" s="344" t="n">
        <v>-1279.95</v>
      </c>
      <c r="E32" s="344" t="n">
        <v>-925.48</v>
      </c>
      <c r="F32" s="344" t="n">
        <v>-1136.97</v>
      </c>
      <c r="G32" s="344" t="n">
        <v>-920.3</v>
      </c>
      <c r="H32" s="344" t="n">
        <v>-425.8</v>
      </c>
      <c r="I32" s="344" t="n">
        <v>-716.87</v>
      </c>
      <c r="J32" s="344" t="n">
        <v>-3961.49</v>
      </c>
      <c r="K32" s="344" t="n">
        <v>-13202.84</v>
      </c>
      <c r="L32" s="344" t="n">
        <v>-10328.64</v>
      </c>
    </row>
    <row r="33" customFormat="false" ht="15" hidden="false" customHeight="false" outlineLevel="0" collapsed="false">
      <c r="A33" s="349" t="s">
        <v>1428</v>
      </c>
      <c r="B33" s="350" t="n">
        <v>-54151.47</v>
      </c>
      <c r="C33" s="350" t="n">
        <v>-54142.41</v>
      </c>
      <c r="D33" s="350" t="n">
        <v>-101844.65</v>
      </c>
      <c r="E33" s="350" t="n">
        <v>-46845.7</v>
      </c>
      <c r="F33" s="350" t="n">
        <v>-48803.57</v>
      </c>
      <c r="G33" s="350" t="n">
        <v>-48454.2</v>
      </c>
      <c r="H33" s="350" t="n">
        <v>-27338.04</v>
      </c>
      <c r="I33" s="350" t="n">
        <v>-24012.96</v>
      </c>
      <c r="J33" s="350" t="n">
        <v>-32969.25</v>
      </c>
      <c r="K33" s="350" t="n">
        <v>-438562.25</v>
      </c>
      <c r="L33" s="350" t="n">
        <v>-583537.79</v>
      </c>
    </row>
    <row r="34" customFormat="false" ht="15" hidden="false" customHeight="false" outlineLevel="0" collapsed="false">
      <c r="A34" s="337"/>
      <c r="B34" s="351"/>
      <c r="C34" s="351"/>
      <c r="D34" s="351"/>
      <c r="E34" s="351"/>
      <c r="F34" s="351"/>
      <c r="G34" s="351"/>
      <c r="H34" s="351"/>
      <c r="I34" s="351"/>
      <c r="J34" s="351"/>
      <c r="K34" s="351"/>
      <c r="L34" s="351"/>
    </row>
    <row r="35" customFormat="false" ht="15" hidden="false" customHeight="false" outlineLevel="0" collapsed="false">
      <c r="A35" s="336"/>
      <c r="B35" s="336"/>
      <c r="C35" s="336"/>
      <c r="D35" s="336"/>
      <c r="E35" s="336"/>
      <c r="F35" s="336"/>
      <c r="G35" s="336"/>
      <c r="H35" s="336"/>
      <c r="I35" s="336"/>
      <c r="J35" s="336"/>
      <c r="K35" s="336"/>
      <c r="L35" s="336"/>
    </row>
    <row r="36" customFormat="false" ht="15" hidden="false" customHeight="false" outlineLevel="0" collapsed="false">
      <c r="A36" s="336"/>
      <c r="B36" s="336"/>
      <c r="C36" s="336"/>
      <c r="D36" s="336"/>
      <c r="E36" s="336"/>
      <c r="F36" s="336"/>
      <c r="G36" s="336"/>
      <c r="H36" s="336"/>
      <c r="I36" s="336"/>
      <c r="J36" s="336"/>
      <c r="K36" s="336"/>
      <c r="L36" s="336"/>
    </row>
    <row r="37" customFormat="false" ht="15" hidden="false" customHeight="false" outlineLevel="0" collapsed="false">
      <c r="A37" s="339" t="s">
        <v>1429</v>
      </c>
      <c r="B37" s="340"/>
      <c r="C37" s="340"/>
      <c r="D37" s="340"/>
      <c r="E37" s="340"/>
      <c r="F37" s="340"/>
      <c r="G37" s="340"/>
      <c r="H37" s="340"/>
      <c r="I37" s="340"/>
      <c r="J37" s="340"/>
      <c r="K37" s="340"/>
      <c r="L37" s="340"/>
    </row>
    <row r="38" customFormat="false" ht="15" hidden="false" customHeight="false" outlineLevel="0" collapsed="false">
      <c r="A38" s="341" t="s">
        <v>1430</v>
      </c>
      <c r="B38" s="342" t="s">
        <v>1394</v>
      </c>
      <c r="C38" s="342" t="s">
        <v>1395</v>
      </c>
      <c r="D38" s="342" t="s">
        <v>1396</v>
      </c>
      <c r="E38" s="342" t="s">
        <v>1397</v>
      </c>
      <c r="F38" s="342" t="s">
        <v>1398</v>
      </c>
      <c r="G38" s="342" t="s">
        <v>1399</v>
      </c>
      <c r="H38" s="342" t="s">
        <v>1400</v>
      </c>
      <c r="I38" s="342" t="s">
        <v>1401</v>
      </c>
      <c r="J38" s="342" t="s">
        <v>1402</v>
      </c>
      <c r="K38" s="343"/>
      <c r="L38" s="343" t="s">
        <v>1404</v>
      </c>
    </row>
    <row r="39" customFormat="false" ht="15" hidden="false" customHeight="false" outlineLevel="0" collapsed="false">
      <c r="A39" s="345" t="s">
        <v>1431</v>
      </c>
      <c r="B39" s="336"/>
      <c r="C39" s="336"/>
      <c r="D39" s="336"/>
      <c r="E39" s="336"/>
      <c r="F39" s="336"/>
      <c r="G39" s="336"/>
      <c r="H39" s="336"/>
      <c r="I39" s="336"/>
      <c r="J39" s="336"/>
      <c r="K39" s="336"/>
      <c r="L39" s="336"/>
    </row>
    <row r="40" customFormat="false" ht="15" hidden="false" customHeight="false" outlineLevel="0" collapsed="false">
      <c r="A40" s="336" t="s">
        <v>1432</v>
      </c>
      <c r="B40" s="344" t="n">
        <v>41369.66</v>
      </c>
      <c r="C40" s="344" t="n">
        <v>134780.24</v>
      </c>
      <c r="D40" s="344" t="n">
        <v>77982.89</v>
      </c>
      <c r="E40" s="344" t="n">
        <v>24072.52</v>
      </c>
      <c r="F40" s="344" t="n">
        <v>82271.56</v>
      </c>
      <c r="G40" s="344" t="n">
        <v>47625.32</v>
      </c>
      <c r="H40" s="344" t="n">
        <v>31652.55</v>
      </c>
      <c r="I40" s="344" t="n">
        <v>38222.25</v>
      </c>
      <c r="J40" s="344" t="n">
        <v>75825.94</v>
      </c>
      <c r="K40" s="336"/>
      <c r="L40" s="344" t="n">
        <v>56347.05</v>
      </c>
    </row>
    <row r="41" customFormat="false" ht="15" hidden="false" customHeight="false" outlineLevel="0" collapsed="false">
      <c r="A41" s="336" t="s">
        <v>1433</v>
      </c>
      <c r="B41" s="344" t="n">
        <v>23997.17</v>
      </c>
      <c r="C41" s="344" t="n">
        <v>22305.2</v>
      </c>
      <c r="D41" s="344" t="n">
        <v>21710.52</v>
      </c>
      <c r="E41" s="344" t="n">
        <v>24176.74</v>
      </c>
      <c r="F41" s="344" t="n">
        <v>10915.16</v>
      </c>
      <c r="G41" s="344" t="n">
        <v>5471.1</v>
      </c>
      <c r="H41" s="344" t="n">
        <v>5361.66</v>
      </c>
      <c r="I41" s="344" t="n">
        <v>5760.69</v>
      </c>
      <c r="J41" s="344" t="n">
        <v>9905.87</v>
      </c>
      <c r="K41" s="336"/>
      <c r="L41" s="344" t="n">
        <v>32391.94</v>
      </c>
    </row>
    <row r="42" customFormat="false" ht="15" hidden="false" customHeight="false" outlineLevel="0" collapsed="false">
      <c r="A42" s="336" t="s">
        <v>1434</v>
      </c>
      <c r="B42" s="344" t="n">
        <v>64480.19</v>
      </c>
      <c r="C42" s="344" t="n">
        <v>60769.96</v>
      </c>
      <c r="D42" s="344" t="n">
        <v>65871.03</v>
      </c>
      <c r="E42" s="344" t="n">
        <v>64026.76</v>
      </c>
      <c r="F42" s="344" t="n">
        <v>93463.65</v>
      </c>
      <c r="G42" s="344" t="n">
        <v>87010</v>
      </c>
      <c r="H42" s="344" t="n">
        <v>84478.19</v>
      </c>
      <c r="I42" s="344" t="n">
        <v>81183.2</v>
      </c>
      <c r="J42" s="344" t="n">
        <v>77455.13</v>
      </c>
      <c r="K42" s="336"/>
      <c r="L42" s="344" t="n">
        <v>66956.36</v>
      </c>
    </row>
    <row r="43" customFormat="false" ht="15" hidden="false" customHeight="false" outlineLevel="0" collapsed="false">
      <c r="A43" s="336" t="s">
        <v>1435</v>
      </c>
      <c r="B43" s="344" t="n">
        <v>37849.28</v>
      </c>
      <c r="C43" s="344" t="n">
        <v>33952.53</v>
      </c>
      <c r="D43" s="344" t="n">
        <v>41374.72</v>
      </c>
      <c r="E43" s="344" t="n">
        <v>37680.49</v>
      </c>
      <c r="F43" s="344" t="n">
        <v>9961.58</v>
      </c>
      <c r="G43" s="344" t="n">
        <v>10157.4</v>
      </c>
      <c r="H43" s="344" t="n">
        <v>13102.66</v>
      </c>
      <c r="I43" s="344" t="n">
        <v>12762.18</v>
      </c>
      <c r="J43" s="344" t="n">
        <v>12209.16</v>
      </c>
      <c r="K43" s="336"/>
      <c r="L43" s="344" t="n">
        <v>42644.49</v>
      </c>
    </row>
    <row r="44" customFormat="false" ht="15" hidden="false" customHeight="false" outlineLevel="0" collapsed="false">
      <c r="A44" s="336" t="s">
        <v>1436</v>
      </c>
      <c r="B44" s="344" t="n">
        <v>0</v>
      </c>
      <c r="C44" s="344" t="n">
        <v>0</v>
      </c>
      <c r="D44" s="344" t="n">
        <v>0</v>
      </c>
      <c r="E44" s="344" t="n">
        <v>0</v>
      </c>
      <c r="F44" s="344" t="n">
        <v>0</v>
      </c>
      <c r="G44" s="344" t="n">
        <v>0</v>
      </c>
      <c r="H44" s="344" t="n">
        <v>0</v>
      </c>
      <c r="I44" s="344" t="n">
        <v>0</v>
      </c>
      <c r="J44" s="344" t="n">
        <v>0</v>
      </c>
      <c r="K44" s="336"/>
      <c r="L44" s="344" t="n">
        <v>0</v>
      </c>
    </row>
    <row r="45" customFormat="false" ht="15" hidden="false" customHeight="false" outlineLevel="0" collapsed="false">
      <c r="A45" s="336" t="s">
        <v>1437</v>
      </c>
      <c r="B45" s="344" t="n">
        <v>336143.08</v>
      </c>
      <c r="C45" s="344" t="n">
        <v>330681.63</v>
      </c>
      <c r="D45" s="344" t="n">
        <v>315012.78</v>
      </c>
      <c r="E45" s="344" t="n">
        <v>306292.98</v>
      </c>
      <c r="F45" s="344" t="n">
        <v>298124.32</v>
      </c>
      <c r="G45" s="344" t="n">
        <v>289021.47</v>
      </c>
      <c r="H45" s="344" t="n">
        <v>279245.7</v>
      </c>
      <c r="I45" s="344" t="n">
        <v>270776.41</v>
      </c>
      <c r="J45" s="344" t="n">
        <v>307231.78</v>
      </c>
      <c r="K45" s="336"/>
      <c r="L45" s="344" t="n">
        <v>332828.16</v>
      </c>
    </row>
    <row r="46" customFormat="false" ht="15" hidden="false" customHeight="false" outlineLevel="0" collapsed="false">
      <c r="A46" s="336" t="s">
        <v>1438</v>
      </c>
      <c r="B46" s="344" t="n">
        <v>553.43</v>
      </c>
      <c r="C46" s="344" t="n">
        <v>540.68</v>
      </c>
      <c r="D46" s="344" t="n">
        <v>527.93</v>
      </c>
      <c r="E46" s="344" t="n">
        <v>515.18</v>
      </c>
      <c r="F46" s="344" t="n">
        <v>502.43</v>
      </c>
      <c r="G46" s="344" t="n">
        <v>489.68</v>
      </c>
      <c r="H46" s="344" t="n">
        <v>476.93</v>
      </c>
      <c r="I46" s="344" t="n">
        <v>465</v>
      </c>
      <c r="J46" s="344" t="n">
        <v>465</v>
      </c>
      <c r="K46" s="336"/>
      <c r="L46" s="344" t="n">
        <v>566.18</v>
      </c>
    </row>
    <row r="47" customFormat="false" ht="15" hidden="false" customHeight="false" outlineLevel="0" collapsed="false">
      <c r="A47" s="336" t="s">
        <v>1439</v>
      </c>
      <c r="B47" s="344" t="n">
        <v>9999.1</v>
      </c>
      <c r="C47" s="344" t="n">
        <v>7550.57</v>
      </c>
      <c r="D47" s="344" t="n">
        <v>13732.42</v>
      </c>
      <c r="E47" s="344" t="n">
        <v>14673.82</v>
      </c>
      <c r="F47" s="344" t="n">
        <v>16904.62</v>
      </c>
      <c r="G47" s="344" t="n">
        <v>13709.19</v>
      </c>
      <c r="H47" s="344" t="n">
        <v>13282.9</v>
      </c>
      <c r="I47" s="344" t="n">
        <v>13321.74</v>
      </c>
      <c r="J47" s="344" t="n">
        <v>13107.9</v>
      </c>
      <c r="K47" s="336"/>
      <c r="L47" s="344" t="n">
        <v>14592.03</v>
      </c>
    </row>
    <row r="48" customFormat="false" ht="15" hidden="false" customHeight="false" outlineLevel="0" collapsed="false">
      <c r="A48" s="345" t="s">
        <v>271</v>
      </c>
      <c r="B48" s="346" t="n">
        <v>514391.91</v>
      </c>
      <c r="C48" s="346" t="n">
        <v>590580.81</v>
      </c>
      <c r="D48" s="346" t="n">
        <v>536212.29</v>
      </c>
      <c r="E48" s="346" t="n">
        <v>471438.49</v>
      </c>
      <c r="F48" s="346" t="n">
        <v>512143.32</v>
      </c>
      <c r="G48" s="346" t="n">
        <v>453484.16</v>
      </c>
      <c r="H48" s="346" t="n">
        <v>427600.59</v>
      </c>
      <c r="I48" s="346" t="n">
        <v>422491.47</v>
      </c>
      <c r="J48" s="346" t="n">
        <v>496200.78</v>
      </c>
      <c r="K48" s="336"/>
      <c r="L48" s="346" t="n">
        <v>546326.21</v>
      </c>
    </row>
    <row r="49" customFormat="false" ht="15" hidden="false" customHeight="false" outlineLevel="0" collapsed="false">
      <c r="A49" s="345" t="s">
        <v>1440</v>
      </c>
      <c r="B49" s="336"/>
      <c r="C49" s="336"/>
      <c r="D49" s="336"/>
      <c r="E49" s="336"/>
      <c r="F49" s="336"/>
      <c r="G49" s="336"/>
      <c r="H49" s="336"/>
      <c r="I49" s="336"/>
      <c r="J49" s="336"/>
      <c r="K49" s="336"/>
      <c r="L49" s="336"/>
    </row>
    <row r="50" customFormat="false" ht="15" hidden="false" customHeight="false" outlineLevel="0" collapsed="false">
      <c r="A50" s="336" t="s">
        <v>1441</v>
      </c>
      <c r="B50" s="344" t="n">
        <v>94437.35</v>
      </c>
      <c r="C50" s="344" t="n">
        <v>42768.19</v>
      </c>
      <c r="D50" s="344" t="n">
        <v>48369.74</v>
      </c>
      <c r="E50" s="344" t="n">
        <v>33024.08</v>
      </c>
      <c r="F50" s="344" t="n">
        <v>32372.66</v>
      </c>
      <c r="G50" s="344" t="n">
        <v>32430.79</v>
      </c>
      <c r="H50" s="344" t="n">
        <v>27579.94</v>
      </c>
      <c r="I50" s="344" t="n">
        <v>56739.9</v>
      </c>
      <c r="J50" s="344" t="n">
        <v>51576.63</v>
      </c>
      <c r="K50" s="336"/>
      <c r="L50" s="344" t="n">
        <v>72647.21</v>
      </c>
    </row>
    <row r="51" customFormat="false" ht="15" hidden="false" customHeight="false" outlineLevel="0" collapsed="false">
      <c r="A51" s="336" t="s">
        <v>1442</v>
      </c>
      <c r="B51" s="344" t="n">
        <v>0</v>
      </c>
      <c r="C51" s="344" t="n">
        <v>0</v>
      </c>
      <c r="D51" s="344" t="n">
        <v>0</v>
      </c>
      <c r="E51" s="344" t="n">
        <v>0</v>
      </c>
      <c r="F51" s="344" t="n">
        <v>0</v>
      </c>
      <c r="G51" s="344" t="n">
        <v>0</v>
      </c>
      <c r="H51" s="344" t="n">
        <v>0</v>
      </c>
      <c r="I51" s="344" t="n">
        <v>0</v>
      </c>
      <c r="J51" s="344" t="n">
        <v>0</v>
      </c>
      <c r="K51" s="336"/>
      <c r="L51" s="344" t="n">
        <v>0</v>
      </c>
    </row>
    <row r="52" customFormat="false" ht="15" hidden="false" customHeight="false" outlineLevel="0" collapsed="false">
      <c r="A52" s="336" t="s">
        <v>1443</v>
      </c>
      <c r="B52" s="344" t="n">
        <v>18926.66</v>
      </c>
      <c r="C52" s="344" t="n">
        <v>16934.11</v>
      </c>
      <c r="D52" s="344" t="n">
        <v>19602.36</v>
      </c>
      <c r="E52" s="344" t="n">
        <v>19934.13</v>
      </c>
      <c r="F52" s="344" t="n">
        <v>23256.86</v>
      </c>
      <c r="G52" s="344" t="n">
        <v>23059.26</v>
      </c>
      <c r="H52" s="344" t="n">
        <v>22289.44</v>
      </c>
      <c r="I52" s="344" t="n">
        <v>25426.11</v>
      </c>
      <c r="J52" s="344" t="n">
        <v>100338.96</v>
      </c>
      <c r="K52" s="336"/>
      <c r="L52" s="344" t="n">
        <v>201251.83</v>
      </c>
    </row>
    <row r="53" customFormat="false" ht="15" hidden="false" customHeight="false" outlineLevel="0" collapsed="false">
      <c r="A53" s="336" t="s">
        <v>1444</v>
      </c>
      <c r="B53" s="344" t="n">
        <v>6587.45</v>
      </c>
      <c r="C53" s="344" t="n">
        <v>6627.23</v>
      </c>
      <c r="D53" s="344" t="n">
        <v>2952.55</v>
      </c>
      <c r="E53" s="344" t="n">
        <v>2952.55</v>
      </c>
      <c r="F53" s="344" t="n">
        <v>-903.76</v>
      </c>
      <c r="G53" s="344" t="n">
        <v>-922.66</v>
      </c>
      <c r="H53" s="344" t="n">
        <v>1599.63</v>
      </c>
      <c r="I53" s="344" t="n">
        <v>143.16</v>
      </c>
      <c r="J53" s="344" t="n">
        <v>1804.77</v>
      </c>
      <c r="K53" s="336"/>
      <c r="L53" s="344" t="n">
        <v>6587.45</v>
      </c>
    </row>
    <row r="54" customFormat="false" ht="15" hidden="false" customHeight="false" outlineLevel="0" collapsed="false">
      <c r="A54" s="336" t="s">
        <v>1445</v>
      </c>
      <c r="B54" s="344" t="n">
        <v>9058.49</v>
      </c>
      <c r="C54" s="344" t="n">
        <v>6497.38</v>
      </c>
      <c r="D54" s="344" t="n">
        <v>4931.1</v>
      </c>
      <c r="E54" s="344" t="n">
        <v>7105.37</v>
      </c>
      <c r="F54" s="344" t="n">
        <v>6276.21</v>
      </c>
      <c r="G54" s="344" t="n">
        <v>2571.53</v>
      </c>
      <c r="H54" s="344" t="n">
        <v>3511.69</v>
      </c>
      <c r="I54" s="344" t="n">
        <v>3647.37</v>
      </c>
      <c r="J54" s="344" t="n">
        <v>2026.1</v>
      </c>
      <c r="K54" s="336"/>
      <c r="L54" s="344" t="n">
        <v>13094.61</v>
      </c>
    </row>
    <row r="55" customFormat="false" ht="15" hidden="false" customHeight="false" outlineLevel="0" collapsed="false">
      <c r="A55" s="336" t="s">
        <v>1446</v>
      </c>
      <c r="B55" s="344" t="n">
        <v>69665.65</v>
      </c>
      <c r="C55" s="344" t="n">
        <v>75854.63</v>
      </c>
      <c r="D55" s="344" t="n">
        <v>84801.92</v>
      </c>
      <c r="E55" s="344" t="n">
        <v>80423.22</v>
      </c>
      <c r="F55" s="344" t="n">
        <v>84036.83</v>
      </c>
      <c r="G55" s="344" t="n">
        <v>87537.52</v>
      </c>
      <c r="H55" s="344" t="n">
        <v>91356.2</v>
      </c>
      <c r="I55" s="344" t="n">
        <v>79091.76</v>
      </c>
      <c r="J55" s="344" t="n">
        <v>71048.96</v>
      </c>
      <c r="K55" s="336"/>
      <c r="L55" s="344" t="n">
        <v>65395.72</v>
      </c>
    </row>
    <row r="56" customFormat="false" ht="15" hidden="false" customHeight="false" outlineLevel="0" collapsed="false">
      <c r="A56" s="345" t="s">
        <v>280</v>
      </c>
      <c r="B56" s="346" t="n">
        <v>198675.6</v>
      </c>
      <c r="C56" s="346" t="n">
        <v>148681.54</v>
      </c>
      <c r="D56" s="346" t="n">
        <v>160657.67</v>
      </c>
      <c r="E56" s="346" t="n">
        <v>143439.35</v>
      </c>
      <c r="F56" s="346" t="n">
        <v>145038.8</v>
      </c>
      <c r="G56" s="346" t="n">
        <v>144676.44</v>
      </c>
      <c r="H56" s="346" t="n">
        <v>146336.9</v>
      </c>
      <c r="I56" s="346" t="n">
        <v>165048.3</v>
      </c>
      <c r="J56" s="346" t="n">
        <v>226795.42</v>
      </c>
      <c r="K56" s="336"/>
      <c r="L56" s="346" t="n">
        <v>358976.82</v>
      </c>
    </row>
    <row r="57" customFormat="false" ht="15" hidden="false" customHeight="false" outlineLevel="0" collapsed="false">
      <c r="A57" s="345" t="s">
        <v>281</v>
      </c>
      <c r="B57" s="336"/>
      <c r="C57" s="336"/>
      <c r="D57" s="336"/>
      <c r="E57" s="336"/>
      <c r="F57" s="336"/>
      <c r="G57" s="336"/>
      <c r="H57" s="336"/>
      <c r="I57" s="336"/>
      <c r="J57" s="336"/>
      <c r="K57" s="336"/>
      <c r="L57" s="336"/>
    </row>
    <row r="58" customFormat="false" ht="15" hidden="false" customHeight="false" outlineLevel="0" collapsed="false">
      <c r="A58" s="336" t="s">
        <v>1447</v>
      </c>
      <c r="B58" s="344" t="n">
        <v>1123056.19</v>
      </c>
      <c r="C58" s="344" t="n">
        <v>1304324.19</v>
      </c>
      <c r="D58" s="344" t="n">
        <v>1340724.19</v>
      </c>
      <c r="E58" s="344" t="n">
        <v>1340724.19</v>
      </c>
      <c r="F58" s="344" t="n">
        <v>1432037.19</v>
      </c>
      <c r="G58" s="344" t="n">
        <v>1432037.19</v>
      </c>
      <c r="H58" s="344" t="n">
        <v>1432037.19</v>
      </c>
      <c r="I58" s="344" t="n">
        <v>1432037.19</v>
      </c>
      <c r="J58" s="344" t="n">
        <v>1476209.19</v>
      </c>
      <c r="K58" s="336"/>
      <c r="L58" s="344" t="n">
        <v>939521</v>
      </c>
    </row>
    <row r="59" customFormat="false" ht="15" hidden="false" customHeight="false" outlineLevel="0" collapsed="false">
      <c r="A59" s="336" t="s">
        <v>1448</v>
      </c>
      <c r="B59" s="344" t="n">
        <v>-807339.88</v>
      </c>
      <c r="C59" s="344" t="n">
        <v>-862424.920000001</v>
      </c>
      <c r="D59" s="344" t="n">
        <v>-965169.57</v>
      </c>
      <c r="E59" s="344" t="n">
        <v>-1012725.05</v>
      </c>
      <c r="F59" s="344" t="n">
        <v>-1064932.67</v>
      </c>
      <c r="G59" s="344" t="n">
        <v>-1123229.47</v>
      </c>
      <c r="H59" s="344" t="n">
        <v>-1150773.5</v>
      </c>
      <c r="I59" s="344" t="n">
        <v>-1174594.02</v>
      </c>
      <c r="J59" s="344" t="n">
        <v>-1206803.83</v>
      </c>
      <c r="K59" s="336"/>
      <c r="L59" s="344" t="n">
        <v>-752171.61</v>
      </c>
    </row>
    <row r="60" customFormat="false" ht="15" hidden="false" customHeight="false" outlineLevel="0" collapsed="false">
      <c r="A60" s="336" t="s">
        <v>1449</v>
      </c>
      <c r="B60" s="344" t="n">
        <v>0</v>
      </c>
      <c r="C60" s="344" t="n">
        <v>0</v>
      </c>
      <c r="D60" s="344" t="n">
        <v>0</v>
      </c>
      <c r="E60" s="344" t="n">
        <v>0</v>
      </c>
      <c r="F60" s="344" t="n">
        <v>0</v>
      </c>
      <c r="G60" s="344" t="n">
        <v>0</v>
      </c>
      <c r="H60" s="344" t="n">
        <v>0</v>
      </c>
      <c r="I60" s="344" t="n">
        <v>0</v>
      </c>
      <c r="J60" s="344" t="n">
        <v>0</v>
      </c>
      <c r="K60" s="336"/>
      <c r="L60" s="344" t="n">
        <v>0</v>
      </c>
    </row>
    <row r="61" customFormat="false" ht="15" hidden="false" customHeight="false" outlineLevel="0" collapsed="false">
      <c r="A61" s="345" t="s">
        <v>284</v>
      </c>
      <c r="B61" s="346" t="n">
        <v>315716.31</v>
      </c>
      <c r="C61" s="346" t="n">
        <v>441899.269999999</v>
      </c>
      <c r="D61" s="346" t="n">
        <v>375554.62</v>
      </c>
      <c r="E61" s="346" t="n">
        <v>327999.14</v>
      </c>
      <c r="F61" s="346" t="n">
        <v>367104.52</v>
      </c>
      <c r="G61" s="346" t="n">
        <v>308807.72</v>
      </c>
      <c r="H61" s="346" t="n">
        <v>281263.69</v>
      </c>
      <c r="I61" s="346" t="n">
        <v>257443.169999999</v>
      </c>
      <c r="J61" s="346" t="n">
        <v>269405.36</v>
      </c>
      <c r="K61" s="336"/>
      <c r="L61" s="346" t="n">
        <v>187349.39</v>
      </c>
    </row>
    <row r="62" customFormat="false" ht="15" hidden="false" customHeight="false" outlineLevel="0" collapsed="false">
      <c r="A62" s="345" t="s">
        <v>1450</v>
      </c>
      <c r="B62" s="346" t="n">
        <v>514391.91</v>
      </c>
      <c r="C62" s="346" t="n">
        <v>590580.809999999</v>
      </c>
      <c r="D62" s="346" t="n">
        <v>536212.29</v>
      </c>
      <c r="E62" s="346" t="n">
        <v>471438.49</v>
      </c>
      <c r="F62" s="346" t="n">
        <v>512143.32</v>
      </c>
      <c r="G62" s="346" t="n">
        <v>453484.16</v>
      </c>
      <c r="H62" s="346" t="n">
        <v>427600.59</v>
      </c>
      <c r="I62" s="346" t="n">
        <v>422491.469999999</v>
      </c>
      <c r="J62" s="346" t="n">
        <v>496200.78</v>
      </c>
      <c r="K62" s="336"/>
      <c r="L62" s="346" t="n">
        <v>546326.21</v>
      </c>
    </row>
    <row r="63" customFormat="false" ht="15" hidden="false" customHeight="false" outlineLevel="0" collapsed="false">
      <c r="A63" s="336" t="s">
        <v>1451</v>
      </c>
      <c r="B63" s="351" t="n">
        <v>0</v>
      </c>
      <c r="C63" s="351" t="n">
        <v>5.82076609134674E-010</v>
      </c>
      <c r="D63" s="351" t="n">
        <v>0</v>
      </c>
      <c r="E63" s="351" t="n">
        <v>0</v>
      </c>
      <c r="F63" s="351" t="n">
        <v>0</v>
      </c>
      <c r="G63" s="351" t="n">
        <v>0</v>
      </c>
      <c r="H63" s="351" t="n">
        <v>0</v>
      </c>
      <c r="I63" s="351" t="n">
        <v>6.40284270048141E-010</v>
      </c>
      <c r="J63" s="351" t="n">
        <v>0</v>
      </c>
      <c r="K63" s="336"/>
      <c r="L63" s="351" t="n">
        <v>4.65661287307739E-010</v>
      </c>
    </row>
    <row r="64" customFormat="false" ht="15" hidden="false" customHeight="false" outlineLevel="0" collapsed="false">
      <c r="A64" s="336"/>
      <c r="B64" s="336"/>
      <c r="C64" s="336"/>
      <c r="D64" s="336"/>
      <c r="E64" s="336"/>
      <c r="F64" s="336"/>
      <c r="G64" s="336"/>
      <c r="H64" s="336"/>
      <c r="I64" s="336"/>
      <c r="J64" s="336"/>
      <c r="K64" s="336"/>
      <c r="L64" s="336"/>
    </row>
    <row r="65" customFormat="false" ht="15" hidden="false" customHeight="false" outlineLevel="0" collapsed="false">
      <c r="A65" s="336"/>
      <c r="B65" s="336"/>
      <c r="C65" s="336"/>
      <c r="D65" s="336"/>
      <c r="E65" s="336"/>
      <c r="F65" s="336"/>
      <c r="G65" s="336"/>
      <c r="H65" s="336"/>
      <c r="I65" s="336"/>
      <c r="J65" s="336"/>
      <c r="K65" s="336"/>
      <c r="L65" s="336"/>
    </row>
    <row r="66" customFormat="false" ht="15" hidden="false" customHeight="false" outlineLevel="0" collapsed="false">
      <c r="A66" s="339" t="s">
        <v>1452</v>
      </c>
      <c r="B66" s="340"/>
      <c r="C66" s="340"/>
      <c r="D66" s="340"/>
      <c r="E66" s="340"/>
      <c r="F66" s="340"/>
      <c r="G66" s="340"/>
      <c r="H66" s="340"/>
      <c r="I66" s="340"/>
      <c r="J66" s="340"/>
      <c r="K66" s="340"/>
      <c r="L66" s="340"/>
    </row>
    <row r="67" customFormat="false" ht="15" hidden="false" customHeight="false" outlineLevel="0" collapsed="false">
      <c r="A67" s="341" t="s">
        <v>1453</v>
      </c>
      <c r="B67" s="342" t="s">
        <v>1394</v>
      </c>
      <c r="C67" s="342" t="s">
        <v>1395</v>
      </c>
      <c r="D67" s="342" t="s">
        <v>1396</v>
      </c>
      <c r="E67" s="342" t="s">
        <v>1397</v>
      </c>
      <c r="F67" s="342" t="s">
        <v>1398</v>
      </c>
      <c r="G67" s="342" t="s">
        <v>1399</v>
      </c>
      <c r="H67" s="342" t="s">
        <v>1400</v>
      </c>
      <c r="I67" s="342" t="s">
        <v>1401</v>
      </c>
      <c r="J67" s="342" t="s">
        <v>1402</v>
      </c>
      <c r="K67" s="343" t="s">
        <v>1403</v>
      </c>
      <c r="L67" s="343" t="s">
        <v>1404</v>
      </c>
    </row>
    <row r="68" customFormat="false" ht="15" hidden="false" customHeight="false" outlineLevel="0" collapsed="false">
      <c r="A68" s="336" t="s">
        <v>1454</v>
      </c>
      <c r="B68" s="344" t="n">
        <v>56347.05</v>
      </c>
      <c r="C68" s="344" t="n">
        <v>41369.6600000001</v>
      </c>
      <c r="D68" s="344" t="n">
        <v>134780.24</v>
      </c>
      <c r="E68" s="344" t="n">
        <v>77982.8899999999</v>
      </c>
      <c r="F68" s="344" t="n">
        <v>24072.5200000005</v>
      </c>
      <c r="G68" s="344" t="n">
        <v>82271.5600000001</v>
      </c>
      <c r="H68" s="344" t="n">
        <v>47625.3200000005</v>
      </c>
      <c r="I68" s="344" t="n">
        <v>31652.5500000002</v>
      </c>
      <c r="J68" s="344" t="n">
        <v>38222.2499999997</v>
      </c>
      <c r="K68" s="344" t="n">
        <v>56347.05</v>
      </c>
      <c r="L68" s="344" t="n">
        <v>38005.38</v>
      </c>
    </row>
    <row r="69" customFormat="false" ht="15" hidden="false" customHeight="false" outlineLevel="0" collapsed="false">
      <c r="A69" s="336" t="s">
        <v>1455</v>
      </c>
      <c r="B69" s="344" t="n">
        <v>-54151.47</v>
      </c>
      <c r="C69" s="344" t="n">
        <v>-54142.41</v>
      </c>
      <c r="D69" s="344" t="n">
        <v>-101844.65</v>
      </c>
      <c r="E69" s="344" t="n">
        <v>-46845.7</v>
      </c>
      <c r="F69" s="344" t="n">
        <v>-48803.57</v>
      </c>
      <c r="G69" s="344" t="n">
        <v>-48454.2</v>
      </c>
      <c r="H69" s="344" t="n">
        <v>-27338.04</v>
      </c>
      <c r="I69" s="344" t="n">
        <v>-24012.96</v>
      </c>
      <c r="J69" s="344" t="n">
        <v>-32969.25</v>
      </c>
      <c r="K69" s="344" t="n">
        <v>-438562.25</v>
      </c>
      <c r="L69" s="344" t="n">
        <v>-583537.79</v>
      </c>
    </row>
    <row r="70" customFormat="false" ht="15" hidden="false" customHeight="false" outlineLevel="0" collapsed="false">
      <c r="A70" s="336" t="s">
        <v>1456</v>
      </c>
      <c r="B70" s="344" t="n">
        <v>-1016.8</v>
      </c>
      <c r="C70" s="344" t="n">
        <v>-942.63</v>
      </c>
      <c r="D70" s="344" t="n">
        <v>-900</v>
      </c>
      <c r="E70" s="344" t="n">
        <v>-709.78</v>
      </c>
      <c r="F70" s="344" t="n">
        <v>-667.15</v>
      </c>
      <c r="G70" s="344" t="n">
        <v>-667.15</v>
      </c>
      <c r="H70" s="344" t="n">
        <v>-205.99</v>
      </c>
      <c r="I70" s="344" t="n">
        <v>1126.15</v>
      </c>
      <c r="J70" s="344" t="n">
        <v>717.25</v>
      </c>
      <c r="K70" s="344" t="n">
        <v>-3266.1</v>
      </c>
      <c r="L70" s="344" t="n">
        <v>-48380.54</v>
      </c>
    </row>
    <row r="71" customFormat="false" ht="15" hidden="false" customHeight="false" outlineLevel="0" collapsed="false">
      <c r="A71" s="336" t="s">
        <v>1457</v>
      </c>
      <c r="B71" s="344" t="n">
        <v>9139.25</v>
      </c>
      <c r="C71" s="344" t="n">
        <v>9139.02</v>
      </c>
      <c r="D71" s="344" t="n">
        <v>9140.85</v>
      </c>
      <c r="E71" s="344" t="n">
        <v>9152.55</v>
      </c>
      <c r="F71" s="344" t="n">
        <v>9194.6</v>
      </c>
      <c r="G71" s="344" t="n">
        <v>9447.33</v>
      </c>
      <c r="H71" s="344" t="n">
        <v>9934.5</v>
      </c>
      <c r="I71" s="344" t="n">
        <v>9541.22</v>
      </c>
      <c r="J71" s="344" t="n">
        <v>9529.37</v>
      </c>
      <c r="K71" s="344" t="n">
        <v>84218.69</v>
      </c>
      <c r="L71" s="344" t="n">
        <v>55169.28</v>
      </c>
    </row>
    <row r="72" customFormat="false" ht="15" hidden="false" customHeight="false" outlineLevel="0" collapsed="false">
      <c r="A72" s="336" t="s">
        <v>1458</v>
      </c>
      <c r="B72" s="344" t="n">
        <v>8394.77</v>
      </c>
      <c r="C72" s="344" t="n">
        <v>1691.97</v>
      </c>
      <c r="D72" s="344" t="n">
        <v>594.68</v>
      </c>
      <c r="E72" s="344" t="n">
        <v>-2466.22</v>
      </c>
      <c r="F72" s="344" t="n">
        <v>13261.58</v>
      </c>
      <c r="G72" s="344" t="n">
        <v>5444.06</v>
      </c>
      <c r="H72" s="344" t="n">
        <v>109.440000000001</v>
      </c>
      <c r="I72" s="344" t="n">
        <v>-399.03</v>
      </c>
      <c r="J72" s="344" t="n">
        <v>-4145.18</v>
      </c>
      <c r="K72" s="344" t="n">
        <v>22486.07</v>
      </c>
      <c r="L72" s="344" t="n">
        <v>-31723.97</v>
      </c>
    </row>
    <row r="73" customFormat="false" ht="15" hidden="false" customHeight="false" outlineLevel="0" collapsed="false">
      <c r="A73" s="336" t="s">
        <v>1459</v>
      </c>
      <c r="B73" s="344" t="n">
        <v>2476.17000000002</v>
      </c>
      <c r="C73" s="344" t="n">
        <v>3710.23</v>
      </c>
      <c r="D73" s="344" t="n">
        <v>-5101.07</v>
      </c>
      <c r="E73" s="344" t="n">
        <v>1844.27</v>
      </c>
      <c r="F73" s="344" t="n">
        <v>-29436.89</v>
      </c>
      <c r="G73" s="344" t="n">
        <v>6453.64999999999</v>
      </c>
      <c r="H73" s="344" t="n">
        <v>2531.81</v>
      </c>
      <c r="I73" s="344" t="n">
        <v>3294.98999999999</v>
      </c>
      <c r="J73" s="344" t="n">
        <v>3728.07000000001</v>
      </c>
      <c r="K73" s="344" t="n">
        <v>-10498.77</v>
      </c>
      <c r="L73" s="344" t="n">
        <v>-39676.43</v>
      </c>
    </row>
    <row r="74" customFormat="false" ht="15" hidden="false" customHeight="false" outlineLevel="0" collapsed="false">
      <c r="A74" s="336" t="s">
        <v>1460</v>
      </c>
      <c r="B74" s="344" t="n">
        <v>4795.21</v>
      </c>
      <c r="C74" s="344" t="n">
        <v>3896.74999999999</v>
      </c>
      <c r="D74" s="344" t="n">
        <v>-7422.19</v>
      </c>
      <c r="E74" s="344" t="n">
        <v>3694.23</v>
      </c>
      <c r="F74" s="344" t="n">
        <v>27718.91</v>
      </c>
      <c r="G74" s="344" t="n">
        <v>-195.820000000002</v>
      </c>
      <c r="H74" s="344" t="n">
        <v>-2945.26</v>
      </c>
      <c r="I74" s="344" t="n">
        <v>340.48</v>
      </c>
      <c r="J74" s="344" t="n">
        <v>553.02</v>
      </c>
      <c r="K74" s="344" t="n">
        <v>30435.33</v>
      </c>
      <c r="L74" s="344" t="n">
        <v>84074.64</v>
      </c>
    </row>
    <row r="75" customFormat="false" ht="15" hidden="false" customHeight="false" outlineLevel="0" collapsed="false">
      <c r="A75" s="336" t="s">
        <v>1461</v>
      </c>
      <c r="B75" s="344" t="n">
        <v>14085.43</v>
      </c>
      <c r="C75" s="344" t="n">
        <v>-46361.08</v>
      </c>
      <c r="D75" s="344" t="n">
        <v>8622.29</v>
      </c>
      <c r="E75" s="344" t="n">
        <v>-12095.24</v>
      </c>
      <c r="F75" s="344" t="n">
        <v>-651.420000000002</v>
      </c>
      <c r="G75" s="344" t="n">
        <v>58.1299999999974</v>
      </c>
      <c r="H75" s="344" t="n">
        <v>-4850.85</v>
      </c>
      <c r="I75" s="344" t="n">
        <v>25996.63</v>
      </c>
      <c r="J75" s="344" t="n">
        <v>-5163.27</v>
      </c>
      <c r="K75" s="344" t="n">
        <v>-20359.38</v>
      </c>
      <c r="L75" s="344" t="n">
        <v>68085.96</v>
      </c>
    </row>
    <row r="76" customFormat="false" ht="15" hidden="false" customHeight="false" outlineLevel="0" collapsed="false">
      <c r="A76" s="336" t="s">
        <v>1462</v>
      </c>
      <c r="B76" s="344" t="n">
        <v>0</v>
      </c>
      <c r="C76" s="344" t="n">
        <v>39.7800000000007</v>
      </c>
      <c r="D76" s="344" t="n">
        <v>-3674.68</v>
      </c>
      <c r="E76" s="344" t="n">
        <v>0</v>
      </c>
      <c r="F76" s="344" t="n">
        <v>-3856.31</v>
      </c>
      <c r="G76" s="344" t="n">
        <v>-18.9000000000001</v>
      </c>
      <c r="H76" s="344" t="n">
        <v>2522.29</v>
      </c>
      <c r="I76" s="344" t="n">
        <v>-1456.47</v>
      </c>
      <c r="J76" s="344" t="n">
        <v>1661.61</v>
      </c>
      <c r="K76" s="344" t="n">
        <v>-4782.68</v>
      </c>
      <c r="L76" s="344" t="n">
        <v>-943.54</v>
      </c>
    </row>
    <row r="77" customFormat="false" ht="15" hidden="false" customHeight="false" outlineLevel="0" collapsed="false">
      <c r="A77" s="336" t="s">
        <v>1463</v>
      </c>
      <c r="B77" s="344" t="n">
        <v>0</v>
      </c>
      <c r="C77" s="344" t="n">
        <v>0</v>
      </c>
      <c r="D77" s="344" t="n">
        <v>0</v>
      </c>
      <c r="E77" s="344" t="n">
        <v>0</v>
      </c>
      <c r="F77" s="344" t="n">
        <v>0</v>
      </c>
      <c r="G77" s="344" t="n">
        <v>0</v>
      </c>
      <c r="H77" s="344" t="n">
        <v>0</v>
      </c>
      <c r="I77" s="344" t="n">
        <v>0</v>
      </c>
      <c r="J77" s="344" t="n">
        <v>0</v>
      </c>
      <c r="K77" s="344" t="n">
        <v>0</v>
      </c>
      <c r="L77" s="344" t="n">
        <v>0</v>
      </c>
    </row>
    <row r="78" customFormat="false" ht="15" hidden="false" customHeight="false" outlineLevel="0" collapsed="false">
      <c r="A78" s="336" t="s">
        <v>1464</v>
      </c>
      <c r="B78" s="344" t="n">
        <v>-4036.12</v>
      </c>
      <c r="C78" s="344" t="n">
        <v>-2561.11</v>
      </c>
      <c r="D78" s="344" t="n">
        <v>-1566.28</v>
      </c>
      <c r="E78" s="344" t="n">
        <v>2174.27</v>
      </c>
      <c r="F78" s="344" t="n">
        <v>-829.16</v>
      </c>
      <c r="G78" s="344" t="n">
        <v>-3704.68</v>
      </c>
      <c r="H78" s="344" t="n">
        <v>940.16</v>
      </c>
      <c r="I78" s="344" t="n">
        <v>135.68</v>
      </c>
      <c r="J78" s="344" t="n">
        <v>-1621.27</v>
      </c>
      <c r="K78" s="344" t="n">
        <v>-11068.51</v>
      </c>
      <c r="L78" s="344" t="n">
        <v>13094.61</v>
      </c>
    </row>
    <row r="79" customFormat="false" ht="15" hidden="false" customHeight="false" outlineLevel="0" collapsed="false">
      <c r="A79" s="336" t="s">
        <v>1465</v>
      </c>
      <c r="B79" s="344" t="n">
        <v>8862.85999999999</v>
      </c>
      <c r="C79" s="344" t="n">
        <v>8637.51000000001</v>
      </c>
      <c r="D79" s="344" t="n">
        <v>2765.43999999999</v>
      </c>
      <c r="E79" s="344" t="n">
        <v>-5320.10000000001</v>
      </c>
      <c r="F79" s="344" t="n">
        <v>1382.81000000002</v>
      </c>
      <c r="G79" s="344" t="n">
        <v>6696.12</v>
      </c>
      <c r="H79" s="344" t="n">
        <v>4244.97000000001</v>
      </c>
      <c r="I79" s="344" t="n">
        <v>-12303.28</v>
      </c>
      <c r="J79" s="344" t="n">
        <v>-7828.95999999999</v>
      </c>
      <c r="K79" s="344" t="n">
        <v>7137.37000000001</v>
      </c>
      <c r="L79" s="344" t="n">
        <v>72651.05</v>
      </c>
    </row>
    <row r="80" customFormat="false" ht="15" hidden="false" customHeight="false" outlineLevel="0" collapsed="false">
      <c r="A80" s="345" t="s">
        <v>1466</v>
      </c>
      <c r="B80" s="346" t="n">
        <v>-11450.7</v>
      </c>
      <c r="C80" s="346" t="n">
        <v>-76891.97</v>
      </c>
      <c r="D80" s="346" t="n">
        <v>-99385.61</v>
      </c>
      <c r="E80" s="346" t="n">
        <v>-50571.72</v>
      </c>
      <c r="F80" s="346" t="n">
        <v>-32686.6</v>
      </c>
      <c r="G80" s="346" t="n">
        <v>-24941.46</v>
      </c>
      <c r="H80" s="346" t="n">
        <v>-15056.97</v>
      </c>
      <c r="I80" s="346" t="n">
        <v>2263.40999999998</v>
      </c>
      <c r="J80" s="346" t="n">
        <v>-35538.61</v>
      </c>
      <c r="K80" s="346" t="n">
        <v>-344260.23</v>
      </c>
      <c r="L80" s="346" t="n">
        <v>-411186.73</v>
      </c>
    </row>
    <row r="81" customFormat="false" ht="15" hidden="false" customHeight="false" outlineLevel="0" collapsed="false">
      <c r="A81" s="336" t="s">
        <v>1467</v>
      </c>
      <c r="B81" s="344" t="n">
        <v>-4749.45999999993</v>
      </c>
      <c r="C81" s="344" t="n">
        <v>-8985.65000000011</v>
      </c>
      <c r="D81" s="344" t="n">
        <v>3507.26000000003</v>
      </c>
      <c r="E81" s="344" t="n">
        <v>-3683.17000000001</v>
      </c>
      <c r="F81" s="344" t="n">
        <v>-1025.94000000003</v>
      </c>
      <c r="G81" s="344" t="n">
        <v>-344.479999999965</v>
      </c>
      <c r="H81" s="344" t="n">
        <v>-158.73000000004</v>
      </c>
      <c r="I81" s="344" t="n">
        <v>2091.39999999992</v>
      </c>
      <c r="J81" s="344" t="n">
        <v>-45984.7399999999</v>
      </c>
      <c r="K81" s="344" t="n">
        <v>-59333.5100000001</v>
      </c>
      <c r="L81" s="344" t="n">
        <v>-345670.31</v>
      </c>
    </row>
    <row r="82" customFormat="false" ht="15" hidden="false" customHeight="false" outlineLevel="0" collapsed="false">
      <c r="A82" s="336" t="s">
        <v>1468</v>
      </c>
      <c r="B82" s="344" t="n">
        <v>12.7499999999999</v>
      </c>
      <c r="C82" s="344" t="n">
        <v>12.75</v>
      </c>
      <c r="D82" s="344" t="n">
        <v>12.75</v>
      </c>
      <c r="E82" s="344" t="n">
        <v>12.75</v>
      </c>
      <c r="F82" s="344" t="n">
        <v>12.7500000000001</v>
      </c>
      <c r="G82" s="344" t="n">
        <v>12.75</v>
      </c>
      <c r="H82" s="344" t="n">
        <v>12.75</v>
      </c>
      <c r="I82" s="344" t="n">
        <v>11.93</v>
      </c>
      <c r="J82" s="344" t="n">
        <v>0</v>
      </c>
      <c r="K82" s="344" t="n">
        <v>101.18</v>
      </c>
      <c r="L82" s="344" t="n">
        <v>611.62</v>
      </c>
    </row>
    <row r="83" customFormat="false" ht="15" hidden="false" customHeight="false" outlineLevel="0" collapsed="false">
      <c r="A83" s="336" t="s">
        <v>1469</v>
      </c>
      <c r="B83" s="344" t="n">
        <v>0</v>
      </c>
      <c r="C83" s="344" t="n">
        <v>0</v>
      </c>
      <c r="D83" s="344" t="n">
        <v>0</v>
      </c>
      <c r="E83" s="344" t="n">
        <v>0</v>
      </c>
      <c r="F83" s="344" t="n">
        <v>0</v>
      </c>
      <c r="G83" s="344" t="n">
        <v>0</v>
      </c>
      <c r="H83" s="344" t="n">
        <v>0</v>
      </c>
      <c r="I83" s="344" t="n">
        <v>0</v>
      </c>
      <c r="J83" s="344" t="n">
        <v>0</v>
      </c>
      <c r="K83" s="344" t="n">
        <v>0</v>
      </c>
      <c r="L83" s="344" t="n">
        <v>406233.33</v>
      </c>
    </row>
    <row r="84" customFormat="false" ht="15" hidden="false" customHeight="false" outlineLevel="0" collapsed="false">
      <c r="A84" s="345" t="s">
        <v>1470</v>
      </c>
      <c r="B84" s="346" t="n">
        <v>-4736.70999999993</v>
      </c>
      <c r="C84" s="346" t="n">
        <v>-8972.90000000011</v>
      </c>
      <c r="D84" s="346" t="n">
        <v>3520.01000000003</v>
      </c>
      <c r="E84" s="346" t="n">
        <v>-3670.42000000001</v>
      </c>
      <c r="F84" s="346" t="n">
        <v>-1013.19000000003</v>
      </c>
      <c r="G84" s="346" t="n">
        <v>-331.729999999965</v>
      </c>
      <c r="H84" s="346" t="n">
        <v>-145.98000000004</v>
      </c>
      <c r="I84" s="346" t="n">
        <v>2103.32999999992</v>
      </c>
      <c r="J84" s="346" t="n">
        <v>-45984.7399999999</v>
      </c>
      <c r="K84" s="346" t="n">
        <v>-59232.3300000001</v>
      </c>
      <c r="L84" s="346" t="n">
        <v>61174.64</v>
      </c>
    </row>
    <row r="85" customFormat="false" ht="15" hidden="false" customHeight="false" outlineLevel="0" collapsed="false">
      <c r="A85" s="336" t="s">
        <v>1471</v>
      </c>
      <c r="B85" s="344" t="n">
        <v>-182325.17</v>
      </c>
      <c r="C85" s="344" t="n">
        <v>-1992.55</v>
      </c>
      <c r="D85" s="344" t="n">
        <v>2668.25</v>
      </c>
      <c r="E85" s="344" t="n">
        <v>331.769999999997</v>
      </c>
      <c r="F85" s="344" t="n">
        <v>3322.73</v>
      </c>
      <c r="G85" s="344" t="n">
        <v>-197.599999999999</v>
      </c>
      <c r="H85" s="344" t="n">
        <v>-769.820000000003</v>
      </c>
      <c r="I85" s="344" t="n">
        <v>3136.67</v>
      </c>
      <c r="J85" s="344" t="n">
        <v>74912.85</v>
      </c>
      <c r="K85" s="344" t="n">
        <v>-100912.87</v>
      </c>
      <c r="L85" s="344" t="n">
        <v>191429.76</v>
      </c>
    </row>
    <row r="86" customFormat="false" ht="15" hidden="false" customHeight="false" outlineLevel="0" collapsed="false">
      <c r="A86" s="336" t="s">
        <v>1472</v>
      </c>
      <c r="B86" s="344" t="n">
        <v>183535.19</v>
      </c>
      <c r="C86" s="344" t="n">
        <v>181268</v>
      </c>
      <c r="D86" s="344" t="n">
        <v>36400</v>
      </c>
      <c r="E86" s="344" t="n">
        <v>0</v>
      </c>
      <c r="F86" s="344" t="n">
        <v>91313</v>
      </c>
      <c r="G86" s="344" t="n">
        <v>0</v>
      </c>
      <c r="H86" s="344" t="n">
        <v>0</v>
      </c>
      <c r="I86" s="344" t="n">
        <v>0</v>
      </c>
      <c r="J86" s="344" t="n">
        <v>44172</v>
      </c>
      <c r="K86" s="344" t="n">
        <v>536688.19</v>
      </c>
      <c r="L86" s="344" t="n">
        <v>176924</v>
      </c>
    </row>
    <row r="87" customFormat="false" ht="15" hidden="false" customHeight="false" outlineLevel="0" collapsed="false">
      <c r="A87" s="336" t="s">
        <v>1473</v>
      </c>
      <c r="B87" s="344" t="n">
        <v>8.43556335894391E-011</v>
      </c>
      <c r="C87" s="344" t="n">
        <v>-2.52043719228823E-010</v>
      </c>
      <c r="D87" s="344" t="n">
        <v>1.01863406598568E-010</v>
      </c>
      <c r="E87" s="344" t="n">
        <v>7.21456672181375E-010</v>
      </c>
      <c r="F87" s="344" t="n">
        <v>-2736.90000000045</v>
      </c>
      <c r="G87" s="344" t="n">
        <v>-9175.44999999958</v>
      </c>
      <c r="H87" s="344" t="n">
        <v>-2.70802047452889E-010</v>
      </c>
      <c r="I87" s="344" t="n">
        <v>-933.710000000489</v>
      </c>
      <c r="J87" s="344" t="n">
        <v>42.1900000004098</v>
      </c>
      <c r="K87" s="344" t="n">
        <v>-12803.8699999997</v>
      </c>
      <c r="L87" s="344" t="n">
        <v>0</v>
      </c>
    </row>
    <row r="88" customFormat="false" ht="15" hidden="false" customHeight="false" outlineLevel="0" collapsed="false">
      <c r="A88" s="345" t="s">
        <v>1474</v>
      </c>
      <c r="B88" s="346" t="n">
        <v>1210.02000000004</v>
      </c>
      <c r="C88" s="346" t="n">
        <v>179275.45</v>
      </c>
      <c r="D88" s="346" t="n">
        <v>39068.2500000001</v>
      </c>
      <c r="E88" s="346" t="n">
        <v>331.770000000718</v>
      </c>
      <c r="F88" s="346" t="n">
        <v>91898.8299999996</v>
      </c>
      <c r="G88" s="346" t="n">
        <v>-9373.04999999958</v>
      </c>
      <c r="H88" s="346" t="n">
        <v>-769.820000000274</v>
      </c>
      <c r="I88" s="346" t="n">
        <v>2202.95999999951</v>
      </c>
      <c r="J88" s="346" t="n">
        <v>119127.04</v>
      </c>
      <c r="K88" s="346" t="n">
        <v>422971.45</v>
      </c>
      <c r="L88" s="346" t="n">
        <v>368353.76</v>
      </c>
    </row>
    <row r="89" customFormat="false" ht="15" hidden="false" customHeight="false" outlineLevel="0" collapsed="false">
      <c r="A89" s="345" t="s">
        <v>1475</v>
      </c>
      <c r="B89" s="346" t="n">
        <v>-14977.3899999999</v>
      </c>
      <c r="C89" s="346" t="n">
        <v>93410.5799999996</v>
      </c>
      <c r="D89" s="346" t="n">
        <v>-56797.3499999999</v>
      </c>
      <c r="E89" s="346" t="n">
        <v>-53910.3699999993</v>
      </c>
      <c r="F89" s="346" t="n">
        <v>58199.0399999995</v>
      </c>
      <c r="G89" s="346" t="n">
        <v>-34646.2399999996</v>
      </c>
      <c r="H89" s="346" t="n">
        <v>-15972.7700000003</v>
      </c>
      <c r="I89" s="346" t="n">
        <v>6569.69999999941</v>
      </c>
      <c r="J89" s="346" t="n">
        <v>37603.6900000005</v>
      </c>
      <c r="K89" s="346" t="n">
        <v>19478.8900000002</v>
      </c>
      <c r="L89" s="346" t="n">
        <v>18341.67</v>
      </c>
    </row>
    <row r="90" customFormat="false" ht="15" hidden="false" customHeight="false" outlineLevel="0" collapsed="false">
      <c r="A90" s="345" t="s">
        <v>1476</v>
      </c>
      <c r="B90" s="346" t="n">
        <v>41369.6600000001</v>
      </c>
      <c r="C90" s="346" t="n">
        <v>134780.24</v>
      </c>
      <c r="D90" s="346" t="n">
        <v>77982.8899999999</v>
      </c>
      <c r="E90" s="346" t="n">
        <v>24072.5200000005</v>
      </c>
      <c r="F90" s="346" t="n">
        <v>82271.5600000001</v>
      </c>
      <c r="G90" s="346" t="n">
        <v>47625.3200000005</v>
      </c>
      <c r="H90" s="346" t="n">
        <v>31652.5500000002</v>
      </c>
      <c r="I90" s="346" t="n">
        <v>38222.2499999997</v>
      </c>
      <c r="J90" s="346" t="n">
        <v>75825.9400000001</v>
      </c>
      <c r="K90" s="346" t="n">
        <v>75825.9400000002</v>
      </c>
      <c r="L90" s="346" t="n">
        <v>56347.05</v>
      </c>
    </row>
    <row r="91" customFormat="false" ht="15" hidden="false" customHeight="false" outlineLevel="0" collapsed="false">
      <c r="A91" s="336" t="s">
        <v>1477</v>
      </c>
      <c r="B91" s="344" t="n">
        <v>41369.66</v>
      </c>
      <c r="C91" s="344" t="n">
        <v>134780.24</v>
      </c>
      <c r="D91" s="344" t="n">
        <v>77982.89</v>
      </c>
      <c r="E91" s="344" t="n">
        <v>24072.52</v>
      </c>
      <c r="F91" s="344" t="n">
        <v>82271.56</v>
      </c>
      <c r="G91" s="344" t="n">
        <v>47625.32</v>
      </c>
      <c r="H91" s="344" t="n">
        <v>31652.55</v>
      </c>
      <c r="I91" s="344" t="n">
        <v>38222.25</v>
      </c>
      <c r="J91" s="344" t="n">
        <v>75825.94</v>
      </c>
      <c r="K91" s="344" t="n">
        <v>75825.94</v>
      </c>
      <c r="L91" s="344" t="n">
        <v>56347.05</v>
      </c>
    </row>
    <row r="92" customFormat="false" ht="15" hidden="false" customHeight="false" outlineLevel="0" collapsed="false">
      <c r="A92" s="336" t="s">
        <v>1478</v>
      </c>
      <c r="B92" s="351" t="n">
        <v>1.45519152283669E-010</v>
      </c>
      <c r="C92" s="351" t="n">
        <v>-2.3283064365387E-010</v>
      </c>
      <c r="D92" s="351" t="n">
        <v>-1.30967237055302E-010</v>
      </c>
      <c r="E92" s="351" t="n">
        <v>5.49334799870849E-010</v>
      </c>
      <c r="F92" s="351" t="n">
        <v>0</v>
      </c>
      <c r="G92" s="351" t="n">
        <v>5.38420863449574E-010</v>
      </c>
      <c r="H92" s="351" t="n">
        <v>2.3283064365387E-010</v>
      </c>
      <c r="I92" s="351" t="n">
        <v>-3.49245965480804E-010</v>
      </c>
      <c r="J92" s="351" t="n">
        <v>1.30967237055302E-010</v>
      </c>
      <c r="K92" s="351" t="n">
        <v>1.89174897968769E-010</v>
      </c>
      <c r="L92" s="351" t="n">
        <v>0</v>
      </c>
    </row>
    <row r="93" customFormat="false" ht="15" hidden="false" customHeight="false" outlineLevel="0" collapsed="false">
      <c r="A93" s="336"/>
      <c r="B93" s="336"/>
      <c r="C93" s="336"/>
      <c r="D93" s="336"/>
      <c r="E93" s="336"/>
      <c r="F93" s="336"/>
      <c r="G93" s="336"/>
      <c r="H93" s="336"/>
      <c r="I93" s="336"/>
      <c r="J93" s="336"/>
      <c r="K93" s="336"/>
      <c r="L93" s="336"/>
    </row>
    <row r="94" customFormat="false" ht="15" hidden="false" customHeight="false" outlineLevel="0" collapsed="false">
      <c r="A94" s="336"/>
      <c r="B94" s="336"/>
      <c r="C94" s="336"/>
      <c r="D94" s="336"/>
      <c r="E94" s="336"/>
      <c r="F94" s="336"/>
      <c r="G94" s="336"/>
      <c r="H94" s="336"/>
      <c r="I94" s="336"/>
      <c r="J94" s="336"/>
      <c r="K94" s="336"/>
      <c r="L94" s="336"/>
    </row>
    <row r="95" customFormat="false" ht="15" hidden="false" customHeight="false" outlineLevel="0" collapsed="false">
      <c r="A95" s="339" t="s">
        <v>1479</v>
      </c>
      <c r="B95" s="340"/>
      <c r="C95" s="340"/>
      <c r="D95" s="340"/>
      <c r="E95" s="340"/>
      <c r="F95" s="340"/>
      <c r="G95" s="340"/>
      <c r="H95" s="340"/>
      <c r="I95" s="340"/>
      <c r="J95" s="340"/>
      <c r="K95" s="340"/>
      <c r="L95" s="340"/>
    </row>
    <row r="96" customFormat="false" ht="15" hidden="false" customHeight="false" outlineLevel="0" collapsed="false">
      <c r="A96" s="341" t="s">
        <v>1480</v>
      </c>
      <c r="B96" s="342" t="s">
        <v>1394</v>
      </c>
      <c r="C96" s="342" t="s">
        <v>1395</v>
      </c>
      <c r="D96" s="342" t="s">
        <v>1396</v>
      </c>
      <c r="E96" s="342" t="s">
        <v>1397</v>
      </c>
      <c r="F96" s="342" t="s">
        <v>1398</v>
      </c>
      <c r="G96" s="342" t="s">
        <v>1399</v>
      </c>
      <c r="H96" s="342" t="s">
        <v>1400</v>
      </c>
      <c r="I96" s="342" t="s">
        <v>1401</v>
      </c>
      <c r="J96" s="342" t="s">
        <v>1402</v>
      </c>
      <c r="K96" s="343" t="s">
        <v>1403</v>
      </c>
      <c r="L96" s="343" t="s">
        <v>1404</v>
      </c>
    </row>
    <row r="97" customFormat="false" ht="15" hidden="false" customHeight="false" outlineLevel="0" collapsed="false">
      <c r="A97" s="336" t="s">
        <v>1481</v>
      </c>
      <c r="B97" s="336" t="n">
        <v>0</v>
      </c>
      <c r="C97" s="336" t="n">
        <v>0</v>
      </c>
      <c r="D97" s="344" t="n">
        <v>-45203.03</v>
      </c>
      <c r="E97" s="336" t="n">
        <v>0</v>
      </c>
      <c r="F97" s="336" t="n">
        <v>0</v>
      </c>
      <c r="G97" s="336" t="n">
        <v>0</v>
      </c>
      <c r="H97" s="336" t="n">
        <v>845.36</v>
      </c>
      <c r="I97" s="336" t="n">
        <v>-2195</v>
      </c>
      <c r="J97" s="336" t="n">
        <v>0</v>
      </c>
      <c r="K97" s="344" t="n">
        <v>-46552.67</v>
      </c>
      <c r="L97" s="336" t="n">
        <v>0</v>
      </c>
    </row>
    <row r="98" customFormat="false" ht="15" hidden="false" customHeight="false" outlineLevel="0" collapsed="false">
      <c r="A98" s="336" t="s">
        <v>1482</v>
      </c>
      <c r="B98" s="336" t="n">
        <v>0</v>
      </c>
      <c r="C98" s="336" t="n">
        <v>0</v>
      </c>
      <c r="D98" s="344" t="n">
        <v>0</v>
      </c>
      <c r="E98" s="336" t="n">
        <v>0</v>
      </c>
      <c r="F98" s="336" t="n">
        <v>0</v>
      </c>
      <c r="G98" s="336" t="n">
        <v>0</v>
      </c>
      <c r="H98" s="336" t="n">
        <v>0</v>
      </c>
      <c r="I98" s="336" t="n">
        <v>-2077.18</v>
      </c>
      <c r="J98" s="336" t="n">
        <v>-772.82</v>
      </c>
      <c r="K98" s="344" t="n">
        <v>-2850</v>
      </c>
      <c r="L98" s="336" t="n">
        <v>0</v>
      </c>
    </row>
    <row r="99" customFormat="false" ht="15" hidden="false" customHeight="false" outlineLevel="0" collapsed="false">
      <c r="A99" s="345" t="s">
        <v>1483</v>
      </c>
      <c r="B99" s="346" t="n">
        <v>0</v>
      </c>
      <c r="C99" s="346" t="n">
        <v>0</v>
      </c>
      <c r="D99" s="346" t="n">
        <v>-45203.03</v>
      </c>
      <c r="E99" s="346" t="n">
        <v>0</v>
      </c>
      <c r="F99" s="346" t="n">
        <v>0</v>
      </c>
      <c r="G99" s="346" t="n">
        <v>0</v>
      </c>
      <c r="H99" s="346" t="n">
        <v>845.36</v>
      </c>
      <c r="I99" s="346" t="n">
        <v>-4272.18</v>
      </c>
      <c r="J99" s="346" t="n">
        <v>-772.82</v>
      </c>
      <c r="K99" s="346" t="n">
        <v>-49402.67</v>
      </c>
      <c r="L99" s="346" t="n"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1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4" activeCellId="0" sqref="H24"/>
    </sheetView>
  </sheetViews>
  <sheetFormatPr defaultColWidth="8.6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34" min="2" style="0" width="10.51"/>
  </cols>
  <sheetData>
    <row r="1" customFormat="false" ht="15.75" hidden="false" customHeight="true" outlineLevel="0" collapsed="false">
      <c r="A1" s="335" t="s">
        <v>1484</v>
      </c>
    </row>
    <row r="2" customFormat="false" ht="15" hidden="false" customHeight="false" outlineLevel="0" collapsed="false">
      <c r="A2" s="352" t="s">
        <v>1485</v>
      </c>
    </row>
    <row r="4" customFormat="false" ht="15" hidden="false" customHeight="false" outlineLevel="0" collapsed="false">
      <c r="A4" s="339" t="s">
        <v>1486</v>
      </c>
      <c r="B4" s="339" t="s">
        <v>1487</v>
      </c>
      <c r="C4" s="353"/>
      <c r="D4" s="353"/>
      <c r="E4" s="353"/>
      <c r="F4" s="353"/>
      <c r="G4" s="339" t="s">
        <v>1404</v>
      </c>
      <c r="H4" s="353"/>
      <c r="I4" s="353"/>
      <c r="J4" s="353"/>
      <c r="K4" s="353"/>
      <c r="L4" s="339" t="s">
        <v>1403</v>
      </c>
      <c r="M4" s="353"/>
      <c r="N4" s="353"/>
      <c r="O4" s="353"/>
      <c r="P4" s="353"/>
      <c r="Q4" s="339" t="s">
        <v>1488</v>
      </c>
      <c r="R4" s="353"/>
      <c r="S4" s="353"/>
      <c r="T4" s="353"/>
      <c r="U4" s="353"/>
    </row>
    <row r="5" customFormat="false" ht="30" hidden="false" customHeight="true" outlineLevel="0" collapsed="false">
      <c r="A5" s="354" t="s">
        <v>1489</v>
      </c>
      <c r="B5" s="355" t="s">
        <v>1490</v>
      </c>
      <c r="C5" s="355" t="s">
        <v>1491</v>
      </c>
      <c r="D5" s="355" t="s">
        <v>1410</v>
      </c>
      <c r="E5" s="355" t="s">
        <v>136</v>
      </c>
      <c r="F5" s="355" t="s">
        <v>1492</v>
      </c>
      <c r="G5" s="355" t="s">
        <v>1490</v>
      </c>
      <c r="H5" s="355" t="s">
        <v>1491</v>
      </c>
      <c r="I5" s="355" t="s">
        <v>1410</v>
      </c>
      <c r="J5" s="355" t="s">
        <v>136</v>
      </c>
      <c r="K5" s="355" t="s">
        <v>1492</v>
      </c>
      <c r="L5" s="355" t="s">
        <v>1490</v>
      </c>
      <c r="M5" s="355" t="s">
        <v>1491</v>
      </c>
      <c r="N5" s="355" t="s">
        <v>1410</v>
      </c>
      <c r="O5" s="355" t="s">
        <v>136</v>
      </c>
      <c r="P5" s="355" t="s">
        <v>1492</v>
      </c>
      <c r="Q5" s="355" t="s">
        <v>1490</v>
      </c>
      <c r="R5" s="355" t="s">
        <v>1491</v>
      </c>
      <c r="S5" s="355" t="s">
        <v>1410</v>
      </c>
      <c r="T5" s="355" t="s">
        <v>136</v>
      </c>
      <c r="U5" s="355" t="s">
        <v>1492</v>
      </c>
    </row>
    <row r="6" customFormat="false" ht="15" hidden="false" customHeight="false" outlineLevel="0" collapsed="false">
      <c r="A6" s="336" t="s">
        <v>1493</v>
      </c>
      <c r="B6" s="356" t="n">
        <f aca="false">AE20</f>
        <v>0</v>
      </c>
      <c r="C6" s="356" t="n">
        <f aca="false">AE22</f>
        <v>0</v>
      </c>
      <c r="D6" s="357" t="n">
        <f aca="false">IFERROR(AE24/AE22,0)</f>
        <v>0</v>
      </c>
      <c r="E6" s="356" t="n">
        <f aca="false">AE29</f>
        <v>-14228.93</v>
      </c>
      <c r="F6" s="357" t="n">
        <f aca="false">IFERROR(AE29/AE22,0)</f>
        <v>0</v>
      </c>
      <c r="G6" s="356" t="n">
        <f aca="false">AF20</f>
        <v>205333.86</v>
      </c>
      <c r="H6" s="356" t="n">
        <f aca="false">AF22</f>
        <v>184008.29</v>
      </c>
      <c r="I6" s="357" t="n">
        <f aca="false">IFERROR(AF24/AF22,0)</f>
        <v>0.64930362648335</v>
      </c>
      <c r="J6" s="356" t="n">
        <f aca="false">AF29</f>
        <v>-2922.83999999999</v>
      </c>
      <c r="K6" s="357" t="n">
        <f aca="false">IFERROR(AF29/AF22,0)</f>
        <v>-0.0158842843439281</v>
      </c>
      <c r="L6" s="356" t="n">
        <f aca="false">AG20</f>
        <v>193037.07</v>
      </c>
      <c r="M6" s="356" t="n">
        <f aca="false">AG22</f>
        <v>182355.93</v>
      </c>
      <c r="N6" s="357" t="n">
        <f aca="false">IFERROR(AG24/AG22,0)</f>
        <v>0.653402880838589</v>
      </c>
      <c r="O6" s="356" t="n">
        <f aca="false">AG29</f>
        <v>22805.1</v>
      </c>
      <c r="P6" s="357" t="n">
        <f aca="false">IFERROR(AG29/AG22,0)</f>
        <v>0.125058176062605</v>
      </c>
      <c r="Q6" s="356" t="n">
        <f aca="false">AH20</f>
        <v>398370.93</v>
      </c>
      <c r="R6" s="356" t="n">
        <f aca="false">AH22</f>
        <v>366364.22</v>
      </c>
      <c r="S6" s="357" t="n">
        <f aca="false">IFERROR(AH24/AH22,0)</f>
        <v>0.651344009521454</v>
      </c>
      <c r="T6" s="356" t="n">
        <f aca="false">AH29</f>
        <v>5653.32999999997</v>
      </c>
      <c r="U6" s="357" t="n">
        <f aca="false">IFERROR(AH29/AH22,0)</f>
        <v>0.0154309009760832</v>
      </c>
    </row>
    <row r="7" customFormat="false" ht="15" hidden="false" customHeight="false" outlineLevel="0" collapsed="false">
      <c r="A7" s="336" t="s">
        <v>692</v>
      </c>
      <c r="B7" s="356" t="n">
        <f aca="false">AE35</f>
        <v>0</v>
      </c>
      <c r="C7" s="356" t="n">
        <f aca="false">AE37</f>
        <v>0</v>
      </c>
      <c r="D7" s="357" t="n">
        <f aca="false">IFERROR(AE39/AE37,0)</f>
        <v>0</v>
      </c>
      <c r="E7" s="356" t="n">
        <f aca="false">AE44</f>
        <v>-5439.3</v>
      </c>
      <c r="F7" s="357" t="n">
        <f aca="false">IFERROR(AE44/AE37,0)</f>
        <v>0</v>
      </c>
      <c r="G7" s="356" t="n">
        <f aca="false">AF35</f>
        <v>65910.11</v>
      </c>
      <c r="H7" s="356" t="n">
        <f aca="false">AF37</f>
        <v>59616.33</v>
      </c>
      <c r="I7" s="357" t="n">
        <f aca="false">IFERROR(AF39/AF37,0)</f>
        <v>0.678611715950982</v>
      </c>
      <c r="J7" s="356" t="n">
        <f aca="false">AF44</f>
        <v>-48221.24</v>
      </c>
      <c r="K7" s="357" t="n">
        <f aca="false">IFERROR(AF44/AF37,0)</f>
        <v>-0.808859585955727</v>
      </c>
      <c r="L7" s="356" t="n">
        <f aca="false">AG35</f>
        <v>124716.31</v>
      </c>
      <c r="M7" s="356" t="n">
        <f aca="false">AG37</f>
        <v>117614.15</v>
      </c>
      <c r="N7" s="357" t="n">
        <f aca="false">IFERROR(AG39/AG37,0)</f>
        <v>0.667418333593364</v>
      </c>
      <c r="O7" s="356" t="n">
        <f aca="false">AG44</f>
        <v>12311.15</v>
      </c>
      <c r="P7" s="357" t="n">
        <f aca="false">IFERROR(AG44/AG37,0)</f>
        <v>0.104674054950021</v>
      </c>
      <c r="Q7" s="356" t="n">
        <f aca="false">AH35</f>
        <v>190626.42</v>
      </c>
      <c r="R7" s="356" t="n">
        <f aca="false">AH37</f>
        <v>177230.48</v>
      </c>
      <c r="S7" s="357" t="n">
        <f aca="false">IFERROR(AH39/AH37,0)</f>
        <v>0.671183534570352</v>
      </c>
      <c r="T7" s="356" t="n">
        <f aca="false">AH44</f>
        <v>-41349.39</v>
      </c>
      <c r="U7" s="357" t="n">
        <f aca="false">IFERROR(AH44/AH37,0)</f>
        <v>-0.233308570850793</v>
      </c>
    </row>
    <row r="8" customFormat="false" ht="15" hidden="false" customHeight="false" outlineLevel="0" collapsed="false">
      <c r="A8" s="336" t="s">
        <v>689</v>
      </c>
      <c r="B8" s="356" t="n">
        <f aca="false">AE50</f>
        <v>0</v>
      </c>
      <c r="C8" s="356" t="n">
        <f aca="false">AE52</f>
        <v>0</v>
      </c>
      <c r="D8" s="357" t="n">
        <f aca="false">IFERROR(AE54/AE52,0)</f>
        <v>0</v>
      </c>
      <c r="E8" s="356" t="n">
        <f aca="false">AE59</f>
        <v>0</v>
      </c>
      <c r="F8" s="357" t="n">
        <f aca="false">IFERROR(AE59/AE52,0)</f>
        <v>0</v>
      </c>
      <c r="G8" s="356" t="n">
        <f aca="false">AF50</f>
        <v>43490.51</v>
      </c>
      <c r="H8" s="356" t="n">
        <f aca="false">AF52</f>
        <v>41156.11</v>
      </c>
      <c r="I8" s="357" t="n">
        <f aca="false">IFERROR(AF54/AF52,0)</f>
        <v>0.72365828548908</v>
      </c>
      <c r="J8" s="356" t="n">
        <f aca="false">AF59</f>
        <v>-1654.45</v>
      </c>
      <c r="K8" s="357" t="n">
        <f aca="false">IFERROR(AF59/AF52,0)</f>
        <v>-0.0401993774435922</v>
      </c>
      <c r="L8" s="356" t="n">
        <f aca="false">AG50</f>
        <v>70463.03</v>
      </c>
      <c r="M8" s="356" t="n">
        <f aca="false">AG52</f>
        <v>66630.3</v>
      </c>
      <c r="N8" s="357" t="n">
        <f aca="false">IFERROR(AG54/AG52,0)</f>
        <v>0.631861780601318</v>
      </c>
      <c r="O8" s="356" t="n">
        <f aca="false">AG59</f>
        <v>-11953.07</v>
      </c>
      <c r="P8" s="357" t="n">
        <f aca="false">IFERROR(AG59/AG52,0)</f>
        <v>-0.179393909377565</v>
      </c>
      <c r="Q8" s="356" t="n">
        <f aca="false">AH50</f>
        <v>113953.54</v>
      </c>
      <c r="R8" s="356" t="n">
        <f aca="false">AH52</f>
        <v>107786.41</v>
      </c>
      <c r="S8" s="357" t="n">
        <f aca="false">IFERROR(AH54/AH52,0)</f>
        <v>0.666912461413271</v>
      </c>
      <c r="T8" s="356" t="n">
        <f aca="false">AH59</f>
        <v>-13607.52</v>
      </c>
      <c r="U8" s="357" t="n">
        <f aca="false">IFERROR(AH59/AH52,0)</f>
        <v>-0.126245228874401</v>
      </c>
    </row>
    <row r="9" customFormat="false" ht="15" hidden="false" customHeight="false" outlineLevel="0" collapsed="false">
      <c r="A9" s="336" t="s">
        <v>697</v>
      </c>
      <c r="B9" s="356" t="n">
        <f aca="false">AE65</f>
        <v>0</v>
      </c>
      <c r="C9" s="356" t="n">
        <f aca="false">AE67</f>
        <v>0</v>
      </c>
      <c r="D9" s="357" t="n">
        <f aca="false">IFERROR(AE69/AE67,0)</f>
        <v>0</v>
      </c>
      <c r="E9" s="356" t="n">
        <f aca="false">AE74</f>
        <v>0</v>
      </c>
      <c r="F9" s="357" t="n">
        <f aca="false">IFERROR(AE74/AE67,0)</f>
        <v>0</v>
      </c>
      <c r="G9" s="356" t="n">
        <f aca="false">AF65</f>
        <v>6355.43</v>
      </c>
      <c r="H9" s="356" t="n">
        <f aca="false">AF67</f>
        <v>6092.73</v>
      </c>
      <c r="I9" s="357" t="n">
        <f aca="false">IFERROR(AF69/AF67,0)</f>
        <v>0.734857773116485</v>
      </c>
      <c r="J9" s="356" t="n">
        <f aca="false">AF74</f>
        <v>-8589.57</v>
      </c>
      <c r="K9" s="357" t="n">
        <f aca="false">IFERROR(AF74/AF67,0)</f>
        <v>-1.40980644144743</v>
      </c>
      <c r="L9" s="356" t="n">
        <f aca="false">AG65</f>
        <v>110215.06</v>
      </c>
      <c r="M9" s="356" t="n">
        <f aca="false">AG67</f>
        <v>104493.2</v>
      </c>
      <c r="N9" s="357" t="n">
        <f aca="false">IFERROR(AG69/AG67,0)</f>
        <v>0.692341606917962</v>
      </c>
      <c r="O9" s="356" t="n">
        <f aca="false">AG74</f>
        <v>-5323.32000000001</v>
      </c>
      <c r="P9" s="357" t="n">
        <f aca="false">IFERROR(AG74/AG67,0)</f>
        <v>-0.0509441762717575</v>
      </c>
      <c r="Q9" s="356" t="n">
        <f aca="false">AH65</f>
        <v>116570.49</v>
      </c>
      <c r="R9" s="356" t="n">
        <f aca="false">AH67</f>
        <v>110585.93</v>
      </c>
      <c r="S9" s="357" t="n">
        <f aca="false">IFERROR(AH69/AH67,0)</f>
        <v>0.694684034397504</v>
      </c>
      <c r="T9" s="356" t="n">
        <f aca="false">AH74</f>
        <v>-13912.89</v>
      </c>
      <c r="U9" s="357" t="n">
        <f aca="false">IFERROR(AH74/AH67,0)</f>
        <v>-0.125810670489456</v>
      </c>
    </row>
    <row r="10" customFormat="false" ht="15" hidden="false" customHeight="false" outlineLevel="0" collapsed="false">
      <c r="A10" s="336" t="s">
        <v>1494</v>
      </c>
      <c r="B10" s="356" t="n">
        <f aca="false">AE80</f>
        <v>0</v>
      </c>
      <c r="C10" s="356" t="n">
        <f aca="false">AE82</f>
        <v>0</v>
      </c>
      <c r="D10" s="357" t="n">
        <f aca="false">IFERROR(AE84/AE82,0)</f>
        <v>0</v>
      </c>
      <c r="E10" s="356" t="n">
        <f aca="false">AE89</f>
        <v>0</v>
      </c>
      <c r="F10" s="357" t="n">
        <f aca="false">IFERROR(AE89/AE82,0)</f>
        <v>0</v>
      </c>
      <c r="G10" s="356" t="n">
        <f aca="false">AF80</f>
        <v>72447.51</v>
      </c>
      <c r="H10" s="356" t="n">
        <f aca="false">AF82</f>
        <v>70504.71</v>
      </c>
      <c r="I10" s="357" t="n">
        <f aca="false">IFERROR(AF84/AF82,0)</f>
        <v>0.623550114595181</v>
      </c>
      <c r="J10" s="356" t="n">
        <f aca="false">AF89</f>
        <v>35911.54</v>
      </c>
      <c r="K10" s="357" t="n">
        <f aca="false">IFERROR(AF89/AF82,0)</f>
        <v>0.509349517216651</v>
      </c>
      <c r="L10" s="356" t="n">
        <f aca="false">AG80</f>
        <v>39438.45</v>
      </c>
      <c r="M10" s="356" t="n">
        <f aca="false">AG82</f>
        <v>34944.29</v>
      </c>
      <c r="N10" s="357" t="n">
        <f aca="false">IFERROR(AG84/AG82,0)</f>
        <v>0.778008939371783</v>
      </c>
      <c r="O10" s="356" t="n">
        <f aca="false">AG89</f>
        <v>20002.78</v>
      </c>
      <c r="P10" s="357" t="n">
        <f aca="false">IFERROR(AG89/AG82,0)</f>
        <v>0.572419127702981</v>
      </c>
      <c r="Q10" s="356" t="n">
        <f aca="false">AH80</f>
        <v>111885.96</v>
      </c>
      <c r="R10" s="356" t="n">
        <f aca="false">AH82</f>
        <v>105449</v>
      </c>
      <c r="S10" s="357" t="n">
        <f aca="false">IFERROR(AH84/AH82,0)</f>
        <v>0.674735559369933</v>
      </c>
      <c r="T10" s="356" t="n">
        <f aca="false">AH89</f>
        <v>55914.32</v>
      </c>
      <c r="U10" s="357" t="n">
        <f aca="false">IFERROR(AH89/AH82,0)</f>
        <v>0.530249883830098</v>
      </c>
    </row>
    <row r="11" customFormat="false" ht="15" hidden="false" customHeight="false" outlineLevel="0" collapsed="false">
      <c r="A11" s="336" t="s">
        <v>1495</v>
      </c>
      <c r="B11" s="356" t="n">
        <f aca="false">AE95</f>
        <v>0</v>
      </c>
      <c r="C11" s="356" t="n">
        <f aca="false">AE97</f>
        <v>0</v>
      </c>
      <c r="D11" s="357" t="n">
        <f aca="false">IFERROR(AE99/AE97,0)</f>
        <v>0</v>
      </c>
      <c r="E11" s="356" t="n">
        <f aca="false">AE104</f>
        <v>0</v>
      </c>
      <c r="F11" s="357" t="n">
        <f aca="false">IFERROR(AE104/AE97,0)</f>
        <v>0</v>
      </c>
      <c r="G11" s="356" t="n">
        <f aca="false">AF95</f>
        <v>0</v>
      </c>
      <c r="H11" s="356" t="n">
        <f aca="false">AF97</f>
        <v>0</v>
      </c>
      <c r="I11" s="357" t="n">
        <f aca="false">IFERROR(AF99/AF97,0)</f>
        <v>0</v>
      </c>
      <c r="J11" s="356" t="n">
        <f aca="false">AF104</f>
        <v>0</v>
      </c>
      <c r="K11" s="357" t="n">
        <f aca="false">IFERROR(AF104/AF97,0)</f>
        <v>0</v>
      </c>
      <c r="L11" s="356" t="n">
        <f aca="false">AG95</f>
        <v>0</v>
      </c>
      <c r="M11" s="356" t="n">
        <f aca="false">AG97</f>
        <v>0</v>
      </c>
      <c r="N11" s="357" t="n">
        <f aca="false">IFERROR(AG99/AG97,0)</f>
        <v>0</v>
      </c>
      <c r="O11" s="356" t="n">
        <f aca="false">AG104</f>
        <v>-72.23</v>
      </c>
      <c r="P11" s="357" t="n">
        <f aca="false">IFERROR(AG104/AG97,0)</f>
        <v>0</v>
      </c>
      <c r="Q11" s="356" t="n">
        <f aca="false">AH95</f>
        <v>0</v>
      </c>
      <c r="R11" s="356" t="n">
        <f aca="false">AH97</f>
        <v>0</v>
      </c>
      <c r="S11" s="357" t="n">
        <f aca="false">IFERROR(AH99/AH97,0)</f>
        <v>0</v>
      </c>
      <c r="T11" s="356" t="n">
        <f aca="false">AH104</f>
        <v>-72.23</v>
      </c>
      <c r="U11" s="357" t="n">
        <f aca="false">IFERROR(AH104/AH97,0)</f>
        <v>0</v>
      </c>
    </row>
    <row r="12" customFormat="false" ht="15" hidden="false" customHeight="false" outlineLevel="0" collapsed="false">
      <c r="A12" s="345" t="s">
        <v>1496</v>
      </c>
      <c r="B12" s="358" t="n">
        <f aca="false">AE110</f>
        <v>0</v>
      </c>
      <c r="C12" s="358" t="n">
        <f aca="false">AE111</f>
        <v>0</v>
      </c>
      <c r="D12" s="359" t="n">
        <f aca="false">IFERROR(AE112/AE111,0)</f>
        <v>0</v>
      </c>
      <c r="E12" s="358" t="n">
        <f aca="false">AE114</f>
        <v>-19668.23</v>
      </c>
      <c r="F12" s="359" t="n">
        <f aca="false">IFERROR(AE114/AE111,0)</f>
        <v>0</v>
      </c>
      <c r="G12" s="358" t="n">
        <f aca="false">AF110</f>
        <v>393537.42</v>
      </c>
      <c r="H12" s="358" t="n">
        <f aca="false">AF111</f>
        <v>361378.17</v>
      </c>
      <c r="I12" s="359" t="n">
        <f aca="false">IFERROR(AF112/AF111,0)</f>
        <v>0.659024478429342</v>
      </c>
      <c r="J12" s="358" t="n">
        <f aca="false">AF114</f>
        <v>-25476.56</v>
      </c>
      <c r="K12" s="359" t="n">
        <f aca="false">IFERROR(AF114/AF111,0)</f>
        <v>-0.0704983369637408</v>
      </c>
      <c r="L12" s="358" t="n">
        <f aca="false">AG110</f>
        <v>537869.92</v>
      </c>
      <c r="M12" s="358" t="n">
        <f aca="false">AG111</f>
        <v>506037.87</v>
      </c>
      <c r="N12" s="359" t="n">
        <f aca="false">IFERROR(AG112/AG111,0)</f>
        <v>0.670327657493302</v>
      </c>
      <c r="O12" s="358" t="n">
        <f aca="false">AG114</f>
        <v>37770.41</v>
      </c>
      <c r="P12" s="359" t="n">
        <f aca="false">IFERROR(AG114/AG111,0)</f>
        <v>0.074639492890127</v>
      </c>
      <c r="Q12" s="358" t="n">
        <f aca="false">AH110</f>
        <v>931407.34</v>
      </c>
      <c r="R12" s="358" t="n">
        <f aca="false">AH111</f>
        <v>867416.04</v>
      </c>
      <c r="S12" s="359" t="n">
        <f aca="false">IFERROR(AH112/AH111,0)</f>
        <v>0.665618588284348</v>
      </c>
      <c r="T12" s="358" t="n">
        <f aca="false">AH114</f>
        <v>-7374.38000000005</v>
      </c>
      <c r="U12" s="359" t="n">
        <f aca="false">IFERROR(AH114/AH111,0)</f>
        <v>-0.00850154903752996</v>
      </c>
    </row>
    <row r="13" customFormat="false" ht="15" hidden="false" customHeight="false" outlineLevel="0" collapsed="false">
      <c r="A13" s="336" t="s">
        <v>1497</v>
      </c>
      <c r="E13" s="356" t="n">
        <f aca="false">AE127</f>
        <v>-121732.39</v>
      </c>
      <c r="J13" s="356" t="n">
        <f aca="false">AF127</f>
        <v>-492563.32</v>
      </c>
      <c r="O13" s="356" t="n">
        <f aca="false">AG127</f>
        <v>-378911.14</v>
      </c>
      <c r="T13" s="356" t="n">
        <f aca="false">AH127</f>
        <v>-993206.85</v>
      </c>
    </row>
    <row r="14" customFormat="false" ht="15" hidden="false" customHeight="false" outlineLevel="0" collapsed="false">
      <c r="A14" s="345" t="s">
        <v>1498</v>
      </c>
      <c r="C14" s="358" t="n">
        <f aca="false">AE111</f>
        <v>0</v>
      </c>
      <c r="E14" s="358" t="n">
        <f aca="false">AE131</f>
        <v>-141400.62</v>
      </c>
      <c r="F14" s="359" t="n">
        <f aca="false">IFERROR(AE131/AE111,0)</f>
        <v>0</v>
      </c>
      <c r="H14" s="358" t="n">
        <f aca="false">AF111</f>
        <v>361378.17</v>
      </c>
      <c r="J14" s="358" t="n">
        <f aca="false">AF131</f>
        <v>-518039.88</v>
      </c>
      <c r="K14" s="359" t="n">
        <f aca="false">IFERROR(AF131/AF111,0)</f>
        <v>-1.43351182502252</v>
      </c>
      <c r="M14" s="358" t="n">
        <f aca="false">AG111</f>
        <v>506037.87</v>
      </c>
      <c r="O14" s="358" t="n">
        <f aca="false">AG131</f>
        <v>-341140.73</v>
      </c>
      <c r="P14" s="359" t="n">
        <f aca="false">IFERROR(AG131/AG111,0)</f>
        <v>-0.674140712038014</v>
      </c>
      <c r="R14" s="358" t="n">
        <f aca="false">AH111</f>
        <v>867416.04</v>
      </c>
      <c r="T14" s="358" t="n">
        <f aca="false">AH131</f>
        <v>-1000581.23</v>
      </c>
      <c r="U14" s="359" t="n">
        <f aca="false">IFERROR(AH131/AH111,0)</f>
        <v>-1.15351939998712</v>
      </c>
    </row>
    <row r="17" customFormat="false" ht="15" hidden="false" customHeight="false" outlineLevel="0" collapsed="false">
      <c r="A17" s="354" t="s">
        <v>1344</v>
      </c>
      <c r="B17" s="360" t="s">
        <v>1499</v>
      </c>
      <c r="C17" s="360" t="s">
        <v>1500</v>
      </c>
      <c r="D17" s="360" t="s">
        <v>1501</v>
      </c>
      <c r="E17" s="360" t="s">
        <v>1502</v>
      </c>
      <c r="F17" s="360" t="s">
        <v>1503</v>
      </c>
      <c r="G17" s="360" t="s">
        <v>1504</v>
      </c>
      <c r="H17" s="360" t="s">
        <v>1505</v>
      </c>
      <c r="I17" s="360" t="s">
        <v>1506</v>
      </c>
      <c r="J17" s="360" t="s">
        <v>1507</v>
      </c>
      <c r="K17" s="360" t="s">
        <v>1508</v>
      </c>
      <c r="L17" s="360" t="s">
        <v>1509</v>
      </c>
      <c r="M17" s="360" t="s">
        <v>1510</v>
      </c>
      <c r="N17" s="360" t="s">
        <v>1511</v>
      </c>
      <c r="O17" s="360" t="s">
        <v>1512</v>
      </c>
      <c r="P17" s="360" t="s">
        <v>1513</v>
      </c>
      <c r="Q17" s="360" t="s">
        <v>1514</v>
      </c>
      <c r="R17" s="360" t="s">
        <v>1515</v>
      </c>
      <c r="S17" s="360" t="s">
        <v>1516</v>
      </c>
      <c r="T17" s="360" t="s">
        <v>1517</v>
      </c>
      <c r="U17" s="360" t="s">
        <v>1518</v>
      </c>
      <c r="V17" s="360" t="s">
        <v>1394</v>
      </c>
      <c r="W17" s="360" t="s">
        <v>1395</v>
      </c>
      <c r="X17" s="360" t="s">
        <v>1396</v>
      </c>
      <c r="Y17" s="360" t="s">
        <v>1397</v>
      </c>
      <c r="Z17" s="360" t="s">
        <v>1398</v>
      </c>
      <c r="AA17" s="360" t="s">
        <v>1399</v>
      </c>
      <c r="AB17" s="360" t="s">
        <v>1400</v>
      </c>
      <c r="AC17" s="360" t="s">
        <v>1401</v>
      </c>
      <c r="AD17" s="360" t="s">
        <v>1402</v>
      </c>
      <c r="AE17" s="360" t="s">
        <v>1487</v>
      </c>
      <c r="AF17" s="360" t="s">
        <v>1404</v>
      </c>
      <c r="AG17" s="360" t="s">
        <v>1403</v>
      </c>
      <c r="AH17" s="360" t="s">
        <v>1488</v>
      </c>
    </row>
    <row r="19" customFormat="false" ht="15" hidden="false" customHeight="false" outlineLevel="0" collapsed="false">
      <c r="A19" s="339" t="s">
        <v>1493</v>
      </c>
      <c r="B19" s="353"/>
      <c r="C19" s="353"/>
      <c r="D19" s="353"/>
      <c r="E19" s="353"/>
      <c r="F19" s="353"/>
      <c r="G19" s="353"/>
      <c r="H19" s="353"/>
      <c r="I19" s="353"/>
      <c r="J19" s="353"/>
      <c r="K19" s="353"/>
      <c r="L19" s="353"/>
      <c r="M19" s="353"/>
      <c r="N19" s="353"/>
      <c r="O19" s="353"/>
      <c r="P19" s="353"/>
      <c r="Q19" s="353"/>
      <c r="R19" s="353"/>
      <c r="S19" s="353"/>
      <c r="T19" s="353"/>
      <c r="U19" s="353"/>
      <c r="V19" s="353"/>
      <c r="W19" s="353"/>
      <c r="X19" s="353"/>
      <c r="Y19" s="353"/>
      <c r="Z19" s="353"/>
      <c r="AA19" s="353"/>
      <c r="AB19" s="353"/>
      <c r="AC19" s="353"/>
      <c r="AD19" s="353"/>
      <c r="AE19" s="353"/>
      <c r="AF19" s="353"/>
      <c r="AG19" s="353"/>
      <c r="AH19" s="353"/>
    </row>
    <row r="20" customFormat="false" ht="15" hidden="false" customHeight="false" outlineLevel="0" collapsed="false">
      <c r="A20" s="336" t="s">
        <v>1519</v>
      </c>
      <c r="B20" s="356" t="n">
        <v>0</v>
      </c>
      <c r="C20" s="356" t="n">
        <v>0</v>
      </c>
      <c r="D20" s="356" t="n">
        <v>0</v>
      </c>
      <c r="E20" s="356" t="n">
        <v>0</v>
      </c>
      <c r="F20" s="356" t="n">
        <v>0</v>
      </c>
      <c r="G20" s="356" t="n">
        <v>0</v>
      </c>
      <c r="H20" s="356" t="n">
        <v>0</v>
      </c>
      <c r="I20" s="356" t="n">
        <v>0</v>
      </c>
      <c r="J20" s="356" t="n">
        <v>5317.36</v>
      </c>
      <c r="K20" s="356" t="n">
        <v>13090.04</v>
      </c>
      <c r="L20" s="356" t="n">
        <v>16382.57</v>
      </c>
      <c r="M20" s="356" t="n">
        <v>18177.18</v>
      </c>
      <c r="N20" s="356" t="n">
        <v>14767.4</v>
      </c>
      <c r="O20" s="356" t="n">
        <v>13898.91</v>
      </c>
      <c r="P20" s="356" t="n">
        <v>21060.13</v>
      </c>
      <c r="Q20" s="356" t="n">
        <v>26151.07</v>
      </c>
      <c r="R20" s="356" t="n">
        <v>18447.3</v>
      </c>
      <c r="S20" s="356" t="n">
        <v>18303.15</v>
      </c>
      <c r="T20" s="356" t="n">
        <v>15183.12</v>
      </c>
      <c r="U20" s="356" t="n">
        <v>24555.63</v>
      </c>
      <c r="V20" s="356" t="n">
        <v>16192.82</v>
      </c>
      <c r="W20" s="356" t="n">
        <v>17349.56</v>
      </c>
      <c r="X20" s="356" t="n">
        <v>20710.65</v>
      </c>
      <c r="Y20" s="356" t="n">
        <v>20775.02</v>
      </c>
      <c r="Z20" s="356" t="n">
        <v>20505.92</v>
      </c>
      <c r="AA20" s="356" t="n">
        <v>21064.48</v>
      </c>
      <c r="AB20" s="356" t="n">
        <v>25038.85</v>
      </c>
      <c r="AC20" s="356" t="n">
        <v>29950.41</v>
      </c>
      <c r="AD20" s="356" t="n">
        <v>21449.36</v>
      </c>
      <c r="AE20" s="356" t="n">
        <f aca="false">SUM(B20:I20)</f>
        <v>0</v>
      </c>
      <c r="AF20" s="356" t="n">
        <f aca="false">SUM(J20:U20)</f>
        <v>205333.86</v>
      </c>
      <c r="AG20" s="356" t="n">
        <f aca="false">SUM(V20:AD20)</f>
        <v>193037.07</v>
      </c>
      <c r="AH20" s="356" t="n">
        <f aca="false">SUM(B20:AD20)</f>
        <v>398370.93</v>
      </c>
    </row>
    <row r="21" customFormat="false" ht="15" hidden="false" customHeight="false" outlineLevel="0" collapsed="false">
      <c r="A21" s="336" t="s">
        <v>1520</v>
      </c>
      <c r="B21" s="356" t="n">
        <v>0</v>
      </c>
      <c r="C21" s="356" t="n">
        <v>0</v>
      </c>
      <c r="D21" s="356" t="n">
        <v>0</v>
      </c>
      <c r="E21" s="356" t="n">
        <v>0</v>
      </c>
      <c r="F21" s="356" t="n">
        <v>0</v>
      </c>
      <c r="G21" s="356" t="n">
        <v>0</v>
      </c>
      <c r="H21" s="356" t="n">
        <v>0</v>
      </c>
      <c r="I21" s="356" t="n">
        <v>0</v>
      </c>
      <c r="J21" s="356" t="n">
        <v>-1280.39</v>
      </c>
      <c r="K21" s="356" t="n">
        <v>-1653.02</v>
      </c>
      <c r="L21" s="356" t="n">
        <v>-1472.4</v>
      </c>
      <c r="M21" s="356" t="n">
        <v>-922.67</v>
      </c>
      <c r="N21" s="356" t="n">
        <v>-4184.72</v>
      </c>
      <c r="O21" s="356" t="n">
        <v>-1715.93</v>
      </c>
      <c r="P21" s="356" t="n">
        <v>-4149.65</v>
      </c>
      <c r="Q21" s="356" t="n">
        <v>-2257.92</v>
      </c>
      <c r="R21" s="356" t="n">
        <v>-1388.79</v>
      </c>
      <c r="S21" s="356" t="n">
        <v>-1227.38</v>
      </c>
      <c r="T21" s="356" t="n">
        <v>-423.92</v>
      </c>
      <c r="U21" s="356" t="n">
        <v>-648.78</v>
      </c>
      <c r="V21" s="356" t="n">
        <v>-387.67</v>
      </c>
      <c r="W21" s="356" t="n">
        <v>-1015</v>
      </c>
      <c r="X21" s="356" t="n">
        <v>-844.5</v>
      </c>
      <c r="Y21" s="356" t="n">
        <v>-440.65</v>
      </c>
      <c r="Z21" s="356" t="n">
        <v>-900.28</v>
      </c>
      <c r="AA21" s="356" t="n">
        <v>-1539.11</v>
      </c>
      <c r="AB21" s="356" t="n">
        <v>-1999.98</v>
      </c>
      <c r="AC21" s="356" t="n">
        <v>-2520.36</v>
      </c>
      <c r="AD21" s="356" t="n">
        <v>-1033.59</v>
      </c>
      <c r="AE21" s="356" t="n">
        <f aca="false">SUM(B21:I21)</f>
        <v>0</v>
      </c>
      <c r="AF21" s="356" t="n">
        <f aca="false">SUM(J21:U21)</f>
        <v>-21325.57</v>
      </c>
      <c r="AG21" s="356" t="n">
        <f aca="false">SUM(V21:AD21)</f>
        <v>-10681.14</v>
      </c>
      <c r="AH21" s="356" t="n">
        <f aca="false">SUM(B21:AD21)</f>
        <v>-32006.71</v>
      </c>
    </row>
    <row r="22" customFormat="false" ht="15" hidden="false" customHeight="false" outlineLevel="0" collapsed="false">
      <c r="A22" s="345" t="s">
        <v>1491</v>
      </c>
      <c r="B22" s="358" t="n">
        <f aca="false">B20+B21</f>
        <v>0</v>
      </c>
      <c r="C22" s="358" t="n">
        <f aca="false">C20+C21</f>
        <v>0</v>
      </c>
      <c r="D22" s="358" t="n">
        <f aca="false">D20+D21</f>
        <v>0</v>
      </c>
      <c r="E22" s="358" t="n">
        <f aca="false">E20+E21</f>
        <v>0</v>
      </c>
      <c r="F22" s="358" t="n">
        <f aca="false">F20+F21</f>
        <v>0</v>
      </c>
      <c r="G22" s="358" t="n">
        <f aca="false">G20+G21</f>
        <v>0</v>
      </c>
      <c r="H22" s="358" t="n">
        <f aca="false">H20+H21</f>
        <v>0</v>
      </c>
      <c r="I22" s="358" t="n">
        <f aca="false">I20+I21</f>
        <v>0</v>
      </c>
      <c r="J22" s="358" t="n">
        <f aca="false">J20+J21</f>
        <v>4036.97</v>
      </c>
      <c r="K22" s="358" t="n">
        <f aca="false">K20+K21</f>
        <v>11437.02</v>
      </c>
      <c r="L22" s="358" t="n">
        <f aca="false">L20+L21</f>
        <v>14910.17</v>
      </c>
      <c r="M22" s="358" t="n">
        <f aca="false">M20+M21</f>
        <v>17254.51</v>
      </c>
      <c r="N22" s="358" t="n">
        <f aca="false">N20+N21</f>
        <v>10582.68</v>
      </c>
      <c r="O22" s="358" t="n">
        <f aca="false">O20+O21</f>
        <v>12182.98</v>
      </c>
      <c r="P22" s="358" t="n">
        <f aca="false">P20+P21</f>
        <v>16910.48</v>
      </c>
      <c r="Q22" s="358" t="n">
        <f aca="false">Q20+Q21</f>
        <v>23893.15</v>
      </c>
      <c r="R22" s="358" t="n">
        <f aca="false">R20+R21</f>
        <v>17058.51</v>
      </c>
      <c r="S22" s="358" t="n">
        <f aca="false">S20+S21</f>
        <v>17075.77</v>
      </c>
      <c r="T22" s="358" t="n">
        <f aca="false">T20+T21</f>
        <v>14759.2</v>
      </c>
      <c r="U22" s="358" t="n">
        <f aca="false">U20+U21</f>
        <v>23906.85</v>
      </c>
      <c r="V22" s="358" t="n">
        <f aca="false">V20+V21</f>
        <v>15805.15</v>
      </c>
      <c r="W22" s="358" t="n">
        <f aca="false">W20+W21</f>
        <v>16334.56</v>
      </c>
      <c r="X22" s="358" t="n">
        <f aca="false">X20+X21</f>
        <v>19866.15</v>
      </c>
      <c r="Y22" s="358" t="n">
        <f aca="false">Y20+Y21</f>
        <v>20334.37</v>
      </c>
      <c r="Z22" s="358" t="n">
        <f aca="false">Z20+Z21</f>
        <v>19605.64</v>
      </c>
      <c r="AA22" s="358" t="n">
        <f aca="false">AA20+AA21</f>
        <v>19525.37</v>
      </c>
      <c r="AB22" s="358" t="n">
        <f aca="false">AB20+AB21</f>
        <v>23038.87</v>
      </c>
      <c r="AC22" s="358" t="n">
        <f aca="false">AC20+AC21</f>
        <v>27430.05</v>
      </c>
      <c r="AD22" s="358" t="n">
        <f aca="false">AD20+AD21</f>
        <v>20415.77</v>
      </c>
      <c r="AE22" s="358" t="n">
        <f aca="false">AE20+AE21</f>
        <v>0</v>
      </c>
      <c r="AF22" s="358" t="n">
        <f aca="false">AF20+AF21</f>
        <v>184008.29</v>
      </c>
      <c r="AG22" s="358" t="n">
        <f aca="false">AG20+AG21</f>
        <v>182355.93</v>
      </c>
      <c r="AH22" s="358" t="n">
        <f aca="false">AH20+AH21</f>
        <v>366364.22</v>
      </c>
    </row>
    <row r="23" customFormat="false" ht="15" hidden="false" customHeight="false" outlineLevel="0" collapsed="false">
      <c r="A23" s="336" t="s">
        <v>1521</v>
      </c>
      <c r="B23" s="356" t="n">
        <v>0</v>
      </c>
      <c r="C23" s="356" t="n">
        <v>0</v>
      </c>
      <c r="D23" s="356" t="n">
        <v>0</v>
      </c>
      <c r="E23" s="356" t="n">
        <v>0</v>
      </c>
      <c r="F23" s="356" t="n">
        <v>0</v>
      </c>
      <c r="G23" s="356" t="n">
        <v>0</v>
      </c>
      <c r="H23" s="356" t="n">
        <v>0</v>
      </c>
      <c r="I23" s="356" t="n">
        <v>0</v>
      </c>
      <c r="J23" s="356" t="n">
        <v>-821.45</v>
      </c>
      <c r="K23" s="356" t="n">
        <v>-2358.82</v>
      </c>
      <c r="L23" s="356" t="n">
        <v>-4291.95</v>
      </c>
      <c r="M23" s="356" t="n">
        <v>-6370.35</v>
      </c>
      <c r="N23" s="356" t="n">
        <v>-3788.06</v>
      </c>
      <c r="O23" s="356" t="n">
        <v>-4701.26</v>
      </c>
      <c r="P23" s="356" t="n">
        <v>-7067.26</v>
      </c>
      <c r="Q23" s="356" t="n">
        <v>-7959.33</v>
      </c>
      <c r="R23" s="356" t="n">
        <v>-6326.51</v>
      </c>
      <c r="S23" s="356" t="n">
        <v>-6570.45</v>
      </c>
      <c r="T23" s="356" t="n">
        <v>-6791.42</v>
      </c>
      <c r="U23" s="356" t="n">
        <v>-7484.18</v>
      </c>
      <c r="V23" s="356" t="n">
        <v>-6180.86</v>
      </c>
      <c r="W23" s="356" t="n">
        <v>-3885.77</v>
      </c>
      <c r="X23" s="356" t="n">
        <v>-5624.55</v>
      </c>
      <c r="Y23" s="356" t="n">
        <v>-8089.3</v>
      </c>
      <c r="Z23" s="356" t="n">
        <v>-7206.12</v>
      </c>
      <c r="AA23" s="356" t="n">
        <v>-4688.63</v>
      </c>
      <c r="AB23" s="356" t="n">
        <v>-7528.06</v>
      </c>
      <c r="AC23" s="356" t="n">
        <v>-9665.59</v>
      </c>
      <c r="AD23" s="356" t="n">
        <v>-10335.16</v>
      </c>
      <c r="AE23" s="356" t="n">
        <f aca="false">SUM(B23:I23)</f>
        <v>0</v>
      </c>
      <c r="AF23" s="356" t="n">
        <f aca="false">SUM(J23:U23)</f>
        <v>-64531.04</v>
      </c>
      <c r="AG23" s="356" t="n">
        <f aca="false">SUM(V23:AD23)</f>
        <v>-63204.04</v>
      </c>
      <c r="AH23" s="356" t="n">
        <f aca="false">SUM(B23:AD23)</f>
        <v>-127735.08</v>
      </c>
    </row>
    <row r="24" customFormat="false" ht="15" hidden="false" customHeight="false" outlineLevel="0" collapsed="false">
      <c r="A24" s="345" t="s">
        <v>1522</v>
      </c>
      <c r="B24" s="358" t="n">
        <f aca="false">B22+B23</f>
        <v>0</v>
      </c>
      <c r="C24" s="358" t="n">
        <f aca="false">C22+C23</f>
        <v>0</v>
      </c>
      <c r="D24" s="358" t="n">
        <f aca="false">D22+D23</f>
        <v>0</v>
      </c>
      <c r="E24" s="358" t="n">
        <f aca="false">E22+E23</f>
        <v>0</v>
      </c>
      <c r="F24" s="358" t="n">
        <f aca="false">F22+F23</f>
        <v>0</v>
      </c>
      <c r="G24" s="358" t="n">
        <f aca="false">G22+G23</f>
        <v>0</v>
      </c>
      <c r="H24" s="358" t="n">
        <f aca="false">H22+H23</f>
        <v>0</v>
      </c>
      <c r="I24" s="358" t="n">
        <f aca="false">I22+I23</f>
        <v>0</v>
      </c>
      <c r="J24" s="358" t="n">
        <f aca="false">J22+J23</f>
        <v>3215.52</v>
      </c>
      <c r="K24" s="358" t="n">
        <f aca="false">K22+K23</f>
        <v>9078.2</v>
      </c>
      <c r="L24" s="358" t="n">
        <f aca="false">L22+L23</f>
        <v>10618.22</v>
      </c>
      <c r="M24" s="358" t="n">
        <f aca="false">M22+M23</f>
        <v>10884.16</v>
      </c>
      <c r="N24" s="358" t="n">
        <f aca="false">N22+N23</f>
        <v>6794.62</v>
      </c>
      <c r="O24" s="358" t="n">
        <f aca="false">O22+O23</f>
        <v>7481.72</v>
      </c>
      <c r="P24" s="358" t="n">
        <f aca="false">P22+P23</f>
        <v>9843.22</v>
      </c>
      <c r="Q24" s="358" t="n">
        <f aca="false">Q22+Q23</f>
        <v>15933.82</v>
      </c>
      <c r="R24" s="358" t="n">
        <f aca="false">R22+R23</f>
        <v>10732</v>
      </c>
      <c r="S24" s="358" t="n">
        <f aca="false">S22+S23</f>
        <v>10505.32</v>
      </c>
      <c r="T24" s="358" t="n">
        <f aca="false">T22+T23</f>
        <v>7967.78</v>
      </c>
      <c r="U24" s="358" t="n">
        <f aca="false">U22+U23</f>
        <v>16422.67</v>
      </c>
      <c r="V24" s="358" t="n">
        <f aca="false">V22+V23</f>
        <v>9624.29</v>
      </c>
      <c r="W24" s="358" t="n">
        <f aca="false">W22+W23</f>
        <v>12448.79</v>
      </c>
      <c r="X24" s="358" t="n">
        <f aca="false">X22+X23</f>
        <v>14241.6</v>
      </c>
      <c r="Y24" s="358" t="n">
        <f aca="false">Y22+Y23</f>
        <v>12245.07</v>
      </c>
      <c r="Z24" s="358" t="n">
        <f aca="false">Z22+Z23</f>
        <v>12399.52</v>
      </c>
      <c r="AA24" s="358" t="n">
        <f aca="false">AA22+AA23</f>
        <v>14836.74</v>
      </c>
      <c r="AB24" s="358" t="n">
        <f aca="false">AB22+AB23</f>
        <v>15510.81</v>
      </c>
      <c r="AC24" s="358" t="n">
        <f aca="false">AC22+AC23</f>
        <v>17764.46</v>
      </c>
      <c r="AD24" s="358" t="n">
        <f aca="false">AD22+AD23</f>
        <v>10080.61</v>
      </c>
      <c r="AE24" s="358" t="n">
        <f aca="false">AE22+AE23</f>
        <v>0</v>
      </c>
      <c r="AF24" s="358" t="n">
        <f aca="false">AF22+AF23</f>
        <v>119477.25</v>
      </c>
      <c r="AG24" s="358" t="n">
        <f aca="false">AG22+AG23</f>
        <v>119151.89</v>
      </c>
      <c r="AH24" s="358" t="n">
        <f aca="false">AH22+AH23</f>
        <v>238629.14</v>
      </c>
    </row>
    <row r="25" customFormat="false" ht="15" hidden="false" customHeight="false" outlineLevel="0" collapsed="false">
      <c r="A25" s="336" t="s">
        <v>1410</v>
      </c>
      <c r="B25" s="357" t="n">
        <f aca="false">IFERROR(B24/B22,0)</f>
        <v>0</v>
      </c>
      <c r="C25" s="357" t="n">
        <f aca="false">IFERROR(C24/C22,0)</f>
        <v>0</v>
      </c>
      <c r="D25" s="357" t="n">
        <f aca="false">IFERROR(D24/D22,0)</f>
        <v>0</v>
      </c>
      <c r="E25" s="357" t="n">
        <f aca="false">IFERROR(E24/E22,0)</f>
        <v>0</v>
      </c>
      <c r="F25" s="357" t="n">
        <f aca="false">IFERROR(F24/F22,0)</f>
        <v>0</v>
      </c>
      <c r="G25" s="357" t="n">
        <f aca="false">IFERROR(G24/G22,0)</f>
        <v>0</v>
      </c>
      <c r="H25" s="357" t="n">
        <f aca="false">IFERROR(H24/H22,0)</f>
        <v>0</v>
      </c>
      <c r="I25" s="357" t="n">
        <f aca="false">IFERROR(I24/I22,0)</f>
        <v>0</v>
      </c>
      <c r="J25" s="357" t="n">
        <f aca="false">IFERROR(J24/J22,0)</f>
        <v>0.796518180714744</v>
      </c>
      <c r="K25" s="357" t="n">
        <f aca="false">IFERROR(K24/K22,0)</f>
        <v>0.793755716086883</v>
      </c>
      <c r="L25" s="357" t="n">
        <f aca="false">IFERROR(L24/L22,0)</f>
        <v>0.712146139178829</v>
      </c>
      <c r="M25" s="357" t="n">
        <f aca="false">IFERROR(M24/M22,0)</f>
        <v>0.630800874669869</v>
      </c>
      <c r="N25" s="357" t="n">
        <f aca="false">IFERROR(N24/N22,0)</f>
        <v>0.642050973855394</v>
      </c>
      <c r="O25" s="357" t="n">
        <f aca="false">IFERROR(O24/O22,0)</f>
        <v>0.614112474944554</v>
      </c>
      <c r="P25" s="357" t="n">
        <f aca="false">IFERROR(P24/P22,0)</f>
        <v>0.582078095949967</v>
      </c>
      <c r="Q25" s="357" t="n">
        <f aca="false">IFERROR(Q24/Q22,0)</f>
        <v>0.666878163825197</v>
      </c>
      <c r="R25" s="357" t="n">
        <f aca="false">IFERROR(R24/R22,0)</f>
        <v>0.629128804332852</v>
      </c>
      <c r="S25" s="357" t="n">
        <f aca="false">IFERROR(S24/S22,0)</f>
        <v>0.615217937463435</v>
      </c>
      <c r="T25" s="357" t="n">
        <f aca="false">IFERROR(T24/T22,0)</f>
        <v>0.539851753482574</v>
      </c>
      <c r="U25" s="357" t="n">
        <f aca="false">IFERROR(U24/U22,0)</f>
        <v>0.686944118526699</v>
      </c>
      <c r="V25" s="357" t="n">
        <f aca="false">IFERROR(V24/V22,0)</f>
        <v>0.608933796895316</v>
      </c>
      <c r="W25" s="357" t="n">
        <f aca="false">IFERROR(W24/W22,0)</f>
        <v>0.762113580041336</v>
      </c>
      <c r="X25" s="357" t="n">
        <f aca="false">IFERROR(X24/X22,0)</f>
        <v>0.716877704034249</v>
      </c>
      <c r="Y25" s="357" t="n">
        <f aca="false">IFERROR(Y24/Y22,0)</f>
        <v>0.602185855770304</v>
      </c>
      <c r="Z25" s="357" t="n">
        <f aca="false">IFERROR(Z24/Z22,0)</f>
        <v>0.63244658169792</v>
      </c>
      <c r="AA25" s="357" t="n">
        <f aca="false">IFERROR(AA24/AA22,0)</f>
        <v>0.759869851377976</v>
      </c>
      <c r="AB25" s="357" t="n">
        <f aca="false">IFERROR(AB24/AB22,0)</f>
        <v>0.673245258990567</v>
      </c>
      <c r="AC25" s="357" t="n">
        <f aca="false">IFERROR(AC24/AC22,0)</f>
        <v>0.647627692986342</v>
      </c>
      <c r="AD25" s="357" t="n">
        <f aca="false">IFERROR(AD24/AD22,0)</f>
        <v>0.493765848655231</v>
      </c>
      <c r="AE25" s="357" t="n">
        <f aca="false">IFERROR(AE24/AE22,0)</f>
        <v>0</v>
      </c>
      <c r="AF25" s="357" t="n">
        <f aca="false">IFERROR(AF24/AF22,0)</f>
        <v>0.64930362648335</v>
      </c>
      <c r="AG25" s="357" t="n">
        <f aca="false">IFERROR(AG24/AG22,0)</f>
        <v>0.653402880838589</v>
      </c>
      <c r="AH25" s="357" t="n">
        <f aca="false">IFERROR(AH24/AH22,0)</f>
        <v>0.651344009521454</v>
      </c>
    </row>
    <row r="26" customFormat="false" ht="15" hidden="false" customHeight="false" outlineLevel="0" collapsed="false">
      <c r="A26" s="336" t="s">
        <v>1523</v>
      </c>
      <c r="B26" s="356" t="n">
        <v>0</v>
      </c>
      <c r="C26" s="356" t="n">
        <v>0</v>
      </c>
      <c r="D26" s="356" t="n">
        <v>0</v>
      </c>
      <c r="E26" s="356" t="n">
        <v>0</v>
      </c>
      <c r="F26" s="356" t="n">
        <v>-1843.57</v>
      </c>
      <c r="G26" s="356" t="n">
        <v>-3687.14</v>
      </c>
      <c r="H26" s="356" t="n">
        <v>-3842.46</v>
      </c>
      <c r="I26" s="356" t="n">
        <v>-3354.55</v>
      </c>
      <c r="J26" s="356" t="n">
        <v>-5011.3</v>
      </c>
      <c r="K26" s="356" t="n">
        <v>-4713.67</v>
      </c>
      <c r="L26" s="356" t="n">
        <v>-6177.78</v>
      </c>
      <c r="M26" s="356" t="n">
        <v>-6714.74</v>
      </c>
      <c r="N26" s="356" t="n">
        <v>-5952.61</v>
      </c>
      <c r="O26" s="356" t="n">
        <v>-6092.33</v>
      </c>
      <c r="P26" s="356" t="n">
        <v>-5349.32</v>
      </c>
      <c r="Q26" s="356" t="n">
        <v>-5207.77</v>
      </c>
      <c r="R26" s="356" t="n">
        <v>-4982.24</v>
      </c>
      <c r="S26" s="356" t="n">
        <v>-5028.14</v>
      </c>
      <c r="T26" s="356" t="n">
        <v>-7100.62</v>
      </c>
      <c r="U26" s="356" t="n">
        <v>-7160.3</v>
      </c>
      <c r="V26" s="356" t="n">
        <v>-7644.48</v>
      </c>
      <c r="W26" s="356" t="n">
        <v>-6195.61</v>
      </c>
      <c r="X26" s="356" t="n">
        <v>-6141.02</v>
      </c>
      <c r="Y26" s="356" t="n">
        <v>-6912.96</v>
      </c>
      <c r="Z26" s="356" t="n">
        <v>-6726.11</v>
      </c>
      <c r="AA26" s="356" t="n">
        <v>-3676.91</v>
      </c>
      <c r="AB26" s="356" t="n">
        <v>-5121.29</v>
      </c>
      <c r="AC26" s="356" t="n">
        <v>-5937.62</v>
      </c>
      <c r="AD26" s="356" t="n">
        <v>-6023.29</v>
      </c>
      <c r="AE26" s="356" t="n">
        <f aca="false">SUM(B26:I26)</f>
        <v>-12727.72</v>
      </c>
      <c r="AF26" s="356" t="n">
        <f aca="false">SUM(J26:U26)</f>
        <v>-69490.82</v>
      </c>
      <c r="AG26" s="356" t="n">
        <f aca="false">SUM(V26:AD26)</f>
        <v>-54379.29</v>
      </c>
      <c r="AH26" s="356" t="n">
        <f aca="false">SUM(B26:AD26)</f>
        <v>-136597.83</v>
      </c>
    </row>
    <row r="27" customFormat="false" ht="15" hidden="false" customHeight="false" outlineLevel="0" collapsed="false">
      <c r="A27" s="336" t="s">
        <v>1524</v>
      </c>
      <c r="B27" s="356" t="n">
        <v>0</v>
      </c>
      <c r="C27" s="356" t="n">
        <v>0</v>
      </c>
      <c r="D27" s="356" t="n">
        <v>0</v>
      </c>
      <c r="E27" s="356" t="n">
        <v>0</v>
      </c>
      <c r="F27" s="356" t="n">
        <v>0</v>
      </c>
      <c r="G27" s="356" t="n">
        <v>-216.34</v>
      </c>
      <c r="H27" s="356" t="n">
        <v>-216.34</v>
      </c>
      <c r="I27" s="356" t="n">
        <v>0</v>
      </c>
      <c r="J27" s="356" t="n">
        <v>-2729.18</v>
      </c>
      <c r="K27" s="356" t="n">
        <v>-2688.74</v>
      </c>
      <c r="L27" s="356" t="n">
        <v>-2688.74</v>
      </c>
      <c r="M27" s="356" t="n">
        <v>-2688.74</v>
      </c>
      <c r="N27" s="356" t="n">
        <v>-2688.94</v>
      </c>
      <c r="O27" s="356" t="n">
        <v>-2472.2</v>
      </c>
      <c r="P27" s="356" t="n">
        <v>-2688.4</v>
      </c>
      <c r="Q27" s="356" t="n">
        <v>-2688.74</v>
      </c>
      <c r="R27" s="356" t="n">
        <v>-2905.08</v>
      </c>
      <c r="S27" s="356" t="n">
        <v>-2688.74</v>
      </c>
      <c r="T27" s="356" t="n">
        <v>-2720.24</v>
      </c>
      <c r="U27" s="356" t="n">
        <v>-2688.07</v>
      </c>
      <c r="V27" s="356" t="n">
        <v>-2688.76</v>
      </c>
      <c r="W27" s="356" t="n">
        <v>-2762.91</v>
      </c>
      <c r="X27" s="356" t="n">
        <v>-2771.41</v>
      </c>
      <c r="Y27" s="356" t="n">
        <v>-2762.93</v>
      </c>
      <c r="Z27" s="356" t="n">
        <v>-2816.41</v>
      </c>
      <c r="AA27" s="356" t="n">
        <v>-2827.91</v>
      </c>
      <c r="AB27" s="356" t="n">
        <v>-2762.91</v>
      </c>
      <c r="AC27" s="356" t="n">
        <v>-2762.91</v>
      </c>
      <c r="AD27" s="356" t="n">
        <v>-2762.91</v>
      </c>
      <c r="AE27" s="356" t="n">
        <f aca="false">SUM(B27:I27)</f>
        <v>-432.68</v>
      </c>
      <c r="AF27" s="356" t="n">
        <f aca="false">SUM(J27:U27)</f>
        <v>-32335.81</v>
      </c>
      <c r="AG27" s="356" t="n">
        <f aca="false">SUM(V27:AD27)</f>
        <v>-24919.06</v>
      </c>
      <c r="AH27" s="356" t="n">
        <f aca="false">SUM(B27:AD27)</f>
        <v>-57687.55</v>
      </c>
    </row>
    <row r="28" customFormat="false" ht="15" hidden="false" customHeight="false" outlineLevel="0" collapsed="false">
      <c r="A28" s="336" t="s">
        <v>1525</v>
      </c>
      <c r="B28" s="356" t="n">
        <v>0</v>
      </c>
      <c r="C28" s="356" t="n">
        <v>0</v>
      </c>
      <c r="D28" s="356" t="n">
        <v>0</v>
      </c>
      <c r="E28" s="356" t="n">
        <v>0</v>
      </c>
      <c r="F28" s="356" t="n">
        <v>0</v>
      </c>
      <c r="G28" s="356" t="n">
        <v>0</v>
      </c>
      <c r="H28" s="356" t="n">
        <v>-542.88</v>
      </c>
      <c r="I28" s="356" t="n">
        <v>-525.65</v>
      </c>
      <c r="J28" s="356" t="n">
        <v>-736.86</v>
      </c>
      <c r="K28" s="356" t="n">
        <v>-1527.26</v>
      </c>
      <c r="L28" s="356" t="n">
        <v>-1254.52</v>
      </c>
      <c r="M28" s="356" t="n">
        <v>-1100.75</v>
      </c>
      <c r="N28" s="356" t="n">
        <v>-1885.64</v>
      </c>
      <c r="O28" s="356" t="n">
        <v>-1714.5</v>
      </c>
      <c r="P28" s="356" t="n">
        <v>-2014.55</v>
      </c>
      <c r="Q28" s="356" t="n">
        <v>-2879.41</v>
      </c>
      <c r="R28" s="356" t="n">
        <v>-1798.18</v>
      </c>
      <c r="S28" s="356" t="n">
        <v>-2311.97</v>
      </c>
      <c r="T28" s="356" t="n">
        <v>-1895.16</v>
      </c>
      <c r="U28" s="356" t="n">
        <v>-1454.66</v>
      </c>
      <c r="V28" s="356" t="n">
        <v>-1647.96</v>
      </c>
      <c r="W28" s="356" t="n">
        <v>-1709.23</v>
      </c>
      <c r="X28" s="356" t="n">
        <v>-1489.65</v>
      </c>
      <c r="Y28" s="356" t="n">
        <v>-2130.82</v>
      </c>
      <c r="Z28" s="356" t="n">
        <v>-2656.02</v>
      </c>
      <c r="AA28" s="356" t="n">
        <v>-2642.77</v>
      </c>
      <c r="AB28" s="356" t="n">
        <v>-2009.71</v>
      </c>
      <c r="AC28" s="356" t="n">
        <v>-2023.58</v>
      </c>
      <c r="AD28" s="356" t="n">
        <v>-738.7</v>
      </c>
      <c r="AE28" s="356" t="n">
        <f aca="false">SUM(B28:I28)</f>
        <v>-1068.53</v>
      </c>
      <c r="AF28" s="356" t="n">
        <f aca="false">SUM(J28:U28)</f>
        <v>-20573.46</v>
      </c>
      <c r="AG28" s="356" t="n">
        <f aca="false">SUM(V28:AD28)</f>
        <v>-17048.44</v>
      </c>
      <c r="AH28" s="356" t="n">
        <f aca="false">SUM(B28:AD28)</f>
        <v>-38690.43</v>
      </c>
    </row>
    <row r="29" customFormat="false" ht="15" hidden="false" customHeight="false" outlineLevel="0" collapsed="false">
      <c r="A29" s="361" t="s">
        <v>136</v>
      </c>
      <c r="B29" s="362" t="n">
        <f aca="false">B24+B26+B27+B28</f>
        <v>0</v>
      </c>
      <c r="C29" s="362" t="n">
        <f aca="false">C24+C26+C27+C28</f>
        <v>0</v>
      </c>
      <c r="D29" s="362" t="n">
        <f aca="false">D24+D26+D27+D28</f>
        <v>0</v>
      </c>
      <c r="E29" s="362" t="n">
        <f aca="false">E24+E26+E27+E28</f>
        <v>0</v>
      </c>
      <c r="F29" s="362" t="n">
        <f aca="false">F24+F26+F27+F28</f>
        <v>-1843.57</v>
      </c>
      <c r="G29" s="362" t="n">
        <f aca="false">G24+G26+G27+G28</f>
        <v>-3903.48</v>
      </c>
      <c r="H29" s="362" t="n">
        <f aca="false">H24+H26+H27+H28</f>
        <v>-4601.68</v>
      </c>
      <c r="I29" s="362" t="n">
        <f aca="false">I24+I26+I27+I28</f>
        <v>-3880.2</v>
      </c>
      <c r="J29" s="362" t="n">
        <f aca="false">J24+J26+J27+J28</f>
        <v>-5261.82</v>
      </c>
      <c r="K29" s="362" t="n">
        <f aca="false">K24+K26+K27+K28</f>
        <v>148.530000000001</v>
      </c>
      <c r="L29" s="362" t="n">
        <f aca="false">L24+L26+L27+L28</f>
        <v>497.180000000002</v>
      </c>
      <c r="M29" s="362" t="n">
        <f aca="false">M24+M26+M27+M28</f>
        <v>379.930000000002</v>
      </c>
      <c r="N29" s="362" t="n">
        <f aca="false">N24+N26+N27+N28</f>
        <v>-3732.57</v>
      </c>
      <c r="O29" s="362" t="n">
        <f aca="false">O24+O26+O27+O28</f>
        <v>-2797.31</v>
      </c>
      <c r="P29" s="362" t="n">
        <f aca="false">P24+P26+P27+P28</f>
        <v>-209.049999999997</v>
      </c>
      <c r="Q29" s="362" t="n">
        <f aca="false">Q24+Q26+Q27+Q28</f>
        <v>5157.9</v>
      </c>
      <c r="R29" s="362" t="n">
        <f aca="false">R24+R26+R27+R28</f>
        <v>1046.5</v>
      </c>
      <c r="S29" s="362" t="n">
        <f aca="false">S24+S26+S27+S28</f>
        <v>476.47</v>
      </c>
      <c r="T29" s="362" t="n">
        <f aca="false">T24+T26+T27+T28</f>
        <v>-3748.24</v>
      </c>
      <c r="U29" s="362" t="n">
        <f aca="false">U24+U26+U27+U28</f>
        <v>5119.64</v>
      </c>
      <c r="V29" s="362" t="n">
        <f aca="false">V24+V26+V27+V28</f>
        <v>-2356.91</v>
      </c>
      <c r="W29" s="362" t="n">
        <f aca="false">W24+W26+W27+W28</f>
        <v>1781.04</v>
      </c>
      <c r="X29" s="362" t="n">
        <f aca="false">X24+X26+X27+X28</f>
        <v>3839.52</v>
      </c>
      <c r="Y29" s="362" t="n">
        <f aca="false">Y24+Y26+Y27+Y28</f>
        <v>438.36</v>
      </c>
      <c r="Z29" s="362" t="n">
        <f aca="false">Z24+Z26+Z27+Z28</f>
        <v>200.980000000001</v>
      </c>
      <c r="AA29" s="362" t="n">
        <f aca="false">AA24+AA26+AA27+AA28</f>
        <v>5689.15</v>
      </c>
      <c r="AB29" s="362" t="n">
        <f aca="false">AB24+AB26+AB27+AB28</f>
        <v>5616.9</v>
      </c>
      <c r="AC29" s="362" t="n">
        <f aca="false">AC24+AC26+AC27+AC28</f>
        <v>7040.35</v>
      </c>
      <c r="AD29" s="362" t="n">
        <f aca="false">AD24+AD26+AD27+AD28</f>
        <v>555.710000000001</v>
      </c>
      <c r="AE29" s="362" t="n">
        <f aca="false">AE24+AE26+AE27+AE28</f>
        <v>-14228.93</v>
      </c>
      <c r="AF29" s="362" t="n">
        <f aca="false">AF24+AF26+AF27+AF28</f>
        <v>-2922.83999999999</v>
      </c>
      <c r="AG29" s="362" t="n">
        <f aca="false">AG24+AG26+AG27+AG28</f>
        <v>22805.1</v>
      </c>
      <c r="AH29" s="362" t="n">
        <f aca="false">AH24+AH26+AH27+AH28</f>
        <v>5653.32999999997</v>
      </c>
    </row>
    <row r="30" customFormat="false" ht="15" hidden="false" customHeight="false" outlineLevel="0" collapsed="false">
      <c r="A30" s="336" t="s">
        <v>1526</v>
      </c>
      <c r="B30" s="357" t="n">
        <f aca="false">IFERROR(B29/B22,0)</f>
        <v>0</v>
      </c>
      <c r="C30" s="357" t="n">
        <f aca="false">IFERROR(C29/C22,0)</f>
        <v>0</v>
      </c>
      <c r="D30" s="357" t="n">
        <f aca="false">IFERROR(D29/D22,0)</f>
        <v>0</v>
      </c>
      <c r="E30" s="357" t="n">
        <f aca="false">IFERROR(E29/E22,0)</f>
        <v>0</v>
      </c>
      <c r="F30" s="357" t="n">
        <f aca="false">IFERROR(F29/F22,0)</f>
        <v>0</v>
      </c>
      <c r="G30" s="357" t="n">
        <f aca="false">IFERROR(G29/G22,0)</f>
        <v>0</v>
      </c>
      <c r="H30" s="357" t="n">
        <f aca="false">IFERROR(H29/H22,0)</f>
        <v>0</v>
      </c>
      <c r="I30" s="357" t="n">
        <f aca="false">IFERROR(I29/I22,0)</f>
        <v>0</v>
      </c>
      <c r="J30" s="357" t="n">
        <f aca="false">IFERROR(J29/J22,0)</f>
        <v>-1.30340824925625</v>
      </c>
      <c r="K30" s="357" t="n">
        <f aca="false">IFERROR(K29/K22,0)</f>
        <v>0.012986774526931</v>
      </c>
      <c r="L30" s="357" t="n">
        <f aca="false">IFERROR(L29/L22,0)</f>
        <v>0.0333450255765026</v>
      </c>
      <c r="M30" s="357" t="n">
        <f aca="false">IFERROR(M29/M22,0)</f>
        <v>0.0220191706400241</v>
      </c>
      <c r="N30" s="357" t="n">
        <f aca="false">IFERROR(N29/N22,0)</f>
        <v>-0.352705552846727</v>
      </c>
      <c r="O30" s="357" t="n">
        <f aca="false">IFERROR(O29/O22,0)</f>
        <v>-0.229608026935939</v>
      </c>
      <c r="P30" s="357" t="n">
        <f aca="false">IFERROR(P29/P22,0)</f>
        <v>-0.012362156485209</v>
      </c>
      <c r="Q30" s="357" t="n">
        <f aca="false">IFERROR(Q29/Q22,0)</f>
        <v>0.215873587199679</v>
      </c>
      <c r="R30" s="357" t="n">
        <f aca="false">IFERROR(R29/R22,0)</f>
        <v>0.0613476792521738</v>
      </c>
      <c r="S30" s="357" t="n">
        <f aca="false">IFERROR(S29/S22,0)</f>
        <v>0.0279032804962821</v>
      </c>
      <c r="T30" s="357" t="n">
        <f aca="false">IFERROR(T29/T22,0)</f>
        <v>-0.253959564204022</v>
      </c>
      <c r="U30" s="357" t="n">
        <f aca="false">IFERROR(U29/U22,0)</f>
        <v>0.214149501084417</v>
      </c>
      <c r="V30" s="357" t="n">
        <f aca="false">IFERROR(V29/V22,0)</f>
        <v>-0.149122912468404</v>
      </c>
      <c r="W30" s="357" t="n">
        <f aca="false">IFERROR(W29/W22,0)</f>
        <v>0.109035076549353</v>
      </c>
      <c r="X30" s="357" t="n">
        <f aca="false">IFERROR(X29/X22,0)</f>
        <v>0.193269455833164</v>
      </c>
      <c r="Y30" s="357" t="n">
        <f aca="false">IFERROR(Y29/Y22,0)</f>
        <v>0.0215575894409318</v>
      </c>
      <c r="Z30" s="357" t="n">
        <f aca="false">IFERROR(Z29/Z22,0)</f>
        <v>0.010251131817171</v>
      </c>
      <c r="AA30" s="357" t="n">
        <f aca="false">IFERROR(AA29/AA22,0)</f>
        <v>0.291372199348847</v>
      </c>
      <c r="AB30" s="357" t="n">
        <f aca="false">IFERROR(AB29/AB22,0)</f>
        <v>0.243801019754875</v>
      </c>
      <c r="AC30" s="357" t="n">
        <f aca="false">IFERROR(AC29/AC22,0)</f>
        <v>0.256665591203808</v>
      </c>
      <c r="AD30" s="357" t="n">
        <f aca="false">IFERROR(AD29/AD22,0)</f>
        <v>0.0272196444219346</v>
      </c>
      <c r="AE30" s="357" t="n">
        <f aca="false">IFERROR(AE29/AE22,0)</f>
        <v>0</v>
      </c>
      <c r="AF30" s="357" t="n">
        <f aca="false">IFERROR(AF29/AF22,0)</f>
        <v>-0.0158842843439281</v>
      </c>
      <c r="AG30" s="357" t="n">
        <f aca="false">IFERROR(AG29/AG22,0)</f>
        <v>0.125058176062605</v>
      </c>
      <c r="AH30" s="357" t="n">
        <f aca="false">IFERROR(AH29/AH22,0)</f>
        <v>0.0154309009760832</v>
      </c>
    </row>
    <row r="31" customFormat="false" ht="15" hidden="false" customHeight="false" outlineLevel="0" collapsed="false">
      <c r="A31" s="336" t="s">
        <v>1527</v>
      </c>
      <c r="B31" s="356" t="n">
        <v>0</v>
      </c>
      <c r="C31" s="356" t="n">
        <v>0</v>
      </c>
      <c r="D31" s="356" t="n">
        <v>0</v>
      </c>
      <c r="E31" s="356" t="n">
        <v>0</v>
      </c>
      <c r="F31" s="356" t="n">
        <v>0</v>
      </c>
      <c r="G31" s="356" t="n">
        <v>0</v>
      </c>
      <c r="H31" s="356" t="n">
        <v>0</v>
      </c>
      <c r="I31" s="356" t="n">
        <v>-24.54</v>
      </c>
      <c r="J31" s="356" t="n">
        <v>-1614.79</v>
      </c>
      <c r="K31" s="356" t="n">
        <v>-1704.71</v>
      </c>
      <c r="L31" s="356" t="n">
        <v>-2039.46</v>
      </c>
      <c r="M31" s="356" t="n">
        <v>-2404.4</v>
      </c>
      <c r="N31" s="356" t="n">
        <v>-2356.33</v>
      </c>
      <c r="O31" s="356" t="n">
        <v>-2357.31</v>
      </c>
      <c r="P31" s="356" t="n">
        <v>-2357.31</v>
      </c>
      <c r="Q31" s="356" t="n">
        <v>-2362.65</v>
      </c>
      <c r="R31" s="356" t="n">
        <v>-2377.54</v>
      </c>
      <c r="S31" s="356" t="n">
        <v>-2385.89</v>
      </c>
      <c r="T31" s="356" t="n">
        <v>-2385.88</v>
      </c>
      <c r="U31" s="356" t="n">
        <v>-2385.86</v>
      </c>
      <c r="V31" s="356" t="n">
        <v>-2392.05</v>
      </c>
      <c r="W31" s="356" t="n">
        <v>-2391.98</v>
      </c>
      <c r="X31" s="356" t="n">
        <v>-2392</v>
      </c>
      <c r="Y31" s="356" t="n">
        <v>-2392.03</v>
      </c>
      <c r="Z31" s="356" t="n">
        <v>-2399.33</v>
      </c>
      <c r="AA31" s="356" t="n">
        <v>-2413.13</v>
      </c>
      <c r="AB31" s="356" t="n">
        <v>-2463.71</v>
      </c>
      <c r="AC31" s="356" t="n">
        <v>-2404.86</v>
      </c>
      <c r="AD31" s="356" t="n">
        <v>-2404.92</v>
      </c>
      <c r="AE31" s="356" t="n">
        <f aca="false">SUM(B31:I31)</f>
        <v>-24.54</v>
      </c>
      <c r="AF31" s="356" t="n">
        <f aca="false">SUM(J31:U31)</f>
        <v>-26732.13</v>
      </c>
      <c r="AG31" s="356" t="n">
        <f aca="false">SUM(V31:AD31)</f>
        <v>-21654.01</v>
      </c>
      <c r="AH31" s="356" t="n">
        <f aca="false">SUM(B31:AD31)</f>
        <v>-48410.68</v>
      </c>
    </row>
    <row r="32" customFormat="false" ht="15" hidden="false" customHeight="false" outlineLevel="0" collapsed="false">
      <c r="A32" s="345" t="s">
        <v>1528</v>
      </c>
      <c r="B32" s="358" t="n">
        <f aca="false">B29+B31</f>
        <v>0</v>
      </c>
      <c r="C32" s="358" t="n">
        <f aca="false">C29+C31</f>
        <v>0</v>
      </c>
      <c r="D32" s="358" t="n">
        <f aca="false">D29+D31</f>
        <v>0</v>
      </c>
      <c r="E32" s="358" t="n">
        <f aca="false">E29+E31</f>
        <v>0</v>
      </c>
      <c r="F32" s="358" t="n">
        <f aca="false">F29+F31</f>
        <v>-1843.57</v>
      </c>
      <c r="G32" s="358" t="n">
        <f aca="false">G29+G31</f>
        <v>-3903.48</v>
      </c>
      <c r="H32" s="358" t="n">
        <f aca="false">H29+H31</f>
        <v>-4601.68</v>
      </c>
      <c r="I32" s="358" t="n">
        <f aca="false">I29+I31</f>
        <v>-3904.74</v>
      </c>
      <c r="J32" s="358" t="n">
        <f aca="false">J29+J31</f>
        <v>-6876.61</v>
      </c>
      <c r="K32" s="358" t="n">
        <f aca="false">K29+K31</f>
        <v>-1556.18</v>
      </c>
      <c r="L32" s="358" t="n">
        <f aca="false">L29+L31</f>
        <v>-1542.28</v>
      </c>
      <c r="M32" s="358" t="n">
        <f aca="false">M29+M31</f>
        <v>-2024.47</v>
      </c>
      <c r="N32" s="358" t="n">
        <f aca="false">N29+N31</f>
        <v>-6088.9</v>
      </c>
      <c r="O32" s="358" t="n">
        <f aca="false">O29+O31</f>
        <v>-5154.62</v>
      </c>
      <c r="P32" s="358" t="n">
        <f aca="false">P29+P31</f>
        <v>-2566.36</v>
      </c>
      <c r="Q32" s="358" t="n">
        <f aca="false">Q29+Q31</f>
        <v>2795.25</v>
      </c>
      <c r="R32" s="358" t="n">
        <f aca="false">R29+R31</f>
        <v>-1331.04</v>
      </c>
      <c r="S32" s="358" t="n">
        <f aca="false">S29+S31</f>
        <v>-1909.42</v>
      </c>
      <c r="T32" s="358" t="n">
        <f aca="false">T29+T31</f>
        <v>-6134.12</v>
      </c>
      <c r="U32" s="358" t="n">
        <f aca="false">U29+U31</f>
        <v>2733.78</v>
      </c>
      <c r="V32" s="358" t="n">
        <f aca="false">V29+V31</f>
        <v>-4748.96</v>
      </c>
      <c r="W32" s="358" t="n">
        <f aca="false">W29+W31</f>
        <v>-610.939999999999</v>
      </c>
      <c r="X32" s="358" t="n">
        <f aca="false">X29+X31</f>
        <v>1447.52</v>
      </c>
      <c r="Y32" s="358" t="n">
        <f aca="false">Y29+Y31</f>
        <v>-1953.67</v>
      </c>
      <c r="Z32" s="358" t="n">
        <f aca="false">Z29+Z31</f>
        <v>-2198.35</v>
      </c>
      <c r="AA32" s="358" t="n">
        <f aca="false">AA29+AA31</f>
        <v>3276.02</v>
      </c>
      <c r="AB32" s="358" t="n">
        <f aca="false">AB29+AB31</f>
        <v>3153.19</v>
      </c>
      <c r="AC32" s="358" t="n">
        <f aca="false">AC29+AC31</f>
        <v>4635.49</v>
      </c>
      <c r="AD32" s="358" t="n">
        <f aca="false">AD29+AD31</f>
        <v>-1849.21</v>
      </c>
      <c r="AE32" s="358" t="n">
        <f aca="false">AE29+AE31</f>
        <v>-14253.47</v>
      </c>
      <c r="AF32" s="358" t="n">
        <f aca="false">AF29+AF31</f>
        <v>-29654.97</v>
      </c>
      <c r="AG32" s="358" t="n">
        <f aca="false">AG29+AG31</f>
        <v>1151.09</v>
      </c>
      <c r="AH32" s="358" t="n">
        <f aca="false">AH29+AH31</f>
        <v>-42757.35</v>
      </c>
    </row>
    <row r="34" customFormat="false" ht="15" hidden="false" customHeight="false" outlineLevel="0" collapsed="false">
      <c r="A34" s="339" t="s">
        <v>692</v>
      </c>
      <c r="B34" s="353"/>
      <c r="C34" s="353"/>
      <c r="D34" s="353"/>
      <c r="E34" s="353"/>
      <c r="F34" s="353"/>
      <c r="G34" s="353"/>
      <c r="H34" s="353"/>
      <c r="I34" s="353"/>
      <c r="J34" s="353"/>
      <c r="K34" s="353"/>
      <c r="L34" s="353"/>
      <c r="M34" s="353"/>
      <c r="N34" s="353"/>
      <c r="O34" s="353"/>
      <c r="P34" s="353"/>
      <c r="Q34" s="353"/>
      <c r="R34" s="353"/>
      <c r="S34" s="353"/>
      <c r="T34" s="353"/>
      <c r="U34" s="353"/>
      <c r="V34" s="353"/>
      <c r="W34" s="353"/>
      <c r="X34" s="353"/>
      <c r="Y34" s="353"/>
      <c r="Z34" s="353"/>
      <c r="AA34" s="353"/>
      <c r="AB34" s="353"/>
      <c r="AC34" s="353"/>
      <c r="AD34" s="353"/>
      <c r="AE34" s="353"/>
      <c r="AF34" s="353"/>
      <c r="AG34" s="353"/>
      <c r="AH34" s="353"/>
    </row>
    <row r="35" customFormat="false" ht="15" hidden="false" customHeight="false" outlineLevel="0" collapsed="false">
      <c r="A35" s="336" t="s">
        <v>1519</v>
      </c>
      <c r="B35" s="356" t="n">
        <v>0</v>
      </c>
      <c r="C35" s="356" t="n">
        <v>0</v>
      </c>
      <c r="D35" s="356" t="n">
        <v>0</v>
      </c>
      <c r="E35" s="356" t="n">
        <v>0</v>
      </c>
      <c r="F35" s="356" t="n">
        <v>0</v>
      </c>
      <c r="G35" s="356" t="n">
        <v>0</v>
      </c>
      <c r="H35" s="356" t="n">
        <v>0</v>
      </c>
      <c r="I35" s="356" t="n">
        <v>0</v>
      </c>
      <c r="J35" s="356" t="n">
        <v>0</v>
      </c>
      <c r="K35" s="356" t="n">
        <v>11.25</v>
      </c>
      <c r="L35" s="356" t="n">
        <v>0</v>
      </c>
      <c r="M35" s="356" t="n">
        <v>0</v>
      </c>
      <c r="N35" s="356" t="n">
        <v>8361.15</v>
      </c>
      <c r="O35" s="356" t="n">
        <v>5746.08</v>
      </c>
      <c r="P35" s="356" t="n">
        <v>7902.89</v>
      </c>
      <c r="Q35" s="356" t="n">
        <v>11120.73</v>
      </c>
      <c r="R35" s="356" t="n">
        <v>9212.23</v>
      </c>
      <c r="S35" s="356" t="n">
        <v>5507.06</v>
      </c>
      <c r="T35" s="356" t="n">
        <v>9561.06</v>
      </c>
      <c r="U35" s="356" t="n">
        <v>8487.66</v>
      </c>
      <c r="V35" s="356" t="n">
        <v>11297.41</v>
      </c>
      <c r="W35" s="356" t="n">
        <v>13022.5</v>
      </c>
      <c r="X35" s="356" t="n">
        <v>13848.29</v>
      </c>
      <c r="Y35" s="356" t="n">
        <v>15598.51</v>
      </c>
      <c r="Z35" s="356" t="n">
        <v>10193.47</v>
      </c>
      <c r="AA35" s="356" t="n">
        <v>10677.27</v>
      </c>
      <c r="AB35" s="356" t="n">
        <v>16492.13</v>
      </c>
      <c r="AC35" s="356" t="n">
        <v>19630.77</v>
      </c>
      <c r="AD35" s="356" t="n">
        <v>13955.96</v>
      </c>
      <c r="AE35" s="356" t="n">
        <f aca="false">SUM(B35:I35)</f>
        <v>0</v>
      </c>
      <c r="AF35" s="356" t="n">
        <f aca="false">SUM(J35:U35)</f>
        <v>65910.11</v>
      </c>
      <c r="AG35" s="356" t="n">
        <f aca="false">SUM(V35:AD35)</f>
        <v>124716.31</v>
      </c>
      <c r="AH35" s="356" t="n">
        <f aca="false">SUM(B35:AD35)</f>
        <v>190626.42</v>
      </c>
    </row>
    <row r="36" customFormat="false" ht="15" hidden="false" customHeight="false" outlineLevel="0" collapsed="false">
      <c r="A36" s="336" t="s">
        <v>1520</v>
      </c>
      <c r="B36" s="356" t="n">
        <v>0</v>
      </c>
      <c r="C36" s="356" t="n">
        <v>0</v>
      </c>
      <c r="D36" s="356" t="n">
        <v>0</v>
      </c>
      <c r="E36" s="356" t="n">
        <v>0</v>
      </c>
      <c r="F36" s="356" t="n">
        <v>0</v>
      </c>
      <c r="G36" s="356" t="n">
        <v>0</v>
      </c>
      <c r="H36" s="356" t="n">
        <v>0</v>
      </c>
      <c r="I36" s="356" t="n">
        <v>0</v>
      </c>
      <c r="J36" s="356" t="n">
        <v>0</v>
      </c>
      <c r="K36" s="356" t="n">
        <v>0</v>
      </c>
      <c r="L36" s="356" t="n">
        <v>0</v>
      </c>
      <c r="M36" s="356" t="n">
        <v>0</v>
      </c>
      <c r="N36" s="356" t="n">
        <v>-3663.4</v>
      </c>
      <c r="O36" s="356" t="n">
        <v>-194.04</v>
      </c>
      <c r="P36" s="356" t="n">
        <v>-680.29</v>
      </c>
      <c r="Q36" s="356" t="n">
        <v>-719.19</v>
      </c>
      <c r="R36" s="356" t="n">
        <v>-400.71</v>
      </c>
      <c r="S36" s="356" t="n">
        <v>-216.08</v>
      </c>
      <c r="T36" s="356" t="n">
        <v>-221.92</v>
      </c>
      <c r="U36" s="356" t="n">
        <v>-198.15</v>
      </c>
      <c r="V36" s="356" t="n">
        <v>-298.07</v>
      </c>
      <c r="W36" s="356" t="n">
        <v>-23</v>
      </c>
      <c r="X36" s="356" t="n">
        <v>-918.68</v>
      </c>
      <c r="Y36" s="356" t="n">
        <v>-507</v>
      </c>
      <c r="Z36" s="356" t="n">
        <v>-433.94</v>
      </c>
      <c r="AA36" s="356" t="n">
        <v>-813.13</v>
      </c>
      <c r="AB36" s="356" t="n">
        <v>-1532.5</v>
      </c>
      <c r="AC36" s="356" t="n">
        <v>-1447.33</v>
      </c>
      <c r="AD36" s="356" t="n">
        <v>-1128.51</v>
      </c>
      <c r="AE36" s="356" t="n">
        <f aca="false">SUM(B36:I36)</f>
        <v>0</v>
      </c>
      <c r="AF36" s="356" t="n">
        <f aca="false">SUM(J36:U36)</f>
        <v>-6293.78</v>
      </c>
      <c r="AG36" s="356" t="n">
        <f aca="false">SUM(V36:AD36)</f>
        <v>-7102.16</v>
      </c>
      <c r="AH36" s="356" t="n">
        <f aca="false">SUM(B36:AD36)</f>
        <v>-13395.94</v>
      </c>
    </row>
    <row r="37" customFormat="false" ht="15" hidden="false" customHeight="false" outlineLevel="0" collapsed="false">
      <c r="A37" s="345" t="s">
        <v>1491</v>
      </c>
      <c r="B37" s="358" t="n">
        <f aca="false">B35+B36</f>
        <v>0</v>
      </c>
      <c r="C37" s="358" t="n">
        <f aca="false">C35+C36</f>
        <v>0</v>
      </c>
      <c r="D37" s="358" t="n">
        <f aca="false">D35+D36</f>
        <v>0</v>
      </c>
      <c r="E37" s="358" t="n">
        <f aca="false">E35+E36</f>
        <v>0</v>
      </c>
      <c r="F37" s="358" t="n">
        <f aca="false">F35+F36</f>
        <v>0</v>
      </c>
      <c r="G37" s="358" t="n">
        <f aca="false">G35+G36</f>
        <v>0</v>
      </c>
      <c r="H37" s="358" t="n">
        <f aca="false">H35+H36</f>
        <v>0</v>
      </c>
      <c r="I37" s="358" t="n">
        <f aca="false">I35+I36</f>
        <v>0</v>
      </c>
      <c r="J37" s="358" t="n">
        <f aca="false">J35+J36</f>
        <v>0</v>
      </c>
      <c r="K37" s="358" t="n">
        <f aca="false">K35+K36</f>
        <v>11.25</v>
      </c>
      <c r="L37" s="358" t="n">
        <f aca="false">L35+L36</f>
        <v>0</v>
      </c>
      <c r="M37" s="358" t="n">
        <f aca="false">M35+M36</f>
        <v>0</v>
      </c>
      <c r="N37" s="358" t="n">
        <f aca="false">N35+N36</f>
        <v>4697.75</v>
      </c>
      <c r="O37" s="358" t="n">
        <f aca="false">O35+O36</f>
        <v>5552.04</v>
      </c>
      <c r="P37" s="358" t="n">
        <f aca="false">P35+P36</f>
        <v>7222.6</v>
      </c>
      <c r="Q37" s="358" t="n">
        <f aca="false">Q35+Q36</f>
        <v>10401.54</v>
      </c>
      <c r="R37" s="358" t="n">
        <f aca="false">R35+R36</f>
        <v>8811.52</v>
      </c>
      <c r="S37" s="358" t="n">
        <f aca="false">S35+S36</f>
        <v>5290.98</v>
      </c>
      <c r="T37" s="358" t="n">
        <f aca="false">T35+T36</f>
        <v>9339.14</v>
      </c>
      <c r="U37" s="358" t="n">
        <f aca="false">U35+U36</f>
        <v>8289.51</v>
      </c>
      <c r="V37" s="358" t="n">
        <f aca="false">V35+V36</f>
        <v>10999.34</v>
      </c>
      <c r="W37" s="358" t="n">
        <f aca="false">W35+W36</f>
        <v>12999.5</v>
      </c>
      <c r="X37" s="358" t="n">
        <f aca="false">X35+X36</f>
        <v>12929.61</v>
      </c>
      <c r="Y37" s="358" t="n">
        <f aca="false">Y35+Y36</f>
        <v>15091.51</v>
      </c>
      <c r="Z37" s="358" t="n">
        <f aca="false">Z35+Z36</f>
        <v>9759.53</v>
      </c>
      <c r="AA37" s="358" t="n">
        <f aca="false">AA35+AA36</f>
        <v>9864.14</v>
      </c>
      <c r="AB37" s="358" t="n">
        <f aca="false">AB35+AB36</f>
        <v>14959.63</v>
      </c>
      <c r="AC37" s="358" t="n">
        <f aca="false">AC35+AC36</f>
        <v>18183.44</v>
      </c>
      <c r="AD37" s="358" t="n">
        <f aca="false">AD35+AD36</f>
        <v>12827.45</v>
      </c>
      <c r="AE37" s="358" t="n">
        <f aca="false">AE35+AE36</f>
        <v>0</v>
      </c>
      <c r="AF37" s="358" t="n">
        <f aca="false">AF35+AF36</f>
        <v>59616.33</v>
      </c>
      <c r="AG37" s="358" t="n">
        <f aca="false">AG35+AG36</f>
        <v>117614.15</v>
      </c>
      <c r="AH37" s="358" t="n">
        <f aca="false">AH35+AH36</f>
        <v>177230.48</v>
      </c>
    </row>
    <row r="38" customFormat="false" ht="15" hidden="false" customHeight="false" outlineLevel="0" collapsed="false">
      <c r="A38" s="336" t="s">
        <v>1521</v>
      </c>
      <c r="B38" s="356" t="n">
        <v>0</v>
      </c>
      <c r="C38" s="356" t="n">
        <v>0</v>
      </c>
      <c r="D38" s="356" t="n">
        <v>0</v>
      </c>
      <c r="E38" s="356" t="n">
        <v>0</v>
      </c>
      <c r="F38" s="356" t="n">
        <v>0</v>
      </c>
      <c r="G38" s="356" t="n">
        <v>0</v>
      </c>
      <c r="H38" s="356" t="n">
        <v>0</v>
      </c>
      <c r="I38" s="356" t="n">
        <v>0</v>
      </c>
      <c r="J38" s="356" t="n">
        <v>0</v>
      </c>
      <c r="K38" s="356" t="n">
        <v>-0.14</v>
      </c>
      <c r="L38" s="356" t="n">
        <v>0</v>
      </c>
      <c r="M38" s="356" t="n">
        <v>0</v>
      </c>
      <c r="N38" s="356" t="n">
        <v>-2204.78</v>
      </c>
      <c r="O38" s="356" t="n">
        <v>-1429.75</v>
      </c>
      <c r="P38" s="356" t="n">
        <v>-2171.69</v>
      </c>
      <c r="Q38" s="356" t="n">
        <v>-3481.69</v>
      </c>
      <c r="R38" s="356" t="n">
        <v>-2890.45</v>
      </c>
      <c r="S38" s="356" t="n">
        <v>-1641.21</v>
      </c>
      <c r="T38" s="356" t="n">
        <v>-3225.51</v>
      </c>
      <c r="U38" s="356" t="n">
        <v>-2114.77</v>
      </c>
      <c r="V38" s="356" t="n">
        <v>-4403.67</v>
      </c>
      <c r="W38" s="356" t="n">
        <v>-4793.28</v>
      </c>
      <c r="X38" s="356" t="n">
        <v>-6446.31</v>
      </c>
      <c r="Y38" s="356" t="n">
        <v>-5315.52</v>
      </c>
      <c r="Z38" s="356" t="n">
        <v>-2999.58</v>
      </c>
      <c r="AA38" s="356" t="n">
        <v>-4162.2</v>
      </c>
      <c r="AB38" s="356" t="n">
        <v>-3697.25</v>
      </c>
      <c r="AC38" s="356" t="n">
        <v>-5095.53</v>
      </c>
      <c r="AD38" s="356" t="n">
        <v>-2202.97</v>
      </c>
      <c r="AE38" s="356" t="n">
        <f aca="false">SUM(B38:I38)</f>
        <v>0</v>
      </c>
      <c r="AF38" s="356" t="n">
        <f aca="false">SUM(J38:U38)</f>
        <v>-19159.99</v>
      </c>
      <c r="AG38" s="356" t="n">
        <f aca="false">SUM(V38:AD38)</f>
        <v>-39116.31</v>
      </c>
      <c r="AH38" s="356" t="n">
        <f aca="false">SUM(B38:AD38)</f>
        <v>-58276.3</v>
      </c>
    </row>
    <row r="39" customFormat="false" ht="15" hidden="false" customHeight="false" outlineLevel="0" collapsed="false">
      <c r="A39" s="345" t="s">
        <v>1522</v>
      </c>
      <c r="B39" s="358" t="n">
        <f aca="false">B37+B38</f>
        <v>0</v>
      </c>
      <c r="C39" s="358" t="n">
        <f aca="false">C37+C38</f>
        <v>0</v>
      </c>
      <c r="D39" s="358" t="n">
        <f aca="false">D37+D38</f>
        <v>0</v>
      </c>
      <c r="E39" s="358" t="n">
        <f aca="false">E37+E38</f>
        <v>0</v>
      </c>
      <c r="F39" s="358" t="n">
        <f aca="false">F37+F38</f>
        <v>0</v>
      </c>
      <c r="G39" s="358" t="n">
        <f aca="false">G37+G38</f>
        <v>0</v>
      </c>
      <c r="H39" s="358" t="n">
        <f aca="false">H37+H38</f>
        <v>0</v>
      </c>
      <c r="I39" s="358" t="n">
        <f aca="false">I37+I38</f>
        <v>0</v>
      </c>
      <c r="J39" s="358" t="n">
        <f aca="false">J37+J38</f>
        <v>0</v>
      </c>
      <c r="K39" s="358" t="n">
        <f aca="false">K37+K38</f>
        <v>11.11</v>
      </c>
      <c r="L39" s="358" t="n">
        <f aca="false">L37+L38</f>
        <v>0</v>
      </c>
      <c r="M39" s="358" t="n">
        <f aca="false">M37+M38</f>
        <v>0</v>
      </c>
      <c r="N39" s="358" t="n">
        <f aca="false">N37+N38</f>
        <v>2492.97</v>
      </c>
      <c r="O39" s="358" t="n">
        <f aca="false">O37+O38</f>
        <v>4122.29</v>
      </c>
      <c r="P39" s="358" t="n">
        <f aca="false">P37+P38</f>
        <v>5050.91</v>
      </c>
      <c r="Q39" s="358" t="n">
        <f aca="false">Q37+Q38</f>
        <v>6919.85</v>
      </c>
      <c r="R39" s="358" t="n">
        <f aca="false">R37+R38</f>
        <v>5921.07</v>
      </c>
      <c r="S39" s="358" t="n">
        <f aca="false">S37+S38</f>
        <v>3649.77</v>
      </c>
      <c r="T39" s="358" t="n">
        <f aca="false">T37+T38</f>
        <v>6113.63</v>
      </c>
      <c r="U39" s="358" t="n">
        <f aca="false">U37+U38</f>
        <v>6174.74</v>
      </c>
      <c r="V39" s="358" t="n">
        <f aca="false">V37+V38</f>
        <v>6595.67</v>
      </c>
      <c r="W39" s="358" t="n">
        <f aca="false">W37+W38</f>
        <v>8206.22</v>
      </c>
      <c r="X39" s="358" t="n">
        <f aca="false">X37+X38</f>
        <v>6483.3</v>
      </c>
      <c r="Y39" s="358" t="n">
        <f aca="false">Y37+Y38</f>
        <v>9775.99</v>
      </c>
      <c r="Z39" s="358" t="n">
        <f aca="false">Z37+Z38</f>
        <v>6759.95</v>
      </c>
      <c r="AA39" s="358" t="n">
        <f aca="false">AA37+AA38</f>
        <v>5701.94</v>
      </c>
      <c r="AB39" s="358" t="n">
        <f aca="false">AB37+AB38</f>
        <v>11262.38</v>
      </c>
      <c r="AC39" s="358" t="n">
        <f aca="false">AC37+AC38</f>
        <v>13087.91</v>
      </c>
      <c r="AD39" s="358" t="n">
        <f aca="false">AD37+AD38</f>
        <v>10624.48</v>
      </c>
      <c r="AE39" s="358" t="n">
        <f aca="false">AE37+AE38</f>
        <v>0</v>
      </c>
      <c r="AF39" s="358" t="n">
        <f aca="false">AF37+AF38</f>
        <v>40456.34</v>
      </c>
      <c r="AG39" s="358" t="n">
        <f aca="false">AG37+AG38</f>
        <v>78497.84</v>
      </c>
      <c r="AH39" s="358" t="n">
        <f aca="false">AH37+AH38</f>
        <v>118954.18</v>
      </c>
    </row>
    <row r="40" customFormat="false" ht="15" hidden="false" customHeight="false" outlineLevel="0" collapsed="false">
      <c r="A40" s="336" t="s">
        <v>1410</v>
      </c>
      <c r="B40" s="357" t="n">
        <f aca="false">IFERROR(B39/B37,0)</f>
        <v>0</v>
      </c>
      <c r="C40" s="357" t="n">
        <f aca="false">IFERROR(C39/C37,0)</f>
        <v>0</v>
      </c>
      <c r="D40" s="357" t="n">
        <f aca="false">IFERROR(D39/D37,0)</f>
        <v>0</v>
      </c>
      <c r="E40" s="357" t="n">
        <f aca="false">IFERROR(E39/E37,0)</f>
        <v>0</v>
      </c>
      <c r="F40" s="357" t="n">
        <f aca="false">IFERROR(F39/F37,0)</f>
        <v>0</v>
      </c>
      <c r="G40" s="357" t="n">
        <f aca="false">IFERROR(G39/G37,0)</f>
        <v>0</v>
      </c>
      <c r="H40" s="357" t="n">
        <f aca="false">IFERROR(H39/H37,0)</f>
        <v>0</v>
      </c>
      <c r="I40" s="357" t="n">
        <f aca="false">IFERROR(I39/I37,0)</f>
        <v>0</v>
      </c>
      <c r="J40" s="357" t="n">
        <f aca="false">IFERROR(J39/J37,0)</f>
        <v>0</v>
      </c>
      <c r="K40" s="357" t="n">
        <f aca="false">IFERROR(K39/K37,0)</f>
        <v>0.987555555555556</v>
      </c>
      <c r="L40" s="357" t="n">
        <f aca="false">IFERROR(L39/L37,0)</f>
        <v>0</v>
      </c>
      <c r="M40" s="357" t="n">
        <f aca="false">IFERROR(M39/M37,0)</f>
        <v>0</v>
      </c>
      <c r="N40" s="357" t="n">
        <f aca="false">IFERROR(N39/N37,0)</f>
        <v>0.530673194614443</v>
      </c>
      <c r="O40" s="357" t="n">
        <f aca="false">IFERROR(O39/O37,0)</f>
        <v>0.742482042636581</v>
      </c>
      <c r="P40" s="357" t="n">
        <f aca="false">IFERROR(P39/P37,0)</f>
        <v>0.699320189405477</v>
      </c>
      <c r="Q40" s="357" t="n">
        <f aca="false">IFERROR(Q39/Q37,0)</f>
        <v>0.665271680924171</v>
      </c>
      <c r="R40" s="357" t="n">
        <f aca="false">IFERROR(R39/R37,0)</f>
        <v>0.671969194872167</v>
      </c>
      <c r="S40" s="357" t="n">
        <f aca="false">IFERROR(S39/S37,0)</f>
        <v>0.689809827290975</v>
      </c>
      <c r="T40" s="357" t="n">
        <f aca="false">IFERROR(T39/T37,0)</f>
        <v>0.654624515747703</v>
      </c>
      <c r="U40" s="357" t="n">
        <f aca="false">IFERROR(U39/U37,0)</f>
        <v>0.744886006531146</v>
      </c>
      <c r="V40" s="357" t="n">
        <f aca="false">IFERROR(V39/V37,0)</f>
        <v>0.599642342176894</v>
      </c>
      <c r="W40" s="357" t="n">
        <f aca="false">IFERROR(W39/W37,0)</f>
        <v>0.631271971998923</v>
      </c>
      <c r="X40" s="357" t="n">
        <f aca="false">IFERROR(X39/X37,0)</f>
        <v>0.501430437577004</v>
      </c>
      <c r="Y40" s="357" t="n">
        <f aca="false">IFERROR(Y39/Y37,0)</f>
        <v>0.64778077210299</v>
      </c>
      <c r="Z40" s="357" t="n">
        <f aca="false">IFERROR(Z39/Z37,0)</f>
        <v>0.692651182997542</v>
      </c>
      <c r="AA40" s="357" t="n">
        <f aca="false">IFERROR(AA39/AA37,0)</f>
        <v>0.578047351314965</v>
      </c>
      <c r="AB40" s="357" t="n">
        <f aca="false">IFERROR(AB39/AB37,0)</f>
        <v>0.752851507691033</v>
      </c>
      <c r="AC40" s="357" t="n">
        <f aca="false">IFERROR(AC39/AC37,0)</f>
        <v>0.719770846440498</v>
      </c>
      <c r="AD40" s="357" t="n">
        <f aca="false">IFERROR(AD39/AD37,0)</f>
        <v>0.828261267827978</v>
      </c>
      <c r="AE40" s="357" t="n">
        <f aca="false">IFERROR(AE39/AE37,0)</f>
        <v>0</v>
      </c>
      <c r="AF40" s="357" t="n">
        <f aca="false">IFERROR(AF39/AF37,0)</f>
        <v>0.678611715950982</v>
      </c>
      <c r="AG40" s="357" t="n">
        <f aca="false">IFERROR(AG39/AG37,0)</f>
        <v>0.667418333593364</v>
      </c>
      <c r="AH40" s="357" t="n">
        <f aca="false">IFERROR(AH39/AH37,0)</f>
        <v>0.671183534570352</v>
      </c>
    </row>
    <row r="41" customFormat="false" ht="15" hidden="false" customHeight="false" outlineLevel="0" collapsed="false">
      <c r="A41" s="336" t="s">
        <v>1523</v>
      </c>
      <c r="B41" s="356" t="n">
        <v>0</v>
      </c>
      <c r="C41" s="356" t="n">
        <v>0</v>
      </c>
      <c r="D41" s="356" t="n">
        <v>0</v>
      </c>
      <c r="E41" s="356" t="n">
        <v>0</v>
      </c>
      <c r="F41" s="356" t="n">
        <v>0</v>
      </c>
      <c r="G41" s="356" t="n">
        <v>0</v>
      </c>
      <c r="H41" s="356" t="n">
        <v>0</v>
      </c>
      <c r="I41" s="356" t="n">
        <v>-3343.86</v>
      </c>
      <c r="J41" s="356" t="n">
        <v>-3867.35</v>
      </c>
      <c r="K41" s="356" t="n">
        <v>-4246.37</v>
      </c>
      <c r="L41" s="356" t="n">
        <v>-4739.72</v>
      </c>
      <c r="M41" s="356" t="n">
        <v>-4398.67</v>
      </c>
      <c r="N41" s="356" t="n">
        <v>-5225.66</v>
      </c>
      <c r="O41" s="356" t="n">
        <v>-5175.01</v>
      </c>
      <c r="P41" s="356" t="n">
        <v>-6129.32</v>
      </c>
      <c r="Q41" s="356" t="n">
        <v>-5516.14</v>
      </c>
      <c r="R41" s="356" t="n">
        <v>-5194.78</v>
      </c>
      <c r="S41" s="356" t="n">
        <v>-6578.06</v>
      </c>
      <c r="T41" s="356" t="n">
        <v>-3564.09</v>
      </c>
      <c r="U41" s="356" t="n">
        <v>-4625.3</v>
      </c>
      <c r="V41" s="356" t="n">
        <v>-3682.34</v>
      </c>
      <c r="W41" s="356" t="n">
        <v>-4674.79</v>
      </c>
      <c r="X41" s="356" t="n">
        <v>-4826.15</v>
      </c>
      <c r="Y41" s="356" t="n">
        <v>-4665.04</v>
      </c>
      <c r="Z41" s="356" t="n">
        <v>-4075.1</v>
      </c>
      <c r="AA41" s="356" t="n">
        <v>-3548.08</v>
      </c>
      <c r="AB41" s="356" t="n">
        <v>-5800.95</v>
      </c>
      <c r="AC41" s="356" t="n">
        <v>-5053.54</v>
      </c>
      <c r="AD41" s="356" t="n">
        <v>-5852.41</v>
      </c>
      <c r="AE41" s="356" t="n">
        <f aca="false">SUM(B41:I41)</f>
        <v>-3343.86</v>
      </c>
      <c r="AF41" s="356" t="n">
        <f aca="false">SUM(J41:U41)</f>
        <v>-59260.47</v>
      </c>
      <c r="AG41" s="356" t="n">
        <f aca="false">SUM(V41:AD41)</f>
        <v>-42178.4</v>
      </c>
      <c r="AH41" s="356" t="n">
        <f aca="false">SUM(B41:AD41)</f>
        <v>-104782.73</v>
      </c>
    </row>
    <row r="42" customFormat="false" ht="15" hidden="false" customHeight="false" outlineLevel="0" collapsed="false">
      <c r="A42" s="336" t="s">
        <v>1524</v>
      </c>
      <c r="B42" s="356" t="n">
        <v>0</v>
      </c>
      <c r="C42" s="356" t="n">
        <v>0</v>
      </c>
      <c r="D42" s="356" t="n">
        <v>0</v>
      </c>
      <c r="E42" s="356" t="n">
        <v>0</v>
      </c>
      <c r="F42" s="356" t="n">
        <v>0</v>
      </c>
      <c r="G42" s="356" t="n">
        <v>0</v>
      </c>
      <c r="H42" s="356" t="n">
        <v>0</v>
      </c>
      <c r="I42" s="356" t="n">
        <v>-1302.54</v>
      </c>
      <c r="J42" s="356" t="n">
        <v>-1773.78</v>
      </c>
      <c r="K42" s="356" t="n">
        <v>0</v>
      </c>
      <c r="L42" s="356" t="n">
        <v>-1490.17</v>
      </c>
      <c r="M42" s="356" t="n">
        <v>-1490.17</v>
      </c>
      <c r="N42" s="356" t="n">
        <v>-3027.44</v>
      </c>
      <c r="O42" s="356" t="n">
        <v>-1500.27</v>
      </c>
      <c r="P42" s="356" t="n">
        <v>-1500.27</v>
      </c>
      <c r="Q42" s="356" t="n">
        <v>-1500.27</v>
      </c>
      <c r="R42" s="356" t="n">
        <v>-1622.26</v>
      </c>
      <c r="S42" s="356" t="n">
        <v>-1578.26</v>
      </c>
      <c r="T42" s="356" t="n">
        <v>-1781.97</v>
      </c>
      <c r="U42" s="356" t="n">
        <v>-1557.47</v>
      </c>
      <c r="V42" s="356" t="n">
        <v>-1557.47</v>
      </c>
      <c r="W42" s="356" t="n">
        <v>-1557.47</v>
      </c>
      <c r="X42" s="356" t="n">
        <v>-1565.97</v>
      </c>
      <c r="Y42" s="356" t="n">
        <v>-1557.47</v>
      </c>
      <c r="Z42" s="356" t="n">
        <v>-1607.82</v>
      </c>
      <c r="AA42" s="356" t="n">
        <v>-1557.47</v>
      </c>
      <c r="AB42" s="356" t="n">
        <v>-1557.47</v>
      </c>
      <c r="AC42" s="356" t="n">
        <v>-1618.71</v>
      </c>
      <c r="AD42" s="356" t="n">
        <v>-1483.92</v>
      </c>
      <c r="AE42" s="356" t="n">
        <f aca="false">SUM(B42:I42)</f>
        <v>-1302.54</v>
      </c>
      <c r="AF42" s="356" t="n">
        <f aca="false">SUM(J42:U42)</f>
        <v>-18822.33</v>
      </c>
      <c r="AG42" s="356" t="n">
        <f aca="false">SUM(V42:AD42)</f>
        <v>-14063.77</v>
      </c>
      <c r="AH42" s="356" t="n">
        <f aca="false">SUM(B42:AD42)</f>
        <v>-34188.64</v>
      </c>
    </row>
    <row r="43" customFormat="false" ht="15" hidden="false" customHeight="false" outlineLevel="0" collapsed="false">
      <c r="A43" s="336" t="s">
        <v>1525</v>
      </c>
      <c r="B43" s="356" t="n">
        <v>0</v>
      </c>
      <c r="C43" s="356" t="n">
        <v>0</v>
      </c>
      <c r="D43" s="356" t="n">
        <v>0</v>
      </c>
      <c r="E43" s="356" t="n">
        <v>0</v>
      </c>
      <c r="F43" s="356" t="n">
        <v>0</v>
      </c>
      <c r="G43" s="356" t="n">
        <v>0</v>
      </c>
      <c r="H43" s="356" t="n">
        <v>-612.9</v>
      </c>
      <c r="I43" s="356" t="n">
        <v>-180</v>
      </c>
      <c r="J43" s="356" t="n">
        <v>-390.84</v>
      </c>
      <c r="K43" s="356" t="n">
        <v>-400.56</v>
      </c>
      <c r="L43" s="356" t="n">
        <v>-301.42</v>
      </c>
      <c r="M43" s="356" t="n">
        <v>-432.5</v>
      </c>
      <c r="N43" s="356" t="n">
        <v>-411.27</v>
      </c>
      <c r="O43" s="356" t="n">
        <v>-702.92</v>
      </c>
      <c r="P43" s="356" t="n">
        <v>-787.87</v>
      </c>
      <c r="Q43" s="356" t="n">
        <v>-2077.72</v>
      </c>
      <c r="R43" s="356" t="n">
        <v>-1598.38</v>
      </c>
      <c r="S43" s="356" t="n">
        <v>-1330.84</v>
      </c>
      <c r="T43" s="356" t="n">
        <v>-1272.78</v>
      </c>
      <c r="U43" s="356" t="n">
        <v>-887.68</v>
      </c>
      <c r="V43" s="356" t="n">
        <v>-1591.93</v>
      </c>
      <c r="W43" s="356" t="n">
        <v>-1136.96</v>
      </c>
      <c r="X43" s="356" t="n">
        <v>-1227.65</v>
      </c>
      <c r="Y43" s="356" t="n">
        <v>-908.5</v>
      </c>
      <c r="Z43" s="356" t="n">
        <v>-1306.14</v>
      </c>
      <c r="AA43" s="356" t="n">
        <v>-1250.81</v>
      </c>
      <c r="AB43" s="356" t="n">
        <v>-1354.65</v>
      </c>
      <c r="AC43" s="356" t="n">
        <v>-831.44</v>
      </c>
      <c r="AD43" s="356" t="n">
        <v>-336.44</v>
      </c>
      <c r="AE43" s="356" t="n">
        <f aca="false">SUM(B43:I43)</f>
        <v>-792.9</v>
      </c>
      <c r="AF43" s="356" t="n">
        <f aca="false">SUM(J43:U43)</f>
        <v>-10594.78</v>
      </c>
      <c r="AG43" s="356" t="n">
        <f aca="false">SUM(V43:AD43)</f>
        <v>-9944.52</v>
      </c>
      <c r="AH43" s="356" t="n">
        <f aca="false">SUM(B43:AD43)</f>
        <v>-21332.2</v>
      </c>
    </row>
    <row r="44" customFormat="false" ht="15" hidden="false" customHeight="false" outlineLevel="0" collapsed="false">
      <c r="A44" s="361" t="s">
        <v>136</v>
      </c>
      <c r="B44" s="362" t="n">
        <f aca="false">B39+B41+B42+B43</f>
        <v>0</v>
      </c>
      <c r="C44" s="362" t="n">
        <f aca="false">C39+C41+C42+C43</f>
        <v>0</v>
      </c>
      <c r="D44" s="362" t="n">
        <f aca="false">D39+D41+D42+D43</f>
        <v>0</v>
      </c>
      <c r="E44" s="362" t="n">
        <f aca="false">E39+E41+E42+E43</f>
        <v>0</v>
      </c>
      <c r="F44" s="362" t="n">
        <f aca="false">F39+F41+F42+F43</f>
        <v>0</v>
      </c>
      <c r="G44" s="362" t="n">
        <f aca="false">G39+G41+G42+G43</f>
        <v>0</v>
      </c>
      <c r="H44" s="362" t="n">
        <f aca="false">H39+H41+H42+H43</f>
        <v>-612.9</v>
      </c>
      <c r="I44" s="362" t="n">
        <f aca="false">I39+I41+I42+I43</f>
        <v>-4826.4</v>
      </c>
      <c r="J44" s="362" t="n">
        <f aca="false">J39+J41+J42+J43</f>
        <v>-6031.97</v>
      </c>
      <c r="K44" s="362" t="n">
        <f aca="false">K39+K41+K42+K43</f>
        <v>-4635.82</v>
      </c>
      <c r="L44" s="362" t="n">
        <f aca="false">L39+L41+L42+L43</f>
        <v>-6531.31</v>
      </c>
      <c r="M44" s="362" t="n">
        <f aca="false">M39+M41+M42+M43</f>
        <v>-6321.34</v>
      </c>
      <c r="N44" s="362" t="n">
        <f aca="false">N39+N41+N42+N43</f>
        <v>-6171.4</v>
      </c>
      <c r="O44" s="362" t="n">
        <f aca="false">O39+O41+O42+O43</f>
        <v>-3255.91</v>
      </c>
      <c r="P44" s="362" t="n">
        <f aca="false">P39+P41+P42+P43</f>
        <v>-3366.55</v>
      </c>
      <c r="Q44" s="362" t="n">
        <f aca="false">Q39+Q41+Q42+Q43</f>
        <v>-2174.28</v>
      </c>
      <c r="R44" s="362" t="n">
        <f aca="false">R39+R41+R42+R43</f>
        <v>-2494.35</v>
      </c>
      <c r="S44" s="362" t="n">
        <f aca="false">S39+S41+S42+S43</f>
        <v>-5837.39</v>
      </c>
      <c r="T44" s="362" t="n">
        <f aca="false">T39+T41+T42+T43</f>
        <v>-505.210000000001</v>
      </c>
      <c r="U44" s="362" t="n">
        <f aca="false">U39+U41+U42+U43</f>
        <v>-895.71</v>
      </c>
      <c r="V44" s="362" t="n">
        <f aca="false">V39+V41+V42+V43</f>
        <v>-236.07</v>
      </c>
      <c r="W44" s="362" t="n">
        <f aca="false">W39+W41+W42+W43</f>
        <v>837.000000000001</v>
      </c>
      <c r="X44" s="362" t="n">
        <f aca="false">X39+X41+X42+X43</f>
        <v>-1136.47</v>
      </c>
      <c r="Y44" s="362" t="n">
        <f aca="false">Y39+Y41+Y42+Y43</f>
        <v>2644.98</v>
      </c>
      <c r="Z44" s="362" t="n">
        <f aca="false">Z39+Z41+Z42+Z43</f>
        <v>-229.110000000001</v>
      </c>
      <c r="AA44" s="362" t="n">
        <f aca="false">AA39+AA41+AA42+AA43</f>
        <v>-654.419999999999</v>
      </c>
      <c r="AB44" s="362" t="n">
        <f aca="false">AB39+AB41+AB42+AB43</f>
        <v>2549.31</v>
      </c>
      <c r="AC44" s="362" t="n">
        <f aca="false">AC39+AC41+AC42+AC43</f>
        <v>5584.22</v>
      </c>
      <c r="AD44" s="362" t="n">
        <f aca="false">AD39+AD41+AD42+AD43</f>
        <v>2951.71</v>
      </c>
      <c r="AE44" s="362" t="n">
        <f aca="false">AE39+AE41+AE42+AE43</f>
        <v>-5439.3</v>
      </c>
      <c r="AF44" s="362" t="n">
        <f aca="false">AF39+AF41+AF42+AF43</f>
        <v>-48221.24</v>
      </c>
      <c r="AG44" s="362" t="n">
        <f aca="false">AG39+AG41+AG42+AG43</f>
        <v>12311.15</v>
      </c>
      <c r="AH44" s="362" t="n">
        <f aca="false">AH39+AH41+AH42+AH43</f>
        <v>-41349.39</v>
      </c>
    </row>
    <row r="45" customFormat="false" ht="15" hidden="false" customHeight="false" outlineLevel="0" collapsed="false">
      <c r="A45" s="336" t="s">
        <v>1526</v>
      </c>
      <c r="B45" s="357" t="n">
        <f aca="false">IFERROR(B44/B37,0)</f>
        <v>0</v>
      </c>
      <c r="C45" s="357" t="n">
        <f aca="false">IFERROR(C44/C37,0)</f>
        <v>0</v>
      </c>
      <c r="D45" s="357" t="n">
        <f aca="false">IFERROR(D44/D37,0)</f>
        <v>0</v>
      </c>
      <c r="E45" s="357" t="n">
        <f aca="false">IFERROR(E44/E37,0)</f>
        <v>0</v>
      </c>
      <c r="F45" s="357" t="n">
        <f aca="false">IFERROR(F44/F37,0)</f>
        <v>0</v>
      </c>
      <c r="G45" s="357" t="n">
        <f aca="false">IFERROR(G44/G37,0)</f>
        <v>0</v>
      </c>
      <c r="H45" s="357" t="n">
        <f aca="false">IFERROR(H44/H37,0)</f>
        <v>0</v>
      </c>
      <c r="I45" s="357" t="n">
        <f aca="false">IFERROR(I44/I37,0)</f>
        <v>0</v>
      </c>
      <c r="J45" s="357" t="n">
        <f aca="false">IFERROR(J44/J37,0)</f>
        <v>0</v>
      </c>
      <c r="K45" s="357" t="n">
        <f aca="false">IFERROR(K44/K37,0)</f>
        <v>-412.072888888889</v>
      </c>
      <c r="L45" s="357" t="n">
        <f aca="false">IFERROR(L44/L37,0)</f>
        <v>0</v>
      </c>
      <c r="M45" s="357" t="n">
        <f aca="false">IFERROR(M44/M37,0)</f>
        <v>0</v>
      </c>
      <c r="N45" s="357" t="n">
        <f aca="false">IFERROR(N44/N37,0)</f>
        <v>-1.31369272524081</v>
      </c>
      <c r="O45" s="357" t="n">
        <f aca="false">IFERROR(O44/O37,0)</f>
        <v>-0.58643489600219</v>
      </c>
      <c r="P45" s="357" t="n">
        <f aca="false">IFERROR(P44/P37,0)</f>
        <v>-0.46611331099604</v>
      </c>
      <c r="Q45" s="357" t="n">
        <f aca="false">IFERROR(Q44/Q37,0)</f>
        <v>-0.20903443143996</v>
      </c>
      <c r="R45" s="357" t="n">
        <f aca="false">IFERROR(R44/R37,0)</f>
        <v>-0.283078288422429</v>
      </c>
      <c r="S45" s="357" t="n">
        <f aca="false">IFERROR(S44/S37,0)</f>
        <v>-1.10327198364008</v>
      </c>
      <c r="T45" s="357" t="n">
        <f aca="false">IFERROR(T44/T37,0)</f>
        <v>-0.0540959874249664</v>
      </c>
      <c r="U45" s="357" t="n">
        <f aca="false">IFERROR(U44/U37,0)</f>
        <v>-0.108053431384967</v>
      </c>
      <c r="V45" s="357" t="n">
        <f aca="false">IFERROR(V44/V37,0)</f>
        <v>-0.0214621968227185</v>
      </c>
      <c r="W45" s="357" t="n">
        <f aca="false">IFERROR(W44/W37,0)</f>
        <v>0.0643870918112236</v>
      </c>
      <c r="X45" s="357" t="n">
        <f aca="false">IFERROR(X44/X37,0)</f>
        <v>-0.0878966960333683</v>
      </c>
      <c r="Y45" s="357" t="n">
        <f aca="false">IFERROR(Y44/Y37,0)</f>
        <v>0.175262780198933</v>
      </c>
      <c r="Z45" s="357" t="n">
        <f aca="false">IFERROR(Z44/Z37,0)</f>
        <v>-0.0234755157266796</v>
      </c>
      <c r="AA45" s="357" t="n">
        <f aca="false">IFERROR(AA44/AA37,0)</f>
        <v>-0.0663433406257412</v>
      </c>
      <c r="AB45" s="357" t="n">
        <f aca="false">IFERROR(AB44/AB37,0)</f>
        <v>0.170412637210947</v>
      </c>
      <c r="AC45" s="357" t="n">
        <f aca="false">IFERROR(AC44/AC37,0)</f>
        <v>0.307104706260202</v>
      </c>
      <c r="AD45" s="357" t="n">
        <f aca="false">IFERROR(AD44/AD37,0)</f>
        <v>0.230108868091476</v>
      </c>
      <c r="AE45" s="357" t="n">
        <f aca="false">IFERROR(AE44/AE37,0)</f>
        <v>0</v>
      </c>
      <c r="AF45" s="357" t="n">
        <f aca="false">IFERROR(AF44/AF37,0)</f>
        <v>-0.808859585955727</v>
      </c>
      <c r="AG45" s="357" t="n">
        <f aca="false">IFERROR(AG44/AG37,0)</f>
        <v>0.104674054950021</v>
      </c>
      <c r="AH45" s="357" t="n">
        <f aca="false">IFERROR(AH44/AH37,0)</f>
        <v>-0.233308570850793</v>
      </c>
    </row>
    <row r="46" customFormat="false" ht="15" hidden="false" customHeight="false" outlineLevel="0" collapsed="false">
      <c r="A46" s="336" t="s">
        <v>1527</v>
      </c>
      <c r="B46" s="356" t="n">
        <v>0</v>
      </c>
      <c r="C46" s="356" t="n">
        <v>0</v>
      </c>
      <c r="D46" s="356" t="n">
        <v>0</v>
      </c>
      <c r="E46" s="356" t="n">
        <v>0</v>
      </c>
      <c r="F46" s="356" t="n">
        <v>0</v>
      </c>
      <c r="G46" s="356" t="n">
        <v>0</v>
      </c>
      <c r="H46" s="356" t="n">
        <v>-3.26</v>
      </c>
      <c r="I46" s="356" t="n">
        <v>-54.91</v>
      </c>
      <c r="J46" s="356" t="n">
        <v>-243.25</v>
      </c>
      <c r="K46" s="356" t="n">
        <v>-264.39</v>
      </c>
      <c r="L46" s="356" t="n">
        <v>-1316.67</v>
      </c>
      <c r="M46" s="356" t="n">
        <v>-1469.82</v>
      </c>
      <c r="N46" s="356" t="n">
        <v>-1594.76</v>
      </c>
      <c r="O46" s="356" t="n">
        <v>-1596.08</v>
      </c>
      <c r="P46" s="356" t="n">
        <v>-1596.14</v>
      </c>
      <c r="Q46" s="356" t="n">
        <v>-1596.34</v>
      </c>
      <c r="R46" s="356" t="n">
        <v>-1597.25</v>
      </c>
      <c r="S46" s="356" t="n">
        <v>-1597.27</v>
      </c>
      <c r="T46" s="356" t="n">
        <v>-1597.24</v>
      </c>
      <c r="U46" s="356" t="n">
        <v>-1597.28</v>
      </c>
      <c r="V46" s="356" t="n">
        <v>-1597.04</v>
      </c>
      <c r="W46" s="356" t="n">
        <v>-1597.04</v>
      </c>
      <c r="X46" s="356" t="n">
        <v>-1597.02</v>
      </c>
      <c r="Y46" s="356" t="n">
        <v>-1597.04</v>
      </c>
      <c r="Z46" s="356" t="n">
        <v>-1604.39</v>
      </c>
      <c r="AA46" s="356" t="n">
        <v>-1618.19</v>
      </c>
      <c r="AB46" s="356" t="n">
        <v>-1618.73</v>
      </c>
      <c r="AC46" s="356" t="n">
        <v>-1601.6</v>
      </c>
      <c r="AD46" s="356" t="n">
        <v>-1601.57</v>
      </c>
      <c r="AE46" s="356" t="n">
        <f aca="false">SUM(B46:I46)</f>
        <v>-58.17</v>
      </c>
      <c r="AF46" s="356" t="n">
        <f aca="false">SUM(J46:U46)</f>
        <v>-16066.49</v>
      </c>
      <c r="AG46" s="356" t="n">
        <f aca="false">SUM(V46:AD46)</f>
        <v>-14432.62</v>
      </c>
      <c r="AH46" s="356" t="n">
        <f aca="false">SUM(B46:AD46)</f>
        <v>-30557.28</v>
      </c>
    </row>
    <row r="47" customFormat="false" ht="15" hidden="false" customHeight="false" outlineLevel="0" collapsed="false">
      <c r="A47" s="345" t="s">
        <v>1528</v>
      </c>
      <c r="B47" s="358" t="n">
        <f aca="false">B44+B46</f>
        <v>0</v>
      </c>
      <c r="C47" s="358" t="n">
        <f aca="false">C44+C46</f>
        <v>0</v>
      </c>
      <c r="D47" s="358" t="n">
        <f aca="false">D44+D46</f>
        <v>0</v>
      </c>
      <c r="E47" s="358" t="n">
        <f aca="false">E44+E46</f>
        <v>0</v>
      </c>
      <c r="F47" s="358" t="n">
        <f aca="false">F44+F46</f>
        <v>0</v>
      </c>
      <c r="G47" s="358" t="n">
        <f aca="false">G44+G46</f>
        <v>0</v>
      </c>
      <c r="H47" s="358" t="n">
        <f aca="false">H44+H46</f>
        <v>-616.16</v>
      </c>
      <c r="I47" s="358" t="n">
        <f aca="false">I44+I46</f>
        <v>-4881.31</v>
      </c>
      <c r="J47" s="358" t="n">
        <f aca="false">J44+J46</f>
        <v>-6275.22</v>
      </c>
      <c r="K47" s="358" t="n">
        <f aca="false">K44+K46</f>
        <v>-4900.21</v>
      </c>
      <c r="L47" s="358" t="n">
        <f aca="false">L44+L46</f>
        <v>-7847.98</v>
      </c>
      <c r="M47" s="358" t="n">
        <f aca="false">M44+M46</f>
        <v>-7791.16</v>
      </c>
      <c r="N47" s="358" t="n">
        <f aca="false">N44+N46</f>
        <v>-7766.16</v>
      </c>
      <c r="O47" s="358" t="n">
        <f aca="false">O44+O46</f>
        <v>-4851.99</v>
      </c>
      <c r="P47" s="358" t="n">
        <f aca="false">P44+P46</f>
        <v>-4962.69</v>
      </c>
      <c r="Q47" s="358" t="n">
        <f aca="false">Q44+Q46</f>
        <v>-3770.62</v>
      </c>
      <c r="R47" s="358" t="n">
        <f aca="false">R44+R46</f>
        <v>-4091.6</v>
      </c>
      <c r="S47" s="358" t="n">
        <f aca="false">S44+S46</f>
        <v>-7434.66</v>
      </c>
      <c r="T47" s="358" t="n">
        <f aca="false">T44+T46</f>
        <v>-2102.45</v>
      </c>
      <c r="U47" s="358" t="n">
        <f aca="false">U44+U46</f>
        <v>-2492.99</v>
      </c>
      <c r="V47" s="358" t="n">
        <f aca="false">V44+V46</f>
        <v>-1833.11</v>
      </c>
      <c r="W47" s="358" t="n">
        <f aca="false">W44+W46</f>
        <v>-760.039999999999</v>
      </c>
      <c r="X47" s="358" t="n">
        <f aca="false">X44+X46</f>
        <v>-2733.49</v>
      </c>
      <c r="Y47" s="358" t="n">
        <f aca="false">Y44+Y46</f>
        <v>1047.94</v>
      </c>
      <c r="Z47" s="358" t="n">
        <f aca="false">Z44+Z46</f>
        <v>-1833.5</v>
      </c>
      <c r="AA47" s="358" t="n">
        <f aca="false">AA44+AA46</f>
        <v>-2272.61</v>
      </c>
      <c r="AB47" s="358" t="n">
        <f aca="false">AB44+AB46</f>
        <v>930.580000000001</v>
      </c>
      <c r="AC47" s="358" t="n">
        <f aca="false">AC44+AC46</f>
        <v>3982.62</v>
      </c>
      <c r="AD47" s="358" t="n">
        <f aca="false">AD44+AD46</f>
        <v>1350.14</v>
      </c>
      <c r="AE47" s="358" t="n">
        <f aca="false">AE44+AE46</f>
        <v>-5497.47</v>
      </c>
      <c r="AF47" s="358" t="n">
        <f aca="false">AF44+AF46</f>
        <v>-64287.73</v>
      </c>
      <c r="AG47" s="358" t="n">
        <f aca="false">AG44+AG46</f>
        <v>-2121.47</v>
      </c>
      <c r="AH47" s="358" t="n">
        <f aca="false">AH44+AH46</f>
        <v>-71906.67</v>
      </c>
    </row>
    <row r="49" customFormat="false" ht="15" hidden="false" customHeight="false" outlineLevel="0" collapsed="false">
      <c r="A49" s="339" t="s">
        <v>689</v>
      </c>
      <c r="B49" s="353"/>
      <c r="C49" s="353"/>
      <c r="D49" s="353"/>
      <c r="E49" s="353"/>
      <c r="F49" s="353"/>
      <c r="G49" s="353"/>
      <c r="H49" s="353"/>
      <c r="I49" s="353"/>
      <c r="J49" s="353"/>
      <c r="K49" s="353"/>
      <c r="L49" s="353"/>
      <c r="M49" s="353"/>
      <c r="N49" s="353"/>
      <c r="O49" s="353"/>
      <c r="P49" s="353"/>
      <c r="Q49" s="353"/>
      <c r="R49" s="353"/>
      <c r="S49" s="353"/>
      <c r="T49" s="353"/>
      <c r="U49" s="353"/>
      <c r="V49" s="353"/>
      <c r="W49" s="353"/>
      <c r="X49" s="353"/>
      <c r="Y49" s="353"/>
      <c r="Z49" s="353"/>
      <c r="AA49" s="353"/>
      <c r="AB49" s="353"/>
      <c r="AC49" s="353"/>
      <c r="AD49" s="353"/>
      <c r="AE49" s="353"/>
      <c r="AF49" s="353"/>
      <c r="AG49" s="353"/>
      <c r="AH49" s="353"/>
    </row>
    <row r="50" customFormat="false" ht="15" hidden="false" customHeight="false" outlineLevel="0" collapsed="false">
      <c r="A50" s="336" t="s">
        <v>1519</v>
      </c>
      <c r="B50" s="356" t="n">
        <v>0</v>
      </c>
      <c r="C50" s="356" t="n">
        <v>0</v>
      </c>
      <c r="D50" s="356" t="n">
        <v>0</v>
      </c>
      <c r="E50" s="356" t="n">
        <v>0</v>
      </c>
      <c r="F50" s="356" t="n">
        <v>0</v>
      </c>
      <c r="G50" s="356" t="n">
        <v>0</v>
      </c>
      <c r="H50" s="356" t="n">
        <v>0</v>
      </c>
      <c r="I50" s="356" t="n">
        <v>0</v>
      </c>
      <c r="J50" s="356" t="n">
        <v>0</v>
      </c>
      <c r="K50" s="356" t="n">
        <v>3067.76</v>
      </c>
      <c r="L50" s="356" t="n">
        <v>1422.73</v>
      </c>
      <c r="M50" s="356" t="n">
        <v>1916.54</v>
      </c>
      <c r="N50" s="356" t="n">
        <v>942.18</v>
      </c>
      <c r="O50" s="356" t="n">
        <v>3586.28</v>
      </c>
      <c r="P50" s="356" t="n">
        <v>2117.45</v>
      </c>
      <c r="Q50" s="356" t="n">
        <v>5949.23</v>
      </c>
      <c r="R50" s="356" t="n">
        <v>6376.07</v>
      </c>
      <c r="S50" s="356" t="n">
        <v>4038.99</v>
      </c>
      <c r="T50" s="356" t="n">
        <v>5898.2</v>
      </c>
      <c r="U50" s="356" t="n">
        <v>8175.08</v>
      </c>
      <c r="V50" s="356" t="n">
        <v>11316.23</v>
      </c>
      <c r="W50" s="356" t="n">
        <v>9157.54</v>
      </c>
      <c r="X50" s="356" t="n">
        <v>7170.46</v>
      </c>
      <c r="Y50" s="356" t="n">
        <v>6516.99</v>
      </c>
      <c r="Z50" s="356" t="n">
        <v>6661.77</v>
      </c>
      <c r="AA50" s="356" t="n">
        <v>7174.6</v>
      </c>
      <c r="AB50" s="356" t="n">
        <v>11732.76</v>
      </c>
      <c r="AC50" s="356" t="n">
        <v>6465.88</v>
      </c>
      <c r="AD50" s="356" t="n">
        <v>4266.8</v>
      </c>
      <c r="AE50" s="356" t="n">
        <f aca="false">SUM(B50:I50)</f>
        <v>0</v>
      </c>
      <c r="AF50" s="356" t="n">
        <f aca="false">SUM(J50:U50)</f>
        <v>43490.51</v>
      </c>
      <c r="AG50" s="356" t="n">
        <f aca="false">SUM(V50:AD50)</f>
        <v>70463.03</v>
      </c>
      <c r="AH50" s="356" t="n">
        <f aca="false">SUM(B50:AD50)</f>
        <v>113953.54</v>
      </c>
    </row>
    <row r="51" customFormat="false" ht="15" hidden="false" customHeight="false" outlineLevel="0" collapsed="false">
      <c r="A51" s="336" t="s">
        <v>1520</v>
      </c>
      <c r="B51" s="356" t="n">
        <v>0</v>
      </c>
      <c r="C51" s="356" t="n">
        <v>0</v>
      </c>
      <c r="D51" s="356" t="n">
        <v>0</v>
      </c>
      <c r="E51" s="356" t="n">
        <v>0</v>
      </c>
      <c r="F51" s="356" t="n">
        <v>0</v>
      </c>
      <c r="G51" s="356" t="n">
        <v>0</v>
      </c>
      <c r="H51" s="356" t="n">
        <v>0</v>
      </c>
      <c r="I51" s="356" t="n">
        <v>0</v>
      </c>
      <c r="J51" s="356" t="n">
        <v>0</v>
      </c>
      <c r="K51" s="356" t="n">
        <v>-148</v>
      </c>
      <c r="L51" s="356" t="n">
        <v>-37.94</v>
      </c>
      <c r="M51" s="356" t="n">
        <v>-317.63</v>
      </c>
      <c r="N51" s="356" t="n">
        <v>-50.62</v>
      </c>
      <c r="O51" s="356" t="n">
        <v>-351.92</v>
      </c>
      <c r="P51" s="356" t="n">
        <v>-250.76</v>
      </c>
      <c r="Q51" s="356" t="n">
        <v>-451.98</v>
      </c>
      <c r="R51" s="356" t="n">
        <v>-484.58</v>
      </c>
      <c r="S51" s="356" t="n">
        <v>37.32</v>
      </c>
      <c r="T51" s="356" t="n">
        <v>-33.18</v>
      </c>
      <c r="U51" s="356" t="n">
        <v>-245.11</v>
      </c>
      <c r="V51" s="356" t="n">
        <v>-295.8</v>
      </c>
      <c r="W51" s="356" t="n">
        <v>-322.75</v>
      </c>
      <c r="X51" s="356" t="n">
        <v>-228</v>
      </c>
      <c r="Y51" s="356" t="n">
        <v>-286.75</v>
      </c>
      <c r="Z51" s="356" t="n">
        <v>-276.69</v>
      </c>
      <c r="AA51" s="356" t="n">
        <v>-856.08</v>
      </c>
      <c r="AB51" s="356" t="n">
        <v>-884.7</v>
      </c>
      <c r="AC51" s="356" t="n">
        <v>-606.87</v>
      </c>
      <c r="AD51" s="356" t="n">
        <v>-75.09</v>
      </c>
      <c r="AE51" s="356" t="n">
        <f aca="false">SUM(B51:I51)</f>
        <v>0</v>
      </c>
      <c r="AF51" s="356" t="n">
        <f aca="false">SUM(J51:U51)</f>
        <v>-2334.4</v>
      </c>
      <c r="AG51" s="356" t="n">
        <f aca="false">SUM(V51:AD51)</f>
        <v>-3832.73</v>
      </c>
      <c r="AH51" s="356" t="n">
        <f aca="false">SUM(B51:AD51)</f>
        <v>-6167.13</v>
      </c>
    </row>
    <row r="52" customFormat="false" ht="15" hidden="false" customHeight="false" outlineLevel="0" collapsed="false">
      <c r="A52" s="345" t="s">
        <v>1491</v>
      </c>
      <c r="B52" s="358" t="n">
        <f aca="false">B50+B51</f>
        <v>0</v>
      </c>
      <c r="C52" s="358" t="n">
        <f aca="false">C50+C51</f>
        <v>0</v>
      </c>
      <c r="D52" s="358" t="n">
        <f aca="false">D50+D51</f>
        <v>0</v>
      </c>
      <c r="E52" s="358" t="n">
        <f aca="false">E50+E51</f>
        <v>0</v>
      </c>
      <c r="F52" s="358" t="n">
        <f aca="false">F50+F51</f>
        <v>0</v>
      </c>
      <c r="G52" s="358" t="n">
        <f aca="false">G50+G51</f>
        <v>0</v>
      </c>
      <c r="H52" s="358" t="n">
        <f aca="false">H50+H51</f>
        <v>0</v>
      </c>
      <c r="I52" s="358" t="n">
        <f aca="false">I50+I51</f>
        <v>0</v>
      </c>
      <c r="J52" s="358" t="n">
        <f aca="false">J50+J51</f>
        <v>0</v>
      </c>
      <c r="K52" s="358" t="n">
        <f aca="false">K50+K51</f>
        <v>2919.76</v>
      </c>
      <c r="L52" s="358" t="n">
        <f aca="false">L50+L51</f>
        <v>1384.79</v>
      </c>
      <c r="M52" s="358" t="n">
        <f aca="false">M50+M51</f>
        <v>1598.91</v>
      </c>
      <c r="N52" s="358" t="n">
        <f aca="false">N50+N51</f>
        <v>891.56</v>
      </c>
      <c r="O52" s="358" t="n">
        <f aca="false">O50+O51</f>
        <v>3234.36</v>
      </c>
      <c r="P52" s="358" t="n">
        <f aca="false">P50+P51</f>
        <v>1866.69</v>
      </c>
      <c r="Q52" s="358" t="n">
        <f aca="false">Q50+Q51</f>
        <v>5497.25</v>
      </c>
      <c r="R52" s="358" t="n">
        <f aca="false">R50+R51</f>
        <v>5891.49</v>
      </c>
      <c r="S52" s="358" t="n">
        <f aca="false">S50+S51</f>
        <v>4076.31</v>
      </c>
      <c r="T52" s="358" t="n">
        <f aca="false">T50+T51</f>
        <v>5865.02</v>
      </c>
      <c r="U52" s="358" t="n">
        <f aca="false">U50+U51</f>
        <v>7929.97</v>
      </c>
      <c r="V52" s="358" t="n">
        <f aca="false">V50+V51</f>
        <v>11020.43</v>
      </c>
      <c r="W52" s="358" t="n">
        <f aca="false">W50+W51</f>
        <v>8834.79</v>
      </c>
      <c r="X52" s="358" t="n">
        <f aca="false">X50+X51</f>
        <v>6942.46</v>
      </c>
      <c r="Y52" s="358" t="n">
        <f aca="false">Y50+Y51</f>
        <v>6230.24</v>
      </c>
      <c r="Z52" s="358" t="n">
        <f aca="false">Z50+Z51</f>
        <v>6385.08</v>
      </c>
      <c r="AA52" s="358" t="n">
        <f aca="false">AA50+AA51</f>
        <v>6318.52</v>
      </c>
      <c r="AB52" s="358" t="n">
        <f aca="false">AB50+AB51</f>
        <v>10848.06</v>
      </c>
      <c r="AC52" s="358" t="n">
        <f aca="false">AC50+AC51</f>
        <v>5859.01</v>
      </c>
      <c r="AD52" s="358" t="n">
        <f aca="false">AD50+AD51</f>
        <v>4191.71</v>
      </c>
      <c r="AE52" s="358" t="n">
        <f aca="false">AE50+AE51</f>
        <v>0</v>
      </c>
      <c r="AF52" s="358" t="n">
        <f aca="false">AF50+AF51</f>
        <v>41156.11</v>
      </c>
      <c r="AG52" s="358" t="n">
        <f aca="false">AG50+AG51</f>
        <v>66630.3</v>
      </c>
      <c r="AH52" s="358" t="n">
        <f aca="false">AH50+AH51</f>
        <v>107786.41</v>
      </c>
    </row>
    <row r="53" customFormat="false" ht="15" hidden="false" customHeight="false" outlineLevel="0" collapsed="false">
      <c r="A53" s="336" t="s">
        <v>1521</v>
      </c>
      <c r="B53" s="356" t="n">
        <v>0</v>
      </c>
      <c r="C53" s="356" t="n">
        <v>0</v>
      </c>
      <c r="D53" s="356" t="n">
        <v>0</v>
      </c>
      <c r="E53" s="356" t="n">
        <v>0</v>
      </c>
      <c r="F53" s="356" t="n">
        <v>0</v>
      </c>
      <c r="G53" s="356" t="n">
        <v>0</v>
      </c>
      <c r="H53" s="356" t="n">
        <v>0</v>
      </c>
      <c r="I53" s="356" t="n">
        <v>0</v>
      </c>
      <c r="J53" s="356" t="n">
        <v>0</v>
      </c>
      <c r="K53" s="356" t="n">
        <v>-280.38</v>
      </c>
      <c r="L53" s="356" t="n">
        <v>-156.32</v>
      </c>
      <c r="M53" s="356" t="n">
        <v>-305.56</v>
      </c>
      <c r="N53" s="356" t="n">
        <v>-174.41</v>
      </c>
      <c r="O53" s="356" t="n">
        <v>-568.43</v>
      </c>
      <c r="P53" s="356" t="n">
        <v>-509.7</v>
      </c>
      <c r="Q53" s="356" t="n">
        <v>-1852.53</v>
      </c>
      <c r="R53" s="356" t="n">
        <v>-1929.41</v>
      </c>
      <c r="S53" s="356" t="n">
        <v>-1072.55</v>
      </c>
      <c r="T53" s="356" t="n">
        <v>-2092.53</v>
      </c>
      <c r="U53" s="356" t="n">
        <v>-2431.33</v>
      </c>
      <c r="V53" s="356" t="n">
        <v>-4913.95</v>
      </c>
      <c r="W53" s="356" t="n">
        <v>-1735.47</v>
      </c>
      <c r="X53" s="356" t="n">
        <v>-5798.25</v>
      </c>
      <c r="Y53" s="356" t="n">
        <v>-2847.15</v>
      </c>
      <c r="Z53" s="356" t="n">
        <v>-2017.75</v>
      </c>
      <c r="AA53" s="356" t="n">
        <v>-2702.23</v>
      </c>
      <c r="AB53" s="356" t="n">
        <v>-2440.11</v>
      </c>
      <c r="AC53" s="356" t="n">
        <v>-1427.93</v>
      </c>
      <c r="AD53" s="356" t="n">
        <v>-646.32</v>
      </c>
      <c r="AE53" s="356" t="n">
        <f aca="false">SUM(B53:I53)</f>
        <v>0</v>
      </c>
      <c r="AF53" s="356" t="n">
        <f aca="false">SUM(J53:U53)</f>
        <v>-11373.15</v>
      </c>
      <c r="AG53" s="356" t="n">
        <f aca="false">SUM(V53:AD53)</f>
        <v>-24529.16</v>
      </c>
      <c r="AH53" s="356" t="n">
        <f aca="false">SUM(B53:AD53)</f>
        <v>-35902.31</v>
      </c>
    </row>
    <row r="54" customFormat="false" ht="15" hidden="false" customHeight="false" outlineLevel="0" collapsed="false">
      <c r="A54" s="345" t="s">
        <v>1522</v>
      </c>
      <c r="B54" s="358" t="n">
        <f aca="false">B52+B53</f>
        <v>0</v>
      </c>
      <c r="C54" s="358" t="n">
        <f aca="false">C52+C53</f>
        <v>0</v>
      </c>
      <c r="D54" s="358" t="n">
        <f aca="false">D52+D53</f>
        <v>0</v>
      </c>
      <c r="E54" s="358" t="n">
        <f aca="false">E52+E53</f>
        <v>0</v>
      </c>
      <c r="F54" s="358" t="n">
        <f aca="false">F52+F53</f>
        <v>0</v>
      </c>
      <c r="G54" s="358" t="n">
        <f aca="false">G52+G53</f>
        <v>0</v>
      </c>
      <c r="H54" s="358" t="n">
        <f aca="false">H52+H53</f>
        <v>0</v>
      </c>
      <c r="I54" s="358" t="n">
        <f aca="false">I52+I53</f>
        <v>0</v>
      </c>
      <c r="J54" s="358" t="n">
        <f aca="false">J52+J53</f>
        <v>0</v>
      </c>
      <c r="K54" s="358" t="n">
        <f aca="false">K52+K53</f>
        <v>2639.38</v>
      </c>
      <c r="L54" s="358" t="n">
        <f aca="false">L52+L53</f>
        <v>1228.47</v>
      </c>
      <c r="M54" s="358" t="n">
        <f aca="false">M52+M53</f>
        <v>1293.35</v>
      </c>
      <c r="N54" s="358" t="n">
        <f aca="false">N52+N53</f>
        <v>717.15</v>
      </c>
      <c r="O54" s="358" t="n">
        <f aca="false">O52+O53</f>
        <v>2665.93</v>
      </c>
      <c r="P54" s="358" t="n">
        <f aca="false">P52+P53</f>
        <v>1356.99</v>
      </c>
      <c r="Q54" s="358" t="n">
        <f aca="false">Q52+Q53</f>
        <v>3644.72</v>
      </c>
      <c r="R54" s="358" t="n">
        <f aca="false">R52+R53</f>
        <v>3962.08</v>
      </c>
      <c r="S54" s="358" t="n">
        <f aca="false">S52+S53</f>
        <v>3003.76</v>
      </c>
      <c r="T54" s="358" t="n">
        <f aca="false">T52+T53</f>
        <v>3772.49</v>
      </c>
      <c r="U54" s="358" t="n">
        <f aca="false">U52+U53</f>
        <v>5498.64</v>
      </c>
      <c r="V54" s="358" t="n">
        <f aca="false">V52+V53</f>
        <v>6106.48</v>
      </c>
      <c r="W54" s="358" t="n">
        <f aca="false">W52+W53</f>
        <v>7099.32</v>
      </c>
      <c r="X54" s="358" t="n">
        <f aca="false">X52+X53</f>
        <v>1144.21</v>
      </c>
      <c r="Y54" s="358" t="n">
        <f aca="false">Y52+Y53</f>
        <v>3383.09</v>
      </c>
      <c r="Z54" s="358" t="n">
        <f aca="false">Z52+Z53</f>
        <v>4367.33</v>
      </c>
      <c r="AA54" s="358" t="n">
        <f aca="false">AA52+AA53</f>
        <v>3616.29</v>
      </c>
      <c r="AB54" s="358" t="n">
        <f aca="false">AB52+AB53</f>
        <v>8407.95</v>
      </c>
      <c r="AC54" s="358" t="n">
        <f aca="false">AC52+AC53</f>
        <v>4431.08</v>
      </c>
      <c r="AD54" s="358" t="n">
        <f aca="false">AD52+AD53</f>
        <v>3545.39</v>
      </c>
      <c r="AE54" s="358" t="n">
        <f aca="false">AE52+AE53</f>
        <v>0</v>
      </c>
      <c r="AF54" s="358" t="n">
        <f aca="false">AF52+AF53</f>
        <v>29782.96</v>
      </c>
      <c r="AG54" s="358" t="n">
        <f aca="false">AG52+AG53</f>
        <v>42101.14</v>
      </c>
      <c r="AH54" s="358" t="n">
        <f aca="false">AH52+AH53</f>
        <v>71884.1</v>
      </c>
    </row>
    <row r="55" customFormat="false" ht="15" hidden="false" customHeight="false" outlineLevel="0" collapsed="false">
      <c r="A55" s="336" t="s">
        <v>1410</v>
      </c>
      <c r="B55" s="357" t="n">
        <f aca="false">IFERROR(B54/B52,0)</f>
        <v>0</v>
      </c>
      <c r="C55" s="357" t="n">
        <f aca="false">IFERROR(C54/C52,0)</f>
        <v>0</v>
      </c>
      <c r="D55" s="357" t="n">
        <f aca="false">IFERROR(D54/D52,0)</f>
        <v>0</v>
      </c>
      <c r="E55" s="357" t="n">
        <f aca="false">IFERROR(E54/E52,0)</f>
        <v>0</v>
      </c>
      <c r="F55" s="357" t="n">
        <f aca="false">IFERROR(F54/F52,0)</f>
        <v>0</v>
      </c>
      <c r="G55" s="357" t="n">
        <f aca="false">IFERROR(G54/G52,0)</f>
        <v>0</v>
      </c>
      <c r="H55" s="357" t="n">
        <f aca="false">IFERROR(H54/H52,0)</f>
        <v>0</v>
      </c>
      <c r="I55" s="357" t="n">
        <f aca="false">IFERROR(I54/I52,0)</f>
        <v>0</v>
      </c>
      <c r="J55" s="357" t="n">
        <f aca="false">IFERROR(J54/J52,0)</f>
        <v>0</v>
      </c>
      <c r="K55" s="357" t="n">
        <f aca="false">IFERROR(K54/K52,0)</f>
        <v>0.903971559306244</v>
      </c>
      <c r="L55" s="357" t="n">
        <f aca="false">IFERROR(L54/L52,0)</f>
        <v>0.887116458091119</v>
      </c>
      <c r="M55" s="357" t="n">
        <f aca="false">IFERROR(M54/M52,0)</f>
        <v>0.808894809589033</v>
      </c>
      <c r="N55" s="357" t="n">
        <f aca="false">IFERROR(N54/N52,0)</f>
        <v>0.804376598322042</v>
      </c>
      <c r="O55" s="357" t="n">
        <f aca="false">IFERROR(O54/O52,0)</f>
        <v>0.82425271151016</v>
      </c>
      <c r="P55" s="357" t="n">
        <f aca="false">IFERROR(P54/P52,0)</f>
        <v>0.726949841698407</v>
      </c>
      <c r="Q55" s="357" t="n">
        <f aca="false">IFERROR(Q54/Q52,0)</f>
        <v>0.663007867570149</v>
      </c>
      <c r="R55" s="357" t="n">
        <f aca="false">IFERROR(R54/R52,0)</f>
        <v>0.672508991783063</v>
      </c>
      <c r="S55" s="357" t="n">
        <f aca="false">IFERROR(S54/S52,0)</f>
        <v>0.736882131143117</v>
      </c>
      <c r="T55" s="357" t="n">
        <f aca="false">IFERROR(T54/T52,0)</f>
        <v>0.643218607950186</v>
      </c>
      <c r="U55" s="357" t="n">
        <f aca="false">IFERROR(U54/U52,0)</f>
        <v>0.69339984892755</v>
      </c>
      <c r="V55" s="357" t="n">
        <f aca="false">IFERROR(V54/V52,0)</f>
        <v>0.554105420568889</v>
      </c>
      <c r="W55" s="357" t="n">
        <f aca="false">IFERROR(W54/W52,0)</f>
        <v>0.80356409150642</v>
      </c>
      <c r="X55" s="357" t="n">
        <f aca="false">IFERROR(X54/X52,0)</f>
        <v>0.164813337059198</v>
      </c>
      <c r="Y55" s="357" t="n">
        <f aca="false">IFERROR(Y54/Y52,0)</f>
        <v>0.54301118415984</v>
      </c>
      <c r="Z55" s="357" t="n">
        <f aca="false">IFERROR(Z54/Z52,0)</f>
        <v>0.683989863870147</v>
      </c>
      <c r="AA55" s="357" t="n">
        <f aca="false">IFERROR(AA54/AA52,0)</f>
        <v>0.572331811879997</v>
      </c>
      <c r="AB55" s="357" t="n">
        <f aca="false">IFERROR(AB54/AB52,0)</f>
        <v>0.775064850305032</v>
      </c>
      <c r="AC55" s="357" t="n">
        <f aca="false">IFERROR(AC54/AC52,0)</f>
        <v>0.756284764832284</v>
      </c>
      <c r="AD55" s="357" t="n">
        <f aca="false">IFERROR(AD54/AD52,0)</f>
        <v>0.845809943913105</v>
      </c>
      <c r="AE55" s="357" t="n">
        <f aca="false">IFERROR(AE54/AE52,0)</f>
        <v>0</v>
      </c>
      <c r="AF55" s="357" t="n">
        <f aca="false">IFERROR(AF54/AF52,0)</f>
        <v>0.72365828548908</v>
      </c>
      <c r="AG55" s="357" t="n">
        <f aca="false">IFERROR(AG54/AG52,0)</f>
        <v>0.631861780601318</v>
      </c>
      <c r="AH55" s="357" t="n">
        <f aca="false">IFERROR(AH54/AH52,0)</f>
        <v>0.666912461413271</v>
      </c>
    </row>
    <row r="56" customFormat="false" ht="15" hidden="false" customHeight="false" outlineLevel="0" collapsed="false">
      <c r="A56" s="336" t="s">
        <v>1523</v>
      </c>
      <c r="B56" s="356" t="n">
        <v>0</v>
      </c>
      <c r="C56" s="356" t="n">
        <v>0</v>
      </c>
      <c r="D56" s="356" t="n">
        <v>0</v>
      </c>
      <c r="E56" s="356" t="n">
        <v>0</v>
      </c>
      <c r="F56" s="356" t="n">
        <v>0</v>
      </c>
      <c r="G56" s="356" t="n">
        <v>0</v>
      </c>
      <c r="H56" s="356" t="n">
        <v>0</v>
      </c>
      <c r="I56" s="356" t="n">
        <v>0</v>
      </c>
      <c r="J56" s="356" t="n">
        <v>0</v>
      </c>
      <c r="K56" s="356" t="n">
        <v>-24.28</v>
      </c>
      <c r="L56" s="356" t="n">
        <v>0</v>
      </c>
      <c r="M56" s="356" t="n">
        <v>0</v>
      </c>
      <c r="N56" s="356" t="n">
        <v>-1291.71</v>
      </c>
      <c r="O56" s="356" t="n">
        <v>-1052.95</v>
      </c>
      <c r="P56" s="356" t="n">
        <v>-1024.14</v>
      </c>
      <c r="Q56" s="356" t="n">
        <v>-2836.7</v>
      </c>
      <c r="R56" s="356" t="n">
        <v>-1089.99</v>
      </c>
      <c r="S56" s="356" t="n">
        <v>-4780.67</v>
      </c>
      <c r="T56" s="356" t="n">
        <v>-4929.43</v>
      </c>
      <c r="U56" s="356" t="n">
        <v>-3961.78</v>
      </c>
      <c r="V56" s="356" t="n">
        <v>-5393.06</v>
      </c>
      <c r="W56" s="356" t="n">
        <v>-4620.21</v>
      </c>
      <c r="X56" s="356" t="n">
        <v>-6461</v>
      </c>
      <c r="Y56" s="356" t="n">
        <v>-2781.86</v>
      </c>
      <c r="Z56" s="356" t="n">
        <v>-4350.96</v>
      </c>
      <c r="AA56" s="356" t="n">
        <v>-5474.16</v>
      </c>
      <c r="AB56" s="356" t="n">
        <v>-4350.72</v>
      </c>
      <c r="AC56" s="356" t="n">
        <v>-5767.35</v>
      </c>
      <c r="AD56" s="356" t="n">
        <v>-1357.78</v>
      </c>
      <c r="AE56" s="356" t="n">
        <f aca="false">SUM(B56:I56)</f>
        <v>0</v>
      </c>
      <c r="AF56" s="356" t="n">
        <f aca="false">SUM(J56:U56)</f>
        <v>-20991.65</v>
      </c>
      <c r="AG56" s="356" t="n">
        <f aca="false">SUM(V56:AD56)</f>
        <v>-40557.1</v>
      </c>
      <c r="AH56" s="356" t="n">
        <f aca="false">SUM(B56:AD56)</f>
        <v>-61548.75</v>
      </c>
    </row>
    <row r="57" customFormat="false" ht="15" hidden="false" customHeight="false" outlineLevel="0" collapsed="false">
      <c r="A57" s="336" t="s">
        <v>1524</v>
      </c>
      <c r="B57" s="356" t="n">
        <v>0</v>
      </c>
      <c r="C57" s="356" t="n">
        <v>0</v>
      </c>
      <c r="D57" s="356" t="n">
        <v>0</v>
      </c>
      <c r="E57" s="356" t="n">
        <v>0</v>
      </c>
      <c r="F57" s="356" t="n">
        <v>0</v>
      </c>
      <c r="G57" s="356" t="n">
        <v>0</v>
      </c>
      <c r="H57" s="356" t="n">
        <v>0</v>
      </c>
      <c r="I57" s="356" t="n">
        <v>0</v>
      </c>
      <c r="J57" s="356" t="n">
        <v>0</v>
      </c>
      <c r="K57" s="356" t="n">
        <v>-610</v>
      </c>
      <c r="L57" s="356" t="n">
        <v>-610</v>
      </c>
      <c r="M57" s="356" t="n">
        <v>-810</v>
      </c>
      <c r="N57" s="356" t="n">
        <v>-610</v>
      </c>
      <c r="O57" s="356" t="n">
        <v>-653.76</v>
      </c>
      <c r="P57" s="356" t="n">
        <v>-434.99</v>
      </c>
      <c r="Q57" s="356" t="n">
        <v>-630.4</v>
      </c>
      <c r="R57" s="356" t="n">
        <v>-726.2</v>
      </c>
      <c r="S57" s="356" t="n">
        <v>-677.71</v>
      </c>
      <c r="T57" s="356" t="n">
        <v>-847.2</v>
      </c>
      <c r="U57" s="356" t="n">
        <v>-820.2</v>
      </c>
      <c r="V57" s="356" t="n">
        <v>-820.2</v>
      </c>
      <c r="W57" s="356" t="n">
        <v>-820.2</v>
      </c>
      <c r="X57" s="356" t="n">
        <v>-828.7</v>
      </c>
      <c r="Y57" s="356" t="n">
        <v>-820.2</v>
      </c>
      <c r="Z57" s="356" t="n">
        <v>-820.2</v>
      </c>
      <c r="AA57" s="356" t="n">
        <v>-820.2</v>
      </c>
      <c r="AB57" s="356" t="n">
        <v>-820.2</v>
      </c>
      <c r="AC57" s="356" t="n">
        <v>-1210.2</v>
      </c>
      <c r="AD57" s="356" t="n">
        <v>-1210.2</v>
      </c>
      <c r="AE57" s="356" t="n">
        <f aca="false">SUM(B57:I57)</f>
        <v>0</v>
      </c>
      <c r="AF57" s="356" t="n">
        <f aca="false">SUM(J57:U57)</f>
        <v>-7430.46</v>
      </c>
      <c r="AG57" s="356" t="n">
        <f aca="false">SUM(V57:AD57)</f>
        <v>-8170.3</v>
      </c>
      <c r="AH57" s="356" t="n">
        <f aca="false">SUM(B57:AD57)</f>
        <v>-15600.76</v>
      </c>
    </row>
    <row r="58" customFormat="false" ht="15" hidden="false" customHeight="false" outlineLevel="0" collapsed="false">
      <c r="A58" s="336" t="s">
        <v>1525</v>
      </c>
      <c r="B58" s="356" t="n">
        <v>0</v>
      </c>
      <c r="C58" s="356" t="n">
        <v>0</v>
      </c>
      <c r="D58" s="356" t="n">
        <v>0</v>
      </c>
      <c r="E58" s="356" t="n">
        <v>0</v>
      </c>
      <c r="F58" s="356" t="n">
        <v>0</v>
      </c>
      <c r="G58" s="356" t="n">
        <v>0</v>
      </c>
      <c r="H58" s="356" t="n">
        <v>0</v>
      </c>
      <c r="I58" s="356" t="n">
        <v>0</v>
      </c>
      <c r="J58" s="356" t="n">
        <v>-83.43</v>
      </c>
      <c r="K58" s="356" t="n">
        <v>-62.2</v>
      </c>
      <c r="L58" s="356" t="n">
        <v>-102.05</v>
      </c>
      <c r="M58" s="356" t="n">
        <v>-68.83</v>
      </c>
      <c r="N58" s="356" t="n">
        <v>-68.57</v>
      </c>
      <c r="O58" s="356" t="n">
        <v>-207.87</v>
      </c>
      <c r="P58" s="356" t="n">
        <v>-429.03</v>
      </c>
      <c r="Q58" s="356" t="n">
        <v>-147.75</v>
      </c>
      <c r="R58" s="356" t="n">
        <v>-426.1</v>
      </c>
      <c r="S58" s="356" t="n">
        <v>-175</v>
      </c>
      <c r="T58" s="356" t="n">
        <v>-461.7</v>
      </c>
      <c r="U58" s="356" t="n">
        <v>-782.77</v>
      </c>
      <c r="V58" s="356" t="n">
        <v>-697</v>
      </c>
      <c r="W58" s="356" t="n">
        <v>-769.08</v>
      </c>
      <c r="X58" s="356" t="n">
        <v>-321.76</v>
      </c>
      <c r="Y58" s="356" t="n">
        <v>-561.8</v>
      </c>
      <c r="Z58" s="356" t="n">
        <v>-797.18</v>
      </c>
      <c r="AA58" s="356" t="n">
        <v>-487.95</v>
      </c>
      <c r="AB58" s="356" t="n">
        <v>-1089.44</v>
      </c>
      <c r="AC58" s="356" t="n">
        <v>-195.76</v>
      </c>
      <c r="AD58" s="356" t="n">
        <v>-406.84</v>
      </c>
      <c r="AE58" s="356" t="n">
        <f aca="false">SUM(B58:I58)</f>
        <v>0</v>
      </c>
      <c r="AF58" s="356" t="n">
        <f aca="false">SUM(J58:U58)</f>
        <v>-3015.3</v>
      </c>
      <c r="AG58" s="356" t="n">
        <f aca="false">SUM(V58:AD58)</f>
        <v>-5326.81</v>
      </c>
      <c r="AH58" s="356" t="n">
        <f aca="false">SUM(B58:AD58)</f>
        <v>-8342.11</v>
      </c>
    </row>
    <row r="59" customFormat="false" ht="15" hidden="false" customHeight="false" outlineLevel="0" collapsed="false">
      <c r="A59" s="361" t="s">
        <v>136</v>
      </c>
      <c r="B59" s="362" t="n">
        <f aca="false">B54+B56+B57+B58</f>
        <v>0</v>
      </c>
      <c r="C59" s="362" t="n">
        <f aca="false">C54+C56+C57+C58</f>
        <v>0</v>
      </c>
      <c r="D59" s="362" t="n">
        <f aca="false">D54+D56+D57+D58</f>
        <v>0</v>
      </c>
      <c r="E59" s="362" t="n">
        <f aca="false">E54+E56+E57+E58</f>
        <v>0</v>
      </c>
      <c r="F59" s="362" t="n">
        <f aca="false">F54+F56+F57+F58</f>
        <v>0</v>
      </c>
      <c r="G59" s="362" t="n">
        <f aca="false">G54+G56+G57+G58</f>
        <v>0</v>
      </c>
      <c r="H59" s="362" t="n">
        <f aca="false">H54+H56+H57+H58</f>
        <v>0</v>
      </c>
      <c r="I59" s="362" t="n">
        <f aca="false">I54+I56+I57+I58</f>
        <v>0</v>
      </c>
      <c r="J59" s="362" t="n">
        <f aca="false">J54+J56+J57+J58</f>
        <v>-83.43</v>
      </c>
      <c r="K59" s="362" t="n">
        <f aca="false">K54+K56+K57+K58</f>
        <v>1942.9</v>
      </c>
      <c r="L59" s="362" t="n">
        <f aca="false">L54+L56+L57+L58</f>
        <v>516.42</v>
      </c>
      <c r="M59" s="362" t="n">
        <f aca="false">M54+M56+M57+M58</f>
        <v>414.52</v>
      </c>
      <c r="N59" s="362" t="n">
        <f aca="false">N54+N56+N57+N58</f>
        <v>-1253.13</v>
      </c>
      <c r="O59" s="362" t="n">
        <f aca="false">O54+O56+O57+O58</f>
        <v>751.35</v>
      </c>
      <c r="P59" s="362" t="n">
        <f aca="false">P54+P56+P57+P58</f>
        <v>-531.17</v>
      </c>
      <c r="Q59" s="362" t="n">
        <f aca="false">Q54+Q56+Q57+Q58</f>
        <v>29.8700000000005</v>
      </c>
      <c r="R59" s="362" t="n">
        <f aca="false">R54+R56+R57+R58</f>
        <v>1719.79</v>
      </c>
      <c r="S59" s="362" t="n">
        <f aca="false">S54+S56+S57+S58</f>
        <v>-2629.62</v>
      </c>
      <c r="T59" s="362" t="n">
        <f aca="false">T54+T56+T57+T58</f>
        <v>-2465.84</v>
      </c>
      <c r="U59" s="362" t="n">
        <f aca="false">U54+U56+U57+U58</f>
        <v>-66.1099999999999</v>
      </c>
      <c r="V59" s="362" t="n">
        <f aca="false">V54+V56+V57+V58</f>
        <v>-803.78</v>
      </c>
      <c r="W59" s="362" t="n">
        <f aca="false">W54+W56+W57+W58</f>
        <v>889.830000000001</v>
      </c>
      <c r="X59" s="362" t="n">
        <f aca="false">X54+X56+X57+X58</f>
        <v>-6467.25</v>
      </c>
      <c r="Y59" s="362" t="n">
        <f aca="false">Y54+Y56+Y57+Y58</f>
        <v>-780.77</v>
      </c>
      <c r="Z59" s="362" t="n">
        <f aca="false">Z54+Z56+Z57+Z58</f>
        <v>-1601.01</v>
      </c>
      <c r="AA59" s="362" t="n">
        <f aca="false">AA54+AA56+AA57+AA58</f>
        <v>-3166.02</v>
      </c>
      <c r="AB59" s="362" t="n">
        <f aca="false">AB54+AB56+AB57+AB58</f>
        <v>2147.59</v>
      </c>
      <c r="AC59" s="362" t="n">
        <f aca="false">AC54+AC56+AC57+AC58</f>
        <v>-2742.23</v>
      </c>
      <c r="AD59" s="362" t="n">
        <f aca="false">AD54+AD56+AD57+AD58</f>
        <v>570.57</v>
      </c>
      <c r="AE59" s="362" t="n">
        <f aca="false">AE54+AE56+AE57+AE58</f>
        <v>0</v>
      </c>
      <c r="AF59" s="362" t="n">
        <f aca="false">AF54+AF56+AF57+AF58</f>
        <v>-1654.45</v>
      </c>
      <c r="AG59" s="362" t="n">
        <f aca="false">AG54+AG56+AG57+AG58</f>
        <v>-11953.07</v>
      </c>
      <c r="AH59" s="362" t="n">
        <f aca="false">AH54+AH56+AH57+AH58</f>
        <v>-13607.52</v>
      </c>
    </row>
    <row r="60" customFormat="false" ht="15" hidden="false" customHeight="false" outlineLevel="0" collapsed="false">
      <c r="A60" s="336" t="s">
        <v>1526</v>
      </c>
      <c r="B60" s="357" t="n">
        <f aca="false">IFERROR(B59/B52,0)</f>
        <v>0</v>
      </c>
      <c r="C60" s="357" t="n">
        <f aca="false">IFERROR(C59/C52,0)</f>
        <v>0</v>
      </c>
      <c r="D60" s="357" t="n">
        <f aca="false">IFERROR(D59/D52,0)</f>
        <v>0</v>
      </c>
      <c r="E60" s="357" t="n">
        <f aca="false">IFERROR(E59/E52,0)</f>
        <v>0</v>
      </c>
      <c r="F60" s="357" t="n">
        <f aca="false">IFERROR(F59/F52,0)</f>
        <v>0</v>
      </c>
      <c r="G60" s="357" t="n">
        <f aca="false">IFERROR(G59/G52,0)</f>
        <v>0</v>
      </c>
      <c r="H60" s="357" t="n">
        <f aca="false">IFERROR(H59/H52,0)</f>
        <v>0</v>
      </c>
      <c r="I60" s="357" t="n">
        <f aca="false">IFERROR(I59/I52,0)</f>
        <v>0</v>
      </c>
      <c r="J60" s="357" t="n">
        <f aca="false">IFERROR(J59/J52,0)</f>
        <v>0</v>
      </c>
      <c r="K60" s="357" t="n">
        <f aca="false">IFERROR(K59/K52,0)</f>
        <v>0.665431405320985</v>
      </c>
      <c r="L60" s="357" t="n">
        <f aca="false">IFERROR(L59/L52,0)</f>
        <v>0.372922970269861</v>
      </c>
      <c r="M60" s="357" t="n">
        <f aca="false">IFERROR(M59/M52,0)</f>
        <v>0.25925161516283</v>
      </c>
      <c r="N60" s="357" t="n">
        <f aca="false">IFERROR(N59/N52,0)</f>
        <v>-1.40554757952353</v>
      </c>
      <c r="O60" s="357" t="n">
        <f aca="false">IFERROR(O59/O52,0)</f>
        <v>0.232302526620413</v>
      </c>
      <c r="P60" s="357" t="n">
        <f aca="false">IFERROR(P59/P52,0)</f>
        <v>-0.284551800245354</v>
      </c>
      <c r="Q60" s="357" t="n">
        <f aca="false">IFERROR(Q59/Q52,0)</f>
        <v>0.00543362590386111</v>
      </c>
      <c r="R60" s="357" t="n">
        <f aca="false">IFERROR(R59/R52,0)</f>
        <v>0.291910874838114</v>
      </c>
      <c r="S60" s="357" t="n">
        <f aca="false">IFERROR(S59/S52,0)</f>
        <v>-0.645098140229767</v>
      </c>
      <c r="T60" s="357" t="n">
        <f aca="false">IFERROR(T59/T52,0)</f>
        <v>-0.420431643881863</v>
      </c>
      <c r="U60" s="357" t="n">
        <f aca="false">IFERROR(U59/U52,0)</f>
        <v>-0.00833672762948661</v>
      </c>
      <c r="V60" s="357" t="n">
        <f aca="false">IFERROR(V59/V52,0)</f>
        <v>-0.0729354480723529</v>
      </c>
      <c r="W60" s="357" t="n">
        <f aca="false">IFERROR(W59/W52,0)</f>
        <v>0.100718862587566</v>
      </c>
      <c r="X60" s="357" t="n">
        <f aca="false">IFERROR(X59/X52,0)</f>
        <v>-0.931550199785091</v>
      </c>
      <c r="Y60" s="357" t="n">
        <f aca="false">IFERROR(Y59/Y52,0)</f>
        <v>-0.12531940984617</v>
      </c>
      <c r="Z60" s="357" t="n">
        <f aca="false">IFERROR(Z59/Z52,0)</f>
        <v>-0.250742355616531</v>
      </c>
      <c r="AA60" s="357" t="n">
        <f aca="false">IFERROR(AA59/AA52,0)</f>
        <v>-0.501069870792527</v>
      </c>
      <c r="AB60" s="357" t="n">
        <f aca="false">IFERROR(AB59/AB52,0)</f>
        <v>0.197969959605681</v>
      </c>
      <c r="AC60" s="357" t="n">
        <f aca="false">IFERROR(AC59/AC52,0)</f>
        <v>-0.468036408881364</v>
      </c>
      <c r="AD60" s="357" t="n">
        <f aca="false">IFERROR(AD59/AD52,0)</f>
        <v>0.136118672331817</v>
      </c>
      <c r="AE60" s="357" t="n">
        <f aca="false">IFERROR(AE59/AE52,0)</f>
        <v>0</v>
      </c>
      <c r="AF60" s="357" t="n">
        <f aca="false">IFERROR(AF59/AF52,0)</f>
        <v>-0.0401993774435922</v>
      </c>
      <c r="AG60" s="357" t="n">
        <f aca="false">IFERROR(AG59/AG52,0)</f>
        <v>-0.179393909377565</v>
      </c>
      <c r="AH60" s="357" t="n">
        <f aca="false">IFERROR(AH59/AH52,0)</f>
        <v>-0.126245228874401</v>
      </c>
    </row>
    <row r="61" customFormat="false" ht="15" hidden="false" customHeight="false" outlineLevel="0" collapsed="false">
      <c r="A61" s="336" t="s">
        <v>1527</v>
      </c>
      <c r="B61" s="356" t="n">
        <v>0</v>
      </c>
      <c r="C61" s="356" t="n">
        <v>0</v>
      </c>
      <c r="D61" s="356" t="n">
        <v>0</v>
      </c>
      <c r="E61" s="356" t="n">
        <v>0</v>
      </c>
      <c r="F61" s="356" t="n">
        <v>0</v>
      </c>
      <c r="G61" s="356" t="n">
        <v>0</v>
      </c>
      <c r="H61" s="356" t="n">
        <v>0</v>
      </c>
      <c r="I61" s="356" t="n">
        <v>-4.19</v>
      </c>
      <c r="J61" s="356" t="n">
        <v>-366</v>
      </c>
      <c r="K61" s="356" t="n">
        <v>-385.73</v>
      </c>
      <c r="L61" s="356" t="n">
        <v>-392.47</v>
      </c>
      <c r="M61" s="356" t="n">
        <v>-419.89</v>
      </c>
      <c r="N61" s="356" t="n">
        <v>-419.91</v>
      </c>
      <c r="O61" s="356" t="n">
        <v>-419.89</v>
      </c>
      <c r="P61" s="356" t="n">
        <v>-550.06</v>
      </c>
      <c r="Q61" s="356" t="n">
        <v>-635.7</v>
      </c>
      <c r="R61" s="356" t="n">
        <v>-824.32</v>
      </c>
      <c r="S61" s="356" t="n">
        <v>-824.36</v>
      </c>
      <c r="T61" s="356" t="n">
        <v>-824.28</v>
      </c>
      <c r="U61" s="356" t="n">
        <v>-830.84</v>
      </c>
      <c r="V61" s="356" t="n">
        <v>-824.35</v>
      </c>
      <c r="W61" s="356" t="n">
        <v>-824.3</v>
      </c>
      <c r="X61" s="356" t="n">
        <v>-824.34</v>
      </c>
      <c r="Y61" s="356" t="n">
        <v>-824.34</v>
      </c>
      <c r="Z61" s="356" t="n">
        <v>-831.67</v>
      </c>
      <c r="AA61" s="356" t="n">
        <v>-845.47</v>
      </c>
      <c r="AB61" s="356" t="n">
        <v>-846.06</v>
      </c>
      <c r="AC61" s="356" t="n">
        <v>-828.87</v>
      </c>
      <c r="AD61" s="356" t="n">
        <v>-828.92</v>
      </c>
      <c r="AE61" s="356" t="n">
        <f aca="false">SUM(B61:I61)</f>
        <v>-4.19</v>
      </c>
      <c r="AF61" s="356" t="n">
        <f aca="false">SUM(J61:U61)</f>
        <v>-6893.45</v>
      </c>
      <c r="AG61" s="356" t="n">
        <f aca="false">SUM(V61:AD61)</f>
        <v>-7478.32</v>
      </c>
      <c r="AH61" s="356" t="n">
        <f aca="false">SUM(B61:AD61)</f>
        <v>-14375.96</v>
      </c>
    </row>
    <row r="62" customFormat="false" ht="15" hidden="false" customHeight="false" outlineLevel="0" collapsed="false">
      <c r="A62" s="345" t="s">
        <v>1528</v>
      </c>
      <c r="B62" s="358" t="n">
        <f aca="false">B59+B61</f>
        <v>0</v>
      </c>
      <c r="C62" s="358" t="n">
        <f aca="false">C59+C61</f>
        <v>0</v>
      </c>
      <c r="D62" s="358" t="n">
        <f aca="false">D59+D61</f>
        <v>0</v>
      </c>
      <c r="E62" s="358" t="n">
        <f aca="false">E59+E61</f>
        <v>0</v>
      </c>
      <c r="F62" s="358" t="n">
        <f aca="false">F59+F61</f>
        <v>0</v>
      </c>
      <c r="G62" s="358" t="n">
        <f aca="false">G59+G61</f>
        <v>0</v>
      </c>
      <c r="H62" s="358" t="n">
        <f aca="false">H59+H61</f>
        <v>0</v>
      </c>
      <c r="I62" s="358" t="n">
        <f aca="false">I59+I61</f>
        <v>-4.19</v>
      </c>
      <c r="J62" s="358" t="n">
        <f aca="false">J59+J61</f>
        <v>-449.43</v>
      </c>
      <c r="K62" s="358" t="n">
        <f aca="false">K59+K61</f>
        <v>1557.17</v>
      </c>
      <c r="L62" s="358" t="n">
        <f aca="false">L59+L61</f>
        <v>123.95</v>
      </c>
      <c r="M62" s="358" t="n">
        <f aca="false">M59+M61</f>
        <v>-5.37000000000006</v>
      </c>
      <c r="N62" s="358" t="n">
        <f aca="false">N59+N61</f>
        <v>-1673.04</v>
      </c>
      <c r="O62" s="358" t="n">
        <f aca="false">O59+O61</f>
        <v>331.46</v>
      </c>
      <c r="P62" s="358" t="n">
        <f aca="false">P59+P61</f>
        <v>-1081.23</v>
      </c>
      <c r="Q62" s="358" t="n">
        <f aca="false">Q59+Q61</f>
        <v>-605.83</v>
      </c>
      <c r="R62" s="358" t="n">
        <f aca="false">R59+R61</f>
        <v>895.47</v>
      </c>
      <c r="S62" s="358" t="n">
        <f aca="false">S59+S61</f>
        <v>-3453.98</v>
      </c>
      <c r="T62" s="358" t="n">
        <f aca="false">T59+T61</f>
        <v>-3290.12</v>
      </c>
      <c r="U62" s="358" t="n">
        <f aca="false">U59+U61</f>
        <v>-896.95</v>
      </c>
      <c r="V62" s="358" t="n">
        <f aca="false">V59+V61</f>
        <v>-1628.13</v>
      </c>
      <c r="W62" s="358" t="n">
        <f aca="false">W59+W61</f>
        <v>65.5300000000005</v>
      </c>
      <c r="X62" s="358" t="n">
        <f aca="false">X59+X61</f>
        <v>-7291.59</v>
      </c>
      <c r="Y62" s="358" t="n">
        <f aca="false">Y59+Y61</f>
        <v>-1605.11</v>
      </c>
      <c r="Z62" s="358" t="n">
        <f aca="false">Z59+Z61</f>
        <v>-2432.68</v>
      </c>
      <c r="AA62" s="358" t="n">
        <f aca="false">AA59+AA61</f>
        <v>-4011.49</v>
      </c>
      <c r="AB62" s="358" t="n">
        <f aca="false">AB59+AB61</f>
        <v>1301.53</v>
      </c>
      <c r="AC62" s="358" t="n">
        <f aca="false">AC59+AC61</f>
        <v>-3571.1</v>
      </c>
      <c r="AD62" s="358" t="n">
        <f aca="false">AD59+AD61</f>
        <v>-258.35</v>
      </c>
      <c r="AE62" s="358" t="n">
        <f aca="false">AE59+AE61</f>
        <v>-4.19</v>
      </c>
      <c r="AF62" s="358" t="n">
        <f aca="false">AF59+AF61</f>
        <v>-8547.9</v>
      </c>
      <c r="AG62" s="358" t="n">
        <f aca="false">AG59+AG61</f>
        <v>-19431.39</v>
      </c>
      <c r="AH62" s="358" t="n">
        <f aca="false">AH59+AH61</f>
        <v>-27983.48</v>
      </c>
    </row>
    <row r="64" customFormat="false" ht="15" hidden="false" customHeight="false" outlineLevel="0" collapsed="false">
      <c r="A64" s="339" t="s">
        <v>697</v>
      </c>
      <c r="B64" s="353"/>
      <c r="C64" s="353"/>
      <c r="D64" s="353"/>
      <c r="E64" s="353"/>
      <c r="F64" s="353"/>
      <c r="G64" s="353"/>
      <c r="H64" s="353"/>
      <c r="I64" s="353"/>
      <c r="J64" s="353"/>
      <c r="K64" s="353"/>
      <c r="L64" s="353"/>
      <c r="M64" s="353"/>
      <c r="N64" s="353"/>
      <c r="O64" s="353"/>
      <c r="P64" s="353"/>
      <c r="Q64" s="353"/>
      <c r="R64" s="353"/>
      <c r="S64" s="353"/>
      <c r="T64" s="353"/>
      <c r="U64" s="353"/>
      <c r="V64" s="353"/>
      <c r="W64" s="353"/>
      <c r="X64" s="353"/>
      <c r="Y64" s="353"/>
      <c r="Z64" s="353"/>
      <c r="AA64" s="353"/>
      <c r="AB64" s="353"/>
      <c r="AC64" s="353"/>
      <c r="AD64" s="353"/>
      <c r="AE64" s="353"/>
      <c r="AF64" s="353"/>
      <c r="AG64" s="353"/>
      <c r="AH64" s="353"/>
    </row>
    <row r="65" customFormat="false" ht="15" hidden="false" customHeight="false" outlineLevel="0" collapsed="false">
      <c r="A65" s="336" t="s">
        <v>1519</v>
      </c>
      <c r="B65" s="356" t="n">
        <v>0</v>
      </c>
      <c r="C65" s="356" t="n">
        <v>0</v>
      </c>
      <c r="D65" s="356" t="n">
        <v>0</v>
      </c>
      <c r="E65" s="356" t="n">
        <v>0</v>
      </c>
      <c r="F65" s="356" t="n">
        <v>0</v>
      </c>
      <c r="G65" s="356" t="n">
        <v>0</v>
      </c>
      <c r="H65" s="356" t="n">
        <v>0</v>
      </c>
      <c r="I65" s="356" t="n">
        <v>0</v>
      </c>
      <c r="J65" s="356" t="n">
        <v>0</v>
      </c>
      <c r="K65" s="356" t="n">
        <v>0</v>
      </c>
      <c r="L65" s="356" t="n">
        <v>0</v>
      </c>
      <c r="M65" s="356" t="n">
        <v>0</v>
      </c>
      <c r="N65" s="356" t="n">
        <v>0</v>
      </c>
      <c r="O65" s="356" t="n">
        <v>0</v>
      </c>
      <c r="P65" s="356" t="n">
        <v>0</v>
      </c>
      <c r="Q65" s="356" t="n">
        <v>0</v>
      </c>
      <c r="R65" s="356" t="n">
        <v>0</v>
      </c>
      <c r="S65" s="356" t="n">
        <v>0</v>
      </c>
      <c r="T65" s="356" t="n">
        <v>0</v>
      </c>
      <c r="U65" s="356" t="n">
        <v>6355.43</v>
      </c>
      <c r="V65" s="356" t="n">
        <v>11502.01</v>
      </c>
      <c r="W65" s="356" t="n">
        <v>13537.28</v>
      </c>
      <c r="X65" s="356" t="n">
        <v>7568.16</v>
      </c>
      <c r="Y65" s="356" t="n">
        <v>8822.07</v>
      </c>
      <c r="Z65" s="356" t="n">
        <v>14528.49</v>
      </c>
      <c r="AA65" s="356" t="n">
        <v>11434.23</v>
      </c>
      <c r="AB65" s="356" t="n">
        <v>13126.07</v>
      </c>
      <c r="AC65" s="356" t="n">
        <v>17916.61</v>
      </c>
      <c r="AD65" s="356" t="n">
        <v>11780.14</v>
      </c>
      <c r="AE65" s="356" t="n">
        <f aca="false">SUM(B65:I65)</f>
        <v>0</v>
      </c>
      <c r="AF65" s="356" t="n">
        <f aca="false">SUM(J65:U65)</f>
        <v>6355.43</v>
      </c>
      <c r="AG65" s="356" t="n">
        <f aca="false">SUM(V65:AD65)</f>
        <v>110215.06</v>
      </c>
      <c r="AH65" s="356" t="n">
        <f aca="false">SUM(B65:AD65)</f>
        <v>116570.49</v>
      </c>
    </row>
    <row r="66" customFormat="false" ht="15" hidden="false" customHeight="false" outlineLevel="0" collapsed="false">
      <c r="A66" s="336" t="s">
        <v>1520</v>
      </c>
      <c r="B66" s="356" t="n">
        <v>0</v>
      </c>
      <c r="C66" s="356" t="n">
        <v>0</v>
      </c>
      <c r="D66" s="356" t="n">
        <v>0</v>
      </c>
      <c r="E66" s="356" t="n">
        <v>0</v>
      </c>
      <c r="F66" s="356" t="n">
        <v>0</v>
      </c>
      <c r="G66" s="356" t="n">
        <v>0</v>
      </c>
      <c r="H66" s="356" t="n">
        <v>0</v>
      </c>
      <c r="I66" s="356" t="n">
        <v>0</v>
      </c>
      <c r="J66" s="356" t="n">
        <v>0</v>
      </c>
      <c r="K66" s="356" t="n">
        <v>0</v>
      </c>
      <c r="L66" s="356" t="n">
        <v>0</v>
      </c>
      <c r="M66" s="356" t="n">
        <v>0</v>
      </c>
      <c r="N66" s="356" t="n">
        <v>0</v>
      </c>
      <c r="O66" s="356" t="n">
        <v>0</v>
      </c>
      <c r="P66" s="356" t="n">
        <v>0</v>
      </c>
      <c r="Q66" s="356" t="n">
        <v>0</v>
      </c>
      <c r="R66" s="356" t="n">
        <v>0</v>
      </c>
      <c r="S66" s="356" t="n">
        <v>0</v>
      </c>
      <c r="T66" s="356" t="n">
        <v>0</v>
      </c>
      <c r="U66" s="356" t="n">
        <v>-262.7</v>
      </c>
      <c r="V66" s="356" t="n">
        <v>-216.63</v>
      </c>
      <c r="W66" s="356" t="n">
        <v>-607.8</v>
      </c>
      <c r="X66" s="356" t="n">
        <v>-203.3</v>
      </c>
      <c r="Y66" s="356" t="n">
        <v>-291.75</v>
      </c>
      <c r="Z66" s="356" t="n">
        <v>-538.09</v>
      </c>
      <c r="AA66" s="356" t="n">
        <v>-1115.72</v>
      </c>
      <c r="AB66" s="356" t="n">
        <v>-904.78</v>
      </c>
      <c r="AC66" s="356" t="n">
        <v>-1103.4</v>
      </c>
      <c r="AD66" s="356" t="n">
        <v>-740.39</v>
      </c>
      <c r="AE66" s="356" t="n">
        <f aca="false">SUM(B66:I66)</f>
        <v>0</v>
      </c>
      <c r="AF66" s="356" t="n">
        <f aca="false">SUM(J66:U66)</f>
        <v>-262.7</v>
      </c>
      <c r="AG66" s="356" t="n">
        <f aca="false">SUM(V66:AD66)</f>
        <v>-5721.86</v>
      </c>
      <c r="AH66" s="356" t="n">
        <f aca="false">SUM(B66:AD66)</f>
        <v>-5984.56</v>
      </c>
    </row>
    <row r="67" customFormat="false" ht="15" hidden="false" customHeight="false" outlineLevel="0" collapsed="false">
      <c r="A67" s="345" t="s">
        <v>1491</v>
      </c>
      <c r="B67" s="358" t="n">
        <f aca="false">B65+B66</f>
        <v>0</v>
      </c>
      <c r="C67" s="358" t="n">
        <f aca="false">C65+C66</f>
        <v>0</v>
      </c>
      <c r="D67" s="358" t="n">
        <f aca="false">D65+D66</f>
        <v>0</v>
      </c>
      <c r="E67" s="358" t="n">
        <f aca="false">E65+E66</f>
        <v>0</v>
      </c>
      <c r="F67" s="358" t="n">
        <f aca="false">F65+F66</f>
        <v>0</v>
      </c>
      <c r="G67" s="358" t="n">
        <f aca="false">G65+G66</f>
        <v>0</v>
      </c>
      <c r="H67" s="358" t="n">
        <f aca="false">H65+H66</f>
        <v>0</v>
      </c>
      <c r="I67" s="358" t="n">
        <f aca="false">I65+I66</f>
        <v>0</v>
      </c>
      <c r="J67" s="358" t="n">
        <f aca="false">J65+J66</f>
        <v>0</v>
      </c>
      <c r="K67" s="358" t="n">
        <f aca="false">K65+K66</f>
        <v>0</v>
      </c>
      <c r="L67" s="358" t="n">
        <f aca="false">L65+L66</f>
        <v>0</v>
      </c>
      <c r="M67" s="358" t="n">
        <f aca="false">M65+M66</f>
        <v>0</v>
      </c>
      <c r="N67" s="358" t="n">
        <f aca="false">N65+N66</f>
        <v>0</v>
      </c>
      <c r="O67" s="358" t="n">
        <f aca="false">O65+O66</f>
        <v>0</v>
      </c>
      <c r="P67" s="358" t="n">
        <f aca="false">P65+P66</f>
        <v>0</v>
      </c>
      <c r="Q67" s="358" t="n">
        <f aca="false">Q65+Q66</f>
        <v>0</v>
      </c>
      <c r="R67" s="358" t="n">
        <f aca="false">R65+R66</f>
        <v>0</v>
      </c>
      <c r="S67" s="358" t="n">
        <f aca="false">S65+S66</f>
        <v>0</v>
      </c>
      <c r="T67" s="358" t="n">
        <f aca="false">T65+T66</f>
        <v>0</v>
      </c>
      <c r="U67" s="358" t="n">
        <f aca="false">U65+U66</f>
        <v>6092.73</v>
      </c>
      <c r="V67" s="358" t="n">
        <f aca="false">V65+V66</f>
        <v>11285.38</v>
      </c>
      <c r="W67" s="358" t="n">
        <f aca="false">W65+W66</f>
        <v>12929.48</v>
      </c>
      <c r="X67" s="358" t="n">
        <f aca="false">X65+X66</f>
        <v>7364.86</v>
      </c>
      <c r="Y67" s="358" t="n">
        <f aca="false">Y65+Y66</f>
        <v>8530.32</v>
      </c>
      <c r="Z67" s="358" t="n">
        <f aca="false">Z65+Z66</f>
        <v>13990.4</v>
      </c>
      <c r="AA67" s="358" t="n">
        <f aca="false">AA65+AA66</f>
        <v>10318.51</v>
      </c>
      <c r="AB67" s="358" t="n">
        <f aca="false">AB65+AB66</f>
        <v>12221.29</v>
      </c>
      <c r="AC67" s="358" t="n">
        <f aca="false">AC65+AC66</f>
        <v>16813.21</v>
      </c>
      <c r="AD67" s="358" t="n">
        <f aca="false">AD65+AD66</f>
        <v>11039.75</v>
      </c>
      <c r="AE67" s="358" t="n">
        <f aca="false">AE65+AE66</f>
        <v>0</v>
      </c>
      <c r="AF67" s="358" t="n">
        <f aca="false">AF65+AF66</f>
        <v>6092.73</v>
      </c>
      <c r="AG67" s="358" t="n">
        <f aca="false">AG65+AG66</f>
        <v>104493.2</v>
      </c>
      <c r="AH67" s="358" t="n">
        <f aca="false">AH65+AH66</f>
        <v>110585.93</v>
      </c>
    </row>
    <row r="68" customFormat="false" ht="15" hidden="false" customHeight="false" outlineLevel="0" collapsed="false">
      <c r="A68" s="336" t="s">
        <v>1521</v>
      </c>
      <c r="B68" s="356" t="n">
        <v>0</v>
      </c>
      <c r="C68" s="356" t="n">
        <v>0</v>
      </c>
      <c r="D68" s="356" t="n">
        <v>0</v>
      </c>
      <c r="E68" s="356" t="n">
        <v>0</v>
      </c>
      <c r="F68" s="356" t="n">
        <v>0</v>
      </c>
      <c r="G68" s="356" t="n">
        <v>0</v>
      </c>
      <c r="H68" s="356" t="n">
        <v>0</v>
      </c>
      <c r="I68" s="356" t="n">
        <v>0</v>
      </c>
      <c r="J68" s="356" t="n">
        <v>0</v>
      </c>
      <c r="K68" s="356" t="n">
        <v>0</v>
      </c>
      <c r="L68" s="356" t="n">
        <v>0</v>
      </c>
      <c r="M68" s="356" t="n">
        <v>0</v>
      </c>
      <c r="N68" s="356" t="n">
        <v>0</v>
      </c>
      <c r="O68" s="356" t="n">
        <v>0</v>
      </c>
      <c r="P68" s="356" t="n">
        <v>0</v>
      </c>
      <c r="Q68" s="356" t="n">
        <v>0</v>
      </c>
      <c r="R68" s="356" t="n">
        <v>0</v>
      </c>
      <c r="S68" s="356" t="n">
        <v>0</v>
      </c>
      <c r="T68" s="356" t="n">
        <v>0</v>
      </c>
      <c r="U68" s="356" t="n">
        <v>-1615.44</v>
      </c>
      <c r="V68" s="356" t="n">
        <v>-5106.34</v>
      </c>
      <c r="W68" s="356" t="n">
        <v>-4441.11</v>
      </c>
      <c r="X68" s="356" t="n">
        <v>-733.56</v>
      </c>
      <c r="Y68" s="356" t="n">
        <v>-3066.81</v>
      </c>
      <c r="Z68" s="356" t="n">
        <v>-3711.92</v>
      </c>
      <c r="AA68" s="356" t="n">
        <v>-5592.44</v>
      </c>
      <c r="AB68" s="356" t="n">
        <v>-3015.49</v>
      </c>
      <c r="AC68" s="356" t="n">
        <v>-4713.02</v>
      </c>
      <c r="AD68" s="356" t="n">
        <v>-1767.52</v>
      </c>
      <c r="AE68" s="356" t="n">
        <f aca="false">SUM(B68:I68)</f>
        <v>0</v>
      </c>
      <c r="AF68" s="356" t="n">
        <f aca="false">SUM(J68:U68)</f>
        <v>-1615.44</v>
      </c>
      <c r="AG68" s="356" t="n">
        <f aca="false">SUM(V68:AD68)</f>
        <v>-32148.21</v>
      </c>
      <c r="AH68" s="356" t="n">
        <f aca="false">SUM(B68:AD68)</f>
        <v>-33763.65</v>
      </c>
    </row>
    <row r="69" customFormat="false" ht="15" hidden="false" customHeight="false" outlineLevel="0" collapsed="false">
      <c r="A69" s="345" t="s">
        <v>1522</v>
      </c>
      <c r="B69" s="358" t="n">
        <f aca="false">B67+B68</f>
        <v>0</v>
      </c>
      <c r="C69" s="358" t="n">
        <f aca="false">C67+C68</f>
        <v>0</v>
      </c>
      <c r="D69" s="358" t="n">
        <f aca="false">D67+D68</f>
        <v>0</v>
      </c>
      <c r="E69" s="358" t="n">
        <f aca="false">E67+E68</f>
        <v>0</v>
      </c>
      <c r="F69" s="358" t="n">
        <f aca="false">F67+F68</f>
        <v>0</v>
      </c>
      <c r="G69" s="358" t="n">
        <f aca="false">G67+G68</f>
        <v>0</v>
      </c>
      <c r="H69" s="358" t="n">
        <f aca="false">H67+H68</f>
        <v>0</v>
      </c>
      <c r="I69" s="358" t="n">
        <f aca="false">I67+I68</f>
        <v>0</v>
      </c>
      <c r="J69" s="358" t="n">
        <f aca="false">J67+J68</f>
        <v>0</v>
      </c>
      <c r="K69" s="358" t="n">
        <f aca="false">K67+K68</f>
        <v>0</v>
      </c>
      <c r="L69" s="358" t="n">
        <f aca="false">L67+L68</f>
        <v>0</v>
      </c>
      <c r="M69" s="358" t="n">
        <f aca="false">M67+M68</f>
        <v>0</v>
      </c>
      <c r="N69" s="358" t="n">
        <f aca="false">N67+N68</f>
        <v>0</v>
      </c>
      <c r="O69" s="358" t="n">
        <f aca="false">O67+O68</f>
        <v>0</v>
      </c>
      <c r="P69" s="358" t="n">
        <f aca="false">P67+P68</f>
        <v>0</v>
      </c>
      <c r="Q69" s="358" t="n">
        <f aca="false">Q67+Q68</f>
        <v>0</v>
      </c>
      <c r="R69" s="358" t="n">
        <f aca="false">R67+R68</f>
        <v>0</v>
      </c>
      <c r="S69" s="358" t="n">
        <f aca="false">S67+S68</f>
        <v>0</v>
      </c>
      <c r="T69" s="358" t="n">
        <f aca="false">T67+T68</f>
        <v>0</v>
      </c>
      <c r="U69" s="358" t="n">
        <f aca="false">U67+U68</f>
        <v>4477.29</v>
      </c>
      <c r="V69" s="358" t="n">
        <f aca="false">V67+V68</f>
        <v>6179.04</v>
      </c>
      <c r="W69" s="358" t="n">
        <f aca="false">W67+W68</f>
        <v>8488.37</v>
      </c>
      <c r="X69" s="358" t="n">
        <f aca="false">X67+X68</f>
        <v>6631.3</v>
      </c>
      <c r="Y69" s="358" t="n">
        <f aca="false">Y67+Y68</f>
        <v>5463.51</v>
      </c>
      <c r="Z69" s="358" t="n">
        <f aca="false">Z67+Z68</f>
        <v>10278.48</v>
      </c>
      <c r="AA69" s="358" t="n">
        <f aca="false">AA67+AA68</f>
        <v>4726.07</v>
      </c>
      <c r="AB69" s="358" t="n">
        <f aca="false">AB67+AB68</f>
        <v>9205.8</v>
      </c>
      <c r="AC69" s="358" t="n">
        <f aca="false">AC67+AC68</f>
        <v>12100.19</v>
      </c>
      <c r="AD69" s="358" t="n">
        <f aca="false">AD67+AD68</f>
        <v>9272.23</v>
      </c>
      <c r="AE69" s="358" t="n">
        <f aca="false">AE67+AE68</f>
        <v>0</v>
      </c>
      <c r="AF69" s="358" t="n">
        <f aca="false">AF67+AF68</f>
        <v>4477.29</v>
      </c>
      <c r="AG69" s="358" t="n">
        <f aca="false">AG67+AG68</f>
        <v>72344.99</v>
      </c>
      <c r="AH69" s="358" t="n">
        <f aca="false">AH67+AH68</f>
        <v>76822.28</v>
      </c>
    </row>
    <row r="70" customFormat="false" ht="15" hidden="false" customHeight="false" outlineLevel="0" collapsed="false">
      <c r="A70" s="336" t="s">
        <v>1410</v>
      </c>
      <c r="B70" s="357" t="n">
        <f aca="false">IFERROR(B69/B67,0)</f>
        <v>0</v>
      </c>
      <c r="C70" s="357" t="n">
        <f aca="false">IFERROR(C69/C67,0)</f>
        <v>0</v>
      </c>
      <c r="D70" s="357" t="n">
        <f aca="false">IFERROR(D69/D67,0)</f>
        <v>0</v>
      </c>
      <c r="E70" s="357" t="n">
        <f aca="false">IFERROR(E69/E67,0)</f>
        <v>0</v>
      </c>
      <c r="F70" s="357" t="n">
        <f aca="false">IFERROR(F69/F67,0)</f>
        <v>0</v>
      </c>
      <c r="G70" s="357" t="n">
        <f aca="false">IFERROR(G69/G67,0)</f>
        <v>0</v>
      </c>
      <c r="H70" s="357" t="n">
        <f aca="false">IFERROR(H69/H67,0)</f>
        <v>0</v>
      </c>
      <c r="I70" s="357" t="n">
        <f aca="false">IFERROR(I69/I67,0)</f>
        <v>0</v>
      </c>
      <c r="J70" s="357" t="n">
        <f aca="false">IFERROR(J69/J67,0)</f>
        <v>0</v>
      </c>
      <c r="K70" s="357" t="n">
        <f aca="false">IFERROR(K69/K67,0)</f>
        <v>0</v>
      </c>
      <c r="L70" s="357" t="n">
        <f aca="false">IFERROR(L69/L67,0)</f>
        <v>0</v>
      </c>
      <c r="M70" s="357" t="n">
        <f aca="false">IFERROR(M69/M67,0)</f>
        <v>0</v>
      </c>
      <c r="N70" s="357" t="n">
        <f aca="false">IFERROR(N69/N67,0)</f>
        <v>0</v>
      </c>
      <c r="O70" s="357" t="n">
        <f aca="false">IFERROR(O69/O67,0)</f>
        <v>0</v>
      </c>
      <c r="P70" s="357" t="n">
        <f aca="false">IFERROR(P69/P67,0)</f>
        <v>0</v>
      </c>
      <c r="Q70" s="357" t="n">
        <f aca="false">IFERROR(Q69/Q67,0)</f>
        <v>0</v>
      </c>
      <c r="R70" s="357" t="n">
        <f aca="false">IFERROR(R69/R67,0)</f>
        <v>0</v>
      </c>
      <c r="S70" s="357" t="n">
        <f aca="false">IFERROR(S69/S67,0)</f>
        <v>0</v>
      </c>
      <c r="T70" s="357" t="n">
        <f aca="false">IFERROR(T69/T67,0)</f>
        <v>0</v>
      </c>
      <c r="U70" s="357" t="n">
        <f aca="false">IFERROR(U69/U67,0)</f>
        <v>0.734857773116485</v>
      </c>
      <c r="V70" s="357" t="n">
        <f aca="false">IFERROR(V69/V67,0)</f>
        <v>0.547526091279159</v>
      </c>
      <c r="W70" s="357" t="n">
        <f aca="false">IFERROR(W69/W67,0)</f>
        <v>0.656512868266937</v>
      </c>
      <c r="X70" s="357" t="n">
        <f aca="false">IFERROR(X69/X67,0)</f>
        <v>0.900397292005551</v>
      </c>
      <c r="Y70" s="357" t="n">
        <f aca="false">IFERROR(Y69/Y67,0)</f>
        <v>0.640481248065723</v>
      </c>
      <c r="Z70" s="357" t="n">
        <f aca="false">IFERROR(Z69/Z67,0)</f>
        <v>0.734680924062214</v>
      </c>
      <c r="AA70" s="357" t="n">
        <f aca="false">IFERROR(AA69/AA67,0)</f>
        <v>0.458018648041239</v>
      </c>
      <c r="AB70" s="357" t="n">
        <f aca="false">IFERROR(AB69/AB67,0)</f>
        <v>0.753259271320785</v>
      </c>
      <c r="AC70" s="357" t="n">
        <f aca="false">IFERROR(AC69/AC67,0)</f>
        <v>0.719683510763263</v>
      </c>
      <c r="AD70" s="357" t="n">
        <f aca="false">IFERROR(AD69/AD67,0)</f>
        <v>0.83989492515682</v>
      </c>
      <c r="AE70" s="357" t="n">
        <f aca="false">IFERROR(AE69/AE67,0)</f>
        <v>0</v>
      </c>
      <c r="AF70" s="357" t="n">
        <f aca="false">IFERROR(AF69/AF67,0)</f>
        <v>0.734857773116485</v>
      </c>
      <c r="AG70" s="357" t="n">
        <f aca="false">IFERROR(AG69/AG67,0)</f>
        <v>0.692341606917962</v>
      </c>
      <c r="AH70" s="357" t="n">
        <f aca="false">IFERROR(AH69/AH67,0)</f>
        <v>0.694684034397504</v>
      </c>
    </row>
    <row r="71" customFormat="false" ht="15" hidden="false" customHeight="false" outlineLevel="0" collapsed="false">
      <c r="A71" s="336" t="s">
        <v>1523</v>
      </c>
      <c r="B71" s="356" t="n">
        <v>0</v>
      </c>
      <c r="C71" s="356" t="n">
        <v>0</v>
      </c>
      <c r="D71" s="356" t="n">
        <v>0</v>
      </c>
      <c r="E71" s="356" t="n">
        <v>0</v>
      </c>
      <c r="F71" s="356" t="n">
        <v>0</v>
      </c>
      <c r="G71" s="356" t="n">
        <v>0</v>
      </c>
      <c r="H71" s="356" t="n">
        <v>0</v>
      </c>
      <c r="I71" s="356" t="n">
        <v>0</v>
      </c>
      <c r="J71" s="356" t="n">
        <v>0</v>
      </c>
      <c r="K71" s="356" t="n">
        <v>-13.54</v>
      </c>
      <c r="L71" s="356" t="n">
        <v>0</v>
      </c>
      <c r="M71" s="356" t="n">
        <v>0</v>
      </c>
      <c r="N71" s="356" t="n">
        <v>0</v>
      </c>
      <c r="O71" s="356" t="n">
        <v>0</v>
      </c>
      <c r="P71" s="356" t="n">
        <v>0</v>
      </c>
      <c r="Q71" s="356" t="n">
        <v>0</v>
      </c>
      <c r="R71" s="356" t="n">
        <v>0</v>
      </c>
      <c r="S71" s="356" t="n">
        <v>0</v>
      </c>
      <c r="T71" s="356" t="n">
        <v>-1372.5</v>
      </c>
      <c r="U71" s="356" t="n">
        <v>-3262.97</v>
      </c>
      <c r="V71" s="356" t="n">
        <v>-5764.36</v>
      </c>
      <c r="W71" s="356" t="n">
        <v>-4625.11</v>
      </c>
      <c r="X71" s="356" t="n">
        <v>-4986.98</v>
      </c>
      <c r="Y71" s="356" t="n">
        <v>-4215.64</v>
      </c>
      <c r="Z71" s="356" t="n">
        <v>-4384.11</v>
      </c>
      <c r="AA71" s="356" t="n">
        <v>-4645.66</v>
      </c>
      <c r="AB71" s="356" t="n">
        <v>-1763.22</v>
      </c>
      <c r="AC71" s="356" t="n">
        <v>-4029.16</v>
      </c>
      <c r="AD71" s="356" t="n">
        <v>-2192.81</v>
      </c>
      <c r="AE71" s="356" t="n">
        <f aca="false">SUM(B71:I71)</f>
        <v>0</v>
      </c>
      <c r="AF71" s="356" t="n">
        <f aca="false">SUM(J71:U71)</f>
        <v>-4649.01</v>
      </c>
      <c r="AG71" s="356" t="n">
        <f aca="false">SUM(V71:AD71)</f>
        <v>-36607.05</v>
      </c>
      <c r="AH71" s="356" t="n">
        <f aca="false">SUM(B71:AD71)</f>
        <v>-41256.06</v>
      </c>
    </row>
    <row r="72" customFormat="false" ht="15" hidden="false" customHeight="false" outlineLevel="0" collapsed="false">
      <c r="A72" s="336" t="s">
        <v>1524</v>
      </c>
      <c r="B72" s="356" t="n">
        <v>0</v>
      </c>
      <c r="C72" s="356" t="n">
        <v>0</v>
      </c>
      <c r="D72" s="356" t="n">
        <v>0</v>
      </c>
      <c r="E72" s="356" t="n">
        <v>0</v>
      </c>
      <c r="F72" s="356" t="n">
        <v>0</v>
      </c>
      <c r="G72" s="356" t="n">
        <v>0</v>
      </c>
      <c r="H72" s="356" t="n">
        <v>0</v>
      </c>
      <c r="I72" s="356" t="n">
        <v>0</v>
      </c>
      <c r="J72" s="356" t="n">
        <v>0</v>
      </c>
      <c r="K72" s="356" t="n">
        <v>0</v>
      </c>
      <c r="L72" s="356" t="n">
        <v>0</v>
      </c>
      <c r="M72" s="356" t="n">
        <v>0</v>
      </c>
      <c r="N72" s="356" t="n">
        <v>0</v>
      </c>
      <c r="O72" s="356" t="n">
        <v>0</v>
      </c>
      <c r="P72" s="356" t="n">
        <v>0</v>
      </c>
      <c r="Q72" s="356" t="n">
        <v>-688.73</v>
      </c>
      <c r="R72" s="356" t="n">
        <v>0</v>
      </c>
      <c r="S72" s="356" t="n">
        <v>-1376.73</v>
      </c>
      <c r="T72" s="356" t="n">
        <v>-3084.37</v>
      </c>
      <c r="U72" s="356" t="n">
        <v>-2009.28</v>
      </c>
      <c r="V72" s="356" t="n">
        <v>-3084.33</v>
      </c>
      <c r="W72" s="356" t="n">
        <v>-4049.25</v>
      </c>
      <c r="X72" s="356" t="n">
        <v>-3092.83</v>
      </c>
      <c r="Y72" s="356" t="n">
        <v>-3084.33</v>
      </c>
      <c r="Z72" s="356" t="n">
        <v>-3084.33</v>
      </c>
      <c r="AA72" s="356" t="n">
        <v>-3084.33</v>
      </c>
      <c r="AB72" s="356" t="n">
        <v>-3084.33</v>
      </c>
      <c r="AC72" s="356" t="n">
        <v>-3084.33</v>
      </c>
      <c r="AD72" s="356" t="n">
        <v>-3084.33</v>
      </c>
      <c r="AE72" s="356" t="n">
        <f aca="false">SUM(B72:I72)</f>
        <v>0</v>
      </c>
      <c r="AF72" s="356" t="n">
        <f aca="false">SUM(J72:U72)</f>
        <v>-7159.11</v>
      </c>
      <c r="AG72" s="356" t="n">
        <f aca="false">SUM(V72:AD72)</f>
        <v>-28732.39</v>
      </c>
      <c r="AH72" s="356" t="n">
        <f aca="false">SUM(B72:AD72)</f>
        <v>-35891.5</v>
      </c>
    </row>
    <row r="73" customFormat="false" ht="15" hidden="false" customHeight="false" outlineLevel="0" collapsed="false">
      <c r="A73" s="336" t="s">
        <v>1525</v>
      </c>
      <c r="B73" s="356" t="n">
        <v>0</v>
      </c>
      <c r="C73" s="356" t="n">
        <v>0</v>
      </c>
      <c r="D73" s="356" t="n">
        <v>0</v>
      </c>
      <c r="E73" s="356" t="n">
        <v>0</v>
      </c>
      <c r="F73" s="356" t="n">
        <v>0</v>
      </c>
      <c r="G73" s="356" t="n">
        <v>0</v>
      </c>
      <c r="H73" s="356" t="n">
        <v>0</v>
      </c>
      <c r="I73" s="356" t="n">
        <v>0</v>
      </c>
      <c r="J73" s="356" t="n">
        <v>0</v>
      </c>
      <c r="K73" s="356" t="n">
        <v>0</v>
      </c>
      <c r="L73" s="356" t="n">
        <v>0</v>
      </c>
      <c r="M73" s="356" t="n">
        <v>0</v>
      </c>
      <c r="N73" s="356" t="n">
        <v>0</v>
      </c>
      <c r="O73" s="356" t="n">
        <v>0</v>
      </c>
      <c r="P73" s="356" t="n">
        <v>0</v>
      </c>
      <c r="Q73" s="356" t="n">
        <v>0</v>
      </c>
      <c r="R73" s="356" t="n">
        <v>0</v>
      </c>
      <c r="S73" s="356" t="n">
        <v>0</v>
      </c>
      <c r="T73" s="356" t="n">
        <v>0</v>
      </c>
      <c r="U73" s="356" t="n">
        <v>-1258.74</v>
      </c>
      <c r="V73" s="356" t="n">
        <v>-1516.22</v>
      </c>
      <c r="W73" s="356" t="n">
        <v>-2407.56</v>
      </c>
      <c r="X73" s="356" t="n">
        <v>-1758.77</v>
      </c>
      <c r="Y73" s="356" t="n">
        <v>-1886.35</v>
      </c>
      <c r="Z73" s="356" t="n">
        <v>-2604.51</v>
      </c>
      <c r="AA73" s="356" t="n">
        <v>-869.09</v>
      </c>
      <c r="AB73" s="356" t="n">
        <v>-826.77</v>
      </c>
      <c r="AC73" s="356" t="n">
        <v>27.08</v>
      </c>
      <c r="AD73" s="356" t="n">
        <v>-486.68</v>
      </c>
      <c r="AE73" s="356" t="n">
        <f aca="false">SUM(B73:I73)</f>
        <v>0</v>
      </c>
      <c r="AF73" s="356" t="n">
        <f aca="false">SUM(J73:U73)</f>
        <v>-1258.74</v>
      </c>
      <c r="AG73" s="356" t="n">
        <f aca="false">SUM(V73:AD73)</f>
        <v>-12328.87</v>
      </c>
      <c r="AH73" s="356" t="n">
        <f aca="false">SUM(B73:AD73)</f>
        <v>-13587.61</v>
      </c>
    </row>
    <row r="74" customFormat="false" ht="15" hidden="false" customHeight="false" outlineLevel="0" collapsed="false">
      <c r="A74" s="361" t="s">
        <v>136</v>
      </c>
      <c r="B74" s="362" t="n">
        <f aca="false">B69+B71+B72+B73</f>
        <v>0</v>
      </c>
      <c r="C74" s="362" t="n">
        <f aca="false">C69+C71+C72+C73</f>
        <v>0</v>
      </c>
      <c r="D74" s="362" t="n">
        <f aca="false">D69+D71+D72+D73</f>
        <v>0</v>
      </c>
      <c r="E74" s="362" t="n">
        <f aca="false">E69+E71+E72+E73</f>
        <v>0</v>
      </c>
      <c r="F74" s="362" t="n">
        <f aca="false">F69+F71+F72+F73</f>
        <v>0</v>
      </c>
      <c r="G74" s="362" t="n">
        <f aca="false">G69+G71+G72+G73</f>
        <v>0</v>
      </c>
      <c r="H74" s="362" t="n">
        <f aca="false">H69+H71+H72+H73</f>
        <v>0</v>
      </c>
      <c r="I74" s="362" t="n">
        <f aca="false">I69+I71+I72+I73</f>
        <v>0</v>
      </c>
      <c r="J74" s="362" t="n">
        <f aca="false">J69+J71+J72+J73</f>
        <v>0</v>
      </c>
      <c r="K74" s="362" t="n">
        <f aca="false">K69+K71+K72+K73</f>
        <v>-13.54</v>
      </c>
      <c r="L74" s="362" t="n">
        <f aca="false">L69+L71+L72+L73</f>
        <v>0</v>
      </c>
      <c r="M74" s="362" t="n">
        <f aca="false">M69+M71+M72+M73</f>
        <v>0</v>
      </c>
      <c r="N74" s="362" t="n">
        <f aca="false">N69+N71+N72+N73</f>
        <v>0</v>
      </c>
      <c r="O74" s="362" t="n">
        <f aca="false">O69+O71+O72+O73</f>
        <v>0</v>
      </c>
      <c r="P74" s="362" t="n">
        <f aca="false">P69+P71+P72+P73</f>
        <v>0</v>
      </c>
      <c r="Q74" s="362" t="n">
        <f aca="false">Q69+Q71+Q72+Q73</f>
        <v>-688.73</v>
      </c>
      <c r="R74" s="362" t="n">
        <f aca="false">R69+R71+R72+R73</f>
        <v>0</v>
      </c>
      <c r="S74" s="362" t="n">
        <f aca="false">S69+S71+S72+S73</f>
        <v>-1376.73</v>
      </c>
      <c r="T74" s="362" t="n">
        <f aca="false">T69+T71+T72+T73</f>
        <v>-4456.87</v>
      </c>
      <c r="U74" s="362" t="n">
        <f aca="false">U69+U71+U72+U73</f>
        <v>-2053.7</v>
      </c>
      <c r="V74" s="362" t="n">
        <f aca="false">V69+V71+V72+V73</f>
        <v>-4185.87</v>
      </c>
      <c r="W74" s="362" t="n">
        <f aca="false">W69+W71+W72+W73</f>
        <v>-2593.55</v>
      </c>
      <c r="X74" s="362" t="n">
        <f aca="false">X69+X71+X72+X73</f>
        <v>-3207.28</v>
      </c>
      <c r="Y74" s="362" t="n">
        <f aca="false">Y69+Y71+Y72+Y73</f>
        <v>-3722.81</v>
      </c>
      <c r="Z74" s="362" t="n">
        <f aca="false">Z69+Z71+Z72+Z73</f>
        <v>205.53</v>
      </c>
      <c r="AA74" s="362" t="n">
        <f aca="false">AA69+AA71+AA72+AA73</f>
        <v>-3873.01</v>
      </c>
      <c r="AB74" s="362" t="n">
        <f aca="false">AB69+AB71+AB72+AB73</f>
        <v>3531.48</v>
      </c>
      <c r="AC74" s="362" t="n">
        <f aca="false">AC69+AC71+AC72+AC73</f>
        <v>5013.78</v>
      </c>
      <c r="AD74" s="362" t="n">
        <f aca="false">AD69+AD71+AD72+AD73</f>
        <v>3508.41</v>
      </c>
      <c r="AE74" s="362" t="n">
        <f aca="false">AE69+AE71+AE72+AE73</f>
        <v>0</v>
      </c>
      <c r="AF74" s="362" t="n">
        <f aca="false">AF69+AF71+AF72+AF73</f>
        <v>-8589.57</v>
      </c>
      <c r="AG74" s="362" t="n">
        <f aca="false">AG69+AG71+AG72+AG73</f>
        <v>-5323.32000000001</v>
      </c>
      <c r="AH74" s="362" t="n">
        <f aca="false">AH69+AH71+AH72+AH73</f>
        <v>-13912.89</v>
      </c>
    </row>
    <row r="75" customFormat="false" ht="15" hidden="false" customHeight="false" outlineLevel="0" collapsed="false">
      <c r="A75" s="336" t="s">
        <v>1526</v>
      </c>
      <c r="B75" s="357" t="n">
        <f aca="false">IFERROR(B74/B67,0)</f>
        <v>0</v>
      </c>
      <c r="C75" s="357" t="n">
        <f aca="false">IFERROR(C74/C67,0)</f>
        <v>0</v>
      </c>
      <c r="D75" s="357" t="n">
        <f aca="false">IFERROR(D74/D67,0)</f>
        <v>0</v>
      </c>
      <c r="E75" s="357" t="n">
        <f aca="false">IFERROR(E74/E67,0)</f>
        <v>0</v>
      </c>
      <c r="F75" s="357" t="n">
        <f aca="false">IFERROR(F74/F67,0)</f>
        <v>0</v>
      </c>
      <c r="G75" s="357" t="n">
        <f aca="false">IFERROR(G74/G67,0)</f>
        <v>0</v>
      </c>
      <c r="H75" s="357" t="n">
        <f aca="false">IFERROR(H74/H67,0)</f>
        <v>0</v>
      </c>
      <c r="I75" s="357" t="n">
        <f aca="false">IFERROR(I74/I67,0)</f>
        <v>0</v>
      </c>
      <c r="J75" s="357" t="n">
        <f aca="false">IFERROR(J74/J67,0)</f>
        <v>0</v>
      </c>
      <c r="K75" s="357" t="n">
        <f aca="false">IFERROR(K74/K67,0)</f>
        <v>0</v>
      </c>
      <c r="L75" s="357" t="n">
        <f aca="false">IFERROR(L74/L67,0)</f>
        <v>0</v>
      </c>
      <c r="M75" s="357" t="n">
        <f aca="false">IFERROR(M74/M67,0)</f>
        <v>0</v>
      </c>
      <c r="N75" s="357" t="n">
        <f aca="false">IFERROR(N74/N67,0)</f>
        <v>0</v>
      </c>
      <c r="O75" s="357" t="n">
        <f aca="false">IFERROR(O74/O67,0)</f>
        <v>0</v>
      </c>
      <c r="P75" s="357" t="n">
        <f aca="false">IFERROR(P74/P67,0)</f>
        <v>0</v>
      </c>
      <c r="Q75" s="357" t="n">
        <f aca="false">IFERROR(Q74/Q67,0)</f>
        <v>0</v>
      </c>
      <c r="R75" s="357" t="n">
        <f aca="false">IFERROR(R74/R67,0)</f>
        <v>0</v>
      </c>
      <c r="S75" s="357" t="n">
        <f aca="false">IFERROR(S74/S67,0)</f>
        <v>0</v>
      </c>
      <c r="T75" s="357" t="n">
        <f aca="false">IFERROR(T74/T67,0)</f>
        <v>0</v>
      </c>
      <c r="U75" s="357" t="n">
        <f aca="false">IFERROR(U74/U67,0)</f>
        <v>-0.337073856875325</v>
      </c>
      <c r="V75" s="357" t="n">
        <f aca="false">IFERROR(V74/V67,0)</f>
        <v>-0.370910859891293</v>
      </c>
      <c r="W75" s="357" t="n">
        <f aca="false">IFERROR(W74/W67,0)</f>
        <v>-0.200591980497282</v>
      </c>
      <c r="X75" s="357" t="n">
        <f aca="false">IFERROR(X74/X67,0)</f>
        <v>-0.43548417756753</v>
      </c>
      <c r="Y75" s="357" t="n">
        <f aca="false">IFERROR(Y74/Y67,0)</f>
        <v>-0.43642090800814</v>
      </c>
      <c r="Z75" s="357" t="n">
        <f aca="false">IFERROR(Z74/Z67,0)</f>
        <v>0.0146907879688929</v>
      </c>
      <c r="AA75" s="357" t="n">
        <f aca="false">IFERROR(AA74/AA67,0)</f>
        <v>-0.375345859043602</v>
      </c>
      <c r="AB75" s="357" t="n">
        <f aca="false">IFERROR(AB74/AB67,0)</f>
        <v>0.288961312594661</v>
      </c>
      <c r="AC75" s="357" t="n">
        <f aca="false">IFERROR(AC74/AC67,0)</f>
        <v>0.298204804436512</v>
      </c>
      <c r="AD75" s="357" t="n">
        <f aca="false">IFERROR(AD74/AD67,0)</f>
        <v>0.317797957381281</v>
      </c>
      <c r="AE75" s="357" t="n">
        <f aca="false">IFERROR(AE74/AE67,0)</f>
        <v>0</v>
      </c>
      <c r="AF75" s="357" t="n">
        <f aca="false">IFERROR(AF74/AF67,0)</f>
        <v>-1.40980644144743</v>
      </c>
      <c r="AG75" s="357" t="n">
        <f aca="false">IFERROR(AG74/AG67,0)</f>
        <v>-0.0509441762717575</v>
      </c>
      <c r="AH75" s="357" t="n">
        <f aca="false">IFERROR(AH74/AH67,0)</f>
        <v>-0.125810670489456</v>
      </c>
    </row>
    <row r="76" customFormat="false" ht="15" hidden="false" customHeight="false" outlineLevel="0" collapsed="false">
      <c r="A76" s="336" t="s">
        <v>1527</v>
      </c>
      <c r="B76" s="356" t="n">
        <v>0</v>
      </c>
      <c r="C76" s="356" t="n">
        <v>0</v>
      </c>
      <c r="D76" s="356" t="n">
        <v>0</v>
      </c>
      <c r="E76" s="356" t="n">
        <v>0</v>
      </c>
      <c r="F76" s="356" t="n">
        <v>0</v>
      </c>
      <c r="G76" s="356" t="n">
        <v>0</v>
      </c>
      <c r="H76" s="356" t="n">
        <v>0</v>
      </c>
      <c r="I76" s="356" t="n">
        <v>0</v>
      </c>
      <c r="J76" s="356" t="n">
        <v>0</v>
      </c>
      <c r="K76" s="356" t="n">
        <v>0</v>
      </c>
      <c r="L76" s="356" t="n">
        <v>0</v>
      </c>
      <c r="M76" s="356" t="n">
        <v>0</v>
      </c>
      <c r="N76" s="356" t="n">
        <v>0</v>
      </c>
      <c r="O76" s="356" t="n">
        <v>0</v>
      </c>
      <c r="P76" s="356" t="n">
        <v>0</v>
      </c>
      <c r="Q76" s="356" t="n">
        <v>0</v>
      </c>
      <c r="R76" s="356" t="n">
        <v>0</v>
      </c>
      <c r="S76" s="356" t="n">
        <v>0</v>
      </c>
      <c r="T76" s="356" t="n">
        <v>-262.83</v>
      </c>
      <c r="U76" s="356" t="n">
        <v>-2063.24</v>
      </c>
      <c r="V76" s="356" t="n">
        <v>-4017.21</v>
      </c>
      <c r="W76" s="356" t="n">
        <v>-4017.15</v>
      </c>
      <c r="X76" s="356" t="n">
        <v>-4017.17</v>
      </c>
      <c r="Y76" s="356" t="n">
        <v>-4017.17</v>
      </c>
      <c r="Z76" s="356" t="n">
        <v>-4024.55</v>
      </c>
      <c r="AA76" s="356" t="n">
        <v>-4038.3</v>
      </c>
      <c r="AB76" s="356" t="n">
        <v>-4473.74</v>
      </c>
      <c r="AC76" s="356" t="n">
        <v>-4174.47</v>
      </c>
      <c r="AD76" s="356" t="n">
        <v>-4174.48</v>
      </c>
      <c r="AE76" s="356" t="n">
        <f aca="false">SUM(B76:I76)</f>
        <v>0</v>
      </c>
      <c r="AF76" s="356" t="n">
        <f aca="false">SUM(J76:U76)</f>
        <v>-2326.07</v>
      </c>
      <c r="AG76" s="356" t="n">
        <f aca="false">SUM(V76:AD76)</f>
        <v>-36954.24</v>
      </c>
      <c r="AH76" s="356" t="n">
        <f aca="false">SUM(B76:AD76)</f>
        <v>-39280.31</v>
      </c>
    </row>
    <row r="77" customFormat="false" ht="15" hidden="false" customHeight="false" outlineLevel="0" collapsed="false">
      <c r="A77" s="345" t="s">
        <v>1528</v>
      </c>
      <c r="B77" s="358" t="n">
        <f aca="false">B74+B76</f>
        <v>0</v>
      </c>
      <c r="C77" s="358" t="n">
        <f aca="false">C74+C76</f>
        <v>0</v>
      </c>
      <c r="D77" s="358" t="n">
        <f aca="false">D74+D76</f>
        <v>0</v>
      </c>
      <c r="E77" s="358" t="n">
        <f aca="false">E74+E76</f>
        <v>0</v>
      </c>
      <c r="F77" s="358" t="n">
        <f aca="false">F74+F76</f>
        <v>0</v>
      </c>
      <c r="G77" s="358" t="n">
        <f aca="false">G74+G76</f>
        <v>0</v>
      </c>
      <c r="H77" s="358" t="n">
        <f aca="false">H74+H76</f>
        <v>0</v>
      </c>
      <c r="I77" s="358" t="n">
        <f aca="false">I74+I76</f>
        <v>0</v>
      </c>
      <c r="J77" s="358" t="n">
        <f aca="false">J74+J76</f>
        <v>0</v>
      </c>
      <c r="K77" s="358" t="n">
        <f aca="false">K74+K76</f>
        <v>-13.54</v>
      </c>
      <c r="L77" s="358" t="n">
        <f aca="false">L74+L76</f>
        <v>0</v>
      </c>
      <c r="M77" s="358" t="n">
        <f aca="false">M74+M76</f>
        <v>0</v>
      </c>
      <c r="N77" s="358" t="n">
        <f aca="false">N74+N76</f>
        <v>0</v>
      </c>
      <c r="O77" s="358" t="n">
        <f aca="false">O74+O76</f>
        <v>0</v>
      </c>
      <c r="P77" s="358" t="n">
        <f aca="false">P74+P76</f>
        <v>0</v>
      </c>
      <c r="Q77" s="358" t="n">
        <f aca="false">Q74+Q76</f>
        <v>-688.73</v>
      </c>
      <c r="R77" s="358" t="n">
        <f aca="false">R74+R76</f>
        <v>0</v>
      </c>
      <c r="S77" s="358" t="n">
        <f aca="false">S74+S76</f>
        <v>-1376.73</v>
      </c>
      <c r="T77" s="358" t="n">
        <f aca="false">T74+T76</f>
        <v>-4719.7</v>
      </c>
      <c r="U77" s="358" t="n">
        <f aca="false">U74+U76</f>
        <v>-4116.94</v>
      </c>
      <c r="V77" s="358" t="n">
        <f aca="false">V74+V76</f>
        <v>-8203.08</v>
      </c>
      <c r="W77" s="358" t="n">
        <f aca="false">W74+W76</f>
        <v>-6610.7</v>
      </c>
      <c r="X77" s="358" t="n">
        <f aca="false">X74+X76</f>
        <v>-7224.45</v>
      </c>
      <c r="Y77" s="358" t="n">
        <f aca="false">Y74+Y76</f>
        <v>-7739.98</v>
      </c>
      <c r="Z77" s="358" t="n">
        <f aca="false">Z74+Z76</f>
        <v>-3819.02</v>
      </c>
      <c r="AA77" s="358" t="n">
        <f aca="false">AA74+AA76</f>
        <v>-7911.31</v>
      </c>
      <c r="AB77" s="358" t="n">
        <f aca="false">AB74+AB76</f>
        <v>-942.260000000001</v>
      </c>
      <c r="AC77" s="358" t="n">
        <f aca="false">AC74+AC76</f>
        <v>839.309999999999</v>
      </c>
      <c r="AD77" s="358" t="n">
        <f aca="false">AD74+AD76</f>
        <v>-666.069999999999</v>
      </c>
      <c r="AE77" s="358" t="n">
        <f aca="false">AE74+AE76</f>
        <v>0</v>
      </c>
      <c r="AF77" s="358" t="n">
        <f aca="false">AF74+AF76</f>
        <v>-10915.64</v>
      </c>
      <c r="AG77" s="358" t="n">
        <f aca="false">AG74+AG76</f>
        <v>-42277.56</v>
      </c>
      <c r="AH77" s="358" t="n">
        <f aca="false">AH74+AH76</f>
        <v>-53193.2</v>
      </c>
    </row>
    <row r="79" customFormat="false" ht="15" hidden="false" customHeight="false" outlineLevel="0" collapsed="false">
      <c r="A79" s="339" t="s">
        <v>1494</v>
      </c>
      <c r="B79" s="353"/>
      <c r="C79" s="353"/>
      <c r="D79" s="353"/>
      <c r="E79" s="353"/>
      <c r="F79" s="353"/>
      <c r="G79" s="353"/>
      <c r="H79" s="353"/>
      <c r="I79" s="353"/>
      <c r="J79" s="353"/>
      <c r="K79" s="353"/>
      <c r="L79" s="353"/>
      <c r="M79" s="353"/>
      <c r="N79" s="353"/>
      <c r="O79" s="353"/>
      <c r="P79" s="353"/>
      <c r="Q79" s="353"/>
      <c r="R79" s="353"/>
      <c r="S79" s="353"/>
      <c r="T79" s="353"/>
      <c r="U79" s="353"/>
      <c r="V79" s="353"/>
      <c r="W79" s="353"/>
      <c r="X79" s="353"/>
      <c r="Y79" s="353"/>
      <c r="Z79" s="353"/>
      <c r="AA79" s="353"/>
      <c r="AB79" s="353"/>
      <c r="AC79" s="353"/>
      <c r="AD79" s="353"/>
      <c r="AE79" s="353"/>
      <c r="AF79" s="353"/>
      <c r="AG79" s="353"/>
      <c r="AH79" s="353"/>
    </row>
    <row r="80" customFormat="false" ht="15" hidden="false" customHeight="false" outlineLevel="0" collapsed="false">
      <c r="A80" s="336" t="s">
        <v>1519</v>
      </c>
      <c r="B80" s="356" t="n">
        <v>0</v>
      </c>
      <c r="C80" s="356" t="n">
        <v>0</v>
      </c>
      <c r="D80" s="356" t="n">
        <v>0</v>
      </c>
      <c r="E80" s="356" t="n">
        <v>0</v>
      </c>
      <c r="F80" s="356" t="n">
        <v>0</v>
      </c>
      <c r="G80" s="356" t="n">
        <v>0</v>
      </c>
      <c r="H80" s="356" t="n">
        <v>0</v>
      </c>
      <c r="I80" s="356" t="n">
        <v>0</v>
      </c>
      <c r="J80" s="356" t="n">
        <v>0</v>
      </c>
      <c r="K80" s="356" t="n">
        <v>0</v>
      </c>
      <c r="L80" s="356" t="n">
        <v>0</v>
      </c>
      <c r="M80" s="356" t="n">
        <v>0</v>
      </c>
      <c r="N80" s="356" t="n">
        <v>12446.77</v>
      </c>
      <c r="O80" s="356" t="n">
        <v>844.52</v>
      </c>
      <c r="P80" s="356" t="n">
        <v>6829.98</v>
      </c>
      <c r="Q80" s="356" t="n">
        <v>4540.06</v>
      </c>
      <c r="R80" s="356" t="n">
        <v>21375.8</v>
      </c>
      <c r="S80" s="356" t="n">
        <v>24237.03</v>
      </c>
      <c r="T80" s="356" t="n">
        <v>2157.45</v>
      </c>
      <c r="U80" s="356" t="n">
        <v>15.9</v>
      </c>
      <c r="V80" s="356" t="n">
        <v>5568.5</v>
      </c>
      <c r="W80" s="356" t="n">
        <v>2497.82</v>
      </c>
      <c r="X80" s="356" t="n">
        <v>2155.07</v>
      </c>
      <c r="Y80" s="356" t="n">
        <v>4376.71</v>
      </c>
      <c r="Z80" s="356" t="n">
        <v>5979.13</v>
      </c>
      <c r="AA80" s="356" t="n">
        <v>341.59</v>
      </c>
      <c r="AB80" s="356" t="n">
        <v>1937.32</v>
      </c>
      <c r="AC80" s="356" t="n">
        <v>9880.01</v>
      </c>
      <c r="AD80" s="356" t="n">
        <v>6702.3</v>
      </c>
      <c r="AE80" s="356" t="n">
        <f aca="false">SUM(B80:I80)</f>
        <v>0</v>
      </c>
      <c r="AF80" s="356" t="n">
        <f aca="false">SUM(J80:U80)</f>
        <v>72447.51</v>
      </c>
      <c r="AG80" s="356" t="n">
        <f aca="false">SUM(V80:AD80)</f>
        <v>39438.45</v>
      </c>
      <c r="AH80" s="356" t="n">
        <f aca="false">SUM(B80:AD80)</f>
        <v>111885.96</v>
      </c>
    </row>
    <row r="81" customFormat="false" ht="15" hidden="false" customHeight="false" outlineLevel="0" collapsed="false">
      <c r="A81" s="336" t="s">
        <v>1520</v>
      </c>
      <c r="B81" s="356" t="n">
        <v>0</v>
      </c>
      <c r="C81" s="356" t="n">
        <v>0</v>
      </c>
      <c r="D81" s="356" t="n">
        <v>0</v>
      </c>
      <c r="E81" s="356" t="n">
        <v>0</v>
      </c>
      <c r="F81" s="356" t="n">
        <v>0</v>
      </c>
      <c r="G81" s="356" t="n">
        <v>0</v>
      </c>
      <c r="H81" s="356" t="n">
        <v>0</v>
      </c>
      <c r="I81" s="356" t="n">
        <v>0</v>
      </c>
      <c r="J81" s="356" t="n">
        <v>0</v>
      </c>
      <c r="K81" s="356" t="n">
        <v>0</v>
      </c>
      <c r="L81" s="356" t="n">
        <v>0</v>
      </c>
      <c r="M81" s="356" t="n">
        <v>0</v>
      </c>
      <c r="N81" s="356" t="n">
        <v>-1363.25</v>
      </c>
      <c r="O81" s="356" t="n">
        <v>-50.25</v>
      </c>
      <c r="P81" s="356" t="n">
        <v>-52.2</v>
      </c>
      <c r="Q81" s="356" t="n">
        <v>-74.86</v>
      </c>
      <c r="R81" s="356" t="n">
        <v>-287.11</v>
      </c>
      <c r="S81" s="356" t="n">
        <v>-107.73</v>
      </c>
      <c r="T81" s="356" t="n">
        <v>-1.66</v>
      </c>
      <c r="U81" s="356" t="n">
        <v>-5.74</v>
      </c>
      <c r="V81" s="356" t="n">
        <v>-25.23</v>
      </c>
      <c r="W81" s="356" t="n">
        <v>0</v>
      </c>
      <c r="X81" s="356" t="n">
        <v>-1098.2</v>
      </c>
      <c r="Y81" s="356" t="n">
        <v>-1491.24</v>
      </c>
      <c r="Z81" s="356" t="n">
        <v>-1766.84</v>
      </c>
      <c r="AA81" s="356" t="n">
        <v>-0.65</v>
      </c>
      <c r="AB81" s="356" t="n">
        <v>-0.42</v>
      </c>
      <c r="AC81" s="356" t="n">
        <v>-103.45</v>
      </c>
      <c r="AD81" s="356" t="n">
        <v>-8.13</v>
      </c>
      <c r="AE81" s="356" t="n">
        <f aca="false">SUM(B81:I81)</f>
        <v>0</v>
      </c>
      <c r="AF81" s="356" t="n">
        <f aca="false">SUM(J81:U81)</f>
        <v>-1942.8</v>
      </c>
      <c r="AG81" s="356" t="n">
        <f aca="false">SUM(V81:AD81)</f>
        <v>-4494.16</v>
      </c>
      <c r="AH81" s="356" t="n">
        <f aca="false">SUM(B81:AD81)</f>
        <v>-6436.96</v>
      </c>
    </row>
    <row r="82" customFormat="false" ht="15" hidden="false" customHeight="false" outlineLevel="0" collapsed="false">
      <c r="A82" s="345" t="s">
        <v>1491</v>
      </c>
      <c r="B82" s="358" t="n">
        <f aca="false">B80+B81</f>
        <v>0</v>
      </c>
      <c r="C82" s="358" t="n">
        <f aca="false">C80+C81</f>
        <v>0</v>
      </c>
      <c r="D82" s="358" t="n">
        <f aca="false">D80+D81</f>
        <v>0</v>
      </c>
      <c r="E82" s="358" t="n">
        <f aca="false">E80+E81</f>
        <v>0</v>
      </c>
      <c r="F82" s="358" t="n">
        <f aca="false">F80+F81</f>
        <v>0</v>
      </c>
      <c r="G82" s="358" t="n">
        <f aca="false">G80+G81</f>
        <v>0</v>
      </c>
      <c r="H82" s="358" t="n">
        <f aca="false">H80+H81</f>
        <v>0</v>
      </c>
      <c r="I82" s="358" t="n">
        <f aca="false">I80+I81</f>
        <v>0</v>
      </c>
      <c r="J82" s="358" t="n">
        <f aca="false">J80+J81</f>
        <v>0</v>
      </c>
      <c r="K82" s="358" t="n">
        <f aca="false">K80+K81</f>
        <v>0</v>
      </c>
      <c r="L82" s="358" t="n">
        <f aca="false">L80+L81</f>
        <v>0</v>
      </c>
      <c r="M82" s="358" t="n">
        <f aca="false">M80+M81</f>
        <v>0</v>
      </c>
      <c r="N82" s="358" t="n">
        <f aca="false">N80+N81</f>
        <v>11083.52</v>
      </c>
      <c r="O82" s="358" t="n">
        <f aca="false">O80+O81</f>
        <v>794.27</v>
      </c>
      <c r="P82" s="358" t="n">
        <f aca="false">P80+P81</f>
        <v>6777.78</v>
      </c>
      <c r="Q82" s="358" t="n">
        <f aca="false">Q80+Q81</f>
        <v>4465.2</v>
      </c>
      <c r="R82" s="358" t="n">
        <f aca="false">R80+R81</f>
        <v>21088.69</v>
      </c>
      <c r="S82" s="358" t="n">
        <f aca="false">S80+S81</f>
        <v>24129.3</v>
      </c>
      <c r="T82" s="358" t="n">
        <f aca="false">T80+T81</f>
        <v>2155.79</v>
      </c>
      <c r="U82" s="358" t="n">
        <f aca="false">U80+U81</f>
        <v>10.16</v>
      </c>
      <c r="V82" s="358" t="n">
        <f aca="false">V80+V81</f>
        <v>5543.27</v>
      </c>
      <c r="W82" s="358" t="n">
        <f aca="false">W80+W81</f>
        <v>2497.82</v>
      </c>
      <c r="X82" s="358" t="n">
        <f aca="false">X80+X81</f>
        <v>1056.87</v>
      </c>
      <c r="Y82" s="358" t="n">
        <f aca="false">Y80+Y81</f>
        <v>2885.47</v>
      </c>
      <c r="Z82" s="358" t="n">
        <f aca="false">Z80+Z81</f>
        <v>4212.29</v>
      </c>
      <c r="AA82" s="358" t="n">
        <f aca="false">AA80+AA81</f>
        <v>340.94</v>
      </c>
      <c r="AB82" s="358" t="n">
        <f aca="false">AB80+AB81</f>
        <v>1936.9</v>
      </c>
      <c r="AC82" s="358" t="n">
        <f aca="false">AC80+AC81</f>
        <v>9776.56</v>
      </c>
      <c r="AD82" s="358" t="n">
        <f aca="false">AD80+AD81</f>
        <v>6694.17</v>
      </c>
      <c r="AE82" s="358" t="n">
        <f aca="false">AE80+AE81</f>
        <v>0</v>
      </c>
      <c r="AF82" s="358" t="n">
        <f aca="false">AF80+AF81</f>
        <v>70504.71</v>
      </c>
      <c r="AG82" s="358" t="n">
        <f aca="false">AG80+AG81</f>
        <v>34944.29</v>
      </c>
      <c r="AH82" s="358" t="n">
        <f aca="false">AH80+AH81</f>
        <v>105449</v>
      </c>
    </row>
    <row r="83" customFormat="false" ht="15" hidden="false" customHeight="false" outlineLevel="0" collapsed="false">
      <c r="A83" s="336" t="s">
        <v>1521</v>
      </c>
      <c r="B83" s="356" t="n">
        <v>0</v>
      </c>
      <c r="C83" s="356" t="n">
        <v>0</v>
      </c>
      <c r="D83" s="356" t="n">
        <v>0</v>
      </c>
      <c r="E83" s="356" t="n">
        <v>0</v>
      </c>
      <c r="F83" s="356" t="n">
        <v>0</v>
      </c>
      <c r="G83" s="356" t="n">
        <v>0</v>
      </c>
      <c r="H83" s="356" t="n">
        <v>0</v>
      </c>
      <c r="I83" s="356" t="n">
        <v>0</v>
      </c>
      <c r="J83" s="356" t="n">
        <v>0</v>
      </c>
      <c r="K83" s="356" t="n">
        <v>0</v>
      </c>
      <c r="L83" s="356" t="n">
        <v>0</v>
      </c>
      <c r="M83" s="356" t="n">
        <v>0</v>
      </c>
      <c r="N83" s="356" t="n">
        <v>-3867.65</v>
      </c>
      <c r="O83" s="356" t="n">
        <v>-175.82</v>
      </c>
      <c r="P83" s="356" t="n">
        <v>-2059.11</v>
      </c>
      <c r="Q83" s="356" t="n">
        <v>-1863.06</v>
      </c>
      <c r="R83" s="356" t="n">
        <v>-8547.83</v>
      </c>
      <c r="S83" s="356" t="n">
        <v>-9515.01</v>
      </c>
      <c r="T83" s="356" t="n">
        <v>-487.8</v>
      </c>
      <c r="U83" s="356" t="n">
        <v>-25.21</v>
      </c>
      <c r="V83" s="356" t="n">
        <v>-1255.34</v>
      </c>
      <c r="W83" s="356" t="n">
        <v>-487.36</v>
      </c>
      <c r="X83" s="356" t="n">
        <v>-228.29</v>
      </c>
      <c r="Y83" s="356" t="n">
        <v>-1146.15</v>
      </c>
      <c r="Z83" s="356" t="n">
        <v>-1547.17</v>
      </c>
      <c r="AA83" s="356" t="n">
        <v>-192.64</v>
      </c>
      <c r="AB83" s="356" t="n">
        <v>-292.52</v>
      </c>
      <c r="AC83" s="356" t="n">
        <v>-1712.89</v>
      </c>
      <c r="AD83" s="356" t="n">
        <v>-894.96</v>
      </c>
      <c r="AE83" s="356" t="n">
        <f aca="false">SUM(B83:I83)</f>
        <v>0</v>
      </c>
      <c r="AF83" s="356" t="n">
        <f aca="false">SUM(J83:U83)</f>
        <v>-26541.49</v>
      </c>
      <c r="AG83" s="356" t="n">
        <f aca="false">SUM(V83:AD83)</f>
        <v>-7757.32</v>
      </c>
      <c r="AH83" s="356" t="n">
        <f aca="false">SUM(B83:AD83)</f>
        <v>-34298.81</v>
      </c>
    </row>
    <row r="84" customFormat="false" ht="15" hidden="false" customHeight="false" outlineLevel="0" collapsed="false">
      <c r="A84" s="345" t="s">
        <v>1522</v>
      </c>
      <c r="B84" s="358" t="n">
        <f aca="false">B82+B83</f>
        <v>0</v>
      </c>
      <c r="C84" s="358" t="n">
        <f aca="false">C82+C83</f>
        <v>0</v>
      </c>
      <c r="D84" s="358" t="n">
        <f aca="false">D82+D83</f>
        <v>0</v>
      </c>
      <c r="E84" s="358" t="n">
        <f aca="false">E82+E83</f>
        <v>0</v>
      </c>
      <c r="F84" s="358" t="n">
        <f aca="false">F82+F83</f>
        <v>0</v>
      </c>
      <c r="G84" s="358" t="n">
        <f aca="false">G82+G83</f>
        <v>0</v>
      </c>
      <c r="H84" s="358" t="n">
        <f aca="false">H82+H83</f>
        <v>0</v>
      </c>
      <c r="I84" s="358" t="n">
        <f aca="false">I82+I83</f>
        <v>0</v>
      </c>
      <c r="J84" s="358" t="n">
        <f aca="false">J82+J83</f>
        <v>0</v>
      </c>
      <c r="K84" s="358" t="n">
        <f aca="false">K82+K83</f>
        <v>0</v>
      </c>
      <c r="L84" s="358" t="n">
        <f aca="false">L82+L83</f>
        <v>0</v>
      </c>
      <c r="M84" s="358" t="n">
        <f aca="false">M82+M83</f>
        <v>0</v>
      </c>
      <c r="N84" s="358" t="n">
        <f aca="false">N82+N83</f>
        <v>7215.87</v>
      </c>
      <c r="O84" s="358" t="n">
        <f aca="false">O82+O83</f>
        <v>618.45</v>
      </c>
      <c r="P84" s="358" t="n">
        <f aca="false">P82+P83</f>
        <v>4718.67</v>
      </c>
      <c r="Q84" s="358" t="n">
        <f aca="false">Q82+Q83</f>
        <v>2602.14</v>
      </c>
      <c r="R84" s="358" t="n">
        <f aca="false">R82+R83</f>
        <v>12540.86</v>
      </c>
      <c r="S84" s="358" t="n">
        <f aca="false">S82+S83</f>
        <v>14614.29</v>
      </c>
      <c r="T84" s="358" t="n">
        <f aca="false">T82+T83</f>
        <v>1667.99</v>
      </c>
      <c r="U84" s="358" t="n">
        <f aca="false">U82+U83</f>
        <v>-15.05</v>
      </c>
      <c r="V84" s="358" t="n">
        <f aca="false">V82+V83</f>
        <v>4287.93</v>
      </c>
      <c r="W84" s="358" t="n">
        <f aca="false">W82+W83</f>
        <v>2010.46</v>
      </c>
      <c r="X84" s="358" t="n">
        <f aca="false">X82+X83</f>
        <v>828.58</v>
      </c>
      <c r="Y84" s="358" t="n">
        <f aca="false">Y82+Y83</f>
        <v>1739.32</v>
      </c>
      <c r="Z84" s="358" t="n">
        <f aca="false">Z82+Z83</f>
        <v>2665.12</v>
      </c>
      <c r="AA84" s="358" t="n">
        <f aca="false">AA82+AA83</f>
        <v>148.3</v>
      </c>
      <c r="AB84" s="358" t="n">
        <f aca="false">AB82+AB83</f>
        <v>1644.38</v>
      </c>
      <c r="AC84" s="358" t="n">
        <f aca="false">AC82+AC83</f>
        <v>8063.67</v>
      </c>
      <c r="AD84" s="358" t="n">
        <f aca="false">AD82+AD83</f>
        <v>5799.21</v>
      </c>
      <c r="AE84" s="358" t="n">
        <f aca="false">AE82+AE83</f>
        <v>0</v>
      </c>
      <c r="AF84" s="358" t="n">
        <f aca="false">AF82+AF83</f>
        <v>43963.22</v>
      </c>
      <c r="AG84" s="358" t="n">
        <f aca="false">AG82+AG83</f>
        <v>27186.97</v>
      </c>
      <c r="AH84" s="358" t="n">
        <f aca="false">AH82+AH83</f>
        <v>71150.19</v>
      </c>
    </row>
    <row r="85" customFormat="false" ht="15" hidden="false" customHeight="false" outlineLevel="0" collapsed="false">
      <c r="A85" s="336" t="s">
        <v>1410</v>
      </c>
      <c r="B85" s="357" t="n">
        <f aca="false">IFERROR(B84/B82,0)</f>
        <v>0</v>
      </c>
      <c r="C85" s="357" t="n">
        <f aca="false">IFERROR(C84/C82,0)</f>
        <v>0</v>
      </c>
      <c r="D85" s="357" t="n">
        <f aca="false">IFERROR(D84/D82,0)</f>
        <v>0</v>
      </c>
      <c r="E85" s="357" t="n">
        <f aca="false">IFERROR(E84/E82,0)</f>
        <v>0</v>
      </c>
      <c r="F85" s="357" t="n">
        <f aca="false">IFERROR(F84/F82,0)</f>
        <v>0</v>
      </c>
      <c r="G85" s="357" t="n">
        <f aca="false">IFERROR(G84/G82,0)</f>
        <v>0</v>
      </c>
      <c r="H85" s="357" t="n">
        <f aca="false">IFERROR(H84/H82,0)</f>
        <v>0</v>
      </c>
      <c r="I85" s="357" t="n">
        <f aca="false">IFERROR(I84/I82,0)</f>
        <v>0</v>
      </c>
      <c r="J85" s="357" t="n">
        <f aca="false">IFERROR(J84/J82,0)</f>
        <v>0</v>
      </c>
      <c r="K85" s="357" t="n">
        <f aca="false">IFERROR(K84/K82,0)</f>
        <v>0</v>
      </c>
      <c r="L85" s="357" t="n">
        <f aca="false">IFERROR(L84/L82,0)</f>
        <v>0</v>
      </c>
      <c r="M85" s="357" t="n">
        <f aca="false">IFERROR(M84/M82,0)</f>
        <v>0</v>
      </c>
      <c r="N85" s="357" t="n">
        <f aca="false">IFERROR(N84/N82,0)</f>
        <v>0.651044974881626</v>
      </c>
      <c r="O85" s="357" t="n">
        <f aca="false">IFERROR(O84/O82,0)</f>
        <v>0.778639505457842</v>
      </c>
      <c r="P85" s="357" t="n">
        <f aca="false">IFERROR(P84/P82,0)</f>
        <v>0.696196984853448</v>
      </c>
      <c r="Q85" s="357" t="n">
        <f aca="false">IFERROR(Q84/Q82,0)</f>
        <v>0.582760010749799</v>
      </c>
      <c r="R85" s="357" t="n">
        <f aca="false">IFERROR(R84/R82,0)</f>
        <v>0.59467231013401</v>
      </c>
      <c r="S85" s="357" t="n">
        <f aca="false">IFERROR(S84/S82,0)</f>
        <v>0.605665725901705</v>
      </c>
      <c r="T85" s="357" t="n">
        <f aca="false">IFERROR(T84/T82,0)</f>
        <v>0.773725641180263</v>
      </c>
      <c r="U85" s="357" t="n">
        <f aca="false">IFERROR(U84/U82,0)</f>
        <v>-1.48129921259843</v>
      </c>
      <c r="V85" s="357" t="n">
        <f aca="false">IFERROR(V84/V82,0)</f>
        <v>0.773538001937485</v>
      </c>
      <c r="W85" s="357" t="n">
        <f aca="false">IFERROR(W84/W82,0)</f>
        <v>0.80488586047033</v>
      </c>
      <c r="X85" s="357" t="n">
        <f aca="false">IFERROR(X84/X82,0)</f>
        <v>0.783994247163795</v>
      </c>
      <c r="Y85" s="357" t="n">
        <f aca="false">IFERROR(Y84/Y82,0)</f>
        <v>0.602785681362135</v>
      </c>
      <c r="Z85" s="357" t="n">
        <f aca="false">IFERROR(Z84/Z82,0)</f>
        <v>0.632700977378101</v>
      </c>
      <c r="AA85" s="357" t="n">
        <f aca="false">IFERROR(AA84/AA82,0)</f>
        <v>0.434973895700123</v>
      </c>
      <c r="AB85" s="357" t="n">
        <f aca="false">IFERROR(AB84/AB82,0)</f>
        <v>0.848975166503175</v>
      </c>
      <c r="AC85" s="357" t="n">
        <f aca="false">IFERROR(AC84/AC82,0)</f>
        <v>0.824796247350806</v>
      </c>
      <c r="AD85" s="357" t="n">
        <f aca="false">IFERROR(AD84/AD82,0)</f>
        <v>0.86630754820986</v>
      </c>
      <c r="AE85" s="357" t="n">
        <f aca="false">IFERROR(AE84/AE82,0)</f>
        <v>0</v>
      </c>
      <c r="AF85" s="357" t="n">
        <f aca="false">IFERROR(AF84/AF82,0)</f>
        <v>0.623550114595181</v>
      </c>
      <c r="AG85" s="357" t="n">
        <f aca="false">IFERROR(AG84/AG82,0)</f>
        <v>0.778008939371783</v>
      </c>
      <c r="AH85" s="357" t="n">
        <f aca="false">IFERROR(AH84/AH82,0)</f>
        <v>0.674735559369933</v>
      </c>
    </row>
    <row r="86" customFormat="false" ht="15" hidden="false" customHeight="false" outlineLevel="0" collapsed="false">
      <c r="A86" s="336" t="s">
        <v>1523</v>
      </c>
      <c r="B86" s="356" t="n">
        <v>0</v>
      </c>
      <c r="C86" s="356" t="n">
        <v>0</v>
      </c>
      <c r="D86" s="356" t="n">
        <v>0</v>
      </c>
      <c r="E86" s="356" t="n">
        <v>0</v>
      </c>
      <c r="F86" s="356" t="n">
        <v>0</v>
      </c>
      <c r="G86" s="356" t="n">
        <v>0</v>
      </c>
      <c r="H86" s="356" t="n">
        <v>0</v>
      </c>
      <c r="I86" s="356" t="n">
        <v>0</v>
      </c>
      <c r="J86" s="356" t="n">
        <v>0</v>
      </c>
      <c r="K86" s="356" t="n">
        <v>0</v>
      </c>
      <c r="L86" s="356" t="n">
        <v>0</v>
      </c>
      <c r="M86" s="356" t="n">
        <v>0</v>
      </c>
      <c r="N86" s="356" t="n">
        <v>0</v>
      </c>
      <c r="O86" s="356" t="n">
        <v>-118.8</v>
      </c>
      <c r="P86" s="356" t="n">
        <v>-591</v>
      </c>
      <c r="Q86" s="356" t="n">
        <v>-1513</v>
      </c>
      <c r="R86" s="356" t="n">
        <v>-958.97</v>
      </c>
      <c r="S86" s="356" t="n">
        <v>-1279.8</v>
      </c>
      <c r="T86" s="356" t="n">
        <v>-133.28</v>
      </c>
      <c r="U86" s="356" t="n">
        <v>-17.69</v>
      </c>
      <c r="V86" s="356" t="n">
        <v>-125.96</v>
      </c>
      <c r="W86" s="356" t="n">
        <v>-307.35</v>
      </c>
      <c r="X86" s="356" t="n">
        <v>-807.64</v>
      </c>
      <c r="Y86" s="356" t="n">
        <v>-618.03</v>
      </c>
      <c r="Z86" s="356" t="n">
        <v>-670.37</v>
      </c>
      <c r="AA86" s="356" t="n">
        <v>-635.91</v>
      </c>
      <c r="AB86" s="356" t="n">
        <v>-578.45</v>
      </c>
      <c r="AC86" s="356" t="n">
        <v>-801.54</v>
      </c>
      <c r="AD86" s="356" t="n">
        <v>-251.3</v>
      </c>
      <c r="AE86" s="356" t="n">
        <f aca="false">SUM(B86:I86)</f>
        <v>0</v>
      </c>
      <c r="AF86" s="356" t="n">
        <f aca="false">SUM(J86:U86)</f>
        <v>-4612.54</v>
      </c>
      <c r="AG86" s="356" t="n">
        <f aca="false">SUM(V86:AD86)</f>
        <v>-4796.55</v>
      </c>
      <c r="AH86" s="356" t="n">
        <f aca="false">SUM(B86:AD86)</f>
        <v>-9409.09</v>
      </c>
    </row>
    <row r="87" customFormat="false" ht="15" hidden="false" customHeight="false" outlineLevel="0" collapsed="false">
      <c r="A87" s="336" t="s">
        <v>1524</v>
      </c>
      <c r="B87" s="356" t="n">
        <v>0</v>
      </c>
      <c r="C87" s="356" t="n">
        <v>0</v>
      </c>
      <c r="D87" s="356" t="n">
        <v>0</v>
      </c>
      <c r="E87" s="356" t="n">
        <v>0</v>
      </c>
      <c r="F87" s="356" t="n">
        <v>0</v>
      </c>
      <c r="G87" s="356" t="n">
        <v>0</v>
      </c>
      <c r="H87" s="356" t="n">
        <v>0</v>
      </c>
      <c r="I87" s="356" t="n">
        <v>0</v>
      </c>
      <c r="J87" s="356" t="n">
        <v>0</v>
      </c>
      <c r="K87" s="356" t="n">
        <v>0</v>
      </c>
      <c r="L87" s="356" t="n">
        <v>0</v>
      </c>
      <c r="M87" s="356" t="n">
        <v>0</v>
      </c>
      <c r="N87" s="356" t="n">
        <v>0</v>
      </c>
      <c r="O87" s="356" t="n">
        <v>0</v>
      </c>
      <c r="P87" s="356" t="n">
        <v>0</v>
      </c>
      <c r="Q87" s="356" t="n">
        <v>0</v>
      </c>
      <c r="R87" s="356" t="n">
        <v>0</v>
      </c>
      <c r="S87" s="356" t="n">
        <v>0</v>
      </c>
      <c r="T87" s="356" t="n">
        <v>0</v>
      </c>
      <c r="U87" s="356" t="n">
        <v>0</v>
      </c>
      <c r="V87" s="356" t="n">
        <v>0</v>
      </c>
      <c r="W87" s="356" t="n">
        <v>0</v>
      </c>
      <c r="X87" s="356" t="n">
        <v>0</v>
      </c>
      <c r="Y87" s="356" t="n">
        <v>0</v>
      </c>
      <c r="Z87" s="356" t="n">
        <v>0</v>
      </c>
      <c r="AA87" s="356" t="n">
        <v>0</v>
      </c>
      <c r="AB87" s="356" t="n">
        <v>0</v>
      </c>
      <c r="AC87" s="356" t="n">
        <v>0</v>
      </c>
      <c r="AD87" s="356" t="n">
        <v>0</v>
      </c>
      <c r="AE87" s="356" t="n">
        <f aca="false">SUM(B87:I87)</f>
        <v>0</v>
      </c>
      <c r="AF87" s="356" t="n">
        <f aca="false">SUM(J87:U87)</f>
        <v>0</v>
      </c>
      <c r="AG87" s="356" t="n">
        <f aca="false">SUM(V87:AD87)</f>
        <v>0</v>
      </c>
      <c r="AH87" s="356" t="n">
        <f aca="false">SUM(B87:AD87)</f>
        <v>0</v>
      </c>
    </row>
    <row r="88" customFormat="false" ht="15" hidden="false" customHeight="false" outlineLevel="0" collapsed="false">
      <c r="A88" s="336" t="s">
        <v>1525</v>
      </c>
      <c r="B88" s="356" t="n">
        <v>0</v>
      </c>
      <c r="C88" s="356" t="n">
        <v>0</v>
      </c>
      <c r="D88" s="356" t="n">
        <v>0</v>
      </c>
      <c r="E88" s="356" t="n">
        <v>0</v>
      </c>
      <c r="F88" s="356" t="n">
        <v>0</v>
      </c>
      <c r="G88" s="356" t="n">
        <v>0</v>
      </c>
      <c r="H88" s="356" t="n">
        <v>0</v>
      </c>
      <c r="I88" s="356" t="n">
        <v>0</v>
      </c>
      <c r="J88" s="356" t="n">
        <v>0</v>
      </c>
      <c r="K88" s="356" t="n">
        <v>0</v>
      </c>
      <c r="L88" s="356" t="n">
        <v>0</v>
      </c>
      <c r="M88" s="356" t="n">
        <v>0</v>
      </c>
      <c r="N88" s="356" t="n">
        <v>-412.91</v>
      </c>
      <c r="O88" s="356" t="n">
        <v>-110</v>
      </c>
      <c r="P88" s="356" t="n">
        <v>-328.76</v>
      </c>
      <c r="Q88" s="356" t="n">
        <v>-219.58</v>
      </c>
      <c r="R88" s="356" t="n">
        <v>-700</v>
      </c>
      <c r="S88" s="356" t="n">
        <v>-1148.99</v>
      </c>
      <c r="T88" s="356" t="n">
        <v>-164.44</v>
      </c>
      <c r="U88" s="356" t="n">
        <v>-354.46</v>
      </c>
      <c r="V88" s="356" t="n">
        <v>-232.68</v>
      </c>
      <c r="W88" s="356" t="n">
        <v>-216.82</v>
      </c>
      <c r="X88" s="356" t="n">
        <v>-0.47</v>
      </c>
      <c r="Y88" s="356" t="n">
        <v>-443.68</v>
      </c>
      <c r="Z88" s="356" t="n">
        <v>-301.29</v>
      </c>
      <c r="AA88" s="356" t="n">
        <v>-35.7</v>
      </c>
      <c r="AB88" s="356" t="n">
        <v>-110</v>
      </c>
      <c r="AC88" s="356" t="n">
        <v>-452.44</v>
      </c>
      <c r="AD88" s="356" t="n">
        <v>-594.56</v>
      </c>
      <c r="AE88" s="356" t="n">
        <f aca="false">SUM(B88:I88)</f>
        <v>0</v>
      </c>
      <c r="AF88" s="356" t="n">
        <f aca="false">SUM(J88:U88)</f>
        <v>-3439.14</v>
      </c>
      <c r="AG88" s="356" t="n">
        <f aca="false">SUM(V88:AD88)</f>
        <v>-2387.64</v>
      </c>
      <c r="AH88" s="356" t="n">
        <f aca="false">SUM(B88:AD88)</f>
        <v>-5826.78</v>
      </c>
    </row>
    <row r="89" customFormat="false" ht="15" hidden="false" customHeight="false" outlineLevel="0" collapsed="false">
      <c r="A89" s="361" t="s">
        <v>136</v>
      </c>
      <c r="B89" s="362" t="n">
        <f aca="false">B84+B86+B87+B88</f>
        <v>0</v>
      </c>
      <c r="C89" s="362" t="n">
        <f aca="false">C84+C86+C87+C88</f>
        <v>0</v>
      </c>
      <c r="D89" s="362" t="n">
        <f aca="false">D84+D86+D87+D88</f>
        <v>0</v>
      </c>
      <c r="E89" s="362" t="n">
        <f aca="false">E84+E86+E87+E88</f>
        <v>0</v>
      </c>
      <c r="F89" s="362" t="n">
        <f aca="false">F84+F86+F87+F88</f>
        <v>0</v>
      </c>
      <c r="G89" s="362" t="n">
        <f aca="false">G84+G86+G87+G88</f>
        <v>0</v>
      </c>
      <c r="H89" s="362" t="n">
        <f aca="false">H84+H86+H87+H88</f>
        <v>0</v>
      </c>
      <c r="I89" s="362" t="n">
        <f aca="false">I84+I86+I87+I88</f>
        <v>0</v>
      </c>
      <c r="J89" s="362" t="n">
        <f aca="false">J84+J86+J87+J88</f>
        <v>0</v>
      </c>
      <c r="K89" s="362" t="n">
        <f aca="false">K84+K86+K87+K88</f>
        <v>0</v>
      </c>
      <c r="L89" s="362" t="n">
        <f aca="false">L84+L86+L87+L88</f>
        <v>0</v>
      </c>
      <c r="M89" s="362" t="n">
        <f aca="false">M84+M86+M87+M88</f>
        <v>0</v>
      </c>
      <c r="N89" s="362" t="n">
        <f aca="false">N84+N86+N87+N88</f>
        <v>6802.96</v>
      </c>
      <c r="O89" s="362" t="n">
        <f aca="false">O84+O86+O87+O88</f>
        <v>389.65</v>
      </c>
      <c r="P89" s="362" t="n">
        <f aca="false">P84+P86+P87+P88</f>
        <v>3798.91</v>
      </c>
      <c r="Q89" s="362" t="n">
        <f aca="false">Q84+Q86+Q87+Q88</f>
        <v>869.560000000001</v>
      </c>
      <c r="R89" s="362" t="n">
        <f aca="false">R84+R86+R87+R88</f>
        <v>10881.89</v>
      </c>
      <c r="S89" s="362" t="n">
        <f aca="false">S84+S86+S87+S88</f>
        <v>12185.5</v>
      </c>
      <c r="T89" s="362" t="n">
        <f aca="false">T84+T86+T87+T88</f>
        <v>1370.27</v>
      </c>
      <c r="U89" s="362" t="n">
        <f aca="false">U84+U86+U87+U88</f>
        <v>-387.2</v>
      </c>
      <c r="V89" s="362" t="n">
        <f aca="false">V84+V86+V87+V88</f>
        <v>3929.29</v>
      </c>
      <c r="W89" s="362" t="n">
        <f aca="false">W84+W86+W87+W88</f>
        <v>1486.29</v>
      </c>
      <c r="X89" s="362" t="n">
        <f aca="false">X84+X86+X87+X88</f>
        <v>20.4700000000002</v>
      </c>
      <c r="Y89" s="362" t="n">
        <f aca="false">Y84+Y86+Y87+Y88</f>
        <v>677.61</v>
      </c>
      <c r="Z89" s="362" t="n">
        <f aca="false">Z84+Z86+Z87+Z88</f>
        <v>1693.46</v>
      </c>
      <c r="AA89" s="362" t="n">
        <f aca="false">AA84+AA86+AA87+AA88</f>
        <v>-523.31</v>
      </c>
      <c r="AB89" s="362" t="n">
        <f aca="false">AB84+AB86+AB87+AB88</f>
        <v>955.93</v>
      </c>
      <c r="AC89" s="362" t="n">
        <f aca="false">AC84+AC86+AC87+AC88</f>
        <v>6809.69</v>
      </c>
      <c r="AD89" s="362" t="n">
        <f aca="false">AD84+AD86+AD87+AD88</f>
        <v>4953.35</v>
      </c>
      <c r="AE89" s="362" t="n">
        <f aca="false">AE84+AE86+AE87+AE88</f>
        <v>0</v>
      </c>
      <c r="AF89" s="362" t="n">
        <f aca="false">AF84+AF86+AF87+AF88</f>
        <v>35911.54</v>
      </c>
      <c r="AG89" s="362" t="n">
        <f aca="false">AG84+AG86+AG87+AG88</f>
        <v>20002.78</v>
      </c>
      <c r="AH89" s="362" t="n">
        <f aca="false">AH84+AH86+AH87+AH88</f>
        <v>55914.32</v>
      </c>
    </row>
    <row r="90" customFormat="false" ht="15" hidden="false" customHeight="false" outlineLevel="0" collapsed="false">
      <c r="A90" s="336" t="s">
        <v>1526</v>
      </c>
      <c r="B90" s="357" t="n">
        <f aca="false">IFERROR(B89/B82,0)</f>
        <v>0</v>
      </c>
      <c r="C90" s="357" t="n">
        <f aca="false">IFERROR(C89/C82,0)</f>
        <v>0</v>
      </c>
      <c r="D90" s="357" t="n">
        <f aca="false">IFERROR(D89/D82,0)</f>
        <v>0</v>
      </c>
      <c r="E90" s="357" t="n">
        <f aca="false">IFERROR(E89/E82,0)</f>
        <v>0</v>
      </c>
      <c r="F90" s="357" t="n">
        <f aca="false">IFERROR(F89/F82,0)</f>
        <v>0</v>
      </c>
      <c r="G90" s="357" t="n">
        <f aca="false">IFERROR(G89/G82,0)</f>
        <v>0</v>
      </c>
      <c r="H90" s="357" t="n">
        <f aca="false">IFERROR(H89/H82,0)</f>
        <v>0</v>
      </c>
      <c r="I90" s="357" t="n">
        <f aca="false">IFERROR(I89/I82,0)</f>
        <v>0</v>
      </c>
      <c r="J90" s="357" t="n">
        <f aca="false">IFERROR(J89/J82,0)</f>
        <v>0</v>
      </c>
      <c r="K90" s="357" t="n">
        <f aca="false">IFERROR(K89/K82,0)</f>
        <v>0</v>
      </c>
      <c r="L90" s="357" t="n">
        <f aca="false">IFERROR(L89/L82,0)</f>
        <v>0</v>
      </c>
      <c r="M90" s="357" t="n">
        <f aca="false">IFERROR(M89/M82,0)</f>
        <v>0</v>
      </c>
      <c r="N90" s="357" t="n">
        <f aca="false">IFERROR(N89/N82,0)</f>
        <v>0.613790564730338</v>
      </c>
      <c r="O90" s="357" t="n">
        <f aca="false">IFERROR(O89/O82,0)</f>
        <v>0.490576252407871</v>
      </c>
      <c r="P90" s="357" t="n">
        <f aca="false">IFERROR(P89/P82,0)</f>
        <v>0.560494734264022</v>
      </c>
      <c r="Q90" s="357" t="n">
        <f aca="false">IFERROR(Q89/Q82,0)</f>
        <v>0.194741556929141</v>
      </c>
      <c r="R90" s="357" t="n">
        <f aca="false">IFERROR(R89/R82,0)</f>
        <v>0.516005972869818</v>
      </c>
      <c r="S90" s="357" t="n">
        <f aca="false">IFERROR(S89/S82,0)</f>
        <v>0.505008433729947</v>
      </c>
      <c r="T90" s="357" t="n">
        <f aca="false">IFERROR(T89/T82,0)</f>
        <v>0.635623135834195</v>
      </c>
      <c r="U90" s="357" t="n">
        <f aca="false">IFERROR(U89/U82,0)</f>
        <v>-38.1102362204724</v>
      </c>
      <c r="V90" s="357" t="n">
        <f aca="false">IFERROR(V89/V82,0)</f>
        <v>0.708839728174886</v>
      </c>
      <c r="W90" s="357" t="n">
        <f aca="false">IFERROR(W89/W82,0)</f>
        <v>0.595034870406995</v>
      </c>
      <c r="X90" s="357" t="n">
        <f aca="false">IFERROR(X89/X82,0)</f>
        <v>0.0193685126836793</v>
      </c>
      <c r="Y90" s="357" t="n">
        <f aca="false">IFERROR(Y89/Y82,0)</f>
        <v>0.234835226150333</v>
      </c>
      <c r="Z90" s="357" t="n">
        <f aca="false">IFERROR(Z89/Z82,0)</f>
        <v>0.402028350374737</v>
      </c>
      <c r="AA90" s="357" t="n">
        <f aca="false">IFERROR(AA89/AA82,0)</f>
        <v>-1.53490350208248</v>
      </c>
      <c r="AB90" s="357" t="n">
        <f aca="false">IFERROR(AB89/AB82,0)</f>
        <v>0.493536062780732</v>
      </c>
      <c r="AC90" s="357" t="n">
        <f aca="false">IFERROR(AC89/AC82,0)</f>
        <v>0.696532318115984</v>
      </c>
      <c r="AD90" s="357" t="n">
        <f aca="false">IFERROR(AD89/AD82,0)</f>
        <v>0.739949836947673</v>
      </c>
      <c r="AE90" s="357" t="n">
        <f aca="false">IFERROR(AE89/AE82,0)</f>
        <v>0</v>
      </c>
      <c r="AF90" s="357" t="n">
        <f aca="false">IFERROR(AF89/AF82,0)</f>
        <v>0.509349517216651</v>
      </c>
      <c r="AG90" s="357" t="n">
        <f aca="false">IFERROR(AG89/AG82,0)</f>
        <v>0.572419127702981</v>
      </c>
      <c r="AH90" s="357" t="n">
        <f aca="false">IFERROR(AH89/AH82,0)</f>
        <v>0.530249883830098</v>
      </c>
    </row>
    <row r="91" customFormat="false" ht="15" hidden="false" customHeight="false" outlineLevel="0" collapsed="false">
      <c r="A91" s="336" t="s">
        <v>1527</v>
      </c>
      <c r="B91" s="356" t="n">
        <v>0</v>
      </c>
      <c r="C91" s="356" t="n">
        <v>0</v>
      </c>
      <c r="D91" s="356" t="n">
        <v>0</v>
      </c>
      <c r="E91" s="356" t="n">
        <v>0</v>
      </c>
      <c r="F91" s="356" t="n">
        <v>0</v>
      </c>
      <c r="G91" s="356" t="n">
        <v>0</v>
      </c>
      <c r="H91" s="356" t="n">
        <v>0</v>
      </c>
      <c r="I91" s="356" t="n">
        <v>0</v>
      </c>
      <c r="J91" s="356" t="n">
        <v>0</v>
      </c>
      <c r="K91" s="356" t="n">
        <v>0</v>
      </c>
      <c r="L91" s="356" t="n">
        <v>0</v>
      </c>
      <c r="M91" s="356" t="n">
        <v>0</v>
      </c>
      <c r="N91" s="356" t="n">
        <v>-9.1</v>
      </c>
      <c r="O91" s="356" t="n">
        <v>-16.58</v>
      </c>
      <c r="P91" s="356" t="n">
        <v>-23.26</v>
      </c>
      <c r="Q91" s="356" t="n">
        <v>-23.25</v>
      </c>
      <c r="R91" s="356" t="n">
        <v>-23.26</v>
      </c>
      <c r="S91" s="356" t="n">
        <v>-23.25</v>
      </c>
      <c r="T91" s="356" t="n">
        <v>-23.25</v>
      </c>
      <c r="U91" s="356" t="n">
        <v>-23.26</v>
      </c>
      <c r="V91" s="356" t="n">
        <v>-23.26</v>
      </c>
      <c r="W91" s="356" t="n">
        <v>-23.24</v>
      </c>
      <c r="X91" s="356" t="n">
        <v>-23.26</v>
      </c>
      <c r="Y91" s="356" t="n">
        <v>-23.26</v>
      </c>
      <c r="Z91" s="356" t="n">
        <v>-23.25</v>
      </c>
      <c r="AA91" s="356" t="n">
        <v>-23.25</v>
      </c>
      <c r="AB91" s="356" t="n">
        <v>-23.26</v>
      </c>
      <c r="AC91" s="356" t="n">
        <v>-23.25</v>
      </c>
      <c r="AD91" s="356" t="n">
        <v>-23.26</v>
      </c>
      <c r="AE91" s="356" t="n">
        <f aca="false">SUM(B91:I91)</f>
        <v>0</v>
      </c>
      <c r="AF91" s="356" t="n">
        <f aca="false">SUM(J91:U91)</f>
        <v>-165.21</v>
      </c>
      <c r="AG91" s="356" t="n">
        <f aca="false">SUM(V91:AD91)</f>
        <v>-209.29</v>
      </c>
      <c r="AH91" s="356" t="n">
        <f aca="false">SUM(B91:AD91)</f>
        <v>-374.5</v>
      </c>
    </row>
    <row r="92" customFormat="false" ht="15" hidden="false" customHeight="false" outlineLevel="0" collapsed="false">
      <c r="A92" s="345" t="s">
        <v>1528</v>
      </c>
      <c r="B92" s="358" t="n">
        <f aca="false">B89+B91</f>
        <v>0</v>
      </c>
      <c r="C92" s="358" t="n">
        <f aca="false">C89+C91</f>
        <v>0</v>
      </c>
      <c r="D92" s="358" t="n">
        <f aca="false">D89+D91</f>
        <v>0</v>
      </c>
      <c r="E92" s="358" t="n">
        <f aca="false">E89+E91</f>
        <v>0</v>
      </c>
      <c r="F92" s="358" t="n">
        <f aca="false">F89+F91</f>
        <v>0</v>
      </c>
      <c r="G92" s="358" t="n">
        <f aca="false">G89+G91</f>
        <v>0</v>
      </c>
      <c r="H92" s="358" t="n">
        <f aca="false">H89+H91</f>
        <v>0</v>
      </c>
      <c r="I92" s="358" t="n">
        <f aca="false">I89+I91</f>
        <v>0</v>
      </c>
      <c r="J92" s="358" t="n">
        <f aca="false">J89+J91</f>
        <v>0</v>
      </c>
      <c r="K92" s="358" t="n">
        <f aca="false">K89+K91</f>
        <v>0</v>
      </c>
      <c r="L92" s="358" t="n">
        <f aca="false">L89+L91</f>
        <v>0</v>
      </c>
      <c r="M92" s="358" t="n">
        <f aca="false">M89+M91</f>
        <v>0</v>
      </c>
      <c r="N92" s="358" t="n">
        <f aca="false">N89+N91</f>
        <v>6793.86</v>
      </c>
      <c r="O92" s="358" t="n">
        <f aca="false">O89+O91</f>
        <v>373.07</v>
      </c>
      <c r="P92" s="358" t="n">
        <f aca="false">P89+P91</f>
        <v>3775.65</v>
      </c>
      <c r="Q92" s="358" t="n">
        <f aca="false">Q89+Q91</f>
        <v>846.310000000001</v>
      </c>
      <c r="R92" s="358" t="n">
        <f aca="false">R89+R91</f>
        <v>10858.63</v>
      </c>
      <c r="S92" s="358" t="n">
        <f aca="false">S89+S91</f>
        <v>12162.25</v>
      </c>
      <c r="T92" s="358" t="n">
        <f aca="false">T89+T91</f>
        <v>1347.02</v>
      </c>
      <c r="U92" s="358" t="n">
        <f aca="false">U89+U91</f>
        <v>-410.46</v>
      </c>
      <c r="V92" s="358" t="n">
        <f aca="false">V89+V91</f>
        <v>3906.03</v>
      </c>
      <c r="W92" s="358" t="n">
        <f aca="false">W89+W91</f>
        <v>1463.05</v>
      </c>
      <c r="X92" s="358" t="n">
        <f aca="false">X89+X91</f>
        <v>-2.78999999999983</v>
      </c>
      <c r="Y92" s="358" t="n">
        <f aca="false">Y89+Y91</f>
        <v>654.35</v>
      </c>
      <c r="Z92" s="358" t="n">
        <f aca="false">Z89+Z91</f>
        <v>1670.21</v>
      </c>
      <c r="AA92" s="358" t="n">
        <f aca="false">AA89+AA91</f>
        <v>-546.56</v>
      </c>
      <c r="AB92" s="358" t="n">
        <f aca="false">AB89+AB91</f>
        <v>932.67</v>
      </c>
      <c r="AC92" s="358" t="n">
        <f aca="false">AC89+AC91</f>
        <v>6786.44</v>
      </c>
      <c r="AD92" s="358" t="n">
        <f aca="false">AD89+AD91</f>
        <v>4930.09</v>
      </c>
      <c r="AE92" s="358" t="n">
        <f aca="false">AE89+AE91</f>
        <v>0</v>
      </c>
      <c r="AF92" s="358" t="n">
        <f aca="false">AF89+AF91</f>
        <v>35746.33</v>
      </c>
      <c r="AG92" s="358" t="n">
        <f aca="false">AG89+AG91</f>
        <v>19793.49</v>
      </c>
      <c r="AH92" s="358" t="n">
        <f aca="false">AH89+AH91</f>
        <v>55539.82</v>
      </c>
    </row>
    <row r="94" customFormat="false" ht="15" hidden="false" customHeight="false" outlineLevel="0" collapsed="false">
      <c r="A94" s="339" t="s">
        <v>1495</v>
      </c>
      <c r="B94" s="353"/>
      <c r="C94" s="353"/>
      <c r="D94" s="353"/>
      <c r="E94" s="353"/>
      <c r="F94" s="353"/>
      <c r="G94" s="353"/>
      <c r="H94" s="353"/>
      <c r="I94" s="353"/>
      <c r="J94" s="353"/>
      <c r="K94" s="353"/>
      <c r="L94" s="353"/>
      <c r="M94" s="353"/>
      <c r="N94" s="353"/>
      <c r="O94" s="353"/>
      <c r="P94" s="353"/>
      <c r="Q94" s="353"/>
      <c r="R94" s="353"/>
      <c r="S94" s="353"/>
      <c r="T94" s="353"/>
      <c r="U94" s="353"/>
      <c r="V94" s="353"/>
      <c r="W94" s="353"/>
      <c r="X94" s="353"/>
      <c r="Y94" s="353"/>
      <c r="Z94" s="353"/>
      <c r="AA94" s="353"/>
      <c r="AB94" s="353"/>
      <c r="AC94" s="353"/>
      <c r="AD94" s="353"/>
      <c r="AE94" s="353"/>
      <c r="AF94" s="353"/>
      <c r="AG94" s="353"/>
      <c r="AH94" s="353"/>
    </row>
    <row r="95" customFormat="false" ht="15" hidden="false" customHeight="false" outlineLevel="0" collapsed="false">
      <c r="A95" s="336" t="s">
        <v>1519</v>
      </c>
      <c r="B95" s="356" t="n">
        <v>0</v>
      </c>
      <c r="C95" s="356" t="n">
        <v>0</v>
      </c>
      <c r="D95" s="356" t="n">
        <v>0</v>
      </c>
      <c r="E95" s="356" t="n">
        <v>0</v>
      </c>
      <c r="F95" s="356" t="n">
        <v>0</v>
      </c>
      <c r="G95" s="356" t="n">
        <v>0</v>
      </c>
      <c r="H95" s="356" t="n">
        <v>0</v>
      </c>
      <c r="I95" s="356" t="n">
        <v>0</v>
      </c>
      <c r="J95" s="356" t="n">
        <v>0</v>
      </c>
      <c r="K95" s="356" t="n">
        <v>0</v>
      </c>
      <c r="L95" s="356" t="n">
        <v>0</v>
      </c>
      <c r="M95" s="356" t="n">
        <v>0</v>
      </c>
      <c r="N95" s="356" t="n">
        <v>0</v>
      </c>
      <c r="O95" s="356" t="n">
        <v>0</v>
      </c>
      <c r="P95" s="356" t="n">
        <v>0</v>
      </c>
      <c r="Q95" s="356" t="n">
        <v>0</v>
      </c>
      <c r="R95" s="356" t="n">
        <v>0</v>
      </c>
      <c r="S95" s="356" t="n">
        <v>0</v>
      </c>
      <c r="T95" s="356" t="n">
        <v>0</v>
      </c>
      <c r="U95" s="356" t="n">
        <v>0</v>
      </c>
      <c r="V95" s="356" t="n">
        <v>0</v>
      </c>
      <c r="W95" s="356" t="n">
        <v>0</v>
      </c>
      <c r="X95" s="356" t="n">
        <v>0</v>
      </c>
      <c r="Y95" s="356" t="n">
        <v>0</v>
      </c>
      <c r="Z95" s="356" t="n">
        <v>0</v>
      </c>
      <c r="AA95" s="356" t="n">
        <v>0</v>
      </c>
      <c r="AB95" s="356" t="n">
        <v>0</v>
      </c>
      <c r="AC95" s="356" t="n">
        <v>0</v>
      </c>
      <c r="AD95" s="356" t="n">
        <v>0</v>
      </c>
      <c r="AE95" s="356" t="n">
        <f aca="false">SUM(B95:I95)</f>
        <v>0</v>
      </c>
      <c r="AF95" s="356" t="n">
        <f aca="false">SUM(J95:U95)</f>
        <v>0</v>
      </c>
      <c r="AG95" s="356" t="n">
        <f aca="false">SUM(V95:AD95)</f>
        <v>0</v>
      </c>
      <c r="AH95" s="356" t="n">
        <f aca="false">SUM(B95:AD95)</f>
        <v>0</v>
      </c>
    </row>
    <row r="96" customFormat="false" ht="15" hidden="false" customHeight="false" outlineLevel="0" collapsed="false">
      <c r="A96" s="336" t="s">
        <v>1520</v>
      </c>
      <c r="B96" s="356" t="n">
        <v>0</v>
      </c>
      <c r="C96" s="356" t="n">
        <v>0</v>
      </c>
      <c r="D96" s="356" t="n">
        <v>0</v>
      </c>
      <c r="E96" s="356" t="n">
        <v>0</v>
      </c>
      <c r="F96" s="356" t="n">
        <v>0</v>
      </c>
      <c r="G96" s="356" t="n">
        <v>0</v>
      </c>
      <c r="H96" s="356" t="n">
        <v>0</v>
      </c>
      <c r="I96" s="356" t="n">
        <v>0</v>
      </c>
      <c r="J96" s="356" t="n">
        <v>0</v>
      </c>
      <c r="K96" s="356" t="n">
        <v>0</v>
      </c>
      <c r="L96" s="356" t="n">
        <v>0</v>
      </c>
      <c r="M96" s="356" t="n">
        <v>0</v>
      </c>
      <c r="N96" s="356" t="n">
        <v>0</v>
      </c>
      <c r="O96" s="356" t="n">
        <v>0</v>
      </c>
      <c r="P96" s="356" t="n">
        <v>0</v>
      </c>
      <c r="Q96" s="356" t="n">
        <v>0</v>
      </c>
      <c r="R96" s="356" t="n">
        <v>0</v>
      </c>
      <c r="S96" s="356" t="n">
        <v>0</v>
      </c>
      <c r="T96" s="356" t="n">
        <v>0</v>
      </c>
      <c r="U96" s="356" t="n">
        <v>0</v>
      </c>
      <c r="V96" s="356" t="n">
        <v>0</v>
      </c>
      <c r="W96" s="356" t="n">
        <v>0</v>
      </c>
      <c r="X96" s="356" t="n">
        <v>0</v>
      </c>
      <c r="Y96" s="356" t="n">
        <v>0</v>
      </c>
      <c r="Z96" s="356" t="n">
        <v>0</v>
      </c>
      <c r="AA96" s="356" t="n">
        <v>0</v>
      </c>
      <c r="AB96" s="356" t="n">
        <v>0</v>
      </c>
      <c r="AC96" s="356" t="n">
        <v>0</v>
      </c>
      <c r="AD96" s="356" t="n">
        <v>0</v>
      </c>
      <c r="AE96" s="356" t="n">
        <f aca="false">SUM(B96:I96)</f>
        <v>0</v>
      </c>
      <c r="AF96" s="356" t="n">
        <f aca="false">SUM(J96:U96)</f>
        <v>0</v>
      </c>
      <c r="AG96" s="356" t="n">
        <f aca="false">SUM(V96:AD96)</f>
        <v>0</v>
      </c>
      <c r="AH96" s="356" t="n">
        <f aca="false">SUM(B96:AD96)</f>
        <v>0</v>
      </c>
    </row>
    <row r="97" customFormat="false" ht="15" hidden="false" customHeight="false" outlineLevel="0" collapsed="false">
      <c r="A97" s="345" t="s">
        <v>1491</v>
      </c>
      <c r="B97" s="358" t="n">
        <f aca="false">B95+B96</f>
        <v>0</v>
      </c>
      <c r="C97" s="358" t="n">
        <f aca="false">C95+C96</f>
        <v>0</v>
      </c>
      <c r="D97" s="358" t="n">
        <f aca="false">D95+D96</f>
        <v>0</v>
      </c>
      <c r="E97" s="358" t="n">
        <f aca="false">E95+E96</f>
        <v>0</v>
      </c>
      <c r="F97" s="358" t="n">
        <f aca="false">F95+F96</f>
        <v>0</v>
      </c>
      <c r="G97" s="358" t="n">
        <f aca="false">G95+G96</f>
        <v>0</v>
      </c>
      <c r="H97" s="358" t="n">
        <f aca="false">H95+H96</f>
        <v>0</v>
      </c>
      <c r="I97" s="358" t="n">
        <f aca="false">I95+I96</f>
        <v>0</v>
      </c>
      <c r="J97" s="358" t="n">
        <f aca="false">J95+J96</f>
        <v>0</v>
      </c>
      <c r="K97" s="358" t="n">
        <f aca="false">K95+K96</f>
        <v>0</v>
      </c>
      <c r="L97" s="358" t="n">
        <f aca="false">L95+L96</f>
        <v>0</v>
      </c>
      <c r="M97" s="358" t="n">
        <f aca="false">M95+M96</f>
        <v>0</v>
      </c>
      <c r="N97" s="358" t="n">
        <f aca="false">N95+N96</f>
        <v>0</v>
      </c>
      <c r="O97" s="358" t="n">
        <f aca="false">O95+O96</f>
        <v>0</v>
      </c>
      <c r="P97" s="358" t="n">
        <f aca="false">P95+P96</f>
        <v>0</v>
      </c>
      <c r="Q97" s="358" t="n">
        <f aca="false">Q95+Q96</f>
        <v>0</v>
      </c>
      <c r="R97" s="358" t="n">
        <f aca="false">R95+R96</f>
        <v>0</v>
      </c>
      <c r="S97" s="358" t="n">
        <f aca="false">S95+S96</f>
        <v>0</v>
      </c>
      <c r="T97" s="358" t="n">
        <f aca="false">T95+T96</f>
        <v>0</v>
      </c>
      <c r="U97" s="358" t="n">
        <f aca="false">U95+U96</f>
        <v>0</v>
      </c>
      <c r="V97" s="358" t="n">
        <f aca="false">V95+V96</f>
        <v>0</v>
      </c>
      <c r="W97" s="358" t="n">
        <f aca="false">W95+W96</f>
        <v>0</v>
      </c>
      <c r="X97" s="358" t="n">
        <f aca="false">X95+X96</f>
        <v>0</v>
      </c>
      <c r="Y97" s="358" t="n">
        <f aca="false">Y95+Y96</f>
        <v>0</v>
      </c>
      <c r="Z97" s="358" t="n">
        <f aca="false">Z95+Z96</f>
        <v>0</v>
      </c>
      <c r="AA97" s="358" t="n">
        <f aca="false">AA95+AA96</f>
        <v>0</v>
      </c>
      <c r="AB97" s="358" t="n">
        <f aca="false">AB95+AB96</f>
        <v>0</v>
      </c>
      <c r="AC97" s="358" t="n">
        <f aca="false">AC95+AC96</f>
        <v>0</v>
      </c>
      <c r="AD97" s="358" t="n">
        <f aca="false">AD95+AD96</f>
        <v>0</v>
      </c>
      <c r="AE97" s="358" t="n">
        <f aca="false">AE95+AE96</f>
        <v>0</v>
      </c>
      <c r="AF97" s="358" t="n">
        <f aca="false">AF95+AF96</f>
        <v>0</v>
      </c>
      <c r="AG97" s="358" t="n">
        <f aca="false">AG95+AG96</f>
        <v>0</v>
      </c>
      <c r="AH97" s="358" t="n">
        <f aca="false">AH95+AH96</f>
        <v>0</v>
      </c>
    </row>
    <row r="98" customFormat="false" ht="15" hidden="false" customHeight="false" outlineLevel="0" collapsed="false">
      <c r="A98" s="336" t="s">
        <v>1521</v>
      </c>
      <c r="B98" s="356" t="n">
        <v>0</v>
      </c>
      <c r="C98" s="356" t="n">
        <v>0</v>
      </c>
      <c r="D98" s="356" t="n">
        <v>0</v>
      </c>
      <c r="E98" s="356" t="n">
        <v>0</v>
      </c>
      <c r="F98" s="356" t="n">
        <v>0</v>
      </c>
      <c r="G98" s="356" t="n">
        <v>0</v>
      </c>
      <c r="H98" s="356" t="n">
        <v>0</v>
      </c>
      <c r="I98" s="356" t="n">
        <v>0</v>
      </c>
      <c r="J98" s="356" t="n">
        <v>0</v>
      </c>
      <c r="K98" s="356" t="n">
        <v>0</v>
      </c>
      <c r="L98" s="356" t="n">
        <v>0</v>
      </c>
      <c r="M98" s="356" t="n">
        <v>0</v>
      </c>
      <c r="N98" s="356" t="n">
        <v>0</v>
      </c>
      <c r="O98" s="356" t="n">
        <v>0</v>
      </c>
      <c r="P98" s="356" t="n">
        <v>0</v>
      </c>
      <c r="Q98" s="356" t="n">
        <v>0</v>
      </c>
      <c r="R98" s="356" t="n">
        <v>0</v>
      </c>
      <c r="S98" s="356" t="n">
        <v>0</v>
      </c>
      <c r="T98" s="356" t="n">
        <v>0</v>
      </c>
      <c r="U98" s="356" t="n">
        <v>0</v>
      </c>
      <c r="V98" s="356" t="n">
        <v>0</v>
      </c>
      <c r="W98" s="356" t="n">
        <v>0</v>
      </c>
      <c r="X98" s="356" t="n">
        <v>0</v>
      </c>
      <c r="Y98" s="356" t="n">
        <v>0</v>
      </c>
      <c r="Z98" s="356" t="n">
        <v>0</v>
      </c>
      <c r="AA98" s="356" t="n">
        <v>-71.65</v>
      </c>
      <c r="AB98" s="356" t="n">
        <v>0</v>
      </c>
      <c r="AC98" s="356" t="n">
        <v>0</v>
      </c>
      <c r="AD98" s="356" t="n">
        <v>0</v>
      </c>
      <c r="AE98" s="356" t="n">
        <f aca="false">SUM(B98:I98)</f>
        <v>0</v>
      </c>
      <c r="AF98" s="356" t="n">
        <f aca="false">SUM(J98:U98)</f>
        <v>0</v>
      </c>
      <c r="AG98" s="356" t="n">
        <f aca="false">SUM(V98:AD98)</f>
        <v>-71.65</v>
      </c>
      <c r="AH98" s="356" t="n">
        <f aca="false">SUM(B98:AD98)</f>
        <v>-71.65</v>
      </c>
    </row>
    <row r="99" customFormat="false" ht="15" hidden="false" customHeight="false" outlineLevel="0" collapsed="false">
      <c r="A99" s="345" t="s">
        <v>1522</v>
      </c>
      <c r="B99" s="358" t="n">
        <f aca="false">B97+B98</f>
        <v>0</v>
      </c>
      <c r="C99" s="358" t="n">
        <f aca="false">C97+C98</f>
        <v>0</v>
      </c>
      <c r="D99" s="358" t="n">
        <f aca="false">D97+D98</f>
        <v>0</v>
      </c>
      <c r="E99" s="358" t="n">
        <f aca="false">E97+E98</f>
        <v>0</v>
      </c>
      <c r="F99" s="358" t="n">
        <f aca="false">F97+F98</f>
        <v>0</v>
      </c>
      <c r="G99" s="358" t="n">
        <f aca="false">G97+G98</f>
        <v>0</v>
      </c>
      <c r="H99" s="358" t="n">
        <f aca="false">H97+H98</f>
        <v>0</v>
      </c>
      <c r="I99" s="358" t="n">
        <f aca="false">I97+I98</f>
        <v>0</v>
      </c>
      <c r="J99" s="358" t="n">
        <f aca="false">J97+J98</f>
        <v>0</v>
      </c>
      <c r="K99" s="358" t="n">
        <f aca="false">K97+K98</f>
        <v>0</v>
      </c>
      <c r="L99" s="358" t="n">
        <f aca="false">L97+L98</f>
        <v>0</v>
      </c>
      <c r="M99" s="358" t="n">
        <f aca="false">M97+M98</f>
        <v>0</v>
      </c>
      <c r="N99" s="358" t="n">
        <f aca="false">N97+N98</f>
        <v>0</v>
      </c>
      <c r="O99" s="358" t="n">
        <f aca="false">O97+O98</f>
        <v>0</v>
      </c>
      <c r="P99" s="358" t="n">
        <f aca="false">P97+P98</f>
        <v>0</v>
      </c>
      <c r="Q99" s="358" t="n">
        <f aca="false">Q97+Q98</f>
        <v>0</v>
      </c>
      <c r="R99" s="358" t="n">
        <f aca="false">R97+R98</f>
        <v>0</v>
      </c>
      <c r="S99" s="358" t="n">
        <f aca="false">S97+S98</f>
        <v>0</v>
      </c>
      <c r="T99" s="358" t="n">
        <f aca="false">T97+T98</f>
        <v>0</v>
      </c>
      <c r="U99" s="358" t="n">
        <f aca="false">U97+U98</f>
        <v>0</v>
      </c>
      <c r="V99" s="358" t="n">
        <f aca="false">V97+V98</f>
        <v>0</v>
      </c>
      <c r="W99" s="358" t="n">
        <f aca="false">W97+W98</f>
        <v>0</v>
      </c>
      <c r="X99" s="358" t="n">
        <f aca="false">X97+X98</f>
        <v>0</v>
      </c>
      <c r="Y99" s="358" t="n">
        <f aca="false">Y97+Y98</f>
        <v>0</v>
      </c>
      <c r="Z99" s="358" t="n">
        <f aca="false">Z97+Z98</f>
        <v>0</v>
      </c>
      <c r="AA99" s="358" t="n">
        <f aca="false">AA97+AA98</f>
        <v>-71.65</v>
      </c>
      <c r="AB99" s="358" t="n">
        <f aca="false">AB97+AB98</f>
        <v>0</v>
      </c>
      <c r="AC99" s="358" t="n">
        <f aca="false">AC97+AC98</f>
        <v>0</v>
      </c>
      <c r="AD99" s="358" t="n">
        <f aca="false">AD97+AD98</f>
        <v>0</v>
      </c>
      <c r="AE99" s="358" t="n">
        <f aca="false">AE97+AE98</f>
        <v>0</v>
      </c>
      <c r="AF99" s="358" t="n">
        <f aca="false">AF97+AF98</f>
        <v>0</v>
      </c>
      <c r="AG99" s="358" t="n">
        <f aca="false">AG97+AG98</f>
        <v>-71.65</v>
      </c>
      <c r="AH99" s="358" t="n">
        <f aca="false">AH97+AH98</f>
        <v>-71.65</v>
      </c>
    </row>
    <row r="100" customFormat="false" ht="15" hidden="false" customHeight="false" outlineLevel="0" collapsed="false">
      <c r="A100" s="336" t="s">
        <v>1410</v>
      </c>
      <c r="B100" s="357" t="n">
        <f aca="false">IFERROR(B99/B97,0)</f>
        <v>0</v>
      </c>
      <c r="C100" s="357" t="n">
        <f aca="false">IFERROR(C99/C97,0)</f>
        <v>0</v>
      </c>
      <c r="D100" s="357" t="n">
        <f aca="false">IFERROR(D99/D97,0)</f>
        <v>0</v>
      </c>
      <c r="E100" s="357" t="n">
        <f aca="false">IFERROR(E99/E97,0)</f>
        <v>0</v>
      </c>
      <c r="F100" s="357" t="n">
        <f aca="false">IFERROR(F99/F97,0)</f>
        <v>0</v>
      </c>
      <c r="G100" s="357" t="n">
        <f aca="false">IFERROR(G99/G97,0)</f>
        <v>0</v>
      </c>
      <c r="H100" s="357" t="n">
        <f aca="false">IFERROR(H99/H97,0)</f>
        <v>0</v>
      </c>
      <c r="I100" s="357" t="n">
        <f aca="false">IFERROR(I99/I97,0)</f>
        <v>0</v>
      </c>
      <c r="J100" s="357" t="n">
        <f aca="false">IFERROR(J99/J97,0)</f>
        <v>0</v>
      </c>
      <c r="K100" s="357" t="n">
        <f aca="false">IFERROR(K99/K97,0)</f>
        <v>0</v>
      </c>
      <c r="L100" s="357" t="n">
        <f aca="false">IFERROR(L99/L97,0)</f>
        <v>0</v>
      </c>
      <c r="M100" s="357" t="n">
        <f aca="false">IFERROR(M99/M97,0)</f>
        <v>0</v>
      </c>
      <c r="N100" s="357" t="n">
        <f aca="false">IFERROR(N99/N97,0)</f>
        <v>0</v>
      </c>
      <c r="O100" s="357" t="n">
        <f aca="false">IFERROR(O99/O97,0)</f>
        <v>0</v>
      </c>
      <c r="P100" s="357" t="n">
        <f aca="false">IFERROR(P99/P97,0)</f>
        <v>0</v>
      </c>
      <c r="Q100" s="357" t="n">
        <f aca="false">IFERROR(Q99/Q97,0)</f>
        <v>0</v>
      </c>
      <c r="R100" s="357" t="n">
        <f aca="false">IFERROR(R99/R97,0)</f>
        <v>0</v>
      </c>
      <c r="S100" s="357" t="n">
        <f aca="false">IFERROR(S99/S97,0)</f>
        <v>0</v>
      </c>
      <c r="T100" s="357" t="n">
        <f aca="false">IFERROR(T99/T97,0)</f>
        <v>0</v>
      </c>
      <c r="U100" s="357" t="n">
        <f aca="false">IFERROR(U99/U97,0)</f>
        <v>0</v>
      </c>
      <c r="V100" s="357" t="n">
        <f aca="false">IFERROR(V99/V97,0)</f>
        <v>0</v>
      </c>
      <c r="W100" s="357" t="n">
        <f aca="false">IFERROR(W99/W97,0)</f>
        <v>0</v>
      </c>
      <c r="X100" s="357" t="n">
        <f aca="false">IFERROR(X99/X97,0)</f>
        <v>0</v>
      </c>
      <c r="Y100" s="357" t="n">
        <f aca="false">IFERROR(Y99/Y97,0)</f>
        <v>0</v>
      </c>
      <c r="Z100" s="357" t="n">
        <f aca="false">IFERROR(Z99/Z97,0)</f>
        <v>0</v>
      </c>
      <c r="AA100" s="357" t="n">
        <f aca="false">IFERROR(AA99/AA97,0)</f>
        <v>0</v>
      </c>
      <c r="AB100" s="357" t="n">
        <f aca="false">IFERROR(AB99/AB97,0)</f>
        <v>0</v>
      </c>
      <c r="AC100" s="357" t="n">
        <f aca="false">IFERROR(AC99/AC97,0)</f>
        <v>0</v>
      </c>
      <c r="AD100" s="357" t="n">
        <f aca="false">IFERROR(AD99/AD97,0)</f>
        <v>0</v>
      </c>
      <c r="AE100" s="357" t="n">
        <f aca="false">IFERROR(AE99/AE97,0)</f>
        <v>0</v>
      </c>
      <c r="AF100" s="357" t="n">
        <f aca="false">IFERROR(AF99/AF97,0)</f>
        <v>0</v>
      </c>
      <c r="AG100" s="357" t="n">
        <f aca="false">IFERROR(AG99/AG97,0)</f>
        <v>0</v>
      </c>
      <c r="AH100" s="357" t="n">
        <f aca="false">IFERROR(AH99/AH97,0)</f>
        <v>0</v>
      </c>
    </row>
    <row r="101" customFormat="false" ht="15" hidden="false" customHeight="false" outlineLevel="0" collapsed="false">
      <c r="A101" s="336" t="s">
        <v>1523</v>
      </c>
      <c r="B101" s="356" t="n">
        <v>0</v>
      </c>
      <c r="C101" s="356" t="n">
        <v>0</v>
      </c>
      <c r="D101" s="356" t="n">
        <v>0</v>
      </c>
      <c r="E101" s="356" t="n">
        <v>0</v>
      </c>
      <c r="F101" s="356" t="n">
        <v>0</v>
      </c>
      <c r="G101" s="356" t="n">
        <v>0</v>
      </c>
      <c r="H101" s="356" t="n">
        <v>0</v>
      </c>
      <c r="I101" s="356" t="n">
        <v>0</v>
      </c>
      <c r="J101" s="356" t="n">
        <v>0</v>
      </c>
      <c r="K101" s="356" t="n">
        <v>0</v>
      </c>
      <c r="L101" s="356" t="n">
        <v>0</v>
      </c>
      <c r="M101" s="356" t="n">
        <v>0</v>
      </c>
      <c r="N101" s="356" t="n">
        <v>0</v>
      </c>
      <c r="O101" s="356" t="n">
        <v>0</v>
      </c>
      <c r="P101" s="356" t="n">
        <v>0</v>
      </c>
      <c r="Q101" s="356" t="n">
        <v>0</v>
      </c>
      <c r="R101" s="356" t="n">
        <v>0</v>
      </c>
      <c r="S101" s="356" t="n">
        <v>0</v>
      </c>
      <c r="T101" s="356" t="n">
        <v>0</v>
      </c>
      <c r="U101" s="356" t="n">
        <v>0</v>
      </c>
      <c r="V101" s="356" t="n">
        <v>0</v>
      </c>
      <c r="W101" s="356" t="n">
        <v>0</v>
      </c>
      <c r="X101" s="356" t="n">
        <v>0</v>
      </c>
      <c r="Y101" s="356" t="n">
        <v>0</v>
      </c>
      <c r="Z101" s="356" t="n">
        <v>0</v>
      </c>
      <c r="AA101" s="356" t="n">
        <v>0</v>
      </c>
      <c r="AB101" s="356" t="n">
        <v>0</v>
      </c>
      <c r="AC101" s="356" t="n">
        <v>0</v>
      </c>
      <c r="AD101" s="356" t="n">
        <v>0</v>
      </c>
      <c r="AE101" s="356" t="n">
        <f aca="false">SUM(B101:I101)</f>
        <v>0</v>
      </c>
      <c r="AF101" s="356" t="n">
        <f aca="false">SUM(J101:U101)</f>
        <v>0</v>
      </c>
      <c r="AG101" s="356" t="n">
        <f aca="false">SUM(V101:AD101)</f>
        <v>0</v>
      </c>
      <c r="AH101" s="356" t="n">
        <f aca="false">SUM(B101:AD101)</f>
        <v>0</v>
      </c>
    </row>
    <row r="102" customFormat="false" ht="15" hidden="false" customHeight="false" outlineLevel="0" collapsed="false">
      <c r="A102" s="336" t="s">
        <v>1524</v>
      </c>
      <c r="B102" s="356" t="n">
        <v>0</v>
      </c>
      <c r="C102" s="356" t="n">
        <v>0</v>
      </c>
      <c r="D102" s="356" t="n">
        <v>0</v>
      </c>
      <c r="E102" s="356" t="n">
        <v>0</v>
      </c>
      <c r="F102" s="356" t="n">
        <v>0</v>
      </c>
      <c r="G102" s="356" t="n">
        <v>0</v>
      </c>
      <c r="H102" s="356" t="n">
        <v>0</v>
      </c>
      <c r="I102" s="356" t="n">
        <v>0</v>
      </c>
      <c r="J102" s="356" t="n">
        <v>0</v>
      </c>
      <c r="K102" s="356" t="n">
        <v>0</v>
      </c>
      <c r="L102" s="356" t="n">
        <v>0</v>
      </c>
      <c r="M102" s="356" t="n">
        <v>0</v>
      </c>
      <c r="N102" s="356" t="n">
        <v>0</v>
      </c>
      <c r="O102" s="356" t="n">
        <v>0</v>
      </c>
      <c r="P102" s="356" t="n">
        <v>0</v>
      </c>
      <c r="Q102" s="356" t="n">
        <v>0</v>
      </c>
      <c r="R102" s="356" t="n">
        <v>0</v>
      </c>
      <c r="S102" s="356" t="n">
        <v>0</v>
      </c>
      <c r="T102" s="356" t="n">
        <v>0</v>
      </c>
      <c r="U102" s="356" t="n">
        <v>0</v>
      </c>
      <c r="V102" s="356" t="n">
        <v>0</v>
      </c>
      <c r="W102" s="356" t="n">
        <v>0</v>
      </c>
      <c r="X102" s="356" t="n">
        <v>0</v>
      </c>
      <c r="Y102" s="356" t="n">
        <v>0</v>
      </c>
      <c r="Z102" s="356" t="n">
        <v>0</v>
      </c>
      <c r="AA102" s="356" t="n">
        <v>0</v>
      </c>
      <c r="AB102" s="356" t="n">
        <v>0</v>
      </c>
      <c r="AC102" s="356" t="n">
        <v>0</v>
      </c>
      <c r="AD102" s="356" t="n">
        <v>0</v>
      </c>
      <c r="AE102" s="356" t="n">
        <f aca="false">SUM(B102:I102)</f>
        <v>0</v>
      </c>
      <c r="AF102" s="356" t="n">
        <f aca="false">SUM(J102:U102)</f>
        <v>0</v>
      </c>
      <c r="AG102" s="356" t="n">
        <f aca="false">SUM(V102:AD102)</f>
        <v>0</v>
      </c>
      <c r="AH102" s="356" t="n">
        <f aca="false">SUM(B102:AD102)</f>
        <v>0</v>
      </c>
    </row>
    <row r="103" customFormat="false" ht="15" hidden="false" customHeight="false" outlineLevel="0" collapsed="false">
      <c r="A103" s="336" t="s">
        <v>1525</v>
      </c>
      <c r="B103" s="356" t="n">
        <v>0</v>
      </c>
      <c r="C103" s="356" t="n">
        <v>0</v>
      </c>
      <c r="D103" s="356" t="n">
        <v>0</v>
      </c>
      <c r="E103" s="356" t="n">
        <v>0</v>
      </c>
      <c r="F103" s="356" t="n">
        <v>0</v>
      </c>
      <c r="G103" s="356" t="n">
        <v>0</v>
      </c>
      <c r="H103" s="356" t="n">
        <v>0</v>
      </c>
      <c r="I103" s="356" t="n">
        <v>0</v>
      </c>
      <c r="J103" s="356" t="n">
        <v>0</v>
      </c>
      <c r="K103" s="356" t="n">
        <v>0</v>
      </c>
      <c r="L103" s="356" t="n">
        <v>0</v>
      </c>
      <c r="M103" s="356" t="n">
        <v>0</v>
      </c>
      <c r="N103" s="356" t="n">
        <v>0</v>
      </c>
      <c r="O103" s="356" t="n">
        <v>0</v>
      </c>
      <c r="P103" s="356" t="n">
        <v>0</v>
      </c>
      <c r="Q103" s="356" t="n">
        <v>0</v>
      </c>
      <c r="R103" s="356" t="n">
        <v>0</v>
      </c>
      <c r="S103" s="356" t="n">
        <v>0</v>
      </c>
      <c r="T103" s="356" t="n">
        <v>0</v>
      </c>
      <c r="U103" s="356" t="n">
        <v>0</v>
      </c>
      <c r="V103" s="356" t="n">
        <v>0</v>
      </c>
      <c r="W103" s="356" t="n">
        <v>0</v>
      </c>
      <c r="X103" s="356" t="n">
        <v>-0.58</v>
      </c>
      <c r="Y103" s="356" t="n">
        <v>0</v>
      </c>
      <c r="Z103" s="356" t="n">
        <v>0</v>
      </c>
      <c r="AA103" s="356" t="n">
        <v>0</v>
      </c>
      <c r="AB103" s="356" t="n">
        <v>0</v>
      </c>
      <c r="AC103" s="356" t="n">
        <v>0</v>
      </c>
      <c r="AD103" s="356" t="n">
        <v>0</v>
      </c>
      <c r="AE103" s="356" t="n">
        <f aca="false">SUM(B103:I103)</f>
        <v>0</v>
      </c>
      <c r="AF103" s="356" t="n">
        <f aca="false">SUM(J103:U103)</f>
        <v>0</v>
      </c>
      <c r="AG103" s="356" t="n">
        <f aca="false">SUM(V103:AD103)</f>
        <v>-0.58</v>
      </c>
      <c r="AH103" s="356" t="n">
        <f aca="false">SUM(B103:AD103)</f>
        <v>-0.58</v>
      </c>
    </row>
    <row r="104" customFormat="false" ht="15" hidden="false" customHeight="false" outlineLevel="0" collapsed="false">
      <c r="A104" s="361" t="s">
        <v>136</v>
      </c>
      <c r="B104" s="362" t="n">
        <f aca="false">B99+B101+B102+B103</f>
        <v>0</v>
      </c>
      <c r="C104" s="362" t="n">
        <f aca="false">C99+C101+C102+C103</f>
        <v>0</v>
      </c>
      <c r="D104" s="362" t="n">
        <f aca="false">D99+D101+D102+D103</f>
        <v>0</v>
      </c>
      <c r="E104" s="362" t="n">
        <f aca="false">E99+E101+E102+E103</f>
        <v>0</v>
      </c>
      <c r="F104" s="362" t="n">
        <f aca="false">F99+F101+F102+F103</f>
        <v>0</v>
      </c>
      <c r="G104" s="362" t="n">
        <f aca="false">G99+G101+G102+G103</f>
        <v>0</v>
      </c>
      <c r="H104" s="362" t="n">
        <f aca="false">H99+H101+H102+H103</f>
        <v>0</v>
      </c>
      <c r="I104" s="362" t="n">
        <f aca="false">I99+I101+I102+I103</f>
        <v>0</v>
      </c>
      <c r="J104" s="362" t="n">
        <f aca="false">J99+J101+J102+J103</f>
        <v>0</v>
      </c>
      <c r="K104" s="362" t="n">
        <f aca="false">K99+K101+K102+K103</f>
        <v>0</v>
      </c>
      <c r="L104" s="362" t="n">
        <f aca="false">L99+L101+L102+L103</f>
        <v>0</v>
      </c>
      <c r="M104" s="362" t="n">
        <f aca="false">M99+M101+M102+M103</f>
        <v>0</v>
      </c>
      <c r="N104" s="362" t="n">
        <f aca="false">N99+N101+N102+N103</f>
        <v>0</v>
      </c>
      <c r="O104" s="362" t="n">
        <f aca="false">O99+O101+O102+O103</f>
        <v>0</v>
      </c>
      <c r="P104" s="362" t="n">
        <f aca="false">P99+P101+P102+P103</f>
        <v>0</v>
      </c>
      <c r="Q104" s="362" t="n">
        <f aca="false">Q99+Q101+Q102+Q103</f>
        <v>0</v>
      </c>
      <c r="R104" s="362" t="n">
        <f aca="false">R99+R101+R102+R103</f>
        <v>0</v>
      </c>
      <c r="S104" s="362" t="n">
        <f aca="false">S99+S101+S102+S103</f>
        <v>0</v>
      </c>
      <c r="T104" s="362" t="n">
        <f aca="false">T99+T101+T102+T103</f>
        <v>0</v>
      </c>
      <c r="U104" s="362" t="n">
        <f aca="false">U99+U101+U102+U103</f>
        <v>0</v>
      </c>
      <c r="V104" s="362" t="n">
        <f aca="false">V99+V101+V102+V103</f>
        <v>0</v>
      </c>
      <c r="W104" s="362" t="n">
        <f aca="false">W99+W101+W102+W103</f>
        <v>0</v>
      </c>
      <c r="X104" s="362" t="n">
        <f aca="false">X99+X101+X102+X103</f>
        <v>-0.58</v>
      </c>
      <c r="Y104" s="362" t="n">
        <f aca="false">Y99+Y101+Y102+Y103</f>
        <v>0</v>
      </c>
      <c r="Z104" s="362" t="n">
        <f aca="false">Z99+Z101+Z102+Z103</f>
        <v>0</v>
      </c>
      <c r="AA104" s="362" t="n">
        <f aca="false">AA99+AA101+AA102+AA103</f>
        <v>-71.65</v>
      </c>
      <c r="AB104" s="362" t="n">
        <f aca="false">AB99+AB101+AB102+AB103</f>
        <v>0</v>
      </c>
      <c r="AC104" s="362" t="n">
        <f aca="false">AC99+AC101+AC102+AC103</f>
        <v>0</v>
      </c>
      <c r="AD104" s="362" t="n">
        <f aca="false">AD99+AD101+AD102+AD103</f>
        <v>0</v>
      </c>
      <c r="AE104" s="362" t="n">
        <f aca="false">AE99+AE101+AE102+AE103</f>
        <v>0</v>
      </c>
      <c r="AF104" s="362" t="n">
        <f aca="false">AF99+AF101+AF102+AF103</f>
        <v>0</v>
      </c>
      <c r="AG104" s="362" t="n">
        <f aca="false">AG99+AG101+AG102+AG103</f>
        <v>-72.23</v>
      </c>
      <c r="AH104" s="362" t="n">
        <f aca="false">AH99+AH101+AH102+AH103</f>
        <v>-72.23</v>
      </c>
    </row>
    <row r="105" customFormat="false" ht="15" hidden="false" customHeight="false" outlineLevel="0" collapsed="false">
      <c r="A105" s="336" t="s">
        <v>1526</v>
      </c>
      <c r="B105" s="357" t="n">
        <f aca="false">IFERROR(B104/B97,0)</f>
        <v>0</v>
      </c>
      <c r="C105" s="357" t="n">
        <f aca="false">IFERROR(C104/C97,0)</f>
        <v>0</v>
      </c>
      <c r="D105" s="357" t="n">
        <f aca="false">IFERROR(D104/D97,0)</f>
        <v>0</v>
      </c>
      <c r="E105" s="357" t="n">
        <f aca="false">IFERROR(E104/E97,0)</f>
        <v>0</v>
      </c>
      <c r="F105" s="357" t="n">
        <f aca="false">IFERROR(F104/F97,0)</f>
        <v>0</v>
      </c>
      <c r="G105" s="357" t="n">
        <f aca="false">IFERROR(G104/G97,0)</f>
        <v>0</v>
      </c>
      <c r="H105" s="357" t="n">
        <f aca="false">IFERROR(H104/H97,0)</f>
        <v>0</v>
      </c>
      <c r="I105" s="357" t="n">
        <f aca="false">IFERROR(I104/I97,0)</f>
        <v>0</v>
      </c>
      <c r="J105" s="357" t="n">
        <f aca="false">IFERROR(J104/J97,0)</f>
        <v>0</v>
      </c>
      <c r="K105" s="357" t="n">
        <f aca="false">IFERROR(K104/K97,0)</f>
        <v>0</v>
      </c>
      <c r="L105" s="357" t="n">
        <f aca="false">IFERROR(L104/L97,0)</f>
        <v>0</v>
      </c>
      <c r="M105" s="357" t="n">
        <f aca="false">IFERROR(M104/M97,0)</f>
        <v>0</v>
      </c>
      <c r="N105" s="357" t="n">
        <f aca="false">IFERROR(N104/N97,0)</f>
        <v>0</v>
      </c>
      <c r="O105" s="357" t="n">
        <f aca="false">IFERROR(O104/O97,0)</f>
        <v>0</v>
      </c>
      <c r="P105" s="357" t="n">
        <f aca="false">IFERROR(P104/P97,0)</f>
        <v>0</v>
      </c>
      <c r="Q105" s="357" t="n">
        <f aca="false">IFERROR(Q104/Q97,0)</f>
        <v>0</v>
      </c>
      <c r="R105" s="357" t="n">
        <f aca="false">IFERROR(R104/R97,0)</f>
        <v>0</v>
      </c>
      <c r="S105" s="357" t="n">
        <f aca="false">IFERROR(S104/S97,0)</f>
        <v>0</v>
      </c>
      <c r="T105" s="357" t="n">
        <f aca="false">IFERROR(T104/T97,0)</f>
        <v>0</v>
      </c>
      <c r="U105" s="357" t="n">
        <f aca="false">IFERROR(U104/U97,0)</f>
        <v>0</v>
      </c>
      <c r="V105" s="357" t="n">
        <f aca="false">IFERROR(V104/V97,0)</f>
        <v>0</v>
      </c>
      <c r="W105" s="357" t="n">
        <f aca="false">IFERROR(W104/W97,0)</f>
        <v>0</v>
      </c>
      <c r="X105" s="357" t="n">
        <f aca="false">IFERROR(X104/X97,0)</f>
        <v>0</v>
      </c>
      <c r="Y105" s="357" t="n">
        <f aca="false">IFERROR(Y104/Y97,0)</f>
        <v>0</v>
      </c>
      <c r="Z105" s="357" t="n">
        <f aca="false">IFERROR(Z104/Z97,0)</f>
        <v>0</v>
      </c>
      <c r="AA105" s="357" t="n">
        <f aca="false">IFERROR(AA104/AA97,0)</f>
        <v>0</v>
      </c>
      <c r="AB105" s="357" t="n">
        <f aca="false">IFERROR(AB104/AB97,0)</f>
        <v>0</v>
      </c>
      <c r="AC105" s="357" t="n">
        <f aca="false">IFERROR(AC104/AC97,0)</f>
        <v>0</v>
      </c>
      <c r="AD105" s="357" t="n">
        <f aca="false">IFERROR(AD104/AD97,0)</f>
        <v>0</v>
      </c>
      <c r="AE105" s="357" t="n">
        <f aca="false">IFERROR(AE104/AE97,0)</f>
        <v>0</v>
      </c>
      <c r="AF105" s="357" t="n">
        <f aca="false">IFERROR(AF104/AF97,0)</f>
        <v>0</v>
      </c>
      <c r="AG105" s="357" t="n">
        <f aca="false">IFERROR(AG104/AG97,0)</f>
        <v>0</v>
      </c>
      <c r="AH105" s="357" t="n">
        <f aca="false">IFERROR(AH104/AH97,0)</f>
        <v>0</v>
      </c>
    </row>
    <row r="106" customFormat="false" ht="15" hidden="false" customHeight="false" outlineLevel="0" collapsed="false">
      <c r="A106" s="336" t="s">
        <v>1527</v>
      </c>
      <c r="B106" s="356" t="n">
        <v>0</v>
      </c>
      <c r="C106" s="356" t="n">
        <v>0</v>
      </c>
      <c r="D106" s="356" t="n">
        <v>0</v>
      </c>
      <c r="E106" s="356" t="n">
        <v>0</v>
      </c>
      <c r="F106" s="356" t="n">
        <v>0</v>
      </c>
      <c r="G106" s="356" t="n">
        <v>0</v>
      </c>
      <c r="H106" s="356" t="n">
        <v>0</v>
      </c>
      <c r="I106" s="356" t="n">
        <v>0</v>
      </c>
      <c r="J106" s="356" t="n">
        <v>0</v>
      </c>
      <c r="K106" s="356" t="n">
        <v>0</v>
      </c>
      <c r="L106" s="356" t="n">
        <v>0</v>
      </c>
      <c r="M106" s="356" t="n">
        <v>0</v>
      </c>
      <c r="N106" s="356" t="n">
        <v>0</v>
      </c>
      <c r="O106" s="356" t="n">
        <v>0</v>
      </c>
      <c r="P106" s="356" t="n">
        <v>0</v>
      </c>
      <c r="Q106" s="356" t="n">
        <v>0</v>
      </c>
      <c r="R106" s="356" t="n">
        <v>0</v>
      </c>
      <c r="S106" s="356" t="n">
        <v>0</v>
      </c>
      <c r="T106" s="356" t="n">
        <v>0</v>
      </c>
      <c r="U106" s="356" t="n">
        <v>0</v>
      </c>
      <c r="V106" s="356" t="n">
        <v>0</v>
      </c>
      <c r="W106" s="356" t="n">
        <v>0</v>
      </c>
      <c r="X106" s="356" t="n">
        <v>0</v>
      </c>
      <c r="Y106" s="356" t="n">
        <v>0</v>
      </c>
      <c r="Z106" s="356" t="n">
        <v>0</v>
      </c>
      <c r="AA106" s="356" t="n">
        <v>0</v>
      </c>
      <c r="AB106" s="356" t="n">
        <v>0</v>
      </c>
      <c r="AC106" s="356" t="n">
        <v>0</v>
      </c>
      <c r="AD106" s="356" t="n">
        <v>0</v>
      </c>
      <c r="AE106" s="356" t="n">
        <f aca="false">SUM(B106:I106)</f>
        <v>0</v>
      </c>
      <c r="AF106" s="356" t="n">
        <f aca="false">SUM(J106:U106)</f>
        <v>0</v>
      </c>
      <c r="AG106" s="356" t="n">
        <f aca="false">SUM(V106:AD106)</f>
        <v>0</v>
      </c>
      <c r="AH106" s="356" t="n">
        <f aca="false">SUM(B106:AD106)</f>
        <v>0</v>
      </c>
    </row>
    <row r="107" customFormat="false" ht="15" hidden="false" customHeight="false" outlineLevel="0" collapsed="false">
      <c r="A107" s="345" t="s">
        <v>1528</v>
      </c>
      <c r="B107" s="358" t="n">
        <f aca="false">B104+B106</f>
        <v>0</v>
      </c>
      <c r="C107" s="358" t="n">
        <f aca="false">C104+C106</f>
        <v>0</v>
      </c>
      <c r="D107" s="358" t="n">
        <f aca="false">D104+D106</f>
        <v>0</v>
      </c>
      <c r="E107" s="358" t="n">
        <f aca="false">E104+E106</f>
        <v>0</v>
      </c>
      <c r="F107" s="358" t="n">
        <f aca="false">F104+F106</f>
        <v>0</v>
      </c>
      <c r="G107" s="358" t="n">
        <f aca="false">G104+G106</f>
        <v>0</v>
      </c>
      <c r="H107" s="358" t="n">
        <f aca="false">H104+H106</f>
        <v>0</v>
      </c>
      <c r="I107" s="358" t="n">
        <f aca="false">I104+I106</f>
        <v>0</v>
      </c>
      <c r="J107" s="358" t="n">
        <f aca="false">J104+J106</f>
        <v>0</v>
      </c>
      <c r="K107" s="358" t="n">
        <f aca="false">K104+K106</f>
        <v>0</v>
      </c>
      <c r="L107" s="358" t="n">
        <f aca="false">L104+L106</f>
        <v>0</v>
      </c>
      <c r="M107" s="358" t="n">
        <f aca="false">M104+M106</f>
        <v>0</v>
      </c>
      <c r="N107" s="358" t="n">
        <f aca="false">N104+N106</f>
        <v>0</v>
      </c>
      <c r="O107" s="358" t="n">
        <f aca="false">O104+O106</f>
        <v>0</v>
      </c>
      <c r="P107" s="358" t="n">
        <f aca="false">P104+P106</f>
        <v>0</v>
      </c>
      <c r="Q107" s="358" t="n">
        <f aca="false">Q104+Q106</f>
        <v>0</v>
      </c>
      <c r="R107" s="358" t="n">
        <f aca="false">R104+R106</f>
        <v>0</v>
      </c>
      <c r="S107" s="358" t="n">
        <f aca="false">S104+S106</f>
        <v>0</v>
      </c>
      <c r="T107" s="358" t="n">
        <f aca="false">T104+T106</f>
        <v>0</v>
      </c>
      <c r="U107" s="358" t="n">
        <f aca="false">U104+U106</f>
        <v>0</v>
      </c>
      <c r="V107" s="358" t="n">
        <f aca="false">V104+V106</f>
        <v>0</v>
      </c>
      <c r="W107" s="358" t="n">
        <f aca="false">W104+W106</f>
        <v>0</v>
      </c>
      <c r="X107" s="358" t="n">
        <f aca="false">X104+X106</f>
        <v>-0.58</v>
      </c>
      <c r="Y107" s="358" t="n">
        <f aca="false">Y104+Y106</f>
        <v>0</v>
      </c>
      <c r="Z107" s="358" t="n">
        <f aca="false">Z104+Z106</f>
        <v>0</v>
      </c>
      <c r="AA107" s="358" t="n">
        <f aca="false">AA104+AA106</f>
        <v>-71.65</v>
      </c>
      <c r="AB107" s="358" t="n">
        <f aca="false">AB104+AB106</f>
        <v>0</v>
      </c>
      <c r="AC107" s="358" t="n">
        <f aca="false">AC104+AC106</f>
        <v>0</v>
      </c>
      <c r="AD107" s="358" t="n">
        <f aca="false">AD104+AD106</f>
        <v>0</v>
      </c>
      <c r="AE107" s="358" t="n">
        <f aca="false">AE104+AE106</f>
        <v>0</v>
      </c>
      <c r="AF107" s="358" t="n">
        <f aca="false">AF104+AF106</f>
        <v>0</v>
      </c>
      <c r="AG107" s="358" t="n">
        <f aca="false">AG104+AG106</f>
        <v>-72.23</v>
      </c>
      <c r="AH107" s="358" t="n">
        <f aca="false">AH104+AH106</f>
        <v>-72.23</v>
      </c>
    </row>
    <row r="109" customFormat="false" ht="15" hidden="false" customHeight="false" outlineLevel="0" collapsed="false">
      <c r="A109" s="339" t="s">
        <v>1496</v>
      </c>
      <c r="B109" s="353"/>
      <c r="C109" s="353"/>
      <c r="D109" s="353"/>
      <c r="E109" s="353"/>
      <c r="F109" s="353"/>
      <c r="G109" s="353"/>
      <c r="H109" s="353"/>
      <c r="I109" s="353"/>
      <c r="J109" s="353"/>
      <c r="K109" s="353"/>
      <c r="L109" s="353"/>
      <c r="M109" s="353"/>
      <c r="N109" s="353"/>
      <c r="O109" s="353"/>
      <c r="P109" s="353"/>
      <c r="Q109" s="353"/>
      <c r="R109" s="353"/>
      <c r="S109" s="353"/>
      <c r="T109" s="353"/>
      <c r="U109" s="353"/>
      <c r="V109" s="353"/>
      <c r="W109" s="353"/>
      <c r="X109" s="353"/>
      <c r="Y109" s="353"/>
      <c r="Z109" s="353"/>
      <c r="AA109" s="353"/>
      <c r="AB109" s="353"/>
      <c r="AC109" s="353"/>
      <c r="AD109" s="353"/>
      <c r="AE109" s="353"/>
      <c r="AF109" s="353"/>
      <c r="AG109" s="353"/>
      <c r="AH109" s="353"/>
    </row>
    <row r="110" customFormat="false" ht="15" hidden="false" customHeight="false" outlineLevel="0" collapsed="false">
      <c r="A110" s="345" t="s">
        <v>1490</v>
      </c>
      <c r="B110" s="358" t="n">
        <f aca="false">B20+B35+B50+B65+B80+B95</f>
        <v>0</v>
      </c>
      <c r="C110" s="358" t="n">
        <f aca="false">C20+C35+C50+C65+C80+C95</f>
        <v>0</v>
      </c>
      <c r="D110" s="358" t="n">
        <f aca="false">D20+D35+D50+D65+D80+D95</f>
        <v>0</v>
      </c>
      <c r="E110" s="358" t="n">
        <f aca="false">E20+E35+E50+E65+E80+E95</f>
        <v>0</v>
      </c>
      <c r="F110" s="358" t="n">
        <f aca="false">F20+F35+F50+F65+F80+F95</f>
        <v>0</v>
      </c>
      <c r="G110" s="358" t="n">
        <f aca="false">G20+G35+G50+G65+G80+G95</f>
        <v>0</v>
      </c>
      <c r="H110" s="358" t="n">
        <f aca="false">H20+H35+H50+H65+H80+H95</f>
        <v>0</v>
      </c>
      <c r="I110" s="358" t="n">
        <f aca="false">I20+I35+I50+I65+I80+I95</f>
        <v>0</v>
      </c>
      <c r="J110" s="358" t="n">
        <f aca="false">J20+J35+J50+J65+J80+J95</f>
        <v>5317.36</v>
      </c>
      <c r="K110" s="358" t="n">
        <f aca="false">K20+K35+K50+K65+K80+K95</f>
        <v>16169.05</v>
      </c>
      <c r="L110" s="358" t="n">
        <f aca="false">L20+L35+L50+L65+L80+L95</f>
        <v>17805.3</v>
      </c>
      <c r="M110" s="358" t="n">
        <f aca="false">M20+M35+M50+M65+M80+M95</f>
        <v>20093.72</v>
      </c>
      <c r="N110" s="358" t="n">
        <f aca="false">N20+N35+N50+N65+N80+N95</f>
        <v>36517.5</v>
      </c>
      <c r="O110" s="358" t="n">
        <f aca="false">O20+O35+O50+O65+O80+O95</f>
        <v>24075.79</v>
      </c>
      <c r="P110" s="358" t="n">
        <f aca="false">P20+P35+P50+P65+P80+P95</f>
        <v>37910.45</v>
      </c>
      <c r="Q110" s="358" t="n">
        <f aca="false">Q20+Q35+Q50+Q65+Q80+Q95</f>
        <v>47761.09</v>
      </c>
      <c r="R110" s="358" t="n">
        <f aca="false">R20+R35+R50+R65+R80+R95</f>
        <v>55411.4</v>
      </c>
      <c r="S110" s="358" t="n">
        <f aca="false">S20+S35+S50+S65+S80+S95</f>
        <v>52086.23</v>
      </c>
      <c r="T110" s="358" t="n">
        <f aca="false">T20+T35+T50+T65+T80+T95</f>
        <v>32799.83</v>
      </c>
      <c r="U110" s="358" t="n">
        <f aca="false">U20+U35+U50+U65+U80+U95</f>
        <v>47589.7</v>
      </c>
      <c r="V110" s="358" t="n">
        <f aca="false">V20+V35+V50+V65+V80+V95</f>
        <v>55876.97</v>
      </c>
      <c r="W110" s="358" t="n">
        <f aca="false">W20+W35+W50+W65+W80+W95</f>
        <v>55564.7</v>
      </c>
      <c r="X110" s="358" t="n">
        <f aca="false">X20+X35+X50+X65+X80+X95</f>
        <v>51452.63</v>
      </c>
      <c r="Y110" s="358" t="n">
        <f aca="false">Y20+Y35+Y50+Y65+Y80+Y95</f>
        <v>56089.3</v>
      </c>
      <c r="Z110" s="358" t="n">
        <f aca="false">Z20+Z35+Z50+Z65+Z80+Z95</f>
        <v>57868.78</v>
      </c>
      <c r="AA110" s="358" t="n">
        <f aca="false">AA20+AA35+AA50+AA65+AA80+AA95</f>
        <v>50692.17</v>
      </c>
      <c r="AB110" s="358" t="n">
        <f aca="false">AB20+AB35+AB50+AB65+AB80+AB95</f>
        <v>68327.13</v>
      </c>
      <c r="AC110" s="358" t="n">
        <f aca="false">AC20+AC35+AC50+AC65+AC80+AC95</f>
        <v>83843.68</v>
      </c>
      <c r="AD110" s="358" t="n">
        <f aca="false">AD20+AD35+AD50+AD65+AD80+AD95</f>
        <v>58154.56</v>
      </c>
      <c r="AE110" s="358" t="n">
        <f aca="false">AE20+AE35+AE50+AE65+AE80+AE95</f>
        <v>0</v>
      </c>
      <c r="AF110" s="358" t="n">
        <f aca="false">AF20+AF35+AF50+AF65+AF80+AF95</f>
        <v>393537.42</v>
      </c>
      <c r="AG110" s="358" t="n">
        <f aca="false">AG20+AG35+AG50+AG65+AG80+AG95</f>
        <v>537869.92</v>
      </c>
      <c r="AH110" s="358" t="n">
        <f aca="false">AH20+AH35+AH50+AH65+AH80+AH95</f>
        <v>931407.34</v>
      </c>
    </row>
    <row r="111" customFormat="false" ht="15" hidden="false" customHeight="false" outlineLevel="0" collapsed="false">
      <c r="A111" s="345" t="s">
        <v>1491</v>
      </c>
      <c r="B111" s="358" t="n">
        <f aca="false">B22+B37+B52+B67+B82+B97</f>
        <v>0</v>
      </c>
      <c r="C111" s="358" t="n">
        <f aca="false">C22+C37+C52+C67+C82+C97</f>
        <v>0</v>
      </c>
      <c r="D111" s="358" t="n">
        <f aca="false">D22+D37+D52+D67+D82+D97</f>
        <v>0</v>
      </c>
      <c r="E111" s="358" t="n">
        <f aca="false">E22+E37+E52+E67+E82+E97</f>
        <v>0</v>
      </c>
      <c r="F111" s="358" t="n">
        <f aca="false">F22+F37+F52+F67+F82+F97</f>
        <v>0</v>
      </c>
      <c r="G111" s="358" t="n">
        <f aca="false">G22+G37+G52+G67+G82+G97</f>
        <v>0</v>
      </c>
      <c r="H111" s="358" t="n">
        <f aca="false">H22+H37+H52+H67+H82+H97</f>
        <v>0</v>
      </c>
      <c r="I111" s="358" t="n">
        <f aca="false">I22+I37+I52+I67+I82+I97</f>
        <v>0</v>
      </c>
      <c r="J111" s="358" t="n">
        <f aca="false">J22+J37+J52+J67+J82+J97</f>
        <v>4036.97</v>
      </c>
      <c r="K111" s="358" t="n">
        <f aca="false">K22+K37+K52+K67+K82+K97</f>
        <v>14368.03</v>
      </c>
      <c r="L111" s="358" t="n">
        <f aca="false">L22+L37+L52+L67+L82+L97</f>
        <v>16294.96</v>
      </c>
      <c r="M111" s="358" t="n">
        <f aca="false">M22+M37+M52+M67+M82+M97</f>
        <v>18853.42</v>
      </c>
      <c r="N111" s="358" t="n">
        <f aca="false">N22+N37+N52+N67+N82+N97</f>
        <v>27255.51</v>
      </c>
      <c r="O111" s="358" t="n">
        <f aca="false">O22+O37+O52+O67+O82+O97</f>
        <v>21763.65</v>
      </c>
      <c r="P111" s="358" t="n">
        <f aca="false">P22+P37+P52+P67+P82+P97</f>
        <v>32777.55</v>
      </c>
      <c r="Q111" s="358" t="n">
        <f aca="false">Q22+Q37+Q52+Q67+Q82+Q97</f>
        <v>44257.14</v>
      </c>
      <c r="R111" s="358" t="n">
        <f aca="false">R22+R37+R52+R67+R82+R97</f>
        <v>52850.21</v>
      </c>
      <c r="S111" s="358" t="n">
        <f aca="false">S22+S37+S52+S67+S82+S97</f>
        <v>50572.36</v>
      </c>
      <c r="T111" s="358" t="n">
        <f aca="false">T22+T37+T52+T67+T82+T97</f>
        <v>32119.15</v>
      </c>
      <c r="U111" s="358" t="n">
        <f aca="false">U22+U37+U52+U67+U82+U97</f>
        <v>46229.22</v>
      </c>
      <c r="V111" s="358" t="n">
        <f aca="false">V22+V37+V52+V67+V82+V97</f>
        <v>54653.57</v>
      </c>
      <c r="W111" s="358" t="n">
        <f aca="false">W22+W37+W52+W67+W82+W97</f>
        <v>53596.15</v>
      </c>
      <c r="X111" s="358" t="n">
        <f aca="false">X22+X37+X52+X67+X82+X97</f>
        <v>48159.95</v>
      </c>
      <c r="Y111" s="358" t="n">
        <f aca="false">Y22+Y37+Y52+Y67+Y82+Y97</f>
        <v>53071.91</v>
      </c>
      <c r="Z111" s="358" t="n">
        <f aca="false">Z22+Z37+Z52+Z67+Z82+Z97</f>
        <v>53952.94</v>
      </c>
      <c r="AA111" s="358" t="n">
        <f aca="false">AA22+AA37+AA52+AA67+AA82+AA97</f>
        <v>46367.48</v>
      </c>
      <c r="AB111" s="358" t="n">
        <f aca="false">AB22+AB37+AB52+AB67+AB82+AB97</f>
        <v>63004.75</v>
      </c>
      <c r="AC111" s="358" t="n">
        <f aca="false">AC22+AC37+AC52+AC67+AC82+AC97</f>
        <v>78062.27</v>
      </c>
      <c r="AD111" s="358" t="n">
        <f aca="false">AD22+AD37+AD52+AD67+AD82+AD97</f>
        <v>55168.85</v>
      </c>
      <c r="AE111" s="358" t="n">
        <f aca="false">AE22+AE37+AE52+AE67+AE82+AE97</f>
        <v>0</v>
      </c>
      <c r="AF111" s="358" t="n">
        <f aca="false">AF22+AF37+AF52+AF67+AF82+AF97</f>
        <v>361378.17</v>
      </c>
      <c r="AG111" s="358" t="n">
        <f aca="false">AG22+AG37+AG52+AG67+AG82+AG97</f>
        <v>506037.87</v>
      </c>
      <c r="AH111" s="358" t="n">
        <f aca="false">AH22+AH37+AH52+AH67+AH82+AH97</f>
        <v>867416.04</v>
      </c>
    </row>
    <row r="112" customFormat="false" ht="15" hidden="false" customHeight="false" outlineLevel="0" collapsed="false">
      <c r="A112" s="345" t="s">
        <v>1522</v>
      </c>
      <c r="B112" s="358" t="n">
        <f aca="false">B24+B39+B54+B69+B84+B99</f>
        <v>0</v>
      </c>
      <c r="C112" s="358" t="n">
        <f aca="false">C24+C39+C54+C69+C84+C99</f>
        <v>0</v>
      </c>
      <c r="D112" s="358" t="n">
        <f aca="false">D24+D39+D54+D69+D84+D99</f>
        <v>0</v>
      </c>
      <c r="E112" s="358" t="n">
        <f aca="false">E24+E39+E54+E69+E84+E99</f>
        <v>0</v>
      </c>
      <c r="F112" s="358" t="n">
        <f aca="false">F24+F39+F54+F69+F84+F99</f>
        <v>0</v>
      </c>
      <c r="G112" s="358" t="n">
        <f aca="false">G24+G39+G54+G69+G84+G99</f>
        <v>0</v>
      </c>
      <c r="H112" s="358" t="n">
        <f aca="false">H24+H39+H54+H69+H84+H99</f>
        <v>0</v>
      </c>
      <c r="I112" s="358" t="n">
        <f aca="false">I24+I39+I54+I69+I84+I99</f>
        <v>0</v>
      </c>
      <c r="J112" s="358" t="n">
        <f aca="false">J24+J39+J54+J69+J84+J99</f>
        <v>3215.52</v>
      </c>
      <c r="K112" s="358" t="n">
        <f aca="false">K24+K39+K54+K69+K84+K99</f>
        <v>11728.69</v>
      </c>
      <c r="L112" s="358" t="n">
        <f aca="false">L24+L39+L54+L69+L84+L99</f>
        <v>11846.69</v>
      </c>
      <c r="M112" s="358" t="n">
        <f aca="false">M24+M39+M54+M69+M84+M99</f>
        <v>12177.51</v>
      </c>
      <c r="N112" s="358" t="n">
        <f aca="false">N24+N39+N54+N69+N84+N99</f>
        <v>17220.61</v>
      </c>
      <c r="O112" s="358" t="n">
        <f aca="false">O24+O39+O54+O69+O84+O99</f>
        <v>14888.39</v>
      </c>
      <c r="P112" s="358" t="n">
        <f aca="false">P24+P39+P54+P69+P84+P99</f>
        <v>20969.79</v>
      </c>
      <c r="Q112" s="358" t="n">
        <f aca="false">Q24+Q39+Q54+Q69+Q84+Q99</f>
        <v>29100.53</v>
      </c>
      <c r="R112" s="358" t="n">
        <f aca="false">R24+R39+R54+R69+R84+R99</f>
        <v>33156.01</v>
      </c>
      <c r="S112" s="358" t="n">
        <f aca="false">S24+S39+S54+S69+S84+S99</f>
        <v>31773.14</v>
      </c>
      <c r="T112" s="358" t="n">
        <f aca="false">T24+T39+T54+T69+T84+T99</f>
        <v>19521.89</v>
      </c>
      <c r="U112" s="358" t="n">
        <f aca="false">U24+U39+U54+U69+U84+U99</f>
        <v>32558.29</v>
      </c>
      <c r="V112" s="358" t="n">
        <f aca="false">V24+V39+V54+V69+V84+V99</f>
        <v>32793.41</v>
      </c>
      <c r="W112" s="358" t="n">
        <f aca="false">W24+W39+W54+W69+W84+W99</f>
        <v>38253.16</v>
      </c>
      <c r="X112" s="358" t="n">
        <f aca="false">X24+X39+X54+X69+X84+X99</f>
        <v>29328.99</v>
      </c>
      <c r="Y112" s="358" t="n">
        <f aca="false">Y24+Y39+Y54+Y69+Y84+Y99</f>
        <v>32606.98</v>
      </c>
      <c r="Z112" s="358" t="n">
        <f aca="false">Z24+Z39+Z54+Z69+Z84+Z99</f>
        <v>36470.4</v>
      </c>
      <c r="AA112" s="358" t="n">
        <f aca="false">AA24+AA39+AA54+AA69+AA84+AA99</f>
        <v>28957.69</v>
      </c>
      <c r="AB112" s="358" t="n">
        <f aca="false">AB24+AB39+AB54+AB69+AB84+AB99</f>
        <v>46031.32</v>
      </c>
      <c r="AC112" s="358" t="n">
        <f aca="false">AC24+AC39+AC54+AC69+AC84+AC99</f>
        <v>55447.31</v>
      </c>
      <c r="AD112" s="358" t="n">
        <f aca="false">AD24+AD39+AD54+AD69+AD84+AD99</f>
        <v>39321.92</v>
      </c>
      <c r="AE112" s="358" t="n">
        <f aca="false">AE24+AE39+AE54+AE69+AE84+AE99</f>
        <v>0</v>
      </c>
      <c r="AF112" s="358" t="n">
        <f aca="false">AF24+AF39+AF54+AF69+AF84+AF99</f>
        <v>238157.06</v>
      </c>
      <c r="AG112" s="358" t="n">
        <f aca="false">AG24+AG39+AG54+AG69+AG84+AG99</f>
        <v>339211.18</v>
      </c>
      <c r="AH112" s="358" t="n">
        <f aca="false">AH24+AH39+AH54+AH69+AH84+AH99</f>
        <v>577368.24</v>
      </c>
    </row>
    <row r="113" customFormat="false" ht="15" hidden="false" customHeight="false" outlineLevel="0" collapsed="false">
      <c r="A113" s="336" t="s">
        <v>1410</v>
      </c>
      <c r="B113" s="357" t="n">
        <f aca="false">IFERROR(B112/B111,0)</f>
        <v>0</v>
      </c>
      <c r="C113" s="357" t="n">
        <f aca="false">IFERROR(C112/C111,0)</f>
        <v>0</v>
      </c>
      <c r="D113" s="357" t="n">
        <f aca="false">IFERROR(D112/D111,0)</f>
        <v>0</v>
      </c>
      <c r="E113" s="357" t="n">
        <f aca="false">IFERROR(E112/E111,0)</f>
        <v>0</v>
      </c>
      <c r="F113" s="357" t="n">
        <f aca="false">IFERROR(F112/F111,0)</f>
        <v>0</v>
      </c>
      <c r="G113" s="357" t="n">
        <f aca="false">IFERROR(G112/G111,0)</f>
        <v>0</v>
      </c>
      <c r="H113" s="357" t="n">
        <f aca="false">IFERROR(H112/H111,0)</f>
        <v>0</v>
      </c>
      <c r="I113" s="357" t="n">
        <f aca="false">IFERROR(I112/I111,0)</f>
        <v>0</v>
      </c>
      <c r="J113" s="357" t="n">
        <f aca="false">IFERROR(J112/J111,0)</f>
        <v>0.796518180714744</v>
      </c>
      <c r="K113" s="357" t="n">
        <f aca="false">IFERROR(K112/K111,0)</f>
        <v>0.81630467085606</v>
      </c>
      <c r="L113" s="357" t="n">
        <f aca="false">IFERROR(L112/L111,0)</f>
        <v>0.727015592551317</v>
      </c>
      <c r="M113" s="357" t="n">
        <f aca="false">IFERROR(M112/M111,0)</f>
        <v>0.64590456267351</v>
      </c>
      <c r="N113" s="357" t="n">
        <f aca="false">IFERROR(N112/N111,0)</f>
        <v>0.631821235412583</v>
      </c>
      <c r="O113" s="357" t="n">
        <f aca="false">IFERROR(O112/O111,0)</f>
        <v>0.684094349982655</v>
      </c>
      <c r="P113" s="357" t="n">
        <f aca="false">IFERROR(P112/P111,0)</f>
        <v>0.639760750879794</v>
      </c>
      <c r="Q113" s="357" t="n">
        <f aca="false">IFERROR(Q112/Q111,0)</f>
        <v>0.657532999195158</v>
      </c>
      <c r="R113" s="357" t="n">
        <f aca="false">IFERROR(R112/R111,0)</f>
        <v>0.627358150516337</v>
      </c>
      <c r="S113" s="357" t="n">
        <f aca="false">IFERROR(S112/S111,0)</f>
        <v>0.628270857836178</v>
      </c>
      <c r="T113" s="357" t="n">
        <f aca="false">IFERROR(T112/T111,0)</f>
        <v>0.607795972184818</v>
      </c>
      <c r="U113" s="357" t="n">
        <f aca="false">IFERROR(U112/U111,0)</f>
        <v>0.704279457883996</v>
      </c>
      <c r="V113" s="357" t="n">
        <f aca="false">IFERROR(V112/V111,0)</f>
        <v>0.600023200680212</v>
      </c>
      <c r="W113" s="357" t="n">
        <f aca="false">IFERROR(W112/W111,0)</f>
        <v>0.713729624236069</v>
      </c>
      <c r="X113" s="357" t="n">
        <f aca="false">IFERROR(X112/X111,0)</f>
        <v>0.608991288404577</v>
      </c>
      <c r="Y113" s="357" t="n">
        <f aca="false">IFERROR(Y112/Y111,0)</f>
        <v>0.614392434717349</v>
      </c>
      <c r="Z113" s="357" t="n">
        <f aca="false">IFERROR(Z112/Z111,0)</f>
        <v>0.675966870387415</v>
      </c>
      <c r="AA113" s="357" t="n">
        <f aca="false">IFERROR(AA112/AA111,0)</f>
        <v>0.624525853033203</v>
      </c>
      <c r="AB113" s="357" t="n">
        <f aca="false">IFERROR(AB112/AB111,0)</f>
        <v>0.730600788035823</v>
      </c>
      <c r="AC113" s="357" t="n">
        <f aca="false">IFERROR(AC112/AC111,0)</f>
        <v>0.71029589582778</v>
      </c>
      <c r="AD113" s="357" t="n">
        <f aca="false">IFERROR(AD112/AD111,0)</f>
        <v>0.712755839572512</v>
      </c>
      <c r="AE113" s="357" t="n">
        <f aca="false">IFERROR(AE112/AE111,0)</f>
        <v>0</v>
      </c>
      <c r="AF113" s="357" t="n">
        <f aca="false">IFERROR(AF112/AF111,0)</f>
        <v>0.659024478429342</v>
      </c>
      <c r="AG113" s="357" t="n">
        <f aca="false">IFERROR(AG112/AG111,0)</f>
        <v>0.670327657493302</v>
      </c>
      <c r="AH113" s="357" t="n">
        <f aca="false">IFERROR(AH112/AH111,0)</f>
        <v>0.665618588284348</v>
      </c>
    </row>
    <row r="114" customFormat="false" ht="15" hidden="false" customHeight="false" outlineLevel="0" collapsed="false">
      <c r="A114" s="361" t="s">
        <v>1529</v>
      </c>
      <c r="B114" s="362" t="n">
        <f aca="false">B29+B44+B59+B74+B89+B104</f>
        <v>0</v>
      </c>
      <c r="C114" s="362" t="n">
        <f aca="false">C29+C44+C59+C74+C89+C104</f>
        <v>0</v>
      </c>
      <c r="D114" s="362" t="n">
        <f aca="false">D29+D44+D59+D74+D89+D104</f>
        <v>0</v>
      </c>
      <c r="E114" s="362" t="n">
        <f aca="false">E29+E44+E59+E74+E89+E104</f>
        <v>0</v>
      </c>
      <c r="F114" s="362" t="n">
        <f aca="false">F29+F44+F59+F74+F89+F104</f>
        <v>-1843.57</v>
      </c>
      <c r="G114" s="362" t="n">
        <f aca="false">G29+G44+G59+G74+G89+G104</f>
        <v>-3903.48</v>
      </c>
      <c r="H114" s="362" t="n">
        <f aca="false">H29+H44+H59+H74+H89+H104</f>
        <v>-5214.58</v>
      </c>
      <c r="I114" s="362" t="n">
        <f aca="false">I29+I44+I59+I74+I89+I104</f>
        <v>-8706.6</v>
      </c>
      <c r="J114" s="362" t="n">
        <f aca="false">J29+J44+J59+J74+J89+J104</f>
        <v>-11377.22</v>
      </c>
      <c r="K114" s="362" t="n">
        <f aca="false">K29+K44+K59+K74+K89+K104</f>
        <v>-2557.93</v>
      </c>
      <c r="L114" s="362" t="n">
        <f aca="false">L29+L44+L59+L74+L89+L104</f>
        <v>-5517.71</v>
      </c>
      <c r="M114" s="362" t="n">
        <f aca="false">M29+M44+M59+M74+M89+M104</f>
        <v>-5526.89</v>
      </c>
      <c r="N114" s="362" t="n">
        <f aca="false">N29+N44+N59+N74+N89+N104</f>
        <v>-4354.14</v>
      </c>
      <c r="O114" s="362" t="n">
        <f aca="false">O29+O44+O59+O74+O89+O104</f>
        <v>-4912.22</v>
      </c>
      <c r="P114" s="362" t="n">
        <f aca="false">P29+P44+P59+P74+P89+P104</f>
        <v>-307.859999999997</v>
      </c>
      <c r="Q114" s="362" t="n">
        <f aca="false">Q29+Q44+Q59+Q74+Q89+Q104</f>
        <v>3194.32</v>
      </c>
      <c r="R114" s="362" t="n">
        <f aca="false">R29+R44+R59+R74+R89+R104</f>
        <v>11153.83</v>
      </c>
      <c r="S114" s="362" t="n">
        <f aca="false">S29+S44+S59+S74+S89+S104</f>
        <v>2818.23</v>
      </c>
      <c r="T114" s="362" t="n">
        <f aca="false">T29+T44+T59+T74+T89+T104</f>
        <v>-9805.89</v>
      </c>
      <c r="U114" s="362" t="n">
        <f aca="false">U29+U44+U59+U74+U89+U104</f>
        <v>1716.92</v>
      </c>
      <c r="V114" s="362" t="n">
        <f aca="false">V29+V44+V59+V74+V89+V104</f>
        <v>-3653.34</v>
      </c>
      <c r="W114" s="362" t="n">
        <f aca="false">W29+W44+W59+W74+W89+W104</f>
        <v>2400.61000000001</v>
      </c>
      <c r="X114" s="362" t="n">
        <f aca="false">X29+X44+X59+X74+X89+X104</f>
        <v>-6951.59</v>
      </c>
      <c r="Y114" s="362" t="n">
        <f aca="false">Y29+Y44+Y59+Y74+Y89+Y104</f>
        <v>-742.630000000001</v>
      </c>
      <c r="Z114" s="362" t="n">
        <f aca="false">Z29+Z44+Z59+Z74+Z89+Z104</f>
        <v>269.85</v>
      </c>
      <c r="AA114" s="362" t="n">
        <f aca="false">AA29+AA44+AA59+AA74+AA89+AA104</f>
        <v>-2599.26</v>
      </c>
      <c r="AB114" s="362" t="n">
        <f aca="false">AB29+AB44+AB59+AB74+AB89+AB104</f>
        <v>14801.21</v>
      </c>
      <c r="AC114" s="362" t="n">
        <f aca="false">AC29+AC44+AC59+AC74+AC89+AC104</f>
        <v>21705.81</v>
      </c>
      <c r="AD114" s="362" t="n">
        <f aca="false">AD29+AD44+AD59+AD74+AD89+AD104</f>
        <v>12539.75</v>
      </c>
      <c r="AE114" s="362" t="n">
        <f aca="false">AE29+AE44+AE59+AE74+AE89+AE104</f>
        <v>-19668.23</v>
      </c>
      <c r="AF114" s="362" t="n">
        <f aca="false">AF29+AF44+AF59+AF74+AF89+AF104</f>
        <v>-25476.56</v>
      </c>
      <c r="AG114" s="362" t="n">
        <f aca="false">AG29+AG44+AG59+AG74+AG89+AG104</f>
        <v>37770.41</v>
      </c>
      <c r="AH114" s="362" t="n">
        <f aca="false">AH29+AH44+AH59+AH74+AH89+AH104</f>
        <v>-7374.38000000005</v>
      </c>
    </row>
    <row r="115" customFormat="false" ht="15" hidden="false" customHeight="false" outlineLevel="0" collapsed="false">
      <c r="A115" s="336" t="s">
        <v>1526</v>
      </c>
      <c r="B115" s="357" t="n">
        <f aca="false">IFERROR(B114/B111,0)</f>
        <v>0</v>
      </c>
      <c r="C115" s="357" t="n">
        <f aca="false">IFERROR(C114/C111,0)</f>
        <v>0</v>
      </c>
      <c r="D115" s="357" t="n">
        <f aca="false">IFERROR(D114/D111,0)</f>
        <v>0</v>
      </c>
      <c r="E115" s="357" t="n">
        <f aca="false">IFERROR(E114/E111,0)</f>
        <v>0</v>
      </c>
      <c r="F115" s="357" t="n">
        <f aca="false">IFERROR(F114/F111,0)</f>
        <v>0</v>
      </c>
      <c r="G115" s="357" t="n">
        <f aca="false">IFERROR(G114/G111,0)</f>
        <v>0</v>
      </c>
      <c r="H115" s="357" t="n">
        <f aca="false">IFERROR(H114/H111,0)</f>
        <v>0</v>
      </c>
      <c r="I115" s="357" t="n">
        <f aca="false">IFERROR(I114/I111,0)</f>
        <v>0</v>
      </c>
      <c r="J115" s="357" t="n">
        <f aca="false">IFERROR(J114/J111,0)</f>
        <v>-2.81825725729941</v>
      </c>
      <c r="K115" s="357" t="n">
        <f aca="false">IFERROR(K114/K111,0)</f>
        <v>-0.178029277500117</v>
      </c>
      <c r="L115" s="357" t="n">
        <f aca="false">IFERROR(L114/L111,0)</f>
        <v>-0.338614516390344</v>
      </c>
      <c r="M115" s="357" t="n">
        <f aca="false">IFERROR(M114/M111,0)</f>
        <v>-0.293150526535769</v>
      </c>
      <c r="N115" s="357" t="n">
        <f aca="false">IFERROR(N114/N111,0)</f>
        <v>-0.159752651849112</v>
      </c>
      <c r="O115" s="357" t="n">
        <f aca="false">IFERROR(O114/O111,0)</f>
        <v>-0.225707544460603</v>
      </c>
      <c r="P115" s="357" t="n">
        <f aca="false">IFERROR(P114/P111,0)</f>
        <v>-0.00939240425230064</v>
      </c>
      <c r="Q115" s="357" t="n">
        <f aca="false">IFERROR(Q114/Q111,0)</f>
        <v>0.0721763765123549</v>
      </c>
      <c r="R115" s="357" t="n">
        <f aca="false">IFERROR(R114/R111,0)</f>
        <v>0.211046086666448</v>
      </c>
      <c r="S115" s="357" t="n">
        <f aca="false">IFERROR(S114/S111,0)</f>
        <v>0.0557266854859057</v>
      </c>
      <c r="T115" s="357" t="n">
        <f aca="false">IFERROR(T114/T111,0)</f>
        <v>-0.30529730705825</v>
      </c>
      <c r="U115" s="357" t="n">
        <f aca="false">IFERROR(U114/U111,0)</f>
        <v>0.0371392811732494</v>
      </c>
      <c r="V115" s="357" t="n">
        <f aca="false">IFERROR(V114/V111,0)</f>
        <v>-0.0668454046094335</v>
      </c>
      <c r="W115" s="357" t="n">
        <f aca="false">IFERROR(W114/W111,0)</f>
        <v>0.0447907172436827</v>
      </c>
      <c r="X115" s="357" t="n">
        <f aca="false">IFERROR(X114/X111,0)</f>
        <v>-0.144343796037994</v>
      </c>
      <c r="Y115" s="357" t="n">
        <f aca="false">IFERROR(Y114/Y111,0)</f>
        <v>-0.0139929013295357</v>
      </c>
      <c r="Z115" s="357" t="n">
        <f aca="false">IFERROR(Z114/Z111,0)</f>
        <v>0.00500158100744835</v>
      </c>
      <c r="AA115" s="357" t="n">
        <f aca="false">IFERROR(AA114/AA111,0)</f>
        <v>-0.0560578232847677</v>
      </c>
      <c r="AB115" s="357" t="n">
        <f aca="false">IFERROR(AB114/AB111,0)</f>
        <v>0.234922128887108</v>
      </c>
      <c r="AC115" s="357" t="n">
        <f aca="false">IFERROR(AC114/AC111,0)</f>
        <v>0.278057632707837</v>
      </c>
      <c r="AD115" s="357" t="n">
        <f aca="false">IFERROR(AD114/AD111,0)</f>
        <v>0.227297650757629</v>
      </c>
      <c r="AE115" s="357" t="n">
        <f aca="false">IFERROR(AE114/AE111,0)</f>
        <v>0</v>
      </c>
      <c r="AF115" s="357" t="n">
        <f aca="false">IFERROR(AF114/AF111,0)</f>
        <v>-0.0704983369637408</v>
      </c>
      <c r="AG115" s="357" t="n">
        <f aca="false">IFERROR(AG114/AG111,0)</f>
        <v>0.074639492890127</v>
      </c>
      <c r="AH115" s="357" t="n">
        <f aca="false">IFERROR(AH114/AH111,0)</f>
        <v>-0.00850154903752996</v>
      </c>
    </row>
    <row r="116" customFormat="false" ht="15" hidden="false" customHeight="false" outlineLevel="0" collapsed="false">
      <c r="A116" s="336" t="s">
        <v>1530</v>
      </c>
      <c r="B116" s="356" t="n">
        <f aca="false">B31+B46+B61+B76+B91+B106</f>
        <v>0</v>
      </c>
      <c r="C116" s="356" t="n">
        <f aca="false">C31+C46+C61+C76+C91+C106</f>
        <v>0</v>
      </c>
      <c r="D116" s="356" t="n">
        <f aca="false">D31+D46+D61+D76+D91+D106</f>
        <v>0</v>
      </c>
      <c r="E116" s="356" t="n">
        <f aca="false">E31+E46+E61+E76+E91+E106</f>
        <v>0</v>
      </c>
      <c r="F116" s="356" t="n">
        <f aca="false">F31+F46+F61+F76+F91+F106</f>
        <v>0</v>
      </c>
      <c r="G116" s="356" t="n">
        <f aca="false">G31+G46+G61+G76+G91+G106</f>
        <v>0</v>
      </c>
      <c r="H116" s="356" t="n">
        <f aca="false">H31+H46+H61+H76+H91+H106</f>
        <v>-3.26</v>
      </c>
      <c r="I116" s="356" t="n">
        <f aca="false">I31+I46+I61+I76+I91+I106</f>
        <v>-83.64</v>
      </c>
      <c r="J116" s="356" t="n">
        <f aca="false">J31+J46+J61+J76+J91+J106</f>
        <v>-2224.04</v>
      </c>
      <c r="K116" s="356" t="n">
        <f aca="false">K31+K46+K61+K76+K91+K106</f>
        <v>-2354.83</v>
      </c>
      <c r="L116" s="356" t="n">
        <f aca="false">L31+L46+L61+L76+L91+L106</f>
        <v>-3748.6</v>
      </c>
      <c r="M116" s="356" t="n">
        <f aca="false">M31+M46+M61+M76+M91+M106</f>
        <v>-4294.11</v>
      </c>
      <c r="N116" s="356" t="n">
        <f aca="false">N31+N46+N61+N76+N91+N106</f>
        <v>-4380.1</v>
      </c>
      <c r="O116" s="356" t="n">
        <f aca="false">O31+O46+O61+O76+O91+O106</f>
        <v>-4389.86</v>
      </c>
      <c r="P116" s="356" t="n">
        <f aca="false">P31+P46+P61+P76+P91+P106</f>
        <v>-4526.77</v>
      </c>
      <c r="Q116" s="356" t="n">
        <f aca="false">Q31+Q46+Q61+Q76+Q91+Q106</f>
        <v>-4617.94</v>
      </c>
      <c r="R116" s="356" t="n">
        <f aca="false">R31+R46+R61+R76+R91+R106</f>
        <v>-4822.37</v>
      </c>
      <c r="S116" s="356" t="n">
        <f aca="false">S31+S46+S61+S76+S91+S106</f>
        <v>-4830.77</v>
      </c>
      <c r="T116" s="356" t="n">
        <f aca="false">T31+T46+T61+T76+T91+T106</f>
        <v>-5093.48</v>
      </c>
      <c r="U116" s="356" t="n">
        <f aca="false">U31+U46+U61+U76+U91+U106</f>
        <v>-6900.48</v>
      </c>
      <c r="V116" s="356" t="n">
        <f aca="false">V31+V46+V61+V76+V91+V106</f>
        <v>-8853.91</v>
      </c>
      <c r="W116" s="356" t="n">
        <f aca="false">W31+W46+W61+W76+W91+W106</f>
        <v>-8853.71</v>
      </c>
      <c r="X116" s="356" t="n">
        <f aca="false">X31+X46+X61+X76+X91+X106</f>
        <v>-8853.79</v>
      </c>
      <c r="Y116" s="356" t="n">
        <f aca="false">Y31+Y46+Y61+Y76+Y91+Y106</f>
        <v>-8853.84</v>
      </c>
      <c r="Z116" s="356" t="n">
        <f aca="false">Z31+Z46+Z61+Z76+Z91+Z106</f>
        <v>-8883.19</v>
      </c>
      <c r="AA116" s="356" t="n">
        <f aca="false">AA31+AA46+AA61+AA76+AA91+AA106</f>
        <v>-8938.34</v>
      </c>
      <c r="AB116" s="356" t="n">
        <f aca="false">AB31+AB46+AB61+AB76+AB91+AB106</f>
        <v>-9425.5</v>
      </c>
      <c r="AC116" s="356" t="n">
        <f aca="false">AC31+AC46+AC61+AC76+AC91+AC106</f>
        <v>-9033.05</v>
      </c>
      <c r="AD116" s="356" t="n">
        <f aca="false">AD31+AD46+AD61+AD76+AD91+AD106</f>
        <v>-9033.15</v>
      </c>
      <c r="AE116" s="356" t="n">
        <f aca="false">AE31+AE46+AE61+AE76+AE91+AE106</f>
        <v>-86.9</v>
      </c>
      <c r="AF116" s="356" t="n">
        <f aca="false">AF31+AF46+AF61+AF76+AF91+AF106</f>
        <v>-52183.35</v>
      </c>
      <c r="AG116" s="356" t="n">
        <f aca="false">AG31+AG46+AG61+AG76+AG91+AG106</f>
        <v>-80728.48</v>
      </c>
      <c r="AH116" s="356" t="n">
        <f aca="false">AH31+AH46+AH61+AH76+AH91+AH106</f>
        <v>-132998.73</v>
      </c>
    </row>
    <row r="117" customFormat="false" ht="15" hidden="false" customHeight="false" outlineLevel="0" collapsed="false">
      <c r="A117" s="336" t="s">
        <v>1531</v>
      </c>
      <c r="B117" s="356" t="n">
        <v>0</v>
      </c>
      <c r="C117" s="356" t="n">
        <v>0</v>
      </c>
      <c r="D117" s="356" t="n">
        <v>0</v>
      </c>
      <c r="E117" s="356" t="n">
        <v>0</v>
      </c>
      <c r="F117" s="356" t="n">
        <v>0</v>
      </c>
      <c r="G117" s="356" t="n">
        <v>0</v>
      </c>
      <c r="H117" s="356" t="n">
        <v>0</v>
      </c>
      <c r="I117" s="356" t="n">
        <v>0</v>
      </c>
      <c r="J117" s="356" t="n">
        <v>0</v>
      </c>
      <c r="K117" s="356" t="n">
        <v>0</v>
      </c>
      <c r="L117" s="356" t="n">
        <v>0</v>
      </c>
      <c r="M117" s="356" t="n">
        <v>0</v>
      </c>
      <c r="N117" s="356" t="n">
        <v>0</v>
      </c>
      <c r="O117" s="356" t="n">
        <v>0</v>
      </c>
      <c r="P117" s="356" t="n">
        <v>0</v>
      </c>
      <c r="Q117" s="356" t="n">
        <v>0</v>
      </c>
      <c r="R117" s="356" t="n">
        <v>0</v>
      </c>
      <c r="S117" s="356" t="n">
        <v>0</v>
      </c>
      <c r="T117" s="356" t="n">
        <v>0</v>
      </c>
      <c r="U117" s="356" t="n">
        <v>0</v>
      </c>
      <c r="V117" s="356" t="n">
        <v>0</v>
      </c>
      <c r="W117" s="356" t="n">
        <v>0</v>
      </c>
      <c r="X117" s="356" t="n">
        <v>0</v>
      </c>
      <c r="Y117" s="356" t="n">
        <v>0</v>
      </c>
      <c r="Z117" s="356" t="n">
        <v>0</v>
      </c>
      <c r="AA117" s="356" t="n">
        <v>0</v>
      </c>
      <c r="AB117" s="356" t="n">
        <v>0</v>
      </c>
      <c r="AC117" s="356" t="n">
        <v>-2195</v>
      </c>
      <c r="AD117" s="356" t="n">
        <v>0</v>
      </c>
      <c r="AE117" s="356" t="n">
        <f aca="false">SUM(B117:I117)</f>
        <v>0</v>
      </c>
      <c r="AF117" s="356" t="n">
        <f aca="false">SUM(J117:U117)</f>
        <v>0</v>
      </c>
      <c r="AG117" s="356" t="n">
        <f aca="false">SUM(V117:AD117)</f>
        <v>-2195</v>
      </c>
      <c r="AH117" s="356" t="n">
        <f aca="false">SUM(B117:AD117)</f>
        <v>-2195</v>
      </c>
    </row>
    <row r="118" customFormat="false" ht="15" hidden="false" customHeight="false" outlineLevel="0" collapsed="false">
      <c r="A118" s="361" t="s">
        <v>1532</v>
      </c>
      <c r="B118" s="362" t="n">
        <f aca="false">B114-B117</f>
        <v>0</v>
      </c>
      <c r="C118" s="362" t="n">
        <f aca="false">C114-C117</f>
        <v>0</v>
      </c>
      <c r="D118" s="362" t="n">
        <f aca="false">D114-D117</f>
        <v>0</v>
      </c>
      <c r="E118" s="362" t="n">
        <f aca="false">E114-E117</f>
        <v>0</v>
      </c>
      <c r="F118" s="362" t="n">
        <f aca="false">F114-F117</f>
        <v>-1843.57</v>
      </c>
      <c r="G118" s="362" t="n">
        <f aca="false">G114-G117</f>
        <v>-3903.48</v>
      </c>
      <c r="H118" s="362" t="n">
        <f aca="false">H114-H117</f>
        <v>-5214.58</v>
      </c>
      <c r="I118" s="362" t="n">
        <f aca="false">I114-I117</f>
        <v>-8706.6</v>
      </c>
      <c r="J118" s="362" t="n">
        <f aca="false">J114-J117</f>
        <v>-11377.22</v>
      </c>
      <c r="K118" s="362" t="n">
        <f aca="false">K114-K117</f>
        <v>-2557.93</v>
      </c>
      <c r="L118" s="362" t="n">
        <f aca="false">L114-L117</f>
        <v>-5517.71</v>
      </c>
      <c r="M118" s="362" t="n">
        <f aca="false">M114-M117</f>
        <v>-5526.89</v>
      </c>
      <c r="N118" s="362" t="n">
        <f aca="false">N114-N117</f>
        <v>-4354.14</v>
      </c>
      <c r="O118" s="362" t="n">
        <f aca="false">O114-O117</f>
        <v>-4912.22</v>
      </c>
      <c r="P118" s="362" t="n">
        <f aca="false">P114-P117</f>
        <v>-307.859999999997</v>
      </c>
      <c r="Q118" s="362" t="n">
        <f aca="false">Q114-Q117</f>
        <v>3194.32</v>
      </c>
      <c r="R118" s="362" t="n">
        <f aca="false">R114-R117</f>
        <v>11153.83</v>
      </c>
      <c r="S118" s="362" t="n">
        <f aca="false">S114-S117</f>
        <v>2818.23</v>
      </c>
      <c r="T118" s="362" t="n">
        <f aca="false">T114-T117</f>
        <v>-9805.89</v>
      </c>
      <c r="U118" s="362" t="n">
        <f aca="false">U114-U117</f>
        <v>1716.92</v>
      </c>
      <c r="V118" s="362" t="n">
        <f aca="false">V114-V117</f>
        <v>-3653.34</v>
      </c>
      <c r="W118" s="362" t="n">
        <f aca="false">W114-W117</f>
        <v>2400.61000000001</v>
      </c>
      <c r="X118" s="362" t="n">
        <f aca="false">X114-X117</f>
        <v>-6951.59</v>
      </c>
      <c r="Y118" s="362" t="n">
        <f aca="false">Y114-Y117</f>
        <v>-742.630000000001</v>
      </c>
      <c r="Z118" s="362" t="n">
        <f aca="false">Z114-Z117</f>
        <v>269.85</v>
      </c>
      <c r="AA118" s="362" t="n">
        <f aca="false">AA114-AA117</f>
        <v>-2599.26</v>
      </c>
      <c r="AB118" s="362" t="n">
        <f aca="false">AB114-AB117</f>
        <v>14801.21</v>
      </c>
      <c r="AC118" s="362" t="n">
        <f aca="false">AC114-AC117</f>
        <v>23900.81</v>
      </c>
      <c r="AD118" s="362" t="n">
        <f aca="false">AD114-AD117</f>
        <v>12539.75</v>
      </c>
      <c r="AE118" s="362" t="n">
        <f aca="false">AE114-AE117</f>
        <v>-19668.23</v>
      </c>
      <c r="AF118" s="362" t="n">
        <f aca="false">AF114-AF117</f>
        <v>-25476.56</v>
      </c>
      <c r="AG118" s="362" t="n">
        <f aca="false">AG114-AG117</f>
        <v>39965.41</v>
      </c>
      <c r="AH118" s="362" t="n">
        <f aca="false">AH114-AH117</f>
        <v>-5179.38000000005</v>
      </c>
    </row>
    <row r="120" customFormat="false" ht="15" hidden="false" customHeight="false" outlineLevel="0" collapsed="false">
      <c r="A120" s="339" t="s">
        <v>1497</v>
      </c>
      <c r="B120" s="353"/>
      <c r="C120" s="353"/>
      <c r="D120" s="353"/>
      <c r="E120" s="353"/>
      <c r="F120" s="353"/>
      <c r="G120" s="353"/>
      <c r="H120" s="353"/>
      <c r="I120" s="353"/>
      <c r="J120" s="353"/>
      <c r="K120" s="353"/>
      <c r="L120" s="353"/>
      <c r="M120" s="353"/>
      <c r="N120" s="353"/>
      <c r="O120" s="353"/>
      <c r="P120" s="353"/>
      <c r="Q120" s="353"/>
      <c r="R120" s="353"/>
      <c r="S120" s="353"/>
      <c r="T120" s="353"/>
      <c r="U120" s="353"/>
      <c r="V120" s="353"/>
      <c r="W120" s="353"/>
      <c r="X120" s="353"/>
      <c r="Y120" s="353"/>
      <c r="Z120" s="353"/>
      <c r="AA120" s="353"/>
      <c r="AB120" s="353"/>
      <c r="AC120" s="353"/>
      <c r="AD120" s="353"/>
      <c r="AE120" s="353"/>
      <c r="AF120" s="353"/>
      <c r="AG120" s="353"/>
      <c r="AH120" s="353"/>
    </row>
    <row r="121" customFormat="false" ht="15" hidden="false" customHeight="false" outlineLevel="0" collapsed="false">
      <c r="A121" s="336" t="s">
        <v>1533</v>
      </c>
      <c r="B121" s="356" t="n">
        <v>0</v>
      </c>
      <c r="C121" s="356" t="n">
        <v>0</v>
      </c>
      <c r="D121" s="356" t="n">
        <v>0</v>
      </c>
      <c r="E121" s="356" t="n">
        <v>0</v>
      </c>
      <c r="F121" s="356" t="n">
        <v>0</v>
      </c>
      <c r="G121" s="356" t="n">
        <v>0</v>
      </c>
      <c r="H121" s="356" t="n">
        <v>0</v>
      </c>
      <c r="I121" s="356" t="n">
        <v>6116.36</v>
      </c>
      <c r="J121" s="356" t="n">
        <v>0</v>
      </c>
      <c r="K121" s="356" t="n">
        <v>0</v>
      </c>
      <c r="L121" s="356" t="n">
        <v>0</v>
      </c>
      <c r="M121" s="356" t="n">
        <v>0</v>
      </c>
      <c r="N121" s="356" t="n">
        <v>0</v>
      </c>
      <c r="O121" s="356" t="n">
        <v>0</v>
      </c>
      <c r="P121" s="356" t="n">
        <v>0</v>
      </c>
      <c r="Q121" s="356" t="n">
        <v>0</v>
      </c>
      <c r="R121" s="356" t="n">
        <v>0</v>
      </c>
      <c r="S121" s="356" t="n">
        <v>0</v>
      </c>
      <c r="T121" s="356" t="n">
        <v>0</v>
      </c>
      <c r="U121" s="356" t="n">
        <v>0</v>
      </c>
      <c r="V121" s="356" t="n">
        <v>0</v>
      </c>
      <c r="W121" s="356" t="n">
        <v>0</v>
      </c>
      <c r="X121" s="356" t="n">
        <v>0</v>
      </c>
      <c r="Y121" s="356" t="n">
        <v>0</v>
      </c>
      <c r="Z121" s="356" t="n">
        <v>0</v>
      </c>
      <c r="AA121" s="356" t="n">
        <v>0</v>
      </c>
      <c r="AB121" s="356" t="n">
        <v>0</v>
      </c>
      <c r="AC121" s="356" t="n">
        <v>0</v>
      </c>
      <c r="AD121" s="356" t="n">
        <v>0</v>
      </c>
      <c r="AE121" s="356" t="n">
        <f aca="false">SUM(B121:I121)</f>
        <v>6116.36</v>
      </c>
      <c r="AF121" s="356" t="n">
        <f aca="false">SUM(J121:U121)</f>
        <v>0</v>
      </c>
      <c r="AG121" s="356" t="n">
        <f aca="false">SUM(V121:AD121)</f>
        <v>0</v>
      </c>
      <c r="AH121" s="356" t="n">
        <f aca="false">SUM(B121:AD121)</f>
        <v>6116.36</v>
      </c>
    </row>
    <row r="122" customFormat="false" ht="15" hidden="false" customHeight="false" outlineLevel="0" collapsed="false">
      <c r="A122" s="336" t="s">
        <v>1534</v>
      </c>
      <c r="B122" s="356" t="n">
        <v>-474.46</v>
      </c>
      <c r="C122" s="356" t="n">
        <v>-4543.42</v>
      </c>
      <c r="D122" s="356" t="n">
        <v>-5456.58</v>
      </c>
      <c r="E122" s="356" t="n">
        <v>-12759.55</v>
      </c>
      <c r="F122" s="356" t="n">
        <v>-11819.79</v>
      </c>
      <c r="G122" s="356" t="n">
        <v>-9990.44</v>
      </c>
      <c r="H122" s="356" t="n">
        <v>-10338.68</v>
      </c>
      <c r="I122" s="356" t="n">
        <v>-14548.22</v>
      </c>
      <c r="J122" s="356" t="n">
        <v>-13858.95</v>
      </c>
      <c r="K122" s="356" t="n">
        <v>-30706.78</v>
      </c>
      <c r="L122" s="356" t="n">
        <v>-20499.85</v>
      </c>
      <c r="M122" s="356" t="n">
        <v>-24266.29</v>
      </c>
      <c r="N122" s="356" t="n">
        <v>-19670.73</v>
      </c>
      <c r="O122" s="356" t="n">
        <v>-19423.13</v>
      </c>
      <c r="P122" s="356" t="n">
        <v>-19082.91</v>
      </c>
      <c r="Q122" s="356" t="n">
        <v>-26853.37</v>
      </c>
      <c r="R122" s="356" t="n">
        <v>-27878.39</v>
      </c>
      <c r="S122" s="356" t="n">
        <v>-30270.03</v>
      </c>
      <c r="T122" s="356" t="n">
        <v>-27299.17</v>
      </c>
      <c r="U122" s="356" t="n">
        <v>-31490.31</v>
      </c>
      <c r="V122" s="356" t="n">
        <v>-26001.05</v>
      </c>
      <c r="W122" s="356" t="n">
        <v>-36385.94</v>
      </c>
      <c r="X122" s="356" t="n">
        <v>-72008.32</v>
      </c>
      <c r="Y122" s="356" t="n">
        <v>-23614.43</v>
      </c>
      <c r="Z122" s="356" t="n">
        <v>-20696.31</v>
      </c>
      <c r="AA122" s="356" t="n">
        <v>-20654.45</v>
      </c>
      <c r="AB122" s="356" t="n">
        <v>-14374.59</v>
      </c>
      <c r="AC122" s="356" t="n">
        <v>-18769.48</v>
      </c>
      <c r="AD122" s="356" t="n">
        <v>-13608.22</v>
      </c>
      <c r="AE122" s="356" t="n">
        <f aca="false">SUM(B122:I122)</f>
        <v>-69931.14</v>
      </c>
      <c r="AF122" s="356" t="n">
        <f aca="false">SUM(J122:U122)</f>
        <v>-291299.91</v>
      </c>
      <c r="AG122" s="356" t="n">
        <f aca="false">SUM(V122:AD122)</f>
        <v>-246112.79</v>
      </c>
      <c r="AH122" s="356" t="n">
        <f aca="false">SUM(B122:AD122)</f>
        <v>-607343.84</v>
      </c>
    </row>
    <row r="123" customFormat="false" ht="15" hidden="false" customHeight="false" outlineLevel="0" collapsed="false">
      <c r="A123" s="336" t="s">
        <v>1535</v>
      </c>
      <c r="B123" s="356" t="n">
        <v>-494.22</v>
      </c>
      <c r="C123" s="356" t="n">
        <v>-8165</v>
      </c>
      <c r="D123" s="356" t="n">
        <v>-5800</v>
      </c>
      <c r="E123" s="356" t="n">
        <v>-8554.1</v>
      </c>
      <c r="F123" s="356" t="n">
        <v>-6518.21</v>
      </c>
      <c r="G123" s="356" t="n">
        <v>-1000</v>
      </c>
      <c r="H123" s="356" t="n">
        <v>-1500</v>
      </c>
      <c r="I123" s="356" t="n">
        <v>14171.76</v>
      </c>
      <c r="J123" s="356" t="n">
        <v>-5688.22</v>
      </c>
      <c r="K123" s="356" t="n">
        <v>-3067.94</v>
      </c>
      <c r="L123" s="356" t="n">
        <v>-14645.81</v>
      </c>
      <c r="M123" s="356" t="n">
        <v>-6968.47</v>
      </c>
      <c r="N123" s="356" t="n">
        <v>-11165.89</v>
      </c>
      <c r="O123" s="356" t="n">
        <v>-5790.99</v>
      </c>
      <c r="P123" s="356" t="n">
        <v>-6267.11</v>
      </c>
      <c r="Q123" s="356" t="n">
        <v>-7414.98</v>
      </c>
      <c r="R123" s="356" t="n">
        <v>-9183.83</v>
      </c>
      <c r="S123" s="356" t="n">
        <v>-9500.8</v>
      </c>
      <c r="T123" s="356" t="n">
        <v>-7549.69</v>
      </c>
      <c r="U123" s="356" t="n">
        <v>-11147.05</v>
      </c>
      <c r="V123" s="356" t="n">
        <v>-7486.56</v>
      </c>
      <c r="W123" s="356" t="n">
        <v>-4223.7</v>
      </c>
      <c r="X123" s="356" t="n">
        <v>-6020.7</v>
      </c>
      <c r="Y123" s="356" t="n">
        <v>-6848.11</v>
      </c>
      <c r="Z123" s="356" t="n">
        <v>-8651.87</v>
      </c>
      <c r="AA123" s="356" t="n">
        <v>-10385.53</v>
      </c>
      <c r="AB123" s="356" t="n">
        <v>-7519.94</v>
      </c>
      <c r="AC123" s="356" t="n">
        <v>-8614.97</v>
      </c>
      <c r="AD123" s="356" t="n">
        <v>-9310.32</v>
      </c>
      <c r="AE123" s="356" t="n">
        <f aca="false">SUM(B123:I123)</f>
        <v>-17859.77</v>
      </c>
      <c r="AF123" s="356" t="n">
        <f aca="false">SUM(J123:U123)</f>
        <v>-98390.78</v>
      </c>
      <c r="AG123" s="356" t="n">
        <f aca="false">SUM(V123:AD123)</f>
        <v>-69061.7</v>
      </c>
      <c r="AH123" s="356" t="n">
        <f aca="false">SUM(B123:AD123)</f>
        <v>-185312.25</v>
      </c>
    </row>
    <row r="124" customFormat="false" ht="15" hidden="false" customHeight="false" outlineLevel="0" collapsed="false">
      <c r="A124" s="336" t="s">
        <v>1536</v>
      </c>
      <c r="B124" s="356" t="n">
        <v>-9.1</v>
      </c>
      <c r="C124" s="356" t="n">
        <v>-18.15</v>
      </c>
      <c r="D124" s="356" t="n">
        <v>-3612</v>
      </c>
      <c r="E124" s="356" t="n">
        <v>-2987.3</v>
      </c>
      <c r="F124" s="356" t="n">
        <v>-2901.99</v>
      </c>
      <c r="G124" s="356" t="n">
        <v>-4268.73</v>
      </c>
      <c r="H124" s="356" t="n">
        <v>-3111.85</v>
      </c>
      <c r="I124" s="356" t="n">
        <v>-3464.58</v>
      </c>
      <c r="J124" s="356" t="n">
        <v>-9479.76</v>
      </c>
      <c r="K124" s="356" t="n">
        <v>-6341.68</v>
      </c>
      <c r="L124" s="356" t="n">
        <v>-2804.65</v>
      </c>
      <c r="M124" s="356" t="n">
        <v>-1220.6</v>
      </c>
      <c r="N124" s="356" t="n">
        <v>-2223.3</v>
      </c>
      <c r="O124" s="356" t="n">
        <v>-2015.49</v>
      </c>
      <c r="P124" s="356" t="n">
        <v>-793.14</v>
      </c>
      <c r="Q124" s="356" t="n">
        <v>-1957.76</v>
      </c>
      <c r="R124" s="356" t="n">
        <v>-2612.97</v>
      </c>
      <c r="S124" s="356" t="n">
        <v>2276.63</v>
      </c>
      <c r="T124" s="356" t="n">
        <v>-7142.22</v>
      </c>
      <c r="U124" s="356" t="n">
        <v>-2253.12</v>
      </c>
      <c r="V124" s="356" t="n">
        <v>-1139.81</v>
      </c>
      <c r="W124" s="356" t="n">
        <v>-2190.16</v>
      </c>
      <c r="X124" s="356" t="n">
        <v>-4101.25</v>
      </c>
      <c r="Y124" s="356" t="n">
        <v>-2813.42</v>
      </c>
      <c r="Z124" s="356" t="n">
        <v>-2169.46</v>
      </c>
      <c r="AA124" s="356" t="n">
        <v>-1506.25</v>
      </c>
      <c r="AB124" s="356" t="n">
        <v>-3876.23</v>
      </c>
      <c r="AC124" s="356" t="n">
        <v>-2341.07</v>
      </c>
      <c r="AD124" s="356" t="n">
        <v>-5116.89</v>
      </c>
      <c r="AE124" s="356" t="n">
        <f aca="false">SUM(B124:I124)</f>
        <v>-20373.7</v>
      </c>
      <c r="AF124" s="356" t="n">
        <f aca="false">SUM(J124:U124)</f>
        <v>-36568.06</v>
      </c>
      <c r="AG124" s="356" t="n">
        <f aca="false">SUM(V124:AD124)</f>
        <v>-25254.54</v>
      </c>
      <c r="AH124" s="356" t="n">
        <f aca="false">SUM(B124:AD124)</f>
        <v>-82196.3</v>
      </c>
    </row>
    <row r="125" customFormat="false" ht="15" hidden="false" customHeight="false" outlineLevel="0" collapsed="false">
      <c r="A125" s="336" t="s">
        <v>1537</v>
      </c>
      <c r="B125" s="356" t="n">
        <v>0</v>
      </c>
      <c r="C125" s="356" t="n">
        <v>-3670.5</v>
      </c>
      <c r="D125" s="356" t="n">
        <v>-250</v>
      </c>
      <c r="E125" s="356" t="n">
        <v>-330</v>
      </c>
      <c r="F125" s="356" t="n">
        <v>-250</v>
      </c>
      <c r="G125" s="356" t="n">
        <v>-1536.5</v>
      </c>
      <c r="H125" s="356" t="n">
        <v>57.75</v>
      </c>
      <c r="I125" s="356" t="n">
        <v>-2783.61</v>
      </c>
      <c r="J125" s="356" t="n">
        <v>-837</v>
      </c>
      <c r="K125" s="356" t="n">
        <v>-842</v>
      </c>
      <c r="L125" s="356" t="n">
        <v>-750.75</v>
      </c>
      <c r="M125" s="356" t="n">
        <v>-2540.7</v>
      </c>
      <c r="N125" s="356" t="n">
        <v>-1768.85</v>
      </c>
      <c r="O125" s="356" t="n">
        <v>-1187.75</v>
      </c>
      <c r="P125" s="356" t="n">
        <v>-780.25</v>
      </c>
      <c r="Q125" s="356" t="n">
        <v>-1120.25</v>
      </c>
      <c r="R125" s="356" t="n">
        <v>-923</v>
      </c>
      <c r="S125" s="356" t="n">
        <v>-4461.92</v>
      </c>
      <c r="T125" s="356" t="n">
        <v>-2492.2</v>
      </c>
      <c r="U125" s="356" t="n">
        <v>-3060.5</v>
      </c>
      <c r="V125" s="356" t="n">
        <v>-2910.38</v>
      </c>
      <c r="W125" s="356" t="n">
        <v>-1421.29</v>
      </c>
      <c r="X125" s="356" t="n">
        <v>338.77</v>
      </c>
      <c r="Y125" s="356" t="n">
        <v>-1751.7</v>
      </c>
      <c r="Z125" s="356" t="n">
        <v>-2733.77</v>
      </c>
      <c r="AA125" s="356" t="n">
        <v>-2103.61</v>
      </c>
      <c r="AB125" s="356" t="n">
        <v>-4332.18</v>
      </c>
      <c r="AC125" s="356" t="n">
        <v>-1415.09</v>
      </c>
      <c r="AD125" s="356" t="n">
        <v>-1571.57</v>
      </c>
      <c r="AE125" s="356" t="n">
        <f aca="false">SUM(B125:I125)</f>
        <v>-8762.86</v>
      </c>
      <c r="AF125" s="356" t="n">
        <f aca="false">SUM(J125:U125)</f>
        <v>-20765.17</v>
      </c>
      <c r="AG125" s="356" t="n">
        <f aca="false">SUM(V125:AD125)</f>
        <v>-17900.82</v>
      </c>
      <c r="AH125" s="356" t="n">
        <f aca="false">SUM(B125:AD125)</f>
        <v>-47428.85</v>
      </c>
    </row>
    <row r="126" customFormat="false" ht="15" hidden="false" customHeight="false" outlineLevel="0" collapsed="false">
      <c r="A126" s="336" t="s">
        <v>1538</v>
      </c>
      <c r="B126" s="356" t="n">
        <v>-9.29</v>
      </c>
      <c r="C126" s="356" t="n">
        <v>-550</v>
      </c>
      <c r="D126" s="356" t="n">
        <v>-193.71</v>
      </c>
      <c r="E126" s="356" t="n">
        <v>-758.17</v>
      </c>
      <c r="F126" s="356" t="n">
        <v>-946.87</v>
      </c>
      <c r="G126" s="356" t="n">
        <v>-497.44</v>
      </c>
      <c r="H126" s="356" t="n">
        <v>-1718.81</v>
      </c>
      <c r="I126" s="356" t="n">
        <v>-6246.99</v>
      </c>
      <c r="J126" s="356" t="n">
        <v>-8385.36</v>
      </c>
      <c r="K126" s="356" t="n">
        <v>-976.37</v>
      </c>
      <c r="L126" s="356" t="n">
        <v>-4621.27</v>
      </c>
      <c r="M126" s="356" t="n">
        <v>-2318.72</v>
      </c>
      <c r="N126" s="356" t="n">
        <v>-2291.55</v>
      </c>
      <c r="O126" s="356" t="n">
        <v>-3382.89</v>
      </c>
      <c r="P126" s="356" t="n">
        <v>2390.19</v>
      </c>
      <c r="Q126" s="356" t="n">
        <v>-2077.24</v>
      </c>
      <c r="R126" s="356" t="n">
        <v>-9027.71</v>
      </c>
      <c r="S126" s="356" t="n">
        <v>-1126.08</v>
      </c>
      <c r="T126" s="356" t="n">
        <v>-3076.94</v>
      </c>
      <c r="U126" s="356" t="n">
        <v>-10645.46</v>
      </c>
      <c r="V126" s="356" t="n">
        <v>-1802.3</v>
      </c>
      <c r="W126" s="356" t="n">
        <v>-1365.75</v>
      </c>
      <c r="X126" s="356" t="n">
        <v>-2680.79</v>
      </c>
      <c r="Y126" s="356" t="n">
        <v>-997.35</v>
      </c>
      <c r="Z126" s="356" t="n">
        <v>-4490.44</v>
      </c>
      <c r="AA126" s="356" t="n">
        <v>-837.46</v>
      </c>
      <c r="AB126" s="356" t="n">
        <v>-1676.03</v>
      </c>
      <c r="AC126" s="356" t="n">
        <v>-4320.08</v>
      </c>
      <c r="AD126" s="356" t="n">
        <v>-2411.09</v>
      </c>
      <c r="AE126" s="356" t="n">
        <f aca="false">SUM(B126:I126)</f>
        <v>-10921.28</v>
      </c>
      <c r="AF126" s="356" t="n">
        <f aca="false">SUM(J126:U126)</f>
        <v>-45539.4</v>
      </c>
      <c r="AG126" s="356" t="n">
        <f aca="false">SUM(V126:AD126)</f>
        <v>-20581.29</v>
      </c>
      <c r="AH126" s="356" t="n">
        <f aca="false">SUM(B126:AD126)</f>
        <v>-77041.97</v>
      </c>
    </row>
    <row r="127" customFormat="false" ht="15" hidden="false" customHeight="false" outlineLevel="0" collapsed="false">
      <c r="A127" s="361" t="s">
        <v>1539</v>
      </c>
      <c r="B127" s="362" t="n">
        <f aca="false">SUM(B121:B126)</f>
        <v>-987.07</v>
      </c>
      <c r="C127" s="362" t="n">
        <f aca="false">SUM(C121:C126)</f>
        <v>-16947.07</v>
      </c>
      <c r="D127" s="362" t="n">
        <f aca="false">SUM(D121:D126)</f>
        <v>-15312.29</v>
      </c>
      <c r="E127" s="362" t="n">
        <f aca="false">SUM(E121:E126)</f>
        <v>-25389.12</v>
      </c>
      <c r="F127" s="362" t="n">
        <f aca="false">SUM(F121:F126)</f>
        <v>-22436.86</v>
      </c>
      <c r="G127" s="362" t="n">
        <f aca="false">SUM(G121:G126)</f>
        <v>-17293.11</v>
      </c>
      <c r="H127" s="362" t="n">
        <f aca="false">SUM(H121:H126)</f>
        <v>-16611.59</v>
      </c>
      <c r="I127" s="362" t="n">
        <f aca="false">SUM(I121:I126)</f>
        <v>-6755.28</v>
      </c>
      <c r="J127" s="362" t="n">
        <f aca="false">SUM(J121:J126)</f>
        <v>-38249.29</v>
      </c>
      <c r="K127" s="362" t="n">
        <f aca="false">SUM(K121:K126)</f>
        <v>-41934.77</v>
      </c>
      <c r="L127" s="362" t="n">
        <f aca="false">SUM(L121:L126)</f>
        <v>-43322.33</v>
      </c>
      <c r="M127" s="362" t="n">
        <f aca="false">SUM(M121:M126)</f>
        <v>-37314.78</v>
      </c>
      <c r="N127" s="362" t="n">
        <f aca="false">SUM(N121:N126)</f>
        <v>-37120.32</v>
      </c>
      <c r="O127" s="362" t="n">
        <f aca="false">SUM(O121:O126)</f>
        <v>-31800.25</v>
      </c>
      <c r="P127" s="362" t="n">
        <f aca="false">SUM(P121:P126)</f>
        <v>-24533.22</v>
      </c>
      <c r="Q127" s="362" t="n">
        <f aca="false">SUM(Q121:Q126)</f>
        <v>-39423.6</v>
      </c>
      <c r="R127" s="362" t="n">
        <f aca="false">SUM(R121:R126)</f>
        <v>-49625.9</v>
      </c>
      <c r="S127" s="362" t="n">
        <f aca="false">SUM(S121:S126)</f>
        <v>-43082.2</v>
      </c>
      <c r="T127" s="362" t="n">
        <f aca="false">SUM(T121:T126)</f>
        <v>-47560.22</v>
      </c>
      <c r="U127" s="362" t="n">
        <f aca="false">SUM(U121:U126)</f>
        <v>-58596.44</v>
      </c>
      <c r="V127" s="362" t="n">
        <f aca="false">SUM(V121:V126)</f>
        <v>-39340.1</v>
      </c>
      <c r="W127" s="362" t="n">
        <f aca="false">SUM(W121:W126)</f>
        <v>-45586.84</v>
      </c>
      <c r="X127" s="362" t="n">
        <f aca="false">SUM(X121:X126)</f>
        <v>-84472.29</v>
      </c>
      <c r="Y127" s="362" t="n">
        <f aca="false">SUM(Y121:Y126)</f>
        <v>-36025.01</v>
      </c>
      <c r="Z127" s="362" t="n">
        <f aca="false">SUM(Z121:Z126)</f>
        <v>-38741.85</v>
      </c>
      <c r="AA127" s="362" t="n">
        <f aca="false">SUM(AA121:AA126)</f>
        <v>-35487.3</v>
      </c>
      <c r="AB127" s="362" t="n">
        <f aca="false">SUM(AB121:AB126)</f>
        <v>-31778.97</v>
      </c>
      <c r="AC127" s="362" t="n">
        <f aca="false">SUM(AC121:AC126)</f>
        <v>-35460.69</v>
      </c>
      <c r="AD127" s="362" t="n">
        <f aca="false">SUM(AD121:AD126)</f>
        <v>-32018.09</v>
      </c>
      <c r="AE127" s="362" t="n">
        <f aca="false">SUM(AE121:AE126)</f>
        <v>-121732.39</v>
      </c>
      <c r="AF127" s="362" t="n">
        <f aca="false">SUM(AF121:AF126)</f>
        <v>-492563.32</v>
      </c>
      <c r="AG127" s="362" t="n">
        <f aca="false">SUM(AG121:AG126)</f>
        <v>-378911.14</v>
      </c>
      <c r="AH127" s="362" t="n">
        <f aca="false">SUM(AH121:AH126)</f>
        <v>-993206.85</v>
      </c>
    </row>
    <row r="128" customFormat="false" ht="15" hidden="false" customHeight="false" outlineLevel="0" collapsed="false">
      <c r="A128" s="336" t="s">
        <v>1540</v>
      </c>
      <c r="B128" s="356" t="n">
        <v>0</v>
      </c>
      <c r="C128" s="356" t="n">
        <v>0</v>
      </c>
      <c r="D128" s="356" t="n">
        <v>-122.13</v>
      </c>
      <c r="E128" s="356" t="n">
        <v>-122.14</v>
      </c>
      <c r="F128" s="356" t="n">
        <v>-122.13</v>
      </c>
      <c r="G128" s="356" t="n">
        <v>-122.13</v>
      </c>
      <c r="H128" s="356" t="n">
        <v>-122.14</v>
      </c>
      <c r="I128" s="356" t="n">
        <v>-165.94</v>
      </c>
      <c r="J128" s="356" t="n">
        <v>-220</v>
      </c>
      <c r="K128" s="356" t="n">
        <v>-253.84</v>
      </c>
      <c r="L128" s="356" t="n">
        <v>-243.31</v>
      </c>
      <c r="M128" s="356" t="n">
        <v>-219.59</v>
      </c>
      <c r="N128" s="356" t="n">
        <v>-308.02</v>
      </c>
      <c r="O128" s="356" t="n">
        <v>-307.39</v>
      </c>
      <c r="P128" s="356" t="n">
        <v>-188.54</v>
      </c>
      <c r="Q128" s="356" t="n">
        <v>-224.59</v>
      </c>
      <c r="R128" s="356" t="n">
        <v>-251.53</v>
      </c>
      <c r="S128" s="356" t="n">
        <v>-256.39</v>
      </c>
      <c r="T128" s="356" t="n">
        <v>-256.33</v>
      </c>
      <c r="U128" s="356" t="n">
        <v>-256.4</v>
      </c>
      <c r="V128" s="356" t="n">
        <v>-285.34</v>
      </c>
      <c r="W128" s="356" t="n">
        <v>-285.31</v>
      </c>
      <c r="X128" s="356" t="n">
        <v>-287.07</v>
      </c>
      <c r="Y128" s="356" t="n">
        <v>-298.71</v>
      </c>
      <c r="Z128" s="356" t="n">
        <v>-311.41</v>
      </c>
      <c r="AA128" s="356" t="n">
        <v>-509</v>
      </c>
      <c r="AB128" s="356" t="n">
        <v>-509</v>
      </c>
      <c r="AC128" s="356" t="n">
        <v>-508.18</v>
      </c>
      <c r="AD128" s="356" t="n">
        <v>-496.23</v>
      </c>
      <c r="AE128" s="356" t="n">
        <f aca="false">SUM(B128:I128)</f>
        <v>-776.61</v>
      </c>
      <c r="AF128" s="356" t="n">
        <f aca="false">SUM(J128:U128)</f>
        <v>-2985.93</v>
      </c>
      <c r="AG128" s="356" t="n">
        <f aca="false">SUM(V128:AD128)</f>
        <v>-3490.25</v>
      </c>
      <c r="AH128" s="356" t="n">
        <f aca="false">SUM(B128:AD128)</f>
        <v>-7252.79</v>
      </c>
    </row>
    <row r="130" customFormat="false" ht="15" hidden="false" customHeight="false" outlineLevel="0" collapsed="false">
      <c r="A130" s="339" t="s">
        <v>1541</v>
      </c>
      <c r="B130" s="353"/>
      <c r="C130" s="353"/>
      <c r="D130" s="353"/>
      <c r="E130" s="353"/>
      <c r="F130" s="353"/>
      <c r="G130" s="353"/>
      <c r="H130" s="353"/>
      <c r="I130" s="353"/>
      <c r="J130" s="353"/>
      <c r="K130" s="353"/>
      <c r="L130" s="353"/>
      <c r="M130" s="353"/>
      <c r="N130" s="353"/>
      <c r="O130" s="353"/>
      <c r="P130" s="353"/>
      <c r="Q130" s="353"/>
      <c r="R130" s="353"/>
      <c r="S130" s="353"/>
      <c r="T130" s="353"/>
      <c r="U130" s="353"/>
      <c r="V130" s="353"/>
      <c r="W130" s="353"/>
      <c r="X130" s="353"/>
      <c r="Y130" s="353"/>
      <c r="Z130" s="353"/>
      <c r="AA130" s="353"/>
      <c r="AB130" s="353"/>
      <c r="AC130" s="353"/>
      <c r="AD130" s="353"/>
      <c r="AE130" s="353"/>
      <c r="AF130" s="353"/>
      <c r="AG130" s="353"/>
      <c r="AH130" s="353"/>
    </row>
    <row r="131" customFormat="false" ht="15" hidden="false" customHeight="false" outlineLevel="0" collapsed="false">
      <c r="A131" s="361" t="s">
        <v>1542</v>
      </c>
      <c r="B131" s="362" t="n">
        <f aca="false">B114+B127</f>
        <v>-987.07</v>
      </c>
      <c r="C131" s="362" t="n">
        <f aca="false">C114+C127</f>
        <v>-16947.07</v>
      </c>
      <c r="D131" s="362" t="n">
        <f aca="false">D114+D127</f>
        <v>-15312.29</v>
      </c>
      <c r="E131" s="362" t="n">
        <f aca="false">E114+E127</f>
        <v>-25389.12</v>
      </c>
      <c r="F131" s="362" t="n">
        <f aca="false">F114+F127</f>
        <v>-24280.43</v>
      </c>
      <c r="G131" s="362" t="n">
        <f aca="false">G114+G127</f>
        <v>-21196.59</v>
      </c>
      <c r="H131" s="362" t="n">
        <f aca="false">H114+H127</f>
        <v>-21826.17</v>
      </c>
      <c r="I131" s="362" t="n">
        <f aca="false">I114+I127</f>
        <v>-15461.88</v>
      </c>
      <c r="J131" s="362" t="n">
        <f aca="false">J114+J127</f>
        <v>-49626.51</v>
      </c>
      <c r="K131" s="362" t="n">
        <f aca="false">K114+K127</f>
        <v>-44492.7</v>
      </c>
      <c r="L131" s="362" t="n">
        <f aca="false">L114+L127</f>
        <v>-48840.04</v>
      </c>
      <c r="M131" s="362" t="n">
        <f aca="false">M114+M127</f>
        <v>-42841.67</v>
      </c>
      <c r="N131" s="362" t="n">
        <f aca="false">N114+N127</f>
        <v>-41474.46</v>
      </c>
      <c r="O131" s="362" t="n">
        <f aca="false">O114+O127</f>
        <v>-36712.47</v>
      </c>
      <c r="P131" s="362" t="n">
        <f aca="false">P114+P127</f>
        <v>-24841.08</v>
      </c>
      <c r="Q131" s="362" t="n">
        <f aca="false">Q114+Q127</f>
        <v>-36229.28</v>
      </c>
      <c r="R131" s="362" t="n">
        <f aca="false">R114+R127</f>
        <v>-38472.07</v>
      </c>
      <c r="S131" s="362" t="n">
        <f aca="false">S114+S127</f>
        <v>-40263.97</v>
      </c>
      <c r="T131" s="362" t="n">
        <f aca="false">T114+T127</f>
        <v>-57366.11</v>
      </c>
      <c r="U131" s="362" t="n">
        <f aca="false">U114+U127</f>
        <v>-56879.52</v>
      </c>
      <c r="V131" s="362" t="n">
        <f aca="false">V114+V127</f>
        <v>-42993.44</v>
      </c>
      <c r="W131" s="362" t="n">
        <f aca="false">W114+W127</f>
        <v>-43186.23</v>
      </c>
      <c r="X131" s="362" t="n">
        <f aca="false">X114+X127</f>
        <v>-91423.88</v>
      </c>
      <c r="Y131" s="362" t="n">
        <f aca="false">Y114+Y127</f>
        <v>-36767.64</v>
      </c>
      <c r="Z131" s="362" t="n">
        <f aca="false">Z114+Z127</f>
        <v>-38472</v>
      </c>
      <c r="AA131" s="362" t="n">
        <f aca="false">AA114+AA127</f>
        <v>-38086.56</v>
      </c>
      <c r="AB131" s="362" t="n">
        <f aca="false">AB114+AB127</f>
        <v>-16977.76</v>
      </c>
      <c r="AC131" s="362" t="n">
        <f aca="false">AC114+AC127</f>
        <v>-13754.88</v>
      </c>
      <c r="AD131" s="362" t="n">
        <f aca="false">AD114+AD127</f>
        <v>-19478.34</v>
      </c>
      <c r="AE131" s="362" t="n">
        <f aca="false">AE114+AE127</f>
        <v>-141400.62</v>
      </c>
      <c r="AF131" s="362" t="n">
        <f aca="false">AF114+AF127</f>
        <v>-518039.88</v>
      </c>
      <c r="AG131" s="362" t="n">
        <f aca="false">AG114+AG127</f>
        <v>-341140.73</v>
      </c>
      <c r="AH131" s="362" t="n">
        <f aca="false">AH114+AH127</f>
        <v>-1000581.23</v>
      </c>
    </row>
    <row r="132" customFormat="false" ht="15" hidden="false" customHeight="false" outlineLevel="0" collapsed="false">
      <c r="A132" s="336" t="s">
        <v>1543</v>
      </c>
      <c r="B132" s="356" t="n">
        <f aca="false">B116+B128</f>
        <v>0</v>
      </c>
      <c r="C132" s="356" t="n">
        <f aca="false">C116+C128</f>
        <v>0</v>
      </c>
      <c r="D132" s="356" t="n">
        <f aca="false">D116+D128</f>
        <v>-122.13</v>
      </c>
      <c r="E132" s="356" t="n">
        <f aca="false">E116+E128</f>
        <v>-122.14</v>
      </c>
      <c r="F132" s="356" t="n">
        <f aca="false">F116+F128</f>
        <v>-122.13</v>
      </c>
      <c r="G132" s="356" t="n">
        <f aca="false">G116+G128</f>
        <v>-122.13</v>
      </c>
      <c r="H132" s="356" t="n">
        <f aca="false">H116+H128</f>
        <v>-125.4</v>
      </c>
      <c r="I132" s="356" t="n">
        <f aca="false">I116+I128</f>
        <v>-249.58</v>
      </c>
      <c r="J132" s="356" t="n">
        <f aca="false">J116+J128</f>
        <v>-2444.04</v>
      </c>
      <c r="K132" s="356" t="n">
        <f aca="false">K116+K128</f>
        <v>-2608.67</v>
      </c>
      <c r="L132" s="356" t="n">
        <f aca="false">L116+L128</f>
        <v>-3991.91</v>
      </c>
      <c r="M132" s="356" t="n">
        <f aca="false">M116+M128</f>
        <v>-4513.7</v>
      </c>
      <c r="N132" s="356" t="n">
        <f aca="false">N116+N128</f>
        <v>-4688.12</v>
      </c>
      <c r="O132" s="356" t="n">
        <f aca="false">O116+O128</f>
        <v>-4697.25</v>
      </c>
      <c r="P132" s="356" t="n">
        <f aca="false">P116+P128</f>
        <v>-4715.31</v>
      </c>
      <c r="Q132" s="356" t="n">
        <f aca="false">Q116+Q128</f>
        <v>-4842.53</v>
      </c>
      <c r="R132" s="356" t="n">
        <f aca="false">R116+R128</f>
        <v>-5073.9</v>
      </c>
      <c r="S132" s="356" t="n">
        <f aca="false">S116+S128</f>
        <v>-5087.16</v>
      </c>
      <c r="T132" s="356" t="n">
        <f aca="false">T116+T128</f>
        <v>-5349.81</v>
      </c>
      <c r="U132" s="356" t="n">
        <f aca="false">U116+U128</f>
        <v>-7156.88</v>
      </c>
      <c r="V132" s="356" t="n">
        <f aca="false">V116+V128</f>
        <v>-9139.25</v>
      </c>
      <c r="W132" s="356" t="n">
        <f aca="false">W116+W128</f>
        <v>-9139.02</v>
      </c>
      <c r="X132" s="356" t="n">
        <f aca="false">X116+X128</f>
        <v>-9140.86</v>
      </c>
      <c r="Y132" s="356" t="n">
        <f aca="false">Y116+Y128</f>
        <v>-9152.55</v>
      </c>
      <c r="Z132" s="356" t="n">
        <f aca="false">Z116+Z128</f>
        <v>-9194.6</v>
      </c>
      <c r="AA132" s="356" t="n">
        <f aca="false">AA116+AA128</f>
        <v>-9447.34</v>
      </c>
      <c r="AB132" s="356" t="n">
        <f aca="false">AB116+AB128</f>
        <v>-9934.5</v>
      </c>
      <c r="AC132" s="356" t="n">
        <f aca="false">AC116+AC128</f>
        <v>-9541.23</v>
      </c>
      <c r="AD132" s="356" t="n">
        <f aca="false">AD116+AD128</f>
        <v>-9529.38</v>
      </c>
      <c r="AE132" s="356" t="n">
        <f aca="false">AE116+AE128</f>
        <v>-863.51</v>
      </c>
      <c r="AF132" s="356" t="n">
        <f aca="false">AF116+AF128</f>
        <v>-55169.28</v>
      </c>
      <c r="AG132" s="356" t="n">
        <f aca="false">AG116+AG128</f>
        <v>-84218.73</v>
      </c>
      <c r="AH132" s="356" t="n">
        <f aca="false">AH116+AH128</f>
        <v>-140251.52</v>
      </c>
    </row>
    <row r="133" customFormat="false" ht="15" hidden="false" customHeight="false" outlineLevel="0" collapsed="false">
      <c r="A133" s="336" t="s">
        <v>1544</v>
      </c>
      <c r="B133" s="356" t="n">
        <v>0</v>
      </c>
      <c r="C133" s="356" t="n">
        <v>0</v>
      </c>
      <c r="D133" s="356" t="n">
        <v>-430.71</v>
      </c>
      <c r="E133" s="356" t="n">
        <v>-310</v>
      </c>
      <c r="F133" s="356" t="n">
        <v>-15.11</v>
      </c>
      <c r="G133" s="356" t="n">
        <v>-621.46</v>
      </c>
      <c r="H133" s="356" t="n">
        <v>-236.64</v>
      </c>
      <c r="I133" s="356" t="n">
        <v>-534.94</v>
      </c>
      <c r="J133" s="356" t="n">
        <v>-468.49</v>
      </c>
      <c r="K133" s="356" t="n">
        <v>-518.37</v>
      </c>
      <c r="L133" s="356" t="n">
        <v>-442.52</v>
      </c>
      <c r="M133" s="356" t="n">
        <v>-522.01</v>
      </c>
      <c r="N133" s="356" t="n">
        <v>-315.55</v>
      </c>
      <c r="O133" s="356" t="n">
        <v>-403</v>
      </c>
      <c r="P133" s="356" t="n">
        <v>-480.44</v>
      </c>
      <c r="Q133" s="356" t="n">
        <v>-433.53</v>
      </c>
      <c r="R133" s="356" t="n">
        <v>-383.41</v>
      </c>
      <c r="S133" s="356" t="n">
        <v>-2060.52</v>
      </c>
      <c r="T133" s="356" t="n">
        <v>-2156.76</v>
      </c>
      <c r="U133" s="356" t="n">
        <v>-2144.04</v>
      </c>
      <c r="V133" s="356" t="n">
        <v>-2018.81</v>
      </c>
      <c r="W133" s="356" t="n">
        <v>-1817.17</v>
      </c>
      <c r="X133" s="356" t="n">
        <v>-1279.95</v>
      </c>
      <c r="Y133" s="356" t="n">
        <v>-925.48</v>
      </c>
      <c r="Z133" s="356" t="n">
        <v>-1136.97</v>
      </c>
      <c r="AA133" s="356" t="n">
        <v>-920.3</v>
      </c>
      <c r="AB133" s="356" t="n">
        <v>-425.8</v>
      </c>
      <c r="AC133" s="356" t="n">
        <v>-716.87</v>
      </c>
      <c r="AD133" s="356" t="n">
        <v>-3961.49</v>
      </c>
      <c r="AE133" s="356" t="n">
        <f aca="false">SUM(B133:I133)</f>
        <v>-2148.86</v>
      </c>
      <c r="AF133" s="356" t="n">
        <f aca="false">SUM(J133:U133)</f>
        <v>-10328.64</v>
      </c>
      <c r="AG133" s="356" t="n">
        <f aca="false">SUM(V133:AD133)</f>
        <v>-13202.84</v>
      </c>
      <c r="AH133" s="356" t="n">
        <f aca="false">SUM(B133:AD133)</f>
        <v>-25680.34</v>
      </c>
    </row>
    <row r="134" customFormat="false" ht="15" hidden="false" customHeight="false" outlineLevel="0" collapsed="false">
      <c r="A134" s="345" t="s">
        <v>1545</v>
      </c>
      <c r="B134" s="358" t="n">
        <f aca="false">B131+B132+B133</f>
        <v>-987.07</v>
      </c>
      <c r="C134" s="358" t="n">
        <f aca="false">C131+C132+C133</f>
        <v>-16947.07</v>
      </c>
      <c r="D134" s="358" t="n">
        <f aca="false">D131+D132+D133</f>
        <v>-15865.13</v>
      </c>
      <c r="E134" s="358" t="n">
        <f aca="false">E131+E132+E133</f>
        <v>-25821.26</v>
      </c>
      <c r="F134" s="358" t="n">
        <f aca="false">F131+F132+F133</f>
        <v>-24417.67</v>
      </c>
      <c r="G134" s="358" t="n">
        <f aca="false">G131+G132+G133</f>
        <v>-21940.18</v>
      </c>
      <c r="H134" s="358" t="n">
        <f aca="false">H131+H132+H133</f>
        <v>-22188.21</v>
      </c>
      <c r="I134" s="358" t="n">
        <f aca="false">I131+I132+I133</f>
        <v>-16246.4</v>
      </c>
      <c r="J134" s="358" t="n">
        <f aca="false">J131+J132+J133</f>
        <v>-52539.04</v>
      </c>
      <c r="K134" s="358" t="n">
        <f aca="false">K131+K132+K133</f>
        <v>-47619.74</v>
      </c>
      <c r="L134" s="358" t="n">
        <f aca="false">L131+L132+L133</f>
        <v>-53274.47</v>
      </c>
      <c r="M134" s="358" t="n">
        <f aca="false">M131+M132+M133</f>
        <v>-47877.38</v>
      </c>
      <c r="N134" s="358" t="n">
        <f aca="false">N131+N132+N133</f>
        <v>-46478.13</v>
      </c>
      <c r="O134" s="358" t="n">
        <f aca="false">O131+O132+O133</f>
        <v>-41812.72</v>
      </c>
      <c r="P134" s="358" t="n">
        <f aca="false">P131+P132+P133</f>
        <v>-30036.83</v>
      </c>
      <c r="Q134" s="358" t="n">
        <f aca="false">Q131+Q132+Q133</f>
        <v>-41505.34</v>
      </c>
      <c r="R134" s="358" t="n">
        <f aca="false">R131+R132+R133</f>
        <v>-43929.38</v>
      </c>
      <c r="S134" s="358" t="n">
        <f aca="false">S131+S132+S133</f>
        <v>-47411.65</v>
      </c>
      <c r="T134" s="358" t="n">
        <f aca="false">T131+T132+T133</f>
        <v>-64872.68</v>
      </c>
      <c r="U134" s="358" t="n">
        <f aca="false">U131+U132+U133</f>
        <v>-66180.44</v>
      </c>
      <c r="V134" s="358" t="n">
        <f aca="false">V131+V132+V133</f>
        <v>-54151.5</v>
      </c>
      <c r="W134" s="358" t="n">
        <f aca="false">W131+W132+W133</f>
        <v>-54142.42</v>
      </c>
      <c r="X134" s="358" t="n">
        <f aca="false">X131+X132+X133</f>
        <v>-101844.69</v>
      </c>
      <c r="Y134" s="358" t="n">
        <f aca="false">Y131+Y132+Y133</f>
        <v>-46845.67</v>
      </c>
      <c r="Z134" s="358" t="n">
        <f aca="false">Z131+Z132+Z133</f>
        <v>-48803.57</v>
      </c>
      <c r="AA134" s="358" t="n">
        <f aca="false">AA131+AA132+AA133</f>
        <v>-48454.2</v>
      </c>
      <c r="AB134" s="358" t="n">
        <f aca="false">AB131+AB132+AB133</f>
        <v>-27338.06</v>
      </c>
      <c r="AC134" s="358" t="n">
        <f aca="false">AC131+AC132+AC133</f>
        <v>-24012.98</v>
      </c>
      <c r="AD134" s="358" t="n">
        <f aca="false">AD131+AD132+AD133</f>
        <v>-32969.21</v>
      </c>
      <c r="AE134" s="358" t="n">
        <f aca="false">AE131+AE132+AE133</f>
        <v>-144412.99</v>
      </c>
      <c r="AF134" s="358" t="n">
        <f aca="false">AF131+AF132+AF133</f>
        <v>-583537.8</v>
      </c>
      <c r="AG134" s="358" t="n">
        <f aca="false">AG131+AG132+AG133</f>
        <v>-438562.3</v>
      </c>
      <c r="AH134" s="358" t="n">
        <f aca="false">AH131+AH132+AH133</f>
        <v>-1166513.09</v>
      </c>
    </row>
    <row r="135" customFormat="false" ht="15" hidden="false" customHeight="false" outlineLevel="0" collapsed="false">
      <c r="A135" s="336" t="s">
        <v>1546</v>
      </c>
      <c r="B135" s="356" t="n">
        <v>-987.07</v>
      </c>
      <c r="C135" s="356" t="n">
        <v>-16947.07</v>
      </c>
      <c r="D135" s="356" t="n">
        <v>-15865.13</v>
      </c>
      <c r="E135" s="356" t="n">
        <v>-25821.26</v>
      </c>
      <c r="F135" s="356" t="n">
        <v>-24417.67</v>
      </c>
      <c r="G135" s="356" t="n">
        <v>-21940.18</v>
      </c>
      <c r="H135" s="356" t="n">
        <v>-22188.2</v>
      </c>
      <c r="I135" s="356" t="n">
        <v>-16246.4</v>
      </c>
      <c r="J135" s="356" t="n">
        <v>-52539.04</v>
      </c>
      <c r="K135" s="356" t="n">
        <v>-47619.75</v>
      </c>
      <c r="L135" s="356" t="n">
        <v>-53274.47</v>
      </c>
      <c r="M135" s="356" t="n">
        <v>-47877.38</v>
      </c>
      <c r="N135" s="356" t="n">
        <v>-46478.13</v>
      </c>
      <c r="O135" s="356" t="n">
        <v>-41812.72</v>
      </c>
      <c r="P135" s="356" t="n">
        <v>-30036.8</v>
      </c>
      <c r="Q135" s="356" t="n">
        <v>-41505.35</v>
      </c>
      <c r="R135" s="356" t="n">
        <v>-43929.38</v>
      </c>
      <c r="S135" s="356" t="n">
        <v>-47411.65</v>
      </c>
      <c r="T135" s="356" t="n">
        <v>-64872.69</v>
      </c>
      <c r="U135" s="356" t="n">
        <v>-66180.43</v>
      </c>
      <c r="V135" s="356" t="n">
        <v>-54151.47</v>
      </c>
      <c r="W135" s="356" t="n">
        <v>-54142.41</v>
      </c>
      <c r="X135" s="356" t="n">
        <v>-101844.65</v>
      </c>
      <c r="Y135" s="356" t="n">
        <v>-46845.7</v>
      </c>
      <c r="Z135" s="356" t="n">
        <v>-48803.57</v>
      </c>
      <c r="AA135" s="356" t="n">
        <v>-48454.2</v>
      </c>
      <c r="AB135" s="356" t="n">
        <v>-27338.04</v>
      </c>
      <c r="AC135" s="356" t="n">
        <v>-24012.95</v>
      </c>
      <c r="AD135" s="356" t="n">
        <v>-32969.26</v>
      </c>
      <c r="AE135" s="356" t="n">
        <f aca="false">SUM(B135:I135)</f>
        <v>-144412.98</v>
      </c>
      <c r="AF135" s="356" t="n">
        <f aca="false">SUM(J135:U135)</f>
        <v>-583537.79</v>
      </c>
      <c r="AG135" s="356" t="n">
        <f aca="false">SUM(V135:AD135)</f>
        <v>-438562.25</v>
      </c>
      <c r="AH135" s="356" t="n">
        <f aca="false">SUM(B135:AD135)</f>
        <v>-1166513.02</v>
      </c>
    </row>
    <row r="136" customFormat="false" ht="15" hidden="false" customHeight="false" outlineLevel="0" collapsed="false">
      <c r="A136" s="336" t="s">
        <v>1547</v>
      </c>
      <c r="B136" s="356" t="n">
        <f aca="false">ROUND(B134-B135,0)</f>
        <v>0</v>
      </c>
      <c r="C136" s="356" t="n">
        <f aca="false">ROUND(C134-C135,0)</f>
        <v>0</v>
      </c>
      <c r="D136" s="356" t="n">
        <f aca="false">ROUND(D134-D135,0)</f>
        <v>0</v>
      </c>
      <c r="E136" s="356" t="n">
        <f aca="false">ROUND(E134-E135,0)</f>
        <v>0</v>
      </c>
      <c r="F136" s="356" t="n">
        <f aca="false">ROUND(F134-F135,0)</f>
        <v>0</v>
      </c>
      <c r="G136" s="356" t="n">
        <f aca="false">ROUND(G134-G135,0)</f>
        <v>0</v>
      </c>
      <c r="H136" s="356" t="n">
        <f aca="false">ROUND(H134-H135,0)</f>
        <v>-0</v>
      </c>
      <c r="I136" s="356" t="n">
        <f aca="false">ROUND(I134-I135,0)</f>
        <v>0</v>
      </c>
      <c r="J136" s="356" t="n">
        <f aca="false">ROUND(J134-J135,0)</f>
        <v>0</v>
      </c>
      <c r="K136" s="356" t="n">
        <f aca="false">ROUND(K134-K135,0)</f>
        <v>0</v>
      </c>
      <c r="L136" s="356" t="n">
        <f aca="false">ROUND(L134-L135,0)</f>
        <v>0</v>
      </c>
      <c r="M136" s="356" t="n">
        <f aca="false">ROUND(M134-M135,0)</f>
        <v>0</v>
      </c>
      <c r="N136" s="356" t="n">
        <f aca="false">ROUND(N134-N135,0)</f>
        <v>0</v>
      </c>
      <c r="O136" s="356" t="n">
        <f aca="false">ROUND(O134-O135,0)</f>
        <v>0</v>
      </c>
      <c r="P136" s="356" t="n">
        <f aca="false">ROUND(P134-P135,0)</f>
        <v>-0</v>
      </c>
      <c r="Q136" s="356" t="n">
        <f aca="false">ROUND(Q134-Q135,0)</f>
        <v>0</v>
      </c>
      <c r="R136" s="356" t="n">
        <f aca="false">ROUND(R134-R135,0)</f>
        <v>0</v>
      </c>
      <c r="S136" s="356" t="n">
        <f aca="false">ROUND(S134-S135,0)</f>
        <v>0</v>
      </c>
      <c r="T136" s="356" t="n">
        <f aca="false">ROUND(T134-T135,0)</f>
        <v>0</v>
      </c>
      <c r="U136" s="356" t="n">
        <f aca="false">ROUND(U134-U135,0)</f>
        <v>-0</v>
      </c>
      <c r="V136" s="356" t="n">
        <f aca="false">ROUND(V134-V135,0)</f>
        <v>-0</v>
      </c>
      <c r="W136" s="356" t="n">
        <f aca="false">ROUND(W134-W135,0)</f>
        <v>-0</v>
      </c>
      <c r="X136" s="356" t="n">
        <f aca="false">ROUND(X134-X135,0)</f>
        <v>-0</v>
      </c>
      <c r="Y136" s="356" t="n">
        <f aca="false">ROUND(Y134-Y135,0)</f>
        <v>0</v>
      </c>
      <c r="Z136" s="356" t="n">
        <f aca="false">ROUND(Z134-Z135,0)</f>
        <v>0</v>
      </c>
      <c r="AA136" s="356" t="n">
        <f aca="false">ROUND(AA134-AA135,0)</f>
        <v>0</v>
      </c>
      <c r="AB136" s="356" t="n">
        <f aca="false">ROUND(AB134-AB135,0)</f>
        <v>-0</v>
      </c>
      <c r="AC136" s="356" t="n">
        <f aca="false">ROUND(AC134-AC135,0)</f>
        <v>-0</v>
      </c>
      <c r="AD136" s="356" t="n">
        <f aca="false">ROUND(AD134-AD135,0)</f>
        <v>0</v>
      </c>
      <c r="AE136" s="356" t="n">
        <f aca="false">ROUND(AE134-AE135,0)</f>
        <v>-0</v>
      </c>
      <c r="AF136" s="356" t="n">
        <f aca="false">ROUND(AF134-AF135,0)</f>
        <v>-0</v>
      </c>
      <c r="AG136" s="356" t="n">
        <f aca="false">ROUND(AG134-AG135,0)</f>
        <v>-0</v>
      </c>
      <c r="AH136" s="356" t="n">
        <f aca="false">ROUND(AH134-AH135,0)</f>
        <v>-0</v>
      </c>
    </row>
    <row r="138" customFormat="false" ht="15" hidden="false" customHeight="false" outlineLevel="0" collapsed="false">
      <c r="A138" s="339" t="s">
        <v>1548</v>
      </c>
      <c r="B138" s="353"/>
      <c r="C138" s="353"/>
      <c r="D138" s="353"/>
      <c r="E138" s="353"/>
      <c r="F138" s="353"/>
      <c r="G138" s="353"/>
      <c r="H138" s="353"/>
      <c r="I138" s="353"/>
      <c r="J138" s="353"/>
      <c r="K138" s="353"/>
      <c r="L138" s="353"/>
      <c r="M138" s="353"/>
      <c r="N138" s="353"/>
      <c r="O138" s="353"/>
      <c r="P138" s="353"/>
      <c r="Q138" s="353"/>
      <c r="R138" s="353"/>
      <c r="S138" s="353"/>
      <c r="T138" s="353"/>
      <c r="U138" s="353"/>
      <c r="V138" s="353"/>
      <c r="W138" s="353"/>
      <c r="X138" s="353"/>
      <c r="Y138" s="353"/>
      <c r="Z138" s="353"/>
      <c r="AA138" s="353"/>
      <c r="AB138" s="353"/>
      <c r="AC138" s="353"/>
      <c r="AD138" s="353"/>
      <c r="AE138" s="353"/>
      <c r="AF138" s="353"/>
      <c r="AG138" s="353"/>
      <c r="AH138" s="353"/>
    </row>
    <row r="139" customFormat="false" ht="15" hidden="false" customHeight="false" outlineLevel="0" collapsed="false">
      <c r="A139" s="336" t="s">
        <v>1549</v>
      </c>
    </row>
    <row r="140" customFormat="false" ht="15" hidden="false" customHeight="false" outlineLevel="0" collapsed="false">
      <c r="A140" s="336" t="s">
        <v>1550</v>
      </c>
    </row>
    <row r="141" customFormat="false" ht="15" hidden="false" customHeight="false" outlineLevel="0" collapsed="false">
      <c r="A141" s="336" t="s">
        <v>1551</v>
      </c>
    </row>
    <row r="142" customFormat="false" ht="15" hidden="false" customHeight="false" outlineLevel="0" collapsed="false">
      <c r="A142" s="336" t="s">
        <v>1552</v>
      </c>
    </row>
    <row r="143" customFormat="false" ht="15" hidden="false" customHeight="false" outlineLevel="0" collapsed="false">
      <c r="A143" s="336"/>
    </row>
    <row r="144" customFormat="false" ht="15" hidden="false" customHeight="false" outlineLevel="0" collapsed="false">
      <c r="A144" s="336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2019-08-30T13:50:59Z</dcterms:created>
  <dc:creator>OKIO Vision</dc:creator>
  <dc:description/>
  <dc:language>en-US</dc:language>
  <cp:lastModifiedBy>OKIO Vision</cp:lastModifiedBy>
  <cp:lastPrinted>2024-04-25T15:59:24Z</cp:lastPrinted>
  <dcterms:modified xsi:type="dcterms:W3CDTF">2026-10-09T16:46:57Z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